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8032E139-A863-4E76-BEB4-5B5E020E2F1C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</calcChain>
</file>

<file path=xl/sharedStrings.xml><?xml version="1.0" encoding="utf-8"?>
<sst xmlns="http://schemas.openxmlformats.org/spreadsheetml/2006/main" count="16208" uniqueCount="69">
  <si>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</si>
  <si>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</si>
  <si>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</si>
  <si>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</si>
  <si>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</si>
  <si>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</si>
  <si>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</si>
  <si>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</si>
  <si>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</si>
  <si>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</si>
  <si>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</si>
  <si>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</si>
  <si>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</si>
  <si>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</si>
  <si>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</si>
  <si>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</si>
  <si>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</si>
  <si>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</si>
  <si>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</si>
  <si>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</si>
  <si>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</si>
  <si>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</si>
  <si>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</si>
  <si>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</si>
  <si>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</si>
  <si>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</si>
  <si>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</si>
  <si>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</si>
  <si>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</si>
  <si>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</si>
  <si>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</si>
  <si>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</si>
  <si>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</si>
  <si>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</si>
  <si>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</si>
  <si>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</si>
  <si>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</si>
  <si>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</si>
  <si>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</si>
  <si>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</si>
  <si>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</si>
  <si>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</si>
  <si>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mcp_road_part_02</t>
  </si>
  <si>
    <t>Plane_01</t>
  </si>
  <si>
    <t>mcp_roads_turn_01 (1)</t>
  </si>
  <si>
    <t>mcp_roads_T_cross_01</t>
  </si>
  <si>
    <t>mcp_road_part_01</t>
  </si>
  <si>
    <t>mcp_roads_cross_01</t>
  </si>
  <si>
    <t>Building 15 (33)</t>
  </si>
  <si>
    <t>Box001</t>
  </si>
  <si>
    <t>FAR</t>
  </si>
  <si>
    <t>Building 15 (19)</t>
  </si>
  <si>
    <t>mcp_building_24_fountain_marble</t>
  </si>
  <si>
    <t>mcp_roads_cross_02</t>
  </si>
  <si>
    <t>Building 24</t>
  </si>
  <si>
    <t>Tree 02 (2)</t>
  </si>
  <si>
    <t>Building 15 (30)</t>
  </si>
  <si>
    <t>mcp_roads_turn_01</t>
  </si>
  <si>
    <t>Building 13 (1)</t>
  </si>
  <si>
    <t>mcp_road_part_02 (1)</t>
  </si>
  <si>
    <t>mcp_road_part_02 (2)</t>
  </si>
  <si>
    <t>mcp_road_part_02 (3)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</si>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</sst>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085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"20190304164101309"</f>
        <v>20190304164101309</v>
      </c>
      <c r="B2" t="str">
        <f>"1551688861301106"</f>
        <v>1551688861301106</v>
      </c>
      <c r="C2" t="s">
        <v>40</v>
      </c>
      <c r="D2">
        <v>4.5286770000000001</v>
      </c>
      <c r="E2">
        <v>0.54126790000000002</v>
      </c>
      <c r="F2" t="s">
        <v>41</v>
      </c>
      <c r="G2">
        <v>-475.94330000000002</v>
      </c>
      <c r="H2">
        <v>0.91347540000000005</v>
      </c>
      <c r="I2">
        <v>367.20339999999999</v>
      </c>
      <c r="J2">
        <v>-476.60829999999999</v>
      </c>
      <c r="K2">
        <v>1.109756</v>
      </c>
      <c r="L2">
        <v>367.21710000000002</v>
      </c>
      <c r="M2">
        <v>0.99996719999999895</v>
      </c>
      <c r="N2">
        <v>-8.0961990000000001E-3</v>
      </c>
      <c r="O2" s="1">
        <v>-8.497143E-5</v>
      </c>
      <c r="P2">
        <v>0.96306150000000001</v>
      </c>
      <c r="Q2">
        <v>0.26764729999999998</v>
      </c>
      <c r="R2">
        <v>2.962072E-2</v>
      </c>
      <c r="S2">
        <v>3.390717</v>
      </c>
      <c r="T2">
        <v>-0.98842180000000002</v>
      </c>
      <c r="U2">
        <v>-6.6162109999999996E-2</v>
      </c>
      <c r="V2">
        <v>-2.9659520000000002E-2</v>
      </c>
      <c r="W2">
        <v>0.27544039999999997</v>
      </c>
      <c r="X2">
        <v>0.96086050000000001</v>
      </c>
      <c r="Y2">
        <v>1.8629819999999998E-2</v>
      </c>
      <c r="Z2">
        <v>-2.7131949999999998E-3</v>
      </c>
      <c r="AA2">
        <v>0.99982280000000001</v>
      </c>
      <c r="AB2">
        <v>1</v>
      </c>
      <c r="AC2">
        <v>0.66499999999996295</v>
      </c>
      <c r="AD2">
        <v>-0.196280599999999</v>
      </c>
      <c r="AE2">
        <v>-1.37000000000284E-2</v>
      </c>
      <c r="AF2">
        <v>1.2550566708207001E-2</v>
      </c>
      <c r="AG2">
        <v>-0.196280599999999</v>
      </c>
      <c r="AH2">
        <v>0.61173058792999901</v>
      </c>
      <c r="AI2">
        <v>107.785912303884</v>
      </c>
      <c r="AJ2">
        <v>88.824656397399707</v>
      </c>
      <c r="AK2">
        <v>0.64257132123231298</v>
      </c>
      <c r="AL2">
        <v>74.011739173476897</v>
      </c>
      <c r="AM2">
        <v>91.768025536574996</v>
      </c>
      <c r="AN2">
        <v>1.00000000076952</v>
      </c>
    </row>
    <row r="3" spans="1:40" x14ac:dyDescent="0.25">
      <c r="A3" t="str">
        <f>"20190304164101326"</f>
        <v>20190304164101326</v>
      </c>
      <c r="B3" t="str">
        <f>"1551688861321603"</f>
        <v>1551688861321603</v>
      </c>
      <c r="C3" t="s">
        <v>40</v>
      </c>
      <c r="D3">
        <v>4.5110130000000002</v>
      </c>
      <c r="E3">
        <v>0.54125979999999996</v>
      </c>
      <c r="F3" t="s">
        <v>41</v>
      </c>
      <c r="G3">
        <v>-475.9341</v>
      </c>
      <c r="H3">
        <v>0.91358669999999997</v>
      </c>
      <c r="I3">
        <v>367.20339999999999</v>
      </c>
      <c r="J3">
        <v>-476.60050000000001</v>
      </c>
      <c r="K3">
        <v>1.1096269999999999</v>
      </c>
      <c r="L3">
        <v>367.21699999999998</v>
      </c>
      <c r="M3">
        <v>0.99997309999999995</v>
      </c>
      <c r="N3">
        <v>-7.3428869999999898E-3</v>
      </c>
      <c r="O3">
        <v>-1.68145099999999E-4</v>
      </c>
      <c r="P3">
        <v>0.9629143</v>
      </c>
      <c r="Q3">
        <v>0.26822469999999998</v>
      </c>
      <c r="R3">
        <v>2.9183560000000001E-2</v>
      </c>
      <c r="S3">
        <v>3.3913570000000002</v>
      </c>
      <c r="T3">
        <v>-0.98656569999999999</v>
      </c>
      <c r="U3">
        <v>-6.7108150000000005E-2</v>
      </c>
      <c r="V3">
        <v>-2.9297009999999998E-2</v>
      </c>
      <c r="W3">
        <v>0.27529330000000002</v>
      </c>
      <c r="X3">
        <v>0.96091380000000004</v>
      </c>
      <c r="Y3">
        <v>1.8822149999999999E-2</v>
      </c>
      <c r="Z3">
        <v>-2.705743E-3</v>
      </c>
      <c r="AA3">
        <v>0.99981920000000002</v>
      </c>
      <c r="AB3">
        <v>1</v>
      </c>
      <c r="AC3">
        <v>0.66640000000000998</v>
      </c>
      <c r="AD3">
        <v>-0.1960403</v>
      </c>
      <c r="AE3">
        <v>-1.35999999999967E-2</v>
      </c>
      <c r="AF3">
        <v>1.2414069100478599E-2</v>
      </c>
      <c r="AG3">
        <v>-0.1960403</v>
      </c>
      <c r="AH3">
        <v>0.61334502636406196</v>
      </c>
      <c r="AI3">
        <v>107.72176818360199</v>
      </c>
      <c r="AJ3">
        <v>88.8404949357395</v>
      </c>
      <c r="AK3">
        <v>0.64403263092894103</v>
      </c>
      <c r="AL3">
        <v>74.020506699369506</v>
      </c>
      <c r="AM3">
        <v>91.7463327060278</v>
      </c>
      <c r="AN3">
        <v>1.0000000234251301</v>
      </c>
    </row>
    <row r="4" spans="1:40" x14ac:dyDescent="0.25">
      <c r="A4" t="str">
        <f>"20190304164101340"</f>
        <v>20190304164101340</v>
      </c>
      <c r="B4" t="str">
        <f>"1551688861331363"</f>
        <v>1551688861331363</v>
      </c>
      <c r="C4" t="s">
        <v>40</v>
      </c>
      <c r="D4">
        <v>4.6237719999999998</v>
      </c>
      <c r="E4">
        <v>0.54125979999999996</v>
      </c>
      <c r="F4" t="s">
        <v>41</v>
      </c>
      <c r="G4">
        <v>-475.92309999999998</v>
      </c>
      <c r="H4">
        <v>0.91307870000000002</v>
      </c>
      <c r="I4">
        <v>367.20310000000001</v>
      </c>
      <c r="J4">
        <v>-476.59230000000002</v>
      </c>
      <c r="K4">
        <v>1.1095379999999999</v>
      </c>
      <c r="L4">
        <v>367.21690000000001</v>
      </c>
      <c r="M4">
        <v>0.99997760000000002</v>
      </c>
      <c r="N4">
        <v>-6.68265E-3</v>
      </c>
      <c r="O4">
        <v>-2.5570520000000002E-4</v>
      </c>
      <c r="P4">
        <v>0.96256390000000003</v>
      </c>
      <c r="Q4">
        <v>0.26955180000000001</v>
      </c>
      <c r="R4">
        <v>2.8510150000000001E-2</v>
      </c>
      <c r="S4">
        <v>3.3917540000000002</v>
      </c>
      <c r="T4">
        <v>-0.98410509999999995</v>
      </c>
      <c r="U4">
        <v>-6.8023680000000003E-2</v>
      </c>
      <c r="V4">
        <v>-2.870414E-2</v>
      </c>
      <c r="W4">
        <v>0.2759836</v>
      </c>
      <c r="X4">
        <v>0.96073370000000002</v>
      </c>
      <c r="Y4">
        <v>1.900373E-2</v>
      </c>
      <c r="Z4">
        <v>-2.6947799999999999E-3</v>
      </c>
      <c r="AA4">
        <v>0.99981580000000003</v>
      </c>
      <c r="AB4">
        <v>1</v>
      </c>
      <c r="AC4">
        <v>0.66920000000004598</v>
      </c>
      <c r="AD4">
        <v>-0.196459299999999</v>
      </c>
      <c r="AE4">
        <v>-1.3800000000003299E-2</v>
      </c>
      <c r="AF4">
        <v>1.25478932440729E-2</v>
      </c>
      <c r="AG4">
        <v>-0.196459299999999</v>
      </c>
      <c r="AH4">
        <v>0.61612513413579095</v>
      </c>
      <c r="AI4">
        <v>107.682102339764</v>
      </c>
      <c r="AJ4">
        <v>88.833285785709094</v>
      </c>
      <c r="AK4">
        <v>0.64681054961650197</v>
      </c>
      <c r="AL4">
        <v>73.979362095788503</v>
      </c>
      <c r="AM4">
        <v>91.711334762112898</v>
      </c>
      <c r="AN4">
        <v>1.00000005871889</v>
      </c>
    </row>
    <row r="5" spans="1:40" x14ac:dyDescent="0.25">
      <c r="A5" t="str">
        <f>"20190304164101361"</f>
        <v>20190304164101361</v>
      </c>
      <c r="B5" t="str">
        <f>"1551688861351858"</f>
        <v>1551688861351858</v>
      </c>
      <c r="C5" t="s">
        <v>40</v>
      </c>
      <c r="D5">
        <v>4.7258079999999998</v>
      </c>
      <c r="E5">
        <v>0.53905619999999999</v>
      </c>
      <c r="F5" t="s">
        <v>41</v>
      </c>
      <c r="G5">
        <v>-475.92189999999999</v>
      </c>
      <c r="H5">
        <v>0.91600570000000003</v>
      </c>
      <c r="I5">
        <v>367.20260000000002</v>
      </c>
      <c r="J5">
        <v>-476.57870000000003</v>
      </c>
      <c r="K5">
        <v>1.109416</v>
      </c>
      <c r="L5">
        <v>367.21679999999998</v>
      </c>
      <c r="M5">
        <v>0.99998339999999997</v>
      </c>
      <c r="N5">
        <v>-5.7593419999999998E-3</v>
      </c>
      <c r="O5">
        <v>-3.9965569999999998E-4</v>
      </c>
      <c r="P5">
        <v>0.96184930000000002</v>
      </c>
      <c r="Q5">
        <v>0.27216420000000002</v>
      </c>
      <c r="R5">
        <v>2.7796319999999999E-2</v>
      </c>
      <c r="S5">
        <v>3.393005</v>
      </c>
      <c r="T5">
        <v>-0.97942390000000001</v>
      </c>
      <c r="U5">
        <v>-7.0922849999999996E-2</v>
      </c>
      <c r="V5">
        <v>-2.8124300000000001E-2</v>
      </c>
      <c r="W5">
        <v>0.27770549999999999</v>
      </c>
      <c r="X5">
        <v>0.96025450000000001</v>
      </c>
      <c r="Y5">
        <v>1.9693760000000001E-2</v>
      </c>
      <c r="Z5">
        <v>-2.7323349999999998E-3</v>
      </c>
      <c r="AA5">
        <v>0.99980239999999998</v>
      </c>
      <c r="AB5">
        <v>1</v>
      </c>
      <c r="AC5">
        <v>0.65680000000003202</v>
      </c>
      <c r="AD5">
        <v>-0.19341030000000001</v>
      </c>
      <c r="AE5">
        <v>-1.41999999999598E-2</v>
      </c>
      <c r="AF5">
        <v>1.28258316714321E-2</v>
      </c>
      <c r="AG5">
        <v>-0.19341030000000001</v>
      </c>
      <c r="AH5">
        <v>0.60441814930415805</v>
      </c>
      <c r="AI5">
        <v>107.74062668459101</v>
      </c>
      <c r="AJ5">
        <v>88.784358556644904</v>
      </c>
      <c r="AK5">
        <v>0.63473880085624002</v>
      </c>
      <c r="AL5">
        <v>73.876690817334193</v>
      </c>
      <c r="AM5">
        <v>91.677621057485794</v>
      </c>
      <c r="AN5">
        <v>1.00000001287549</v>
      </c>
    </row>
    <row r="6" spans="1:40" x14ac:dyDescent="0.25">
      <c r="A6" t="str">
        <f>"20190304164101374"</f>
        <v>20190304164101374</v>
      </c>
      <c r="B6" t="str">
        <f>"1551688861361618"</f>
        <v>1551688861361618</v>
      </c>
      <c r="C6" t="s">
        <v>40</v>
      </c>
      <c r="D6">
        <v>4.5361760000000002</v>
      </c>
      <c r="E6">
        <v>0.53905619999999999</v>
      </c>
      <c r="F6" t="s">
        <v>41</v>
      </c>
      <c r="G6">
        <v>-475.90519999999998</v>
      </c>
      <c r="H6">
        <v>0.923508</v>
      </c>
      <c r="I6">
        <v>367.20479999999998</v>
      </c>
      <c r="J6">
        <v>-476.56889999999999</v>
      </c>
      <c r="K6">
        <v>1.1093569999999999</v>
      </c>
      <c r="L6">
        <v>367.2167</v>
      </c>
      <c r="M6">
        <v>0.99998640000000005</v>
      </c>
      <c r="N6">
        <v>-5.1972090000000004E-3</v>
      </c>
      <c r="O6">
        <v>-5.0083989999999998E-4</v>
      </c>
      <c r="P6">
        <v>0.96149370000000001</v>
      </c>
      <c r="Q6">
        <v>0.27346340000000002</v>
      </c>
      <c r="R6">
        <v>2.7347460000000001E-2</v>
      </c>
      <c r="S6">
        <v>3.3850099999999999</v>
      </c>
      <c r="T6">
        <v>-0.93418239999999997</v>
      </c>
      <c r="U6">
        <v>-5.8837889999999997E-2</v>
      </c>
      <c r="V6">
        <v>-2.7769510000000001E-2</v>
      </c>
      <c r="W6">
        <v>0.27846310000000002</v>
      </c>
      <c r="X6">
        <v>0.96004540000000005</v>
      </c>
      <c r="Y6">
        <v>1.6276349999999998E-2</v>
      </c>
      <c r="Z6">
        <v>-2.1145489999999999E-3</v>
      </c>
      <c r="AA6">
        <v>0.99986529999999996</v>
      </c>
      <c r="AB6">
        <v>1</v>
      </c>
      <c r="AC6">
        <v>0.66370000000000495</v>
      </c>
      <c r="AD6">
        <v>-0.18584899999999999</v>
      </c>
      <c r="AE6">
        <v>-1.19000000000255E-2</v>
      </c>
      <c r="AF6">
        <v>1.07267611545662E-2</v>
      </c>
      <c r="AG6">
        <v>-0.18584899999999999</v>
      </c>
      <c r="AH6">
        <v>0.61546238398696296</v>
      </c>
      <c r="AI6">
        <v>106.80014762075</v>
      </c>
      <c r="AJ6">
        <v>89.001505309337205</v>
      </c>
      <c r="AK6">
        <v>0.64299989137540503</v>
      </c>
      <c r="AL6">
        <v>73.831501002030507</v>
      </c>
      <c r="AM6">
        <v>91.656830198857307</v>
      </c>
      <c r="AN6">
        <v>1.0000000069042001</v>
      </c>
    </row>
    <row r="7" spans="1:40" x14ac:dyDescent="0.25">
      <c r="A7" t="str">
        <f>"20190304164101396"</f>
        <v>20190304164101396</v>
      </c>
      <c r="B7" t="str">
        <f>"1551688861391875"</f>
        <v>1551688861391875</v>
      </c>
      <c r="C7" t="s">
        <v>40</v>
      </c>
      <c r="D7">
        <v>4.5180559999999996</v>
      </c>
      <c r="E7">
        <v>0.54041249999999996</v>
      </c>
      <c r="F7" t="s">
        <v>41</v>
      </c>
      <c r="G7">
        <v>-475.88990000000001</v>
      </c>
      <c r="H7">
        <v>0.92295099999999997</v>
      </c>
      <c r="I7">
        <v>367.20409999999998</v>
      </c>
      <c r="J7">
        <v>-476.55040000000002</v>
      </c>
      <c r="K7">
        <v>1.1092379999999999</v>
      </c>
      <c r="L7">
        <v>367.2165</v>
      </c>
      <c r="M7">
        <v>0.99999079999999996</v>
      </c>
      <c r="N7">
        <v>-4.2715299999999999E-3</v>
      </c>
      <c r="O7">
        <v>-6.8788390000000001E-4</v>
      </c>
      <c r="P7">
        <v>0.96132300000000004</v>
      </c>
      <c r="Q7">
        <v>0.27412140000000002</v>
      </c>
      <c r="R7">
        <v>2.675746E-2</v>
      </c>
      <c r="S7">
        <v>3.3862299999999999</v>
      </c>
      <c r="T7">
        <v>-0.92956209999999995</v>
      </c>
      <c r="U7">
        <v>-6.0424800000000001E-2</v>
      </c>
      <c r="V7">
        <v>-2.7356209999999999E-2</v>
      </c>
      <c r="W7">
        <v>0.27823130000000001</v>
      </c>
      <c r="X7">
        <v>0.96012450000000005</v>
      </c>
      <c r="Y7">
        <v>1.6556129999999999E-2</v>
      </c>
      <c r="Z7">
        <v>-2.084505E-3</v>
      </c>
      <c r="AA7">
        <v>0.99986079999999999</v>
      </c>
      <c r="AB7">
        <v>2</v>
      </c>
      <c r="AC7">
        <v>0.66050000000001297</v>
      </c>
      <c r="AD7">
        <v>-0.18628699999999901</v>
      </c>
      <c r="AE7">
        <v>-1.24000000000137E-2</v>
      </c>
      <c r="AF7">
        <v>1.10657198140564E-2</v>
      </c>
      <c r="AG7">
        <v>-0.18628699999999901</v>
      </c>
      <c r="AH7">
        <v>0.611854795788215</v>
      </c>
      <c r="AI7">
        <v>106.93092955823001</v>
      </c>
      <c r="AJ7">
        <v>88.963888271869607</v>
      </c>
      <c r="AK7">
        <v>0.63968084827751504</v>
      </c>
      <c r="AL7">
        <v>73.845329123750304</v>
      </c>
      <c r="AM7">
        <v>91.632050258309405</v>
      </c>
      <c r="AN7">
        <v>1.00000003701275</v>
      </c>
    </row>
    <row r="8" spans="1:40" x14ac:dyDescent="0.25">
      <c r="A8" t="str">
        <f>"20190304164101408"</f>
        <v>20190304164101408</v>
      </c>
      <c r="B8" t="str">
        <f>"1551688861401635"</f>
        <v>1551688861401635</v>
      </c>
      <c r="C8" t="s">
        <v>40</v>
      </c>
      <c r="D8">
        <v>4.5585899999999997</v>
      </c>
      <c r="E8">
        <v>0.54028149999999997</v>
      </c>
      <c r="F8" t="s">
        <v>41</v>
      </c>
      <c r="G8">
        <v>-475.87400000000002</v>
      </c>
      <c r="H8">
        <v>0.91844630000000005</v>
      </c>
      <c r="I8">
        <v>367.20190000000002</v>
      </c>
      <c r="J8">
        <v>-476.53800000000001</v>
      </c>
      <c r="K8">
        <v>1.1092</v>
      </c>
      <c r="L8">
        <v>367.21640000000002</v>
      </c>
      <c r="M8">
        <v>0.99999269999999996</v>
      </c>
      <c r="N8">
        <v>-3.7507159999999999E-3</v>
      </c>
      <c r="O8">
        <v>-8.1184509999999998E-4</v>
      </c>
      <c r="P8">
        <v>0.96127680000000004</v>
      </c>
      <c r="Q8">
        <v>0.27429049999999999</v>
      </c>
      <c r="R8">
        <v>2.6678879999999999E-2</v>
      </c>
      <c r="S8">
        <v>3.3957820000000001</v>
      </c>
      <c r="T8">
        <v>-0.9577485</v>
      </c>
      <c r="U8">
        <v>-7.1014399999999894E-2</v>
      </c>
      <c r="V8">
        <v>-2.739465E-2</v>
      </c>
      <c r="W8">
        <v>0.27790019999999999</v>
      </c>
      <c r="X8">
        <v>0.9602193</v>
      </c>
      <c r="Y8">
        <v>1.9361639999999999E-2</v>
      </c>
      <c r="Z8">
        <v>-2.4933049999999999E-3</v>
      </c>
      <c r="AA8">
        <v>0.99980939999999996</v>
      </c>
      <c r="AB8">
        <v>2</v>
      </c>
      <c r="AC8">
        <v>0.66399999999998705</v>
      </c>
      <c r="AD8">
        <v>-0.1907537</v>
      </c>
      <c r="AE8">
        <v>-1.4499999999998099E-2</v>
      </c>
      <c r="AF8">
        <v>1.28970455372207E-2</v>
      </c>
      <c r="AG8">
        <v>-0.1907537</v>
      </c>
      <c r="AH8">
        <v>0.61341110479863803</v>
      </c>
      <c r="AI8">
        <v>107.270643087297</v>
      </c>
      <c r="AJ8">
        <v>88.795526498668295</v>
      </c>
      <c r="AK8">
        <v>0.64251575182057996</v>
      </c>
      <c r="AL8">
        <v>73.865078785926599</v>
      </c>
      <c r="AM8">
        <v>91.634181049033103</v>
      </c>
      <c r="AN8">
        <v>1.00000004605057</v>
      </c>
    </row>
    <row r="9" spans="1:40" x14ac:dyDescent="0.25">
      <c r="A9" t="str">
        <f>"20190304164101423"</f>
        <v>20190304164101423</v>
      </c>
      <c r="B9" t="str">
        <f>"1551688861411395"</f>
        <v>1551688861411395</v>
      </c>
      <c r="C9" t="s">
        <v>40</v>
      </c>
      <c r="D9">
        <v>4.5211389999999998</v>
      </c>
      <c r="E9">
        <v>0.54011200000000004</v>
      </c>
      <c r="F9" t="s">
        <v>41</v>
      </c>
      <c r="G9">
        <v>-475.85480000000001</v>
      </c>
      <c r="H9">
        <v>0.91630460000000002</v>
      </c>
      <c r="I9">
        <v>367.20170000000002</v>
      </c>
      <c r="J9">
        <v>-476.52370000000002</v>
      </c>
      <c r="K9">
        <v>1.10914</v>
      </c>
      <c r="L9">
        <v>367.21620000000001</v>
      </c>
      <c r="M9">
        <v>0.99999439999999995</v>
      </c>
      <c r="N9">
        <v>-3.2212479999999999E-3</v>
      </c>
      <c r="O9">
        <v>-9.5130150000000005E-4</v>
      </c>
      <c r="P9">
        <v>0.96149280000000004</v>
      </c>
      <c r="Q9">
        <v>0.2735166</v>
      </c>
      <c r="R9">
        <v>2.6839129999999999E-2</v>
      </c>
      <c r="S9">
        <v>3.396423</v>
      </c>
      <c r="T9">
        <v>-0.9587753</v>
      </c>
      <c r="U9">
        <v>-6.9854739999999999E-2</v>
      </c>
      <c r="V9">
        <v>-2.768781E-2</v>
      </c>
      <c r="W9">
        <v>0.2766187</v>
      </c>
      <c r="X9">
        <v>0.96058080000000001</v>
      </c>
      <c r="Y9">
        <v>1.8900900000000002E-2</v>
      </c>
      <c r="Z9">
        <v>-2.3870480000000001E-3</v>
      </c>
      <c r="AA9">
        <v>0.99981850000000005</v>
      </c>
      <c r="AB9">
        <v>2</v>
      </c>
      <c r="AC9">
        <v>0.66890000000000704</v>
      </c>
      <c r="AD9">
        <v>-0.19283539999999999</v>
      </c>
      <c r="AE9">
        <v>-1.4499999999998099E-2</v>
      </c>
      <c r="AF9">
        <v>1.28003337800914E-2</v>
      </c>
      <c r="AG9">
        <v>-0.19283539999999999</v>
      </c>
      <c r="AH9">
        <v>0.61760841822777501</v>
      </c>
      <c r="AI9">
        <v>107.33638987738</v>
      </c>
      <c r="AJ9">
        <v>88.812677911452695</v>
      </c>
      <c r="AK9">
        <v>0.64713947360971302</v>
      </c>
      <c r="AL9">
        <v>73.941498579462305</v>
      </c>
      <c r="AM9">
        <v>91.651038139849604</v>
      </c>
      <c r="AN9">
        <v>0.99999999667046302</v>
      </c>
    </row>
    <row r="10" spans="1:40" x14ac:dyDescent="0.25">
      <c r="A10" t="str">
        <f>"20190304164101443"</f>
        <v>20190304164101443</v>
      </c>
      <c r="B10" t="str">
        <f>"1551688861431890"</f>
        <v>1551688861431890</v>
      </c>
      <c r="C10" t="s">
        <v>40</v>
      </c>
      <c r="D10">
        <v>4.5313720000000002</v>
      </c>
      <c r="E10">
        <v>0.53997530000000005</v>
      </c>
      <c r="F10" t="s">
        <v>41</v>
      </c>
      <c r="G10">
        <v>-475.83370000000002</v>
      </c>
      <c r="H10">
        <v>0.91348949999999995</v>
      </c>
      <c r="I10">
        <v>367.20229999999998</v>
      </c>
      <c r="J10">
        <v>-476.5016</v>
      </c>
      <c r="K10">
        <v>1.109076</v>
      </c>
      <c r="L10">
        <v>367.21600000000001</v>
      </c>
      <c r="M10">
        <v>0.9999962</v>
      </c>
      <c r="N10">
        <v>-2.5520790000000001E-3</v>
      </c>
      <c r="O10">
        <v>-1.163652E-3</v>
      </c>
      <c r="P10">
        <v>0.96203950000000005</v>
      </c>
      <c r="Q10">
        <v>0.27157979999999998</v>
      </c>
      <c r="R10">
        <v>2.6920400000000001E-2</v>
      </c>
      <c r="S10">
        <v>3.395966</v>
      </c>
      <c r="T10">
        <v>-0.96290640000000005</v>
      </c>
      <c r="U10">
        <v>-6.8054199999999995E-2</v>
      </c>
      <c r="V10">
        <v>-2.7972199999999999E-2</v>
      </c>
      <c r="W10">
        <v>0.27404109999999998</v>
      </c>
      <c r="X10">
        <v>0.96131109999999997</v>
      </c>
      <c r="Y10">
        <v>1.8193649999999999E-2</v>
      </c>
      <c r="Z10">
        <v>-2.2323E-3</v>
      </c>
      <c r="AA10">
        <v>0.99983200000000005</v>
      </c>
      <c r="AB10">
        <v>2</v>
      </c>
      <c r="AC10">
        <v>0.66789999999997396</v>
      </c>
      <c r="AD10">
        <v>-0.195586499999999</v>
      </c>
      <c r="AE10">
        <v>-1.37000000000284E-2</v>
      </c>
      <c r="AF10">
        <v>1.19025242143395E-2</v>
      </c>
      <c r="AG10">
        <v>-0.195586499999999</v>
      </c>
      <c r="AH10">
        <v>0.61518319879452699</v>
      </c>
      <c r="AI10">
        <v>107.634036269877</v>
      </c>
      <c r="AJ10">
        <v>88.891583308230693</v>
      </c>
      <c r="AK10">
        <v>0.64563621114679504</v>
      </c>
      <c r="AL10">
        <v>74.095121853922905</v>
      </c>
      <c r="AM10">
        <v>91.666720487765303</v>
      </c>
      <c r="AN10">
        <v>0.99999999972262898</v>
      </c>
    </row>
    <row r="11" spans="1:40" x14ac:dyDescent="0.25">
      <c r="A11" t="str">
        <f>"20190304164101464"</f>
        <v>20190304164101464</v>
      </c>
      <c r="B11" t="str">
        <f>"1551688861451918"</f>
        <v>1551688861451918</v>
      </c>
      <c r="C11" t="s">
        <v>40</v>
      </c>
      <c r="D11">
        <v>4.5581250000000004</v>
      </c>
      <c r="E11">
        <v>0.53993080000000004</v>
      </c>
      <c r="F11" t="s">
        <v>41</v>
      </c>
      <c r="G11">
        <v>-475.80990000000003</v>
      </c>
      <c r="H11">
        <v>0.91178369999999997</v>
      </c>
      <c r="I11">
        <v>367.20190000000002</v>
      </c>
      <c r="J11">
        <v>-476.47519999999997</v>
      </c>
      <c r="K11">
        <v>1.109024</v>
      </c>
      <c r="L11">
        <v>367.21570000000003</v>
      </c>
      <c r="M11">
        <v>0.99999709999999997</v>
      </c>
      <c r="N11">
        <v>-1.897768E-3</v>
      </c>
      <c r="O11">
        <v>-1.409375E-3</v>
      </c>
      <c r="P11">
        <v>0.96198479999999997</v>
      </c>
      <c r="Q11">
        <v>0.27173649999999999</v>
      </c>
      <c r="R11">
        <v>2.7283769999999999E-2</v>
      </c>
      <c r="S11">
        <v>3.3933719999999998</v>
      </c>
      <c r="T11">
        <v>-0.96769430000000001</v>
      </c>
      <c r="U11">
        <v>-6.5582280000000007E-2</v>
      </c>
      <c r="V11">
        <v>-2.857026E-2</v>
      </c>
      <c r="W11">
        <v>0.2735687</v>
      </c>
      <c r="X11">
        <v>0.96142799999999995</v>
      </c>
      <c r="Y11">
        <v>1.727602E-2</v>
      </c>
      <c r="Z11">
        <v>-2.040278E-3</v>
      </c>
      <c r="AA11">
        <v>0.99984870000000003</v>
      </c>
      <c r="AB11">
        <v>3</v>
      </c>
      <c r="AC11">
        <v>0.66529999999994505</v>
      </c>
      <c r="AD11">
        <v>-0.19724030000000001</v>
      </c>
      <c r="AE11">
        <v>-1.3800000000003299E-2</v>
      </c>
      <c r="AF11">
        <v>1.18235612577392E-2</v>
      </c>
      <c r="AG11">
        <v>-0.19724030000000001</v>
      </c>
      <c r="AH11">
        <v>0.61158741016503004</v>
      </c>
      <c r="AI11">
        <v>107.87166954857599</v>
      </c>
      <c r="AJ11">
        <v>88.892462844859494</v>
      </c>
      <c r="AK11">
        <v>0.64271509459267695</v>
      </c>
      <c r="AL11">
        <v>74.123262947612801</v>
      </c>
      <c r="AM11">
        <v>91.702128213793799</v>
      </c>
      <c r="AN11">
        <v>0.99999994628007705</v>
      </c>
    </row>
    <row r="12" spans="1:40" x14ac:dyDescent="0.25">
      <c r="A12" t="str">
        <f>"20190304164101477"</f>
        <v>20190304164101477</v>
      </c>
      <c r="B12" t="str">
        <f>"1551688861471438"</f>
        <v>1551688861471438</v>
      </c>
      <c r="C12" t="s">
        <v>40</v>
      </c>
      <c r="D12">
        <v>4.5597919999999998</v>
      </c>
      <c r="E12">
        <v>0.54000719999999902</v>
      </c>
      <c r="F12" t="s">
        <v>41</v>
      </c>
      <c r="G12">
        <v>-475.78309999999999</v>
      </c>
      <c r="H12">
        <v>0.91173570000000004</v>
      </c>
      <c r="I12">
        <v>367.20269999999999</v>
      </c>
      <c r="J12">
        <v>-476.45620000000002</v>
      </c>
      <c r="K12">
        <v>1.1089990000000001</v>
      </c>
      <c r="L12">
        <v>367.21550000000002</v>
      </c>
      <c r="M12">
        <v>0.99999780000000005</v>
      </c>
      <c r="N12">
        <v>-1.4886140000000001E-3</v>
      </c>
      <c r="O12">
        <v>-1.5833819999999999E-3</v>
      </c>
      <c r="P12">
        <v>0.96171879999999998</v>
      </c>
      <c r="Q12">
        <v>0.27267590000000003</v>
      </c>
      <c r="R12">
        <v>2.729875E-2</v>
      </c>
      <c r="S12">
        <v>3.393494</v>
      </c>
      <c r="T12">
        <v>-0.96707069999999995</v>
      </c>
      <c r="U12">
        <v>-6.2042239999999999E-2</v>
      </c>
      <c r="V12">
        <v>-2.8751280000000001E-2</v>
      </c>
      <c r="W12">
        <v>0.27411449999999998</v>
      </c>
      <c r="X12">
        <v>0.96126719999999999</v>
      </c>
      <c r="Y12">
        <v>1.611404E-2</v>
      </c>
      <c r="Z12">
        <v>-1.8232369999999999E-3</v>
      </c>
      <c r="AA12">
        <v>0.99986850000000005</v>
      </c>
      <c r="AB12">
        <v>3</v>
      </c>
      <c r="AC12">
        <v>0.67310000000003301</v>
      </c>
      <c r="AD12">
        <v>-0.1972633</v>
      </c>
      <c r="AE12">
        <v>-1.2800000000027E-2</v>
      </c>
      <c r="AF12">
        <v>1.0806401839894401E-2</v>
      </c>
      <c r="AG12">
        <v>-0.1972633</v>
      </c>
      <c r="AH12">
        <v>0.61989685658108096</v>
      </c>
      <c r="AI12">
        <v>107.649572311643</v>
      </c>
      <c r="AJ12">
        <v>89.0012878722669</v>
      </c>
      <c r="AK12">
        <v>0.65061640053623004</v>
      </c>
      <c r="AL12">
        <v>74.090749100898094</v>
      </c>
      <c r="AM12">
        <v>91.713192786903093</v>
      </c>
      <c r="AN12">
        <v>1.0000000125038599</v>
      </c>
    </row>
    <row r="13" spans="1:40" x14ac:dyDescent="0.25">
      <c r="A13" t="str">
        <f>"20190304164101495"</f>
        <v>20190304164101495</v>
      </c>
      <c r="B13" t="str">
        <f>"1551688861491934"</f>
        <v>1551688861491934</v>
      </c>
      <c r="C13" t="s">
        <v>40</v>
      </c>
      <c r="D13">
        <v>4.5359489999999996</v>
      </c>
      <c r="E13">
        <v>0.53999280000000005</v>
      </c>
      <c r="F13" t="s">
        <v>41</v>
      </c>
      <c r="G13">
        <v>-475.78059999999999</v>
      </c>
      <c r="H13">
        <v>0.91759310000000005</v>
      </c>
      <c r="I13">
        <v>367.20269999999999</v>
      </c>
      <c r="J13">
        <v>-476.4307</v>
      </c>
      <c r="K13">
        <v>1.1089719999999901</v>
      </c>
      <c r="L13">
        <v>367.21519999999998</v>
      </c>
      <c r="M13">
        <v>0.9999979</v>
      </c>
      <c r="N13">
        <v>-9.9013119999999898E-4</v>
      </c>
      <c r="O13">
        <v>-1.810819E-3</v>
      </c>
      <c r="P13">
        <v>0.96107350000000002</v>
      </c>
      <c r="Q13">
        <v>0.2749414</v>
      </c>
      <c r="R13">
        <v>2.7297149999999999E-2</v>
      </c>
      <c r="S13">
        <v>3.3937379999999999</v>
      </c>
      <c r="T13">
        <v>-0.96131009999999995</v>
      </c>
      <c r="U13">
        <v>-6.2347409999999999E-2</v>
      </c>
      <c r="V13">
        <v>-2.89669E-2</v>
      </c>
      <c r="W13">
        <v>0.27590009999999998</v>
      </c>
      <c r="X13">
        <v>0.96074970000000004</v>
      </c>
      <c r="Y13">
        <v>1.5996929999999999E-2</v>
      </c>
      <c r="Z13">
        <v>-1.728596E-3</v>
      </c>
      <c r="AA13">
        <v>0.9998705</v>
      </c>
      <c r="AB13">
        <v>3</v>
      </c>
      <c r="AC13">
        <v>0.650100000000009</v>
      </c>
      <c r="AD13">
        <v>-0.19137889999999899</v>
      </c>
      <c r="AE13">
        <v>-1.24999999999886E-2</v>
      </c>
      <c r="AF13">
        <v>1.0420076528653901E-2</v>
      </c>
      <c r="AG13">
        <v>-0.19137889999999899</v>
      </c>
      <c r="AH13">
        <v>0.598291688270575</v>
      </c>
      <c r="AI13">
        <v>107.735683663549</v>
      </c>
      <c r="AJ13">
        <v>89.002215700850797</v>
      </c>
      <c r="AK13">
        <v>0.62824151853704202</v>
      </c>
      <c r="AL13">
        <v>73.984338025348904</v>
      </c>
      <c r="AM13">
        <v>91.726962270791702</v>
      </c>
      <c r="AN13">
        <v>0.99999996626285403</v>
      </c>
    </row>
    <row r="14" spans="1:40" x14ac:dyDescent="0.25">
      <c r="A14" t="str">
        <f>"20190304164101509"</f>
        <v>20190304164101509</v>
      </c>
      <c r="B14" t="str">
        <f>"1551688861501694"</f>
        <v>1551688861501694</v>
      </c>
      <c r="C14" t="s">
        <v>40</v>
      </c>
      <c r="D14">
        <v>4.7519519999999904</v>
      </c>
      <c r="E14">
        <v>0.53999280000000005</v>
      </c>
      <c r="F14" t="s">
        <v>41</v>
      </c>
      <c r="G14">
        <v>-475.75099999999998</v>
      </c>
      <c r="H14">
        <v>0.91850290000000001</v>
      </c>
      <c r="I14">
        <v>367.20240000000001</v>
      </c>
      <c r="J14">
        <v>-476.41079999999999</v>
      </c>
      <c r="K14">
        <v>1.108957</v>
      </c>
      <c r="L14">
        <v>367.21499999999997</v>
      </c>
      <c r="M14">
        <v>0.99999800000000005</v>
      </c>
      <c r="N14">
        <v>-6.4064730000000004E-4</v>
      </c>
      <c r="O14">
        <v>-1.9682219999999999E-3</v>
      </c>
      <c r="P14">
        <v>0.96080429999999994</v>
      </c>
      <c r="Q14">
        <v>0.27588079999999998</v>
      </c>
      <c r="R14">
        <v>2.7302460000000001E-2</v>
      </c>
      <c r="S14">
        <v>3.395508</v>
      </c>
      <c r="T14">
        <v>-0.95158100000000001</v>
      </c>
      <c r="U14">
        <v>-6.2896729999999998E-2</v>
      </c>
      <c r="V14">
        <v>-2.912611E-2</v>
      </c>
      <c r="W14">
        <v>0.27650370000000002</v>
      </c>
      <c r="X14">
        <v>0.96057130000000002</v>
      </c>
      <c r="Y14">
        <v>1.6009809999999999E-2</v>
      </c>
      <c r="Z14">
        <v>-1.666121E-3</v>
      </c>
      <c r="AA14">
        <v>0.99987040000000005</v>
      </c>
      <c r="AB14">
        <v>3</v>
      </c>
      <c r="AC14">
        <v>0.65980000000001804</v>
      </c>
      <c r="AD14">
        <v>-0.19045409999999999</v>
      </c>
      <c r="AE14">
        <v>-1.25999999999635E-2</v>
      </c>
      <c r="AF14">
        <v>1.04324169883623E-2</v>
      </c>
      <c r="AG14">
        <v>-0.19045409999999999</v>
      </c>
      <c r="AH14">
        <v>0.60909171035731202</v>
      </c>
      <c r="AI14">
        <v>107.361309635498</v>
      </c>
      <c r="AJ14">
        <v>89.018743790418995</v>
      </c>
      <c r="AK14">
        <v>0.63825881204807899</v>
      </c>
      <c r="AL14">
        <v>73.948353829111099</v>
      </c>
      <c r="AM14">
        <v>91.736770632797899</v>
      </c>
      <c r="AN14">
        <v>0.99999992439055296</v>
      </c>
    </row>
    <row r="15" spans="1:40" x14ac:dyDescent="0.25">
      <c r="A15" t="str">
        <f>"20190304164101522"</f>
        <v>20190304164101522</v>
      </c>
      <c r="B15" t="str">
        <f>"1551688861511455"</f>
        <v>1551688861511455</v>
      </c>
      <c r="C15" t="s">
        <v>40</v>
      </c>
      <c r="D15">
        <v>4.675967</v>
      </c>
      <c r="E15">
        <v>0.53832349999999995</v>
      </c>
      <c r="F15" t="s">
        <v>41</v>
      </c>
      <c r="G15">
        <v>-475.72050000000002</v>
      </c>
      <c r="H15">
        <v>0.91622219999999999</v>
      </c>
      <c r="I15">
        <v>367.20179999999999</v>
      </c>
      <c r="J15">
        <v>-476.38990000000001</v>
      </c>
      <c r="K15">
        <v>1.108941</v>
      </c>
      <c r="L15">
        <v>367.21480000000003</v>
      </c>
      <c r="M15">
        <v>0.99999769999999999</v>
      </c>
      <c r="N15">
        <v>-3.0966879999999998E-4</v>
      </c>
      <c r="O15">
        <v>-2.1171089999999998E-3</v>
      </c>
      <c r="P15">
        <v>0.96065089999999997</v>
      </c>
      <c r="Q15">
        <v>0.27644590000000002</v>
      </c>
      <c r="R15">
        <v>2.6973730000000001E-2</v>
      </c>
      <c r="S15">
        <v>3.396423</v>
      </c>
      <c r="T15">
        <v>-0.94806979999999996</v>
      </c>
      <c r="U15">
        <v>-6.3446039999999995E-2</v>
      </c>
      <c r="V15">
        <v>-2.8945800000000001E-2</v>
      </c>
      <c r="W15">
        <v>0.27674979999999999</v>
      </c>
      <c r="X15">
        <v>0.96050599999999997</v>
      </c>
      <c r="Y15">
        <v>1.6027739999999999E-2</v>
      </c>
      <c r="Z15">
        <v>-1.6181779999999901E-3</v>
      </c>
      <c r="AA15">
        <v>0.99987020000000004</v>
      </c>
      <c r="AB15">
        <v>3</v>
      </c>
      <c r="AC15">
        <v>0.669399999999996</v>
      </c>
      <c r="AD15">
        <v>-0.1927188</v>
      </c>
      <c r="AE15">
        <v>-1.3000000000033599E-2</v>
      </c>
      <c r="AF15">
        <v>1.06965288269893E-2</v>
      </c>
      <c r="AG15">
        <v>-0.1927188</v>
      </c>
      <c r="AH15">
        <v>0.61820529870832297</v>
      </c>
      <c r="AI15">
        <v>107.31186512764501</v>
      </c>
      <c r="AJ15">
        <v>89.008735755087201</v>
      </c>
      <c r="AK15">
        <v>0.64763627365476795</v>
      </c>
      <c r="AL15">
        <v>73.933682722559297</v>
      </c>
      <c r="AM15">
        <v>91.726142663776997</v>
      </c>
      <c r="AN15">
        <v>1.0000000435868299</v>
      </c>
    </row>
    <row r="16" spans="1:40" x14ac:dyDescent="0.25">
      <c r="A16" t="str">
        <f>"20190304164101540"</f>
        <v>20190304164101540</v>
      </c>
      <c r="B16" t="str">
        <f>"1551688861530974"</f>
        <v>1551688861530974</v>
      </c>
      <c r="C16" t="s">
        <v>40</v>
      </c>
      <c r="D16">
        <v>4.5562339999999999</v>
      </c>
      <c r="E16">
        <v>0.53868039999999995</v>
      </c>
      <c r="F16" t="s">
        <v>41</v>
      </c>
      <c r="G16">
        <v>-475.69049999999999</v>
      </c>
      <c r="H16">
        <v>0.92039040000000005</v>
      </c>
      <c r="I16">
        <v>367.20310000000001</v>
      </c>
      <c r="J16">
        <v>-476.36329999999998</v>
      </c>
      <c r="K16">
        <v>1.1093379999999999</v>
      </c>
      <c r="L16">
        <v>367.21440000000001</v>
      </c>
      <c r="M16">
        <v>0.99999680000000002</v>
      </c>
      <c r="N16">
        <v>-1.316549E-3</v>
      </c>
      <c r="O16">
        <v>-2.251191E-3</v>
      </c>
      <c r="P16">
        <v>0.96118959999999998</v>
      </c>
      <c r="Q16">
        <v>0.274617</v>
      </c>
      <c r="R16">
        <v>2.6467540000000001E-2</v>
      </c>
      <c r="S16">
        <v>3.3871769999999999</v>
      </c>
      <c r="T16">
        <v>-0.91290890000000002</v>
      </c>
      <c r="U16">
        <v>-5.4992680000000002E-2</v>
      </c>
      <c r="V16">
        <v>-2.8596409999999999E-2</v>
      </c>
      <c r="W16">
        <v>0.27588600000000002</v>
      </c>
      <c r="X16">
        <v>0.96076490000000003</v>
      </c>
      <c r="Y16">
        <v>1.357527E-2</v>
      </c>
      <c r="Z16">
        <v>-1.21316E-3</v>
      </c>
      <c r="AA16">
        <v>0.99990710000000005</v>
      </c>
      <c r="AB16">
        <v>4</v>
      </c>
      <c r="AC16">
        <v>0.67279999999999496</v>
      </c>
      <c r="AD16">
        <v>-0.18894759999999899</v>
      </c>
      <c r="AE16">
        <v>-1.1300000000005601E-2</v>
      </c>
      <c r="AF16">
        <v>9.0702054149727797E-3</v>
      </c>
      <c r="AG16">
        <v>-0.18894759999999899</v>
      </c>
      <c r="AH16">
        <v>0.62365041514715402</v>
      </c>
      <c r="AI16">
        <v>106.853572582334</v>
      </c>
      <c r="AJ16">
        <v>89.166764199349103</v>
      </c>
      <c r="AK16">
        <v>0.65170799019595205</v>
      </c>
      <c r="AL16">
        <v>73.985179340706196</v>
      </c>
      <c r="AM16">
        <v>91.704860387136094</v>
      </c>
      <c r="AN16">
        <v>1.00000001636644</v>
      </c>
    </row>
    <row r="17" spans="1:40" x14ac:dyDescent="0.25">
      <c r="A17" t="str">
        <f>"20190304164101554"</f>
        <v>20190304164101554</v>
      </c>
      <c r="B17" t="str">
        <f>"1551688861541710"</f>
        <v>1551688861541710</v>
      </c>
      <c r="C17" t="s">
        <v>40</v>
      </c>
      <c r="D17">
        <v>4.5477540000000003</v>
      </c>
      <c r="E17">
        <v>0.53873530000000003</v>
      </c>
      <c r="F17" t="s">
        <v>41</v>
      </c>
      <c r="G17">
        <v>-475.68819999999999</v>
      </c>
      <c r="H17">
        <v>0.92589410000000005</v>
      </c>
      <c r="I17">
        <v>367.20209999999997</v>
      </c>
      <c r="J17">
        <v>-476.34719999999999</v>
      </c>
      <c r="K17">
        <v>1.1097129999999999</v>
      </c>
      <c r="L17">
        <v>367.21429999999998</v>
      </c>
      <c r="M17">
        <v>0.9999941</v>
      </c>
      <c r="N17">
        <v>-2.4993139999999999E-3</v>
      </c>
      <c r="O17">
        <v>-2.3175019999999999E-3</v>
      </c>
      <c r="P17">
        <v>0.96165160000000005</v>
      </c>
      <c r="Q17">
        <v>0.27300770000000002</v>
      </c>
      <c r="R17">
        <v>2.6327489999999999E-2</v>
      </c>
      <c r="S17">
        <v>3.3855900000000001</v>
      </c>
      <c r="T17">
        <v>-0.91978780000000004</v>
      </c>
      <c r="U17">
        <v>-6.0394290000000003E-2</v>
      </c>
      <c r="V17">
        <v>-2.854226E-2</v>
      </c>
      <c r="W17">
        <v>0.27541149999999998</v>
      </c>
      <c r="X17">
        <v>0.96090260000000005</v>
      </c>
      <c r="Y17">
        <v>1.505048E-2</v>
      </c>
      <c r="Z17">
        <v>-1.4143750000000001E-3</v>
      </c>
      <c r="AA17">
        <v>0.99988569999999999</v>
      </c>
      <c r="AB17">
        <v>4</v>
      </c>
      <c r="AC17">
        <v>0.65899999999999104</v>
      </c>
      <c r="AD17">
        <v>-0.18381889999999901</v>
      </c>
      <c r="AE17">
        <v>-1.2200000000007E-2</v>
      </c>
      <c r="AF17">
        <v>9.9025231384581094E-3</v>
      </c>
      <c r="AG17">
        <v>-0.18381889999999901</v>
      </c>
      <c r="AH17">
        <v>0.61146736727881601</v>
      </c>
      <c r="AI17">
        <v>106.729721749595</v>
      </c>
      <c r="AJ17">
        <v>89.072193841729501</v>
      </c>
      <c r="AK17">
        <v>0.63857637695784197</v>
      </c>
      <c r="AL17">
        <v>74.013461315076796</v>
      </c>
      <c r="AM17">
        <v>91.701390267435698</v>
      </c>
      <c r="AN17">
        <v>0.999999980812458</v>
      </c>
    </row>
    <row r="18" spans="1:40" x14ac:dyDescent="0.25">
      <c r="A18" t="str">
        <f>"20190304164101568"</f>
        <v>20190304164101568</v>
      </c>
      <c r="B18" t="str">
        <f>"1551688861561230"</f>
        <v>1551688861561230</v>
      </c>
      <c r="C18" t="s">
        <v>40</v>
      </c>
      <c r="D18">
        <v>4.5562230000000001</v>
      </c>
      <c r="E18">
        <v>0.54047539999999905</v>
      </c>
      <c r="F18" t="s">
        <v>41</v>
      </c>
      <c r="G18">
        <v>-475.66460000000001</v>
      </c>
      <c r="H18">
        <v>0.92261839999999995</v>
      </c>
      <c r="I18">
        <v>367.20179999999999</v>
      </c>
      <c r="J18">
        <v>-476.33120000000002</v>
      </c>
      <c r="K18">
        <v>1.1101129999999999</v>
      </c>
      <c r="L18">
        <v>367.21409999999997</v>
      </c>
      <c r="M18">
        <v>0.99998989999999999</v>
      </c>
      <c r="N18">
        <v>-3.8569780000000001E-3</v>
      </c>
      <c r="O18">
        <v>-2.3727039999999998E-3</v>
      </c>
      <c r="P18">
        <v>0.96208819999999995</v>
      </c>
      <c r="Q18">
        <v>0.27147080000000001</v>
      </c>
      <c r="R18">
        <v>2.6275409999999999E-2</v>
      </c>
      <c r="S18">
        <v>3.384674</v>
      </c>
      <c r="T18">
        <v>-0.92761179999999999</v>
      </c>
      <c r="U18">
        <v>-6.1096190000000002E-2</v>
      </c>
      <c r="V18">
        <v>-2.8565779999999999E-2</v>
      </c>
      <c r="W18">
        <v>0.275178599999999</v>
      </c>
      <c r="X18">
        <v>0.96096859999999995</v>
      </c>
      <c r="Y18">
        <v>1.519232E-2</v>
      </c>
      <c r="Z18">
        <v>-1.4443570000000001E-3</v>
      </c>
      <c r="AA18">
        <v>0.99988350000000004</v>
      </c>
      <c r="AB18">
        <v>3</v>
      </c>
      <c r="AC18">
        <v>0.66660000000001596</v>
      </c>
      <c r="AD18">
        <v>-0.18749459999999901</v>
      </c>
      <c r="AE18">
        <v>-1.22999999999819E-2</v>
      </c>
      <c r="AF18">
        <v>9.9327674943475407E-3</v>
      </c>
      <c r="AG18">
        <v>-0.18749459999999901</v>
      </c>
      <c r="AH18">
        <v>0.61777038049081301</v>
      </c>
      <c r="AI18">
        <v>106.881095578612</v>
      </c>
      <c r="AJ18">
        <v>89.078854148672207</v>
      </c>
      <c r="AK18">
        <v>0.64567261666499498</v>
      </c>
      <c r="AL18">
        <v>74.027341474098094</v>
      </c>
      <c r="AM18">
        <v>91.702674578091901</v>
      </c>
      <c r="AN18">
        <v>0.99999995793546304</v>
      </c>
    </row>
    <row r="19" spans="1:40" x14ac:dyDescent="0.25">
      <c r="A19" t="str">
        <f>"20190304164101579"</f>
        <v>20190304164101579</v>
      </c>
      <c r="B19" t="str">
        <f>"1551688861571966"</f>
        <v>1551688861571966</v>
      </c>
      <c r="C19" t="s">
        <v>40</v>
      </c>
      <c r="D19">
        <v>4.5575570000000001</v>
      </c>
      <c r="E19">
        <v>0.54039879999999996</v>
      </c>
      <c r="F19" t="s">
        <v>41</v>
      </c>
      <c r="G19">
        <v>-475.6454</v>
      </c>
      <c r="H19">
        <v>0.91589880000000001</v>
      </c>
      <c r="I19">
        <v>367.19900000000001</v>
      </c>
      <c r="J19">
        <v>-476.31670000000003</v>
      </c>
      <c r="K19">
        <v>1.1105069999999999</v>
      </c>
      <c r="L19">
        <v>367.214</v>
      </c>
      <c r="M19">
        <v>0.99998310000000001</v>
      </c>
      <c r="N19">
        <v>-5.331148E-3</v>
      </c>
      <c r="O19">
        <v>-2.4072130000000001E-3</v>
      </c>
      <c r="P19">
        <v>0.96240230000000004</v>
      </c>
      <c r="Q19">
        <v>0.27037430000000001</v>
      </c>
      <c r="R19">
        <v>2.6079370000000001E-2</v>
      </c>
      <c r="S19">
        <v>3.3911440000000002</v>
      </c>
      <c r="T19">
        <v>-0.96017589999999997</v>
      </c>
      <c r="U19">
        <v>-7.2967530000000003E-2</v>
      </c>
      <c r="V19">
        <v>-2.8424689999999999E-2</v>
      </c>
      <c r="W19">
        <v>0.27549770000000001</v>
      </c>
      <c r="X19">
        <v>0.9608814</v>
      </c>
      <c r="Y19">
        <v>1.845697E-2</v>
      </c>
      <c r="Z19">
        <v>-1.9567180000000001E-3</v>
      </c>
      <c r="AA19">
        <v>0.99982769999999999</v>
      </c>
      <c r="AB19">
        <v>3</v>
      </c>
      <c r="AC19">
        <v>0.67130000000002998</v>
      </c>
      <c r="AD19">
        <v>-0.19460819999999901</v>
      </c>
      <c r="AE19">
        <v>-1.49999999999863E-2</v>
      </c>
      <c r="AF19">
        <v>1.23468530994512E-2</v>
      </c>
      <c r="AG19">
        <v>-0.19460819999999901</v>
      </c>
      <c r="AH19">
        <v>0.61931274277392101</v>
      </c>
      <c r="AI19">
        <v>107.441158727635</v>
      </c>
      <c r="AJ19">
        <v>88.857880966281797</v>
      </c>
      <c r="AK19">
        <v>0.64928658514623305</v>
      </c>
      <c r="AL19">
        <v>74.008324065898194</v>
      </c>
      <c r="AM19">
        <v>91.694423432112899</v>
      </c>
      <c r="AN19">
        <v>1.00000000528642</v>
      </c>
    </row>
    <row r="20" spans="1:40" x14ac:dyDescent="0.25">
      <c r="A20" t="str">
        <f>"20190304164101597"</f>
        <v>20190304164101597</v>
      </c>
      <c r="B20" t="str">
        <f>"1551688861591487"</f>
        <v>1551688861591487</v>
      </c>
      <c r="C20" t="s">
        <v>40</v>
      </c>
      <c r="D20">
        <v>4.5403630000000001</v>
      </c>
      <c r="E20">
        <v>0.5402342</v>
      </c>
      <c r="F20" t="s">
        <v>41</v>
      </c>
      <c r="G20">
        <v>-475.64389999999997</v>
      </c>
      <c r="H20">
        <v>0.91938839999999999</v>
      </c>
      <c r="I20">
        <v>367.19909999999999</v>
      </c>
      <c r="J20">
        <v>-476.29930000000002</v>
      </c>
      <c r="K20">
        <v>1.110911</v>
      </c>
      <c r="L20">
        <v>367.21390000000002</v>
      </c>
      <c r="M20">
        <v>0.99997170000000002</v>
      </c>
      <c r="N20">
        <v>-7.1278940000000001E-3</v>
      </c>
      <c r="O20">
        <v>-2.4014409999999998E-3</v>
      </c>
      <c r="P20">
        <v>0.96263770000000004</v>
      </c>
      <c r="Q20">
        <v>0.2695015</v>
      </c>
      <c r="R20">
        <v>2.6416800000000001E-2</v>
      </c>
      <c r="S20">
        <v>3.389618</v>
      </c>
      <c r="T20">
        <v>-0.96264079999999996</v>
      </c>
      <c r="U20">
        <v>-7.3272710000000005E-2</v>
      </c>
      <c r="V20">
        <v>-2.878023E-2</v>
      </c>
      <c r="W20">
        <v>0.2763507</v>
      </c>
      <c r="X20">
        <v>0.96062579999999997</v>
      </c>
      <c r="Y20">
        <v>1.8548660000000002E-2</v>
      </c>
      <c r="Z20">
        <v>-1.998049E-3</v>
      </c>
      <c r="AA20">
        <v>0.99982599999999999</v>
      </c>
      <c r="AB20">
        <v>3</v>
      </c>
      <c r="AC20">
        <v>0.65540000000004195</v>
      </c>
      <c r="AD20">
        <v>-0.19152259999999999</v>
      </c>
      <c r="AE20">
        <v>-1.4800000000036499E-2</v>
      </c>
      <c r="AF20">
        <v>1.2185937704168599E-2</v>
      </c>
      <c r="AG20">
        <v>-0.19152259999999999</v>
      </c>
      <c r="AH20">
        <v>0.60389126522611603</v>
      </c>
      <c r="AI20">
        <v>107.592933230044</v>
      </c>
      <c r="AJ20">
        <v>88.843983850378095</v>
      </c>
      <c r="AK20">
        <v>0.63365137386806702</v>
      </c>
      <c r="AL20">
        <v>73.957476252092903</v>
      </c>
      <c r="AM20">
        <v>91.7160611391337</v>
      </c>
      <c r="AN20">
        <v>0.99999996932749102</v>
      </c>
    </row>
    <row r="21" spans="1:40" x14ac:dyDescent="0.25">
      <c r="A21" t="str">
        <f>"20190304164101611"</f>
        <v>20190304164101611</v>
      </c>
      <c r="B21" t="str">
        <f>"1551688861601246"</f>
        <v>1551688861601246</v>
      </c>
      <c r="C21" t="s">
        <v>40</v>
      </c>
      <c r="D21">
        <v>4.5324339999999896</v>
      </c>
      <c r="E21">
        <v>0.54025459999999903</v>
      </c>
      <c r="F21" t="s">
        <v>41</v>
      </c>
      <c r="G21">
        <v>-475.62400000000002</v>
      </c>
      <c r="H21">
        <v>0.9185584</v>
      </c>
      <c r="I21">
        <v>367.19959999999998</v>
      </c>
      <c r="J21">
        <v>-476.28429999999997</v>
      </c>
      <c r="K21">
        <v>1.11103</v>
      </c>
      <c r="L21">
        <v>367.21379999999999</v>
      </c>
      <c r="M21">
        <v>0.99996499999999999</v>
      </c>
      <c r="N21">
        <v>-8.0220669999999904E-3</v>
      </c>
      <c r="O21">
        <v>-2.37754E-3</v>
      </c>
      <c r="P21">
        <v>0.96269669999999896</v>
      </c>
      <c r="Q21">
        <v>0.26927469999999998</v>
      </c>
      <c r="R21">
        <v>2.6579060000000002E-2</v>
      </c>
      <c r="S21">
        <v>3.38855</v>
      </c>
      <c r="T21">
        <v>-0.96517909999999996</v>
      </c>
      <c r="U21">
        <v>-7.0190429999999998E-2</v>
      </c>
      <c r="V21">
        <v>-2.8930049999999999E-2</v>
      </c>
      <c r="W21">
        <v>0.27698159999999999</v>
      </c>
      <c r="X21">
        <v>0.96043959999999995</v>
      </c>
      <c r="Y21">
        <v>1.7697439999999998E-2</v>
      </c>
      <c r="Z21">
        <v>-1.898229E-3</v>
      </c>
      <c r="AA21">
        <v>0.9998416</v>
      </c>
      <c r="AB21">
        <v>2</v>
      </c>
      <c r="AC21">
        <v>0.66029999999994904</v>
      </c>
      <c r="AD21">
        <v>-0.19247159999999899</v>
      </c>
      <c r="AE21">
        <v>-1.42000000000166E-2</v>
      </c>
      <c r="AF21">
        <v>1.1641345723096899E-2</v>
      </c>
      <c r="AG21">
        <v>-0.19247159999999899</v>
      </c>
      <c r="AH21">
        <v>0.60864132275260996</v>
      </c>
      <c r="AI21">
        <v>107.545586516584</v>
      </c>
      <c r="AJ21">
        <v>88.904250116252499</v>
      </c>
      <c r="AK21">
        <v>0.63845524314461599</v>
      </c>
      <c r="AL21">
        <v>73.919860374665603</v>
      </c>
      <c r="AM21">
        <v>91.725323202012206</v>
      </c>
      <c r="AN21">
        <v>0.99999998988986105</v>
      </c>
    </row>
    <row r="22" spans="1:40" x14ac:dyDescent="0.25">
      <c r="A22" t="str">
        <f>"20190304164101624"</f>
        <v>20190304164101624</v>
      </c>
      <c r="B22" t="str">
        <f>"1551688861611008"</f>
        <v>1551688861611008</v>
      </c>
      <c r="C22" t="s">
        <v>40</v>
      </c>
      <c r="D22">
        <v>4.5496610000000004</v>
      </c>
      <c r="E22">
        <v>0.54018859999999902</v>
      </c>
      <c r="F22" t="s">
        <v>41</v>
      </c>
      <c r="G22">
        <v>-475.60270000000003</v>
      </c>
      <c r="H22">
        <v>0.91659469999999998</v>
      </c>
      <c r="I22">
        <v>367.19940000000003</v>
      </c>
      <c r="J22">
        <v>-476.26949999999999</v>
      </c>
      <c r="K22">
        <v>1.1110089999999999</v>
      </c>
      <c r="L22">
        <v>367.21379999999999</v>
      </c>
      <c r="M22">
        <v>0.99996160000000001</v>
      </c>
      <c r="N22">
        <v>-8.4548509999999993E-3</v>
      </c>
      <c r="O22">
        <v>-2.356459E-3</v>
      </c>
      <c r="P22">
        <v>0.96280809999999994</v>
      </c>
      <c r="Q22">
        <v>0.26882479999999997</v>
      </c>
      <c r="R22">
        <v>2.709489E-2</v>
      </c>
      <c r="S22">
        <v>3.3885190000000001</v>
      </c>
      <c r="T22">
        <v>-0.96649280000000004</v>
      </c>
      <c r="U22">
        <v>-6.9396970000000002E-2</v>
      </c>
      <c r="V22">
        <v>-2.9428619999999999E-2</v>
      </c>
      <c r="W22">
        <v>0.27694819999999998</v>
      </c>
      <c r="X22">
        <v>0.96043409999999996</v>
      </c>
      <c r="Y22">
        <v>1.7489359999999999E-2</v>
      </c>
      <c r="Z22">
        <v>-1.8812670000000001E-3</v>
      </c>
      <c r="AA22">
        <v>0.99984530000000005</v>
      </c>
      <c r="AB22">
        <v>2</v>
      </c>
      <c r="AC22">
        <v>0.66679999999996598</v>
      </c>
      <c r="AD22">
        <v>-0.19441429999999901</v>
      </c>
      <c r="AE22">
        <v>-1.43999999999664E-2</v>
      </c>
      <c r="AF22">
        <v>1.18239433826968E-2</v>
      </c>
      <c r="AG22">
        <v>-0.19441429999999901</v>
      </c>
      <c r="AH22">
        <v>0.61460909485112802</v>
      </c>
      <c r="AI22">
        <v>107.550254204981</v>
      </c>
      <c r="AJ22">
        <v>88.8978710215071</v>
      </c>
      <c r="AK22">
        <v>0.64473332871453903</v>
      </c>
      <c r="AL22">
        <v>73.921852210884495</v>
      </c>
      <c r="AM22">
        <v>91.755048403134495</v>
      </c>
      <c r="AN22">
        <v>1.0000000048005699</v>
      </c>
    </row>
    <row r="23" spans="1:40" x14ac:dyDescent="0.25">
      <c r="A23" t="str">
        <f>"20190304164101644"</f>
        <v>20190304164101644</v>
      </c>
      <c r="B23" t="str">
        <f>"1551688861631502"</f>
        <v>1551688861631502</v>
      </c>
      <c r="C23" t="s">
        <v>40</v>
      </c>
      <c r="D23">
        <v>4.5806250000000004</v>
      </c>
      <c r="E23">
        <v>0.54010609999999903</v>
      </c>
      <c r="F23" t="s">
        <v>41</v>
      </c>
      <c r="G23">
        <v>-475.57929999999999</v>
      </c>
      <c r="H23">
        <v>0.91372310000000001</v>
      </c>
      <c r="I23">
        <v>367.2</v>
      </c>
      <c r="J23">
        <v>-476.24560000000002</v>
      </c>
      <c r="K23">
        <v>1.1107560000000001</v>
      </c>
      <c r="L23">
        <v>367.21379999999999</v>
      </c>
      <c r="M23">
        <v>0.99996240000000003</v>
      </c>
      <c r="N23">
        <v>-8.3515180000000005E-3</v>
      </c>
      <c r="O23">
        <v>-2.3859250000000001E-3</v>
      </c>
      <c r="P23">
        <v>0.9628061</v>
      </c>
      <c r="Q23">
        <v>0.26883759999999901</v>
      </c>
      <c r="R23">
        <v>2.7033740000000001E-2</v>
      </c>
      <c r="S23">
        <v>3.388153</v>
      </c>
      <c r="T23">
        <v>-0.96840479999999995</v>
      </c>
      <c r="U23">
        <v>-6.7016599999999996E-2</v>
      </c>
      <c r="V23">
        <v>-2.938998E-2</v>
      </c>
      <c r="W23">
        <v>0.27686250000000001</v>
      </c>
      <c r="X23">
        <v>0.96045999999999998</v>
      </c>
      <c r="Y23">
        <v>1.6787779999999999E-2</v>
      </c>
      <c r="Z23">
        <v>-1.774416E-3</v>
      </c>
      <c r="AA23">
        <v>0.99985749999999995</v>
      </c>
      <c r="AB23">
        <v>2</v>
      </c>
      <c r="AC23">
        <v>0.66630000000003498</v>
      </c>
      <c r="AD23">
        <v>-0.19703289999999901</v>
      </c>
      <c r="AE23">
        <v>-1.3800000000003299E-2</v>
      </c>
      <c r="AF23">
        <v>1.12286857000171E-2</v>
      </c>
      <c r="AG23">
        <v>-0.19703289999999901</v>
      </c>
      <c r="AH23">
        <v>0.61276997852581605</v>
      </c>
      <c r="AI23">
        <v>107.822113404671</v>
      </c>
      <c r="AJ23">
        <v>88.950202641979502</v>
      </c>
      <c r="AK23">
        <v>0.64376633466459598</v>
      </c>
      <c r="AL23">
        <v>73.926962415979801</v>
      </c>
      <c r="AM23">
        <v>91.752698214201601</v>
      </c>
      <c r="AN23">
        <v>1.0000000132153199</v>
      </c>
    </row>
    <row r="24" spans="1:40" x14ac:dyDescent="0.25">
      <c r="A24" t="str">
        <f>"20190304164101665"</f>
        <v>20190304164101665</v>
      </c>
      <c r="B24" t="str">
        <f>"1551688861651022"</f>
        <v>1551688861651022</v>
      </c>
      <c r="C24" t="s">
        <v>40</v>
      </c>
      <c r="D24">
        <v>4.5875649999999997</v>
      </c>
      <c r="E24">
        <v>0.54012469999999901</v>
      </c>
      <c r="F24" t="s">
        <v>41</v>
      </c>
      <c r="G24">
        <v>-475.55470000000003</v>
      </c>
      <c r="H24">
        <v>0.91327970000000003</v>
      </c>
      <c r="I24">
        <v>367.2</v>
      </c>
      <c r="J24">
        <v>-476.21980000000002</v>
      </c>
      <c r="K24">
        <v>1.1105780000000001</v>
      </c>
      <c r="L24">
        <v>367.21370000000002</v>
      </c>
      <c r="M24">
        <v>0.9999614</v>
      </c>
      <c r="N24">
        <v>-8.429242E-3</v>
      </c>
      <c r="O24">
        <v>-2.469485E-3</v>
      </c>
      <c r="P24">
        <v>0.96301709999999996</v>
      </c>
      <c r="Q24">
        <v>0.26808480000000001</v>
      </c>
      <c r="R24">
        <v>2.6992430000000001E-2</v>
      </c>
      <c r="S24">
        <v>3.3880620000000001</v>
      </c>
      <c r="T24">
        <v>-0.96813439999999995</v>
      </c>
      <c r="U24">
        <v>-6.5490720000000002E-2</v>
      </c>
      <c r="V24">
        <v>-2.9411039999999999E-2</v>
      </c>
      <c r="W24">
        <v>0.27618799999999999</v>
      </c>
      <c r="X24">
        <v>0.96065350000000005</v>
      </c>
      <c r="Y24">
        <v>1.6278819999999999E-2</v>
      </c>
      <c r="Z24">
        <v>-1.6786730000000001E-3</v>
      </c>
      <c r="AA24">
        <v>0.99986609999999998</v>
      </c>
      <c r="AB24">
        <v>3</v>
      </c>
      <c r="AC24">
        <v>0.66509999999999503</v>
      </c>
      <c r="AD24">
        <v>-0.19729830000000001</v>
      </c>
      <c r="AE24">
        <v>-1.37000000000284E-2</v>
      </c>
      <c r="AF24">
        <v>1.1082611363609E-2</v>
      </c>
      <c r="AG24">
        <v>-0.19729830000000001</v>
      </c>
      <c r="AH24">
        <v>0.611356475761345</v>
      </c>
      <c r="AI24">
        <v>107.883290799953</v>
      </c>
      <c r="AJ24">
        <v>88.961461374250604</v>
      </c>
      <c r="AK24">
        <v>0.642499948570316</v>
      </c>
      <c r="AL24">
        <v>73.967176017852296</v>
      </c>
      <c r="AM24">
        <v>91.753600292148604</v>
      </c>
      <c r="AN24">
        <v>0.99999998384006505</v>
      </c>
    </row>
    <row r="25" spans="1:40" x14ac:dyDescent="0.25">
      <c r="A25" t="str">
        <f>"20190304164101680"</f>
        <v>20190304164101680</v>
      </c>
      <c r="B25" t="str">
        <f>"1551688861671518"</f>
        <v>1551688861671518</v>
      </c>
      <c r="C25" t="s">
        <v>40</v>
      </c>
      <c r="D25">
        <v>4.5599639999999999</v>
      </c>
      <c r="E25">
        <v>0.54007450000000001</v>
      </c>
      <c r="F25" t="s">
        <v>41</v>
      </c>
      <c r="G25">
        <v>-475.53129999999999</v>
      </c>
      <c r="H25">
        <v>0.9131553</v>
      </c>
      <c r="I25">
        <v>367.2004</v>
      </c>
      <c r="J25">
        <v>-476.2013</v>
      </c>
      <c r="K25">
        <v>1.110565</v>
      </c>
      <c r="L25">
        <v>367.21370000000002</v>
      </c>
      <c r="M25">
        <v>0.9999576</v>
      </c>
      <c r="N25">
        <v>-8.8588260000000002E-3</v>
      </c>
      <c r="O25">
        <v>-2.5381050000000001E-3</v>
      </c>
      <c r="P25">
        <v>0.96313040000000005</v>
      </c>
      <c r="Q25">
        <v>0.26769890000000002</v>
      </c>
      <c r="R25">
        <v>2.6784970000000002E-2</v>
      </c>
      <c r="S25">
        <v>3.387451</v>
      </c>
      <c r="T25">
        <v>-0.97134569999999998</v>
      </c>
      <c r="U25">
        <v>-6.5002439999999995E-2</v>
      </c>
      <c r="V25">
        <v>-2.925229E-2</v>
      </c>
      <c r="W25">
        <v>0.2762173</v>
      </c>
      <c r="X25">
        <v>0.96065</v>
      </c>
      <c r="Y25">
        <v>1.6075450000000002E-2</v>
      </c>
      <c r="Z25">
        <v>-1.6404449999999999E-3</v>
      </c>
      <c r="AA25">
        <v>0.99986940000000002</v>
      </c>
      <c r="AB25">
        <v>3</v>
      </c>
      <c r="AC25">
        <v>0.67000000000001503</v>
      </c>
      <c r="AD25">
        <v>-0.19740969999999999</v>
      </c>
      <c r="AE25">
        <v>-1.33000000000151E-2</v>
      </c>
      <c r="AF25">
        <v>1.06731513075263E-2</v>
      </c>
      <c r="AG25">
        <v>-0.19740969999999999</v>
      </c>
      <c r="AH25">
        <v>0.61652957882500403</v>
      </c>
      <c r="AI25">
        <v>107.752313988526</v>
      </c>
      <c r="AJ25">
        <v>89.008213935210406</v>
      </c>
      <c r="AK25">
        <v>0.64745133205443295</v>
      </c>
      <c r="AL25">
        <v>73.965430522711799</v>
      </c>
      <c r="AM25">
        <v>91.744147214100394</v>
      </c>
      <c r="AN25">
        <v>1.0000000578947601</v>
      </c>
    </row>
    <row r="26" spans="1:40" x14ac:dyDescent="0.25">
      <c r="A26" t="str">
        <f>"20190304164101698"</f>
        <v>20190304164101698</v>
      </c>
      <c r="B26" t="str">
        <f>"1551688861692015"</f>
        <v>1551688861692015</v>
      </c>
      <c r="C26" t="s">
        <v>40</v>
      </c>
      <c r="D26">
        <v>4.5653160000000002</v>
      </c>
      <c r="E26">
        <v>0.53997620000000002</v>
      </c>
      <c r="F26" t="s">
        <v>41</v>
      </c>
      <c r="G26">
        <v>-475.52940000000001</v>
      </c>
      <c r="H26">
        <v>0.91754869999999999</v>
      </c>
      <c r="I26">
        <v>367.20060000000001</v>
      </c>
      <c r="J26">
        <v>-476.1816</v>
      </c>
      <c r="K26">
        <v>1.1106069999999999</v>
      </c>
      <c r="L26">
        <v>367.21359999999999</v>
      </c>
      <c r="M26">
        <v>0.9999517</v>
      </c>
      <c r="N26">
        <v>-9.4868910000000008E-3</v>
      </c>
      <c r="O26">
        <v>-2.6027020000000001E-3</v>
      </c>
      <c r="P26">
        <v>0.96314290000000002</v>
      </c>
      <c r="Q26">
        <v>0.26759919999999998</v>
      </c>
      <c r="R26">
        <v>2.732277E-2</v>
      </c>
      <c r="S26">
        <v>3.3871150000000001</v>
      </c>
      <c r="T26">
        <v>-0.97307290000000002</v>
      </c>
      <c r="U26">
        <v>-6.5765379999999998E-2</v>
      </c>
      <c r="V26">
        <v>-2.9830880000000001E-2</v>
      </c>
      <c r="W26">
        <v>0.27672360000000001</v>
      </c>
      <c r="X26">
        <v>0.96048639999999996</v>
      </c>
      <c r="Y26">
        <v>1.622989E-2</v>
      </c>
      <c r="Z26">
        <v>-1.6548579999999999E-3</v>
      </c>
      <c r="AA26">
        <v>0.9998669</v>
      </c>
      <c r="AB26">
        <v>3</v>
      </c>
      <c r="AC26">
        <v>0.65219999999999301</v>
      </c>
      <c r="AD26">
        <v>-0.19305829999999999</v>
      </c>
      <c r="AE26">
        <v>-1.2999999999976799E-2</v>
      </c>
      <c r="AF26">
        <v>1.03921716314389E-2</v>
      </c>
      <c r="AG26">
        <v>-0.19305829999999999</v>
      </c>
      <c r="AH26">
        <v>0.59970488817106904</v>
      </c>
      <c r="AI26">
        <v>107.84200935319301</v>
      </c>
      <c r="AJ26">
        <v>89.007231728319795</v>
      </c>
      <c r="AK26">
        <v>0.63009956143960399</v>
      </c>
      <c r="AL26">
        <v>73.935243805096803</v>
      </c>
      <c r="AM26">
        <v>91.778926050857905</v>
      </c>
      <c r="AN26">
        <v>0.99999997839174604</v>
      </c>
    </row>
    <row r="27" spans="1:40" x14ac:dyDescent="0.25">
      <c r="A27" t="str">
        <f>"20190304164101714"</f>
        <v>20190304164101714</v>
      </c>
      <c r="B27" t="str">
        <f>"1551688861701775"</f>
        <v>1551688861701775</v>
      </c>
      <c r="C27" t="s">
        <v>40</v>
      </c>
      <c r="D27">
        <v>4.5900860000000003</v>
      </c>
      <c r="E27">
        <v>0.53995219999999999</v>
      </c>
      <c r="F27" t="s">
        <v>41</v>
      </c>
      <c r="G27">
        <v>-475.50760000000002</v>
      </c>
      <c r="H27">
        <v>0.91640330000000003</v>
      </c>
      <c r="I27">
        <v>367.2004</v>
      </c>
      <c r="J27">
        <v>-476.16419999999999</v>
      </c>
      <c r="K27">
        <v>1.110608</v>
      </c>
      <c r="L27">
        <v>367.21350000000001</v>
      </c>
      <c r="M27">
        <v>0.99994749999999999</v>
      </c>
      <c r="N27">
        <v>-9.9029129999999993E-3</v>
      </c>
      <c r="O27">
        <v>-2.6593860000000001E-3</v>
      </c>
      <c r="P27">
        <v>0.96314599999999995</v>
      </c>
      <c r="Q27">
        <v>0.26759369999999999</v>
      </c>
      <c r="R27">
        <v>2.72693E-2</v>
      </c>
      <c r="S27">
        <v>3.3877869999999999</v>
      </c>
      <c r="T27">
        <v>-0.97595810000000005</v>
      </c>
      <c r="U27">
        <v>-6.5002439999999995E-2</v>
      </c>
      <c r="V27">
        <v>-2.9814520000000001E-2</v>
      </c>
      <c r="W27">
        <v>0.27711999999999998</v>
      </c>
      <c r="X27">
        <v>0.96037260000000002</v>
      </c>
      <c r="Y27">
        <v>1.595367E-2</v>
      </c>
      <c r="Z27">
        <v>-1.607666E-3</v>
      </c>
      <c r="AA27">
        <v>0.99987139999999997</v>
      </c>
      <c r="AB27">
        <v>3</v>
      </c>
      <c r="AC27">
        <v>0.65659999999996899</v>
      </c>
      <c r="AD27">
        <v>-0.19420469999999901</v>
      </c>
      <c r="AE27">
        <v>-1.3100000000008501E-2</v>
      </c>
      <c r="AF27">
        <v>1.0440706903378E-2</v>
      </c>
      <c r="AG27">
        <v>-0.19420469999999901</v>
      </c>
      <c r="AH27">
        <v>0.60382944833569696</v>
      </c>
      <c r="AI27">
        <v>107.826425687279</v>
      </c>
      <c r="AJ27">
        <v>89.009407644689503</v>
      </c>
      <c r="AK27">
        <v>0.63437723520010103</v>
      </c>
      <c r="AL27">
        <v>73.911607181083099</v>
      </c>
      <c r="AM27">
        <v>91.778161613973893</v>
      </c>
      <c r="AN27">
        <v>0.99999996541679403</v>
      </c>
    </row>
    <row r="28" spans="1:40" x14ac:dyDescent="0.25">
      <c r="A28" t="str">
        <f>"20190304164101732"</f>
        <v>20190304164101732</v>
      </c>
      <c r="B28" t="str">
        <f>"1551688861721295"</f>
        <v>1551688861721295</v>
      </c>
      <c r="C28" t="s">
        <v>40</v>
      </c>
      <c r="D28">
        <v>4.5828860000000002</v>
      </c>
      <c r="E28">
        <v>0.53976150000000001</v>
      </c>
      <c r="F28" t="s">
        <v>41</v>
      </c>
      <c r="G28">
        <v>-475.48579999999998</v>
      </c>
      <c r="H28">
        <v>0.91501739999999998</v>
      </c>
      <c r="I28">
        <v>367.20030000000003</v>
      </c>
      <c r="J28">
        <v>-476.14370000000002</v>
      </c>
      <c r="K28">
        <v>1.110565</v>
      </c>
      <c r="L28">
        <v>367.21339999999998</v>
      </c>
      <c r="M28">
        <v>0.99994450000000001</v>
      </c>
      <c r="N28">
        <v>-1.018346E-2</v>
      </c>
      <c r="O28">
        <v>-2.7336919999999998E-3</v>
      </c>
      <c r="P28">
        <v>0.96292279999999997</v>
      </c>
      <c r="Q28">
        <v>0.26838230000000002</v>
      </c>
      <c r="R28">
        <v>2.740045E-2</v>
      </c>
      <c r="S28">
        <v>3.3879999999999999</v>
      </c>
      <c r="T28">
        <v>-0.97662709999999997</v>
      </c>
      <c r="U28">
        <v>-6.4819340000000003E-2</v>
      </c>
      <c r="V28">
        <v>-3.0000519999999999E-2</v>
      </c>
      <c r="W28">
        <v>0.2781768</v>
      </c>
      <c r="X28">
        <v>0.96006130000000001</v>
      </c>
      <c r="Y28">
        <v>1.5830609999999998E-2</v>
      </c>
      <c r="Z28">
        <v>-1.5733139999999999E-3</v>
      </c>
      <c r="AA28">
        <v>0.99987349999999997</v>
      </c>
      <c r="AB28">
        <v>2</v>
      </c>
      <c r="AC28">
        <v>0.65790000000004001</v>
      </c>
      <c r="AD28">
        <v>-0.19554759999999999</v>
      </c>
      <c r="AE28">
        <v>-1.3099999999951701E-2</v>
      </c>
      <c r="AF28">
        <v>1.03843163169612E-2</v>
      </c>
      <c r="AG28">
        <v>-0.19554759999999999</v>
      </c>
      <c r="AH28">
        <v>0.60454554801357596</v>
      </c>
      <c r="AI28">
        <v>107.92195618895499</v>
      </c>
      <c r="AJ28">
        <v>89.015923623825003</v>
      </c>
      <c r="AK28">
        <v>0.63546991865403502</v>
      </c>
      <c r="AL28">
        <v>73.8485799937297</v>
      </c>
      <c r="AM28">
        <v>91.789827399587594</v>
      </c>
      <c r="AN28">
        <v>1.0000000315080899</v>
      </c>
    </row>
    <row r="29" spans="1:40" x14ac:dyDescent="0.25">
      <c r="A29" t="str">
        <f>"20190304164101746"</f>
        <v>20190304164101746</v>
      </c>
      <c r="B29" t="str">
        <f>"1551688861741790"</f>
        <v>1551688861741790</v>
      </c>
      <c r="C29" t="s">
        <v>40</v>
      </c>
      <c r="D29">
        <v>4.5811960000000003</v>
      </c>
      <c r="E29">
        <v>0.53963419999999995</v>
      </c>
      <c r="F29" t="s">
        <v>41</v>
      </c>
      <c r="G29">
        <v>-475.46289999999999</v>
      </c>
      <c r="H29">
        <v>0.91485859999999997</v>
      </c>
      <c r="I29">
        <v>367.2004</v>
      </c>
      <c r="J29">
        <v>-476.12650000000002</v>
      </c>
      <c r="K29">
        <v>1.110506</v>
      </c>
      <c r="L29">
        <v>367.2133</v>
      </c>
      <c r="M29">
        <v>0.99994320000000003</v>
      </c>
      <c r="N29">
        <v>-1.02947E-2</v>
      </c>
      <c r="O29">
        <v>-2.8052289999999998E-3</v>
      </c>
      <c r="P29">
        <v>0.9629008</v>
      </c>
      <c r="Q29">
        <v>0.26849780000000001</v>
      </c>
      <c r="R29">
        <v>2.7041050000000001E-2</v>
      </c>
      <c r="S29">
        <v>3.3887629999999902</v>
      </c>
      <c r="T29">
        <v>-0.9739527</v>
      </c>
      <c r="U29">
        <v>-6.25E-2</v>
      </c>
      <c r="V29">
        <v>-2.9701869999999998E-2</v>
      </c>
      <c r="W29">
        <v>0.27839989999999998</v>
      </c>
      <c r="X29">
        <v>0.96000589999999997</v>
      </c>
      <c r="Y29">
        <v>1.510659E-2</v>
      </c>
      <c r="Z29">
        <v>-1.4451430000000001E-3</v>
      </c>
      <c r="AA29">
        <v>0.99988480000000002</v>
      </c>
      <c r="AB29">
        <v>2</v>
      </c>
      <c r="AC29">
        <v>0.66360000000003005</v>
      </c>
      <c r="AD29">
        <v>-0.1956474</v>
      </c>
      <c r="AE29">
        <v>-1.29000000000019E-2</v>
      </c>
      <c r="AF29">
        <v>1.01558554763438E-2</v>
      </c>
      <c r="AG29">
        <v>-0.1956474</v>
      </c>
      <c r="AH29">
        <v>0.61058008794539698</v>
      </c>
      <c r="AI29">
        <v>107.764648628746</v>
      </c>
      <c r="AJ29">
        <v>89.047079957760602</v>
      </c>
      <c r="AK29">
        <v>0.64124027503161796</v>
      </c>
      <c r="AL29">
        <v>73.835271345954496</v>
      </c>
      <c r="AM29">
        <v>91.772123587886298</v>
      </c>
      <c r="AN29">
        <v>1.00000001671815</v>
      </c>
    </row>
    <row r="30" spans="1:40" x14ac:dyDescent="0.25">
      <c r="A30" t="str">
        <f>"20190304164101765"</f>
        <v>20190304164101765</v>
      </c>
      <c r="B30" t="str">
        <f>"1551688861751551"</f>
        <v>1551688861751551</v>
      </c>
      <c r="C30" t="s">
        <v>40</v>
      </c>
      <c r="D30">
        <v>4.5863750000000003</v>
      </c>
      <c r="E30">
        <v>0.53960989999999998</v>
      </c>
      <c r="F30" t="s">
        <v>41</v>
      </c>
      <c r="G30">
        <v>-475.44049999999999</v>
      </c>
      <c r="H30">
        <v>0.91321459999999999</v>
      </c>
      <c r="I30">
        <v>367.20069999999998</v>
      </c>
      <c r="J30">
        <v>-476.10660000000001</v>
      </c>
      <c r="K30">
        <v>1.1104499999999999</v>
      </c>
      <c r="L30">
        <v>367.2131</v>
      </c>
      <c r="M30">
        <v>0.999942</v>
      </c>
      <c r="N30">
        <v>-1.03864E-2</v>
      </c>
      <c r="O30">
        <v>-2.9003029999999999E-3</v>
      </c>
      <c r="P30">
        <v>0.96309270000000002</v>
      </c>
      <c r="Q30">
        <v>0.26778629999999998</v>
      </c>
      <c r="R30">
        <v>2.726199E-2</v>
      </c>
      <c r="S30">
        <v>3.3890690000000001</v>
      </c>
      <c r="T30">
        <v>-0.97465959999999996</v>
      </c>
      <c r="U30">
        <v>-6.115723E-2</v>
      </c>
      <c r="V30">
        <v>-3.0011900000000001E-2</v>
      </c>
      <c r="W30">
        <v>0.27777869999999999</v>
      </c>
      <c r="X30">
        <v>0.96017620000000004</v>
      </c>
      <c r="Y30">
        <v>1.463626E-2</v>
      </c>
      <c r="Z30">
        <v>-1.3523229999999999E-3</v>
      </c>
      <c r="AA30">
        <v>0.999892</v>
      </c>
      <c r="AB30">
        <v>3</v>
      </c>
      <c r="AC30">
        <v>0.666100000000028</v>
      </c>
      <c r="AD30">
        <v>-0.19723539999999901</v>
      </c>
      <c r="AE30">
        <v>-1.24000000000137E-2</v>
      </c>
      <c r="AF30">
        <v>9.6243961660622095E-3</v>
      </c>
      <c r="AG30">
        <v>-0.19723539999999901</v>
      </c>
      <c r="AH30">
        <v>0.61245307745691702</v>
      </c>
      <c r="AI30">
        <v>107.84865690492001</v>
      </c>
      <c r="AJ30">
        <v>89.099699363066094</v>
      </c>
      <c r="AK30">
        <v>0.64350074133692303</v>
      </c>
      <c r="AL30">
        <v>73.872325241328099</v>
      </c>
      <c r="AM30">
        <v>91.790291764761093</v>
      </c>
      <c r="AN30">
        <v>1.00000002768086</v>
      </c>
    </row>
    <row r="31" spans="1:40" x14ac:dyDescent="0.25">
      <c r="A31" t="str">
        <f>"20190304164101778"</f>
        <v>20190304164101778</v>
      </c>
      <c r="B31" t="str">
        <f>"1551688861772047"</f>
        <v>1551688861772047</v>
      </c>
      <c r="C31" t="s">
        <v>40</v>
      </c>
      <c r="D31">
        <v>4.5863930000000002</v>
      </c>
      <c r="E31">
        <v>0.53953779999999996</v>
      </c>
      <c r="F31" t="s">
        <v>41</v>
      </c>
      <c r="G31">
        <v>-475.41820000000001</v>
      </c>
      <c r="H31">
        <v>0.91177799999999998</v>
      </c>
      <c r="I31">
        <v>367.20049999999998</v>
      </c>
      <c r="J31">
        <v>-476.08949999999999</v>
      </c>
      <c r="K31">
        <v>1.110441</v>
      </c>
      <c r="L31">
        <v>367.21289999999999</v>
      </c>
      <c r="M31">
        <v>0.9999403</v>
      </c>
      <c r="N31">
        <v>-1.051531E-2</v>
      </c>
      <c r="O31">
        <v>-2.9868659999999999E-3</v>
      </c>
      <c r="P31">
        <v>0.96319969999999999</v>
      </c>
      <c r="Q31">
        <v>0.26740229999999998</v>
      </c>
      <c r="R31">
        <v>2.7246369999999999E-2</v>
      </c>
      <c r="S31">
        <v>3.38855</v>
      </c>
      <c r="T31">
        <v>-0.97778960000000004</v>
      </c>
      <c r="U31">
        <v>-5.9661869999999999E-2</v>
      </c>
      <c r="V31">
        <v>-3.008338E-2</v>
      </c>
      <c r="W31">
        <v>0.27751949999999997</v>
      </c>
      <c r="X31">
        <v>0.96024889999999996</v>
      </c>
      <c r="Y31">
        <v>1.413233E-2</v>
      </c>
      <c r="Z31">
        <v>-1.260153E-3</v>
      </c>
      <c r="AA31">
        <v>0.99989930000000005</v>
      </c>
      <c r="AB31">
        <v>3</v>
      </c>
      <c r="AC31">
        <v>0.67129999999997303</v>
      </c>
      <c r="AD31">
        <v>-0.19866299999999901</v>
      </c>
      <c r="AE31">
        <v>-1.24000000000137E-2</v>
      </c>
      <c r="AF31">
        <v>9.5579584845033195E-3</v>
      </c>
      <c r="AG31">
        <v>-0.19866299999999901</v>
      </c>
      <c r="AH31">
        <v>0.61729069481280796</v>
      </c>
      <c r="AI31">
        <v>107.837758493179</v>
      </c>
      <c r="AJ31">
        <v>89.112918874711596</v>
      </c>
      <c r="AK31">
        <v>0.64854155151529902</v>
      </c>
      <c r="AL31">
        <v>73.887783921669893</v>
      </c>
      <c r="AM31">
        <v>91.794417181174495</v>
      </c>
      <c r="AN31">
        <v>1.0000000162918401</v>
      </c>
    </row>
    <row r="32" spans="1:40" x14ac:dyDescent="0.25">
      <c r="A32" t="str">
        <f>"20190304164101791"</f>
        <v>20190304164101791</v>
      </c>
      <c r="B32" t="str">
        <f>"1551688861781806"</f>
        <v>1551688861781806</v>
      </c>
      <c r="C32" t="s">
        <v>40</v>
      </c>
      <c r="D32">
        <v>4.5760259999999997</v>
      </c>
      <c r="E32">
        <v>0.53952440000000002</v>
      </c>
      <c r="F32" t="s">
        <v>41</v>
      </c>
      <c r="G32">
        <v>-475.41649999999998</v>
      </c>
      <c r="H32">
        <v>0.91574100000000003</v>
      </c>
      <c r="I32">
        <v>367.20049999999998</v>
      </c>
      <c r="J32">
        <v>-476.07580000000002</v>
      </c>
      <c r="K32">
        <v>1.1104419999999999</v>
      </c>
      <c r="L32">
        <v>367.21280000000002</v>
      </c>
      <c r="M32">
        <v>0.99993880000000002</v>
      </c>
      <c r="N32">
        <v>-1.0642489999999999E-2</v>
      </c>
      <c r="O32">
        <v>-3.0549349999999999E-3</v>
      </c>
      <c r="P32">
        <v>0.96322890000000005</v>
      </c>
      <c r="Q32">
        <v>0.26730520000000002</v>
      </c>
      <c r="R32">
        <v>2.7170329999999999E-2</v>
      </c>
      <c r="S32">
        <v>3.3883359999999998</v>
      </c>
      <c r="T32">
        <v>-0.9799949</v>
      </c>
      <c r="U32">
        <v>-5.9997559999999998E-2</v>
      </c>
      <c r="V32">
        <v>-3.0076749999999999E-2</v>
      </c>
      <c r="W32">
        <v>0.27754420000000002</v>
      </c>
      <c r="X32">
        <v>0.96024200000000004</v>
      </c>
      <c r="Y32">
        <v>1.4163169999999999E-2</v>
      </c>
      <c r="Z32">
        <v>-1.2499739999999901E-3</v>
      </c>
      <c r="AA32">
        <v>0.99989890000000003</v>
      </c>
      <c r="AB32">
        <v>3</v>
      </c>
      <c r="AC32">
        <v>0.65930000000002997</v>
      </c>
      <c r="AD32">
        <v>-0.19470099999999901</v>
      </c>
      <c r="AE32">
        <v>-1.2300000000038801E-2</v>
      </c>
      <c r="AF32">
        <v>9.4609042383014992E-3</v>
      </c>
      <c r="AG32">
        <v>-0.19470099999999901</v>
      </c>
      <c r="AH32">
        <v>0.60646280379904705</v>
      </c>
      <c r="AI32">
        <v>107.796865968641</v>
      </c>
      <c r="AJ32">
        <v>89.106250354082505</v>
      </c>
      <c r="AK32">
        <v>0.63702050241872799</v>
      </c>
      <c r="AL32">
        <v>73.886311343493006</v>
      </c>
      <c r="AM32">
        <v>91.794034855430297</v>
      </c>
      <c r="AN32">
        <v>1.0000000462041001</v>
      </c>
    </row>
    <row r="33" spans="1:40" x14ac:dyDescent="0.25">
      <c r="A33" t="str">
        <f>"20190304164101810"</f>
        <v>20190304164101810</v>
      </c>
      <c r="B33" t="str">
        <f>"1551688861801326"</f>
        <v>1551688861801326</v>
      </c>
      <c r="C33" t="s">
        <v>40</v>
      </c>
      <c r="D33">
        <v>4.6001969999999996</v>
      </c>
      <c r="E33">
        <v>0.53946629999999995</v>
      </c>
      <c r="F33" t="s">
        <v>41</v>
      </c>
      <c r="G33">
        <v>-475.39490000000001</v>
      </c>
      <c r="H33">
        <v>0.91337440000000003</v>
      </c>
      <c r="I33">
        <v>367.20030000000003</v>
      </c>
      <c r="J33">
        <v>-476.05509999999998</v>
      </c>
      <c r="K33">
        <v>1.110452</v>
      </c>
      <c r="L33">
        <v>367.21260000000001</v>
      </c>
      <c r="M33">
        <v>0.99993639999999995</v>
      </c>
      <c r="N33">
        <v>-1.083103E-2</v>
      </c>
      <c r="O33">
        <v>-3.1541609999999999E-3</v>
      </c>
      <c r="P33">
        <v>0.9631054</v>
      </c>
      <c r="Q33">
        <v>0.2677118</v>
      </c>
      <c r="R33">
        <v>2.75374E-2</v>
      </c>
      <c r="S33">
        <v>3.3883670000000001</v>
      </c>
      <c r="T33">
        <v>-0.98066200000000003</v>
      </c>
      <c r="U33">
        <v>-6.1279300000000002E-2</v>
      </c>
      <c r="V33">
        <v>-3.0546179999999999E-2</v>
      </c>
      <c r="W33">
        <v>0.27813009999999999</v>
      </c>
      <c r="X33">
        <v>0.96005759999999996</v>
      </c>
      <c r="Y33">
        <v>1.4433E-2</v>
      </c>
      <c r="Z33">
        <v>-1.265305E-3</v>
      </c>
      <c r="AA33">
        <v>0.99989499999999998</v>
      </c>
      <c r="AB33">
        <v>3</v>
      </c>
      <c r="AC33">
        <v>0.66019999999997403</v>
      </c>
      <c r="AD33">
        <v>-0.19707759999999999</v>
      </c>
      <c r="AE33">
        <v>-1.22999999999819E-2</v>
      </c>
      <c r="AF33">
        <v>9.3817294790994599E-3</v>
      </c>
      <c r="AG33">
        <v>-0.19707759999999999</v>
      </c>
      <c r="AH33">
        <v>0.60623318657971403</v>
      </c>
      <c r="AI33">
        <v>108.006573842625</v>
      </c>
      <c r="AJ33">
        <v>89.113392980544006</v>
      </c>
      <c r="AK33">
        <v>0.63753139042746199</v>
      </c>
      <c r="AL33">
        <v>73.851365255295804</v>
      </c>
      <c r="AM33">
        <v>91.822366672955397</v>
      </c>
      <c r="AN33">
        <v>1.0000000084781799</v>
      </c>
    </row>
    <row r="34" spans="1:40" x14ac:dyDescent="0.25">
      <c r="A34" t="str">
        <f>"20190304164101822"</f>
        <v>20190304164101822</v>
      </c>
      <c r="B34" t="str">
        <f>"1551688861811087"</f>
        <v>1551688861811087</v>
      </c>
      <c r="C34" t="s">
        <v>40</v>
      </c>
      <c r="D34">
        <v>4.6159970000000001</v>
      </c>
      <c r="E34">
        <v>0.53944530000000002</v>
      </c>
      <c r="F34" t="s">
        <v>41</v>
      </c>
      <c r="G34">
        <v>-475.3725</v>
      </c>
      <c r="H34">
        <v>0.91305020000000003</v>
      </c>
      <c r="I34">
        <v>367.19959999999998</v>
      </c>
      <c r="J34">
        <v>-476.04039999999998</v>
      </c>
      <c r="K34">
        <v>1.11046</v>
      </c>
      <c r="L34">
        <v>367.21249999999998</v>
      </c>
      <c r="M34">
        <v>0.99993489999999996</v>
      </c>
      <c r="N34">
        <v>-1.0948370000000001E-2</v>
      </c>
      <c r="O34">
        <v>-3.2213369999999999E-3</v>
      </c>
      <c r="P34">
        <v>0.96318440000000005</v>
      </c>
      <c r="Q34">
        <v>0.26742739999999998</v>
      </c>
      <c r="R34">
        <v>2.7545440000000001E-2</v>
      </c>
      <c r="S34">
        <v>3.3890380000000002</v>
      </c>
      <c r="T34">
        <v>-0.9799426</v>
      </c>
      <c r="U34">
        <v>-6.1218259999999997E-2</v>
      </c>
      <c r="V34">
        <v>-3.0624209999999999E-2</v>
      </c>
      <c r="W34">
        <v>0.27795829999999999</v>
      </c>
      <c r="X34">
        <v>0.96010490000000004</v>
      </c>
      <c r="Y34">
        <v>1.435081E-2</v>
      </c>
      <c r="Z34">
        <v>-1.2350880000000001E-3</v>
      </c>
      <c r="AA34">
        <v>0.99989629999999996</v>
      </c>
      <c r="AB34">
        <v>3</v>
      </c>
      <c r="AC34">
        <v>0.66789999999997396</v>
      </c>
      <c r="AD34">
        <v>-0.1974098</v>
      </c>
      <c r="AE34">
        <v>-1.29000000000019E-2</v>
      </c>
      <c r="AF34">
        <v>9.8850347678638498E-3</v>
      </c>
      <c r="AG34">
        <v>-0.1974098</v>
      </c>
      <c r="AH34">
        <v>0.61429321317903796</v>
      </c>
      <c r="AI34">
        <v>107.813212582874</v>
      </c>
      <c r="AJ34">
        <v>89.078091891660506</v>
      </c>
      <c r="AK34">
        <v>0.64530961158673905</v>
      </c>
      <c r="AL34">
        <v>73.861613250537999</v>
      </c>
      <c r="AM34">
        <v>91.826928796782497</v>
      </c>
      <c r="AN34">
        <v>1.0000000388905099</v>
      </c>
    </row>
    <row r="35" spans="1:40" x14ac:dyDescent="0.25">
      <c r="A35" t="str">
        <f>"20190304164101843"</f>
        <v>20190304164101843</v>
      </c>
      <c r="B35" t="str">
        <f>"1551688861831582"</f>
        <v>1551688861831582</v>
      </c>
      <c r="C35" t="s">
        <v>40</v>
      </c>
      <c r="D35">
        <v>4.6323489999999996</v>
      </c>
      <c r="E35">
        <v>0.53939090000000001</v>
      </c>
      <c r="F35" t="s">
        <v>41</v>
      </c>
      <c r="G35">
        <v>-475.351</v>
      </c>
      <c r="H35">
        <v>0.9107229</v>
      </c>
      <c r="I35">
        <v>367.2</v>
      </c>
      <c r="J35">
        <v>-476.01769999999999</v>
      </c>
      <c r="K35">
        <v>1.1104590000000001</v>
      </c>
      <c r="L35">
        <v>367.21230000000003</v>
      </c>
      <c r="M35">
        <v>0.99993330000000002</v>
      </c>
      <c r="N35">
        <v>-1.10694E-2</v>
      </c>
      <c r="O35">
        <v>-3.3199869999999999E-3</v>
      </c>
      <c r="P35">
        <v>0.96306780000000003</v>
      </c>
      <c r="Q35">
        <v>0.26780229999999999</v>
      </c>
      <c r="R35">
        <v>2.7974249999999999E-2</v>
      </c>
      <c r="S35">
        <v>3.389008</v>
      </c>
      <c r="T35">
        <v>-0.98181629999999998</v>
      </c>
      <c r="U35">
        <v>-6.0485839999999999E-2</v>
      </c>
      <c r="V35">
        <v>-3.1154339999999999E-2</v>
      </c>
      <c r="W35">
        <v>0.27844750000000001</v>
      </c>
      <c r="X35">
        <v>0.95994599999999997</v>
      </c>
      <c r="Y35">
        <v>1.4050719999999999E-2</v>
      </c>
      <c r="Z35">
        <v>-1.167214E-3</v>
      </c>
      <c r="AA35">
        <v>0.99990060000000003</v>
      </c>
      <c r="AB35">
        <v>3</v>
      </c>
      <c r="AC35">
        <v>0.66669999999999097</v>
      </c>
      <c r="AD35">
        <v>-0.1997361</v>
      </c>
      <c r="AE35">
        <v>-1.2300000000038801E-2</v>
      </c>
      <c r="AF35">
        <v>9.2558936563846006E-3</v>
      </c>
      <c r="AG35">
        <v>-0.1997361</v>
      </c>
      <c r="AH35">
        <v>0.611840883157449</v>
      </c>
      <c r="AI35">
        <v>108.077392182998</v>
      </c>
      <c r="AJ35">
        <v>89.133298858234895</v>
      </c>
      <c r="AK35">
        <v>0.64368427626708102</v>
      </c>
      <c r="AL35">
        <v>73.832430894320595</v>
      </c>
      <c r="AM35">
        <v>91.858839857528807</v>
      </c>
      <c r="AN35">
        <v>0.99999996303654204</v>
      </c>
    </row>
    <row r="36" spans="1:40" x14ac:dyDescent="0.25">
      <c r="A36" t="str">
        <f>"20190304164101865"</f>
        <v>20190304164101865</v>
      </c>
      <c r="B36" t="str">
        <f>"1551688861851103"</f>
        <v>1551688861851103</v>
      </c>
      <c r="C36" t="s">
        <v>40</v>
      </c>
      <c r="D36">
        <v>4.7839470000000004</v>
      </c>
      <c r="E36">
        <v>0.5398868</v>
      </c>
      <c r="F36" t="s">
        <v>41</v>
      </c>
      <c r="G36">
        <v>-475.32839999999999</v>
      </c>
      <c r="H36">
        <v>0.91067889999999996</v>
      </c>
      <c r="I36">
        <v>367.19959999999998</v>
      </c>
      <c r="J36">
        <v>-475.99259999999998</v>
      </c>
      <c r="K36">
        <v>1.1104609999999999</v>
      </c>
      <c r="L36">
        <v>367.21210000000002</v>
      </c>
      <c r="M36">
        <v>0.99993180000000004</v>
      </c>
      <c r="N36">
        <v>-1.1173880000000001E-2</v>
      </c>
      <c r="O36">
        <v>-3.4178699999999999E-3</v>
      </c>
      <c r="P36">
        <v>0.96314949999999999</v>
      </c>
      <c r="Q36">
        <v>0.267426</v>
      </c>
      <c r="R36">
        <v>2.8748289999999999E-2</v>
      </c>
      <c r="S36">
        <v>3.3898619999999999</v>
      </c>
      <c r="T36">
        <v>-0.98228749999999998</v>
      </c>
      <c r="U36">
        <v>-5.859375E-2</v>
      </c>
      <c r="V36">
        <v>-3.2027149999999997E-2</v>
      </c>
      <c r="W36">
        <v>0.27817180000000002</v>
      </c>
      <c r="X36">
        <v>0.95999719999999999</v>
      </c>
      <c r="Y36">
        <v>1.342056E-2</v>
      </c>
      <c r="Z36">
        <v>-1.048773E-3</v>
      </c>
      <c r="AA36">
        <v>0.99990939999999995</v>
      </c>
      <c r="AB36">
        <v>3</v>
      </c>
      <c r="AC36">
        <v>0.66419999999999302</v>
      </c>
      <c r="AD36">
        <v>-0.19978209999999999</v>
      </c>
      <c r="AE36">
        <v>-1.25000000000454E-2</v>
      </c>
      <c r="AF36">
        <v>9.3811984887752203E-3</v>
      </c>
      <c r="AG36">
        <v>-0.19978209999999999</v>
      </c>
      <c r="AH36">
        <v>0.60914741885476797</v>
      </c>
      <c r="AI36">
        <v>108.15592865403499</v>
      </c>
      <c r="AJ36">
        <v>89.117683872232107</v>
      </c>
      <c r="AK36">
        <v>0.64114075854130603</v>
      </c>
      <c r="AL36">
        <v>73.848876996961593</v>
      </c>
      <c r="AM36">
        <v>91.910776598261194</v>
      </c>
      <c r="AN36">
        <v>0.99999995633009997</v>
      </c>
    </row>
    <row r="37" spans="1:40" x14ac:dyDescent="0.25">
      <c r="A37" t="str">
        <f>"20190304164101879"</f>
        <v>20190304164101879</v>
      </c>
      <c r="B37" t="str">
        <f>"1551688861871598"</f>
        <v>1551688861871598</v>
      </c>
      <c r="C37" t="s">
        <v>40</v>
      </c>
      <c r="D37">
        <v>4.8151780000000004</v>
      </c>
      <c r="E37">
        <v>0.54089309999999902</v>
      </c>
      <c r="F37" t="s">
        <v>41</v>
      </c>
      <c r="G37">
        <v>-475.30590000000001</v>
      </c>
      <c r="H37">
        <v>0.91079330000000003</v>
      </c>
      <c r="I37">
        <v>367.19940000000003</v>
      </c>
      <c r="J37">
        <v>-475.97579999999999</v>
      </c>
      <c r="K37">
        <v>1.1104609999999999</v>
      </c>
      <c r="L37">
        <v>367.21190000000001</v>
      </c>
      <c r="M37">
        <v>0.99993089999999996</v>
      </c>
      <c r="N37">
        <v>-1.1245990000000001E-2</v>
      </c>
      <c r="O37">
        <v>-3.480108E-3</v>
      </c>
      <c r="P37">
        <v>0.96318890000000001</v>
      </c>
      <c r="Q37">
        <v>0.26724340000000002</v>
      </c>
      <c r="R37">
        <v>2.91258E-2</v>
      </c>
      <c r="S37">
        <v>3.3902589999999901</v>
      </c>
      <c r="T37">
        <v>-0.98560329999999996</v>
      </c>
      <c r="U37">
        <v>-6.0394290000000003E-2</v>
      </c>
      <c r="V37">
        <v>-3.2466330000000002E-2</v>
      </c>
      <c r="W37">
        <v>0.27805859999999999</v>
      </c>
      <c r="X37">
        <v>0.96001530000000002</v>
      </c>
      <c r="Y37">
        <v>1.386737E-2</v>
      </c>
      <c r="Z37">
        <v>-1.1015879999999999E-3</v>
      </c>
      <c r="AA37">
        <v>0.99990330000000005</v>
      </c>
      <c r="AB37">
        <v>3</v>
      </c>
      <c r="AC37">
        <v>0.66989999999998395</v>
      </c>
      <c r="AD37">
        <v>-0.1996677</v>
      </c>
      <c r="AE37">
        <v>-1.24999999999886E-2</v>
      </c>
      <c r="AF37">
        <v>9.3390822571852196E-3</v>
      </c>
      <c r="AG37">
        <v>-0.1996677</v>
      </c>
      <c r="AH37">
        <v>0.61529709841806801</v>
      </c>
      <c r="AI37">
        <v>107.97662886830599</v>
      </c>
      <c r="AJ37">
        <v>89.130421849623602</v>
      </c>
      <c r="AK37">
        <v>0.64695048357844898</v>
      </c>
      <c r="AL37">
        <v>73.855630194210093</v>
      </c>
      <c r="AM37">
        <v>91.936922266564196</v>
      </c>
      <c r="AN37">
        <v>1.0000000119258501</v>
      </c>
    </row>
    <row r="38" spans="1:40" x14ac:dyDescent="0.25">
      <c r="A38" t="str">
        <f>"20190304164101898"</f>
        <v>20190304164101898</v>
      </c>
      <c r="B38" t="str">
        <f>"1551688861891119"</f>
        <v>1551688861891119</v>
      </c>
      <c r="C38" t="s">
        <v>40</v>
      </c>
      <c r="D38">
        <v>4.7256689999999999</v>
      </c>
      <c r="E38">
        <v>0.54178570000000004</v>
      </c>
      <c r="F38" t="s">
        <v>41</v>
      </c>
      <c r="G38">
        <v>-475.30450000000002</v>
      </c>
      <c r="H38">
        <v>0.91415239999999998</v>
      </c>
      <c r="I38">
        <v>367.19830000000002</v>
      </c>
      <c r="J38">
        <v>-475.9545</v>
      </c>
      <c r="K38">
        <v>1.110466</v>
      </c>
      <c r="L38">
        <v>367.21179999999998</v>
      </c>
      <c r="M38">
        <v>0.99992950000000003</v>
      </c>
      <c r="N38">
        <v>-1.133818E-2</v>
      </c>
      <c r="O38">
        <v>-3.5557100000000001E-3</v>
      </c>
      <c r="P38">
        <v>0.96316729999999995</v>
      </c>
      <c r="Q38">
        <v>0.26724540000000002</v>
      </c>
      <c r="R38">
        <v>2.9812169999999999E-2</v>
      </c>
      <c r="S38">
        <v>3.3918759999999999</v>
      </c>
      <c r="T38">
        <v>-0.99179139999999999</v>
      </c>
      <c r="U38">
        <v>-6.6680909999999996E-2</v>
      </c>
      <c r="V38">
        <v>-3.3226239999999997E-2</v>
      </c>
      <c r="W38">
        <v>0.27814889999999998</v>
      </c>
      <c r="X38">
        <v>0.95996309999999996</v>
      </c>
      <c r="Y38">
        <v>1.5559720000000001E-2</v>
      </c>
      <c r="Z38">
        <v>-1.33934299999999E-3</v>
      </c>
      <c r="AA38">
        <v>0.99987800000000004</v>
      </c>
      <c r="AB38">
        <v>3</v>
      </c>
      <c r="AC38">
        <v>0.64999999999997704</v>
      </c>
      <c r="AD38">
        <v>-0.1963136</v>
      </c>
      <c r="AE38">
        <v>-1.3499999999964899E-2</v>
      </c>
      <c r="AF38">
        <v>1.02536542237915E-2</v>
      </c>
      <c r="AG38">
        <v>-0.1963136</v>
      </c>
      <c r="AH38">
        <v>0.59572710234281001</v>
      </c>
      <c r="AI38">
        <v>108.236396298419</v>
      </c>
      <c r="AJ38">
        <v>89.013922475084001</v>
      </c>
      <c r="AK38">
        <v>0.62732363851178297</v>
      </c>
      <c r="AL38">
        <v>73.850243263863703</v>
      </c>
      <c r="AM38">
        <v>91.982330001026995</v>
      </c>
      <c r="AN38">
        <v>0.99999997347867797</v>
      </c>
    </row>
    <row r="39" spans="1:40" x14ac:dyDescent="0.25">
      <c r="A39" t="str">
        <f>"20190304164101911"</f>
        <v>20190304164101911</v>
      </c>
      <c r="B39" t="str">
        <f>"1551688861901854"</f>
        <v>1551688861901854</v>
      </c>
      <c r="C39" t="s">
        <v>40</v>
      </c>
      <c r="D39">
        <v>4.7266810000000001</v>
      </c>
      <c r="E39">
        <v>0.54220109999999999</v>
      </c>
      <c r="F39" t="s">
        <v>41</v>
      </c>
      <c r="G39">
        <v>-475.2826</v>
      </c>
      <c r="H39">
        <v>0.91302139999999998</v>
      </c>
      <c r="I39">
        <v>367.19740000000002</v>
      </c>
      <c r="J39">
        <v>-475.9402</v>
      </c>
      <c r="K39">
        <v>1.110468</v>
      </c>
      <c r="L39">
        <v>367.21159999999998</v>
      </c>
      <c r="M39">
        <v>0.9999287</v>
      </c>
      <c r="N39">
        <v>-1.1391999999999999E-2</v>
      </c>
      <c r="O39">
        <v>-3.604182E-3</v>
      </c>
      <c r="P39">
        <v>0.96316179999999996</v>
      </c>
      <c r="Q39">
        <v>0.26723750000000002</v>
      </c>
      <c r="R39">
        <v>3.0062060000000002E-2</v>
      </c>
      <c r="S39">
        <v>3.3935550000000001</v>
      </c>
      <c r="T39">
        <v>-0.99714570000000002</v>
      </c>
      <c r="U39">
        <v>-7.0556640000000004E-2</v>
      </c>
      <c r="V39">
        <v>-3.3522410000000002E-2</v>
      </c>
      <c r="W39">
        <v>0.27819240000000001</v>
      </c>
      <c r="X39">
        <v>0.95994029999999997</v>
      </c>
      <c r="Y39">
        <v>1.6594230000000001E-2</v>
      </c>
      <c r="Z39">
        <v>-1.4870860000000001E-3</v>
      </c>
      <c r="AA39">
        <v>0.99986120000000001</v>
      </c>
      <c r="AB39">
        <v>3</v>
      </c>
      <c r="AC39">
        <v>0.65760000000000196</v>
      </c>
      <c r="AD39">
        <v>-0.1974466</v>
      </c>
      <c r="AE39">
        <v>-1.41999999999598E-2</v>
      </c>
      <c r="AF39">
        <v>1.0851788792849299E-2</v>
      </c>
      <c r="AG39">
        <v>-0.1974466</v>
      </c>
      <c r="AH39">
        <v>0.60328487784365603</v>
      </c>
      <c r="AI39">
        <v>108.11979944303</v>
      </c>
      <c r="AJ39">
        <v>88.969484112204398</v>
      </c>
      <c r="AK39">
        <v>0.63486657260120305</v>
      </c>
      <c r="AL39">
        <v>73.847650112042103</v>
      </c>
      <c r="AM39">
        <v>92.000033148898396</v>
      </c>
      <c r="AN39">
        <v>1.0000000714770201</v>
      </c>
    </row>
    <row r="40" spans="1:40" x14ac:dyDescent="0.25">
      <c r="A40" t="str">
        <f>"20190304164101926"</f>
        <v>20190304164101926</v>
      </c>
      <c r="B40" t="str">
        <f>"1551688861911615"</f>
        <v>1551688861911615</v>
      </c>
      <c r="C40" t="s">
        <v>40</v>
      </c>
      <c r="D40">
        <v>4.7311430000000003</v>
      </c>
      <c r="E40">
        <v>0.54258439999999997</v>
      </c>
      <c r="F40" t="s">
        <v>41</v>
      </c>
      <c r="G40">
        <v>-475.26139999999998</v>
      </c>
      <c r="H40">
        <v>0.91050719999999996</v>
      </c>
      <c r="I40">
        <v>367.1968</v>
      </c>
      <c r="J40">
        <v>-475.92500000000001</v>
      </c>
      <c r="K40">
        <v>1.110473</v>
      </c>
      <c r="L40">
        <v>367.2115</v>
      </c>
      <c r="M40">
        <v>0.99992780000000003</v>
      </c>
      <c r="N40">
        <v>-1.144425E-2</v>
      </c>
      <c r="O40">
        <v>-3.6576550000000001E-3</v>
      </c>
      <c r="P40">
        <v>0.9632404</v>
      </c>
      <c r="Q40">
        <v>0.26692900000000003</v>
      </c>
      <c r="R40">
        <v>3.0283500000000001E-2</v>
      </c>
      <c r="S40">
        <v>3.3944399999999999</v>
      </c>
      <c r="T40">
        <v>-0.99986240000000004</v>
      </c>
      <c r="U40">
        <v>-7.2723389999999999E-2</v>
      </c>
      <c r="V40">
        <v>-3.3795560000000002E-2</v>
      </c>
      <c r="W40">
        <v>0.27793489999999998</v>
      </c>
      <c r="X40">
        <v>0.9600052</v>
      </c>
      <c r="Y40">
        <v>1.7147989999999998E-2</v>
      </c>
      <c r="Z40">
        <v>-1.559171E-3</v>
      </c>
      <c r="AA40">
        <v>0.99985179999999996</v>
      </c>
      <c r="AB40">
        <v>2</v>
      </c>
      <c r="AC40">
        <v>0.66360000000003005</v>
      </c>
      <c r="AD40">
        <v>-0.1999658</v>
      </c>
      <c r="AE40">
        <v>-1.47000000000048E-2</v>
      </c>
      <c r="AF40">
        <v>1.12513693114717E-2</v>
      </c>
      <c r="AG40">
        <v>-0.1999658</v>
      </c>
      <c r="AH40">
        <v>0.60842940415869395</v>
      </c>
      <c r="AI40">
        <v>108.19066897960499</v>
      </c>
      <c r="AJ40">
        <v>88.940579628097694</v>
      </c>
      <c r="AK40">
        <v>0.64054605948825105</v>
      </c>
      <c r="AL40">
        <v>73.863007763959303</v>
      </c>
      <c r="AM40">
        <v>92.016180384469905</v>
      </c>
      <c r="AN40">
        <v>0.99999996627038101</v>
      </c>
    </row>
    <row r="41" spans="1:40" x14ac:dyDescent="0.25">
      <c r="A41" t="str">
        <f>"20190304164101942"</f>
        <v>20190304164101942</v>
      </c>
      <c r="B41" t="str">
        <f>"1551688861931134"</f>
        <v>1551688861931134</v>
      </c>
      <c r="C41" t="s">
        <v>40</v>
      </c>
      <c r="D41">
        <v>4.733873</v>
      </c>
      <c r="E41">
        <v>0.54336719999999905</v>
      </c>
      <c r="F41" t="s">
        <v>41</v>
      </c>
      <c r="G41">
        <v>-475.24020000000002</v>
      </c>
      <c r="H41">
        <v>0.90805279999999999</v>
      </c>
      <c r="I41">
        <v>367.19580000000002</v>
      </c>
      <c r="J41">
        <v>-475.90559999999999</v>
      </c>
      <c r="K41">
        <v>1.110484</v>
      </c>
      <c r="L41">
        <v>367.21140000000003</v>
      </c>
      <c r="M41">
        <v>0.99992709999999996</v>
      </c>
      <c r="N41">
        <v>-1.1497520000000001E-2</v>
      </c>
      <c r="O41">
        <v>-3.7321020000000002E-3</v>
      </c>
      <c r="P41">
        <v>0.96315329999999999</v>
      </c>
      <c r="Q41">
        <v>0.2672407</v>
      </c>
      <c r="R41">
        <v>3.0309139999999998E-2</v>
      </c>
      <c r="S41">
        <v>3.3949280000000002</v>
      </c>
      <c r="T41">
        <v>-1.003449</v>
      </c>
      <c r="U41">
        <v>-7.5439450000000005E-2</v>
      </c>
      <c r="V41">
        <v>-3.3892569999999997E-2</v>
      </c>
      <c r="W41">
        <v>0.27829680000000001</v>
      </c>
      <c r="X41">
        <v>0.959897</v>
      </c>
      <c r="Y41">
        <v>1.7838050000000001E-2</v>
      </c>
      <c r="Z41">
        <v>-1.647695E-3</v>
      </c>
      <c r="AA41">
        <v>0.99983949999999999</v>
      </c>
      <c r="AB41">
        <v>2</v>
      </c>
      <c r="AC41">
        <v>0.66539999999997601</v>
      </c>
      <c r="AD41">
        <v>-0.20243120000000001</v>
      </c>
      <c r="AE41">
        <v>-1.5600000000006199E-2</v>
      </c>
      <c r="AF41">
        <v>1.2005825249222399E-2</v>
      </c>
      <c r="AG41">
        <v>-0.20243120000000001</v>
      </c>
      <c r="AH41">
        <v>0.60910977699947499</v>
      </c>
      <c r="AI41">
        <v>108.380352013595</v>
      </c>
      <c r="AJ41">
        <v>88.870820857199206</v>
      </c>
      <c r="AK41">
        <v>0.641979167115028</v>
      </c>
      <c r="AL41">
        <v>73.841421866128002</v>
      </c>
      <c r="AM41">
        <v>92.022190751372904</v>
      </c>
      <c r="AN41">
        <v>1.0000000329002201</v>
      </c>
    </row>
    <row r="42" spans="1:40" x14ac:dyDescent="0.25">
      <c r="A42" t="str">
        <f>"20190304164101956"</f>
        <v>20190304164101956</v>
      </c>
      <c r="B42" t="str">
        <f>"1551688861951631"</f>
        <v>1551688861951631</v>
      </c>
      <c r="C42" t="s">
        <v>40</v>
      </c>
      <c r="D42">
        <v>4.8582530000000004</v>
      </c>
      <c r="E42">
        <v>0.54407539999999999</v>
      </c>
      <c r="F42" t="s">
        <v>41</v>
      </c>
      <c r="G42">
        <v>-475.21839999999997</v>
      </c>
      <c r="H42">
        <v>0.9069256</v>
      </c>
      <c r="I42">
        <v>367.19459999999998</v>
      </c>
      <c r="J42">
        <v>-475.88959999999997</v>
      </c>
      <c r="K42">
        <v>1.1104879999999999</v>
      </c>
      <c r="L42">
        <v>367.21120000000002</v>
      </c>
      <c r="M42">
        <v>0.99992639999999999</v>
      </c>
      <c r="N42">
        <v>-1.153406E-2</v>
      </c>
      <c r="O42">
        <v>-3.7958649999999998E-3</v>
      </c>
      <c r="P42">
        <v>0.96316029999999997</v>
      </c>
      <c r="Q42">
        <v>0.26720389999999999</v>
      </c>
      <c r="R42">
        <v>3.0409889999999998E-2</v>
      </c>
      <c r="S42">
        <v>3.396576</v>
      </c>
      <c r="T42">
        <v>-1.0061990000000001</v>
      </c>
      <c r="U42">
        <v>-8.1817630000000002E-2</v>
      </c>
      <c r="V42">
        <v>-3.405416E-2</v>
      </c>
      <c r="W42">
        <v>0.27829500000000001</v>
      </c>
      <c r="X42">
        <v>0.95989170000000001</v>
      </c>
      <c r="Y42">
        <v>1.9562619999999999E-2</v>
      </c>
      <c r="Z42">
        <v>-1.8938169999999999E-3</v>
      </c>
      <c r="AA42">
        <v>0.9998068</v>
      </c>
      <c r="AB42">
        <v>2</v>
      </c>
      <c r="AC42">
        <v>0.67119999999999802</v>
      </c>
      <c r="AD42">
        <v>-0.2035624</v>
      </c>
      <c r="AE42">
        <v>-1.6600000000039399E-2</v>
      </c>
      <c r="AF42">
        <v>1.28689684192971E-2</v>
      </c>
      <c r="AG42">
        <v>-0.2035624</v>
      </c>
      <c r="AH42">
        <v>0.61474846384330495</v>
      </c>
      <c r="AI42">
        <v>108.31757341366</v>
      </c>
      <c r="AJ42">
        <v>88.8007617044466</v>
      </c>
      <c r="AK42">
        <v>0.64770281367278304</v>
      </c>
      <c r="AL42">
        <v>73.841527603173901</v>
      </c>
      <c r="AM42">
        <v>92.031835121220496</v>
      </c>
      <c r="AN42">
        <v>0.99999993428359502</v>
      </c>
    </row>
    <row r="43" spans="1:40" x14ac:dyDescent="0.25">
      <c r="A43" t="str">
        <f>"20190304164101970"</f>
        <v>20190304164101970</v>
      </c>
      <c r="B43" t="str">
        <f>"1551688861961391"</f>
        <v>1551688861961391</v>
      </c>
      <c r="C43" t="s">
        <v>40</v>
      </c>
      <c r="D43">
        <v>4.7309519999999896</v>
      </c>
      <c r="E43">
        <v>0.54437789999999997</v>
      </c>
      <c r="F43" t="s">
        <v>41</v>
      </c>
      <c r="G43">
        <v>-475.21690000000001</v>
      </c>
      <c r="H43">
        <v>0.91060160000000001</v>
      </c>
      <c r="I43">
        <v>367.19389999999999</v>
      </c>
      <c r="J43">
        <v>-475.87549999999999</v>
      </c>
      <c r="K43">
        <v>1.11049</v>
      </c>
      <c r="L43">
        <v>367.21109999999999</v>
      </c>
      <c r="M43">
        <v>0.99992570000000003</v>
      </c>
      <c r="N43">
        <v>-1.156535E-2</v>
      </c>
      <c r="O43">
        <v>-3.8514920000000002E-3</v>
      </c>
      <c r="P43">
        <v>0.96316440000000003</v>
      </c>
      <c r="Q43">
        <v>0.26722010000000002</v>
      </c>
      <c r="R43">
        <v>3.0130850000000001E-2</v>
      </c>
      <c r="S43">
        <v>3.3975219999999999</v>
      </c>
      <c r="T43">
        <v>-1.009444</v>
      </c>
      <c r="U43">
        <v>-8.6639399999999894E-2</v>
      </c>
      <c r="V43">
        <v>-3.3827570000000001E-2</v>
      </c>
      <c r="W43">
        <v>0.27834170000000003</v>
      </c>
      <c r="X43">
        <v>0.95988629999999997</v>
      </c>
      <c r="Y43">
        <v>2.0858189999999999E-2</v>
      </c>
      <c r="Z43">
        <v>-2.0796109999999999E-3</v>
      </c>
      <c r="AA43">
        <v>0.99978029999999996</v>
      </c>
      <c r="AB43">
        <v>2</v>
      </c>
      <c r="AC43">
        <v>0.65859999999997798</v>
      </c>
      <c r="AD43">
        <v>-0.19988839999999999</v>
      </c>
      <c r="AE43">
        <v>-1.7200000000002501E-2</v>
      </c>
      <c r="AF43">
        <v>1.3427110888677599E-2</v>
      </c>
      <c r="AG43">
        <v>-0.19988839999999999</v>
      </c>
      <c r="AH43">
        <v>0.60314074651754401</v>
      </c>
      <c r="AI43">
        <v>108.33160502627599</v>
      </c>
      <c r="AJ43">
        <v>88.724692806643603</v>
      </c>
      <c r="AK43">
        <v>0.635542618453803</v>
      </c>
      <c r="AL43">
        <v>73.838743869728901</v>
      </c>
      <c r="AM43">
        <v>92.018338234905102</v>
      </c>
      <c r="AN43">
        <v>1.00000005768934</v>
      </c>
    </row>
    <row r="44" spans="1:40" x14ac:dyDescent="0.25">
      <c r="A44" t="str">
        <f>"20190304164101988"</f>
        <v>20190304164101988</v>
      </c>
      <c r="B44" t="str">
        <f>"1551688861981887"</f>
        <v>1551688861981887</v>
      </c>
      <c r="C44" t="s">
        <v>40</v>
      </c>
      <c r="D44">
        <v>4.7220740000000001</v>
      </c>
      <c r="E44">
        <v>0.54495109999999902</v>
      </c>
      <c r="F44" t="s">
        <v>41</v>
      </c>
      <c r="G44">
        <v>-475.19580000000002</v>
      </c>
      <c r="H44">
        <v>0.9081671</v>
      </c>
      <c r="I44">
        <v>367.1927</v>
      </c>
      <c r="J44">
        <v>-475.85520000000002</v>
      </c>
      <c r="K44">
        <v>1.1104969999999901</v>
      </c>
      <c r="L44">
        <v>367.21089999999998</v>
      </c>
      <c r="M44">
        <v>0.99992499999999995</v>
      </c>
      <c r="N44">
        <v>-1.160897E-2</v>
      </c>
      <c r="O44">
        <v>-3.9315180000000002E-3</v>
      </c>
      <c r="P44">
        <v>0.96327249999999998</v>
      </c>
      <c r="Q44">
        <v>0.26689990000000002</v>
      </c>
      <c r="R44">
        <v>2.9513640000000001E-2</v>
      </c>
      <c r="S44">
        <v>3.3981020000000002</v>
      </c>
      <c r="T44">
        <v>-1.0112479999999999</v>
      </c>
      <c r="U44">
        <v>-8.9202879999999998E-2</v>
      </c>
      <c r="V44">
        <v>-3.3287039999999997E-2</v>
      </c>
      <c r="W44">
        <v>0.27806510000000001</v>
      </c>
      <c r="X44">
        <v>0.95998530000000004</v>
      </c>
      <c r="Y44">
        <v>2.1499270000000001E-2</v>
      </c>
      <c r="Z44">
        <v>-2.1579519999999999E-3</v>
      </c>
      <c r="AA44">
        <v>0.9997665</v>
      </c>
      <c r="AB44">
        <v>2</v>
      </c>
      <c r="AC44">
        <v>0.65940000000000498</v>
      </c>
      <c r="AD44">
        <v>-0.20232989999999901</v>
      </c>
      <c r="AE44">
        <v>-1.81999999999789E-2</v>
      </c>
      <c r="AF44">
        <v>1.42651906782051E-2</v>
      </c>
      <c r="AG44">
        <v>-0.20232989999999901</v>
      </c>
      <c r="AH44">
        <v>0.60275959412730096</v>
      </c>
      <c r="AI44">
        <v>108.55065405587</v>
      </c>
      <c r="AJ44">
        <v>88.644264343392805</v>
      </c>
      <c r="AK44">
        <v>0.63597170724145002</v>
      </c>
      <c r="AL44">
        <v>73.855242309277898</v>
      </c>
      <c r="AM44">
        <v>91.985908633993802</v>
      </c>
      <c r="AN44">
        <v>1.0000000015430299</v>
      </c>
    </row>
    <row r="45" spans="1:40" x14ac:dyDescent="0.25">
      <c r="A45" t="str">
        <f>"20190304164102000"</f>
        <v>20190304164102000</v>
      </c>
      <c r="B45" t="str">
        <f>"1551688861991647"</f>
        <v>1551688861991647</v>
      </c>
      <c r="C45" t="s">
        <v>40</v>
      </c>
      <c r="D45">
        <v>4.8085550000000001</v>
      </c>
      <c r="E45">
        <v>0.54516919999999902</v>
      </c>
      <c r="F45" t="s">
        <v>41</v>
      </c>
      <c r="G45">
        <v>-475.17419999999998</v>
      </c>
      <c r="H45">
        <v>0.90702830000000001</v>
      </c>
      <c r="I45">
        <v>367.19139999999999</v>
      </c>
      <c r="J45">
        <v>-475.84109999999998</v>
      </c>
      <c r="K45">
        <v>1.110503</v>
      </c>
      <c r="L45">
        <v>367.21080000000001</v>
      </c>
      <c r="M45">
        <v>0.99992440000000005</v>
      </c>
      <c r="N45">
        <v>-1.16384E-2</v>
      </c>
      <c r="O45">
        <v>-3.986776E-3</v>
      </c>
      <c r="P45">
        <v>0.96320850000000002</v>
      </c>
      <c r="Q45">
        <v>0.26715850000000002</v>
      </c>
      <c r="R45">
        <v>2.925374E-2</v>
      </c>
      <c r="S45">
        <v>3.3986510000000001</v>
      </c>
      <c r="T45">
        <v>-1.015379</v>
      </c>
      <c r="U45">
        <v>-9.5428470000000001E-2</v>
      </c>
      <c r="V45">
        <v>-3.3079110000000002E-2</v>
      </c>
      <c r="W45">
        <v>0.27835079999999901</v>
      </c>
      <c r="X45">
        <v>0.95990969999999998</v>
      </c>
      <c r="Y45">
        <v>2.3189089999999999E-2</v>
      </c>
      <c r="Z45">
        <v>-2.4073390000000001E-3</v>
      </c>
      <c r="AA45">
        <v>0.99972819999999996</v>
      </c>
      <c r="AB45">
        <v>2</v>
      </c>
      <c r="AC45">
        <v>0.66689999999999805</v>
      </c>
      <c r="AD45">
        <v>-0.20347469999999901</v>
      </c>
      <c r="AE45">
        <v>-1.9400000000018701E-2</v>
      </c>
      <c r="AF45">
        <v>1.5316307375121199E-2</v>
      </c>
      <c r="AG45">
        <v>-0.20347469999999901</v>
      </c>
      <c r="AH45">
        <v>0.61021558267974996</v>
      </c>
      <c r="AI45">
        <v>108.435408643464</v>
      </c>
      <c r="AJ45">
        <v>88.562187566374504</v>
      </c>
      <c r="AK45">
        <v>0.64342800697271896</v>
      </c>
      <c r="AL45">
        <v>73.838200296075698</v>
      </c>
      <c r="AM45">
        <v>91.973668652336599</v>
      </c>
      <c r="AN45">
        <v>1.0000000137665599</v>
      </c>
    </row>
    <row r="46" spans="1:40" x14ac:dyDescent="0.25">
      <c r="A46" t="str">
        <f>"20190304164102014"</f>
        <v>20190304164102014</v>
      </c>
      <c r="B46" t="str">
        <f>"1551688862001407"</f>
        <v>1551688862001407</v>
      </c>
      <c r="C46" t="s">
        <v>40</v>
      </c>
      <c r="D46">
        <v>4.7985670000000002</v>
      </c>
      <c r="E46">
        <v>0.54537829999999998</v>
      </c>
      <c r="F46" t="s">
        <v>41</v>
      </c>
      <c r="G46">
        <v>-475.17270000000002</v>
      </c>
      <c r="H46">
        <v>0.91060339999999995</v>
      </c>
      <c r="I46">
        <v>367.19119999999998</v>
      </c>
      <c r="J46">
        <v>-475.82749999999999</v>
      </c>
      <c r="K46">
        <v>1.1105149999999999</v>
      </c>
      <c r="L46">
        <v>367.21069999999997</v>
      </c>
      <c r="M46">
        <v>0.99992380000000003</v>
      </c>
      <c r="N46">
        <v>-1.166356E-2</v>
      </c>
      <c r="O46">
        <v>-4.0404539999999997E-3</v>
      </c>
      <c r="P46">
        <v>0.96310200000000001</v>
      </c>
      <c r="Q46">
        <v>0.2675614</v>
      </c>
      <c r="R46">
        <v>2.9075170000000001E-2</v>
      </c>
      <c r="S46">
        <v>3.3995359999999999</v>
      </c>
      <c r="T46">
        <v>-1.016615</v>
      </c>
      <c r="U46">
        <v>-9.8114010000000001E-2</v>
      </c>
      <c r="V46">
        <v>-3.2951750000000002E-2</v>
      </c>
      <c r="W46">
        <v>0.27877679999999999</v>
      </c>
      <c r="X46">
        <v>0.95979049999999999</v>
      </c>
      <c r="Y46">
        <v>2.3885969999999999E-2</v>
      </c>
      <c r="Z46">
        <v>-2.5007699999999998E-3</v>
      </c>
      <c r="AA46">
        <v>0.99971160000000003</v>
      </c>
      <c r="AB46">
        <v>2</v>
      </c>
      <c r="AC46">
        <v>0.65479999999996596</v>
      </c>
      <c r="AD46">
        <v>-0.19991159999999999</v>
      </c>
      <c r="AE46">
        <v>-1.9499999999993599E-2</v>
      </c>
      <c r="AF46">
        <v>1.5418133441444999E-2</v>
      </c>
      <c r="AG46">
        <v>-0.19991159999999999</v>
      </c>
      <c r="AH46">
        <v>0.59908290523283103</v>
      </c>
      <c r="AI46">
        <v>108.447955963851</v>
      </c>
      <c r="AJ46">
        <v>88.525748265778105</v>
      </c>
      <c r="AK46">
        <v>0.63174575107046604</v>
      </c>
      <c r="AL46">
        <v>73.812787170776502</v>
      </c>
      <c r="AM46">
        <v>91.966319662138602</v>
      </c>
      <c r="AN46">
        <v>1.0000000629682699</v>
      </c>
    </row>
    <row r="47" spans="1:40" x14ac:dyDescent="0.25">
      <c r="A47" t="str">
        <f>"20190304164102032"</f>
        <v>20190304164102032</v>
      </c>
      <c r="B47" t="str">
        <f>"1551688862020926"</f>
        <v>1551688862020926</v>
      </c>
      <c r="C47" t="s">
        <v>40</v>
      </c>
      <c r="D47">
        <v>4.8117599999999996</v>
      </c>
      <c r="E47">
        <v>0.54576720000000001</v>
      </c>
      <c r="F47" t="s">
        <v>41</v>
      </c>
      <c r="G47">
        <v>-475.15159999999997</v>
      </c>
      <c r="H47">
        <v>0.90831209999999996</v>
      </c>
      <c r="I47">
        <v>367.1902</v>
      </c>
      <c r="J47">
        <v>-475.80689999999998</v>
      </c>
      <c r="K47">
        <v>1.1105240000000001</v>
      </c>
      <c r="L47">
        <v>367.21050000000002</v>
      </c>
      <c r="M47">
        <v>0.99992320000000001</v>
      </c>
      <c r="N47">
        <v>-1.1697859999999999E-2</v>
      </c>
      <c r="O47">
        <v>-4.1229149999999996E-3</v>
      </c>
      <c r="P47">
        <v>0.96294740000000001</v>
      </c>
      <c r="Q47">
        <v>0.26811390000000002</v>
      </c>
      <c r="R47">
        <v>2.9119349999999999E-2</v>
      </c>
      <c r="S47">
        <v>3.400604</v>
      </c>
      <c r="T47">
        <v>-1.017191</v>
      </c>
      <c r="U47">
        <v>-0.1006165</v>
      </c>
      <c r="V47">
        <v>-3.3074510000000001E-2</v>
      </c>
      <c r="W47">
        <v>0.279360099999999</v>
      </c>
      <c r="X47">
        <v>0.95961660000000004</v>
      </c>
      <c r="Y47">
        <v>2.4504109999999999E-2</v>
      </c>
      <c r="Z47">
        <v>-2.5728230000000001E-3</v>
      </c>
      <c r="AA47">
        <v>0.99969640000000004</v>
      </c>
      <c r="AB47">
        <v>2</v>
      </c>
      <c r="AC47">
        <v>0.65530000000001098</v>
      </c>
      <c r="AD47">
        <v>-0.2022119</v>
      </c>
      <c r="AE47">
        <v>-2.0300000000020101E-2</v>
      </c>
      <c r="AF47">
        <v>1.60692339345813E-2</v>
      </c>
      <c r="AG47">
        <v>-0.2022119</v>
      </c>
      <c r="AH47">
        <v>0.59844790973570805</v>
      </c>
      <c r="AI47">
        <v>108.663536510708</v>
      </c>
      <c r="AJ47">
        <v>88.461891019713605</v>
      </c>
      <c r="AK47">
        <v>0.63189221663816397</v>
      </c>
      <c r="AL47">
        <v>73.777982864819606</v>
      </c>
      <c r="AM47">
        <v>91.973996675780896</v>
      </c>
      <c r="AN47">
        <v>1.0000000038396499</v>
      </c>
    </row>
    <row r="48" spans="1:40" x14ac:dyDescent="0.25">
      <c r="A48" t="str">
        <f>"20190304164102047"</f>
        <v>20190304164102047</v>
      </c>
      <c r="B48" t="str">
        <f>"1551688862041422"</f>
        <v>1551688862041422</v>
      </c>
      <c r="C48" t="s">
        <v>40</v>
      </c>
      <c r="D48">
        <v>4.8039750000000003</v>
      </c>
      <c r="E48">
        <v>0.54612289999999997</v>
      </c>
      <c r="F48" t="s">
        <v>41</v>
      </c>
      <c r="G48">
        <v>-475.12979999999999</v>
      </c>
      <c r="H48">
        <v>0.90767070000000005</v>
      </c>
      <c r="I48">
        <v>367.18970000000002</v>
      </c>
      <c r="J48">
        <v>-475.7903</v>
      </c>
      <c r="K48">
        <v>1.1105290000000001</v>
      </c>
      <c r="L48">
        <v>367.21039999999999</v>
      </c>
      <c r="M48">
        <v>0.99992259999999999</v>
      </c>
      <c r="N48">
        <v>-1.172174E-2</v>
      </c>
      <c r="O48">
        <v>-4.1894559999999898E-3</v>
      </c>
      <c r="P48">
        <v>0.96295050000000004</v>
      </c>
      <c r="Q48">
        <v>0.26812619999999998</v>
      </c>
      <c r="R48">
        <v>2.8888230000000001E-2</v>
      </c>
      <c r="S48">
        <v>3.4023439999999998</v>
      </c>
      <c r="T48">
        <v>-1.019155</v>
      </c>
      <c r="U48">
        <v>-0.1039124</v>
      </c>
      <c r="V48">
        <v>-3.2906690000000002E-2</v>
      </c>
      <c r="W48">
        <v>0.27939540000000002</v>
      </c>
      <c r="X48">
        <v>0.95961209999999997</v>
      </c>
      <c r="Y48">
        <v>2.535138E-2</v>
      </c>
      <c r="Z48">
        <v>-2.6869149999999998E-3</v>
      </c>
      <c r="AA48">
        <v>0.99967499999999998</v>
      </c>
      <c r="AB48">
        <v>2</v>
      </c>
      <c r="AC48">
        <v>0.66050000000001297</v>
      </c>
      <c r="AD48">
        <v>-0.20285829999999999</v>
      </c>
      <c r="AE48">
        <v>-2.0699999999976602E-2</v>
      </c>
      <c r="AF48">
        <v>1.63881506056478E-2</v>
      </c>
      <c r="AG48">
        <v>-0.20285829999999999</v>
      </c>
      <c r="AH48">
        <v>0.60369185380110002</v>
      </c>
      <c r="AI48">
        <v>108.567498582459</v>
      </c>
      <c r="AJ48">
        <v>88.444999206192506</v>
      </c>
      <c r="AK48">
        <v>0.63707449776691905</v>
      </c>
      <c r="AL48">
        <v>73.7758765705087</v>
      </c>
      <c r="AM48">
        <v>91.963997687104893</v>
      </c>
      <c r="AN48">
        <v>1.0000000111271601</v>
      </c>
    </row>
    <row r="49" spans="1:40" x14ac:dyDescent="0.25">
      <c r="A49" t="str">
        <f>"20190304164102067"</f>
        <v>20190304164102067</v>
      </c>
      <c r="B49" t="str">
        <f>"1551688862061918"</f>
        <v>1551688862061918</v>
      </c>
      <c r="C49" t="s">
        <v>40</v>
      </c>
      <c r="D49">
        <v>4.807588</v>
      </c>
      <c r="E49">
        <v>0.54648669999999899</v>
      </c>
      <c r="F49" t="s">
        <v>41</v>
      </c>
      <c r="G49">
        <v>-475.1087</v>
      </c>
      <c r="H49">
        <v>0.90564420000000001</v>
      </c>
      <c r="I49">
        <v>367.18849999999998</v>
      </c>
      <c r="J49">
        <v>-475.7679</v>
      </c>
      <c r="K49">
        <v>1.110535</v>
      </c>
      <c r="L49">
        <v>367.21019999999999</v>
      </c>
      <c r="M49">
        <v>0.99992190000000003</v>
      </c>
      <c r="N49">
        <v>-1.174968E-2</v>
      </c>
      <c r="O49">
        <v>-4.2795000000000003E-3</v>
      </c>
      <c r="P49">
        <v>0.96313300000000002</v>
      </c>
      <c r="Q49">
        <v>0.26745279999999999</v>
      </c>
      <c r="R49">
        <v>2.9053430000000002E-2</v>
      </c>
      <c r="S49">
        <v>3.403473</v>
      </c>
      <c r="T49">
        <v>-1.022915</v>
      </c>
      <c r="U49">
        <v>-0.1071777</v>
      </c>
      <c r="V49">
        <v>-3.3159319999999999E-2</v>
      </c>
      <c r="W49">
        <v>0.27875109999999997</v>
      </c>
      <c r="X49">
        <v>0.95979080000000006</v>
      </c>
      <c r="Y49">
        <v>2.6169100000000001E-2</v>
      </c>
      <c r="Z49">
        <v>-2.7950449999999999E-3</v>
      </c>
      <c r="AA49">
        <v>0.99965360000000003</v>
      </c>
      <c r="AB49">
        <v>2</v>
      </c>
      <c r="AC49">
        <v>0.65919999999999801</v>
      </c>
      <c r="AD49">
        <v>-0.20489080000000001</v>
      </c>
      <c r="AE49">
        <v>-2.1700000000009802E-2</v>
      </c>
      <c r="AF49">
        <v>1.72170645082797E-2</v>
      </c>
      <c r="AG49">
        <v>-0.20489080000000001</v>
      </c>
      <c r="AH49">
        <v>0.60126321815365102</v>
      </c>
      <c r="AI49">
        <v>108.810260145306</v>
      </c>
      <c r="AJ49">
        <v>88.359793820103405</v>
      </c>
      <c r="AK49">
        <v>0.635447971701388</v>
      </c>
      <c r="AL49">
        <v>73.814320203238793</v>
      </c>
      <c r="AM49">
        <v>91.978695489854999</v>
      </c>
      <c r="AN49">
        <v>1.0000000480093501</v>
      </c>
    </row>
    <row r="50" spans="1:40" x14ac:dyDescent="0.25">
      <c r="A50" t="str">
        <f>"20190304164102090"</f>
        <v>20190304164102090</v>
      </c>
      <c r="B50" t="str">
        <f>"1551688862081439"</f>
        <v>1551688862081439</v>
      </c>
      <c r="C50" t="s">
        <v>40</v>
      </c>
      <c r="D50">
        <v>4.8287329999999997</v>
      </c>
      <c r="E50">
        <v>0.5467746</v>
      </c>
      <c r="F50" t="s">
        <v>41</v>
      </c>
      <c r="G50">
        <v>-475.08699999999999</v>
      </c>
      <c r="H50">
        <v>0.90500060000000004</v>
      </c>
      <c r="I50">
        <v>367.18819999999999</v>
      </c>
      <c r="J50">
        <v>-475.74329999999998</v>
      </c>
      <c r="K50">
        <v>1.110538</v>
      </c>
      <c r="L50">
        <v>367.21</v>
      </c>
      <c r="M50">
        <v>0.99992110000000001</v>
      </c>
      <c r="N50">
        <v>-1.1776669999999999E-2</v>
      </c>
      <c r="O50">
        <v>-4.3762139999999998E-3</v>
      </c>
      <c r="P50">
        <v>0.96327549999999995</v>
      </c>
      <c r="Q50">
        <v>0.26691749999999997</v>
      </c>
      <c r="R50">
        <v>2.9250080000000001E-2</v>
      </c>
      <c r="S50">
        <v>3.4033509999999998</v>
      </c>
      <c r="T50">
        <v>-1.0272840000000001</v>
      </c>
      <c r="U50">
        <v>-0.1087646</v>
      </c>
      <c r="V50">
        <v>-3.3450489999999999E-2</v>
      </c>
      <c r="W50">
        <v>0.27824369999999998</v>
      </c>
      <c r="X50">
        <v>0.95992789999999995</v>
      </c>
      <c r="Y50">
        <v>2.6518420000000001E-2</v>
      </c>
      <c r="Z50">
        <v>-2.8324270000000002E-3</v>
      </c>
      <c r="AA50">
        <v>0.99964430000000004</v>
      </c>
      <c r="AB50">
        <v>2</v>
      </c>
      <c r="AC50">
        <v>0.656299999999987</v>
      </c>
      <c r="AD50">
        <v>-0.20553740000000001</v>
      </c>
      <c r="AE50">
        <v>-2.17999999999847E-2</v>
      </c>
      <c r="AF50">
        <v>1.7238598352054799E-2</v>
      </c>
      <c r="AG50">
        <v>-0.20553740000000001</v>
      </c>
      <c r="AH50">
        <v>0.59782003428121</v>
      </c>
      <c r="AI50">
        <v>108.96623898051099</v>
      </c>
      <c r="AJ50">
        <v>88.348290032960904</v>
      </c>
      <c r="AK50">
        <v>0.63240144327783698</v>
      </c>
      <c r="AL50">
        <v>73.844589373700003</v>
      </c>
      <c r="AM50">
        <v>91.995771449951107</v>
      </c>
      <c r="AN50">
        <v>1.0000000325346601</v>
      </c>
    </row>
    <row r="51" spans="1:40" x14ac:dyDescent="0.25">
      <c r="A51" t="str">
        <f>"20190304164102102"</f>
        <v>20190304164102102</v>
      </c>
      <c r="B51" t="str">
        <f>"1551688862091198"</f>
        <v>1551688862091198</v>
      </c>
      <c r="C51" t="s">
        <v>40</v>
      </c>
      <c r="D51">
        <v>4.816751</v>
      </c>
      <c r="E51">
        <v>0.54689699999999997</v>
      </c>
      <c r="F51" t="s">
        <v>41</v>
      </c>
      <c r="G51">
        <v>-475.06509999999997</v>
      </c>
      <c r="H51">
        <v>0.90500250000000004</v>
      </c>
      <c r="I51">
        <v>367.18770000000001</v>
      </c>
      <c r="J51">
        <v>-475.7296</v>
      </c>
      <c r="K51">
        <v>1.110541</v>
      </c>
      <c r="L51">
        <v>367.2099</v>
      </c>
      <c r="M51">
        <v>0.99992080000000005</v>
      </c>
      <c r="N51">
        <v>-1.1790810000000001E-2</v>
      </c>
      <c r="O51">
        <v>-4.4305330000000004E-3</v>
      </c>
      <c r="P51">
        <v>0.96328460000000005</v>
      </c>
      <c r="Q51">
        <v>0.26683499999999999</v>
      </c>
      <c r="R51">
        <v>2.970124E-2</v>
      </c>
      <c r="S51">
        <v>3.4035340000000001</v>
      </c>
      <c r="T51">
        <v>-1.0313669999999999</v>
      </c>
      <c r="U51">
        <v>-0.11019900000000001</v>
      </c>
      <c r="V51">
        <v>-3.3954239999999997E-2</v>
      </c>
      <c r="W51">
        <v>0.27817449999999999</v>
      </c>
      <c r="X51">
        <v>0.95993019999999996</v>
      </c>
      <c r="Y51">
        <v>2.6861570000000001E-2</v>
      </c>
      <c r="Z51">
        <v>-2.8799619999999998E-3</v>
      </c>
      <c r="AA51">
        <v>0.99963500000000005</v>
      </c>
      <c r="AB51">
        <v>2</v>
      </c>
      <c r="AC51">
        <v>0.66450000000003195</v>
      </c>
      <c r="AD51">
        <v>-0.20553850000000001</v>
      </c>
      <c r="AE51">
        <v>-2.2199999999997999E-2</v>
      </c>
      <c r="AF51">
        <v>1.7575806147058299E-2</v>
      </c>
      <c r="AG51">
        <v>-0.20553850000000001</v>
      </c>
      <c r="AH51">
        <v>0.60661859133635099</v>
      </c>
      <c r="AI51">
        <v>108.710441184354</v>
      </c>
      <c r="AJ51">
        <v>88.340410454952902</v>
      </c>
      <c r="AK51">
        <v>0.64073481199234605</v>
      </c>
      <c r="AL51">
        <v>73.848716099914697</v>
      </c>
      <c r="AM51">
        <v>92.025797203601996</v>
      </c>
      <c r="AN51">
        <v>0.999999965868133</v>
      </c>
    </row>
    <row r="52" spans="1:40" x14ac:dyDescent="0.25">
      <c r="A52" t="str">
        <f>"20190304164102114"</f>
        <v>20190304164102114</v>
      </c>
      <c r="B52" t="str">
        <f>"1551688862101936"</f>
        <v>1551688862101936</v>
      </c>
      <c r="C52" t="s">
        <v>40</v>
      </c>
      <c r="D52">
        <v>4.808497</v>
      </c>
      <c r="E52">
        <v>0.54700859999999996</v>
      </c>
      <c r="F52" t="s">
        <v>41</v>
      </c>
      <c r="G52">
        <v>-475.04419999999999</v>
      </c>
      <c r="H52">
        <v>0.9026033</v>
      </c>
      <c r="I52">
        <v>367.1875</v>
      </c>
      <c r="J52">
        <v>-475.71539999999999</v>
      </c>
      <c r="K52">
        <v>1.1105400000000001</v>
      </c>
      <c r="L52">
        <v>367.20979999999997</v>
      </c>
      <c r="M52">
        <v>0.99992040000000004</v>
      </c>
      <c r="N52">
        <v>-1.180377E-2</v>
      </c>
      <c r="O52">
        <v>-4.4852049999999999E-3</v>
      </c>
      <c r="P52">
        <v>0.96332810000000002</v>
      </c>
      <c r="Q52">
        <v>0.26664369999999998</v>
      </c>
      <c r="R52">
        <v>3.000686E-2</v>
      </c>
      <c r="S52">
        <v>3.4038089999999999</v>
      </c>
      <c r="T52">
        <v>-1.0326900000000001</v>
      </c>
      <c r="U52">
        <v>-0.1099854</v>
      </c>
      <c r="V52">
        <v>-3.4312199999999897E-2</v>
      </c>
      <c r="W52">
        <v>0.27799629999999997</v>
      </c>
      <c r="X52">
        <v>0.95996910000000002</v>
      </c>
      <c r="Y52">
        <v>2.6746760000000001E-2</v>
      </c>
      <c r="Z52">
        <v>-2.8499659999999998E-3</v>
      </c>
      <c r="AA52">
        <v>0.99963820000000003</v>
      </c>
      <c r="AB52">
        <v>2</v>
      </c>
      <c r="AC52">
        <v>0.67119999999999802</v>
      </c>
      <c r="AD52">
        <v>-0.207936699999999</v>
      </c>
      <c r="AE52">
        <v>-2.22999999999728E-2</v>
      </c>
      <c r="AF52">
        <v>1.7601640821427102E-2</v>
      </c>
      <c r="AG52">
        <v>-0.207936699999999</v>
      </c>
      <c r="AH52">
        <v>0.61256694862845396</v>
      </c>
      <c r="AI52">
        <v>108.742657014011</v>
      </c>
      <c r="AJ52">
        <v>88.3541026605036</v>
      </c>
      <c r="AK52">
        <v>0.64713658181134504</v>
      </c>
      <c r="AL52">
        <v>73.859345561333996</v>
      </c>
      <c r="AM52">
        <v>92.0470530567369</v>
      </c>
      <c r="AN52">
        <v>0.99999997141866903</v>
      </c>
    </row>
    <row r="53" spans="1:40" x14ac:dyDescent="0.25">
      <c r="A53" t="str">
        <f>"20190304164102132"</f>
        <v>20190304164102132</v>
      </c>
      <c r="B53" t="str">
        <f>"1551688862121455"</f>
        <v>1551688862121455</v>
      </c>
      <c r="C53" t="s">
        <v>40</v>
      </c>
      <c r="D53">
        <v>4.7884539999999998</v>
      </c>
      <c r="E53">
        <v>0.54723500000000003</v>
      </c>
      <c r="F53" t="s">
        <v>41</v>
      </c>
      <c r="G53">
        <v>-475.04270000000002</v>
      </c>
      <c r="H53">
        <v>0.90604010000000001</v>
      </c>
      <c r="I53">
        <v>367.18779999999998</v>
      </c>
      <c r="J53">
        <v>-475.69659999999999</v>
      </c>
      <c r="K53">
        <v>1.110547</v>
      </c>
      <c r="L53">
        <v>367.20960000000002</v>
      </c>
      <c r="M53">
        <v>0.99991969999999997</v>
      </c>
      <c r="N53">
        <v>-1.1819700000000001E-2</v>
      </c>
      <c r="O53">
        <v>-4.5586070000000001E-3</v>
      </c>
      <c r="P53">
        <v>0.96321889999999999</v>
      </c>
      <c r="Q53">
        <v>0.26700170000000001</v>
      </c>
      <c r="R53">
        <v>3.0315950000000001E-2</v>
      </c>
      <c r="S53">
        <v>3.4040530000000002</v>
      </c>
      <c r="T53">
        <v>-1.0347420000000001</v>
      </c>
      <c r="U53">
        <v>-0.1097717</v>
      </c>
      <c r="V53">
        <v>-3.4691890000000003E-2</v>
      </c>
      <c r="W53">
        <v>0.27836830000000001</v>
      </c>
      <c r="X53">
        <v>0.95984769999999997</v>
      </c>
      <c r="Y53">
        <v>2.661374E-2</v>
      </c>
      <c r="Z53">
        <v>-2.813561E-3</v>
      </c>
      <c r="AA53">
        <v>0.99964180000000002</v>
      </c>
      <c r="AB53">
        <v>2</v>
      </c>
      <c r="AC53">
        <v>0.65389999999996395</v>
      </c>
      <c r="AD53">
        <v>-0.20450689999999999</v>
      </c>
      <c r="AE53">
        <v>-2.1800000000041501E-2</v>
      </c>
      <c r="AF53">
        <v>1.7143690634257101E-2</v>
      </c>
      <c r="AG53">
        <v>-0.20450689999999999</v>
      </c>
      <c r="AH53">
        <v>0.59578246282093905</v>
      </c>
      <c r="AI53">
        <v>108.93789670613199</v>
      </c>
      <c r="AJ53">
        <v>88.351763926190699</v>
      </c>
      <c r="AK53">
        <v>0.63013785894926</v>
      </c>
      <c r="AL53">
        <v>73.837156504383898</v>
      </c>
      <c r="AM53">
        <v>92.069947170921495</v>
      </c>
      <c r="AN53">
        <v>1.00000002243597</v>
      </c>
    </row>
    <row r="54" spans="1:40" x14ac:dyDescent="0.25">
      <c r="A54" t="str">
        <f>"20190304164102145"</f>
        <v>20190304164102145</v>
      </c>
      <c r="B54" t="str">
        <f>"1551688862131215"</f>
        <v>1551688862131215</v>
      </c>
      <c r="C54" t="s">
        <v>40</v>
      </c>
      <c r="D54">
        <v>4.793933</v>
      </c>
      <c r="E54">
        <v>0.54735029999999996</v>
      </c>
      <c r="F54" t="s">
        <v>41</v>
      </c>
      <c r="G54">
        <v>-475.0213</v>
      </c>
      <c r="H54">
        <v>0.90510199999999996</v>
      </c>
      <c r="I54">
        <v>367.18709999999999</v>
      </c>
      <c r="J54">
        <v>-475.6823</v>
      </c>
      <c r="K54">
        <v>1.1105510000000001</v>
      </c>
      <c r="L54">
        <v>367.20940000000002</v>
      </c>
      <c r="M54">
        <v>0.99991949999999996</v>
      </c>
      <c r="N54">
        <v>-1.1830729999999999E-2</v>
      </c>
      <c r="O54">
        <v>-4.6148150000000004E-3</v>
      </c>
      <c r="P54">
        <v>0.96311910000000001</v>
      </c>
      <c r="Q54">
        <v>0.26733820000000003</v>
      </c>
      <c r="R54">
        <v>3.0531160000000002E-2</v>
      </c>
      <c r="S54">
        <v>3.4051209999999998</v>
      </c>
      <c r="T54">
        <v>-1.035574</v>
      </c>
      <c r="U54">
        <v>-0.11047360000000001</v>
      </c>
      <c r="V54">
        <v>-3.4960570000000003E-2</v>
      </c>
      <c r="W54">
        <v>0.27871400000000002</v>
      </c>
      <c r="X54">
        <v>0.95973759999999997</v>
      </c>
      <c r="Y54">
        <v>2.6748270000000001E-2</v>
      </c>
      <c r="Z54">
        <v>-2.8197280000000001E-3</v>
      </c>
      <c r="AA54">
        <v>0.99963820000000003</v>
      </c>
      <c r="AB54">
        <v>2</v>
      </c>
      <c r="AC54">
        <v>0.66100000000000103</v>
      </c>
      <c r="AD54">
        <v>-0.20544899999999899</v>
      </c>
      <c r="AE54">
        <v>-2.2300000000029699E-2</v>
      </c>
      <c r="AF54">
        <v>1.7555148064036699E-2</v>
      </c>
      <c r="AG54">
        <v>-0.20544899999999899</v>
      </c>
      <c r="AH54">
        <v>0.60291659527702501</v>
      </c>
      <c r="AI54">
        <v>108.80957281744899</v>
      </c>
      <c r="AJ54">
        <v>88.332187577465902</v>
      </c>
      <c r="AK54">
        <v>0.63720161305899903</v>
      </c>
      <c r="AL54">
        <v>73.816532765348896</v>
      </c>
      <c r="AM54">
        <v>92.086203373584198</v>
      </c>
      <c r="AN54">
        <v>0.99999999805224205</v>
      </c>
    </row>
    <row r="55" spans="1:40" x14ac:dyDescent="0.25">
      <c r="A55" t="str">
        <f>"20190304164102168"</f>
        <v>20190304164102168</v>
      </c>
      <c r="B55" t="str">
        <f>"1551688862161471"</f>
        <v>1551688862161471</v>
      </c>
      <c r="C55" t="s">
        <v>40</v>
      </c>
      <c r="D55">
        <v>4.7778010000000002</v>
      </c>
      <c r="E55">
        <v>0.54766340000000002</v>
      </c>
      <c r="F55" t="s">
        <v>41</v>
      </c>
      <c r="G55">
        <v>-475.00020000000001</v>
      </c>
      <c r="H55">
        <v>0.90319819999999995</v>
      </c>
      <c r="I55">
        <v>367.18720000000002</v>
      </c>
      <c r="J55">
        <v>-475.65750000000003</v>
      </c>
      <c r="K55">
        <v>1.1105579999999999</v>
      </c>
      <c r="L55">
        <v>367.20929999999998</v>
      </c>
      <c r="M55">
        <v>0.9999188</v>
      </c>
      <c r="N55">
        <v>-1.1847379999999999E-2</v>
      </c>
      <c r="O55">
        <v>-4.711944E-3</v>
      </c>
      <c r="P55">
        <v>0.96304990000000001</v>
      </c>
      <c r="Q55">
        <v>0.26757350000000002</v>
      </c>
      <c r="R55">
        <v>3.065039E-2</v>
      </c>
      <c r="S55">
        <v>3.4057919999999999</v>
      </c>
      <c r="T55">
        <v>-1.035388</v>
      </c>
      <c r="U55">
        <v>-0.1104126</v>
      </c>
      <c r="V55">
        <v>-3.5173450000000002E-2</v>
      </c>
      <c r="W55">
        <v>0.27896500000000002</v>
      </c>
      <c r="X55">
        <v>0.95965690000000003</v>
      </c>
      <c r="Y55">
        <v>2.6636839999999998E-2</v>
      </c>
      <c r="Z55">
        <v>-2.7741160000000001E-3</v>
      </c>
      <c r="AA55">
        <v>0.99964129999999995</v>
      </c>
      <c r="AB55">
        <v>2</v>
      </c>
      <c r="AC55">
        <v>0.65730000000001998</v>
      </c>
      <c r="AD55">
        <v>-0.20735980000000001</v>
      </c>
      <c r="AE55">
        <v>-2.2099999999966199E-2</v>
      </c>
      <c r="AF55">
        <v>1.7284154506928499E-2</v>
      </c>
      <c r="AG55">
        <v>-0.20735980000000001</v>
      </c>
      <c r="AH55">
        <v>0.59795407610335405</v>
      </c>
      <c r="AI55">
        <v>109.118227701653</v>
      </c>
      <c r="AJ55">
        <v>88.344298545040004</v>
      </c>
      <c r="AK55">
        <v>0.63312392608530799</v>
      </c>
      <c r="AL55">
        <v>73.801557677752697</v>
      </c>
      <c r="AM55">
        <v>92.099071585880907</v>
      </c>
      <c r="AN55">
        <v>1.00000000426375</v>
      </c>
    </row>
    <row r="56" spans="1:40" x14ac:dyDescent="0.25">
      <c r="A56" t="str">
        <f>"20190304164102180"</f>
        <v>20190304164102180</v>
      </c>
      <c r="B56" t="str">
        <f>"1551688862171231"</f>
        <v>1551688862171231</v>
      </c>
      <c r="C56" t="s">
        <v>40</v>
      </c>
      <c r="D56">
        <v>4.7743169999999999</v>
      </c>
      <c r="E56">
        <v>0.54776069999999999</v>
      </c>
      <c r="F56" t="s">
        <v>41</v>
      </c>
      <c r="G56">
        <v>-474.97829999999999</v>
      </c>
      <c r="H56">
        <v>0.90373159999999997</v>
      </c>
      <c r="I56">
        <v>367.18680000000001</v>
      </c>
      <c r="J56">
        <v>-475.64370000000002</v>
      </c>
      <c r="K56">
        <v>1.1105640000000001</v>
      </c>
      <c r="L56">
        <v>367.20909999999998</v>
      </c>
      <c r="M56">
        <v>0.99991839999999999</v>
      </c>
      <c r="N56">
        <v>-1.1855859999999999E-2</v>
      </c>
      <c r="O56">
        <v>-4.7655190000000002E-3</v>
      </c>
      <c r="P56">
        <v>0.96307339999999997</v>
      </c>
      <c r="Q56">
        <v>0.26744950000000001</v>
      </c>
      <c r="R56">
        <v>3.0988849999999998E-2</v>
      </c>
      <c r="S56">
        <v>3.4069210000000001</v>
      </c>
      <c r="T56">
        <v>-1.037444</v>
      </c>
      <c r="U56">
        <v>-0.1123962</v>
      </c>
      <c r="V56">
        <v>-3.5563659999999997E-2</v>
      </c>
      <c r="W56">
        <v>0.2788486</v>
      </c>
      <c r="X56">
        <v>0.95967630000000004</v>
      </c>
      <c r="Y56">
        <v>2.712964E-2</v>
      </c>
      <c r="Z56">
        <v>-2.839318E-3</v>
      </c>
      <c r="AA56">
        <v>0.99962790000000001</v>
      </c>
      <c r="AB56">
        <v>2</v>
      </c>
      <c r="AC56">
        <v>0.66540000000003297</v>
      </c>
      <c r="AD56">
        <v>-0.2068324</v>
      </c>
      <c r="AE56">
        <v>-2.22999999999728E-2</v>
      </c>
      <c r="AF56">
        <v>1.74448953483777E-2</v>
      </c>
      <c r="AG56">
        <v>-0.2068324</v>
      </c>
      <c r="AH56">
        <v>0.60692300176757696</v>
      </c>
      <c r="AI56">
        <v>108.81129921047599</v>
      </c>
      <c r="AJ56">
        <v>88.353590565222206</v>
      </c>
      <c r="AK56">
        <v>0.64143549647493103</v>
      </c>
      <c r="AL56">
        <v>73.808501723042497</v>
      </c>
      <c r="AM56">
        <v>92.122294389394</v>
      </c>
      <c r="AN56">
        <v>0.99999995820812104</v>
      </c>
    </row>
    <row r="57" spans="1:40" x14ac:dyDescent="0.25">
      <c r="A57" t="str">
        <f>"20190304164102193"</f>
        <v>20190304164102193</v>
      </c>
      <c r="B57" t="str">
        <f>"1551688862181967"</f>
        <v>1551688862181967</v>
      </c>
      <c r="C57" t="s">
        <v>40</v>
      </c>
      <c r="D57">
        <v>4.9180970000000004</v>
      </c>
      <c r="E57">
        <v>0.54787059999999999</v>
      </c>
      <c r="F57" t="s">
        <v>41</v>
      </c>
      <c r="G57">
        <v>-474.97669999999999</v>
      </c>
      <c r="H57">
        <v>0.90722499999999995</v>
      </c>
      <c r="I57">
        <v>367.18700000000001</v>
      </c>
      <c r="J57">
        <v>-475.62979999999999</v>
      </c>
      <c r="K57">
        <v>1.110565</v>
      </c>
      <c r="L57">
        <v>367.209</v>
      </c>
      <c r="M57">
        <v>0.99991810000000003</v>
      </c>
      <c r="N57">
        <v>-1.18642E-2</v>
      </c>
      <c r="O57">
        <v>-4.8199250000000001E-3</v>
      </c>
      <c r="P57">
        <v>0.96301349999999997</v>
      </c>
      <c r="Q57">
        <v>0.26765840000000002</v>
      </c>
      <c r="R57">
        <v>3.1048409999999999E-2</v>
      </c>
      <c r="S57">
        <v>3.4071349999999998</v>
      </c>
      <c r="T57">
        <v>-1.038718</v>
      </c>
      <c r="U57">
        <v>-0.1130676</v>
      </c>
      <c r="V57">
        <v>-3.567526E-2</v>
      </c>
      <c r="W57">
        <v>0.27906520000000001</v>
      </c>
      <c r="X57">
        <v>0.95960919999999905</v>
      </c>
      <c r="Y57">
        <v>2.7263470000000001E-2</v>
      </c>
      <c r="Z57">
        <v>-2.8475620000000001E-3</v>
      </c>
      <c r="AA57">
        <v>0.99962430000000002</v>
      </c>
      <c r="AB57">
        <v>2</v>
      </c>
      <c r="AC57">
        <v>0.65309999999999402</v>
      </c>
      <c r="AD57">
        <v>-0.20333999999999999</v>
      </c>
      <c r="AE57">
        <v>-2.20000000000482E-2</v>
      </c>
      <c r="AF57">
        <v>1.7187433005414102E-2</v>
      </c>
      <c r="AG57">
        <v>-0.20333999999999999</v>
      </c>
      <c r="AH57">
        <v>0.59553495699115999</v>
      </c>
      <c r="AI57">
        <v>108.84471174304601</v>
      </c>
      <c r="AJ57">
        <v>88.346874380083307</v>
      </c>
      <c r="AK57">
        <v>0.62952716260045305</v>
      </c>
      <c r="AL57">
        <v>73.795578535508696</v>
      </c>
      <c r="AM57">
        <v>92.129096832400606</v>
      </c>
      <c r="AN57">
        <v>0.99999996337587205</v>
      </c>
    </row>
    <row r="58" spans="1:40" x14ac:dyDescent="0.25">
      <c r="A58" t="str">
        <f>"20190304164102211"</f>
        <v>20190304164102211</v>
      </c>
      <c r="B58" t="str">
        <f>"1551688862201487"</f>
        <v>1551688862201487</v>
      </c>
      <c r="C58" t="s">
        <v>40</v>
      </c>
      <c r="D58">
        <v>4.7369979999999998</v>
      </c>
      <c r="E58">
        <v>0.54806949999999999</v>
      </c>
      <c r="F58" t="s">
        <v>41</v>
      </c>
      <c r="G58">
        <v>-474.95589999999999</v>
      </c>
      <c r="H58">
        <v>0.90518189999999998</v>
      </c>
      <c r="I58">
        <v>367.18639999999999</v>
      </c>
      <c r="J58">
        <v>-475.61079999999998</v>
      </c>
      <c r="K58">
        <v>1.110574</v>
      </c>
      <c r="L58">
        <v>367.20890000000003</v>
      </c>
      <c r="M58">
        <v>0.99991739999999996</v>
      </c>
      <c r="N58">
        <v>-1.1875709999999999E-2</v>
      </c>
      <c r="O58">
        <v>-4.8940210000000001E-3</v>
      </c>
      <c r="P58">
        <v>0.96291850000000001</v>
      </c>
      <c r="Q58">
        <v>0.267968599999999</v>
      </c>
      <c r="R58">
        <v>3.1317560000000001E-2</v>
      </c>
      <c r="S58">
        <v>3.407562</v>
      </c>
      <c r="T58">
        <v>-1.038516</v>
      </c>
      <c r="U58">
        <v>-0.1141052</v>
      </c>
      <c r="V58">
        <v>-3.6014949999999997E-2</v>
      </c>
      <c r="W58">
        <v>0.2793853</v>
      </c>
      <c r="X58">
        <v>0.95950340000000001</v>
      </c>
      <c r="Y58">
        <v>2.7482650000000001E-2</v>
      </c>
      <c r="Z58">
        <v>-2.85973E-3</v>
      </c>
      <c r="AA58">
        <v>0.99961820000000001</v>
      </c>
      <c r="AB58">
        <v>2</v>
      </c>
      <c r="AC58">
        <v>0.65489999999999704</v>
      </c>
      <c r="AD58">
        <v>-0.20539209999999999</v>
      </c>
      <c r="AE58">
        <v>-2.25000000000363E-2</v>
      </c>
      <c r="AF58">
        <v>1.75684212582892E-2</v>
      </c>
      <c r="AG58">
        <v>-0.20539209999999999</v>
      </c>
      <c r="AH58">
        <v>0.59640880935644203</v>
      </c>
      <c r="AI58">
        <v>108.995106552973</v>
      </c>
      <c r="AJ58">
        <v>88.3127254660494</v>
      </c>
      <c r="AK58">
        <v>0.63102934325266302</v>
      </c>
      <c r="AL58">
        <v>73.776479048594695</v>
      </c>
      <c r="AM58">
        <v>92.149587358493605</v>
      </c>
      <c r="AN58">
        <v>0.99999999854557597</v>
      </c>
    </row>
    <row r="59" spans="1:40" x14ac:dyDescent="0.25">
      <c r="A59" t="str">
        <f>"20190304164102224"</f>
        <v>20190304164102224</v>
      </c>
      <c r="B59" t="str">
        <f>"1551688862212223"</f>
        <v>1551688862212223</v>
      </c>
      <c r="C59" t="s">
        <v>40</v>
      </c>
      <c r="D59">
        <v>4.7789699999999904</v>
      </c>
      <c r="E59">
        <v>0.54816869999999995</v>
      </c>
      <c r="F59" t="s">
        <v>41</v>
      </c>
      <c r="G59">
        <v>-474.93459999999999</v>
      </c>
      <c r="H59">
        <v>0.90448010000000001</v>
      </c>
      <c r="I59">
        <v>367.1857</v>
      </c>
      <c r="J59">
        <v>-475.59690000000001</v>
      </c>
      <c r="K59">
        <v>1.1105780000000001</v>
      </c>
      <c r="L59">
        <v>367.20870000000002</v>
      </c>
      <c r="M59">
        <v>0.9999171</v>
      </c>
      <c r="N59">
        <v>-1.188429E-2</v>
      </c>
      <c r="O59">
        <v>-4.9483119999999998E-3</v>
      </c>
      <c r="P59">
        <v>0.96285690000000002</v>
      </c>
      <c r="Q59">
        <v>0.2681615</v>
      </c>
      <c r="R59">
        <v>3.1558349999999999E-2</v>
      </c>
      <c r="S59">
        <v>3.4083559999999999</v>
      </c>
      <c r="T59">
        <v>-1.038675</v>
      </c>
      <c r="U59">
        <v>-0.11608889999999999</v>
      </c>
      <c r="V59">
        <v>-3.6307850000000003E-2</v>
      </c>
      <c r="W59">
        <v>0.2795858</v>
      </c>
      <c r="X59">
        <v>0.95943400000000001</v>
      </c>
      <c r="Y59">
        <v>2.7980620000000001E-2</v>
      </c>
      <c r="Z59">
        <v>-2.921327E-3</v>
      </c>
      <c r="AA59">
        <v>0.99960420000000005</v>
      </c>
      <c r="AB59">
        <v>2</v>
      </c>
      <c r="AC59">
        <v>0.66230000000001599</v>
      </c>
      <c r="AD59">
        <v>-0.2060979</v>
      </c>
      <c r="AE59">
        <v>-2.3000000000024501E-2</v>
      </c>
      <c r="AF59">
        <v>1.79829201588734E-2</v>
      </c>
      <c r="AG59">
        <v>-0.2060979</v>
      </c>
      <c r="AH59">
        <v>0.60398824946354301</v>
      </c>
      <c r="AI59">
        <v>108.833337808148</v>
      </c>
      <c r="AJ59">
        <v>88.294600706530403</v>
      </c>
      <c r="AK59">
        <v>0.63843679036525303</v>
      </c>
      <c r="AL59">
        <v>73.764515145186493</v>
      </c>
      <c r="AM59">
        <v>92.167209382652103</v>
      </c>
      <c r="AN59">
        <v>1.00000003994463</v>
      </c>
    </row>
    <row r="60" spans="1:40" x14ac:dyDescent="0.25">
      <c r="A60" t="str">
        <f>"20190304164102236"</f>
        <v>20190304164102236</v>
      </c>
      <c r="B60" t="str">
        <f>"1551688862231743"</f>
        <v>1551688862231743</v>
      </c>
      <c r="C60" t="s">
        <v>40</v>
      </c>
      <c r="D60">
        <v>4.7417829999999999</v>
      </c>
      <c r="E60">
        <v>0.54833679999999996</v>
      </c>
      <c r="F60" t="s">
        <v>41</v>
      </c>
      <c r="G60">
        <v>-474.91379999999998</v>
      </c>
      <c r="H60">
        <v>0.90240430000000005</v>
      </c>
      <c r="I60">
        <v>367.18560000000002</v>
      </c>
      <c r="J60">
        <v>-475.58249999999998</v>
      </c>
      <c r="K60">
        <v>1.110582</v>
      </c>
      <c r="L60">
        <v>367.20859999999999</v>
      </c>
      <c r="M60">
        <v>0.99991680000000005</v>
      </c>
      <c r="N60">
        <v>-1.189346E-2</v>
      </c>
      <c r="O60">
        <v>-5.0049869999999998E-3</v>
      </c>
      <c r="P60">
        <v>0.96272599999999997</v>
      </c>
      <c r="Q60">
        <v>0.26858650000000001</v>
      </c>
      <c r="R60">
        <v>3.1935539999999998E-2</v>
      </c>
      <c r="S60">
        <v>3.4088750000000001</v>
      </c>
      <c r="T60">
        <v>-1.0388919999999999</v>
      </c>
      <c r="U60">
        <v>-0.1159058</v>
      </c>
      <c r="V60">
        <v>-3.6739010000000002E-2</v>
      </c>
      <c r="W60">
        <v>0.28001799999999999</v>
      </c>
      <c r="X60">
        <v>0.95929149999999996</v>
      </c>
      <c r="Y60">
        <v>2.7872460000000002E-2</v>
      </c>
      <c r="Z60">
        <v>-2.888659E-3</v>
      </c>
      <c r="AA60">
        <v>0.99960729999999998</v>
      </c>
      <c r="AB60">
        <v>2</v>
      </c>
      <c r="AC60">
        <v>0.66870000000000096</v>
      </c>
      <c r="AD60">
        <v>-0.20817769999999999</v>
      </c>
      <c r="AE60">
        <v>-2.2999999999967699E-2</v>
      </c>
      <c r="AF60">
        <v>1.7918100749718301E-2</v>
      </c>
      <c r="AG60">
        <v>-0.20817769999999999</v>
      </c>
      <c r="AH60">
        <v>0.60977794024008802</v>
      </c>
      <c r="AI60">
        <v>108.84230475210499</v>
      </c>
      <c r="AJ60">
        <v>88.316868894121598</v>
      </c>
      <c r="AK60">
        <v>0.64458370248960795</v>
      </c>
      <c r="AL60">
        <v>73.7387211362106</v>
      </c>
      <c r="AM60">
        <v>92.193245704891197</v>
      </c>
      <c r="AN60">
        <v>1.0000000085760099</v>
      </c>
    </row>
    <row r="61" spans="1:40" x14ac:dyDescent="0.25">
      <c r="A61" t="str">
        <f>"20190304164102258"</f>
        <v>20190304164102258</v>
      </c>
      <c r="B61" t="str">
        <f>"1551688862241502"</f>
        <v>1551688862241502</v>
      </c>
      <c r="C61" t="s">
        <v>40</v>
      </c>
      <c r="D61">
        <v>4.7656650000000003</v>
      </c>
      <c r="E61">
        <v>0.54841790000000001</v>
      </c>
      <c r="F61" t="s">
        <v>41</v>
      </c>
      <c r="G61">
        <v>-474.91210000000001</v>
      </c>
      <c r="H61">
        <v>0.90628719999999996</v>
      </c>
      <c r="I61">
        <v>367.18579999999997</v>
      </c>
      <c r="J61">
        <v>-475.56049999999999</v>
      </c>
      <c r="K61">
        <v>1.110589</v>
      </c>
      <c r="L61">
        <v>367.20839999999998</v>
      </c>
      <c r="M61">
        <v>0.99991620000000003</v>
      </c>
      <c r="N61">
        <v>-1.1909370000000001E-2</v>
      </c>
      <c r="O61">
        <v>-5.0923359999999898E-3</v>
      </c>
      <c r="P61">
        <v>0.96265630000000002</v>
      </c>
      <c r="Q61">
        <v>0.26874540000000002</v>
      </c>
      <c r="R61">
        <v>3.2696799999999998E-2</v>
      </c>
      <c r="S61">
        <v>3.4099430000000002</v>
      </c>
      <c r="T61">
        <v>-1.039172</v>
      </c>
      <c r="U61">
        <v>-0.116394</v>
      </c>
      <c r="V61">
        <v>-3.758417E-2</v>
      </c>
      <c r="W61">
        <v>0.28019100000000002</v>
      </c>
      <c r="X61">
        <v>0.95920830000000001</v>
      </c>
      <c r="Y61">
        <v>2.7918950000000001E-2</v>
      </c>
      <c r="Z61">
        <v>-2.8710530000000001E-3</v>
      </c>
      <c r="AA61">
        <v>0.99960610000000005</v>
      </c>
      <c r="AB61">
        <v>2</v>
      </c>
      <c r="AC61">
        <v>0.64839999999997999</v>
      </c>
      <c r="AD61">
        <v>-0.20430180000000001</v>
      </c>
      <c r="AE61">
        <v>-2.2600000000011201E-2</v>
      </c>
      <c r="AF61">
        <v>1.75567016265528E-2</v>
      </c>
      <c r="AG61">
        <v>-0.20430180000000001</v>
      </c>
      <c r="AH61">
        <v>0.59000274663041197</v>
      </c>
      <c r="AI61">
        <v>109.09173049509</v>
      </c>
      <c r="AJ61">
        <v>88.295553434921302</v>
      </c>
      <c r="AK61">
        <v>0.62462044818167295</v>
      </c>
      <c r="AL61">
        <v>73.728396567589996</v>
      </c>
      <c r="AM61">
        <v>92.243843500053998</v>
      </c>
      <c r="AN61">
        <v>1.00000006455223</v>
      </c>
    </row>
    <row r="62" spans="1:40" x14ac:dyDescent="0.25">
      <c r="A62" t="str">
        <f>"20190304164102282"</f>
        <v>20190304164102282</v>
      </c>
      <c r="B62" t="str">
        <f>"1551688862271759"</f>
        <v>1551688862271759</v>
      </c>
      <c r="C62" t="s">
        <v>40</v>
      </c>
      <c r="D62">
        <v>4.6971290000000003</v>
      </c>
      <c r="E62">
        <v>0.5486434</v>
      </c>
      <c r="F62" t="s">
        <v>41</v>
      </c>
      <c r="G62">
        <v>-474.89049999999997</v>
      </c>
      <c r="H62">
        <v>0.90635279999999996</v>
      </c>
      <c r="I62">
        <v>367.18540000000002</v>
      </c>
      <c r="J62">
        <v>-475.53550000000001</v>
      </c>
      <c r="K62">
        <v>1.1105969999999901</v>
      </c>
      <c r="L62">
        <v>367.2081</v>
      </c>
      <c r="M62">
        <v>0.99991540000000001</v>
      </c>
      <c r="N62">
        <v>-1.1930430000000001E-2</v>
      </c>
      <c r="O62">
        <v>-5.1908049999999997E-3</v>
      </c>
      <c r="P62">
        <v>0.96267659999999999</v>
      </c>
      <c r="Q62">
        <v>0.2685227</v>
      </c>
      <c r="R62">
        <v>3.3902469999999997E-2</v>
      </c>
      <c r="S62">
        <v>3.4105219999999998</v>
      </c>
      <c r="T62">
        <v>-1.0394699999999999</v>
      </c>
      <c r="U62">
        <v>-0.1151428</v>
      </c>
      <c r="V62">
        <v>-3.8884589999999997E-2</v>
      </c>
      <c r="W62">
        <v>0.27998869999999998</v>
      </c>
      <c r="X62">
        <v>0.9592155</v>
      </c>
      <c r="Y62">
        <v>2.74732E-2</v>
      </c>
      <c r="Z62">
        <v>-2.774458E-3</v>
      </c>
      <c r="AA62">
        <v>0.99961869999999997</v>
      </c>
      <c r="AB62">
        <v>2</v>
      </c>
      <c r="AC62">
        <v>0.64500000000003799</v>
      </c>
      <c r="AD62">
        <v>-0.20424419999999899</v>
      </c>
      <c r="AE62">
        <v>-2.2699999999986099E-2</v>
      </c>
      <c r="AF62">
        <v>1.7589802525314301E-2</v>
      </c>
      <c r="AG62">
        <v>-0.20424419999999899</v>
      </c>
      <c r="AH62">
        <v>0.58638394640354696</v>
      </c>
      <c r="AI62">
        <v>109.195806164004</v>
      </c>
      <c r="AJ62">
        <v>88.281809505544302</v>
      </c>
      <c r="AK62">
        <v>0.62118534028606698</v>
      </c>
      <c r="AL62">
        <v>73.740470201788895</v>
      </c>
      <c r="AM62">
        <v>92.321380022264194</v>
      </c>
      <c r="AN62">
        <v>1.0000000294536999</v>
      </c>
    </row>
    <row r="63" spans="1:40" x14ac:dyDescent="0.25">
      <c r="A63" t="str">
        <f>"20190304164102298"</f>
        <v>20190304164102298</v>
      </c>
      <c r="B63" t="str">
        <f>"1551688862291278"</f>
        <v>1551688862291278</v>
      </c>
      <c r="C63" t="s">
        <v>40</v>
      </c>
      <c r="D63">
        <v>4.7568089999999996</v>
      </c>
      <c r="E63">
        <v>0.54880739999999995</v>
      </c>
      <c r="F63" t="s">
        <v>41</v>
      </c>
      <c r="G63">
        <v>-474.86869999999999</v>
      </c>
      <c r="H63">
        <v>0.90682439999999997</v>
      </c>
      <c r="I63">
        <v>367.18619999999999</v>
      </c>
      <c r="J63">
        <v>-475.51650000000001</v>
      </c>
      <c r="K63">
        <v>1.1106049999999901</v>
      </c>
      <c r="L63">
        <v>367.2079</v>
      </c>
      <c r="M63">
        <v>0.99991479999999999</v>
      </c>
      <c r="N63">
        <v>-1.194895E-2</v>
      </c>
      <c r="O63">
        <v>-5.2654160000000002E-3</v>
      </c>
      <c r="P63">
        <v>0.9627076</v>
      </c>
      <c r="Q63">
        <v>0.26836539999999998</v>
      </c>
      <c r="R63">
        <v>3.4264889999999999E-2</v>
      </c>
      <c r="S63">
        <v>3.4110109999999998</v>
      </c>
      <c r="T63">
        <v>-1.04244</v>
      </c>
      <c r="U63">
        <v>-0.11267089999999901</v>
      </c>
      <c r="V63">
        <v>-3.9318930000000002E-2</v>
      </c>
      <c r="W63">
        <v>0.27984949999999997</v>
      </c>
      <c r="X63">
        <v>0.95923840000000005</v>
      </c>
      <c r="Y63">
        <v>2.6704120000000001E-2</v>
      </c>
      <c r="Z63">
        <v>-2.6404760000000001E-3</v>
      </c>
      <c r="AA63">
        <v>0.99963990000000003</v>
      </c>
      <c r="AB63">
        <v>2</v>
      </c>
      <c r="AC63">
        <v>0.64780000000001703</v>
      </c>
      <c r="AD63">
        <v>-0.20378059999999901</v>
      </c>
      <c r="AE63">
        <v>-2.1700000000009802E-2</v>
      </c>
      <c r="AF63">
        <v>1.6643395243496902E-2</v>
      </c>
      <c r="AG63">
        <v>-0.20378059999999901</v>
      </c>
      <c r="AH63">
        <v>0.58962366358806295</v>
      </c>
      <c r="AI63">
        <v>109.05868466555</v>
      </c>
      <c r="AJ63">
        <v>88.383132805150694</v>
      </c>
      <c r="AK63">
        <v>0.62406698374821901</v>
      </c>
      <c r="AL63">
        <v>73.748777635158405</v>
      </c>
      <c r="AM63">
        <v>92.347224967625294</v>
      </c>
      <c r="AN63">
        <v>1.0000000144705701</v>
      </c>
    </row>
    <row r="64" spans="1:40" x14ac:dyDescent="0.25">
      <c r="A64" t="str">
        <f>"20190304164102312"</f>
        <v>20190304164102312</v>
      </c>
      <c r="B64" t="str">
        <f>"1551688862302015"</f>
        <v>1551688862302015</v>
      </c>
      <c r="C64" t="s">
        <v>40</v>
      </c>
      <c r="D64">
        <v>4.6754259999999999</v>
      </c>
      <c r="E64">
        <v>0.54888029999999999</v>
      </c>
      <c r="F64" t="s">
        <v>41</v>
      </c>
      <c r="G64">
        <v>-474.84750000000003</v>
      </c>
      <c r="H64">
        <v>0.90590599999999999</v>
      </c>
      <c r="I64">
        <v>367.18560000000002</v>
      </c>
      <c r="J64">
        <v>-475.5016</v>
      </c>
      <c r="K64">
        <v>1.1105989999999999</v>
      </c>
      <c r="L64">
        <v>367.20769999999999</v>
      </c>
      <c r="M64">
        <v>0.99991430000000003</v>
      </c>
      <c r="N64">
        <v>-1.1964809999999999E-2</v>
      </c>
      <c r="O64">
        <v>-5.324517E-3</v>
      </c>
      <c r="P64">
        <v>0.96268399999999998</v>
      </c>
      <c r="Q64">
        <v>0.2683663</v>
      </c>
      <c r="R64">
        <v>3.491578E-2</v>
      </c>
      <c r="S64">
        <v>3.4112239999999998</v>
      </c>
      <c r="T64">
        <v>-1.043812</v>
      </c>
      <c r="U64">
        <v>-0.1131287</v>
      </c>
      <c r="V64">
        <v>-4.0026340000000001E-2</v>
      </c>
      <c r="W64">
        <v>0.27986559999999999</v>
      </c>
      <c r="X64">
        <v>0.95920439999999996</v>
      </c>
      <c r="Y64">
        <v>2.6773580000000002E-2</v>
      </c>
      <c r="Z64">
        <v>-2.637501E-3</v>
      </c>
      <c r="AA64">
        <v>0.99963800000000003</v>
      </c>
      <c r="AB64">
        <v>2</v>
      </c>
      <c r="AC64">
        <v>0.65409999999997104</v>
      </c>
      <c r="AD64">
        <v>-0.20469299999999899</v>
      </c>
      <c r="AE64">
        <v>-2.2099999999966199E-2</v>
      </c>
      <c r="AF64">
        <v>1.6957872743555299E-2</v>
      </c>
      <c r="AG64">
        <v>-0.20469299999999899</v>
      </c>
      <c r="AH64">
        <v>0.59591658010286397</v>
      </c>
      <c r="AI64">
        <v>108.950099287368</v>
      </c>
      <c r="AJ64">
        <v>88.369985951111801</v>
      </c>
      <c r="AK64">
        <v>0.63032004897391603</v>
      </c>
      <c r="AL64">
        <v>73.747816060529004</v>
      </c>
      <c r="AM64">
        <v>92.389491355460706</v>
      </c>
      <c r="AN64">
        <v>0.99999997146825703</v>
      </c>
    </row>
    <row r="65" spans="1:40" x14ac:dyDescent="0.25">
      <c r="A65" t="str">
        <f>"20190304164102333"</f>
        <v>20190304164102333</v>
      </c>
      <c r="B65" t="str">
        <f>"1551688862321535"</f>
        <v>1551688862321535</v>
      </c>
      <c r="C65" t="s">
        <v>40</v>
      </c>
      <c r="D65">
        <v>4.6946120000000002</v>
      </c>
      <c r="E65">
        <v>0.54905159999999997</v>
      </c>
      <c r="F65" t="s">
        <v>41</v>
      </c>
      <c r="G65">
        <v>-474.82690000000002</v>
      </c>
      <c r="H65">
        <v>0.90404799999999996</v>
      </c>
      <c r="I65">
        <v>367.18549999999999</v>
      </c>
      <c r="J65">
        <v>-475.47919999999999</v>
      </c>
      <c r="K65">
        <v>1.1106049999999901</v>
      </c>
      <c r="L65">
        <v>367.20749999999998</v>
      </c>
      <c r="M65">
        <v>0.99991350000000001</v>
      </c>
      <c r="N65">
        <v>-1.198984E-2</v>
      </c>
      <c r="O65">
        <v>-5.4127580000000002E-3</v>
      </c>
      <c r="P65">
        <v>0.96258410000000005</v>
      </c>
      <c r="Q65">
        <v>0.2686711</v>
      </c>
      <c r="R65">
        <v>3.5322390000000002E-2</v>
      </c>
      <c r="S65">
        <v>3.41153</v>
      </c>
      <c r="T65">
        <v>-1.0443910000000001</v>
      </c>
      <c r="U65">
        <v>-0.1118164</v>
      </c>
      <c r="V65">
        <v>-4.0517640000000001E-2</v>
      </c>
      <c r="W65">
        <v>0.28019290000000002</v>
      </c>
      <c r="X65">
        <v>0.9590883</v>
      </c>
      <c r="Y65">
        <v>2.6322439999999999E-2</v>
      </c>
      <c r="Z65">
        <v>-2.543437E-3</v>
      </c>
      <c r="AA65">
        <v>0.99965020000000004</v>
      </c>
      <c r="AB65">
        <v>2</v>
      </c>
      <c r="AC65">
        <v>0.65229999999996802</v>
      </c>
      <c r="AD65">
        <v>-0.20655699999999899</v>
      </c>
      <c r="AE65">
        <v>-2.1999999999991301E-2</v>
      </c>
      <c r="AF65">
        <v>1.67872794994052E-2</v>
      </c>
      <c r="AG65">
        <v>-0.20655699999999899</v>
      </c>
      <c r="AH65">
        <v>0.59301368708053703</v>
      </c>
      <c r="AI65">
        <v>109.196990161728</v>
      </c>
      <c r="AJ65">
        <v>88.378480159282404</v>
      </c>
      <c r="AK65">
        <v>0.62818217108323204</v>
      </c>
      <c r="AL65">
        <v>73.728282982919794</v>
      </c>
      <c r="AM65">
        <v>92.4190787979676</v>
      </c>
      <c r="AN65">
        <v>1.00000005377923</v>
      </c>
    </row>
    <row r="66" spans="1:40" x14ac:dyDescent="0.25">
      <c r="A66" t="str">
        <f>"20190304164102345"</f>
        <v>20190304164102345</v>
      </c>
      <c r="B66" t="str">
        <f>"1551688862331295"</f>
        <v>1551688862331295</v>
      </c>
      <c r="C66" t="s">
        <v>40</v>
      </c>
      <c r="D66">
        <v>4.67692</v>
      </c>
      <c r="E66">
        <v>0.54913619999999996</v>
      </c>
      <c r="F66" t="s">
        <v>41</v>
      </c>
      <c r="G66">
        <v>-474.80540000000002</v>
      </c>
      <c r="H66">
        <v>0.90435600000000005</v>
      </c>
      <c r="I66">
        <v>367.18509999999998</v>
      </c>
      <c r="J66">
        <v>-475.46570000000003</v>
      </c>
      <c r="K66">
        <v>1.110616</v>
      </c>
      <c r="L66">
        <v>367.20740000000001</v>
      </c>
      <c r="M66">
        <v>0.9999131</v>
      </c>
      <c r="N66">
        <v>-1.2005679999999999E-2</v>
      </c>
      <c r="O66">
        <v>-5.4662540000000003E-3</v>
      </c>
      <c r="P66">
        <v>0.96262800000000004</v>
      </c>
      <c r="Q66">
        <v>0.26849780000000001</v>
      </c>
      <c r="R66">
        <v>3.545069E-2</v>
      </c>
      <c r="S66">
        <v>3.4120789999999999</v>
      </c>
      <c r="T66">
        <v>-1.0442629999999999</v>
      </c>
      <c r="U66">
        <v>-0.1108398</v>
      </c>
      <c r="V66">
        <v>-4.0698409999999997E-2</v>
      </c>
      <c r="W66">
        <v>0.28003489999999998</v>
      </c>
      <c r="X66">
        <v>0.9591267</v>
      </c>
      <c r="Y66">
        <v>2.5996120000000001E-2</v>
      </c>
      <c r="Z66">
        <v>-2.4769319999999998E-3</v>
      </c>
      <c r="AA66">
        <v>0.99965899999999996</v>
      </c>
      <c r="AB66">
        <v>2</v>
      </c>
      <c r="AC66">
        <v>0.66030000000000599</v>
      </c>
      <c r="AD66">
        <v>-0.20626</v>
      </c>
      <c r="AE66">
        <v>-2.2300000000029699E-2</v>
      </c>
      <c r="AF66">
        <v>1.7030179066650102E-2</v>
      </c>
      <c r="AG66">
        <v>-0.20626</v>
      </c>
      <c r="AH66">
        <v>0.60176091550894895</v>
      </c>
      <c r="AI66">
        <v>108.912666564481</v>
      </c>
      <c r="AJ66">
        <v>88.378929267687099</v>
      </c>
      <c r="AK66">
        <v>0.63635635773771504</v>
      </c>
      <c r="AL66">
        <v>73.737711775805707</v>
      </c>
      <c r="AM66">
        <v>92.4297614771924</v>
      </c>
      <c r="AN66">
        <v>0.99999996622371301</v>
      </c>
    </row>
    <row r="67" spans="1:40" x14ac:dyDescent="0.25">
      <c r="A67" t="str">
        <f>"20190304164102358"</f>
        <v>20190304164102358</v>
      </c>
      <c r="B67" t="str">
        <f>"1551688862351791"</f>
        <v>1551688862351791</v>
      </c>
      <c r="C67" t="s">
        <v>40</v>
      </c>
      <c r="D67">
        <v>4.6678850000000001</v>
      </c>
      <c r="E67">
        <v>0.54930029999999996</v>
      </c>
      <c r="F67" t="s">
        <v>41</v>
      </c>
      <c r="G67">
        <v>-474.78489999999999</v>
      </c>
      <c r="H67">
        <v>0.90209030000000001</v>
      </c>
      <c r="I67">
        <v>367.18529999999998</v>
      </c>
      <c r="J67">
        <v>-475.45119999999997</v>
      </c>
      <c r="K67">
        <v>1.1106199999999999</v>
      </c>
      <c r="L67">
        <v>367.2072</v>
      </c>
      <c r="M67">
        <v>0.99991260000000004</v>
      </c>
      <c r="N67">
        <v>-1.202338E-2</v>
      </c>
      <c r="O67">
        <v>-5.5234569999999998E-3</v>
      </c>
      <c r="P67">
        <v>0.96238710000000005</v>
      </c>
      <c r="Q67">
        <v>0.26933820000000003</v>
      </c>
      <c r="R67">
        <v>3.5609059999999998E-2</v>
      </c>
      <c r="S67">
        <v>3.412048</v>
      </c>
      <c r="T67">
        <v>-1.0451269999999999</v>
      </c>
      <c r="U67">
        <v>-0.1108398</v>
      </c>
      <c r="V67">
        <v>-4.0910500000000002E-2</v>
      </c>
      <c r="W67">
        <v>0.28088950000000001</v>
      </c>
      <c r="X67">
        <v>0.95886780000000005</v>
      </c>
      <c r="Y67">
        <v>2.5942509999999998E-2</v>
      </c>
      <c r="Z67">
        <v>-2.4542629999999999E-3</v>
      </c>
      <c r="AA67">
        <v>0.9996604</v>
      </c>
      <c r="AB67">
        <v>2</v>
      </c>
      <c r="AC67">
        <v>0.66629999999997802</v>
      </c>
      <c r="AD67">
        <v>-0.20852970000000001</v>
      </c>
      <c r="AE67">
        <v>-2.1900000000016399E-2</v>
      </c>
      <c r="AF67">
        <v>1.6595387667964801E-2</v>
      </c>
      <c r="AG67">
        <v>-0.20852970000000001</v>
      </c>
      <c r="AH67">
        <v>0.60701862169113796</v>
      </c>
      <c r="AI67">
        <v>108.952608181846</v>
      </c>
      <c r="AJ67">
        <v>88.433970807527402</v>
      </c>
      <c r="AK67">
        <v>0.64205268456237197</v>
      </c>
      <c r="AL67">
        <v>73.686700307404806</v>
      </c>
      <c r="AM67">
        <v>92.443066967948795</v>
      </c>
      <c r="AN67">
        <v>1.00000001904867</v>
      </c>
    </row>
    <row r="68" spans="1:40" x14ac:dyDescent="0.25">
      <c r="A68" t="str">
        <f>"20190304164102371"</f>
        <v>20190304164102371</v>
      </c>
      <c r="B68" t="str">
        <f>"1551688862361551"</f>
        <v>1551688862361551</v>
      </c>
      <c r="C68" t="s">
        <v>40</v>
      </c>
      <c r="D68">
        <v>4.6826759999999998</v>
      </c>
      <c r="E68">
        <v>0.5493806</v>
      </c>
      <c r="F68" t="s">
        <v>41</v>
      </c>
      <c r="G68">
        <v>-474.78309999999999</v>
      </c>
      <c r="H68">
        <v>0.90641159999999998</v>
      </c>
      <c r="I68">
        <v>367.18529999999998</v>
      </c>
      <c r="J68">
        <v>-475.43849999999998</v>
      </c>
      <c r="K68">
        <v>1.1106240000000001</v>
      </c>
      <c r="L68">
        <v>367.2072</v>
      </c>
      <c r="M68">
        <v>0.99991200000000002</v>
      </c>
      <c r="N68">
        <v>-1.204007E-2</v>
      </c>
      <c r="O68">
        <v>-5.5736229999999998E-3</v>
      </c>
      <c r="P68">
        <v>0.96235919999999997</v>
      </c>
      <c r="Q68">
        <v>0.269376</v>
      </c>
      <c r="R68">
        <v>3.607341E-2</v>
      </c>
      <c r="S68">
        <v>3.4133</v>
      </c>
      <c r="T68">
        <v>-1.0430900000000001</v>
      </c>
      <c r="U68">
        <v>-0.1118774</v>
      </c>
      <c r="V68">
        <v>-4.1422359999999998E-2</v>
      </c>
      <c r="W68">
        <v>0.280943</v>
      </c>
      <c r="X68">
        <v>0.95883010000000002</v>
      </c>
      <c r="Y68">
        <v>2.6179210000000001E-2</v>
      </c>
      <c r="Z68">
        <v>-2.4720380000000002E-3</v>
      </c>
      <c r="AA68">
        <v>0.99965420000000005</v>
      </c>
      <c r="AB68">
        <v>2</v>
      </c>
      <c r="AC68">
        <v>0.65539999999998599</v>
      </c>
      <c r="AD68">
        <v>-0.20421239999999999</v>
      </c>
      <c r="AE68">
        <v>-2.1900000000016399E-2</v>
      </c>
      <c r="AF68">
        <v>1.6633393503090399E-2</v>
      </c>
      <c r="AG68">
        <v>-0.20421239999999999</v>
      </c>
      <c r="AH68">
        <v>0.59756235682909997</v>
      </c>
      <c r="AI68">
        <v>108.86068497429601</v>
      </c>
      <c r="AJ68">
        <v>88.405560168168705</v>
      </c>
      <c r="AK68">
        <v>0.63171207396434703</v>
      </c>
      <c r="AL68">
        <v>73.683505563360598</v>
      </c>
      <c r="AM68">
        <v>92.473693299341406</v>
      </c>
      <c r="AN68">
        <v>0.99999997091148896</v>
      </c>
    </row>
    <row r="69" spans="1:40" x14ac:dyDescent="0.25">
      <c r="A69" t="str">
        <f>"20190304164102390"</f>
        <v>20190304164102390</v>
      </c>
      <c r="B69" t="str">
        <f>"1551688862381070"</f>
        <v>1551688862381070</v>
      </c>
      <c r="C69" t="s">
        <v>40</v>
      </c>
      <c r="D69">
        <v>4.6913960000000001</v>
      </c>
      <c r="E69">
        <v>0.54952819999999902</v>
      </c>
      <c r="F69" t="s">
        <v>41</v>
      </c>
      <c r="G69">
        <v>-474.7627</v>
      </c>
      <c r="H69">
        <v>0.90405049999999998</v>
      </c>
      <c r="I69">
        <v>367.1848</v>
      </c>
      <c r="J69">
        <v>-475.41809999999998</v>
      </c>
      <c r="K69">
        <v>1.1106279999999999</v>
      </c>
      <c r="L69">
        <v>367.20690000000002</v>
      </c>
      <c r="M69">
        <v>0.99991129999999995</v>
      </c>
      <c r="N69">
        <v>-1.2067909999999999E-2</v>
      </c>
      <c r="O69">
        <v>-5.6535369999999897E-3</v>
      </c>
      <c r="P69">
        <v>0.96233630000000003</v>
      </c>
      <c r="Q69">
        <v>0.26939839999999998</v>
      </c>
      <c r="R69">
        <v>3.6525189999999999E-2</v>
      </c>
      <c r="S69">
        <v>3.4135439999999999</v>
      </c>
      <c r="T69">
        <v>-1.0431999999999999</v>
      </c>
      <c r="U69">
        <v>-0.1112976</v>
      </c>
      <c r="V69">
        <v>-4.1951179999999998E-2</v>
      </c>
      <c r="W69">
        <v>0.28099150000000001</v>
      </c>
      <c r="X69">
        <v>0.95879289999999995</v>
      </c>
      <c r="Y69">
        <v>2.5941760000000001E-2</v>
      </c>
      <c r="Z69">
        <v>-2.412782E-3</v>
      </c>
      <c r="AA69">
        <v>0.99966060000000001</v>
      </c>
      <c r="AB69">
        <v>2</v>
      </c>
      <c r="AC69">
        <v>0.65539999999998599</v>
      </c>
      <c r="AD69">
        <v>-0.2065775</v>
      </c>
      <c r="AE69">
        <v>-2.2100000000023101E-2</v>
      </c>
      <c r="AF69">
        <v>1.6733518473182801E-2</v>
      </c>
      <c r="AG69">
        <v>-0.2065775</v>
      </c>
      <c r="AH69">
        <v>0.59633762603519802</v>
      </c>
      <c r="AI69">
        <v>109.09963982005701</v>
      </c>
      <c r="AJ69">
        <v>88.392674849916801</v>
      </c>
      <c r="AK69">
        <v>0.63132625351084304</v>
      </c>
      <c r="AL69">
        <v>73.680610146038106</v>
      </c>
      <c r="AM69">
        <v>92.5053308843585</v>
      </c>
      <c r="AN69">
        <v>0.99999997483302505</v>
      </c>
    </row>
    <row r="70" spans="1:40" x14ac:dyDescent="0.25">
      <c r="A70" t="str">
        <f>"20190304164102403"</f>
        <v>20190304164102403</v>
      </c>
      <c r="B70" t="str">
        <f>"1551688862391806"</f>
        <v>1551688862391806</v>
      </c>
      <c r="C70" t="s">
        <v>40</v>
      </c>
      <c r="D70">
        <v>4.6555600000000004</v>
      </c>
      <c r="E70">
        <v>0.54958379999999996</v>
      </c>
      <c r="F70" t="s">
        <v>41</v>
      </c>
      <c r="G70">
        <v>-474.74149999999997</v>
      </c>
      <c r="H70">
        <v>0.90375589999999995</v>
      </c>
      <c r="I70">
        <v>367.18450000000001</v>
      </c>
      <c r="J70">
        <v>-475.40410000000003</v>
      </c>
      <c r="K70">
        <v>1.1106320000000001</v>
      </c>
      <c r="L70">
        <v>367.20679999999999</v>
      </c>
      <c r="M70">
        <v>0.99991059999999998</v>
      </c>
      <c r="N70">
        <v>-1.208767E-2</v>
      </c>
      <c r="O70">
        <v>-5.7082490000000003E-3</v>
      </c>
      <c r="P70">
        <v>0.96231690000000003</v>
      </c>
      <c r="Q70">
        <v>0.2694474</v>
      </c>
      <c r="R70">
        <v>3.6664500000000003E-2</v>
      </c>
      <c r="S70">
        <v>3.41391</v>
      </c>
      <c r="T70">
        <v>-1.043714</v>
      </c>
      <c r="U70">
        <v>-0.111969</v>
      </c>
      <c r="V70">
        <v>-4.214325E-2</v>
      </c>
      <c r="W70">
        <v>0.28105920000000001</v>
      </c>
      <c r="X70">
        <v>0.95876470000000003</v>
      </c>
      <c r="Y70">
        <v>2.6075089999999999E-2</v>
      </c>
      <c r="Z70">
        <v>-2.4190000000000001E-3</v>
      </c>
      <c r="AA70">
        <v>0.99965700000000002</v>
      </c>
      <c r="AB70">
        <v>2</v>
      </c>
      <c r="AC70">
        <v>0.66260000000005403</v>
      </c>
      <c r="AD70">
        <v>-0.20687610000000001</v>
      </c>
      <c r="AE70">
        <v>-2.22999999999728E-2</v>
      </c>
      <c r="AF70">
        <v>1.6874044893364699E-2</v>
      </c>
      <c r="AG70">
        <v>-0.20687610000000001</v>
      </c>
      <c r="AH70">
        <v>0.60391333385936596</v>
      </c>
      <c r="AI70">
        <v>108.902517251028</v>
      </c>
      <c r="AJ70">
        <v>88.399505326640295</v>
      </c>
      <c r="AK70">
        <v>0.63858732288967901</v>
      </c>
      <c r="AL70">
        <v>73.676569409805595</v>
      </c>
      <c r="AM70">
        <v>92.516860549118405</v>
      </c>
      <c r="AN70">
        <v>1.00000003869564</v>
      </c>
    </row>
    <row r="71" spans="1:40" x14ac:dyDescent="0.25">
      <c r="A71" t="str">
        <f>"20190304164102416"</f>
        <v>20190304164102416</v>
      </c>
      <c r="B71" t="str">
        <f>"1551688862401567"</f>
        <v>1551688862401567</v>
      </c>
      <c r="C71" t="s">
        <v>40</v>
      </c>
      <c r="D71">
        <v>4.6680859999999997</v>
      </c>
      <c r="E71">
        <v>0.54963680000000004</v>
      </c>
      <c r="F71" t="s">
        <v>41</v>
      </c>
      <c r="G71">
        <v>-474.72109999999998</v>
      </c>
      <c r="H71">
        <v>0.90171299999999999</v>
      </c>
      <c r="I71">
        <v>367.18419999999998</v>
      </c>
      <c r="J71">
        <v>-475.39019999999999</v>
      </c>
      <c r="K71">
        <v>1.110635</v>
      </c>
      <c r="L71">
        <v>367.20670000000001</v>
      </c>
      <c r="M71">
        <v>0.99991019999999997</v>
      </c>
      <c r="N71">
        <v>-1.2108300000000001E-2</v>
      </c>
      <c r="O71">
        <v>-5.7624919999999897E-3</v>
      </c>
      <c r="P71">
        <v>0.96237600000000001</v>
      </c>
      <c r="Q71">
        <v>0.26923819999999998</v>
      </c>
      <c r="R71">
        <v>3.665032E-2</v>
      </c>
      <c r="S71">
        <v>3.4140929999999998</v>
      </c>
      <c r="T71">
        <v>-1.044257</v>
      </c>
      <c r="U71">
        <v>-0.1115723</v>
      </c>
      <c r="V71">
        <v>-4.2181780000000002E-2</v>
      </c>
      <c r="W71">
        <v>0.28087060000000003</v>
      </c>
      <c r="X71">
        <v>0.95881819999999895</v>
      </c>
      <c r="Y71">
        <v>2.59121E-2</v>
      </c>
      <c r="Z71">
        <v>-2.3794290000000002E-3</v>
      </c>
      <c r="AA71">
        <v>0.99966140000000003</v>
      </c>
      <c r="AB71">
        <v>2</v>
      </c>
      <c r="AC71">
        <v>0.66910000000001402</v>
      </c>
      <c r="AD71">
        <v>-0.208922</v>
      </c>
      <c r="AE71">
        <v>-2.25000000000363E-2</v>
      </c>
      <c r="AF71">
        <v>1.69891585693191E-2</v>
      </c>
      <c r="AG71">
        <v>-0.208922</v>
      </c>
      <c r="AH71">
        <v>0.60982981317864904</v>
      </c>
      <c r="AI71">
        <v>108.904167739537</v>
      </c>
      <c r="AJ71">
        <v>88.404218104485096</v>
      </c>
      <c r="AK71">
        <v>0.64484838112101905</v>
      </c>
      <c r="AL71">
        <v>73.687827773993604</v>
      </c>
      <c r="AM71">
        <v>92.519018275115798</v>
      </c>
      <c r="AN71">
        <v>0.99999996857978302</v>
      </c>
    </row>
    <row r="72" spans="1:40" x14ac:dyDescent="0.25">
      <c r="A72" t="str">
        <f>"20190304164102434"</f>
        <v>20190304164102434</v>
      </c>
      <c r="B72" t="str">
        <f>"1551688862421088"</f>
        <v>1551688862421088</v>
      </c>
      <c r="C72" t="s">
        <v>40</v>
      </c>
      <c r="D72">
        <v>4.6559369999999998</v>
      </c>
      <c r="E72">
        <v>0.54976440000000004</v>
      </c>
      <c r="F72" t="s">
        <v>41</v>
      </c>
      <c r="G72">
        <v>-474.71960000000001</v>
      </c>
      <c r="H72">
        <v>0.90518980000000004</v>
      </c>
      <c r="I72">
        <v>367.18459999999999</v>
      </c>
      <c r="J72">
        <v>-475.37209999999999</v>
      </c>
      <c r="K72">
        <v>1.1106389999999999</v>
      </c>
      <c r="L72">
        <v>367.20650000000001</v>
      </c>
      <c r="M72">
        <v>0.9999093</v>
      </c>
      <c r="N72">
        <v>-1.2136549999999999E-2</v>
      </c>
      <c r="O72">
        <v>-5.8326350000000001E-3</v>
      </c>
      <c r="P72">
        <v>0.96238939999999995</v>
      </c>
      <c r="Q72">
        <v>0.26921450000000002</v>
      </c>
      <c r="R72">
        <v>3.6473709999999999E-2</v>
      </c>
      <c r="S72">
        <v>3.4141240000000002</v>
      </c>
      <c r="T72">
        <v>-1.045866</v>
      </c>
      <c r="U72">
        <v>-0.1109619</v>
      </c>
      <c r="V72">
        <v>-4.207292E-2</v>
      </c>
      <c r="W72">
        <v>0.28087430000000002</v>
      </c>
      <c r="X72">
        <v>0.95882199999999995</v>
      </c>
      <c r="Y72">
        <v>2.5674430000000002E-2</v>
      </c>
      <c r="Z72">
        <v>-2.3259040000000002E-3</v>
      </c>
      <c r="AA72">
        <v>0.99966759999999999</v>
      </c>
      <c r="AB72">
        <v>2</v>
      </c>
      <c r="AC72">
        <v>0.65249999999997499</v>
      </c>
      <c r="AD72">
        <v>-0.205449199999999</v>
      </c>
      <c r="AE72">
        <v>-2.1900000000016399E-2</v>
      </c>
      <c r="AF72">
        <v>1.6463228585112202E-2</v>
      </c>
      <c r="AG72">
        <v>-0.205449199999999</v>
      </c>
      <c r="AH72">
        <v>0.59381245923044901</v>
      </c>
      <c r="AI72">
        <v>109.077965495621</v>
      </c>
      <c r="AJ72">
        <v>88.411902734795007</v>
      </c>
      <c r="AK72">
        <v>0.62856475276092205</v>
      </c>
      <c r="AL72">
        <v>73.687608510335806</v>
      </c>
      <c r="AM72">
        <v>92.512515753038002</v>
      </c>
      <c r="AN72">
        <v>1.0000000653409</v>
      </c>
    </row>
    <row r="73" spans="1:40" x14ac:dyDescent="0.25">
      <c r="A73" t="str">
        <f>"20190304164102448"</f>
        <v>20190304164102448</v>
      </c>
      <c r="B73" t="str">
        <f>"1551688862441583"</f>
        <v>1551688862441583</v>
      </c>
      <c r="C73" t="s">
        <v>40</v>
      </c>
      <c r="D73">
        <v>4.6614940000000002</v>
      </c>
      <c r="E73">
        <v>0.54988239999999999</v>
      </c>
      <c r="F73" t="s">
        <v>41</v>
      </c>
      <c r="G73">
        <v>-474.69880000000001</v>
      </c>
      <c r="H73">
        <v>0.90416609999999997</v>
      </c>
      <c r="I73">
        <v>367.18470000000002</v>
      </c>
      <c r="J73">
        <v>-475.35579999999999</v>
      </c>
      <c r="K73">
        <v>1.1106419999999999</v>
      </c>
      <c r="L73">
        <v>367.2063</v>
      </c>
      <c r="M73">
        <v>0.99990869999999998</v>
      </c>
      <c r="N73">
        <v>-1.2163240000000001E-2</v>
      </c>
      <c r="O73">
        <v>-5.8952579999999996E-3</v>
      </c>
      <c r="P73">
        <v>0.96244909999999995</v>
      </c>
      <c r="Q73">
        <v>0.26902320000000002</v>
      </c>
      <c r="R73">
        <v>3.6310469999999997E-2</v>
      </c>
      <c r="S73">
        <v>3.4143680000000001</v>
      </c>
      <c r="T73">
        <v>-1.047132</v>
      </c>
      <c r="U73">
        <v>-0.11059570000000001</v>
      </c>
      <c r="V73">
        <v>-4.1970340000000002E-2</v>
      </c>
      <c r="W73">
        <v>0.28070909999999999</v>
      </c>
      <c r="X73">
        <v>0.95887480000000003</v>
      </c>
      <c r="Y73">
        <v>2.5510620000000001E-2</v>
      </c>
      <c r="Z73">
        <v>-2.2851070000000002E-3</v>
      </c>
      <c r="AA73">
        <v>0.99967189999999995</v>
      </c>
      <c r="AB73">
        <v>2</v>
      </c>
      <c r="AC73">
        <v>0.65699999999998204</v>
      </c>
      <c r="AD73">
        <v>-0.20647589999999999</v>
      </c>
      <c r="AE73">
        <v>-2.1599999999978001E-2</v>
      </c>
      <c r="AF73">
        <v>1.6134347402492599E-2</v>
      </c>
      <c r="AG73">
        <v>-0.20647589999999999</v>
      </c>
      <c r="AH73">
        <v>0.59810700157756103</v>
      </c>
      <c r="AI73">
        <v>109.039048425489</v>
      </c>
      <c r="AJ73">
        <v>88.454781711870794</v>
      </c>
      <c r="AK73">
        <v>0.63294912890611899</v>
      </c>
      <c r="AL73">
        <v>73.697469358277999</v>
      </c>
      <c r="AM73">
        <v>92.506259852070997</v>
      </c>
      <c r="AN73">
        <v>0.99999999516878202</v>
      </c>
    </row>
    <row r="74" spans="1:40" x14ac:dyDescent="0.25">
      <c r="A74" t="str">
        <f>"20190304164102463"</f>
        <v>20190304164102463</v>
      </c>
      <c r="B74" t="str">
        <f>"1551688862451342"</f>
        <v>1551688862451342</v>
      </c>
      <c r="C74" t="s">
        <v>40</v>
      </c>
      <c r="D74">
        <v>4.701505</v>
      </c>
      <c r="E74">
        <v>0.54994339999999997</v>
      </c>
      <c r="F74" t="s">
        <v>41</v>
      </c>
      <c r="G74">
        <v>-474.67829999999998</v>
      </c>
      <c r="H74">
        <v>0.90251210000000004</v>
      </c>
      <c r="I74">
        <v>367.18369999999999</v>
      </c>
      <c r="J74">
        <v>-475.34140000000002</v>
      </c>
      <c r="K74">
        <v>1.110646</v>
      </c>
      <c r="L74">
        <v>367.20609999999999</v>
      </c>
      <c r="M74">
        <v>0.99990809999999997</v>
      </c>
      <c r="N74">
        <v>-1.2187699999999999E-2</v>
      </c>
      <c r="O74">
        <v>-5.9504769999999896E-3</v>
      </c>
      <c r="P74">
        <v>0.96241169999999998</v>
      </c>
      <c r="Q74">
        <v>0.26916950000000001</v>
      </c>
      <c r="R74">
        <v>3.6219170000000002E-2</v>
      </c>
      <c r="S74">
        <v>3.4144589999999901</v>
      </c>
      <c r="T74">
        <v>-1.048881</v>
      </c>
      <c r="U74">
        <v>-0.1123657</v>
      </c>
      <c r="V74">
        <v>-4.1932049999999998E-2</v>
      </c>
      <c r="W74">
        <v>0.28087800000000002</v>
      </c>
      <c r="X74">
        <v>0.95882699999999998</v>
      </c>
      <c r="Y74">
        <v>2.5950319999999999E-2</v>
      </c>
      <c r="Z74">
        <v>-2.3416130000000002E-3</v>
      </c>
      <c r="AA74">
        <v>0.99966049999999995</v>
      </c>
      <c r="AB74">
        <v>2</v>
      </c>
      <c r="AC74">
        <v>0.66310000000004199</v>
      </c>
      <c r="AD74">
        <v>-0.20813390000000001</v>
      </c>
      <c r="AE74">
        <v>-2.24000000000046E-2</v>
      </c>
      <c r="AF74">
        <v>1.68002619715764E-2</v>
      </c>
      <c r="AG74">
        <v>-0.20813390000000001</v>
      </c>
      <c r="AH74">
        <v>0.60380232347288398</v>
      </c>
      <c r="AI74">
        <v>109.01251771285099</v>
      </c>
      <c r="AJ74">
        <v>88.406207166154701</v>
      </c>
      <c r="AK74">
        <v>0.63888904745877195</v>
      </c>
      <c r="AL74">
        <v>73.6873862233967</v>
      </c>
      <c r="AM74">
        <v>92.504100946147403</v>
      </c>
      <c r="AN74">
        <v>0.99999998181510097</v>
      </c>
    </row>
    <row r="75" spans="1:40" x14ac:dyDescent="0.25">
      <c r="A75" t="str">
        <f>"20190304164102480"</f>
        <v>20190304164102480</v>
      </c>
      <c r="B75" t="str">
        <f>"1551688862471839"</f>
        <v>1551688862471839</v>
      </c>
      <c r="C75" t="s">
        <v>40</v>
      </c>
      <c r="D75">
        <v>4.6882479999999997</v>
      </c>
      <c r="E75">
        <v>0.55005019999999905</v>
      </c>
      <c r="F75" t="s">
        <v>41</v>
      </c>
      <c r="G75">
        <v>-474.65800000000002</v>
      </c>
      <c r="H75">
        <v>0.90070629999999996</v>
      </c>
      <c r="I75">
        <v>367.18329999999997</v>
      </c>
      <c r="J75">
        <v>-475.32240000000002</v>
      </c>
      <c r="K75">
        <v>1.1106499999999999</v>
      </c>
      <c r="L75">
        <v>367.20589999999999</v>
      </c>
      <c r="M75">
        <v>0.99990730000000005</v>
      </c>
      <c r="N75">
        <v>-1.22211E-2</v>
      </c>
      <c r="O75">
        <v>-6.0217250000000003E-3</v>
      </c>
      <c r="P75">
        <v>0.96237649999999997</v>
      </c>
      <c r="Q75">
        <v>0.26933780000000002</v>
      </c>
      <c r="R75">
        <v>3.5901540000000003E-2</v>
      </c>
      <c r="S75">
        <v>3.4148559999999999</v>
      </c>
      <c r="T75">
        <v>-1.04904</v>
      </c>
      <c r="U75">
        <v>-0.11346440000000001</v>
      </c>
      <c r="V75">
        <v>-4.1682619999999997E-2</v>
      </c>
      <c r="W75">
        <v>0.28107799999999999</v>
      </c>
      <c r="X75">
        <v>0.9587793</v>
      </c>
      <c r="Y75">
        <v>2.61879E-2</v>
      </c>
      <c r="Z75">
        <v>-2.358925E-3</v>
      </c>
      <c r="AA75">
        <v>0.99965420000000005</v>
      </c>
      <c r="AB75">
        <v>2</v>
      </c>
      <c r="AC75">
        <v>0.66439999999999999</v>
      </c>
      <c r="AD75">
        <v>-0.20994370000000001</v>
      </c>
      <c r="AE75">
        <v>-2.2600000000011201E-2</v>
      </c>
      <c r="AF75">
        <v>1.6911774923771099E-2</v>
      </c>
      <c r="AG75">
        <v>-0.20994370000000001</v>
      </c>
      <c r="AH75">
        <v>0.60425877127287997</v>
      </c>
      <c r="AI75">
        <v>109.152321687097</v>
      </c>
      <c r="AJ75">
        <v>88.396845042810895</v>
      </c>
      <c r="AK75">
        <v>0.63991485993136099</v>
      </c>
      <c r="AL75">
        <v>73.675446596338304</v>
      </c>
      <c r="AM75">
        <v>92.489347946029795</v>
      </c>
      <c r="AN75">
        <v>1.00000001450127</v>
      </c>
    </row>
    <row r="76" spans="1:40" x14ac:dyDescent="0.25">
      <c r="A76" t="str">
        <f>"20190304164102497"</f>
        <v>20190304164102497</v>
      </c>
      <c r="B76" t="str">
        <f>"1551688862492335"</f>
        <v>1551688862492335</v>
      </c>
      <c r="C76" t="s">
        <v>40</v>
      </c>
      <c r="D76">
        <v>4.8730900000000004</v>
      </c>
      <c r="E76">
        <v>0.55016229999999999</v>
      </c>
      <c r="F76" t="s">
        <v>41</v>
      </c>
      <c r="G76">
        <v>-474.6558</v>
      </c>
      <c r="H76">
        <v>0.90586480000000003</v>
      </c>
      <c r="I76">
        <v>367.18279999999999</v>
      </c>
      <c r="J76">
        <v>-475.30560000000003</v>
      </c>
      <c r="K76">
        <v>1.110657</v>
      </c>
      <c r="L76">
        <v>367.20580000000001</v>
      </c>
      <c r="M76">
        <v>0.99990650000000003</v>
      </c>
      <c r="N76">
        <v>-1.2252570000000001E-2</v>
      </c>
      <c r="O76">
        <v>-6.0842569999999896E-3</v>
      </c>
      <c r="P76">
        <v>0.96225510000000003</v>
      </c>
      <c r="Q76">
        <v>0.26980599999999999</v>
      </c>
      <c r="R76">
        <v>3.5635149999999997E-2</v>
      </c>
      <c r="S76">
        <v>3.4152830000000001</v>
      </c>
      <c r="T76">
        <v>-1.04908</v>
      </c>
      <c r="U76">
        <v>-0.1179504</v>
      </c>
      <c r="V76">
        <v>-4.1475619999999998E-2</v>
      </c>
      <c r="W76">
        <v>0.28157529999999997</v>
      </c>
      <c r="X76">
        <v>0.95864229999999995</v>
      </c>
      <c r="Y76">
        <v>2.7378360000000001E-2</v>
      </c>
      <c r="Z76">
        <v>-2.5274310000000001E-3</v>
      </c>
      <c r="AA76">
        <v>0.99962189999999995</v>
      </c>
      <c r="AB76">
        <v>2</v>
      </c>
      <c r="AC76">
        <v>0.64980000000002702</v>
      </c>
      <c r="AD76">
        <v>-0.20479219999999901</v>
      </c>
      <c r="AE76">
        <v>-2.3000000000024501E-2</v>
      </c>
      <c r="AF76">
        <v>1.7326856016614899E-2</v>
      </c>
      <c r="AG76">
        <v>-0.20479219999999901</v>
      </c>
      <c r="AH76">
        <v>0.59127210876840197</v>
      </c>
      <c r="AI76">
        <v>109.0963657204</v>
      </c>
      <c r="AJ76">
        <v>88.321463707519698</v>
      </c>
      <c r="AK76">
        <v>0.62597345928377301</v>
      </c>
      <c r="AL76">
        <v>73.645753408215796</v>
      </c>
      <c r="AM76">
        <v>92.477354583054904</v>
      </c>
      <c r="AN76">
        <v>0.99999996798688096</v>
      </c>
    </row>
    <row r="77" spans="1:40" x14ac:dyDescent="0.25">
      <c r="A77" t="str">
        <f>"20190304164102512"</f>
        <v>20190304164102512</v>
      </c>
      <c r="B77" t="str">
        <f>"1551688862501120"</f>
        <v>1551688862501120</v>
      </c>
      <c r="C77" t="s">
        <v>40</v>
      </c>
      <c r="D77">
        <v>4.6911379999999996</v>
      </c>
      <c r="E77">
        <v>0.55020839999999904</v>
      </c>
      <c r="F77" t="s">
        <v>41</v>
      </c>
      <c r="G77">
        <v>-474.63510000000002</v>
      </c>
      <c r="H77">
        <v>0.90487980000000001</v>
      </c>
      <c r="I77">
        <v>367.18180000000001</v>
      </c>
      <c r="J77">
        <v>-475.28890000000001</v>
      </c>
      <c r="K77">
        <v>1.1106640000000001</v>
      </c>
      <c r="L77">
        <v>367.2056</v>
      </c>
      <c r="M77">
        <v>0.99990559999999995</v>
      </c>
      <c r="N77">
        <v>-1.228517E-2</v>
      </c>
      <c r="O77">
        <v>-6.1458429999999998E-3</v>
      </c>
      <c r="P77">
        <v>0.96224759999999998</v>
      </c>
      <c r="Q77">
        <v>0.26995089999999999</v>
      </c>
      <c r="R77">
        <v>3.4728500000000002E-2</v>
      </c>
      <c r="S77">
        <v>3.4160460000000001</v>
      </c>
      <c r="T77">
        <v>-1.0483469999999999</v>
      </c>
      <c r="U77">
        <v>-0.1203003</v>
      </c>
      <c r="V77">
        <v>-4.0628669999999999E-2</v>
      </c>
      <c r="W77">
        <v>0.28175109999999998</v>
      </c>
      <c r="X77">
        <v>0.95862700000000001</v>
      </c>
      <c r="Y77">
        <v>2.797173E-2</v>
      </c>
      <c r="Z77">
        <v>-2.6010199999999999E-3</v>
      </c>
      <c r="AA77">
        <v>0.99960539999999998</v>
      </c>
      <c r="AB77">
        <v>2</v>
      </c>
      <c r="AC77">
        <v>0.65379999999998895</v>
      </c>
      <c r="AD77">
        <v>-0.205784199999999</v>
      </c>
      <c r="AE77">
        <v>-2.3799999999994201E-2</v>
      </c>
      <c r="AF77">
        <v>1.8000206901461199E-2</v>
      </c>
      <c r="AG77">
        <v>-0.205784199999999</v>
      </c>
      <c r="AH77">
        <v>0.59506039361052199</v>
      </c>
      <c r="AI77">
        <v>109.06835293899201</v>
      </c>
      <c r="AJ77">
        <v>88.267366634586594</v>
      </c>
      <c r="AK77">
        <v>0.62989524245071504</v>
      </c>
      <c r="AL77">
        <v>73.6352571453086</v>
      </c>
      <c r="AM77">
        <v>92.426865736440206</v>
      </c>
      <c r="AN77">
        <v>1.00000004815308</v>
      </c>
    </row>
    <row r="78" spans="1:40" x14ac:dyDescent="0.25">
      <c r="A78" t="str">
        <f>"20190304164102526"</f>
        <v>20190304164102526</v>
      </c>
      <c r="B78" t="str">
        <f>"1551688862511855"</f>
        <v>1551688862511855</v>
      </c>
      <c r="C78" t="s">
        <v>40</v>
      </c>
      <c r="D78">
        <v>4.6883759999999999</v>
      </c>
      <c r="E78">
        <v>0.55025199999999996</v>
      </c>
      <c r="F78" t="s">
        <v>41</v>
      </c>
      <c r="G78">
        <v>-474.6146</v>
      </c>
      <c r="H78">
        <v>0.90369440000000001</v>
      </c>
      <c r="I78">
        <v>367.18110000000001</v>
      </c>
      <c r="J78">
        <v>-475.27460000000002</v>
      </c>
      <c r="K78">
        <v>1.1106689999999999</v>
      </c>
      <c r="L78">
        <v>367.2054</v>
      </c>
      <c r="M78">
        <v>0.99990500000000004</v>
      </c>
      <c r="N78">
        <v>-1.231373E-2</v>
      </c>
      <c r="O78">
        <v>-6.1981079999999999E-3</v>
      </c>
      <c r="P78">
        <v>0.96224469999999995</v>
      </c>
      <c r="Q78">
        <v>0.26997110000000002</v>
      </c>
      <c r="R78">
        <v>3.4654049999999999E-2</v>
      </c>
      <c r="S78">
        <v>3.4163209999999999</v>
      </c>
      <c r="T78">
        <v>-1.048529</v>
      </c>
      <c r="U78">
        <v>-0.1237183</v>
      </c>
      <c r="V78">
        <v>-4.0604300000000003E-2</v>
      </c>
      <c r="W78">
        <v>0.28179860000000001</v>
      </c>
      <c r="X78">
        <v>0.95861399999999997</v>
      </c>
      <c r="Y78">
        <v>2.887412E-2</v>
      </c>
      <c r="Z78">
        <v>-2.7277410000000001E-3</v>
      </c>
      <c r="AA78">
        <v>0.99957929999999995</v>
      </c>
      <c r="AB78">
        <v>2</v>
      </c>
      <c r="AC78">
        <v>0.66000000000002501</v>
      </c>
      <c r="AD78">
        <v>-0.20697460000000001</v>
      </c>
      <c r="AE78">
        <v>-2.4299999999982402E-2</v>
      </c>
      <c r="AF78">
        <v>1.8401273587448901E-2</v>
      </c>
      <c r="AG78">
        <v>-0.20697460000000001</v>
      </c>
      <c r="AH78">
        <v>0.60110329250741601</v>
      </c>
      <c r="AI78">
        <v>108.991582553086</v>
      </c>
      <c r="AJ78">
        <v>88.246580628231797</v>
      </c>
      <c r="AK78">
        <v>0.63600492150458698</v>
      </c>
      <c r="AL78">
        <v>73.632419525935006</v>
      </c>
      <c r="AM78">
        <v>92.425444638431003</v>
      </c>
      <c r="AN78">
        <v>0.99999998056822403</v>
      </c>
    </row>
    <row r="79" spans="1:40" x14ac:dyDescent="0.25">
      <c r="A79" t="str">
        <f>"20190304164102538"</f>
        <v>20190304164102538</v>
      </c>
      <c r="B79" t="str">
        <f>"1551688862532351"</f>
        <v>1551688862532351</v>
      </c>
      <c r="C79" t="s">
        <v>40</v>
      </c>
      <c r="D79">
        <v>4.7064399999999997</v>
      </c>
      <c r="E79">
        <v>0.55034019999999995</v>
      </c>
      <c r="F79" t="s">
        <v>41</v>
      </c>
      <c r="G79">
        <v>-474.59449999999998</v>
      </c>
      <c r="H79">
        <v>0.90182280000000004</v>
      </c>
      <c r="I79">
        <v>367.18009999999998</v>
      </c>
      <c r="J79">
        <v>-475.26089999999999</v>
      </c>
      <c r="K79">
        <v>1.1106739999999999</v>
      </c>
      <c r="L79">
        <v>367.20530000000002</v>
      </c>
      <c r="M79">
        <v>0.99990429999999997</v>
      </c>
      <c r="N79">
        <v>-1.2341609999999999E-2</v>
      </c>
      <c r="O79">
        <v>-6.2476290000000002E-3</v>
      </c>
      <c r="P79">
        <v>0.96216109999999999</v>
      </c>
      <c r="Q79">
        <v>0.27028370000000002</v>
      </c>
      <c r="R79">
        <v>3.4536480000000001E-2</v>
      </c>
      <c r="S79">
        <v>3.4165339999999902</v>
      </c>
      <c r="T79">
        <v>-1.0490109999999999</v>
      </c>
      <c r="U79">
        <v>-0.12442019999999999</v>
      </c>
      <c r="V79">
        <v>-4.0534269999999997E-2</v>
      </c>
      <c r="W79">
        <v>0.28213719999999998</v>
      </c>
      <c r="X79">
        <v>0.95851739999999996</v>
      </c>
      <c r="Y79">
        <v>2.9021459999999999E-2</v>
      </c>
      <c r="Z79">
        <v>-2.7380320000000001E-3</v>
      </c>
      <c r="AA79">
        <v>0.99957499999999999</v>
      </c>
      <c r="AB79">
        <v>2</v>
      </c>
      <c r="AC79">
        <v>0.66640000000000998</v>
      </c>
      <c r="AD79">
        <v>-0.20885119999999899</v>
      </c>
      <c r="AE79">
        <v>-2.52000000000407E-2</v>
      </c>
      <c r="AF79">
        <v>1.9156854038499999E-2</v>
      </c>
      <c r="AG79">
        <v>-0.20885119999999899</v>
      </c>
      <c r="AH79">
        <v>0.60700863629725599</v>
      </c>
      <c r="AI79">
        <v>108.97784036127599</v>
      </c>
      <c r="AJ79">
        <v>88.192377122407194</v>
      </c>
      <c r="AK79">
        <v>0.64221903844213901</v>
      </c>
      <c r="AL79">
        <v>73.612199294105196</v>
      </c>
      <c r="AM79">
        <v>92.421510197285002</v>
      </c>
      <c r="AN79">
        <v>1.0000000163855101</v>
      </c>
    </row>
    <row r="80" spans="1:40" x14ac:dyDescent="0.25">
      <c r="A80" t="str">
        <f>"20190304164102557"</f>
        <v>20190304164102557</v>
      </c>
      <c r="B80" t="str">
        <f>"1551688862551871"</f>
        <v>1551688862551871</v>
      </c>
      <c r="C80" t="s">
        <v>40</v>
      </c>
      <c r="D80">
        <v>4.6954250000000002</v>
      </c>
      <c r="E80">
        <v>0.55045149999999998</v>
      </c>
      <c r="F80" t="s">
        <v>41</v>
      </c>
      <c r="G80">
        <v>-474.59280000000001</v>
      </c>
      <c r="H80">
        <v>0.90559109999999998</v>
      </c>
      <c r="I80">
        <v>367.18009999999998</v>
      </c>
      <c r="J80">
        <v>-475.24090000000001</v>
      </c>
      <c r="K80">
        <v>1.110673</v>
      </c>
      <c r="L80">
        <v>367.20510000000002</v>
      </c>
      <c r="M80">
        <v>0.99990369999999995</v>
      </c>
      <c r="N80">
        <v>-1.2359469999999999E-2</v>
      </c>
      <c r="O80">
        <v>-6.3196220000000004E-3</v>
      </c>
      <c r="P80">
        <v>0.96203669999999997</v>
      </c>
      <c r="Q80">
        <v>0.27064650000000001</v>
      </c>
      <c r="R80">
        <v>3.5158210000000002E-2</v>
      </c>
      <c r="S80">
        <v>3.4171749999999999</v>
      </c>
      <c r="T80">
        <v>-1.048799</v>
      </c>
      <c r="U80">
        <v>-0.12600710000000001</v>
      </c>
      <c r="V80">
        <v>-4.1224219999999999E-2</v>
      </c>
      <c r="W80">
        <v>0.28251500000000002</v>
      </c>
      <c r="X80">
        <v>0.95837660000000002</v>
      </c>
      <c r="Y80">
        <v>2.9392270000000002E-2</v>
      </c>
      <c r="Z80">
        <v>-2.7746939999999999E-3</v>
      </c>
      <c r="AA80">
        <v>0.99956409999999996</v>
      </c>
      <c r="AB80">
        <v>2</v>
      </c>
      <c r="AC80">
        <v>0.64809999999999901</v>
      </c>
      <c r="AD80">
        <v>-0.20508190000000001</v>
      </c>
      <c r="AE80">
        <v>-2.5000000000034099E-2</v>
      </c>
      <c r="AF80">
        <v>1.90034269951413E-2</v>
      </c>
      <c r="AG80">
        <v>-0.20508190000000001</v>
      </c>
      <c r="AH80">
        <v>0.58932295551049896</v>
      </c>
      <c r="AI80">
        <v>109.178440950126</v>
      </c>
      <c r="AJ80">
        <v>88.153068706796603</v>
      </c>
      <c r="AK80">
        <v>0.62427659081275699</v>
      </c>
      <c r="AL80">
        <v>73.589633617284406</v>
      </c>
      <c r="AM80">
        <v>92.463038726615295</v>
      </c>
      <c r="AN80">
        <v>0.99999993448358204</v>
      </c>
    </row>
    <row r="81" spans="1:40" x14ac:dyDescent="0.25">
      <c r="A81" t="str">
        <f>"20190304164102572"</f>
        <v>20190304164102572</v>
      </c>
      <c r="B81" t="str">
        <f>"1551688862561632"</f>
        <v>1551688862561632</v>
      </c>
      <c r="C81" t="s">
        <v>40</v>
      </c>
      <c r="D81">
        <v>4.715287</v>
      </c>
      <c r="E81">
        <v>0.55049650000000006</v>
      </c>
      <c r="F81" t="s">
        <v>41</v>
      </c>
      <c r="G81">
        <v>-474.5718</v>
      </c>
      <c r="H81">
        <v>0.90550180000000002</v>
      </c>
      <c r="I81">
        <v>367.18090000000001</v>
      </c>
      <c r="J81">
        <v>-475.2244</v>
      </c>
      <c r="K81">
        <v>1.1105309999999999</v>
      </c>
      <c r="L81">
        <v>367.20490000000001</v>
      </c>
      <c r="M81">
        <v>0.99990919999999905</v>
      </c>
      <c r="N81">
        <v>-1.1871949999999999E-2</v>
      </c>
      <c r="O81">
        <v>-6.3872199999999999E-3</v>
      </c>
      <c r="P81">
        <v>0.96191519999999997</v>
      </c>
      <c r="Q81">
        <v>0.2710687</v>
      </c>
      <c r="R81">
        <v>3.5229209999999997E-2</v>
      </c>
      <c r="S81">
        <v>3.4178160000000002</v>
      </c>
      <c r="T81">
        <v>-1.0481560000000001</v>
      </c>
      <c r="U81">
        <v>-0.12506099999999901</v>
      </c>
      <c r="V81">
        <v>-4.1355040000000003E-2</v>
      </c>
      <c r="W81">
        <v>0.28246929999999998</v>
      </c>
      <c r="X81">
        <v>0.95838449999999997</v>
      </c>
      <c r="Y81">
        <v>2.9064880000000001E-2</v>
      </c>
      <c r="Z81">
        <v>-2.6919019999999999E-3</v>
      </c>
      <c r="AA81">
        <v>0.99957390000000002</v>
      </c>
      <c r="AB81">
        <v>2</v>
      </c>
      <c r="AC81">
        <v>0.65260000000000595</v>
      </c>
      <c r="AD81">
        <v>-0.205029199999999</v>
      </c>
      <c r="AE81">
        <v>-2.4000000000000899E-2</v>
      </c>
      <c r="AF81">
        <v>1.80515527710941E-2</v>
      </c>
      <c r="AG81">
        <v>-0.205029199999999</v>
      </c>
      <c r="AH81">
        <v>0.59417173209867702</v>
      </c>
      <c r="AI81">
        <v>109.02972884772799</v>
      </c>
      <c r="AJ81">
        <v>88.259830125930094</v>
      </c>
      <c r="AK81">
        <v>0.62881068584688404</v>
      </c>
      <c r="AL81">
        <v>73.592364271988501</v>
      </c>
      <c r="AM81">
        <v>92.470824863899196</v>
      </c>
      <c r="AN81">
        <v>0.99999999730806999</v>
      </c>
    </row>
    <row r="82" spans="1:40" x14ac:dyDescent="0.25">
      <c r="A82" t="str">
        <f>"20190304164102585"</f>
        <v>20190304164102585</v>
      </c>
      <c r="B82" t="str">
        <f>"1551688862571391"</f>
        <v>1551688862571391</v>
      </c>
      <c r="C82" t="s">
        <v>40</v>
      </c>
      <c r="D82">
        <v>4.7278989999999999</v>
      </c>
      <c r="E82">
        <v>0.55053730000000001</v>
      </c>
      <c r="F82" t="s">
        <v>41</v>
      </c>
      <c r="G82">
        <v>-474.54820000000001</v>
      </c>
      <c r="H82">
        <v>0.90337230000000002</v>
      </c>
      <c r="I82">
        <v>367.17989999999998</v>
      </c>
      <c r="J82">
        <v>-475.209</v>
      </c>
      <c r="K82">
        <v>1.110349</v>
      </c>
      <c r="L82">
        <v>367.2047</v>
      </c>
      <c r="M82">
        <v>0.99991629999999998</v>
      </c>
      <c r="N82">
        <v>-1.122485E-2</v>
      </c>
      <c r="O82">
        <v>-6.4551239999999996E-3</v>
      </c>
      <c r="P82">
        <v>0.96165199999999995</v>
      </c>
      <c r="Q82">
        <v>0.2719512</v>
      </c>
      <c r="R82">
        <v>3.5613060000000002E-2</v>
      </c>
      <c r="S82">
        <v>3.4184269999999999</v>
      </c>
      <c r="T82">
        <v>-1.0471490000000001</v>
      </c>
      <c r="U82">
        <v>-0.12536620000000001</v>
      </c>
      <c r="V82">
        <v>-4.1796350000000003E-2</v>
      </c>
      <c r="W82">
        <v>0.28272910000000001</v>
      </c>
      <c r="X82">
        <v>0.95828869999999999</v>
      </c>
      <c r="Y82">
        <v>2.9087979999999999E-2</v>
      </c>
      <c r="Z82">
        <v>-2.6595619999999999E-3</v>
      </c>
      <c r="AA82">
        <v>0.9995733</v>
      </c>
      <c r="AB82">
        <v>2</v>
      </c>
      <c r="AC82">
        <v>0.66079999999999395</v>
      </c>
      <c r="AD82">
        <v>-0.20697670000000001</v>
      </c>
      <c r="AE82">
        <v>-2.4800000000027401E-2</v>
      </c>
      <c r="AF82">
        <v>1.87014906052007E-2</v>
      </c>
      <c r="AG82">
        <v>-0.20697670000000001</v>
      </c>
      <c r="AH82">
        <v>0.60197139940459099</v>
      </c>
      <c r="AI82">
        <v>108.966085254414</v>
      </c>
      <c r="AJ82">
        <v>88.220560057457007</v>
      </c>
      <c r="AK82">
        <v>0.63683488110723596</v>
      </c>
      <c r="AL82">
        <v>73.576845582806897</v>
      </c>
      <c r="AM82">
        <v>92.497407778840397</v>
      </c>
      <c r="AN82">
        <v>0.99999995570390998</v>
      </c>
    </row>
    <row r="83" spans="1:40" x14ac:dyDescent="0.25">
      <c r="A83" t="str">
        <f>"20190304164102601"</f>
        <v>20190304164102601</v>
      </c>
      <c r="B83" t="str">
        <f>"1551688862591887"</f>
        <v>1551688862591887</v>
      </c>
      <c r="C83" t="s">
        <v>40</v>
      </c>
      <c r="D83">
        <v>4.7462200000000001</v>
      </c>
      <c r="E83">
        <v>0.55061280000000001</v>
      </c>
      <c r="F83" t="s">
        <v>41</v>
      </c>
      <c r="G83">
        <v>-474.52229999999997</v>
      </c>
      <c r="H83">
        <v>0.900564699999999</v>
      </c>
      <c r="I83">
        <v>367.17959999999999</v>
      </c>
      <c r="J83">
        <v>-475.18520000000001</v>
      </c>
      <c r="K83">
        <v>1.1100509999999999</v>
      </c>
      <c r="L83">
        <v>367.2045</v>
      </c>
      <c r="M83">
        <v>0.99992760000000003</v>
      </c>
      <c r="N83">
        <v>-1.009259E-2</v>
      </c>
      <c r="O83">
        <v>-6.5709549999999999E-3</v>
      </c>
      <c r="P83">
        <v>0.96145029999999998</v>
      </c>
      <c r="Q83">
        <v>0.2725978</v>
      </c>
      <c r="R83">
        <v>3.6112480000000002E-2</v>
      </c>
      <c r="S83">
        <v>3.4196170000000001</v>
      </c>
      <c r="T83">
        <v>-1.0444690000000001</v>
      </c>
      <c r="U83">
        <v>-0.124054</v>
      </c>
      <c r="V83">
        <v>-4.2397009999999999E-2</v>
      </c>
      <c r="W83">
        <v>0.28228999999999999</v>
      </c>
      <c r="X83">
        <v>0.95839180000000002</v>
      </c>
      <c r="Y83">
        <v>2.8616920000000001E-2</v>
      </c>
      <c r="Z83">
        <v>-2.522631E-3</v>
      </c>
      <c r="AA83">
        <v>0.99958729999999996</v>
      </c>
      <c r="AB83">
        <v>3</v>
      </c>
      <c r="AC83">
        <v>0.66290000000003602</v>
      </c>
      <c r="AD83">
        <v>-0.20948629999999999</v>
      </c>
      <c r="AE83">
        <v>-2.4900000000002299E-2</v>
      </c>
      <c r="AF83">
        <v>1.8680451864594601E-2</v>
      </c>
      <c r="AG83">
        <v>-0.20948629999999999</v>
      </c>
      <c r="AH83">
        <v>0.60292297807948303</v>
      </c>
      <c r="AI83">
        <v>109.151323312767</v>
      </c>
      <c r="AJ83">
        <v>88.225364095216406</v>
      </c>
      <c r="AK83">
        <v>0.63855272817973896</v>
      </c>
      <c r="AL83">
        <v>73.603073215886994</v>
      </c>
      <c r="AM83">
        <v>92.532979717147796</v>
      </c>
      <c r="AN83">
        <v>0.99999999643209003</v>
      </c>
    </row>
    <row r="84" spans="1:40" x14ac:dyDescent="0.25">
      <c r="A84" t="str">
        <f>"20190304164102616"</f>
        <v>20190304164102616</v>
      </c>
      <c r="B84" t="str">
        <f>"1551688862601648"</f>
        <v>1551688862601648</v>
      </c>
      <c r="C84" t="s">
        <v>40</v>
      </c>
      <c r="D84">
        <v>4.74505</v>
      </c>
      <c r="E84">
        <v>0.55064919999999995</v>
      </c>
      <c r="F84" t="s">
        <v>41</v>
      </c>
      <c r="G84">
        <v>-474.51949999999999</v>
      </c>
      <c r="H84">
        <v>0.90697519999999998</v>
      </c>
      <c r="I84">
        <v>367.18040000000002</v>
      </c>
      <c r="J84">
        <v>-475.16520000000003</v>
      </c>
      <c r="K84">
        <v>1.1098730000000001</v>
      </c>
      <c r="L84">
        <v>367.20429999999999</v>
      </c>
      <c r="M84">
        <v>0.99993469999999995</v>
      </c>
      <c r="N84">
        <v>-9.2654769999999994E-3</v>
      </c>
      <c r="O84">
        <v>-6.6768349999999999E-3</v>
      </c>
      <c r="P84">
        <v>0.96122549999999995</v>
      </c>
      <c r="Q84">
        <v>0.27335579999999998</v>
      </c>
      <c r="R84">
        <v>3.636064E-2</v>
      </c>
      <c r="S84">
        <v>3.4206539999999999</v>
      </c>
      <c r="T84">
        <v>-1.0432220000000001</v>
      </c>
      <c r="U84">
        <v>-0.1230774</v>
      </c>
      <c r="V84">
        <v>-4.2738390000000001E-2</v>
      </c>
      <c r="W84">
        <v>0.2822538</v>
      </c>
      <c r="X84">
        <v>0.95838730000000005</v>
      </c>
      <c r="Y84">
        <v>2.8245360000000001E-2</v>
      </c>
      <c r="Z84">
        <v>-2.4141420000000002E-3</v>
      </c>
      <c r="AA84">
        <v>0.99959810000000004</v>
      </c>
      <c r="AB84">
        <v>3</v>
      </c>
      <c r="AC84">
        <v>0.64570000000003303</v>
      </c>
      <c r="AD84">
        <v>-0.20289779999999899</v>
      </c>
      <c r="AE84">
        <v>-2.3899999999969099E-2</v>
      </c>
      <c r="AF84">
        <v>1.78299308346733E-2</v>
      </c>
      <c r="AG84">
        <v>-0.20289779999999899</v>
      </c>
      <c r="AH84">
        <v>0.58787757783746597</v>
      </c>
      <c r="AI84">
        <v>109.033282976687</v>
      </c>
      <c r="AJ84">
        <v>88.262790149548394</v>
      </c>
      <c r="AK84">
        <v>0.62216193246007501</v>
      </c>
      <c r="AL84">
        <v>73.605235256062798</v>
      </c>
      <c r="AM84">
        <v>92.553360314556699</v>
      </c>
      <c r="AN84">
        <v>0.999999997197761</v>
      </c>
    </row>
    <row r="85" spans="1:40" x14ac:dyDescent="0.25">
      <c r="A85" t="str">
        <f>"20190304164102628"</f>
        <v>20190304164102628</v>
      </c>
      <c r="B85" t="str">
        <f>"1551688862622143"</f>
        <v>1551688862622143</v>
      </c>
      <c r="C85" t="s">
        <v>40</v>
      </c>
      <c r="D85">
        <v>4.7698239999999998</v>
      </c>
      <c r="E85">
        <v>0.55071749999999997</v>
      </c>
      <c r="F85" t="s">
        <v>41</v>
      </c>
      <c r="G85">
        <v>-474.49119999999999</v>
      </c>
      <c r="H85">
        <v>0.90477099999999999</v>
      </c>
      <c r="I85">
        <v>367.1798</v>
      </c>
      <c r="J85">
        <v>-475.14510000000001</v>
      </c>
      <c r="K85">
        <v>1.1097440000000001</v>
      </c>
      <c r="L85">
        <v>367.20400000000001</v>
      </c>
      <c r="M85">
        <v>0.99994050000000001</v>
      </c>
      <c r="N85">
        <v>-8.5706640000000004E-3</v>
      </c>
      <c r="O85">
        <v>-6.779523E-3</v>
      </c>
      <c r="P85">
        <v>0.96087599999999995</v>
      </c>
      <c r="Q85">
        <v>0.2745707</v>
      </c>
      <c r="R85">
        <v>3.6446779999999998E-2</v>
      </c>
      <c r="S85">
        <v>3.4216920000000002</v>
      </c>
      <c r="T85">
        <v>-1.041048</v>
      </c>
      <c r="U85">
        <v>-0.1221008</v>
      </c>
      <c r="V85">
        <v>-4.2915809999999999E-2</v>
      </c>
      <c r="W85">
        <v>0.28280090000000002</v>
      </c>
      <c r="X85">
        <v>0.95821809999999996</v>
      </c>
      <c r="Y85">
        <v>2.7877539999999999E-2</v>
      </c>
      <c r="Z85">
        <v>-2.3084970000000001E-3</v>
      </c>
      <c r="AA85">
        <v>0.99960870000000002</v>
      </c>
      <c r="AB85">
        <v>3</v>
      </c>
      <c r="AC85">
        <v>0.65390000000002102</v>
      </c>
      <c r="AD85">
        <v>-0.20497299999999999</v>
      </c>
      <c r="AE85">
        <v>-2.42000000000075E-2</v>
      </c>
      <c r="AF85">
        <v>1.7999923385110202E-2</v>
      </c>
      <c r="AG85">
        <v>-0.20497299999999999</v>
      </c>
      <c r="AH85">
        <v>0.59560569737742497</v>
      </c>
      <c r="AI85">
        <v>108.982451582792</v>
      </c>
      <c r="AJ85">
        <v>88.268979221350804</v>
      </c>
      <c r="AK85">
        <v>0.63014607411243795</v>
      </c>
      <c r="AL85">
        <v>73.572557824644406</v>
      </c>
      <c r="AM85">
        <v>92.564398102145006</v>
      </c>
      <c r="AN85">
        <v>1.0000000214781799</v>
      </c>
    </row>
    <row r="86" spans="1:40" x14ac:dyDescent="0.25">
      <c r="A86" t="str">
        <f>"20190304164102647"</f>
        <v>20190304164102647</v>
      </c>
      <c r="B86" t="str">
        <f>"1551688862641663"</f>
        <v>1551688862641663</v>
      </c>
      <c r="C86" t="s">
        <v>40</v>
      </c>
      <c r="D86">
        <v>5.1865899999999998</v>
      </c>
      <c r="E86">
        <v>0.5507978</v>
      </c>
      <c r="F86" t="s">
        <v>41</v>
      </c>
      <c r="G86">
        <v>-474.46159999999998</v>
      </c>
      <c r="H86">
        <v>0.90249469999999998</v>
      </c>
      <c r="I86">
        <v>367.17959999999999</v>
      </c>
      <c r="J86">
        <v>-475.1182</v>
      </c>
      <c r="K86">
        <v>1.1097459999999999</v>
      </c>
      <c r="L86">
        <v>367.20370000000003</v>
      </c>
      <c r="M86">
        <v>0.99994280000000002</v>
      </c>
      <c r="N86">
        <v>-8.1740140000000003E-3</v>
      </c>
      <c r="O86">
        <v>-6.9070709999999999E-3</v>
      </c>
      <c r="P86">
        <v>0.9607694</v>
      </c>
      <c r="Q86">
        <v>0.27497729999999998</v>
      </c>
      <c r="R86">
        <v>3.6192660000000001E-2</v>
      </c>
      <c r="S86">
        <v>3.4233699999999998</v>
      </c>
      <c r="T86">
        <v>-1.037949</v>
      </c>
      <c r="U86">
        <v>-0.1220398</v>
      </c>
      <c r="V86">
        <v>-4.2782519999999997E-2</v>
      </c>
      <c r="W86">
        <v>0.28282610000000002</v>
      </c>
      <c r="X86">
        <v>0.95821659999999997</v>
      </c>
      <c r="Y86">
        <v>2.7735889999999999E-2</v>
      </c>
      <c r="Z86">
        <v>-2.2347600000000001E-3</v>
      </c>
      <c r="AA86">
        <v>0.99961279999999997</v>
      </c>
      <c r="AB86">
        <v>3</v>
      </c>
      <c r="AC86">
        <v>0.65660000000002505</v>
      </c>
      <c r="AD86">
        <v>-0.207251299999999</v>
      </c>
      <c r="AE86">
        <v>-2.4100000000032599E-2</v>
      </c>
      <c r="AF86">
        <v>1.7793680920810202E-2</v>
      </c>
      <c r="AG86">
        <v>-0.207251299999999</v>
      </c>
      <c r="AH86">
        <v>0.59731955878265897</v>
      </c>
      <c r="AI86">
        <v>109.127314877176</v>
      </c>
      <c r="AJ86">
        <v>88.293708290291406</v>
      </c>
      <c r="AK86">
        <v>0.632503258281498</v>
      </c>
      <c r="AL86">
        <v>73.571052148566295</v>
      </c>
      <c r="AM86">
        <v>92.556448049829598</v>
      </c>
      <c r="AN86">
        <v>0.99999999968716002</v>
      </c>
    </row>
    <row r="87" spans="1:40" x14ac:dyDescent="0.25">
      <c r="A87" t="str">
        <f>"20190304164102662"</f>
        <v>20190304164102662</v>
      </c>
      <c r="B87" t="str">
        <f>"1551688862651424"</f>
        <v>1551688862651424</v>
      </c>
      <c r="C87" t="s">
        <v>40</v>
      </c>
      <c r="D87">
        <v>4.960629</v>
      </c>
      <c r="E87">
        <v>0.55084200000000005</v>
      </c>
      <c r="F87" t="s">
        <v>41</v>
      </c>
      <c r="G87">
        <v>-474.43470000000002</v>
      </c>
      <c r="H87">
        <v>0.9025879</v>
      </c>
      <c r="I87">
        <v>367.17899999999997</v>
      </c>
      <c r="J87">
        <v>-475.09820000000002</v>
      </c>
      <c r="K87">
        <v>1.109996</v>
      </c>
      <c r="L87">
        <v>367.20339999999999</v>
      </c>
      <c r="M87">
        <v>0.99993810000000005</v>
      </c>
      <c r="N87">
        <v>-8.679694E-3</v>
      </c>
      <c r="O87">
        <v>-6.9877769999999997E-3</v>
      </c>
      <c r="P87">
        <v>0.96083839999999998</v>
      </c>
      <c r="Q87">
        <v>0.27475450000000001</v>
      </c>
      <c r="R87">
        <v>3.6055160000000003E-2</v>
      </c>
      <c r="S87">
        <v>3.424042</v>
      </c>
      <c r="T87">
        <v>-1.037574</v>
      </c>
      <c r="U87">
        <v>-0.1217651</v>
      </c>
      <c r="V87">
        <v>-4.2731110000000003E-2</v>
      </c>
      <c r="W87">
        <v>0.28308719999999998</v>
      </c>
      <c r="X87">
        <v>0.95814180000000004</v>
      </c>
      <c r="Y87">
        <v>2.7576739999999999E-2</v>
      </c>
      <c r="Z87">
        <v>-2.1967520000000002E-3</v>
      </c>
      <c r="AA87">
        <v>0.99961730000000004</v>
      </c>
      <c r="AB87">
        <v>3</v>
      </c>
      <c r="AC87">
        <v>0.66349999999999898</v>
      </c>
      <c r="AD87">
        <v>-0.20740809999999901</v>
      </c>
      <c r="AE87">
        <v>-2.43999999999573E-2</v>
      </c>
      <c r="AF87">
        <v>1.80057509231943E-2</v>
      </c>
      <c r="AG87">
        <v>-0.20740809999999901</v>
      </c>
      <c r="AH87">
        <v>0.60464963153862705</v>
      </c>
      <c r="AI87">
        <v>108.925301847548</v>
      </c>
      <c r="AJ87">
        <v>88.294303520564597</v>
      </c>
      <c r="AK87">
        <v>0.63948690677113595</v>
      </c>
      <c r="AL87">
        <v>73.555454968835903</v>
      </c>
      <c r="AM87">
        <v>92.553579212078603</v>
      </c>
      <c r="AN87">
        <v>1.0000000097364501</v>
      </c>
    </row>
    <row r="88" spans="1:40" x14ac:dyDescent="0.25">
      <c r="A88" t="str">
        <f>"20190304164102683"</f>
        <v>20190304164102683</v>
      </c>
      <c r="B88" t="str">
        <f>"1551688862671918"</f>
        <v>1551688862671918</v>
      </c>
      <c r="C88" t="s">
        <v>40</v>
      </c>
      <c r="D88">
        <v>4.8022679999999998</v>
      </c>
      <c r="E88">
        <v>0.55092140000000001</v>
      </c>
      <c r="F88" t="s">
        <v>41</v>
      </c>
      <c r="G88">
        <v>-474.43239999999997</v>
      </c>
      <c r="H88">
        <v>0.9079545</v>
      </c>
      <c r="I88">
        <v>367.17919999999998</v>
      </c>
      <c r="J88">
        <v>-475.07400000000001</v>
      </c>
      <c r="K88">
        <v>1.110501</v>
      </c>
      <c r="L88">
        <v>367.20310000000001</v>
      </c>
      <c r="M88">
        <v>0.99992369999999997</v>
      </c>
      <c r="N88">
        <v>-1.014085E-2</v>
      </c>
      <c r="O88">
        <v>-7.0681429999999998E-3</v>
      </c>
      <c r="P88">
        <v>0.96110289999999998</v>
      </c>
      <c r="Q88">
        <v>0.27388950000000001</v>
      </c>
      <c r="R88">
        <v>3.5579069999999997E-2</v>
      </c>
      <c r="S88">
        <v>3.4239199999999999</v>
      </c>
      <c r="T88">
        <v>-1.038762</v>
      </c>
      <c r="U88">
        <v>-0.122253399999999</v>
      </c>
      <c r="V88">
        <v>-4.2353149999999999E-2</v>
      </c>
      <c r="W88">
        <v>0.28362179999999998</v>
      </c>
      <c r="X88">
        <v>0.95800050000000003</v>
      </c>
      <c r="Y88">
        <v>2.7629500000000001E-2</v>
      </c>
      <c r="Z88">
        <v>-2.2147109999999998E-3</v>
      </c>
      <c r="AA88">
        <v>0.99961580000000005</v>
      </c>
      <c r="AB88">
        <v>3</v>
      </c>
      <c r="AC88">
        <v>0.64160000000003903</v>
      </c>
      <c r="AD88">
        <v>-0.20254649999999999</v>
      </c>
      <c r="AE88">
        <v>-2.3900000000026001E-2</v>
      </c>
      <c r="AF88">
        <v>1.76115182662159E-2</v>
      </c>
      <c r="AG88">
        <v>-0.20254649999999999</v>
      </c>
      <c r="AH88">
        <v>0.58366542913503106</v>
      </c>
      <c r="AI88">
        <v>109.12997954126099</v>
      </c>
      <c r="AJ88">
        <v>88.271681783855101</v>
      </c>
      <c r="AK88">
        <v>0.61806195757809801</v>
      </c>
      <c r="AL88">
        <v>73.523516069686195</v>
      </c>
      <c r="AM88">
        <v>92.531394934620096</v>
      </c>
      <c r="AN88">
        <v>1.0000000363752</v>
      </c>
    </row>
    <row r="89" spans="1:40" x14ac:dyDescent="0.25">
      <c r="A89" t="str">
        <f>"20190304164102698"</f>
        <v>20190304164102698</v>
      </c>
      <c r="B89" t="str">
        <f>"1551688862691439"</f>
        <v>1551688862691439</v>
      </c>
      <c r="C89" t="s">
        <v>40</v>
      </c>
      <c r="D89">
        <v>4.8356190000000003</v>
      </c>
      <c r="E89">
        <v>0.55099310000000001</v>
      </c>
      <c r="F89" t="s">
        <v>41</v>
      </c>
      <c r="G89">
        <v>-474.39010000000002</v>
      </c>
      <c r="H89">
        <v>0.90220650000000002</v>
      </c>
      <c r="I89">
        <v>367.17790000000002</v>
      </c>
      <c r="J89">
        <v>-475.05720000000002</v>
      </c>
      <c r="K89">
        <v>1.1108789999999999</v>
      </c>
      <c r="L89">
        <v>367.20299999999997</v>
      </c>
      <c r="M89">
        <v>0.99990919999999905</v>
      </c>
      <c r="N89">
        <v>-1.145231E-2</v>
      </c>
      <c r="O89">
        <v>-7.1080229999999998E-3</v>
      </c>
      <c r="P89">
        <v>0.9614277</v>
      </c>
      <c r="Q89">
        <v>0.27279300000000001</v>
      </c>
      <c r="R89">
        <v>3.5224930000000002E-2</v>
      </c>
      <c r="S89">
        <v>3.4230960000000001</v>
      </c>
      <c r="T89">
        <v>-1.042468</v>
      </c>
      <c r="U89">
        <v>-0.1247559</v>
      </c>
      <c r="V89">
        <v>-4.2056870000000003E-2</v>
      </c>
      <c r="W89">
        <v>0.28378320000000001</v>
      </c>
      <c r="X89">
        <v>0.95796570000000003</v>
      </c>
      <c r="Y89">
        <v>2.828338E-2</v>
      </c>
      <c r="Z89">
        <v>-2.3393620000000002E-3</v>
      </c>
      <c r="AA89">
        <v>0.99959719999999996</v>
      </c>
      <c r="AB89">
        <v>3</v>
      </c>
      <c r="AC89">
        <v>0.66710000000000402</v>
      </c>
      <c r="AD89">
        <v>-0.20867250000000001</v>
      </c>
      <c r="AE89">
        <v>-2.5100000000009001E-2</v>
      </c>
      <c r="AF89">
        <v>1.8545256146639499E-2</v>
      </c>
      <c r="AG89">
        <v>-0.20867250000000001</v>
      </c>
      <c r="AH89">
        <v>0.60786749766887005</v>
      </c>
      <c r="AI89">
        <v>108.938453510481</v>
      </c>
      <c r="AJ89">
        <v>88.252521440493496</v>
      </c>
      <c r="AK89">
        <v>0.64295492338422</v>
      </c>
      <c r="AL89">
        <v>73.513871396898907</v>
      </c>
      <c r="AM89">
        <v>92.513800641332594</v>
      </c>
      <c r="AN89">
        <v>0.99999998364646303</v>
      </c>
    </row>
    <row r="90" spans="1:40" x14ac:dyDescent="0.25">
      <c r="A90" t="str">
        <f>"20190304164102712"</f>
        <v>20190304164102712</v>
      </c>
      <c r="B90" t="str">
        <f>"1551688862701199"</f>
        <v>1551688862701199</v>
      </c>
      <c r="C90" t="s">
        <v>40</v>
      </c>
      <c r="D90">
        <v>4.8405620000000003</v>
      </c>
      <c r="E90">
        <v>0.55103100000000005</v>
      </c>
      <c r="F90" t="s">
        <v>41</v>
      </c>
      <c r="G90">
        <v>-474.38830000000002</v>
      </c>
      <c r="H90">
        <v>0.90622199999999997</v>
      </c>
      <c r="I90">
        <v>367.17790000000002</v>
      </c>
      <c r="J90">
        <v>-475.03859999999997</v>
      </c>
      <c r="K90">
        <v>1.1108480000000001</v>
      </c>
      <c r="L90">
        <v>367.20269999999999</v>
      </c>
      <c r="M90">
        <v>0.99990809999999997</v>
      </c>
      <c r="N90">
        <v>-1.1517100000000001E-2</v>
      </c>
      <c r="O90">
        <v>-7.1572279999999999E-3</v>
      </c>
      <c r="P90">
        <v>0.96143619999999996</v>
      </c>
      <c r="Q90">
        <v>0.27281070000000002</v>
      </c>
      <c r="R90">
        <v>3.4860290000000002E-2</v>
      </c>
      <c r="S90">
        <v>3.4221189999999999</v>
      </c>
      <c r="T90">
        <v>-1.0471010000000001</v>
      </c>
      <c r="U90">
        <v>-0.1266785</v>
      </c>
      <c r="V90">
        <v>-4.1741569999999999E-2</v>
      </c>
      <c r="W90">
        <v>0.28386230000000001</v>
      </c>
      <c r="X90">
        <v>0.95795609999999998</v>
      </c>
      <c r="Y90">
        <v>2.877451E-2</v>
      </c>
      <c r="Z90">
        <v>-2.4123930000000001E-3</v>
      </c>
      <c r="AA90">
        <v>0.999583</v>
      </c>
      <c r="AB90">
        <v>3</v>
      </c>
      <c r="AC90">
        <v>0.65029999999995802</v>
      </c>
      <c r="AD90">
        <v>-0.204626</v>
      </c>
      <c r="AE90">
        <v>-2.4799999999970599E-2</v>
      </c>
      <c r="AF90">
        <v>1.8332211633629799E-2</v>
      </c>
      <c r="AG90">
        <v>-0.204626</v>
      </c>
      <c r="AH90">
        <v>0.59193632131391904</v>
      </c>
      <c r="AI90">
        <v>109.061236533363</v>
      </c>
      <c r="AJ90">
        <v>88.226122136394594</v>
      </c>
      <c r="AK90">
        <v>0.626575197681839</v>
      </c>
      <c r="AL90">
        <v>73.509145664746796</v>
      </c>
      <c r="AM90">
        <v>92.495003575274595</v>
      </c>
      <c r="AN90">
        <v>1.0000000267772799</v>
      </c>
    </row>
    <row r="91" spans="1:40" x14ac:dyDescent="0.25">
      <c r="A91" t="str">
        <f>"20190304164102727"</f>
        <v>20190304164102727</v>
      </c>
      <c r="B91" t="str">
        <f>"1551688862721696"</f>
        <v>1551688862721696</v>
      </c>
      <c r="C91" t="s">
        <v>40</v>
      </c>
      <c r="D91">
        <v>4.8389889999999998</v>
      </c>
      <c r="E91">
        <v>0.55108939999999995</v>
      </c>
      <c r="F91" t="s">
        <v>41</v>
      </c>
      <c r="G91">
        <v>-474.36320000000001</v>
      </c>
      <c r="H91">
        <v>0.90413900000000003</v>
      </c>
      <c r="I91">
        <v>367.17720000000003</v>
      </c>
      <c r="J91">
        <v>-475.01949999999999</v>
      </c>
      <c r="K91">
        <v>1.110644</v>
      </c>
      <c r="L91">
        <v>367.20249999999999</v>
      </c>
      <c r="M91">
        <v>0.99991379999999996</v>
      </c>
      <c r="N91">
        <v>-1.0971740000000001E-2</v>
      </c>
      <c r="O91">
        <v>-7.217083E-3</v>
      </c>
      <c r="P91">
        <v>0.96133040000000003</v>
      </c>
      <c r="Q91">
        <v>0.27321430000000002</v>
      </c>
      <c r="R91">
        <v>3.4614810000000003E-2</v>
      </c>
      <c r="S91">
        <v>3.4221499999999998</v>
      </c>
      <c r="T91">
        <v>-1.0473859999999999</v>
      </c>
      <c r="U91">
        <v>-0.12847900000000001</v>
      </c>
      <c r="V91">
        <v>-4.1548500000000002E-2</v>
      </c>
      <c r="W91">
        <v>0.28374339999999998</v>
      </c>
      <c r="X91">
        <v>0.95799970000000001</v>
      </c>
      <c r="Y91">
        <v>2.9223880000000001E-2</v>
      </c>
      <c r="Z91">
        <v>-2.4535310000000001E-3</v>
      </c>
      <c r="AA91">
        <v>0.99956990000000001</v>
      </c>
      <c r="AB91">
        <v>2</v>
      </c>
      <c r="AC91">
        <v>0.656299999999987</v>
      </c>
      <c r="AD91">
        <v>-0.20650499999999999</v>
      </c>
      <c r="AE91">
        <v>-2.52999999999588E-2</v>
      </c>
      <c r="AF91">
        <v>1.8712596332271E-2</v>
      </c>
      <c r="AG91">
        <v>-0.20650499999999999</v>
      </c>
      <c r="AH91">
        <v>0.59740709206009301</v>
      </c>
      <c r="AI91">
        <v>109.059998596909</v>
      </c>
      <c r="AJ91">
        <v>88.205909549750402</v>
      </c>
      <c r="AK91">
        <v>0.63236833406661896</v>
      </c>
      <c r="AL91">
        <v>73.516249970993996</v>
      </c>
      <c r="AM91">
        <v>92.4833648701063</v>
      </c>
      <c r="AN91">
        <v>1.00000001004795</v>
      </c>
    </row>
    <row r="92" spans="1:40" x14ac:dyDescent="0.25">
      <c r="A92" t="str">
        <f>"20190304164102740"</f>
        <v>20190304164102740</v>
      </c>
      <c r="B92" t="str">
        <f>"1551688862732431"</f>
        <v>1551688862732431</v>
      </c>
      <c r="C92" t="s">
        <v>40</v>
      </c>
      <c r="D92">
        <v>4.8214519999999998</v>
      </c>
      <c r="E92">
        <v>0.55119030000000002</v>
      </c>
      <c r="F92" t="s">
        <v>41</v>
      </c>
      <c r="G92">
        <v>-474.33440000000002</v>
      </c>
      <c r="H92">
        <v>0.90109410000000001</v>
      </c>
      <c r="I92">
        <v>367.1764</v>
      </c>
      <c r="J92">
        <v>-474.99900000000002</v>
      </c>
      <c r="K92">
        <v>1.1103459999999901</v>
      </c>
      <c r="L92">
        <v>367.20229999999998</v>
      </c>
      <c r="M92">
        <v>0.99992320000000001</v>
      </c>
      <c r="N92">
        <v>-1.002457E-2</v>
      </c>
      <c r="O92">
        <v>-7.2939149999999998E-3</v>
      </c>
      <c r="P92">
        <v>0.96109239999999996</v>
      </c>
      <c r="Q92">
        <v>0.27405970000000002</v>
      </c>
      <c r="R92">
        <v>3.4540090000000002E-2</v>
      </c>
      <c r="S92">
        <v>3.4229430000000001</v>
      </c>
      <c r="T92">
        <v>-1.0469360000000001</v>
      </c>
      <c r="U92">
        <v>-0.12991330000000001</v>
      </c>
      <c r="V92">
        <v>-4.1539270000000003E-2</v>
      </c>
      <c r="W92">
        <v>0.28367940000000003</v>
      </c>
      <c r="X92">
        <v>0.95801910000000001</v>
      </c>
      <c r="Y92">
        <v>2.9552180000000001E-2</v>
      </c>
      <c r="Z92">
        <v>-2.4597859999999998E-3</v>
      </c>
      <c r="AA92">
        <v>0.99956020000000001</v>
      </c>
      <c r="AB92">
        <v>3</v>
      </c>
      <c r="AC92">
        <v>0.66460000000000696</v>
      </c>
      <c r="AD92">
        <v>-0.20925189999999999</v>
      </c>
      <c r="AE92">
        <v>-2.58999999999787E-2</v>
      </c>
      <c r="AF92">
        <v>1.9155472313757801E-2</v>
      </c>
      <c r="AG92">
        <v>-0.20925189999999999</v>
      </c>
      <c r="AH92">
        <v>0.60489693955465496</v>
      </c>
      <c r="AI92">
        <v>109.073160042495</v>
      </c>
      <c r="AJ92">
        <v>88.186201660515806</v>
      </c>
      <c r="AK92">
        <v>0.64035427480088003</v>
      </c>
      <c r="AL92">
        <v>73.520074785249506</v>
      </c>
      <c r="AM92">
        <v>92.482763666633005</v>
      </c>
      <c r="AN92">
        <v>1.00000005445065</v>
      </c>
    </row>
    <row r="93" spans="1:40" x14ac:dyDescent="0.25">
      <c r="A93" t="str">
        <f>"20190304164102758"</f>
        <v>20190304164102758</v>
      </c>
      <c r="B93" t="str">
        <f>"1551688862751952"</f>
        <v>1551688862751952</v>
      </c>
      <c r="C93" t="s">
        <v>40</v>
      </c>
      <c r="D93">
        <v>4.8752610000000001</v>
      </c>
      <c r="E93">
        <v>0.55123159999999904</v>
      </c>
      <c r="F93" t="s">
        <v>41</v>
      </c>
      <c r="G93">
        <v>-474.33170000000001</v>
      </c>
      <c r="H93">
        <v>0.90712859999999995</v>
      </c>
      <c r="I93">
        <v>367.17669999999998</v>
      </c>
      <c r="J93">
        <v>-474.97050000000002</v>
      </c>
      <c r="K93">
        <v>1.110031</v>
      </c>
      <c r="L93">
        <v>367.202</v>
      </c>
      <c r="M93">
        <v>0.99993299999999996</v>
      </c>
      <c r="N93">
        <v>-8.8893540000000004E-3</v>
      </c>
      <c r="O93">
        <v>-7.4174899999999997E-3</v>
      </c>
      <c r="P93">
        <v>0.96078490000000005</v>
      </c>
      <c r="Q93">
        <v>0.27515149999999999</v>
      </c>
      <c r="R93">
        <v>3.4411400000000002E-2</v>
      </c>
      <c r="S93">
        <v>3.4234309999999999</v>
      </c>
      <c r="T93">
        <v>-1.042559</v>
      </c>
      <c r="U93">
        <v>-0.1307373</v>
      </c>
      <c r="V93">
        <v>-4.1515030000000001E-2</v>
      </c>
      <c r="W93">
        <v>0.28368169999999998</v>
      </c>
      <c r="X93">
        <v>0.95801939999999997</v>
      </c>
      <c r="Y93">
        <v>2.9679400000000002E-2</v>
      </c>
      <c r="Z93">
        <v>-2.4090370000000002E-3</v>
      </c>
      <c r="AA93">
        <v>0.99955649999999996</v>
      </c>
      <c r="AB93">
        <v>3</v>
      </c>
      <c r="AC93">
        <v>0.63880000000000303</v>
      </c>
      <c r="AD93">
        <v>-0.20290240000000001</v>
      </c>
      <c r="AE93">
        <v>-2.5300000000015602E-2</v>
      </c>
      <c r="AF93">
        <v>1.86792423789236E-2</v>
      </c>
      <c r="AG93">
        <v>-0.20290240000000001</v>
      </c>
      <c r="AH93">
        <v>0.58049605192980003</v>
      </c>
      <c r="AI93">
        <v>109.256961850378</v>
      </c>
      <c r="AJ93">
        <v>88.1569683507403</v>
      </c>
      <c r="AK93">
        <v>0.61521863132360999</v>
      </c>
      <c r="AL93">
        <v>73.519936227979798</v>
      </c>
      <c r="AM93">
        <v>92.481315899599494</v>
      </c>
      <c r="AN93">
        <v>0.99999998770357501</v>
      </c>
    </row>
    <row r="94" spans="1:40" x14ac:dyDescent="0.25">
      <c r="A94" t="str">
        <f>"20190304164102771"</f>
        <v>20190304164102771</v>
      </c>
      <c r="B94" t="str">
        <f>"1551688862761711"</f>
        <v>1551688862761711</v>
      </c>
      <c r="C94" t="s">
        <v>40</v>
      </c>
      <c r="D94">
        <v>4.8754589999999904</v>
      </c>
      <c r="E94">
        <v>0.55125360000000001</v>
      </c>
      <c r="F94" t="s">
        <v>41</v>
      </c>
      <c r="G94">
        <v>-474.2998</v>
      </c>
      <c r="H94">
        <v>0.90637299999999998</v>
      </c>
      <c r="I94">
        <v>367.17680000000001</v>
      </c>
      <c r="J94">
        <v>-474.94929999999999</v>
      </c>
      <c r="K94">
        <v>1.1099079999999999</v>
      </c>
      <c r="L94">
        <v>367.20179999999999</v>
      </c>
      <c r="M94">
        <v>0.99993710000000002</v>
      </c>
      <c r="N94">
        <v>-8.3456889999999999E-3</v>
      </c>
      <c r="O94">
        <v>-7.5108569999999897E-3</v>
      </c>
      <c r="P94">
        <v>0.96065869999999998</v>
      </c>
      <c r="Q94">
        <v>0.27562140000000002</v>
      </c>
      <c r="R94">
        <v>3.4178E-2</v>
      </c>
      <c r="S94">
        <v>3.4249269999999998</v>
      </c>
      <c r="T94">
        <v>-1.0400229999999999</v>
      </c>
      <c r="U94">
        <v>-0.1306763</v>
      </c>
      <c r="V94">
        <v>-4.1363089999999998E-2</v>
      </c>
      <c r="W94">
        <v>0.28363139999999998</v>
      </c>
      <c r="X94">
        <v>0.95804089999999997</v>
      </c>
      <c r="Y94">
        <v>2.957021E-2</v>
      </c>
      <c r="Z94">
        <v>-2.347132E-3</v>
      </c>
      <c r="AA94">
        <v>0.99955989999999995</v>
      </c>
      <c r="AB94">
        <v>3</v>
      </c>
      <c r="AC94">
        <v>0.64949999999998898</v>
      </c>
      <c r="AD94">
        <v>-0.20353499999999899</v>
      </c>
      <c r="AE94">
        <v>-2.49999999999772E-2</v>
      </c>
      <c r="AF94">
        <v>1.83240312888765E-2</v>
      </c>
      <c r="AG94">
        <v>-0.20353499999999899</v>
      </c>
      <c r="AH94">
        <v>0.59165387541622905</v>
      </c>
      <c r="AI94">
        <v>108.975295349497</v>
      </c>
      <c r="AJ94">
        <v>88.226067282854302</v>
      </c>
      <c r="AK94">
        <v>0.62595253385757499</v>
      </c>
      <c r="AL94">
        <v>73.522942217894595</v>
      </c>
      <c r="AM94">
        <v>92.472190458763706</v>
      </c>
      <c r="AN94">
        <v>1.0000000211765501</v>
      </c>
    </row>
    <row r="95" spans="1:40" x14ac:dyDescent="0.25">
      <c r="A95" t="str">
        <f>"20190304164102785"</f>
        <v>20190304164102785</v>
      </c>
      <c r="B95" t="str">
        <f>"1551688862771471"</f>
        <v>1551688862771471</v>
      </c>
      <c r="C95" t="s">
        <v>40</v>
      </c>
      <c r="D95">
        <v>4.883896</v>
      </c>
      <c r="E95">
        <v>0.55126969999999997</v>
      </c>
      <c r="F95" t="s">
        <v>41</v>
      </c>
      <c r="G95">
        <v>-474.26839999999999</v>
      </c>
      <c r="H95">
        <v>0.90339539999999996</v>
      </c>
      <c r="I95">
        <v>367.17559999999997</v>
      </c>
      <c r="J95">
        <v>-474.92860000000002</v>
      </c>
      <c r="K95">
        <v>1.1098840000000001</v>
      </c>
      <c r="L95">
        <v>367.20150000000001</v>
      </c>
      <c r="M95">
        <v>0.9999382</v>
      </c>
      <c r="N95">
        <v>-8.1124609999999996E-3</v>
      </c>
      <c r="O95">
        <v>-7.5986530000000004E-3</v>
      </c>
      <c r="P95">
        <v>0.96061240000000003</v>
      </c>
      <c r="Q95">
        <v>0.27579540000000002</v>
      </c>
      <c r="R95">
        <v>3.407433E-2</v>
      </c>
      <c r="S95">
        <v>3.4255680000000002</v>
      </c>
      <c r="T95">
        <v>-1.0388759999999999</v>
      </c>
      <c r="U95">
        <v>-0.13079830000000001</v>
      </c>
      <c r="V95">
        <v>-4.1339050000000002E-2</v>
      </c>
      <c r="W95">
        <v>0.283582</v>
      </c>
      <c r="X95">
        <v>0.95805649999999998</v>
      </c>
      <c r="Y95">
        <v>2.9521059999999998E-2</v>
      </c>
      <c r="Z95">
        <v>-2.3063950000000001E-3</v>
      </c>
      <c r="AA95">
        <v>0.99956149999999999</v>
      </c>
      <c r="AB95">
        <v>4</v>
      </c>
      <c r="AC95">
        <v>0.66020000000003098</v>
      </c>
      <c r="AD95">
        <v>-0.20648859999999999</v>
      </c>
      <c r="AE95">
        <v>-2.5900000000035499E-2</v>
      </c>
      <c r="AF95">
        <v>1.9024301241693398E-2</v>
      </c>
      <c r="AG95">
        <v>-0.20648859999999999</v>
      </c>
      <c r="AH95">
        <v>0.60161625962102205</v>
      </c>
      <c r="AI95">
        <v>108.93461496851199</v>
      </c>
      <c r="AJ95">
        <v>88.1887971767717</v>
      </c>
      <c r="AK95">
        <v>0.63635021003224601</v>
      </c>
      <c r="AL95">
        <v>73.525892825660904</v>
      </c>
      <c r="AM95">
        <v>92.470715235034106</v>
      </c>
      <c r="AN95">
        <v>0.99999996248557499</v>
      </c>
    </row>
    <row r="96" spans="1:40" x14ac:dyDescent="0.25">
      <c r="A96" t="str">
        <f>"20190304164102796"</f>
        <v>20190304164102796</v>
      </c>
      <c r="B96" t="str">
        <f>"1551688862781233"</f>
        <v>1551688862781233</v>
      </c>
      <c r="C96" t="s">
        <v>40</v>
      </c>
      <c r="D96">
        <v>4.8859149999999998</v>
      </c>
      <c r="E96">
        <v>0.55128650000000001</v>
      </c>
      <c r="F96" t="s">
        <v>41</v>
      </c>
      <c r="G96">
        <v>-474.24090000000001</v>
      </c>
      <c r="H96">
        <v>0.90132429999999997</v>
      </c>
      <c r="I96">
        <v>367.17529999999999</v>
      </c>
      <c r="J96">
        <v>-474.91160000000002</v>
      </c>
      <c r="K96">
        <v>1.110093</v>
      </c>
      <c r="L96">
        <v>367.2013</v>
      </c>
      <c r="M96">
        <v>0.99993299999999996</v>
      </c>
      <c r="N96">
        <v>-8.6810659999999994E-3</v>
      </c>
      <c r="O96">
        <v>-7.6579869999999998E-3</v>
      </c>
      <c r="P96">
        <v>0.96074999999999999</v>
      </c>
      <c r="Q96">
        <v>0.27531</v>
      </c>
      <c r="R96">
        <v>3.4114999999999999E-2</v>
      </c>
      <c r="S96">
        <v>3.4259029999999999</v>
      </c>
      <c r="T96">
        <v>-1.03899599999999</v>
      </c>
      <c r="U96">
        <v>-0.13064580000000001</v>
      </c>
      <c r="V96">
        <v>-4.1440619999999997E-2</v>
      </c>
      <c r="W96">
        <v>0.2836419</v>
      </c>
      <c r="X96">
        <v>0.95803439999999995</v>
      </c>
      <c r="Y96">
        <v>2.9416959999999999E-2</v>
      </c>
      <c r="Z96">
        <v>-2.2862730000000001E-3</v>
      </c>
      <c r="AA96">
        <v>0.99956460000000003</v>
      </c>
      <c r="AB96">
        <v>4</v>
      </c>
      <c r="AC96">
        <v>0.67070000000000995</v>
      </c>
      <c r="AD96">
        <v>-0.208768699999999</v>
      </c>
      <c r="AE96">
        <v>-2.60000000000104E-2</v>
      </c>
      <c r="AF96">
        <v>1.9022525539973401E-2</v>
      </c>
      <c r="AG96">
        <v>-0.208768699999999</v>
      </c>
      <c r="AH96">
        <v>0.61170129353842295</v>
      </c>
      <c r="AI96">
        <v>108.83589452275901</v>
      </c>
      <c r="AJ96">
        <v>88.218804987423198</v>
      </c>
      <c r="AK96">
        <v>0.64662562514502098</v>
      </c>
      <c r="AL96">
        <v>73.522314183355107</v>
      </c>
      <c r="AM96">
        <v>92.476835292527696</v>
      </c>
      <c r="AN96">
        <v>0.99999998200247697</v>
      </c>
    </row>
    <row r="97" spans="1:40" x14ac:dyDescent="0.25">
      <c r="A97" t="str">
        <f>"20190304164102813"</f>
        <v>20190304164102813</v>
      </c>
      <c r="B97" t="str">
        <f>"1551688862801727"</f>
        <v>1551688862801727</v>
      </c>
      <c r="C97" t="s">
        <v>40</v>
      </c>
      <c r="D97">
        <v>5.0557379999999998</v>
      </c>
      <c r="E97">
        <v>0.55133559999999904</v>
      </c>
      <c r="F97" t="s">
        <v>41</v>
      </c>
      <c r="G97">
        <v>-474.23899999999998</v>
      </c>
      <c r="H97">
        <v>0.90560459999999998</v>
      </c>
      <c r="I97">
        <v>367.17570000000001</v>
      </c>
      <c r="J97">
        <v>-474.88589999999999</v>
      </c>
      <c r="K97">
        <v>1.1101510000000001</v>
      </c>
      <c r="L97">
        <v>367.20100000000002</v>
      </c>
      <c r="M97">
        <v>0.99993149999999997</v>
      </c>
      <c r="N97">
        <v>-8.7722609999999999E-3</v>
      </c>
      <c r="O97">
        <v>-7.75496E-3</v>
      </c>
      <c r="P97">
        <v>0.96075379999999999</v>
      </c>
      <c r="Q97">
        <v>0.27531699999999998</v>
      </c>
      <c r="R97">
        <v>3.3955350000000002E-2</v>
      </c>
      <c r="S97">
        <v>3.4255979999999999</v>
      </c>
      <c r="T97">
        <v>-1.0414829999999999</v>
      </c>
      <c r="U97">
        <v>-0.13031010000000001</v>
      </c>
      <c r="V97">
        <v>-4.1373170000000001E-2</v>
      </c>
      <c r="W97">
        <v>0.28373660000000001</v>
      </c>
      <c r="X97">
        <v>0.95800929999999995</v>
      </c>
      <c r="Y97">
        <v>2.9232770000000002E-2</v>
      </c>
      <c r="Z97">
        <v>-2.2371209999999999E-3</v>
      </c>
      <c r="AA97">
        <v>0.99957010000000002</v>
      </c>
      <c r="AB97">
        <v>4</v>
      </c>
      <c r="AC97">
        <v>0.64689999999995895</v>
      </c>
      <c r="AD97">
        <v>-0.20454639999999999</v>
      </c>
      <c r="AE97">
        <v>-2.52999999999588E-2</v>
      </c>
      <c r="AF97">
        <v>1.8441421225690601E-2</v>
      </c>
      <c r="AG97">
        <v>-0.20454639999999999</v>
      </c>
      <c r="AH97">
        <v>0.58834442196754999</v>
      </c>
      <c r="AI97">
        <v>109.162018337256</v>
      </c>
      <c r="AJ97">
        <v>88.204674451093496</v>
      </c>
      <c r="AK97">
        <v>0.62316007143439001</v>
      </c>
      <c r="AL97">
        <v>73.516656248627797</v>
      </c>
      <c r="AM97">
        <v>92.4728736367354</v>
      </c>
      <c r="AN97">
        <v>1.0000000081309399</v>
      </c>
    </row>
    <row r="98" spans="1:40" x14ac:dyDescent="0.25">
      <c r="A98" t="str">
        <f>"20190304164102828"</f>
        <v>20190304164102828</v>
      </c>
      <c r="B98" t="str">
        <f>"1551688862821247"</f>
        <v>1551688862821247</v>
      </c>
      <c r="C98" t="s">
        <v>40</v>
      </c>
      <c r="D98">
        <v>4.9353829999999999</v>
      </c>
      <c r="E98">
        <v>0.55139189999999905</v>
      </c>
      <c r="F98" t="s">
        <v>41</v>
      </c>
      <c r="G98">
        <v>-474.20780000000002</v>
      </c>
      <c r="H98">
        <v>0.90380179999999999</v>
      </c>
      <c r="I98">
        <v>367.17500000000001</v>
      </c>
      <c r="J98">
        <v>-474.86169999999998</v>
      </c>
      <c r="K98">
        <v>1.1100410000000001</v>
      </c>
      <c r="L98">
        <v>367.20069999999998</v>
      </c>
      <c r="M98">
        <v>0.99993460000000001</v>
      </c>
      <c r="N98">
        <v>-8.3173329999999997E-3</v>
      </c>
      <c r="O98">
        <v>-7.8535549999999999E-3</v>
      </c>
      <c r="P98">
        <v>0.96064150000000004</v>
      </c>
      <c r="Q98">
        <v>0.27574959999999998</v>
      </c>
      <c r="R98">
        <v>3.3617500000000002E-2</v>
      </c>
      <c r="S98">
        <v>3.4258730000000002</v>
      </c>
      <c r="T98">
        <v>-1.042459</v>
      </c>
      <c r="U98">
        <v>-0.130249</v>
      </c>
      <c r="V98">
        <v>-4.1125160000000001E-2</v>
      </c>
      <c r="W98">
        <v>0.28373290000000001</v>
      </c>
      <c r="X98">
        <v>0.95802100000000001</v>
      </c>
      <c r="Y98">
        <v>2.91241E-2</v>
      </c>
      <c r="Z98">
        <v>-2.1833870000000002E-3</v>
      </c>
      <c r="AA98">
        <v>0.99957339999999995</v>
      </c>
      <c r="AB98">
        <v>3</v>
      </c>
      <c r="AC98">
        <v>0.65389999999996395</v>
      </c>
      <c r="AD98">
        <v>-0.20623920000000001</v>
      </c>
      <c r="AE98">
        <v>-2.5699999999971999E-2</v>
      </c>
      <c r="AF98">
        <v>1.87056870617637E-2</v>
      </c>
      <c r="AG98">
        <v>-0.20623920000000001</v>
      </c>
      <c r="AH98">
        <v>0.59498594274969396</v>
      </c>
      <c r="AI98">
        <v>109.109027828347</v>
      </c>
      <c r="AJ98">
        <v>88.199278428832599</v>
      </c>
      <c r="AK98">
        <v>0.62999427173176303</v>
      </c>
      <c r="AL98">
        <v>73.516876120907796</v>
      </c>
      <c r="AM98">
        <v>92.458038337472303</v>
      </c>
      <c r="AN98">
        <v>0.99999993688421496</v>
      </c>
    </row>
    <row r="99" spans="1:40" x14ac:dyDescent="0.25">
      <c r="A99" t="str">
        <f>"20190304164102841"</f>
        <v>20190304164102841</v>
      </c>
      <c r="B99" t="str">
        <f>"1551688862831984"</f>
        <v>1551688862831984</v>
      </c>
      <c r="C99" t="s">
        <v>40</v>
      </c>
      <c r="D99">
        <v>4.9523029999999997</v>
      </c>
      <c r="E99">
        <v>0.55140630000000002</v>
      </c>
      <c r="F99" t="s">
        <v>41</v>
      </c>
      <c r="G99">
        <v>-474.17309999999998</v>
      </c>
      <c r="H99">
        <v>0.90073409999999998</v>
      </c>
      <c r="I99">
        <v>367.17430000000002</v>
      </c>
      <c r="J99">
        <v>-474.8365</v>
      </c>
      <c r="K99">
        <v>1.109828</v>
      </c>
      <c r="L99">
        <v>367.20030000000003</v>
      </c>
      <c r="M99">
        <v>0.99994019999999995</v>
      </c>
      <c r="N99">
        <v>-7.5218139999999999E-3</v>
      </c>
      <c r="O99">
        <v>-7.9640470000000001E-3</v>
      </c>
      <c r="P99">
        <v>0.96037329999999999</v>
      </c>
      <c r="Q99">
        <v>0.2766885</v>
      </c>
      <c r="R99">
        <v>3.3573699999999998E-2</v>
      </c>
      <c r="S99">
        <v>3.4265439999999998</v>
      </c>
      <c r="T99">
        <v>-1.0416729999999901</v>
      </c>
      <c r="U99">
        <v>-0.131073</v>
      </c>
      <c r="V99">
        <v>-4.1180509999999997E-2</v>
      </c>
      <c r="W99">
        <v>0.28390799999999999</v>
      </c>
      <c r="X99">
        <v>0.95796680000000001</v>
      </c>
      <c r="Y99">
        <v>2.925235E-2</v>
      </c>
      <c r="Z99">
        <v>-2.1511189999999999E-3</v>
      </c>
      <c r="AA99">
        <v>0.99956979999999995</v>
      </c>
      <c r="AB99">
        <v>4</v>
      </c>
      <c r="AC99">
        <v>0.66340000000002397</v>
      </c>
      <c r="AD99">
        <v>-0.2090939</v>
      </c>
      <c r="AE99">
        <v>-2.60000000000104E-2</v>
      </c>
      <c r="AF99">
        <v>1.88463229508774E-2</v>
      </c>
      <c r="AG99">
        <v>-0.2090939</v>
      </c>
      <c r="AH99">
        <v>0.60370490928290499</v>
      </c>
      <c r="AI99">
        <v>109.094959206224</v>
      </c>
      <c r="AJ99">
        <v>88.211934050564906</v>
      </c>
      <c r="AK99">
        <v>0.63916747445271205</v>
      </c>
      <c r="AL99">
        <v>73.506414248025806</v>
      </c>
      <c r="AM99">
        <v>92.461481611255806</v>
      </c>
      <c r="AN99">
        <v>0.999999988385049</v>
      </c>
    </row>
    <row r="100" spans="1:40" x14ac:dyDescent="0.25">
      <c r="A100" t="str">
        <f>"20190304164102861"</f>
        <v>20190304164102861</v>
      </c>
      <c r="B100" t="str">
        <f>"1551688862851504"</f>
        <v>1551688862851504</v>
      </c>
      <c r="C100" t="s">
        <v>40</v>
      </c>
      <c r="D100">
        <v>4.9343459999999997</v>
      </c>
      <c r="E100">
        <v>0.55143330000000002</v>
      </c>
      <c r="F100" t="s">
        <v>41</v>
      </c>
      <c r="G100">
        <v>-474.17</v>
      </c>
      <c r="H100">
        <v>0.9078079</v>
      </c>
      <c r="I100">
        <v>367.1748</v>
      </c>
      <c r="J100">
        <v>-474.79880000000003</v>
      </c>
      <c r="K100">
        <v>1.1095539999999999</v>
      </c>
      <c r="L100">
        <v>367.19979999999998</v>
      </c>
      <c r="M100">
        <v>0.99994689999999997</v>
      </c>
      <c r="N100">
        <v>-6.3207439999999997E-3</v>
      </c>
      <c r="O100">
        <v>-8.1445679999999996E-3</v>
      </c>
      <c r="P100">
        <v>0.96004219999999896</v>
      </c>
      <c r="Q100">
        <v>0.27791059999999901</v>
      </c>
      <c r="R100">
        <v>3.2942680000000002E-2</v>
      </c>
      <c r="S100">
        <v>3.427765</v>
      </c>
      <c r="T100">
        <v>-1.039099</v>
      </c>
      <c r="U100">
        <v>-0.1313782</v>
      </c>
      <c r="V100">
        <v>-4.0713220000000001E-2</v>
      </c>
      <c r="W100">
        <v>0.28397800000000001</v>
      </c>
      <c r="X100">
        <v>0.95796599999999998</v>
      </c>
      <c r="Y100">
        <v>2.9172340000000001E-2</v>
      </c>
      <c r="Z100">
        <v>-2.053919E-3</v>
      </c>
      <c r="AA100">
        <v>0.99957229999999997</v>
      </c>
      <c r="AB100">
        <v>4</v>
      </c>
      <c r="AC100">
        <v>0.62880000000001202</v>
      </c>
      <c r="AD100">
        <v>-0.20174610000000001</v>
      </c>
      <c r="AE100">
        <v>-2.49999999999772E-2</v>
      </c>
      <c r="AF100">
        <v>1.8025176536259999E-2</v>
      </c>
      <c r="AG100">
        <v>-0.20174610000000001</v>
      </c>
      <c r="AH100">
        <v>0.57036219581406</v>
      </c>
      <c r="AI100">
        <v>109.47050093212999</v>
      </c>
      <c r="AJ100">
        <v>88.189881923890994</v>
      </c>
      <c r="AK100">
        <v>0.60525980394224899</v>
      </c>
      <c r="AL100">
        <v>73.502230967025</v>
      </c>
      <c r="AM100">
        <v>92.433586100553498</v>
      </c>
      <c r="AN100">
        <v>0.99999996396138302</v>
      </c>
    </row>
    <row r="101" spans="1:40" x14ac:dyDescent="0.25">
      <c r="A101" t="str">
        <f>"20190304164102883"</f>
        <v>20190304164102883</v>
      </c>
      <c r="B101" t="str">
        <f>"1551688862871999"</f>
        <v>1551688862871999</v>
      </c>
      <c r="C101" t="s">
        <v>40</v>
      </c>
      <c r="D101">
        <v>4.9752890000000001</v>
      </c>
      <c r="E101">
        <v>0.5514635</v>
      </c>
      <c r="F101" t="s">
        <v>41</v>
      </c>
      <c r="G101">
        <v>-474.13119999999998</v>
      </c>
      <c r="H101">
        <v>0.90792430000000002</v>
      </c>
      <c r="I101">
        <v>367.17360000000002</v>
      </c>
      <c r="J101">
        <v>-474.75900000000001</v>
      </c>
      <c r="K101">
        <v>1.1096919999999999</v>
      </c>
      <c r="L101">
        <v>367.19929999999999</v>
      </c>
      <c r="M101">
        <v>0.99994519999999998</v>
      </c>
      <c r="N101">
        <v>-6.385033E-3</v>
      </c>
      <c r="O101">
        <v>-8.2979000000000004E-3</v>
      </c>
      <c r="P101">
        <v>0.95995339999999996</v>
      </c>
      <c r="Q101">
        <v>0.27824320000000002</v>
      </c>
      <c r="R101">
        <v>3.2714279999999998E-2</v>
      </c>
      <c r="S101">
        <v>3.4292910000000001</v>
      </c>
      <c r="T101">
        <v>-1.0356749999999999</v>
      </c>
      <c r="U101">
        <v>-0.13348389999999999</v>
      </c>
      <c r="V101">
        <v>-4.0636579999999999E-2</v>
      </c>
      <c r="W101">
        <v>0.28437069999999998</v>
      </c>
      <c r="X101">
        <v>0.95785279999999995</v>
      </c>
      <c r="Y101">
        <v>2.9608240000000001E-2</v>
      </c>
      <c r="Z101">
        <v>-2.070002E-3</v>
      </c>
      <c r="AA101">
        <v>0.99955950000000005</v>
      </c>
      <c r="AB101">
        <v>4</v>
      </c>
      <c r="AC101">
        <v>0.627800000000036</v>
      </c>
      <c r="AD101">
        <v>-0.201767699999999</v>
      </c>
      <c r="AE101">
        <v>-2.5699999999971999E-2</v>
      </c>
      <c r="AF101">
        <v>1.8574252102739299E-2</v>
      </c>
      <c r="AG101">
        <v>-0.201767699999999</v>
      </c>
      <c r="AH101">
        <v>0.56928794635539703</v>
      </c>
      <c r="AI101">
        <v>109.50580887287499</v>
      </c>
      <c r="AJ101">
        <v>88.131264034920903</v>
      </c>
      <c r="AK101">
        <v>0.60427144022368895</v>
      </c>
      <c r="AL101">
        <v>73.478764131315003</v>
      </c>
      <c r="AM101">
        <v>92.429297243458294</v>
      </c>
      <c r="AN101">
        <v>1.0000000065602099</v>
      </c>
    </row>
    <row r="102" spans="1:40" x14ac:dyDescent="0.25">
      <c r="A102" t="str">
        <f>"20190304164102897"</f>
        <v>20190304164102897</v>
      </c>
      <c r="B102" t="str">
        <f>"1551688862891519"</f>
        <v>1551688862891519</v>
      </c>
      <c r="C102" t="s">
        <v>40</v>
      </c>
      <c r="D102">
        <v>5.0025879999999896</v>
      </c>
      <c r="E102">
        <v>0.5514886</v>
      </c>
      <c r="F102" t="s">
        <v>41</v>
      </c>
      <c r="G102">
        <v>-474.06470000000002</v>
      </c>
      <c r="H102">
        <v>0.90006469999999905</v>
      </c>
      <c r="I102">
        <v>367.17169999999999</v>
      </c>
      <c r="J102">
        <v>-474.73340000000002</v>
      </c>
      <c r="K102">
        <v>1.1100620000000001</v>
      </c>
      <c r="L102">
        <v>367.19900000000001</v>
      </c>
      <c r="M102">
        <v>0.99993730000000003</v>
      </c>
      <c r="N102">
        <v>-7.4325049999999998E-3</v>
      </c>
      <c r="O102">
        <v>-8.3824729999999997E-3</v>
      </c>
      <c r="P102">
        <v>0.96017220000000003</v>
      </c>
      <c r="Q102">
        <v>0.27748420000000001</v>
      </c>
      <c r="R102">
        <v>3.273877E-2</v>
      </c>
      <c r="S102">
        <v>3.4299010000000001</v>
      </c>
      <c r="T102">
        <v>-1.03546</v>
      </c>
      <c r="U102">
        <v>-0.1349487</v>
      </c>
      <c r="V102">
        <v>-4.0755899999999998E-2</v>
      </c>
      <c r="W102">
        <v>0.28461520000000001</v>
      </c>
      <c r="X102">
        <v>0.95777509999999999</v>
      </c>
      <c r="Y102">
        <v>2.9925529999999999E-2</v>
      </c>
      <c r="Z102">
        <v>-2.1173440000000002E-3</v>
      </c>
      <c r="AA102">
        <v>0.99954989999999999</v>
      </c>
      <c r="AB102">
        <v>4</v>
      </c>
      <c r="AC102">
        <v>0.66870000000000096</v>
      </c>
      <c r="AD102">
        <v>-0.2099973</v>
      </c>
      <c r="AE102">
        <v>-2.73000000000252E-2</v>
      </c>
      <c r="AF102">
        <v>1.9749111051028102E-2</v>
      </c>
      <c r="AG102">
        <v>-0.2099973</v>
      </c>
      <c r="AH102">
        <v>0.60895060285719504</v>
      </c>
      <c r="AI102">
        <v>109.01753157105099</v>
      </c>
      <c r="AJ102">
        <v>88.142469617320401</v>
      </c>
      <c r="AK102">
        <v>0.64444528868999995</v>
      </c>
      <c r="AL102">
        <v>73.464151360013901</v>
      </c>
      <c r="AM102">
        <v>92.436619152301503</v>
      </c>
      <c r="AN102">
        <v>0.999999998817929</v>
      </c>
    </row>
    <row r="103" spans="1:40" x14ac:dyDescent="0.25">
      <c r="A103" t="str">
        <f>"20190304164102913"</f>
        <v>20190304164102913</v>
      </c>
      <c r="B103" t="str">
        <f>"1551688862901280"</f>
        <v>1551688862901280</v>
      </c>
      <c r="C103" t="s">
        <v>40</v>
      </c>
      <c r="D103">
        <v>5.0056560000000001</v>
      </c>
      <c r="E103">
        <v>0.55150159999999904</v>
      </c>
      <c r="F103" t="s">
        <v>41</v>
      </c>
      <c r="G103">
        <v>-474.06189999999998</v>
      </c>
      <c r="H103">
        <v>0.90653989999999995</v>
      </c>
      <c r="I103">
        <v>367.17219999999998</v>
      </c>
      <c r="J103">
        <v>-474.70890000000003</v>
      </c>
      <c r="K103">
        <v>1.110482</v>
      </c>
      <c r="L103">
        <v>367.19869999999997</v>
      </c>
      <c r="M103">
        <v>0.99992550000000002</v>
      </c>
      <c r="N103">
        <v>-8.8095799999999991E-3</v>
      </c>
      <c r="O103">
        <v>-8.4548580000000009E-3</v>
      </c>
      <c r="P103">
        <v>0.96035530000000002</v>
      </c>
      <c r="Q103">
        <v>0.27687970000000001</v>
      </c>
      <c r="R103">
        <v>3.2491230000000003E-2</v>
      </c>
      <c r="S103">
        <v>3.4294129999999998</v>
      </c>
      <c r="T103">
        <v>-1.0391969999999999</v>
      </c>
      <c r="U103">
        <v>-0.13522339999999999</v>
      </c>
      <c r="V103">
        <v>-4.0593919999999999E-2</v>
      </c>
      <c r="W103">
        <v>0.28532869999999999</v>
      </c>
      <c r="X103">
        <v>0.95756969999999997</v>
      </c>
      <c r="Y103">
        <v>2.9924739999999998E-2</v>
      </c>
      <c r="Z103">
        <v>-2.1357780000000001E-3</v>
      </c>
      <c r="AA103">
        <v>0.99954989999999999</v>
      </c>
      <c r="AB103">
        <v>4</v>
      </c>
      <c r="AC103">
        <v>0.64700000000004798</v>
      </c>
      <c r="AD103">
        <v>-0.20394209999999999</v>
      </c>
      <c r="AE103">
        <v>-2.6499999999998601E-2</v>
      </c>
      <c r="AF103">
        <v>1.9130911545741001E-2</v>
      </c>
      <c r="AG103">
        <v>-0.20394209999999999</v>
      </c>
      <c r="AH103">
        <v>0.588796909542042</v>
      </c>
      <c r="AI103">
        <v>109.095249011939</v>
      </c>
      <c r="AJ103">
        <v>88.139027240795798</v>
      </c>
      <c r="AK103">
        <v>0.62341011590704898</v>
      </c>
      <c r="AL103">
        <v>73.421502982031001</v>
      </c>
      <c r="AM103">
        <v>92.427466631184998</v>
      </c>
      <c r="AN103">
        <v>1.00000003187137</v>
      </c>
    </row>
    <row r="104" spans="1:40" x14ac:dyDescent="0.25">
      <c r="A104" t="str">
        <f>"20190304164102927"</f>
        <v>20190304164102927</v>
      </c>
      <c r="B104" t="str">
        <f>"1551688862921775"</f>
        <v>1551688862921775</v>
      </c>
      <c r="C104" t="s">
        <v>40</v>
      </c>
      <c r="D104">
        <v>5.0135069999999997</v>
      </c>
      <c r="E104">
        <v>0.55154259999999999</v>
      </c>
      <c r="F104" t="s">
        <v>41</v>
      </c>
      <c r="G104">
        <v>-474.03269999999998</v>
      </c>
      <c r="H104">
        <v>0.90498190000000001</v>
      </c>
      <c r="I104">
        <v>367.17189999999999</v>
      </c>
      <c r="J104">
        <v>-474.68759999999997</v>
      </c>
      <c r="K104">
        <v>1.110668</v>
      </c>
      <c r="L104">
        <v>367.19839999999999</v>
      </c>
      <c r="M104">
        <v>0.99991850000000004</v>
      </c>
      <c r="N104">
        <v>-9.5209960000000003E-3</v>
      </c>
      <c r="O104">
        <v>-8.5181900000000001E-3</v>
      </c>
      <c r="P104">
        <v>0.96049689999999999</v>
      </c>
      <c r="Q104">
        <v>0.27638299999999999</v>
      </c>
      <c r="R104">
        <v>3.2533529999999998E-2</v>
      </c>
      <c r="S104">
        <v>3.4288020000000001</v>
      </c>
      <c r="T104">
        <v>-1.041906</v>
      </c>
      <c r="U104">
        <v>-0.13531489999999999</v>
      </c>
      <c r="V104">
        <v>-4.0705270000000002E-2</v>
      </c>
      <c r="W104">
        <v>0.28551379999999998</v>
      </c>
      <c r="X104">
        <v>0.95750979999999997</v>
      </c>
      <c r="Y104">
        <v>2.9888910000000001E-2</v>
      </c>
      <c r="Z104">
        <v>-2.1339940000000002E-3</v>
      </c>
      <c r="AA104">
        <v>0.99955090000000002</v>
      </c>
      <c r="AB104">
        <v>4</v>
      </c>
      <c r="AC104">
        <v>0.65489999999999704</v>
      </c>
      <c r="AD104">
        <v>-0.20568610000000001</v>
      </c>
      <c r="AE104">
        <v>-2.6499999999998601E-2</v>
      </c>
      <c r="AF104">
        <v>1.9044696065556001E-2</v>
      </c>
      <c r="AG104">
        <v>-0.20568610000000001</v>
      </c>
      <c r="AH104">
        <v>0.59637116444822802</v>
      </c>
      <c r="AI104">
        <v>109.020116703592</v>
      </c>
      <c r="AJ104">
        <v>88.170920946623397</v>
      </c>
      <c r="AK104">
        <v>0.63113234584100897</v>
      </c>
      <c r="AL104">
        <v>73.410437241980503</v>
      </c>
      <c r="AM104">
        <v>92.434269317264096</v>
      </c>
      <c r="AN104">
        <v>1.0000000330461201</v>
      </c>
    </row>
    <row r="105" spans="1:40" x14ac:dyDescent="0.25">
      <c r="A105" t="str">
        <f>"20190304164102941"</f>
        <v>20190304164102941</v>
      </c>
      <c r="B105" t="str">
        <f>"1551688862931536"</f>
        <v>1551688862931536</v>
      </c>
      <c r="C105" t="s">
        <v>40</v>
      </c>
      <c r="D105">
        <v>5.0917680000000001</v>
      </c>
      <c r="E105">
        <v>0.55162080000000002</v>
      </c>
      <c r="F105" t="s">
        <v>41</v>
      </c>
      <c r="G105">
        <v>-473.99979999999999</v>
      </c>
      <c r="H105">
        <v>0.90111220000000003</v>
      </c>
      <c r="I105">
        <v>367.1712</v>
      </c>
      <c r="J105">
        <v>-474.66300000000001</v>
      </c>
      <c r="K105">
        <v>1.1105830000000001</v>
      </c>
      <c r="L105">
        <v>367.19810000000001</v>
      </c>
      <c r="M105">
        <v>0.99991850000000004</v>
      </c>
      <c r="N105">
        <v>-9.4482490000000006E-3</v>
      </c>
      <c r="O105">
        <v>-8.5949960000000006E-3</v>
      </c>
      <c r="P105">
        <v>0.96045049999999998</v>
      </c>
      <c r="Q105">
        <v>0.27654970000000001</v>
      </c>
      <c r="R105">
        <v>3.2482789999999997E-2</v>
      </c>
      <c r="S105">
        <v>3.4284970000000001</v>
      </c>
      <c r="T105">
        <v>-1.044611</v>
      </c>
      <c r="U105">
        <v>-0.1348877</v>
      </c>
      <c r="V105">
        <v>-4.0726419999999999E-2</v>
      </c>
      <c r="W105">
        <v>0.28561019999999998</v>
      </c>
      <c r="X105">
        <v>0.95748009999999995</v>
      </c>
      <c r="Y105">
        <v>2.969869E-2</v>
      </c>
      <c r="Z105">
        <v>-2.0857829999999999E-3</v>
      </c>
      <c r="AA105">
        <v>0.99955669999999996</v>
      </c>
      <c r="AB105">
        <v>3</v>
      </c>
      <c r="AC105">
        <v>0.663200000000017</v>
      </c>
      <c r="AD105">
        <v>-0.20947080000000001</v>
      </c>
      <c r="AE105">
        <v>-2.6900000000011901E-2</v>
      </c>
      <c r="AF105">
        <v>1.9278481782754701E-2</v>
      </c>
      <c r="AG105">
        <v>-0.20947080000000001</v>
      </c>
      <c r="AH105">
        <v>0.60331832789107098</v>
      </c>
      <c r="AI105">
        <v>109.137832048402</v>
      </c>
      <c r="AJ105">
        <v>88.169788860209493</v>
      </c>
      <c r="AK105">
        <v>0.63893871433946303</v>
      </c>
      <c r="AL105">
        <v>73.404673122326997</v>
      </c>
      <c r="AM105">
        <v>92.435608070125994</v>
      </c>
      <c r="AN105">
        <v>0.99999998476303298</v>
      </c>
    </row>
    <row r="106" spans="1:40" x14ac:dyDescent="0.25">
      <c r="A106" t="str">
        <f>"20190304164102960"</f>
        <v>20190304164102960</v>
      </c>
      <c r="B106" t="str">
        <f>"1551688862951459"</f>
        <v>1551688862951459</v>
      </c>
      <c r="C106" t="s">
        <v>40</v>
      </c>
      <c r="D106">
        <v>5.0540010000000004</v>
      </c>
      <c r="E106">
        <v>0.55164630000000003</v>
      </c>
      <c r="F106" t="s">
        <v>41</v>
      </c>
      <c r="G106">
        <v>-473.99689999999998</v>
      </c>
      <c r="H106">
        <v>0.90796030000000005</v>
      </c>
      <c r="I106">
        <v>367.17160000000001</v>
      </c>
      <c r="J106">
        <v>-474.62799999999999</v>
      </c>
      <c r="K106">
        <v>1.110222</v>
      </c>
      <c r="L106">
        <v>367.1977</v>
      </c>
      <c r="M106">
        <v>0.9999266</v>
      </c>
      <c r="N106">
        <v>-8.4045979999999992E-3</v>
      </c>
      <c r="O106">
        <v>-8.7262680000000006E-3</v>
      </c>
      <c r="P106">
        <v>0.96016029999999997</v>
      </c>
      <c r="Q106">
        <v>0.27750910000000001</v>
      </c>
      <c r="R106">
        <v>3.2882330000000001E-2</v>
      </c>
      <c r="S106">
        <v>3.4284059999999998</v>
      </c>
      <c r="T106">
        <v>-1.0428170000000001</v>
      </c>
      <c r="U106">
        <v>-0.1357727</v>
      </c>
      <c r="V106">
        <v>-4.124104E-2</v>
      </c>
      <c r="W106">
        <v>0.28556910000000002</v>
      </c>
      <c r="X106">
        <v>0.95747040000000005</v>
      </c>
      <c r="Y106">
        <v>2.9836149999999999E-2</v>
      </c>
      <c r="Z106">
        <v>-2.0411869999999999E-3</v>
      </c>
      <c r="AA106">
        <v>0.99955269999999996</v>
      </c>
      <c r="AB106">
        <v>3</v>
      </c>
      <c r="AC106">
        <v>0.63110000000005995</v>
      </c>
      <c r="AD106">
        <v>-0.20226169999999999</v>
      </c>
      <c r="AE106">
        <v>-2.6099999999985302E-2</v>
      </c>
      <c r="AF106">
        <v>1.8676586674060702E-2</v>
      </c>
      <c r="AG106">
        <v>-0.20226169999999999</v>
      </c>
      <c r="AH106">
        <v>0.57259087667132003</v>
      </c>
      <c r="AI106">
        <v>109.445666509041</v>
      </c>
      <c r="AJ106">
        <v>88.131806873528006</v>
      </c>
      <c r="AK106">
        <v>0.607551579887596</v>
      </c>
      <c r="AL106">
        <v>73.407131439554206</v>
      </c>
      <c r="AM106">
        <v>92.466371658999407</v>
      </c>
      <c r="AN106">
        <v>1.0000000505656199</v>
      </c>
    </row>
    <row r="107" spans="1:40" x14ac:dyDescent="0.25">
      <c r="A107" t="str">
        <f>"20190304164102972"</f>
        <v>20190304164102972</v>
      </c>
      <c r="B107" t="str">
        <f>"1551688862961220"</f>
        <v>1551688862961220</v>
      </c>
      <c r="C107" t="s">
        <v>40</v>
      </c>
      <c r="D107">
        <v>5.0495789999999996</v>
      </c>
      <c r="E107">
        <v>0.55164969999999902</v>
      </c>
      <c r="F107" t="s">
        <v>41</v>
      </c>
      <c r="G107">
        <v>-473.95839999999998</v>
      </c>
      <c r="H107">
        <v>0.90710990000000002</v>
      </c>
      <c r="I107">
        <v>367.17129999999997</v>
      </c>
      <c r="J107">
        <v>-474.60230000000001</v>
      </c>
      <c r="K107">
        <v>1.109999</v>
      </c>
      <c r="L107">
        <v>367.19740000000002</v>
      </c>
      <c r="M107">
        <v>0.99993160000000003</v>
      </c>
      <c r="N107">
        <v>-7.6691519999999899E-3</v>
      </c>
      <c r="O107">
        <v>-8.8335649999999998E-3</v>
      </c>
      <c r="P107">
        <v>0.95997480000000002</v>
      </c>
      <c r="Q107">
        <v>0.27814719999999998</v>
      </c>
      <c r="R107">
        <v>3.2903549999999997E-2</v>
      </c>
      <c r="S107">
        <v>3.4297789999999999</v>
      </c>
      <c r="T107">
        <v>-1.0403560000000001</v>
      </c>
      <c r="U107">
        <v>-0.13507079999999999</v>
      </c>
      <c r="V107">
        <v>-4.1355570000000001E-2</v>
      </c>
      <c r="W107">
        <v>0.2855029</v>
      </c>
      <c r="X107">
        <v>0.95748520000000004</v>
      </c>
      <c r="Y107">
        <v>2.9537770000000001E-2</v>
      </c>
      <c r="Z107">
        <v>-1.94239E-3</v>
      </c>
      <c r="AA107">
        <v>0.99956179999999994</v>
      </c>
      <c r="AB107">
        <v>4</v>
      </c>
      <c r="AC107">
        <v>0.64390000000003</v>
      </c>
      <c r="AD107">
        <v>-0.20288909999999999</v>
      </c>
      <c r="AE107">
        <v>-2.6100000000042201E-2</v>
      </c>
      <c r="AF107">
        <v>1.8570179052543899E-2</v>
      </c>
      <c r="AG107">
        <v>-0.20288909999999999</v>
      </c>
      <c r="AH107">
        <v>0.58601844534638503</v>
      </c>
      <c r="AI107">
        <v>109.087796575609</v>
      </c>
      <c r="AJ107">
        <v>88.184977005078593</v>
      </c>
      <c r="AK107">
        <v>0.62042441661740499</v>
      </c>
      <c r="AL107">
        <v>73.411089156321594</v>
      </c>
      <c r="AM107">
        <v>92.473174315717102</v>
      </c>
      <c r="AN107">
        <v>1.0000000486487299</v>
      </c>
    </row>
    <row r="108" spans="1:40" x14ac:dyDescent="0.25">
      <c r="A108" t="str">
        <f>"20190304164102986"</f>
        <v>20190304164102986</v>
      </c>
      <c r="B108" t="str">
        <f>"1551688862971956"</f>
        <v>1551688862971956</v>
      </c>
      <c r="C108" t="s">
        <v>40</v>
      </c>
      <c r="D108">
        <v>5.0591189999999999</v>
      </c>
      <c r="E108">
        <v>0.55164760000000002</v>
      </c>
      <c r="F108" t="s">
        <v>41</v>
      </c>
      <c r="G108">
        <v>-473.91910000000001</v>
      </c>
      <c r="H108">
        <v>0.90315460000000003</v>
      </c>
      <c r="I108">
        <v>367.1703</v>
      </c>
      <c r="J108">
        <v>-474.57510000000002</v>
      </c>
      <c r="K108">
        <v>1.1098629999999901</v>
      </c>
      <c r="L108">
        <v>367.197</v>
      </c>
      <c r="M108">
        <v>0.9999342</v>
      </c>
      <c r="N108">
        <v>-7.1823420000000004E-3</v>
      </c>
      <c r="O108">
        <v>-8.9451970000000002E-3</v>
      </c>
      <c r="P108">
        <v>0.9598698</v>
      </c>
      <c r="Q108">
        <v>0.27848640000000002</v>
      </c>
      <c r="R108">
        <v>3.3096569999999999E-2</v>
      </c>
      <c r="S108">
        <v>3.4306640000000002</v>
      </c>
      <c r="T108">
        <v>-1.038621</v>
      </c>
      <c r="U108">
        <v>-0.13446040000000001</v>
      </c>
      <c r="V108">
        <v>-4.1648490000000003E-2</v>
      </c>
      <c r="W108">
        <v>0.28537580000000001</v>
      </c>
      <c r="X108">
        <v>0.95751039999999998</v>
      </c>
      <c r="Y108">
        <v>2.9262949999999999E-2</v>
      </c>
      <c r="Z108">
        <v>-1.853642E-3</v>
      </c>
      <c r="AA108">
        <v>0.99956999999999996</v>
      </c>
      <c r="AB108">
        <v>4</v>
      </c>
      <c r="AC108">
        <v>0.65600000000000502</v>
      </c>
      <c r="AD108">
        <v>-0.20670839999999899</v>
      </c>
      <c r="AE108">
        <v>-2.66999999999484E-2</v>
      </c>
      <c r="AF108">
        <v>1.89520781796499E-2</v>
      </c>
      <c r="AG108">
        <v>-0.20670839999999899</v>
      </c>
      <c r="AH108">
        <v>0.59703100850091595</v>
      </c>
      <c r="AI108">
        <v>109.088328591424</v>
      </c>
      <c r="AJ108">
        <v>88.181820438081999</v>
      </c>
      <c r="AK108">
        <v>0.632086678399021</v>
      </c>
      <c r="AL108">
        <v>73.418687676757898</v>
      </c>
      <c r="AM108">
        <v>92.490604269653801</v>
      </c>
      <c r="AN108">
        <v>1.00000005502653</v>
      </c>
    </row>
    <row r="109" spans="1:40" x14ac:dyDescent="0.25">
      <c r="A109" t="str">
        <f>"20190304164103004"</f>
        <v>20190304164103004</v>
      </c>
      <c r="B109" t="str">
        <f>"1551688862991475"</f>
        <v>1551688862991475</v>
      </c>
      <c r="C109" t="s">
        <v>40</v>
      </c>
      <c r="D109">
        <v>5.042808</v>
      </c>
      <c r="E109">
        <v>0.55164760000000002</v>
      </c>
      <c r="F109" t="s">
        <v>41</v>
      </c>
      <c r="G109">
        <v>-473.88200000000001</v>
      </c>
      <c r="H109">
        <v>0.9002059</v>
      </c>
      <c r="I109">
        <v>367.16980000000001</v>
      </c>
      <c r="J109">
        <v>-474.54160000000002</v>
      </c>
      <c r="K109">
        <v>1.110006</v>
      </c>
      <c r="L109">
        <v>367.19659999999999</v>
      </c>
      <c r="M109">
        <v>0.99993010000000004</v>
      </c>
      <c r="N109">
        <v>-7.5776050000000003E-3</v>
      </c>
      <c r="O109">
        <v>-9.0694550000000006E-3</v>
      </c>
      <c r="P109">
        <v>0.95991859999999996</v>
      </c>
      <c r="Q109">
        <v>0.27830559999999899</v>
      </c>
      <c r="R109">
        <v>3.3200090000000002E-2</v>
      </c>
      <c r="S109">
        <v>3.4312130000000001</v>
      </c>
      <c r="T109">
        <v>-1.03799</v>
      </c>
      <c r="U109">
        <v>-0.1343384</v>
      </c>
      <c r="V109">
        <v>-4.1871470000000001E-2</v>
      </c>
      <c r="W109">
        <v>0.2855741</v>
      </c>
      <c r="X109">
        <v>0.95744149999999995</v>
      </c>
      <c r="Y109">
        <v>2.9107930000000001E-2</v>
      </c>
      <c r="Z109">
        <v>-1.802428E-3</v>
      </c>
      <c r="AA109">
        <v>0.99957470000000004</v>
      </c>
      <c r="AB109">
        <v>5</v>
      </c>
      <c r="AC109">
        <v>0.65960000000006802</v>
      </c>
      <c r="AD109">
        <v>-0.20980009999999999</v>
      </c>
      <c r="AE109">
        <v>-2.67999999999801E-2</v>
      </c>
      <c r="AF109">
        <v>1.8906865361945399E-2</v>
      </c>
      <c r="AG109">
        <v>-0.20980009999999999</v>
      </c>
      <c r="AH109">
        <v>0.59928630104970304</v>
      </c>
      <c r="AI109">
        <v>109.285409402629</v>
      </c>
      <c r="AJ109">
        <v>88.192976561068505</v>
      </c>
      <c r="AK109">
        <v>0.63523036934930999</v>
      </c>
      <c r="AL109">
        <v>73.406831756071298</v>
      </c>
      <c r="AM109">
        <v>92.504101638574099</v>
      </c>
      <c r="AN109">
        <v>1.00000000625651</v>
      </c>
    </row>
    <row r="110" spans="1:40" x14ac:dyDescent="0.25">
      <c r="A110" t="str">
        <f>"20190304164103016"</f>
        <v>20190304164103016</v>
      </c>
      <c r="B110" t="str">
        <f>"1551688863011972"</f>
        <v>1551688863011972</v>
      </c>
      <c r="C110" t="s">
        <v>40</v>
      </c>
      <c r="D110">
        <v>5.0652689999999998</v>
      </c>
      <c r="E110">
        <v>0.55164299999999999</v>
      </c>
      <c r="F110" t="s">
        <v>41</v>
      </c>
      <c r="G110">
        <v>-473.84809999999999</v>
      </c>
      <c r="H110">
        <v>0.8998138</v>
      </c>
      <c r="I110">
        <v>367.1694</v>
      </c>
      <c r="J110">
        <v>-474.51830000000001</v>
      </c>
      <c r="K110">
        <v>1.1103229999999999</v>
      </c>
      <c r="L110">
        <v>367.19630000000001</v>
      </c>
      <c r="M110">
        <v>0.99992099999999995</v>
      </c>
      <c r="N110">
        <v>-8.6344999999999998E-3</v>
      </c>
      <c r="O110">
        <v>-9.1437500000000008E-3</v>
      </c>
      <c r="P110">
        <v>0.96022470000000004</v>
      </c>
      <c r="Q110">
        <v>0.27722590000000003</v>
      </c>
      <c r="R110">
        <v>3.3380069999999998E-2</v>
      </c>
      <c r="S110">
        <v>3.4313959999999999</v>
      </c>
      <c r="T110">
        <v>-1.0399969999999901</v>
      </c>
      <c r="U110">
        <v>-0.1328125</v>
      </c>
      <c r="V110">
        <v>-4.213211E-2</v>
      </c>
      <c r="W110">
        <v>0.28550789999999998</v>
      </c>
      <c r="X110">
        <v>0.95744980000000002</v>
      </c>
      <c r="Y110">
        <v>2.8603179999999999E-2</v>
      </c>
      <c r="Z110">
        <v>-1.7320930000000001E-3</v>
      </c>
      <c r="AA110">
        <v>0.99958930000000001</v>
      </c>
      <c r="AB110">
        <v>4</v>
      </c>
      <c r="AC110">
        <v>0.670200000000022</v>
      </c>
      <c r="AD110">
        <v>-0.21050919999999901</v>
      </c>
      <c r="AE110">
        <v>-2.6900000000011901E-2</v>
      </c>
      <c r="AF110">
        <v>1.8908069878409099E-2</v>
      </c>
      <c r="AG110">
        <v>-0.21050919999999901</v>
      </c>
      <c r="AH110">
        <v>0.61030335304647598</v>
      </c>
      <c r="AI110">
        <v>109.022150129037</v>
      </c>
      <c r="AJ110">
        <v>88.225462503900502</v>
      </c>
      <c r="AK110">
        <v>0.64586517256385501</v>
      </c>
      <c r="AL110">
        <v>73.410789363934299</v>
      </c>
      <c r="AM110">
        <v>92.519647237709506</v>
      </c>
      <c r="AN110">
        <v>0.99999999758775104</v>
      </c>
    </row>
    <row r="111" spans="1:40" x14ac:dyDescent="0.25">
      <c r="A111" t="str">
        <f>"20190304164103030"</f>
        <v>20190304164103030</v>
      </c>
      <c r="B111" t="str">
        <f>"1551688863021732"</f>
        <v>1551688863021732</v>
      </c>
      <c r="C111" t="s">
        <v>40</v>
      </c>
      <c r="D111">
        <v>4.9892289999999999</v>
      </c>
      <c r="E111">
        <v>0.55166610000000005</v>
      </c>
      <c r="F111" t="s">
        <v>41</v>
      </c>
      <c r="G111">
        <v>-473.84570000000002</v>
      </c>
      <c r="H111">
        <v>0.90537199999999995</v>
      </c>
      <c r="I111">
        <v>367.17020000000002</v>
      </c>
      <c r="J111">
        <v>-474.49430000000001</v>
      </c>
      <c r="K111">
        <v>1.1104080000000001</v>
      </c>
      <c r="L111">
        <v>367.19600000000003</v>
      </c>
      <c r="M111">
        <v>0.9999171</v>
      </c>
      <c r="N111">
        <v>-8.9905009999999997E-3</v>
      </c>
      <c r="O111">
        <v>-9.2262500000000001E-3</v>
      </c>
      <c r="P111">
        <v>0.9602948</v>
      </c>
      <c r="Q111">
        <v>0.2769974</v>
      </c>
      <c r="R111">
        <v>3.3262630000000001E-2</v>
      </c>
      <c r="S111">
        <v>3.4306030000000001</v>
      </c>
      <c r="T111">
        <v>-1.045256</v>
      </c>
      <c r="U111">
        <v>-0.1312256</v>
      </c>
      <c r="V111">
        <v>-4.2095479999999998E-2</v>
      </c>
      <c r="W111">
        <v>0.28562070000000001</v>
      </c>
      <c r="X111">
        <v>0.95741770000000004</v>
      </c>
      <c r="Y111">
        <v>2.8083770000000001E-2</v>
      </c>
      <c r="Z111">
        <v>-1.6446709999999999E-3</v>
      </c>
      <c r="AA111">
        <v>0.99960420000000005</v>
      </c>
      <c r="AB111">
        <v>4</v>
      </c>
      <c r="AC111">
        <v>0.64859999999998696</v>
      </c>
      <c r="AD111">
        <v>-0.205036</v>
      </c>
      <c r="AE111">
        <v>-2.57999999999469E-2</v>
      </c>
      <c r="AF111">
        <v>1.80168880164626E-2</v>
      </c>
      <c r="AG111">
        <v>-0.205036</v>
      </c>
      <c r="AH111">
        <v>0.58994859143462097</v>
      </c>
      <c r="AI111">
        <v>109.15656052695201</v>
      </c>
      <c r="AJ111">
        <v>88.250744376309996</v>
      </c>
      <c r="AK111">
        <v>0.62482294298904395</v>
      </c>
      <c r="AL111">
        <v>73.404044482949899</v>
      </c>
      <c r="AM111">
        <v>92.517543751354197</v>
      </c>
      <c r="AN111">
        <v>0.99999993298910295</v>
      </c>
    </row>
    <row r="112" spans="1:40" x14ac:dyDescent="0.25">
      <c r="A112" t="str">
        <f>"20190304164103050"</f>
        <v>20190304164103050</v>
      </c>
      <c r="B112" t="str">
        <f>"1551688863041251"</f>
        <v>1551688863041251</v>
      </c>
      <c r="C112" t="s">
        <v>40</v>
      </c>
      <c r="D112">
        <v>4.945875</v>
      </c>
      <c r="E112">
        <v>0.55156819999999995</v>
      </c>
      <c r="F112" t="s">
        <v>41</v>
      </c>
      <c r="G112">
        <v>-473.80939999999998</v>
      </c>
      <c r="H112">
        <v>0.90152569999999999</v>
      </c>
      <c r="I112">
        <v>367.16950000000003</v>
      </c>
      <c r="J112">
        <v>-474.45609999999999</v>
      </c>
      <c r="K112">
        <v>1.1102350000000001</v>
      </c>
      <c r="L112">
        <v>367.19540000000001</v>
      </c>
      <c r="M112">
        <v>0.99991960000000002</v>
      </c>
      <c r="N112">
        <v>-8.560883E-3</v>
      </c>
      <c r="O112">
        <v>-9.3709499999999994E-3</v>
      </c>
      <c r="P112">
        <v>0.96003609999999995</v>
      </c>
      <c r="Q112">
        <v>0.27783330000000001</v>
      </c>
      <c r="R112">
        <v>3.3760310000000002E-2</v>
      </c>
      <c r="S112">
        <v>3.4304199999999998</v>
      </c>
      <c r="T112">
        <v>-1.0462450000000001</v>
      </c>
      <c r="U112">
        <v>-0.13247679999999901</v>
      </c>
      <c r="V112">
        <v>-4.2724419999999999E-2</v>
      </c>
      <c r="W112">
        <v>0.28604390000000002</v>
      </c>
      <c r="X112">
        <v>0.95726359999999999</v>
      </c>
      <c r="Y112">
        <v>2.8302540000000001E-2</v>
      </c>
      <c r="Z112">
        <v>-1.6276280000000001E-3</v>
      </c>
      <c r="AA112">
        <v>0.99959810000000004</v>
      </c>
      <c r="AB112">
        <v>4</v>
      </c>
      <c r="AC112">
        <v>0.64670000000000905</v>
      </c>
      <c r="AD112">
        <v>-0.20870929999999999</v>
      </c>
      <c r="AE112">
        <v>-2.58999999999787E-2</v>
      </c>
      <c r="AF112">
        <v>1.79698095539499E-2</v>
      </c>
      <c r="AG112">
        <v>-0.20870929999999999</v>
      </c>
      <c r="AH112">
        <v>0.585979659377731</v>
      </c>
      <c r="AI112">
        <v>109.595944123102</v>
      </c>
      <c r="AJ112">
        <v>88.243502720161501</v>
      </c>
      <c r="AK112">
        <v>0.62229787655618496</v>
      </c>
      <c r="AL112">
        <v>73.378743151797806</v>
      </c>
      <c r="AM112">
        <v>92.555519152240805</v>
      </c>
      <c r="AN112">
        <v>1.00000004433825</v>
      </c>
    </row>
    <row r="113" spans="1:40" x14ac:dyDescent="0.25">
      <c r="A113" t="str">
        <f>"20190304164103063"</f>
        <v>20190304164103063</v>
      </c>
      <c r="B113" t="str">
        <f>"1551688863051519"</f>
        <v>1551688863051519</v>
      </c>
      <c r="C113" t="s">
        <v>40</v>
      </c>
      <c r="D113">
        <v>4.9443070000000002</v>
      </c>
      <c r="E113">
        <v>0.55156819999999995</v>
      </c>
      <c r="F113" t="s">
        <v>41</v>
      </c>
      <c r="G113">
        <v>-473.76760000000002</v>
      </c>
      <c r="H113">
        <v>0.90088769999999996</v>
      </c>
      <c r="I113">
        <v>367.16879999999998</v>
      </c>
      <c r="J113">
        <v>-474.42790000000002</v>
      </c>
      <c r="K113">
        <v>1.1100000000000001</v>
      </c>
      <c r="L113">
        <v>367.19510000000002</v>
      </c>
      <c r="M113">
        <v>0.99992420000000004</v>
      </c>
      <c r="N113">
        <v>-7.8355709999999995E-3</v>
      </c>
      <c r="O113">
        <v>-9.4859420000000007E-3</v>
      </c>
      <c r="P113">
        <v>0.95978620000000003</v>
      </c>
      <c r="Q113">
        <v>0.27868510000000002</v>
      </c>
      <c r="R113">
        <v>3.3836079999999998E-2</v>
      </c>
      <c r="S113">
        <v>3.4313959999999999</v>
      </c>
      <c r="T113">
        <v>-1.0433030000000001</v>
      </c>
      <c r="U113">
        <v>-0.1313782</v>
      </c>
      <c r="V113">
        <v>-4.2902170000000003E-2</v>
      </c>
      <c r="W113">
        <v>0.28620010000000001</v>
      </c>
      <c r="X113">
        <v>0.95720890000000003</v>
      </c>
      <c r="Y113">
        <v>2.7891599999999999E-2</v>
      </c>
      <c r="Z113">
        <v>-1.5102379999999999E-3</v>
      </c>
      <c r="AA113">
        <v>0.99960979999999999</v>
      </c>
      <c r="AB113">
        <v>4</v>
      </c>
      <c r="AC113">
        <v>0.66030000000000599</v>
      </c>
      <c r="AD113">
        <v>-0.2091123</v>
      </c>
      <c r="AE113">
        <v>-2.6300000000048802E-2</v>
      </c>
      <c r="AF113">
        <v>1.8211443915388401E-2</v>
      </c>
      <c r="AG113">
        <v>-0.2091123</v>
      </c>
      <c r="AH113">
        <v>0.60039856083134002</v>
      </c>
      <c r="AI113">
        <v>109.194490730043</v>
      </c>
      <c r="AJ113">
        <v>88.262622338054001</v>
      </c>
      <c r="AK113">
        <v>0.63603305145968403</v>
      </c>
      <c r="AL113">
        <v>73.369402071376896</v>
      </c>
      <c r="AM113">
        <v>92.566283357453798</v>
      </c>
      <c r="AN113">
        <v>0.99999998583496397</v>
      </c>
    </row>
    <row r="114" spans="1:40" x14ac:dyDescent="0.25">
      <c r="A114" t="str">
        <f>"20190304164103078"</f>
        <v>20190304164103078</v>
      </c>
      <c r="B114" t="str">
        <f>"1551688863072013"</f>
        <v>1551688863072013</v>
      </c>
      <c r="C114" t="s">
        <v>40</v>
      </c>
      <c r="D114">
        <v>4.934558</v>
      </c>
      <c r="E114">
        <v>0.54251389999999999</v>
      </c>
      <c r="F114" t="s">
        <v>41</v>
      </c>
      <c r="G114">
        <v>-473.72449999999998</v>
      </c>
      <c r="H114">
        <v>0.89679769999999903</v>
      </c>
      <c r="I114">
        <v>367.16800000000001</v>
      </c>
      <c r="J114">
        <v>-474.39179999999999</v>
      </c>
      <c r="K114">
        <v>1.10972</v>
      </c>
      <c r="L114">
        <v>367.19450000000001</v>
      </c>
      <c r="M114">
        <v>0.99993010000000004</v>
      </c>
      <c r="N114">
        <v>-6.8610750000000003E-3</v>
      </c>
      <c r="O114">
        <v>-9.6457450000000007E-3</v>
      </c>
      <c r="P114">
        <v>0.95958969999999999</v>
      </c>
      <c r="Q114">
        <v>0.27933390000000002</v>
      </c>
      <c r="R114">
        <v>3.4063740000000002E-2</v>
      </c>
      <c r="S114">
        <v>3.4324340000000002</v>
      </c>
      <c r="T114">
        <v>-1.040305</v>
      </c>
      <c r="U114">
        <v>-0.13204959999999999</v>
      </c>
      <c r="V114">
        <v>-4.3272980000000003E-2</v>
      </c>
      <c r="W114">
        <v>0.28591549999999999</v>
      </c>
      <c r="X114">
        <v>0.9572773</v>
      </c>
      <c r="Y114">
        <v>2.7932789999999999E-2</v>
      </c>
      <c r="Z114">
        <v>-1.443216E-3</v>
      </c>
      <c r="AA114">
        <v>0.99960879999999996</v>
      </c>
      <c r="AB114">
        <v>5</v>
      </c>
      <c r="AC114">
        <v>0.667300000000011</v>
      </c>
      <c r="AD114">
        <v>-0.21292230000000001</v>
      </c>
      <c r="AE114">
        <v>-2.6499999999998601E-2</v>
      </c>
      <c r="AF114">
        <v>1.82108434270296E-2</v>
      </c>
      <c r="AG114">
        <v>-0.21292230000000001</v>
      </c>
      <c r="AH114">
        <v>0.60593055583256095</v>
      </c>
      <c r="AI114">
        <v>109.35324387081199</v>
      </c>
      <c r="AJ114">
        <v>88.278531304462305</v>
      </c>
      <c r="AK114">
        <v>0.64251021715391399</v>
      </c>
      <c r="AL114">
        <v>73.386420267128798</v>
      </c>
      <c r="AM114">
        <v>92.588249398659997</v>
      </c>
      <c r="AN114">
        <v>1.0000000265168001</v>
      </c>
    </row>
    <row r="115" spans="1:40" x14ac:dyDescent="0.25">
      <c r="A115" t="str">
        <f>"20190304164103095"</f>
        <v>20190304164103095</v>
      </c>
      <c r="B115" t="str">
        <f>"1551688863091534"</f>
        <v>1551688863091534</v>
      </c>
      <c r="C115" t="s">
        <v>40</v>
      </c>
      <c r="D115">
        <v>4.9419599999999999</v>
      </c>
      <c r="E115">
        <v>0.54234579999999999</v>
      </c>
      <c r="F115" t="s">
        <v>41</v>
      </c>
      <c r="G115">
        <v>-473.7208</v>
      </c>
      <c r="H115">
        <v>0.90316430000000003</v>
      </c>
      <c r="I115">
        <v>367.18349999999998</v>
      </c>
      <c r="J115">
        <v>-474.35829999999999</v>
      </c>
      <c r="K115">
        <v>1.1098170000000001</v>
      </c>
      <c r="L115">
        <v>367.19409999999999</v>
      </c>
      <c r="M115">
        <v>0.99992760000000003</v>
      </c>
      <c r="N115">
        <v>-7.0375799999999999E-3</v>
      </c>
      <c r="O115">
        <v>-9.7763999999999993E-3</v>
      </c>
      <c r="P115">
        <v>0.95947020000000005</v>
      </c>
      <c r="Q115">
        <v>0.27976309999999999</v>
      </c>
      <c r="R115">
        <v>3.3910879999999997E-2</v>
      </c>
      <c r="S115">
        <v>3.4362490000000001</v>
      </c>
      <c r="T115">
        <v>-1.0576829999999999</v>
      </c>
      <c r="U115">
        <v>-5.6884770000000001E-2</v>
      </c>
      <c r="V115">
        <v>-4.3246220000000002E-2</v>
      </c>
      <c r="W115">
        <v>0.28651219999999999</v>
      </c>
      <c r="X115">
        <v>0.95710010000000001</v>
      </c>
      <c r="Y115">
        <v>6.8818359999999997E-3</v>
      </c>
      <c r="Z115">
        <v>1.813676E-3</v>
      </c>
      <c r="AA115">
        <v>0.99997469999999999</v>
      </c>
      <c r="AB115">
        <v>5</v>
      </c>
      <c r="AC115">
        <v>0.63749999999998797</v>
      </c>
      <c r="AD115">
        <v>-0.20665269999999999</v>
      </c>
      <c r="AE115">
        <v>-1.06000000000108E-2</v>
      </c>
      <c r="AF115">
        <v>3.9517484229347902E-3</v>
      </c>
      <c r="AG115">
        <v>-0.20665269999999999</v>
      </c>
      <c r="AH115">
        <v>0.57696246513708505</v>
      </c>
      <c r="AI115">
        <v>109.705754827672</v>
      </c>
      <c r="AJ115">
        <v>89.607574184570396</v>
      </c>
      <c r="AK115">
        <v>0.61286755576547702</v>
      </c>
      <c r="AL115">
        <v>73.350739396416202</v>
      </c>
      <c r="AM115">
        <v>92.587129249110703</v>
      </c>
      <c r="AN115">
        <v>1.00000003885656</v>
      </c>
    </row>
    <row r="116" spans="1:40" x14ac:dyDescent="0.25">
      <c r="A116" t="str">
        <f>"20190304164103111"</f>
        <v>20190304164103111</v>
      </c>
      <c r="B116" t="str">
        <f>"1551688863102270"</f>
        <v>1551688863102270</v>
      </c>
      <c r="C116" t="s">
        <v>40</v>
      </c>
      <c r="D116">
        <v>4.9279900000000003</v>
      </c>
      <c r="E116">
        <v>0.54226649999999998</v>
      </c>
      <c r="F116" t="s">
        <v>41</v>
      </c>
      <c r="G116">
        <v>-473.67989999999998</v>
      </c>
      <c r="H116">
        <v>0.90215310000000004</v>
      </c>
      <c r="I116">
        <v>367.1825</v>
      </c>
      <c r="J116">
        <v>-474.32839999999999</v>
      </c>
      <c r="K116">
        <v>1.110104</v>
      </c>
      <c r="L116">
        <v>367.1936</v>
      </c>
      <c r="M116">
        <v>0.99992000000000003</v>
      </c>
      <c r="N116">
        <v>-7.893031E-3</v>
      </c>
      <c r="O116">
        <v>-9.8822760000000006E-3</v>
      </c>
      <c r="P116">
        <v>0.95966689999999999</v>
      </c>
      <c r="Q116">
        <v>0.2790879</v>
      </c>
      <c r="R116">
        <v>3.3901639999999997E-2</v>
      </c>
      <c r="S116">
        <v>3.4352109999999998</v>
      </c>
      <c r="T116">
        <v>-1.051274</v>
      </c>
      <c r="U116">
        <v>-5.5633540000000002E-2</v>
      </c>
      <c r="V116">
        <v>-4.3347860000000002E-2</v>
      </c>
      <c r="W116">
        <v>0.28665659999999998</v>
      </c>
      <c r="X116">
        <v>0.95705220000000002</v>
      </c>
      <c r="Y116">
        <v>6.437534E-3</v>
      </c>
      <c r="Z116">
        <v>1.8910870000000001E-3</v>
      </c>
      <c r="AA116">
        <v>0.99997749999999996</v>
      </c>
      <c r="AB116">
        <v>5</v>
      </c>
      <c r="AC116">
        <v>0.64850000000001196</v>
      </c>
      <c r="AD116">
        <v>-0.20795089999999999</v>
      </c>
      <c r="AE116">
        <v>-1.1099999999999E-2</v>
      </c>
      <c r="AF116">
        <v>4.2533741564617098E-3</v>
      </c>
      <c r="AG116">
        <v>-0.20795089999999999</v>
      </c>
      <c r="AH116">
        <v>0.58812171645437605</v>
      </c>
      <c r="AI116">
        <v>109.472349416432</v>
      </c>
      <c r="AJ116">
        <v>89.585636557269297</v>
      </c>
      <c r="AK116">
        <v>0.62381793928017604</v>
      </c>
      <c r="AL116">
        <v>73.342102623915295</v>
      </c>
      <c r="AM116">
        <v>92.593331004536694</v>
      </c>
      <c r="AN116">
        <v>0.999999978407489</v>
      </c>
    </row>
    <row r="117" spans="1:40" x14ac:dyDescent="0.25">
      <c r="A117" t="str">
        <f>"20190304164103127"</f>
        <v>20190304164103127</v>
      </c>
      <c r="B117" t="str">
        <f>"1551688863121790"</f>
        <v>1551688863121790</v>
      </c>
      <c r="C117" t="s">
        <v>40</v>
      </c>
      <c r="D117">
        <v>4.9223660000000002</v>
      </c>
      <c r="E117">
        <v>0.54225769999999995</v>
      </c>
      <c r="F117" t="s">
        <v>41</v>
      </c>
      <c r="G117">
        <v>-473.64330000000001</v>
      </c>
      <c r="H117">
        <v>0.90026390000000001</v>
      </c>
      <c r="I117">
        <v>367.1825</v>
      </c>
      <c r="J117">
        <v>-474.29599999999999</v>
      </c>
      <c r="K117">
        <v>1.110384</v>
      </c>
      <c r="L117">
        <v>367.19319999999999</v>
      </c>
      <c r="M117">
        <v>0.99991090000000005</v>
      </c>
      <c r="N117">
        <v>-8.8600539999999992E-3</v>
      </c>
      <c r="O117">
        <v>-9.9909990000000004E-3</v>
      </c>
      <c r="P117">
        <v>0.95996809999999999</v>
      </c>
      <c r="Q117">
        <v>0.27802250000000001</v>
      </c>
      <c r="R117">
        <v>3.413178E-2</v>
      </c>
      <c r="S117">
        <v>3.433929</v>
      </c>
      <c r="T117">
        <v>-1.051858</v>
      </c>
      <c r="U117">
        <v>-5.4565429999999998E-2</v>
      </c>
      <c r="V117">
        <v>-4.3694299999999998E-2</v>
      </c>
      <c r="W117">
        <v>0.28651769999999999</v>
      </c>
      <c r="X117">
        <v>0.95707810000000004</v>
      </c>
      <c r="Y117">
        <v>6.0436119999999899E-3</v>
      </c>
      <c r="Z117">
        <v>1.972695E-3</v>
      </c>
      <c r="AA117">
        <v>0.99997979999999997</v>
      </c>
      <c r="AB117">
        <v>5</v>
      </c>
      <c r="AC117">
        <v>0.65269999999998096</v>
      </c>
      <c r="AD117">
        <v>-0.210120099999999</v>
      </c>
      <c r="AE117">
        <v>-1.06999999999857E-2</v>
      </c>
      <c r="AF117">
        <v>3.7858434606739002E-3</v>
      </c>
      <c r="AG117">
        <v>-0.210120099999999</v>
      </c>
      <c r="AH117">
        <v>0.59149137450822298</v>
      </c>
      <c r="AI117">
        <v>109.55659173241899</v>
      </c>
      <c r="AJ117">
        <v>89.633283088200301</v>
      </c>
      <c r="AK117">
        <v>0.62771556867130895</v>
      </c>
      <c r="AL117">
        <v>73.350410446256902</v>
      </c>
      <c r="AM117">
        <v>92.613957862713306</v>
      </c>
      <c r="AN117">
        <v>1.00000003688269</v>
      </c>
    </row>
    <row r="118" spans="1:40" x14ac:dyDescent="0.25">
      <c r="A118" t="str">
        <f>"20190304164103139"</f>
        <v>20190304164103139</v>
      </c>
      <c r="B118" t="str">
        <f>"1551688863131550"</f>
        <v>1551688863131550</v>
      </c>
      <c r="C118" t="s">
        <v>40</v>
      </c>
      <c r="D118">
        <v>4.9481890000000002</v>
      </c>
      <c r="E118">
        <v>0.5420007</v>
      </c>
      <c r="F118" t="s">
        <v>41</v>
      </c>
      <c r="G118">
        <v>-473.60379999999998</v>
      </c>
      <c r="H118">
        <v>0.89749909999999999</v>
      </c>
      <c r="I118">
        <v>367.18220000000002</v>
      </c>
      <c r="J118">
        <v>-474.26940000000002</v>
      </c>
      <c r="K118">
        <v>1.1103769999999999</v>
      </c>
      <c r="L118">
        <v>367.19279999999998</v>
      </c>
      <c r="M118">
        <v>0.99990919999999905</v>
      </c>
      <c r="N118">
        <v>-8.9544150000000003E-3</v>
      </c>
      <c r="O118">
        <v>-1.008392E-2</v>
      </c>
      <c r="P118">
        <v>0.96004809999999996</v>
      </c>
      <c r="Q118">
        <v>0.27775070000000002</v>
      </c>
      <c r="R118">
        <v>3.4093440000000003E-2</v>
      </c>
      <c r="S118">
        <v>3.4327390000000002</v>
      </c>
      <c r="T118">
        <v>-1.05567099999999</v>
      </c>
      <c r="U118">
        <v>-5.3192139999999999E-2</v>
      </c>
      <c r="V118">
        <v>-4.3746060000000003E-2</v>
      </c>
      <c r="W118">
        <v>0.2863367</v>
      </c>
      <c r="X118">
        <v>0.95712980000000003</v>
      </c>
      <c r="Y118">
        <v>5.5831179999999998E-3</v>
      </c>
      <c r="Z118">
        <v>2.07785E-3</v>
      </c>
      <c r="AA118">
        <v>0.99998220000000004</v>
      </c>
      <c r="AB118">
        <v>4</v>
      </c>
      <c r="AC118">
        <v>0.66560000000004005</v>
      </c>
      <c r="AD118">
        <v>-0.21287789999999901</v>
      </c>
      <c r="AE118">
        <v>-1.05999999999539E-2</v>
      </c>
      <c r="AF118">
        <v>3.5266817541900601E-3</v>
      </c>
      <c r="AG118">
        <v>-0.21287789999999901</v>
      </c>
      <c r="AH118">
        <v>0.60391414304923596</v>
      </c>
      <c r="AI118">
        <v>109.41709294717499</v>
      </c>
      <c r="AJ118">
        <v>89.665413228630598</v>
      </c>
      <c r="AK118">
        <v>0.64034500854422005</v>
      </c>
      <c r="AL118">
        <v>73.361232807917901</v>
      </c>
      <c r="AM118">
        <v>92.6169088735343</v>
      </c>
      <c r="AN118">
        <v>0.99999993879022497</v>
      </c>
    </row>
    <row r="119" spans="1:40" x14ac:dyDescent="0.25">
      <c r="A119" t="str">
        <f>"20190304164103161"</f>
        <v>20190304164103161</v>
      </c>
      <c r="B119" t="str">
        <f>"1551688863151577"</f>
        <v>1551688863151577</v>
      </c>
      <c r="C119" t="s">
        <v>40</v>
      </c>
      <c r="D119">
        <v>5.113912</v>
      </c>
      <c r="E119">
        <v>0.54131499999999999</v>
      </c>
      <c r="F119" t="s">
        <v>41</v>
      </c>
      <c r="G119">
        <v>-473.60059999999999</v>
      </c>
      <c r="H119">
        <v>0.90492629999999996</v>
      </c>
      <c r="I119">
        <v>367.18239999999997</v>
      </c>
      <c r="J119">
        <v>-474.22250000000003</v>
      </c>
      <c r="K119">
        <v>1.110055</v>
      </c>
      <c r="L119">
        <v>367.19209999999998</v>
      </c>
      <c r="M119">
        <v>0.99991529999999995</v>
      </c>
      <c r="N119">
        <v>-8.0011179999999998E-3</v>
      </c>
      <c r="O119">
        <v>-1.026534E-2</v>
      </c>
      <c r="P119">
        <v>0.95966289999999999</v>
      </c>
      <c r="Q119">
        <v>0.27901320000000002</v>
      </c>
      <c r="R119">
        <v>3.4623880000000003E-2</v>
      </c>
      <c r="S119">
        <v>3.43161</v>
      </c>
      <c r="T119">
        <v>-1.0539590000000001</v>
      </c>
      <c r="U119">
        <v>-5.2215579999999998E-2</v>
      </c>
      <c r="V119">
        <v>-4.4439050000000001E-2</v>
      </c>
      <c r="W119">
        <v>0.28668480000000002</v>
      </c>
      <c r="X119">
        <v>0.95699369999999995</v>
      </c>
      <c r="Y119">
        <v>5.1537730000000004E-3</v>
      </c>
      <c r="Z119">
        <v>2.2065159999999999E-3</v>
      </c>
      <c r="AA119">
        <v>0.99998430000000005</v>
      </c>
      <c r="AB119">
        <v>4</v>
      </c>
      <c r="AC119">
        <v>0.62190000000003898</v>
      </c>
      <c r="AD119">
        <v>-0.205128699999999</v>
      </c>
      <c r="AE119">
        <v>-9.7000000000093695E-3</v>
      </c>
      <c r="AF119">
        <v>2.9900446872137098E-3</v>
      </c>
      <c r="AG119">
        <v>-0.205128699999999</v>
      </c>
      <c r="AH119">
        <v>0.56095243594431499</v>
      </c>
      <c r="AI119">
        <v>110.08615799035201</v>
      </c>
      <c r="AJ119">
        <v>89.694599207184098</v>
      </c>
      <c r="AK119">
        <v>0.59728917562834005</v>
      </c>
      <c r="AL119">
        <v>73.340416001496607</v>
      </c>
      <c r="AM119">
        <v>92.658682354267697</v>
      </c>
      <c r="AN119">
        <v>0.99999997277781505</v>
      </c>
    </row>
    <row r="120" spans="1:40" x14ac:dyDescent="0.25">
      <c r="A120" t="str">
        <f>"20190304164103175"</f>
        <v>20190304164103175</v>
      </c>
      <c r="B120" t="str">
        <f>"1551688863161337"</f>
        <v>1551688863161337</v>
      </c>
      <c r="C120" t="s">
        <v>40</v>
      </c>
      <c r="D120">
        <v>4.9401760000000001</v>
      </c>
      <c r="E120">
        <v>0.54123849999999996</v>
      </c>
      <c r="F120" t="s">
        <v>41</v>
      </c>
      <c r="G120">
        <v>-473.55529999999999</v>
      </c>
      <c r="H120">
        <v>0.90563300000000002</v>
      </c>
      <c r="I120">
        <v>367.18299999999999</v>
      </c>
      <c r="J120">
        <v>-474.19130000000001</v>
      </c>
      <c r="K120">
        <v>1.109834</v>
      </c>
      <c r="L120">
        <v>367.19170000000003</v>
      </c>
      <c r="M120">
        <v>0.99991989999999997</v>
      </c>
      <c r="N120">
        <v>-7.2138180000000003E-3</v>
      </c>
      <c r="O120">
        <v>-1.0397480000000001E-2</v>
      </c>
      <c r="P120">
        <v>0.95942320000000003</v>
      </c>
      <c r="Q120">
        <v>0.27982580000000001</v>
      </c>
      <c r="R120">
        <v>3.4707889999999998E-2</v>
      </c>
      <c r="S120">
        <v>3.4335629999999999</v>
      </c>
      <c r="T120">
        <v>-1.0519849999999999</v>
      </c>
      <c r="U120">
        <v>-4.6081539999999997E-2</v>
      </c>
      <c r="V120">
        <v>-4.4641309999999997E-2</v>
      </c>
      <c r="W120">
        <v>0.28674290000000002</v>
      </c>
      <c r="X120">
        <v>0.95696689999999995</v>
      </c>
      <c r="Y120">
        <v>3.3208230000000001E-3</v>
      </c>
      <c r="Z120">
        <v>2.5310300000000001E-3</v>
      </c>
      <c r="AA120">
        <v>0.99999130000000003</v>
      </c>
      <c r="AB120">
        <v>5</v>
      </c>
      <c r="AC120">
        <v>0.63600000000002399</v>
      </c>
      <c r="AD120">
        <v>-0.20420099999999999</v>
      </c>
      <c r="AE120">
        <v>-8.6999999999761695E-3</v>
      </c>
      <c r="AF120">
        <v>1.89159853359019E-3</v>
      </c>
      <c r="AG120">
        <v>-0.20420099999999999</v>
      </c>
      <c r="AH120">
        <v>0.576624989046713</v>
      </c>
      <c r="AI120">
        <v>109.500554760171</v>
      </c>
      <c r="AJ120">
        <v>89.812043831274394</v>
      </c>
      <c r="AK120">
        <v>0.61171725865724402</v>
      </c>
      <c r="AL120">
        <v>73.336941570680807</v>
      </c>
      <c r="AM120">
        <v>92.670840293107602</v>
      </c>
      <c r="AN120">
        <v>0.99999999247726801</v>
      </c>
    </row>
    <row r="121" spans="1:40" x14ac:dyDescent="0.25">
      <c r="A121" t="str">
        <f>"20190304164103188"</f>
        <v>20190304164103188</v>
      </c>
      <c r="B121" t="str">
        <f>"1551688863181833"</f>
        <v>1551688863181833</v>
      </c>
      <c r="C121" t="s">
        <v>40</v>
      </c>
      <c r="D121">
        <v>4.938409</v>
      </c>
      <c r="E121">
        <v>0.54117150000000003</v>
      </c>
      <c r="F121" t="s">
        <v>41</v>
      </c>
      <c r="G121">
        <v>-473.50920000000002</v>
      </c>
      <c r="H121">
        <v>0.90156890000000001</v>
      </c>
      <c r="I121">
        <v>367.18220000000002</v>
      </c>
      <c r="J121">
        <v>-474.15699999999998</v>
      </c>
      <c r="K121">
        <v>1.1096299999999999</v>
      </c>
      <c r="L121">
        <v>367.19119999999998</v>
      </c>
      <c r="M121">
        <v>0.99992369999999997</v>
      </c>
      <c r="N121">
        <v>-6.4460369999999999E-3</v>
      </c>
      <c r="O121">
        <v>-1.054689E-2</v>
      </c>
      <c r="P121">
        <v>0.9590862</v>
      </c>
      <c r="Q121">
        <v>0.28095249999999999</v>
      </c>
      <c r="R121">
        <v>3.4922870000000002E-2</v>
      </c>
      <c r="S121">
        <v>3.4343870000000001</v>
      </c>
      <c r="T121">
        <v>-1.0485469999999999</v>
      </c>
      <c r="U121">
        <v>-4.5989990000000001E-2</v>
      </c>
      <c r="V121">
        <v>-4.498899E-2</v>
      </c>
      <c r="W121">
        <v>0.2871339</v>
      </c>
      <c r="X121">
        <v>0.95683339999999995</v>
      </c>
      <c r="Y121">
        <v>3.1563530000000002E-3</v>
      </c>
      <c r="Z121">
        <v>2.6001069999999999E-3</v>
      </c>
      <c r="AA121">
        <v>0.99999170000000004</v>
      </c>
      <c r="AB121">
        <v>5</v>
      </c>
      <c r="AC121">
        <v>0.64779999999996096</v>
      </c>
      <c r="AD121">
        <v>-0.208061099999999</v>
      </c>
      <c r="AE121">
        <v>-8.9999999999576998E-3</v>
      </c>
      <c r="AF121">
        <v>1.9644722588326299E-3</v>
      </c>
      <c r="AG121">
        <v>-0.208061099999999</v>
      </c>
      <c r="AH121">
        <v>0.587287591344689</v>
      </c>
      <c r="AI121">
        <v>109.507844340788</v>
      </c>
      <c r="AJ121">
        <v>89.808346794197405</v>
      </c>
      <c r="AK121">
        <v>0.62305697607194099</v>
      </c>
      <c r="AL121">
        <v>73.313555996477206</v>
      </c>
      <c r="AM121">
        <v>92.691986119579099</v>
      </c>
      <c r="AN121">
        <v>1.00000002055299</v>
      </c>
    </row>
    <row r="122" spans="1:40" x14ac:dyDescent="0.25">
      <c r="A122" t="str">
        <f>"20190304164103206"</f>
        <v>20190304164103206</v>
      </c>
      <c r="B122" t="str">
        <f>"1551688863191593"</f>
        <v>1551688863191593</v>
      </c>
      <c r="C122" t="s">
        <v>40</v>
      </c>
      <c r="D122">
        <v>5.0708489999999999</v>
      </c>
      <c r="E122">
        <v>0.54124439999999996</v>
      </c>
      <c r="F122" t="s">
        <v>41</v>
      </c>
      <c r="G122">
        <v>-473.46109999999999</v>
      </c>
      <c r="H122">
        <v>0.89818430000000005</v>
      </c>
      <c r="I122">
        <v>367.18200000000002</v>
      </c>
      <c r="J122">
        <v>-474.11599999999999</v>
      </c>
      <c r="K122">
        <v>1.1095360000000001</v>
      </c>
      <c r="L122">
        <v>367.19060000000002</v>
      </c>
      <c r="M122">
        <v>0.99992490000000001</v>
      </c>
      <c r="N122">
        <v>-5.9459650000000001E-3</v>
      </c>
      <c r="O122">
        <v>-1.072562E-2</v>
      </c>
      <c r="P122">
        <v>0.9589318</v>
      </c>
      <c r="Q122">
        <v>0.281472099999999</v>
      </c>
      <c r="R122">
        <v>3.498076E-2</v>
      </c>
      <c r="S122">
        <v>3.4352719999999999</v>
      </c>
      <c r="T122">
        <v>-1.0435410000000001</v>
      </c>
      <c r="U122">
        <v>-4.4799800000000001E-2</v>
      </c>
      <c r="V122">
        <v>-4.5211069999999999E-2</v>
      </c>
      <c r="W122">
        <v>0.287174599999999</v>
      </c>
      <c r="X122">
        <v>0.95681070000000001</v>
      </c>
      <c r="Y122">
        <v>2.6571210000000001E-3</v>
      </c>
      <c r="Z122">
        <v>2.7209030000000002E-3</v>
      </c>
      <c r="AA122">
        <v>0.99999280000000002</v>
      </c>
      <c r="AB122">
        <v>5</v>
      </c>
      <c r="AC122">
        <v>0.65489999999999704</v>
      </c>
      <c r="AD122">
        <v>-0.2113517</v>
      </c>
      <c r="AE122">
        <v>-8.6000000000581098E-3</v>
      </c>
      <c r="AF122">
        <v>1.42661607852584E-3</v>
      </c>
      <c r="AG122">
        <v>-0.2113517</v>
      </c>
      <c r="AH122">
        <v>0.59318471568730902</v>
      </c>
      <c r="AI122">
        <v>109.61092978002</v>
      </c>
      <c r="AJ122">
        <v>89.862203255531</v>
      </c>
      <c r="AK122">
        <v>0.62971396939512003</v>
      </c>
      <c r="AL122">
        <v>73.311121239392605</v>
      </c>
      <c r="AM122">
        <v>92.705319015006495</v>
      </c>
      <c r="AN122">
        <v>1.00000000368509</v>
      </c>
    </row>
    <row r="123" spans="1:40" x14ac:dyDescent="0.25">
      <c r="A123" t="str">
        <f>"20190304164103218"</f>
        <v>20190304164103218</v>
      </c>
      <c r="B123" t="str">
        <f>"1551688863212089"</f>
        <v>1551688863212089</v>
      </c>
      <c r="C123" t="s">
        <v>40</v>
      </c>
      <c r="D123">
        <v>4.9233949999999904</v>
      </c>
      <c r="E123">
        <v>0.54119189999999995</v>
      </c>
      <c r="F123" t="s">
        <v>41</v>
      </c>
      <c r="G123">
        <v>-473.41559999999998</v>
      </c>
      <c r="H123">
        <v>0.89752240000000005</v>
      </c>
      <c r="I123">
        <v>367.18110000000001</v>
      </c>
      <c r="J123">
        <v>-474.0831</v>
      </c>
      <c r="K123">
        <v>1.1097669999999999</v>
      </c>
      <c r="L123">
        <v>367.19009999999997</v>
      </c>
      <c r="M123">
        <v>0.99991980000000003</v>
      </c>
      <c r="N123">
        <v>-6.5416129999999999E-3</v>
      </c>
      <c r="O123">
        <v>-1.084941E-2</v>
      </c>
      <c r="P123">
        <v>0.95910050000000002</v>
      </c>
      <c r="Q123">
        <v>0.28085919999999998</v>
      </c>
      <c r="R123">
        <v>3.5279619999999998E-2</v>
      </c>
      <c r="S123">
        <v>3.435333</v>
      </c>
      <c r="T123">
        <v>-1.039679</v>
      </c>
      <c r="U123">
        <v>-4.4708249999999998E-2</v>
      </c>
      <c r="V123">
        <v>-4.5634599999999997E-2</v>
      </c>
      <c r="W123">
        <v>0.287132</v>
      </c>
      <c r="X123">
        <v>0.95680339999999997</v>
      </c>
      <c r="Y123">
        <v>2.5136170000000001E-3</v>
      </c>
      <c r="Z123">
        <v>2.761463E-3</v>
      </c>
      <c r="AA123">
        <v>0.99999300000000002</v>
      </c>
      <c r="AB123">
        <v>6</v>
      </c>
      <c r="AC123">
        <v>0.66750000000001797</v>
      </c>
      <c r="AD123">
        <v>-0.21224459999999901</v>
      </c>
      <c r="AE123">
        <v>-8.9999999999576998E-3</v>
      </c>
      <c r="AF123">
        <v>1.59600088675462E-3</v>
      </c>
      <c r="AG123">
        <v>-0.21224459999999901</v>
      </c>
      <c r="AH123">
        <v>0.60627257559538394</v>
      </c>
      <c r="AI123">
        <v>109.294126301532</v>
      </c>
      <c r="AJ123">
        <v>89.849170311576898</v>
      </c>
      <c r="AK123">
        <v>0.64235251487563305</v>
      </c>
      <c r="AL123">
        <v>73.313669706645499</v>
      </c>
      <c r="AM123">
        <v>92.730644628744301</v>
      </c>
      <c r="AN123">
        <v>1.00000002419635</v>
      </c>
    </row>
    <row r="124" spans="1:40" x14ac:dyDescent="0.25">
      <c r="A124" t="str">
        <f>"20190304164103231"</f>
        <v>20190304164103231</v>
      </c>
      <c r="B124" t="str">
        <f>"1551688863221849"</f>
        <v>1551688863221849</v>
      </c>
      <c r="C124" t="s">
        <v>40</v>
      </c>
      <c r="D124">
        <v>5.0206439999999999</v>
      </c>
      <c r="E124">
        <v>0.54111619999999905</v>
      </c>
      <c r="F124" t="s">
        <v>41</v>
      </c>
      <c r="G124">
        <v>-473.4117</v>
      </c>
      <c r="H124">
        <v>0.90649159999999995</v>
      </c>
      <c r="I124">
        <v>367.18130000000002</v>
      </c>
      <c r="J124">
        <v>-474.05849999999998</v>
      </c>
      <c r="K124">
        <v>1.110047</v>
      </c>
      <c r="L124">
        <v>367.18970000000002</v>
      </c>
      <c r="M124">
        <v>0.99991269999999999</v>
      </c>
      <c r="N124">
        <v>-7.4266530000000001E-3</v>
      </c>
      <c r="O124">
        <v>-1.093267E-2</v>
      </c>
      <c r="P124">
        <v>0.95939850000000004</v>
      </c>
      <c r="Q124">
        <v>0.27984740000000002</v>
      </c>
      <c r="R124">
        <v>3.5216610000000002E-2</v>
      </c>
      <c r="S124">
        <v>3.4338679999999999</v>
      </c>
      <c r="T124">
        <v>-1.0393920000000001</v>
      </c>
      <c r="U124">
        <v>-4.3029789999999998E-2</v>
      </c>
      <c r="V124">
        <v>-4.5662960000000002E-2</v>
      </c>
      <c r="W124">
        <v>0.286968099999999</v>
      </c>
      <c r="X124">
        <v>0.95685120000000001</v>
      </c>
      <c r="Y124">
        <v>1.9725200000000002E-3</v>
      </c>
      <c r="Z124">
        <v>2.8575330000000002E-3</v>
      </c>
      <c r="AA124">
        <v>0.99999400000000005</v>
      </c>
      <c r="AB124">
        <v>6</v>
      </c>
      <c r="AC124">
        <v>0.64679999999998405</v>
      </c>
      <c r="AD124">
        <v>-0.2035554</v>
      </c>
      <c r="AE124">
        <v>-8.3999999999946305E-3</v>
      </c>
      <c r="AF124">
        <v>1.20838954953808E-3</v>
      </c>
      <c r="AG124">
        <v>-0.2035554</v>
      </c>
      <c r="AH124">
        <v>0.58856916058478503</v>
      </c>
      <c r="AI124">
        <v>109.07779875436501</v>
      </c>
      <c r="AJ124">
        <v>89.882366375012097</v>
      </c>
      <c r="AK124">
        <v>0.62277597727107403</v>
      </c>
      <c r="AL124">
        <v>73.323472768540896</v>
      </c>
      <c r="AM124">
        <v>92.732202751014995</v>
      </c>
      <c r="AN124">
        <v>1.0000000076375</v>
      </c>
    </row>
    <row r="125" spans="1:40" x14ac:dyDescent="0.25">
      <c r="A125" t="str">
        <f>"20190304164103250"</f>
        <v>20190304164103250</v>
      </c>
      <c r="B125" t="str">
        <f>"1551688863241369"</f>
        <v>1551688863241369</v>
      </c>
      <c r="C125" t="s">
        <v>40</v>
      </c>
      <c r="D125">
        <v>4.9035729999999997</v>
      </c>
      <c r="E125">
        <v>0.54114030000000002</v>
      </c>
      <c r="F125" t="s">
        <v>41</v>
      </c>
      <c r="G125">
        <v>-473.37180000000001</v>
      </c>
      <c r="H125">
        <v>0.90155759999999996</v>
      </c>
      <c r="I125">
        <v>367.18090000000001</v>
      </c>
      <c r="J125">
        <v>-474.01690000000002</v>
      </c>
      <c r="K125">
        <v>1.110341</v>
      </c>
      <c r="L125">
        <v>367.1891</v>
      </c>
      <c r="M125">
        <v>0.99990310000000004</v>
      </c>
      <c r="N125">
        <v>-8.4569729999999996E-3</v>
      </c>
      <c r="O125">
        <v>-1.1067159999999999E-2</v>
      </c>
      <c r="P125">
        <v>0.95978680000000005</v>
      </c>
      <c r="Q125">
        <v>0.27846959999999998</v>
      </c>
      <c r="R125">
        <v>3.555436E-2</v>
      </c>
      <c r="S125">
        <v>3.4324650000000001</v>
      </c>
      <c r="T125">
        <v>-1.0420720000000001</v>
      </c>
      <c r="U125">
        <v>-4.278564E-2</v>
      </c>
      <c r="V125">
        <v>-4.6144919999999999E-2</v>
      </c>
      <c r="W125">
        <v>0.28657759999999999</v>
      </c>
      <c r="X125">
        <v>0.95694509999999999</v>
      </c>
      <c r="Y125">
        <v>1.7850520000000001E-3</v>
      </c>
      <c r="Z125">
        <v>2.9213479999999998E-3</v>
      </c>
      <c r="AA125">
        <v>0.99999420000000006</v>
      </c>
      <c r="AB125">
        <v>5</v>
      </c>
      <c r="AC125">
        <v>0.645100000000013</v>
      </c>
      <c r="AD125">
        <v>-0.20878340000000001</v>
      </c>
      <c r="AE125">
        <v>-8.1999999999879895E-3</v>
      </c>
      <c r="AF125">
        <v>9.5934670301741699E-4</v>
      </c>
      <c r="AG125">
        <v>-0.20878340000000001</v>
      </c>
      <c r="AH125">
        <v>0.58399040956061798</v>
      </c>
      <c r="AI125">
        <v>109.67253951659799</v>
      </c>
      <c r="AJ125">
        <v>89.905877790407899</v>
      </c>
      <c r="AK125">
        <v>0.62019047632194002</v>
      </c>
      <c r="AL125">
        <v>73.346827570016004</v>
      </c>
      <c r="AM125">
        <v>92.760725507702702</v>
      </c>
      <c r="AN125">
        <v>0.99999999943878803</v>
      </c>
    </row>
    <row r="126" spans="1:40" x14ac:dyDescent="0.25">
      <c r="A126" t="str">
        <f>"20190304164103274"</f>
        <v>20190304164103274</v>
      </c>
      <c r="B126" t="str">
        <f>"1551688863261397"</f>
        <v>1551688863261397</v>
      </c>
      <c r="C126" t="s">
        <v>40</v>
      </c>
      <c r="D126">
        <v>4.9001000000000001</v>
      </c>
      <c r="E126">
        <v>0.54121560000000002</v>
      </c>
      <c r="F126" t="s">
        <v>41</v>
      </c>
      <c r="G126">
        <v>-473.32709999999997</v>
      </c>
      <c r="H126">
        <v>0.90011359999999996</v>
      </c>
      <c r="I126">
        <v>367.18020000000001</v>
      </c>
      <c r="J126">
        <v>-473.96260000000001</v>
      </c>
      <c r="K126">
        <v>1.1101650000000001</v>
      </c>
      <c r="L126">
        <v>367.18819999999999</v>
      </c>
      <c r="M126">
        <v>0.99990429999999997</v>
      </c>
      <c r="N126">
        <v>-8.0479249999999992E-3</v>
      </c>
      <c r="O126">
        <v>-1.1248569999999999E-2</v>
      </c>
      <c r="P126">
        <v>0.95964879999999997</v>
      </c>
      <c r="Q126">
        <v>0.27898640000000002</v>
      </c>
      <c r="R126">
        <v>3.5225340000000001E-2</v>
      </c>
      <c r="S126">
        <v>3.4304809999999999</v>
      </c>
      <c r="T126">
        <v>-1.0452520000000001</v>
      </c>
      <c r="U126">
        <v>-4.1534420000000002E-2</v>
      </c>
      <c r="V126">
        <v>-4.5988439999999998E-2</v>
      </c>
      <c r="W126">
        <v>0.28670180000000001</v>
      </c>
      <c r="X126">
        <v>0.95691539999999997</v>
      </c>
      <c r="Y126">
        <v>1.2817659999999999E-3</v>
      </c>
      <c r="Z126">
        <v>3.0663219999999998E-3</v>
      </c>
      <c r="AA126">
        <v>0.99999450000000001</v>
      </c>
      <c r="AB126">
        <v>5</v>
      </c>
      <c r="AC126">
        <v>0.63550000000003504</v>
      </c>
      <c r="AD126">
        <v>-0.2100514</v>
      </c>
      <c r="AE126">
        <v>-7.9999999999813502E-3</v>
      </c>
      <c r="AF126">
        <v>7.6701311976980896E-4</v>
      </c>
      <c r="AG126">
        <v>-0.2100514</v>
      </c>
      <c r="AH126">
        <v>0.57296362555531599</v>
      </c>
      <c r="AI126">
        <v>110.13317843930599</v>
      </c>
      <c r="AJ126">
        <v>89.923299514345501</v>
      </c>
      <c r="AK126">
        <v>0.61025363182907599</v>
      </c>
      <c r="AL126">
        <v>73.339399259484196</v>
      </c>
      <c r="AM126">
        <v>92.751463407108105</v>
      </c>
      <c r="AN126">
        <v>0.99999997074701596</v>
      </c>
    </row>
    <row r="127" spans="1:40" x14ac:dyDescent="0.25">
      <c r="A127" t="str">
        <f>"20190304164103288"</f>
        <v>20190304164103288</v>
      </c>
      <c r="B127" t="str">
        <f>"1551688863281893"</f>
        <v>1551688863281893</v>
      </c>
      <c r="C127" t="s">
        <v>40</v>
      </c>
      <c r="D127">
        <v>4.8890260000000003</v>
      </c>
      <c r="E127">
        <v>0.54122349999999997</v>
      </c>
      <c r="F127" t="s">
        <v>41</v>
      </c>
      <c r="G127">
        <v>-473.2765</v>
      </c>
      <c r="H127">
        <v>0.90178729999999996</v>
      </c>
      <c r="I127">
        <v>367.17970000000003</v>
      </c>
      <c r="J127">
        <v>-473.92439999999999</v>
      </c>
      <c r="K127">
        <v>1.10991</v>
      </c>
      <c r="L127">
        <v>367.18770000000001</v>
      </c>
      <c r="M127">
        <v>0.99990919999999905</v>
      </c>
      <c r="N127">
        <v>-7.23010699999999E-3</v>
      </c>
      <c r="O127">
        <v>-1.138866E-2</v>
      </c>
      <c r="P127">
        <v>0.95935979999999998</v>
      </c>
      <c r="Q127">
        <v>0.28001779999999998</v>
      </c>
      <c r="R127">
        <v>3.4915219999999997E-2</v>
      </c>
      <c r="S127">
        <v>3.4306640000000002</v>
      </c>
      <c r="T127">
        <v>-1.0420119999999999</v>
      </c>
      <c r="U127">
        <v>-4.2999269999999999E-2</v>
      </c>
      <c r="V127">
        <v>-4.5805579999999999E-2</v>
      </c>
      <c r="W127">
        <v>0.28694890000000001</v>
      </c>
      <c r="X127">
        <v>0.95685010000000004</v>
      </c>
      <c r="Y127">
        <v>1.5612379999999999E-3</v>
      </c>
      <c r="Z127">
        <v>3.0643879999999999E-3</v>
      </c>
      <c r="AA127">
        <v>0.9999941</v>
      </c>
      <c r="AB127">
        <v>5</v>
      </c>
      <c r="AC127">
        <v>0.64789999999999204</v>
      </c>
      <c r="AD127">
        <v>-0.20812269999999999</v>
      </c>
      <c r="AE127">
        <v>-7.9999999999813502E-3</v>
      </c>
      <c r="AF127">
        <v>5.6253926921844498E-4</v>
      </c>
      <c r="AG127">
        <v>-0.20812269999999999</v>
      </c>
      <c r="AH127">
        <v>0.587351568944672</v>
      </c>
      <c r="AI127">
        <v>109.51131138119899</v>
      </c>
      <c r="AJ127">
        <v>89.945124661641103</v>
      </c>
      <c r="AK127">
        <v>0.62313500964677604</v>
      </c>
      <c r="AL127">
        <v>73.324620466514403</v>
      </c>
      <c r="AM127">
        <v>92.740726447085294</v>
      </c>
      <c r="AN127">
        <v>0.999999968120177</v>
      </c>
    </row>
    <row r="128" spans="1:40" x14ac:dyDescent="0.25">
      <c r="A128" t="str">
        <f>"20190304164103307"</f>
        <v>20190304164103307</v>
      </c>
      <c r="B128" t="str">
        <f>"1551688863301412"</f>
        <v>1551688863301412</v>
      </c>
      <c r="C128" t="s">
        <v>40</v>
      </c>
      <c r="D128">
        <v>4.8516789999999999</v>
      </c>
      <c r="E128">
        <v>0.54124879999999997</v>
      </c>
      <c r="F128" t="s">
        <v>41</v>
      </c>
      <c r="G128">
        <v>-473.2253</v>
      </c>
      <c r="H128">
        <v>0.89837009999999995</v>
      </c>
      <c r="I128">
        <v>367.17829999999998</v>
      </c>
      <c r="J128">
        <v>-473.87580000000003</v>
      </c>
      <c r="K128">
        <v>1.109618</v>
      </c>
      <c r="L128">
        <v>367.18689999999998</v>
      </c>
      <c r="M128">
        <v>0.99991399999999997</v>
      </c>
      <c r="N128">
        <v>-6.1653410000000004E-3</v>
      </c>
      <c r="O128">
        <v>-1.1578969999999999E-2</v>
      </c>
      <c r="P128">
        <v>0.95875279999999996</v>
      </c>
      <c r="Q128">
        <v>0.282107</v>
      </c>
      <c r="R128">
        <v>3.4771650000000001E-2</v>
      </c>
      <c r="S128">
        <v>3.4317630000000001</v>
      </c>
      <c r="T128">
        <v>-1.0382009999999999</v>
      </c>
      <c r="U128">
        <v>-4.3914790000000002E-2</v>
      </c>
      <c r="V128">
        <v>-4.5830860000000001E-2</v>
      </c>
      <c r="W128">
        <v>0.2880163</v>
      </c>
      <c r="X128">
        <v>0.95652820000000005</v>
      </c>
      <c r="Y128">
        <v>1.6387629999999999E-3</v>
      </c>
      <c r="Z128">
        <v>3.108548E-3</v>
      </c>
      <c r="AA128">
        <v>0.99999380000000004</v>
      </c>
      <c r="AB128">
        <v>6</v>
      </c>
      <c r="AC128">
        <v>0.65050000000002195</v>
      </c>
      <c r="AD128">
        <v>-0.21124789999999999</v>
      </c>
      <c r="AE128">
        <v>-8.6000000000012698E-3</v>
      </c>
      <c r="AF128">
        <v>9.6536995450324401E-4</v>
      </c>
      <c r="AG128">
        <v>-0.21124789999999999</v>
      </c>
      <c r="AH128">
        <v>0.58850294824997396</v>
      </c>
      <c r="AI128">
        <v>109.745986846373</v>
      </c>
      <c r="AJ128">
        <v>89.906013088609797</v>
      </c>
      <c r="AK128">
        <v>0.62526980359879103</v>
      </c>
      <c r="AL128">
        <v>73.260768461228594</v>
      </c>
      <c r="AM128">
        <v>92.743158174145407</v>
      </c>
      <c r="AN128">
        <v>1.0000000270946301</v>
      </c>
    </row>
    <row r="129" spans="1:40" x14ac:dyDescent="0.25">
      <c r="A129" t="str">
        <f>"20190304164103329"</f>
        <v>20190304164103329</v>
      </c>
      <c r="B129" t="str">
        <f>"1551688863321909"</f>
        <v>1551688863321909</v>
      </c>
      <c r="C129" t="s">
        <v>40</v>
      </c>
      <c r="D129">
        <v>4.8231129999999904</v>
      </c>
      <c r="E129">
        <v>0.54127349999999996</v>
      </c>
      <c r="F129" t="s">
        <v>41</v>
      </c>
      <c r="G129">
        <v>-473.17099999999999</v>
      </c>
      <c r="H129">
        <v>0.89768510000000001</v>
      </c>
      <c r="I129">
        <v>367.17759999999998</v>
      </c>
      <c r="J129">
        <v>-473.81229999999999</v>
      </c>
      <c r="K129">
        <v>1.1093930000000001</v>
      </c>
      <c r="L129">
        <v>367.1859</v>
      </c>
      <c r="M129">
        <v>0.9999169</v>
      </c>
      <c r="N129">
        <v>-5.1281920000000002E-3</v>
      </c>
      <c r="O129">
        <v>-1.1838939999999999E-2</v>
      </c>
      <c r="P129">
        <v>0.95834790000000003</v>
      </c>
      <c r="Q129">
        <v>0.2835684</v>
      </c>
      <c r="R129">
        <v>3.4033109999999998E-2</v>
      </c>
      <c r="S129">
        <v>3.4346309999999902</v>
      </c>
      <c r="T129">
        <v>-1.032883</v>
      </c>
      <c r="U129">
        <v>-4.5196529999999999E-2</v>
      </c>
      <c r="V129">
        <v>-4.5327470000000002E-2</v>
      </c>
      <c r="W129">
        <v>0.288485099999999</v>
      </c>
      <c r="X129">
        <v>0.95641089999999995</v>
      </c>
      <c r="Y129">
        <v>1.746229E-3</v>
      </c>
      <c r="Z129">
        <v>3.1620860000000002E-3</v>
      </c>
      <c r="AA129">
        <v>0.99999349999999998</v>
      </c>
      <c r="AB129">
        <v>6</v>
      </c>
      <c r="AC129">
        <v>0.64130000000000098</v>
      </c>
      <c r="AD129">
        <v>-0.2117079</v>
      </c>
      <c r="AE129">
        <v>-8.3000000000197308E-3</v>
      </c>
      <c r="AF129">
        <v>6.3753910077976204E-4</v>
      </c>
      <c r="AG129">
        <v>-0.2117079</v>
      </c>
      <c r="AH129">
        <v>0.57833610341059005</v>
      </c>
      <c r="AI129">
        <v>110.105837104372</v>
      </c>
      <c r="AJ129">
        <v>89.936839002895894</v>
      </c>
      <c r="AK129">
        <v>0.61586791594193302</v>
      </c>
      <c r="AL129">
        <v>73.232717475573395</v>
      </c>
      <c r="AM129">
        <v>92.713405810506003</v>
      </c>
      <c r="AN129">
        <v>1.0000000210487101</v>
      </c>
    </row>
    <row r="130" spans="1:40" x14ac:dyDescent="0.25">
      <c r="A130" t="str">
        <f>"20190304164103344"</f>
        <v>20190304164103344</v>
      </c>
      <c r="B130" t="str">
        <f>"1551688863331668"</f>
        <v>1551688863331668</v>
      </c>
      <c r="C130" t="s">
        <v>40</v>
      </c>
      <c r="D130">
        <v>4.831429</v>
      </c>
      <c r="E130">
        <v>0.54127510000000001</v>
      </c>
      <c r="F130" t="s">
        <v>41</v>
      </c>
      <c r="G130">
        <v>-473.11369999999999</v>
      </c>
      <c r="H130">
        <v>0.90004269999999997</v>
      </c>
      <c r="I130">
        <v>367.17619999999999</v>
      </c>
      <c r="J130">
        <v>-473.7731</v>
      </c>
      <c r="K130">
        <v>1.1093010000000001</v>
      </c>
      <c r="L130">
        <v>367.18529999999998</v>
      </c>
      <c r="M130">
        <v>0.99991739999999996</v>
      </c>
      <c r="N130">
        <v>-4.6048240000000004E-3</v>
      </c>
      <c r="O130">
        <v>-1.200266E-2</v>
      </c>
      <c r="P130">
        <v>0.95821650000000003</v>
      </c>
      <c r="Q130">
        <v>0.28405760000000002</v>
      </c>
      <c r="R130">
        <v>3.365162E-2</v>
      </c>
      <c r="S130">
        <v>3.4367369999999999</v>
      </c>
      <c r="T130">
        <v>-1.0298659999999999</v>
      </c>
      <c r="U130">
        <v>-4.6783449999999997E-2</v>
      </c>
      <c r="V130">
        <v>-4.5095959999999997E-2</v>
      </c>
      <c r="W130">
        <v>0.28847319999999999</v>
      </c>
      <c r="X130">
        <v>0.95642539999999998</v>
      </c>
      <c r="Y130">
        <v>2.0293690000000001E-3</v>
      </c>
      <c r="Z130">
        <v>3.162775E-3</v>
      </c>
      <c r="AA130">
        <v>0.99999300000000002</v>
      </c>
      <c r="AB130">
        <v>6</v>
      </c>
      <c r="AC130">
        <v>0.65940000000000498</v>
      </c>
      <c r="AD130">
        <v>-0.20925830000000001</v>
      </c>
      <c r="AE130">
        <v>-9.0999999999894499E-3</v>
      </c>
      <c r="AF130">
        <v>1.0763314263364399E-3</v>
      </c>
      <c r="AG130">
        <v>-0.20925830000000001</v>
      </c>
      <c r="AH130">
        <v>0.59913503295165005</v>
      </c>
      <c r="AI130">
        <v>109.25261178928299</v>
      </c>
      <c r="AJ130">
        <v>89.897069644816995</v>
      </c>
      <c r="AK130">
        <v>0.63462822370125005</v>
      </c>
      <c r="AL130">
        <v>73.2334290201686</v>
      </c>
      <c r="AM130">
        <v>92.699526780764401</v>
      </c>
      <c r="AN130">
        <v>0.99999998924585998</v>
      </c>
    </row>
    <row r="131" spans="1:40" x14ac:dyDescent="0.25">
      <c r="A131" t="str">
        <f>"20190304164103361"</f>
        <v>20190304164103361</v>
      </c>
      <c r="B131" t="str">
        <f>"1551688863351696"</f>
        <v>1551688863351696</v>
      </c>
      <c r="C131" t="s">
        <v>40</v>
      </c>
      <c r="D131">
        <v>4.7855089999999896</v>
      </c>
      <c r="E131">
        <v>0.54129550000000004</v>
      </c>
      <c r="F131" t="s">
        <v>41</v>
      </c>
      <c r="G131">
        <v>-473.0575</v>
      </c>
      <c r="H131">
        <v>0.89507519999999996</v>
      </c>
      <c r="I131">
        <v>367.17509999999999</v>
      </c>
      <c r="J131">
        <v>-473.71940000000001</v>
      </c>
      <c r="K131">
        <v>1.1092040000000001</v>
      </c>
      <c r="L131">
        <v>367.18439999999998</v>
      </c>
      <c r="M131">
        <v>0.99991750000000001</v>
      </c>
      <c r="N131">
        <v>-3.9473959999999997E-3</v>
      </c>
      <c r="O131">
        <v>-1.2227160000000001E-2</v>
      </c>
      <c r="P131">
        <v>0.95794679999999999</v>
      </c>
      <c r="Q131">
        <v>0.28494920000000001</v>
      </c>
      <c r="R131">
        <v>3.3790199999999999E-2</v>
      </c>
      <c r="S131">
        <v>3.437592</v>
      </c>
      <c r="T131">
        <v>-1.0290870000000001</v>
      </c>
      <c r="U131">
        <v>-4.8278809999999998E-2</v>
      </c>
      <c r="V131">
        <v>-4.5440630000000003E-2</v>
      </c>
      <c r="W131">
        <v>0.28873569999999998</v>
      </c>
      <c r="X131">
        <v>0.95632989999999996</v>
      </c>
      <c r="Y131">
        <v>2.238355E-3</v>
      </c>
      <c r="Z131">
        <v>3.2019240000000001E-3</v>
      </c>
      <c r="AA131">
        <v>0.9999924</v>
      </c>
      <c r="AB131">
        <v>6</v>
      </c>
      <c r="AC131">
        <v>0.66190000000000204</v>
      </c>
      <c r="AD131">
        <v>-0.21412880000000001</v>
      </c>
      <c r="AE131">
        <v>-9.2999999999960892E-3</v>
      </c>
      <c r="AF131">
        <v>1.09183954645313E-3</v>
      </c>
      <c r="AG131">
        <v>-0.21412880000000001</v>
      </c>
      <c r="AH131">
        <v>0.59926024724412297</v>
      </c>
      <c r="AI131">
        <v>109.662890496222</v>
      </c>
      <c r="AJ131">
        <v>89.895608412233798</v>
      </c>
      <c r="AK131">
        <v>0.636368744542127</v>
      </c>
      <c r="AL131">
        <v>73.217720923872605</v>
      </c>
      <c r="AM131">
        <v>92.7203997137226</v>
      </c>
      <c r="AN131">
        <v>1.0000000164716401</v>
      </c>
    </row>
    <row r="132" spans="1:40" x14ac:dyDescent="0.25">
      <c r="A132" t="str">
        <f>"20190304164103375"</f>
        <v>20190304164103375</v>
      </c>
      <c r="B132" t="str">
        <f>"1551688863361458"</f>
        <v>1551688863361458</v>
      </c>
      <c r="C132" t="s">
        <v>40</v>
      </c>
      <c r="D132">
        <v>4.8364900000000004</v>
      </c>
      <c r="E132">
        <v>0.54129550000000004</v>
      </c>
      <c r="F132" t="s">
        <v>41</v>
      </c>
      <c r="G132">
        <v>-473.05130000000003</v>
      </c>
      <c r="H132">
        <v>0.90962699999999996</v>
      </c>
      <c r="I132">
        <v>367.17450000000002</v>
      </c>
      <c r="J132">
        <v>-473.68049999999999</v>
      </c>
      <c r="K132">
        <v>1.109121</v>
      </c>
      <c r="L132">
        <v>367.18380000000002</v>
      </c>
      <c r="M132">
        <v>0.99991750000000001</v>
      </c>
      <c r="N132">
        <v>-3.4413550000000001E-3</v>
      </c>
      <c r="O132">
        <v>-1.2388679999999999E-2</v>
      </c>
      <c r="P132">
        <v>0.95775429999999995</v>
      </c>
      <c r="Q132">
        <v>0.28560730000000001</v>
      </c>
      <c r="R132">
        <v>3.3704419999999999E-2</v>
      </c>
      <c r="S132">
        <v>3.4389949999999998</v>
      </c>
      <c r="T132">
        <v>-1.0271999999999999</v>
      </c>
      <c r="U132">
        <v>-4.9926760000000001E-2</v>
      </c>
      <c r="V132">
        <v>-4.5504250000000003E-2</v>
      </c>
      <c r="W132">
        <v>0.28890969999999999</v>
      </c>
      <c r="X132">
        <v>0.95627430000000002</v>
      </c>
      <c r="Y132">
        <v>2.5436759999999999E-3</v>
      </c>
      <c r="Z132">
        <v>3.2030629999999999E-3</v>
      </c>
      <c r="AA132">
        <v>0.99999170000000004</v>
      </c>
      <c r="AB132">
        <v>6</v>
      </c>
      <c r="AC132">
        <v>0.62919999999996801</v>
      </c>
      <c r="AD132">
        <v>-0.19949399999999901</v>
      </c>
      <c r="AE132">
        <v>-9.2999999999960892E-3</v>
      </c>
      <c r="AF132">
        <v>1.36690341729631E-3</v>
      </c>
      <c r="AG132">
        <v>-0.19949399999999901</v>
      </c>
      <c r="AH132">
        <v>0.57179837121973198</v>
      </c>
      <c r="AI132">
        <v>109.233252416384</v>
      </c>
      <c r="AJ132">
        <v>89.863032754954801</v>
      </c>
      <c r="AK132">
        <v>0.60560143806838096</v>
      </c>
      <c r="AL132">
        <v>73.207307287324198</v>
      </c>
      <c r="AM132">
        <v>92.724360879242496</v>
      </c>
      <c r="AN132">
        <v>0.99999999418132102</v>
      </c>
    </row>
    <row r="133" spans="1:40" x14ac:dyDescent="0.25">
      <c r="A133" t="str">
        <f>"20190304164103388"</f>
        <v>20190304164103388</v>
      </c>
      <c r="B133" t="str">
        <f>"1551688863381952"</f>
        <v>1551688863381952</v>
      </c>
      <c r="C133" t="s">
        <v>40</v>
      </c>
      <c r="D133">
        <v>5.0320320000000001</v>
      </c>
      <c r="E133">
        <v>0.5422536</v>
      </c>
      <c r="F133" t="s">
        <v>41</v>
      </c>
      <c r="G133">
        <v>-472.99259999999998</v>
      </c>
      <c r="H133">
        <v>0.90418920000000003</v>
      </c>
      <c r="I133">
        <v>367.17360000000002</v>
      </c>
      <c r="J133">
        <v>-473.63650000000001</v>
      </c>
      <c r="K133">
        <v>1.1090310000000001</v>
      </c>
      <c r="L133">
        <v>367.18310000000002</v>
      </c>
      <c r="M133">
        <v>0.9999169</v>
      </c>
      <c r="N133">
        <v>-2.8610340000000001E-3</v>
      </c>
      <c r="O133">
        <v>-1.2568930000000001E-2</v>
      </c>
      <c r="P133">
        <v>0.95750299999999999</v>
      </c>
      <c r="Q133">
        <v>0.28641409999999901</v>
      </c>
      <c r="R133">
        <v>3.3984350000000003E-2</v>
      </c>
      <c r="S133">
        <v>3.439667</v>
      </c>
      <c r="T133">
        <v>-1.0247569999999999</v>
      </c>
      <c r="U133">
        <v>-5.026245E-2</v>
      </c>
      <c r="V133">
        <v>-4.5950669999999999E-2</v>
      </c>
      <c r="W133">
        <v>0.28916170000000002</v>
      </c>
      <c r="X133">
        <v>0.95617680000000005</v>
      </c>
      <c r="Y133">
        <v>2.4692849999999999E-3</v>
      </c>
      <c r="Z133">
        <v>3.265839E-3</v>
      </c>
      <c r="AA133">
        <v>0.99999159999999998</v>
      </c>
      <c r="AB133">
        <v>7</v>
      </c>
      <c r="AC133">
        <v>0.64390000000003</v>
      </c>
      <c r="AD133">
        <v>-0.20484179999999899</v>
      </c>
      <c r="AE133">
        <v>-9.5000000000027198E-3</v>
      </c>
      <c r="AF133">
        <v>1.2768838805306E-3</v>
      </c>
      <c r="AG133">
        <v>-0.20484179999999899</v>
      </c>
      <c r="AH133">
        <v>0.58479724233599994</v>
      </c>
      <c r="AI133">
        <v>109.304209049805</v>
      </c>
      <c r="AJ133">
        <v>89.874896911745196</v>
      </c>
      <c r="AK133">
        <v>0.61963667427249203</v>
      </c>
      <c r="AL133">
        <v>73.192225336878906</v>
      </c>
      <c r="AM133">
        <v>92.751327483583594</v>
      </c>
      <c r="AN133">
        <v>1.0000000128392801</v>
      </c>
    </row>
    <row r="134" spans="1:40" x14ac:dyDescent="0.25">
      <c r="A134" t="str">
        <f>"20190304164103407"</f>
        <v>20190304164103407</v>
      </c>
      <c r="B134" t="str">
        <f>"1551688863401472"</f>
        <v>1551688863401472</v>
      </c>
      <c r="C134" t="s">
        <v>40</v>
      </c>
      <c r="D134">
        <v>4.9661600000000004</v>
      </c>
      <c r="E134">
        <v>0.54293400000000003</v>
      </c>
      <c r="F134" t="s">
        <v>41</v>
      </c>
      <c r="G134">
        <v>-472.93119999999999</v>
      </c>
      <c r="H134">
        <v>0.89864719999999998</v>
      </c>
      <c r="I134">
        <v>367.17149999999998</v>
      </c>
      <c r="J134">
        <v>-473.57810000000001</v>
      </c>
      <c r="K134">
        <v>1.1089180000000001</v>
      </c>
      <c r="L134">
        <v>367.18209999999999</v>
      </c>
      <c r="M134">
        <v>0.99991580000000002</v>
      </c>
      <c r="N134">
        <v>-2.0992300000000001E-3</v>
      </c>
      <c r="O134">
        <v>-1.2803709999999999E-2</v>
      </c>
      <c r="P134">
        <v>0.95726750000000005</v>
      </c>
      <c r="Q134">
        <v>0.287192</v>
      </c>
      <c r="R134">
        <v>3.4054050000000002E-2</v>
      </c>
      <c r="S134">
        <v>3.4423219999999999</v>
      </c>
      <c r="T134">
        <v>-1.026977</v>
      </c>
      <c r="U134">
        <v>-5.6671140000000002E-2</v>
      </c>
      <c r="V134">
        <v>-4.6239469999999998E-2</v>
      </c>
      <c r="W134">
        <v>0.28921059999999998</v>
      </c>
      <c r="X134">
        <v>0.95614809999999995</v>
      </c>
      <c r="Y134">
        <v>4.0303379999999996E-3</v>
      </c>
      <c r="Z134">
        <v>3.1190319999999999E-3</v>
      </c>
      <c r="AA134">
        <v>0.99998699999999996</v>
      </c>
      <c r="AB134">
        <v>7</v>
      </c>
      <c r="AC134">
        <v>0.64690000000001602</v>
      </c>
      <c r="AD134">
        <v>-0.21027080000000001</v>
      </c>
      <c r="AE134">
        <v>-1.06000000000108E-2</v>
      </c>
      <c r="AF134">
        <v>2.0950977786235499E-3</v>
      </c>
      <c r="AG134">
        <v>-0.21027080000000001</v>
      </c>
      <c r="AH134">
        <v>0.58517367734160097</v>
      </c>
      <c r="AI134">
        <v>109.76479807445099</v>
      </c>
      <c r="AJ134">
        <v>89.794864751918595</v>
      </c>
      <c r="AK134">
        <v>0.62180899914751497</v>
      </c>
      <c r="AL134">
        <v>73.189298719539394</v>
      </c>
      <c r="AM134">
        <v>92.768675731898</v>
      </c>
      <c r="AN134">
        <v>1.00000002443592</v>
      </c>
    </row>
    <row r="135" spans="1:40" x14ac:dyDescent="0.25">
      <c r="A135" t="str">
        <f>"20190304164103420"</f>
        <v>20190304164103420</v>
      </c>
      <c r="B135" t="str">
        <f>"1551688863411232"</f>
        <v>1551688863411232</v>
      </c>
      <c r="C135" t="s">
        <v>40</v>
      </c>
      <c r="D135">
        <v>4.9626330000000003</v>
      </c>
      <c r="E135">
        <v>0.54316949999999997</v>
      </c>
      <c r="F135" t="s">
        <v>41</v>
      </c>
      <c r="G135">
        <v>-472.86610000000002</v>
      </c>
      <c r="H135">
        <v>0.89608690000000002</v>
      </c>
      <c r="I135">
        <v>367.16899999999998</v>
      </c>
      <c r="J135">
        <v>-473.53210000000001</v>
      </c>
      <c r="K135">
        <v>1.1088450000000001</v>
      </c>
      <c r="L135">
        <v>367.18130000000002</v>
      </c>
      <c r="M135">
        <v>0.99991459999999999</v>
      </c>
      <c r="N135">
        <v>-1.5396660000000001E-3</v>
      </c>
      <c r="O135">
        <v>-1.298387E-2</v>
      </c>
      <c r="P135">
        <v>0.95718499999999995</v>
      </c>
      <c r="Q135">
        <v>0.287464099999999</v>
      </c>
      <c r="R135">
        <v>3.408158E-2</v>
      </c>
      <c r="S135">
        <v>3.4449160000000001</v>
      </c>
      <c r="T135">
        <v>-1.0295430000000001</v>
      </c>
      <c r="U135">
        <v>-6.0882569999999997E-2</v>
      </c>
      <c r="V135">
        <v>-4.6437989999999998E-2</v>
      </c>
      <c r="W135">
        <v>0.28894799999999998</v>
      </c>
      <c r="X135">
        <v>0.95621780000000001</v>
      </c>
      <c r="Y135">
        <v>5.027615E-3</v>
      </c>
      <c r="Z135">
        <v>3.0382230000000001E-3</v>
      </c>
      <c r="AA135">
        <v>0.99998279999999995</v>
      </c>
      <c r="AB135">
        <v>7</v>
      </c>
      <c r="AC135">
        <v>0.66599999999999604</v>
      </c>
      <c r="AD135">
        <v>-0.21275810000000001</v>
      </c>
      <c r="AE135">
        <v>-1.22999999999819E-2</v>
      </c>
      <c r="AF135">
        <v>3.3136456061002599E-3</v>
      </c>
      <c r="AG135">
        <v>-0.21275810000000001</v>
      </c>
      <c r="AH135">
        <v>0.60443997008474804</v>
      </c>
      <c r="AI135">
        <v>109.39139659979701</v>
      </c>
      <c r="AJ135">
        <v>89.685897664862395</v>
      </c>
      <c r="AK135">
        <v>0.64080002091047406</v>
      </c>
      <c r="AL135">
        <v>73.205014461101896</v>
      </c>
      <c r="AM135">
        <v>92.780341518218293</v>
      </c>
      <c r="AN135">
        <v>0.99999995732803904</v>
      </c>
    </row>
    <row r="136" spans="1:40" x14ac:dyDescent="0.25">
      <c r="A136" t="str">
        <f>"20190304164103433"</f>
        <v>20190304164103433</v>
      </c>
      <c r="B136" t="str">
        <f>"1551688863421968"</f>
        <v>1551688863421968</v>
      </c>
      <c r="C136" t="s">
        <v>40</v>
      </c>
      <c r="D136">
        <v>4.810403</v>
      </c>
      <c r="E136">
        <v>0.5434561</v>
      </c>
      <c r="F136" t="s">
        <v>41</v>
      </c>
      <c r="G136">
        <v>-472.86110000000002</v>
      </c>
      <c r="H136">
        <v>0.90789399999999998</v>
      </c>
      <c r="I136">
        <v>367.16879999999998</v>
      </c>
      <c r="J136">
        <v>-473.48869999999999</v>
      </c>
      <c r="K136">
        <v>1.10880499999999</v>
      </c>
      <c r="L136">
        <v>367.18049999999999</v>
      </c>
      <c r="M136">
        <v>0.99991300000000005</v>
      </c>
      <c r="N136">
        <v>-1.1098080000000001E-3</v>
      </c>
      <c r="O136">
        <v>-1.314447E-2</v>
      </c>
      <c r="P136">
        <v>0.95716579999999996</v>
      </c>
      <c r="Q136">
        <v>0.28748240000000003</v>
      </c>
      <c r="R136">
        <v>3.4464340000000003E-2</v>
      </c>
      <c r="S136">
        <v>3.4462890000000002</v>
      </c>
      <c r="T136">
        <v>-1.0318959999999999</v>
      </c>
      <c r="U136">
        <v>-6.1553959999999998E-2</v>
      </c>
      <c r="V136">
        <v>-4.6974080000000001E-2</v>
      </c>
      <c r="W136">
        <v>0.28855550000000002</v>
      </c>
      <c r="X136">
        <v>0.9563102</v>
      </c>
      <c r="Y136">
        <v>5.0633630000000004E-3</v>
      </c>
      <c r="Z136">
        <v>3.0919340000000002E-3</v>
      </c>
      <c r="AA136">
        <v>0.99998240000000005</v>
      </c>
      <c r="AB136">
        <v>7</v>
      </c>
      <c r="AC136">
        <v>0.62759999999997196</v>
      </c>
      <c r="AD136">
        <v>-0.20091099999999901</v>
      </c>
      <c r="AE136">
        <v>-1.17000000000189E-2</v>
      </c>
      <c r="AF136">
        <v>3.12896780246027E-3</v>
      </c>
      <c r="AG136">
        <v>-0.20091099999999901</v>
      </c>
      <c r="AH136">
        <v>0.56937043205197102</v>
      </c>
      <c r="AI136">
        <v>109.43589129809099</v>
      </c>
      <c r="AJ136">
        <v>89.685134958696196</v>
      </c>
      <c r="AK136">
        <v>0.60378614529944097</v>
      </c>
      <c r="AL136">
        <v>73.228504676009194</v>
      </c>
      <c r="AM136">
        <v>92.812115832069296</v>
      </c>
      <c r="AN136">
        <v>1.0000000196980601</v>
      </c>
    </row>
    <row r="137" spans="1:40" x14ac:dyDescent="0.25">
      <c r="A137" t="str">
        <f>"20190304164103450"</f>
        <v>20190304164103450</v>
      </c>
      <c r="B137" t="str">
        <f>"1551688863441488"</f>
        <v>1551688863441488</v>
      </c>
      <c r="C137" t="s">
        <v>40</v>
      </c>
      <c r="D137">
        <v>4.9617110000000002</v>
      </c>
      <c r="E137">
        <v>0.54400850000000001</v>
      </c>
      <c r="F137" t="s">
        <v>41</v>
      </c>
      <c r="G137">
        <v>-472.79539999999997</v>
      </c>
      <c r="H137">
        <v>0.90073440000000005</v>
      </c>
      <c r="I137">
        <v>367.16789999999997</v>
      </c>
      <c r="J137">
        <v>-473.42689999999999</v>
      </c>
      <c r="K137">
        <v>1.1087800000000001</v>
      </c>
      <c r="L137">
        <v>367.17950000000002</v>
      </c>
      <c r="M137">
        <v>0.99991070000000004</v>
      </c>
      <c r="N137">
        <v>-6.0273260000000002E-4</v>
      </c>
      <c r="O137">
        <v>-1.336115E-2</v>
      </c>
      <c r="P137">
        <v>0.95705770000000001</v>
      </c>
      <c r="Q137">
        <v>0.28780159999999899</v>
      </c>
      <c r="R137">
        <v>3.4797010000000003E-2</v>
      </c>
      <c r="S137">
        <v>3.4472049999999999</v>
      </c>
      <c r="T137">
        <v>-1.0344249999999999</v>
      </c>
      <c r="U137">
        <v>-6.2286380000000002E-2</v>
      </c>
      <c r="V137">
        <v>-4.7513729999999997E-2</v>
      </c>
      <c r="W137">
        <v>0.28838930000000002</v>
      </c>
      <c r="X137">
        <v>0.95633360000000001</v>
      </c>
      <c r="Y137">
        <v>5.0674919999999998E-3</v>
      </c>
      <c r="Z137">
        <v>3.1691380000000002E-3</v>
      </c>
      <c r="AA137">
        <v>0.99998209999999998</v>
      </c>
      <c r="AB137">
        <v>7</v>
      </c>
      <c r="AC137">
        <v>0.63150000000001605</v>
      </c>
      <c r="AD137">
        <v>-0.208045599999999</v>
      </c>
      <c r="AE137">
        <v>-1.1600000000044E-2</v>
      </c>
      <c r="AF137">
        <v>2.8519641013626598E-3</v>
      </c>
      <c r="AG137">
        <v>-0.208045599999999</v>
      </c>
      <c r="AH137">
        <v>0.56977849140701797</v>
      </c>
      <c r="AI137">
        <v>110.058634547358</v>
      </c>
      <c r="AJ137">
        <v>89.713214619075202</v>
      </c>
      <c r="AK137">
        <v>0.60657945452236695</v>
      </c>
      <c r="AL137">
        <v>73.238448803780997</v>
      </c>
      <c r="AM137">
        <v>92.844299887955302</v>
      </c>
      <c r="AN137">
        <v>0.99999994869097997</v>
      </c>
    </row>
    <row r="138" spans="1:40" x14ac:dyDescent="0.25">
      <c r="A138" t="str">
        <f>"20190304164103465"</f>
        <v>20190304164103465</v>
      </c>
      <c r="B138" t="str">
        <f>"1551688863451756"</f>
        <v>1551688863451756</v>
      </c>
      <c r="C138" t="s">
        <v>40</v>
      </c>
      <c r="D138">
        <v>4.8167</v>
      </c>
      <c r="E138">
        <v>0.54423859999999902</v>
      </c>
      <c r="F138" t="s">
        <v>41</v>
      </c>
      <c r="G138">
        <v>-472.726</v>
      </c>
      <c r="H138">
        <v>0.89779819999999999</v>
      </c>
      <c r="I138">
        <v>367.16590000000002</v>
      </c>
      <c r="J138">
        <v>-473.37790000000001</v>
      </c>
      <c r="K138">
        <v>1.1087769999999999</v>
      </c>
      <c r="L138">
        <v>367.17860000000002</v>
      </c>
      <c r="M138">
        <v>0.99990860000000004</v>
      </c>
      <c r="N138">
        <v>-2.9157830000000001E-4</v>
      </c>
      <c r="O138">
        <v>-1.352245E-2</v>
      </c>
      <c r="P138">
        <v>0.95697019999999999</v>
      </c>
      <c r="Q138">
        <v>0.28804259999999998</v>
      </c>
      <c r="R138">
        <v>3.5216520000000001E-2</v>
      </c>
      <c r="S138">
        <v>3.4491269999999998</v>
      </c>
      <c r="T138">
        <v>-1.038133</v>
      </c>
      <c r="U138">
        <v>-6.4575199999999999E-2</v>
      </c>
      <c r="V138">
        <v>-4.8088239999999997E-2</v>
      </c>
      <c r="W138">
        <v>0.288332599999999</v>
      </c>
      <c r="X138">
        <v>0.95632200000000001</v>
      </c>
      <c r="Y138">
        <v>5.5488689999999997E-3</v>
      </c>
      <c r="Z138">
        <v>3.159701E-3</v>
      </c>
      <c r="AA138">
        <v>0.99997959999999997</v>
      </c>
      <c r="AB138">
        <v>8</v>
      </c>
      <c r="AC138">
        <v>0.65190000000001103</v>
      </c>
      <c r="AD138">
        <v>-0.21097879999999999</v>
      </c>
      <c r="AE138">
        <v>-1.26999999999952E-2</v>
      </c>
      <c r="AF138">
        <v>3.5154796622556199E-3</v>
      </c>
      <c r="AG138">
        <v>-0.21097879999999999</v>
      </c>
      <c r="AH138">
        <v>0.59021592583043203</v>
      </c>
      <c r="AI138">
        <v>109.669634237102</v>
      </c>
      <c r="AJ138">
        <v>89.658735461221198</v>
      </c>
      <c r="AK138">
        <v>0.62680080707555696</v>
      </c>
      <c r="AL138">
        <v>73.2418419165692</v>
      </c>
      <c r="AM138">
        <v>92.878668961858196</v>
      </c>
      <c r="AN138">
        <v>0.99999996736652796</v>
      </c>
    </row>
    <row r="139" spans="1:40" x14ac:dyDescent="0.25">
      <c r="A139" t="str">
        <f>"20190304164103478"</f>
        <v>20190304164103478</v>
      </c>
      <c r="B139" t="str">
        <f>"1551688863471276"</f>
        <v>1551688863471276</v>
      </c>
      <c r="C139" t="s">
        <v>40</v>
      </c>
      <c r="D139">
        <v>4.9700150000000001</v>
      </c>
      <c r="E139">
        <v>0.54470030000000003</v>
      </c>
      <c r="F139" t="s">
        <v>41</v>
      </c>
      <c r="G139">
        <v>-472.65629999999999</v>
      </c>
      <c r="H139">
        <v>0.89131949999999904</v>
      </c>
      <c r="I139">
        <v>367.16489999999999</v>
      </c>
      <c r="J139">
        <v>-473.3272</v>
      </c>
      <c r="K139">
        <v>1.108797</v>
      </c>
      <c r="L139">
        <v>367.17770000000002</v>
      </c>
      <c r="M139">
        <v>0.99990650000000003</v>
      </c>
      <c r="N139" s="1">
        <v>-6.6854300000000001E-5</v>
      </c>
      <c r="O139">
        <v>-1.367607E-2</v>
      </c>
      <c r="P139">
        <v>0.95692350000000004</v>
      </c>
      <c r="Q139">
        <v>0.2881939</v>
      </c>
      <c r="R139">
        <v>3.5236990000000003E-2</v>
      </c>
      <c r="S139">
        <v>3.4501949999999999</v>
      </c>
      <c r="T139">
        <v>-1.039649</v>
      </c>
      <c r="U139">
        <v>-6.4514160000000001E-2</v>
      </c>
      <c r="V139">
        <v>-4.8257019999999998E-2</v>
      </c>
      <c r="W139">
        <v>0.28826869999999999</v>
      </c>
      <c r="X139">
        <v>0.95633279999999998</v>
      </c>
      <c r="Y139">
        <v>5.3876210000000004E-3</v>
      </c>
      <c r="Z139">
        <v>3.2358299999999999E-3</v>
      </c>
      <c r="AA139">
        <v>0.99998030000000004</v>
      </c>
      <c r="AB139">
        <v>8</v>
      </c>
      <c r="AC139">
        <v>0.67090000000001704</v>
      </c>
      <c r="AD139">
        <v>-0.21747749999999999</v>
      </c>
      <c r="AE139">
        <v>-1.2800000000027E-2</v>
      </c>
      <c r="AF139">
        <v>3.27909171693112E-3</v>
      </c>
      <c r="AG139">
        <v>-0.21747749999999999</v>
      </c>
      <c r="AH139">
        <v>0.60722893664395605</v>
      </c>
      <c r="AI139">
        <v>109.70459076886399</v>
      </c>
      <c r="AJ139">
        <v>89.690600565167799</v>
      </c>
      <c r="AK139">
        <v>0.64500712937648097</v>
      </c>
      <c r="AL139">
        <v>73.245666094711197</v>
      </c>
      <c r="AM139">
        <v>92.888722856425005</v>
      </c>
      <c r="AN139">
        <v>1.0000000038674</v>
      </c>
    </row>
    <row r="140" spans="1:40" x14ac:dyDescent="0.25">
      <c r="A140" t="str">
        <f>"20190304164103496"</f>
        <v>20190304164103496</v>
      </c>
      <c r="B140" t="str">
        <f>"1551688863491771"</f>
        <v>1551688863491771</v>
      </c>
      <c r="C140" t="s">
        <v>40</v>
      </c>
      <c r="D140">
        <v>4.776033</v>
      </c>
      <c r="E140">
        <v>0.54512240000000001</v>
      </c>
      <c r="F140" t="s">
        <v>41</v>
      </c>
      <c r="G140">
        <v>-472.6508</v>
      </c>
      <c r="H140">
        <v>0.90435290000000002</v>
      </c>
      <c r="I140">
        <v>367.16419999999999</v>
      </c>
      <c r="J140">
        <v>-473.26170000000002</v>
      </c>
      <c r="K140">
        <v>1.10884</v>
      </c>
      <c r="L140">
        <v>367.17649999999998</v>
      </c>
      <c r="M140">
        <v>0.99990400000000002</v>
      </c>
      <c r="N140">
        <v>1.221669E-4</v>
      </c>
      <c r="O140">
        <v>-1.386106E-2</v>
      </c>
      <c r="P140">
        <v>0.95679009999999998</v>
      </c>
      <c r="Q140">
        <v>0.28862850000000001</v>
      </c>
      <c r="R140">
        <v>3.530465E-2</v>
      </c>
      <c r="S140">
        <v>3.451721</v>
      </c>
      <c r="T140">
        <v>-1.0431999999999999</v>
      </c>
      <c r="U140">
        <v>-6.7779539999999999E-2</v>
      </c>
      <c r="V140">
        <v>-4.8504419999999999E-2</v>
      </c>
      <c r="W140">
        <v>0.28852159999999999</v>
      </c>
      <c r="X140">
        <v>0.95624399999999998</v>
      </c>
      <c r="Y140">
        <v>6.1186919999999898E-3</v>
      </c>
      <c r="Z140">
        <v>3.1947490000000002E-3</v>
      </c>
      <c r="AA140">
        <v>0.99997619999999998</v>
      </c>
      <c r="AB140">
        <v>8</v>
      </c>
      <c r="AC140">
        <v>0.61090000000001499</v>
      </c>
      <c r="AD140">
        <v>-0.2044871</v>
      </c>
      <c r="AE140">
        <v>-1.22999999999819E-2</v>
      </c>
      <c r="AF140">
        <v>3.4452334258047602E-3</v>
      </c>
      <c r="AG140">
        <v>-0.2044871</v>
      </c>
      <c r="AH140">
        <v>0.54947135918537904</v>
      </c>
      <c r="AI140">
        <v>110.412504299063</v>
      </c>
      <c r="AJ140">
        <v>89.640755164629994</v>
      </c>
      <c r="AK140">
        <v>0.586298233209683</v>
      </c>
      <c r="AL140">
        <v>73.230532769968093</v>
      </c>
      <c r="AM140">
        <v>92.903776406841104</v>
      </c>
      <c r="AN140">
        <v>0.999999989981048</v>
      </c>
    </row>
    <row r="141" spans="1:40" x14ac:dyDescent="0.25">
      <c r="A141" t="str">
        <f>"20190304164103512"</f>
        <v>20190304164103512</v>
      </c>
      <c r="B141" t="str">
        <f>"1551688863501532"</f>
        <v>1551688863501532</v>
      </c>
      <c r="C141" t="s">
        <v>40</v>
      </c>
      <c r="D141">
        <v>4.7755530000000004</v>
      </c>
      <c r="E141">
        <v>0.54532309999999995</v>
      </c>
      <c r="F141" t="s">
        <v>41</v>
      </c>
      <c r="G141">
        <v>-472.57760000000002</v>
      </c>
      <c r="H141">
        <v>0.90170689999999998</v>
      </c>
      <c r="I141">
        <v>367.16239999999999</v>
      </c>
      <c r="J141">
        <v>-473.20609999999999</v>
      </c>
      <c r="K141">
        <v>1.1088739999999999</v>
      </c>
      <c r="L141">
        <v>367.1755</v>
      </c>
      <c r="M141">
        <v>0.99990190000000001</v>
      </c>
      <c r="N141">
        <v>2.179487E-4</v>
      </c>
      <c r="O141">
        <v>-1.40115E-2</v>
      </c>
      <c r="P141">
        <v>0.95674680000000001</v>
      </c>
      <c r="Q141">
        <v>0.28880099999999997</v>
      </c>
      <c r="R141">
        <v>3.5069509999999998E-2</v>
      </c>
      <c r="S141">
        <v>3.453522</v>
      </c>
      <c r="T141">
        <v>-1.04565</v>
      </c>
      <c r="U141">
        <v>-7.0373539999999998E-2</v>
      </c>
      <c r="V141">
        <v>-4.841612E-2</v>
      </c>
      <c r="W141">
        <v>0.28860150000000001</v>
      </c>
      <c r="X141">
        <v>0.95622439999999997</v>
      </c>
      <c r="Y141">
        <v>6.6916110000000001E-3</v>
      </c>
      <c r="Z141">
        <v>3.1617110000000002E-3</v>
      </c>
      <c r="AA141">
        <v>0.99997259999999999</v>
      </c>
      <c r="AB141">
        <v>8</v>
      </c>
      <c r="AC141">
        <v>0.62849999999997397</v>
      </c>
      <c r="AD141">
        <v>-0.20716709999999899</v>
      </c>
      <c r="AE141">
        <v>-1.3100000000008501E-2</v>
      </c>
      <c r="AF141">
        <v>3.8719779059854399E-3</v>
      </c>
      <c r="AG141">
        <v>-0.20716709999999899</v>
      </c>
      <c r="AH141">
        <v>0.56703957600654697</v>
      </c>
      <c r="AI141">
        <v>110.06927346296401</v>
      </c>
      <c r="AJ141">
        <v>89.608767088194895</v>
      </c>
      <c r="AK141">
        <v>0.60371109008614299</v>
      </c>
      <c r="AL141">
        <v>73.225752047687095</v>
      </c>
      <c r="AM141">
        <v>92.898558551878907</v>
      </c>
      <c r="AN141">
        <v>1.00000002481673</v>
      </c>
    </row>
    <row r="142" spans="1:40" x14ac:dyDescent="0.25">
      <c r="A142" t="str">
        <f>"20190304164103529"</f>
        <v>20190304164103529</v>
      </c>
      <c r="B142" t="str">
        <f>"1551688863522029"</f>
        <v>1551688863522029</v>
      </c>
      <c r="C142" t="s">
        <v>40</v>
      </c>
      <c r="D142">
        <v>4.7979440000000002</v>
      </c>
      <c r="E142">
        <v>0.54566230000000004</v>
      </c>
      <c r="F142" t="s">
        <v>41</v>
      </c>
      <c r="G142">
        <v>-472.50389999999999</v>
      </c>
      <c r="H142">
        <v>0.896065</v>
      </c>
      <c r="I142">
        <v>367.16070000000002</v>
      </c>
      <c r="J142">
        <v>-473.13279999999997</v>
      </c>
      <c r="K142">
        <v>1.1089279999999999</v>
      </c>
      <c r="L142">
        <v>367.17430000000002</v>
      </c>
      <c r="M142">
        <v>0.99989910000000004</v>
      </c>
      <c r="N142">
        <v>2.8124539999999998E-4</v>
      </c>
      <c r="O142">
        <v>-1.420749E-2</v>
      </c>
      <c r="P142">
        <v>0.95663330000000002</v>
      </c>
      <c r="Q142">
        <v>0.28925309999999999</v>
      </c>
      <c r="R142">
        <v>3.4430929999999998E-2</v>
      </c>
      <c r="S142">
        <v>3.454285</v>
      </c>
      <c r="T142">
        <v>-1.0468280000000001</v>
      </c>
      <c r="U142">
        <v>-7.2174070000000007E-2</v>
      </c>
      <c r="V142">
        <v>-4.7968370000000003E-2</v>
      </c>
      <c r="W142">
        <v>0.2889929</v>
      </c>
      <c r="X142">
        <v>0.9561288</v>
      </c>
      <c r="Y142">
        <v>7.007671E-3</v>
      </c>
      <c r="Z142">
        <v>3.1768510000000001E-3</v>
      </c>
      <c r="AA142">
        <v>0.99997040000000004</v>
      </c>
      <c r="AB142">
        <v>8</v>
      </c>
      <c r="AC142">
        <v>0.62889999999998702</v>
      </c>
      <c r="AD142">
        <v>-0.212863</v>
      </c>
      <c r="AE142">
        <v>-1.35999999999967E-2</v>
      </c>
      <c r="AF142">
        <v>4.1843926087908401E-3</v>
      </c>
      <c r="AG142">
        <v>-0.212863</v>
      </c>
      <c r="AH142">
        <v>0.56440151202714794</v>
      </c>
      <c r="AI142">
        <v>110.663355964191</v>
      </c>
      <c r="AJ142">
        <v>89.575225014924996</v>
      </c>
      <c r="AK142">
        <v>0.60322237416149904</v>
      </c>
      <c r="AL142">
        <v>73.202329212608802</v>
      </c>
      <c r="AM142">
        <v>92.872084560521003</v>
      </c>
      <c r="AN142">
        <v>1.00000007148015</v>
      </c>
    </row>
    <row r="143" spans="1:40" x14ac:dyDescent="0.25">
      <c r="A143" t="str">
        <f>"20190304164103543"</f>
        <v>20190304164103543</v>
      </c>
      <c r="B143" t="str">
        <f>"1551688863531788"</f>
        <v>1551688863531788</v>
      </c>
      <c r="C143" t="s">
        <v>40</v>
      </c>
      <c r="D143">
        <v>5.2035900000000002</v>
      </c>
      <c r="E143">
        <v>0.54581040000000003</v>
      </c>
      <c r="F143" t="s">
        <v>41</v>
      </c>
      <c r="G143">
        <v>-472.42680000000001</v>
      </c>
      <c r="H143">
        <v>0.89457450000000005</v>
      </c>
      <c r="I143">
        <v>367.15839999999997</v>
      </c>
      <c r="J143">
        <v>-473.08199999999999</v>
      </c>
      <c r="K143">
        <v>1.1089599999999999</v>
      </c>
      <c r="L143">
        <v>367.17340000000002</v>
      </c>
      <c r="M143">
        <v>0.99989709999999998</v>
      </c>
      <c r="N143">
        <v>2.9813419999999999E-4</v>
      </c>
      <c r="O143">
        <v>-1.43447E-2</v>
      </c>
      <c r="P143">
        <v>0.95656249999999998</v>
      </c>
      <c r="Q143">
        <v>0.28951559999999998</v>
      </c>
      <c r="R143">
        <v>3.4193370000000001E-2</v>
      </c>
      <c r="S143">
        <v>3.455994</v>
      </c>
      <c r="T143">
        <v>-1.0492570000000001</v>
      </c>
      <c r="U143">
        <v>-7.6080320000000007E-2</v>
      </c>
      <c r="V143">
        <v>-4.7862990000000001E-2</v>
      </c>
      <c r="W143">
        <v>0.28923890000000002</v>
      </c>
      <c r="X143">
        <v>0.95605960000000001</v>
      </c>
      <c r="Y143">
        <v>7.9546630000000007E-3</v>
      </c>
      <c r="Z143">
        <v>3.0829830000000001E-3</v>
      </c>
      <c r="AA143">
        <v>0.99996359999999995</v>
      </c>
      <c r="AB143">
        <v>9</v>
      </c>
      <c r="AC143">
        <v>0.65519999999997902</v>
      </c>
      <c r="AD143">
        <v>-0.21438549999999901</v>
      </c>
      <c r="AE143">
        <v>-1.5000000000043199E-2</v>
      </c>
      <c r="AF143">
        <v>5.0585091311085503E-3</v>
      </c>
      <c r="AG143">
        <v>-0.21438549999999901</v>
      </c>
      <c r="AH143">
        <v>0.59199921711708603</v>
      </c>
      <c r="AI143">
        <v>109.906584280424</v>
      </c>
      <c r="AJ143">
        <v>89.510431497353906</v>
      </c>
      <c r="AK143">
        <v>0.62964260036319197</v>
      </c>
      <c r="AL143">
        <v>73.187604136578599</v>
      </c>
      <c r="AM143">
        <v>92.8659925909827</v>
      </c>
      <c r="AN143">
        <v>0.99999998291855496</v>
      </c>
    </row>
    <row r="144" spans="1:40" x14ac:dyDescent="0.25">
      <c r="A144" t="str">
        <f>"20190304164103556"</f>
        <v>20190304164103556</v>
      </c>
      <c r="B144" t="str">
        <f>"1551688863551308"</f>
        <v>1551688863551308</v>
      </c>
      <c r="C144" t="s">
        <v>40</v>
      </c>
      <c r="D144">
        <v>4.7915839999999896</v>
      </c>
      <c r="E144">
        <v>0.54612450000000001</v>
      </c>
      <c r="F144" t="s">
        <v>41</v>
      </c>
      <c r="G144">
        <v>-472.35070000000002</v>
      </c>
      <c r="H144">
        <v>0.88672260000000003</v>
      </c>
      <c r="I144">
        <v>367.15690000000001</v>
      </c>
      <c r="J144">
        <v>-473.03</v>
      </c>
      <c r="K144">
        <v>1.108989</v>
      </c>
      <c r="L144">
        <v>367.17239999999998</v>
      </c>
      <c r="M144">
        <v>0.99989519999999998</v>
      </c>
      <c r="N144">
        <v>2.9292970000000001E-4</v>
      </c>
      <c r="O144">
        <v>-1.4489180000000001E-2</v>
      </c>
      <c r="P144">
        <v>0.95660840000000003</v>
      </c>
      <c r="Q144">
        <v>0.28939140000000002</v>
      </c>
      <c r="R144">
        <v>3.3961940000000003E-2</v>
      </c>
      <c r="S144">
        <v>3.457001</v>
      </c>
      <c r="T144">
        <v>-1.050627</v>
      </c>
      <c r="U144">
        <v>-7.7667239999999999E-2</v>
      </c>
      <c r="V144">
        <v>-4.7771790000000001E-2</v>
      </c>
      <c r="W144">
        <v>0.28911920000000002</v>
      </c>
      <c r="X144">
        <v>0.95610039999999996</v>
      </c>
      <c r="Y144">
        <v>8.2560469999999903E-3</v>
      </c>
      <c r="Z144">
        <v>3.0840889999999999E-3</v>
      </c>
      <c r="AA144">
        <v>0.99996110000000005</v>
      </c>
      <c r="AB144">
        <v>9</v>
      </c>
      <c r="AC144">
        <v>0.67929999999995505</v>
      </c>
      <c r="AD144">
        <v>-0.2222664</v>
      </c>
      <c r="AE144">
        <v>-1.5499999999974499E-2</v>
      </c>
      <c r="AF144">
        <v>5.1091746184764803E-3</v>
      </c>
      <c r="AG144">
        <v>-0.2222664</v>
      </c>
      <c r="AH144">
        <v>0.61377693793561205</v>
      </c>
      <c r="AI144">
        <v>109.90615268643801</v>
      </c>
      <c r="AJ144">
        <v>89.5230720424845</v>
      </c>
      <c r="AK144">
        <v>0.65280210307248399</v>
      </c>
      <c r="AL144">
        <v>73.194769100897801</v>
      </c>
      <c r="AM144">
        <v>92.860418830051501</v>
      </c>
      <c r="AN144">
        <v>1.0000000153043</v>
      </c>
    </row>
    <row r="145" spans="1:40" x14ac:dyDescent="0.25">
      <c r="A145" t="str">
        <f>"20190304164103573"</f>
        <v>20190304164103573</v>
      </c>
      <c r="B145" t="str">
        <f>"1551688863561069"</f>
        <v>1551688863561069</v>
      </c>
      <c r="C145" t="s">
        <v>40</v>
      </c>
      <c r="D145">
        <v>4.8002339999999997</v>
      </c>
      <c r="E145">
        <v>0.546263099999999</v>
      </c>
      <c r="F145" t="s">
        <v>41</v>
      </c>
      <c r="G145">
        <v>-472.34500000000003</v>
      </c>
      <c r="H145">
        <v>0.90018670000000001</v>
      </c>
      <c r="I145">
        <v>367.15640000000002</v>
      </c>
      <c r="J145">
        <v>-472.9622</v>
      </c>
      <c r="K145">
        <v>1.109019</v>
      </c>
      <c r="L145">
        <v>367.1712</v>
      </c>
      <c r="M145">
        <v>0.99989220000000001</v>
      </c>
      <c r="N145">
        <v>2.7825460000000001E-4</v>
      </c>
      <c r="O145">
        <v>-1.4683369999999999E-2</v>
      </c>
      <c r="P145">
        <v>0.95660889999999998</v>
      </c>
      <c r="Q145">
        <v>0.28947050000000002</v>
      </c>
      <c r="R145">
        <v>3.326399E-2</v>
      </c>
      <c r="S145">
        <v>3.4578549999999999</v>
      </c>
      <c r="T145">
        <v>-1.0540959999999999</v>
      </c>
      <c r="U145">
        <v>-8.0352779999999999E-2</v>
      </c>
      <c r="V145">
        <v>-4.725886E-2</v>
      </c>
      <c r="W145">
        <v>0.28921229999999998</v>
      </c>
      <c r="X145">
        <v>0.95609770000000005</v>
      </c>
      <c r="Y145">
        <v>8.8174719999999998E-3</v>
      </c>
      <c r="Z145">
        <v>3.0671180000000002E-3</v>
      </c>
      <c r="AA145">
        <v>0.99995639999999997</v>
      </c>
      <c r="AB145">
        <v>9</v>
      </c>
      <c r="AC145">
        <v>0.617199999999968</v>
      </c>
      <c r="AD145">
        <v>-0.2088323</v>
      </c>
      <c r="AE145">
        <v>-1.4799999999979699E-2</v>
      </c>
      <c r="AF145">
        <v>5.1469280177500699E-3</v>
      </c>
      <c r="AG145">
        <v>-0.2088323</v>
      </c>
      <c r="AH145">
        <v>0.55396704621313397</v>
      </c>
      <c r="AI145">
        <v>110.654424440109</v>
      </c>
      <c r="AJ145">
        <v>89.467678141104301</v>
      </c>
      <c r="AK145">
        <v>0.59204468469990801</v>
      </c>
      <c r="AL145">
        <v>73.189196253428094</v>
      </c>
      <c r="AM145">
        <v>92.829764423536602</v>
      </c>
      <c r="AN145">
        <v>0.99999998313253902</v>
      </c>
    </row>
    <row r="146" spans="1:40" x14ac:dyDescent="0.25">
      <c r="A146" t="str">
        <f>"20190304164103587"</f>
        <v>20190304164103587</v>
      </c>
      <c r="B146" t="str">
        <f>"1551688863581564"</f>
        <v>1551688863581564</v>
      </c>
      <c r="C146" t="s">
        <v>40</v>
      </c>
      <c r="D146">
        <v>4.8064049999999998</v>
      </c>
      <c r="E146">
        <v>0.54654009999999997</v>
      </c>
      <c r="F146" t="s">
        <v>41</v>
      </c>
      <c r="G146">
        <v>-472.26549999999997</v>
      </c>
      <c r="H146">
        <v>0.89633259999999904</v>
      </c>
      <c r="I146">
        <v>367.1542</v>
      </c>
      <c r="J146">
        <v>-472.90449999999998</v>
      </c>
      <c r="K146">
        <v>1.109032</v>
      </c>
      <c r="L146">
        <v>367.17020000000002</v>
      </c>
      <c r="M146">
        <v>0.99988980000000005</v>
      </c>
      <c r="N146">
        <v>2.6460379999999998E-4</v>
      </c>
      <c r="O146">
        <v>-1.4853480000000001E-2</v>
      </c>
      <c r="P146">
        <v>0.95656209999999997</v>
      </c>
      <c r="Q146">
        <v>0.2896434</v>
      </c>
      <c r="R146">
        <v>3.3105839999999997E-2</v>
      </c>
      <c r="S146">
        <v>3.458466</v>
      </c>
      <c r="T146">
        <v>-1.055785</v>
      </c>
      <c r="U146">
        <v>-8.2855219999999993E-2</v>
      </c>
      <c r="V146">
        <v>-4.7261560000000001E-2</v>
      </c>
      <c r="W146">
        <v>0.28939860000000001</v>
      </c>
      <c r="X146">
        <v>0.95604120000000004</v>
      </c>
      <c r="Y146">
        <v>9.3505540000000005E-3</v>
      </c>
      <c r="Z146">
        <v>3.042337E-3</v>
      </c>
      <c r="AA146">
        <v>0.9999517</v>
      </c>
      <c r="AB146">
        <v>9</v>
      </c>
      <c r="AC146">
        <v>0.63900000000001</v>
      </c>
      <c r="AD146">
        <v>-0.21269940000000001</v>
      </c>
      <c r="AE146">
        <v>-1.6000000000019499E-2</v>
      </c>
      <c r="AF146">
        <v>5.8581944229361901E-3</v>
      </c>
      <c r="AG146">
        <v>-0.21269940000000001</v>
      </c>
      <c r="AH146">
        <v>0.57544870734563502</v>
      </c>
      <c r="AI146">
        <v>110.284534717624</v>
      </c>
      <c r="AJ146">
        <v>89.416736509779597</v>
      </c>
      <c r="AK146">
        <v>0.61352796838287604</v>
      </c>
      <c r="AL146">
        <v>73.178045321099503</v>
      </c>
      <c r="AM146">
        <v>92.830092801955701</v>
      </c>
      <c r="AN146">
        <v>0.99999999041651599</v>
      </c>
    </row>
    <row r="147" spans="1:40" x14ac:dyDescent="0.25">
      <c r="A147" t="str">
        <f>"20190304164103599"</f>
        <v>20190304164103599</v>
      </c>
      <c r="B147" t="str">
        <f>"1551688863592301"</f>
        <v>1551688863592301</v>
      </c>
      <c r="C147" t="s">
        <v>40</v>
      </c>
      <c r="D147">
        <v>4.8115730000000001</v>
      </c>
      <c r="E147">
        <v>0.54667069999999995</v>
      </c>
      <c r="F147" t="s">
        <v>41</v>
      </c>
      <c r="G147">
        <v>-472.18560000000002</v>
      </c>
      <c r="H147">
        <v>0.8891597</v>
      </c>
      <c r="I147">
        <v>367.15219999999999</v>
      </c>
      <c r="J147">
        <v>-472.85309999999998</v>
      </c>
      <c r="K147">
        <v>1.1090370000000001</v>
      </c>
      <c r="L147">
        <v>367.16919999999999</v>
      </c>
      <c r="M147">
        <v>0.99988730000000003</v>
      </c>
      <c r="N147">
        <v>2.5525670000000001E-4</v>
      </c>
      <c r="O147">
        <v>-1.5009049999999999E-2</v>
      </c>
      <c r="P147">
        <v>0.95655849999999998</v>
      </c>
      <c r="Q147">
        <v>0.28971330000000001</v>
      </c>
      <c r="R147">
        <v>3.259107E-2</v>
      </c>
      <c r="S147">
        <v>3.4595340000000001</v>
      </c>
      <c r="T147">
        <v>-1.0579369999999999</v>
      </c>
      <c r="U147">
        <v>-8.5266110000000006E-2</v>
      </c>
      <c r="V147">
        <v>-4.6892499999999997E-2</v>
      </c>
      <c r="W147">
        <v>0.2894775</v>
      </c>
      <c r="X147">
        <v>0.95603550000000004</v>
      </c>
      <c r="Y147">
        <v>9.8682969999999998E-3</v>
      </c>
      <c r="Z147">
        <v>3.0163640000000001E-3</v>
      </c>
      <c r="AA147">
        <v>0.99994680000000002</v>
      </c>
      <c r="AB147">
        <v>9</v>
      </c>
      <c r="AC147">
        <v>0.66749999999996101</v>
      </c>
      <c r="AD147">
        <v>-0.2198773</v>
      </c>
      <c r="AE147">
        <v>-1.69999999999959E-2</v>
      </c>
      <c r="AF147">
        <v>6.2967448406212097E-3</v>
      </c>
      <c r="AG147">
        <v>-0.2198773</v>
      </c>
      <c r="AH147">
        <v>0.60236178750892</v>
      </c>
      <c r="AI147">
        <v>110.05235368691601</v>
      </c>
      <c r="AJ147">
        <v>89.401084578758599</v>
      </c>
      <c r="AK147">
        <v>0.64126858577496104</v>
      </c>
      <c r="AL147">
        <v>73.1733227585473</v>
      </c>
      <c r="AM147">
        <v>92.8080451627862</v>
      </c>
      <c r="AN147">
        <v>1.0000000034113701</v>
      </c>
    </row>
    <row r="148" spans="1:40" x14ac:dyDescent="0.25">
      <c r="A148" t="str">
        <f>"20190304164103620"</f>
        <v>20190304164103620</v>
      </c>
      <c r="B148" t="str">
        <f>"1551688863611820"</f>
        <v>1551688863611820</v>
      </c>
      <c r="C148" t="s">
        <v>40</v>
      </c>
      <c r="D148">
        <v>4.8445289999999996</v>
      </c>
      <c r="E148">
        <v>0.54691449999999997</v>
      </c>
      <c r="F148" t="s">
        <v>41</v>
      </c>
      <c r="G148">
        <v>-472.1798</v>
      </c>
      <c r="H148">
        <v>0.90290930000000003</v>
      </c>
      <c r="I148">
        <v>367.15199999999999</v>
      </c>
      <c r="J148">
        <v>-472.76749999999998</v>
      </c>
      <c r="K148">
        <v>1.1090249999999999</v>
      </c>
      <c r="L148">
        <v>367.16770000000002</v>
      </c>
      <c r="M148">
        <v>0.99988350000000004</v>
      </c>
      <c r="N148">
        <v>2.5778610000000001E-4</v>
      </c>
      <c r="O148">
        <v>-1.527441E-2</v>
      </c>
      <c r="P148">
        <v>0.95666169999999995</v>
      </c>
      <c r="Q148">
        <v>0.28942289999999998</v>
      </c>
      <c r="R148">
        <v>3.2141870000000003E-2</v>
      </c>
      <c r="S148">
        <v>3.459991</v>
      </c>
      <c r="T148">
        <v>-1.0590759999999999</v>
      </c>
      <c r="U148">
        <v>-8.7402339999999995E-2</v>
      </c>
      <c r="V148">
        <v>-4.6693020000000002E-2</v>
      </c>
      <c r="W148">
        <v>0.28918539999999998</v>
      </c>
      <c r="X148">
        <v>0.95613369999999998</v>
      </c>
      <c r="Y148">
        <v>1.021348E-2</v>
      </c>
      <c r="Z148">
        <v>3.04696E-3</v>
      </c>
      <c r="AA148">
        <v>0.99994320000000003</v>
      </c>
      <c r="AB148">
        <v>9</v>
      </c>
      <c r="AC148">
        <v>0.58769999999998301</v>
      </c>
      <c r="AD148">
        <v>-0.20611569999999901</v>
      </c>
      <c r="AE148">
        <v>-1.5700000000038E-2</v>
      </c>
      <c r="AF148">
        <v>5.9856763845271797E-3</v>
      </c>
      <c r="AG148">
        <v>-0.20611569999999901</v>
      </c>
      <c r="AH148">
        <v>0.52352300161027299</v>
      </c>
      <c r="AI148">
        <v>111.48872810734299</v>
      </c>
      <c r="AJ148">
        <v>89.344939858631903</v>
      </c>
      <c r="AK148">
        <v>0.56266850216028597</v>
      </c>
      <c r="AL148">
        <v>73.190807345069999</v>
      </c>
      <c r="AM148">
        <v>92.795832057044805</v>
      </c>
      <c r="AN148">
        <v>1.00000004298278</v>
      </c>
    </row>
    <row r="149" spans="1:40" x14ac:dyDescent="0.25">
      <c r="A149" t="str">
        <f>"20190304164103633"</f>
        <v>20190304164103633</v>
      </c>
      <c r="B149" t="str">
        <f>"1551688863621580"</f>
        <v>1551688863621580</v>
      </c>
      <c r="C149" t="s">
        <v>40</v>
      </c>
      <c r="D149">
        <v>4.8537480000000004</v>
      </c>
      <c r="E149">
        <v>0.54702289999999998</v>
      </c>
      <c r="F149" t="s">
        <v>41</v>
      </c>
      <c r="G149">
        <v>-472.0951</v>
      </c>
      <c r="H149">
        <v>0.90249469999999998</v>
      </c>
      <c r="I149">
        <v>367.15010000000001</v>
      </c>
      <c r="J149">
        <v>-472.71409999999997</v>
      </c>
      <c r="K149">
        <v>1.109013</v>
      </c>
      <c r="L149">
        <v>367.16669999999999</v>
      </c>
      <c r="M149">
        <v>0.99988069999999896</v>
      </c>
      <c r="N149">
        <v>2.7336100000000001E-4</v>
      </c>
      <c r="O149">
        <v>-1.544273E-2</v>
      </c>
      <c r="P149">
        <v>0.95665619999999996</v>
      </c>
      <c r="Q149">
        <v>0.28947590000000001</v>
      </c>
      <c r="R149">
        <v>3.1822070000000001E-2</v>
      </c>
      <c r="S149">
        <v>3.46048</v>
      </c>
      <c r="T149">
        <v>-1.0628200000000001</v>
      </c>
      <c r="U149">
        <v>-8.9782710000000002E-2</v>
      </c>
      <c r="V149">
        <v>-4.6530139999999998E-2</v>
      </c>
      <c r="W149">
        <v>0.28922419999999999</v>
      </c>
      <c r="X149">
        <v>0.95612980000000003</v>
      </c>
      <c r="Y149">
        <v>1.0715270000000001E-2</v>
      </c>
      <c r="Z149">
        <v>3.0324340000000001E-3</v>
      </c>
      <c r="AA149">
        <v>0.99993799999999999</v>
      </c>
      <c r="AB149">
        <v>9</v>
      </c>
      <c r="AC149">
        <v>0.61899999999997102</v>
      </c>
      <c r="AD149">
        <v>-0.20651829999999999</v>
      </c>
      <c r="AE149">
        <v>-1.6599999999982601E-2</v>
      </c>
      <c r="AF149">
        <v>6.3343929626574896E-3</v>
      </c>
      <c r="AG149">
        <v>-0.20651829999999999</v>
      </c>
      <c r="AH149">
        <v>0.55720445271033603</v>
      </c>
      <c r="AI149">
        <v>110.33515652191301</v>
      </c>
      <c r="AJ149">
        <v>89.348680098717296</v>
      </c>
      <c r="AK149">
        <v>0.59427833116252904</v>
      </c>
      <c r="AL149">
        <v>73.188483301290404</v>
      </c>
      <c r="AM149">
        <v>92.786106051679496</v>
      </c>
      <c r="AN149">
        <v>0.99999994312104801</v>
      </c>
    </row>
    <row r="150" spans="1:40" x14ac:dyDescent="0.25">
      <c r="A150" t="str">
        <f>"20190304164103645"</f>
        <v>20190304164103645</v>
      </c>
      <c r="B150" t="str">
        <f>"1551688863641100"</f>
        <v>1551688863641100</v>
      </c>
      <c r="C150" t="s">
        <v>40</v>
      </c>
      <c r="D150">
        <v>4.8557290000000002</v>
      </c>
      <c r="E150">
        <v>0.54723580000000005</v>
      </c>
      <c r="F150" t="s">
        <v>41</v>
      </c>
      <c r="G150">
        <v>-472.01229999999998</v>
      </c>
      <c r="H150">
        <v>0.89325949999999998</v>
      </c>
      <c r="I150">
        <v>367.14800000000002</v>
      </c>
      <c r="J150">
        <v>-472.65390000000002</v>
      </c>
      <c r="K150">
        <v>1.109</v>
      </c>
      <c r="L150">
        <v>367.16559999999998</v>
      </c>
      <c r="M150">
        <v>0.99987780000000004</v>
      </c>
      <c r="N150">
        <v>2.9835309999999999E-4</v>
      </c>
      <c r="O150">
        <v>-1.563382E-2</v>
      </c>
      <c r="P150">
        <v>0.95661969999999996</v>
      </c>
      <c r="Q150">
        <v>0.28961989999999999</v>
      </c>
      <c r="R150">
        <v>3.1608690000000002E-2</v>
      </c>
      <c r="S150">
        <v>3.4609070000000002</v>
      </c>
      <c r="T150">
        <v>-1.0641</v>
      </c>
      <c r="U150">
        <v>-9.1186519999999993E-2</v>
      </c>
      <c r="V150">
        <v>-4.6494630000000002E-2</v>
      </c>
      <c r="W150">
        <v>0.28934520000000002</v>
      </c>
      <c r="X150">
        <v>0.95609500000000003</v>
      </c>
      <c r="Y150">
        <v>1.092602E-2</v>
      </c>
      <c r="Z150">
        <v>3.061888E-3</v>
      </c>
      <c r="AA150">
        <v>0.99993560000000004</v>
      </c>
      <c r="AB150">
        <v>9</v>
      </c>
      <c r="AC150">
        <v>0.64160000000003903</v>
      </c>
      <c r="AD150">
        <v>-0.2157405</v>
      </c>
      <c r="AE150">
        <v>-1.7599999999958899E-2</v>
      </c>
      <c r="AF150">
        <v>6.7990250691857702E-3</v>
      </c>
      <c r="AG150">
        <v>-0.2157405</v>
      </c>
      <c r="AH150">
        <v>0.57664628376323601</v>
      </c>
      <c r="AI150">
        <v>110.51100884704501</v>
      </c>
      <c r="AJ150">
        <v>89.324477757219299</v>
      </c>
      <c r="AK150">
        <v>0.61572000670766902</v>
      </c>
      <c r="AL150">
        <v>73.181242216296795</v>
      </c>
      <c r="AM150">
        <v>92.784084321987805</v>
      </c>
      <c r="AN150">
        <v>1.00000002220343</v>
      </c>
    </row>
    <row r="151" spans="1:40" x14ac:dyDescent="0.25">
      <c r="A151" t="str">
        <f>"20190304164103662"</f>
        <v>20190304164103662</v>
      </c>
      <c r="B151" t="str">
        <f>"1551688863651837"</f>
        <v>1551688863651837</v>
      </c>
      <c r="C151" t="s">
        <v>40</v>
      </c>
      <c r="D151">
        <v>4.8538199999999998</v>
      </c>
      <c r="E151">
        <v>0.54733959999999904</v>
      </c>
      <c r="F151" t="s">
        <v>41</v>
      </c>
      <c r="G151">
        <v>-471.9271</v>
      </c>
      <c r="H151">
        <v>0.88518240000000004</v>
      </c>
      <c r="I151">
        <v>367.14569999999998</v>
      </c>
      <c r="J151">
        <v>-472.58030000000002</v>
      </c>
      <c r="K151">
        <v>1.108975</v>
      </c>
      <c r="L151">
        <v>367.16410000000002</v>
      </c>
      <c r="M151">
        <v>0.99987409999999999</v>
      </c>
      <c r="N151">
        <v>3.4286819999999998E-4</v>
      </c>
      <c r="O151">
        <v>-1.5869499999999901E-2</v>
      </c>
      <c r="P151">
        <v>0.9566154</v>
      </c>
      <c r="Q151">
        <v>0.28969250000000002</v>
      </c>
      <c r="R151">
        <v>3.1071519999999998E-2</v>
      </c>
      <c r="S151">
        <v>3.4618229999999999</v>
      </c>
      <c r="T151">
        <v>-1.0659689999999999</v>
      </c>
      <c r="U151">
        <v>-9.27124E-2</v>
      </c>
      <c r="V151">
        <v>-4.6177330000000003E-2</v>
      </c>
      <c r="W151">
        <v>0.28937619999999997</v>
      </c>
      <c r="X151">
        <v>0.95610090000000003</v>
      </c>
      <c r="Y151">
        <v>1.112639E-2</v>
      </c>
      <c r="Z151">
        <v>3.108024E-3</v>
      </c>
      <c r="AA151">
        <v>0.99993319999999997</v>
      </c>
      <c r="AB151">
        <v>10</v>
      </c>
      <c r="AC151">
        <v>0.65320000000002598</v>
      </c>
      <c r="AD151">
        <v>-0.22379259999999901</v>
      </c>
      <c r="AE151">
        <v>-1.8400000000042299E-2</v>
      </c>
      <c r="AF151">
        <v>7.1885886153130896E-3</v>
      </c>
      <c r="AG151">
        <v>-0.22379259999999901</v>
      </c>
      <c r="AH151">
        <v>0.58481750312036496</v>
      </c>
      <c r="AI151">
        <v>110.938946029264</v>
      </c>
      <c r="AJ151">
        <v>89.295754583195802</v>
      </c>
      <c r="AK151">
        <v>0.62621586979010502</v>
      </c>
      <c r="AL151">
        <v>73.179385086529095</v>
      </c>
      <c r="AM151">
        <v>92.765097046100607</v>
      </c>
      <c r="AN151">
        <v>0.99999993095658701</v>
      </c>
    </row>
    <row r="152" spans="1:40" x14ac:dyDescent="0.25">
      <c r="A152" t="str">
        <f>"20190304164103677"</f>
        <v>20190304164103677</v>
      </c>
      <c r="B152" t="str">
        <f>"1551688863671356"</f>
        <v>1551688863671356</v>
      </c>
      <c r="C152" t="s">
        <v>40</v>
      </c>
      <c r="D152">
        <v>4.8715409999999997</v>
      </c>
      <c r="E152">
        <v>0.54755319999999996</v>
      </c>
      <c r="F152" t="s">
        <v>41</v>
      </c>
      <c r="G152">
        <v>-471.83859999999999</v>
      </c>
      <c r="H152">
        <v>0.88044349999999905</v>
      </c>
      <c r="I152">
        <v>367.14370000000002</v>
      </c>
      <c r="J152">
        <v>-472.51400000000001</v>
      </c>
      <c r="K152">
        <v>1.1089519999999999</v>
      </c>
      <c r="L152">
        <v>367.16289999999998</v>
      </c>
      <c r="M152">
        <v>0.99987079999999995</v>
      </c>
      <c r="N152">
        <v>3.9594780000000001E-4</v>
      </c>
      <c r="O152">
        <v>-1.6080379999999998E-2</v>
      </c>
      <c r="P152">
        <v>0.95668850000000005</v>
      </c>
      <c r="Q152">
        <v>0.28952709999999998</v>
      </c>
      <c r="R152">
        <v>3.0358019999999999E-2</v>
      </c>
      <c r="S152">
        <v>3.4621580000000001</v>
      </c>
      <c r="T152">
        <v>-1.0667120000000001</v>
      </c>
      <c r="U152">
        <v>-9.393311E-2</v>
      </c>
      <c r="V152">
        <v>-4.5662510000000003E-2</v>
      </c>
      <c r="W152">
        <v>0.2891608</v>
      </c>
      <c r="X152">
        <v>0.95619080000000001</v>
      </c>
      <c r="Y152">
        <v>1.1269E-2</v>
      </c>
      <c r="Z152">
        <v>3.1530270000000001E-3</v>
      </c>
      <c r="AA152">
        <v>0.99993149999999997</v>
      </c>
      <c r="AB152">
        <v>10</v>
      </c>
      <c r="AC152">
        <v>0.67540000000002398</v>
      </c>
      <c r="AD152">
        <v>-0.2285085</v>
      </c>
      <c r="AE152">
        <v>-1.9199999999955201E-2</v>
      </c>
      <c r="AF152">
        <v>7.4811697707112797E-3</v>
      </c>
      <c r="AG152">
        <v>-0.2285085</v>
      </c>
      <c r="AH152">
        <v>0.60627823471167497</v>
      </c>
      <c r="AI152">
        <v>110.650171586913</v>
      </c>
      <c r="AJ152">
        <v>89.293034656720195</v>
      </c>
      <c r="AK152">
        <v>0.64795478264960205</v>
      </c>
      <c r="AL152">
        <v>73.192277935685993</v>
      </c>
      <c r="AM152">
        <v>92.734060001000699</v>
      </c>
      <c r="AN152">
        <v>0.99999993954038802</v>
      </c>
    </row>
    <row r="153" spans="1:40" x14ac:dyDescent="0.25">
      <c r="A153" t="str">
        <f>"20190304164103690"</f>
        <v>20190304164103690</v>
      </c>
      <c r="B153" t="str">
        <f>"1551688863681116"</f>
        <v>1551688863681116</v>
      </c>
      <c r="C153" t="s">
        <v>40</v>
      </c>
      <c r="D153">
        <v>4.8771170000000001</v>
      </c>
      <c r="E153">
        <v>0.54764009999999996</v>
      </c>
      <c r="F153" t="s">
        <v>41</v>
      </c>
      <c r="G153">
        <v>-471.83109999999999</v>
      </c>
      <c r="H153">
        <v>0.89804759999999995</v>
      </c>
      <c r="I153">
        <v>367.14350000000002</v>
      </c>
      <c r="J153">
        <v>-472.4513</v>
      </c>
      <c r="K153">
        <v>1.108924</v>
      </c>
      <c r="L153">
        <v>367.1617</v>
      </c>
      <c r="M153">
        <v>0.99986730000000001</v>
      </c>
      <c r="N153">
        <v>4.5377949999999997E-4</v>
      </c>
      <c r="O153">
        <v>-1.6279470000000001E-2</v>
      </c>
      <c r="P153">
        <v>0.95662060000000004</v>
      </c>
      <c r="Q153">
        <v>0.28977459999999899</v>
      </c>
      <c r="R153">
        <v>3.0128309999999998E-2</v>
      </c>
      <c r="S153">
        <v>3.462494</v>
      </c>
      <c r="T153">
        <v>-1.069339</v>
      </c>
      <c r="U153">
        <v>-9.6801760000000001E-2</v>
      </c>
      <c r="V153">
        <v>-4.5618249999999999E-2</v>
      </c>
      <c r="W153">
        <v>0.28935339999999998</v>
      </c>
      <c r="X153">
        <v>0.9561347</v>
      </c>
      <c r="Y153">
        <v>1.1877499999999999E-2</v>
      </c>
      <c r="Z153">
        <v>3.1298179999999999E-3</v>
      </c>
      <c r="AA153">
        <v>0.99992449999999999</v>
      </c>
      <c r="AB153">
        <v>10</v>
      </c>
      <c r="AC153">
        <v>0.62020000000001096</v>
      </c>
      <c r="AD153">
        <v>-0.21087639999999999</v>
      </c>
      <c r="AE153">
        <v>-1.81999999999789E-2</v>
      </c>
      <c r="AF153">
        <v>7.2622037687649198E-3</v>
      </c>
      <c r="AG153">
        <v>-0.21087639999999999</v>
      </c>
      <c r="AH153">
        <v>0.556170938087716</v>
      </c>
      <c r="AI153">
        <v>110.762981009141</v>
      </c>
      <c r="AJ153">
        <v>89.251902693802194</v>
      </c>
      <c r="AK153">
        <v>0.59485099651417594</v>
      </c>
      <c r="AL153">
        <v>73.180750832135303</v>
      </c>
      <c r="AM153">
        <v>92.731573951600595</v>
      </c>
      <c r="AN153">
        <v>0.99999998968435599</v>
      </c>
    </row>
    <row r="154" spans="1:40" x14ac:dyDescent="0.25">
      <c r="A154" t="str">
        <f>"20190304164103709"</f>
        <v>20190304164103709</v>
      </c>
      <c r="B154" t="str">
        <f>"1551688863701612"</f>
        <v>1551688863701612</v>
      </c>
      <c r="C154" t="s">
        <v>40</v>
      </c>
      <c r="D154">
        <v>4.862152</v>
      </c>
      <c r="E154">
        <v>0.5478305</v>
      </c>
      <c r="F154" t="s">
        <v>41</v>
      </c>
      <c r="G154">
        <v>-471.74209999999999</v>
      </c>
      <c r="H154">
        <v>0.88986810000000005</v>
      </c>
      <c r="I154">
        <v>367.14139999999998</v>
      </c>
      <c r="J154">
        <v>-472.36919999999998</v>
      </c>
      <c r="K154">
        <v>1.108892</v>
      </c>
      <c r="L154">
        <v>367.16</v>
      </c>
      <c r="M154">
        <v>0.9998631</v>
      </c>
      <c r="N154">
        <v>5.38395E-4</v>
      </c>
      <c r="O154">
        <v>-1.6537799999999998E-2</v>
      </c>
      <c r="P154">
        <v>0.95657000000000003</v>
      </c>
      <c r="Q154">
        <v>0.28998020000000002</v>
      </c>
      <c r="R154">
        <v>2.9758E-2</v>
      </c>
      <c r="S154">
        <v>3.4630740000000002</v>
      </c>
      <c r="T154">
        <v>-1.0694709999999901</v>
      </c>
      <c r="U154">
        <v>-9.7259520000000002E-2</v>
      </c>
      <c r="V154">
        <v>-4.549015E-2</v>
      </c>
      <c r="W154">
        <v>0.28947889999999998</v>
      </c>
      <c r="X154">
        <v>0.95610280000000003</v>
      </c>
      <c r="Y154">
        <v>1.1764419999999999E-2</v>
      </c>
      <c r="Z154">
        <v>3.2266360000000002E-3</v>
      </c>
      <c r="AA154">
        <v>0.99992559999999997</v>
      </c>
      <c r="AB154">
        <v>10</v>
      </c>
      <c r="AC154">
        <v>0.627099999999984</v>
      </c>
      <c r="AD154">
        <v>-0.21902389999999899</v>
      </c>
      <c r="AE154">
        <v>-1.8600000000049001E-2</v>
      </c>
      <c r="AF154">
        <v>7.3328792586324397E-3</v>
      </c>
      <c r="AG154">
        <v>-0.21902389999999899</v>
      </c>
      <c r="AH154">
        <v>0.559170869411174</v>
      </c>
      <c r="AI154">
        <v>111.38831001400899</v>
      </c>
      <c r="AJ154">
        <v>89.248675182736307</v>
      </c>
      <c r="AK154">
        <v>0.60058080312933704</v>
      </c>
      <c r="AL154">
        <v>73.173238476778707</v>
      </c>
      <c r="AM154">
        <v>92.724005769442599</v>
      </c>
      <c r="AN154">
        <v>0.99999997573003596</v>
      </c>
    </row>
    <row r="155" spans="1:40" x14ac:dyDescent="0.25">
      <c r="A155" t="str">
        <f>"20190304164103730"</f>
        <v>20190304164103730</v>
      </c>
      <c r="B155" t="str">
        <f>"1551688863721131"</f>
        <v>1551688863721131</v>
      </c>
      <c r="C155" t="s">
        <v>40</v>
      </c>
      <c r="D155">
        <v>4.8998150000000003</v>
      </c>
      <c r="E155">
        <v>0.54798179999999996</v>
      </c>
      <c r="F155" t="s">
        <v>41</v>
      </c>
      <c r="G155">
        <v>-471.649</v>
      </c>
      <c r="H155">
        <v>0.88629629999999904</v>
      </c>
      <c r="I155">
        <v>367.13839999999999</v>
      </c>
      <c r="J155">
        <v>-472.26339999999999</v>
      </c>
      <c r="K155">
        <v>1.1088499999999999</v>
      </c>
      <c r="L155">
        <v>367.15800000000002</v>
      </c>
      <c r="M155">
        <v>0.99985769999999996</v>
      </c>
      <c r="N155">
        <v>6.5992479999999896E-4</v>
      </c>
      <c r="O155">
        <v>-1.6864810000000001E-2</v>
      </c>
      <c r="P155">
        <v>0.95660520000000004</v>
      </c>
      <c r="Q155">
        <v>0.28988309999999901</v>
      </c>
      <c r="R155">
        <v>2.9570240000000001E-2</v>
      </c>
      <c r="S155">
        <v>3.4639280000000001</v>
      </c>
      <c r="T155">
        <v>-1.0705260000000001</v>
      </c>
      <c r="U155">
        <v>-0.10177609999999999</v>
      </c>
      <c r="V155">
        <v>-4.5612220000000002E-2</v>
      </c>
      <c r="W155">
        <v>0.28926629999999998</v>
      </c>
      <c r="X155">
        <v>0.95616140000000005</v>
      </c>
      <c r="Y155">
        <v>1.2705849999999999E-2</v>
      </c>
      <c r="Z155">
        <v>3.188649E-3</v>
      </c>
      <c r="AA155">
        <v>0.99991419999999998</v>
      </c>
      <c r="AB155">
        <v>10</v>
      </c>
      <c r="AC155">
        <v>0.61439999999998895</v>
      </c>
      <c r="AD155">
        <v>-0.22255369999999999</v>
      </c>
      <c r="AE155">
        <v>-1.9600000000025299E-2</v>
      </c>
      <c r="AF155">
        <v>8.1652043923763993E-3</v>
      </c>
      <c r="AG155">
        <v>-0.22255369999999999</v>
      </c>
      <c r="AH155">
        <v>0.54341422934609496</v>
      </c>
      <c r="AI155">
        <v>112.269140649094</v>
      </c>
      <c r="AJ155">
        <v>89.139152929539605</v>
      </c>
      <c r="AK155">
        <v>0.58727833656816397</v>
      </c>
      <c r="AL155">
        <v>73.185965199314893</v>
      </c>
      <c r="AM155">
        <v>92.731137276802997</v>
      </c>
      <c r="AN155">
        <v>1.0000000448894799</v>
      </c>
    </row>
    <row r="156" spans="1:40" x14ac:dyDescent="0.25">
      <c r="A156" t="str">
        <f>"20190304164103744"</f>
        <v>20190304164103744</v>
      </c>
      <c r="B156" t="str">
        <f>"1551688863731869"</f>
        <v>1551688863731869</v>
      </c>
      <c r="C156" t="s">
        <v>40</v>
      </c>
      <c r="D156">
        <v>4.9094949999999997</v>
      </c>
      <c r="E156">
        <v>0.54805769999999998</v>
      </c>
      <c r="F156" t="s">
        <v>41</v>
      </c>
      <c r="G156">
        <v>-471.55149999999998</v>
      </c>
      <c r="H156">
        <v>0.8883778</v>
      </c>
      <c r="I156">
        <v>367.13659999999999</v>
      </c>
      <c r="J156">
        <v>-472.20030000000003</v>
      </c>
      <c r="K156">
        <v>1.1088169999999999</v>
      </c>
      <c r="L156">
        <v>367.1567</v>
      </c>
      <c r="M156">
        <v>0.99985440000000003</v>
      </c>
      <c r="N156">
        <v>7.3616009999999995E-4</v>
      </c>
      <c r="O156">
        <v>-1.705711E-2</v>
      </c>
      <c r="P156">
        <v>0.95655210000000002</v>
      </c>
      <c r="Q156">
        <v>0.2900798</v>
      </c>
      <c r="R156">
        <v>2.935815E-2</v>
      </c>
      <c r="S156">
        <v>3.4644469999999998</v>
      </c>
      <c r="T156">
        <v>-1.0729930000000001</v>
      </c>
      <c r="U156">
        <v>-0.103241</v>
      </c>
      <c r="V156">
        <v>-4.5581700000000003E-2</v>
      </c>
      <c r="W156">
        <v>0.28938989999999998</v>
      </c>
      <c r="X156">
        <v>0.95612540000000001</v>
      </c>
      <c r="Y156">
        <v>1.2931430000000001E-2</v>
      </c>
      <c r="Z156">
        <v>3.2211729999999999E-3</v>
      </c>
      <c r="AA156">
        <v>0.9999112</v>
      </c>
      <c r="AB156">
        <v>11</v>
      </c>
      <c r="AC156">
        <v>0.648800000000051</v>
      </c>
      <c r="AD156">
        <v>-0.220439199999999</v>
      </c>
      <c r="AE156">
        <v>-2.0100000000013499E-2</v>
      </c>
      <c r="AF156">
        <v>8.0966421293712093E-3</v>
      </c>
      <c r="AG156">
        <v>-0.220439199999999</v>
      </c>
      <c r="AH156">
        <v>0.58193441768272003</v>
      </c>
      <c r="AI156">
        <v>110.74506106848401</v>
      </c>
      <c r="AJ156">
        <v>89.202876686118401</v>
      </c>
      <c r="AK156">
        <v>0.62233966850437705</v>
      </c>
      <c r="AL156">
        <v>73.178566123368</v>
      </c>
      <c r="AM156">
        <v>92.729415193897694</v>
      </c>
      <c r="AN156">
        <v>0.99999999306103005</v>
      </c>
    </row>
    <row r="157" spans="1:40" x14ac:dyDescent="0.25">
      <c r="A157" t="str">
        <f>"20190304164103757"</f>
        <v>20190304164103757</v>
      </c>
      <c r="B157" t="str">
        <f>"1551688863751389"</f>
        <v>1551688863751389</v>
      </c>
      <c r="C157" t="s">
        <v>40</v>
      </c>
      <c r="D157">
        <v>4.9064420000000002</v>
      </c>
      <c r="E157">
        <v>0.54820609999999903</v>
      </c>
      <c r="F157" t="s">
        <v>41</v>
      </c>
      <c r="G157">
        <v>-471.45699999999999</v>
      </c>
      <c r="H157">
        <v>0.87860059999999995</v>
      </c>
      <c r="I157">
        <v>367.1343</v>
      </c>
      <c r="J157">
        <v>-472.13490000000002</v>
      </c>
      <c r="K157">
        <v>1.1087910000000001</v>
      </c>
      <c r="L157">
        <v>367.15530000000001</v>
      </c>
      <c r="M157">
        <v>0.99985089999999999</v>
      </c>
      <c r="N157">
        <v>8.1816110000000001E-4</v>
      </c>
      <c r="O157">
        <v>-1.7253580000000001E-2</v>
      </c>
      <c r="P157">
        <v>0.95649209999999996</v>
      </c>
      <c r="Q157">
        <v>0.29030450000000002</v>
      </c>
      <c r="R157">
        <v>2.9095889999999999E-2</v>
      </c>
      <c r="S157">
        <v>3.4647830000000002</v>
      </c>
      <c r="T157">
        <v>-1.0730120000000001</v>
      </c>
      <c r="U157">
        <v>-0.10409549999999999</v>
      </c>
      <c r="V157">
        <v>-4.5505749999999998E-2</v>
      </c>
      <c r="W157">
        <v>0.28953649999999997</v>
      </c>
      <c r="X157">
        <v>0.95608470000000001</v>
      </c>
      <c r="Y157">
        <v>1.2985709999999999E-2</v>
      </c>
      <c r="Z157">
        <v>3.2742230000000002E-3</v>
      </c>
      <c r="AA157">
        <v>0.99991030000000003</v>
      </c>
      <c r="AB157">
        <v>11</v>
      </c>
      <c r="AC157">
        <v>0.67790000000002204</v>
      </c>
      <c r="AD157">
        <v>-0.23019039999999999</v>
      </c>
      <c r="AE157">
        <v>-2.1000000000015E-2</v>
      </c>
      <c r="AF157">
        <v>8.3399628712754106E-3</v>
      </c>
      <c r="AG157">
        <v>-0.23019039999999999</v>
      </c>
      <c r="AH157">
        <v>0.60811118570330502</v>
      </c>
      <c r="AI157">
        <v>110.73154479375999</v>
      </c>
      <c r="AJ157">
        <v>89.2142642177878</v>
      </c>
      <c r="AK157">
        <v>0.65027408791242403</v>
      </c>
      <c r="AL157">
        <v>73.169791974753494</v>
      </c>
      <c r="AM157">
        <v>92.724990017851496</v>
      </c>
      <c r="AN157">
        <v>1.00000005584469</v>
      </c>
    </row>
    <row r="158" spans="1:40" x14ac:dyDescent="0.25">
      <c r="A158" t="str">
        <f>"20190304164103774"</f>
        <v>20190304164103774</v>
      </c>
      <c r="B158" t="str">
        <f>"1551688863761149"</f>
        <v>1551688863761149</v>
      </c>
      <c r="C158" t="s">
        <v>40</v>
      </c>
      <c r="D158">
        <v>4.9077260000000003</v>
      </c>
      <c r="E158">
        <v>0.54827819999999905</v>
      </c>
      <c r="F158" t="s">
        <v>41</v>
      </c>
      <c r="G158">
        <v>-471.4495</v>
      </c>
      <c r="H158">
        <v>0.89639840000000004</v>
      </c>
      <c r="I158">
        <v>367.1345</v>
      </c>
      <c r="J158">
        <v>-472.04759999999999</v>
      </c>
      <c r="K158">
        <v>1.108762</v>
      </c>
      <c r="L158">
        <v>367.15350000000001</v>
      </c>
      <c r="M158">
        <v>0.99984620000000002</v>
      </c>
      <c r="N158">
        <v>9.2864599999999999E-4</v>
      </c>
      <c r="O158">
        <v>-1.7511700000000002E-2</v>
      </c>
      <c r="P158">
        <v>0.95641339999999997</v>
      </c>
      <c r="Q158">
        <v>0.29059849999999998</v>
      </c>
      <c r="R158">
        <v>2.8743270000000001E-2</v>
      </c>
      <c r="S158">
        <v>3.4656069999999999</v>
      </c>
      <c r="T158">
        <v>-1.0738829999999999</v>
      </c>
      <c r="U158">
        <v>-0.10513309999999999</v>
      </c>
      <c r="V158">
        <v>-4.5397270000000003E-2</v>
      </c>
      <c r="W158">
        <v>0.28972490000000001</v>
      </c>
      <c r="X158">
        <v>0.95603269999999996</v>
      </c>
      <c r="Y158">
        <v>1.303063E-2</v>
      </c>
      <c r="Z158">
        <v>3.3501580000000002E-3</v>
      </c>
      <c r="AA158">
        <v>0.99990950000000001</v>
      </c>
      <c r="AB158">
        <v>11</v>
      </c>
      <c r="AC158">
        <v>0.59809999999998797</v>
      </c>
      <c r="AD158">
        <v>-0.21236360000000001</v>
      </c>
      <c r="AE158">
        <v>-1.9000000000005401E-2</v>
      </c>
      <c r="AF158">
        <v>7.5699506191575098E-3</v>
      </c>
      <c r="AG158">
        <v>-0.21236360000000001</v>
      </c>
      <c r="AH158">
        <v>0.53141316806944505</v>
      </c>
      <c r="AI158">
        <v>111.780659909671</v>
      </c>
      <c r="AJ158">
        <v>89.183880049991899</v>
      </c>
      <c r="AK158">
        <v>0.57232469626510096</v>
      </c>
      <c r="AL158">
        <v>73.158512688191806</v>
      </c>
      <c r="AM158">
        <v>92.718651381458798</v>
      </c>
      <c r="AN158">
        <v>0.99999997663637596</v>
      </c>
    </row>
    <row r="159" spans="1:40" x14ac:dyDescent="0.25">
      <c r="A159" t="str">
        <f>"20190304164103788"</f>
        <v>20190304164103788</v>
      </c>
      <c r="B159" t="str">
        <f>"1551688863781645"</f>
        <v>1551688863781645</v>
      </c>
      <c r="C159" t="s">
        <v>40</v>
      </c>
      <c r="D159">
        <v>4.92523</v>
      </c>
      <c r="E159">
        <v>0.54841499999999999</v>
      </c>
      <c r="F159" t="s">
        <v>41</v>
      </c>
      <c r="G159">
        <v>-471.35019999999997</v>
      </c>
      <c r="H159">
        <v>0.89267039999999998</v>
      </c>
      <c r="I159">
        <v>367.1318</v>
      </c>
      <c r="J159">
        <v>-471.97660000000002</v>
      </c>
      <c r="K159">
        <v>1.108741</v>
      </c>
      <c r="L159">
        <v>367.15199999999999</v>
      </c>
      <c r="M159">
        <v>0.99984249999999997</v>
      </c>
      <c r="N159">
        <v>1.01903E-3</v>
      </c>
      <c r="O159">
        <v>-1.7719269999999999E-2</v>
      </c>
      <c r="P159">
        <v>0.95645230000000003</v>
      </c>
      <c r="Q159">
        <v>0.29048499999999999</v>
      </c>
      <c r="R159">
        <v>2.8592200000000002E-2</v>
      </c>
      <c r="S159">
        <v>3.4661870000000001</v>
      </c>
      <c r="T159">
        <v>-1.073861</v>
      </c>
      <c r="U159">
        <v>-0.10540769999999999</v>
      </c>
      <c r="V159">
        <v>-4.5444819999999997E-2</v>
      </c>
      <c r="W159">
        <v>0.28952509999999998</v>
      </c>
      <c r="X159">
        <v>0.95609100000000002</v>
      </c>
      <c r="Y159">
        <v>1.2913000000000001E-2</v>
      </c>
      <c r="Z159">
        <v>3.432456E-3</v>
      </c>
      <c r="AA159">
        <v>0.99991070000000004</v>
      </c>
      <c r="AB159">
        <v>11</v>
      </c>
      <c r="AC159">
        <v>0.62640000000004603</v>
      </c>
      <c r="AD159">
        <v>-0.2160706</v>
      </c>
      <c r="AE159">
        <v>-2.0199999999988401E-2</v>
      </c>
      <c r="AF159">
        <v>8.1310179072666602E-3</v>
      </c>
      <c r="AG159">
        <v>-0.2160706</v>
      </c>
      <c r="AH159">
        <v>0.56008747533140002</v>
      </c>
      <c r="AI159">
        <v>111.09359457007</v>
      </c>
      <c r="AJ159">
        <v>89.168272269038596</v>
      </c>
      <c r="AK159">
        <v>0.60037538062421403</v>
      </c>
      <c r="AL159">
        <v>73.170473540946801</v>
      </c>
      <c r="AM159">
        <v>92.721328971537801</v>
      </c>
      <c r="AN159">
        <v>1.0000000077379201</v>
      </c>
    </row>
    <row r="160" spans="1:40" x14ac:dyDescent="0.25">
      <c r="A160" t="str">
        <f>"20190304164103800"</f>
        <v>20190304164103800</v>
      </c>
      <c r="B160" t="str">
        <f>"1551688863791404"</f>
        <v>1551688863791404</v>
      </c>
      <c r="C160" t="s">
        <v>40</v>
      </c>
      <c r="D160">
        <v>4.9417780000000002</v>
      </c>
      <c r="E160">
        <v>0.54847309999999905</v>
      </c>
      <c r="F160" t="s">
        <v>41</v>
      </c>
      <c r="G160">
        <v>-471.25119999999998</v>
      </c>
      <c r="H160">
        <v>0.88366219999999995</v>
      </c>
      <c r="I160">
        <v>367.12939999999998</v>
      </c>
      <c r="J160">
        <v>-471.91390000000001</v>
      </c>
      <c r="K160">
        <v>1.1087209999999901</v>
      </c>
      <c r="L160">
        <v>367.15069999999997</v>
      </c>
      <c r="M160">
        <v>0.99983920000000004</v>
      </c>
      <c r="N160">
        <v>1.0988809999999999E-3</v>
      </c>
      <c r="O160">
        <v>-1.7900849999999999E-2</v>
      </c>
      <c r="P160">
        <v>0.95646909999999896</v>
      </c>
      <c r="Q160">
        <v>0.29041650000000002</v>
      </c>
      <c r="R160">
        <v>2.873034E-2</v>
      </c>
      <c r="S160">
        <v>3.4664000000000001</v>
      </c>
      <c r="T160">
        <v>-1.0755570000000001</v>
      </c>
      <c r="U160">
        <v>-0.10720830000000001</v>
      </c>
      <c r="V160">
        <v>-4.575692E-2</v>
      </c>
      <c r="W160">
        <v>0.28938039999999998</v>
      </c>
      <c r="X160">
        <v>0.95611999999999997</v>
      </c>
      <c r="Y160">
        <v>1.3242840000000001E-2</v>
      </c>
      <c r="Z160">
        <v>3.4446889999999999E-3</v>
      </c>
      <c r="AA160">
        <v>0.99990639999999997</v>
      </c>
      <c r="AB160">
        <v>11</v>
      </c>
      <c r="AC160">
        <v>0.66270000000002904</v>
      </c>
      <c r="AD160">
        <v>-0.225058799999999</v>
      </c>
      <c r="AE160">
        <v>-2.1299999999996499E-2</v>
      </c>
      <c r="AF160">
        <v>8.4590734871302607E-3</v>
      </c>
      <c r="AG160">
        <v>-0.225058799999999</v>
      </c>
      <c r="AH160">
        <v>0.59448178622438297</v>
      </c>
      <c r="AI160">
        <v>110.73373343009899</v>
      </c>
      <c r="AJ160">
        <v>89.1847748514855</v>
      </c>
      <c r="AK160">
        <v>0.63571346810826201</v>
      </c>
      <c r="AL160">
        <v>73.179136321988693</v>
      </c>
      <c r="AM160">
        <v>92.739906795523197</v>
      </c>
      <c r="AN160">
        <v>1.0000000830160101</v>
      </c>
    </row>
    <row r="161" spans="1:40" x14ac:dyDescent="0.25">
      <c r="A161" t="str">
        <f>"20190304164103821"</f>
        <v>20190304164103821</v>
      </c>
      <c r="B161" t="str">
        <f>"1551688863811901"</f>
        <v>1551688863811901</v>
      </c>
      <c r="C161" t="s">
        <v>40</v>
      </c>
      <c r="D161">
        <v>5.0930119999999999</v>
      </c>
      <c r="E161">
        <v>0.54860779999999998</v>
      </c>
      <c r="F161" t="s">
        <v>41</v>
      </c>
      <c r="G161">
        <v>-471.24400000000003</v>
      </c>
      <c r="H161">
        <v>0.90066970000000002</v>
      </c>
      <c r="I161">
        <v>367.12959999999998</v>
      </c>
      <c r="J161">
        <v>-471.80689999999998</v>
      </c>
      <c r="K161">
        <v>1.108692</v>
      </c>
      <c r="L161">
        <v>367.14850000000001</v>
      </c>
      <c r="M161">
        <v>0.99983359999999999</v>
      </c>
      <c r="N161">
        <v>1.2337660000000001E-3</v>
      </c>
      <c r="O161">
        <v>-1.8207640000000001E-2</v>
      </c>
      <c r="P161">
        <v>0.95629730000000002</v>
      </c>
      <c r="Q161">
        <v>0.29097060000000002</v>
      </c>
      <c r="R161">
        <v>2.8846030000000002E-2</v>
      </c>
      <c r="S161">
        <v>3.4666440000000001</v>
      </c>
      <c r="T161">
        <v>-1.0764910000000001</v>
      </c>
      <c r="U161">
        <v>-0.1083679</v>
      </c>
      <c r="V161">
        <v>-4.6161929999999997E-2</v>
      </c>
      <c r="W161">
        <v>0.28980620000000001</v>
      </c>
      <c r="X161">
        <v>0.95597149999999997</v>
      </c>
      <c r="Y161">
        <v>1.328209E-2</v>
      </c>
      <c r="Z161">
        <v>3.538013E-3</v>
      </c>
      <c r="AA161">
        <v>0.9999055</v>
      </c>
      <c r="AB161">
        <v>11</v>
      </c>
      <c r="AC161">
        <v>0.56289999999995599</v>
      </c>
      <c r="AD161">
        <v>-0.20802229999999999</v>
      </c>
      <c r="AE161">
        <v>-1.89000000000305E-2</v>
      </c>
      <c r="AF161">
        <v>7.6096900880108101E-3</v>
      </c>
      <c r="AG161">
        <v>-0.20802229999999999</v>
      </c>
      <c r="AH161">
        <v>0.49554951565472599</v>
      </c>
      <c r="AI161">
        <v>112.76933090912</v>
      </c>
      <c r="AJ161">
        <v>89.1202314896682</v>
      </c>
      <c r="AK161">
        <v>0.53749465778383199</v>
      </c>
      <c r="AL161">
        <v>73.153646716799201</v>
      </c>
      <c r="AM161">
        <v>92.764549902646706</v>
      </c>
      <c r="AN161">
        <v>1.0000000330759999</v>
      </c>
    </row>
    <row r="162" spans="1:40" x14ac:dyDescent="0.25">
      <c r="A162" t="str">
        <f>"20190304164103841"</f>
        <v>20190304164103841</v>
      </c>
      <c r="B162" t="str">
        <f>"1551688863831420"</f>
        <v>1551688863831420</v>
      </c>
      <c r="C162" t="s">
        <v>40</v>
      </c>
      <c r="D162">
        <v>4.960051</v>
      </c>
      <c r="E162">
        <v>0.54874750000000005</v>
      </c>
      <c r="F162" t="s">
        <v>41</v>
      </c>
      <c r="G162">
        <v>-471.13869999999997</v>
      </c>
      <c r="H162">
        <v>0.90138759999999996</v>
      </c>
      <c r="I162">
        <v>367.1268</v>
      </c>
      <c r="J162">
        <v>-471.69850000000002</v>
      </c>
      <c r="K162">
        <v>1.1086670000000001</v>
      </c>
      <c r="L162">
        <v>367.14609999999999</v>
      </c>
      <c r="M162">
        <v>0.99982769999999999</v>
      </c>
      <c r="N162">
        <v>1.3679569999999999E-3</v>
      </c>
      <c r="O162">
        <v>-1.851562E-2</v>
      </c>
      <c r="P162">
        <v>0.95615070000000002</v>
      </c>
      <c r="Q162">
        <v>0.29140690000000002</v>
      </c>
      <c r="R162">
        <v>2.9290320000000002E-2</v>
      </c>
      <c r="S162">
        <v>3.4677120000000001</v>
      </c>
      <c r="T162">
        <v>-1.07555499999999</v>
      </c>
      <c r="U162">
        <v>-0.1104126</v>
      </c>
      <c r="V162">
        <v>-4.6896720000000003E-2</v>
      </c>
      <c r="W162">
        <v>0.2901147</v>
      </c>
      <c r="X162">
        <v>0.95584210000000003</v>
      </c>
      <c r="Y162">
        <v>1.355572E-2</v>
      </c>
      <c r="Z162">
        <v>3.5897680000000001E-3</v>
      </c>
      <c r="AA162">
        <v>0.9999017</v>
      </c>
      <c r="AB162">
        <v>12</v>
      </c>
      <c r="AC162">
        <v>0.55980000000005203</v>
      </c>
      <c r="AD162">
        <v>-0.207279399999999</v>
      </c>
      <c r="AE162">
        <v>-1.9299999999986901E-2</v>
      </c>
      <c r="AF162">
        <v>7.8558566537041997E-3</v>
      </c>
      <c r="AG162">
        <v>-0.207279399999999</v>
      </c>
      <c r="AH162">
        <v>0.49260413478930498</v>
      </c>
      <c r="AI162">
        <v>112.817921881026</v>
      </c>
      <c r="AJ162">
        <v>89.086346933114498</v>
      </c>
      <c r="AK162">
        <v>0.53449536738838399</v>
      </c>
      <c r="AL162">
        <v>73.135176599081404</v>
      </c>
      <c r="AM162">
        <v>92.808864768942598</v>
      </c>
      <c r="AN162">
        <v>0.99999998081762898</v>
      </c>
    </row>
    <row r="163" spans="1:40" x14ac:dyDescent="0.25">
      <c r="A163" t="str">
        <f>"20190304164103854"</f>
        <v>20190304164103854</v>
      </c>
      <c r="B163" t="str">
        <f>"1551688863841181"</f>
        <v>1551688863841181</v>
      </c>
      <c r="C163" t="s">
        <v>40</v>
      </c>
      <c r="D163">
        <v>4.9648059999999896</v>
      </c>
      <c r="E163">
        <v>0.54880859999999998</v>
      </c>
      <c r="F163" t="s">
        <v>41</v>
      </c>
      <c r="G163">
        <v>-471.03129999999999</v>
      </c>
      <c r="H163">
        <v>0.90188409999999997</v>
      </c>
      <c r="I163">
        <v>367.12470000000002</v>
      </c>
      <c r="J163">
        <v>-471.62720000000002</v>
      </c>
      <c r="K163">
        <v>1.1086469999999999</v>
      </c>
      <c r="L163">
        <v>367.14460000000003</v>
      </c>
      <c r="M163">
        <v>0.99982389999999999</v>
      </c>
      <c r="N163">
        <v>1.453979E-3</v>
      </c>
      <c r="O163">
        <v>-1.8717480000000002E-2</v>
      </c>
      <c r="P163">
        <v>0.95599719999999999</v>
      </c>
      <c r="Q163">
        <v>0.29192010000000002</v>
      </c>
      <c r="R163">
        <v>2.9194830000000001E-2</v>
      </c>
      <c r="S163">
        <v>3.468658</v>
      </c>
      <c r="T163">
        <v>-1.0750690000000001</v>
      </c>
      <c r="U163">
        <v>-0.1112366</v>
      </c>
      <c r="V163">
        <v>-4.69901E-2</v>
      </c>
      <c r="W163">
        <v>0.29054629999999998</v>
      </c>
      <c r="X163">
        <v>0.95570639999999996</v>
      </c>
      <c r="Y163">
        <v>1.3590700000000001E-2</v>
      </c>
      <c r="Z163">
        <v>3.6455620000000002E-3</v>
      </c>
      <c r="AA163">
        <v>0.99990100000000004</v>
      </c>
      <c r="AB163">
        <v>12</v>
      </c>
      <c r="AC163">
        <v>0.59590000000002796</v>
      </c>
      <c r="AD163">
        <v>-0.206762899999999</v>
      </c>
      <c r="AE163">
        <v>-1.9900000000006898E-2</v>
      </c>
      <c r="AF163">
        <v>7.8042346936944397E-3</v>
      </c>
      <c r="AG163">
        <v>-0.206762899999999</v>
      </c>
      <c r="AH163">
        <v>0.53217028761765695</v>
      </c>
      <c r="AI163">
        <v>111.23044804129</v>
      </c>
      <c r="AJ163">
        <v>89.159822203225005</v>
      </c>
      <c r="AK163">
        <v>0.57097899954256104</v>
      </c>
      <c r="AL163">
        <v>73.109334489085796</v>
      </c>
      <c r="AM163">
        <v>92.814847730684804</v>
      </c>
      <c r="AN163">
        <v>0.99999997247132899</v>
      </c>
    </row>
    <row r="164" spans="1:40" x14ac:dyDescent="0.25">
      <c r="A164" t="str">
        <f>"20190304164103867"</f>
        <v>20190304164103867</v>
      </c>
      <c r="B164" t="str">
        <f>"1551688863861677"</f>
        <v>1551688863861677</v>
      </c>
      <c r="C164" t="s">
        <v>40</v>
      </c>
      <c r="D164">
        <v>4.9863</v>
      </c>
      <c r="E164">
        <v>0.54892469999999904</v>
      </c>
      <c r="F164" t="s">
        <v>41</v>
      </c>
      <c r="G164">
        <v>-470.92630000000003</v>
      </c>
      <c r="H164">
        <v>0.89170400000000005</v>
      </c>
      <c r="I164">
        <v>367.1216</v>
      </c>
      <c r="J164">
        <v>-471.55619999999999</v>
      </c>
      <c r="K164">
        <v>1.1086290000000001</v>
      </c>
      <c r="L164">
        <v>367.14299999999997</v>
      </c>
      <c r="M164">
        <v>0.99982000000000004</v>
      </c>
      <c r="N164">
        <v>1.5383129999999999E-3</v>
      </c>
      <c r="O164">
        <v>-1.8917799999999999E-2</v>
      </c>
      <c r="P164">
        <v>0.95598669999999997</v>
      </c>
      <c r="Q164">
        <v>0.29192800000000002</v>
      </c>
      <c r="R164">
        <v>2.945973E-2</v>
      </c>
      <c r="S164">
        <v>3.46936</v>
      </c>
      <c r="T164">
        <v>-1.0737380000000001</v>
      </c>
      <c r="U164">
        <v>-0.1124878</v>
      </c>
      <c r="V164">
        <v>-4.7445540000000001E-2</v>
      </c>
      <c r="W164">
        <v>0.2904738</v>
      </c>
      <c r="X164">
        <v>0.95570600000000006</v>
      </c>
      <c r="Y164">
        <v>1.3746299999999999E-2</v>
      </c>
      <c r="Z164">
        <v>3.680151E-3</v>
      </c>
      <c r="AA164">
        <v>0.99989870000000003</v>
      </c>
      <c r="AB164">
        <v>12</v>
      </c>
      <c r="AC164">
        <v>0.62989999999996305</v>
      </c>
      <c r="AD164">
        <v>-0.21692500000000001</v>
      </c>
      <c r="AE164">
        <v>-2.1400000000028199E-2</v>
      </c>
      <c r="AF164">
        <v>8.4757863976529704E-3</v>
      </c>
      <c r="AG164">
        <v>-0.21692500000000001</v>
      </c>
      <c r="AH164">
        <v>0.563445818454122</v>
      </c>
      <c r="AI164">
        <v>111.054387078037</v>
      </c>
      <c r="AJ164">
        <v>89.138177713462895</v>
      </c>
      <c r="AK164">
        <v>0.60382073905546996</v>
      </c>
      <c r="AL164">
        <v>73.113676713884999</v>
      </c>
      <c r="AM164">
        <v>92.842086621986496</v>
      </c>
      <c r="AN164">
        <v>1.0000000330941601</v>
      </c>
    </row>
    <row r="165" spans="1:40" x14ac:dyDescent="0.25">
      <c r="A165" t="str">
        <f>"20190304164103879"</f>
        <v>20190304164103879</v>
      </c>
      <c r="B165" t="str">
        <f>"1551688863871436"</f>
        <v>1551688863871436</v>
      </c>
      <c r="C165" t="s">
        <v>40</v>
      </c>
      <c r="D165">
        <v>4.980086</v>
      </c>
      <c r="E165">
        <v>0.548987</v>
      </c>
      <c r="F165" t="s">
        <v>41</v>
      </c>
      <c r="G165">
        <v>-470.81950000000001</v>
      </c>
      <c r="H165">
        <v>0.88038869999999902</v>
      </c>
      <c r="I165">
        <v>367.11900000000003</v>
      </c>
      <c r="J165">
        <v>-471.4864</v>
      </c>
      <c r="K165">
        <v>1.1086100000000001</v>
      </c>
      <c r="L165">
        <v>367.14150000000001</v>
      </c>
      <c r="M165">
        <v>0.99981609999999999</v>
      </c>
      <c r="N165">
        <v>1.61981E-3</v>
      </c>
      <c r="O165">
        <v>-1.9114780000000001E-2</v>
      </c>
      <c r="P165">
        <v>0.95593919999999999</v>
      </c>
      <c r="Q165">
        <v>0.29204639999999998</v>
      </c>
      <c r="R165">
        <v>2.9822439999999999E-2</v>
      </c>
      <c r="S165">
        <v>3.4698790000000002</v>
      </c>
      <c r="T165">
        <v>-1.074935</v>
      </c>
      <c r="U165">
        <v>-0.1122437</v>
      </c>
      <c r="V165">
        <v>-4.7994050000000003E-2</v>
      </c>
      <c r="W165">
        <v>0.29051440000000001</v>
      </c>
      <c r="X165">
        <v>0.95566620000000002</v>
      </c>
      <c r="Y165">
        <v>1.349626E-2</v>
      </c>
      <c r="Z165">
        <v>3.783121E-3</v>
      </c>
      <c r="AA165">
        <v>0.99990179999999995</v>
      </c>
      <c r="AB165">
        <v>12</v>
      </c>
      <c r="AC165">
        <v>0.66689999999999805</v>
      </c>
      <c r="AD165">
        <v>-0.22822129999999999</v>
      </c>
      <c r="AE165">
        <v>-2.2499999999979502E-2</v>
      </c>
      <c r="AF165">
        <v>8.7273378471708907E-3</v>
      </c>
      <c r="AG165">
        <v>-0.22822129999999999</v>
      </c>
      <c r="AH165">
        <v>0.59733443100545403</v>
      </c>
      <c r="AI165">
        <v>110.908128565369</v>
      </c>
      <c r="AJ165">
        <v>89.162941188112399</v>
      </c>
      <c r="AK165">
        <v>0.63950727178367395</v>
      </c>
      <c r="AL165">
        <v>73.111244497399596</v>
      </c>
      <c r="AM165">
        <v>92.8750082342642</v>
      </c>
      <c r="AN165">
        <v>0.99999996563259996</v>
      </c>
    </row>
    <row r="166" spans="1:40" x14ac:dyDescent="0.25">
      <c r="A166" t="str">
        <f>"20190304164103898"</f>
        <v>20190304164103898</v>
      </c>
      <c r="B166" t="str">
        <f>"1551688863891932"</f>
        <v>1551688863891932</v>
      </c>
      <c r="C166" t="s">
        <v>40</v>
      </c>
      <c r="D166">
        <v>5.0512439999999996</v>
      </c>
      <c r="E166">
        <v>0.54910079999999994</v>
      </c>
      <c r="F166" t="s">
        <v>41</v>
      </c>
      <c r="G166">
        <v>-470.81150000000002</v>
      </c>
      <c r="H166">
        <v>0.899553099999999</v>
      </c>
      <c r="I166">
        <v>367.11959999999999</v>
      </c>
      <c r="J166">
        <v>-471.37849999999997</v>
      </c>
      <c r="K166">
        <v>1.1085799999999999</v>
      </c>
      <c r="L166">
        <v>367.13909999999998</v>
      </c>
      <c r="M166">
        <v>0.99980990000000003</v>
      </c>
      <c r="N166">
        <v>1.741437E-3</v>
      </c>
      <c r="O166">
        <v>-1.941884E-2</v>
      </c>
      <c r="P166">
        <v>0.95593110000000003</v>
      </c>
      <c r="Q166">
        <v>0.29202410000000001</v>
      </c>
      <c r="R166">
        <v>3.0292929999999999E-2</v>
      </c>
      <c r="S166">
        <v>3.4701230000000001</v>
      </c>
      <c r="T166">
        <v>-1.0747990000000001</v>
      </c>
      <c r="U166">
        <v>-0.1115112</v>
      </c>
      <c r="V166">
        <v>-4.8752160000000003E-2</v>
      </c>
      <c r="W166">
        <v>0.2903771</v>
      </c>
      <c r="X166">
        <v>0.95566960000000001</v>
      </c>
      <c r="Y166">
        <v>1.301663E-2</v>
      </c>
      <c r="Z166">
        <v>3.9501650000000003E-3</v>
      </c>
      <c r="AA166">
        <v>0.99990749999999995</v>
      </c>
      <c r="AB166">
        <v>12</v>
      </c>
      <c r="AC166">
        <v>0.56699999999994999</v>
      </c>
      <c r="AD166">
        <v>-0.20902689999999999</v>
      </c>
      <c r="AE166">
        <v>-1.9499999999993599E-2</v>
      </c>
      <c r="AF166">
        <v>7.4715903675077302E-3</v>
      </c>
      <c r="AG166">
        <v>-0.20902689999999999</v>
      </c>
      <c r="AH166">
        <v>0.49947091241331498</v>
      </c>
      <c r="AI166">
        <v>112.706863806611</v>
      </c>
      <c r="AJ166">
        <v>89.142975784181004</v>
      </c>
      <c r="AK166">
        <v>0.54149724092853802</v>
      </c>
      <c r="AL166">
        <v>73.119466359487006</v>
      </c>
      <c r="AM166">
        <v>92.920333249535702</v>
      </c>
      <c r="AN166">
        <v>1.0000000088366101</v>
      </c>
    </row>
    <row r="167" spans="1:40" x14ac:dyDescent="0.25">
      <c r="A167" t="str">
        <f>"20190304164103913"</f>
        <v>20190304164103913</v>
      </c>
      <c r="B167" t="str">
        <f>"1551688863901695"</f>
        <v>1551688863901695</v>
      </c>
      <c r="C167" t="s">
        <v>40</v>
      </c>
      <c r="D167">
        <v>4.991034</v>
      </c>
      <c r="E167">
        <v>0.54913869999999998</v>
      </c>
      <c r="F167" t="s">
        <v>41</v>
      </c>
      <c r="G167">
        <v>-470.69850000000002</v>
      </c>
      <c r="H167">
        <v>0.89771080000000003</v>
      </c>
      <c r="I167">
        <v>367.11689999999999</v>
      </c>
      <c r="J167">
        <v>-471.29880000000003</v>
      </c>
      <c r="K167">
        <v>1.108555</v>
      </c>
      <c r="L167">
        <v>367.13729999999998</v>
      </c>
      <c r="M167">
        <v>0.99980619999999998</v>
      </c>
      <c r="N167">
        <v>1.844577E-3</v>
      </c>
      <c r="O167">
        <v>-1.9603200000000001E-2</v>
      </c>
      <c r="P167">
        <v>0.95597949999999998</v>
      </c>
      <c r="Q167">
        <v>0.29185749999999999</v>
      </c>
      <c r="R167">
        <v>3.037171E-2</v>
      </c>
      <c r="S167">
        <v>3.4705810000000001</v>
      </c>
      <c r="T167">
        <v>-1.076111</v>
      </c>
      <c r="U167">
        <v>-0.11074829999999999</v>
      </c>
      <c r="V167">
        <v>-4.9004619999999999E-2</v>
      </c>
      <c r="W167">
        <v>0.29011239999999999</v>
      </c>
      <c r="X167">
        <v>0.95573710000000001</v>
      </c>
      <c r="Y167">
        <v>1.2636390000000001E-2</v>
      </c>
      <c r="Z167">
        <v>4.0702619999999998E-3</v>
      </c>
      <c r="AA167">
        <v>0.99991180000000002</v>
      </c>
      <c r="AB167">
        <v>12</v>
      </c>
      <c r="AC167">
        <v>0.60030000000000405</v>
      </c>
      <c r="AD167">
        <v>-0.21084419999999901</v>
      </c>
      <c r="AE167">
        <v>-2.0399999999994999E-2</v>
      </c>
      <c r="AF167">
        <v>7.6817102281387297E-3</v>
      </c>
      <c r="AG167">
        <v>-0.21084419999999901</v>
      </c>
      <c r="AH167">
        <v>0.53469838333414499</v>
      </c>
      <c r="AI167">
        <v>111.51847121409401</v>
      </c>
      <c r="AJ167">
        <v>89.176920460440897</v>
      </c>
      <c r="AK167">
        <v>0.57481879447858797</v>
      </c>
      <c r="AL167">
        <v>73.135315170954797</v>
      </c>
      <c r="AM167">
        <v>92.9352226753889</v>
      </c>
      <c r="AN167">
        <v>1.00000003086575</v>
      </c>
    </row>
    <row r="168" spans="1:40" x14ac:dyDescent="0.25">
      <c r="A168" t="str">
        <f>"20190304164103932"</f>
        <v>20190304164103932</v>
      </c>
      <c r="B168" t="str">
        <f>"1551688863921212"</f>
        <v>1551688863921212</v>
      </c>
      <c r="C168" t="s">
        <v>40</v>
      </c>
      <c r="D168">
        <v>4.9902629999999997</v>
      </c>
      <c r="E168">
        <v>0.54922490000000002</v>
      </c>
      <c r="F168" t="s">
        <v>41</v>
      </c>
      <c r="G168">
        <v>-470.58690000000001</v>
      </c>
      <c r="H168">
        <v>0.88746700000000001</v>
      </c>
      <c r="I168">
        <v>367.11430000000001</v>
      </c>
      <c r="J168">
        <v>-471.18400000000003</v>
      </c>
      <c r="K168">
        <v>1.108536</v>
      </c>
      <c r="L168">
        <v>367.13470000000001</v>
      </c>
      <c r="M168">
        <v>0.99980029999999998</v>
      </c>
      <c r="N168">
        <v>1.9509219999999999E-3</v>
      </c>
      <c r="O168">
        <v>-1.9887169999999999E-2</v>
      </c>
      <c r="P168">
        <v>0.95597659999999995</v>
      </c>
      <c r="Q168">
        <v>0.2918173</v>
      </c>
      <c r="R168">
        <v>3.0842100000000001E-2</v>
      </c>
      <c r="S168">
        <v>3.4706419999999998</v>
      </c>
      <c r="T168">
        <v>-1.0775619999999999</v>
      </c>
      <c r="U168">
        <v>-0.1108093</v>
      </c>
      <c r="V168">
        <v>-4.976386E-2</v>
      </c>
      <c r="W168">
        <v>0.28996769999999999</v>
      </c>
      <c r="X168">
        <v>0.95574179999999997</v>
      </c>
      <c r="Y168">
        <v>1.239586E-2</v>
      </c>
      <c r="Z168">
        <v>4.2009609999999996E-3</v>
      </c>
      <c r="AA168">
        <v>0.99991430000000003</v>
      </c>
      <c r="AB168">
        <v>13</v>
      </c>
      <c r="AC168">
        <v>0.59710000000001096</v>
      </c>
      <c r="AD168">
        <v>-0.22106899999999999</v>
      </c>
      <c r="AE168">
        <v>-2.0399999999994999E-2</v>
      </c>
      <c r="AF168">
        <v>7.4951110561434497E-3</v>
      </c>
      <c r="AG168">
        <v>-0.22106899999999999</v>
      </c>
      <c r="AH168">
        <v>0.52544558502663097</v>
      </c>
      <c r="AI168">
        <v>112.815707881591</v>
      </c>
      <c r="AJ168">
        <v>89.182771498437205</v>
      </c>
      <c r="AK168">
        <v>0.57010590443769504</v>
      </c>
      <c r="AL168">
        <v>73.1439785637493</v>
      </c>
      <c r="AM168">
        <v>92.980602755126199</v>
      </c>
      <c r="AN168">
        <v>1.0000000485363101</v>
      </c>
    </row>
    <row r="169" spans="1:40" x14ac:dyDescent="0.25">
      <c r="A169" t="str">
        <f>"20190304164103945"</f>
        <v>20190304164103945</v>
      </c>
      <c r="B169" t="str">
        <f>"1551688863931948"</f>
        <v>1551688863931948</v>
      </c>
      <c r="C169" t="s">
        <v>40</v>
      </c>
      <c r="D169">
        <v>5.1415600000000001</v>
      </c>
      <c r="E169">
        <v>0.54927839999999994</v>
      </c>
      <c r="F169" t="s">
        <v>41</v>
      </c>
      <c r="G169">
        <v>-470.4692</v>
      </c>
      <c r="H169">
        <v>0.88631340000000003</v>
      </c>
      <c r="I169">
        <v>367.11169999999998</v>
      </c>
      <c r="J169">
        <v>-471.10849999999999</v>
      </c>
      <c r="K169">
        <v>1.108536</v>
      </c>
      <c r="L169">
        <v>367.13290000000001</v>
      </c>
      <c r="M169">
        <v>0.99979589999999996</v>
      </c>
      <c r="N169">
        <v>1.9894240000000001E-3</v>
      </c>
      <c r="O169">
        <v>-2.011021E-2</v>
      </c>
      <c r="P169">
        <v>0.95602980000000004</v>
      </c>
      <c r="Q169">
        <v>0.29166900000000001</v>
      </c>
      <c r="R169">
        <v>3.060102E-2</v>
      </c>
      <c r="S169">
        <v>3.471069</v>
      </c>
      <c r="T169">
        <v>-1.079018</v>
      </c>
      <c r="U169">
        <v>-0.1096497</v>
      </c>
      <c r="V169">
        <v>-4.9767310000000002E-2</v>
      </c>
      <c r="W169">
        <v>0.28977740000000002</v>
      </c>
      <c r="X169">
        <v>0.95579930000000002</v>
      </c>
      <c r="Y169">
        <v>1.187151E-2</v>
      </c>
      <c r="Z169">
        <v>4.3540460000000003E-3</v>
      </c>
      <c r="AA169">
        <v>0.99992009999999998</v>
      </c>
      <c r="AB169">
        <v>13</v>
      </c>
      <c r="AC169">
        <v>0.63929999999999099</v>
      </c>
      <c r="AD169">
        <v>-0.22222259999999899</v>
      </c>
      <c r="AE169">
        <v>-2.1200000000021601E-2</v>
      </c>
      <c r="AF169">
        <v>7.4411240312165696E-3</v>
      </c>
      <c r="AG169">
        <v>-0.22222259999999899</v>
      </c>
      <c r="AH169">
        <v>0.570714583723957</v>
      </c>
      <c r="AI169">
        <v>111.273101446998</v>
      </c>
      <c r="AJ169">
        <v>89.253005166789507</v>
      </c>
      <c r="AK169">
        <v>0.61249766558968799</v>
      </c>
      <c r="AL169">
        <v>73.155370490899301</v>
      </c>
      <c r="AM169">
        <v>92.980630020639694</v>
      </c>
      <c r="AN169">
        <v>1.0000000142879399</v>
      </c>
    </row>
    <row r="170" spans="1:40" x14ac:dyDescent="0.25">
      <c r="A170" t="str">
        <f>"20190304164103959"</f>
        <v>20190304164103959</v>
      </c>
      <c r="B170" t="str">
        <f>"1551688863951469"</f>
        <v>1551688863951469</v>
      </c>
      <c r="C170" t="s">
        <v>40</v>
      </c>
      <c r="D170">
        <v>5.0829089999999999</v>
      </c>
      <c r="E170">
        <v>0.54934689999999997</v>
      </c>
      <c r="F170" t="s">
        <v>41</v>
      </c>
      <c r="G170">
        <v>-470.35419999999999</v>
      </c>
      <c r="H170">
        <v>0.87379419999999897</v>
      </c>
      <c r="I170">
        <v>367.10829999999999</v>
      </c>
      <c r="J170">
        <v>-471.02249999999998</v>
      </c>
      <c r="K170">
        <v>1.108568</v>
      </c>
      <c r="L170">
        <v>367.13080000000002</v>
      </c>
      <c r="M170">
        <v>0.99978940000000005</v>
      </c>
      <c r="N170">
        <v>2.022884E-3</v>
      </c>
      <c r="O170">
        <v>-2.0421080000000001E-2</v>
      </c>
      <c r="P170">
        <v>0.95595289999999999</v>
      </c>
      <c r="Q170">
        <v>0.29189989999999999</v>
      </c>
      <c r="R170">
        <v>3.0796899999999999E-2</v>
      </c>
      <c r="S170">
        <v>3.4710390000000002</v>
      </c>
      <c r="T170">
        <v>-1.0799540000000001</v>
      </c>
      <c r="U170">
        <v>-0.11138919999999999</v>
      </c>
      <c r="V170">
        <v>-5.0312099999999998E-2</v>
      </c>
      <c r="W170">
        <v>0.28996729999999998</v>
      </c>
      <c r="X170">
        <v>0.95571320000000004</v>
      </c>
      <c r="Y170">
        <v>1.206807E-2</v>
      </c>
      <c r="Z170">
        <v>4.423855E-3</v>
      </c>
      <c r="AA170">
        <v>0.99991739999999996</v>
      </c>
      <c r="AB170">
        <v>13</v>
      </c>
      <c r="AC170">
        <v>0.66829999999998702</v>
      </c>
      <c r="AD170">
        <v>-0.2347738</v>
      </c>
      <c r="AE170">
        <v>-2.25000000000363E-2</v>
      </c>
      <c r="AF170">
        <v>7.8768742154996501E-3</v>
      </c>
      <c r="AG170">
        <v>-0.2347738</v>
      </c>
      <c r="AH170">
        <v>0.59524329786410002</v>
      </c>
      <c r="AI170">
        <v>111.523384041207</v>
      </c>
      <c r="AJ170">
        <v>89.241847309908906</v>
      </c>
      <c r="AK170">
        <v>0.63991824943970499</v>
      </c>
      <c r="AL170">
        <v>73.144002216296002</v>
      </c>
      <c r="AM170">
        <v>93.013469369684103</v>
      </c>
      <c r="AN170">
        <v>1.00000003156496</v>
      </c>
    </row>
    <row r="171" spans="1:40" x14ac:dyDescent="0.25">
      <c r="A171" t="str">
        <f>"20190304164103975"</f>
        <v>20190304164103975</v>
      </c>
      <c r="B171" t="str">
        <f>"1551688863961228"</f>
        <v>1551688863961228</v>
      </c>
      <c r="C171" t="s">
        <v>40</v>
      </c>
      <c r="D171">
        <v>5.0331089999999996</v>
      </c>
      <c r="E171">
        <v>0.54937559999999996</v>
      </c>
      <c r="F171" t="s">
        <v>41</v>
      </c>
      <c r="G171">
        <v>-470.3442</v>
      </c>
      <c r="H171">
        <v>0.89742369999999905</v>
      </c>
      <c r="I171">
        <v>367.10860000000002</v>
      </c>
      <c r="J171">
        <v>-470.92360000000002</v>
      </c>
      <c r="K171">
        <v>1.1085719999999999</v>
      </c>
      <c r="L171">
        <v>367.1284</v>
      </c>
      <c r="M171">
        <v>0.99978180000000005</v>
      </c>
      <c r="N171">
        <v>2.0699709999999999E-3</v>
      </c>
      <c r="O171">
        <v>-2.0787480000000001E-2</v>
      </c>
      <c r="P171">
        <v>0.95585969999999998</v>
      </c>
      <c r="Q171">
        <v>0.2922399</v>
      </c>
      <c r="R171">
        <v>3.0464310000000001E-2</v>
      </c>
      <c r="S171">
        <v>3.4717410000000002</v>
      </c>
      <c r="T171">
        <v>-1.080425</v>
      </c>
      <c r="U171">
        <v>-0.111419699999999</v>
      </c>
      <c r="V171">
        <v>-5.0367210000000003E-2</v>
      </c>
      <c r="W171">
        <v>0.29025570000000001</v>
      </c>
      <c r="X171">
        <v>0.95562270000000005</v>
      </c>
      <c r="Y171">
        <v>1.173752E-2</v>
      </c>
      <c r="Z171">
        <v>4.5880130000000002E-3</v>
      </c>
      <c r="AA171">
        <v>0.99992060000000005</v>
      </c>
      <c r="AB171">
        <v>13</v>
      </c>
      <c r="AC171">
        <v>0.57940000000002101</v>
      </c>
      <c r="AD171">
        <v>-0.21114830000000001</v>
      </c>
      <c r="AE171">
        <v>-1.9799999999975101E-2</v>
      </c>
      <c r="AF171">
        <v>6.84361598062601E-3</v>
      </c>
      <c r="AG171">
        <v>-0.21114830000000001</v>
      </c>
      <c r="AH171">
        <v>0.51179601708783495</v>
      </c>
      <c r="AI171">
        <v>112.41744557351301</v>
      </c>
      <c r="AJ171">
        <v>89.233899969119904</v>
      </c>
      <c r="AK171">
        <v>0.55368366670830405</v>
      </c>
      <c r="AL171">
        <v>73.126734730696796</v>
      </c>
      <c r="AM171">
        <v>93.017049285645797</v>
      </c>
      <c r="AN171">
        <v>0.99999998599048201</v>
      </c>
    </row>
    <row r="172" spans="1:40" x14ac:dyDescent="0.25">
      <c r="A172" t="str">
        <f>"20190304164103989"</f>
        <v>20190304164103989</v>
      </c>
      <c r="B172" t="str">
        <f>"1551688863981725"</f>
        <v>1551688863981725</v>
      </c>
      <c r="C172" t="s">
        <v>40</v>
      </c>
      <c r="D172">
        <v>4.9901369999999998</v>
      </c>
      <c r="E172">
        <v>0.54951890000000003</v>
      </c>
      <c r="F172" t="s">
        <v>41</v>
      </c>
      <c r="G172">
        <v>-470.22430000000003</v>
      </c>
      <c r="H172">
        <v>0.89100380000000001</v>
      </c>
      <c r="I172">
        <v>367.10570000000001</v>
      </c>
      <c r="J172">
        <v>-470.8381</v>
      </c>
      <c r="K172">
        <v>1.108554</v>
      </c>
      <c r="L172">
        <v>367.12639999999999</v>
      </c>
      <c r="M172">
        <v>0.99977539999999998</v>
      </c>
      <c r="N172">
        <v>2.1185969999999998E-3</v>
      </c>
      <c r="O172">
        <v>-2.108931E-2</v>
      </c>
      <c r="P172">
        <v>0.95578039999999997</v>
      </c>
      <c r="Q172">
        <v>0.29249740000000002</v>
      </c>
      <c r="R172">
        <v>3.048089E-2</v>
      </c>
      <c r="S172">
        <v>3.4723510000000002</v>
      </c>
      <c r="T172">
        <v>-1.080185</v>
      </c>
      <c r="U172">
        <v>-0.1118774</v>
      </c>
      <c r="V172">
        <v>-5.0686460000000003E-2</v>
      </c>
      <c r="W172">
        <v>0.29046420000000001</v>
      </c>
      <c r="X172">
        <v>0.95554249999999996</v>
      </c>
      <c r="Y172">
        <v>1.1583410000000001E-2</v>
      </c>
      <c r="Z172">
        <v>4.7031039999999996E-3</v>
      </c>
      <c r="AA172">
        <v>0.99992190000000003</v>
      </c>
      <c r="AB172">
        <v>13</v>
      </c>
      <c r="AC172">
        <v>0.61379999999996904</v>
      </c>
      <c r="AD172">
        <v>-0.2175502</v>
      </c>
      <c r="AE172">
        <v>-2.0699999999976602E-2</v>
      </c>
      <c r="AF172">
        <v>6.8866218924022397E-3</v>
      </c>
      <c r="AG172">
        <v>-0.2175502</v>
      </c>
      <c r="AH172">
        <v>0.54563431074970203</v>
      </c>
      <c r="AI172">
        <v>111.736125678061</v>
      </c>
      <c r="AJ172">
        <v>89.276890378431901</v>
      </c>
      <c r="AK172">
        <v>0.58744558569150196</v>
      </c>
      <c r="AL172">
        <v>73.114251292202496</v>
      </c>
      <c r="AM172">
        <v>93.036391382882201</v>
      </c>
      <c r="AN172">
        <v>1.0000000190076099</v>
      </c>
    </row>
    <row r="173" spans="1:40" x14ac:dyDescent="0.25">
      <c r="A173" t="str">
        <f>"20190304164104002"</f>
        <v>20190304164104002</v>
      </c>
      <c r="B173" t="str">
        <f>"1551688863991485"</f>
        <v>1551688863991485</v>
      </c>
      <c r="C173" t="s">
        <v>40</v>
      </c>
      <c r="D173">
        <v>5.3306509999999996</v>
      </c>
      <c r="E173">
        <v>0.54955540000000003</v>
      </c>
      <c r="F173" t="s">
        <v>41</v>
      </c>
      <c r="G173">
        <v>-470.10390000000001</v>
      </c>
      <c r="H173">
        <v>0.88037339999999997</v>
      </c>
      <c r="I173">
        <v>367.10219999999998</v>
      </c>
      <c r="J173">
        <v>-470.75740000000002</v>
      </c>
      <c r="K173">
        <v>1.1085210000000001</v>
      </c>
      <c r="L173">
        <v>367.12450000000001</v>
      </c>
      <c r="M173">
        <v>0.99976940000000003</v>
      </c>
      <c r="N173">
        <v>2.1699219999999999E-3</v>
      </c>
      <c r="O173">
        <v>-2.135975E-2</v>
      </c>
      <c r="P173">
        <v>0.95581309999999997</v>
      </c>
      <c r="Q173">
        <v>0.29240880000000002</v>
      </c>
      <c r="R173">
        <v>3.0311879999999999E-2</v>
      </c>
      <c r="S173">
        <v>3.4726870000000001</v>
      </c>
      <c r="T173">
        <v>-1.0792600000000001</v>
      </c>
      <c r="U173">
        <v>-0.1124573</v>
      </c>
      <c r="V173">
        <v>-5.0777999999999997E-2</v>
      </c>
      <c r="W173">
        <v>0.29032599999999997</v>
      </c>
      <c r="X173">
        <v>0.95557959999999997</v>
      </c>
      <c r="Y173">
        <v>1.14933E-2</v>
      </c>
      <c r="Z173">
        <v>4.7964339999999996E-3</v>
      </c>
      <c r="AA173">
        <v>0.99992250000000005</v>
      </c>
      <c r="AB173">
        <v>14</v>
      </c>
      <c r="AC173">
        <v>0.65350000000000796</v>
      </c>
      <c r="AD173">
        <v>-0.22814759999999901</v>
      </c>
      <c r="AE173">
        <v>-2.2300000000029699E-2</v>
      </c>
      <c r="AF173">
        <v>7.4315594271401999E-3</v>
      </c>
      <c r="AG173">
        <v>-0.22814759999999901</v>
      </c>
      <c r="AH173">
        <v>0.58286850573500804</v>
      </c>
      <c r="AI173">
        <v>111.374891106828</v>
      </c>
      <c r="AJ173">
        <v>89.269519770498206</v>
      </c>
      <c r="AK173">
        <v>0.625973042901242</v>
      </c>
      <c r="AL173">
        <v>73.122525511307899</v>
      </c>
      <c r="AM173">
        <v>93.041746954196597</v>
      </c>
      <c r="AN173">
        <v>0.99999998174807903</v>
      </c>
    </row>
    <row r="174" spans="1:40" x14ac:dyDescent="0.25">
      <c r="A174" t="str">
        <f>"20190304164104020"</f>
        <v>20190304164104020</v>
      </c>
      <c r="B174" t="str">
        <f>"1551688864011981"</f>
        <v>1551688864011981</v>
      </c>
      <c r="C174" t="s">
        <v>40</v>
      </c>
      <c r="D174">
        <v>5.175999</v>
      </c>
      <c r="E174">
        <v>0.54960980000000004</v>
      </c>
      <c r="F174" t="s">
        <v>41</v>
      </c>
      <c r="G174">
        <v>-469.98230000000001</v>
      </c>
      <c r="H174">
        <v>0.86740329999999999</v>
      </c>
      <c r="I174">
        <v>367.09910000000002</v>
      </c>
      <c r="J174">
        <v>-470.63760000000002</v>
      </c>
      <c r="K174">
        <v>1.1084510000000001</v>
      </c>
      <c r="L174">
        <v>367.1216</v>
      </c>
      <c r="M174">
        <v>0.99976200000000004</v>
      </c>
      <c r="N174">
        <v>2.2557100000000002E-3</v>
      </c>
      <c r="O174">
        <v>-2.170689E-2</v>
      </c>
      <c r="P174">
        <v>0.95558410000000005</v>
      </c>
      <c r="Q174">
        <v>0.29311079999999901</v>
      </c>
      <c r="R174">
        <v>3.0747340000000001E-2</v>
      </c>
      <c r="S174">
        <v>3.4726870000000001</v>
      </c>
      <c r="T174">
        <v>-1.0801080000000001</v>
      </c>
      <c r="U174">
        <v>-0.112915</v>
      </c>
      <c r="V174">
        <v>-5.1517779999999999E-2</v>
      </c>
      <c r="W174">
        <v>0.2909506</v>
      </c>
      <c r="X174">
        <v>0.95535000000000003</v>
      </c>
      <c r="Y174">
        <v>1.1304659999999999E-2</v>
      </c>
      <c r="Z174">
        <v>4.9368850000000002E-3</v>
      </c>
      <c r="AA174">
        <v>0.99992389999999998</v>
      </c>
      <c r="AB174">
        <v>14</v>
      </c>
      <c r="AC174">
        <v>0.65530000000001098</v>
      </c>
      <c r="AD174">
        <v>-0.2410477</v>
      </c>
      <c r="AE174">
        <v>-2.2499999999979502E-2</v>
      </c>
      <c r="AF174">
        <v>7.2855079963170498E-3</v>
      </c>
      <c r="AG174">
        <v>-0.2410477</v>
      </c>
      <c r="AH174">
        <v>0.57757510417087399</v>
      </c>
      <c r="AI174">
        <v>112.65132101179699</v>
      </c>
      <c r="AJ174">
        <v>89.277311782324404</v>
      </c>
      <c r="AK174">
        <v>0.62589941145526795</v>
      </c>
      <c r="AL174">
        <v>73.085123990024798</v>
      </c>
      <c r="AM174">
        <v>93.086717065530806</v>
      </c>
      <c r="AN174">
        <v>0.99999997789824402</v>
      </c>
    </row>
    <row r="175" spans="1:40" x14ac:dyDescent="0.25">
      <c r="A175" t="str">
        <f>"20190304164104035"</f>
        <v>20190304164104035</v>
      </c>
      <c r="B175" t="str">
        <f>"1551688864031501"</f>
        <v>1551688864031501</v>
      </c>
      <c r="C175" t="s">
        <v>40</v>
      </c>
      <c r="D175">
        <v>4.9702029999999997</v>
      </c>
      <c r="E175">
        <v>0.53987379999999996</v>
      </c>
      <c r="F175" t="s">
        <v>41</v>
      </c>
      <c r="G175">
        <v>-469.96820000000002</v>
      </c>
      <c r="H175">
        <v>0.90081820000000001</v>
      </c>
      <c r="I175">
        <v>367.09949999999998</v>
      </c>
      <c r="J175">
        <v>-470.54880000000003</v>
      </c>
      <c r="K175">
        <v>1.108398</v>
      </c>
      <c r="L175">
        <v>367.11939999999998</v>
      </c>
      <c r="M175">
        <v>0.9997566</v>
      </c>
      <c r="N175">
        <v>2.3206450000000001E-3</v>
      </c>
      <c r="O175">
        <v>-2.1937069999999999E-2</v>
      </c>
      <c r="P175">
        <v>0.95548489999999997</v>
      </c>
      <c r="Q175">
        <v>0.29340119999999997</v>
      </c>
      <c r="R175">
        <v>3.105258E-2</v>
      </c>
      <c r="S175">
        <v>3.473541</v>
      </c>
      <c r="T175">
        <v>-1.077404</v>
      </c>
      <c r="U175">
        <v>-0.1132507</v>
      </c>
      <c r="V175">
        <v>-5.2017750000000001E-2</v>
      </c>
      <c r="W175">
        <v>0.29118319999999998</v>
      </c>
      <c r="X175">
        <v>0.95525210000000005</v>
      </c>
      <c r="Y175">
        <v>1.117771E-2</v>
      </c>
      <c r="Z175">
        <v>5.0151479999999997E-3</v>
      </c>
      <c r="AA175">
        <v>0.99992499999999995</v>
      </c>
      <c r="AB175">
        <v>14</v>
      </c>
      <c r="AC175">
        <v>0.580600000000004</v>
      </c>
      <c r="AD175">
        <v>-0.20757980000000001</v>
      </c>
      <c r="AE175">
        <v>-1.9900000000006898E-2</v>
      </c>
      <c r="AF175">
        <v>6.3480280626458697E-3</v>
      </c>
      <c r="AG175">
        <v>-0.20757980000000001</v>
      </c>
      <c r="AH175">
        <v>0.51512782966431803</v>
      </c>
      <c r="AI175">
        <v>111.946327270833</v>
      </c>
      <c r="AJ175">
        <v>89.293967855143705</v>
      </c>
      <c r="AK175">
        <v>0.55541547666858804</v>
      </c>
      <c r="AL175">
        <v>73.071194909480099</v>
      </c>
      <c r="AM175">
        <v>93.116933059849799</v>
      </c>
      <c r="AN175">
        <v>1.0000000384158501</v>
      </c>
    </row>
    <row r="176" spans="1:40" x14ac:dyDescent="0.25">
      <c r="A176" t="str">
        <f>"20190304164104053"</f>
        <v>20190304164104053</v>
      </c>
      <c r="B176" t="str">
        <f>"1551688864041261"</f>
        <v>1551688864041261</v>
      </c>
      <c r="C176" t="s">
        <v>40</v>
      </c>
      <c r="D176">
        <v>4.9707730000000003</v>
      </c>
      <c r="E176">
        <v>0.53602159999999999</v>
      </c>
      <c r="F176" t="s">
        <v>41</v>
      </c>
      <c r="G176">
        <v>-469.81970000000001</v>
      </c>
      <c r="H176">
        <v>0.94480810000000004</v>
      </c>
      <c r="I176">
        <v>367.10509999999999</v>
      </c>
      <c r="J176">
        <v>-470.42500000000001</v>
      </c>
      <c r="K176">
        <v>1.108328</v>
      </c>
      <c r="L176">
        <v>367.11630000000002</v>
      </c>
      <c r="M176">
        <v>0.99974969999999996</v>
      </c>
      <c r="N176">
        <v>2.4107629999999998E-3</v>
      </c>
      <c r="O176">
        <v>-2.2244730000000001E-2</v>
      </c>
      <c r="P176">
        <v>0.95535780000000003</v>
      </c>
      <c r="Q176">
        <v>0.29378840000000001</v>
      </c>
      <c r="R176">
        <v>3.1308059999999999E-2</v>
      </c>
      <c r="S176">
        <v>3.37439</v>
      </c>
      <c r="T176">
        <v>-0.7570791</v>
      </c>
      <c r="U176">
        <v>-6.6040039999999994E-2</v>
      </c>
      <c r="V176">
        <v>-5.2535539999999999E-2</v>
      </c>
      <c r="W176">
        <v>0.29148980000000002</v>
      </c>
      <c r="X176">
        <v>0.95513020000000004</v>
      </c>
      <c r="Y176">
        <v>-2.0628700000000001E-3</v>
      </c>
      <c r="Z176">
        <v>5.2075300000000001E-3</v>
      </c>
      <c r="AA176">
        <v>0.99998430000000005</v>
      </c>
      <c r="AB176">
        <v>14</v>
      </c>
      <c r="AC176">
        <v>0.60529999999999895</v>
      </c>
      <c r="AD176">
        <v>-0.163519899999999</v>
      </c>
      <c r="AE176">
        <v>-1.1200000000030699E-2</v>
      </c>
      <c r="AF176">
        <v>-2.1133656751483802E-3</v>
      </c>
      <c r="AG176">
        <v>-0.163519899999999</v>
      </c>
      <c r="AH176">
        <v>0.56423589738630298</v>
      </c>
      <c r="AI176">
        <v>106.161887075801</v>
      </c>
      <c r="AJ176">
        <v>90.214602381867394</v>
      </c>
      <c r="AK176">
        <v>0.58745669790190802</v>
      </c>
      <c r="AL176">
        <v>73.052830629999093</v>
      </c>
      <c r="AM176">
        <v>93.148298185645203</v>
      </c>
      <c r="AN176">
        <v>0.99999999270958495</v>
      </c>
    </row>
    <row r="177" spans="1:40" x14ac:dyDescent="0.25">
      <c r="A177" t="str">
        <f>"20190304164104067"</f>
        <v>20190304164104067</v>
      </c>
      <c r="B177" t="str">
        <f>"1551688864061757"</f>
        <v>1551688864061757</v>
      </c>
      <c r="C177" t="s">
        <v>40</v>
      </c>
      <c r="D177">
        <v>5.0057900000000002</v>
      </c>
      <c r="E177">
        <v>0.53142080000000003</v>
      </c>
      <c r="F177" t="s">
        <v>41</v>
      </c>
      <c r="G177">
        <v>-469.68200000000002</v>
      </c>
      <c r="H177">
        <v>0.95793220000000001</v>
      </c>
      <c r="I177">
        <v>367.10660000000001</v>
      </c>
      <c r="J177">
        <v>-470.33100000000002</v>
      </c>
      <c r="K177">
        <v>1.1082879999999999</v>
      </c>
      <c r="L177">
        <v>367.1139</v>
      </c>
      <c r="M177">
        <v>0.99974450000000004</v>
      </c>
      <c r="N177">
        <v>2.4785359999999999E-3</v>
      </c>
      <c r="O177">
        <v>-2.2473259999999998E-2</v>
      </c>
      <c r="P177">
        <v>0.95541359999999997</v>
      </c>
      <c r="Q177">
        <v>0.29362100000000002</v>
      </c>
      <c r="R177">
        <v>3.1177980000000001E-2</v>
      </c>
      <c r="S177">
        <v>3.3501280000000002</v>
      </c>
      <c r="T177">
        <v>-0.67823120000000003</v>
      </c>
      <c r="U177">
        <v>-4.1595460000000001E-2</v>
      </c>
      <c r="V177">
        <v>-5.2607229999999998E-2</v>
      </c>
      <c r="W177">
        <v>0.29126079999999999</v>
      </c>
      <c r="X177">
        <v>0.95519609999999999</v>
      </c>
      <c r="Y177">
        <v>-9.4042640000000007E-3</v>
      </c>
      <c r="Z177">
        <v>5.4891159999999996E-3</v>
      </c>
      <c r="AA177">
        <v>0.99994070000000002</v>
      </c>
      <c r="AB177">
        <v>14</v>
      </c>
      <c r="AC177">
        <v>0.64900000000000002</v>
      </c>
      <c r="AD177">
        <v>-0.15035579999999901</v>
      </c>
      <c r="AE177">
        <v>-7.2999999999865299E-3</v>
      </c>
      <c r="AF177">
        <v>-6.9158870723834203E-3</v>
      </c>
      <c r="AG177">
        <v>-0.15035579999999901</v>
      </c>
      <c r="AH177">
        <v>0.61594507998447601</v>
      </c>
      <c r="AI177">
        <v>103.71712896418001</v>
      </c>
      <c r="AJ177">
        <v>90.643295162468505</v>
      </c>
      <c r="AK177">
        <v>0.63406863796021395</v>
      </c>
      <c r="AL177">
        <v>73.066546322691806</v>
      </c>
      <c r="AM177">
        <v>93.152368631849001</v>
      </c>
      <c r="AN177">
        <v>0.999999981860061</v>
      </c>
    </row>
    <row r="178" spans="1:40" x14ac:dyDescent="0.25">
      <c r="A178" t="str">
        <f>"20190304164104080"</f>
        <v>20190304164104080</v>
      </c>
      <c r="B178" t="str">
        <f>"1551688864071517"</f>
        <v>1551688864071517</v>
      </c>
      <c r="C178" t="s">
        <v>40</v>
      </c>
      <c r="D178">
        <v>4.9891449999999997</v>
      </c>
      <c r="E178">
        <v>0.5302365</v>
      </c>
      <c r="F178" t="s">
        <v>41</v>
      </c>
      <c r="G178">
        <v>-469.541</v>
      </c>
      <c r="H178">
        <v>0.97286260000000002</v>
      </c>
      <c r="I178">
        <v>367.10980000000001</v>
      </c>
      <c r="J178">
        <v>-470.24459999999999</v>
      </c>
      <c r="K178">
        <v>1.1082669999999999</v>
      </c>
      <c r="L178">
        <v>367.11169999999998</v>
      </c>
      <c r="M178">
        <v>0.99973959999999995</v>
      </c>
      <c r="N178">
        <v>2.5403969999999998E-3</v>
      </c>
      <c r="O178">
        <v>-2.2683450000000001E-2</v>
      </c>
      <c r="P178">
        <v>0.95550760000000001</v>
      </c>
      <c r="Q178">
        <v>0.29331479999999999</v>
      </c>
      <c r="R178">
        <v>3.1171709999999998E-2</v>
      </c>
      <c r="S178">
        <v>3.3151860000000002</v>
      </c>
      <c r="T178">
        <v>-0.56832389999999999</v>
      </c>
      <c r="U178">
        <v>-1.6082760000000001E-2</v>
      </c>
      <c r="V178">
        <v>-5.2791869999999998E-2</v>
      </c>
      <c r="W178">
        <v>0.29089720000000002</v>
      </c>
      <c r="X178">
        <v>0.95529679999999995</v>
      </c>
      <c r="Y178">
        <v>-1.7244829999999999E-2</v>
      </c>
      <c r="Z178">
        <v>5.3627299999999996E-3</v>
      </c>
      <c r="AA178">
        <v>0.99983690000000003</v>
      </c>
      <c r="AB178">
        <v>15</v>
      </c>
      <c r="AC178">
        <v>0.70359999999999401</v>
      </c>
      <c r="AD178">
        <v>-0.13540440000000001</v>
      </c>
      <c r="AE178">
        <v>-1.8999999999778001E-3</v>
      </c>
      <c r="AF178">
        <v>-1.355847738765E-2</v>
      </c>
      <c r="AG178">
        <v>-0.13540440000000001</v>
      </c>
      <c r="AH178">
        <v>0.67833983751017901</v>
      </c>
      <c r="AI178">
        <v>101.28632856596199</v>
      </c>
      <c r="AJ178">
        <v>91.145060426399297</v>
      </c>
      <c r="AK178">
        <v>0.69185483954494897</v>
      </c>
      <c r="AL178">
        <v>73.088323499023701</v>
      </c>
      <c r="AM178">
        <v>93.163077546818499</v>
      </c>
      <c r="AN178">
        <v>1.0000000692980799</v>
      </c>
    </row>
    <row r="179" spans="1:40" x14ac:dyDescent="0.25">
      <c r="A179" t="str">
        <f>"20190304164104102"</f>
        <v>20190304164104102</v>
      </c>
      <c r="B179" t="str">
        <f>"1551688864092013"</f>
        <v>1551688864092013</v>
      </c>
      <c r="C179" t="s">
        <v>40</v>
      </c>
      <c r="D179">
        <v>5.00589</v>
      </c>
      <c r="E179">
        <v>0.52826039999999996</v>
      </c>
      <c r="F179" t="s">
        <v>41</v>
      </c>
      <c r="G179">
        <v>-469.53210000000001</v>
      </c>
      <c r="H179">
        <v>0.99225410000000003</v>
      </c>
      <c r="I179">
        <v>367.10939999999999</v>
      </c>
      <c r="J179">
        <v>-470.1003</v>
      </c>
      <c r="K179">
        <v>1.1082369999999999</v>
      </c>
      <c r="L179">
        <v>367.108</v>
      </c>
      <c r="M179">
        <v>0.99973109999999998</v>
      </c>
      <c r="N179">
        <v>2.6413109999999999E-3</v>
      </c>
      <c r="O179">
        <v>-2.303639E-2</v>
      </c>
      <c r="P179">
        <v>0.95555809999999997</v>
      </c>
      <c r="Q179">
        <v>0.29315999999999998</v>
      </c>
      <c r="R179">
        <v>3.1081359999999999E-2</v>
      </c>
      <c r="S179">
        <v>3.305237</v>
      </c>
      <c r="T179">
        <v>-0.53832409999999997</v>
      </c>
      <c r="U179">
        <v>-9.3383790000000008E-3</v>
      </c>
      <c r="V179">
        <v>-5.3030210000000001E-2</v>
      </c>
      <c r="W179">
        <v>0.29064810000000002</v>
      </c>
      <c r="X179">
        <v>0.95535930000000002</v>
      </c>
      <c r="Y179">
        <v>-1.9643819999999999E-2</v>
      </c>
      <c r="Z179">
        <v>5.3506530000000004E-3</v>
      </c>
      <c r="AA179">
        <v>0.99979269999999998</v>
      </c>
      <c r="AB179">
        <v>15</v>
      </c>
      <c r="AC179">
        <v>0.56819999999999005</v>
      </c>
      <c r="AD179">
        <v>-0.1159829</v>
      </c>
      <c r="AE179">
        <v>1.39999999998963E-3</v>
      </c>
      <c r="AF179">
        <v>-1.3909400964584699E-2</v>
      </c>
      <c r="AG179">
        <v>-0.1159829</v>
      </c>
      <c r="AH179">
        <v>0.54529658215925703</v>
      </c>
      <c r="AI179">
        <v>102.003902477959</v>
      </c>
      <c r="AJ179">
        <v>91.461181341742702</v>
      </c>
      <c r="AK179">
        <v>0.55766824101984802</v>
      </c>
      <c r="AL179">
        <v>73.103238443146793</v>
      </c>
      <c r="AM179">
        <v>93.177121295808504</v>
      </c>
      <c r="AN179">
        <v>0.99999995665137098</v>
      </c>
    </row>
    <row r="180" spans="1:40" x14ac:dyDescent="0.25">
      <c r="A180" t="str">
        <f>"20190304164104116"</f>
        <v>20190304164104116</v>
      </c>
      <c r="B180" t="str">
        <f>"1551688864111532"</f>
        <v>1551688864111532</v>
      </c>
      <c r="C180" t="s">
        <v>40</v>
      </c>
      <c r="D180">
        <v>5.0222850000000001</v>
      </c>
      <c r="E180">
        <v>0.52765890000000004</v>
      </c>
      <c r="F180" t="s">
        <v>41</v>
      </c>
      <c r="G180">
        <v>-469.262</v>
      </c>
      <c r="H180">
        <v>0.98152640000000002</v>
      </c>
      <c r="I180">
        <v>367.10879999999997</v>
      </c>
      <c r="J180">
        <v>-469.99860000000001</v>
      </c>
      <c r="K180">
        <v>1.108228</v>
      </c>
      <c r="L180">
        <v>367.10539999999997</v>
      </c>
      <c r="M180">
        <v>0.99972539999999999</v>
      </c>
      <c r="N180">
        <v>2.7092119999999999E-3</v>
      </c>
      <c r="O180">
        <v>-2.3278699999999999E-2</v>
      </c>
      <c r="P180">
        <v>0.95556319999999995</v>
      </c>
      <c r="Q180">
        <v>0.2931433</v>
      </c>
      <c r="R180">
        <v>3.108491E-2</v>
      </c>
      <c r="S180">
        <v>3.2921450000000001</v>
      </c>
      <c r="T180">
        <v>-0.49765559999999998</v>
      </c>
      <c r="U180">
        <v>2.9296880000000002E-3</v>
      </c>
      <c r="V180">
        <v>-5.3265279999999998E-2</v>
      </c>
      <c r="W180">
        <v>0.2905664</v>
      </c>
      <c r="X180">
        <v>0.95537110000000003</v>
      </c>
      <c r="Y180">
        <v>-2.363084E-2</v>
      </c>
      <c r="Z180">
        <v>5.3053140000000002E-3</v>
      </c>
      <c r="AA180">
        <v>0.99970669999999995</v>
      </c>
      <c r="AB180">
        <v>15</v>
      </c>
      <c r="AC180">
        <v>0.73660000000006598</v>
      </c>
      <c r="AD180">
        <v>-0.126701599999999</v>
      </c>
      <c r="AE180">
        <v>3.3999999999991802E-3</v>
      </c>
      <c r="AF180">
        <v>-1.99558112340079E-2</v>
      </c>
      <c r="AG180">
        <v>-0.126701599999999</v>
      </c>
      <c r="AH180">
        <v>0.715162197437614</v>
      </c>
      <c r="AI180">
        <v>100.042722467093</v>
      </c>
      <c r="AJ180">
        <v>91.598360688650601</v>
      </c>
      <c r="AK180">
        <v>0.72657311984986395</v>
      </c>
      <c r="AL180">
        <v>73.108131064050795</v>
      </c>
      <c r="AM180">
        <v>93.191136323581304</v>
      </c>
      <c r="AN180">
        <v>0.99999998078882402</v>
      </c>
    </row>
    <row r="181" spans="1:40" x14ac:dyDescent="0.25">
      <c r="A181" t="str">
        <f>"20190304164104135"</f>
        <v>20190304164104135</v>
      </c>
      <c r="B181" t="str">
        <f>"1551688864121293"</f>
        <v>1551688864121293</v>
      </c>
      <c r="C181" t="s">
        <v>40</v>
      </c>
      <c r="D181">
        <v>5.0268240000000004</v>
      </c>
      <c r="E181">
        <v>0.52756829999999999</v>
      </c>
      <c r="F181" t="s">
        <v>41</v>
      </c>
      <c r="G181">
        <v>-469.25349999999997</v>
      </c>
      <c r="H181">
        <v>1.0002850000000001</v>
      </c>
      <c r="I181">
        <v>367.10680000000002</v>
      </c>
      <c r="J181">
        <v>-469.88569999999999</v>
      </c>
      <c r="K181">
        <v>1.1082320000000001</v>
      </c>
      <c r="L181">
        <v>367.10250000000002</v>
      </c>
      <c r="M181">
        <v>0.99971920000000003</v>
      </c>
      <c r="N181">
        <v>2.7809150000000001E-3</v>
      </c>
      <c r="O181">
        <v>-2.3536890000000001E-2</v>
      </c>
      <c r="P181">
        <v>0.95569059999999995</v>
      </c>
      <c r="Q181">
        <v>0.2926994</v>
      </c>
      <c r="R181">
        <v>3.1349090000000003E-2</v>
      </c>
      <c r="S181">
        <v>3.2853089999999998</v>
      </c>
      <c r="T181">
        <v>-0.47598400000000002</v>
      </c>
      <c r="U181">
        <v>6.0119630000000004E-3</v>
      </c>
      <c r="V181">
        <v>-5.3780139999999997E-2</v>
      </c>
      <c r="W181">
        <v>0.29005350000000002</v>
      </c>
      <c r="X181">
        <v>0.95549810000000002</v>
      </c>
      <c r="Y181">
        <v>-2.4856639999999999E-2</v>
      </c>
      <c r="Z181">
        <v>5.2138200000000001E-3</v>
      </c>
      <c r="AA181">
        <v>0.99967740000000005</v>
      </c>
      <c r="AB181">
        <v>15</v>
      </c>
      <c r="AC181">
        <v>0.63220000000001098</v>
      </c>
      <c r="AD181">
        <v>-0.107946999999999</v>
      </c>
      <c r="AE181">
        <v>4.3000000000006297E-3</v>
      </c>
      <c r="AF181">
        <v>-1.86355922206205E-2</v>
      </c>
      <c r="AG181">
        <v>-0.107946999999999</v>
      </c>
      <c r="AH181">
        <v>0.61402268353939204</v>
      </c>
      <c r="AI181">
        <v>99.966381077997596</v>
      </c>
      <c r="AJ181">
        <v>91.738393633493104</v>
      </c>
      <c r="AK181">
        <v>0.62371764125069395</v>
      </c>
      <c r="AL181">
        <v>73.138840596919707</v>
      </c>
      <c r="AM181">
        <v>93.221489702534697</v>
      </c>
      <c r="AN181">
        <v>0.999999977712139</v>
      </c>
    </row>
    <row r="182" spans="1:40" x14ac:dyDescent="0.25">
      <c r="A182" t="str">
        <f>"20190304164104157"</f>
        <v>20190304164104157</v>
      </c>
      <c r="B182" t="str">
        <f>"1551688864152525"</f>
        <v>1551688864152525</v>
      </c>
      <c r="C182" t="s">
        <v>40</v>
      </c>
      <c r="D182">
        <v>5.0060529999999996</v>
      </c>
      <c r="E182">
        <v>0.52713299999999996</v>
      </c>
      <c r="F182" t="s">
        <v>41</v>
      </c>
      <c r="G182">
        <v>-469.11399999999998</v>
      </c>
      <c r="H182">
        <v>0.99762189999999995</v>
      </c>
      <c r="I182">
        <v>367.10419999999999</v>
      </c>
      <c r="J182">
        <v>-469.71820000000002</v>
      </c>
      <c r="K182">
        <v>1.1082379999999901</v>
      </c>
      <c r="L182">
        <v>367.09809999999999</v>
      </c>
      <c r="M182">
        <v>0.9997104</v>
      </c>
      <c r="N182">
        <v>2.879113E-3</v>
      </c>
      <c r="O182">
        <v>-2.3888699999999999E-2</v>
      </c>
      <c r="P182">
        <v>0.95571360000000005</v>
      </c>
      <c r="Q182">
        <v>0.29256799999999999</v>
      </c>
      <c r="R182">
        <v>3.18658E-2</v>
      </c>
      <c r="S182">
        <v>3.2829589999999902</v>
      </c>
      <c r="T182">
        <v>-0.47061239999999999</v>
      </c>
      <c r="U182">
        <v>8.0261229999999996E-3</v>
      </c>
      <c r="V182">
        <v>-5.4638300000000001E-2</v>
      </c>
      <c r="W182">
        <v>0.28982760000000002</v>
      </c>
      <c r="X182">
        <v>0.95551790000000003</v>
      </c>
      <c r="Y182">
        <v>-2.582015E-2</v>
      </c>
      <c r="Z182">
        <v>5.2791260000000003E-3</v>
      </c>
      <c r="AA182">
        <v>0.99965269999999995</v>
      </c>
      <c r="AB182">
        <v>15</v>
      </c>
      <c r="AC182">
        <v>0.60419999999999097</v>
      </c>
      <c r="AD182">
        <v>-0.110616099999999</v>
      </c>
      <c r="AE182">
        <v>6.1000000000035401E-3</v>
      </c>
      <c r="AF182">
        <v>-1.9866073863485299E-2</v>
      </c>
      <c r="AG182">
        <v>-0.110616099999999</v>
      </c>
      <c r="AH182">
        <v>0.58429942928316903</v>
      </c>
      <c r="AI182">
        <v>100.713983071882</v>
      </c>
      <c r="AJ182">
        <v>91.947295918605406</v>
      </c>
      <c r="AK182">
        <v>0.59500958440229901</v>
      </c>
      <c r="AL182">
        <v>73.152363631909495</v>
      </c>
      <c r="AM182">
        <v>93.272715894851302</v>
      </c>
      <c r="AN182">
        <v>0.99999991938452604</v>
      </c>
    </row>
    <row r="183" spans="1:40" x14ac:dyDescent="0.25">
      <c r="A183" t="str">
        <f>"20190304164104170"</f>
        <v>20190304164104170</v>
      </c>
      <c r="B183" t="str">
        <f>"1551688864161308"</f>
        <v>1551688864161308</v>
      </c>
      <c r="C183" t="s">
        <v>40</v>
      </c>
      <c r="D183">
        <v>5.0284089999999999</v>
      </c>
      <c r="E183">
        <v>0.52706549999999996</v>
      </c>
      <c r="F183" t="s">
        <v>41</v>
      </c>
      <c r="G183">
        <v>-468.96800000000002</v>
      </c>
      <c r="H183">
        <v>1.003835</v>
      </c>
      <c r="I183">
        <v>367.10090000000002</v>
      </c>
      <c r="J183">
        <v>-469.61930000000001</v>
      </c>
      <c r="K183">
        <v>1.1082449999999999</v>
      </c>
      <c r="L183">
        <v>367.09559999999999</v>
      </c>
      <c r="M183">
        <v>0.99970599999999998</v>
      </c>
      <c r="N183">
        <v>2.9315270000000002E-3</v>
      </c>
      <c r="O183">
        <v>-2.407225E-2</v>
      </c>
      <c r="P183">
        <v>0.95568319999999995</v>
      </c>
      <c r="Q183">
        <v>0.29266920000000002</v>
      </c>
      <c r="R183">
        <v>3.1853310000000003E-2</v>
      </c>
      <c r="S183">
        <v>3.2782589999999998</v>
      </c>
      <c r="T183">
        <v>-0.4562676</v>
      </c>
      <c r="U183">
        <v>1.1688230000000001E-2</v>
      </c>
      <c r="V183">
        <v>-5.4803749999999998E-2</v>
      </c>
      <c r="W183">
        <v>0.28987780000000002</v>
      </c>
      <c r="X183">
        <v>0.95549329999999999</v>
      </c>
      <c r="Y183">
        <v>-2.7138610000000001E-2</v>
      </c>
      <c r="Z183">
        <v>5.2438559999999999E-3</v>
      </c>
      <c r="AA183">
        <v>0.99961789999999995</v>
      </c>
      <c r="AB183">
        <v>16</v>
      </c>
      <c r="AC183">
        <v>0.651299999999992</v>
      </c>
      <c r="AD183">
        <v>-0.10441</v>
      </c>
      <c r="AE183">
        <v>5.3000000000338297E-3</v>
      </c>
      <c r="AF183">
        <v>-2.0451238151301902E-2</v>
      </c>
      <c r="AG183">
        <v>-0.10441</v>
      </c>
      <c r="AH183">
        <v>0.63467405538577204</v>
      </c>
      <c r="AI183">
        <v>99.3372710463766</v>
      </c>
      <c r="AJ183">
        <v>91.845615573966697</v>
      </c>
      <c r="AK183">
        <v>0.64352999760830398</v>
      </c>
      <c r="AL183">
        <v>73.149360085400104</v>
      </c>
      <c r="AM183">
        <v>93.282688681242902</v>
      </c>
      <c r="AN183">
        <v>1.0000000181458899</v>
      </c>
    </row>
    <row r="184" spans="1:40" x14ac:dyDescent="0.25">
      <c r="A184" t="str">
        <f>"20190304164104189"</f>
        <v>20190304164104189</v>
      </c>
      <c r="B184" t="str">
        <f>"1551688864181805"</f>
        <v>1551688864181805</v>
      </c>
      <c r="C184" t="s">
        <v>40</v>
      </c>
      <c r="D184">
        <v>5.019425</v>
      </c>
      <c r="E184">
        <v>0.52693449999999997</v>
      </c>
      <c r="F184" t="s">
        <v>41</v>
      </c>
      <c r="G184">
        <v>-468.8252</v>
      </c>
      <c r="H184">
        <v>0.99851330000000005</v>
      </c>
      <c r="I184">
        <v>367.09809999999999</v>
      </c>
      <c r="J184">
        <v>-469.48009999999999</v>
      </c>
      <c r="K184">
        <v>1.108263</v>
      </c>
      <c r="L184">
        <v>367.09199999999998</v>
      </c>
      <c r="M184">
        <v>0.99970020000000004</v>
      </c>
      <c r="N184">
        <v>2.9986470000000001E-3</v>
      </c>
      <c r="O184">
        <v>-2.4301369999999999E-2</v>
      </c>
      <c r="P184">
        <v>0.95571209999999995</v>
      </c>
      <c r="Q184">
        <v>0.29252050000000002</v>
      </c>
      <c r="R184">
        <v>3.2350490000000003E-2</v>
      </c>
      <c r="S184">
        <v>3.2774350000000001</v>
      </c>
      <c r="T184">
        <v>-0.45303209999999999</v>
      </c>
      <c r="U184">
        <v>1.1993409999999999E-2</v>
      </c>
      <c r="V184">
        <v>-5.5526430000000002E-2</v>
      </c>
      <c r="W184">
        <v>0.28966429999999999</v>
      </c>
      <c r="X184">
        <v>0.95551629999999999</v>
      </c>
      <c r="Y184">
        <v>-2.7463029999999999E-2</v>
      </c>
      <c r="Z184">
        <v>5.2632499999999997E-3</v>
      </c>
      <c r="AA184">
        <v>0.99960890000000002</v>
      </c>
      <c r="AB184">
        <v>16</v>
      </c>
      <c r="AC184">
        <v>0.65489999999999704</v>
      </c>
      <c r="AD184">
        <v>-0.10974970000000001</v>
      </c>
      <c r="AE184">
        <v>6.1000000000035401E-3</v>
      </c>
      <c r="AF184">
        <v>-2.1411958826941999E-2</v>
      </c>
      <c r="AG184">
        <v>-0.10974970000000001</v>
      </c>
      <c r="AH184">
        <v>0.63667949037846405</v>
      </c>
      <c r="AI184">
        <v>99.775010043843096</v>
      </c>
      <c r="AJ184">
        <v>91.926169581100595</v>
      </c>
      <c r="AK184">
        <v>0.64642419671565299</v>
      </c>
      <c r="AL184">
        <v>73.162140695077696</v>
      </c>
      <c r="AM184">
        <v>93.325800055067305</v>
      </c>
      <c r="AN184">
        <v>0.99999999534436201</v>
      </c>
    </row>
    <row r="185" spans="1:40" x14ac:dyDescent="0.25">
      <c r="A185" t="str">
        <f>"20190304164104203"</f>
        <v>20190304164104203</v>
      </c>
      <c r="B185" t="str">
        <f>"1551688864191565"</f>
        <v>1551688864191565</v>
      </c>
      <c r="C185" t="s">
        <v>40</v>
      </c>
      <c r="D185">
        <v>5.0342140000000004</v>
      </c>
      <c r="E185">
        <v>0.52686290000000002</v>
      </c>
      <c r="F185" t="s">
        <v>41</v>
      </c>
      <c r="G185">
        <v>-468.67770000000002</v>
      </c>
      <c r="H185">
        <v>0.99813209999999997</v>
      </c>
      <c r="I185">
        <v>367.09519999999998</v>
      </c>
      <c r="J185">
        <v>-469.37939999999998</v>
      </c>
      <c r="K185">
        <v>1.1082749999999999</v>
      </c>
      <c r="L185">
        <v>367.08940000000001</v>
      </c>
      <c r="M185">
        <v>0.99969660000000005</v>
      </c>
      <c r="N185">
        <v>3.0426920000000001E-3</v>
      </c>
      <c r="O185">
        <v>-2.44488E-2</v>
      </c>
      <c r="P185">
        <v>0.95574309999999996</v>
      </c>
      <c r="Q185">
        <v>0.29241270000000003</v>
      </c>
      <c r="R185">
        <v>3.2411549999999997E-2</v>
      </c>
      <c r="S185">
        <v>3.2762150000000001</v>
      </c>
      <c r="T185">
        <v>-0.44971179999999999</v>
      </c>
      <c r="U185">
        <v>1.376343E-2</v>
      </c>
      <c r="V185">
        <v>-5.573322E-2</v>
      </c>
      <c r="W185">
        <v>0.28951359999999998</v>
      </c>
      <c r="X185">
        <v>0.95555000000000001</v>
      </c>
      <c r="Y185">
        <v>-2.8150850000000002E-2</v>
      </c>
      <c r="Z185">
        <v>5.2941619999999998E-3</v>
      </c>
      <c r="AA185">
        <v>0.99958970000000003</v>
      </c>
      <c r="AB185">
        <v>16</v>
      </c>
      <c r="AC185">
        <v>0.70169999999995902</v>
      </c>
      <c r="AD185">
        <v>-0.110142899999999</v>
      </c>
      <c r="AE185">
        <v>5.7999999999651603E-3</v>
      </c>
      <c r="AF185">
        <v>-2.2402153706849601E-2</v>
      </c>
      <c r="AG185">
        <v>-0.110142899999999</v>
      </c>
      <c r="AH185">
        <v>0.68448507451015295</v>
      </c>
      <c r="AI185">
        <v>99.1364943641954</v>
      </c>
      <c r="AJ185">
        <v>91.874534462508507</v>
      </c>
      <c r="AK185">
        <v>0.693652025253502</v>
      </c>
      <c r="AL185">
        <v>73.171162820525197</v>
      </c>
      <c r="AM185">
        <v>93.338040487285795</v>
      </c>
      <c r="AN185">
        <v>1.0000000594482601</v>
      </c>
    </row>
    <row r="186" spans="1:40" x14ac:dyDescent="0.25">
      <c r="A186" t="str">
        <f>"20190304164104220"</f>
        <v>20190304164104220</v>
      </c>
      <c r="B186" t="str">
        <f>"1551688864212062"</f>
        <v>1551688864212062</v>
      </c>
      <c r="C186" t="s">
        <v>40</v>
      </c>
      <c r="D186">
        <v>5.0473689999999998</v>
      </c>
      <c r="E186">
        <v>0.52682719999999905</v>
      </c>
      <c r="F186" t="s">
        <v>41</v>
      </c>
      <c r="G186">
        <v>-468.53059999999999</v>
      </c>
      <c r="H186">
        <v>0.99213519999999999</v>
      </c>
      <c r="I186">
        <v>367.09249999999997</v>
      </c>
      <c r="J186">
        <v>-469.23829999999998</v>
      </c>
      <c r="K186">
        <v>1.108293</v>
      </c>
      <c r="L186">
        <v>367.08569999999997</v>
      </c>
      <c r="M186">
        <v>0.99969209999999997</v>
      </c>
      <c r="N186">
        <v>3.0950769999999999E-3</v>
      </c>
      <c r="O186">
        <v>-2.462164E-2</v>
      </c>
      <c r="P186">
        <v>0.95574919999999997</v>
      </c>
      <c r="Q186">
        <v>0.29234599999999999</v>
      </c>
      <c r="R186">
        <v>3.2821999999999997E-2</v>
      </c>
      <c r="S186">
        <v>3.2756959999999999</v>
      </c>
      <c r="T186">
        <v>-0.44846510000000001</v>
      </c>
      <c r="U186">
        <v>1.3916019999999999E-2</v>
      </c>
      <c r="V186">
        <v>-5.6314429999999999E-2</v>
      </c>
      <c r="W186">
        <v>0.28939589999999998</v>
      </c>
      <c r="X186">
        <v>0.9555515</v>
      </c>
      <c r="Y186">
        <v>-2.8369720000000001E-2</v>
      </c>
      <c r="Z186">
        <v>5.3197210000000003E-3</v>
      </c>
      <c r="AA186">
        <v>0.99958340000000001</v>
      </c>
      <c r="AB186">
        <v>17</v>
      </c>
      <c r="AC186">
        <v>0.70769999999998801</v>
      </c>
      <c r="AD186">
        <v>-0.11615780000000001</v>
      </c>
      <c r="AE186">
        <v>6.7999999999983603E-3</v>
      </c>
      <c r="AF186">
        <v>-2.3587369520179698E-2</v>
      </c>
      <c r="AG186">
        <v>-0.11615780000000001</v>
      </c>
      <c r="AH186">
        <v>0.68876439192987404</v>
      </c>
      <c r="AI186">
        <v>99.567159966490905</v>
      </c>
      <c r="AJ186">
        <v>91.961380101521996</v>
      </c>
      <c r="AK186">
        <v>0.69888867932758103</v>
      </c>
      <c r="AL186">
        <v>73.178206851159104</v>
      </c>
      <c r="AM186">
        <v>93.372765779487693</v>
      </c>
      <c r="AN186">
        <v>0.99999998555764202</v>
      </c>
    </row>
    <row r="187" spans="1:40" x14ac:dyDescent="0.25">
      <c r="A187" t="str">
        <f>"20190304164104243"</f>
        <v>20190304164104243</v>
      </c>
      <c r="B187" t="str">
        <f>"1551688864231581"</f>
        <v>1551688864231581</v>
      </c>
      <c r="C187" t="s">
        <v>40</v>
      </c>
      <c r="D187">
        <v>5.0095609999999997</v>
      </c>
      <c r="E187">
        <v>0.52675070000000002</v>
      </c>
      <c r="F187" t="s">
        <v>41</v>
      </c>
      <c r="G187">
        <v>-468.52229999999997</v>
      </c>
      <c r="H187">
        <v>1.010656</v>
      </c>
      <c r="I187">
        <v>367.0883</v>
      </c>
      <c r="J187">
        <v>-469.0779</v>
      </c>
      <c r="K187">
        <v>1.108311</v>
      </c>
      <c r="L187">
        <v>367.08159999999998</v>
      </c>
      <c r="M187">
        <v>0.99968800000000002</v>
      </c>
      <c r="N187">
        <v>3.143767E-3</v>
      </c>
      <c r="O187">
        <v>-2.4782680000000001E-2</v>
      </c>
      <c r="P187">
        <v>0.95579970000000003</v>
      </c>
      <c r="Q187">
        <v>0.2921415</v>
      </c>
      <c r="R187">
        <v>3.3170430000000001E-2</v>
      </c>
      <c r="S187">
        <v>3.275055</v>
      </c>
      <c r="T187">
        <v>-0.44684020000000002</v>
      </c>
      <c r="U187">
        <v>1.428223E-2</v>
      </c>
      <c r="V187">
        <v>-5.6824699999999999E-2</v>
      </c>
      <c r="W187">
        <v>0.28914339999999999</v>
      </c>
      <c r="X187">
        <v>0.95559780000000005</v>
      </c>
      <c r="Y187">
        <v>-2.8642620000000001E-2</v>
      </c>
      <c r="Z187">
        <v>5.3427309999999999E-3</v>
      </c>
      <c r="AA187">
        <v>0.9995754</v>
      </c>
      <c r="AB187">
        <v>17</v>
      </c>
      <c r="AC187">
        <v>0.55560000000002596</v>
      </c>
      <c r="AD187">
        <v>-9.7655000000000006E-2</v>
      </c>
      <c r="AE187">
        <v>6.7000000000234598E-3</v>
      </c>
      <c r="AF187">
        <v>-1.98539994420114E-2</v>
      </c>
      <c r="AG187">
        <v>-9.7655000000000006E-2</v>
      </c>
      <c r="AH187">
        <v>0.538625791702806</v>
      </c>
      <c r="AI187">
        <v>100.269499462412</v>
      </c>
      <c r="AJ187">
        <v>92.110993601164495</v>
      </c>
      <c r="AK187">
        <v>0.54776676040657801</v>
      </c>
      <c r="AL187">
        <v>73.193321346921707</v>
      </c>
      <c r="AM187">
        <v>93.403090692107796</v>
      </c>
      <c r="AN187">
        <v>1.00000005382924</v>
      </c>
    </row>
    <row r="188" spans="1:40" x14ac:dyDescent="0.25">
      <c r="A188" t="str">
        <f>"20190304164104257"</f>
        <v>20190304164104257</v>
      </c>
      <c r="B188" t="str">
        <f>"1551688864252077"</f>
        <v>1551688864252077</v>
      </c>
      <c r="C188" t="s">
        <v>40</v>
      </c>
      <c r="D188">
        <v>5.0049330000000003</v>
      </c>
      <c r="E188">
        <v>0.52665620000000002</v>
      </c>
      <c r="F188" t="s">
        <v>41</v>
      </c>
      <c r="G188">
        <v>-468.2242</v>
      </c>
      <c r="H188">
        <v>0.99215339999999996</v>
      </c>
      <c r="I188">
        <v>367.0847</v>
      </c>
      <c r="J188">
        <v>-468.96289999999999</v>
      </c>
      <c r="K188">
        <v>1.108325</v>
      </c>
      <c r="L188">
        <v>367.07859999999999</v>
      </c>
      <c r="M188">
        <v>0.99968570000000001</v>
      </c>
      <c r="N188">
        <v>3.1710649999999998E-3</v>
      </c>
      <c r="O188">
        <v>-2.4877750000000001E-2</v>
      </c>
      <c r="P188">
        <v>0.95575149999999998</v>
      </c>
      <c r="Q188">
        <v>0.29225800000000002</v>
      </c>
      <c r="R188">
        <v>3.3540609999999998E-2</v>
      </c>
      <c r="S188">
        <v>3.2745060000000001</v>
      </c>
      <c r="T188">
        <v>-0.44571850000000002</v>
      </c>
      <c r="U188">
        <v>1.416016E-2</v>
      </c>
      <c r="V188">
        <v>-5.7288770000000003E-2</v>
      </c>
      <c r="W188">
        <v>0.28923290000000001</v>
      </c>
      <c r="X188">
        <v>0.95554289999999997</v>
      </c>
      <c r="Y188">
        <v>-2.8701979999999998E-2</v>
      </c>
      <c r="Z188">
        <v>5.3477910000000002E-3</v>
      </c>
      <c r="AA188">
        <v>0.99957370000000001</v>
      </c>
      <c r="AB188">
        <v>17</v>
      </c>
      <c r="AC188">
        <v>0.73869999999999403</v>
      </c>
      <c r="AD188">
        <v>-0.1161716</v>
      </c>
      <c r="AE188">
        <v>6.1000000000035401E-3</v>
      </c>
      <c r="AF188">
        <v>-2.38847116244667E-2</v>
      </c>
      <c r="AG188">
        <v>-0.1161716</v>
      </c>
      <c r="AH188">
        <v>0.72050121004567103</v>
      </c>
      <c r="AI188">
        <v>99.154437218447598</v>
      </c>
      <c r="AJ188">
        <v>91.898667467597804</v>
      </c>
      <c r="AK188">
        <v>0.730197448484463</v>
      </c>
      <c r="AL188">
        <v>73.187962754762907</v>
      </c>
      <c r="AM188">
        <v>93.431013223686307</v>
      </c>
      <c r="AN188">
        <v>0.99999995367546501</v>
      </c>
    </row>
    <row r="189" spans="1:40" x14ac:dyDescent="0.25">
      <c r="A189" t="str">
        <f>"20190304164104271"</f>
        <v>20190304164104271</v>
      </c>
      <c r="B189" t="str">
        <f>"1551688864261838"</f>
        <v>1551688864261838</v>
      </c>
      <c r="C189" t="s">
        <v>40</v>
      </c>
      <c r="D189">
        <v>5.0227919999999999</v>
      </c>
      <c r="E189">
        <v>0.52666930000000001</v>
      </c>
      <c r="F189" t="s">
        <v>41</v>
      </c>
      <c r="G189">
        <v>-468.21730000000002</v>
      </c>
      <c r="H189">
        <v>1.0074339999999999</v>
      </c>
      <c r="I189">
        <v>367.08150000000001</v>
      </c>
      <c r="J189">
        <v>-468.8569</v>
      </c>
      <c r="K189">
        <v>1.1083350000000001</v>
      </c>
      <c r="L189">
        <v>367.07589999999999</v>
      </c>
      <c r="M189">
        <v>0.99968360000000001</v>
      </c>
      <c r="N189">
        <v>3.1920490000000002E-3</v>
      </c>
      <c r="O189">
        <v>-2.4955169999999999E-2</v>
      </c>
      <c r="P189">
        <v>0.95568690000000001</v>
      </c>
      <c r="Q189">
        <v>0.29241139999999999</v>
      </c>
      <c r="R189">
        <v>3.4036770000000001E-2</v>
      </c>
      <c r="S189">
        <v>3.273895</v>
      </c>
      <c r="T189">
        <v>-0.44325969999999998</v>
      </c>
      <c r="U189">
        <v>1.516724E-2</v>
      </c>
      <c r="V189">
        <v>-5.7859960000000002E-2</v>
      </c>
      <c r="W189">
        <v>0.28936620000000002</v>
      </c>
      <c r="X189">
        <v>0.95546819999999999</v>
      </c>
      <c r="Y189">
        <v>-2.9088699999999999E-2</v>
      </c>
      <c r="Z189">
        <v>5.3560559999999997E-3</v>
      </c>
      <c r="AA189">
        <v>0.99956250000000002</v>
      </c>
      <c r="AB189">
        <v>17</v>
      </c>
      <c r="AC189">
        <v>0.63959999999997297</v>
      </c>
      <c r="AD189">
        <v>-0.100901</v>
      </c>
      <c r="AE189">
        <v>5.6000000000153696E-3</v>
      </c>
      <c r="AF189">
        <v>-2.1036173138410899E-2</v>
      </c>
      <c r="AG189">
        <v>-0.100901</v>
      </c>
      <c r="AH189">
        <v>0.62373919800078204</v>
      </c>
      <c r="AI189">
        <v>99.183883683592398</v>
      </c>
      <c r="AJ189">
        <v>91.931620259212494</v>
      </c>
      <c r="AK189">
        <v>0.63219784838606397</v>
      </c>
      <c r="AL189">
        <v>73.179985315373401</v>
      </c>
      <c r="AM189">
        <v>93.465408987771397</v>
      </c>
      <c r="AN189">
        <v>1.0000000269424401</v>
      </c>
    </row>
    <row r="190" spans="1:40" x14ac:dyDescent="0.25">
      <c r="A190" t="str">
        <f>"20190304164104290"</f>
        <v>20190304164104290</v>
      </c>
      <c r="B190" t="str">
        <f>"1551688864281358"</f>
        <v>1551688864281358</v>
      </c>
      <c r="C190" t="s">
        <v>40</v>
      </c>
      <c r="D190">
        <v>4.9855700000000001</v>
      </c>
      <c r="E190">
        <v>0.526690199999999</v>
      </c>
      <c r="F190" t="s">
        <v>41</v>
      </c>
      <c r="G190">
        <v>-468.06349999999998</v>
      </c>
      <c r="H190">
        <v>1.0010859999999999</v>
      </c>
      <c r="I190">
        <v>367.07979999999998</v>
      </c>
      <c r="J190">
        <v>-468.71080000000001</v>
      </c>
      <c r="K190">
        <v>1.1083449999999999</v>
      </c>
      <c r="L190">
        <v>367.07209999999998</v>
      </c>
      <c r="M190">
        <v>0.99968120000000005</v>
      </c>
      <c r="N190">
        <v>3.2148440000000001E-3</v>
      </c>
      <c r="O190">
        <v>-2.5049269999999998E-2</v>
      </c>
      <c r="P190">
        <v>0.95553339999999998</v>
      </c>
      <c r="Q190">
        <v>0.2926974</v>
      </c>
      <c r="R190">
        <v>3.584114E-2</v>
      </c>
      <c r="S190">
        <v>3.273895</v>
      </c>
      <c r="T190">
        <v>-0.44247439999999999</v>
      </c>
      <c r="U190">
        <v>1.620483E-2</v>
      </c>
      <c r="V190">
        <v>-5.9752899999999998E-2</v>
      </c>
      <c r="W190">
        <v>0.28963090000000002</v>
      </c>
      <c r="X190">
        <v>0.95527150000000005</v>
      </c>
      <c r="Y190">
        <v>-2.949678E-2</v>
      </c>
      <c r="Z190">
        <v>5.3866950000000004E-3</v>
      </c>
      <c r="AA190">
        <v>0.9995503</v>
      </c>
      <c r="AB190">
        <v>17</v>
      </c>
      <c r="AC190">
        <v>0.64730000000002896</v>
      </c>
      <c r="AD190">
        <v>-0.10725899999999999</v>
      </c>
      <c r="AE190">
        <v>7.6999999999998103E-3</v>
      </c>
      <c r="AF190">
        <v>-2.32731329653647E-2</v>
      </c>
      <c r="AG190">
        <v>-0.10725899999999999</v>
      </c>
      <c r="AH190">
        <v>0.62961887978196995</v>
      </c>
      <c r="AI190">
        <v>99.661363681178202</v>
      </c>
      <c r="AJ190">
        <v>92.116908379224697</v>
      </c>
      <c r="AK190">
        <v>0.63911349976113496</v>
      </c>
      <c r="AL190">
        <v>73.164141080750994</v>
      </c>
      <c r="AM190">
        <v>93.579227898141497</v>
      </c>
      <c r="AN190">
        <v>1.00000005300273</v>
      </c>
    </row>
    <row r="191" spans="1:40" x14ac:dyDescent="0.25">
      <c r="A191" t="str">
        <f>"20190304164104305"</f>
        <v>20190304164104305</v>
      </c>
      <c r="B191" t="str">
        <f>"1551688864292093"</f>
        <v>1551688864292093</v>
      </c>
      <c r="C191" t="s">
        <v>40</v>
      </c>
      <c r="D191">
        <v>4.9426880000000004</v>
      </c>
      <c r="E191">
        <v>0.52670620000000001</v>
      </c>
      <c r="F191" t="s">
        <v>41</v>
      </c>
      <c r="G191">
        <v>-467.90519999999998</v>
      </c>
      <c r="H191">
        <v>0.99991319999999995</v>
      </c>
      <c r="I191">
        <v>367.07659999999998</v>
      </c>
      <c r="J191">
        <v>-468.5872</v>
      </c>
      <c r="K191">
        <v>1.1083540000000001</v>
      </c>
      <c r="L191">
        <v>367.06889999999999</v>
      </c>
      <c r="M191">
        <v>0.99967930000000005</v>
      </c>
      <c r="N191">
        <v>3.2288199999999999E-3</v>
      </c>
      <c r="O191">
        <v>-2.512023E-2</v>
      </c>
      <c r="P191">
        <v>0.95546549999999997</v>
      </c>
      <c r="Q191">
        <v>0.29282219999999998</v>
      </c>
      <c r="R191">
        <v>3.6622160000000001E-2</v>
      </c>
      <c r="S191">
        <v>3.273987</v>
      </c>
      <c r="T191">
        <v>-0.44097009999999998</v>
      </c>
      <c r="U191">
        <v>2.0263670000000001E-2</v>
      </c>
      <c r="V191">
        <v>-6.0600719999999997E-2</v>
      </c>
      <c r="W191">
        <v>0.28974179999999999</v>
      </c>
      <c r="X191">
        <v>0.95518440000000004</v>
      </c>
      <c r="Y191">
        <v>-3.0797930000000001E-2</v>
      </c>
      <c r="Z191">
        <v>5.4635090000000001E-3</v>
      </c>
      <c r="AA191">
        <v>0.99951069999999997</v>
      </c>
      <c r="AB191">
        <v>18</v>
      </c>
      <c r="AC191">
        <v>0.68200000000001604</v>
      </c>
      <c r="AD191">
        <v>-0.1084408</v>
      </c>
      <c r="AE191">
        <v>7.6999999999998103E-3</v>
      </c>
      <c r="AF191">
        <v>-2.4217459803490399E-2</v>
      </c>
      <c r="AG191">
        <v>-0.1084408</v>
      </c>
      <c r="AH191">
        <v>0.66478617223977998</v>
      </c>
      <c r="AI191">
        <v>99.258531303435205</v>
      </c>
      <c r="AJ191">
        <v>92.086302315957894</v>
      </c>
      <c r="AK191">
        <v>0.67400782433529105</v>
      </c>
      <c r="AL191">
        <v>73.157501365352502</v>
      </c>
      <c r="AM191">
        <v>93.630208008060293</v>
      </c>
      <c r="AN191">
        <v>0.99999999796755901</v>
      </c>
    </row>
    <row r="192" spans="1:40" x14ac:dyDescent="0.25">
      <c r="A192" t="str">
        <f>"20190304164104324"</f>
        <v>20190304164104324</v>
      </c>
      <c r="B192" t="str">
        <f>"1551688864311613"</f>
        <v>1551688864311613</v>
      </c>
      <c r="C192" t="s">
        <v>40</v>
      </c>
      <c r="D192">
        <v>4.8732889999999998</v>
      </c>
      <c r="E192">
        <v>0.52672079999999999</v>
      </c>
      <c r="F192" t="s">
        <v>41</v>
      </c>
      <c r="G192">
        <v>-467.74599999999998</v>
      </c>
      <c r="H192">
        <v>0.99530629999999998</v>
      </c>
      <c r="I192">
        <v>367.07470000000001</v>
      </c>
      <c r="J192">
        <v>-468.43630000000002</v>
      </c>
      <c r="K192">
        <v>1.1083559999999999</v>
      </c>
      <c r="L192">
        <v>367.06509999999997</v>
      </c>
      <c r="M192">
        <v>0.99967720000000004</v>
      </c>
      <c r="N192">
        <v>3.2392089999999998E-3</v>
      </c>
      <c r="O192">
        <v>-2.5201189999999998E-2</v>
      </c>
      <c r="P192">
        <v>0.95535440000000005</v>
      </c>
      <c r="Q192">
        <v>0.29286889999999999</v>
      </c>
      <c r="R192">
        <v>3.906258E-2</v>
      </c>
      <c r="S192">
        <v>3.2737430000000001</v>
      </c>
      <c r="T192">
        <v>-0.43995669999999998</v>
      </c>
      <c r="U192">
        <v>2.29187E-2</v>
      </c>
      <c r="V192">
        <v>-6.311485E-2</v>
      </c>
      <c r="W192">
        <v>0.28977979999999998</v>
      </c>
      <c r="X192">
        <v>0.95501009999999997</v>
      </c>
      <c r="Y192">
        <v>-3.1683610000000001E-2</v>
      </c>
      <c r="Z192">
        <v>5.5205269999999999E-3</v>
      </c>
      <c r="AA192">
        <v>0.99948269999999995</v>
      </c>
      <c r="AB192">
        <v>18</v>
      </c>
      <c r="AC192">
        <v>0.690300000000036</v>
      </c>
      <c r="AD192">
        <v>-0.113049699999999</v>
      </c>
      <c r="AE192">
        <v>9.6000000000344698E-3</v>
      </c>
      <c r="AF192">
        <v>-2.6288494798593E-2</v>
      </c>
      <c r="AG192">
        <v>-0.113049699999999</v>
      </c>
      <c r="AH192">
        <v>0.67182381616362297</v>
      </c>
      <c r="AI192">
        <v>99.544668556463805</v>
      </c>
      <c r="AJ192">
        <v>92.240843084652894</v>
      </c>
      <c r="AK192">
        <v>0.68177603330824099</v>
      </c>
      <c r="AL192">
        <v>73.155227504362699</v>
      </c>
      <c r="AM192">
        <v>93.7810736293996</v>
      </c>
      <c r="AN192">
        <v>1.00000005394028</v>
      </c>
    </row>
    <row r="193" spans="1:40" x14ac:dyDescent="0.25">
      <c r="A193" t="str">
        <f>"20190304164104345"</f>
        <v>20190304164104345</v>
      </c>
      <c r="B193" t="str">
        <f>"1551688864341869"</f>
        <v>1551688864341869</v>
      </c>
      <c r="C193" t="s">
        <v>40</v>
      </c>
      <c r="D193">
        <v>4.8285640000000001</v>
      </c>
      <c r="E193">
        <v>0.52686129999999998</v>
      </c>
      <c r="F193" t="s">
        <v>41</v>
      </c>
      <c r="G193">
        <v>-467.58319999999998</v>
      </c>
      <c r="H193">
        <v>0.99405869999999996</v>
      </c>
      <c r="I193">
        <v>367.0727</v>
      </c>
      <c r="J193">
        <v>-468.26130000000001</v>
      </c>
      <c r="K193">
        <v>1.108357</v>
      </c>
      <c r="L193">
        <v>367.06049999999999</v>
      </c>
      <c r="M193">
        <v>0.99967490000000003</v>
      </c>
      <c r="N193">
        <v>3.24289E-3</v>
      </c>
      <c r="O193">
        <v>-2.5292740000000001E-2</v>
      </c>
      <c r="P193">
        <v>0.95534260000000004</v>
      </c>
      <c r="Q193">
        <v>0.29259940000000001</v>
      </c>
      <c r="R193">
        <v>4.1306710000000003E-2</v>
      </c>
      <c r="S193">
        <v>3.2734679999999998</v>
      </c>
      <c r="T193">
        <v>-0.43873479999999998</v>
      </c>
      <c r="U193">
        <v>3.0456540000000001E-2</v>
      </c>
      <c r="V193">
        <v>-6.5442760000000003E-2</v>
      </c>
      <c r="W193">
        <v>0.28950720000000002</v>
      </c>
      <c r="X193">
        <v>0.95493600000000001</v>
      </c>
      <c r="Y193">
        <v>-3.4058159999999997E-2</v>
      </c>
      <c r="Z193">
        <v>5.6729340000000001E-3</v>
      </c>
      <c r="AA193">
        <v>0.99940379999999995</v>
      </c>
      <c r="AB193">
        <v>18</v>
      </c>
      <c r="AC193">
        <v>0.67810000000002801</v>
      </c>
      <c r="AD193">
        <v>-0.11429830000000001</v>
      </c>
      <c r="AE193">
        <v>1.2200000000007E-2</v>
      </c>
      <c r="AF193">
        <v>-2.8536689113050202E-2</v>
      </c>
      <c r="AG193">
        <v>-0.11429830000000001</v>
      </c>
      <c r="AH193">
        <v>0.65886139960708101</v>
      </c>
      <c r="AI193">
        <v>99.832601479531704</v>
      </c>
      <c r="AJ193">
        <v>92.480052087185797</v>
      </c>
      <c r="AK193">
        <v>0.66931068114936398</v>
      </c>
      <c r="AL193">
        <v>73.171544350457907</v>
      </c>
      <c r="AM193">
        <v>93.920409785934496</v>
      </c>
      <c r="AN193">
        <v>0.99999996889212805</v>
      </c>
    </row>
    <row r="194" spans="1:40" x14ac:dyDescent="0.25">
      <c r="A194" t="str">
        <f>"20190304164104358"</f>
        <v>20190304164104358</v>
      </c>
      <c r="B194" t="str">
        <f>"1551688864351630"</f>
        <v>1551688864351630</v>
      </c>
      <c r="C194" t="s">
        <v>40</v>
      </c>
      <c r="D194">
        <v>4.7925630000000004</v>
      </c>
      <c r="E194">
        <v>0.526933599999999</v>
      </c>
      <c r="F194" t="s">
        <v>41</v>
      </c>
      <c r="G194">
        <v>-467.41680000000002</v>
      </c>
      <c r="H194">
        <v>0.99536999999999998</v>
      </c>
      <c r="I194">
        <v>367.07029999999997</v>
      </c>
      <c r="J194">
        <v>-468.14179999999999</v>
      </c>
      <c r="K194">
        <v>1.108363</v>
      </c>
      <c r="L194">
        <v>367.0575</v>
      </c>
      <c r="M194">
        <v>0.99967329999999999</v>
      </c>
      <c r="N194">
        <v>3.2409240000000001E-3</v>
      </c>
      <c r="O194">
        <v>-2.5355539999999999E-2</v>
      </c>
      <c r="P194">
        <v>0.95526889999999998</v>
      </c>
      <c r="Q194">
        <v>0.2927149</v>
      </c>
      <c r="R194">
        <v>4.2183890000000002E-2</v>
      </c>
      <c r="S194">
        <v>3.2727050000000002</v>
      </c>
      <c r="T194">
        <v>-0.43778840000000002</v>
      </c>
      <c r="U194">
        <v>3.7323000000000002E-2</v>
      </c>
      <c r="V194">
        <v>-6.6375080000000003E-2</v>
      </c>
      <c r="W194">
        <v>0.28962549999999998</v>
      </c>
      <c r="X194">
        <v>0.95483580000000001</v>
      </c>
      <c r="Y194">
        <v>-3.6202489999999997E-2</v>
      </c>
      <c r="Z194">
        <v>5.8099659999999997E-3</v>
      </c>
      <c r="AA194">
        <v>0.99932759999999998</v>
      </c>
      <c r="AB194">
        <v>18</v>
      </c>
      <c r="AC194">
        <v>0.72499999999996501</v>
      </c>
      <c r="AD194">
        <v>-0.112992999999999</v>
      </c>
      <c r="AE194">
        <v>1.2799999999970099E-2</v>
      </c>
      <c r="AF194">
        <v>-3.0439599988354101E-2</v>
      </c>
      <c r="AG194">
        <v>-0.112992999999999</v>
      </c>
      <c r="AH194">
        <v>0.70726818192601704</v>
      </c>
      <c r="AI194">
        <v>99.068600384514994</v>
      </c>
      <c r="AJ194">
        <v>92.464390470482698</v>
      </c>
      <c r="AK194">
        <v>0.71688372032107395</v>
      </c>
      <c r="AL194">
        <v>73.164463296442406</v>
      </c>
      <c r="AM194">
        <v>93.976499310236605</v>
      </c>
      <c r="AN194">
        <v>0.99999999322844801</v>
      </c>
    </row>
    <row r="195" spans="1:40" x14ac:dyDescent="0.25">
      <c r="A195" t="str">
        <f>"20190304164104378"</f>
        <v>20190304164104378</v>
      </c>
      <c r="B195" t="str">
        <f>"1551688864371657"</f>
        <v>1551688864371657</v>
      </c>
      <c r="C195" t="s">
        <v>40</v>
      </c>
      <c r="D195">
        <v>4.7411180000000002</v>
      </c>
      <c r="E195">
        <v>0.52709839999999997</v>
      </c>
      <c r="F195" t="s">
        <v>41</v>
      </c>
      <c r="G195">
        <v>-467.41</v>
      </c>
      <c r="H195">
        <v>1.0106649999999999</v>
      </c>
      <c r="I195">
        <v>367.06650000000002</v>
      </c>
      <c r="J195">
        <v>-467.98820000000001</v>
      </c>
      <c r="K195">
        <v>1.108368</v>
      </c>
      <c r="L195">
        <v>367.05349999999999</v>
      </c>
      <c r="M195">
        <v>0.99967119999999998</v>
      </c>
      <c r="N195">
        <v>3.2315289999999999E-3</v>
      </c>
      <c r="O195">
        <v>-2.543788E-2</v>
      </c>
      <c r="P195">
        <v>0.95519560000000003</v>
      </c>
      <c r="Q195">
        <v>0.29277259999999899</v>
      </c>
      <c r="R195">
        <v>4.342215E-2</v>
      </c>
      <c r="S195">
        <v>3.2725520000000001</v>
      </c>
      <c r="T195">
        <v>-0.43676759999999898</v>
      </c>
      <c r="U195">
        <v>3.9672850000000003E-2</v>
      </c>
      <c r="V195">
        <v>-6.7685720000000005E-2</v>
      </c>
      <c r="W195">
        <v>0.2896939</v>
      </c>
      <c r="X195">
        <v>0.95472310000000005</v>
      </c>
      <c r="Y195">
        <v>-3.6997660000000002E-2</v>
      </c>
      <c r="Z195">
        <v>5.8595180000000002E-3</v>
      </c>
      <c r="AA195">
        <v>0.99929820000000003</v>
      </c>
      <c r="AB195">
        <v>18</v>
      </c>
      <c r="AC195">
        <v>0.57819999999998095</v>
      </c>
      <c r="AD195">
        <v>-9.7703000000000095E-2</v>
      </c>
      <c r="AE195">
        <v>1.3000000000033599E-2</v>
      </c>
      <c r="AF195">
        <v>-2.6935341788600301E-2</v>
      </c>
      <c r="AG195">
        <v>-9.7703000000000095E-2</v>
      </c>
      <c r="AH195">
        <v>0.56165313123288196</v>
      </c>
      <c r="AI195">
        <v>99.857096557830602</v>
      </c>
      <c r="AJ195">
        <v>92.745644630832103</v>
      </c>
      <c r="AK195">
        <v>0.57072377615617997</v>
      </c>
      <c r="AL195">
        <v>73.160369801561203</v>
      </c>
      <c r="AM195">
        <v>94.055236793070506</v>
      </c>
      <c r="AN195">
        <v>1.0000000550313599</v>
      </c>
    </row>
    <row r="196" spans="1:40" x14ac:dyDescent="0.25">
      <c r="A196" t="str">
        <f>"20190304164104392"</f>
        <v>20190304164104392</v>
      </c>
      <c r="B196" t="str">
        <f>"1551688864381417"</f>
        <v>1551688864381417</v>
      </c>
      <c r="C196" t="s">
        <v>40</v>
      </c>
      <c r="D196">
        <v>4.754321</v>
      </c>
      <c r="E196">
        <v>0.52709839999999997</v>
      </c>
      <c r="F196" t="s">
        <v>41</v>
      </c>
      <c r="G196">
        <v>-467.24290000000002</v>
      </c>
      <c r="H196">
        <v>1.0093289999999999</v>
      </c>
      <c r="I196">
        <v>367.0625</v>
      </c>
      <c r="J196">
        <v>-467.8759</v>
      </c>
      <c r="K196">
        <v>1.1083689999999999</v>
      </c>
      <c r="L196">
        <v>367.05059999999997</v>
      </c>
      <c r="M196">
        <v>0.9996699</v>
      </c>
      <c r="N196">
        <v>3.2192000000000002E-3</v>
      </c>
      <c r="O196">
        <v>-2.5496499999999998E-2</v>
      </c>
      <c r="P196">
        <v>0.9550748</v>
      </c>
      <c r="Q196">
        <v>0.29304970000000002</v>
      </c>
      <c r="R196">
        <v>4.4207839999999998E-2</v>
      </c>
      <c r="S196">
        <v>3.272186</v>
      </c>
      <c r="T196">
        <v>-0.4351294</v>
      </c>
      <c r="U196">
        <v>4.1839599999999998E-2</v>
      </c>
      <c r="V196">
        <v>-6.8522089999999994E-2</v>
      </c>
      <c r="W196">
        <v>0.28998370000000001</v>
      </c>
      <c r="X196">
        <v>0.95457539999999996</v>
      </c>
      <c r="Y196">
        <v>-3.7716520000000003E-2</v>
      </c>
      <c r="Z196">
        <v>5.8927320000000004E-3</v>
      </c>
      <c r="AA196">
        <v>0.99927109999999997</v>
      </c>
      <c r="AB196">
        <v>19</v>
      </c>
      <c r="AC196">
        <v>0.63299999999998102</v>
      </c>
      <c r="AD196">
        <v>-9.9040000000000003E-2</v>
      </c>
      <c r="AE196">
        <v>1.19000000000255E-2</v>
      </c>
      <c r="AF196">
        <v>-2.73658145497691E-2</v>
      </c>
      <c r="AG196">
        <v>-9.9040000000000003E-2</v>
      </c>
      <c r="AH196">
        <v>0.61738253741821503</v>
      </c>
      <c r="AI196">
        <v>99.104903010608396</v>
      </c>
      <c r="AJ196">
        <v>92.538005069648406</v>
      </c>
      <c r="AK196">
        <v>0.62587459360076703</v>
      </c>
      <c r="AL196">
        <v>73.143019982810401</v>
      </c>
      <c r="AM196">
        <v>94.105808748622707</v>
      </c>
      <c r="AN196">
        <v>1.0000000086844001</v>
      </c>
    </row>
    <row r="197" spans="1:40" x14ac:dyDescent="0.25">
      <c r="A197" t="str">
        <f>"20190304164104404"</f>
        <v>20190304164104404</v>
      </c>
      <c r="B197" t="str">
        <f>"1551688864391177"</f>
        <v>1551688864391177</v>
      </c>
      <c r="C197" t="s">
        <v>40</v>
      </c>
      <c r="D197">
        <v>4.7142200000000001</v>
      </c>
      <c r="E197">
        <v>0.52164949999999999</v>
      </c>
      <c r="F197" t="s">
        <v>41</v>
      </c>
      <c r="G197">
        <v>-467.07600000000002</v>
      </c>
      <c r="H197">
        <v>1.0022660000000001</v>
      </c>
      <c r="I197">
        <v>367.06150000000002</v>
      </c>
      <c r="J197">
        <v>-467.7645</v>
      </c>
      <c r="K197">
        <v>1.108376</v>
      </c>
      <c r="L197">
        <v>367.04770000000002</v>
      </c>
      <c r="M197">
        <v>0.99966849999999996</v>
      </c>
      <c r="N197">
        <v>3.203596E-3</v>
      </c>
      <c r="O197">
        <v>-2.5552020000000002E-2</v>
      </c>
      <c r="P197">
        <v>0.9549938</v>
      </c>
      <c r="Q197">
        <v>0.29324410000000001</v>
      </c>
      <c r="R197">
        <v>4.4666699999999997E-2</v>
      </c>
      <c r="S197">
        <v>3.2722470000000001</v>
      </c>
      <c r="T197">
        <v>-0.43405440000000001</v>
      </c>
      <c r="U197">
        <v>4.4219969999999997E-2</v>
      </c>
      <c r="V197">
        <v>-6.9030910000000001E-2</v>
      </c>
      <c r="W197">
        <v>0.2901936</v>
      </c>
      <c r="X197">
        <v>0.95447490000000001</v>
      </c>
      <c r="Y197">
        <v>-3.8494180000000003E-2</v>
      </c>
      <c r="Z197">
        <v>5.9357319999999896E-3</v>
      </c>
      <c r="AA197">
        <v>0.99924120000000005</v>
      </c>
      <c r="AB197">
        <v>19</v>
      </c>
      <c r="AC197">
        <v>0.68850000000003297</v>
      </c>
      <c r="AD197">
        <v>-0.10611</v>
      </c>
      <c r="AE197">
        <v>1.3800000000003299E-2</v>
      </c>
      <c r="AF197">
        <v>-3.06601917066519E-2</v>
      </c>
      <c r="AG197">
        <v>-0.10611</v>
      </c>
      <c r="AH197">
        <v>0.67196823135775696</v>
      </c>
      <c r="AI197">
        <v>98.964263325715805</v>
      </c>
      <c r="AJ197">
        <v>92.612447959378898</v>
      </c>
      <c r="AK197">
        <v>0.68098508310355899</v>
      </c>
      <c r="AL197">
        <v>73.130452438155501</v>
      </c>
      <c r="AM197">
        <v>94.136625559820601</v>
      </c>
      <c r="AN197">
        <v>0.99999996337319796</v>
      </c>
    </row>
    <row r="198" spans="1:40" x14ac:dyDescent="0.25">
      <c r="A198" t="str">
        <f>"20190304164104422"</f>
        <v>20190304164104422</v>
      </c>
      <c r="B198" t="str">
        <f>"1551688864411674"</f>
        <v>1551688864411674</v>
      </c>
      <c r="C198" t="s">
        <v>40</v>
      </c>
      <c r="D198">
        <v>4.6595180000000003</v>
      </c>
      <c r="E198">
        <v>0.52049219999999996</v>
      </c>
      <c r="F198" t="s">
        <v>41</v>
      </c>
      <c r="G198">
        <v>-466.88819999999998</v>
      </c>
      <c r="H198">
        <v>1.0269379999999999</v>
      </c>
      <c r="I198">
        <v>367.06830000000002</v>
      </c>
      <c r="J198">
        <v>-467.6112</v>
      </c>
      <c r="K198">
        <v>1.1083879999999999</v>
      </c>
      <c r="L198">
        <v>367.0437</v>
      </c>
      <c r="M198">
        <v>0.99966690000000002</v>
      </c>
      <c r="N198">
        <v>3.1736630000000002E-3</v>
      </c>
      <c r="O198">
        <v>-2.561898E-2</v>
      </c>
      <c r="P198">
        <v>0.9546905</v>
      </c>
      <c r="Q198">
        <v>0.29416500000000001</v>
      </c>
      <c r="R198">
        <v>4.5092630000000002E-2</v>
      </c>
      <c r="S198">
        <v>3.2300420000000001</v>
      </c>
      <c r="T198">
        <v>-0.30028769999999999</v>
      </c>
      <c r="U198">
        <v>7.6202389999999995E-2</v>
      </c>
      <c r="V198">
        <v>-6.9513309999999995E-2</v>
      </c>
      <c r="W198">
        <v>0.29114400000000001</v>
      </c>
      <c r="X198">
        <v>0.95415039999999995</v>
      </c>
      <c r="Y198">
        <v>-4.886795E-2</v>
      </c>
      <c r="Z198">
        <v>4.6460069999999997E-3</v>
      </c>
      <c r="AA198">
        <v>0.99879439999999997</v>
      </c>
      <c r="AB198">
        <v>19</v>
      </c>
      <c r="AC198">
        <v>0.72300000000001297</v>
      </c>
      <c r="AD198">
        <v>-8.1449999999999995E-2</v>
      </c>
      <c r="AE198">
        <v>2.46000000000208E-2</v>
      </c>
      <c r="AF198">
        <v>-4.2574834089679797E-2</v>
      </c>
      <c r="AG198">
        <v>-8.1449999999999995E-2</v>
      </c>
      <c r="AH198">
        <v>0.71309286528761096</v>
      </c>
      <c r="AI198">
        <v>96.504643923422904</v>
      </c>
      <c r="AJ198">
        <v>93.416758382606005</v>
      </c>
      <c r="AK198">
        <v>0.71899106637138299</v>
      </c>
      <c r="AL198">
        <v>73.0735412102174</v>
      </c>
      <c r="AM198">
        <v>94.1668432653031</v>
      </c>
      <c r="AN198">
        <v>0.99999995741165704</v>
      </c>
    </row>
    <row r="199" spans="1:40" x14ac:dyDescent="0.25">
      <c r="A199" t="str">
        <f>"20190304164104435"</f>
        <v>20190304164104435</v>
      </c>
      <c r="B199" t="str">
        <f>"1551688864421433"</f>
        <v>1551688864421433</v>
      </c>
      <c r="C199" t="s">
        <v>40</v>
      </c>
      <c r="D199">
        <v>4.6448280000000004</v>
      </c>
      <c r="E199">
        <v>0.52047679999999996</v>
      </c>
      <c r="F199" t="s">
        <v>42</v>
      </c>
      <c r="G199">
        <v>-453.69549999999998</v>
      </c>
      <c r="H199" s="1">
        <v>-3.078798E-6</v>
      </c>
      <c r="I199">
        <v>367.40699999999998</v>
      </c>
      <c r="J199">
        <v>-467.49779999999998</v>
      </c>
      <c r="K199">
        <v>1.1084020000000001</v>
      </c>
      <c r="L199">
        <v>367.04079999999999</v>
      </c>
      <c r="M199">
        <v>0.99966600000000005</v>
      </c>
      <c r="N199">
        <v>3.1437919999999999E-3</v>
      </c>
      <c r="O199">
        <v>-2.5656849999999998E-2</v>
      </c>
      <c r="P199">
        <v>0.95465339999999999</v>
      </c>
      <c r="Q199">
        <v>0.29425440000000003</v>
      </c>
      <c r="R199">
        <v>4.5291039999999998E-2</v>
      </c>
      <c r="S199">
        <v>3.2173769999999999</v>
      </c>
      <c r="T199">
        <v>-0.2562643</v>
      </c>
      <c r="U199">
        <v>8.4014889999999995E-2</v>
      </c>
      <c r="V199">
        <v>-6.9749560000000002E-2</v>
      </c>
      <c r="W199">
        <v>0.2912612</v>
      </c>
      <c r="X199">
        <v>0.95409739999999998</v>
      </c>
      <c r="Y199">
        <v>-5.1499299999999998E-2</v>
      </c>
      <c r="Z199">
        <v>4.0867919999999997E-3</v>
      </c>
      <c r="AA199">
        <v>0.99866469999999896</v>
      </c>
      <c r="AB199">
        <v>19</v>
      </c>
      <c r="AC199">
        <v>13.802300000000001</v>
      </c>
      <c r="AD199">
        <v>-1.108405078798</v>
      </c>
      <c r="AE199">
        <v>0.36619999999999198</v>
      </c>
      <c r="AF199">
        <v>-0.71559306062588202</v>
      </c>
      <c r="AG199">
        <v>-1.108405078798</v>
      </c>
      <c r="AH199">
        <v>13.700070823135899</v>
      </c>
      <c r="AI199">
        <v>94.619174430019598</v>
      </c>
      <c r="AJ199">
        <v>92.990001800387404</v>
      </c>
      <c r="AK199">
        <v>13.7634507230586</v>
      </c>
      <c r="AL199">
        <v>73.066522127682404</v>
      </c>
      <c r="AM199">
        <v>94.181186116641399</v>
      </c>
      <c r="AN199">
        <v>0.99999996821619597</v>
      </c>
    </row>
    <row r="200" spans="1:40" x14ac:dyDescent="0.25">
      <c r="A200" t="str">
        <f>"20190304164104448"</f>
        <v>20190304164104448</v>
      </c>
      <c r="B200" t="str">
        <f>"1551688864441929"</f>
        <v>1551688864441929</v>
      </c>
      <c r="C200" t="s">
        <v>40</v>
      </c>
      <c r="D200">
        <v>4.6164249999999996</v>
      </c>
      <c r="E200">
        <v>0.52056800000000003</v>
      </c>
      <c r="F200" t="s">
        <v>42</v>
      </c>
      <c r="G200">
        <v>-453.02429999999998</v>
      </c>
      <c r="H200" s="1">
        <v>-3.3642310000000001E-6</v>
      </c>
      <c r="I200">
        <v>367.4212</v>
      </c>
      <c r="J200">
        <v>-467.3852</v>
      </c>
      <c r="K200">
        <v>1.1084050000000001</v>
      </c>
      <c r="L200">
        <v>367.0378</v>
      </c>
      <c r="M200">
        <v>0.99966509999999997</v>
      </c>
      <c r="N200">
        <v>3.1106649999999999E-3</v>
      </c>
      <c r="O200">
        <v>-2.568877E-2</v>
      </c>
      <c r="P200">
        <v>0.95463699999999996</v>
      </c>
      <c r="Q200">
        <v>0.29433759999999998</v>
      </c>
      <c r="R200">
        <v>4.5097079999999998E-2</v>
      </c>
      <c r="S200">
        <v>3.2144170000000001</v>
      </c>
      <c r="T200">
        <v>-0.24616399999999999</v>
      </c>
      <c r="U200">
        <v>8.4503170000000002E-2</v>
      </c>
      <c r="V200">
        <v>-6.9588269999999994E-2</v>
      </c>
      <c r="W200">
        <v>0.291375299999999</v>
      </c>
      <c r="X200">
        <v>0.95407439999999999</v>
      </c>
      <c r="Y200">
        <v>-5.1724470000000002E-2</v>
      </c>
      <c r="Z200">
        <v>3.940593E-3</v>
      </c>
      <c r="AA200">
        <v>0.99865360000000003</v>
      </c>
      <c r="AB200">
        <v>19</v>
      </c>
      <c r="AC200">
        <v>14.360900000000001</v>
      </c>
      <c r="AD200">
        <v>-1.1084083642310001</v>
      </c>
      <c r="AE200">
        <v>0.38339999999999402</v>
      </c>
      <c r="AF200">
        <v>-0.74773794148962303</v>
      </c>
      <c r="AG200">
        <v>-1.1084083642310001</v>
      </c>
      <c r="AH200">
        <v>14.2614151414368</v>
      </c>
      <c r="AI200">
        <v>94.438067445195301</v>
      </c>
      <c r="AJ200">
        <v>93.001317525025897</v>
      </c>
      <c r="AK200">
        <v>14.323953468489201</v>
      </c>
      <c r="AL200">
        <v>73.0596892901183</v>
      </c>
      <c r="AM200">
        <v>94.171651855502205</v>
      </c>
      <c r="AN200">
        <v>1.0000000267535201</v>
      </c>
    </row>
    <row r="201" spans="1:40" x14ac:dyDescent="0.25">
      <c r="A201" t="str">
        <f>"20190304164104460"</f>
        <v>20190304164104460</v>
      </c>
      <c r="B201" t="str">
        <f>"1551688864451690"</f>
        <v>1551688864451690</v>
      </c>
      <c r="C201" t="s">
        <v>40</v>
      </c>
      <c r="D201">
        <v>4.6078830000000002</v>
      </c>
      <c r="E201">
        <v>0.52072640000000003</v>
      </c>
      <c r="F201" t="s">
        <v>42</v>
      </c>
      <c r="G201">
        <v>-452.4332</v>
      </c>
      <c r="H201" s="1">
        <v>-3.617489E-6</v>
      </c>
      <c r="I201">
        <v>367.42320000000001</v>
      </c>
      <c r="J201">
        <v>-467.27229999999997</v>
      </c>
      <c r="K201">
        <v>1.1084210000000001</v>
      </c>
      <c r="L201">
        <v>367.03489999999999</v>
      </c>
      <c r="M201">
        <v>0.99966460000000001</v>
      </c>
      <c r="N201">
        <v>3.073784E-3</v>
      </c>
      <c r="O201">
        <v>-2.5714239999999999E-2</v>
      </c>
      <c r="P201">
        <v>0.95473859999999999</v>
      </c>
      <c r="Q201">
        <v>0.29400910000000002</v>
      </c>
      <c r="R201">
        <v>4.5085800000000002E-2</v>
      </c>
      <c r="S201">
        <v>3.2120359999999999</v>
      </c>
      <c r="T201">
        <v>-0.23811009999999999</v>
      </c>
      <c r="U201">
        <v>8.2794190000000004E-2</v>
      </c>
      <c r="V201">
        <v>-6.9607059999999998E-2</v>
      </c>
      <c r="W201">
        <v>0.29108060000000002</v>
      </c>
      <c r="X201">
        <v>0.95416299999999998</v>
      </c>
      <c r="Y201">
        <v>-5.1253779999999999E-2</v>
      </c>
      <c r="Z201">
        <v>3.800131E-3</v>
      </c>
      <c r="AA201">
        <v>0.99867839999999997</v>
      </c>
      <c r="AB201">
        <v>19</v>
      </c>
      <c r="AC201">
        <v>14.839099999999901</v>
      </c>
      <c r="AD201">
        <v>-1.10842461748899</v>
      </c>
      <c r="AE201">
        <v>0.38830000000001502</v>
      </c>
      <c r="AF201">
        <v>-0.76548148561833596</v>
      </c>
      <c r="AG201">
        <v>-1.10842461748899</v>
      </c>
      <c r="AH201">
        <v>14.7420111528806</v>
      </c>
      <c r="AI201">
        <v>94.294109995058307</v>
      </c>
      <c r="AJ201">
        <v>92.972423765541294</v>
      </c>
      <c r="AK201">
        <v>14.8034273014439</v>
      </c>
      <c r="AL201">
        <v>73.077339734078194</v>
      </c>
      <c r="AM201">
        <v>94.172388193475896</v>
      </c>
      <c r="AN201">
        <v>1.0000000445335999</v>
      </c>
    </row>
    <row r="202" spans="1:40" x14ac:dyDescent="0.25">
      <c r="A202" t="str">
        <f>"20190304164104479"</f>
        <v>20190304164104479</v>
      </c>
      <c r="B202" t="str">
        <f>"1551688864471209"</f>
        <v>1551688864471209</v>
      </c>
      <c r="C202" t="s">
        <v>40</v>
      </c>
      <c r="D202">
        <v>4.5831910000000002</v>
      </c>
      <c r="E202">
        <v>0.52113829999999906</v>
      </c>
      <c r="F202" t="s">
        <v>42</v>
      </c>
      <c r="G202">
        <v>-452.21499999999997</v>
      </c>
      <c r="H202" s="1">
        <v>-3.7118260000000001E-6</v>
      </c>
      <c r="I202">
        <v>367.41890000000001</v>
      </c>
      <c r="J202">
        <v>-467.10820000000001</v>
      </c>
      <c r="K202">
        <v>1.1084430000000001</v>
      </c>
      <c r="L202">
        <v>367.03059999999999</v>
      </c>
      <c r="M202">
        <v>0.99966460000000001</v>
      </c>
      <c r="N202">
        <v>3.0093730000000001E-3</v>
      </c>
      <c r="O202">
        <v>-2.5724440000000001E-2</v>
      </c>
      <c r="P202">
        <v>0.9548508</v>
      </c>
      <c r="Q202">
        <v>0.29367009999999899</v>
      </c>
      <c r="R202">
        <v>4.4922339999999998E-2</v>
      </c>
      <c r="S202">
        <v>3.21109</v>
      </c>
      <c r="T202">
        <v>-0.23637900000000001</v>
      </c>
      <c r="U202">
        <v>8.1909179999999998E-2</v>
      </c>
      <c r="V202">
        <v>-6.9465379999999993E-2</v>
      </c>
      <c r="W202">
        <v>0.29080089999999997</v>
      </c>
      <c r="X202">
        <v>0.95425859999999996</v>
      </c>
      <c r="Y202">
        <v>-5.1000040000000003E-2</v>
      </c>
      <c r="Z202">
        <v>3.765539E-3</v>
      </c>
      <c r="AA202">
        <v>0.99869160000000001</v>
      </c>
      <c r="AB202">
        <v>19</v>
      </c>
      <c r="AC202">
        <v>14.8932</v>
      </c>
      <c r="AD202">
        <v>-1.108446711826</v>
      </c>
      <c r="AE202">
        <v>0.38830000000001502</v>
      </c>
      <c r="AF202">
        <v>-0.76704644050594595</v>
      </c>
      <c r="AG202">
        <v>-1.108446711826</v>
      </c>
      <c r="AH202">
        <v>14.796376881671501</v>
      </c>
      <c r="AI202">
        <v>94.278494729547404</v>
      </c>
      <c r="AJ202">
        <v>92.967565528543105</v>
      </c>
      <c r="AK202">
        <v>14.857650661504801</v>
      </c>
      <c r="AL202">
        <v>73.094089864492503</v>
      </c>
      <c r="AM202">
        <v>94.163509823213801</v>
      </c>
      <c r="AN202">
        <v>1.0000000390666499</v>
      </c>
    </row>
    <row r="203" spans="1:40" x14ac:dyDescent="0.25">
      <c r="A203" t="str">
        <f>"20190304164104491"</f>
        <v>20190304164104491</v>
      </c>
      <c r="B203" t="str">
        <f>"1551688864481945"</f>
        <v>1551688864481945</v>
      </c>
      <c r="C203" t="s">
        <v>40</v>
      </c>
      <c r="D203">
        <v>4.6271719999999998</v>
      </c>
      <c r="E203">
        <v>0.52146729999999997</v>
      </c>
      <c r="F203" t="s">
        <v>42</v>
      </c>
      <c r="G203">
        <v>-451.94819999999999</v>
      </c>
      <c r="H203" s="1">
        <v>-3.8304349999999997E-6</v>
      </c>
      <c r="I203">
        <v>367.3954</v>
      </c>
      <c r="J203">
        <v>-466.99639999999999</v>
      </c>
      <c r="K203">
        <v>1.1084639999999999</v>
      </c>
      <c r="L203">
        <v>367.02780000000001</v>
      </c>
      <c r="M203">
        <v>0.99966529999999998</v>
      </c>
      <c r="N203">
        <v>2.9586460000000001E-3</v>
      </c>
      <c r="O203">
        <v>-2.5706659999999999E-2</v>
      </c>
      <c r="P203">
        <v>0.95489679999999999</v>
      </c>
      <c r="Q203">
        <v>0.29360160000000002</v>
      </c>
      <c r="R203">
        <v>4.4388950000000003E-2</v>
      </c>
      <c r="S203">
        <v>3.2104189999999999</v>
      </c>
      <c r="T203">
        <v>-0.2347349</v>
      </c>
      <c r="U203">
        <v>7.7270510000000001E-2</v>
      </c>
      <c r="V203">
        <v>-6.8926650000000006E-2</v>
      </c>
      <c r="W203">
        <v>0.29077809999999998</v>
      </c>
      <c r="X203">
        <v>0.95430459999999995</v>
      </c>
      <c r="Y203">
        <v>-4.9551970000000001E-2</v>
      </c>
      <c r="Z203">
        <v>3.68819E-3</v>
      </c>
      <c r="AA203">
        <v>0.99876480000000001</v>
      </c>
      <c r="AB203">
        <v>20</v>
      </c>
      <c r="AC203">
        <v>15.0482</v>
      </c>
      <c r="AD203">
        <v>-1.108467830435</v>
      </c>
      <c r="AE203">
        <v>0.367599999999981</v>
      </c>
      <c r="AF203">
        <v>-0.75025070725173504</v>
      </c>
      <c r="AG203">
        <v>-1.108467830435</v>
      </c>
      <c r="AH203">
        <v>14.9526927408922</v>
      </c>
      <c r="AI203">
        <v>94.234368508748702</v>
      </c>
      <c r="AJ203">
        <v>92.872404407410002</v>
      </c>
      <c r="AK203">
        <v>15.012481382448801</v>
      </c>
      <c r="AL203">
        <v>73.095455016936</v>
      </c>
      <c r="AM203">
        <v>94.131134033610493</v>
      </c>
      <c r="AN203">
        <v>1.0000000280504899</v>
      </c>
    </row>
    <row r="204" spans="1:40" x14ac:dyDescent="0.25">
      <c r="A204" t="str">
        <f>"20190304164104505"</f>
        <v>20190304164104505</v>
      </c>
      <c r="B204" t="str">
        <f>"1551688864491705"</f>
        <v>1551688864491705</v>
      </c>
      <c r="C204" t="s">
        <v>40</v>
      </c>
      <c r="D204">
        <v>4.5328229999999996</v>
      </c>
      <c r="E204">
        <v>0.52162229999999998</v>
      </c>
      <c r="F204" t="s">
        <v>42</v>
      </c>
      <c r="G204">
        <v>-451.86149999999998</v>
      </c>
      <c r="H204" s="1">
        <v>-3.8727229999999998E-6</v>
      </c>
      <c r="I204">
        <v>367.36680000000001</v>
      </c>
      <c r="J204">
        <v>-466.87360000000001</v>
      </c>
      <c r="K204">
        <v>1.1084909999999999</v>
      </c>
      <c r="L204">
        <v>367.0247</v>
      </c>
      <c r="M204">
        <v>0.99966639999999996</v>
      </c>
      <c r="N204">
        <v>2.898908E-3</v>
      </c>
      <c r="O204">
        <v>-2.5669689999999998E-2</v>
      </c>
      <c r="P204">
        <v>0.95500350000000001</v>
      </c>
      <c r="Q204">
        <v>0.29325709999999999</v>
      </c>
      <c r="R204">
        <v>4.4369939999999997E-2</v>
      </c>
      <c r="S204">
        <v>3.210693</v>
      </c>
      <c r="T204">
        <v>-0.23514779999999999</v>
      </c>
      <c r="U204">
        <v>7.1929930000000003E-2</v>
      </c>
      <c r="V204">
        <v>-6.8888870000000005E-2</v>
      </c>
      <c r="W204">
        <v>0.290487</v>
      </c>
      <c r="X204">
        <v>0.95439589999999996</v>
      </c>
      <c r="Y204">
        <v>-4.7856280000000001E-2</v>
      </c>
      <c r="Z204">
        <v>3.6320010000000002E-3</v>
      </c>
      <c r="AA204">
        <v>0.99884759999999995</v>
      </c>
      <c r="AB204">
        <v>20</v>
      </c>
      <c r="AC204">
        <v>15.0121</v>
      </c>
      <c r="AD204">
        <v>-1.108494872723</v>
      </c>
      <c r="AE204">
        <v>0.342100000000016</v>
      </c>
      <c r="AF204">
        <v>-0.723402590958373</v>
      </c>
      <c r="AG204">
        <v>-1.108494872723</v>
      </c>
      <c r="AH204">
        <v>14.9170804541516</v>
      </c>
      <c r="AI204">
        <v>94.244893381519304</v>
      </c>
      <c r="AJ204">
        <v>92.776379026696304</v>
      </c>
      <c r="AK204">
        <v>14.975692353513701</v>
      </c>
      <c r="AL204">
        <v>73.112884949016404</v>
      </c>
      <c r="AM204">
        <v>94.128483900754205</v>
      </c>
      <c r="AN204">
        <v>0.99999995375784201</v>
      </c>
    </row>
    <row r="205" spans="1:40" x14ac:dyDescent="0.25">
      <c r="A205" t="str">
        <f>"20190304164104524"</f>
        <v>20190304164104524</v>
      </c>
      <c r="B205" t="str">
        <f>"1551688864511225"</f>
        <v>1551688864511225</v>
      </c>
      <c r="C205" t="s">
        <v>40</v>
      </c>
      <c r="D205">
        <v>4.5068239999999999</v>
      </c>
      <c r="E205">
        <v>0.52180219999999999</v>
      </c>
      <c r="F205" t="s">
        <v>42</v>
      </c>
      <c r="G205">
        <v>-451.78269999999998</v>
      </c>
      <c r="H205" s="1">
        <v>-3.9090280000000001E-6</v>
      </c>
      <c r="I205">
        <v>367.35270000000003</v>
      </c>
      <c r="J205">
        <v>-466.70260000000002</v>
      </c>
      <c r="K205">
        <v>1.108533</v>
      </c>
      <c r="L205">
        <v>367.02030000000002</v>
      </c>
      <c r="M205">
        <v>0.99966929999999998</v>
      </c>
      <c r="N205">
        <v>2.8062830000000001E-3</v>
      </c>
      <c r="O205">
        <v>-2.5568239999999999E-2</v>
      </c>
      <c r="P205">
        <v>0.95551209999999998</v>
      </c>
      <c r="Q205">
        <v>0.29172290000000001</v>
      </c>
      <c r="R205">
        <v>4.3530489999999998E-2</v>
      </c>
      <c r="S205">
        <v>3.2105100000000002</v>
      </c>
      <c r="T205">
        <v>-0.2358258</v>
      </c>
      <c r="U205">
        <v>6.97937E-2</v>
      </c>
      <c r="V205">
        <v>-6.7990789999999995E-2</v>
      </c>
      <c r="W205">
        <v>0.28903440000000002</v>
      </c>
      <c r="X205">
        <v>0.95490120000000001</v>
      </c>
      <c r="Y205">
        <v>-4.7093000000000003E-2</v>
      </c>
      <c r="Z205">
        <v>3.6078600000000001E-3</v>
      </c>
      <c r="AA205">
        <v>0.99888399999999999</v>
      </c>
      <c r="AB205">
        <v>20</v>
      </c>
      <c r="AC205">
        <v>14.9199</v>
      </c>
      <c r="AD205">
        <v>-1.108536909028</v>
      </c>
      <c r="AE205">
        <v>0.33240000000000602</v>
      </c>
      <c r="AF205">
        <v>-0.70985165337934397</v>
      </c>
      <c r="AG205">
        <v>-1.108536909028</v>
      </c>
      <c r="AH205">
        <v>14.824725991640101</v>
      </c>
      <c r="AI205">
        <v>94.271527061041894</v>
      </c>
      <c r="AJ205">
        <v>92.741397241854997</v>
      </c>
      <c r="AK205">
        <v>14.8830522466224</v>
      </c>
      <c r="AL205">
        <v>73.199843632780698</v>
      </c>
      <c r="AM205">
        <v>94.072695793094198</v>
      </c>
      <c r="AN205">
        <v>0.99999996683481096</v>
      </c>
    </row>
    <row r="206" spans="1:40" x14ac:dyDescent="0.25">
      <c r="A206" t="str">
        <f>"20190304164104539"</f>
        <v>20190304164104539</v>
      </c>
      <c r="B206" t="str">
        <f>"1551688864531721"</f>
        <v>1551688864531721</v>
      </c>
      <c r="C206" t="s">
        <v>40</v>
      </c>
      <c r="D206">
        <v>4.4763199999999896</v>
      </c>
      <c r="E206">
        <v>0.52202179999999998</v>
      </c>
      <c r="F206" t="s">
        <v>42</v>
      </c>
      <c r="G206">
        <v>-451.53609999999998</v>
      </c>
      <c r="H206" s="1">
        <v>-4.0209919999999999E-6</v>
      </c>
      <c r="I206">
        <v>367.31799999999998</v>
      </c>
      <c r="J206">
        <v>-466.55880000000002</v>
      </c>
      <c r="K206">
        <v>1.1085780000000001</v>
      </c>
      <c r="L206">
        <v>367.01670000000001</v>
      </c>
      <c r="M206">
        <v>0.99967269999999997</v>
      </c>
      <c r="N206">
        <v>2.722192E-3</v>
      </c>
      <c r="O206">
        <v>-2.5438189999999999E-2</v>
      </c>
      <c r="P206">
        <v>0.95580039999999999</v>
      </c>
      <c r="Q206">
        <v>0.29086289999999998</v>
      </c>
      <c r="R206">
        <v>4.2948840000000002E-2</v>
      </c>
      <c r="S206">
        <v>3.208405</v>
      </c>
      <c r="T206">
        <v>-0.23450360000000001</v>
      </c>
      <c r="U206">
        <v>6.2988279999999994E-2</v>
      </c>
      <c r="V206">
        <v>-6.7317150000000006E-2</v>
      </c>
      <c r="W206">
        <v>0.2882477</v>
      </c>
      <c r="X206">
        <v>0.95518670000000006</v>
      </c>
      <c r="Y206">
        <v>-4.4867360000000002E-2</v>
      </c>
      <c r="Z206">
        <v>3.501938E-3</v>
      </c>
      <c r="AA206">
        <v>0.99898679999999995</v>
      </c>
      <c r="AB206">
        <v>20</v>
      </c>
      <c r="AC206">
        <v>15.0227</v>
      </c>
      <c r="AD206">
        <v>-1.1085820209919901</v>
      </c>
      <c r="AE206">
        <v>0.30130000000002599</v>
      </c>
      <c r="AF206">
        <v>-0.67965461955735396</v>
      </c>
      <c r="AG206">
        <v>-1.1085820209919901</v>
      </c>
      <c r="AH206">
        <v>14.928910962867899</v>
      </c>
      <c r="AI206">
        <v>94.2424626209975</v>
      </c>
      <c r="AJ206">
        <v>92.606651694780098</v>
      </c>
      <c r="AK206">
        <v>14.985435163397501</v>
      </c>
      <c r="AL206">
        <v>73.246922292684999</v>
      </c>
      <c r="AM206">
        <v>94.031276756437094</v>
      </c>
      <c r="AN206">
        <v>0.99999998354815101</v>
      </c>
    </row>
    <row r="207" spans="1:40" x14ac:dyDescent="0.25">
      <c r="A207" t="str">
        <f>"20190304164104557"</f>
        <v>20190304164104557</v>
      </c>
      <c r="B207" t="str">
        <f>"1551688864552217"</f>
        <v>1551688864552217</v>
      </c>
      <c r="C207" t="s">
        <v>40</v>
      </c>
      <c r="D207">
        <v>4.8973890000000004</v>
      </c>
      <c r="E207">
        <v>0.52223529999999996</v>
      </c>
      <c r="F207" t="s">
        <v>42</v>
      </c>
      <c r="G207">
        <v>-451.27940000000001</v>
      </c>
      <c r="H207" s="1">
        <v>-4.1351350000000003E-6</v>
      </c>
      <c r="I207">
        <v>367.29520000000002</v>
      </c>
      <c r="J207">
        <v>-466.4033</v>
      </c>
      <c r="K207">
        <v>1.1086309999999999</v>
      </c>
      <c r="L207">
        <v>367.0129</v>
      </c>
      <c r="M207">
        <v>0.9996777</v>
      </c>
      <c r="N207">
        <v>2.6275819999999998E-3</v>
      </c>
      <c r="O207">
        <v>-2.5252230000000001E-2</v>
      </c>
      <c r="P207">
        <v>0.95623740000000002</v>
      </c>
      <c r="Q207">
        <v>0.28953709999999999</v>
      </c>
      <c r="R207">
        <v>4.217158E-2</v>
      </c>
      <c r="S207">
        <v>3.2069399999999999</v>
      </c>
      <c r="T207">
        <v>-0.23267579999999999</v>
      </c>
      <c r="U207">
        <v>5.8471679999999998E-2</v>
      </c>
      <c r="V207">
        <v>-6.6402000000000003E-2</v>
      </c>
      <c r="W207">
        <v>0.2870046</v>
      </c>
      <c r="X207">
        <v>0.95562499999999995</v>
      </c>
      <c r="Y207">
        <v>-4.3291250000000003E-2</v>
      </c>
      <c r="Z207">
        <v>3.4071370000000002E-3</v>
      </c>
      <c r="AA207">
        <v>0.99905670000000002</v>
      </c>
      <c r="AB207">
        <v>20</v>
      </c>
      <c r="AC207">
        <v>15.1238999999999</v>
      </c>
      <c r="AD207">
        <v>-1.1086351351349999</v>
      </c>
      <c r="AE207">
        <v>0.28230000000001998</v>
      </c>
      <c r="AF207">
        <v>-0.66057517843679703</v>
      </c>
      <c r="AG207">
        <v>-1.1086351351349999</v>
      </c>
      <c r="AH207">
        <v>15.031207746206899</v>
      </c>
      <c r="AI207">
        <v>94.214191551348904</v>
      </c>
      <c r="AJ207">
        <v>92.516353497810499</v>
      </c>
      <c r="AK207">
        <v>15.086505153243801</v>
      </c>
      <c r="AL207">
        <v>73.321289564496098</v>
      </c>
      <c r="AM207">
        <v>93.974832125123598</v>
      </c>
      <c r="AN207">
        <v>1.00000000332507</v>
      </c>
    </row>
    <row r="208" spans="1:40" x14ac:dyDescent="0.25">
      <c r="A208" t="str">
        <f>"20190304164104569"</f>
        <v>20190304164104569</v>
      </c>
      <c r="B208" t="str">
        <f>"1551688864561978"</f>
        <v>1551688864561978</v>
      </c>
      <c r="C208" t="s">
        <v>40</v>
      </c>
      <c r="D208">
        <v>4.4290139999999996</v>
      </c>
      <c r="E208">
        <v>0.52233339999999995</v>
      </c>
      <c r="F208" t="s">
        <v>42</v>
      </c>
      <c r="G208">
        <v>-451.09699999999998</v>
      </c>
      <c r="H208" s="1">
        <v>-4.2190809999999997E-6</v>
      </c>
      <c r="I208">
        <v>367.26319999999998</v>
      </c>
      <c r="J208">
        <v>-466.27210000000002</v>
      </c>
      <c r="K208">
        <v>1.108679</v>
      </c>
      <c r="L208">
        <v>367.00979999999998</v>
      </c>
      <c r="M208">
        <v>0.99968270000000004</v>
      </c>
      <c r="N208">
        <v>2.5463539999999998E-3</v>
      </c>
      <c r="O208">
        <v>-2.5061030000000001E-2</v>
      </c>
      <c r="P208">
        <v>0.95644229999999997</v>
      </c>
      <c r="Q208">
        <v>0.28884749999999998</v>
      </c>
      <c r="R208">
        <v>4.2251869999999997E-2</v>
      </c>
      <c r="S208">
        <v>3.2053530000000001</v>
      </c>
      <c r="T208">
        <v>-0.2321618</v>
      </c>
      <c r="U208">
        <v>5.2429199999999898E-2</v>
      </c>
      <c r="V208">
        <v>-6.6329589999999994E-2</v>
      </c>
      <c r="W208">
        <v>0.28638659999999999</v>
      </c>
      <c r="X208">
        <v>0.95581539999999998</v>
      </c>
      <c r="Y208">
        <v>-4.1232690000000002E-2</v>
      </c>
      <c r="Z208">
        <v>3.3149469999999999E-3</v>
      </c>
      <c r="AA208">
        <v>0.99914409999999998</v>
      </c>
      <c r="AB208">
        <v>21</v>
      </c>
      <c r="AC208">
        <v>15.1751</v>
      </c>
      <c r="AD208">
        <v>-1.1086832190809901</v>
      </c>
      <c r="AE208">
        <v>0.25339999999999901</v>
      </c>
      <c r="AF208">
        <v>-0.63026208008048201</v>
      </c>
      <c r="AG208">
        <v>-1.1086832190809901</v>
      </c>
      <c r="AH208">
        <v>15.083495039623401</v>
      </c>
      <c r="AI208">
        <v>94.200203950611893</v>
      </c>
      <c r="AJ208">
        <v>92.392705572777302</v>
      </c>
      <c r="AK208">
        <v>15.1373125547504</v>
      </c>
      <c r="AL208">
        <v>73.358249642403905</v>
      </c>
      <c r="AM208">
        <v>93.969723121044098</v>
      </c>
      <c r="AN208">
        <v>0.99999998902314302</v>
      </c>
    </row>
    <row r="209" spans="1:40" x14ac:dyDescent="0.25">
      <c r="A209" t="str">
        <f>"20190304164104582"</f>
        <v>20190304164104582</v>
      </c>
      <c r="B209" t="str">
        <f>"1551688864571737"</f>
        <v>1551688864571737</v>
      </c>
      <c r="C209" t="s">
        <v>40</v>
      </c>
      <c r="D209">
        <v>4.4359089999999997</v>
      </c>
      <c r="E209">
        <v>0.52240710000000001</v>
      </c>
      <c r="F209" t="s">
        <v>42</v>
      </c>
      <c r="G209">
        <v>-450.99759999999998</v>
      </c>
      <c r="H209" s="1">
        <v>-4.2639989999999999E-6</v>
      </c>
      <c r="I209">
        <v>367.25029999999998</v>
      </c>
      <c r="J209">
        <v>-466.1617</v>
      </c>
      <c r="K209">
        <v>1.1087149999999999</v>
      </c>
      <c r="L209">
        <v>367.00720000000001</v>
      </c>
      <c r="M209">
        <v>0.99968729999999995</v>
      </c>
      <c r="N209">
        <v>2.4775750000000001E-3</v>
      </c>
      <c r="O209">
        <v>-2.48839E-2</v>
      </c>
      <c r="P209">
        <v>0.95660429999999996</v>
      </c>
      <c r="Q209">
        <v>0.2882594</v>
      </c>
      <c r="R209">
        <v>4.260017E-2</v>
      </c>
      <c r="S209">
        <v>3.2046199999999998</v>
      </c>
      <c r="T209">
        <v>-0.2326028</v>
      </c>
      <c r="U209">
        <v>5.0476069999999998E-2</v>
      </c>
      <c r="V209">
        <v>-6.6534239999999994E-2</v>
      </c>
      <c r="W209">
        <v>0.28585830000000001</v>
      </c>
      <c r="X209">
        <v>0.95595929999999996</v>
      </c>
      <c r="Y209">
        <v>-4.0452340000000003E-2</v>
      </c>
      <c r="Z209">
        <v>3.2810830000000002E-3</v>
      </c>
      <c r="AA209">
        <v>0.99917610000000001</v>
      </c>
      <c r="AB209">
        <v>21</v>
      </c>
      <c r="AC209">
        <v>15.164099999999999</v>
      </c>
      <c r="AD209">
        <v>-1.108719263999</v>
      </c>
      <c r="AE209">
        <v>0.24309999999996901</v>
      </c>
      <c r="AF209">
        <v>-0.61706995704580103</v>
      </c>
      <c r="AG209">
        <v>-1.108719263999</v>
      </c>
      <c r="AH209">
        <v>15.072800127421599</v>
      </c>
      <c r="AI209">
        <v>94.203455927533</v>
      </c>
      <c r="AJ209">
        <v>92.344340234580102</v>
      </c>
      <c r="AK209">
        <v>15.1261144190916</v>
      </c>
      <c r="AL209">
        <v>73.389839498428103</v>
      </c>
      <c r="AM209">
        <v>93.981334296388198</v>
      </c>
      <c r="AN209">
        <v>0.99999997801387797</v>
      </c>
    </row>
    <row r="210" spans="1:40" x14ac:dyDescent="0.25">
      <c r="A210" t="str">
        <f>"20190304164104594"</f>
        <v>20190304164104594</v>
      </c>
      <c r="B210" t="str">
        <f>"1551688864581496"</f>
        <v>1551688864581496</v>
      </c>
      <c r="C210" t="s">
        <v>40</v>
      </c>
      <c r="D210">
        <v>4.5148580000000003</v>
      </c>
      <c r="E210">
        <v>0.52246179999999998</v>
      </c>
      <c r="F210" t="s">
        <v>42</v>
      </c>
      <c r="G210">
        <v>-450.91590000000002</v>
      </c>
      <c r="H210" s="1">
        <v>-4.2999379999999999E-6</v>
      </c>
      <c r="I210">
        <v>367.24529999999999</v>
      </c>
      <c r="J210">
        <v>-466.04160000000002</v>
      </c>
      <c r="K210">
        <v>1.1087530000000001</v>
      </c>
      <c r="L210">
        <v>367.00439999999998</v>
      </c>
      <c r="M210">
        <v>0.99969330000000001</v>
      </c>
      <c r="N210">
        <v>2.403376E-3</v>
      </c>
      <c r="O210">
        <v>-2.465359E-2</v>
      </c>
      <c r="P210">
        <v>0.95670809999999995</v>
      </c>
      <c r="Q210">
        <v>0.28787839999999998</v>
      </c>
      <c r="R210">
        <v>4.2848030000000002E-2</v>
      </c>
      <c r="S210">
        <v>3.2040709999999999</v>
      </c>
      <c r="T210">
        <v>-0.2330092</v>
      </c>
      <c r="U210">
        <v>5.0048830000000002E-2</v>
      </c>
      <c r="V210">
        <v>-6.6585899999999906E-2</v>
      </c>
      <c r="W210">
        <v>0.28554309999999899</v>
      </c>
      <c r="X210">
        <v>0.95604990000000001</v>
      </c>
      <c r="Y210">
        <v>-4.0092570000000001E-2</v>
      </c>
      <c r="Z210">
        <v>3.2570950000000002E-3</v>
      </c>
      <c r="AA210">
        <v>0.99919069999999999</v>
      </c>
      <c r="AB210">
        <v>21</v>
      </c>
      <c r="AC210">
        <v>15.125699999999901</v>
      </c>
      <c r="AD210">
        <v>-1.108757299938</v>
      </c>
      <c r="AE210">
        <v>0.24090000000001</v>
      </c>
      <c r="AF210">
        <v>-0.61045129878717797</v>
      </c>
      <c r="AG210">
        <v>-1.108757299938</v>
      </c>
      <c r="AH210">
        <v>15.0343994876041</v>
      </c>
      <c r="AI210">
        <v>94.214355125801106</v>
      </c>
      <c r="AJ210">
        <v>92.325139807564099</v>
      </c>
      <c r="AK210">
        <v>15.0875830235073</v>
      </c>
      <c r="AL210">
        <v>73.408684607860195</v>
      </c>
      <c r="AM210">
        <v>93.9840392532126</v>
      </c>
      <c r="AN210">
        <v>0.99999997766321402</v>
      </c>
    </row>
    <row r="211" spans="1:40" x14ac:dyDescent="0.25">
      <c r="A211" t="str">
        <f>"20190304164104611"</f>
        <v>20190304164104611</v>
      </c>
      <c r="B211" t="str">
        <f>"1551688864601993"</f>
        <v>1551688864601993</v>
      </c>
      <c r="C211" t="s">
        <v>40</v>
      </c>
      <c r="D211">
        <v>4.4254790000000002</v>
      </c>
      <c r="E211">
        <v>0.5226518</v>
      </c>
      <c r="F211" t="s">
        <v>42</v>
      </c>
      <c r="G211">
        <v>-450.74540000000002</v>
      </c>
      <c r="H211" s="1">
        <v>-4.373763E-6</v>
      </c>
      <c r="I211">
        <v>367.2414</v>
      </c>
      <c r="J211">
        <v>-465.87729999999999</v>
      </c>
      <c r="K211">
        <v>1.108795</v>
      </c>
      <c r="L211">
        <v>367.00060000000002</v>
      </c>
      <c r="M211">
        <v>0.99970170000000003</v>
      </c>
      <c r="N211">
        <v>2.3031250000000001E-3</v>
      </c>
      <c r="O211">
        <v>-2.431432E-2</v>
      </c>
      <c r="P211">
        <v>0.95664020000000005</v>
      </c>
      <c r="Q211">
        <v>0.28787380000000001</v>
      </c>
      <c r="R211">
        <v>4.4364489999999999E-2</v>
      </c>
      <c r="S211">
        <v>3.2033999999999998</v>
      </c>
      <c r="T211">
        <v>-0.23219980000000001</v>
      </c>
      <c r="U211">
        <v>4.9652099999999998E-2</v>
      </c>
      <c r="V211">
        <v>-6.780311E-2</v>
      </c>
      <c r="W211">
        <v>0.28562710000000002</v>
      </c>
      <c r="X211">
        <v>0.95593930000000005</v>
      </c>
      <c r="Y211">
        <v>-3.9636289999999998E-2</v>
      </c>
      <c r="Z211">
        <v>3.2047479999999999E-3</v>
      </c>
      <c r="AA211">
        <v>0.99920900000000001</v>
      </c>
      <c r="AB211">
        <v>21</v>
      </c>
      <c r="AC211">
        <v>15.1318999999999</v>
      </c>
      <c r="AD211">
        <v>-1.108799373763</v>
      </c>
      <c r="AE211">
        <v>0.240799999999978</v>
      </c>
      <c r="AF211">
        <v>-0.60540187722826899</v>
      </c>
      <c r="AG211">
        <v>-1.108799373763</v>
      </c>
      <c r="AH211">
        <v>15.040832976779299</v>
      </c>
      <c r="AI211">
        <v>94.212778086219998</v>
      </c>
      <c r="AJ211">
        <v>92.304942719021</v>
      </c>
      <c r="AK211">
        <v>15.093793562904599</v>
      </c>
      <c r="AL211">
        <v>73.403663398016207</v>
      </c>
      <c r="AM211">
        <v>94.057095473855995</v>
      </c>
      <c r="AN211">
        <v>1.0000000236322799</v>
      </c>
    </row>
    <row r="212" spans="1:40" x14ac:dyDescent="0.25">
      <c r="A212" t="str">
        <f>"20190304164104626"</f>
        <v>20190304164104626</v>
      </c>
      <c r="B212" t="str">
        <f>"1551688864611754"</f>
        <v>1551688864611754</v>
      </c>
      <c r="C212" t="s">
        <v>40</v>
      </c>
      <c r="D212">
        <v>4.4287789999999996</v>
      </c>
      <c r="E212">
        <v>0.5226518</v>
      </c>
      <c r="F212" t="s">
        <v>42</v>
      </c>
      <c r="G212">
        <v>-450.34739999999999</v>
      </c>
      <c r="H212" s="1">
        <v>-4.5436279999999999E-6</v>
      </c>
      <c r="I212">
        <v>367.24639999999999</v>
      </c>
      <c r="J212">
        <v>-465.74299999999999</v>
      </c>
      <c r="K212">
        <v>1.108832</v>
      </c>
      <c r="L212">
        <v>366.99770000000001</v>
      </c>
      <c r="M212">
        <v>0.99970910000000002</v>
      </c>
      <c r="N212">
        <v>2.2228700000000001E-3</v>
      </c>
      <c r="O212">
        <v>-2.401652E-2</v>
      </c>
      <c r="P212">
        <v>0.95660089999999998</v>
      </c>
      <c r="Q212">
        <v>0.28782659999999999</v>
      </c>
      <c r="R212">
        <v>4.5505709999999998E-2</v>
      </c>
      <c r="S212">
        <v>3.202423</v>
      </c>
      <c r="T212">
        <v>-0.22864390000000001</v>
      </c>
      <c r="U212">
        <v>5.0689699999999997E-2</v>
      </c>
      <c r="V212">
        <v>-6.8677730000000006E-2</v>
      </c>
      <c r="W212">
        <v>0.28565180000000001</v>
      </c>
      <c r="X212">
        <v>0.95586939999999998</v>
      </c>
      <c r="Y212">
        <v>-3.9672760000000001E-2</v>
      </c>
      <c r="Z212">
        <v>3.1359180000000001E-3</v>
      </c>
      <c r="AA212">
        <v>0.99920779999999998</v>
      </c>
      <c r="AB212">
        <v>21</v>
      </c>
      <c r="AC212">
        <v>15.3956</v>
      </c>
      <c r="AD212">
        <v>-1.1088365436280001</v>
      </c>
      <c r="AE212">
        <v>0.24869999999998499</v>
      </c>
      <c r="AF212">
        <v>-0.61518757699681503</v>
      </c>
      <c r="AG212">
        <v>-1.1088365436280001</v>
      </c>
      <c r="AH212">
        <v>15.305811170638201</v>
      </c>
      <c r="AI212">
        <v>94.140249025944001</v>
      </c>
      <c r="AJ212">
        <v>92.301654521477204</v>
      </c>
      <c r="AK212">
        <v>15.358249569094999</v>
      </c>
      <c r="AL212">
        <v>73.402185335685104</v>
      </c>
      <c r="AM212">
        <v>94.109550930541801</v>
      </c>
      <c r="AN212">
        <v>0.99999994564877404</v>
      </c>
    </row>
    <row r="213" spans="1:40" x14ac:dyDescent="0.25">
      <c r="A213" t="str">
        <f>"20190304164104639"</f>
        <v>20190304164104639</v>
      </c>
      <c r="B213" t="str">
        <f>"1551688864631273"</f>
        <v>1551688864631273</v>
      </c>
      <c r="C213" t="s">
        <v>40</v>
      </c>
      <c r="D213">
        <v>4.348948</v>
      </c>
      <c r="E213">
        <v>0.52283119999999905</v>
      </c>
      <c r="F213" t="s">
        <v>42</v>
      </c>
      <c r="G213">
        <v>-450.21800000000002</v>
      </c>
      <c r="H213" s="1">
        <v>-4.5972109999999999E-6</v>
      </c>
      <c r="I213">
        <v>367.25720000000001</v>
      </c>
      <c r="J213">
        <v>-465.60660000000001</v>
      </c>
      <c r="K213">
        <v>1.1088639999999901</v>
      </c>
      <c r="L213">
        <v>366.99470000000002</v>
      </c>
      <c r="M213">
        <v>0.99971710000000003</v>
      </c>
      <c r="N213">
        <v>2.1437470000000001E-3</v>
      </c>
      <c r="O213">
        <v>-2.3697010000000001E-2</v>
      </c>
      <c r="P213">
        <v>0.95642499999999997</v>
      </c>
      <c r="Q213">
        <v>0.28816550000000002</v>
      </c>
      <c r="R213">
        <v>4.7034689999999997E-2</v>
      </c>
      <c r="S213">
        <v>3.2023320000000002</v>
      </c>
      <c r="T213">
        <v>-0.22871739999999999</v>
      </c>
      <c r="U213">
        <v>5.3558349999999998E-2</v>
      </c>
      <c r="V213">
        <v>-6.991261E-2</v>
      </c>
      <c r="W213">
        <v>0.28606219999999999</v>
      </c>
      <c r="X213">
        <v>0.95565719999999998</v>
      </c>
      <c r="Y213">
        <v>-4.0248060000000002E-2</v>
      </c>
      <c r="Z213">
        <v>3.133093E-3</v>
      </c>
      <c r="AA213">
        <v>0.99918479999999998</v>
      </c>
      <c r="AB213">
        <v>22</v>
      </c>
      <c r="AC213">
        <v>15.388599999999901</v>
      </c>
      <c r="AD213">
        <v>-1.108868597211</v>
      </c>
      <c r="AE213">
        <v>0.26249999999998802</v>
      </c>
      <c r="AF213">
        <v>-0.62385255133885897</v>
      </c>
      <c r="AG213">
        <v>-1.108868597211</v>
      </c>
      <c r="AH213">
        <v>15.2986457283574</v>
      </c>
      <c r="AI213">
        <v>94.142203133616306</v>
      </c>
      <c r="AJ213">
        <v>92.335129920500805</v>
      </c>
      <c r="AK213">
        <v>15.351460604564</v>
      </c>
      <c r="AL213">
        <v>73.377648492073902</v>
      </c>
      <c r="AM213">
        <v>94.184109465846305</v>
      </c>
      <c r="AN213">
        <v>1.0000000196088401</v>
      </c>
    </row>
    <row r="214" spans="1:40" x14ac:dyDescent="0.25">
      <c r="A214" t="str">
        <f>"20190304164104657"</f>
        <v>20190304164104657</v>
      </c>
      <c r="B214" t="str">
        <f>"1551688864651770"</f>
        <v>1551688864651770</v>
      </c>
      <c r="C214" t="s">
        <v>40</v>
      </c>
      <c r="D214">
        <v>4.3901180000000002</v>
      </c>
      <c r="E214">
        <v>0.52295639999999999</v>
      </c>
      <c r="F214" t="s">
        <v>42</v>
      </c>
      <c r="G214">
        <v>-449.7996</v>
      </c>
      <c r="H214" s="1">
        <v>-6.8571430000000005E-7</v>
      </c>
      <c r="I214">
        <v>367.26909999999998</v>
      </c>
      <c r="J214">
        <v>-465.43970000000002</v>
      </c>
      <c r="K214">
        <v>1.108894</v>
      </c>
      <c r="L214">
        <v>366.99119999999999</v>
      </c>
      <c r="M214">
        <v>0.99972680000000003</v>
      </c>
      <c r="N214">
        <v>2.0512249999999998E-3</v>
      </c>
      <c r="O214">
        <v>-2.3291510000000001E-2</v>
      </c>
      <c r="P214">
        <v>0.95610019999999996</v>
      </c>
      <c r="Q214">
        <v>0.28880260000000002</v>
      </c>
      <c r="R214">
        <v>4.9657729999999997E-2</v>
      </c>
      <c r="S214">
        <v>3.2015989999999999</v>
      </c>
      <c r="T214">
        <v>-0.2245933</v>
      </c>
      <c r="U214">
        <v>5.5572509999999999E-2</v>
      </c>
      <c r="V214">
        <v>-7.2153229999999999E-2</v>
      </c>
      <c r="W214">
        <v>0.28678300000000001</v>
      </c>
      <c r="X214">
        <v>0.95527450000000003</v>
      </c>
      <c r="Y214">
        <v>-4.0481299999999998E-2</v>
      </c>
      <c r="Z214">
        <v>3.0559329999999998E-3</v>
      </c>
      <c r="AA214">
        <v>0.99917560000000005</v>
      </c>
      <c r="AB214">
        <v>22</v>
      </c>
      <c r="AC214">
        <v>15.6401</v>
      </c>
      <c r="AD214">
        <v>-1.1088946857143001</v>
      </c>
      <c r="AE214">
        <v>0.27789999999998799</v>
      </c>
      <c r="AF214">
        <v>-0.638896189939266</v>
      </c>
      <c r="AG214">
        <v>-1.1088946857143001</v>
      </c>
      <c r="AH214">
        <v>15.5512342898972</v>
      </c>
      <c r="AI214">
        <v>94.075197489225602</v>
      </c>
      <c r="AJ214">
        <v>92.352577316025602</v>
      </c>
      <c r="AK214">
        <v>15.603804782962399</v>
      </c>
      <c r="AL214">
        <v>73.334542969113798</v>
      </c>
      <c r="AM214">
        <v>94.319429371437394</v>
      </c>
      <c r="AN214">
        <v>0.99999997401934104</v>
      </c>
    </row>
    <row r="215" spans="1:40" x14ac:dyDescent="0.25">
      <c r="A215" t="str">
        <f>"20190304164104670"</f>
        <v>20190304164104670</v>
      </c>
      <c r="B215" t="str">
        <f>"1551688864661530"</f>
        <v>1551688864661530</v>
      </c>
      <c r="C215" t="s">
        <v>40</v>
      </c>
      <c r="D215">
        <v>4.387308</v>
      </c>
      <c r="E215">
        <v>0.52299149999999905</v>
      </c>
      <c r="F215" t="s">
        <v>42</v>
      </c>
      <c r="G215">
        <v>-449.42779999999999</v>
      </c>
      <c r="H215" s="1">
        <v>-8.1799959999999997E-7</v>
      </c>
      <c r="I215">
        <v>367.30849999999998</v>
      </c>
      <c r="J215">
        <v>-465.31229999999999</v>
      </c>
      <c r="K215">
        <v>1.1089070000000001</v>
      </c>
      <c r="L215">
        <v>366.98849999999999</v>
      </c>
      <c r="M215">
        <v>0.99973389999999995</v>
      </c>
      <c r="N215">
        <v>1.9840190000000001E-3</v>
      </c>
      <c r="O215">
        <v>-2.297923E-2</v>
      </c>
      <c r="P215">
        <v>0.9560128</v>
      </c>
      <c r="Q215">
        <v>0.28886460000000003</v>
      </c>
      <c r="R215">
        <v>5.0955199999999999E-2</v>
      </c>
      <c r="S215">
        <v>3.2014469999999999</v>
      </c>
      <c r="T215">
        <v>-0.22171450000000001</v>
      </c>
      <c r="U215">
        <v>6.3446039999999995E-2</v>
      </c>
      <c r="V215">
        <v>-7.3155189999999995E-2</v>
      </c>
      <c r="W215">
        <v>0.28690779999999999</v>
      </c>
      <c r="X215">
        <v>0.95516089999999998</v>
      </c>
      <c r="Y215">
        <v>-4.2626230000000001E-2</v>
      </c>
      <c r="Z215">
        <v>3.066652E-3</v>
      </c>
      <c r="AA215">
        <v>0.99908640000000004</v>
      </c>
      <c r="AB215">
        <v>22</v>
      </c>
      <c r="AC215">
        <v>15.884499999999999</v>
      </c>
      <c r="AD215">
        <v>-1.1089078179995999</v>
      </c>
      <c r="AE215">
        <v>0.31999999999999301</v>
      </c>
      <c r="AF215">
        <v>-0.68160932855901402</v>
      </c>
      <c r="AG215">
        <v>-1.1089078179995999</v>
      </c>
      <c r="AH215">
        <v>15.7960011129619</v>
      </c>
      <c r="AI215">
        <v>94.011957912422005</v>
      </c>
      <c r="AJ215">
        <v>92.470823192944806</v>
      </c>
      <c r="AK215">
        <v>15.849540024438999</v>
      </c>
      <c r="AL215">
        <v>73.327080197815405</v>
      </c>
      <c r="AM215">
        <v>94.379698441434002</v>
      </c>
      <c r="AN215">
        <v>1.0000000562067899</v>
      </c>
    </row>
    <row r="216" spans="1:40" x14ac:dyDescent="0.25">
      <c r="A216" t="str">
        <f>"20190304164104681"</f>
        <v>20190304164104681</v>
      </c>
      <c r="B216" t="str">
        <f>"1551688864671289"</f>
        <v>1551688864671289</v>
      </c>
      <c r="C216" t="s">
        <v>40</v>
      </c>
      <c r="D216">
        <v>4.3721230000000002</v>
      </c>
      <c r="E216">
        <v>0.52302459999999995</v>
      </c>
      <c r="F216" t="s">
        <v>42</v>
      </c>
      <c r="G216">
        <v>-449.30959999999999</v>
      </c>
      <c r="H216" s="1">
        <v>-8.5866380000000001E-7</v>
      </c>
      <c r="I216">
        <v>367.32619999999997</v>
      </c>
      <c r="J216">
        <v>-465.19650000000001</v>
      </c>
      <c r="K216">
        <v>1.1089150000000001</v>
      </c>
      <c r="L216">
        <v>366.98610000000002</v>
      </c>
      <c r="M216">
        <v>0.99974070000000004</v>
      </c>
      <c r="N216">
        <v>1.9246319999999999E-3</v>
      </c>
      <c r="O216">
        <v>-2.2695079999999999E-2</v>
      </c>
      <c r="P216">
        <v>0.9560225</v>
      </c>
      <c r="Q216">
        <v>0.28863159999999999</v>
      </c>
      <c r="R216">
        <v>5.2090669999999999E-2</v>
      </c>
      <c r="S216">
        <v>3.201508</v>
      </c>
      <c r="T216">
        <v>-0.22184899999999999</v>
      </c>
      <c r="U216">
        <v>6.7565920000000002E-2</v>
      </c>
      <c r="V216">
        <v>-7.4021450000000003E-2</v>
      </c>
      <c r="W216">
        <v>0.28673009999999999</v>
      </c>
      <c r="X216">
        <v>0.95514739999999998</v>
      </c>
      <c r="Y216">
        <v>-4.3625209999999998E-2</v>
      </c>
      <c r="Z216">
        <v>3.081711E-3</v>
      </c>
      <c r="AA216">
        <v>0.99904320000000002</v>
      </c>
      <c r="AB216">
        <v>22</v>
      </c>
      <c r="AC216">
        <v>15.886900000000001</v>
      </c>
      <c r="AD216">
        <v>-1.1089158586637999</v>
      </c>
      <c r="AE216">
        <v>0.340099999999949</v>
      </c>
      <c r="AF216">
        <v>-0.69717233436800996</v>
      </c>
      <c r="AG216">
        <v>-1.1089158586637999</v>
      </c>
      <c r="AH216">
        <v>15.798154041057099</v>
      </c>
      <c r="AI216">
        <v>94.011271413183493</v>
      </c>
      <c r="AJ216">
        <v>92.526822571246598</v>
      </c>
      <c r="AK216">
        <v>15.8523630651828</v>
      </c>
      <c r="AL216">
        <v>73.337706210655497</v>
      </c>
      <c r="AM216">
        <v>94.431417226102496</v>
      </c>
      <c r="AN216">
        <v>0.99999994051643404</v>
      </c>
    </row>
    <row r="217" spans="1:40" x14ac:dyDescent="0.25">
      <c r="A217" t="str">
        <f>"20190304164104694"</f>
        <v>20190304164104694</v>
      </c>
      <c r="B217" t="str">
        <f>"1551688864682025"</f>
        <v>1551688864682025</v>
      </c>
      <c r="C217" t="s">
        <v>40</v>
      </c>
      <c r="D217">
        <v>4.3705319999999999</v>
      </c>
      <c r="E217">
        <v>0.52306070000000005</v>
      </c>
      <c r="F217" t="s">
        <v>42</v>
      </c>
      <c r="G217">
        <v>-449.25990000000002</v>
      </c>
      <c r="H217" s="1">
        <v>-8.7376659999999997E-7</v>
      </c>
      <c r="I217">
        <v>367.34120000000001</v>
      </c>
      <c r="J217">
        <v>-465.0684</v>
      </c>
      <c r="K217">
        <v>1.1089119999999999</v>
      </c>
      <c r="L217">
        <v>366.98360000000002</v>
      </c>
      <c r="M217">
        <v>0.99974759999999996</v>
      </c>
      <c r="N217">
        <v>1.8647049999999999E-3</v>
      </c>
      <c r="O217">
        <v>-2.238969E-2</v>
      </c>
      <c r="P217">
        <v>0.95593740000000005</v>
      </c>
      <c r="Q217">
        <v>0.28869739999999999</v>
      </c>
      <c r="R217">
        <v>5.3270739999999997E-2</v>
      </c>
      <c r="S217">
        <v>3.201416</v>
      </c>
      <c r="T217">
        <v>-0.22276509999999999</v>
      </c>
      <c r="U217">
        <v>7.1319579999999994E-2</v>
      </c>
      <c r="V217">
        <v>-7.4905299999999994E-2</v>
      </c>
      <c r="W217">
        <v>0.28685300000000002</v>
      </c>
      <c r="X217">
        <v>0.95504160000000005</v>
      </c>
      <c r="Y217">
        <v>-4.4488890000000003E-2</v>
      </c>
      <c r="Z217">
        <v>3.1018159999999999E-3</v>
      </c>
      <c r="AA217">
        <v>0.99900509999999998</v>
      </c>
      <c r="AB217">
        <v>22</v>
      </c>
      <c r="AC217">
        <v>15.808499999999899</v>
      </c>
      <c r="AD217">
        <v>-1.1089128737666001</v>
      </c>
      <c r="AE217">
        <v>0.35759999999998998</v>
      </c>
      <c r="AF217">
        <v>-0.70797652790930499</v>
      </c>
      <c r="AG217">
        <v>-1.1089128737666001</v>
      </c>
      <c r="AH217">
        <v>15.7192228946335</v>
      </c>
      <c r="AI217">
        <v>94.031173705475496</v>
      </c>
      <c r="AJ217">
        <v>92.578796200309796</v>
      </c>
      <c r="AK217">
        <v>15.7741841924343</v>
      </c>
      <c r="AL217">
        <v>73.330355998070402</v>
      </c>
      <c r="AM217">
        <v>94.484610569193507</v>
      </c>
      <c r="AN217">
        <v>0.99999995265382302</v>
      </c>
    </row>
    <row r="218" spans="1:40" x14ac:dyDescent="0.25">
      <c r="A218" t="str">
        <f>"20190304164104713"</f>
        <v>20190304164104713</v>
      </c>
      <c r="B218" t="str">
        <f>"1551688864701545"</f>
        <v>1551688864701545</v>
      </c>
      <c r="C218" t="s">
        <v>40</v>
      </c>
      <c r="D218">
        <v>4.3712019999999896</v>
      </c>
      <c r="E218">
        <v>0.52317740000000001</v>
      </c>
      <c r="F218" t="s">
        <v>42</v>
      </c>
      <c r="G218">
        <v>-449.0994</v>
      </c>
      <c r="H218" s="1">
        <v>-9.3048310000000003E-7</v>
      </c>
      <c r="I218">
        <v>367.35969999999998</v>
      </c>
      <c r="J218">
        <v>-464.88159999999999</v>
      </c>
      <c r="K218">
        <v>1.108903</v>
      </c>
      <c r="L218">
        <v>366.97989999999999</v>
      </c>
      <c r="M218">
        <v>0.99975729999999996</v>
      </c>
      <c r="N218">
        <v>1.7837700000000001E-3</v>
      </c>
      <c r="O218">
        <v>-2.1961109999999999E-2</v>
      </c>
      <c r="P218">
        <v>0.9558316</v>
      </c>
      <c r="Q218">
        <v>0.28869600000000001</v>
      </c>
      <c r="R218">
        <v>5.514368E-2</v>
      </c>
      <c r="S218">
        <v>3.2011720000000001</v>
      </c>
      <c r="T218">
        <v>-0.2222952</v>
      </c>
      <c r="U218">
        <v>7.5408939999999994E-2</v>
      </c>
      <c r="V218">
        <v>-7.6357010000000003E-2</v>
      </c>
      <c r="W218">
        <v>0.28693069999999998</v>
      </c>
      <c r="X218">
        <v>0.95490339999999996</v>
      </c>
      <c r="Y218">
        <v>-4.5337580000000002E-2</v>
      </c>
      <c r="Z218">
        <v>3.093663E-3</v>
      </c>
      <c r="AA218">
        <v>0.99896689999999999</v>
      </c>
      <c r="AB218">
        <v>22</v>
      </c>
      <c r="AC218">
        <v>15.7821999999999</v>
      </c>
      <c r="AD218">
        <v>-1.1089039304831001</v>
      </c>
      <c r="AE218">
        <v>0.37979999999998798</v>
      </c>
      <c r="AF218">
        <v>-0.72273755570167297</v>
      </c>
      <c r="AG218">
        <v>-1.1089039304831001</v>
      </c>
      <c r="AH218">
        <v>15.6926250856385</v>
      </c>
      <c r="AI218">
        <v>94.037765167382901</v>
      </c>
      <c r="AJ218">
        <v>92.636943780939802</v>
      </c>
      <c r="AK218">
        <v>15.7483491064897</v>
      </c>
      <c r="AL218">
        <v>73.325710626904794</v>
      </c>
      <c r="AM218">
        <v>94.571818930420307</v>
      </c>
      <c r="AN218">
        <v>1.0000000614550899</v>
      </c>
    </row>
    <row r="219" spans="1:40" x14ac:dyDescent="0.25">
      <c r="A219" t="str">
        <f>"20190304164104728"</f>
        <v>20190304164104728</v>
      </c>
      <c r="B219" t="str">
        <f>"1551688864722041"</f>
        <v>1551688864722041</v>
      </c>
      <c r="C219" t="s">
        <v>40</v>
      </c>
      <c r="D219">
        <v>4.3376150000000004</v>
      </c>
      <c r="E219">
        <v>0.52319729999999998</v>
      </c>
      <c r="F219" t="s">
        <v>42</v>
      </c>
      <c r="G219">
        <v>-448.87479999999999</v>
      </c>
      <c r="H219" s="1">
        <v>-1.010582E-6</v>
      </c>
      <c r="I219">
        <v>367.38290000000001</v>
      </c>
      <c r="J219">
        <v>-464.7251</v>
      </c>
      <c r="K219">
        <v>1.1088910000000001</v>
      </c>
      <c r="L219">
        <v>366.9769</v>
      </c>
      <c r="M219">
        <v>0.99976480000000001</v>
      </c>
      <c r="N219">
        <v>1.7232759999999999E-3</v>
      </c>
      <c r="O219">
        <v>-2.1622780000000001E-2</v>
      </c>
      <c r="P219">
        <v>0.95570630000000001</v>
      </c>
      <c r="Q219">
        <v>0.28896670000000002</v>
      </c>
      <c r="R219">
        <v>5.5889729999999999E-2</v>
      </c>
      <c r="S219">
        <v>3.200958</v>
      </c>
      <c r="T219">
        <v>-0.22175259999999999</v>
      </c>
      <c r="U219">
        <v>8.0596920000000002E-2</v>
      </c>
      <c r="V219">
        <v>-7.6764739999999998E-2</v>
      </c>
      <c r="W219">
        <v>0.28726220000000002</v>
      </c>
      <c r="X219">
        <v>0.95477100000000004</v>
      </c>
      <c r="Y219">
        <v>-4.6617800000000001E-2</v>
      </c>
      <c r="Z219">
        <v>3.1055169999999999E-3</v>
      </c>
      <c r="AA219">
        <v>0.99890800000000002</v>
      </c>
      <c r="AB219">
        <v>22</v>
      </c>
      <c r="AC219">
        <v>15.850300000000001</v>
      </c>
      <c r="AD219">
        <v>-1.1088920105819999</v>
      </c>
      <c r="AE219">
        <v>0.40600000000000502</v>
      </c>
      <c r="AF219">
        <v>-0.74498918825370997</v>
      </c>
      <c r="AG219">
        <v>-1.1088920105819999</v>
      </c>
      <c r="AH219">
        <v>15.7607258926284</v>
      </c>
      <c r="AI219">
        <v>94.020106294977893</v>
      </c>
      <c r="AJ219">
        <v>92.706283232214602</v>
      </c>
      <c r="AK219">
        <v>15.8172415750761</v>
      </c>
      <c r="AL219">
        <v>73.305881793024298</v>
      </c>
      <c r="AM219">
        <v>94.596761765633502</v>
      </c>
      <c r="AN219">
        <v>1.0000000296485501</v>
      </c>
    </row>
    <row r="220" spans="1:40" x14ac:dyDescent="0.25">
      <c r="A220" t="str">
        <f>"20190304164104748"</f>
        <v>20190304164104748</v>
      </c>
      <c r="B220" t="str">
        <f>"1551688864741561"</f>
        <v>1551688864741561</v>
      </c>
      <c r="C220" t="s">
        <v>40</v>
      </c>
      <c r="D220">
        <v>4.3387979999999997</v>
      </c>
      <c r="E220">
        <v>0.52332219999999996</v>
      </c>
      <c r="F220" t="s">
        <v>42</v>
      </c>
      <c r="G220">
        <v>-448.5675</v>
      </c>
      <c r="H220" s="1">
        <v>-1.125605E-6</v>
      </c>
      <c r="I220">
        <v>367.39409999999998</v>
      </c>
      <c r="J220">
        <v>-464.52960000000002</v>
      </c>
      <c r="K220">
        <v>1.1088629999999999</v>
      </c>
      <c r="L220">
        <v>366.97309999999999</v>
      </c>
      <c r="M220">
        <v>0.99977329999999998</v>
      </c>
      <c r="N220">
        <v>1.657564E-3</v>
      </c>
      <c r="O220">
        <v>-2.1233519999999999E-2</v>
      </c>
      <c r="P220">
        <v>0.95557029999999998</v>
      </c>
      <c r="Q220">
        <v>0.2892053</v>
      </c>
      <c r="R220">
        <v>5.6972149999999999E-2</v>
      </c>
      <c r="S220">
        <v>3.2005919999999999</v>
      </c>
      <c r="T220">
        <v>-0.21965580000000001</v>
      </c>
      <c r="U220">
        <v>8.2641599999999996E-2</v>
      </c>
      <c r="V220">
        <v>-7.7453869999999994E-2</v>
      </c>
      <c r="W220">
        <v>0.2875682</v>
      </c>
      <c r="X220">
        <v>0.95462320000000001</v>
      </c>
      <c r="Y220">
        <v>-4.6872900000000002E-2</v>
      </c>
      <c r="Z220">
        <v>3.0578440000000001E-3</v>
      </c>
      <c r="AA220">
        <v>0.99889620000000001</v>
      </c>
      <c r="AB220">
        <v>23</v>
      </c>
      <c r="AC220">
        <v>15.9621</v>
      </c>
      <c r="AD220">
        <v>-1.108864125605</v>
      </c>
      <c r="AE220">
        <v>0.42099999999999199</v>
      </c>
      <c r="AF220">
        <v>-0.75619032572697897</v>
      </c>
      <c r="AG220">
        <v>-1.108864125605</v>
      </c>
      <c r="AH220">
        <v>15.873013880330101</v>
      </c>
      <c r="AI220">
        <v>93.9915897454961</v>
      </c>
      <c r="AJ220">
        <v>92.727508559691998</v>
      </c>
      <c r="AK220">
        <v>15.9296570302982</v>
      </c>
      <c r="AL220">
        <v>73.287576641460603</v>
      </c>
      <c r="AM220">
        <v>94.638563370265999</v>
      </c>
      <c r="AN220">
        <v>1.0000000128037201</v>
      </c>
    </row>
    <row r="221" spans="1:40" x14ac:dyDescent="0.25">
      <c r="A221" t="str">
        <f>"20190304164104761"</f>
        <v>20190304164104761</v>
      </c>
      <c r="B221" t="str">
        <f>"1551688864751322"</f>
        <v>1551688864751322</v>
      </c>
      <c r="C221" t="s">
        <v>40</v>
      </c>
      <c r="D221">
        <v>4.3945679999999996</v>
      </c>
      <c r="E221">
        <v>0.52342239999999995</v>
      </c>
      <c r="F221" t="s">
        <v>42</v>
      </c>
      <c r="G221">
        <v>-448.2912</v>
      </c>
      <c r="H221" s="1">
        <v>-1.229206E-6</v>
      </c>
      <c r="I221">
        <v>367.40350000000001</v>
      </c>
      <c r="J221">
        <v>-464.3877</v>
      </c>
      <c r="K221">
        <v>1.10884</v>
      </c>
      <c r="L221">
        <v>366.97030000000001</v>
      </c>
      <c r="M221">
        <v>0.99977879999999997</v>
      </c>
      <c r="N221">
        <v>1.6155869999999999E-3</v>
      </c>
      <c r="O221">
        <v>-2.0971739999999999E-2</v>
      </c>
      <c r="P221">
        <v>0.95558580000000004</v>
      </c>
      <c r="Q221">
        <v>0.28910330000000001</v>
      </c>
      <c r="R221">
        <v>5.722795E-2</v>
      </c>
      <c r="S221">
        <v>3.2005919999999999</v>
      </c>
      <c r="T221">
        <v>-0.21855720000000001</v>
      </c>
      <c r="U221">
        <v>8.4838869999999997E-2</v>
      </c>
      <c r="V221">
        <v>-7.7443429999999994E-2</v>
      </c>
      <c r="W221">
        <v>0.28751070000000001</v>
      </c>
      <c r="X221">
        <v>0.95464130000000003</v>
      </c>
      <c r="Y221">
        <v>-4.7297899999999997E-2</v>
      </c>
      <c r="Z221">
        <v>3.0385130000000001E-3</v>
      </c>
      <c r="AA221">
        <v>0.99887619999999999</v>
      </c>
      <c r="AB221">
        <v>23</v>
      </c>
      <c r="AC221">
        <v>16.096499999999899</v>
      </c>
      <c r="AD221">
        <v>-1.1088412292059999</v>
      </c>
      <c r="AE221">
        <v>0.43319999999999897</v>
      </c>
      <c r="AF221">
        <v>-0.76703946700792303</v>
      </c>
      <c r="AG221">
        <v>-1.1088412292059999</v>
      </c>
      <c r="AH221">
        <v>16.007965159076299</v>
      </c>
      <c r="AI221">
        <v>93.957913622083794</v>
      </c>
      <c r="AJ221">
        <v>92.743292836544995</v>
      </c>
      <c r="AK221">
        <v>16.064645248175701</v>
      </c>
      <c r="AL221">
        <v>73.291015326835407</v>
      </c>
      <c r="AM221">
        <v>94.6378533148022</v>
      </c>
      <c r="AN221">
        <v>0.99999994956517102</v>
      </c>
    </row>
    <row r="222" spans="1:40" x14ac:dyDescent="0.25">
      <c r="A222" t="str">
        <f>"20190304164104780"</f>
        <v>20190304164104780</v>
      </c>
      <c r="B222" t="str">
        <f>"1551688864771817"</f>
        <v>1551688864771817</v>
      </c>
      <c r="C222" t="s">
        <v>40</v>
      </c>
      <c r="D222">
        <v>4.8248059999999997</v>
      </c>
      <c r="E222">
        <v>0.52363320000000002</v>
      </c>
      <c r="F222" t="s">
        <v>42</v>
      </c>
      <c r="G222">
        <v>-448.14569999999998</v>
      </c>
      <c r="H222" s="1">
        <v>-1.2858109999999999E-6</v>
      </c>
      <c r="I222">
        <v>367.40069999999997</v>
      </c>
      <c r="J222">
        <v>-464.19209999999998</v>
      </c>
      <c r="K222">
        <v>1.108792</v>
      </c>
      <c r="L222">
        <v>366.96660000000003</v>
      </c>
      <c r="M222">
        <v>0.99978549999999999</v>
      </c>
      <c r="N222">
        <v>1.56953E-3</v>
      </c>
      <c r="O222">
        <v>-2.0652719999999999E-2</v>
      </c>
      <c r="P222">
        <v>0.95578870000000005</v>
      </c>
      <c r="Q222">
        <v>0.28847810000000002</v>
      </c>
      <c r="R222">
        <v>5.6994889999999999E-2</v>
      </c>
      <c r="S222">
        <v>3.2004999999999999</v>
      </c>
      <c r="T222">
        <v>-0.2184981</v>
      </c>
      <c r="U222">
        <v>8.4808350000000005E-2</v>
      </c>
      <c r="V222">
        <v>-7.6886869999999996E-2</v>
      </c>
      <c r="W222">
        <v>0.28693570000000002</v>
      </c>
      <c r="X222">
        <v>0.95485929999999997</v>
      </c>
      <c r="Y222">
        <v>-4.6971980000000003E-2</v>
      </c>
      <c r="Z222">
        <v>3.0048010000000001E-3</v>
      </c>
      <c r="AA222">
        <v>0.99889170000000005</v>
      </c>
      <c r="AB222">
        <v>23</v>
      </c>
      <c r="AC222">
        <v>16.046399999999998</v>
      </c>
      <c r="AD222">
        <v>-1.1087932858109999</v>
      </c>
      <c r="AE222">
        <v>0.43409999999994398</v>
      </c>
      <c r="AF222">
        <v>-0.76177503151433101</v>
      </c>
      <c r="AG222">
        <v>-1.1087932858109999</v>
      </c>
      <c r="AH222">
        <v>15.9578737829499</v>
      </c>
      <c r="AI222">
        <v>93.970160523518402</v>
      </c>
      <c r="AJ222">
        <v>92.733032384522602</v>
      </c>
      <c r="AK222">
        <v>16.0144765578478</v>
      </c>
      <c r="AL222">
        <v>73.325410256664597</v>
      </c>
      <c r="AM222">
        <v>94.603619709965798</v>
      </c>
      <c r="AN222">
        <v>0.99999998475468799</v>
      </c>
    </row>
    <row r="223" spans="1:40" x14ac:dyDescent="0.25">
      <c r="A223" t="str">
        <f>"20190304164104795"</f>
        <v>20190304164104795</v>
      </c>
      <c r="B223" t="str">
        <f>"1551688864781577"</f>
        <v>1551688864781577</v>
      </c>
      <c r="C223" t="s">
        <v>40</v>
      </c>
      <c r="D223">
        <v>4.3486770000000003</v>
      </c>
      <c r="E223">
        <v>0.52370249999999996</v>
      </c>
      <c r="F223" t="s">
        <v>42</v>
      </c>
      <c r="G223">
        <v>-448.00560000000002</v>
      </c>
      <c r="H223" s="1">
        <v>-1.3445410000000001E-6</v>
      </c>
      <c r="I223">
        <v>367.38209999999998</v>
      </c>
      <c r="J223">
        <v>-464.04899999999998</v>
      </c>
      <c r="K223">
        <v>1.108762</v>
      </c>
      <c r="L223">
        <v>366.96390000000002</v>
      </c>
      <c r="M223">
        <v>0.99978990000000001</v>
      </c>
      <c r="N223">
        <v>1.54385E-3</v>
      </c>
      <c r="O223">
        <v>-2.0448060000000001E-2</v>
      </c>
      <c r="P223">
        <v>0.95578689999999999</v>
      </c>
      <c r="Q223">
        <v>0.28841749999999999</v>
      </c>
      <c r="R223">
        <v>5.7332769999999998E-2</v>
      </c>
      <c r="S223">
        <v>3.200043</v>
      </c>
      <c r="T223">
        <v>-0.21920700000000001</v>
      </c>
      <c r="U223">
        <v>8.2153320000000002E-2</v>
      </c>
      <c r="V223">
        <v>-7.7011469999999999E-2</v>
      </c>
      <c r="W223">
        <v>0.2869041</v>
      </c>
      <c r="X223">
        <v>0.95485880000000001</v>
      </c>
      <c r="Y223">
        <v>-4.5944840000000001E-2</v>
      </c>
      <c r="Z223">
        <v>2.9664209999999999E-3</v>
      </c>
      <c r="AA223">
        <v>0.99893960000000004</v>
      </c>
      <c r="AB223">
        <v>23</v>
      </c>
      <c r="AC223">
        <v>16.043399999999998</v>
      </c>
      <c r="AD223">
        <v>-1.1087633445409999</v>
      </c>
      <c r="AE223">
        <v>0.418199999999956</v>
      </c>
      <c r="AF223">
        <v>-0.74262476484789097</v>
      </c>
      <c r="AG223">
        <v>-1.1087633445409999</v>
      </c>
      <c r="AH223">
        <v>15.9553396290348</v>
      </c>
      <c r="AI223">
        <v>93.970904236549401</v>
      </c>
      <c r="AJ223">
        <v>92.664849526922296</v>
      </c>
      <c r="AK223">
        <v>16.011049633719001</v>
      </c>
      <c r="AL223">
        <v>73.327301020780695</v>
      </c>
      <c r="AM223">
        <v>94.6110504236173</v>
      </c>
      <c r="AN223">
        <v>1.0000000285229</v>
      </c>
    </row>
    <row r="224" spans="1:40" x14ac:dyDescent="0.25">
      <c r="A224" t="str">
        <f>"20190304164104807"</f>
        <v>20190304164104807</v>
      </c>
      <c r="B224" t="str">
        <f>"1551688864802073"</f>
        <v>1551688864802073</v>
      </c>
      <c r="C224" t="s">
        <v>40</v>
      </c>
      <c r="D224">
        <v>4.3406180000000001</v>
      </c>
      <c r="E224">
        <v>0.52382669999999998</v>
      </c>
      <c r="F224" t="s">
        <v>42</v>
      </c>
      <c r="G224">
        <v>-447.85719999999998</v>
      </c>
      <c r="H224" s="1">
        <v>-1.4011049999999999E-6</v>
      </c>
      <c r="I224">
        <v>367.38380000000001</v>
      </c>
      <c r="J224">
        <v>-463.89859999999999</v>
      </c>
      <c r="K224">
        <v>1.1087359999999999</v>
      </c>
      <c r="L224">
        <v>366.96109999999999</v>
      </c>
      <c r="M224">
        <v>0.99979370000000001</v>
      </c>
      <c r="N224">
        <v>1.521274E-3</v>
      </c>
      <c r="O224">
        <v>-2.025128E-2</v>
      </c>
      <c r="P224">
        <v>0.95593790000000001</v>
      </c>
      <c r="Q224">
        <v>0.28798069999999998</v>
      </c>
      <c r="R224">
        <v>5.7005350000000003E-2</v>
      </c>
      <c r="S224">
        <v>3.1998899999999999</v>
      </c>
      <c r="T224">
        <v>-0.21911929999999999</v>
      </c>
      <c r="U224">
        <v>8.2977289999999995E-2</v>
      </c>
      <c r="V224">
        <v>-7.6481259999999995E-2</v>
      </c>
      <c r="W224">
        <v>0.28649390000000002</v>
      </c>
      <c r="X224">
        <v>0.95502450000000005</v>
      </c>
      <c r="Y224">
        <v>-4.600696E-2</v>
      </c>
      <c r="Z224">
        <v>2.953748E-3</v>
      </c>
      <c r="AA224">
        <v>0.99893679999999996</v>
      </c>
      <c r="AB224">
        <v>23</v>
      </c>
      <c r="AC224">
        <v>16.041399999999999</v>
      </c>
      <c r="AD224">
        <v>-1.108737401105</v>
      </c>
      <c r="AE224">
        <v>0.42270000000002</v>
      </c>
      <c r="AF224">
        <v>-0.74392120322077204</v>
      </c>
      <c r="AG224">
        <v>-1.108737401105</v>
      </c>
      <c r="AH224">
        <v>15.9533904677159</v>
      </c>
      <c r="AI224">
        <v>93.9712792152623</v>
      </c>
      <c r="AJ224">
        <v>92.669820651524205</v>
      </c>
      <c r="AK224">
        <v>16.009165649608999</v>
      </c>
      <c r="AL224">
        <v>73.351832551035699</v>
      </c>
      <c r="AM224">
        <v>94.578648501634106</v>
      </c>
      <c r="AN224">
        <v>0.99999996673432301</v>
      </c>
    </row>
    <row r="225" spans="1:40" x14ac:dyDescent="0.25">
      <c r="A225" t="str">
        <f>"20190304164104825"</f>
        <v>20190304164104825</v>
      </c>
      <c r="B225" t="str">
        <f>"1551688864811834"</f>
        <v>1551688864811834</v>
      </c>
      <c r="C225" t="s">
        <v>40</v>
      </c>
      <c r="D225">
        <v>4.361256</v>
      </c>
      <c r="E225">
        <v>0.52391430000000005</v>
      </c>
      <c r="F225" t="s">
        <v>42</v>
      </c>
      <c r="G225">
        <v>-447.79239999999999</v>
      </c>
      <c r="H225" s="1">
        <v>-1.429769E-6</v>
      </c>
      <c r="I225">
        <v>367.36950000000002</v>
      </c>
      <c r="J225">
        <v>-463.72050000000002</v>
      </c>
      <c r="K225">
        <v>1.1087</v>
      </c>
      <c r="L225">
        <v>366.95769999999999</v>
      </c>
      <c r="M225">
        <v>0.99979790000000002</v>
      </c>
      <c r="N225">
        <v>1.5008669999999999E-3</v>
      </c>
      <c r="O225">
        <v>-2.004568E-2</v>
      </c>
      <c r="P225">
        <v>0.95610740000000005</v>
      </c>
      <c r="Q225">
        <v>0.28759570000000001</v>
      </c>
      <c r="R225">
        <v>5.6098960000000003E-2</v>
      </c>
      <c r="S225">
        <v>3.1998289999999998</v>
      </c>
      <c r="T225">
        <v>-0.22027389999999999</v>
      </c>
      <c r="U225">
        <v>8.1146239999999994E-2</v>
      </c>
      <c r="V225">
        <v>-7.5362120000000005E-2</v>
      </c>
      <c r="W225">
        <v>0.2861339</v>
      </c>
      <c r="X225">
        <v>0.9552214</v>
      </c>
      <c r="Y225">
        <v>-4.523141E-2</v>
      </c>
      <c r="Z225">
        <v>2.9289120000000001E-3</v>
      </c>
      <c r="AA225">
        <v>0.99897219999999998</v>
      </c>
      <c r="AB225">
        <v>23</v>
      </c>
      <c r="AC225">
        <v>15.928100000000001</v>
      </c>
      <c r="AD225">
        <v>-1.1087014297689901</v>
      </c>
      <c r="AE225">
        <v>0.41180000000002698</v>
      </c>
      <c r="AF225">
        <v>-0.72748485193363699</v>
      </c>
      <c r="AG225">
        <v>-1.1087014297689901</v>
      </c>
      <c r="AH225">
        <v>15.839950044553801</v>
      </c>
      <c r="AI225">
        <v>93.999628420657004</v>
      </c>
      <c r="AJ225">
        <v>92.629587970907593</v>
      </c>
      <c r="AK225">
        <v>15.8953600300252</v>
      </c>
      <c r="AL225">
        <v>73.373360677381797</v>
      </c>
      <c r="AM225">
        <v>94.511002228513405</v>
      </c>
      <c r="AN225">
        <v>0.99999999043903198</v>
      </c>
    </row>
    <row r="226" spans="1:40" x14ac:dyDescent="0.25">
      <c r="A226" t="str">
        <f>"20190304164104839"</f>
        <v>20190304164104839</v>
      </c>
      <c r="B226" t="str">
        <f>"1551688864832329"</f>
        <v>1551688864832329</v>
      </c>
      <c r="C226" t="s">
        <v>40</v>
      </c>
      <c r="D226">
        <v>4.3616580000000003</v>
      </c>
      <c r="E226">
        <v>0.52404030000000001</v>
      </c>
      <c r="F226" t="s">
        <v>42</v>
      </c>
      <c r="G226">
        <v>-447.72609999999997</v>
      </c>
      <c r="H226" s="1">
        <v>-1.4614089999999999E-6</v>
      </c>
      <c r="I226">
        <v>367.34640000000002</v>
      </c>
      <c r="J226">
        <v>-463.56979999999999</v>
      </c>
      <c r="K226">
        <v>1.1086720000000001</v>
      </c>
      <c r="L226">
        <v>366.95490000000001</v>
      </c>
      <c r="M226">
        <v>0.9998011</v>
      </c>
      <c r="N226">
        <v>1.4892130000000001E-3</v>
      </c>
      <c r="O226">
        <v>-1.9893029999999999E-2</v>
      </c>
      <c r="P226">
        <v>0.95623420000000003</v>
      </c>
      <c r="Q226">
        <v>0.28727279999999999</v>
      </c>
      <c r="R226">
        <v>5.5594770000000002E-2</v>
      </c>
      <c r="S226">
        <v>3.1998899999999999</v>
      </c>
      <c r="T226">
        <v>-0.2218107</v>
      </c>
      <c r="U226">
        <v>7.7758789999999994E-2</v>
      </c>
      <c r="V226">
        <v>-7.4699699999999994E-2</v>
      </c>
      <c r="W226">
        <v>0.28582590000000002</v>
      </c>
      <c r="X226">
        <v>0.95536569999999998</v>
      </c>
      <c r="Y226">
        <v>-4.4022560000000002E-2</v>
      </c>
      <c r="Z226">
        <v>2.8976000000000002E-3</v>
      </c>
      <c r="AA226">
        <v>0.99902639999999998</v>
      </c>
      <c r="AB226">
        <v>24</v>
      </c>
      <c r="AC226">
        <v>15.8437</v>
      </c>
      <c r="AD226">
        <v>-1.1086734614089999</v>
      </c>
      <c r="AE226">
        <v>0.39150000000000701</v>
      </c>
      <c r="AF226">
        <v>-0.70316105343311797</v>
      </c>
      <c r="AG226">
        <v>-1.1086734614089999</v>
      </c>
      <c r="AH226">
        <v>15.755674558328</v>
      </c>
      <c r="AI226">
        <v>94.021086020175602</v>
      </c>
      <c r="AJ226">
        <v>92.555361525189298</v>
      </c>
      <c r="AK226">
        <v>15.8102774516782</v>
      </c>
      <c r="AL226">
        <v>73.391778032901897</v>
      </c>
      <c r="AM226">
        <v>94.470840165230797</v>
      </c>
      <c r="AN226">
        <v>1.0000000555136901</v>
      </c>
    </row>
    <row r="227" spans="1:40" x14ac:dyDescent="0.25">
      <c r="A227" t="str">
        <f>"20190304164104850"</f>
        <v>20190304164104850</v>
      </c>
      <c r="B227" t="str">
        <f>"1551688864842090"</f>
        <v>1551688864842090</v>
      </c>
      <c r="C227" t="s">
        <v>40</v>
      </c>
      <c r="D227">
        <v>4.3434679999999997</v>
      </c>
      <c r="E227">
        <v>0.5240842</v>
      </c>
      <c r="F227" t="s">
        <v>42</v>
      </c>
      <c r="G227">
        <v>-447.6551</v>
      </c>
      <c r="H227" s="1">
        <v>-1.494398E-6</v>
      </c>
      <c r="I227">
        <v>367.33049999999997</v>
      </c>
      <c r="J227">
        <v>-463.44650000000001</v>
      </c>
      <c r="K227">
        <v>1.108652</v>
      </c>
      <c r="L227">
        <v>366.95249999999999</v>
      </c>
      <c r="M227">
        <v>0.99980329999999995</v>
      </c>
      <c r="N227">
        <v>1.48303E-3</v>
      </c>
      <c r="O227">
        <v>-1.978046E-2</v>
      </c>
      <c r="P227">
        <v>0.9563876</v>
      </c>
      <c r="Q227">
        <v>0.28688839999999999</v>
      </c>
      <c r="R227">
        <v>5.4938649999999999E-2</v>
      </c>
      <c r="S227">
        <v>3.1998899999999999</v>
      </c>
      <c r="T227">
        <v>-0.22291559999999999</v>
      </c>
      <c r="U227">
        <v>7.5531009999999996E-2</v>
      </c>
      <c r="V227">
        <v>-7.3928859999999999E-2</v>
      </c>
      <c r="W227">
        <v>0.28545029999999999</v>
      </c>
      <c r="X227">
        <v>0.95553790000000005</v>
      </c>
      <c r="Y227">
        <v>-4.32156E-2</v>
      </c>
      <c r="Z227">
        <v>2.8765829999999998E-3</v>
      </c>
      <c r="AA227">
        <v>0.99906159999999999</v>
      </c>
      <c r="AB227">
        <v>24</v>
      </c>
      <c r="AC227">
        <v>15.791399999999999</v>
      </c>
      <c r="AD227">
        <v>-1.108653494398</v>
      </c>
      <c r="AE227">
        <v>0.37799999999998501</v>
      </c>
      <c r="AF227">
        <v>-0.68690378220249404</v>
      </c>
      <c r="AG227">
        <v>-1.108653494398</v>
      </c>
      <c r="AH227">
        <v>15.703476734985699</v>
      </c>
      <c r="AI227">
        <v>94.034492767202096</v>
      </c>
      <c r="AJ227">
        <v>92.504643762693803</v>
      </c>
      <c r="AK227">
        <v>15.7575420336702</v>
      </c>
      <c r="AL227">
        <v>73.414233187881393</v>
      </c>
      <c r="AM227">
        <v>94.424094659153099</v>
      </c>
      <c r="AN227">
        <v>1.00000001422369</v>
      </c>
    </row>
    <row r="228" spans="1:40" x14ac:dyDescent="0.25">
      <c r="A228" t="str">
        <f>"20190304164104869"</f>
        <v>20190304164104869</v>
      </c>
      <c r="B228" t="str">
        <f>"1551688864861609"</f>
        <v>1551688864861609</v>
      </c>
      <c r="C228" t="s">
        <v>40</v>
      </c>
      <c r="D228">
        <v>4.3192300000000001</v>
      </c>
      <c r="E228">
        <v>0.52415339999999999</v>
      </c>
      <c r="F228" t="s">
        <v>42</v>
      </c>
      <c r="G228">
        <v>-447.60649999999998</v>
      </c>
      <c r="H228" s="1">
        <v>-1.5197989999999901E-6</v>
      </c>
      <c r="I228">
        <v>367.31670000000003</v>
      </c>
      <c r="J228">
        <v>-463.23899999999998</v>
      </c>
      <c r="K228">
        <v>1.1086240000000001</v>
      </c>
      <c r="L228">
        <v>366.9486</v>
      </c>
      <c r="M228">
        <v>0.9998068</v>
      </c>
      <c r="N228">
        <v>1.476481E-3</v>
      </c>
      <c r="O228">
        <v>-1.960541E-2</v>
      </c>
      <c r="P228">
        <v>0.95673390000000003</v>
      </c>
      <c r="Q228">
        <v>0.28600429999999999</v>
      </c>
      <c r="R228">
        <v>5.350034E-2</v>
      </c>
      <c r="S228">
        <v>3.1997680000000002</v>
      </c>
      <c r="T228">
        <v>-0.22395380000000001</v>
      </c>
      <c r="U228">
        <v>7.3577879999999998E-2</v>
      </c>
      <c r="V228">
        <v>-7.23163E-2</v>
      </c>
      <c r="W228">
        <v>0.28457549999999998</v>
      </c>
      <c r="X228">
        <v>0.9559221</v>
      </c>
      <c r="Y228">
        <v>-4.2432959999999999E-2</v>
      </c>
      <c r="Z228">
        <v>2.8508349999999999E-3</v>
      </c>
      <c r="AA228">
        <v>0.99909530000000002</v>
      </c>
      <c r="AB228">
        <v>24</v>
      </c>
      <c r="AC228">
        <v>15.6325</v>
      </c>
      <c r="AD228">
        <v>-1.108625519799</v>
      </c>
      <c r="AE228">
        <v>0.36810000000002602</v>
      </c>
      <c r="AF228">
        <v>-0.67113760299855596</v>
      </c>
      <c r="AG228">
        <v>-1.108625519799</v>
      </c>
      <c r="AH228">
        <v>15.5441447945883</v>
      </c>
      <c r="AI228">
        <v>94.075706028202504</v>
      </c>
      <c r="AJ228">
        <v>92.472280371588496</v>
      </c>
      <c r="AK228">
        <v>15.598074035611999</v>
      </c>
      <c r="AL228">
        <v>73.466523492881606</v>
      </c>
      <c r="AM228">
        <v>94.326232737388807</v>
      </c>
      <c r="AN228">
        <v>0.99999996185717399</v>
      </c>
    </row>
    <row r="229" spans="1:40" x14ac:dyDescent="0.25">
      <c r="A229" t="str">
        <f>"20190304164104881"</f>
        <v>20190304164104881</v>
      </c>
      <c r="B229" t="str">
        <f>"1551688864871369"</f>
        <v>1551688864871369</v>
      </c>
      <c r="C229" t="s">
        <v>40</v>
      </c>
      <c r="D229">
        <v>4.3688820000000002</v>
      </c>
      <c r="E229">
        <v>0.5241827</v>
      </c>
      <c r="F229" t="s">
        <v>42</v>
      </c>
      <c r="G229">
        <v>-447.58969999999999</v>
      </c>
      <c r="H229" s="1">
        <v>-1.5323229999999999E-6</v>
      </c>
      <c r="I229">
        <v>367.29090000000002</v>
      </c>
      <c r="J229">
        <v>-463.1071</v>
      </c>
      <c r="K229">
        <v>1.108608</v>
      </c>
      <c r="L229">
        <v>366.94619999999998</v>
      </c>
      <c r="M229">
        <v>0.99980880000000005</v>
      </c>
      <c r="N229">
        <v>1.4741540000000001E-3</v>
      </c>
      <c r="O229">
        <v>-1.9501439999999998E-2</v>
      </c>
      <c r="P229">
        <v>0.95683770000000001</v>
      </c>
      <c r="Q229">
        <v>0.28581139999999999</v>
      </c>
      <c r="R229">
        <v>5.266411E-2</v>
      </c>
      <c r="S229">
        <v>3.1994630000000002</v>
      </c>
      <c r="T229">
        <v>-0.22665669999999999</v>
      </c>
      <c r="U229">
        <v>6.997681E-2</v>
      </c>
      <c r="V229">
        <v>-7.1375499999999995E-2</v>
      </c>
      <c r="W229">
        <v>0.284387099999999</v>
      </c>
      <c r="X229">
        <v>0.95604889999999998</v>
      </c>
      <c r="Y229">
        <v>-4.1206850000000003E-2</v>
      </c>
      <c r="Z229">
        <v>2.8355210000000001E-3</v>
      </c>
      <c r="AA229">
        <v>0.9991466</v>
      </c>
      <c r="AB229">
        <v>24</v>
      </c>
      <c r="AC229">
        <v>15.5174</v>
      </c>
      <c r="AD229">
        <v>-1.1086095323230001</v>
      </c>
      <c r="AE229">
        <v>0.34470000000004503</v>
      </c>
      <c r="AF229">
        <v>-0.64396118203102704</v>
      </c>
      <c r="AG229">
        <v>-1.1086095323230001</v>
      </c>
      <c r="AH229">
        <v>15.429014462768899</v>
      </c>
      <c r="AI229">
        <v>94.106205632128706</v>
      </c>
      <c r="AJ229">
        <v>92.389968340544399</v>
      </c>
      <c r="AK229">
        <v>15.482189392700599</v>
      </c>
      <c r="AL229">
        <v>73.477783764557302</v>
      </c>
      <c r="AM229">
        <v>94.269595838018304</v>
      </c>
      <c r="AN229">
        <v>0.99999999191893496</v>
      </c>
    </row>
    <row r="230" spans="1:40" x14ac:dyDescent="0.25">
      <c r="A230" t="str">
        <f>"20190304164104893"</f>
        <v>20190304164104893</v>
      </c>
      <c r="B230" t="str">
        <f>"1551688864882107"</f>
        <v>1551688864882107</v>
      </c>
      <c r="C230" t="s">
        <v>40</v>
      </c>
      <c r="D230">
        <v>4.4223530000000002</v>
      </c>
      <c r="E230">
        <v>0.5241827</v>
      </c>
      <c r="F230" t="s">
        <v>42</v>
      </c>
      <c r="G230">
        <v>-447.4889</v>
      </c>
      <c r="H230" s="1">
        <v>-1.582227E-6</v>
      </c>
      <c r="I230">
        <v>367.27820000000003</v>
      </c>
      <c r="J230">
        <v>-462.97550000000001</v>
      </c>
      <c r="K230">
        <v>1.1086</v>
      </c>
      <c r="L230">
        <v>366.94369999999998</v>
      </c>
      <c r="M230">
        <v>0.99981059999999999</v>
      </c>
      <c r="N230">
        <v>1.47298E-3</v>
      </c>
      <c r="O230">
        <v>-1.9404270000000001E-2</v>
      </c>
      <c r="P230">
        <v>0.95690200000000003</v>
      </c>
      <c r="Q230">
        <v>0.28576950000000001</v>
      </c>
      <c r="R230">
        <v>5.1714089999999997E-2</v>
      </c>
      <c r="S230">
        <v>3.1994630000000002</v>
      </c>
      <c r="T230">
        <v>-0.22710369999999999</v>
      </c>
      <c r="U230">
        <v>6.8023680000000003E-2</v>
      </c>
      <c r="V230">
        <v>-7.0330080000000003E-2</v>
      </c>
      <c r="W230">
        <v>0.28434739999999997</v>
      </c>
      <c r="X230">
        <v>0.95613820000000005</v>
      </c>
      <c r="Y230">
        <v>-4.0501479999999999E-2</v>
      </c>
      <c r="Z230">
        <v>2.8096110000000001E-3</v>
      </c>
      <c r="AA230">
        <v>0.99917549999999999</v>
      </c>
      <c r="AB230">
        <v>24</v>
      </c>
      <c r="AC230">
        <v>15.486599999999999</v>
      </c>
      <c r="AD230">
        <v>-1.1086015822269999</v>
      </c>
      <c r="AE230">
        <v>0.33450000000004798</v>
      </c>
      <c r="AF230">
        <v>-0.63170794073007996</v>
      </c>
      <c r="AG230">
        <v>-1.1086015822269999</v>
      </c>
      <c r="AH230">
        <v>15.3983238189955</v>
      </c>
      <c r="AI230">
        <v>94.114452989789299</v>
      </c>
      <c r="AJ230">
        <v>92.349211171959993</v>
      </c>
      <c r="AK230">
        <v>15.451097981216099</v>
      </c>
      <c r="AL230">
        <v>73.480156678890907</v>
      </c>
      <c r="AM230">
        <v>94.206894763240399</v>
      </c>
      <c r="AN230">
        <v>1.0000000107694</v>
      </c>
    </row>
    <row r="231" spans="1:40" x14ac:dyDescent="0.25">
      <c r="A231" t="str">
        <f>"20190304164104907"</f>
        <v>20190304164104907</v>
      </c>
      <c r="B231" t="str">
        <f>"1551688864901627"</f>
        <v>1551688864901627</v>
      </c>
      <c r="C231" t="s">
        <v>40</v>
      </c>
      <c r="D231">
        <v>4.7828410000000003</v>
      </c>
      <c r="E231">
        <v>0.52465519999999999</v>
      </c>
      <c r="F231" t="s">
        <v>42</v>
      </c>
      <c r="G231">
        <v>-447.37279999999998</v>
      </c>
      <c r="H231" s="1">
        <v>-1.63957E-6</v>
      </c>
      <c r="I231">
        <v>367.26440000000002</v>
      </c>
      <c r="J231">
        <v>-462.83210000000003</v>
      </c>
      <c r="K231">
        <v>1.1085830000000001</v>
      </c>
      <c r="L231">
        <v>366.94099999999997</v>
      </c>
      <c r="M231">
        <v>0.9998127</v>
      </c>
      <c r="N231">
        <v>1.471654E-3</v>
      </c>
      <c r="O231">
        <v>-1.929983E-2</v>
      </c>
      <c r="P231">
        <v>0.956897</v>
      </c>
      <c r="Q231">
        <v>0.28595959999999998</v>
      </c>
      <c r="R231">
        <v>5.075122E-2</v>
      </c>
      <c r="S231">
        <v>3.1994630000000002</v>
      </c>
      <c r="T231">
        <v>-0.22732769999999999</v>
      </c>
      <c r="U231">
        <v>6.5765379999999998E-2</v>
      </c>
      <c r="V231">
        <v>-6.9264069999999997E-2</v>
      </c>
      <c r="W231">
        <v>0.28453979999999901</v>
      </c>
      <c r="X231">
        <v>0.95615879999999998</v>
      </c>
      <c r="Y231">
        <v>-3.9694119999999999E-2</v>
      </c>
      <c r="Z231">
        <v>2.7767849999999999E-3</v>
      </c>
      <c r="AA231">
        <v>0.99920799999999999</v>
      </c>
      <c r="AB231">
        <v>24</v>
      </c>
      <c r="AC231">
        <v>15.459300000000001</v>
      </c>
      <c r="AD231">
        <v>-1.1085846395700001</v>
      </c>
      <c r="AE231">
        <v>0.32340000000004898</v>
      </c>
      <c r="AF231">
        <v>-0.61852269340638699</v>
      </c>
      <c r="AG231">
        <v>-1.1085846395700001</v>
      </c>
      <c r="AH231">
        <v>15.3711702758839</v>
      </c>
      <c r="AI231">
        <v>94.121764318224095</v>
      </c>
      <c r="AJ231">
        <v>92.304289813801901</v>
      </c>
      <c r="AK231">
        <v>15.423501738436901</v>
      </c>
      <c r="AL231">
        <v>73.468658319175006</v>
      </c>
      <c r="AM231">
        <v>94.143264659904801</v>
      </c>
      <c r="AN231">
        <v>1.00000002999722</v>
      </c>
    </row>
    <row r="232" spans="1:40" x14ac:dyDescent="0.25">
      <c r="A232" t="str">
        <f>"20190304164104925"</f>
        <v>20190304164104925</v>
      </c>
      <c r="B232" t="str">
        <f>"1551688864911385"</f>
        <v>1551688864911385</v>
      </c>
      <c r="C232" t="s">
        <v>40</v>
      </c>
      <c r="D232">
        <v>4.5881400000000001</v>
      </c>
      <c r="E232">
        <v>0.5581604</v>
      </c>
      <c r="F232" t="s">
        <v>42</v>
      </c>
      <c r="G232">
        <v>-447.2131</v>
      </c>
      <c r="H232" s="1">
        <v>-1.7212999999999999E-6</v>
      </c>
      <c r="I232">
        <v>367.22910000000002</v>
      </c>
      <c r="J232">
        <v>-462.63010000000003</v>
      </c>
      <c r="K232">
        <v>1.108579</v>
      </c>
      <c r="L232">
        <v>366.93729999999999</v>
      </c>
      <c r="M232">
        <v>0.99981549999999997</v>
      </c>
      <c r="N232">
        <v>1.469337E-3</v>
      </c>
      <c r="O232">
        <v>-1.915582E-2</v>
      </c>
      <c r="P232">
        <v>0.95670900000000003</v>
      </c>
      <c r="Q232">
        <v>0.28679539999999998</v>
      </c>
      <c r="R232">
        <v>4.9560859999999998E-2</v>
      </c>
      <c r="S232">
        <v>3.1998289999999998</v>
      </c>
      <c r="T232">
        <v>-0.22711319999999999</v>
      </c>
      <c r="U232">
        <v>5.9020999999999997E-2</v>
      </c>
      <c r="V232">
        <v>-6.7930499999999894E-2</v>
      </c>
      <c r="W232">
        <v>0.28537849999999998</v>
      </c>
      <c r="X232">
        <v>0.95600450000000003</v>
      </c>
      <c r="Y232">
        <v>-3.744869E-2</v>
      </c>
      <c r="Z232">
        <v>2.68556E-3</v>
      </c>
      <c r="AA232">
        <v>0.99929489999999999</v>
      </c>
      <c r="AB232">
        <v>25</v>
      </c>
      <c r="AC232">
        <v>15.417</v>
      </c>
      <c r="AD232">
        <v>-1.1085807212999901</v>
      </c>
      <c r="AE232">
        <v>0.29180000000002299</v>
      </c>
      <c r="AF232">
        <v>-0.58405325065962599</v>
      </c>
      <c r="AG232">
        <v>-1.1085807212999901</v>
      </c>
      <c r="AH232">
        <v>15.3293490168095</v>
      </c>
      <c r="AI232">
        <v>94.133300302433</v>
      </c>
      <c r="AJ232">
        <v>92.181932704593905</v>
      </c>
      <c r="AK232">
        <v>15.3804749827306</v>
      </c>
      <c r="AL232">
        <v>73.418525711986305</v>
      </c>
      <c r="AM232">
        <v>94.064416224866704</v>
      </c>
      <c r="AN232">
        <v>1.0000000225563701</v>
      </c>
    </row>
    <row r="233" spans="1:40" x14ac:dyDescent="0.25">
      <c r="A233" t="str">
        <f>"20190304164104939"</f>
        <v>20190304164104939</v>
      </c>
      <c r="B233" t="str">
        <f>"1551688864931882"</f>
        <v>1551688864931882</v>
      </c>
      <c r="C233" t="s">
        <v>40</v>
      </c>
      <c r="D233">
        <v>4.4887009999999998</v>
      </c>
      <c r="E233">
        <v>0.55792469999999905</v>
      </c>
      <c r="F233" t="s">
        <v>41</v>
      </c>
      <c r="G233">
        <v>-461.76089999999999</v>
      </c>
      <c r="H233">
        <v>0.94303380000000003</v>
      </c>
      <c r="I233">
        <v>366.89179999999999</v>
      </c>
      <c r="J233">
        <v>-462.45870000000002</v>
      </c>
      <c r="K233">
        <v>1.108582</v>
      </c>
      <c r="L233">
        <v>366.9341</v>
      </c>
      <c r="M233">
        <v>0.99981779999999998</v>
      </c>
      <c r="N233">
        <v>1.466104E-3</v>
      </c>
      <c r="O233">
        <v>-1.9035420000000001E-2</v>
      </c>
      <c r="P233">
        <v>0.9566017</v>
      </c>
      <c r="Q233">
        <v>0.2872074</v>
      </c>
      <c r="R233">
        <v>4.9248260000000002E-2</v>
      </c>
      <c r="S233">
        <v>3.3351440000000001</v>
      </c>
      <c r="T233">
        <v>-0.63529919999999995</v>
      </c>
      <c r="U233">
        <v>-0.17358399999999999</v>
      </c>
      <c r="V233">
        <v>-6.7501950000000005E-2</v>
      </c>
      <c r="W233">
        <v>0.28579349999999998</v>
      </c>
      <c r="X233">
        <v>0.95591090000000001</v>
      </c>
      <c r="Y233">
        <v>3.2721930000000003E-2</v>
      </c>
      <c r="Z233">
        <v>5.5582839999999999E-4</v>
      </c>
      <c r="AA233">
        <v>0.99946429999999997</v>
      </c>
      <c r="AB233">
        <v>25</v>
      </c>
      <c r="AC233">
        <v>0.69780000000002895</v>
      </c>
      <c r="AD233">
        <v>-0.16554820000000001</v>
      </c>
      <c r="AE233">
        <v>-4.2300000000011502E-2</v>
      </c>
      <c r="AF233">
        <v>2.7468994513200201E-2</v>
      </c>
      <c r="AG233">
        <v>-0.16554820000000001</v>
      </c>
      <c r="AH233">
        <v>0.66138924883205596</v>
      </c>
      <c r="AI233">
        <v>104.04099618908801</v>
      </c>
      <c r="AJ233">
        <v>87.621743231546603</v>
      </c>
      <c r="AK233">
        <v>0.68234631284519798</v>
      </c>
      <c r="AL233">
        <v>73.393715014834896</v>
      </c>
      <c r="AM233">
        <v>94.039254519135</v>
      </c>
      <c r="AN233">
        <v>1.0000000433174301</v>
      </c>
    </row>
    <row r="234" spans="1:40" x14ac:dyDescent="0.25">
      <c r="A234" t="str">
        <f>"20190304164104960"</f>
        <v>20190304164104960</v>
      </c>
      <c r="B234" t="str">
        <f>"1551688864951401"</f>
        <v>1551688864951401</v>
      </c>
      <c r="C234" t="s">
        <v>40</v>
      </c>
      <c r="D234">
        <v>4.4551100000000003</v>
      </c>
      <c r="E234">
        <v>0.55662670000000003</v>
      </c>
      <c r="F234" t="s">
        <v>41</v>
      </c>
      <c r="G234">
        <v>-461.76499999999999</v>
      </c>
      <c r="H234">
        <v>0.93217369999999999</v>
      </c>
      <c r="I234">
        <v>366.90309999999999</v>
      </c>
      <c r="J234">
        <v>-462.23480000000001</v>
      </c>
      <c r="K234">
        <v>1.1085879999999999</v>
      </c>
      <c r="L234">
        <v>366.93</v>
      </c>
      <c r="M234">
        <v>0.99982079999999995</v>
      </c>
      <c r="N234">
        <v>1.4588769999999999E-3</v>
      </c>
      <c r="O234">
        <v>-1.8876629999999998E-2</v>
      </c>
      <c r="P234">
        <v>0.95633690000000005</v>
      </c>
      <c r="Q234">
        <v>0.28814770000000001</v>
      </c>
      <c r="R234">
        <v>4.8896769999999999E-2</v>
      </c>
      <c r="S234">
        <v>3.4037480000000002</v>
      </c>
      <c r="T234">
        <v>-0.86561919999999903</v>
      </c>
      <c r="U234">
        <v>-0.15081789999999901</v>
      </c>
      <c r="V234">
        <v>-6.6996249999999993E-2</v>
      </c>
      <c r="W234">
        <v>0.28674100000000002</v>
      </c>
      <c r="X234">
        <v>0.95566269999999998</v>
      </c>
      <c r="Y234">
        <v>2.521031E-2</v>
      </c>
      <c r="Z234">
        <v>1.6142820000000001E-3</v>
      </c>
      <c r="AA234">
        <v>0.99968089999999998</v>
      </c>
      <c r="AB234">
        <v>25</v>
      </c>
      <c r="AC234">
        <v>0.46980000000001998</v>
      </c>
      <c r="AD234">
        <v>-0.1764143</v>
      </c>
      <c r="AE234">
        <v>-2.6900000000011901E-2</v>
      </c>
      <c r="AF234">
        <v>1.5805543363829899E-2</v>
      </c>
      <c r="AG234">
        <v>-0.1764143</v>
      </c>
      <c r="AH234">
        <v>0.412279616496602</v>
      </c>
      <c r="AI234">
        <v>113.15085152896</v>
      </c>
      <c r="AJ234">
        <v>87.804529676738696</v>
      </c>
      <c r="AK234">
        <v>0.44871628299416699</v>
      </c>
      <c r="AL234">
        <v>73.337056145976504</v>
      </c>
      <c r="AM234">
        <v>94.010130767850598</v>
      </c>
      <c r="AN234">
        <v>1.0000000473831701</v>
      </c>
    </row>
    <row r="235" spans="1:40" x14ac:dyDescent="0.25">
      <c r="A235" t="str">
        <f>"20190304164104973"</f>
        <v>20190304164104973</v>
      </c>
      <c r="B235" t="str">
        <f>"1551688864962138"</f>
        <v>1551688864962138</v>
      </c>
      <c r="C235" t="s">
        <v>40</v>
      </c>
      <c r="D235">
        <v>4.4622460000000004</v>
      </c>
      <c r="E235">
        <v>0.55632619999999999</v>
      </c>
      <c r="F235" t="s">
        <v>41</v>
      </c>
      <c r="G235">
        <v>-461.54649999999998</v>
      </c>
      <c r="H235">
        <v>0.91456190000000004</v>
      </c>
      <c r="I235">
        <v>366.90339999999998</v>
      </c>
      <c r="J235">
        <v>-462.08510000000001</v>
      </c>
      <c r="K235">
        <v>1.108595</v>
      </c>
      <c r="L235">
        <v>366.92720000000003</v>
      </c>
      <c r="M235">
        <v>0.99982289999999996</v>
      </c>
      <c r="N235">
        <v>1.451429E-3</v>
      </c>
      <c r="O235">
        <v>-1.8768389999999999E-2</v>
      </c>
      <c r="P235">
        <v>0.95623709999999995</v>
      </c>
      <c r="Q235">
        <v>0.28846050000000001</v>
      </c>
      <c r="R235">
        <v>4.9004810000000003E-2</v>
      </c>
      <c r="S235">
        <v>3.4355159999999998</v>
      </c>
      <c r="T235">
        <v>-0.96855519999999995</v>
      </c>
      <c r="U235">
        <v>-0.13150020000000001</v>
      </c>
      <c r="V235">
        <v>-6.7002320000000004E-2</v>
      </c>
      <c r="W235">
        <v>0.28706039999999999</v>
      </c>
      <c r="X235">
        <v>0.95556629999999998</v>
      </c>
      <c r="Y235">
        <v>1.9471459999999999E-2</v>
      </c>
      <c r="Z235">
        <v>2.5374059999999999E-3</v>
      </c>
      <c r="AA235">
        <v>0.99980720000000001</v>
      </c>
      <c r="AB235">
        <v>25</v>
      </c>
      <c r="AC235">
        <v>0.53860000000003005</v>
      </c>
      <c r="AD235">
        <v>-0.19403309999999999</v>
      </c>
      <c r="AE235">
        <v>-2.38000000000511E-2</v>
      </c>
      <c r="AF235">
        <v>1.21175517780472E-2</v>
      </c>
      <c r="AG235">
        <v>-0.19403309999999999</v>
      </c>
      <c r="AH235">
        <v>0.47714679586008701</v>
      </c>
      <c r="AI235">
        <v>112.122812474367</v>
      </c>
      <c r="AJ235">
        <v>88.545237274650006</v>
      </c>
      <c r="AK235">
        <v>0.51523270835249901</v>
      </c>
      <c r="AL235">
        <v>73.317951428082495</v>
      </c>
      <c r="AM235">
        <v>94.010896177014303</v>
      </c>
      <c r="AN235">
        <v>0.99999996891461496</v>
      </c>
    </row>
    <row r="236" spans="1:40" x14ac:dyDescent="0.25">
      <c r="A236" t="str">
        <f>"20190304164104992"</f>
        <v>20190304164104992</v>
      </c>
      <c r="B236" t="str">
        <f>"1551688864981658"</f>
        <v>1551688864981658</v>
      </c>
      <c r="C236" t="s">
        <v>40</v>
      </c>
      <c r="D236">
        <v>4.4574490000000004</v>
      </c>
      <c r="E236">
        <v>0.55601199999999995</v>
      </c>
      <c r="F236" t="s">
        <v>41</v>
      </c>
      <c r="G236">
        <v>-461.32900000000001</v>
      </c>
      <c r="H236">
        <v>0.89041650000000006</v>
      </c>
      <c r="I236">
        <v>366.89920000000001</v>
      </c>
      <c r="J236">
        <v>-461.87349999999998</v>
      </c>
      <c r="K236">
        <v>1.108606</v>
      </c>
      <c r="L236">
        <v>366.92340000000002</v>
      </c>
      <c r="M236">
        <v>0.99982579999999999</v>
      </c>
      <c r="N236">
        <v>1.4379709999999999E-3</v>
      </c>
      <c r="O236">
        <v>-1.8612710000000001E-2</v>
      </c>
      <c r="P236">
        <v>0.95604840000000002</v>
      </c>
      <c r="Q236">
        <v>0.28899259999999999</v>
      </c>
      <c r="R236">
        <v>4.9549429999999998E-2</v>
      </c>
      <c r="S236">
        <v>3.4434809999999998</v>
      </c>
      <c r="T236">
        <v>-0.99377130000000002</v>
      </c>
      <c r="U236">
        <v>-0.12597659999999999</v>
      </c>
      <c r="V236">
        <v>-6.7399539999999994E-2</v>
      </c>
      <c r="W236">
        <v>0.28760429999999998</v>
      </c>
      <c r="X236">
        <v>0.95537479999999997</v>
      </c>
      <c r="Y236">
        <v>1.7989700000000001E-2</v>
      </c>
      <c r="Z236">
        <v>2.7580479999999999E-3</v>
      </c>
      <c r="AA236">
        <v>0.99983440000000001</v>
      </c>
      <c r="AB236">
        <v>25</v>
      </c>
      <c r="AC236">
        <v>0.54449999999997001</v>
      </c>
      <c r="AD236">
        <v>-0.21818949999999901</v>
      </c>
      <c r="AE236">
        <v>-2.42000000000075E-2</v>
      </c>
      <c r="AF236">
        <v>1.2119027751024899E-2</v>
      </c>
      <c r="AG236">
        <v>-0.21818949999999901</v>
      </c>
      <c r="AH236">
        <v>0.46959981068015599</v>
      </c>
      <c r="AI236">
        <v>114.913640633207</v>
      </c>
      <c r="AJ236">
        <v>88.521687965338998</v>
      </c>
      <c r="AK236">
        <v>0.51795512444102498</v>
      </c>
      <c r="AL236">
        <v>73.285416292746703</v>
      </c>
      <c r="AM236">
        <v>94.035402326700705</v>
      </c>
      <c r="AN236">
        <v>0.99999996992286999</v>
      </c>
    </row>
    <row r="237" spans="1:40" x14ac:dyDescent="0.25">
      <c r="A237" t="str">
        <f>"20190304164105005"</f>
        <v>20190304164105005</v>
      </c>
      <c r="B237" t="str">
        <f>"1551688864991417"</f>
        <v>1551688864991417</v>
      </c>
      <c r="C237" t="s">
        <v>40</v>
      </c>
      <c r="D237">
        <v>4.4747579999999996</v>
      </c>
      <c r="E237">
        <v>0.5559016</v>
      </c>
      <c r="F237" t="s">
        <v>41</v>
      </c>
      <c r="G237">
        <v>-461.1035</v>
      </c>
      <c r="H237">
        <v>0.88041460000000005</v>
      </c>
      <c r="I237">
        <v>366.89729999999997</v>
      </c>
      <c r="J237">
        <v>-461.72289999999998</v>
      </c>
      <c r="K237">
        <v>1.108609</v>
      </c>
      <c r="L237">
        <v>366.92070000000001</v>
      </c>
      <c r="M237">
        <v>0.99982789999999999</v>
      </c>
      <c r="N237">
        <v>1.4261639999999999E-3</v>
      </c>
      <c r="O237">
        <v>-1.8499700000000001E-2</v>
      </c>
      <c r="P237">
        <v>0.95608280000000001</v>
      </c>
      <c r="Q237">
        <v>0.28879660000000001</v>
      </c>
      <c r="R237">
        <v>5.0023440000000002E-2</v>
      </c>
      <c r="S237">
        <v>3.4533079999999998</v>
      </c>
      <c r="T237">
        <v>-1.0233289999999999</v>
      </c>
      <c r="U237">
        <v>-0.1169434</v>
      </c>
      <c r="V237">
        <v>-6.7769750000000004E-2</v>
      </c>
      <c r="W237">
        <v>0.28741840000000002</v>
      </c>
      <c r="X237">
        <v>0.95540460000000005</v>
      </c>
      <c r="Y237">
        <v>1.548998E-2</v>
      </c>
      <c r="Z237">
        <v>3.1555400000000001E-3</v>
      </c>
      <c r="AA237">
        <v>0.99987510000000002</v>
      </c>
      <c r="AB237">
        <v>25</v>
      </c>
      <c r="AC237">
        <v>0.61939999999998396</v>
      </c>
      <c r="AD237">
        <v>-0.22819439999999899</v>
      </c>
      <c r="AE237">
        <v>-2.34000000000378E-2</v>
      </c>
      <c r="AF237">
        <v>1.0512472968035501E-2</v>
      </c>
      <c r="AG237">
        <v>-0.22819439999999899</v>
      </c>
      <c r="AH237">
        <v>0.54575812507716304</v>
      </c>
      <c r="AI237">
        <v>112.687178000712</v>
      </c>
      <c r="AJ237">
        <v>88.896496764425095</v>
      </c>
      <c r="AK237">
        <v>0.59163766560877795</v>
      </c>
      <c r="AL237">
        <v>73.296537866386601</v>
      </c>
      <c r="AM237">
        <v>94.057367887528002</v>
      </c>
      <c r="AN237">
        <v>1.00000001268739</v>
      </c>
    </row>
    <row r="238" spans="1:40" x14ac:dyDescent="0.25">
      <c r="A238" t="str">
        <f>"20190304164105018"</f>
        <v>20190304164105018</v>
      </c>
      <c r="B238" t="str">
        <f>"1551688865011914"</f>
        <v>1551688865011914</v>
      </c>
      <c r="C238" t="s">
        <v>40</v>
      </c>
      <c r="D238">
        <v>4.4893689999999999</v>
      </c>
      <c r="E238">
        <v>0.55577779999999999</v>
      </c>
      <c r="F238" t="s">
        <v>41</v>
      </c>
      <c r="G238">
        <v>-460.8818</v>
      </c>
      <c r="H238">
        <v>0.85683159999999903</v>
      </c>
      <c r="I238">
        <v>366.89280000000002</v>
      </c>
      <c r="J238">
        <v>-461.55869999999999</v>
      </c>
      <c r="K238">
        <v>1.108614</v>
      </c>
      <c r="L238">
        <v>366.9178</v>
      </c>
      <c r="M238">
        <v>0.99983029999999995</v>
      </c>
      <c r="N238">
        <v>1.410491E-3</v>
      </c>
      <c r="O238">
        <v>-1.837333E-2</v>
      </c>
      <c r="P238">
        <v>0.95597929999999998</v>
      </c>
      <c r="Q238">
        <v>0.28905910000000001</v>
      </c>
      <c r="R238">
        <v>5.0481989999999997E-2</v>
      </c>
      <c r="S238">
        <v>3.4562379999999999</v>
      </c>
      <c r="T238">
        <v>-1.03467</v>
      </c>
      <c r="U238">
        <v>-0.1124878</v>
      </c>
      <c r="V238">
        <v>-6.8110089999999998E-2</v>
      </c>
      <c r="W238">
        <v>0.28769470000000003</v>
      </c>
      <c r="X238">
        <v>0.95529719999999996</v>
      </c>
      <c r="Y238">
        <v>1.4346940000000001E-2</v>
      </c>
      <c r="Z238">
        <v>3.3151470000000001E-3</v>
      </c>
      <c r="AA238">
        <v>0.99989159999999999</v>
      </c>
      <c r="AB238">
        <v>26</v>
      </c>
      <c r="AC238">
        <v>0.67689999999998895</v>
      </c>
      <c r="AD238">
        <v>-0.25178240000000002</v>
      </c>
      <c r="AE238">
        <v>-2.49999999999772E-2</v>
      </c>
      <c r="AF238">
        <v>1.1034270692386701E-2</v>
      </c>
      <c r="AG238">
        <v>-0.25178240000000002</v>
      </c>
      <c r="AH238">
        <v>0.59503047504416895</v>
      </c>
      <c r="AI238">
        <v>112.931729400652</v>
      </c>
      <c r="AJ238">
        <v>88.937626368943796</v>
      </c>
      <c r="AK238">
        <v>0.64620228900148702</v>
      </c>
      <c r="AL238">
        <v>73.280008401754401</v>
      </c>
      <c r="AM238">
        <v>94.078132333981401</v>
      </c>
      <c r="AN238">
        <v>0.99999998254786804</v>
      </c>
    </row>
    <row r="239" spans="1:40" x14ac:dyDescent="0.25">
      <c r="A239" t="str">
        <f>"20190304164105037"</f>
        <v>20190304164105037</v>
      </c>
      <c r="B239" t="str">
        <f>"1551688865031434"</f>
        <v>1551688865031434</v>
      </c>
      <c r="C239" t="s">
        <v>40</v>
      </c>
      <c r="D239">
        <v>4.7806189999999997</v>
      </c>
      <c r="E239">
        <v>0.55594429999999995</v>
      </c>
      <c r="F239" t="s">
        <v>41</v>
      </c>
      <c r="G239">
        <v>-460.86430000000001</v>
      </c>
      <c r="H239">
        <v>0.89841439999999995</v>
      </c>
      <c r="I239">
        <v>366.89580000000001</v>
      </c>
      <c r="J239">
        <v>-461.35509999999999</v>
      </c>
      <c r="K239">
        <v>1.1086240000000001</v>
      </c>
      <c r="L239">
        <v>366.91419999999999</v>
      </c>
      <c r="M239">
        <v>0.99983319999999998</v>
      </c>
      <c r="N239">
        <v>1.3872960000000001E-3</v>
      </c>
      <c r="O239">
        <v>-1.8212760000000001E-2</v>
      </c>
      <c r="P239">
        <v>0.95595609999999998</v>
      </c>
      <c r="Q239">
        <v>0.28899459999999999</v>
      </c>
      <c r="R239">
        <v>5.1286739999999997E-2</v>
      </c>
      <c r="S239">
        <v>3.4606020000000002</v>
      </c>
      <c r="T239">
        <v>-1.047704</v>
      </c>
      <c r="U239">
        <v>-0.10748290000000001</v>
      </c>
      <c r="V239">
        <v>-6.8766510000000003E-2</v>
      </c>
      <c r="W239">
        <v>0.28765089999999999</v>
      </c>
      <c r="X239">
        <v>0.95526339999999998</v>
      </c>
      <c r="Y239">
        <v>1.307518E-2</v>
      </c>
      <c r="Z239">
        <v>3.4897940000000001E-3</v>
      </c>
      <c r="AA239">
        <v>0.99990840000000003</v>
      </c>
      <c r="AB239">
        <v>26</v>
      </c>
      <c r="AC239">
        <v>0.49079999999997798</v>
      </c>
      <c r="AD239">
        <v>-0.2102096</v>
      </c>
      <c r="AE239">
        <v>-1.8399999999985501E-2</v>
      </c>
      <c r="AF239">
        <v>7.9937881441062703E-3</v>
      </c>
      <c r="AG239">
        <v>-0.2102096</v>
      </c>
      <c r="AH239">
        <v>0.41502756469360402</v>
      </c>
      <c r="AI239">
        <v>116.85772649792899</v>
      </c>
      <c r="AJ239">
        <v>88.896570404309401</v>
      </c>
      <c r="AK239">
        <v>0.465295450264192</v>
      </c>
      <c r="AL239">
        <v>73.2826293359103</v>
      </c>
      <c r="AM239">
        <v>94.117446528991195</v>
      </c>
      <c r="AN239">
        <v>1.0000000182739699</v>
      </c>
    </row>
    <row r="240" spans="1:40" x14ac:dyDescent="0.25">
      <c r="A240" t="str">
        <f>"20190304164105049"</f>
        <v>20190304164105049</v>
      </c>
      <c r="B240" t="str">
        <f>"1551688865042170"</f>
        <v>1551688865042170</v>
      </c>
      <c r="C240" t="s">
        <v>40</v>
      </c>
      <c r="D240">
        <v>4.4899690000000003</v>
      </c>
      <c r="E240">
        <v>0.55626129999999996</v>
      </c>
      <c r="F240" t="s">
        <v>41</v>
      </c>
      <c r="G240">
        <v>-460.63459999999998</v>
      </c>
      <c r="H240">
        <v>0.88946819999999904</v>
      </c>
      <c r="I240">
        <v>366.89229999999998</v>
      </c>
      <c r="J240">
        <v>-461.20229999999998</v>
      </c>
      <c r="K240">
        <v>1.1086320000000001</v>
      </c>
      <c r="L240">
        <v>366.91149999999999</v>
      </c>
      <c r="M240">
        <v>0.99983540000000004</v>
      </c>
      <c r="N240">
        <v>1.3673139999999999E-3</v>
      </c>
      <c r="O240">
        <v>-1.808854E-2</v>
      </c>
      <c r="P240">
        <v>0.95589460000000004</v>
      </c>
      <c r="Q240">
        <v>0.28912900000000002</v>
      </c>
      <c r="R240">
        <v>5.1669809999999997E-2</v>
      </c>
      <c r="S240">
        <v>3.4620669999999998</v>
      </c>
      <c r="T240">
        <v>-1.052997</v>
      </c>
      <c r="U240">
        <v>-0.1034851</v>
      </c>
      <c r="V240">
        <v>-6.9033769999999994E-2</v>
      </c>
      <c r="W240">
        <v>0.28780339999999999</v>
      </c>
      <c r="X240">
        <v>0.9551982</v>
      </c>
      <c r="Y240">
        <v>1.2074059999999999E-2</v>
      </c>
      <c r="Z240">
        <v>3.6157239999999998E-3</v>
      </c>
      <c r="AA240">
        <v>0.99992049999999999</v>
      </c>
      <c r="AB240">
        <v>26</v>
      </c>
      <c r="AC240">
        <v>0.56770000000000198</v>
      </c>
      <c r="AD240">
        <v>-0.21916379999999999</v>
      </c>
      <c r="AE240">
        <v>-1.9200000000011999E-2</v>
      </c>
      <c r="AF240">
        <v>7.7711094415750196E-3</v>
      </c>
      <c r="AG240">
        <v>-0.21916379999999999</v>
      </c>
      <c r="AH240">
        <v>0.49435973095101399</v>
      </c>
      <c r="AI240">
        <v>113.90645625245</v>
      </c>
      <c r="AJ240">
        <v>89.099410659500904</v>
      </c>
      <c r="AK240">
        <v>0.54081855086373698</v>
      </c>
      <c r="AL240">
        <v>73.273506122290598</v>
      </c>
      <c r="AM240">
        <v>94.133674725074101</v>
      </c>
      <c r="AN240">
        <v>1.0000000298675999</v>
      </c>
    </row>
    <row r="241" spans="1:40" x14ac:dyDescent="0.25">
      <c r="A241" t="str">
        <f>"20190304164105062"</f>
        <v>20190304164105062</v>
      </c>
      <c r="B241" t="str">
        <f>"1551688865051930"</f>
        <v>1551688865051930</v>
      </c>
      <c r="C241" t="s">
        <v>40</v>
      </c>
      <c r="D241">
        <v>4.5274229999999998</v>
      </c>
      <c r="E241">
        <v>0.55654820000000005</v>
      </c>
      <c r="F241" t="s">
        <v>41</v>
      </c>
      <c r="G241">
        <v>-460.40809999999999</v>
      </c>
      <c r="H241">
        <v>0.86819400000000002</v>
      </c>
      <c r="I241">
        <v>366.88679999999999</v>
      </c>
      <c r="J241">
        <v>-461.05590000000001</v>
      </c>
      <c r="K241">
        <v>1.108641</v>
      </c>
      <c r="L241">
        <v>366.90899999999999</v>
      </c>
      <c r="M241">
        <v>0.9998378</v>
      </c>
      <c r="N241">
        <v>1.346802E-3</v>
      </c>
      <c r="O241">
        <v>-1.7967779999999999E-2</v>
      </c>
      <c r="P241">
        <v>0.95589109999999999</v>
      </c>
      <c r="Q241">
        <v>0.28910439999999998</v>
      </c>
      <c r="R241">
        <v>5.1876779999999997E-2</v>
      </c>
      <c r="S241">
        <v>3.46109</v>
      </c>
      <c r="T241">
        <v>-1.047806</v>
      </c>
      <c r="U241">
        <v>-0.105712899999999</v>
      </c>
      <c r="V241">
        <v>-6.913002E-2</v>
      </c>
      <c r="W241">
        <v>0.28779749999999998</v>
      </c>
      <c r="X241">
        <v>0.95519299999999996</v>
      </c>
      <c r="Y241">
        <v>1.2805560000000001E-2</v>
      </c>
      <c r="Z241">
        <v>3.4555829999999999E-3</v>
      </c>
      <c r="AA241">
        <v>0.99991200000000002</v>
      </c>
      <c r="AB241">
        <v>26</v>
      </c>
      <c r="AC241">
        <v>0.64780000000001703</v>
      </c>
      <c r="AD241">
        <v>-0.24044699999999999</v>
      </c>
      <c r="AE241">
        <v>-2.2199999999997999E-2</v>
      </c>
      <c r="AF241">
        <v>9.2798831751407605E-3</v>
      </c>
      <c r="AG241">
        <v>-0.24044699999999999</v>
      </c>
      <c r="AH241">
        <v>0.56969860676862005</v>
      </c>
      <c r="AI241">
        <v>112.879940705104</v>
      </c>
      <c r="AJ241">
        <v>89.066785287134195</v>
      </c>
      <c r="AK241">
        <v>0.61843138551891996</v>
      </c>
      <c r="AL241">
        <v>73.273858827906693</v>
      </c>
      <c r="AM241">
        <v>94.139440517455895</v>
      </c>
      <c r="AN241">
        <v>1.0000000139602201</v>
      </c>
    </row>
    <row r="242" spans="1:40" x14ac:dyDescent="0.25">
      <c r="A242" t="str">
        <f>"20190304164105074"</f>
        <v>20190304164105074</v>
      </c>
      <c r="B242" t="str">
        <f>"1551688865062197"</f>
        <v>1551688865062197</v>
      </c>
      <c r="C242" t="s">
        <v>40</v>
      </c>
      <c r="D242">
        <v>4.6810999999999998</v>
      </c>
      <c r="E242">
        <v>0.55692419999999998</v>
      </c>
      <c r="F242" t="s">
        <v>41</v>
      </c>
      <c r="G242">
        <v>-460.18049999999999</v>
      </c>
      <c r="H242">
        <v>0.84450449999999999</v>
      </c>
      <c r="I242">
        <v>366.88139999999999</v>
      </c>
      <c r="J242">
        <v>-460.90359999999998</v>
      </c>
      <c r="K242">
        <v>1.1086419999999999</v>
      </c>
      <c r="L242">
        <v>366.90629999999999</v>
      </c>
      <c r="M242">
        <v>0.99984019999999996</v>
      </c>
      <c r="N242">
        <v>1.3225699999999999E-3</v>
      </c>
      <c r="O242">
        <v>-1.7836399999999999E-2</v>
      </c>
      <c r="P242">
        <v>0.95593969999999995</v>
      </c>
      <c r="Q242">
        <v>0.28887659999999998</v>
      </c>
      <c r="R242">
        <v>5.2249039999999997E-2</v>
      </c>
      <c r="S242">
        <v>3.460083</v>
      </c>
      <c r="T242">
        <v>-1.044141</v>
      </c>
      <c r="U242">
        <v>-0.1083374</v>
      </c>
      <c r="V242">
        <v>-6.9382730000000004E-2</v>
      </c>
      <c r="W242">
        <v>0.2875915</v>
      </c>
      <c r="X242">
        <v>0.95523670000000005</v>
      </c>
      <c r="Y242">
        <v>1.365823E-2</v>
      </c>
      <c r="Z242">
        <v>3.2802629999999998E-3</v>
      </c>
      <c r="AA242">
        <v>0.99990140000000005</v>
      </c>
      <c r="AB242">
        <v>26</v>
      </c>
      <c r="AC242">
        <v>0.72309999999998797</v>
      </c>
      <c r="AD242">
        <v>-0.26413749999999903</v>
      </c>
      <c r="AE242">
        <v>-2.4900000000002299E-2</v>
      </c>
      <c r="AF242">
        <v>1.0587481967944099E-2</v>
      </c>
      <c r="AG242">
        <v>-0.26413749999999903</v>
      </c>
      <c r="AH242">
        <v>0.63835263876921</v>
      </c>
      <c r="AI242">
        <v>112.47600556025699</v>
      </c>
      <c r="AJ242">
        <v>89.0498004060765</v>
      </c>
      <c r="AK242">
        <v>0.69092315426846496</v>
      </c>
      <c r="AL242">
        <v>73.286182436882299</v>
      </c>
      <c r="AM242">
        <v>94.154330271381497</v>
      </c>
      <c r="AN242">
        <v>0.99999999356069602</v>
      </c>
    </row>
    <row r="243" spans="1:40" x14ac:dyDescent="0.25">
      <c r="A243" t="str">
        <f>"20190304164105092"</f>
        <v>20190304164105092</v>
      </c>
      <c r="B243" t="str">
        <f>"1551688865081716"</f>
        <v>1551688865081716</v>
      </c>
      <c r="C243" t="s">
        <v>40</v>
      </c>
      <c r="D243">
        <v>4.5430489999999999</v>
      </c>
      <c r="E243">
        <v>0.55745699999999998</v>
      </c>
      <c r="F243" t="s">
        <v>41</v>
      </c>
      <c r="G243">
        <v>-460.16340000000002</v>
      </c>
      <c r="H243">
        <v>0.88616219999999901</v>
      </c>
      <c r="I243">
        <v>366.88249999999999</v>
      </c>
      <c r="J243">
        <v>-460.69819999999999</v>
      </c>
      <c r="K243">
        <v>1.1086579999999999</v>
      </c>
      <c r="L243">
        <v>366.90280000000001</v>
      </c>
      <c r="M243">
        <v>0.99984329999999999</v>
      </c>
      <c r="N243">
        <v>1.287655E-3</v>
      </c>
      <c r="O243">
        <v>-1.7654840000000002E-2</v>
      </c>
      <c r="P243">
        <v>0.95606880000000005</v>
      </c>
      <c r="Q243">
        <v>0.28844839999999999</v>
      </c>
      <c r="R243">
        <v>5.2252270000000003E-2</v>
      </c>
      <c r="S243">
        <v>3.458466</v>
      </c>
      <c r="T243">
        <v>-1.0395179999999999</v>
      </c>
      <c r="U243">
        <v>-0.11047360000000001</v>
      </c>
      <c r="V243">
        <v>-6.922143E-2</v>
      </c>
      <c r="W243">
        <v>0.28719509999999998</v>
      </c>
      <c r="X243">
        <v>0.95536770000000004</v>
      </c>
      <c r="Y243">
        <v>1.4427789999999999E-2</v>
      </c>
      <c r="Z243">
        <v>3.100837E-3</v>
      </c>
      <c r="AA243">
        <v>0.99989110000000003</v>
      </c>
      <c r="AB243">
        <v>26</v>
      </c>
      <c r="AC243">
        <v>0.53479999999996097</v>
      </c>
      <c r="AD243">
        <v>-0.22249579999999999</v>
      </c>
      <c r="AE243">
        <v>-2.0300000000020101E-2</v>
      </c>
      <c r="AF243">
        <v>9.2553560310656702E-3</v>
      </c>
      <c r="AG243">
        <v>-0.22249579999999999</v>
      </c>
      <c r="AH243">
        <v>0.45622303248874602</v>
      </c>
      <c r="AI243">
        <v>115.993424295238</v>
      </c>
      <c r="AJ243">
        <v>88.837805043181007</v>
      </c>
      <c r="AK243">
        <v>0.50767065899668495</v>
      </c>
      <c r="AL243">
        <v>73.309895594359602</v>
      </c>
      <c r="AM243">
        <v>94.144139697029601</v>
      </c>
      <c r="AN243">
        <v>1.0000000370192701</v>
      </c>
    </row>
    <row r="244" spans="1:40" x14ac:dyDescent="0.25">
      <c r="A244" t="str">
        <f>"20190304164105105"</f>
        <v>20190304164105105</v>
      </c>
      <c r="B244" t="str">
        <f>"1551688865091478"</f>
        <v>1551688865091478</v>
      </c>
      <c r="C244" t="s">
        <v>40</v>
      </c>
      <c r="D244">
        <v>4.5602660000000004</v>
      </c>
      <c r="E244">
        <v>0.55766119999999997</v>
      </c>
      <c r="F244" t="s">
        <v>41</v>
      </c>
      <c r="G244">
        <v>-459.92759999999998</v>
      </c>
      <c r="H244">
        <v>0.87827069999999996</v>
      </c>
      <c r="I244">
        <v>366.8766</v>
      </c>
      <c r="J244">
        <v>-460.54360000000003</v>
      </c>
      <c r="K244">
        <v>1.1086670000000001</v>
      </c>
      <c r="L244">
        <v>366.90019999999998</v>
      </c>
      <c r="M244">
        <v>0.99984589999999995</v>
      </c>
      <c r="N244">
        <v>1.259591E-3</v>
      </c>
      <c r="O244">
        <v>-1.7514160000000001E-2</v>
      </c>
      <c r="P244">
        <v>0.95605680000000004</v>
      </c>
      <c r="Q244">
        <v>0.28851539999999998</v>
      </c>
      <c r="R244">
        <v>5.2098560000000002E-2</v>
      </c>
      <c r="S244">
        <v>3.455902</v>
      </c>
      <c r="T244">
        <v>-1.0334289999999999</v>
      </c>
      <c r="U244">
        <v>-0.1152039</v>
      </c>
      <c r="V244">
        <v>-6.8938340000000001E-2</v>
      </c>
      <c r="W244">
        <v>0.28728740000000003</v>
      </c>
      <c r="X244">
        <v>0.9553604</v>
      </c>
      <c r="Y244">
        <v>1.5887849999999999E-2</v>
      </c>
      <c r="Z244">
        <v>2.8310620000000001E-3</v>
      </c>
      <c r="AA244">
        <v>0.99986980000000003</v>
      </c>
      <c r="AB244">
        <v>27</v>
      </c>
      <c r="AC244">
        <v>0.61600000000004196</v>
      </c>
      <c r="AD244">
        <v>-0.230396299999999</v>
      </c>
      <c r="AE244">
        <v>-2.35999999999876E-2</v>
      </c>
      <c r="AF244">
        <v>1.12378768218429E-2</v>
      </c>
      <c r="AG244">
        <v>-0.230396299999999</v>
      </c>
      <c r="AH244">
        <v>0.54077956523519</v>
      </c>
      <c r="AI244">
        <v>113.07171541989899</v>
      </c>
      <c r="AJ244">
        <v>88.8095144637809</v>
      </c>
      <c r="AK244">
        <v>0.58792115381666099</v>
      </c>
      <c r="AL244">
        <v>73.304374224071594</v>
      </c>
      <c r="AM244">
        <v>94.127281815485404</v>
      </c>
      <c r="AN244">
        <v>1.0000000194044301</v>
      </c>
    </row>
    <row r="245" spans="1:40" x14ac:dyDescent="0.25">
      <c r="A245" t="str">
        <f>"20190304164105118"</f>
        <v>20190304164105118</v>
      </c>
      <c r="B245" t="str">
        <f>"1551688865111972"</f>
        <v>1551688865111972</v>
      </c>
      <c r="C245" t="s">
        <v>40</v>
      </c>
      <c r="D245">
        <v>4.7579510000000003</v>
      </c>
      <c r="E245">
        <v>0.55803729999999996</v>
      </c>
      <c r="F245" t="s">
        <v>41</v>
      </c>
      <c r="G245">
        <v>-459.69600000000003</v>
      </c>
      <c r="H245">
        <v>0.85594709999999996</v>
      </c>
      <c r="I245">
        <v>366.87110000000001</v>
      </c>
      <c r="J245">
        <v>-460.37819999999999</v>
      </c>
      <c r="K245">
        <v>1.1086780000000001</v>
      </c>
      <c r="L245">
        <v>366.89749999999998</v>
      </c>
      <c r="M245">
        <v>0.99984870000000003</v>
      </c>
      <c r="N245">
        <v>1.2273989999999999E-3</v>
      </c>
      <c r="O245">
        <v>-1.735882E-2</v>
      </c>
      <c r="P245">
        <v>0.95609869999999997</v>
      </c>
      <c r="Q245">
        <v>0.28845609999999999</v>
      </c>
      <c r="R245">
        <v>5.1658759999999998E-2</v>
      </c>
      <c r="S245">
        <v>3.4552309999999999</v>
      </c>
      <c r="T245">
        <v>-1.0303</v>
      </c>
      <c r="U245">
        <v>-0.11737060000000001</v>
      </c>
      <c r="V245">
        <v>-6.8356780000000006E-2</v>
      </c>
      <c r="W245">
        <v>0.2872577</v>
      </c>
      <c r="X245">
        <v>0.95541109999999896</v>
      </c>
      <c r="Y245">
        <v>1.6636109999999999E-2</v>
      </c>
      <c r="Z245">
        <v>2.6684299999999998E-3</v>
      </c>
      <c r="AA245">
        <v>0.99985800000000002</v>
      </c>
      <c r="AB245">
        <v>27</v>
      </c>
      <c r="AC245">
        <v>0.68220000000002201</v>
      </c>
      <c r="AD245">
        <v>-0.25273089999999998</v>
      </c>
      <c r="AE245">
        <v>-2.6399999999966801E-2</v>
      </c>
      <c r="AF245">
        <v>1.27997641845311E-2</v>
      </c>
      <c r="AG245">
        <v>-0.25273089999999998</v>
      </c>
      <c r="AH245">
        <v>0.60029219506721299</v>
      </c>
      <c r="AI245">
        <v>112.827075478059</v>
      </c>
      <c r="AJ245">
        <v>88.778492607552707</v>
      </c>
      <c r="AK245">
        <v>0.65145027533696098</v>
      </c>
      <c r="AL245">
        <v>73.3061505076099</v>
      </c>
      <c r="AM245">
        <v>94.092366664227001</v>
      </c>
      <c r="AN245">
        <v>1.00000000279223</v>
      </c>
    </row>
    <row r="246" spans="1:40" x14ac:dyDescent="0.25">
      <c r="A246" t="str">
        <f>"20190304164105138"</f>
        <v>20190304164105138</v>
      </c>
      <c r="B246" t="str">
        <f>"1551688865131491"</f>
        <v>1551688865131491</v>
      </c>
      <c r="C246" t="s">
        <v>40</v>
      </c>
      <c r="D246">
        <v>4.577782</v>
      </c>
      <c r="E246">
        <v>0.55814900000000001</v>
      </c>
      <c r="F246" t="s">
        <v>41</v>
      </c>
      <c r="G246">
        <v>-459.6773</v>
      </c>
      <c r="H246">
        <v>0.90062589999999998</v>
      </c>
      <c r="I246">
        <v>366.87259999999998</v>
      </c>
      <c r="J246">
        <v>-460.14240000000001</v>
      </c>
      <c r="K246">
        <v>1.108697</v>
      </c>
      <c r="L246">
        <v>366.89359999999999</v>
      </c>
      <c r="M246">
        <v>0.99985270000000004</v>
      </c>
      <c r="N246">
        <v>1.178484E-3</v>
      </c>
      <c r="O246">
        <v>-1.7129800000000001E-2</v>
      </c>
      <c r="P246">
        <v>0.95614809999999995</v>
      </c>
      <c r="Q246">
        <v>0.2883501</v>
      </c>
      <c r="R246">
        <v>5.1333950000000003E-2</v>
      </c>
      <c r="S246">
        <v>3.4536440000000002</v>
      </c>
      <c r="T246">
        <v>-1.02525</v>
      </c>
      <c r="U246">
        <v>-0.12091059999999999</v>
      </c>
      <c r="V246">
        <v>-6.7821850000000003E-2</v>
      </c>
      <c r="W246">
        <v>0.28719689999999998</v>
      </c>
      <c r="X246">
        <v>0.95546750000000003</v>
      </c>
      <c r="Y246">
        <v>1.784202E-2</v>
      </c>
      <c r="Z246">
        <v>2.4146770000000001E-3</v>
      </c>
      <c r="AA246">
        <v>0.99983789999999995</v>
      </c>
      <c r="AB246">
        <v>27</v>
      </c>
      <c r="AC246">
        <v>0.46510000000000601</v>
      </c>
      <c r="AD246">
        <v>-0.20807110000000001</v>
      </c>
      <c r="AE246">
        <v>-2.1000000000015E-2</v>
      </c>
      <c r="AF246">
        <v>1.08606343839292E-2</v>
      </c>
      <c r="AG246">
        <v>-0.20807110000000001</v>
      </c>
      <c r="AH246">
        <v>0.38791306117404001</v>
      </c>
      <c r="AI246">
        <v>118.199132661375</v>
      </c>
      <c r="AJ246">
        <v>88.396274680826707</v>
      </c>
      <c r="AK246">
        <v>0.44032724088323899</v>
      </c>
      <c r="AL246">
        <v>73.309787343942602</v>
      </c>
      <c r="AM246">
        <v>94.060210265814007</v>
      </c>
      <c r="AN246">
        <v>1.0000000031316401</v>
      </c>
    </row>
    <row r="247" spans="1:40" x14ac:dyDescent="0.25">
      <c r="A247" t="str">
        <f>"20190304164105152"</f>
        <v>20190304164105152</v>
      </c>
      <c r="B247" t="str">
        <f>"1551688865141252"</f>
        <v>1551688865141252</v>
      </c>
      <c r="C247" t="s">
        <v>40</v>
      </c>
      <c r="D247">
        <v>4.5737300000000003</v>
      </c>
      <c r="E247">
        <v>0.55819739999999995</v>
      </c>
      <c r="F247" t="s">
        <v>41</v>
      </c>
      <c r="G247">
        <v>-459.43509999999998</v>
      </c>
      <c r="H247">
        <v>0.89882229999999996</v>
      </c>
      <c r="I247">
        <v>366.86849999999998</v>
      </c>
      <c r="J247">
        <v>-459.96510000000001</v>
      </c>
      <c r="K247">
        <v>1.1087070000000001</v>
      </c>
      <c r="L247">
        <v>366.89069999999998</v>
      </c>
      <c r="M247">
        <v>0.99985559999999996</v>
      </c>
      <c r="N247">
        <v>1.139298E-3</v>
      </c>
      <c r="O247">
        <v>-1.695253E-2</v>
      </c>
      <c r="P247">
        <v>0.95605379999999995</v>
      </c>
      <c r="Q247">
        <v>0.28870040000000002</v>
      </c>
      <c r="R247">
        <v>5.1121319999999998E-2</v>
      </c>
      <c r="S247">
        <v>3.4531860000000001</v>
      </c>
      <c r="T247">
        <v>-1.0247059999999999</v>
      </c>
      <c r="U247">
        <v>-0.122345</v>
      </c>
      <c r="V247">
        <v>-6.7443710000000004E-2</v>
      </c>
      <c r="W247">
        <v>0.2875837</v>
      </c>
      <c r="X247">
        <v>0.9553779</v>
      </c>
      <c r="Y247">
        <v>1.8406539999999999E-2</v>
      </c>
      <c r="Z247">
        <v>2.279428E-3</v>
      </c>
      <c r="AA247">
        <v>0.99982800000000005</v>
      </c>
      <c r="AB247">
        <v>27</v>
      </c>
      <c r="AC247">
        <v>0.530000000000029</v>
      </c>
      <c r="AD247">
        <v>-0.20988469999999901</v>
      </c>
      <c r="AE247">
        <v>-2.2199999999997999E-2</v>
      </c>
      <c r="AF247">
        <v>1.1423614505178E-2</v>
      </c>
      <c r="AG247">
        <v>-0.20988469999999901</v>
      </c>
      <c r="AH247">
        <v>0.45851967961308798</v>
      </c>
      <c r="AI247">
        <v>114.588934275957</v>
      </c>
      <c r="AJ247">
        <v>88.572821291394106</v>
      </c>
      <c r="AK247">
        <v>0.50440299647696596</v>
      </c>
      <c r="AL247">
        <v>73.286648912207895</v>
      </c>
      <c r="AM247">
        <v>94.038025105518997</v>
      </c>
      <c r="AN247">
        <v>0.99999998516633204</v>
      </c>
    </row>
    <row r="248" spans="1:40" x14ac:dyDescent="0.25">
      <c r="A248" t="str">
        <f>"20190304164105172"</f>
        <v>20190304164105172</v>
      </c>
      <c r="B248" t="str">
        <f>"1551688865161278"</f>
        <v>1551688865161278</v>
      </c>
      <c r="C248" t="s">
        <v>40</v>
      </c>
      <c r="D248">
        <v>4.5736429999999997</v>
      </c>
      <c r="E248">
        <v>0.55826200000000004</v>
      </c>
      <c r="F248" t="s">
        <v>41</v>
      </c>
      <c r="G248">
        <v>-459.1977</v>
      </c>
      <c r="H248">
        <v>0.88138619999999901</v>
      </c>
      <c r="I248">
        <v>366.86320000000001</v>
      </c>
      <c r="J248">
        <v>-459.73090000000002</v>
      </c>
      <c r="K248">
        <v>1.10873</v>
      </c>
      <c r="L248">
        <v>366.887</v>
      </c>
      <c r="M248">
        <v>0.99985979999999997</v>
      </c>
      <c r="N248">
        <v>1.085042E-3</v>
      </c>
      <c r="O248">
        <v>-1.671361E-2</v>
      </c>
      <c r="P248">
        <v>0.95609489999999997</v>
      </c>
      <c r="Q248">
        <v>0.28859000000000001</v>
      </c>
      <c r="R248">
        <v>5.0973959999999999E-2</v>
      </c>
      <c r="S248">
        <v>3.45343</v>
      </c>
      <c r="T248">
        <v>-1.02298</v>
      </c>
      <c r="U248">
        <v>-0.1239319</v>
      </c>
      <c r="V248">
        <v>-6.7075070000000001E-2</v>
      </c>
      <c r="W248">
        <v>0.28752349999999999</v>
      </c>
      <c r="X248">
        <v>0.95542199999999999</v>
      </c>
      <c r="Y248">
        <v>1.9063199999999999E-2</v>
      </c>
      <c r="Z248">
        <v>2.1098890000000002E-3</v>
      </c>
      <c r="AA248">
        <v>0.99981609999999999</v>
      </c>
      <c r="AB248">
        <v>27</v>
      </c>
      <c r="AC248">
        <v>0.53320000000002199</v>
      </c>
      <c r="AD248">
        <v>-0.22734380000000001</v>
      </c>
      <c r="AE248">
        <v>-2.3799999999937399E-2</v>
      </c>
      <c r="AF248">
        <v>1.2599061046436899E-2</v>
      </c>
      <c r="AG248">
        <v>-0.22734380000000001</v>
      </c>
      <c r="AH248">
        <v>0.45158914305652997</v>
      </c>
      <c r="AI248">
        <v>116.713131559373</v>
      </c>
      <c r="AJ248">
        <v>88.401897330522004</v>
      </c>
      <c r="AK248">
        <v>0.50574370373166599</v>
      </c>
      <c r="AL248">
        <v>73.290250701153795</v>
      </c>
      <c r="AM248">
        <v>94.015841352620598</v>
      </c>
      <c r="AN248">
        <v>1.0000000130758699</v>
      </c>
    </row>
    <row r="249" spans="1:40" x14ac:dyDescent="0.25">
      <c r="A249" t="str">
        <f>"20190304164105186"</f>
        <v>20190304164105186</v>
      </c>
      <c r="B249" t="str">
        <f>"1551688865172014"</f>
        <v>1551688865172014</v>
      </c>
      <c r="C249" t="s">
        <v>40</v>
      </c>
      <c r="D249">
        <v>4.5785330000000002</v>
      </c>
      <c r="E249">
        <v>0.55828059999999902</v>
      </c>
      <c r="F249" t="s">
        <v>41</v>
      </c>
      <c r="G249">
        <v>-458.95240000000001</v>
      </c>
      <c r="H249">
        <v>0.87819639999999999</v>
      </c>
      <c r="I249">
        <v>366.85820000000001</v>
      </c>
      <c r="J249">
        <v>-459.55939999999998</v>
      </c>
      <c r="K249">
        <v>1.1087370000000001</v>
      </c>
      <c r="L249">
        <v>366.88420000000002</v>
      </c>
      <c r="M249">
        <v>0.99986269999999999</v>
      </c>
      <c r="N249">
        <v>1.043726E-3</v>
      </c>
      <c r="O249">
        <v>-1.6535959999999999E-2</v>
      </c>
      <c r="P249">
        <v>0.95600909999999995</v>
      </c>
      <c r="Q249">
        <v>0.28884349999999998</v>
      </c>
      <c r="R249">
        <v>5.1148730000000003E-2</v>
      </c>
      <c r="S249">
        <v>3.4531559999999999</v>
      </c>
      <c r="T249">
        <v>-1.0226170000000001</v>
      </c>
      <c r="U249">
        <v>-0.12680050000000001</v>
      </c>
      <c r="V249">
        <v>-6.7082589999999997E-2</v>
      </c>
      <c r="W249">
        <v>0.28781570000000001</v>
      </c>
      <c r="X249">
        <v>0.95533349999999995</v>
      </c>
      <c r="Y249">
        <v>2.0024199999999999E-2</v>
      </c>
      <c r="Z249">
        <v>1.917822E-3</v>
      </c>
      <c r="AA249">
        <v>0.99979759999999995</v>
      </c>
      <c r="AB249">
        <v>27</v>
      </c>
      <c r="AC249">
        <v>0.60699999999997001</v>
      </c>
      <c r="AD249">
        <v>-0.23054060000000001</v>
      </c>
      <c r="AE249">
        <v>-2.60000000000104E-2</v>
      </c>
      <c r="AF249">
        <v>1.39504386087109E-2</v>
      </c>
      <c r="AG249">
        <v>-0.23054060000000001</v>
      </c>
      <c r="AH249">
        <v>0.530904001804957</v>
      </c>
      <c r="AI249">
        <v>113.465267346997</v>
      </c>
      <c r="AJ249">
        <v>88.494798750730794</v>
      </c>
      <c r="AK249">
        <v>0.57896687480222397</v>
      </c>
      <c r="AL249">
        <v>73.272770140328902</v>
      </c>
      <c r="AM249">
        <v>94.016660950635597</v>
      </c>
      <c r="AN249">
        <v>1.00000002363492</v>
      </c>
    </row>
    <row r="250" spans="1:40" x14ac:dyDescent="0.25">
      <c r="A250" t="str">
        <f>"20190304164105206"</f>
        <v>20190304164105206</v>
      </c>
      <c r="B250" t="str">
        <f>"1551688865191535"</f>
        <v>1551688865191535</v>
      </c>
      <c r="C250" t="s">
        <v>40</v>
      </c>
      <c r="D250">
        <v>4.5761190000000003</v>
      </c>
      <c r="E250">
        <v>0.55828739999999999</v>
      </c>
      <c r="F250" t="s">
        <v>41</v>
      </c>
      <c r="G250">
        <v>-458.71230000000003</v>
      </c>
      <c r="H250">
        <v>0.85816429999999999</v>
      </c>
      <c r="I250">
        <v>366.85289999999998</v>
      </c>
      <c r="J250">
        <v>-459.33510000000001</v>
      </c>
      <c r="K250">
        <v>1.108749</v>
      </c>
      <c r="L250">
        <v>366.88080000000002</v>
      </c>
      <c r="M250">
        <v>0.9998667</v>
      </c>
      <c r="N250">
        <v>9.8754909999999993E-4</v>
      </c>
      <c r="O250">
        <v>-1.6300140000000001E-2</v>
      </c>
      <c r="P250">
        <v>0.95605810000000002</v>
      </c>
      <c r="Q250">
        <v>0.28864499999999998</v>
      </c>
      <c r="R250">
        <v>5.1355289999999998E-2</v>
      </c>
      <c r="S250">
        <v>3.4534910000000001</v>
      </c>
      <c r="T250">
        <v>-1.021517</v>
      </c>
      <c r="U250">
        <v>-0.12725829999999999</v>
      </c>
      <c r="V250">
        <v>-6.7069240000000002E-2</v>
      </c>
      <c r="W250">
        <v>0.28766999999999998</v>
      </c>
      <c r="X250">
        <v>0.95537830000000001</v>
      </c>
      <c r="Y250">
        <v>2.0364050000000002E-2</v>
      </c>
      <c r="Z250">
        <v>1.7967020000000001E-3</v>
      </c>
      <c r="AA250">
        <v>0.99979099999999999</v>
      </c>
      <c r="AB250">
        <v>28</v>
      </c>
      <c r="AC250">
        <v>0.62279999999998303</v>
      </c>
      <c r="AD250">
        <v>-0.25058469999999999</v>
      </c>
      <c r="AE250">
        <v>-2.7900000000045101E-2</v>
      </c>
      <c r="AF250">
        <v>1.52764555881976E-2</v>
      </c>
      <c r="AG250">
        <v>-0.25058469999999999</v>
      </c>
      <c r="AH250">
        <v>0.53649450837205204</v>
      </c>
      <c r="AI250">
        <v>115.027334832324</v>
      </c>
      <c r="AJ250">
        <v>88.3689674843869</v>
      </c>
      <c r="AK250">
        <v>0.59232796614949601</v>
      </c>
      <c r="AL250">
        <v>73.281486443747397</v>
      </c>
      <c r="AM250">
        <v>94.015676519422698</v>
      </c>
      <c r="AN250">
        <v>1.0000000039825301</v>
      </c>
    </row>
    <row r="251" spans="1:40" x14ac:dyDescent="0.25">
      <c r="A251" t="str">
        <f>"20190304164105217"</f>
        <v>20190304164105217</v>
      </c>
      <c r="B251" t="str">
        <f>"1551688865212031"</f>
        <v>1551688865212031</v>
      </c>
      <c r="C251" t="s">
        <v>40</v>
      </c>
      <c r="D251">
        <v>4.5611709999999999</v>
      </c>
      <c r="E251">
        <v>0.55831649999999999</v>
      </c>
      <c r="F251" t="s">
        <v>41</v>
      </c>
      <c r="G251">
        <v>-458.4649</v>
      </c>
      <c r="H251">
        <v>0.85103119999999999</v>
      </c>
      <c r="I251">
        <v>366.8485</v>
      </c>
      <c r="J251">
        <v>-459.1508</v>
      </c>
      <c r="K251">
        <v>1.108757</v>
      </c>
      <c r="L251">
        <v>366.87799999999999</v>
      </c>
      <c r="M251">
        <v>0.99986989999999998</v>
      </c>
      <c r="N251">
        <v>9.3960790000000005E-4</v>
      </c>
      <c r="O251">
        <v>-1.610485E-2</v>
      </c>
      <c r="P251">
        <v>0.95604460000000002</v>
      </c>
      <c r="Q251">
        <v>0.28859420000000002</v>
      </c>
      <c r="R251">
        <v>5.1886929999999998E-2</v>
      </c>
      <c r="S251">
        <v>3.45343</v>
      </c>
      <c r="T251">
        <v>-1.022716</v>
      </c>
      <c r="U251">
        <v>-0.12637329999999999</v>
      </c>
      <c r="V251">
        <v>-6.7416509999999999E-2</v>
      </c>
      <c r="W251">
        <v>0.28766370000000002</v>
      </c>
      <c r="X251">
        <v>0.95535579999999998</v>
      </c>
      <c r="Y251">
        <v>2.029775E-2</v>
      </c>
      <c r="Z251">
        <v>1.7502819999999999E-3</v>
      </c>
      <c r="AA251">
        <v>0.99979249999999997</v>
      </c>
      <c r="AB251">
        <v>28</v>
      </c>
      <c r="AC251">
        <v>0.68590000000000295</v>
      </c>
      <c r="AD251">
        <v>-0.2577258</v>
      </c>
      <c r="AE251">
        <v>-2.9500000000041299E-2</v>
      </c>
      <c r="AF251">
        <v>1.6170944134517799E-2</v>
      </c>
      <c r="AG251">
        <v>-0.2577258</v>
      </c>
      <c r="AH251">
        <v>0.60151670650973099</v>
      </c>
      <c r="AI251">
        <v>113.18570119415401</v>
      </c>
      <c r="AJ251">
        <v>88.460053183640696</v>
      </c>
      <c r="AK251">
        <v>0.654604029647049</v>
      </c>
      <c r="AL251">
        <v>73.281864084713504</v>
      </c>
      <c r="AM251">
        <v>94.036495021283699</v>
      </c>
      <c r="AN251">
        <v>1.0000000473559501</v>
      </c>
    </row>
    <row r="252" spans="1:40" x14ac:dyDescent="0.25">
      <c r="A252" t="str">
        <f>"20190304164105229"</f>
        <v>20190304164105229</v>
      </c>
      <c r="B252" t="str">
        <f>"1551688865221790"</f>
        <v>1551688865221790</v>
      </c>
      <c r="C252" t="s">
        <v>40</v>
      </c>
      <c r="D252">
        <v>4.6030670000000002</v>
      </c>
      <c r="E252">
        <v>0.55831319999999995</v>
      </c>
      <c r="F252" t="s">
        <v>41</v>
      </c>
      <c r="G252">
        <v>-458.44459999999998</v>
      </c>
      <c r="H252">
        <v>0.89957520000000002</v>
      </c>
      <c r="I252">
        <v>366.85219999999998</v>
      </c>
      <c r="J252">
        <v>-459.00580000000002</v>
      </c>
      <c r="K252">
        <v>1.10876</v>
      </c>
      <c r="L252">
        <v>366.87580000000003</v>
      </c>
      <c r="M252">
        <v>0.99987239999999999</v>
      </c>
      <c r="N252">
        <v>9.0093940000000004E-4</v>
      </c>
      <c r="O252">
        <v>-1.595069E-2</v>
      </c>
      <c r="P252">
        <v>0.95598450000000001</v>
      </c>
      <c r="Q252">
        <v>0.28871409999999997</v>
      </c>
      <c r="R252">
        <v>5.2324349999999999E-2</v>
      </c>
      <c r="S252">
        <v>3.4534609999999999</v>
      </c>
      <c r="T252">
        <v>-1.022969</v>
      </c>
      <c r="U252">
        <v>-0.12417599999999999</v>
      </c>
      <c r="V252">
        <v>-6.770793E-2</v>
      </c>
      <c r="W252">
        <v>0.28782029999999997</v>
      </c>
      <c r="X252">
        <v>0.95528800000000003</v>
      </c>
      <c r="Y252">
        <v>1.9829280000000001E-2</v>
      </c>
      <c r="Z252">
        <v>1.772565E-3</v>
      </c>
      <c r="AA252">
        <v>0.99980179999999996</v>
      </c>
      <c r="AB252">
        <v>28</v>
      </c>
      <c r="AC252">
        <v>0.561200000000042</v>
      </c>
      <c r="AD252">
        <v>-0.209184799999999</v>
      </c>
      <c r="AE252">
        <v>-2.3600000000044401E-2</v>
      </c>
      <c r="AF252">
        <v>1.28616356556083E-2</v>
      </c>
      <c r="AG252">
        <v>-0.209184799999999</v>
      </c>
      <c r="AH252">
        <v>0.49311321116249002</v>
      </c>
      <c r="AI252">
        <v>112.980261519998</v>
      </c>
      <c r="AJ252">
        <v>88.505920376082003</v>
      </c>
      <c r="AK252">
        <v>0.53580252075345802</v>
      </c>
      <c r="AL252">
        <v>73.272494973631595</v>
      </c>
      <c r="AM252">
        <v>94.054172206629502</v>
      </c>
      <c r="AN252">
        <v>1.00000002591048</v>
      </c>
    </row>
    <row r="253" spans="1:40" x14ac:dyDescent="0.25">
      <c r="A253" t="str">
        <f>"20190304164105242"</f>
        <v>20190304164105242</v>
      </c>
      <c r="B253" t="str">
        <f>"1551688865231551"</f>
        <v>1551688865231551</v>
      </c>
      <c r="C253" t="s">
        <v>40</v>
      </c>
      <c r="D253">
        <v>4.5649449999999998</v>
      </c>
      <c r="E253">
        <v>0.55829700000000004</v>
      </c>
      <c r="F253" t="s">
        <v>41</v>
      </c>
      <c r="G253">
        <v>-458.20429999999999</v>
      </c>
      <c r="H253">
        <v>0.87142929999999996</v>
      </c>
      <c r="I253">
        <v>366.84730000000002</v>
      </c>
      <c r="J253">
        <v>-458.85019999999997</v>
      </c>
      <c r="K253">
        <v>1.1087659999999999</v>
      </c>
      <c r="L253">
        <v>366.8734</v>
      </c>
      <c r="M253">
        <v>0.99987499999999996</v>
      </c>
      <c r="N253">
        <v>8.589852E-4</v>
      </c>
      <c r="O253">
        <v>-1.5785199999999999E-2</v>
      </c>
      <c r="P253">
        <v>0.95596809999999999</v>
      </c>
      <c r="Q253">
        <v>0.28863270000000002</v>
      </c>
      <c r="R253">
        <v>5.3069709999999999E-2</v>
      </c>
      <c r="S253">
        <v>3.4536739999999999</v>
      </c>
      <c r="T253">
        <v>-1.022699</v>
      </c>
      <c r="U253">
        <v>-0.12231450000000001</v>
      </c>
      <c r="V253">
        <v>-6.8296419999999997E-2</v>
      </c>
      <c r="W253">
        <v>0.2877788</v>
      </c>
      <c r="X253">
        <v>0.95525859999999996</v>
      </c>
      <c r="Y253">
        <v>1.946262E-2</v>
      </c>
      <c r="Z253">
        <v>1.7758419999999999E-3</v>
      </c>
      <c r="AA253">
        <v>0.99980899999999995</v>
      </c>
      <c r="AB253">
        <v>28</v>
      </c>
      <c r="AC253">
        <v>0.64589999999998304</v>
      </c>
      <c r="AD253">
        <v>-0.23733670000000001</v>
      </c>
      <c r="AE253">
        <v>-2.6099999999985302E-2</v>
      </c>
      <c r="AF253">
        <v>1.40122311586871E-2</v>
      </c>
      <c r="AG253">
        <v>-0.23733670000000001</v>
      </c>
      <c r="AH253">
        <v>0.56946720317343502</v>
      </c>
      <c r="AI253">
        <v>112.61874048832399</v>
      </c>
      <c r="AJ253">
        <v>88.590472401395303</v>
      </c>
      <c r="AK253">
        <v>0.61710448651675598</v>
      </c>
      <c r="AL253">
        <v>73.274977620748203</v>
      </c>
      <c r="AM253">
        <v>94.089415835048101</v>
      </c>
      <c r="AN253">
        <v>1.0000000157941</v>
      </c>
    </row>
    <row r="254" spans="1:40" x14ac:dyDescent="0.25">
      <c r="A254" t="str">
        <f>"20190304164105260"</f>
        <v>20190304164105260</v>
      </c>
      <c r="B254" t="str">
        <f>"1551688865252047"</f>
        <v>1551688865252047</v>
      </c>
      <c r="C254" t="s">
        <v>40</v>
      </c>
      <c r="D254">
        <v>4.623818</v>
      </c>
      <c r="E254">
        <v>0.55817410000000001</v>
      </c>
      <c r="F254" t="s">
        <v>41</v>
      </c>
      <c r="G254">
        <v>-457.96100000000001</v>
      </c>
      <c r="H254">
        <v>0.84532199999999902</v>
      </c>
      <c r="I254">
        <v>366.84219999999999</v>
      </c>
      <c r="J254">
        <v>-458.6198</v>
      </c>
      <c r="K254">
        <v>1.1087769999999999</v>
      </c>
      <c r="L254">
        <v>366.87</v>
      </c>
      <c r="M254">
        <v>0.99987890000000001</v>
      </c>
      <c r="N254">
        <v>7.9530219999999997E-4</v>
      </c>
      <c r="O254">
        <v>-1.553876E-2</v>
      </c>
      <c r="P254">
        <v>0.95583779999999996</v>
      </c>
      <c r="Q254">
        <v>0.28890830000000001</v>
      </c>
      <c r="R254">
        <v>5.3910140000000002E-2</v>
      </c>
      <c r="S254">
        <v>3.4537659999999999</v>
      </c>
      <c r="T254">
        <v>-1.0233639999999999</v>
      </c>
      <c r="U254">
        <v>-0.119751</v>
      </c>
      <c r="V254">
        <v>-6.8901790000000004E-2</v>
      </c>
      <c r="W254">
        <v>0.28811439999999999</v>
      </c>
      <c r="X254">
        <v>0.95511389999999996</v>
      </c>
      <c r="Y254">
        <v>1.8976429999999999E-2</v>
      </c>
      <c r="Z254">
        <v>1.7739570000000001E-3</v>
      </c>
      <c r="AA254">
        <v>0.9998184</v>
      </c>
      <c r="AB254">
        <v>28</v>
      </c>
      <c r="AC254">
        <v>0.65879999999998495</v>
      </c>
      <c r="AD254">
        <v>-0.26345499999999999</v>
      </c>
      <c r="AE254">
        <v>-2.78000000000133E-2</v>
      </c>
      <c r="AF254">
        <v>1.5142417419607699E-2</v>
      </c>
      <c r="AG254">
        <v>-0.26345499999999999</v>
      </c>
      <c r="AH254">
        <v>0.56841282344393895</v>
      </c>
      <c r="AI254">
        <v>114.85960925787499</v>
      </c>
      <c r="AJ254">
        <v>88.4740114532474</v>
      </c>
      <c r="AK254">
        <v>0.62668250947814097</v>
      </c>
      <c r="AL254">
        <v>73.254897837046698</v>
      </c>
      <c r="AM254">
        <v>94.126162100586299</v>
      </c>
      <c r="AN254">
        <v>0.99999996306288597</v>
      </c>
    </row>
    <row r="255" spans="1:40" x14ac:dyDescent="0.25">
      <c r="A255" t="str">
        <f>"20190304164105275"</f>
        <v>20190304164105275</v>
      </c>
      <c r="B255" t="str">
        <f>"1551688865261338"</f>
        <v>1551688865261338</v>
      </c>
      <c r="C255" t="s">
        <v>40</v>
      </c>
      <c r="D255">
        <v>4.6068230000000003</v>
      </c>
      <c r="E255">
        <v>0.55812280000000003</v>
      </c>
      <c r="F255" t="s">
        <v>41</v>
      </c>
      <c r="G255">
        <v>-457.93579999999997</v>
      </c>
      <c r="H255">
        <v>0.9059353</v>
      </c>
      <c r="I255">
        <v>366.84699999999998</v>
      </c>
      <c r="J255">
        <v>-458.43259999999998</v>
      </c>
      <c r="K255">
        <v>1.108784</v>
      </c>
      <c r="L255">
        <v>366.8673</v>
      </c>
      <c r="M255">
        <v>0.99988220000000005</v>
      </c>
      <c r="N255">
        <v>7.4208409999999999E-4</v>
      </c>
      <c r="O255">
        <v>-1.5338930000000001E-2</v>
      </c>
      <c r="P255">
        <v>0.95571329999999999</v>
      </c>
      <c r="Q255">
        <v>0.28923140000000003</v>
      </c>
      <c r="R255">
        <v>5.4382609999999998E-2</v>
      </c>
      <c r="S255">
        <v>3.4548030000000001</v>
      </c>
      <c r="T255">
        <v>-1.0247109999999999</v>
      </c>
      <c r="U255">
        <v>-0.114440899999999</v>
      </c>
      <c r="V255">
        <v>-6.9182439999999998E-2</v>
      </c>
      <c r="W255">
        <v>0.28848750000000001</v>
      </c>
      <c r="X255">
        <v>0.95498099999999997</v>
      </c>
      <c r="Y255">
        <v>1.767726E-2</v>
      </c>
      <c r="Z255">
        <v>1.904326E-3</v>
      </c>
      <c r="AA255">
        <v>0.99984189999999995</v>
      </c>
      <c r="AB255">
        <v>28</v>
      </c>
      <c r="AC255">
        <v>0.49680000000000701</v>
      </c>
      <c r="AD255">
        <v>-0.20284869999999899</v>
      </c>
      <c r="AE255">
        <v>-2.0300000000020101E-2</v>
      </c>
      <c r="AF255">
        <v>1.08683122098026E-2</v>
      </c>
      <c r="AG255">
        <v>-0.20284869999999899</v>
      </c>
      <c r="AH255">
        <v>0.42612829371477401</v>
      </c>
      <c r="AI255">
        <v>115.44849429760799</v>
      </c>
      <c r="AJ255">
        <v>88.538999969825497</v>
      </c>
      <c r="AK255">
        <v>0.47207100949565201</v>
      </c>
      <c r="AL255">
        <v>73.232573134034396</v>
      </c>
      <c r="AM255">
        <v>94.143484876833298</v>
      </c>
      <c r="AN255">
        <v>0.99999997901080095</v>
      </c>
    </row>
    <row r="256" spans="1:40" x14ac:dyDescent="0.25">
      <c r="A256" t="str">
        <f>"20190304164105289"</f>
        <v>20190304164105289</v>
      </c>
      <c r="B256" t="str">
        <f>"1551688865281835"</f>
        <v>1551688865281835</v>
      </c>
      <c r="C256" t="s">
        <v>40</v>
      </c>
      <c r="D256">
        <v>4.6217800000000002</v>
      </c>
      <c r="E256">
        <v>0.55808849999999999</v>
      </c>
      <c r="F256" t="s">
        <v>41</v>
      </c>
      <c r="G256">
        <v>-457.68759999999997</v>
      </c>
      <c r="H256">
        <v>0.88795329999999995</v>
      </c>
      <c r="I256">
        <v>366.84320000000002</v>
      </c>
      <c r="J256">
        <v>-458.25040000000001</v>
      </c>
      <c r="K256">
        <v>1.1087910000000001</v>
      </c>
      <c r="L256">
        <v>366.86470000000003</v>
      </c>
      <c r="M256">
        <v>0.99988509999999997</v>
      </c>
      <c r="N256">
        <v>6.8962129999999996E-4</v>
      </c>
      <c r="O256">
        <v>-1.514483E-2</v>
      </c>
      <c r="P256">
        <v>0.95569539999999997</v>
      </c>
      <c r="Q256">
        <v>0.28920289999999998</v>
      </c>
      <c r="R256">
        <v>5.484634E-2</v>
      </c>
      <c r="S256">
        <v>3.4554140000000002</v>
      </c>
      <c r="T256">
        <v>-1.0243040000000001</v>
      </c>
      <c r="U256">
        <v>-0.1122742</v>
      </c>
      <c r="V256">
        <v>-6.9461999999999996E-2</v>
      </c>
      <c r="W256">
        <v>0.28850890000000001</v>
      </c>
      <c r="X256">
        <v>0.95495430000000003</v>
      </c>
      <c r="Y256">
        <v>1.7248940000000001E-2</v>
      </c>
      <c r="Z256">
        <v>1.9076010000000001E-3</v>
      </c>
      <c r="AA256">
        <v>0.9998494</v>
      </c>
      <c r="AB256">
        <v>28</v>
      </c>
      <c r="AC256">
        <v>0.56280000000003805</v>
      </c>
      <c r="AD256">
        <v>-0.220837699999999</v>
      </c>
      <c r="AE256">
        <v>-2.15000000000031E-2</v>
      </c>
      <c r="AF256">
        <v>1.12451247705105E-2</v>
      </c>
      <c r="AG256">
        <v>-0.220837699999999</v>
      </c>
      <c r="AH256">
        <v>0.48802845563656699</v>
      </c>
      <c r="AI256">
        <v>114.341511047937</v>
      </c>
      <c r="AJ256">
        <v>88.680027378916705</v>
      </c>
      <c r="AK256">
        <v>0.53578681962456598</v>
      </c>
      <c r="AL256">
        <v>73.231293520511699</v>
      </c>
      <c r="AM256">
        <v>94.160285564980001</v>
      </c>
      <c r="AN256">
        <v>1.00000003495584</v>
      </c>
    </row>
    <row r="257" spans="1:40" x14ac:dyDescent="0.25">
      <c r="A257" t="str">
        <f>"20190304164105305"</f>
        <v>20190304164105305</v>
      </c>
      <c r="B257" t="str">
        <f>"1551688865291594"</f>
        <v>1551688865291594</v>
      </c>
      <c r="C257" t="s">
        <v>40</v>
      </c>
      <c r="D257">
        <v>4.5602130000000001</v>
      </c>
      <c r="E257">
        <v>0.55809960000000003</v>
      </c>
      <c r="F257" t="s">
        <v>41</v>
      </c>
      <c r="G257">
        <v>-457.43849999999998</v>
      </c>
      <c r="H257">
        <v>0.86793039999999999</v>
      </c>
      <c r="I257">
        <v>366.83839999999998</v>
      </c>
      <c r="J257">
        <v>-458.04770000000002</v>
      </c>
      <c r="K257">
        <v>1.1087990000000001</v>
      </c>
      <c r="L257">
        <v>366.86180000000002</v>
      </c>
      <c r="M257">
        <v>0.99988849999999996</v>
      </c>
      <c r="N257">
        <v>6.3042800000000004E-4</v>
      </c>
      <c r="O257">
        <v>-1.492891E-2</v>
      </c>
      <c r="P257">
        <v>0.95567709999999995</v>
      </c>
      <c r="Q257">
        <v>0.28917659999999901</v>
      </c>
      <c r="R257">
        <v>5.530173E-2</v>
      </c>
      <c r="S257">
        <v>3.4557190000000002</v>
      </c>
      <c r="T257">
        <v>-1.025255</v>
      </c>
      <c r="U257">
        <v>-0.11074829999999999</v>
      </c>
      <c r="V257">
        <v>-6.9712709999999997E-2</v>
      </c>
      <c r="W257">
        <v>0.28853849999999998</v>
      </c>
      <c r="X257">
        <v>0.95492699999999997</v>
      </c>
      <c r="Y257">
        <v>1.7020859999999999E-2</v>
      </c>
      <c r="Z257">
        <v>1.877966E-3</v>
      </c>
      <c r="AA257">
        <v>0.9998534</v>
      </c>
      <c r="AB257">
        <v>29</v>
      </c>
      <c r="AC257">
        <v>0.60920000000004304</v>
      </c>
      <c r="AD257">
        <v>-0.24086859999999899</v>
      </c>
      <c r="AE257">
        <v>-2.34000000000378E-2</v>
      </c>
      <c r="AF257">
        <v>1.23715174587019E-2</v>
      </c>
      <c r="AG257">
        <v>-0.24086859999999899</v>
      </c>
      <c r="AH257">
        <v>0.52718790705821095</v>
      </c>
      <c r="AI257">
        <v>114.549380095289</v>
      </c>
      <c r="AJ257">
        <v>88.655686802685693</v>
      </c>
      <c r="AK257">
        <v>0.57973944687127199</v>
      </c>
      <c r="AL257">
        <v>73.229520798871604</v>
      </c>
      <c r="AM257">
        <v>94.175367266558794</v>
      </c>
      <c r="AN257">
        <v>0.99999995162339494</v>
      </c>
    </row>
    <row r="258" spans="1:40" x14ac:dyDescent="0.25">
      <c r="A258" t="str">
        <f>"20190304164105328"</f>
        <v>20190304164105328</v>
      </c>
      <c r="B258" t="str">
        <f>"1551688865321850"</f>
        <v>1551688865321850</v>
      </c>
      <c r="C258" t="s">
        <v>40</v>
      </c>
      <c r="D258">
        <v>4.5667799999999996</v>
      </c>
      <c r="E258">
        <v>0.55807659999999903</v>
      </c>
      <c r="F258" t="s">
        <v>41</v>
      </c>
      <c r="G258">
        <v>-457.18549999999999</v>
      </c>
      <c r="H258">
        <v>0.85301629999999995</v>
      </c>
      <c r="I258">
        <v>366.83409999999998</v>
      </c>
      <c r="J258">
        <v>-457.7466</v>
      </c>
      <c r="K258">
        <v>1.108811</v>
      </c>
      <c r="L258">
        <v>366.85770000000002</v>
      </c>
      <c r="M258">
        <v>0.99989320000000004</v>
      </c>
      <c r="N258">
        <v>5.4057119999999996E-4</v>
      </c>
      <c r="O258">
        <v>-1.460819E-2</v>
      </c>
      <c r="P258">
        <v>0.95565580000000006</v>
      </c>
      <c r="Q258">
        <v>0.28917320000000002</v>
      </c>
      <c r="R258">
        <v>5.568679E-2</v>
      </c>
      <c r="S258">
        <v>3.4557799999999999</v>
      </c>
      <c r="T258">
        <v>-1.0252330000000001</v>
      </c>
      <c r="U258">
        <v>-0.1101685</v>
      </c>
      <c r="V258">
        <v>-6.9793330000000001E-2</v>
      </c>
      <c r="W258">
        <v>0.28862070000000001</v>
      </c>
      <c r="X258">
        <v>0.95489630000000003</v>
      </c>
      <c r="Y258">
        <v>1.715326E-2</v>
      </c>
      <c r="Z258">
        <v>1.7633550000000001E-3</v>
      </c>
      <c r="AA258">
        <v>0.9998513</v>
      </c>
      <c r="AB258">
        <v>29</v>
      </c>
      <c r="AC258">
        <v>0.56110000000001004</v>
      </c>
      <c r="AD258">
        <v>-0.25579469999999899</v>
      </c>
      <c r="AE258">
        <v>-2.3600000000044401E-2</v>
      </c>
      <c r="AF258">
        <v>1.27547265972729E-2</v>
      </c>
      <c r="AG258">
        <v>-0.25579469999999899</v>
      </c>
      <c r="AH258">
        <v>0.46493031430457499</v>
      </c>
      <c r="AI258">
        <v>118.80954721803</v>
      </c>
      <c r="AJ258">
        <v>88.428562881839795</v>
      </c>
      <c r="AK258">
        <v>0.53080486881528499</v>
      </c>
      <c r="AL258">
        <v>73.224602311612301</v>
      </c>
      <c r="AM258">
        <v>94.180312724119901</v>
      </c>
      <c r="AN258">
        <v>0.99999998056733397</v>
      </c>
    </row>
    <row r="259" spans="1:40" x14ac:dyDescent="0.25">
      <c r="A259" t="str">
        <f>"20190304164105352"</f>
        <v>20190304164105352</v>
      </c>
      <c r="B259" t="str">
        <f>"1551688865341370"</f>
        <v>1551688865341370</v>
      </c>
      <c r="C259" t="s">
        <v>40</v>
      </c>
      <c r="D259">
        <v>4.6257609999999998</v>
      </c>
      <c r="E259">
        <v>0.55803879999999995</v>
      </c>
      <c r="F259" t="s">
        <v>41</v>
      </c>
      <c r="G259">
        <v>-456.92020000000002</v>
      </c>
      <c r="H259">
        <v>0.8634503</v>
      </c>
      <c r="I259">
        <v>366.83100000000002</v>
      </c>
      <c r="J259">
        <v>-457.44380000000001</v>
      </c>
      <c r="K259">
        <v>1.1088199999999999</v>
      </c>
      <c r="L259">
        <v>366.8535</v>
      </c>
      <c r="M259">
        <v>0.99989779999999995</v>
      </c>
      <c r="N259">
        <v>4.487095E-4</v>
      </c>
      <c r="O259">
        <v>-1.4286159999999999E-2</v>
      </c>
      <c r="P259">
        <v>0.95567610000000003</v>
      </c>
      <c r="Q259">
        <v>0.28914640000000003</v>
      </c>
      <c r="R259">
        <v>5.5478909999999999E-2</v>
      </c>
      <c r="S259">
        <v>3.4561160000000002</v>
      </c>
      <c r="T259">
        <v>-1.0261439999999999</v>
      </c>
      <c r="U259">
        <v>-0.10955810000000001</v>
      </c>
      <c r="V259">
        <v>-6.9280649999999999E-2</v>
      </c>
      <c r="W259">
        <v>0.28868100000000002</v>
      </c>
      <c r="X259">
        <v>0.95491539999999997</v>
      </c>
      <c r="Y259">
        <v>1.72757999999999E-2</v>
      </c>
      <c r="Z259">
        <v>1.651102E-3</v>
      </c>
      <c r="AA259">
        <v>0.9998494</v>
      </c>
      <c r="AB259">
        <v>29</v>
      </c>
      <c r="AC259">
        <v>0.52359999999998696</v>
      </c>
      <c r="AD259">
        <v>-0.2453697</v>
      </c>
      <c r="AE259">
        <v>-2.25000000000363E-2</v>
      </c>
      <c r="AF259">
        <v>1.2317473938682001E-2</v>
      </c>
      <c r="AG259">
        <v>-0.2453697</v>
      </c>
      <c r="AH259">
        <v>0.42968161547456202</v>
      </c>
      <c r="AI259">
        <v>119.718396139075</v>
      </c>
      <c r="AJ259">
        <v>88.357979437377907</v>
      </c>
      <c r="AK259">
        <v>0.494958887705989</v>
      </c>
      <c r="AL259">
        <v>73.220993675173005</v>
      </c>
      <c r="AM259">
        <v>94.149630407422507</v>
      </c>
      <c r="AN259">
        <v>0.99999997469128998</v>
      </c>
    </row>
    <row r="260" spans="1:40" x14ac:dyDescent="0.25">
      <c r="A260" t="str">
        <f>"20190304164105365"</f>
        <v>20190304164105365</v>
      </c>
      <c r="B260" t="str">
        <f>"1551688865352106"</f>
        <v>1551688865352106</v>
      </c>
      <c r="C260" t="s">
        <v>40</v>
      </c>
      <c r="D260">
        <v>4.6394039999999999</v>
      </c>
      <c r="E260">
        <v>0.55800830000000001</v>
      </c>
      <c r="F260" t="s">
        <v>41</v>
      </c>
      <c r="G260">
        <v>-456.65309999999999</v>
      </c>
      <c r="H260">
        <v>0.87376369999999903</v>
      </c>
      <c r="I260">
        <v>366.82819999999998</v>
      </c>
      <c r="J260">
        <v>-457.26710000000003</v>
      </c>
      <c r="K260">
        <v>1.1088290000000001</v>
      </c>
      <c r="L260">
        <v>366.85120000000001</v>
      </c>
      <c r="M260">
        <v>0.99990049999999997</v>
      </c>
      <c r="N260">
        <v>3.9448830000000002E-4</v>
      </c>
      <c r="O260">
        <v>-1.409791E-2</v>
      </c>
      <c r="P260">
        <v>0.95574610000000004</v>
      </c>
      <c r="Q260">
        <v>0.28889579999999998</v>
      </c>
      <c r="R260">
        <v>5.5572620000000003E-2</v>
      </c>
      <c r="S260">
        <v>3.4562680000000001</v>
      </c>
      <c r="T260">
        <v>-1.0273589999999999</v>
      </c>
      <c r="U260">
        <v>-0.109191899999999</v>
      </c>
      <c r="V260">
        <v>-6.9196659999999993E-2</v>
      </c>
      <c r="W260">
        <v>0.28848200000000002</v>
      </c>
      <c r="X260">
        <v>0.95498170000000004</v>
      </c>
      <c r="Y260">
        <v>1.7345010000000001E-2</v>
      </c>
      <c r="Z260">
        <v>1.586786E-3</v>
      </c>
      <c r="AA260">
        <v>0.99984830000000002</v>
      </c>
      <c r="AB260">
        <v>29</v>
      </c>
      <c r="AC260">
        <v>0.61400000000003196</v>
      </c>
      <c r="AD260">
        <v>-0.2350653</v>
      </c>
      <c r="AE260">
        <v>-2.3000000000024501E-2</v>
      </c>
      <c r="AF260">
        <v>1.2510519226313599E-2</v>
      </c>
      <c r="AG260">
        <v>-0.2350653</v>
      </c>
      <c r="AH260">
        <v>0.53583657803739204</v>
      </c>
      <c r="AI260">
        <v>113.680761811267</v>
      </c>
      <c r="AJ260">
        <v>88.662521788060502</v>
      </c>
      <c r="AK260">
        <v>0.58526322857174595</v>
      </c>
      <c r="AL260">
        <v>73.232903387606697</v>
      </c>
      <c r="AM260">
        <v>94.144330548783302</v>
      </c>
      <c r="AN260">
        <v>1.0000000447070201</v>
      </c>
    </row>
    <row r="261" spans="1:40" x14ac:dyDescent="0.25">
      <c r="A261" t="str">
        <f>"20190304164105381"</f>
        <v>20190304164105381</v>
      </c>
      <c r="B261" t="str">
        <f>"1551688865372135"</f>
        <v>1551688865372135</v>
      </c>
      <c r="C261" t="s">
        <v>40</v>
      </c>
      <c r="D261">
        <v>4.613791</v>
      </c>
      <c r="E261">
        <v>0.55796950000000001</v>
      </c>
      <c r="F261" t="s">
        <v>41</v>
      </c>
      <c r="G261">
        <v>-456.39839999999998</v>
      </c>
      <c r="H261">
        <v>0.85022509999999996</v>
      </c>
      <c r="I261">
        <v>366.8236</v>
      </c>
      <c r="J261">
        <v>-457.04140000000001</v>
      </c>
      <c r="K261">
        <v>1.10883</v>
      </c>
      <c r="L261">
        <v>366.84820000000002</v>
      </c>
      <c r="M261">
        <v>0.99990400000000002</v>
      </c>
      <c r="N261">
        <v>3.2456290000000001E-4</v>
      </c>
      <c r="O261">
        <v>-1.385815E-2</v>
      </c>
      <c r="P261">
        <v>0.9557291</v>
      </c>
      <c r="Q261">
        <v>0.2889021</v>
      </c>
      <c r="R261">
        <v>5.5836259999999999E-2</v>
      </c>
      <c r="S261">
        <v>3.4562379999999999</v>
      </c>
      <c r="T261">
        <v>-1.0289459999999999</v>
      </c>
      <c r="U261">
        <v>-0.10800170000000001</v>
      </c>
      <c r="V261">
        <v>-6.9233779999999995E-2</v>
      </c>
      <c r="W261">
        <v>0.28855459999999999</v>
      </c>
      <c r="X261">
        <v>0.9549571</v>
      </c>
      <c r="Y261">
        <v>1.7234550000000001E-2</v>
      </c>
      <c r="Z261">
        <v>1.5337219999999999E-3</v>
      </c>
      <c r="AA261">
        <v>0.99985029999999997</v>
      </c>
      <c r="AB261">
        <v>29</v>
      </c>
      <c r="AC261">
        <v>0.64300000000002899</v>
      </c>
      <c r="AD261">
        <v>-0.25860489999999903</v>
      </c>
      <c r="AE261">
        <v>-2.46000000000208E-2</v>
      </c>
      <c r="AF261">
        <v>1.35054906689916E-2</v>
      </c>
      <c r="AG261">
        <v>-0.25860489999999903</v>
      </c>
      <c r="AH261">
        <v>0.55382706738509202</v>
      </c>
      <c r="AI261">
        <v>115.023299575438</v>
      </c>
      <c r="AJ261">
        <v>88.603076067574406</v>
      </c>
      <c r="AK261">
        <v>0.61137820794545095</v>
      </c>
      <c r="AL261">
        <v>73.228559369880898</v>
      </c>
      <c r="AM261">
        <v>94.146652433304496</v>
      </c>
      <c r="AN261">
        <v>1.00000006815732</v>
      </c>
    </row>
    <row r="262" spans="1:40" x14ac:dyDescent="0.25">
      <c r="A262" t="str">
        <f>"20190304164105394"</f>
        <v>20190304164105394</v>
      </c>
      <c r="B262" t="str">
        <f>"1551688865381894"</f>
        <v>1551688865381894</v>
      </c>
      <c r="C262" t="s">
        <v>40</v>
      </c>
      <c r="D262">
        <v>4.5718249999999996</v>
      </c>
      <c r="E262">
        <v>0.55798099999999995</v>
      </c>
      <c r="F262" t="s">
        <v>41</v>
      </c>
      <c r="G262">
        <v>-456.37349999999998</v>
      </c>
      <c r="H262">
        <v>0.90986679999999998</v>
      </c>
      <c r="I262">
        <v>366.82690000000002</v>
      </c>
      <c r="J262">
        <v>-456.8861</v>
      </c>
      <c r="K262">
        <v>1.108835</v>
      </c>
      <c r="L262">
        <v>366.84620000000001</v>
      </c>
      <c r="M262">
        <v>0.99990630000000003</v>
      </c>
      <c r="N262">
        <v>2.7595609999999998E-4</v>
      </c>
      <c r="O262">
        <v>-1.3692670000000001E-2</v>
      </c>
      <c r="P262">
        <v>0.95568850000000005</v>
      </c>
      <c r="Q262">
        <v>0.28904439999999998</v>
      </c>
      <c r="R262">
        <v>5.5796459999999999E-2</v>
      </c>
      <c r="S262">
        <v>3.4565429999999999</v>
      </c>
      <c r="T262">
        <v>-1.0298</v>
      </c>
      <c r="U262">
        <v>-0.10772710000000001</v>
      </c>
      <c r="V262">
        <v>-6.9036150000000004E-2</v>
      </c>
      <c r="W262">
        <v>0.28874309999999997</v>
      </c>
      <c r="X262">
        <v>0.95491440000000005</v>
      </c>
      <c r="Y262">
        <v>1.7307019999999999E-2</v>
      </c>
      <c r="Z262">
        <v>1.47489E-3</v>
      </c>
      <c r="AA262">
        <v>0.99984910000000005</v>
      </c>
      <c r="AB262">
        <v>29</v>
      </c>
      <c r="AC262">
        <v>0.51260000000002004</v>
      </c>
      <c r="AD262">
        <v>-0.19896820000000001</v>
      </c>
      <c r="AE262">
        <v>-1.9299999999986901E-2</v>
      </c>
      <c r="AF262">
        <v>1.0673491489989501E-2</v>
      </c>
      <c r="AG262">
        <v>-0.19896820000000001</v>
      </c>
      <c r="AH262">
        <v>0.44575235132609897</v>
      </c>
      <c r="AI262">
        <v>114.048195784508</v>
      </c>
      <c r="AJ262">
        <v>88.628320915884998</v>
      </c>
      <c r="AK262">
        <v>0.48825958950600601</v>
      </c>
      <c r="AL262">
        <v>73.217278472154305</v>
      </c>
      <c r="AM262">
        <v>94.135041050084595</v>
      </c>
      <c r="AN262">
        <v>1.0000000395658899</v>
      </c>
    </row>
    <row r="263" spans="1:40" x14ac:dyDescent="0.25">
      <c r="A263" t="str">
        <f>"20190304164105406"</f>
        <v>20190304164105406</v>
      </c>
      <c r="B263" t="str">
        <f>"1551688865391654"</f>
        <v>1551688865391654</v>
      </c>
      <c r="C263" t="s">
        <v>40</v>
      </c>
      <c r="D263">
        <v>4.6260479999999999</v>
      </c>
      <c r="E263">
        <v>0.55796239999999997</v>
      </c>
      <c r="F263" t="s">
        <v>41</v>
      </c>
      <c r="G263">
        <v>-456.11970000000002</v>
      </c>
      <c r="H263">
        <v>0.88063930000000001</v>
      </c>
      <c r="I263">
        <v>366.82190000000003</v>
      </c>
      <c r="J263">
        <v>-456.71969999999999</v>
      </c>
      <c r="K263">
        <v>1.108843</v>
      </c>
      <c r="L263">
        <v>366.84410000000003</v>
      </c>
      <c r="M263">
        <v>0.99990869999999998</v>
      </c>
      <c r="N263">
        <v>2.237029E-4</v>
      </c>
      <c r="O263">
        <v>-1.351539E-2</v>
      </c>
      <c r="P263">
        <v>0.95560840000000002</v>
      </c>
      <c r="Q263">
        <v>0.2892073</v>
      </c>
      <c r="R263">
        <v>5.6318710000000001E-2</v>
      </c>
      <c r="S263">
        <v>3.4567570000000001</v>
      </c>
      <c r="T263">
        <v>-1.029234</v>
      </c>
      <c r="U263">
        <v>-0.1083374</v>
      </c>
      <c r="V263">
        <v>-6.9389399999999907E-2</v>
      </c>
      <c r="W263">
        <v>0.28895539999999997</v>
      </c>
      <c r="X263">
        <v>0.95482460000000002</v>
      </c>
      <c r="Y263">
        <v>1.7636619999999999E-2</v>
      </c>
      <c r="Z263">
        <v>1.3732029999999999E-3</v>
      </c>
      <c r="AA263">
        <v>0.9998435</v>
      </c>
      <c r="AB263">
        <v>30</v>
      </c>
      <c r="AC263">
        <v>0.59999999999996501</v>
      </c>
      <c r="AD263">
        <v>-0.22820370000000001</v>
      </c>
      <c r="AE263">
        <v>-2.2199999999997999E-2</v>
      </c>
      <c r="AF263">
        <v>1.23103770121087E-2</v>
      </c>
      <c r="AG263">
        <v>-0.22820370000000001</v>
      </c>
      <c r="AH263">
        <v>0.52447883357873204</v>
      </c>
      <c r="AI263">
        <v>113.508357934823</v>
      </c>
      <c r="AJ263">
        <v>88.655421119220705</v>
      </c>
      <c r="AK263">
        <v>0.57210708870628202</v>
      </c>
      <c r="AL263">
        <v>73.204573432209799</v>
      </c>
      <c r="AM263">
        <v>94.156515130291396</v>
      </c>
      <c r="AN263">
        <v>1.00000006439333</v>
      </c>
    </row>
    <row r="264" spans="1:40" x14ac:dyDescent="0.25">
      <c r="A264" t="str">
        <f>"20190304164105418"</f>
        <v>20190304164105418</v>
      </c>
      <c r="B264" t="str">
        <f>"1551688865412151"</f>
        <v>1551688865412151</v>
      </c>
      <c r="C264" t="s">
        <v>40</v>
      </c>
      <c r="D264">
        <v>4.6401789999999998</v>
      </c>
      <c r="E264">
        <v>0.55790819999999997</v>
      </c>
      <c r="F264" t="s">
        <v>41</v>
      </c>
      <c r="G264">
        <v>-455.863</v>
      </c>
      <c r="H264">
        <v>0.85380669999999903</v>
      </c>
      <c r="I264">
        <v>366.81729999999999</v>
      </c>
      <c r="J264">
        <v>-456.55439999999999</v>
      </c>
      <c r="K264">
        <v>1.1088480000000001</v>
      </c>
      <c r="L264">
        <v>366.84199999999998</v>
      </c>
      <c r="M264">
        <v>0.99991110000000005</v>
      </c>
      <c r="N264">
        <v>1.7139179999999999E-4</v>
      </c>
      <c r="O264">
        <v>-1.33393E-2</v>
      </c>
      <c r="P264">
        <v>0.95562930000000001</v>
      </c>
      <c r="Q264">
        <v>0.28915879999999999</v>
      </c>
      <c r="R264">
        <v>5.6214359999999998E-2</v>
      </c>
      <c r="S264">
        <v>3.4570919999999998</v>
      </c>
      <c r="T264">
        <v>-1.029139</v>
      </c>
      <c r="U264">
        <v>-0.1065979</v>
      </c>
      <c r="V264">
        <v>-6.9118470000000001E-2</v>
      </c>
      <c r="W264">
        <v>0.28895670000000001</v>
      </c>
      <c r="X264">
        <v>0.95484380000000002</v>
      </c>
      <c r="Y264">
        <v>1.7313129999999999E-2</v>
      </c>
      <c r="Z264">
        <v>1.3675759999999999E-3</v>
      </c>
      <c r="AA264">
        <v>0.99984919999999999</v>
      </c>
      <c r="AB264">
        <v>30</v>
      </c>
      <c r="AC264">
        <v>0.69139999999992996</v>
      </c>
      <c r="AD264">
        <v>-0.25504130000000003</v>
      </c>
      <c r="AE264">
        <v>-2.4699999999995701E-2</v>
      </c>
      <c r="AF264">
        <v>1.36236097595999E-2</v>
      </c>
      <c r="AG264">
        <v>-0.25504130000000003</v>
      </c>
      <c r="AH264">
        <v>0.60891810821383596</v>
      </c>
      <c r="AI264">
        <v>112.720940387331</v>
      </c>
      <c r="AJ264">
        <v>88.718308546259905</v>
      </c>
      <c r="AK264">
        <v>0.66031275162553804</v>
      </c>
      <c r="AL264">
        <v>73.204494686127106</v>
      </c>
      <c r="AM264">
        <v>94.140259655656294</v>
      </c>
      <c r="AN264">
        <v>1.0000000098842301</v>
      </c>
    </row>
    <row r="265" spans="1:40" x14ac:dyDescent="0.25">
      <c r="A265" t="str">
        <f>"20190304164105430"</f>
        <v>20190304164105430</v>
      </c>
      <c r="B265" t="str">
        <f>"1551688865421910"</f>
        <v>1551688865421910</v>
      </c>
      <c r="C265" t="s">
        <v>40</v>
      </c>
      <c r="D265">
        <v>4.6543850000000004</v>
      </c>
      <c r="E265">
        <v>0.55788040000000005</v>
      </c>
      <c r="F265" t="s">
        <v>41</v>
      </c>
      <c r="G265">
        <v>-455.84480000000002</v>
      </c>
      <c r="H265">
        <v>0.89735319999999996</v>
      </c>
      <c r="I265">
        <v>366.81979999999999</v>
      </c>
      <c r="J265">
        <v>-456.38560000000001</v>
      </c>
      <c r="K265">
        <v>1.1088530000000001</v>
      </c>
      <c r="L265">
        <v>366.8399</v>
      </c>
      <c r="M265">
        <v>0.99991350000000001</v>
      </c>
      <c r="N265">
        <v>1.1780799999999999E-4</v>
      </c>
      <c r="O265">
        <v>-1.3159509999999999E-2</v>
      </c>
      <c r="P265">
        <v>0.95569649999999995</v>
      </c>
      <c r="Q265">
        <v>0.28885630000000001</v>
      </c>
      <c r="R265">
        <v>5.6627009999999998E-2</v>
      </c>
      <c r="S265">
        <v>3.4573670000000001</v>
      </c>
      <c r="T265">
        <v>-1.030341</v>
      </c>
      <c r="U265">
        <v>-0.10644530000000001</v>
      </c>
      <c r="V265">
        <v>-6.9362099999999996E-2</v>
      </c>
      <c r="W265">
        <v>0.28870479999999998</v>
      </c>
      <c r="X265">
        <v>0.95490240000000004</v>
      </c>
      <c r="Y265">
        <v>1.7432659999999999E-2</v>
      </c>
      <c r="Z265">
        <v>1.2979669999999999E-3</v>
      </c>
      <c r="AA265">
        <v>0.99984720000000005</v>
      </c>
      <c r="AB265">
        <v>30</v>
      </c>
      <c r="AC265">
        <v>0.54079999999998996</v>
      </c>
      <c r="AD265">
        <v>-0.21149979999999999</v>
      </c>
      <c r="AE265">
        <v>-2.0100000000013499E-2</v>
      </c>
      <c r="AF265">
        <v>1.1261533341495201E-2</v>
      </c>
      <c r="AG265">
        <v>-0.21149979999999999</v>
      </c>
      <c r="AH265">
        <v>0.46933274392569702</v>
      </c>
      <c r="AI265">
        <v>114.252025172259</v>
      </c>
      <c r="AJ265">
        <v>88.625464447974593</v>
      </c>
      <c r="AK265">
        <v>0.51490990673521198</v>
      </c>
      <c r="AL265">
        <v>73.219571176867902</v>
      </c>
      <c r="AM265">
        <v>94.1545482219218</v>
      </c>
      <c r="AN265">
        <v>1.0000000779925999</v>
      </c>
    </row>
    <row r="266" spans="1:40" x14ac:dyDescent="0.25">
      <c r="A266" t="str">
        <f>"20190304164105443"</f>
        <v>20190304164105443</v>
      </c>
      <c r="B266" t="str">
        <f>"1551688865431671"</f>
        <v>1551688865431671</v>
      </c>
      <c r="C266" t="s">
        <v>40</v>
      </c>
      <c r="D266">
        <v>4.6425390000000002</v>
      </c>
      <c r="E266">
        <v>0.55785580000000001</v>
      </c>
      <c r="F266" t="s">
        <v>41</v>
      </c>
      <c r="G266">
        <v>-455.58659999999998</v>
      </c>
      <c r="H266">
        <v>0.8703649</v>
      </c>
      <c r="I266">
        <v>366.8152</v>
      </c>
      <c r="J266">
        <v>-456.2183</v>
      </c>
      <c r="K266">
        <v>1.108857</v>
      </c>
      <c r="L266">
        <v>366.83789999999999</v>
      </c>
      <c r="M266">
        <v>0.99991569999999996</v>
      </c>
      <c r="N266" s="1">
        <v>6.4634629999999995E-5</v>
      </c>
      <c r="O266">
        <v>-1.2981400000000001E-2</v>
      </c>
      <c r="P266">
        <v>0.95573669999999999</v>
      </c>
      <c r="Q266">
        <v>0.28871669999999999</v>
      </c>
      <c r="R266">
        <v>5.665692E-2</v>
      </c>
      <c r="S266">
        <v>3.4571529999999999</v>
      </c>
      <c r="T266">
        <v>-1.0320530000000001</v>
      </c>
      <c r="U266">
        <v>-0.1044312</v>
      </c>
      <c r="V266">
        <v>-6.9223809999999997E-2</v>
      </c>
      <c r="W266">
        <v>0.28861569999999998</v>
      </c>
      <c r="X266">
        <v>0.95493930000000005</v>
      </c>
      <c r="Y266">
        <v>1.703909E-2</v>
      </c>
      <c r="Z266">
        <v>1.304401E-3</v>
      </c>
      <c r="AA266">
        <v>0.99985400000000002</v>
      </c>
      <c r="AB266">
        <v>30</v>
      </c>
      <c r="AC266">
        <v>0.63170000000002302</v>
      </c>
      <c r="AD266">
        <v>-0.23849210000000001</v>
      </c>
      <c r="AE266">
        <v>-2.2699999999986099E-2</v>
      </c>
      <c r="AF266">
        <v>1.2691120879038099E-2</v>
      </c>
      <c r="AG266">
        <v>-0.23849210000000001</v>
      </c>
      <c r="AH266">
        <v>0.55319292706030898</v>
      </c>
      <c r="AI266">
        <v>113.316322771351</v>
      </c>
      <c r="AJ266">
        <v>88.685774711669197</v>
      </c>
      <c r="AK266">
        <v>0.602546231306054</v>
      </c>
      <c r="AL266">
        <v>73.224902073862197</v>
      </c>
      <c r="AM266">
        <v>94.146134390453895</v>
      </c>
      <c r="AN266">
        <v>1.0000000124209401</v>
      </c>
    </row>
    <row r="267" spans="1:40" x14ac:dyDescent="0.25">
      <c r="A267" t="str">
        <f>"20190304164105459"</f>
        <v>20190304164105459</v>
      </c>
      <c r="B267" t="str">
        <f>"1551688865452167"</f>
        <v>1551688865452167</v>
      </c>
      <c r="C267" t="s">
        <v>40</v>
      </c>
      <c r="D267">
        <v>4.597245</v>
      </c>
      <c r="E267">
        <v>0.55783739999999904</v>
      </c>
      <c r="F267" t="s">
        <v>41</v>
      </c>
      <c r="G267">
        <v>-455.32679999999999</v>
      </c>
      <c r="H267">
        <v>0.8424469</v>
      </c>
      <c r="I267">
        <v>366.81049999999999</v>
      </c>
      <c r="J267">
        <v>-455.98099999999999</v>
      </c>
      <c r="K267">
        <v>1.108865</v>
      </c>
      <c r="L267">
        <v>366.83499999999998</v>
      </c>
      <c r="M267">
        <v>0.999919</v>
      </c>
      <c r="N267" s="1">
        <v>-1.134395E-5</v>
      </c>
      <c r="O267">
        <v>-1.272853E-2</v>
      </c>
      <c r="P267">
        <v>0.95578560000000001</v>
      </c>
      <c r="Q267">
        <v>0.28840579999999999</v>
      </c>
      <c r="R267">
        <v>5.7411869999999997E-2</v>
      </c>
      <c r="S267">
        <v>3.457214</v>
      </c>
      <c r="T267">
        <v>-1.033107</v>
      </c>
      <c r="U267">
        <v>-0.1043091</v>
      </c>
      <c r="V267">
        <v>-6.9739480000000006E-2</v>
      </c>
      <c r="W267">
        <v>0.28837649999999998</v>
      </c>
      <c r="X267">
        <v>0.95497410000000005</v>
      </c>
      <c r="Y267">
        <v>1.723568E-2</v>
      </c>
      <c r="Z267">
        <v>1.2013729999999999E-3</v>
      </c>
      <c r="AA267">
        <v>0.99985069999999998</v>
      </c>
      <c r="AB267">
        <v>30</v>
      </c>
      <c r="AC267">
        <v>0.654200000000002</v>
      </c>
      <c r="AD267">
        <v>-0.26641809999999899</v>
      </c>
      <c r="AE267">
        <v>-2.4499999999988999E-2</v>
      </c>
      <c r="AF267">
        <v>1.38733813990717E-2</v>
      </c>
      <c r="AG267">
        <v>-0.26641809999999899</v>
      </c>
      <c r="AH267">
        <v>0.56147121909914699</v>
      </c>
      <c r="AI267">
        <v>115.377568676305</v>
      </c>
      <c r="AJ267">
        <v>88.584567711280698</v>
      </c>
      <c r="AK267">
        <v>0.62162770578195403</v>
      </c>
      <c r="AL267">
        <v>73.239216758570905</v>
      </c>
      <c r="AM267">
        <v>94.176759671163794</v>
      </c>
      <c r="AN267">
        <v>1.00000006624686</v>
      </c>
    </row>
    <row r="268" spans="1:40" x14ac:dyDescent="0.25">
      <c r="A268" t="str">
        <f>"20190304164105473"</f>
        <v>20190304164105473</v>
      </c>
      <c r="B268" t="str">
        <f>"1551688865461926"</f>
        <v>1551688865461926</v>
      </c>
      <c r="C268" t="s">
        <v>40</v>
      </c>
      <c r="D268">
        <v>4.6579940000000004</v>
      </c>
      <c r="E268">
        <v>0.5578071</v>
      </c>
      <c r="F268" t="s">
        <v>41</v>
      </c>
      <c r="G268">
        <v>-455.30070000000001</v>
      </c>
      <c r="H268">
        <v>0.90522020000000003</v>
      </c>
      <c r="I268">
        <v>366.81459999999998</v>
      </c>
      <c r="J268">
        <v>-455.81209999999999</v>
      </c>
      <c r="K268">
        <v>1.108867</v>
      </c>
      <c r="L268">
        <v>366.83300000000003</v>
      </c>
      <c r="M268">
        <v>0.99992130000000001</v>
      </c>
      <c r="N268" s="1">
        <v>-6.5630589999999994E-5</v>
      </c>
      <c r="O268">
        <v>-1.254863E-2</v>
      </c>
      <c r="P268">
        <v>0.95579210000000003</v>
      </c>
      <c r="Q268">
        <v>0.28831069999999998</v>
      </c>
      <c r="R268">
        <v>5.7782590000000002E-2</v>
      </c>
      <c r="S268">
        <v>3.4571839999999998</v>
      </c>
      <c r="T268">
        <v>-1.0350200000000001</v>
      </c>
      <c r="U268">
        <v>-0.1014099</v>
      </c>
      <c r="V268">
        <v>-6.9939899999999902E-2</v>
      </c>
      <c r="W268">
        <v>0.2883327</v>
      </c>
      <c r="X268">
        <v>0.95497259999999995</v>
      </c>
      <c r="Y268">
        <v>1.6597130000000002E-2</v>
      </c>
      <c r="Z268">
        <v>1.2432420000000001E-3</v>
      </c>
      <c r="AA268">
        <v>0.99986149999999996</v>
      </c>
      <c r="AB268">
        <v>30</v>
      </c>
      <c r="AC268">
        <v>0.51139999999997998</v>
      </c>
      <c r="AD268">
        <v>-0.20364679999999999</v>
      </c>
      <c r="AE268">
        <v>-1.8400000000042299E-2</v>
      </c>
      <c r="AF268">
        <v>1.03431425001909E-2</v>
      </c>
      <c r="AG268">
        <v>-0.20364679999999999</v>
      </c>
      <c r="AH268">
        <v>0.44164713735178202</v>
      </c>
      <c r="AI268">
        <v>114.74880772647499</v>
      </c>
      <c r="AJ268">
        <v>88.658408369724597</v>
      </c>
      <c r="AK268">
        <v>0.48644752407432701</v>
      </c>
      <c r="AL268">
        <v>73.241836515316905</v>
      </c>
      <c r="AM268">
        <v>94.188726897332899</v>
      </c>
      <c r="AN268">
        <v>1.0000000011260299</v>
      </c>
    </row>
    <row r="269" spans="1:40" x14ac:dyDescent="0.25">
      <c r="A269" t="str">
        <f>"20190304164105486"</f>
        <v>20190304164105486</v>
      </c>
      <c r="B269" t="str">
        <f>"1551688865481446"</f>
        <v>1551688865481446</v>
      </c>
      <c r="C269" t="s">
        <v>40</v>
      </c>
      <c r="D269">
        <v>4.7082309999999996</v>
      </c>
      <c r="E269">
        <v>0.55771169999999903</v>
      </c>
      <c r="F269" t="s">
        <v>41</v>
      </c>
      <c r="G269">
        <v>-455.03949999999998</v>
      </c>
      <c r="H269">
        <v>0.87743209999999905</v>
      </c>
      <c r="I269">
        <v>366.81049999999999</v>
      </c>
      <c r="J269">
        <v>-455.63630000000001</v>
      </c>
      <c r="K269">
        <v>1.1088739999999999</v>
      </c>
      <c r="L269">
        <v>366.83100000000002</v>
      </c>
      <c r="M269">
        <v>0.99992360000000002</v>
      </c>
      <c r="N269">
        <v>-1.2225579999999999E-4</v>
      </c>
      <c r="O269">
        <v>-1.2361219999999999E-2</v>
      </c>
      <c r="P269">
        <v>0.95576240000000001</v>
      </c>
      <c r="Q269">
        <v>0.28836719999999999</v>
      </c>
      <c r="R269">
        <v>5.798934E-2</v>
      </c>
      <c r="S269">
        <v>3.4572750000000001</v>
      </c>
      <c r="T269">
        <v>-1.035755</v>
      </c>
      <c r="U269">
        <v>-0.1001587</v>
      </c>
      <c r="V269">
        <v>-6.9968890000000006E-2</v>
      </c>
      <c r="W269">
        <v>0.28844309999999901</v>
      </c>
      <c r="X269">
        <v>0.95493709999999998</v>
      </c>
      <c r="Y269">
        <v>1.6421120000000001E-2</v>
      </c>
      <c r="Z269">
        <v>1.213797E-3</v>
      </c>
      <c r="AA269">
        <v>0.99986439999999999</v>
      </c>
      <c r="AB269">
        <v>30</v>
      </c>
      <c r="AC269">
        <v>0.59680000000002997</v>
      </c>
      <c r="AD269">
        <v>-0.23144190000000001</v>
      </c>
      <c r="AE269">
        <v>-2.04999999999699E-2</v>
      </c>
      <c r="AF269">
        <v>1.14076534077773E-2</v>
      </c>
      <c r="AG269">
        <v>-0.23144190000000001</v>
      </c>
      <c r="AH269">
        <v>0.51904004372524604</v>
      </c>
      <c r="AI269">
        <v>114.027125848192</v>
      </c>
      <c r="AJ269">
        <v>88.740934941485307</v>
      </c>
      <c r="AK269">
        <v>0.56841714842375002</v>
      </c>
      <c r="AL269">
        <v>73.235229788968198</v>
      </c>
      <c r="AM269">
        <v>94.190612161999198</v>
      </c>
      <c r="AN269">
        <v>0.99999996623092502</v>
      </c>
    </row>
    <row r="270" spans="1:40" x14ac:dyDescent="0.25">
      <c r="A270" t="str">
        <f>"20190304164105498"</f>
        <v>20190304164105498</v>
      </c>
      <c r="B270" t="str">
        <f>"1551688865492183"</f>
        <v>1551688865492183</v>
      </c>
      <c r="C270" t="s">
        <v>40</v>
      </c>
      <c r="D270">
        <v>4.7038120000000001</v>
      </c>
      <c r="E270">
        <v>0.55768269999999998</v>
      </c>
      <c r="F270" t="s">
        <v>41</v>
      </c>
      <c r="G270">
        <v>-454.77609999999999</v>
      </c>
      <c r="H270">
        <v>0.85085129999999998</v>
      </c>
      <c r="I270">
        <v>366.80630000000002</v>
      </c>
      <c r="J270">
        <v>-455.459</v>
      </c>
      <c r="K270">
        <v>1.108878</v>
      </c>
      <c r="L270">
        <v>366.82889999999998</v>
      </c>
      <c r="M270">
        <v>0.99992590000000003</v>
      </c>
      <c r="N270">
        <v>-1.795143E-4</v>
      </c>
      <c r="O270">
        <v>-1.217239E-2</v>
      </c>
      <c r="P270">
        <v>0.95569510000000002</v>
      </c>
      <c r="Q270">
        <v>0.28852899999999998</v>
      </c>
      <c r="R270">
        <v>5.8293709999999999E-2</v>
      </c>
      <c r="S270">
        <v>3.4577640000000001</v>
      </c>
      <c r="T270">
        <v>-1.0372159999999999</v>
      </c>
      <c r="U270">
        <v>-9.7625729999999994E-2</v>
      </c>
      <c r="V270">
        <v>-7.0093429999999998E-2</v>
      </c>
      <c r="W270">
        <v>0.28865950000000001</v>
      </c>
      <c r="X270">
        <v>0.95486260000000001</v>
      </c>
      <c r="Y270">
        <v>1.5888369999999999E-2</v>
      </c>
      <c r="Z270">
        <v>1.236963E-3</v>
      </c>
      <c r="AA270">
        <v>0.99987300000000001</v>
      </c>
      <c r="AB270">
        <v>31</v>
      </c>
      <c r="AC270">
        <v>0.68290000000001705</v>
      </c>
      <c r="AD270">
        <v>-0.258026699999999</v>
      </c>
      <c r="AE270">
        <v>-2.25999999999544E-2</v>
      </c>
      <c r="AF270">
        <v>1.2502816083221799E-2</v>
      </c>
      <c r="AG270">
        <v>-0.258026699999999</v>
      </c>
      <c r="AH270">
        <v>0.59786499702832896</v>
      </c>
      <c r="AI270">
        <v>113.33951511306201</v>
      </c>
      <c r="AJ270">
        <v>88.801980052112199</v>
      </c>
      <c r="AK270">
        <v>0.65128845605813201</v>
      </c>
      <c r="AL270">
        <v>73.222280579173102</v>
      </c>
      <c r="AM270">
        <v>94.198370898772794</v>
      </c>
      <c r="AN270">
        <v>0.99999999037408704</v>
      </c>
    </row>
    <row r="271" spans="1:40" x14ac:dyDescent="0.25">
      <c r="A271" t="str">
        <f>"20190304164105517"</f>
        <v>20190304164105517</v>
      </c>
      <c r="B271" t="str">
        <f>"1551688865511703"</f>
        <v>1551688865511703</v>
      </c>
      <c r="C271" t="s">
        <v>40</v>
      </c>
      <c r="D271">
        <v>4.8544980000000004</v>
      </c>
      <c r="E271">
        <v>0.55765980000000004</v>
      </c>
      <c r="F271" t="s">
        <v>41</v>
      </c>
      <c r="G271">
        <v>-454.75630000000001</v>
      </c>
      <c r="H271">
        <v>0.89817789999999997</v>
      </c>
      <c r="I271">
        <v>366.80880000000002</v>
      </c>
      <c r="J271">
        <v>-455.20549999999997</v>
      </c>
      <c r="K271">
        <v>1.108895</v>
      </c>
      <c r="L271">
        <v>366.8261</v>
      </c>
      <c r="M271">
        <v>0.99992930000000002</v>
      </c>
      <c r="N271">
        <v>-2.6154530000000001E-4</v>
      </c>
      <c r="O271">
        <v>-1.1902360000000001E-2</v>
      </c>
      <c r="P271">
        <v>0.95567060000000004</v>
      </c>
      <c r="Q271">
        <v>0.28848869999999999</v>
      </c>
      <c r="R271">
        <v>5.8889360000000002E-2</v>
      </c>
      <c r="S271">
        <v>3.4580380000000002</v>
      </c>
      <c r="T271">
        <v>-1.036883</v>
      </c>
      <c r="U271">
        <v>-9.7076419999999997E-2</v>
      </c>
      <c r="V271">
        <v>-7.0432720000000004E-2</v>
      </c>
      <c r="W271">
        <v>0.28869650000000002</v>
      </c>
      <c r="X271">
        <v>0.95482650000000002</v>
      </c>
      <c r="Y271">
        <v>1.598115E-2</v>
      </c>
      <c r="Z271">
        <v>1.142098E-3</v>
      </c>
      <c r="AA271">
        <v>0.99987159999999997</v>
      </c>
      <c r="AB271">
        <v>31</v>
      </c>
      <c r="AC271">
        <v>0.44919999999996202</v>
      </c>
      <c r="AD271">
        <v>-0.21071709999999899</v>
      </c>
      <c r="AE271">
        <v>-1.7299999999977399E-2</v>
      </c>
      <c r="AF271">
        <v>9.7991354604170904E-3</v>
      </c>
      <c r="AG271">
        <v>-0.21071709999999899</v>
      </c>
      <c r="AH271">
        <v>0.36842293818787097</v>
      </c>
      <c r="AI271">
        <v>119.758386481033</v>
      </c>
      <c r="AJ271">
        <v>88.476433718371894</v>
      </c>
      <c r="AK271">
        <v>0.424538785826649</v>
      </c>
      <c r="AL271">
        <v>73.220067244928302</v>
      </c>
      <c r="AM271">
        <v>94.218779006813605</v>
      </c>
      <c r="AN271">
        <v>1.0000000411305401</v>
      </c>
    </row>
    <row r="272" spans="1:40" x14ac:dyDescent="0.25">
      <c r="A272" t="str">
        <f>"20190304164105531"</f>
        <v>20190304164105531</v>
      </c>
      <c r="B272" t="str">
        <f>"1551688865521462"</f>
        <v>1551688865521462</v>
      </c>
      <c r="C272" t="s">
        <v>40</v>
      </c>
      <c r="D272">
        <v>4.9151339999999903</v>
      </c>
      <c r="E272">
        <v>0.55766249999999995</v>
      </c>
      <c r="F272" t="s">
        <v>41</v>
      </c>
      <c r="G272">
        <v>-454.48270000000002</v>
      </c>
      <c r="H272">
        <v>0.89206249999999998</v>
      </c>
      <c r="I272">
        <v>366.80599999999998</v>
      </c>
      <c r="J272">
        <v>-455.01150000000001</v>
      </c>
      <c r="K272">
        <v>1.108905</v>
      </c>
      <c r="L272">
        <v>366.82400000000001</v>
      </c>
      <c r="M272">
        <v>0.99993160000000003</v>
      </c>
      <c r="N272">
        <v>-3.2447470000000002E-4</v>
      </c>
      <c r="O272">
        <v>-1.1695519999999999E-2</v>
      </c>
      <c r="P272">
        <v>0.95569199999999999</v>
      </c>
      <c r="Q272">
        <v>0.28836410000000001</v>
      </c>
      <c r="R272">
        <v>5.9154409999999998E-2</v>
      </c>
      <c r="S272">
        <v>3.4581599999999999</v>
      </c>
      <c r="T272">
        <v>-1.03739</v>
      </c>
      <c r="U272">
        <v>-9.4970700000000005E-2</v>
      </c>
      <c r="V272">
        <v>-7.0502019999999999E-2</v>
      </c>
      <c r="W272">
        <v>0.28863119999999998</v>
      </c>
      <c r="X272">
        <v>0.9548411</v>
      </c>
      <c r="Y272">
        <v>1.558638E-2</v>
      </c>
      <c r="Z272">
        <v>1.1387280000000001E-3</v>
      </c>
      <c r="AA272">
        <v>0.99987789999999999</v>
      </c>
      <c r="AB272">
        <v>31</v>
      </c>
      <c r="AC272">
        <v>0.52879999999998895</v>
      </c>
      <c r="AD272">
        <v>-0.21684249999999999</v>
      </c>
      <c r="AE272">
        <v>-1.80000000000291E-2</v>
      </c>
      <c r="AF272">
        <v>1.01152343264308E-2</v>
      </c>
      <c r="AG272">
        <v>-0.21684249999999999</v>
      </c>
      <c r="AH272">
        <v>0.45290493989127401</v>
      </c>
      <c r="AI272">
        <v>115.578672496557</v>
      </c>
      <c r="AJ272">
        <v>88.720561757184598</v>
      </c>
      <c r="AK272">
        <v>0.50224085093672699</v>
      </c>
      <c r="AL272">
        <v>73.2239745653536</v>
      </c>
      <c r="AM272">
        <v>94.222850592326495</v>
      </c>
      <c r="AN272">
        <v>1.0000000153433599</v>
      </c>
    </row>
    <row r="273" spans="1:40" x14ac:dyDescent="0.25">
      <c r="A273" t="str">
        <f>"20190304164105551"</f>
        <v>20190304164105551</v>
      </c>
      <c r="B273" t="str">
        <f>"1551688865541958"</f>
        <v>1551688865541958</v>
      </c>
      <c r="C273" t="s">
        <v>40</v>
      </c>
      <c r="D273">
        <v>4.7568250000000001</v>
      </c>
      <c r="E273">
        <v>0.55766150000000003</v>
      </c>
      <c r="F273" t="s">
        <v>41</v>
      </c>
      <c r="G273">
        <v>-454.21440000000001</v>
      </c>
      <c r="H273">
        <v>0.86968020000000001</v>
      </c>
      <c r="I273">
        <v>366.80160000000001</v>
      </c>
      <c r="J273">
        <v>-454.73259999999999</v>
      </c>
      <c r="K273">
        <v>1.1089209999999901</v>
      </c>
      <c r="L273">
        <v>366.82100000000003</v>
      </c>
      <c r="M273">
        <v>0.99993509999999997</v>
      </c>
      <c r="N273">
        <v>-4.1497959999999999E-4</v>
      </c>
      <c r="O273">
        <v>-1.1398800000000001E-2</v>
      </c>
      <c r="P273">
        <v>0.95560999999999996</v>
      </c>
      <c r="Q273">
        <v>0.28856330000000002</v>
      </c>
      <c r="R273">
        <v>5.9505290000000002E-2</v>
      </c>
      <c r="S273">
        <v>3.4580690000000001</v>
      </c>
      <c r="T273">
        <v>-1.0379750000000001</v>
      </c>
      <c r="U273">
        <v>-9.4238279999999994E-2</v>
      </c>
      <c r="V273">
        <v>-7.0570800000000003E-2</v>
      </c>
      <c r="W273">
        <v>0.28891660000000002</v>
      </c>
      <c r="X273">
        <v>0.95474970000000003</v>
      </c>
      <c r="Y273">
        <v>1.5655390000000002E-2</v>
      </c>
      <c r="Z273">
        <v>1.0404780000000001E-3</v>
      </c>
      <c r="AA273">
        <v>0.99987689999999996</v>
      </c>
      <c r="AB273">
        <v>31</v>
      </c>
      <c r="AC273">
        <v>0.51819999999997801</v>
      </c>
      <c r="AD273">
        <v>-0.239240799999999</v>
      </c>
      <c r="AE273">
        <v>-1.9399999999961798E-2</v>
      </c>
      <c r="AF273">
        <v>1.1124142204361601E-2</v>
      </c>
      <c r="AG273">
        <v>-0.239240799999999</v>
      </c>
      <c r="AH273">
        <v>0.42741375852712499</v>
      </c>
      <c r="AI273">
        <v>119.22924002027101</v>
      </c>
      <c r="AJ273">
        <v>88.509120189853206</v>
      </c>
      <c r="AK273">
        <v>0.48994124943987599</v>
      </c>
      <c r="AL273">
        <v>73.206894689493396</v>
      </c>
      <c r="AM273">
        <v>94.227358562315302</v>
      </c>
      <c r="AN273">
        <v>1.0000000146091399</v>
      </c>
    </row>
    <row r="274" spans="1:40" x14ac:dyDescent="0.25">
      <c r="A274" t="str">
        <f>"20190304164105566"</f>
        <v>20190304164105566</v>
      </c>
      <c r="B274" t="str">
        <f>"1551688865551718"</f>
        <v>1551688865551718</v>
      </c>
      <c r="C274" t="s">
        <v>40</v>
      </c>
      <c r="D274">
        <v>4.7223040000000003</v>
      </c>
      <c r="E274">
        <v>0.55768569999999995</v>
      </c>
      <c r="F274" t="s">
        <v>41</v>
      </c>
      <c r="G274">
        <v>-453.93509999999998</v>
      </c>
      <c r="H274">
        <v>0.86972510000000003</v>
      </c>
      <c r="I274">
        <v>366.79939999999999</v>
      </c>
      <c r="J274">
        <v>-454.5326</v>
      </c>
      <c r="K274">
        <v>1.10893</v>
      </c>
      <c r="L274">
        <v>366.81889999999999</v>
      </c>
      <c r="M274">
        <v>0.99993730000000003</v>
      </c>
      <c r="N274">
        <v>-4.799564E-4</v>
      </c>
      <c r="O274">
        <v>-1.118565E-2</v>
      </c>
      <c r="P274">
        <v>0.95553650000000001</v>
      </c>
      <c r="Q274">
        <v>0.28875909999999999</v>
      </c>
      <c r="R274">
        <v>5.9733660000000001E-2</v>
      </c>
      <c r="S274">
        <v>3.4583740000000001</v>
      </c>
      <c r="T274">
        <v>-1.0372049999999999</v>
      </c>
      <c r="U274">
        <v>-9.2926030000000007E-2</v>
      </c>
      <c r="V274">
        <v>-7.0596489999999998E-2</v>
      </c>
      <c r="W274">
        <v>0.28917409999999999</v>
      </c>
      <c r="X274">
        <v>0.95466980000000001</v>
      </c>
      <c r="Y274">
        <v>1.54851E-2</v>
      </c>
      <c r="Z274">
        <v>1.0010010000000001E-3</v>
      </c>
      <c r="AA274">
        <v>0.99987959999999998</v>
      </c>
      <c r="AB274">
        <v>31</v>
      </c>
      <c r="AC274">
        <v>0.59750000000002501</v>
      </c>
      <c r="AD274">
        <v>-0.239204899999999</v>
      </c>
      <c r="AE274">
        <v>-1.9499999999993599E-2</v>
      </c>
      <c r="AF274">
        <v>1.10467285640467E-2</v>
      </c>
      <c r="AG274">
        <v>-0.239204899999999</v>
      </c>
      <c r="AH274">
        <v>0.51519585693105796</v>
      </c>
      <c r="AI274">
        <v>114.90036388327199</v>
      </c>
      <c r="AJ274">
        <v>88.771663347997304</v>
      </c>
      <c r="AK274">
        <v>0.56812655755113595</v>
      </c>
      <c r="AL274">
        <v>73.191482520770805</v>
      </c>
      <c r="AM274">
        <v>94.229244520683693</v>
      </c>
      <c r="AN274">
        <v>0.99999997577158395</v>
      </c>
    </row>
    <row r="275" spans="1:40" x14ac:dyDescent="0.25">
      <c r="A275" t="str">
        <f>"20190304164105583"</f>
        <v>20190304164105583</v>
      </c>
      <c r="B275" t="str">
        <f>"1551688865571239"</f>
        <v>1551688865571239</v>
      </c>
      <c r="C275" t="s">
        <v>40</v>
      </c>
      <c r="D275">
        <v>4.8797100000000002</v>
      </c>
      <c r="E275">
        <v>0.54952469999999998</v>
      </c>
      <c r="F275" t="s">
        <v>41</v>
      </c>
      <c r="G275">
        <v>-453.66289999999998</v>
      </c>
      <c r="H275">
        <v>0.84849289999999999</v>
      </c>
      <c r="I275">
        <v>366.79520000000002</v>
      </c>
      <c r="J275">
        <v>-454.28210000000001</v>
      </c>
      <c r="K275">
        <v>1.108946</v>
      </c>
      <c r="L275">
        <v>366.81630000000001</v>
      </c>
      <c r="M275">
        <v>0.99994019999999995</v>
      </c>
      <c r="N275">
        <v>-5.6172730000000003E-4</v>
      </c>
      <c r="O275">
        <v>-1.0919689999999999E-2</v>
      </c>
      <c r="P275">
        <v>0.95541920000000002</v>
      </c>
      <c r="Q275">
        <v>0.28908600000000001</v>
      </c>
      <c r="R275">
        <v>6.0029239999999998E-2</v>
      </c>
      <c r="S275">
        <v>3.458405</v>
      </c>
      <c r="T275">
        <v>-1.035747</v>
      </c>
      <c r="U275">
        <v>-9.2407230000000007E-2</v>
      </c>
      <c r="V275">
        <v>-7.0638899999999893E-2</v>
      </c>
      <c r="W275">
        <v>0.28957840000000001</v>
      </c>
      <c r="X275">
        <v>0.95454410000000001</v>
      </c>
      <c r="Y275">
        <v>1.558497E-2</v>
      </c>
      <c r="Z275">
        <v>9.056588E-4</v>
      </c>
      <c r="AA275">
        <v>0.99987809999999999</v>
      </c>
      <c r="AB275">
        <v>31</v>
      </c>
      <c r="AC275">
        <v>0.61920000000003395</v>
      </c>
      <c r="AD275">
        <v>-0.26045309999999999</v>
      </c>
      <c r="AE275">
        <v>-2.1099999999989901E-2</v>
      </c>
      <c r="AF275">
        <v>1.2184063968716401E-2</v>
      </c>
      <c r="AG275">
        <v>-0.26045309999999999</v>
      </c>
      <c r="AH275">
        <v>0.52637151603941701</v>
      </c>
      <c r="AI275">
        <v>116.32049741799599</v>
      </c>
      <c r="AJ275">
        <v>88.6739958706452</v>
      </c>
      <c r="AK275">
        <v>0.58741062436087899</v>
      </c>
      <c r="AL275">
        <v>73.167282370684305</v>
      </c>
      <c r="AM275">
        <v>94.232331202508902</v>
      </c>
      <c r="AN275">
        <v>0.99999997139228902</v>
      </c>
    </row>
    <row r="276" spans="1:40" x14ac:dyDescent="0.25">
      <c r="A276" t="str">
        <f>"20190304164105595"</f>
        <v>20190304164105595</v>
      </c>
      <c r="B276" t="str">
        <f>"1551688865581975"</f>
        <v>1551688865581975</v>
      </c>
      <c r="C276" t="s">
        <v>40</v>
      </c>
      <c r="D276">
        <v>4.7247940000000002</v>
      </c>
      <c r="E276">
        <v>0.54817069999999901</v>
      </c>
      <c r="F276" t="s">
        <v>41</v>
      </c>
      <c r="G276">
        <v>-453.37490000000003</v>
      </c>
      <c r="H276">
        <v>0.86022030000000005</v>
      </c>
      <c r="I276">
        <v>366.80630000000002</v>
      </c>
      <c r="J276">
        <v>-454.10669999999999</v>
      </c>
      <c r="K276">
        <v>1.1089560000000001</v>
      </c>
      <c r="L276">
        <v>366.81450000000001</v>
      </c>
      <c r="M276">
        <v>0.99994240000000001</v>
      </c>
      <c r="N276">
        <v>-6.2076069999999995E-4</v>
      </c>
      <c r="O276">
        <v>-1.073372E-2</v>
      </c>
      <c r="P276">
        <v>0.95539660000000004</v>
      </c>
      <c r="Q276">
        <v>0.28913939999999999</v>
      </c>
      <c r="R276">
        <v>6.0135069999999999E-2</v>
      </c>
      <c r="S276">
        <v>3.4264830000000002</v>
      </c>
      <c r="T276">
        <v>-0.9394749</v>
      </c>
      <c r="U276">
        <v>-3.6102290000000002E-2</v>
      </c>
      <c r="V276">
        <v>-7.0569080000000006E-2</v>
      </c>
      <c r="W276">
        <v>0.2896879</v>
      </c>
      <c r="X276">
        <v>0.95451609999999998</v>
      </c>
      <c r="Y276">
        <v>1.8921969999999999E-4</v>
      </c>
      <c r="Z276">
        <v>2.8574239999999999E-3</v>
      </c>
      <c r="AA276">
        <v>0.99999590000000005</v>
      </c>
      <c r="AB276">
        <v>31</v>
      </c>
      <c r="AC276">
        <v>0.73179999999996403</v>
      </c>
      <c r="AD276">
        <v>-0.248735699999999</v>
      </c>
      <c r="AE276">
        <v>-8.1999999999879895E-3</v>
      </c>
      <c r="AF276">
        <v>3.0890799524652899E-4</v>
      </c>
      <c r="AG276">
        <v>-0.248735699999999</v>
      </c>
      <c r="AH276">
        <v>0.65606120592921802</v>
      </c>
      <c r="AI276">
        <v>110.763464207928</v>
      </c>
      <c r="AJ276">
        <v>89.9730221465352</v>
      </c>
      <c r="AK276">
        <v>0.70163085009422099</v>
      </c>
      <c r="AL276">
        <v>73.160728540198406</v>
      </c>
      <c r="AM276">
        <v>94.228286694125103</v>
      </c>
      <c r="AN276">
        <v>1.0000000298088301</v>
      </c>
    </row>
    <row r="277" spans="1:40" x14ac:dyDescent="0.25">
      <c r="A277" t="str">
        <f>"20190304164105608"</f>
        <v>20190304164105608</v>
      </c>
      <c r="B277" t="str">
        <f>"1551688865601497"</f>
        <v>1551688865601497</v>
      </c>
      <c r="C277" t="s">
        <v>40</v>
      </c>
      <c r="D277">
        <v>4.8613839999999904</v>
      </c>
      <c r="E277">
        <v>0.54673590000000005</v>
      </c>
      <c r="F277" t="s">
        <v>41</v>
      </c>
      <c r="G277">
        <v>-453.35590000000002</v>
      </c>
      <c r="H277">
        <v>0.90534040000000005</v>
      </c>
      <c r="I277">
        <v>366.80840000000001</v>
      </c>
      <c r="J277">
        <v>-453.93079999999998</v>
      </c>
      <c r="K277">
        <v>1.1089690000000001</v>
      </c>
      <c r="L277">
        <v>366.81279999999998</v>
      </c>
      <c r="M277">
        <v>0.99994430000000001</v>
      </c>
      <c r="N277">
        <v>-6.8182889999999997E-4</v>
      </c>
      <c r="O277">
        <v>-1.054692E-2</v>
      </c>
      <c r="P277">
        <v>0.95530079999999995</v>
      </c>
      <c r="Q277">
        <v>0.28945320000000002</v>
      </c>
      <c r="R277">
        <v>6.0142870000000001E-2</v>
      </c>
      <c r="S277">
        <v>3.4226679999999998</v>
      </c>
      <c r="T277">
        <v>-0.92833469999999996</v>
      </c>
      <c r="U277">
        <v>-2.5909419999999999E-2</v>
      </c>
      <c r="V277">
        <v>-7.0398790000000003E-2</v>
      </c>
      <c r="W277">
        <v>0.29005950000000003</v>
      </c>
      <c r="X277">
        <v>0.95441580000000004</v>
      </c>
      <c r="Y277">
        <v>-2.5073780000000002E-3</v>
      </c>
      <c r="Z277">
        <v>3.1375959999999999E-3</v>
      </c>
      <c r="AA277">
        <v>0.99999199999999999</v>
      </c>
      <c r="AB277">
        <v>31</v>
      </c>
      <c r="AC277">
        <v>0.574899999999956</v>
      </c>
      <c r="AD277">
        <v>-0.20362859999999999</v>
      </c>
      <c r="AE277">
        <v>-4.3999999999755303E-3</v>
      </c>
      <c r="AF277">
        <v>-1.4782272641983599E-3</v>
      </c>
      <c r="AG277">
        <v>-0.20362859999999999</v>
      </c>
      <c r="AH277">
        <v>0.51083113261082702</v>
      </c>
      <c r="AI277">
        <v>111.733238204636</v>
      </c>
      <c r="AJ277">
        <v>90.165800284245805</v>
      </c>
      <c r="AK277">
        <v>0.549922938181582</v>
      </c>
      <c r="AL277">
        <v>73.138481961389601</v>
      </c>
      <c r="AM277">
        <v>94.2185619858694</v>
      </c>
      <c r="AN277">
        <v>1.00000001123167</v>
      </c>
    </row>
    <row r="278" spans="1:40" x14ac:dyDescent="0.25">
      <c r="A278" t="str">
        <f>"20190304164105621"</f>
        <v>20190304164105621</v>
      </c>
      <c r="B278" t="str">
        <f>"1551688865611254"</f>
        <v>1551688865611254</v>
      </c>
      <c r="C278" t="s">
        <v>40</v>
      </c>
      <c r="D278">
        <v>4.9592970000000003</v>
      </c>
      <c r="E278">
        <v>0.54649669999999995</v>
      </c>
      <c r="F278" t="s">
        <v>41</v>
      </c>
      <c r="G278">
        <v>-453.08069999999998</v>
      </c>
      <c r="H278">
        <v>0.88393129999999998</v>
      </c>
      <c r="I278">
        <v>366.8082</v>
      </c>
      <c r="J278">
        <v>-453.74919999999997</v>
      </c>
      <c r="K278">
        <v>1.1089770000000001</v>
      </c>
      <c r="L278">
        <v>366.81110000000001</v>
      </c>
      <c r="M278">
        <v>0.99994609999999995</v>
      </c>
      <c r="N278">
        <v>-7.4664019999999998E-4</v>
      </c>
      <c r="O278">
        <v>-1.035381E-2</v>
      </c>
      <c r="P278">
        <v>0.95511480000000004</v>
      </c>
      <c r="Q278">
        <v>0.29008299999999998</v>
      </c>
      <c r="R278">
        <v>6.0060830000000003E-2</v>
      </c>
      <c r="S278">
        <v>3.415375</v>
      </c>
      <c r="T278">
        <v>-0.90425520000000004</v>
      </c>
      <c r="U278">
        <v>-1.61438E-2</v>
      </c>
      <c r="V278">
        <v>-7.0131700000000005E-2</v>
      </c>
      <c r="W278">
        <v>0.29075119999999999</v>
      </c>
      <c r="X278">
        <v>0.95422499999999999</v>
      </c>
      <c r="Y278">
        <v>-5.096382E-3</v>
      </c>
      <c r="Z278">
        <v>3.3523469999999999E-3</v>
      </c>
      <c r="AA278">
        <v>0.99998140000000002</v>
      </c>
      <c r="AB278">
        <v>32</v>
      </c>
      <c r="AC278">
        <v>0.66849999999999399</v>
      </c>
      <c r="AD278">
        <v>-0.22504569999999999</v>
      </c>
      <c r="AE278">
        <v>-2.9000000000110001E-3</v>
      </c>
      <c r="AF278">
        <v>-3.6123100162786899E-3</v>
      </c>
      <c r="AG278">
        <v>-0.22504569999999999</v>
      </c>
      <c r="AH278">
        <v>0.60044771681324305</v>
      </c>
      <c r="AI278">
        <v>110.54548138389799</v>
      </c>
      <c r="AJ278">
        <v>90.344688830611602</v>
      </c>
      <c r="AK278">
        <v>0.64124572240162403</v>
      </c>
      <c r="AL278">
        <v>73.097065959477305</v>
      </c>
      <c r="AM278">
        <v>94.203451708120497</v>
      </c>
      <c r="AN278">
        <v>1.00000003313566</v>
      </c>
    </row>
    <row r="279" spans="1:40" x14ac:dyDescent="0.25">
      <c r="A279" t="str">
        <f>"20190304164105640"</f>
        <v>20190304164105640</v>
      </c>
      <c r="B279" t="str">
        <f>"1551688865631750"</f>
        <v>1551688865631750</v>
      </c>
      <c r="C279" t="s">
        <v>40</v>
      </c>
      <c r="D279">
        <v>4.734464</v>
      </c>
      <c r="E279">
        <v>0.54615709999999995</v>
      </c>
      <c r="F279" t="s">
        <v>41</v>
      </c>
      <c r="G279">
        <v>-453.06209999999999</v>
      </c>
      <c r="H279">
        <v>0.92856850000000002</v>
      </c>
      <c r="I279">
        <v>366.8075</v>
      </c>
      <c r="J279">
        <v>-453.47669999999999</v>
      </c>
      <c r="K279">
        <v>1.1089929999999999</v>
      </c>
      <c r="L279">
        <v>366.80849999999998</v>
      </c>
      <c r="M279">
        <v>0.99994899999999998</v>
      </c>
      <c r="N279">
        <v>-8.5298600000000002E-4</v>
      </c>
      <c r="O279">
        <v>-1.006509E-2</v>
      </c>
      <c r="P279">
        <v>0.95506860000000005</v>
      </c>
      <c r="Q279">
        <v>0.2902187</v>
      </c>
      <c r="R279">
        <v>6.0144580000000003E-2</v>
      </c>
      <c r="S279">
        <v>3.4142459999999999</v>
      </c>
      <c r="T279">
        <v>-0.8966693</v>
      </c>
      <c r="U279">
        <v>-1.45874E-2</v>
      </c>
      <c r="V279">
        <v>-6.994264E-2</v>
      </c>
      <c r="W279">
        <v>0.29098750000000001</v>
      </c>
      <c r="X279">
        <v>0.95416679999999998</v>
      </c>
      <c r="Y279">
        <v>-5.2742079999999998E-3</v>
      </c>
      <c r="Z279">
        <v>3.274089E-3</v>
      </c>
      <c r="AA279">
        <v>0.99998069999999895</v>
      </c>
      <c r="AB279">
        <v>32</v>
      </c>
      <c r="AC279">
        <v>0.41460000000000702</v>
      </c>
      <c r="AD279">
        <v>-0.18042449999999999</v>
      </c>
      <c r="AE279">
        <v>-9.9999999997635292E-4</v>
      </c>
      <c r="AF279">
        <v>-2.6678129045779801E-3</v>
      </c>
      <c r="AG279">
        <v>-0.18042449999999999</v>
      </c>
      <c r="AH279">
        <v>0.34857632064078198</v>
      </c>
      <c r="AI279">
        <v>117.365579940134</v>
      </c>
      <c r="AJ279">
        <v>90.438502062577797</v>
      </c>
      <c r="AK279">
        <v>0.39251187082355798</v>
      </c>
      <c r="AL279">
        <v>73.082914375127999</v>
      </c>
      <c r="AM279">
        <v>94.192415349731704</v>
      </c>
      <c r="AN279">
        <v>0.99999999013432905</v>
      </c>
    </row>
    <row r="280" spans="1:40" x14ac:dyDescent="0.25">
      <c r="A280" t="str">
        <f>"20190304164105653"</f>
        <v>20190304164105653</v>
      </c>
      <c r="B280" t="str">
        <f>"1551688865641510"</f>
        <v>1551688865641510</v>
      </c>
      <c r="C280" t="s">
        <v>40</v>
      </c>
      <c r="D280">
        <v>4.7476799999999999</v>
      </c>
      <c r="E280">
        <v>0.54620170000000001</v>
      </c>
      <c r="F280" t="s">
        <v>41</v>
      </c>
      <c r="G280">
        <v>-452.77749999999997</v>
      </c>
      <c r="H280">
        <v>0.92632110000000001</v>
      </c>
      <c r="I280">
        <v>366.80610000000001</v>
      </c>
      <c r="J280">
        <v>-453.3073</v>
      </c>
      <c r="K280">
        <v>1.109005</v>
      </c>
      <c r="L280">
        <v>366.80689999999998</v>
      </c>
      <c r="M280">
        <v>0.99995080000000003</v>
      </c>
      <c r="N280">
        <v>-9.3017730000000002E-4</v>
      </c>
      <c r="O280">
        <v>-9.8858069999999999E-3</v>
      </c>
      <c r="P280">
        <v>0.95498720000000004</v>
      </c>
      <c r="Q280">
        <v>0.29052209999999901</v>
      </c>
      <c r="R280">
        <v>5.99716E-2</v>
      </c>
      <c r="S280">
        <v>3.412811</v>
      </c>
      <c r="T280">
        <v>-0.8915575</v>
      </c>
      <c r="U280">
        <v>-1.159668E-2</v>
      </c>
      <c r="V280">
        <v>-6.9598950000000007E-2</v>
      </c>
      <c r="W280">
        <v>0.29136479999999998</v>
      </c>
      <c r="X280">
        <v>0.95407679999999995</v>
      </c>
      <c r="Y280">
        <v>-5.9578859999999999E-3</v>
      </c>
      <c r="Z280">
        <v>3.2990250000000001E-3</v>
      </c>
      <c r="AA280">
        <v>0.9999768</v>
      </c>
      <c r="AB280">
        <v>32</v>
      </c>
      <c r="AC280">
        <v>0.52980000000002203</v>
      </c>
      <c r="AD280">
        <v>-0.18268390000000001</v>
      </c>
      <c r="AE280">
        <v>-7.9999999996971296E-4</v>
      </c>
      <c r="AF280">
        <v>-3.9659917129799696E-3</v>
      </c>
      <c r="AG280">
        <v>-0.18268390000000001</v>
      </c>
      <c r="AH280">
        <v>0.473485408637975</v>
      </c>
      <c r="AI280">
        <v>111.09733289911</v>
      </c>
      <c r="AJ280">
        <v>90.479907656173197</v>
      </c>
      <c r="AK280">
        <v>0.50752100311469595</v>
      </c>
      <c r="AL280">
        <v>73.060317723453807</v>
      </c>
      <c r="AM280">
        <v>94.172279376972995</v>
      </c>
      <c r="AN280">
        <v>1.00000000040919</v>
      </c>
    </row>
    <row r="281" spans="1:40" x14ac:dyDescent="0.25">
      <c r="A281" t="str">
        <f>"20190304164105667"</f>
        <v>20190304164105667</v>
      </c>
      <c r="B281" t="str">
        <f>"1551688865662007"</f>
        <v>1551688865662007</v>
      </c>
      <c r="C281" t="s">
        <v>40</v>
      </c>
      <c r="D281">
        <v>4.7520629999999997</v>
      </c>
      <c r="E281">
        <v>0.54613259999999997</v>
      </c>
      <c r="F281" t="s">
        <v>41</v>
      </c>
      <c r="G281">
        <v>-452.50200000000001</v>
      </c>
      <c r="H281">
        <v>0.89921949999999995</v>
      </c>
      <c r="I281">
        <v>366.80340000000001</v>
      </c>
      <c r="J281">
        <v>-453.09359999999998</v>
      </c>
      <c r="K281">
        <v>1.109027</v>
      </c>
      <c r="L281">
        <v>366.80500000000001</v>
      </c>
      <c r="M281">
        <v>0.99995279999999998</v>
      </c>
      <c r="N281">
        <v>-1.0396769999999999E-3</v>
      </c>
      <c r="O281">
        <v>-9.6594449999999991E-3</v>
      </c>
      <c r="P281">
        <v>0.95498039999999995</v>
      </c>
      <c r="Q281">
        <v>0.29050290000000001</v>
      </c>
      <c r="R281">
        <v>6.0171679999999998E-2</v>
      </c>
      <c r="S281">
        <v>3.4126280000000002</v>
      </c>
      <c r="T281">
        <v>-0.88898290000000002</v>
      </c>
      <c r="U281">
        <v>-1.281738E-2</v>
      </c>
      <c r="V281">
        <v>-6.9584789999999994E-2</v>
      </c>
      <c r="W281">
        <v>0.29144910000000002</v>
      </c>
      <c r="X281">
        <v>0.95405209999999996</v>
      </c>
      <c r="Y281">
        <v>-5.4028890000000001E-3</v>
      </c>
      <c r="Z281">
        <v>3.1600640000000002E-3</v>
      </c>
      <c r="AA281">
        <v>0.99998039999999999</v>
      </c>
      <c r="AB281">
        <v>32</v>
      </c>
      <c r="AC281">
        <v>0.59160000000002799</v>
      </c>
      <c r="AD281">
        <v>-0.20980750000000001</v>
      </c>
      <c r="AE281">
        <v>-1.59999999999627E-3</v>
      </c>
      <c r="AF281">
        <v>-3.6549203321099102E-3</v>
      </c>
      <c r="AG281">
        <v>-0.20980750000000001</v>
      </c>
      <c r="AH281">
        <v>0.52549546135948999</v>
      </c>
      <c r="AI281">
        <v>111.76420123518101</v>
      </c>
      <c r="AJ281">
        <v>90.398496558478499</v>
      </c>
      <c r="AK281">
        <v>0.56584275678699603</v>
      </c>
      <c r="AL281">
        <v>73.055268809250293</v>
      </c>
      <c r="AM281">
        <v>94.171541133262807</v>
      </c>
      <c r="AN281">
        <v>1.0000000152022801</v>
      </c>
    </row>
    <row r="282" spans="1:40" x14ac:dyDescent="0.25">
      <c r="A282" t="str">
        <f>"20190304164105684"</f>
        <v>20190304164105684</v>
      </c>
      <c r="B282" t="str">
        <f>"1551688865671767"</f>
        <v>1551688865671767</v>
      </c>
      <c r="C282" t="s">
        <v>40</v>
      </c>
      <c r="D282">
        <v>4.7735900000000004</v>
      </c>
      <c r="E282">
        <v>0.54615159999999996</v>
      </c>
      <c r="F282" t="s">
        <v>41</v>
      </c>
      <c r="G282">
        <v>-452.2208</v>
      </c>
      <c r="H282">
        <v>0.88217969999999901</v>
      </c>
      <c r="I282">
        <v>366.80169999999998</v>
      </c>
      <c r="J282">
        <v>-452.85750000000002</v>
      </c>
      <c r="K282">
        <v>1.1090610000000001</v>
      </c>
      <c r="L282">
        <v>366.80290000000002</v>
      </c>
      <c r="M282">
        <v>0.99995500000000004</v>
      </c>
      <c r="N282">
        <v>-1.1879E-3</v>
      </c>
      <c r="O282">
        <v>-9.4102089999999992E-3</v>
      </c>
      <c r="P282">
        <v>0.95490719999999996</v>
      </c>
      <c r="Q282">
        <v>0.2907843</v>
      </c>
      <c r="R282">
        <v>5.9973909999999998E-2</v>
      </c>
      <c r="S282">
        <v>3.4119869999999999</v>
      </c>
      <c r="T282">
        <v>-0.88690259999999999</v>
      </c>
      <c r="U282">
        <v>-1.196289E-2</v>
      </c>
      <c r="V282">
        <v>-6.9151030000000002E-2</v>
      </c>
      <c r="W282">
        <v>0.29187200000000002</v>
      </c>
      <c r="X282">
        <v>0.95395430000000003</v>
      </c>
      <c r="Y282">
        <v>-5.4136019999999896E-3</v>
      </c>
      <c r="Z282">
        <v>3.09041E-3</v>
      </c>
      <c r="AA282">
        <v>0.9999806</v>
      </c>
      <c r="AB282">
        <v>32</v>
      </c>
      <c r="AC282">
        <v>0.63670000000001803</v>
      </c>
      <c r="AD282">
        <v>-0.22688130000000001</v>
      </c>
      <c r="AE282">
        <v>-1.20000000003983E-3</v>
      </c>
      <c r="AF282">
        <v>-4.2516716558650396E-3</v>
      </c>
      <c r="AG282">
        <v>-0.22688130000000001</v>
      </c>
      <c r="AH282">
        <v>0.56494757164785903</v>
      </c>
      <c r="AI282">
        <v>111.879689787109</v>
      </c>
      <c r="AJ282">
        <v>90.431187343974997</v>
      </c>
      <c r="AK282">
        <v>0.60881767362024897</v>
      </c>
      <c r="AL282">
        <v>73.029936220216598</v>
      </c>
      <c r="AM282">
        <v>94.146052113419103</v>
      </c>
      <c r="AN282">
        <v>0.99999996791127499</v>
      </c>
    </row>
    <row r="283" spans="1:40" x14ac:dyDescent="0.25">
      <c r="A283" t="str">
        <f>"20190304164105707"</f>
        <v>20190304164105707</v>
      </c>
      <c r="B283" t="str">
        <f>"1551688865702023"</f>
        <v>1551688865702023</v>
      </c>
      <c r="C283" t="s">
        <v>40</v>
      </c>
      <c r="D283">
        <v>4.7700319999999996</v>
      </c>
      <c r="E283">
        <v>0.5460623</v>
      </c>
      <c r="F283" t="s">
        <v>41</v>
      </c>
      <c r="G283">
        <v>-451.93680000000001</v>
      </c>
      <c r="H283">
        <v>0.86957479999999998</v>
      </c>
      <c r="I283">
        <v>366.79930000000002</v>
      </c>
      <c r="J283">
        <v>-452.51139999999998</v>
      </c>
      <c r="K283">
        <v>1.1091409999999999</v>
      </c>
      <c r="L283">
        <v>366.8</v>
      </c>
      <c r="M283">
        <v>0.99995800000000001</v>
      </c>
      <c r="N283">
        <v>-1.539842E-3</v>
      </c>
      <c r="O283">
        <v>-9.0463790000000002E-3</v>
      </c>
      <c r="P283">
        <v>0.95461980000000002</v>
      </c>
      <c r="Q283">
        <v>0.29169489999999998</v>
      </c>
      <c r="R283">
        <v>6.0126579999999999E-2</v>
      </c>
      <c r="S283">
        <v>3.4128419999999999</v>
      </c>
      <c r="T283">
        <v>-0.88789949999999995</v>
      </c>
      <c r="U283">
        <v>-1.254272E-2</v>
      </c>
      <c r="V283">
        <v>-6.8958450000000004E-2</v>
      </c>
      <c r="W283">
        <v>0.29311680000000001</v>
      </c>
      <c r="X283">
        <v>0.9535865</v>
      </c>
      <c r="Y283">
        <v>-4.9093510000000002E-3</v>
      </c>
      <c r="Z283">
        <v>2.9332719999999998E-3</v>
      </c>
      <c r="AA283">
        <v>0.99998370000000003</v>
      </c>
      <c r="AB283">
        <v>32</v>
      </c>
      <c r="AC283">
        <v>0.57459999999997502</v>
      </c>
      <c r="AD283">
        <v>-0.23956619999999901</v>
      </c>
      <c r="AE283">
        <v>-6.9999999999481501E-4</v>
      </c>
      <c r="AF283">
        <v>-3.8319791754465602E-3</v>
      </c>
      <c r="AG283">
        <v>-0.23956619999999901</v>
      </c>
      <c r="AH283">
        <v>0.48949498954641701</v>
      </c>
      <c r="AI283">
        <v>116.077127006249</v>
      </c>
      <c r="AJ283">
        <v>90.448527060881801</v>
      </c>
      <c r="AK283">
        <v>0.54498806687659496</v>
      </c>
      <c r="AL283">
        <v>72.955352710673495</v>
      </c>
      <c r="AM283">
        <v>94.136134960768103</v>
      </c>
      <c r="AN283">
        <v>0.99999996962544502</v>
      </c>
    </row>
    <row r="284" spans="1:40" x14ac:dyDescent="0.25">
      <c r="A284" t="str">
        <f>"20190304164105720"</f>
        <v>20190304164105720</v>
      </c>
      <c r="B284" t="str">
        <f>"1551688865711782"</f>
        <v>1551688865711782</v>
      </c>
      <c r="C284" t="s">
        <v>40</v>
      </c>
      <c r="D284">
        <v>4.7804379999999904</v>
      </c>
      <c r="E284">
        <v>0.54607649999999996</v>
      </c>
      <c r="F284" t="s">
        <v>41</v>
      </c>
      <c r="G284">
        <v>-451.6413</v>
      </c>
      <c r="H284">
        <v>0.88318030000000003</v>
      </c>
      <c r="I284">
        <v>366.79680000000002</v>
      </c>
      <c r="J284">
        <v>-452.31880000000001</v>
      </c>
      <c r="K284">
        <v>1.109202</v>
      </c>
      <c r="L284">
        <v>366.79849999999999</v>
      </c>
      <c r="M284">
        <v>0.9999593</v>
      </c>
      <c r="N284">
        <v>-1.8107889999999999E-3</v>
      </c>
      <c r="O284">
        <v>-8.8444470000000001E-3</v>
      </c>
      <c r="P284">
        <v>0.95475180000000004</v>
      </c>
      <c r="Q284">
        <v>0.29124850000000002</v>
      </c>
      <c r="R284">
        <v>6.0191939999999999E-2</v>
      </c>
      <c r="S284">
        <v>3.4142760000000001</v>
      </c>
      <c r="T284">
        <v>-0.88678869999999899</v>
      </c>
      <c r="U284">
        <v>-1.1505130000000001E-2</v>
      </c>
      <c r="V284">
        <v>-6.8834809999999996E-2</v>
      </c>
      <c r="W284">
        <v>0.29292889999999999</v>
      </c>
      <c r="X284">
        <v>0.95365319999999998</v>
      </c>
      <c r="Y284">
        <v>-5.0178030000000004E-3</v>
      </c>
      <c r="Z284">
        <v>2.8895029999999999E-3</v>
      </c>
      <c r="AA284">
        <v>0.99998330000000002</v>
      </c>
      <c r="AB284">
        <v>32</v>
      </c>
      <c r="AC284">
        <v>0.67750000000000898</v>
      </c>
      <c r="AD284">
        <v>-0.22602169999999999</v>
      </c>
      <c r="AE284">
        <v>-1.6999999999711599E-3</v>
      </c>
      <c r="AF284">
        <v>-3.8623278167555898E-3</v>
      </c>
      <c r="AG284">
        <v>-0.22602169999999999</v>
      </c>
      <c r="AH284">
        <v>0.60963832556250297</v>
      </c>
      <c r="AI284">
        <v>110.341745848785</v>
      </c>
      <c r="AJ284">
        <v>90.362989190510703</v>
      </c>
      <c r="AK284">
        <v>0.650199672748077</v>
      </c>
      <c r="AL284">
        <v>72.966613357063906</v>
      </c>
      <c r="AM284">
        <v>94.128456917040197</v>
      </c>
      <c r="AN284">
        <v>0.99999999869659295</v>
      </c>
    </row>
    <row r="285" spans="1:40" x14ac:dyDescent="0.25">
      <c r="A285" t="str">
        <f>"20190304164105733"</f>
        <v>20190304164105733</v>
      </c>
      <c r="B285" t="str">
        <f>"1551688865721542"</f>
        <v>1551688865721542</v>
      </c>
      <c r="C285" t="s">
        <v>40</v>
      </c>
      <c r="D285">
        <v>4.7884799999999998</v>
      </c>
      <c r="E285">
        <v>0.54608429999999997</v>
      </c>
      <c r="F285" t="s">
        <v>41</v>
      </c>
      <c r="G285">
        <v>-451.62270000000001</v>
      </c>
      <c r="H285">
        <v>0.92770900000000001</v>
      </c>
      <c r="I285">
        <v>366.79610000000002</v>
      </c>
      <c r="J285">
        <v>-452.13760000000002</v>
      </c>
      <c r="K285">
        <v>1.109278</v>
      </c>
      <c r="L285">
        <v>366.7971</v>
      </c>
      <c r="M285">
        <v>0.99996019999999997</v>
      </c>
      <c r="N285">
        <v>-2.1708040000000001E-3</v>
      </c>
      <c r="O285">
        <v>-8.6550120000000001E-3</v>
      </c>
      <c r="P285">
        <v>0.95483739999999995</v>
      </c>
      <c r="Q285">
        <v>0.2909525</v>
      </c>
      <c r="R285">
        <v>6.0270789999999998E-2</v>
      </c>
      <c r="S285">
        <v>3.4143979999999998</v>
      </c>
      <c r="T285">
        <v>-0.89029659999999999</v>
      </c>
      <c r="U285">
        <v>-1.0406489999999999E-2</v>
      </c>
      <c r="V285">
        <v>-6.8736000000000005E-2</v>
      </c>
      <c r="W285">
        <v>0.29297600000000001</v>
      </c>
      <c r="X285">
        <v>0.95364590000000005</v>
      </c>
      <c r="Y285">
        <v>-5.1490750000000004E-3</v>
      </c>
      <c r="Z285">
        <v>2.8670980000000002E-3</v>
      </c>
      <c r="AA285">
        <v>0.9999827</v>
      </c>
      <c r="AB285">
        <v>32</v>
      </c>
      <c r="AC285">
        <v>0.51490000000001102</v>
      </c>
      <c r="AD285">
        <v>-0.18156900000000001</v>
      </c>
      <c r="AE285">
        <v>-9.9999999997635292E-4</v>
      </c>
      <c r="AF285">
        <v>-3.0742404199680302E-3</v>
      </c>
      <c r="AG285">
        <v>-0.18156900000000001</v>
      </c>
      <c r="AH285">
        <v>0.457945172966296</v>
      </c>
      <c r="AI285">
        <v>111.627206654788</v>
      </c>
      <c r="AJ285">
        <v>90.384627605560695</v>
      </c>
      <c r="AK285">
        <v>0.49263631023128002</v>
      </c>
      <c r="AL285">
        <v>72.963791593620897</v>
      </c>
      <c r="AM285">
        <v>94.122582555235297</v>
      </c>
      <c r="AN285">
        <v>1.0000000384294001</v>
      </c>
    </row>
    <row r="286" spans="1:40" x14ac:dyDescent="0.25">
      <c r="A286" t="str">
        <f>"20190304164105753"</f>
        <v>20190304164105753</v>
      </c>
      <c r="B286" t="str">
        <f>"1551688865742039"</f>
        <v>1551688865742039</v>
      </c>
      <c r="C286" t="s">
        <v>40</v>
      </c>
      <c r="D286">
        <v>4.8006570000000002</v>
      </c>
      <c r="E286">
        <v>0.5460547</v>
      </c>
      <c r="F286" t="s">
        <v>41</v>
      </c>
      <c r="G286">
        <v>-451.34339999999997</v>
      </c>
      <c r="H286">
        <v>0.9016303</v>
      </c>
      <c r="I286">
        <v>366.79450000000003</v>
      </c>
      <c r="J286">
        <v>-451.84980000000002</v>
      </c>
      <c r="K286">
        <v>1.10941</v>
      </c>
      <c r="L286">
        <v>366.79489999999998</v>
      </c>
      <c r="M286">
        <v>0.99996110000000005</v>
      </c>
      <c r="N286">
        <v>-2.8699580000000001E-3</v>
      </c>
      <c r="O286">
        <v>-8.3554609999999998E-3</v>
      </c>
      <c r="P286">
        <v>0.95539560000000001</v>
      </c>
      <c r="Q286">
        <v>0.2889912</v>
      </c>
      <c r="R286">
        <v>6.0858200000000001E-2</v>
      </c>
      <c r="S286">
        <v>3.4145810000000001</v>
      </c>
      <c r="T286">
        <v>-0.89293180000000005</v>
      </c>
      <c r="U286">
        <v>-9.399414E-3</v>
      </c>
      <c r="V286">
        <v>-6.9044690000000006E-2</v>
      </c>
      <c r="W286">
        <v>0.29168129999999998</v>
      </c>
      <c r="X286">
        <v>0.95402039999999999</v>
      </c>
      <c r="Y286">
        <v>-5.1527760000000004E-3</v>
      </c>
      <c r="Z286">
        <v>2.795367E-3</v>
      </c>
      <c r="AA286">
        <v>0.99998279999999995</v>
      </c>
      <c r="AB286">
        <v>32</v>
      </c>
      <c r="AC286">
        <v>0.50640000000004104</v>
      </c>
      <c r="AD286">
        <v>-0.20777970000000001</v>
      </c>
      <c r="AE286">
        <v>-3.9999999995643499E-4</v>
      </c>
      <c r="AF286">
        <v>-3.2791795147099701E-3</v>
      </c>
      <c r="AG286">
        <v>-0.20777970000000001</v>
      </c>
      <c r="AH286">
        <v>0.43341871035870899</v>
      </c>
      <c r="AI286">
        <v>115.61228781211</v>
      </c>
      <c r="AJ286">
        <v>90.433482812701598</v>
      </c>
      <c r="AK286">
        <v>0.48066093583667302</v>
      </c>
      <c r="AL286">
        <v>73.041360800755498</v>
      </c>
      <c r="AM286">
        <v>94.139412699317901</v>
      </c>
      <c r="AN286">
        <v>1.0000000368015201</v>
      </c>
    </row>
    <row r="287" spans="1:40" x14ac:dyDescent="0.25">
      <c r="A287" t="str">
        <f>"20190304164105767"</f>
        <v>20190304164105767</v>
      </c>
      <c r="B287" t="str">
        <f>"1551688865761559"</f>
        <v>1551688865761559</v>
      </c>
      <c r="C287" t="s">
        <v>40</v>
      </c>
      <c r="D287">
        <v>4.8306290000000001</v>
      </c>
      <c r="E287">
        <v>0.54601849999999996</v>
      </c>
      <c r="F287" t="s">
        <v>41</v>
      </c>
      <c r="G287">
        <v>-451.05470000000003</v>
      </c>
      <c r="H287">
        <v>0.89895429999999998</v>
      </c>
      <c r="I287">
        <v>366.79320000000001</v>
      </c>
      <c r="J287">
        <v>-451.64699999999999</v>
      </c>
      <c r="K287">
        <v>1.1095060000000001</v>
      </c>
      <c r="L287">
        <v>366.79340000000002</v>
      </c>
      <c r="M287">
        <v>0.99996119999999999</v>
      </c>
      <c r="N287">
        <v>-3.3890029999999998E-3</v>
      </c>
      <c r="O287">
        <v>-8.1435229999999997E-3</v>
      </c>
      <c r="P287">
        <v>0.95579919999999996</v>
      </c>
      <c r="Q287">
        <v>0.28754190000000002</v>
      </c>
      <c r="R287">
        <v>6.1381329999999998E-2</v>
      </c>
      <c r="S287">
        <v>3.4138489999999999</v>
      </c>
      <c r="T287">
        <v>-0.90370269999999997</v>
      </c>
      <c r="U287">
        <v>-6.286621E-3</v>
      </c>
      <c r="V287">
        <v>-6.9370509999999996E-2</v>
      </c>
      <c r="W287">
        <v>0.2907284</v>
      </c>
      <c r="X287">
        <v>0.95428760000000001</v>
      </c>
      <c r="Y287">
        <v>-5.8254500000000002E-3</v>
      </c>
      <c r="Z287">
        <v>2.8601E-3</v>
      </c>
      <c r="AA287">
        <v>0.99997899999999995</v>
      </c>
      <c r="AB287">
        <v>32</v>
      </c>
      <c r="AC287">
        <v>0.59229999999996596</v>
      </c>
      <c r="AD287">
        <v>-0.21055169999999901</v>
      </c>
      <c r="AE287">
        <v>-2.0000000000663901E-4</v>
      </c>
      <c r="AF287">
        <v>-4.1047386306100097E-3</v>
      </c>
      <c r="AG287">
        <v>-0.21055169999999901</v>
      </c>
      <c r="AH287">
        <v>0.52583388920733098</v>
      </c>
      <c r="AI287">
        <v>111.82129501653699</v>
      </c>
      <c r="AJ287">
        <v>90.447250410213599</v>
      </c>
      <c r="AK287">
        <v>0.56643635678778803</v>
      </c>
      <c r="AL287">
        <v>73.0984315212891</v>
      </c>
      <c r="AM287">
        <v>94.157717695086205</v>
      </c>
      <c r="AN287">
        <v>1.00000004686898</v>
      </c>
    </row>
    <row r="288" spans="1:40" x14ac:dyDescent="0.25">
      <c r="A288" t="str">
        <f>"20190304164105784"</f>
        <v>20190304164105784</v>
      </c>
      <c r="B288" t="str">
        <f>"1551688865771319"</f>
        <v>1551688865771319</v>
      </c>
      <c r="C288" t="s">
        <v>40</v>
      </c>
      <c r="D288">
        <v>4.8319330000000003</v>
      </c>
      <c r="E288">
        <v>0.54598669999999905</v>
      </c>
      <c r="F288" t="s">
        <v>41</v>
      </c>
      <c r="G288">
        <v>-450.77390000000003</v>
      </c>
      <c r="H288">
        <v>0.87626740000000003</v>
      </c>
      <c r="I288">
        <v>366.79180000000002</v>
      </c>
      <c r="J288">
        <v>-451.39479999999998</v>
      </c>
      <c r="K288">
        <v>1.109594</v>
      </c>
      <c r="L288">
        <v>366.79160000000002</v>
      </c>
      <c r="M288">
        <v>0.99996119999999999</v>
      </c>
      <c r="N288">
        <v>-3.954796E-3</v>
      </c>
      <c r="O288">
        <v>-7.8767130000000005E-3</v>
      </c>
      <c r="P288">
        <v>0.95612280000000005</v>
      </c>
      <c r="Q288">
        <v>0.28624379999999999</v>
      </c>
      <c r="R288">
        <v>6.2401329999999998E-2</v>
      </c>
      <c r="S288">
        <v>3.4133610000000001</v>
      </c>
      <c r="T288">
        <v>-0.91193329999999995</v>
      </c>
      <c r="U288">
        <v>-4.7912600000000003E-3</v>
      </c>
      <c r="V288">
        <v>-7.0139969999999996E-2</v>
      </c>
      <c r="W288">
        <v>0.28997050000000002</v>
      </c>
      <c r="X288">
        <v>0.95446189999999997</v>
      </c>
      <c r="Y288">
        <v>-5.9916250000000004E-3</v>
      </c>
      <c r="Z288">
        <v>2.836117E-3</v>
      </c>
      <c r="AA288">
        <v>0.99997800000000003</v>
      </c>
      <c r="AB288">
        <v>32</v>
      </c>
      <c r="AC288">
        <v>0.62089999999994905</v>
      </c>
      <c r="AD288">
        <v>-0.233326599999999</v>
      </c>
      <c r="AE288">
        <v>2.0000000000663901E-4</v>
      </c>
      <c r="AF288">
        <v>-4.4607516421027301E-3</v>
      </c>
      <c r="AG288">
        <v>-0.233326599999999</v>
      </c>
      <c r="AH288">
        <v>0.54405033270903602</v>
      </c>
      <c r="AI288">
        <v>113.212320033106</v>
      </c>
      <c r="AJ288">
        <v>90.469766306806505</v>
      </c>
      <c r="AK288">
        <v>0.59198983529583105</v>
      </c>
      <c r="AL288">
        <v>73.143810306303394</v>
      </c>
      <c r="AM288">
        <v>94.202905915293101</v>
      </c>
      <c r="AN288">
        <v>1.0000000124067301</v>
      </c>
    </row>
    <row r="289" spans="1:40" x14ac:dyDescent="0.25">
      <c r="A289" t="str">
        <f>"20190304164105795"</f>
        <v>20190304164105795</v>
      </c>
      <c r="B289" t="str">
        <f>"1551688865791814"</f>
        <v>1551688865791814</v>
      </c>
      <c r="C289" t="s">
        <v>40</v>
      </c>
      <c r="D289">
        <v>4.8535909999999998</v>
      </c>
      <c r="E289">
        <v>0.54593239999999998</v>
      </c>
      <c r="F289" t="s">
        <v>41</v>
      </c>
      <c r="G289">
        <v>-450.48779999999999</v>
      </c>
      <c r="H289">
        <v>0.86573389999999995</v>
      </c>
      <c r="I289">
        <v>366.79109999999997</v>
      </c>
      <c r="J289">
        <v>-451.22300000000001</v>
      </c>
      <c r="K289">
        <v>1.1096549999999901</v>
      </c>
      <c r="L289">
        <v>366.79039999999998</v>
      </c>
      <c r="M289">
        <v>0.99996099999999999</v>
      </c>
      <c r="N289">
        <v>-4.3390979999999996E-3</v>
      </c>
      <c r="O289">
        <v>-7.6956769999999997E-3</v>
      </c>
      <c r="P289">
        <v>0.95613559999999997</v>
      </c>
      <c r="Q289">
        <v>0.28616999999999998</v>
      </c>
      <c r="R289">
        <v>6.2541120000000006E-2</v>
      </c>
      <c r="S289">
        <v>3.4124449999999902</v>
      </c>
      <c r="T289">
        <v>-0.91737579999999996</v>
      </c>
      <c r="U289">
        <v>-1.2817379999999999E-3</v>
      </c>
      <c r="V289">
        <v>-7.0109809999999995E-2</v>
      </c>
      <c r="W289">
        <v>0.29026289999999999</v>
      </c>
      <c r="X289">
        <v>0.95437519999999998</v>
      </c>
      <c r="Y289">
        <v>-6.8098459999999996E-3</v>
      </c>
      <c r="Z289">
        <v>2.9143490000000001E-3</v>
      </c>
      <c r="AA289">
        <v>0.99997259999999999</v>
      </c>
      <c r="AB289">
        <v>32</v>
      </c>
      <c r="AC289">
        <v>0.73520000000001995</v>
      </c>
      <c r="AD289">
        <v>-0.243921099999999</v>
      </c>
      <c r="AE289">
        <v>6.9999999999481501E-4</v>
      </c>
      <c r="AF289">
        <v>-5.7274473055901002E-3</v>
      </c>
      <c r="AG289">
        <v>-0.243921099999999</v>
      </c>
      <c r="AH289">
        <v>0.66227333058249005</v>
      </c>
      <c r="AI289">
        <v>110.21850176829101</v>
      </c>
      <c r="AJ289">
        <v>90.495490852699007</v>
      </c>
      <c r="AK289">
        <v>0.70578769547128895</v>
      </c>
      <c r="AL289">
        <v>73.1263035286199</v>
      </c>
      <c r="AM289">
        <v>94.201485430698398</v>
      </c>
      <c r="AN289">
        <v>0.99999997947484198</v>
      </c>
    </row>
    <row r="290" spans="1:40" x14ac:dyDescent="0.25">
      <c r="A290" t="str">
        <f>"20190304164105808"</f>
        <v>20190304164105808</v>
      </c>
      <c r="B290" t="str">
        <f>"1551688865801575"</f>
        <v>1551688865801575</v>
      </c>
      <c r="C290" t="s">
        <v>40</v>
      </c>
      <c r="D290">
        <v>4.877059</v>
      </c>
      <c r="E290">
        <v>0.54593159999999996</v>
      </c>
      <c r="F290" t="s">
        <v>41</v>
      </c>
      <c r="G290">
        <v>-450.47039999999998</v>
      </c>
      <c r="H290">
        <v>0.90682169999999895</v>
      </c>
      <c r="I290">
        <v>366.7903</v>
      </c>
      <c r="J290">
        <v>-451.04109999999997</v>
      </c>
      <c r="K290">
        <v>1.10972</v>
      </c>
      <c r="L290">
        <v>366.78919999999999</v>
      </c>
      <c r="M290">
        <v>0.99996050000000003</v>
      </c>
      <c r="N290">
        <v>-4.7624019999999998E-3</v>
      </c>
      <c r="O290">
        <v>-7.5017969999999897E-3</v>
      </c>
      <c r="P290">
        <v>0.95612030000000003</v>
      </c>
      <c r="Q290">
        <v>0.28619939999999999</v>
      </c>
      <c r="R290">
        <v>6.2639360000000005E-2</v>
      </c>
      <c r="S290">
        <v>3.4129330000000002</v>
      </c>
      <c r="T290">
        <v>-0.91985550000000005</v>
      </c>
      <c r="U290">
        <v>2.7465820000000001E-4</v>
      </c>
      <c r="V290">
        <v>-7.0024210000000003E-2</v>
      </c>
      <c r="W290">
        <v>0.2906955</v>
      </c>
      <c r="X290">
        <v>0.95424980000000004</v>
      </c>
      <c r="Y290">
        <v>-7.0672419999999996E-3</v>
      </c>
      <c r="Z290">
        <v>2.9041380000000001E-3</v>
      </c>
      <c r="AA290">
        <v>0.99997080000000005</v>
      </c>
      <c r="AB290">
        <v>32</v>
      </c>
      <c r="AC290">
        <v>0.570699999999987</v>
      </c>
      <c r="AD290">
        <v>-0.2028983</v>
      </c>
      <c r="AE290">
        <v>1.1000000000080899E-3</v>
      </c>
      <c r="AF290">
        <v>-4.7774359226450203E-3</v>
      </c>
      <c r="AG290">
        <v>-0.2028983</v>
      </c>
      <c r="AH290">
        <v>0.50663779448530399</v>
      </c>
      <c r="AI290">
        <v>111.82423467300799</v>
      </c>
      <c r="AJ290">
        <v>90.540265265440894</v>
      </c>
      <c r="AK290">
        <v>0.54577687642279105</v>
      </c>
      <c r="AL290">
        <v>73.100400341706205</v>
      </c>
      <c r="AM290">
        <v>94.196923481610298</v>
      </c>
      <c r="AN290">
        <v>0.99999997225320603</v>
      </c>
    </row>
    <row r="291" spans="1:40" x14ac:dyDescent="0.25">
      <c r="A291" t="str">
        <f>"20190304164105823"</f>
        <v>20190304164105823</v>
      </c>
      <c r="B291" t="str">
        <f>"1551688865811335"</f>
        <v>1551688865811335</v>
      </c>
      <c r="C291" t="s">
        <v>40</v>
      </c>
      <c r="D291">
        <v>4.8656360000000003</v>
      </c>
      <c r="E291">
        <v>0.5459212</v>
      </c>
      <c r="F291" t="s">
        <v>41</v>
      </c>
      <c r="G291">
        <v>-450.19119999999998</v>
      </c>
      <c r="H291">
        <v>0.880517199999999</v>
      </c>
      <c r="I291">
        <v>366.78930000000003</v>
      </c>
      <c r="J291">
        <v>-450.83940000000001</v>
      </c>
      <c r="K291">
        <v>1.109793</v>
      </c>
      <c r="L291">
        <v>366.7878</v>
      </c>
      <c r="M291">
        <v>0.99995970000000001</v>
      </c>
      <c r="N291">
        <v>-5.2484289999999998E-3</v>
      </c>
      <c r="O291">
        <v>-7.2847809999999997E-3</v>
      </c>
      <c r="P291">
        <v>0.95604009999999995</v>
      </c>
      <c r="Q291">
        <v>0.28643790000000002</v>
      </c>
      <c r="R291">
        <v>6.2777299999999994E-2</v>
      </c>
      <c r="S291">
        <v>3.4130859999999998</v>
      </c>
      <c r="T291">
        <v>-0.92059449999999998</v>
      </c>
      <c r="U291">
        <v>2.2888180000000002E-3</v>
      </c>
      <c r="V291">
        <v>-6.9956710000000005E-2</v>
      </c>
      <c r="W291">
        <v>0.29139710000000002</v>
      </c>
      <c r="X291">
        <v>0.95404080000000002</v>
      </c>
      <c r="Y291">
        <v>-7.4341340000000002E-3</v>
      </c>
      <c r="Z291">
        <v>2.8976499999999999E-3</v>
      </c>
      <c r="AA291">
        <v>0.99996819999999997</v>
      </c>
      <c r="AB291">
        <v>32</v>
      </c>
      <c r="AC291">
        <v>0.64820000000003097</v>
      </c>
      <c r="AD291">
        <v>-0.2292758</v>
      </c>
      <c r="AE291">
        <v>1.5000000000213701E-3</v>
      </c>
      <c r="AF291">
        <v>-5.5301382254758398E-3</v>
      </c>
      <c r="AG291">
        <v>-0.2292758</v>
      </c>
      <c r="AH291">
        <v>0.57609585152166798</v>
      </c>
      <c r="AI291">
        <v>111.700760172964</v>
      </c>
      <c r="AJ291">
        <v>90.5499846036858</v>
      </c>
      <c r="AK291">
        <v>0.62006806484039201</v>
      </c>
      <c r="AL291">
        <v>73.058383631509201</v>
      </c>
      <c r="AM291">
        <v>94.193807535070604</v>
      </c>
      <c r="AN291">
        <v>1.0000000296135301</v>
      </c>
    </row>
    <row r="292" spans="1:40" x14ac:dyDescent="0.25">
      <c r="A292" t="str">
        <f>"20190304164105840"</f>
        <v>20190304164105840</v>
      </c>
      <c r="B292" t="str">
        <f>"1551688865831830"</f>
        <v>1551688865831830</v>
      </c>
      <c r="C292" t="s">
        <v>40</v>
      </c>
      <c r="D292">
        <v>4.9577980000000004</v>
      </c>
      <c r="E292">
        <v>0.5459058</v>
      </c>
      <c r="F292" t="s">
        <v>41</v>
      </c>
      <c r="G292">
        <v>-449.90989999999999</v>
      </c>
      <c r="H292">
        <v>0.85924509999999898</v>
      </c>
      <c r="I292">
        <v>366.78890000000001</v>
      </c>
      <c r="J292">
        <v>-450.5736</v>
      </c>
      <c r="K292">
        <v>1.1098859999999999</v>
      </c>
      <c r="L292">
        <v>366.78620000000001</v>
      </c>
      <c r="M292">
        <v>0.99995820000000002</v>
      </c>
      <c r="N292">
        <v>-5.8872239999999999E-3</v>
      </c>
      <c r="O292">
        <v>-7.0024509999999998E-3</v>
      </c>
      <c r="P292">
        <v>0.95618930000000002</v>
      </c>
      <c r="Q292">
        <v>0.28604000000000002</v>
      </c>
      <c r="R292">
        <v>6.2317230000000001E-2</v>
      </c>
      <c r="S292">
        <v>3.4133300000000002</v>
      </c>
      <c r="T292">
        <v>-0.92032659999999999</v>
      </c>
      <c r="U292">
        <v>5.0048829999999999E-3</v>
      </c>
      <c r="V292">
        <v>-6.9230509999999995E-2</v>
      </c>
      <c r="W292">
        <v>0.29160970000000003</v>
      </c>
      <c r="X292">
        <v>0.95402880000000001</v>
      </c>
      <c r="Y292">
        <v>-7.9395879999999992E-3</v>
      </c>
      <c r="Z292">
        <v>2.8897789999999999E-3</v>
      </c>
      <c r="AA292">
        <v>0.99996430000000003</v>
      </c>
      <c r="AB292">
        <v>32</v>
      </c>
      <c r="AC292">
        <v>0.66370000000000495</v>
      </c>
      <c r="AD292">
        <v>-0.2506409</v>
      </c>
      <c r="AE292">
        <v>2.7000000000043599E-3</v>
      </c>
      <c r="AF292">
        <v>-6.4304831443381298E-3</v>
      </c>
      <c r="AG292">
        <v>-0.2506409</v>
      </c>
      <c r="AH292">
        <v>0.58083180854705696</v>
      </c>
      <c r="AI292">
        <v>113.339916269667</v>
      </c>
      <c r="AJ292">
        <v>90.634304951617395</v>
      </c>
      <c r="AK292">
        <v>0.63263559944594105</v>
      </c>
      <c r="AL292">
        <v>73.045649264464103</v>
      </c>
      <c r="AM292">
        <v>94.150477805117802</v>
      </c>
      <c r="AN292">
        <v>1.00000001593919</v>
      </c>
    </row>
    <row r="293" spans="1:40" x14ac:dyDescent="0.25">
      <c r="A293" t="str">
        <f>"20190304164105853"</f>
        <v>20190304164105853</v>
      </c>
      <c r="B293" t="str">
        <f>"1551688865841591"</f>
        <v>1551688865841591</v>
      </c>
      <c r="C293" t="s">
        <v>40</v>
      </c>
      <c r="D293">
        <v>4.8832820000000003</v>
      </c>
      <c r="E293">
        <v>0.54593539999999996</v>
      </c>
      <c r="F293" t="s">
        <v>41</v>
      </c>
      <c r="G293">
        <v>-449.88290000000001</v>
      </c>
      <c r="H293">
        <v>0.92332789999999998</v>
      </c>
      <c r="I293">
        <v>366.7869</v>
      </c>
      <c r="J293">
        <v>-450.40039999999999</v>
      </c>
      <c r="K293">
        <v>1.1099319999999999</v>
      </c>
      <c r="L293">
        <v>366.78519999999997</v>
      </c>
      <c r="M293">
        <v>0.99995710000000004</v>
      </c>
      <c r="N293">
        <v>-6.2787479999999998E-3</v>
      </c>
      <c r="O293">
        <v>-6.8157269999999997E-3</v>
      </c>
      <c r="P293">
        <v>0.95618809999999999</v>
      </c>
      <c r="Q293">
        <v>0.28599809999999998</v>
      </c>
      <c r="R293">
        <v>6.2527630000000001E-2</v>
      </c>
      <c r="S293">
        <v>3.4129640000000001</v>
      </c>
      <c r="T293">
        <v>-0.92204140000000001</v>
      </c>
      <c r="U293">
        <v>4.8522950000000004E-3</v>
      </c>
      <c r="V293">
        <v>-6.9263669999999999E-2</v>
      </c>
      <c r="W293">
        <v>0.29194130000000001</v>
      </c>
      <c r="X293">
        <v>0.95392500000000002</v>
      </c>
      <c r="Y293">
        <v>-7.7209660000000001E-3</v>
      </c>
      <c r="Z293">
        <v>2.816088E-3</v>
      </c>
      <c r="AA293">
        <v>0.99996620000000003</v>
      </c>
      <c r="AB293">
        <v>32</v>
      </c>
      <c r="AC293">
        <v>0.51749999999998397</v>
      </c>
      <c r="AD293">
        <v>-0.186604099999999</v>
      </c>
      <c r="AE293">
        <v>1.7000000000280101E-3</v>
      </c>
      <c r="AF293">
        <v>-4.6257227269884396E-3</v>
      </c>
      <c r="AG293">
        <v>-0.186604099999999</v>
      </c>
      <c r="AH293">
        <v>0.45793477922102299</v>
      </c>
      <c r="AI293">
        <v>112.169410378794</v>
      </c>
      <c r="AJ293">
        <v>90.578740440151904</v>
      </c>
      <c r="AK293">
        <v>0.49451668269914201</v>
      </c>
      <c r="AL293">
        <v>73.025786113598102</v>
      </c>
      <c r="AM293">
        <v>94.152909110017504</v>
      </c>
      <c r="AN293">
        <v>1.00000004212627</v>
      </c>
    </row>
    <row r="294" spans="1:40" x14ac:dyDescent="0.25">
      <c r="A294" t="str">
        <f>"20190304164105865"</f>
        <v>20190304164105865</v>
      </c>
      <c r="B294" t="str">
        <f>"1551688865852327"</f>
        <v>1551688865852327</v>
      </c>
      <c r="C294" t="s">
        <v>40</v>
      </c>
      <c r="D294">
        <v>4.8786870000000002</v>
      </c>
      <c r="E294">
        <v>0.54593259999999999</v>
      </c>
      <c r="F294" t="s">
        <v>41</v>
      </c>
      <c r="G294">
        <v>-449.60469999999998</v>
      </c>
      <c r="H294">
        <v>0.89503410000000005</v>
      </c>
      <c r="I294">
        <v>366.78590000000003</v>
      </c>
      <c r="J294">
        <v>-450.2294</v>
      </c>
      <c r="K294">
        <v>1.109977</v>
      </c>
      <c r="L294">
        <v>366.7842</v>
      </c>
      <c r="M294">
        <v>0.99995599999999996</v>
      </c>
      <c r="N294">
        <v>-6.655673E-3</v>
      </c>
      <c r="O294">
        <v>-6.6307079999999999E-3</v>
      </c>
      <c r="P294">
        <v>0.95637240000000001</v>
      </c>
      <c r="Q294">
        <v>0.28543079999999998</v>
      </c>
      <c r="R294">
        <v>6.2300429999999997E-2</v>
      </c>
      <c r="S294">
        <v>3.4127809999999998</v>
      </c>
      <c r="T294">
        <v>-0.92183599999999999</v>
      </c>
      <c r="U294">
        <v>5.7983399999999999E-3</v>
      </c>
      <c r="V294">
        <v>-6.8861080000000005E-2</v>
      </c>
      <c r="W294">
        <v>0.29173510000000002</v>
      </c>
      <c r="X294">
        <v>0.95401720000000001</v>
      </c>
      <c r="Y294">
        <v>-7.8164689999999995E-3</v>
      </c>
      <c r="Z294">
        <v>2.77969E-3</v>
      </c>
      <c r="AA294">
        <v>0.99996560000000001</v>
      </c>
      <c r="AB294">
        <v>32</v>
      </c>
      <c r="AC294">
        <v>0.62470000000001802</v>
      </c>
      <c r="AD294">
        <v>-0.21494289999999899</v>
      </c>
      <c r="AE294">
        <v>1.7000000000280101E-3</v>
      </c>
      <c r="AF294">
        <v>-5.2238293701501399E-3</v>
      </c>
      <c r="AG294">
        <v>-0.21494289999999899</v>
      </c>
      <c r="AH294">
        <v>0.55855049131867596</v>
      </c>
      <c r="AI294">
        <v>111.04701730986</v>
      </c>
      <c r="AJ294">
        <v>90.535841708759307</v>
      </c>
      <c r="AK294">
        <v>0.59850345864166299</v>
      </c>
      <c r="AL294">
        <v>73.038137786279094</v>
      </c>
      <c r="AM294">
        <v>94.128456703951201</v>
      </c>
      <c r="AN294">
        <v>1.0000000174032999</v>
      </c>
    </row>
    <row r="295" spans="1:40" x14ac:dyDescent="0.25">
      <c r="A295" t="str">
        <f>"20190304164105877"</f>
        <v>20190304164105877</v>
      </c>
      <c r="B295" t="str">
        <f>"1551688865871846"</f>
        <v>1551688865871846</v>
      </c>
      <c r="C295" t="s">
        <v>40</v>
      </c>
      <c r="D295">
        <v>4.8853099999999996</v>
      </c>
      <c r="E295">
        <v>0.54590109999999903</v>
      </c>
      <c r="F295" t="s">
        <v>41</v>
      </c>
      <c r="G295">
        <v>-449.327</v>
      </c>
      <c r="H295">
        <v>0.86578009999999905</v>
      </c>
      <c r="I295">
        <v>366.78530000000001</v>
      </c>
      <c r="J295">
        <v>-450.03030000000001</v>
      </c>
      <c r="K295">
        <v>1.11002</v>
      </c>
      <c r="L295">
        <v>366.78309999999999</v>
      </c>
      <c r="M295">
        <v>0.99995449999999997</v>
      </c>
      <c r="N295">
        <v>-7.0642400000000003E-3</v>
      </c>
      <c r="O295">
        <v>-6.4134359999999998E-3</v>
      </c>
      <c r="P295">
        <v>0.95645840000000004</v>
      </c>
      <c r="Q295">
        <v>0.28513329999999998</v>
      </c>
      <c r="R295">
        <v>6.23422E-2</v>
      </c>
      <c r="S295">
        <v>3.41214</v>
      </c>
      <c r="T295">
        <v>-0.92342979999999997</v>
      </c>
      <c r="U295">
        <v>4.272461E-3</v>
      </c>
      <c r="V295">
        <v>-6.8695729999999997E-2</v>
      </c>
      <c r="W295">
        <v>0.29182819999999998</v>
      </c>
      <c r="X295">
        <v>0.95400070000000003</v>
      </c>
      <c r="Y295">
        <v>-7.1815450000000001E-3</v>
      </c>
      <c r="Z295">
        <v>2.6408999999999998E-3</v>
      </c>
      <c r="AA295">
        <v>0.99997069999999999</v>
      </c>
      <c r="AB295">
        <v>32</v>
      </c>
      <c r="AC295">
        <v>0.70330000000001203</v>
      </c>
      <c r="AD295">
        <v>-0.24423990000000001</v>
      </c>
      <c r="AE295">
        <v>2.2000000000161799E-3</v>
      </c>
      <c r="AF295">
        <v>-5.9884312274574398E-3</v>
      </c>
      <c r="AG295">
        <v>-0.24423990000000001</v>
      </c>
      <c r="AH295">
        <v>0.62758464155844895</v>
      </c>
      <c r="AI295">
        <v>111.26383406894701</v>
      </c>
      <c r="AJ295">
        <v>90.546701432133005</v>
      </c>
      <c r="AK295">
        <v>0.67346230212285996</v>
      </c>
      <c r="AL295">
        <v>73.032561764828401</v>
      </c>
      <c r="AM295">
        <v>94.118648549747206</v>
      </c>
      <c r="AN295">
        <v>1.00000006861797</v>
      </c>
    </row>
    <row r="296" spans="1:40" x14ac:dyDescent="0.25">
      <c r="A296" t="str">
        <f>"20190304164105896"</f>
        <v>20190304164105896</v>
      </c>
      <c r="B296" t="str">
        <f>"1551688865891367"</f>
        <v>1551688865891367</v>
      </c>
      <c r="C296" t="s">
        <v>40</v>
      </c>
      <c r="D296">
        <v>4.9015420000000001</v>
      </c>
      <c r="E296">
        <v>0.54586859999999904</v>
      </c>
      <c r="F296" t="s">
        <v>41</v>
      </c>
      <c r="G296">
        <v>-449.30669999999998</v>
      </c>
      <c r="H296">
        <v>0.91370770000000001</v>
      </c>
      <c r="I296">
        <v>366.78379999999999</v>
      </c>
      <c r="J296">
        <v>-449.77280000000002</v>
      </c>
      <c r="K296">
        <v>1.110063</v>
      </c>
      <c r="L296">
        <v>366.78179999999998</v>
      </c>
      <c r="M296">
        <v>0.99995270000000003</v>
      </c>
      <c r="N296">
        <v>-7.5563749999999997E-3</v>
      </c>
      <c r="O296">
        <v>-6.1344160000000002E-3</v>
      </c>
      <c r="P296">
        <v>0.95648809999999995</v>
      </c>
      <c r="Q296">
        <v>0.28508440000000002</v>
      </c>
      <c r="R296">
        <v>6.2106099999999997E-2</v>
      </c>
      <c r="S296">
        <v>3.4122919999999999</v>
      </c>
      <c r="T296">
        <v>-0.92566970000000004</v>
      </c>
      <c r="U296">
        <v>3.6621090000000002E-3</v>
      </c>
      <c r="V296">
        <v>-6.8194340000000006E-2</v>
      </c>
      <c r="W296">
        <v>0.2922495</v>
      </c>
      <c r="X296">
        <v>0.95390759999999997</v>
      </c>
      <c r="Y296">
        <v>-6.7473489999999997E-3</v>
      </c>
      <c r="Z296">
        <v>2.5139210000000001E-3</v>
      </c>
      <c r="AA296">
        <v>0.99997409999999998</v>
      </c>
      <c r="AB296">
        <v>32</v>
      </c>
      <c r="AC296">
        <v>0.46610000000003898</v>
      </c>
      <c r="AD296">
        <v>-0.19635530000000001</v>
      </c>
      <c r="AE296">
        <v>2.0000000000095402E-3</v>
      </c>
      <c r="AF296">
        <v>-4.12690348788283E-3</v>
      </c>
      <c r="AG296">
        <v>-0.19635530000000001</v>
      </c>
      <c r="AH296">
        <v>0.39583166775859402</v>
      </c>
      <c r="AI296">
        <v>116.382819641431</v>
      </c>
      <c r="AJ296">
        <v>90.597338729183207</v>
      </c>
      <c r="AK296">
        <v>0.44187684299025898</v>
      </c>
      <c r="AL296">
        <v>73.007321138295595</v>
      </c>
      <c r="AM296">
        <v>94.089087761166894</v>
      </c>
      <c r="AN296">
        <v>0.99999997379802197</v>
      </c>
    </row>
    <row r="297" spans="1:40" x14ac:dyDescent="0.25">
      <c r="A297" t="str">
        <f>"20190304164105908"</f>
        <v>20190304164105908</v>
      </c>
      <c r="B297" t="str">
        <f>"1551688865902102"</f>
        <v>1551688865902102</v>
      </c>
      <c r="C297" t="s">
        <v>40</v>
      </c>
      <c r="D297">
        <v>5.1884930000000002</v>
      </c>
      <c r="E297">
        <v>0.54587699999999995</v>
      </c>
      <c r="F297" t="s">
        <v>41</v>
      </c>
      <c r="G297">
        <v>-449.02019999999999</v>
      </c>
      <c r="H297">
        <v>0.90560070000000004</v>
      </c>
      <c r="I297">
        <v>366.78190000000001</v>
      </c>
      <c r="J297">
        <v>-449.58370000000002</v>
      </c>
      <c r="K297">
        <v>1.1100920000000001</v>
      </c>
      <c r="L297">
        <v>366.7808</v>
      </c>
      <c r="M297">
        <v>0.99995129999999999</v>
      </c>
      <c r="N297">
        <v>-7.8927400000000005E-3</v>
      </c>
      <c r="O297">
        <v>-5.9306589999999996E-3</v>
      </c>
      <c r="P297">
        <v>0.95654240000000001</v>
      </c>
      <c r="Q297">
        <v>0.28492909999999999</v>
      </c>
      <c r="R297">
        <v>6.1986100000000002E-2</v>
      </c>
      <c r="S297">
        <v>3.4126590000000001</v>
      </c>
      <c r="T297">
        <v>-0.92727680000000001</v>
      </c>
      <c r="U297">
        <v>2.8686520000000002E-3</v>
      </c>
      <c r="V297">
        <v>-6.7880070000000001E-2</v>
      </c>
      <c r="W297">
        <v>0.2924156</v>
      </c>
      <c r="X297">
        <v>0.95387909999999998</v>
      </c>
      <c r="Y297">
        <v>-6.3321990000000002E-3</v>
      </c>
      <c r="Z297">
        <v>2.407172E-3</v>
      </c>
      <c r="AA297">
        <v>0.99997709999999995</v>
      </c>
      <c r="AB297">
        <v>32</v>
      </c>
      <c r="AC297">
        <v>0.56350000000003297</v>
      </c>
      <c r="AD297">
        <v>-0.20449129999999999</v>
      </c>
      <c r="AE297">
        <v>1.1000000000080899E-3</v>
      </c>
      <c r="AF297">
        <v>-3.9251051071937798E-3</v>
      </c>
      <c r="AG297">
        <v>-0.20449129999999999</v>
      </c>
      <c r="AH297">
        <v>0.49791237128493698</v>
      </c>
      <c r="AI297">
        <v>112.32720132596999</v>
      </c>
      <c r="AJ297">
        <v>90.451660395272299</v>
      </c>
      <c r="AK297">
        <v>0.53828322257375005</v>
      </c>
      <c r="AL297">
        <v>72.997369390130302</v>
      </c>
      <c r="AM297">
        <v>94.070428104158694</v>
      </c>
      <c r="AN297">
        <v>0.99999996222168597</v>
      </c>
    </row>
    <row r="298" spans="1:40" x14ac:dyDescent="0.25">
      <c r="A298" t="str">
        <f>"20190304164105921"</f>
        <v>20190304164105921</v>
      </c>
      <c r="B298" t="str">
        <f>"1551688865911862"</f>
        <v>1551688865911862</v>
      </c>
      <c r="C298" t="s">
        <v>40</v>
      </c>
      <c r="D298">
        <v>4.8945049999999997</v>
      </c>
      <c r="E298">
        <v>0.54585349999999999</v>
      </c>
      <c r="F298" t="s">
        <v>41</v>
      </c>
      <c r="G298">
        <v>-448.74079999999998</v>
      </c>
      <c r="H298">
        <v>0.88085689999999905</v>
      </c>
      <c r="I298">
        <v>366.78089999999997</v>
      </c>
      <c r="J298">
        <v>-449.39659999999998</v>
      </c>
      <c r="K298">
        <v>1.1101160000000001</v>
      </c>
      <c r="L298">
        <v>366.7799</v>
      </c>
      <c r="M298">
        <v>0.99994989999999995</v>
      </c>
      <c r="N298">
        <v>-8.2110020000000002E-3</v>
      </c>
      <c r="O298">
        <v>-5.7292790000000003E-3</v>
      </c>
      <c r="P298">
        <v>0.9566597</v>
      </c>
      <c r="Q298">
        <v>0.2844874</v>
      </c>
      <c r="R298">
        <v>6.2202599999999997E-2</v>
      </c>
      <c r="S298">
        <v>3.4126280000000002</v>
      </c>
      <c r="T298">
        <v>-0.92813679999999998</v>
      </c>
      <c r="U298">
        <v>2.2583009999999999E-3</v>
      </c>
      <c r="V298">
        <v>-6.7904419999999993E-2</v>
      </c>
      <c r="W298">
        <v>0.29227880000000001</v>
      </c>
      <c r="X298">
        <v>0.95391939999999997</v>
      </c>
      <c r="Y298">
        <v>-5.9717659999999999E-3</v>
      </c>
      <c r="Z298">
        <v>2.3067249999999999E-3</v>
      </c>
      <c r="AA298">
        <v>0.99997950000000002</v>
      </c>
      <c r="AB298">
        <v>32</v>
      </c>
      <c r="AC298">
        <v>0.65579999999999905</v>
      </c>
      <c r="AD298">
        <v>-0.22925909999999899</v>
      </c>
      <c r="AE298">
        <v>9.9999999997635292E-4</v>
      </c>
      <c r="AF298">
        <v>-4.23928519856795E-3</v>
      </c>
      <c r="AG298">
        <v>-0.22925909999999899</v>
      </c>
      <c r="AH298">
        <v>0.58436752566980299</v>
      </c>
      <c r="AI298">
        <v>111.42056041299401</v>
      </c>
      <c r="AJ298">
        <v>90.415644057101701</v>
      </c>
      <c r="AK298">
        <v>0.62774446355921998</v>
      </c>
      <c r="AL298">
        <v>73.0055673137133</v>
      </c>
      <c r="AM298">
        <v>94.071711895937597</v>
      </c>
      <c r="AN298">
        <v>1.0000000644406599</v>
      </c>
    </row>
    <row r="299" spans="1:40" x14ac:dyDescent="0.25">
      <c r="A299" t="str">
        <f>"20190304164105936"</f>
        <v>20190304164105936</v>
      </c>
      <c r="B299" t="str">
        <f>"1551688865931382"</f>
        <v>1551688865931382</v>
      </c>
      <c r="C299" t="s">
        <v>40</v>
      </c>
      <c r="D299">
        <v>5.0684449999999996</v>
      </c>
      <c r="E299">
        <v>0.545825</v>
      </c>
      <c r="F299" t="s">
        <v>41</v>
      </c>
      <c r="G299">
        <v>-448.72149999999999</v>
      </c>
      <c r="H299">
        <v>0.92607720000000004</v>
      </c>
      <c r="I299">
        <v>366.78019999999998</v>
      </c>
      <c r="J299">
        <v>-449.19560000000001</v>
      </c>
      <c r="K299">
        <v>1.110133</v>
      </c>
      <c r="L299">
        <v>366.77910000000003</v>
      </c>
      <c r="M299">
        <v>0.99994870000000002</v>
      </c>
      <c r="N299">
        <v>-8.5192859999999992E-3</v>
      </c>
      <c r="O299">
        <v>-5.5117159999999998E-3</v>
      </c>
      <c r="P299">
        <v>0.95675949999999998</v>
      </c>
      <c r="Q299">
        <v>0.28416239999999998</v>
      </c>
      <c r="R299">
        <v>6.2156650000000001E-2</v>
      </c>
      <c r="S299">
        <v>3.4123230000000002</v>
      </c>
      <c r="T299">
        <v>-0.93037990000000004</v>
      </c>
      <c r="U299">
        <v>3.5095209999999998E-3</v>
      </c>
      <c r="V299">
        <v>-6.7649420000000002E-2</v>
      </c>
      <c r="W299">
        <v>0.29224909999999998</v>
      </c>
      <c r="X299">
        <v>0.95394650000000003</v>
      </c>
      <c r="Y299">
        <v>-6.1208909999999998E-3</v>
      </c>
      <c r="Z299">
        <v>2.2757400000000001E-3</v>
      </c>
      <c r="AA299">
        <v>0.9999787</v>
      </c>
      <c r="AB299">
        <v>32</v>
      </c>
      <c r="AC299">
        <v>0.474100000000021</v>
      </c>
      <c r="AD299">
        <v>-0.18405579999999999</v>
      </c>
      <c r="AE299">
        <v>1.09999999995125E-3</v>
      </c>
      <c r="AF299">
        <v>-3.2268475553356699E-3</v>
      </c>
      <c r="AG299">
        <v>-0.18405579999999999</v>
      </c>
      <c r="AH299">
        <v>0.41199314660627101</v>
      </c>
      <c r="AI299">
        <v>114.07180132509799</v>
      </c>
      <c r="AJ299">
        <v>90.448747672502904</v>
      </c>
      <c r="AK299">
        <v>0.45124860432949998</v>
      </c>
      <c r="AL299">
        <v>73.007344732911605</v>
      </c>
      <c r="AM299">
        <v>94.056357771136405</v>
      </c>
      <c r="AN299">
        <v>0.99999995266969699</v>
      </c>
    </row>
    <row r="300" spans="1:40" x14ac:dyDescent="0.25">
      <c r="A300" t="str">
        <f>"20190304164105953"</f>
        <v>20190304164105953</v>
      </c>
      <c r="B300" t="str">
        <f>"1551688865942119"</f>
        <v>1551688865942119</v>
      </c>
      <c r="C300" t="s">
        <v>40</v>
      </c>
      <c r="D300">
        <v>4.9196249999999999</v>
      </c>
      <c r="E300">
        <v>0.54578850000000001</v>
      </c>
      <c r="F300" t="s">
        <v>41</v>
      </c>
      <c r="G300">
        <v>-448.44110000000001</v>
      </c>
      <c r="H300">
        <v>0.90399600000000002</v>
      </c>
      <c r="I300">
        <v>366.77940000000001</v>
      </c>
      <c r="J300">
        <v>-448.94810000000001</v>
      </c>
      <c r="K300">
        <v>1.1101510000000001</v>
      </c>
      <c r="L300">
        <v>366.77800000000002</v>
      </c>
      <c r="M300">
        <v>0.99994689999999997</v>
      </c>
      <c r="N300">
        <v>-8.8733449999999995E-3</v>
      </c>
      <c r="O300">
        <v>-5.2421840000000004E-3</v>
      </c>
      <c r="P300">
        <v>0.95675489999999996</v>
      </c>
      <c r="Q300">
        <v>0.28405659999999999</v>
      </c>
      <c r="R300">
        <v>6.270502E-2</v>
      </c>
      <c r="S300">
        <v>3.4123230000000002</v>
      </c>
      <c r="T300">
        <v>-0.93251050000000002</v>
      </c>
      <c r="U300">
        <v>3.9367680000000002E-3</v>
      </c>
      <c r="V300">
        <v>-6.7938230000000002E-2</v>
      </c>
      <c r="W300">
        <v>0.2924812</v>
      </c>
      <c r="X300">
        <v>0.95385489999999995</v>
      </c>
      <c r="Y300">
        <v>-5.989121E-3</v>
      </c>
      <c r="Z300">
        <v>2.1917460000000001E-3</v>
      </c>
      <c r="AA300">
        <v>0.99997970000000003</v>
      </c>
      <c r="AB300">
        <v>32</v>
      </c>
      <c r="AC300">
        <v>0.507000000000005</v>
      </c>
      <c r="AD300">
        <v>-0.206155</v>
      </c>
      <c r="AE300">
        <v>1.39999999998963E-3</v>
      </c>
      <c r="AF300">
        <v>-3.4821469683779202E-3</v>
      </c>
      <c r="AG300">
        <v>-0.206155</v>
      </c>
      <c r="AH300">
        <v>0.435055223127359</v>
      </c>
      <c r="AI300">
        <v>115.353662619736</v>
      </c>
      <c r="AJ300">
        <v>90.458581012376797</v>
      </c>
      <c r="AK300">
        <v>0.48144060541556499</v>
      </c>
      <c r="AL300">
        <v>72.993439840514995</v>
      </c>
      <c r="AM300">
        <v>94.074006940518601</v>
      </c>
      <c r="AN300">
        <v>1.0000000128514901</v>
      </c>
    </row>
    <row r="301" spans="1:40" x14ac:dyDescent="0.25">
      <c r="A301" t="str">
        <f>"20190304164105968"</f>
        <v>20190304164105968</v>
      </c>
      <c r="B301" t="str">
        <f>"1551688865961638"</f>
        <v>1551688865961638</v>
      </c>
      <c r="C301" t="s">
        <v>40</v>
      </c>
      <c r="D301">
        <v>4.9122500000000002</v>
      </c>
      <c r="E301">
        <v>0.54575580000000001</v>
      </c>
      <c r="F301" t="s">
        <v>41</v>
      </c>
      <c r="G301">
        <v>-448.1558</v>
      </c>
      <c r="H301">
        <v>0.8935014</v>
      </c>
      <c r="I301">
        <v>366.7792</v>
      </c>
      <c r="J301">
        <v>-448.72399999999999</v>
      </c>
      <c r="K301">
        <v>1.110166</v>
      </c>
      <c r="L301">
        <v>366.77710000000002</v>
      </c>
      <c r="M301">
        <v>0.99994550000000004</v>
      </c>
      <c r="N301">
        <v>-9.1673459999999998E-3</v>
      </c>
      <c r="O301">
        <v>-4.9972599999999999E-3</v>
      </c>
      <c r="P301">
        <v>0.95680120000000002</v>
      </c>
      <c r="Q301">
        <v>0.28394469999999999</v>
      </c>
      <c r="R301">
        <v>6.2506969999999995E-2</v>
      </c>
      <c r="S301">
        <v>3.412201</v>
      </c>
      <c r="T301">
        <v>-0.93307470000000003</v>
      </c>
      <c r="U301">
        <v>6.4086909999999898E-3</v>
      </c>
      <c r="V301">
        <v>-6.7504729999999999E-2</v>
      </c>
      <c r="W301">
        <v>0.29265140000000001</v>
      </c>
      <c r="X301">
        <v>0.9538335</v>
      </c>
      <c r="Y301">
        <v>-6.4588569999999897E-3</v>
      </c>
      <c r="Z301">
        <v>2.1941959999999998E-3</v>
      </c>
      <c r="AA301">
        <v>0.9999768</v>
      </c>
      <c r="AB301">
        <v>32</v>
      </c>
      <c r="AC301">
        <v>0.56819999999999005</v>
      </c>
      <c r="AD301">
        <v>-0.21666459999999901</v>
      </c>
      <c r="AE301">
        <v>2.0999999999844398E-3</v>
      </c>
      <c r="AF301">
        <v>-4.31249493682365E-3</v>
      </c>
      <c r="AG301">
        <v>-0.21666459999999901</v>
      </c>
      <c r="AH301">
        <v>0.49605543179535599</v>
      </c>
      <c r="AI301">
        <v>113.593707332047</v>
      </c>
      <c r="AJ301">
        <v>90.4980925894112</v>
      </c>
      <c r="AK301">
        <v>0.54132535310977004</v>
      </c>
      <c r="AL301">
        <v>72.983242332983295</v>
      </c>
      <c r="AM301">
        <v>94.048188751662096</v>
      </c>
      <c r="AN301">
        <v>1.0000000381082901</v>
      </c>
    </row>
    <row r="302" spans="1:40" x14ac:dyDescent="0.25">
      <c r="A302" t="str">
        <f>"20190304164105986"</f>
        <v>20190304164105986</v>
      </c>
      <c r="B302" t="str">
        <f>"1551688865982135"</f>
        <v>1551688865982135</v>
      </c>
      <c r="C302" t="s">
        <v>40</v>
      </c>
      <c r="D302">
        <v>4.9117829999999998</v>
      </c>
      <c r="E302">
        <v>0.54572279999999995</v>
      </c>
      <c r="F302" t="s">
        <v>41</v>
      </c>
      <c r="G302">
        <v>-447.87310000000002</v>
      </c>
      <c r="H302">
        <v>0.8772607</v>
      </c>
      <c r="I302">
        <v>366.77809999999999</v>
      </c>
      <c r="J302">
        <v>-448.47460000000001</v>
      </c>
      <c r="K302">
        <v>1.110179</v>
      </c>
      <c r="L302">
        <v>366.77620000000002</v>
      </c>
      <c r="M302">
        <v>0.9999441</v>
      </c>
      <c r="N302">
        <v>-9.4657709999999996E-3</v>
      </c>
      <c r="O302">
        <v>-4.7237950000000003E-3</v>
      </c>
      <c r="P302">
        <v>0.95675250000000001</v>
      </c>
      <c r="Q302">
        <v>0.28402470000000002</v>
      </c>
      <c r="R302">
        <v>6.288552E-2</v>
      </c>
      <c r="S302">
        <v>3.4122309999999998</v>
      </c>
      <c r="T302">
        <v>-0.93417220000000001</v>
      </c>
      <c r="U302">
        <v>6.6223139999999998E-3</v>
      </c>
      <c r="V302">
        <v>-6.7619170000000006E-2</v>
      </c>
      <c r="W302">
        <v>0.293016</v>
      </c>
      <c r="X302">
        <v>0.95371340000000004</v>
      </c>
      <c r="Y302">
        <v>-6.2639490000000004E-3</v>
      </c>
      <c r="Z302">
        <v>2.098094E-3</v>
      </c>
      <c r="AA302">
        <v>0.99997820000000004</v>
      </c>
      <c r="AB302">
        <v>32</v>
      </c>
      <c r="AC302">
        <v>0.60149999999998705</v>
      </c>
      <c r="AD302">
        <v>-0.23291829999999999</v>
      </c>
      <c r="AE302">
        <v>1.8999999999778001E-3</v>
      </c>
      <c r="AF302">
        <v>-4.1232138423313502E-3</v>
      </c>
      <c r="AG302">
        <v>-0.23291829999999999</v>
      </c>
      <c r="AH302">
        <v>0.52305490966190704</v>
      </c>
      <c r="AI302">
        <v>114.002926588028</v>
      </c>
      <c r="AJ302">
        <v>90.451650206455895</v>
      </c>
      <c r="AK302">
        <v>0.572585691306293</v>
      </c>
      <c r="AL302">
        <v>72.961393695607299</v>
      </c>
      <c r="AM302">
        <v>94.055537666449297</v>
      </c>
      <c r="AN302">
        <v>0.99999998887352404</v>
      </c>
    </row>
    <row r="303" spans="1:40" x14ac:dyDescent="0.25">
      <c r="A303" t="str">
        <f>"20190304164105997"</f>
        <v>20190304164105997</v>
      </c>
      <c r="B303" t="str">
        <f>"1551688865991895"</f>
        <v>1551688865991895</v>
      </c>
      <c r="C303" t="s">
        <v>40</v>
      </c>
      <c r="D303">
        <v>4.917662</v>
      </c>
      <c r="E303">
        <v>0.54571259999999999</v>
      </c>
      <c r="F303" t="s">
        <v>41</v>
      </c>
      <c r="G303">
        <v>-447.58769999999998</v>
      </c>
      <c r="H303">
        <v>0.86737849999999905</v>
      </c>
      <c r="I303">
        <v>366.77800000000002</v>
      </c>
      <c r="J303">
        <v>-448.29500000000002</v>
      </c>
      <c r="K303">
        <v>1.1101890000000001</v>
      </c>
      <c r="L303">
        <v>366.77550000000002</v>
      </c>
      <c r="M303">
        <v>0.99994309999999997</v>
      </c>
      <c r="N303">
        <v>-9.6614790000000006E-3</v>
      </c>
      <c r="O303">
        <v>-4.5270320000000003E-3</v>
      </c>
      <c r="P303">
        <v>0.95688300000000004</v>
      </c>
      <c r="Q303">
        <v>0.28349629999999998</v>
      </c>
      <c r="R303">
        <v>6.3286129999999996E-2</v>
      </c>
      <c r="S303">
        <v>3.4124759999999998</v>
      </c>
      <c r="T303">
        <v>-0.93426419999999999</v>
      </c>
      <c r="U303">
        <v>7.5683590000000002E-3</v>
      </c>
      <c r="V303">
        <v>-6.7830299999999996E-2</v>
      </c>
      <c r="W303">
        <v>0.29267589999999999</v>
      </c>
      <c r="X303">
        <v>0.95380279999999995</v>
      </c>
      <c r="Y303">
        <v>-6.347859E-3</v>
      </c>
      <c r="Z303">
        <v>2.058528E-3</v>
      </c>
      <c r="AA303">
        <v>0.99997769999999997</v>
      </c>
      <c r="AB303">
        <v>32</v>
      </c>
      <c r="AC303">
        <v>0.70730000000003201</v>
      </c>
      <c r="AD303">
        <v>-0.24281050000000001</v>
      </c>
      <c r="AE303">
        <v>2.4999999999977202E-3</v>
      </c>
      <c r="AF303">
        <v>-5.10095607303627E-3</v>
      </c>
      <c r="AG303">
        <v>-0.24281050000000001</v>
      </c>
      <c r="AH303">
        <v>0.63271700529236996</v>
      </c>
      <c r="AI303">
        <v>110.994104585941</v>
      </c>
      <c r="AJ303">
        <v>90.461907804475302</v>
      </c>
      <c r="AK303">
        <v>0.67772691214769798</v>
      </c>
      <c r="AL303">
        <v>72.981772881405604</v>
      </c>
      <c r="AM303">
        <v>94.067777953006697</v>
      </c>
      <c r="AN303">
        <v>0.99999995666336905</v>
      </c>
    </row>
    <row r="304" spans="1:40" x14ac:dyDescent="0.25">
      <c r="A304" t="str">
        <f>"20190304164106009"</f>
        <v>20190304164106009</v>
      </c>
      <c r="B304" t="str">
        <f>"1551688866001655"</f>
        <v>1551688866001655</v>
      </c>
      <c r="C304" t="s">
        <v>40</v>
      </c>
      <c r="D304">
        <v>4.928051</v>
      </c>
      <c r="E304">
        <v>0.54569080000000003</v>
      </c>
      <c r="F304" t="s">
        <v>41</v>
      </c>
      <c r="G304">
        <v>-447.56900000000002</v>
      </c>
      <c r="H304">
        <v>0.91097969999999895</v>
      </c>
      <c r="I304">
        <v>366.77699999999999</v>
      </c>
      <c r="J304">
        <v>-448.1268</v>
      </c>
      <c r="K304">
        <v>1.1102000000000001</v>
      </c>
      <c r="L304">
        <v>366.7749</v>
      </c>
      <c r="M304">
        <v>0.9999422</v>
      </c>
      <c r="N304">
        <v>-9.8310470000000007E-3</v>
      </c>
      <c r="O304">
        <v>-4.3428009999999899E-3</v>
      </c>
      <c r="P304">
        <v>0.95682979999999995</v>
      </c>
      <c r="Q304">
        <v>0.28360289999999999</v>
      </c>
      <c r="R304">
        <v>6.3608239999999996E-2</v>
      </c>
      <c r="S304">
        <v>3.4120789999999999</v>
      </c>
      <c r="T304">
        <v>-0.93633429999999995</v>
      </c>
      <c r="U304">
        <v>7.9650880000000004E-3</v>
      </c>
      <c r="V304">
        <v>-6.7975460000000001E-2</v>
      </c>
      <c r="W304">
        <v>0.29294350000000002</v>
      </c>
      <c r="X304">
        <v>0.95371039999999996</v>
      </c>
      <c r="Y304">
        <v>-6.2870369999999997E-3</v>
      </c>
      <c r="Z304">
        <v>2.0066260000000001E-3</v>
      </c>
      <c r="AA304">
        <v>0.99997820000000004</v>
      </c>
      <c r="AB304">
        <v>32</v>
      </c>
      <c r="AC304">
        <v>0.55779999999998597</v>
      </c>
      <c r="AD304">
        <v>-0.19922029999999999</v>
      </c>
      <c r="AE304">
        <v>2.0999999999844398E-3</v>
      </c>
      <c r="AF304">
        <v>-4.0108944506245898E-3</v>
      </c>
      <c r="AG304">
        <v>-0.19922029999999999</v>
      </c>
      <c r="AH304">
        <v>0.49468511267844101</v>
      </c>
      <c r="AI304">
        <v>111.935050402619</v>
      </c>
      <c r="AJ304">
        <v>90.464542559730702</v>
      </c>
      <c r="AK304">
        <v>0.53330870601563096</v>
      </c>
      <c r="AL304">
        <v>72.965739222509896</v>
      </c>
      <c r="AM304">
        <v>94.076847485591998</v>
      </c>
      <c r="AN304">
        <v>1.0000000422113</v>
      </c>
    </row>
    <row r="305" spans="1:40" x14ac:dyDescent="0.25">
      <c r="A305" t="str">
        <f>"20190304164106022"</f>
        <v>20190304164106022</v>
      </c>
      <c r="B305" t="str">
        <f>"1551688866011415"</f>
        <v>1551688866011415</v>
      </c>
      <c r="C305" t="s">
        <v>40</v>
      </c>
      <c r="D305">
        <v>4.9136689999999996</v>
      </c>
      <c r="E305">
        <v>0.54567270000000001</v>
      </c>
      <c r="F305" t="s">
        <v>41</v>
      </c>
      <c r="G305">
        <v>-447.29230000000001</v>
      </c>
      <c r="H305">
        <v>0.88111839999999997</v>
      </c>
      <c r="I305">
        <v>366.77659999999997</v>
      </c>
      <c r="J305">
        <v>-447.94619999999998</v>
      </c>
      <c r="K305">
        <v>1.1102099999999999</v>
      </c>
      <c r="L305">
        <v>366.77440000000001</v>
      </c>
      <c r="M305">
        <v>0.99994150000000004</v>
      </c>
      <c r="N305">
        <v>-1.0005200000000001E-2</v>
      </c>
      <c r="O305">
        <v>-4.1451350000000003E-3</v>
      </c>
      <c r="P305">
        <v>0.95683739999999995</v>
      </c>
      <c r="Q305">
        <v>0.28353289999999998</v>
      </c>
      <c r="R305">
        <v>6.3808900000000002E-2</v>
      </c>
      <c r="S305">
        <v>3.4124759999999998</v>
      </c>
      <c r="T305">
        <v>-0.93677520000000003</v>
      </c>
      <c r="U305">
        <v>8.6364749999999994E-3</v>
      </c>
      <c r="V305">
        <v>-6.7986089999999999E-2</v>
      </c>
      <c r="W305">
        <v>0.29304069999999999</v>
      </c>
      <c r="X305">
        <v>0.95367970000000002</v>
      </c>
      <c r="Y305">
        <v>-6.2922009999999999E-3</v>
      </c>
      <c r="Z305">
        <v>1.9565199999999998E-3</v>
      </c>
      <c r="AA305">
        <v>0.99997829999999999</v>
      </c>
      <c r="AB305">
        <v>32</v>
      </c>
      <c r="AC305">
        <v>0.65389999999996395</v>
      </c>
      <c r="AD305">
        <v>-0.22909160000000001</v>
      </c>
      <c r="AE305">
        <v>2.1999999999593399E-3</v>
      </c>
      <c r="AF305">
        <v>-4.3737770504235999E-3</v>
      </c>
      <c r="AG305">
        <v>-0.22909160000000001</v>
      </c>
      <c r="AH305">
        <v>0.58240064602406905</v>
      </c>
      <c r="AI305">
        <v>111.472011784204</v>
      </c>
      <c r="AJ305">
        <v>90.430278119080597</v>
      </c>
      <c r="AK305">
        <v>0.62585350011444296</v>
      </c>
      <c r="AL305">
        <v>72.959913100475106</v>
      </c>
      <c r="AM305">
        <v>94.077613688568604</v>
      </c>
      <c r="AN305">
        <v>0.99999996524103296</v>
      </c>
    </row>
    <row r="306" spans="1:40" x14ac:dyDescent="0.25">
      <c r="A306" t="str">
        <f>"20190304164106035"</f>
        <v>20190304164106035</v>
      </c>
      <c r="B306" t="str">
        <f>"1551688866022151"</f>
        <v>1551688866022151</v>
      </c>
      <c r="C306" t="s">
        <v>40</v>
      </c>
      <c r="D306">
        <v>4.9359699999999904</v>
      </c>
      <c r="E306">
        <v>0.54563509999999904</v>
      </c>
      <c r="F306" t="s">
        <v>41</v>
      </c>
      <c r="G306">
        <v>-447.01440000000002</v>
      </c>
      <c r="H306">
        <v>0.85416069999999999</v>
      </c>
      <c r="I306">
        <v>366.77670000000001</v>
      </c>
      <c r="J306">
        <v>-447.74709999999999</v>
      </c>
      <c r="K306">
        <v>1.11022</v>
      </c>
      <c r="L306">
        <v>366.77379999999999</v>
      </c>
      <c r="M306">
        <v>0.99994050000000001</v>
      </c>
      <c r="N306">
        <v>-1.017534E-2</v>
      </c>
      <c r="O306">
        <v>-3.9280280000000001E-3</v>
      </c>
      <c r="P306">
        <v>0.95681079999999996</v>
      </c>
      <c r="Q306">
        <v>0.2835667</v>
      </c>
      <c r="R306">
        <v>6.4054620000000007E-2</v>
      </c>
      <c r="S306">
        <v>3.4125369999999999</v>
      </c>
      <c r="T306">
        <v>-0.93771599999999999</v>
      </c>
      <c r="U306">
        <v>9.4909669999999995E-3</v>
      </c>
      <c r="V306">
        <v>-6.8023189999999997E-2</v>
      </c>
      <c r="W306">
        <v>0.29323670000000002</v>
      </c>
      <c r="X306">
        <v>0.95361689999999999</v>
      </c>
      <c r="Y306">
        <v>-6.3307060000000002E-3</v>
      </c>
      <c r="Z306">
        <v>1.9072360000000001E-3</v>
      </c>
      <c r="AA306">
        <v>0.99997809999999998</v>
      </c>
      <c r="AB306">
        <v>32</v>
      </c>
      <c r="AC306">
        <v>0.73269999999996505</v>
      </c>
      <c r="AD306">
        <v>-0.25605929999999999</v>
      </c>
      <c r="AE306">
        <v>2.9000000000110001E-3</v>
      </c>
      <c r="AF306">
        <v>-5.1493083863211903E-3</v>
      </c>
      <c r="AG306">
        <v>-0.25605929999999999</v>
      </c>
      <c r="AH306">
        <v>0.65293953015081696</v>
      </c>
      <c r="AI306">
        <v>111.412712405183</v>
      </c>
      <c r="AJ306">
        <v>90.451845091411698</v>
      </c>
      <c r="AK306">
        <v>0.70137216264043301</v>
      </c>
      <c r="AL306">
        <v>72.948168690532299</v>
      </c>
      <c r="AM306">
        <v>94.080099097952399</v>
      </c>
      <c r="AN306">
        <v>1.0000000542851299</v>
      </c>
    </row>
    <row r="307" spans="1:40" x14ac:dyDescent="0.25">
      <c r="A307" t="str">
        <f>"20190304164106053"</f>
        <v>20190304164106053</v>
      </c>
      <c r="B307" t="str">
        <f>"1551688866041670"</f>
        <v>1551688866041670</v>
      </c>
      <c r="C307" t="s">
        <v>40</v>
      </c>
      <c r="D307">
        <v>4.9299569999999999</v>
      </c>
      <c r="E307">
        <v>0.54553160000000001</v>
      </c>
      <c r="F307" t="s">
        <v>41</v>
      </c>
      <c r="G307">
        <v>-446.99340000000001</v>
      </c>
      <c r="H307">
        <v>0.90311900000000001</v>
      </c>
      <c r="I307">
        <v>366.77600000000001</v>
      </c>
      <c r="J307">
        <v>-447.50540000000001</v>
      </c>
      <c r="K307">
        <v>1.1102369999999999</v>
      </c>
      <c r="L307">
        <v>366.7731</v>
      </c>
      <c r="M307">
        <v>0.99993960000000004</v>
      </c>
      <c r="N307">
        <v>-1.036667E-2</v>
      </c>
      <c r="O307">
        <v>-3.6649019999999998E-3</v>
      </c>
      <c r="P307">
        <v>0.95665100000000003</v>
      </c>
      <c r="Q307">
        <v>0.284076</v>
      </c>
      <c r="R307">
        <v>6.4186599999999996E-2</v>
      </c>
      <c r="S307">
        <v>3.4125670000000001</v>
      </c>
      <c r="T307">
        <v>-0.93776630000000005</v>
      </c>
      <c r="U307">
        <v>1.1108399999999999E-2</v>
      </c>
      <c r="V307">
        <v>-6.7903539999999998E-2</v>
      </c>
      <c r="W307">
        <v>0.29392679999999999</v>
      </c>
      <c r="X307">
        <v>0.95341290000000001</v>
      </c>
      <c r="Y307">
        <v>-6.5423719999999899E-3</v>
      </c>
      <c r="Z307">
        <v>1.8685570000000001E-3</v>
      </c>
      <c r="AA307">
        <v>0.99997689999999995</v>
      </c>
      <c r="AB307">
        <v>32</v>
      </c>
      <c r="AC307">
        <v>0.51200000000000001</v>
      </c>
      <c r="AD307">
        <v>-0.207118</v>
      </c>
      <c r="AE307">
        <v>2.9000000000110001E-3</v>
      </c>
      <c r="AF307">
        <v>-4.1048115386350002E-3</v>
      </c>
      <c r="AG307">
        <v>-0.207118</v>
      </c>
      <c r="AH307">
        <v>0.43998762384198498</v>
      </c>
      <c r="AI307">
        <v>115.20709229586301</v>
      </c>
      <c r="AJ307">
        <v>90.534518566168202</v>
      </c>
      <c r="AK307">
        <v>0.48631658879364198</v>
      </c>
      <c r="AL307">
        <v>72.906805346008596</v>
      </c>
      <c r="AM307">
        <v>94.073815092079698</v>
      </c>
      <c r="AN307">
        <v>1.00000000619459</v>
      </c>
    </row>
    <row r="308" spans="1:40" x14ac:dyDescent="0.25">
      <c r="A308" t="str">
        <f>"20190304164106067"</f>
        <v>20190304164106067</v>
      </c>
      <c r="B308" t="str">
        <f>"1551688866062167"</f>
        <v>1551688866062167</v>
      </c>
      <c r="C308" t="s">
        <v>40</v>
      </c>
      <c r="D308">
        <v>4.948353</v>
      </c>
      <c r="E308">
        <v>0.54542930000000001</v>
      </c>
      <c r="F308" t="s">
        <v>41</v>
      </c>
      <c r="G308">
        <v>-446.7088</v>
      </c>
      <c r="H308">
        <v>0.89196989999999998</v>
      </c>
      <c r="I308">
        <v>366.77589999999998</v>
      </c>
      <c r="J308">
        <v>-447.30430000000001</v>
      </c>
      <c r="K308">
        <v>1.11025</v>
      </c>
      <c r="L308">
        <v>366.77260000000001</v>
      </c>
      <c r="M308">
        <v>0.99993880000000002</v>
      </c>
      <c r="N308">
        <v>-1.051647E-2</v>
      </c>
      <c r="O308">
        <v>-3.4462910000000002E-3</v>
      </c>
      <c r="P308">
        <v>0.95642210000000005</v>
      </c>
      <c r="Q308">
        <v>0.28473559999999998</v>
      </c>
      <c r="R308">
        <v>6.4674770000000006E-2</v>
      </c>
      <c r="S308">
        <v>3.41275</v>
      </c>
      <c r="T308">
        <v>-0.93535659999999998</v>
      </c>
      <c r="U308">
        <v>1.4251710000000001E-2</v>
      </c>
      <c r="V308">
        <v>-6.8182380000000001E-2</v>
      </c>
      <c r="W308">
        <v>0.29472659999999901</v>
      </c>
      <c r="X308">
        <v>0.95314600000000005</v>
      </c>
      <c r="Y308">
        <v>-7.2277239999999996E-3</v>
      </c>
      <c r="Z308">
        <v>1.903093E-3</v>
      </c>
      <c r="AA308">
        <v>0.99997199999999997</v>
      </c>
      <c r="AB308">
        <v>32</v>
      </c>
      <c r="AC308">
        <v>0.59550000000001502</v>
      </c>
      <c r="AD308">
        <v>-0.21828009999999901</v>
      </c>
      <c r="AE308">
        <v>3.2999999999674301E-3</v>
      </c>
      <c r="AF308">
        <v>-4.7184202748947702E-3</v>
      </c>
      <c r="AG308">
        <v>-0.21828009999999901</v>
      </c>
      <c r="AH308">
        <v>0.524955134657764</v>
      </c>
      <c r="AI308">
        <v>112.57707018123099</v>
      </c>
      <c r="AJ308">
        <v>90.514974080575399</v>
      </c>
      <c r="AK308">
        <v>0.568547587233867</v>
      </c>
      <c r="AL308">
        <v>72.858855302961103</v>
      </c>
      <c r="AM308">
        <v>94.091628719666602</v>
      </c>
      <c r="AN308">
        <v>0.99999995150301102</v>
      </c>
    </row>
    <row r="309" spans="1:40" x14ac:dyDescent="0.25">
      <c r="A309" t="str">
        <f>"20190304164106078"</f>
        <v>20190304164106078</v>
      </c>
      <c r="B309" t="str">
        <f>"1551688866071928"</f>
        <v>1551688866071928</v>
      </c>
      <c r="C309" t="s">
        <v>40</v>
      </c>
      <c r="D309">
        <v>5.1493599999999997</v>
      </c>
      <c r="E309">
        <v>0.54539280000000001</v>
      </c>
      <c r="F309" t="s">
        <v>41</v>
      </c>
      <c r="G309">
        <v>-446.42840000000001</v>
      </c>
      <c r="H309">
        <v>0.87121669999999996</v>
      </c>
      <c r="I309">
        <v>366.77629999999999</v>
      </c>
      <c r="J309">
        <v>-447.12020000000001</v>
      </c>
      <c r="K309">
        <v>1.110258</v>
      </c>
      <c r="L309">
        <v>366.7722</v>
      </c>
      <c r="M309">
        <v>0.99993810000000005</v>
      </c>
      <c r="N309">
        <v>-1.0649820000000001E-2</v>
      </c>
      <c r="O309">
        <v>-3.2460879999999998E-3</v>
      </c>
      <c r="P309">
        <v>0.95633780000000002</v>
      </c>
      <c r="Q309">
        <v>0.28490860000000001</v>
      </c>
      <c r="R309">
        <v>6.5157359999999998E-2</v>
      </c>
      <c r="S309">
        <v>3.412903</v>
      </c>
      <c r="T309">
        <v>-0.93147519999999995</v>
      </c>
      <c r="U309">
        <v>1.6174319999999999E-2</v>
      </c>
      <c r="V309">
        <v>-6.8472989999999997E-2</v>
      </c>
      <c r="W309">
        <v>0.29502590000000001</v>
      </c>
      <c r="X309">
        <v>0.95303260000000001</v>
      </c>
      <c r="Y309">
        <v>-7.5869589999999999E-3</v>
      </c>
      <c r="Z309">
        <v>1.893959E-3</v>
      </c>
      <c r="AA309">
        <v>0.99996940000000001</v>
      </c>
      <c r="AB309">
        <v>32</v>
      </c>
      <c r="AC309">
        <v>0.69179999999999997</v>
      </c>
      <c r="AD309">
        <v>-0.23904130000000001</v>
      </c>
      <c r="AE309">
        <v>4.0999999999939904E-3</v>
      </c>
      <c r="AF309">
        <v>-5.6689329192159696E-3</v>
      </c>
      <c r="AG309">
        <v>-0.23904130000000001</v>
      </c>
      <c r="AH309">
        <v>0.61799978526988597</v>
      </c>
      <c r="AI309">
        <v>111.14557730186699</v>
      </c>
      <c r="AJ309">
        <v>90.52556138141</v>
      </c>
      <c r="AK309">
        <v>0.662643655745497</v>
      </c>
      <c r="AL309">
        <v>72.840909267997702</v>
      </c>
      <c r="AM309">
        <v>94.109495884900895</v>
      </c>
      <c r="AN309">
        <v>0.99999998434655502</v>
      </c>
    </row>
    <row r="310" spans="1:40" x14ac:dyDescent="0.25">
      <c r="A310" t="str">
        <f>"20190304164106098"</f>
        <v>20190304164106098</v>
      </c>
      <c r="B310" t="str">
        <f>"1551688866091447"</f>
        <v>1551688866091447</v>
      </c>
      <c r="C310" t="s">
        <v>40</v>
      </c>
      <c r="D310">
        <v>5.1463830000000002</v>
      </c>
      <c r="E310">
        <v>0.54532389999999997</v>
      </c>
      <c r="F310" t="s">
        <v>41</v>
      </c>
      <c r="G310">
        <v>-446.40899999999999</v>
      </c>
      <c r="H310">
        <v>0.91644559999999997</v>
      </c>
      <c r="I310">
        <v>366.77550000000002</v>
      </c>
      <c r="J310">
        <v>-446.85</v>
      </c>
      <c r="K310">
        <v>1.1100639999999999</v>
      </c>
      <c r="L310">
        <v>366.77159999999998</v>
      </c>
      <c r="M310">
        <v>0.99994490000000003</v>
      </c>
      <c r="N310">
        <v>-1.0083979999999999E-2</v>
      </c>
      <c r="O310">
        <v>-2.959415E-3</v>
      </c>
      <c r="P310">
        <v>0.95568900000000001</v>
      </c>
      <c r="Q310">
        <v>0.28686859999999997</v>
      </c>
      <c r="R310">
        <v>6.6070599999999993E-2</v>
      </c>
      <c r="S310">
        <v>3.4128419999999999</v>
      </c>
      <c r="T310">
        <v>-0.93010749999999998</v>
      </c>
      <c r="U310">
        <v>1.7974850000000001E-2</v>
      </c>
      <c r="V310">
        <v>-6.9103849999999994E-2</v>
      </c>
      <c r="W310">
        <v>0.29644120000000002</v>
      </c>
      <c r="X310">
        <v>0.95254779999999994</v>
      </c>
      <c r="Y310">
        <v>-7.8296549999999996E-3</v>
      </c>
      <c r="Z310">
        <v>1.8507689999999999E-3</v>
      </c>
      <c r="AA310">
        <v>0.99996759999999996</v>
      </c>
      <c r="AB310">
        <v>32</v>
      </c>
      <c r="AC310">
        <v>0.44100000000002998</v>
      </c>
      <c r="AD310">
        <v>-0.1936184</v>
      </c>
      <c r="AE310">
        <v>3.9000000000442001E-3</v>
      </c>
      <c r="AF310">
        <v>-4.3640116621803402E-3</v>
      </c>
      <c r="AG310">
        <v>-0.1936184</v>
      </c>
      <c r="AH310">
        <v>0.36972420093651298</v>
      </c>
      <c r="AI310">
        <v>117.638661166707</v>
      </c>
      <c r="AJ310">
        <v>90.676254998793596</v>
      </c>
      <c r="AK310">
        <v>0.41737646576501097</v>
      </c>
      <c r="AL310">
        <v>72.756022172626501</v>
      </c>
      <c r="AM310">
        <v>94.149329627912607</v>
      </c>
      <c r="AN310">
        <v>1.0000000192135501</v>
      </c>
    </row>
    <row r="311" spans="1:40" x14ac:dyDescent="0.25">
      <c r="A311" t="str">
        <f>"20190304164106110"</f>
        <v>20190304164106110</v>
      </c>
      <c r="B311" t="str">
        <f>"1551688866102183"</f>
        <v>1551688866102183</v>
      </c>
      <c r="C311" t="s">
        <v>40</v>
      </c>
      <c r="D311">
        <v>4.9470720000000004</v>
      </c>
      <c r="E311">
        <v>0.54529150000000004</v>
      </c>
      <c r="F311" t="s">
        <v>41</v>
      </c>
      <c r="G311">
        <v>-446.11790000000002</v>
      </c>
      <c r="H311">
        <v>0.91245339999999997</v>
      </c>
      <c r="I311">
        <v>366.77589999999998</v>
      </c>
      <c r="J311">
        <v>-446.65699999999998</v>
      </c>
      <c r="K311">
        <v>1.109883</v>
      </c>
      <c r="L311">
        <v>366.77120000000002</v>
      </c>
      <c r="M311">
        <v>0.99995149999999999</v>
      </c>
      <c r="N311">
        <v>-9.4597940000000005E-3</v>
      </c>
      <c r="O311">
        <v>-2.7581160000000001E-3</v>
      </c>
      <c r="P311">
        <v>0.95535479999999995</v>
      </c>
      <c r="Q311">
        <v>0.28796539999999998</v>
      </c>
      <c r="R311">
        <v>6.6131519999999999E-2</v>
      </c>
      <c r="S311">
        <v>3.4142760000000001</v>
      </c>
      <c r="T311">
        <v>-0.921512</v>
      </c>
      <c r="U311">
        <v>2.0843509999999999E-2</v>
      </c>
      <c r="V311">
        <v>-6.8963620000000003E-2</v>
      </c>
      <c r="W311">
        <v>0.2969425</v>
      </c>
      <c r="X311">
        <v>0.95240179999999997</v>
      </c>
      <c r="Y311">
        <v>-8.457361E-3</v>
      </c>
      <c r="Z311">
        <v>1.867657E-3</v>
      </c>
      <c r="AA311">
        <v>0.99996249999999998</v>
      </c>
      <c r="AB311">
        <v>32</v>
      </c>
      <c r="AC311">
        <v>0.53909999999996205</v>
      </c>
      <c r="AD311">
        <v>-0.19742960000000001</v>
      </c>
      <c r="AE311">
        <v>4.6999999999570701E-3</v>
      </c>
      <c r="AF311">
        <v>-5.4553464007561798E-3</v>
      </c>
      <c r="AG311">
        <v>-0.19742960000000001</v>
      </c>
      <c r="AH311">
        <v>0.475338551249118</v>
      </c>
      <c r="AI311">
        <v>112.553985523796</v>
      </c>
      <c r="AJ311">
        <v>90.657541033417303</v>
      </c>
      <c r="AK311">
        <v>0.51473774493825797</v>
      </c>
      <c r="AL311">
        <v>72.725945362939399</v>
      </c>
      <c r="AM311">
        <v>94.141571443227704</v>
      </c>
      <c r="AN311">
        <v>1.00000000891649</v>
      </c>
    </row>
    <row r="312" spans="1:40" x14ac:dyDescent="0.25">
      <c r="A312" t="str">
        <f>"20190304164106123"</f>
        <v>20190304164106123</v>
      </c>
      <c r="B312" t="str">
        <f>"1551688866111943"</f>
        <v>1551688866111943</v>
      </c>
      <c r="C312" t="s">
        <v>40</v>
      </c>
      <c r="D312">
        <v>5.1148490000000004</v>
      </c>
      <c r="E312">
        <v>0.5452456</v>
      </c>
      <c r="F312" t="s">
        <v>41</v>
      </c>
      <c r="G312">
        <v>-445.8329</v>
      </c>
      <c r="H312">
        <v>0.88860949999999905</v>
      </c>
      <c r="I312">
        <v>366.77620000000002</v>
      </c>
      <c r="J312">
        <v>-446.4742</v>
      </c>
      <c r="K312">
        <v>1.109704</v>
      </c>
      <c r="L312">
        <v>366.77089999999998</v>
      </c>
      <c r="M312">
        <v>0.99995800000000001</v>
      </c>
      <c r="N312">
        <v>-8.8104949999999998E-3</v>
      </c>
      <c r="O312">
        <v>-2.56894E-3</v>
      </c>
      <c r="P312">
        <v>0.95504549999999999</v>
      </c>
      <c r="Q312">
        <v>0.28891939999999999</v>
      </c>
      <c r="R312">
        <v>6.6436889999999998E-2</v>
      </c>
      <c r="S312">
        <v>3.4150390000000002</v>
      </c>
      <c r="T312">
        <v>-0.91689920000000003</v>
      </c>
      <c r="U312">
        <v>2.1514889999999998E-2</v>
      </c>
      <c r="V312">
        <v>-6.9078219999999996E-2</v>
      </c>
      <c r="W312">
        <v>0.29727769999999998</v>
      </c>
      <c r="X312">
        <v>0.95228889999999999</v>
      </c>
      <c r="Y312">
        <v>-8.4734919999999991E-3</v>
      </c>
      <c r="Z312">
        <v>1.8111869999999999E-3</v>
      </c>
      <c r="AA312">
        <v>0.99996240000000003</v>
      </c>
      <c r="AB312">
        <v>33</v>
      </c>
      <c r="AC312">
        <v>0.64130000000000098</v>
      </c>
      <c r="AD312">
        <v>-0.2210945</v>
      </c>
      <c r="AE312">
        <v>5.3000000000338297E-3</v>
      </c>
      <c r="AF312">
        <v>-6.2095006113087299E-3</v>
      </c>
      <c r="AG312">
        <v>-0.2210945</v>
      </c>
      <c r="AH312">
        <v>0.57316311753929094</v>
      </c>
      <c r="AI312">
        <v>111.09271574808101</v>
      </c>
      <c r="AJ312">
        <v>90.620703336946207</v>
      </c>
      <c r="AK312">
        <v>0.61435925575794104</v>
      </c>
      <c r="AL312">
        <v>72.705831209123104</v>
      </c>
      <c r="AM312">
        <v>94.148919780098296</v>
      </c>
      <c r="AN312">
        <v>0.99999999022943398</v>
      </c>
    </row>
    <row r="313" spans="1:40" x14ac:dyDescent="0.25">
      <c r="A313" t="str">
        <f>"20190304164106137"</f>
        <v>20190304164106137</v>
      </c>
      <c r="B313" t="str">
        <f>"1551688866131462"</f>
        <v>1551688866131462</v>
      </c>
      <c r="C313" t="s">
        <v>40</v>
      </c>
      <c r="D313">
        <v>4.9447089999999996</v>
      </c>
      <c r="E313">
        <v>0.54513639999999997</v>
      </c>
      <c r="F313" t="s">
        <v>41</v>
      </c>
      <c r="G313">
        <v>-445.54669999999999</v>
      </c>
      <c r="H313">
        <v>0.86178739999999998</v>
      </c>
      <c r="I313">
        <v>366.77730000000003</v>
      </c>
      <c r="J313">
        <v>-446.26549999999997</v>
      </c>
      <c r="K313">
        <v>1.1095219999999999</v>
      </c>
      <c r="L313">
        <v>366.77050000000003</v>
      </c>
      <c r="M313">
        <v>0.99996479999999999</v>
      </c>
      <c r="N313">
        <v>-8.0544369999999994E-3</v>
      </c>
      <c r="O313">
        <v>-2.3545419999999998E-3</v>
      </c>
      <c r="P313">
        <v>0.9547447</v>
      </c>
      <c r="Q313">
        <v>0.28989569999999998</v>
      </c>
      <c r="R313">
        <v>6.6507759999999999E-2</v>
      </c>
      <c r="S313">
        <v>3.4157410000000001</v>
      </c>
      <c r="T313">
        <v>-0.91308409999999995</v>
      </c>
      <c r="U313">
        <v>2.4047849999999999E-2</v>
      </c>
      <c r="V313">
        <v>-6.8933049999999996E-2</v>
      </c>
      <c r="W313">
        <v>0.29753400000000002</v>
      </c>
      <c r="X313">
        <v>0.95221940000000005</v>
      </c>
      <c r="Y313">
        <v>-8.9913600000000003E-3</v>
      </c>
      <c r="Z313">
        <v>1.8177720000000001E-3</v>
      </c>
      <c r="AA313">
        <v>0.99995789999999996</v>
      </c>
      <c r="AB313">
        <v>33</v>
      </c>
      <c r="AC313">
        <v>0.718799999999987</v>
      </c>
      <c r="AD313">
        <v>-0.247734599999999</v>
      </c>
      <c r="AE313">
        <v>6.7999999999983603E-3</v>
      </c>
      <c r="AF313">
        <v>-7.5908871305597298E-3</v>
      </c>
      <c r="AG313">
        <v>-0.247734599999999</v>
      </c>
      <c r="AH313">
        <v>0.64247339693411998</v>
      </c>
      <c r="AI313">
        <v>111.085052981467</v>
      </c>
      <c r="AJ313">
        <v>90.6769238400544</v>
      </c>
      <c r="AK313">
        <v>0.68862335087670101</v>
      </c>
      <c r="AL313">
        <v>72.690450796325607</v>
      </c>
      <c r="AM313">
        <v>94.140532183283199</v>
      </c>
      <c r="AN313">
        <v>1.0000000161373299</v>
      </c>
    </row>
    <row r="314" spans="1:40" x14ac:dyDescent="0.25">
      <c r="A314" t="str">
        <f>"20190304164106153"</f>
        <v>20190304164106153</v>
      </c>
      <c r="B314" t="str">
        <f>"1551688866141223"</f>
        <v>1551688866141223</v>
      </c>
      <c r="C314" t="s">
        <v>40</v>
      </c>
      <c r="D314">
        <v>4.9518680000000002</v>
      </c>
      <c r="E314">
        <v>0.54508290000000004</v>
      </c>
      <c r="F314" t="s">
        <v>41</v>
      </c>
      <c r="G314">
        <v>-445.52510000000001</v>
      </c>
      <c r="H314">
        <v>0.91247619999999896</v>
      </c>
      <c r="I314">
        <v>366.77589999999998</v>
      </c>
      <c r="J314">
        <v>-446.01780000000002</v>
      </c>
      <c r="K314">
        <v>1.109335</v>
      </c>
      <c r="L314">
        <v>366.77010000000001</v>
      </c>
      <c r="M314">
        <v>0.99997230000000004</v>
      </c>
      <c r="N314">
        <v>-7.1657800000000001E-3</v>
      </c>
      <c r="O314">
        <v>-2.104309E-3</v>
      </c>
      <c r="P314">
        <v>0.95447539999999997</v>
      </c>
      <c r="Q314">
        <v>0.29076089999999999</v>
      </c>
      <c r="R314">
        <v>6.6596520000000006E-2</v>
      </c>
      <c r="S314">
        <v>3.4165040000000002</v>
      </c>
      <c r="T314">
        <v>-0.9093715</v>
      </c>
      <c r="U314">
        <v>2.5634770000000001E-2</v>
      </c>
      <c r="V314">
        <v>-6.8772360000000005E-2</v>
      </c>
      <c r="W314">
        <v>0.29755310000000001</v>
      </c>
      <c r="X314">
        <v>0.95222499999999999</v>
      </c>
      <c r="Y314">
        <v>-9.2083919999999993E-3</v>
      </c>
      <c r="Z314">
        <v>1.7737740000000001E-3</v>
      </c>
      <c r="AA314">
        <v>0.99995599999999996</v>
      </c>
      <c r="AB314">
        <v>33</v>
      </c>
      <c r="AC314">
        <v>0.49270000000001302</v>
      </c>
      <c r="AD314">
        <v>-0.1968588</v>
      </c>
      <c r="AE314">
        <v>5.7999999999651603E-3</v>
      </c>
      <c r="AF314">
        <v>-5.8957356753890199E-3</v>
      </c>
      <c r="AG314">
        <v>-0.1968588</v>
      </c>
      <c r="AH314">
        <v>0.42486949463293699</v>
      </c>
      <c r="AI314">
        <v>114.85804655070601</v>
      </c>
      <c r="AJ314">
        <v>90.795018460607196</v>
      </c>
      <c r="AK314">
        <v>0.46829716452936299</v>
      </c>
      <c r="AL314">
        <v>72.689303666004193</v>
      </c>
      <c r="AM314">
        <v>94.130889421320404</v>
      </c>
      <c r="AN314">
        <v>0.99999996772228905</v>
      </c>
    </row>
    <row r="315" spans="1:40" x14ac:dyDescent="0.25">
      <c r="A315" t="str">
        <f>"20190304164106169"</f>
        <v>20190304164106169</v>
      </c>
      <c r="B315" t="str">
        <f>"1551688866161718"</f>
        <v>1551688866161718</v>
      </c>
      <c r="C315" t="s">
        <v>40</v>
      </c>
      <c r="D315">
        <v>4.9486629999999998</v>
      </c>
      <c r="E315">
        <v>0.54498679999999999</v>
      </c>
      <c r="F315" t="s">
        <v>41</v>
      </c>
      <c r="G315">
        <v>-445.23039999999997</v>
      </c>
      <c r="H315">
        <v>0.90053130000000003</v>
      </c>
      <c r="I315">
        <v>366.77600000000001</v>
      </c>
      <c r="J315">
        <v>-445.78539999999998</v>
      </c>
      <c r="K315">
        <v>1.1091839999999999</v>
      </c>
      <c r="L315">
        <v>366.76979999999998</v>
      </c>
      <c r="M315">
        <v>0.99997809999999998</v>
      </c>
      <c r="N315">
        <v>-6.3483029999999996E-3</v>
      </c>
      <c r="O315">
        <v>-1.875704E-3</v>
      </c>
      <c r="P315">
        <v>0.95424880000000001</v>
      </c>
      <c r="Q315">
        <v>0.29145599999999999</v>
      </c>
      <c r="R315">
        <v>6.6802520000000004E-2</v>
      </c>
      <c r="S315">
        <v>3.4173580000000001</v>
      </c>
      <c r="T315">
        <v>-0.90643320000000005</v>
      </c>
      <c r="U315">
        <v>2.651978E-2</v>
      </c>
      <c r="V315">
        <v>-6.8753330000000001E-2</v>
      </c>
      <c r="W315">
        <v>0.29746980000000001</v>
      </c>
      <c r="X315">
        <v>0.9522524</v>
      </c>
      <c r="Y315">
        <v>-9.2463289999999993E-3</v>
      </c>
      <c r="Z315">
        <v>1.712615E-3</v>
      </c>
      <c r="AA315">
        <v>0.99995579999999995</v>
      </c>
      <c r="AB315">
        <v>33</v>
      </c>
      <c r="AC315">
        <v>0.55500000000000604</v>
      </c>
      <c r="AD315">
        <v>-0.208652699999999</v>
      </c>
      <c r="AE315">
        <v>6.2000000000352797E-3</v>
      </c>
      <c r="AF315">
        <v>-6.3444231685833401E-3</v>
      </c>
      <c r="AG315">
        <v>-0.208652699999999</v>
      </c>
      <c r="AH315">
        <v>0.48626741401870999</v>
      </c>
      <c r="AI315">
        <v>113.221941728646</v>
      </c>
      <c r="AJ315">
        <v>90.747506487254995</v>
      </c>
      <c r="AK315">
        <v>0.52918068640028404</v>
      </c>
      <c r="AL315">
        <v>72.694302774339405</v>
      </c>
      <c r="AM315">
        <v>94.1296319004297</v>
      </c>
      <c r="AN315">
        <v>0.999999967801943</v>
      </c>
    </row>
    <row r="316" spans="1:40" x14ac:dyDescent="0.25">
      <c r="A316" t="str">
        <f>"20190304164106187"</f>
        <v>20190304164106187</v>
      </c>
      <c r="B316" t="str">
        <f>"1551688866182215"</f>
        <v>1551688866182215</v>
      </c>
      <c r="C316" t="s">
        <v>40</v>
      </c>
      <c r="D316">
        <v>4.9653589999999896</v>
      </c>
      <c r="E316">
        <v>0.54490539999999998</v>
      </c>
      <c r="F316" t="s">
        <v>41</v>
      </c>
      <c r="G316">
        <v>-444.935</v>
      </c>
      <c r="H316">
        <v>0.88428589999999996</v>
      </c>
      <c r="I316">
        <v>366.77640000000002</v>
      </c>
      <c r="J316">
        <v>-445.51859999999999</v>
      </c>
      <c r="K316">
        <v>1.109049</v>
      </c>
      <c r="L316">
        <v>366.76949999999999</v>
      </c>
      <c r="M316">
        <v>0.99998390000000004</v>
      </c>
      <c r="N316">
        <v>-5.4568150000000003E-3</v>
      </c>
      <c r="O316">
        <v>-1.6234729999999901E-3</v>
      </c>
      <c r="P316">
        <v>0.95414469999999996</v>
      </c>
      <c r="Q316">
        <v>0.2917844</v>
      </c>
      <c r="R316">
        <v>6.6859390000000005E-2</v>
      </c>
      <c r="S316">
        <v>3.4180299999999999</v>
      </c>
      <c r="T316">
        <v>-0.903949</v>
      </c>
      <c r="U316">
        <v>2.7465819999999998E-2</v>
      </c>
      <c r="V316">
        <v>-6.8567450000000002E-2</v>
      </c>
      <c r="W316">
        <v>0.29694939999999997</v>
      </c>
      <c r="X316">
        <v>0.95242819999999995</v>
      </c>
      <c r="Y316">
        <v>-9.279397E-3</v>
      </c>
      <c r="Z316">
        <v>1.645416E-3</v>
      </c>
      <c r="AA316">
        <v>0.99995560000000006</v>
      </c>
      <c r="AB316">
        <v>34</v>
      </c>
      <c r="AC316">
        <v>0.58359999999998902</v>
      </c>
      <c r="AD316">
        <v>-0.22476309999999899</v>
      </c>
      <c r="AE316">
        <v>6.9000000000300999E-3</v>
      </c>
      <c r="AF316">
        <v>-6.8339481597453396E-3</v>
      </c>
      <c r="AG316">
        <v>-0.22476309999999899</v>
      </c>
      <c r="AH316">
        <v>0.50821647090206401</v>
      </c>
      <c r="AI316">
        <v>113.855906217022</v>
      </c>
      <c r="AJ316">
        <v>90.770405548746695</v>
      </c>
      <c r="AK316">
        <v>0.55574196824174404</v>
      </c>
      <c r="AL316">
        <v>72.725530453894393</v>
      </c>
      <c r="AM316">
        <v>94.117748006468801</v>
      </c>
      <c r="AN316">
        <v>0.99999995875754999</v>
      </c>
    </row>
    <row r="317" spans="1:40" x14ac:dyDescent="0.25">
      <c r="A317" t="str">
        <f>"20190304164106210"</f>
        <v>20190304164106210</v>
      </c>
      <c r="B317" t="str">
        <f>"1551688866201735"</f>
        <v>1551688866201735</v>
      </c>
      <c r="C317" t="s">
        <v>40</v>
      </c>
      <c r="D317">
        <v>4.9879879999999996</v>
      </c>
      <c r="E317">
        <v>0.54481569999999901</v>
      </c>
      <c r="F317" t="s">
        <v>41</v>
      </c>
      <c r="G317">
        <v>-444.63420000000002</v>
      </c>
      <c r="H317">
        <v>0.87550399999999995</v>
      </c>
      <c r="I317">
        <v>366.77659999999997</v>
      </c>
      <c r="J317">
        <v>-445.16789999999997</v>
      </c>
      <c r="K317">
        <v>1.108967</v>
      </c>
      <c r="L317">
        <v>366.76920000000001</v>
      </c>
      <c r="M317">
        <v>0.99998880000000001</v>
      </c>
      <c r="N317">
        <v>-4.5486520000000003E-3</v>
      </c>
      <c r="O317">
        <v>-1.3151560000000001E-3</v>
      </c>
      <c r="P317">
        <v>0.95391429999999999</v>
      </c>
      <c r="Q317">
        <v>0.292595099999999</v>
      </c>
      <c r="R317">
        <v>6.6599699999999998E-2</v>
      </c>
      <c r="S317">
        <v>3.418304</v>
      </c>
      <c r="T317">
        <v>-0.90270110000000003</v>
      </c>
      <c r="U317">
        <v>2.7740480000000001E-2</v>
      </c>
      <c r="V317">
        <v>-6.8020079999999997E-2</v>
      </c>
      <c r="W317">
        <v>0.2968925</v>
      </c>
      <c r="X317">
        <v>0.95248529999999998</v>
      </c>
      <c r="Y317">
        <v>-9.0701280000000002E-3</v>
      </c>
      <c r="Z317">
        <v>1.53396E-3</v>
      </c>
      <c r="AA317">
        <v>0.99995769999999995</v>
      </c>
      <c r="AB317">
        <v>34</v>
      </c>
      <c r="AC317">
        <v>0.53369999999995299</v>
      </c>
      <c r="AD317">
        <v>-0.233463</v>
      </c>
      <c r="AE317">
        <v>7.3999999999614296E-3</v>
      </c>
      <c r="AF317">
        <v>-6.8007806649828103E-3</v>
      </c>
      <c r="AG317">
        <v>-0.233463</v>
      </c>
      <c r="AH317">
        <v>0.447982262053925</v>
      </c>
      <c r="AI317">
        <v>117.523270159784</v>
      </c>
      <c r="AJ317">
        <v>90.869735552586206</v>
      </c>
      <c r="AK317">
        <v>0.50521216345373599</v>
      </c>
      <c r="AL317">
        <v>72.728946485879206</v>
      </c>
      <c r="AM317">
        <v>94.084743929540906</v>
      </c>
      <c r="AN317">
        <v>1.00000006727777</v>
      </c>
    </row>
    <row r="318" spans="1:40" x14ac:dyDescent="0.25">
      <c r="A318" t="str">
        <f>"20190304164106223"</f>
        <v>20190304164106223</v>
      </c>
      <c r="B318" t="str">
        <f>"1551688866211494"</f>
        <v>1551688866211494</v>
      </c>
      <c r="C318" t="s">
        <v>40</v>
      </c>
      <c r="D318">
        <v>4.9823309999999896</v>
      </c>
      <c r="E318">
        <v>0.54476619999999998</v>
      </c>
      <c r="F318" t="s">
        <v>41</v>
      </c>
      <c r="G318">
        <v>-444.32389999999998</v>
      </c>
      <c r="H318">
        <v>0.88685740000000002</v>
      </c>
      <c r="I318">
        <v>366.77539999999999</v>
      </c>
      <c r="J318">
        <v>-444.96850000000001</v>
      </c>
      <c r="K318">
        <v>1.1089899999999999</v>
      </c>
      <c r="L318">
        <v>366.76900000000001</v>
      </c>
      <c r="M318">
        <v>0.99999039999999995</v>
      </c>
      <c r="N318">
        <v>-4.2338879999999999E-3</v>
      </c>
      <c r="O318">
        <v>-1.1519099999999999E-3</v>
      </c>
      <c r="P318">
        <v>0.95379999999999998</v>
      </c>
      <c r="Q318">
        <v>0.29296630000000001</v>
      </c>
      <c r="R318">
        <v>6.6606219999999994E-2</v>
      </c>
      <c r="S318">
        <v>3.4190369999999999</v>
      </c>
      <c r="T318">
        <v>-0.89988230000000002</v>
      </c>
      <c r="U318">
        <v>2.7313230000000001E-2</v>
      </c>
      <c r="V318">
        <v>-6.7877740000000006E-2</v>
      </c>
      <c r="W318">
        <v>0.29696209999999901</v>
      </c>
      <c r="X318">
        <v>0.95247369999999998</v>
      </c>
      <c r="Y318">
        <v>-8.7976400000000007E-3</v>
      </c>
      <c r="Z318">
        <v>1.4506009999999999E-3</v>
      </c>
      <c r="AA318">
        <v>0.99996019999999997</v>
      </c>
      <c r="AB318">
        <v>34</v>
      </c>
      <c r="AC318">
        <v>0.64460000000002504</v>
      </c>
      <c r="AD318">
        <v>-0.22213259999999899</v>
      </c>
      <c r="AE318">
        <v>6.39999999998508E-3</v>
      </c>
      <c r="AF318">
        <v>-6.3844292178786297E-3</v>
      </c>
      <c r="AG318">
        <v>-0.22213259999999899</v>
      </c>
      <c r="AH318">
        <v>0.57617636569057296</v>
      </c>
      <c r="AI318">
        <v>111.08190871948401</v>
      </c>
      <c r="AJ318">
        <v>90.6348505431056</v>
      </c>
      <c r="AK318">
        <v>0.61754583416908804</v>
      </c>
      <c r="AL318">
        <v>72.724769386296401</v>
      </c>
      <c r="AM318">
        <v>94.076274443204397</v>
      </c>
      <c r="AN318">
        <v>1.0000000128077999</v>
      </c>
    </row>
    <row r="319" spans="1:40" x14ac:dyDescent="0.25">
      <c r="A319" t="str">
        <f>"20190304164106234"</f>
        <v>20190304164106234</v>
      </c>
      <c r="B319" t="str">
        <f>"1551688866221255"</f>
        <v>1551688866221255</v>
      </c>
      <c r="C319" t="s">
        <v>40</v>
      </c>
      <c r="D319">
        <v>5.1711960000000001</v>
      </c>
      <c r="E319">
        <v>0.54472710000000002</v>
      </c>
      <c r="F319" t="s">
        <v>41</v>
      </c>
      <c r="G319">
        <v>-444.02910000000003</v>
      </c>
      <c r="H319">
        <v>0.86213169999999995</v>
      </c>
      <c r="I319">
        <v>366.77620000000002</v>
      </c>
      <c r="J319">
        <v>-444.79050000000001</v>
      </c>
      <c r="K319">
        <v>1.109105</v>
      </c>
      <c r="L319">
        <v>366.76889999999997</v>
      </c>
      <c r="M319">
        <v>0.9999903</v>
      </c>
      <c r="N319">
        <v>-4.3055580000000001E-3</v>
      </c>
      <c r="O319">
        <v>-1.0176460000000001E-3</v>
      </c>
      <c r="P319">
        <v>0.95365409999999995</v>
      </c>
      <c r="Q319">
        <v>0.29348410000000003</v>
      </c>
      <c r="R319">
        <v>6.6418309999999994E-2</v>
      </c>
      <c r="S319">
        <v>3.4193730000000002</v>
      </c>
      <c r="T319">
        <v>-0.89860790000000001</v>
      </c>
      <c r="U319">
        <v>2.7740480000000001E-2</v>
      </c>
      <c r="V319">
        <v>-6.756964E-2</v>
      </c>
      <c r="W319">
        <v>0.29754629999999999</v>
      </c>
      <c r="X319">
        <v>0.95231319999999997</v>
      </c>
      <c r="Y319">
        <v>-8.7930539999999998E-3</v>
      </c>
      <c r="Z319">
        <v>1.4140069999999999E-3</v>
      </c>
      <c r="AA319">
        <v>0.99996039999999997</v>
      </c>
      <c r="AB319">
        <v>34</v>
      </c>
      <c r="AC319">
        <v>0.76139999999997998</v>
      </c>
      <c r="AD319">
        <v>-0.24697330000000001</v>
      </c>
      <c r="AE319">
        <v>7.3000000000433803E-3</v>
      </c>
      <c r="AF319">
        <v>-7.30619441824418E-3</v>
      </c>
      <c r="AG319">
        <v>-0.24697330000000001</v>
      </c>
      <c r="AH319">
        <v>0.68891519362746101</v>
      </c>
      <c r="AI319">
        <v>109.72152711779199</v>
      </c>
      <c r="AJ319">
        <v>90.607619653393598</v>
      </c>
      <c r="AK319">
        <v>0.73188341653608302</v>
      </c>
      <c r="AL319">
        <v>72.689711335956403</v>
      </c>
      <c r="AM319">
        <v>94.058515615110096</v>
      </c>
      <c r="AN319">
        <v>0.99999994389382796</v>
      </c>
    </row>
    <row r="320" spans="1:40" x14ac:dyDescent="0.25">
      <c r="A320" t="str">
        <f>"20190304164106253"</f>
        <v>20190304164106253</v>
      </c>
      <c r="B320" t="str">
        <f>"1551688866241751"</f>
        <v>1551688866241751</v>
      </c>
      <c r="C320" t="s">
        <v>40</v>
      </c>
      <c r="D320">
        <v>4.9621009999999997</v>
      </c>
      <c r="E320">
        <v>0.54463319999999904</v>
      </c>
      <c r="F320" t="s">
        <v>41</v>
      </c>
      <c r="G320">
        <v>-444.0111</v>
      </c>
      <c r="H320">
        <v>0.90480700000000003</v>
      </c>
      <c r="I320">
        <v>366.7747</v>
      </c>
      <c r="J320">
        <v>-444.50110000000001</v>
      </c>
      <c r="K320">
        <v>1.1093360000000001</v>
      </c>
      <c r="L320">
        <v>366.7688</v>
      </c>
      <c r="M320">
        <v>0.99998889999999996</v>
      </c>
      <c r="N320">
        <v>-4.6764099999999998E-3</v>
      </c>
      <c r="O320">
        <v>-8.0969270000000001E-4</v>
      </c>
      <c r="P320">
        <v>0.95342879999999997</v>
      </c>
      <c r="Q320">
        <v>0.29415419999999998</v>
      </c>
      <c r="R320">
        <v>6.6685910000000001E-2</v>
      </c>
      <c r="S320">
        <v>3.419861</v>
      </c>
      <c r="T320">
        <v>-0.8966653</v>
      </c>
      <c r="U320">
        <v>2.7221680000000002E-2</v>
      </c>
      <c r="V320">
        <v>-6.7647869999999999E-2</v>
      </c>
      <c r="W320">
        <v>0.29856630000000001</v>
      </c>
      <c r="X320">
        <v>0.95198839999999996</v>
      </c>
      <c r="Y320">
        <v>-8.4519620000000004E-3</v>
      </c>
      <c r="Z320">
        <v>1.314731E-3</v>
      </c>
      <c r="AA320">
        <v>0.99996339999999995</v>
      </c>
      <c r="AB320">
        <v>34</v>
      </c>
      <c r="AC320">
        <v>0.49000000000000898</v>
      </c>
      <c r="AD320">
        <v>-0.20452899999999999</v>
      </c>
      <c r="AE320">
        <v>5.8999999999968999E-3</v>
      </c>
      <c r="AF320">
        <v>-5.3625768523251601E-3</v>
      </c>
      <c r="AG320">
        <v>-0.20452899999999999</v>
      </c>
      <c r="AH320">
        <v>0.41730026479210802</v>
      </c>
      <c r="AI320">
        <v>116.108727284097</v>
      </c>
      <c r="AJ320">
        <v>90.736247099257994</v>
      </c>
      <c r="AK320">
        <v>0.46475841043176502</v>
      </c>
      <c r="AL320">
        <v>72.628487735649799</v>
      </c>
      <c r="AM320">
        <v>94.064580346716397</v>
      </c>
      <c r="AN320">
        <v>0.999999991772893</v>
      </c>
    </row>
    <row r="321" spans="1:40" x14ac:dyDescent="0.25">
      <c r="A321" t="str">
        <f>"20190304164106267"</f>
        <v>20190304164106267</v>
      </c>
      <c r="B321" t="str">
        <f>"1551688866261271"</f>
        <v>1551688866261271</v>
      </c>
      <c r="C321" t="s">
        <v>40</v>
      </c>
      <c r="D321">
        <v>4.9638150000000003</v>
      </c>
      <c r="E321">
        <v>0.54455549999999997</v>
      </c>
      <c r="F321" t="s">
        <v>41</v>
      </c>
      <c r="G321">
        <v>-443.70760000000001</v>
      </c>
      <c r="H321">
        <v>0.90186080000000002</v>
      </c>
      <c r="I321">
        <v>366.77510000000001</v>
      </c>
      <c r="J321">
        <v>-444.2971</v>
      </c>
      <c r="K321">
        <v>1.10951</v>
      </c>
      <c r="L321">
        <v>366.7688</v>
      </c>
      <c r="M321">
        <v>0.99998679999999995</v>
      </c>
      <c r="N321">
        <v>-5.0943339999999998E-3</v>
      </c>
      <c r="O321">
        <v>-6.664466E-4</v>
      </c>
      <c r="P321">
        <v>0.95358259999999995</v>
      </c>
      <c r="Q321">
        <v>0.29364109999999899</v>
      </c>
      <c r="R321">
        <v>6.6747619999999994E-2</v>
      </c>
      <c r="S321">
        <v>3.420471</v>
      </c>
      <c r="T321">
        <v>-0.89451340000000001</v>
      </c>
      <c r="U321">
        <v>2.896118E-2</v>
      </c>
      <c r="V321">
        <v>-6.7574149999999999E-2</v>
      </c>
      <c r="W321">
        <v>0.29845159999999998</v>
      </c>
      <c r="X321">
        <v>0.95202960000000003</v>
      </c>
      <c r="Y321">
        <v>-8.8093879999999996E-3</v>
      </c>
      <c r="Z321">
        <v>1.3237170000000001E-3</v>
      </c>
      <c r="AA321">
        <v>0.99996030000000002</v>
      </c>
      <c r="AB321">
        <v>34</v>
      </c>
      <c r="AC321">
        <v>0.58949999999998604</v>
      </c>
      <c r="AD321">
        <v>-0.20764920000000001</v>
      </c>
      <c r="AE321">
        <v>6.3000000000101803E-3</v>
      </c>
      <c r="AF321">
        <v>-5.9541789222854E-3</v>
      </c>
      <c r="AG321">
        <v>-0.20764920000000001</v>
      </c>
      <c r="AH321">
        <v>0.524432808855678</v>
      </c>
      <c r="AI321">
        <v>111.59982812457</v>
      </c>
      <c r="AJ321">
        <v>90.650483073638199</v>
      </c>
      <c r="AK321">
        <v>0.56407748892464704</v>
      </c>
      <c r="AL321">
        <v>72.635373496904194</v>
      </c>
      <c r="AM321">
        <v>94.059990627878605</v>
      </c>
      <c r="AN321">
        <v>0.99999999128347095</v>
      </c>
    </row>
    <row r="322" spans="1:40" x14ac:dyDescent="0.25">
      <c r="A322" t="str">
        <f>"20190304164106280"</f>
        <v>20190304164106280</v>
      </c>
      <c r="B322" t="str">
        <f>"1551688866271393"</f>
        <v>1551688866271393</v>
      </c>
      <c r="C322" t="s">
        <v>40</v>
      </c>
      <c r="D322">
        <v>4.9875299999999996</v>
      </c>
      <c r="E322">
        <v>0.54452449999999997</v>
      </c>
      <c r="F322" t="s">
        <v>41</v>
      </c>
      <c r="G322">
        <v>-443.4135</v>
      </c>
      <c r="H322">
        <v>0.8778918</v>
      </c>
      <c r="I322">
        <v>366.77659999999997</v>
      </c>
      <c r="J322">
        <v>-444.0899</v>
      </c>
      <c r="K322">
        <v>1.109675</v>
      </c>
      <c r="L322">
        <v>366.76889999999997</v>
      </c>
      <c r="M322">
        <v>0.99998430000000005</v>
      </c>
      <c r="N322">
        <v>-5.5894710000000004E-3</v>
      </c>
      <c r="O322">
        <v>-5.1886640000000002E-4</v>
      </c>
      <c r="P322">
        <v>0.95375109999999996</v>
      </c>
      <c r="Q322">
        <v>0.29305710000000001</v>
      </c>
      <c r="R322">
        <v>6.6905660000000006E-2</v>
      </c>
      <c r="S322">
        <v>3.4199830000000002</v>
      </c>
      <c r="T322">
        <v>-0.89648989999999995</v>
      </c>
      <c r="U322">
        <v>2.9937740000000001E-2</v>
      </c>
      <c r="V322">
        <v>-6.7588419999999996E-2</v>
      </c>
      <c r="W322">
        <v>0.29834100000000002</v>
      </c>
      <c r="X322">
        <v>0.95206329999999995</v>
      </c>
      <c r="Y322">
        <v>-8.9465859999999994E-3</v>
      </c>
      <c r="Z322">
        <v>1.309422E-3</v>
      </c>
      <c r="AA322">
        <v>0.99995909999999999</v>
      </c>
      <c r="AB322">
        <v>34</v>
      </c>
      <c r="AC322">
        <v>0.676400000000001</v>
      </c>
      <c r="AD322">
        <v>-0.23178319999999999</v>
      </c>
      <c r="AE322">
        <v>7.6999999999998103E-3</v>
      </c>
      <c r="AF322">
        <v>-7.2050319260908999E-3</v>
      </c>
      <c r="AG322">
        <v>-0.23178319999999999</v>
      </c>
      <c r="AH322">
        <v>0.60532541790124195</v>
      </c>
      <c r="AI322">
        <v>110.95082605431899</v>
      </c>
      <c r="AJ322">
        <v>90.681944644500604</v>
      </c>
      <c r="AK322">
        <v>0.64822390101307503</v>
      </c>
      <c r="AL322">
        <v>72.642013705920405</v>
      </c>
      <c r="AM322">
        <v>94.060701870021205</v>
      </c>
      <c r="AN322">
        <v>1.00000003700299</v>
      </c>
    </row>
    <row r="323" spans="1:40" x14ac:dyDescent="0.25">
      <c r="A323" t="str">
        <f>"20190304164106293"</f>
        <v>20190304164106293</v>
      </c>
      <c r="B323" t="str">
        <f>"1551688866282128"</f>
        <v>1551688866282128</v>
      </c>
      <c r="C323" t="s">
        <v>40</v>
      </c>
      <c r="D323">
        <v>4.9767460000000003</v>
      </c>
      <c r="E323">
        <v>0.54452449999999997</v>
      </c>
      <c r="F323" t="s">
        <v>41</v>
      </c>
      <c r="G323">
        <v>-443.3929</v>
      </c>
      <c r="H323">
        <v>0.92647979999999996</v>
      </c>
      <c r="I323">
        <v>366.77510000000001</v>
      </c>
      <c r="J323">
        <v>-443.8897</v>
      </c>
      <c r="K323">
        <v>1.109801</v>
      </c>
      <c r="L323">
        <v>366.76889999999997</v>
      </c>
      <c r="M323">
        <v>0.99998149999999997</v>
      </c>
      <c r="N323">
        <v>-6.0823079999999998E-3</v>
      </c>
      <c r="O323">
        <v>-3.7204110000000002E-4</v>
      </c>
      <c r="P323">
        <v>0.95400479999999999</v>
      </c>
      <c r="Q323">
        <v>0.29218300000000003</v>
      </c>
      <c r="R323">
        <v>6.7113530000000005E-2</v>
      </c>
      <c r="S323">
        <v>3.4194949999999902</v>
      </c>
      <c r="T323">
        <v>-0.89877870000000004</v>
      </c>
      <c r="U323">
        <v>3.067017E-2</v>
      </c>
      <c r="V323">
        <v>-6.7648609999999998E-2</v>
      </c>
      <c r="W323">
        <v>0.29793910000000001</v>
      </c>
      <c r="X323">
        <v>0.9521849</v>
      </c>
      <c r="Y323">
        <v>-9.0153090000000009E-3</v>
      </c>
      <c r="Z323">
        <v>1.286796E-3</v>
      </c>
      <c r="AA323">
        <v>0.99995849999999997</v>
      </c>
      <c r="AB323">
        <v>34</v>
      </c>
      <c r="AC323">
        <v>0.49680000000000701</v>
      </c>
      <c r="AD323">
        <v>-0.18332119999999999</v>
      </c>
      <c r="AE323">
        <v>6.2000000000352797E-3</v>
      </c>
      <c r="AF323">
        <v>-5.6197453176588296E-3</v>
      </c>
      <c r="AG323">
        <v>-0.18332119999999999</v>
      </c>
      <c r="AH323">
        <v>0.43726692918459997</v>
      </c>
      <c r="AI323">
        <v>112.743850764264</v>
      </c>
      <c r="AJ323">
        <v>90.736323606882195</v>
      </c>
      <c r="AK323">
        <v>0.47417360878206399</v>
      </c>
      <c r="AL323">
        <v>72.666138461053393</v>
      </c>
      <c r="AM323">
        <v>94.063788664351705</v>
      </c>
      <c r="AN323">
        <v>1.0000000627658701</v>
      </c>
    </row>
    <row r="324" spans="1:40" x14ac:dyDescent="0.25">
      <c r="A324" t="str">
        <f>"20190304164106311"</f>
        <v>20190304164106311</v>
      </c>
      <c r="B324" t="str">
        <f>"1551688866301648"</f>
        <v>1551688866301648</v>
      </c>
      <c r="C324" t="s">
        <v>40</v>
      </c>
      <c r="D324">
        <v>4.9643930000000003</v>
      </c>
      <c r="E324">
        <v>0.54119139999999999</v>
      </c>
      <c r="F324" t="s">
        <v>41</v>
      </c>
      <c r="G324">
        <v>-443.0994</v>
      </c>
      <c r="H324">
        <v>0.90124579999999999</v>
      </c>
      <c r="I324">
        <v>366.77620000000002</v>
      </c>
      <c r="J324">
        <v>-443.63150000000002</v>
      </c>
      <c r="K324">
        <v>1.109945</v>
      </c>
      <c r="L324">
        <v>366.76900000000001</v>
      </c>
      <c r="M324">
        <v>0.99997749999999996</v>
      </c>
      <c r="N324">
        <v>-6.7151040000000004E-3</v>
      </c>
      <c r="O324">
        <v>-1.8301769999999999E-4</v>
      </c>
      <c r="P324">
        <v>0.95430380000000004</v>
      </c>
      <c r="Q324">
        <v>0.29103400000000001</v>
      </c>
      <c r="R324">
        <v>6.7851190000000006E-2</v>
      </c>
      <c r="S324">
        <v>3.4186709999999998</v>
      </c>
      <c r="T324">
        <v>-0.90212979999999998</v>
      </c>
      <c r="U324">
        <v>3.2348630000000003E-2</v>
      </c>
      <c r="V324">
        <v>-6.8194630000000006E-2</v>
      </c>
      <c r="W324">
        <v>0.29739700000000002</v>
      </c>
      <c r="X324">
        <v>0.95231540000000003</v>
      </c>
      <c r="Y324">
        <v>-9.3118620000000006E-3</v>
      </c>
      <c r="Z324">
        <v>1.286E-3</v>
      </c>
      <c r="AA324">
        <v>0.99995579999999995</v>
      </c>
      <c r="AB324">
        <v>34</v>
      </c>
      <c r="AC324">
        <v>0.53210000000001401</v>
      </c>
      <c r="AD324">
        <v>-0.2086992</v>
      </c>
      <c r="AE324">
        <v>7.2000000000116398E-3</v>
      </c>
      <c r="AF324">
        <v>-6.3246167195445697E-3</v>
      </c>
      <c r="AG324">
        <v>-0.2086992</v>
      </c>
      <c r="AH324">
        <v>0.46116791190151701</v>
      </c>
      <c r="AI324">
        <v>114.346864901822</v>
      </c>
      <c r="AJ324">
        <v>90.785724937611107</v>
      </c>
      <c r="AK324">
        <v>0.50623235754433404</v>
      </c>
      <c r="AL324">
        <v>72.698673135336904</v>
      </c>
      <c r="AM324">
        <v>94.095918519464107</v>
      </c>
      <c r="AN324">
        <v>1.00000005212349</v>
      </c>
    </row>
    <row r="325" spans="1:40" x14ac:dyDescent="0.25">
      <c r="A325" t="str">
        <f>"20190304164106327"</f>
        <v>20190304164106327</v>
      </c>
      <c r="B325" t="str">
        <f>"1551688866322144"</f>
        <v>1551688866322144</v>
      </c>
      <c r="C325" t="s">
        <v>40</v>
      </c>
      <c r="D325">
        <v>5.008159</v>
      </c>
      <c r="E325">
        <v>0.54123929999999998</v>
      </c>
      <c r="F325" t="s">
        <v>41</v>
      </c>
      <c r="G325">
        <v>-442.80189999999999</v>
      </c>
      <c r="H325">
        <v>0.88558459999999894</v>
      </c>
      <c r="I325">
        <v>366.7842</v>
      </c>
      <c r="J325">
        <v>-443.3954</v>
      </c>
      <c r="K325">
        <v>1.1100559999999999</v>
      </c>
      <c r="L325">
        <v>366.76909999999998</v>
      </c>
      <c r="M325">
        <v>0.99997349999999996</v>
      </c>
      <c r="N325">
        <v>-7.2853579999999996E-3</v>
      </c>
      <c r="O325" s="1">
        <v>-1.4029510000000001E-5</v>
      </c>
      <c r="P325">
        <v>0.95445539999999995</v>
      </c>
      <c r="Q325">
        <v>0.29048249999999998</v>
      </c>
      <c r="R325">
        <v>6.8082959999999998E-2</v>
      </c>
      <c r="S325">
        <v>3.4212950000000002</v>
      </c>
      <c r="T325">
        <v>-0.92535250000000002</v>
      </c>
      <c r="U325">
        <v>6.3964839999999995E-2</v>
      </c>
      <c r="V325">
        <v>-6.8254659999999995E-2</v>
      </c>
      <c r="W325">
        <v>0.29739199999999999</v>
      </c>
      <c r="X325">
        <v>0.95231259999999995</v>
      </c>
      <c r="Y325">
        <v>-1.8040299999999999E-2</v>
      </c>
      <c r="Z325">
        <v>2.4669510000000002E-3</v>
      </c>
      <c r="AA325">
        <v>0.99983420000000001</v>
      </c>
      <c r="AB325">
        <v>34</v>
      </c>
      <c r="AC325">
        <v>0.59350000000000502</v>
      </c>
      <c r="AD325">
        <v>-0.22447139999999999</v>
      </c>
      <c r="AE325">
        <v>1.5100000000018101E-2</v>
      </c>
      <c r="AF325">
        <v>-1.3218653276655499E-2</v>
      </c>
      <c r="AG325">
        <v>-0.22447139999999999</v>
      </c>
      <c r="AH325">
        <v>0.51926782210798195</v>
      </c>
      <c r="AI325">
        <v>113.371318501682</v>
      </c>
      <c r="AJ325">
        <v>91.458225362929397</v>
      </c>
      <c r="AK325">
        <v>0.56586324610207295</v>
      </c>
      <c r="AL325">
        <v>72.698972156501995</v>
      </c>
      <c r="AM325">
        <v>94.099523777323</v>
      </c>
      <c r="AN325">
        <v>0.99999999419723695</v>
      </c>
    </row>
    <row r="326" spans="1:40" x14ac:dyDescent="0.25">
      <c r="A326" t="str">
        <f>"20190304164106344"</f>
        <v>20190304164106344</v>
      </c>
      <c r="B326" t="str">
        <f>"1551688866331904"</f>
        <v>1551688866331904</v>
      </c>
      <c r="C326" t="s">
        <v>40</v>
      </c>
      <c r="D326">
        <v>4.9824080000000004</v>
      </c>
      <c r="E326">
        <v>0.54244510000000001</v>
      </c>
      <c r="F326" t="s">
        <v>41</v>
      </c>
      <c r="G326">
        <v>-442.50549999999998</v>
      </c>
      <c r="H326">
        <v>0.86866919999999903</v>
      </c>
      <c r="I326">
        <v>366.78590000000003</v>
      </c>
      <c r="J326">
        <v>-443.1207</v>
      </c>
      <c r="K326">
        <v>1.1101620000000001</v>
      </c>
      <c r="L326">
        <v>366.76929999999999</v>
      </c>
      <c r="M326">
        <v>0.99996859999999999</v>
      </c>
      <c r="N326">
        <v>-7.9330990000000007E-3</v>
      </c>
      <c r="O326">
        <v>1.7182739999999999E-4</v>
      </c>
      <c r="P326">
        <v>0.95450939999999995</v>
      </c>
      <c r="Q326">
        <v>0.29019210000000001</v>
      </c>
      <c r="R326">
        <v>6.8562730000000002E-2</v>
      </c>
      <c r="S326">
        <v>3.4209290000000001</v>
      </c>
      <c r="T326">
        <v>-0.92799909999999997</v>
      </c>
      <c r="U326">
        <v>6.5216060000000006E-2</v>
      </c>
      <c r="V326">
        <v>-6.8546090000000004E-2</v>
      </c>
      <c r="W326">
        <v>0.29772159999999998</v>
      </c>
      <c r="X326">
        <v>0.9521887</v>
      </c>
      <c r="Y326">
        <v>-1.8216349999999999E-2</v>
      </c>
      <c r="Z326">
        <v>2.4558639999999999E-3</v>
      </c>
      <c r="AA326">
        <v>0.99983109999999997</v>
      </c>
      <c r="AB326">
        <v>34</v>
      </c>
      <c r="AC326">
        <v>0.61520000000001496</v>
      </c>
      <c r="AD326">
        <v>-0.24149280000000001</v>
      </c>
      <c r="AE326">
        <v>1.6600000000039399E-2</v>
      </c>
      <c r="AF326">
        <v>-1.4293412328613499E-2</v>
      </c>
      <c r="AG326">
        <v>-0.24149280000000001</v>
      </c>
      <c r="AH326">
        <v>0.53311472359160905</v>
      </c>
      <c r="AI326">
        <v>114.3620613911</v>
      </c>
      <c r="AJ326">
        <v>91.535797115613505</v>
      </c>
      <c r="AK326">
        <v>0.58543520785650904</v>
      </c>
      <c r="AL326">
        <v>72.679191927224295</v>
      </c>
      <c r="AM326">
        <v>94.117501501428904</v>
      </c>
      <c r="AN326">
        <v>1.0000000189842599</v>
      </c>
    </row>
    <row r="327" spans="1:40" x14ac:dyDescent="0.25">
      <c r="A327" t="str">
        <f>"20190304164106359"</f>
        <v>20190304164106359</v>
      </c>
      <c r="B327" t="str">
        <f>"1551688866352400"</f>
        <v>1551688866352400</v>
      </c>
      <c r="C327" t="s">
        <v>40</v>
      </c>
      <c r="D327">
        <v>4.9375580000000001</v>
      </c>
      <c r="E327">
        <v>0.54338869999999995</v>
      </c>
      <c r="F327" t="s">
        <v>41</v>
      </c>
      <c r="G327">
        <v>-442.20940000000002</v>
      </c>
      <c r="H327">
        <v>0.85232209999999997</v>
      </c>
      <c r="I327">
        <v>366.78579999999999</v>
      </c>
      <c r="J327">
        <v>-442.8895</v>
      </c>
      <c r="K327">
        <v>1.1102379999999901</v>
      </c>
      <c r="L327">
        <v>366.76940000000002</v>
      </c>
      <c r="M327">
        <v>0.99996419999999997</v>
      </c>
      <c r="N327">
        <v>-8.4589049999999992E-3</v>
      </c>
      <c r="O327">
        <v>3.159762E-4</v>
      </c>
      <c r="P327">
        <v>0.95454899999999998</v>
      </c>
      <c r="Q327">
        <v>0.29006419999999999</v>
      </c>
      <c r="R327">
        <v>6.8551150000000005E-2</v>
      </c>
      <c r="S327">
        <v>3.4337770000000001</v>
      </c>
      <c r="T327">
        <v>-0.97150110000000001</v>
      </c>
      <c r="U327">
        <v>6.2957760000000001E-2</v>
      </c>
      <c r="V327">
        <v>-6.8389690000000003E-2</v>
      </c>
      <c r="W327">
        <v>0.29809619999999998</v>
      </c>
      <c r="X327">
        <v>0.95208280000000001</v>
      </c>
      <c r="Y327">
        <v>-1.7326459999999998E-2</v>
      </c>
      <c r="Z327">
        <v>2.393371E-3</v>
      </c>
      <c r="AA327">
        <v>0.99984700000000004</v>
      </c>
      <c r="AB327">
        <v>34</v>
      </c>
      <c r="AC327">
        <v>0.68009999999998105</v>
      </c>
      <c r="AD327">
        <v>-0.25791589999999898</v>
      </c>
      <c r="AE327">
        <v>1.6399999999975899E-2</v>
      </c>
      <c r="AF327">
        <v>-1.4151106937115399E-2</v>
      </c>
      <c r="AG327">
        <v>-0.25791589999999898</v>
      </c>
      <c r="AH327">
        <v>0.59463599294219105</v>
      </c>
      <c r="AI327">
        <v>113.442263036234</v>
      </c>
      <c r="AJ327">
        <v>91.363263747139698</v>
      </c>
      <c r="AK327">
        <v>0.648315378039655</v>
      </c>
      <c r="AL327">
        <v>72.656709053638806</v>
      </c>
      <c r="AM327">
        <v>94.108594280407104</v>
      </c>
      <c r="AN327">
        <v>1.00000007610428</v>
      </c>
    </row>
    <row r="328" spans="1:40" x14ac:dyDescent="0.25">
      <c r="A328" t="str">
        <f>"20190304164106377"</f>
        <v>20190304164106377</v>
      </c>
      <c r="B328" t="str">
        <f>"1551688866371920"</f>
        <v>1551688866371920</v>
      </c>
      <c r="C328" t="s">
        <v>40</v>
      </c>
      <c r="D328">
        <v>4.9247949999999996</v>
      </c>
      <c r="E328">
        <v>0.54395909999999903</v>
      </c>
      <c r="F328" t="s">
        <v>41</v>
      </c>
      <c r="G328">
        <v>-442.18720000000002</v>
      </c>
      <c r="H328">
        <v>0.90474460000000001</v>
      </c>
      <c r="I328">
        <v>366.78140000000002</v>
      </c>
      <c r="J328">
        <v>-442.61989999999997</v>
      </c>
      <c r="K328">
        <v>1.1103080000000001</v>
      </c>
      <c r="L328">
        <v>366.7697</v>
      </c>
      <c r="M328">
        <v>0.99995909999999999</v>
      </c>
      <c r="N328">
        <v>-9.0391870000000006E-3</v>
      </c>
      <c r="O328">
        <v>4.7191079999999997E-4</v>
      </c>
      <c r="P328">
        <v>0.95460889999999998</v>
      </c>
      <c r="Q328">
        <v>0.28989999999999999</v>
      </c>
      <c r="R328">
        <v>6.8411990000000006E-2</v>
      </c>
      <c r="S328">
        <v>3.4447939999999999</v>
      </c>
      <c r="T328">
        <v>-1.0079</v>
      </c>
      <c r="U328">
        <v>5.9814449999999998E-2</v>
      </c>
      <c r="V328">
        <v>-6.8095890000000006E-2</v>
      </c>
      <c r="W328">
        <v>0.29848659999999999</v>
      </c>
      <c r="X328">
        <v>0.95198139999999998</v>
      </c>
      <c r="Y328">
        <v>-1.6206680000000001E-2</v>
      </c>
      <c r="Z328">
        <v>2.2658410000000002E-3</v>
      </c>
      <c r="AA328">
        <v>0.99986609999999998</v>
      </c>
      <c r="AB328">
        <v>34</v>
      </c>
      <c r="AC328">
        <v>0.43269999999995401</v>
      </c>
      <c r="AD328">
        <v>-0.20556340000000001</v>
      </c>
      <c r="AE328">
        <v>1.17000000000189E-2</v>
      </c>
      <c r="AF328">
        <v>-9.3802793460944708E-3</v>
      </c>
      <c r="AG328">
        <v>-0.20556340000000001</v>
      </c>
      <c r="AH328">
        <v>0.35307678753146599</v>
      </c>
      <c r="AI328">
        <v>120.199429756518</v>
      </c>
      <c r="AJ328">
        <v>91.5218333296027</v>
      </c>
      <c r="AK328">
        <v>0.40866553433548902</v>
      </c>
      <c r="AL328">
        <v>72.6332715137777</v>
      </c>
      <c r="AM328">
        <v>94.091438215558597</v>
      </c>
      <c r="AN328">
        <v>0.99999994328020403</v>
      </c>
    </row>
    <row r="329" spans="1:40" x14ac:dyDescent="0.25">
      <c r="A329" t="str">
        <f>"20190304164106401"</f>
        <v>20190304164106401</v>
      </c>
      <c r="B329" t="str">
        <f>"1551688866392416"</f>
        <v>1551688866392416</v>
      </c>
      <c r="C329" t="s">
        <v>40</v>
      </c>
      <c r="D329">
        <v>4.9194170000000002</v>
      </c>
      <c r="E329">
        <v>0.54436709999999899</v>
      </c>
      <c r="F329" t="s">
        <v>41</v>
      </c>
      <c r="G329">
        <v>-441.88990000000001</v>
      </c>
      <c r="H329">
        <v>0.89197579999999999</v>
      </c>
      <c r="I329">
        <v>366.78149999999999</v>
      </c>
      <c r="J329">
        <v>-442.27620000000002</v>
      </c>
      <c r="K329">
        <v>1.110374</v>
      </c>
      <c r="L329">
        <v>366.77010000000001</v>
      </c>
      <c r="M329">
        <v>0.99995259999999997</v>
      </c>
      <c r="N329">
        <v>-9.7263869999999995E-3</v>
      </c>
      <c r="O329">
        <v>6.5954060000000001E-4</v>
      </c>
      <c r="P329">
        <v>0.95495160000000001</v>
      </c>
      <c r="Q329">
        <v>0.28895389999999999</v>
      </c>
      <c r="R329">
        <v>6.7623909999999995E-2</v>
      </c>
      <c r="S329">
        <v>3.4520569999999999</v>
      </c>
      <c r="T329">
        <v>-1.0324439999999999</v>
      </c>
      <c r="U329">
        <v>5.758667E-2</v>
      </c>
      <c r="V329">
        <v>-6.712253E-2</v>
      </c>
      <c r="W329">
        <v>0.29820000000000002</v>
      </c>
      <c r="X329">
        <v>0.9521404</v>
      </c>
      <c r="Y329">
        <v>-1.535248E-2</v>
      </c>
      <c r="Z329">
        <v>2.1360910000000001E-3</v>
      </c>
      <c r="AA329">
        <v>0.99987979999999999</v>
      </c>
      <c r="AB329">
        <v>34</v>
      </c>
      <c r="AC329">
        <v>0.38630000000000497</v>
      </c>
      <c r="AD329">
        <v>-0.21839819999999999</v>
      </c>
      <c r="AE329">
        <v>1.13999999999805E-2</v>
      </c>
      <c r="AF329">
        <v>-8.4474793462369999E-3</v>
      </c>
      <c r="AG329">
        <v>-0.21839819999999999</v>
      </c>
      <c r="AH329">
        <v>0.29280072367856802</v>
      </c>
      <c r="AI329">
        <v>126.707601006182</v>
      </c>
      <c r="AJ329">
        <v>91.652559756714993</v>
      </c>
      <c r="AK329">
        <v>0.36537843047618201</v>
      </c>
      <c r="AL329">
        <v>72.650477153854496</v>
      </c>
      <c r="AM329">
        <v>94.0324784633858</v>
      </c>
      <c r="AN329">
        <v>1.0000000076728801</v>
      </c>
    </row>
    <row r="330" spans="1:40" x14ac:dyDescent="0.25">
      <c r="A330" t="str">
        <f>"20190304164106412"</f>
        <v>20190304164106412</v>
      </c>
      <c r="B330" t="str">
        <f>"1551688866402177"</f>
        <v>1551688866402177</v>
      </c>
      <c r="C330" t="s">
        <v>40</v>
      </c>
      <c r="D330">
        <v>4.9356249999999999</v>
      </c>
      <c r="E330">
        <v>0.54451499999999997</v>
      </c>
      <c r="F330" t="s">
        <v>41</v>
      </c>
      <c r="G330">
        <v>-441.58420000000001</v>
      </c>
      <c r="H330">
        <v>0.89990650000000005</v>
      </c>
      <c r="I330">
        <v>366.78059999999999</v>
      </c>
      <c r="J330">
        <v>-442.08120000000002</v>
      </c>
      <c r="K330">
        <v>1.1103879999999999</v>
      </c>
      <c r="L330">
        <v>366.77030000000002</v>
      </c>
      <c r="M330">
        <v>0.99994899999999998</v>
      </c>
      <c r="N330">
        <v>-1.008032E-2</v>
      </c>
      <c r="O330">
        <v>7.6212749999999998E-4</v>
      </c>
      <c r="P330">
        <v>0.95516319999999999</v>
      </c>
      <c r="Q330">
        <v>0.28826259999999998</v>
      </c>
      <c r="R330">
        <v>6.7585759999999995E-2</v>
      </c>
      <c r="S330">
        <v>3.4557190000000002</v>
      </c>
      <c r="T330">
        <v>-1.051056</v>
      </c>
      <c r="U330">
        <v>5.3955080000000002E-2</v>
      </c>
      <c r="V330">
        <v>-6.6983150000000005E-2</v>
      </c>
      <c r="W330">
        <v>0.29784860000000002</v>
      </c>
      <c r="X330">
        <v>0.9522602</v>
      </c>
      <c r="Y330">
        <v>-1.4216360000000001E-2</v>
      </c>
      <c r="Z330">
        <v>1.9681730000000001E-3</v>
      </c>
      <c r="AA330">
        <v>0.99989700000000004</v>
      </c>
      <c r="AB330">
        <v>34</v>
      </c>
      <c r="AC330">
        <v>0.49700000000001399</v>
      </c>
      <c r="AD330">
        <v>-0.21048149999999899</v>
      </c>
      <c r="AE330">
        <v>1.0299999999972401E-2</v>
      </c>
      <c r="AF330">
        <v>-8.4129398597394302E-3</v>
      </c>
      <c r="AG330">
        <v>-0.21048149999999899</v>
      </c>
      <c r="AH330">
        <v>0.421450606568405</v>
      </c>
      <c r="AI330">
        <v>116.533967351326</v>
      </c>
      <c r="AJ330">
        <v>91.143578701252594</v>
      </c>
      <c r="AK330">
        <v>0.47116223657696699</v>
      </c>
      <c r="AL330">
        <v>72.671569392979805</v>
      </c>
      <c r="AM330">
        <v>94.023627958999299</v>
      </c>
      <c r="AN330">
        <v>1.0000000097049599</v>
      </c>
    </row>
    <row r="331" spans="1:40" x14ac:dyDescent="0.25">
      <c r="A331" t="str">
        <f>"20190304164106425"</f>
        <v>20190304164106425</v>
      </c>
      <c r="B331" t="str">
        <f>"1551688866411936"</f>
        <v>1551688866411936</v>
      </c>
      <c r="C331" t="s">
        <v>40</v>
      </c>
      <c r="D331">
        <v>4.9091040000000001</v>
      </c>
      <c r="E331">
        <v>0.54463989999999995</v>
      </c>
      <c r="F331" t="s">
        <v>41</v>
      </c>
      <c r="G331">
        <v>-441.29520000000002</v>
      </c>
      <c r="H331">
        <v>0.86941360000000001</v>
      </c>
      <c r="I331">
        <v>366.78210000000001</v>
      </c>
      <c r="J331">
        <v>-441.90210000000002</v>
      </c>
      <c r="K331">
        <v>1.1104050000000001</v>
      </c>
      <c r="L331">
        <v>366.7706</v>
      </c>
      <c r="M331">
        <v>0.99994570000000005</v>
      </c>
      <c r="N331">
        <v>-1.039352E-2</v>
      </c>
      <c r="O331">
        <v>8.561555E-4</v>
      </c>
      <c r="P331">
        <v>0.95537419999999995</v>
      </c>
      <c r="Q331">
        <v>0.287665</v>
      </c>
      <c r="R331">
        <v>6.7149909999999993E-2</v>
      </c>
      <c r="S331">
        <v>3.4569700000000001</v>
      </c>
      <c r="T331">
        <v>-1.05989</v>
      </c>
      <c r="U331">
        <v>5.2459720000000001E-2</v>
      </c>
      <c r="V331">
        <v>-6.6455570000000005E-2</v>
      </c>
      <c r="W331">
        <v>0.29755219999999999</v>
      </c>
      <c r="X331">
        <v>0.95238979999999995</v>
      </c>
      <c r="Y331">
        <v>-1.370217E-2</v>
      </c>
      <c r="Z331">
        <v>1.878217E-3</v>
      </c>
      <c r="AA331">
        <v>0.99990429999999997</v>
      </c>
      <c r="AB331">
        <v>34</v>
      </c>
      <c r="AC331">
        <v>0.606899999999996</v>
      </c>
      <c r="AD331">
        <v>-0.240991399999999</v>
      </c>
      <c r="AE331">
        <v>1.15000000000122E-2</v>
      </c>
      <c r="AF331">
        <v>-9.4852901086683004E-3</v>
      </c>
      <c r="AG331">
        <v>-0.240991399999999</v>
      </c>
      <c r="AH331">
        <v>0.52427335618294302</v>
      </c>
      <c r="AI331">
        <v>114.683144689475</v>
      </c>
      <c r="AJ331">
        <v>91.036497083524196</v>
      </c>
      <c r="AK331">
        <v>0.57708697577205104</v>
      </c>
      <c r="AL331">
        <v>72.689358126983194</v>
      </c>
      <c r="AM331">
        <v>93.991498014229606</v>
      </c>
      <c r="AN331">
        <v>0.99999999282645202</v>
      </c>
    </row>
    <row r="332" spans="1:40" x14ac:dyDescent="0.25">
      <c r="A332" t="str">
        <f>"20190304164106444"</f>
        <v>20190304164106444</v>
      </c>
      <c r="B332" t="str">
        <f>"1551688866431457"</f>
        <v>1551688866431457</v>
      </c>
      <c r="C332" t="s">
        <v>40</v>
      </c>
      <c r="D332">
        <v>4.9389059999999896</v>
      </c>
      <c r="E332">
        <v>0.54487200000000002</v>
      </c>
      <c r="F332" t="s">
        <v>41</v>
      </c>
      <c r="G332">
        <v>-441.00850000000003</v>
      </c>
      <c r="H332">
        <v>0.83469839999999995</v>
      </c>
      <c r="I332">
        <v>366.78339999999997</v>
      </c>
      <c r="J332">
        <v>-441.61509999999998</v>
      </c>
      <c r="K332">
        <v>1.1104290000000001</v>
      </c>
      <c r="L332">
        <v>366.77100000000002</v>
      </c>
      <c r="M332">
        <v>0.99994059999999996</v>
      </c>
      <c r="N332">
        <v>-1.0853089999999999E-2</v>
      </c>
      <c r="O332">
        <v>1.006393E-3</v>
      </c>
      <c r="P332">
        <v>0.95541670000000001</v>
      </c>
      <c r="Q332">
        <v>0.28756549999999997</v>
      </c>
      <c r="R332">
        <v>6.697206E-2</v>
      </c>
      <c r="S332">
        <v>3.4578250000000001</v>
      </c>
      <c r="T332">
        <v>-1.066905</v>
      </c>
      <c r="U332">
        <v>5.059814E-2</v>
      </c>
      <c r="V332">
        <v>-6.6130350000000004E-2</v>
      </c>
      <c r="W332">
        <v>0.29789169999999998</v>
      </c>
      <c r="X332">
        <v>0.95230630000000005</v>
      </c>
      <c r="Y332">
        <v>-1.3039780000000001E-2</v>
      </c>
      <c r="Z332">
        <v>1.7455439999999999E-3</v>
      </c>
      <c r="AA332">
        <v>0.99991350000000001</v>
      </c>
      <c r="AB332">
        <v>34</v>
      </c>
      <c r="AC332">
        <v>0.60659999999995695</v>
      </c>
      <c r="AD332">
        <v>-0.27573059999999999</v>
      </c>
      <c r="AE332">
        <v>1.24000000000137E-2</v>
      </c>
      <c r="AF332">
        <v>-9.7713917466039496E-3</v>
      </c>
      <c r="AG332">
        <v>-0.27573059999999999</v>
      </c>
      <c r="AH332">
        <v>0.50277410825913704</v>
      </c>
      <c r="AI332">
        <v>118.73661550122</v>
      </c>
      <c r="AJ332">
        <v>91.113400678867905</v>
      </c>
      <c r="AK332">
        <v>0.57350209050080703</v>
      </c>
      <c r="AL332">
        <v>72.668982139413004</v>
      </c>
      <c r="AM332">
        <v>93.972374274954007</v>
      </c>
      <c r="AN332">
        <v>0.99999998856985095</v>
      </c>
    </row>
    <row r="333" spans="1:40" x14ac:dyDescent="0.25">
      <c r="A333" t="str">
        <f>"20190304164106456"</f>
        <v>20190304164106456</v>
      </c>
      <c r="B333" t="str">
        <f>"1551688866451952"</f>
        <v>1551688866451952</v>
      </c>
      <c r="C333" t="s">
        <v>40</v>
      </c>
      <c r="D333">
        <v>4.9238059999999999</v>
      </c>
      <c r="E333">
        <v>0.54480620000000002</v>
      </c>
      <c r="F333" t="s">
        <v>41</v>
      </c>
      <c r="G333">
        <v>-440.70909999999998</v>
      </c>
      <c r="H333">
        <v>0.83038940000000006</v>
      </c>
      <c r="I333">
        <v>366.78309999999999</v>
      </c>
      <c r="J333">
        <v>-441.40980000000002</v>
      </c>
      <c r="K333">
        <v>1.1104419999999999</v>
      </c>
      <c r="L333">
        <v>366.7713</v>
      </c>
      <c r="M333">
        <v>0.99993719999999997</v>
      </c>
      <c r="N333">
        <v>-1.1151609999999999E-2</v>
      </c>
      <c r="O333">
        <v>1.1146179999999999E-3</v>
      </c>
      <c r="P333">
        <v>0.9555167</v>
      </c>
      <c r="Q333">
        <v>0.28721160000000001</v>
      </c>
      <c r="R333">
        <v>6.7061040000000002E-2</v>
      </c>
      <c r="S333">
        <v>3.4584959999999998</v>
      </c>
      <c r="T333">
        <v>-1.0690580000000001</v>
      </c>
      <c r="U333">
        <v>4.6569819999999998E-2</v>
      </c>
      <c r="V333">
        <v>-6.6113619999999998E-2</v>
      </c>
      <c r="W333">
        <v>0.29782439999999999</v>
      </c>
      <c r="X333">
        <v>0.95232850000000002</v>
      </c>
      <c r="Y333">
        <v>-1.182505E-2</v>
      </c>
      <c r="Z333">
        <v>1.5288509999999999E-3</v>
      </c>
      <c r="AA333">
        <v>0.99992890000000001</v>
      </c>
      <c r="AB333">
        <v>34</v>
      </c>
      <c r="AC333">
        <v>0.70070000000003996</v>
      </c>
      <c r="AD333">
        <v>-0.28005259999999899</v>
      </c>
      <c r="AE333">
        <v>1.17999999999938E-2</v>
      </c>
      <c r="AF333">
        <v>-9.5015753818173503E-3</v>
      </c>
      <c r="AG333">
        <v>-0.28005259999999899</v>
      </c>
      <c r="AH333">
        <v>0.60422145734636001</v>
      </c>
      <c r="AI333">
        <v>114.864704678671</v>
      </c>
      <c r="AJ333">
        <v>90.900920174253898</v>
      </c>
      <c r="AK333">
        <v>0.66603551573415098</v>
      </c>
      <c r="AL333">
        <v>72.673021301030801</v>
      </c>
      <c r="AM333">
        <v>93.971280257557297</v>
      </c>
      <c r="AN333">
        <v>0.999999977948557</v>
      </c>
    </row>
    <row r="334" spans="1:40" x14ac:dyDescent="0.25">
      <c r="A334" t="str">
        <f>"20190304164106468"</f>
        <v>20190304164106468</v>
      </c>
      <c r="B334" t="str">
        <f>"1551688866461713"</f>
        <v>1551688866461713</v>
      </c>
      <c r="C334" t="s">
        <v>40</v>
      </c>
      <c r="D334">
        <v>4.954224</v>
      </c>
      <c r="E334">
        <v>0.54490459999999996</v>
      </c>
      <c r="F334" t="s">
        <v>41</v>
      </c>
      <c r="G334">
        <v>-440.68560000000002</v>
      </c>
      <c r="H334">
        <v>0.88525489999999996</v>
      </c>
      <c r="I334">
        <v>366.78089999999997</v>
      </c>
      <c r="J334">
        <v>-441.2414</v>
      </c>
      <c r="K334">
        <v>1.1103700000000001</v>
      </c>
      <c r="L334">
        <v>366.77159999999998</v>
      </c>
      <c r="M334">
        <v>0.99993779999999999</v>
      </c>
      <c r="N334">
        <v>-1.110063E-2</v>
      </c>
      <c r="O334">
        <v>1.2065239999999901E-3</v>
      </c>
      <c r="P334">
        <v>0.95545979999999997</v>
      </c>
      <c r="Q334">
        <v>0.2874179</v>
      </c>
      <c r="R334">
        <v>6.6992419999999997E-2</v>
      </c>
      <c r="S334">
        <v>3.4598080000000002</v>
      </c>
      <c r="T334">
        <v>-1.0758719999999999</v>
      </c>
      <c r="U334">
        <v>4.6417239999999999E-2</v>
      </c>
      <c r="V334">
        <v>-6.5955829999999993E-2</v>
      </c>
      <c r="W334">
        <v>0.29798190000000002</v>
      </c>
      <c r="X334">
        <v>0.95229019999999998</v>
      </c>
      <c r="Y334">
        <v>-1.1688749999999999E-2</v>
      </c>
      <c r="Z334">
        <v>1.4883959999999999E-3</v>
      </c>
      <c r="AA334">
        <v>0.9999306</v>
      </c>
      <c r="AB334">
        <v>34</v>
      </c>
      <c r="AC334">
        <v>0.55579999999997598</v>
      </c>
      <c r="AD334">
        <v>-0.22511509999999901</v>
      </c>
      <c r="AE334">
        <v>9.2999999999960892E-3</v>
      </c>
      <c r="AF334">
        <v>-7.4135284244983002E-3</v>
      </c>
      <c r="AG334">
        <v>-0.22511509999999901</v>
      </c>
      <c r="AH334">
        <v>0.477499656984262</v>
      </c>
      <c r="AI334">
        <v>115.23866316355399</v>
      </c>
      <c r="AJ334">
        <v>90.889487058747605</v>
      </c>
      <c r="AK334">
        <v>0.52795614502702704</v>
      </c>
      <c r="AL334">
        <v>72.663568475895204</v>
      </c>
      <c r="AM334">
        <v>93.961991257346</v>
      </c>
      <c r="AN334">
        <v>1.0000000046273101</v>
      </c>
    </row>
    <row r="335" spans="1:40" x14ac:dyDescent="0.25">
      <c r="A335" t="str">
        <f>"20190304164106481"</f>
        <v>20190304164106481</v>
      </c>
      <c r="B335" t="str">
        <f>"1551688866471473"</f>
        <v>1551688866471473</v>
      </c>
      <c r="C335" t="s">
        <v>40</v>
      </c>
      <c r="D335">
        <v>4.9670709999999998</v>
      </c>
      <c r="E335">
        <v>0.54491999999999996</v>
      </c>
      <c r="F335" t="s">
        <v>41</v>
      </c>
      <c r="G335">
        <v>-440.39769999999999</v>
      </c>
      <c r="H335">
        <v>0.84808050000000001</v>
      </c>
      <c r="I335">
        <v>366.78230000000002</v>
      </c>
      <c r="J335">
        <v>-441.05239999999998</v>
      </c>
      <c r="K335">
        <v>1.110233</v>
      </c>
      <c r="L335">
        <v>366.77190000000002</v>
      </c>
      <c r="M335">
        <v>0.99994050000000001</v>
      </c>
      <c r="N335">
        <v>-1.082751E-2</v>
      </c>
      <c r="O335">
        <v>1.312529E-3</v>
      </c>
      <c r="P335">
        <v>0.95541010000000004</v>
      </c>
      <c r="Q335">
        <v>0.28751059999999901</v>
      </c>
      <c r="R335">
        <v>6.7299979999999995E-2</v>
      </c>
      <c r="S335">
        <v>3.4602970000000002</v>
      </c>
      <c r="T335">
        <v>-1.075717</v>
      </c>
      <c r="U335">
        <v>4.4281010000000003E-2</v>
      </c>
      <c r="V335">
        <v>-6.6159270000000006E-2</v>
      </c>
      <c r="W335">
        <v>0.29781400000000002</v>
      </c>
      <c r="X335">
        <v>0.95232859999999997</v>
      </c>
      <c r="Y335">
        <v>-1.100275E-2</v>
      </c>
      <c r="Z335">
        <v>1.347018E-3</v>
      </c>
      <c r="AA335">
        <v>0.99993849999999995</v>
      </c>
      <c r="AB335">
        <v>34</v>
      </c>
      <c r="AC335">
        <v>0.65469999999999096</v>
      </c>
      <c r="AD335">
        <v>-0.26215250000000001</v>
      </c>
      <c r="AE335">
        <v>1.04000000000041E-2</v>
      </c>
      <c r="AF335">
        <v>-8.2226044287901801E-3</v>
      </c>
      <c r="AG335">
        <v>-0.26215250000000001</v>
      </c>
      <c r="AH335">
        <v>0.56426545284890794</v>
      </c>
      <c r="AI335">
        <v>114.91682002330001</v>
      </c>
      <c r="AJ335">
        <v>90.834868030274606</v>
      </c>
      <c r="AK335">
        <v>0.62224355822991495</v>
      </c>
      <c r="AL335">
        <v>72.673645806574697</v>
      </c>
      <c r="AM335">
        <v>93.974013140390497</v>
      </c>
      <c r="AN335">
        <v>0.99999999499044601</v>
      </c>
    </row>
    <row r="336" spans="1:40" x14ac:dyDescent="0.25">
      <c r="A336" t="str">
        <f>"20190304164106493"</f>
        <v>20190304164106493</v>
      </c>
      <c r="B336" t="str">
        <f>"1551688866481233"</f>
        <v>1551688866481233</v>
      </c>
      <c r="C336" t="s">
        <v>40</v>
      </c>
      <c r="D336">
        <v>5.2918500000000002</v>
      </c>
      <c r="E336">
        <v>0.54491999999999996</v>
      </c>
      <c r="F336" t="s">
        <v>41</v>
      </c>
      <c r="G336">
        <v>-440.37540000000001</v>
      </c>
      <c r="H336">
        <v>0.89990829999999999</v>
      </c>
      <c r="I336">
        <v>366.78070000000002</v>
      </c>
      <c r="J336">
        <v>-440.86410000000001</v>
      </c>
      <c r="K336">
        <v>1.110088</v>
      </c>
      <c r="L336">
        <v>366.7722</v>
      </c>
      <c r="M336">
        <v>0.99994209999999994</v>
      </c>
      <c r="N336">
        <v>-1.0670290000000001E-2</v>
      </c>
      <c r="O336">
        <v>1.417267E-3</v>
      </c>
      <c r="P336">
        <v>0.95535049999999999</v>
      </c>
      <c r="Q336">
        <v>0.28766009999999997</v>
      </c>
      <c r="R336">
        <v>6.7508090000000007E-2</v>
      </c>
      <c r="S336">
        <v>3.4603269999999902</v>
      </c>
      <c r="T336">
        <v>-1.0751649999999999</v>
      </c>
      <c r="U336">
        <v>4.5257569999999997E-2</v>
      </c>
      <c r="V336">
        <v>-6.6265530000000003E-2</v>
      </c>
      <c r="W336">
        <v>0.29781400000000002</v>
      </c>
      <c r="X336">
        <v>0.95232119999999998</v>
      </c>
      <c r="Y336">
        <v>-1.117697E-2</v>
      </c>
      <c r="Z336">
        <v>1.341985E-3</v>
      </c>
      <c r="AA336">
        <v>0.99993659999999995</v>
      </c>
      <c r="AB336">
        <v>34</v>
      </c>
      <c r="AC336">
        <v>0.48869999999999397</v>
      </c>
      <c r="AD336">
        <v>-0.210179699999999</v>
      </c>
      <c r="AE336">
        <v>8.5000000000263701E-3</v>
      </c>
      <c r="AF336">
        <v>-6.5889555940116798E-3</v>
      </c>
      <c r="AG336">
        <v>-0.210179699999999</v>
      </c>
      <c r="AH336">
        <v>0.41244538540898601</v>
      </c>
      <c r="AI336">
        <v>117.000161523782</v>
      </c>
      <c r="AJ336">
        <v>90.915241749443297</v>
      </c>
      <c r="AK336">
        <v>0.46295800735388098</v>
      </c>
      <c r="AL336">
        <v>72.673645601470497</v>
      </c>
      <c r="AM336">
        <v>93.980406228812996</v>
      </c>
      <c r="AN336">
        <v>0.99999998351580999</v>
      </c>
    </row>
    <row r="337" spans="1:40" x14ac:dyDescent="0.25">
      <c r="A337" t="str">
        <f>"20190304164106510"</f>
        <v>20190304164106510</v>
      </c>
      <c r="B337" t="str">
        <f>"1551688866501728"</f>
        <v>1551688866501728</v>
      </c>
      <c r="C337" t="s">
        <v>40</v>
      </c>
      <c r="D337">
        <v>4.8756469999999998</v>
      </c>
      <c r="E337">
        <v>0.52775450000000002</v>
      </c>
      <c r="F337" t="s">
        <v>41</v>
      </c>
      <c r="G337">
        <v>-440.08460000000002</v>
      </c>
      <c r="H337">
        <v>0.86805370000000004</v>
      </c>
      <c r="I337">
        <v>366.7824</v>
      </c>
      <c r="J337">
        <v>-440.60480000000001</v>
      </c>
      <c r="K337">
        <v>1.10988</v>
      </c>
      <c r="L337">
        <v>366.77269999999999</v>
      </c>
      <c r="M337">
        <v>0.99994130000000003</v>
      </c>
      <c r="N337">
        <v>-1.0724930000000001E-2</v>
      </c>
      <c r="O337">
        <v>1.5598089999999999E-3</v>
      </c>
      <c r="P337">
        <v>0.95528290000000005</v>
      </c>
      <c r="Q337">
        <v>0.28779379999999999</v>
      </c>
      <c r="R337">
        <v>6.7892190000000005E-2</v>
      </c>
      <c r="S337">
        <v>3.4605410000000001</v>
      </c>
      <c r="T337">
        <v>-1.0746739999999999</v>
      </c>
      <c r="U337">
        <v>4.6478270000000002E-2</v>
      </c>
      <c r="V337">
        <v>-6.6511710000000002E-2</v>
      </c>
      <c r="W337">
        <v>0.29799920000000002</v>
      </c>
      <c r="X337">
        <v>0.95224609999999998</v>
      </c>
      <c r="Y337">
        <v>-1.138285E-2</v>
      </c>
      <c r="Z337">
        <v>1.3323549999999999E-3</v>
      </c>
      <c r="AA337">
        <v>0.99993430000000005</v>
      </c>
      <c r="AB337">
        <v>34</v>
      </c>
      <c r="AC337">
        <v>0.52019999999998801</v>
      </c>
      <c r="AD337">
        <v>-0.24182629999999899</v>
      </c>
      <c r="AE337">
        <v>9.7000000000093695E-3</v>
      </c>
      <c r="AF337">
        <v>-7.30946119654331E-3</v>
      </c>
      <c r="AG337">
        <v>-0.24182629999999899</v>
      </c>
      <c r="AH337">
        <v>0.42779718959385898</v>
      </c>
      <c r="AI337">
        <v>119.475137532963</v>
      </c>
      <c r="AJ337">
        <v>90.978876297770597</v>
      </c>
      <c r="AK337">
        <v>0.49147108055212901</v>
      </c>
      <c r="AL337">
        <v>72.662529694293099</v>
      </c>
      <c r="AM337">
        <v>93.995459916196097</v>
      </c>
      <c r="AN337">
        <v>0.99999998286648695</v>
      </c>
    </row>
    <row r="338" spans="1:40" x14ac:dyDescent="0.25">
      <c r="A338" t="str">
        <f>"20190304164106524"</f>
        <v>20190304164106524</v>
      </c>
      <c r="B338" t="str">
        <f>"1551688866511489"</f>
        <v>1551688866511489</v>
      </c>
      <c r="C338" t="s">
        <v>40</v>
      </c>
      <c r="D338">
        <v>4.9019009999999996</v>
      </c>
      <c r="E338">
        <v>0.525065</v>
      </c>
      <c r="F338" t="s">
        <v>41</v>
      </c>
      <c r="G338">
        <v>-439.73759999999999</v>
      </c>
      <c r="H338">
        <v>0.96413890000000002</v>
      </c>
      <c r="I338">
        <v>366.80700000000002</v>
      </c>
      <c r="J338">
        <v>-440.40809999999999</v>
      </c>
      <c r="K338">
        <v>1.1097140000000001</v>
      </c>
      <c r="L338">
        <v>366.7731</v>
      </c>
      <c r="M338">
        <v>0.99993840000000001</v>
      </c>
      <c r="N338">
        <v>-1.099086E-2</v>
      </c>
      <c r="O338">
        <v>1.6660150000000001E-3</v>
      </c>
      <c r="P338">
        <v>0.9552754</v>
      </c>
      <c r="Q338">
        <v>0.28772189999999997</v>
      </c>
      <c r="R338">
        <v>6.8303379999999997E-2</v>
      </c>
      <c r="S338">
        <v>3.2980649999999998</v>
      </c>
      <c r="T338">
        <v>-0.55442950000000002</v>
      </c>
      <c r="U338">
        <v>0.13211059999999999</v>
      </c>
      <c r="V338">
        <v>-6.6819210000000004E-2</v>
      </c>
      <c r="W338">
        <v>0.29818129999999998</v>
      </c>
      <c r="X338">
        <v>0.9521676</v>
      </c>
      <c r="Y338">
        <v>-3.7815509999999997E-2</v>
      </c>
      <c r="Z338">
        <v>3.1047750000000002E-3</v>
      </c>
      <c r="AA338">
        <v>0.9992799</v>
      </c>
      <c r="AB338">
        <v>34</v>
      </c>
      <c r="AC338">
        <v>0.67050000000000398</v>
      </c>
      <c r="AD338">
        <v>-0.14557509999999901</v>
      </c>
      <c r="AE338">
        <v>3.3899999999959997E-2</v>
      </c>
      <c r="AF338">
        <v>-3.1310646016085297E-2</v>
      </c>
      <c r="AG338">
        <v>-0.14557509999999901</v>
      </c>
      <c r="AH338">
        <v>0.64044294541587998</v>
      </c>
      <c r="AI338">
        <v>102.791183864224</v>
      </c>
      <c r="AJ338">
        <v>92.798907618621499</v>
      </c>
      <c r="AK338">
        <v>0.65752538553801998</v>
      </c>
      <c r="AL338">
        <v>72.651599809312103</v>
      </c>
      <c r="AM338">
        <v>94.014201506483204</v>
      </c>
      <c r="AN338">
        <v>1.00000001649223</v>
      </c>
    </row>
    <row r="339" spans="1:40" x14ac:dyDescent="0.25">
      <c r="A339" t="str">
        <f>"20190304164106545"</f>
        <v>20190304164106545</v>
      </c>
      <c r="B339" t="str">
        <f>"1551688866531984"</f>
        <v>1551688866531984</v>
      </c>
      <c r="C339" t="s">
        <v>40</v>
      </c>
      <c r="D339">
        <v>4.8434759999999999</v>
      </c>
      <c r="E339">
        <v>0.52126099999999997</v>
      </c>
      <c r="F339" t="s">
        <v>41</v>
      </c>
      <c r="G339">
        <v>-439.4323</v>
      </c>
      <c r="H339">
        <v>0.96714599999999995</v>
      </c>
      <c r="I339">
        <v>366.81670000000003</v>
      </c>
      <c r="J339">
        <v>-440.08390000000003</v>
      </c>
      <c r="K339">
        <v>1.1092869999999999</v>
      </c>
      <c r="L339">
        <v>366.77379999999999</v>
      </c>
      <c r="M339">
        <v>0.99992840000000005</v>
      </c>
      <c r="N339">
        <v>-1.1825179999999999E-2</v>
      </c>
      <c r="O339">
        <v>1.8322810000000001E-3</v>
      </c>
      <c r="P339">
        <v>0.95546969999999998</v>
      </c>
      <c r="Q339">
        <v>0.28678880000000001</v>
      </c>
      <c r="R339">
        <v>6.9497929999999999E-2</v>
      </c>
      <c r="S339">
        <v>3.2740779999999998</v>
      </c>
      <c r="T339">
        <v>-0.47842790000000002</v>
      </c>
      <c r="U339">
        <v>0.14733889999999999</v>
      </c>
      <c r="V339">
        <v>-6.7851010000000003E-2</v>
      </c>
      <c r="W339">
        <v>0.29804570000000002</v>
      </c>
      <c r="X339">
        <v>0.95213709999999996</v>
      </c>
      <c r="Y339">
        <v>-4.2652809999999999E-2</v>
      </c>
      <c r="Z339">
        <v>3.1074599999999998E-3</v>
      </c>
      <c r="AA339">
        <v>0.99908509999999995</v>
      </c>
      <c r="AB339">
        <v>34</v>
      </c>
      <c r="AC339">
        <v>0.65160000000003004</v>
      </c>
      <c r="AD339">
        <v>-0.14214099999999999</v>
      </c>
      <c r="AE339">
        <v>4.2900000000031399E-2</v>
      </c>
      <c r="AF339">
        <v>-3.9819279330865098E-2</v>
      </c>
      <c r="AG339">
        <v>-0.14214099999999999</v>
      </c>
      <c r="AH339">
        <v>0.62219758533783698</v>
      </c>
      <c r="AI339">
        <v>102.84298620321</v>
      </c>
      <c r="AJ339">
        <v>93.661810286963799</v>
      </c>
      <c r="AK339">
        <v>0.63946811811666104</v>
      </c>
      <c r="AL339">
        <v>72.659739418282001</v>
      </c>
      <c r="AM339">
        <v>94.076110256056296</v>
      </c>
      <c r="AN339">
        <v>1.00000002802145</v>
      </c>
    </row>
    <row r="340" spans="1:40" x14ac:dyDescent="0.25">
      <c r="A340" t="str">
        <f>"20190304164106560"</f>
        <v>20190304164106560</v>
      </c>
      <c r="B340" t="str">
        <f>"1551688866551504"</f>
        <v>1551688866551504</v>
      </c>
      <c r="C340" t="s">
        <v>40</v>
      </c>
      <c r="D340">
        <v>4.8732049999999996</v>
      </c>
      <c r="E340">
        <v>0.51981129999999998</v>
      </c>
      <c r="F340" t="s">
        <v>41</v>
      </c>
      <c r="G340">
        <v>-439.11599999999999</v>
      </c>
      <c r="H340">
        <v>0.99326009999999998</v>
      </c>
      <c r="I340">
        <v>366.82510000000002</v>
      </c>
      <c r="J340">
        <v>-439.84500000000003</v>
      </c>
      <c r="K340">
        <v>1.1088290000000001</v>
      </c>
      <c r="L340">
        <v>366.77429999999998</v>
      </c>
      <c r="M340">
        <v>0.99991890000000005</v>
      </c>
      <c r="N340">
        <v>-1.258481E-2</v>
      </c>
      <c r="O340">
        <v>1.94765E-3</v>
      </c>
      <c r="P340">
        <v>0.95573379999999997</v>
      </c>
      <c r="Q340">
        <v>0.28579460000000001</v>
      </c>
      <c r="R340">
        <v>6.9958519999999996E-2</v>
      </c>
      <c r="S340">
        <v>3.2440799999999999</v>
      </c>
      <c r="T340">
        <v>-0.38894390000000001</v>
      </c>
      <c r="U340">
        <v>0.1717224</v>
      </c>
      <c r="V340">
        <v>-6.8198850000000005E-2</v>
      </c>
      <c r="W340">
        <v>0.29777799999999999</v>
      </c>
      <c r="X340">
        <v>0.95219600000000004</v>
      </c>
      <c r="Y340">
        <v>-5.0526969999999997E-2</v>
      </c>
      <c r="Z340">
        <v>3.127356E-3</v>
      </c>
      <c r="AA340">
        <v>0.99871779999999999</v>
      </c>
      <c r="AB340">
        <v>34</v>
      </c>
      <c r="AC340">
        <v>0.72900000000004095</v>
      </c>
      <c r="AD340">
        <v>-0.115568899999999</v>
      </c>
      <c r="AE340">
        <v>5.0800000000037898E-2</v>
      </c>
      <c r="AF340">
        <v>-4.8175069715663002E-2</v>
      </c>
      <c r="AG340">
        <v>-0.115568899999999</v>
      </c>
      <c r="AH340">
        <v>0.711307382413217</v>
      </c>
      <c r="AI340">
        <v>99.207699267768007</v>
      </c>
      <c r="AJ340">
        <v>93.874582798222406</v>
      </c>
      <c r="AK340">
        <v>0.722243172529074</v>
      </c>
      <c r="AL340">
        <v>72.675806958037398</v>
      </c>
      <c r="AM340">
        <v>94.096683007185305</v>
      </c>
      <c r="AN340">
        <v>1.0000000214206599</v>
      </c>
    </row>
    <row r="341" spans="1:40" x14ac:dyDescent="0.25">
      <c r="A341" t="str">
        <f>"20190304164106579"</f>
        <v>20190304164106579</v>
      </c>
      <c r="B341" t="str">
        <f>"1551688866572000"</f>
        <v>1551688866572000</v>
      </c>
      <c r="C341" t="s">
        <v>40</v>
      </c>
      <c r="D341">
        <v>4.8343800000000003</v>
      </c>
      <c r="E341">
        <v>0.51935169999999997</v>
      </c>
      <c r="F341" t="s">
        <v>43</v>
      </c>
      <c r="G341">
        <v>-429.0686</v>
      </c>
      <c r="H341">
        <v>-0.05</v>
      </c>
      <c r="I341">
        <v>367.37369999999999</v>
      </c>
      <c r="J341">
        <v>-439.57209999999998</v>
      </c>
      <c r="K341">
        <v>1.1081449999999999</v>
      </c>
      <c r="L341">
        <v>366.77499999999998</v>
      </c>
      <c r="M341">
        <v>0.9999036</v>
      </c>
      <c r="N341">
        <v>-1.374098E-2</v>
      </c>
      <c r="O341">
        <v>2.052651E-3</v>
      </c>
      <c r="P341">
        <v>0.95585229999999999</v>
      </c>
      <c r="Q341">
        <v>0.2852288</v>
      </c>
      <c r="R341">
        <v>7.064782E-2</v>
      </c>
      <c r="S341">
        <v>3.2296450000000001</v>
      </c>
      <c r="T341">
        <v>-0.34729549999999998</v>
      </c>
      <c r="U341">
        <v>0.17962649999999999</v>
      </c>
      <c r="V341">
        <v>-6.8786079999999999E-2</v>
      </c>
      <c r="W341">
        <v>0.298315</v>
      </c>
      <c r="X341">
        <v>0.95198559999999999</v>
      </c>
      <c r="Y341">
        <v>-5.3146579999999999E-2</v>
      </c>
      <c r="Z341">
        <v>3.0219439999999999E-3</v>
      </c>
      <c r="AA341">
        <v>0.99858210000000003</v>
      </c>
      <c r="AB341">
        <v>34</v>
      </c>
      <c r="AC341">
        <v>10.503499999999899</v>
      </c>
      <c r="AD341">
        <v>-1.158145</v>
      </c>
      <c r="AE341">
        <v>0.598700000000007</v>
      </c>
      <c r="AF341">
        <v>-0.57022639399992903</v>
      </c>
      <c r="AG341">
        <v>-1.158145</v>
      </c>
      <c r="AH341">
        <v>10.3789297909818</v>
      </c>
      <c r="AI341">
        <v>96.357567931909003</v>
      </c>
      <c r="AJ341">
        <v>93.144712691614103</v>
      </c>
      <c r="AK341">
        <v>10.458902503970901</v>
      </c>
      <c r="AL341">
        <v>72.643573327442994</v>
      </c>
      <c r="AM341">
        <v>94.1327460946748</v>
      </c>
      <c r="AN341">
        <v>0.99999997331706203</v>
      </c>
    </row>
    <row r="342" spans="1:40" x14ac:dyDescent="0.25">
      <c r="A342" t="str">
        <f>"20190304164106595"</f>
        <v>20190304164106595</v>
      </c>
      <c r="B342" t="str">
        <f>"1551688866581760"</f>
        <v>1551688866581760</v>
      </c>
      <c r="C342" t="s">
        <v>40</v>
      </c>
      <c r="D342">
        <v>4.8489069999999996</v>
      </c>
      <c r="E342">
        <v>0.5192582</v>
      </c>
      <c r="F342" t="s">
        <v>43</v>
      </c>
      <c r="G342">
        <v>-428.0933</v>
      </c>
      <c r="H342">
        <v>-0.05</v>
      </c>
      <c r="I342">
        <v>367.42340000000002</v>
      </c>
      <c r="J342">
        <v>-439.33440000000002</v>
      </c>
      <c r="K342">
        <v>1.107434</v>
      </c>
      <c r="L342">
        <v>366.77550000000002</v>
      </c>
      <c r="M342">
        <v>0.99988460000000001</v>
      </c>
      <c r="N342">
        <v>-1.5046439999999999E-2</v>
      </c>
      <c r="O342">
        <v>2.1287490000000001E-3</v>
      </c>
      <c r="P342">
        <v>0.9561982</v>
      </c>
      <c r="Q342">
        <v>0.28400570000000003</v>
      </c>
      <c r="R342">
        <v>7.0894879999999993E-2</v>
      </c>
      <c r="S342">
        <v>3.2220759999999999</v>
      </c>
      <c r="T342">
        <v>-0.32508710000000002</v>
      </c>
      <c r="U342">
        <v>0.1820068</v>
      </c>
      <c r="V342">
        <v>-6.8954810000000005E-2</v>
      </c>
      <c r="W342">
        <v>0.29834139999999998</v>
      </c>
      <c r="X342">
        <v>0.95196519999999996</v>
      </c>
      <c r="Y342">
        <v>-5.3965449999999998E-2</v>
      </c>
      <c r="Z342">
        <v>2.9387430000000002E-3</v>
      </c>
      <c r="AA342">
        <v>0.9985385</v>
      </c>
      <c r="AB342">
        <v>34</v>
      </c>
      <c r="AC342">
        <v>11.241099999999999</v>
      </c>
      <c r="AD342">
        <v>-1.1574340000000001</v>
      </c>
      <c r="AE342">
        <v>0.64789999999999204</v>
      </c>
      <c r="AF342">
        <v>-0.617442091391879</v>
      </c>
      <c r="AG342">
        <v>-1.1574340000000001</v>
      </c>
      <c r="AH342">
        <v>11.124901713218801</v>
      </c>
      <c r="AI342">
        <v>95.930617489264606</v>
      </c>
      <c r="AJ342">
        <v>93.176708387281394</v>
      </c>
      <c r="AK342">
        <v>11.2019786792047</v>
      </c>
      <c r="AL342">
        <v>72.641989916000398</v>
      </c>
      <c r="AM342">
        <v>94.142936800790693</v>
      </c>
      <c r="AN342">
        <v>1.0000000493935599</v>
      </c>
    </row>
    <row r="343" spans="1:40" x14ac:dyDescent="0.25">
      <c r="A343" t="str">
        <f>"20190304164106612"</f>
        <v>20190304164106612</v>
      </c>
      <c r="B343" t="str">
        <f>"1551688866601281"</f>
        <v>1551688866601281</v>
      </c>
      <c r="C343" t="s">
        <v>40</v>
      </c>
      <c r="D343">
        <v>4.8568680000000004</v>
      </c>
      <c r="E343">
        <v>0.51934279999999999</v>
      </c>
      <c r="F343" t="s">
        <v>43</v>
      </c>
      <c r="G343">
        <v>-427.74529999999999</v>
      </c>
      <c r="H343">
        <v>-0.05</v>
      </c>
      <c r="I343">
        <v>367.4316</v>
      </c>
      <c r="J343">
        <v>-439.07940000000002</v>
      </c>
      <c r="K343">
        <v>1.1065739999999999</v>
      </c>
      <c r="L343">
        <v>366.77609999999999</v>
      </c>
      <c r="M343">
        <v>0.99985939999999995</v>
      </c>
      <c r="N343">
        <v>-1.663369E-2</v>
      </c>
      <c r="O343">
        <v>2.1993189999999999E-3</v>
      </c>
      <c r="P343">
        <v>0.95669899999999997</v>
      </c>
      <c r="Q343">
        <v>0.28231620000000002</v>
      </c>
      <c r="R343">
        <v>7.0889499999999994E-2</v>
      </c>
      <c r="S343">
        <v>3.2193909999999999</v>
      </c>
      <c r="T343">
        <v>-0.32153150000000003</v>
      </c>
      <c r="U343">
        <v>0.182251</v>
      </c>
      <c r="V343">
        <v>-6.8872359999999994E-2</v>
      </c>
      <c r="W343">
        <v>0.29817310000000002</v>
      </c>
      <c r="X343">
        <v>0.95202390000000003</v>
      </c>
      <c r="Y343">
        <v>-5.4018389999999999E-2</v>
      </c>
      <c r="Z343">
        <v>2.9571720000000001E-3</v>
      </c>
      <c r="AA343">
        <v>0.99853559999999997</v>
      </c>
      <c r="AB343">
        <v>34</v>
      </c>
      <c r="AC343">
        <v>11.334099999999999</v>
      </c>
      <c r="AD343">
        <v>-1.156574</v>
      </c>
      <c r="AE343">
        <v>0.65550000000001696</v>
      </c>
      <c r="AF343">
        <v>-0.62409072162124601</v>
      </c>
      <c r="AG343">
        <v>-1.156574</v>
      </c>
      <c r="AH343">
        <v>11.219080432101</v>
      </c>
      <c r="AI343">
        <v>95.8768030411197</v>
      </c>
      <c r="AJ343">
        <v>93.183946278389001</v>
      </c>
      <c r="AK343">
        <v>11.2957920655544</v>
      </c>
      <c r="AL343">
        <v>72.652092676140299</v>
      </c>
      <c r="AM343">
        <v>94.137746010140106</v>
      </c>
      <c r="AN343">
        <v>1.0000000528533901</v>
      </c>
    </row>
    <row r="344" spans="1:40" x14ac:dyDescent="0.25">
      <c r="A344" t="str">
        <f>"20190304164106625"</f>
        <v>20190304164106625</v>
      </c>
      <c r="B344" t="str">
        <f>"1551688866612017"</f>
        <v>1551688866612017</v>
      </c>
      <c r="C344" t="s">
        <v>40</v>
      </c>
      <c r="D344">
        <v>4.8399549999999998</v>
      </c>
      <c r="E344">
        <v>0.51941199999999998</v>
      </c>
      <c r="F344" t="s">
        <v>43</v>
      </c>
      <c r="G344">
        <v>-427.35359999999997</v>
      </c>
      <c r="H344">
        <v>-0.05</v>
      </c>
      <c r="I344">
        <v>367.4341</v>
      </c>
      <c r="J344">
        <v>-438.87049999999999</v>
      </c>
      <c r="K344">
        <v>1.1057779999999999</v>
      </c>
      <c r="L344">
        <v>366.77659999999997</v>
      </c>
      <c r="M344">
        <v>0.99983560000000005</v>
      </c>
      <c r="N344">
        <v>-1.7998420000000001E-2</v>
      </c>
      <c r="O344">
        <v>2.2510590000000001E-3</v>
      </c>
      <c r="P344">
        <v>0.95703050000000001</v>
      </c>
      <c r="Q344">
        <v>0.2811727</v>
      </c>
      <c r="R344">
        <v>7.0956329999999998E-2</v>
      </c>
      <c r="S344">
        <v>3.2160030000000002</v>
      </c>
      <c r="T344">
        <v>-0.31721070000000001</v>
      </c>
      <c r="U344">
        <v>0.180481</v>
      </c>
      <c r="V344">
        <v>-6.8879999999999997E-2</v>
      </c>
      <c r="W344">
        <v>0.29833739999999997</v>
      </c>
      <c r="X344">
        <v>0.95197180000000003</v>
      </c>
      <c r="Y344">
        <v>-5.3484429999999999E-2</v>
      </c>
      <c r="Z344">
        <v>2.9314800000000002E-3</v>
      </c>
      <c r="AA344">
        <v>0.99856440000000002</v>
      </c>
      <c r="AB344">
        <v>34</v>
      </c>
      <c r="AC344">
        <v>11.5169</v>
      </c>
      <c r="AD344">
        <v>-1.155778</v>
      </c>
      <c r="AE344">
        <v>0.65750000000002695</v>
      </c>
      <c r="AF344">
        <v>-0.62529198438466405</v>
      </c>
      <c r="AG344">
        <v>-1.155778</v>
      </c>
      <c r="AH344">
        <v>11.403874474371699</v>
      </c>
      <c r="AI344">
        <v>95.778521894751293</v>
      </c>
      <c r="AJ344">
        <v>93.1384729979345</v>
      </c>
      <c r="AK344">
        <v>11.4793364737796</v>
      </c>
      <c r="AL344">
        <v>72.642228850753597</v>
      </c>
      <c r="AM344">
        <v>94.138429106017995</v>
      </c>
      <c r="AN344">
        <v>0.99999998331699902</v>
      </c>
    </row>
    <row r="345" spans="1:40" x14ac:dyDescent="0.25">
      <c r="A345" t="str">
        <f>"20190304164106638"</f>
        <v>20190304164106638</v>
      </c>
      <c r="B345" t="str">
        <f>"1551688866631536"</f>
        <v>1551688866631536</v>
      </c>
      <c r="C345" t="s">
        <v>40</v>
      </c>
      <c r="D345">
        <v>4.8581310000000002</v>
      </c>
      <c r="E345">
        <v>0.51963190000000004</v>
      </c>
      <c r="F345" t="s">
        <v>43</v>
      </c>
      <c r="G345">
        <v>-427.19200000000001</v>
      </c>
      <c r="H345">
        <v>-0.05</v>
      </c>
      <c r="I345">
        <v>367.43020000000001</v>
      </c>
      <c r="J345">
        <v>-438.67340000000002</v>
      </c>
      <c r="K345">
        <v>1.1049439999999999</v>
      </c>
      <c r="L345">
        <v>366.77710000000002</v>
      </c>
      <c r="M345">
        <v>0.99981189999999998</v>
      </c>
      <c r="N345">
        <v>-1.9263530000000001E-2</v>
      </c>
      <c r="O345">
        <v>2.2945130000000002E-3</v>
      </c>
      <c r="P345">
        <v>0.95742059999999996</v>
      </c>
      <c r="Q345">
        <v>0.27977259999999998</v>
      </c>
      <c r="R345">
        <v>7.1226250000000005E-2</v>
      </c>
      <c r="S345">
        <v>3.214874</v>
      </c>
      <c r="T345">
        <v>-0.31816609999999901</v>
      </c>
      <c r="U345">
        <v>0.1799316</v>
      </c>
      <c r="V345">
        <v>-6.9097119999999998E-2</v>
      </c>
      <c r="W345">
        <v>0.29815120000000001</v>
      </c>
      <c r="X345">
        <v>0.95201440000000004</v>
      </c>
      <c r="Y345">
        <v>-5.3286359999999998E-2</v>
      </c>
      <c r="Z345">
        <v>2.9612449999999999E-3</v>
      </c>
      <c r="AA345">
        <v>0.99857490000000004</v>
      </c>
      <c r="AB345">
        <v>33</v>
      </c>
      <c r="AC345">
        <v>11.481400000000001</v>
      </c>
      <c r="AD345">
        <v>-1.154944</v>
      </c>
      <c r="AE345">
        <v>0.65309999999999402</v>
      </c>
      <c r="AF345">
        <v>-0.62049075477433002</v>
      </c>
      <c r="AG345">
        <v>-1.154944</v>
      </c>
      <c r="AH345">
        <v>11.368206165954099</v>
      </c>
      <c r="AI345">
        <v>95.792453290986998</v>
      </c>
      <c r="AJ345">
        <v>93.124174558959098</v>
      </c>
      <c r="AK345">
        <v>11.4435578318779</v>
      </c>
      <c r="AL345">
        <v>72.653406013070196</v>
      </c>
      <c r="AM345">
        <v>94.151243397200204</v>
      </c>
      <c r="AN345">
        <v>0.99999998393054701</v>
      </c>
    </row>
    <row r="346" spans="1:40" x14ac:dyDescent="0.25">
      <c r="A346" t="str">
        <f>"20190304164106656"</f>
        <v>20190304164106656</v>
      </c>
      <c r="B346" t="str">
        <f>"1551688866641297"</f>
        <v>1551688866641297</v>
      </c>
      <c r="C346" t="s">
        <v>40</v>
      </c>
      <c r="D346">
        <v>4.83894</v>
      </c>
      <c r="E346">
        <v>0.51971729999999905</v>
      </c>
      <c r="F346" t="s">
        <v>43</v>
      </c>
      <c r="G346">
        <v>-427.03210000000001</v>
      </c>
      <c r="H346">
        <v>-0.05</v>
      </c>
      <c r="I346">
        <v>367.42529999999999</v>
      </c>
      <c r="J346">
        <v>-438.4135</v>
      </c>
      <c r="K346">
        <v>1.1036950000000001</v>
      </c>
      <c r="L346">
        <v>366.77769999999998</v>
      </c>
      <c r="M346">
        <v>0.99978579999999995</v>
      </c>
      <c r="N346">
        <v>-2.0567120000000001E-2</v>
      </c>
      <c r="O346">
        <v>2.3451100000000001E-3</v>
      </c>
      <c r="P346">
        <v>0.95786450000000001</v>
      </c>
      <c r="Q346">
        <v>0.27825699999999998</v>
      </c>
      <c r="R346">
        <v>7.1194300000000002E-2</v>
      </c>
      <c r="S346">
        <v>3.213257</v>
      </c>
      <c r="T346">
        <v>-0.31879099999999999</v>
      </c>
      <c r="U346">
        <v>0.17892459999999999</v>
      </c>
      <c r="V346">
        <v>-6.9001320000000005E-2</v>
      </c>
      <c r="W346">
        <v>0.29788999999999999</v>
      </c>
      <c r="X346">
        <v>0.95210309999999998</v>
      </c>
      <c r="Y346">
        <v>-5.2948910000000002E-2</v>
      </c>
      <c r="Z346">
        <v>2.9809049999999998E-3</v>
      </c>
      <c r="AA346">
        <v>0.99859279999999995</v>
      </c>
      <c r="AB346">
        <v>33</v>
      </c>
      <c r="AC346">
        <v>11.3813999999999</v>
      </c>
      <c r="AD346">
        <v>-1.1536949999999999</v>
      </c>
      <c r="AE346">
        <v>0.64760000000001094</v>
      </c>
      <c r="AF346">
        <v>-0.61460710255853002</v>
      </c>
      <c r="AG346">
        <v>-1.1536949999999999</v>
      </c>
      <c r="AH346">
        <v>11.2674855656168</v>
      </c>
      <c r="AI346">
        <v>95.837610216177197</v>
      </c>
      <c r="AJ346">
        <v>93.122216554250002</v>
      </c>
      <c r="AK346">
        <v>11.3430588914509</v>
      </c>
      <c r="AL346">
        <v>72.669083907807405</v>
      </c>
      <c r="AM346">
        <v>94.145123108829793</v>
      </c>
      <c r="AN346">
        <v>0.99999997364567506</v>
      </c>
    </row>
    <row r="347" spans="1:40" x14ac:dyDescent="0.25">
      <c r="A347" t="str">
        <f>"20190304164106669"</f>
        <v>20190304164106669</v>
      </c>
      <c r="B347" t="str">
        <f>"1551688866661793"</f>
        <v>1551688866661793</v>
      </c>
      <c r="C347" t="s">
        <v>40</v>
      </c>
      <c r="D347">
        <v>4.8325459999999998</v>
      </c>
      <c r="E347">
        <v>0.51993979999999995</v>
      </c>
      <c r="F347" t="s">
        <v>43</v>
      </c>
      <c r="G347">
        <v>-426.91460000000001</v>
      </c>
      <c r="H347">
        <v>-0.05</v>
      </c>
      <c r="I347">
        <v>367.41699999999997</v>
      </c>
      <c r="J347">
        <v>-438.1995</v>
      </c>
      <c r="K347">
        <v>1.102563</v>
      </c>
      <c r="L347">
        <v>366.7783</v>
      </c>
      <c r="M347">
        <v>0.99976830000000005</v>
      </c>
      <c r="N347">
        <v>-2.1399149999999999E-2</v>
      </c>
      <c r="O347">
        <v>2.3793270000000001E-3</v>
      </c>
      <c r="P347">
        <v>0.95809979999999995</v>
      </c>
      <c r="Q347">
        <v>0.2774836</v>
      </c>
      <c r="R347">
        <v>7.1046380000000006E-2</v>
      </c>
      <c r="S347">
        <v>3.2123110000000001</v>
      </c>
      <c r="T347">
        <v>-0.322293</v>
      </c>
      <c r="U347">
        <v>0.17858889999999999</v>
      </c>
      <c r="V347">
        <v>-6.8809579999999995E-2</v>
      </c>
      <c r="W347">
        <v>0.29791640000000003</v>
      </c>
      <c r="X347">
        <v>0.95210870000000003</v>
      </c>
      <c r="Y347">
        <v>-5.2819240000000003E-2</v>
      </c>
      <c r="Z347">
        <v>3.021241E-3</v>
      </c>
      <c r="AA347">
        <v>0.99859949999999997</v>
      </c>
      <c r="AB347">
        <v>33</v>
      </c>
      <c r="AC347">
        <v>11.284899999999899</v>
      </c>
      <c r="AD347">
        <v>-1.152563</v>
      </c>
      <c r="AE347">
        <v>0.63869999999997096</v>
      </c>
      <c r="AF347">
        <v>-0.60554518881349495</v>
      </c>
      <c r="AG347">
        <v>-1.152563</v>
      </c>
      <c r="AH347">
        <v>11.1702411956043</v>
      </c>
      <c r="AI347">
        <v>95.882444677259301</v>
      </c>
      <c r="AJ347">
        <v>93.102999798814494</v>
      </c>
      <c r="AK347">
        <v>11.2458603411495</v>
      </c>
      <c r="AL347">
        <v>72.667499077204198</v>
      </c>
      <c r="AM347">
        <v>94.133620447038297</v>
      </c>
      <c r="AN347">
        <v>0.99999995815221199</v>
      </c>
    </row>
    <row r="348" spans="1:40" x14ac:dyDescent="0.25">
      <c r="A348" t="str">
        <f>"20190304164106681"</f>
        <v>20190304164106681</v>
      </c>
      <c r="B348" t="str">
        <f>"1551688866671553"</f>
        <v>1551688866671553</v>
      </c>
      <c r="C348" t="s">
        <v>40</v>
      </c>
      <c r="D348">
        <v>4.7940529999999999</v>
      </c>
      <c r="E348">
        <v>0.51993420000000001</v>
      </c>
      <c r="F348" t="s">
        <v>43</v>
      </c>
      <c r="G348">
        <v>-426.69499999999999</v>
      </c>
      <c r="H348">
        <v>-0.05</v>
      </c>
      <c r="I348">
        <v>367.41030000000001</v>
      </c>
      <c r="J348">
        <v>-438.02379999999999</v>
      </c>
      <c r="K348">
        <v>1.101588</v>
      </c>
      <c r="L348">
        <v>366.77870000000001</v>
      </c>
      <c r="M348">
        <v>0.99975559999999997</v>
      </c>
      <c r="N348">
        <v>-2.1977480000000001E-2</v>
      </c>
      <c r="O348">
        <v>2.4037870000000001E-3</v>
      </c>
      <c r="P348">
        <v>0.9582001</v>
      </c>
      <c r="Q348">
        <v>0.27711920000000001</v>
      </c>
      <c r="R348">
        <v>7.1117680000000003E-2</v>
      </c>
      <c r="S348">
        <v>3.2113040000000002</v>
      </c>
      <c r="T348">
        <v>-0.32172060000000002</v>
      </c>
      <c r="U348">
        <v>0.1764221</v>
      </c>
      <c r="V348">
        <v>-6.8849339999999995E-2</v>
      </c>
      <c r="W348">
        <v>0.2981066</v>
      </c>
      <c r="X348">
        <v>0.95204630000000001</v>
      </c>
      <c r="Y348">
        <v>-5.2143750000000003E-2</v>
      </c>
      <c r="Z348">
        <v>2.9914049999999999E-3</v>
      </c>
      <c r="AA348">
        <v>0.9986351</v>
      </c>
      <c r="AB348">
        <v>34</v>
      </c>
      <c r="AC348">
        <v>11.328799999999999</v>
      </c>
      <c r="AD348">
        <v>-1.1515879999999901</v>
      </c>
      <c r="AE348">
        <v>0.63159999999999095</v>
      </c>
      <c r="AF348">
        <v>-0.59819755144758102</v>
      </c>
      <c r="AG348">
        <v>-1.1515879999999901</v>
      </c>
      <c r="AH348">
        <v>11.214762780618599</v>
      </c>
      <c r="AI348">
        <v>95.854603891863206</v>
      </c>
      <c r="AJ348">
        <v>93.053274125576706</v>
      </c>
      <c r="AK348">
        <v>11.2895925284241</v>
      </c>
      <c r="AL348">
        <v>72.656082842217501</v>
      </c>
      <c r="AM348">
        <v>94.136270821132797</v>
      </c>
      <c r="AN348">
        <v>0.99999996696284199</v>
      </c>
    </row>
    <row r="349" spans="1:40" x14ac:dyDescent="0.25">
      <c r="A349" t="str">
        <f>"20190304164106701"</f>
        <v>20190304164106701</v>
      </c>
      <c r="B349" t="str">
        <f>"1551688866692048"</f>
        <v>1551688866692048</v>
      </c>
      <c r="C349" t="s">
        <v>40</v>
      </c>
      <c r="D349">
        <v>4.8093490000000001</v>
      </c>
      <c r="E349">
        <v>0.51999110000000004</v>
      </c>
      <c r="F349" t="s">
        <v>43</v>
      </c>
      <c r="G349">
        <v>-426.5016</v>
      </c>
      <c r="H349">
        <v>-0.05</v>
      </c>
      <c r="I349">
        <v>367.41410000000002</v>
      </c>
      <c r="J349">
        <v>-437.72770000000003</v>
      </c>
      <c r="K349">
        <v>1.0998209999999999</v>
      </c>
      <c r="L349">
        <v>366.77940000000001</v>
      </c>
      <c r="M349">
        <v>0.99973869999999998</v>
      </c>
      <c r="N349">
        <v>-2.2730609999999998E-2</v>
      </c>
      <c r="O349">
        <v>2.4314129999999999E-3</v>
      </c>
      <c r="P349">
        <v>0.95846100000000001</v>
      </c>
      <c r="Q349">
        <v>0.27633930000000001</v>
      </c>
      <c r="R349">
        <v>7.0634020000000006E-2</v>
      </c>
      <c r="S349">
        <v>3.2105709999999998</v>
      </c>
      <c r="T349">
        <v>-0.32088050000000001</v>
      </c>
      <c r="U349">
        <v>0.17703250000000001</v>
      </c>
      <c r="V349">
        <v>-6.8329840000000003E-2</v>
      </c>
      <c r="W349">
        <v>0.29805199999999998</v>
      </c>
      <c r="X349">
        <v>0.95210090000000003</v>
      </c>
      <c r="Y349">
        <v>-5.2316109999999999E-2</v>
      </c>
      <c r="Z349">
        <v>3.0157449999999998E-3</v>
      </c>
      <c r="AA349">
        <v>0.99862600000000001</v>
      </c>
      <c r="AB349">
        <v>34</v>
      </c>
      <c r="AC349">
        <v>11.226100000000001</v>
      </c>
      <c r="AD349">
        <v>-1.149821</v>
      </c>
      <c r="AE349">
        <v>0.63470000000000903</v>
      </c>
      <c r="AF349">
        <v>-0.60110984055022398</v>
      </c>
      <c r="AG349">
        <v>-1.149821</v>
      </c>
      <c r="AH349">
        <v>11.1114157920324</v>
      </c>
      <c r="AI349">
        <v>95.899433710881894</v>
      </c>
      <c r="AJ349">
        <v>93.096591611905893</v>
      </c>
      <c r="AK349">
        <v>11.186911203539401</v>
      </c>
      <c r="AL349">
        <v>72.659361531863695</v>
      </c>
      <c r="AM349">
        <v>94.104933243625695</v>
      </c>
      <c r="AN349">
        <v>1.0000000427596101</v>
      </c>
    </row>
    <row r="350" spans="1:40" x14ac:dyDescent="0.25">
      <c r="A350" t="str">
        <f>"20190304164106714"</f>
        <v>20190304164106714</v>
      </c>
      <c r="B350" t="str">
        <f>"1551688866701809"</f>
        <v>1551688866701809</v>
      </c>
      <c r="C350" t="s">
        <v>40</v>
      </c>
      <c r="D350">
        <v>4.787452</v>
      </c>
      <c r="E350">
        <v>0.51998690000000003</v>
      </c>
      <c r="F350" t="s">
        <v>43</v>
      </c>
      <c r="G350">
        <v>-426.10980000000001</v>
      </c>
      <c r="H350">
        <v>-0.05</v>
      </c>
      <c r="I350">
        <v>367.41180000000003</v>
      </c>
      <c r="J350">
        <v>-437.53390000000002</v>
      </c>
      <c r="K350">
        <v>1.0985819999999999</v>
      </c>
      <c r="L350">
        <v>366.7799</v>
      </c>
      <c r="M350">
        <v>0.99973009999999995</v>
      </c>
      <c r="N350">
        <v>-2.3105819999999999E-2</v>
      </c>
      <c r="O350">
        <v>2.4424759999999998E-3</v>
      </c>
      <c r="P350">
        <v>0.9585941</v>
      </c>
      <c r="Q350">
        <v>0.2759162</v>
      </c>
      <c r="R350">
        <v>7.0481550000000004E-2</v>
      </c>
      <c r="S350">
        <v>3.20871</v>
      </c>
      <c r="T350">
        <v>-0.31756760000000001</v>
      </c>
      <c r="U350">
        <v>0.1746521</v>
      </c>
      <c r="V350">
        <v>-6.8162780000000006E-2</v>
      </c>
      <c r="W350">
        <v>0.29799059999999999</v>
      </c>
      <c r="X350">
        <v>0.95213199999999998</v>
      </c>
      <c r="Y350">
        <v>-5.1606949999999999E-2</v>
      </c>
      <c r="Z350">
        <v>2.9595450000000001E-3</v>
      </c>
      <c r="AA350">
        <v>0.99866310000000003</v>
      </c>
      <c r="AB350">
        <v>34</v>
      </c>
      <c r="AC350">
        <v>11.424099999999999</v>
      </c>
      <c r="AD350">
        <v>-1.148582</v>
      </c>
      <c r="AE350">
        <v>0.63190000000002999</v>
      </c>
      <c r="AF350">
        <v>-0.59796160907881402</v>
      </c>
      <c r="AG350">
        <v>-1.148582</v>
      </c>
      <c r="AH350">
        <v>11.311616766089699</v>
      </c>
      <c r="AI350">
        <v>95.789914657808097</v>
      </c>
      <c r="AJ350">
        <v>93.025988000267503</v>
      </c>
      <c r="AK350">
        <v>11.385493953252</v>
      </c>
      <c r="AL350">
        <v>72.6630453710046</v>
      </c>
      <c r="AM350">
        <v>94.094797952905594</v>
      </c>
      <c r="AN350">
        <v>0.99999995384484297</v>
      </c>
    </row>
    <row r="351" spans="1:40" x14ac:dyDescent="0.25">
      <c r="A351" t="str">
        <f>"20190304164106727"</f>
        <v>20190304164106727</v>
      </c>
      <c r="B351" t="str">
        <f>"1551688866721328"</f>
        <v>1551688866721328</v>
      </c>
      <c r="C351" t="s">
        <v>40</v>
      </c>
      <c r="D351">
        <v>4.7898709999999998</v>
      </c>
      <c r="E351">
        <v>0.52003959999999905</v>
      </c>
      <c r="F351" t="s">
        <v>43</v>
      </c>
      <c r="G351">
        <v>-425.87900000000002</v>
      </c>
      <c r="H351">
        <v>-0.05</v>
      </c>
      <c r="I351">
        <v>367.40940000000001</v>
      </c>
      <c r="J351">
        <v>-437.34059999999999</v>
      </c>
      <c r="K351">
        <v>1.097315</v>
      </c>
      <c r="L351">
        <v>366.78039999999999</v>
      </c>
      <c r="M351">
        <v>0.99972289999999997</v>
      </c>
      <c r="N351">
        <v>-2.3415789999999999E-2</v>
      </c>
      <c r="O351">
        <v>2.4492099999999998E-3</v>
      </c>
      <c r="P351">
        <v>0.95868109999999995</v>
      </c>
      <c r="Q351">
        <v>0.27572400000000002</v>
      </c>
      <c r="R351">
        <v>7.0049100000000003E-2</v>
      </c>
      <c r="S351">
        <v>3.2078549999999999</v>
      </c>
      <c r="T351">
        <v>-0.31613229999999998</v>
      </c>
      <c r="U351">
        <v>0.17324829999999999</v>
      </c>
      <c r="V351">
        <v>-6.7720959999999997E-2</v>
      </c>
      <c r="W351">
        <v>0.29809570000000002</v>
      </c>
      <c r="X351">
        <v>0.9521307</v>
      </c>
      <c r="Y351">
        <v>-5.1182909999999998E-2</v>
      </c>
      <c r="Z351">
        <v>2.9322689999999999E-3</v>
      </c>
      <c r="AA351">
        <v>0.99868500000000004</v>
      </c>
      <c r="AB351">
        <v>34</v>
      </c>
      <c r="AC351">
        <v>11.461599999999899</v>
      </c>
      <c r="AD351">
        <v>-1.1473149999999901</v>
      </c>
      <c r="AE351">
        <v>0.62900000000001899</v>
      </c>
      <c r="AF351">
        <v>-0.59497470710450895</v>
      </c>
      <c r="AG351">
        <v>-1.1473149999999901</v>
      </c>
      <c r="AH351">
        <v>11.3497219790752</v>
      </c>
      <c r="AI351">
        <v>95.764416964287904</v>
      </c>
      <c r="AJ351">
        <v>93.000810447916706</v>
      </c>
      <c r="AK351">
        <v>11.4230694479908</v>
      </c>
      <c r="AL351">
        <v>72.656738103860306</v>
      </c>
      <c r="AM351">
        <v>94.0683510904515</v>
      </c>
      <c r="AN351">
        <v>1.0000000223321499</v>
      </c>
    </row>
    <row r="352" spans="1:40" x14ac:dyDescent="0.25">
      <c r="A352" t="str">
        <f>"20190304164106746"</f>
        <v>20190304164106746</v>
      </c>
      <c r="B352" t="str">
        <f>"1551688866732065"</f>
        <v>1551688866732065</v>
      </c>
      <c r="C352" t="s">
        <v>40</v>
      </c>
      <c r="D352">
        <v>4.7691319999999999</v>
      </c>
      <c r="E352">
        <v>0.52004659999999903</v>
      </c>
      <c r="F352" t="s">
        <v>43</v>
      </c>
      <c r="G352">
        <v>-425.55770000000001</v>
      </c>
      <c r="H352">
        <v>-0.05</v>
      </c>
      <c r="I352">
        <v>367.4092</v>
      </c>
      <c r="J352">
        <v>-437.05959999999999</v>
      </c>
      <c r="K352">
        <v>1.0953710000000001</v>
      </c>
      <c r="L352">
        <v>366.78120000000001</v>
      </c>
      <c r="M352">
        <v>0.99971650000000001</v>
      </c>
      <c r="N352">
        <v>-2.3688799999999999E-2</v>
      </c>
      <c r="O352">
        <v>2.4503369999999999E-3</v>
      </c>
      <c r="P352">
        <v>0.9588816</v>
      </c>
      <c r="Q352">
        <v>0.27522760000000002</v>
      </c>
      <c r="R352">
        <v>6.9255059999999993E-2</v>
      </c>
      <c r="S352">
        <v>3.2066349999999999</v>
      </c>
      <c r="T352">
        <v>-0.31223299999999998</v>
      </c>
      <c r="U352">
        <v>0.17111209999999999</v>
      </c>
      <c r="V352">
        <v>-6.6923750000000004E-2</v>
      </c>
      <c r="W352">
        <v>0.29786489999999999</v>
      </c>
      <c r="X352">
        <v>0.95225919999999997</v>
      </c>
      <c r="Y352">
        <v>-5.0548160000000002E-2</v>
      </c>
      <c r="Z352">
        <v>2.874452E-3</v>
      </c>
      <c r="AA352">
        <v>0.99871750000000004</v>
      </c>
      <c r="AB352">
        <v>34</v>
      </c>
      <c r="AC352">
        <v>11.5018999999999</v>
      </c>
      <c r="AD352">
        <v>-1.1453709999999999</v>
      </c>
      <c r="AE352">
        <v>0.62799999999998501</v>
      </c>
      <c r="AF352">
        <v>-0.59393449995811198</v>
      </c>
      <c r="AG352">
        <v>-1.1453709999999999</v>
      </c>
      <c r="AH352">
        <v>11.390785066458999</v>
      </c>
      <c r="AI352">
        <v>95.734191735038095</v>
      </c>
      <c r="AJ352">
        <v>92.984794331228201</v>
      </c>
      <c r="AK352">
        <v>11.4636214761369</v>
      </c>
      <c r="AL352">
        <v>72.670589739021395</v>
      </c>
      <c r="AM352">
        <v>94.0200757569757</v>
      </c>
      <c r="AN352">
        <v>0.99999993547535404</v>
      </c>
    </row>
    <row r="353" spans="1:40" x14ac:dyDescent="0.25">
      <c r="A353" t="str">
        <f>"20190304164106760"</f>
        <v>20190304164106760</v>
      </c>
      <c r="B353" t="str">
        <f>"1551688866751585"</f>
        <v>1551688866751585</v>
      </c>
      <c r="C353" t="s">
        <v>40</v>
      </c>
      <c r="D353">
        <v>4.7761870000000002</v>
      </c>
      <c r="E353">
        <v>0.52021149999999905</v>
      </c>
      <c r="F353" t="s">
        <v>43</v>
      </c>
      <c r="G353">
        <v>-425.27969999999999</v>
      </c>
      <c r="H353">
        <v>-0.05</v>
      </c>
      <c r="I353">
        <v>367.40179999999998</v>
      </c>
      <c r="J353">
        <v>-436.84030000000001</v>
      </c>
      <c r="K353">
        <v>1.0937650000000001</v>
      </c>
      <c r="L353">
        <v>366.7817</v>
      </c>
      <c r="M353">
        <v>0.99971489999999996</v>
      </c>
      <c r="N353">
        <v>-2.3753719999999999E-2</v>
      </c>
      <c r="O353">
        <v>2.451937E-3</v>
      </c>
      <c r="P353">
        <v>0.95890249999999999</v>
      </c>
      <c r="Q353">
        <v>0.27523389999999998</v>
      </c>
      <c r="R353">
        <v>6.8936849999999994E-2</v>
      </c>
      <c r="S353">
        <v>3.2058719999999998</v>
      </c>
      <c r="T353">
        <v>-0.3117106</v>
      </c>
      <c r="U353">
        <v>0.1689148</v>
      </c>
      <c r="V353">
        <v>-6.6600309999999996E-2</v>
      </c>
      <c r="W353">
        <v>0.29793409999999998</v>
      </c>
      <c r="X353">
        <v>0.95226029999999995</v>
      </c>
      <c r="Y353">
        <v>-4.9881090000000003E-2</v>
      </c>
      <c r="Z353">
        <v>2.8327180000000001E-3</v>
      </c>
      <c r="AA353">
        <v>0.99875119999999895</v>
      </c>
      <c r="AB353">
        <v>34</v>
      </c>
      <c r="AC353">
        <v>11.560600000000001</v>
      </c>
      <c r="AD353">
        <v>-1.1437649999999999</v>
      </c>
      <c r="AE353">
        <v>0.620099999999979</v>
      </c>
      <c r="AF353">
        <v>-0.58602447323408002</v>
      </c>
      <c r="AG353">
        <v>-1.1437649999999999</v>
      </c>
      <c r="AH353">
        <v>11.450326975563501</v>
      </c>
      <c r="AI353">
        <v>95.6969053879331</v>
      </c>
      <c r="AJ353">
        <v>92.929825368107004</v>
      </c>
      <c r="AK353">
        <v>11.5222224811783</v>
      </c>
      <c r="AL353">
        <v>72.6664375199706</v>
      </c>
      <c r="AM353">
        <v>94.000705516229701</v>
      </c>
      <c r="AN353">
        <v>1.0000000040954899</v>
      </c>
    </row>
    <row r="354" spans="1:40" x14ac:dyDescent="0.25">
      <c r="A354" t="str">
        <f>"20190304164106773"</f>
        <v>20190304164106773</v>
      </c>
      <c r="B354" t="str">
        <f>"1551688866761344"</f>
        <v>1551688866761344</v>
      </c>
      <c r="C354" t="s">
        <v>40</v>
      </c>
      <c r="D354">
        <v>4.7747529999999996</v>
      </c>
      <c r="E354">
        <v>0.52031839999999996</v>
      </c>
      <c r="F354" t="s">
        <v>43</v>
      </c>
      <c r="G354">
        <v>-425.05270000000002</v>
      </c>
      <c r="H354">
        <v>-0.05</v>
      </c>
      <c r="I354">
        <v>367.39490000000001</v>
      </c>
      <c r="J354">
        <v>-436.64920000000001</v>
      </c>
      <c r="K354">
        <v>1.092293</v>
      </c>
      <c r="L354">
        <v>366.78219999999999</v>
      </c>
      <c r="M354">
        <v>0.99971690000000002</v>
      </c>
      <c r="N354">
        <v>-2.3670440000000001E-2</v>
      </c>
      <c r="O354">
        <v>2.456649E-3</v>
      </c>
      <c r="P354">
        <v>0.95895790000000003</v>
      </c>
      <c r="Q354">
        <v>0.27517350000000002</v>
      </c>
      <c r="R354">
        <v>6.8407889999999999E-2</v>
      </c>
      <c r="S354">
        <v>3.2058719999999998</v>
      </c>
      <c r="T354">
        <v>-0.31106899999999998</v>
      </c>
      <c r="U354">
        <v>0.1667786</v>
      </c>
      <c r="V354">
        <v>-6.6062910000000002E-2</v>
      </c>
      <c r="W354">
        <v>0.29779670000000003</v>
      </c>
      <c r="X354">
        <v>0.95234070000000004</v>
      </c>
      <c r="Y354">
        <v>-4.9217810000000001E-2</v>
      </c>
      <c r="Z354">
        <v>2.7856769999999999E-3</v>
      </c>
      <c r="AA354">
        <v>0.99878420000000001</v>
      </c>
      <c r="AB354">
        <v>34</v>
      </c>
      <c r="AC354">
        <v>11.596499999999899</v>
      </c>
      <c r="AD354">
        <v>-1.142293</v>
      </c>
      <c r="AE354">
        <v>0.61270000000001801</v>
      </c>
      <c r="AF354">
        <v>-0.57860314356676401</v>
      </c>
      <c r="AG354">
        <v>-1.142293</v>
      </c>
      <c r="AH354">
        <v>11.486825443757001</v>
      </c>
      <c r="AI354">
        <v>95.671892247052099</v>
      </c>
      <c r="AJ354">
        <v>92.883609846994005</v>
      </c>
      <c r="AK354">
        <v>11.557974462289501</v>
      </c>
      <c r="AL354">
        <v>72.674684149533107</v>
      </c>
      <c r="AM354">
        <v>93.968193296534395</v>
      </c>
      <c r="AN354">
        <v>0.99999999574252396</v>
      </c>
    </row>
    <row r="355" spans="1:40" x14ac:dyDescent="0.25">
      <c r="A355" t="str">
        <f>"20190304164106792"</f>
        <v>20190304164106792</v>
      </c>
      <c r="B355" t="str">
        <f>"1551688866781839"</f>
        <v>1551688866781839</v>
      </c>
      <c r="C355" t="s">
        <v>40</v>
      </c>
      <c r="D355">
        <v>4.72037</v>
      </c>
      <c r="E355">
        <v>0.52046349999999997</v>
      </c>
      <c r="F355" t="s">
        <v>43</v>
      </c>
      <c r="G355">
        <v>-424.88209999999998</v>
      </c>
      <c r="H355">
        <v>-0.05</v>
      </c>
      <c r="I355">
        <v>367.38380000000001</v>
      </c>
      <c r="J355">
        <v>-436.36849999999998</v>
      </c>
      <c r="K355">
        <v>1.090082</v>
      </c>
      <c r="L355">
        <v>366.78289999999998</v>
      </c>
      <c r="M355">
        <v>0.99972179999999999</v>
      </c>
      <c r="N355">
        <v>-2.3461289999999999E-2</v>
      </c>
      <c r="O355">
        <v>2.4647929999999998E-3</v>
      </c>
      <c r="P355">
        <v>0.9588295</v>
      </c>
      <c r="Q355">
        <v>0.27565859999999998</v>
      </c>
      <c r="R355">
        <v>6.8254720000000005E-2</v>
      </c>
      <c r="S355">
        <v>3.205994</v>
      </c>
      <c r="T355">
        <v>-0.31122309999999997</v>
      </c>
      <c r="U355">
        <v>0.1639099</v>
      </c>
      <c r="V355">
        <v>-6.5896490000000002E-2</v>
      </c>
      <c r="W355">
        <v>0.29808069999999998</v>
      </c>
      <c r="X355">
        <v>0.95226339999999998</v>
      </c>
      <c r="Y355">
        <v>-4.8321910000000003E-2</v>
      </c>
      <c r="Z355">
        <v>2.726507E-3</v>
      </c>
      <c r="AA355">
        <v>0.9988281</v>
      </c>
      <c r="AB355">
        <v>34</v>
      </c>
      <c r="AC355">
        <v>11.4864</v>
      </c>
      <c r="AD355">
        <v>-1.140082</v>
      </c>
      <c r="AE355">
        <v>0.60090000000002397</v>
      </c>
      <c r="AF355">
        <v>-0.56700812299717096</v>
      </c>
      <c r="AG355">
        <v>-1.140082</v>
      </c>
      <c r="AH355">
        <v>11.3760805093531</v>
      </c>
      <c r="AI355">
        <v>95.715881250140896</v>
      </c>
      <c r="AJ355">
        <v>92.853382624993998</v>
      </c>
      <c r="AK355">
        <v>11.447117232454399</v>
      </c>
      <c r="AL355">
        <v>72.657638378176301</v>
      </c>
      <c r="AM355">
        <v>93.958549068502805</v>
      </c>
      <c r="AN355">
        <v>1.00000001704318</v>
      </c>
    </row>
    <row r="356" spans="1:40" x14ac:dyDescent="0.25">
      <c r="A356" t="str">
        <f>"20190304164106806"</f>
        <v>20190304164106806</v>
      </c>
      <c r="B356" t="str">
        <f>"1551688866791600"</f>
        <v>1551688866791600</v>
      </c>
      <c r="C356" t="s">
        <v>40</v>
      </c>
      <c r="D356">
        <v>4.717435</v>
      </c>
      <c r="E356">
        <v>0.52055499999999999</v>
      </c>
      <c r="F356" t="s">
        <v>43</v>
      </c>
      <c r="G356">
        <v>-424.53269999999998</v>
      </c>
      <c r="H356">
        <v>-0.05</v>
      </c>
      <c r="I356">
        <v>367.37979999999999</v>
      </c>
      <c r="J356">
        <v>-436.1551</v>
      </c>
      <c r="K356">
        <v>1.0883700000000001</v>
      </c>
      <c r="L356">
        <v>366.78339999999997</v>
      </c>
      <c r="M356">
        <v>0.99972660000000002</v>
      </c>
      <c r="N356">
        <v>-2.3252950000000001E-2</v>
      </c>
      <c r="O356">
        <v>2.4709480000000002E-3</v>
      </c>
      <c r="P356">
        <v>0.95881349999999999</v>
      </c>
      <c r="Q356">
        <v>0.27576869999999998</v>
      </c>
      <c r="R356">
        <v>6.8032800000000004E-2</v>
      </c>
      <c r="S356">
        <v>3.2060550000000001</v>
      </c>
      <c r="T356">
        <v>-0.30882110000000002</v>
      </c>
      <c r="U356">
        <v>0.1616821</v>
      </c>
      <c r="V356">
        <v>-6.5664539999999993E-2</v>
      </c>
      <c r="W356">
        <v>0.29799229999999999</v>
      </c>
      <c r="X356">
        <v>0.95230700000000001</v>
      </c>
      <c r="Y356">
        <v>-4.7630810000000003E-2</v>
      </c>
      <c r="Z356">
        <v>2.6630730000000002E-3</v>
      </c>
      <c r="AA356">
        <v>0.99886140000000001</v>
      </c>
      <c r="AB356">
        <v>34</v>
      </c>
      <c r="AC356">
        <v>11.622400000000001</v>
      </c>
      <c r="AD356">
        <v>-1.1383700000000001</v>
      </c>
      <c r="AE356">
        <v>0.59640000000001603</v>
      </c>
      <c r="AF356">
        <v>-0.56229190864671796</v>
      </c>
      <c r="AG356">
        <v>-1.1383700000000001</v>
      </c>
      <c r="AH356">
        <v>11.5136727073439</v>
      </c>
      <c r="AI356">
        <v>95.639869499037204</v>
      </c>
      <c r="AJ356">
        <v>92.795926000925405</v>
      </c>
      <c r="AK356">
        <v>11.583467428160899</v>
      </c>
      <c r="AL356">
        <v>72.662942949931406</v>
      </c>
      <c r="AM356">
        <v>93.944479350231703</v>
      </c>
      <c r="AN356">
        <v>0.99999993246084795</v>
      </c>
    </row>
    <row r="357" spans="1:40" x14ac:dyDescent="0.25">
      <c r="A357" t="str">
        <f>"20190304164106823"</f>
        <v>20190304164106823</v>
      </c>
      <c r="B357" t="str">
        <f>"1551688866812096"</f>
        <v>1551688866812096</v>
      </c>
      <c r="C357" t="s">
        <v>40</v>
      </c>
      <c r="D357">
        <v>4.6667589999999999</v>
      </c>
      <c r="E357">
        <v>0.52061590000000002</v>
      </c>
      <c r="F357" t="s">
        <v>43</v>
      </c>
      <c r="G357">
        <v>-424.29930000000002</v>
      </c>
      <c r="H357">
        <v>-0.05</v>
      </c>
      <c r="I357">
        <v>367.37549999999999</v>
      </c>
      <c r="J357">
        <v>-435.89319999999998</v>
      </c>
      <c r="K357">
        <v>1.086241</v>
      </c>
      <c r="L357">
        <v>366.78410000000002</v>
      </c>
      <c r="M357">
        <v>0.99973319999999999</v>
      </c>
      <c r="N357">
        <v>-2.2960789999999998E-2</v>
      </c>
      <c r="O357">
        <v>2.4770410000000001E-3</v>
      </c>
      <c r="P357">
        <v>0.95874269999999995</v>
      </c>
      <c r="Q357">
        <v>0.27597159999999998</v>
      </c>
      <c r="R357">
        <v>6.8207340000000005E-2</v>
      </c>
      <c r="S357">
        <v>3.2060550000000001</v>
      </c>
      <c r="T357">
        <v>-0.307841799999999</v>
      </c>
      <c r="U357">
        <v>0.16012570000000001</v>
      </c>
      <c r="V357">
        <v>-6.5830100000000003E-2</v>
      </c>
      <c r="W357">
        <v>0.29791679999999998</v>
      </c>
      <c r="X357">
        <v>0.95231929999999998</v>
      </c>
      <c r="Y357">
        <v>-4.714604E-2</v>
      </c>
      <c r="Z357">
        <v>2.6196689999999998E-3</v>
      </c>
      <c r="AA357">
        <v>0.99888460000000001</v>
      </c>
      <c r="AB357">
        <v>34</v>
      </c>
      <c r="AC357">
        <v>11.5938999999999</v>
      </c>
      <c r="AD357">
        <v>-1.1362410000000001</v>
      </c>
      <c r="AE357">
        <v>0.59139999999996395</v>
      </c>
      <c r="AF357">
        <v>-0.55733294411260204</v>
      </c>
      <c r="AG357">
        <v>-1.1362410000000001</v>
      </c>
      <c r="AH357">
        <v>11.4853036169552</v>
      </c>
      <c r="AI357">
        <v>95.643289392481904</v>
      </c>
      <c r="AJ357">
        <v>92.7781412935079</v>
      </c>
      <c r="AK357">
        <v>11.554819894499399</v>
      </c>
      <c r="AL357">
        <v>72.667476451263099</v>
      </c>
      <c r="AM357">
        <v>93.954342141190097</v>
      </c>
      <c r="AN357">
        <v>1.00000003547036</v>
      </c>
    </row>
    <row r="358" spans="1:40" x14ac:dyDescent="0.25">
      <c r="A358" t="str">
        <f>"20190304164106836"</f>
        <v>20190304164106836</v>
      </c>
      <c r="B358" t="str">
        <f>"1551688866821856"</f>
        <v>1551688866821856</v>
      </c>
      <c r="C358" t="s">
        <v>40</v>
      </c>
      <c r="D358">
        <v>4.6519579999999996</v>
      </c>
      <c r="E358">
        <v>0.52062730000000002</v>
      </c>
      <c r="F358" t="s">
        <v>43</v>
      </c>
      <c r="G358">
        <v>-423.9873</v>
      </c>
      <c r="H358">
        <v>-0.05</v>
      </c>
      <c r="I358">
        <v>367.3802</v>
      </c>
      <c r="J358">
        <v>-435.70179999999999</v>
      </c>
      <c r="K358">
        <v>1.084678</v>
      </c>
      <c r="L358">
        <v>366.78449999999998</v>
      </c>
      <c r="M358">
        <v>0.99973939999999994</v>
      </c>
      <c r="N358">
        <v>-2.2698220000000002E-2</v>
      </c>
      <c r="O358">
        <v>2.4797920000000002E-3</v>
      </c>
      <c r="P358">
        <v>0.95865919999999905</v>
      </c>
      <c r="Q358">
        <v>0.27624680000000001</v>
      </c>
      <c r="R358">
        <v>6.8269040000000003E-2</v>
      </c>
      <c r="S358">
        <v>3.2057500000000001</v>
      </c>
      <c r="T358">
        <v>-0.30594189999999999</v>
      </c>
      <c r="U358">
        <v>0.16052249999999901</v>
      </c>
      <c r="V358">
        <v>-6.5887719999999997E-2</v>
      </c>
      <c r="W358">
        <v>0.29794009999999999</v>
      </c>
      <c r="X358">
        <v>0.95230800000000004</v>
      </c>
      <c r="Y358">
        <v>-4.7274110000000001E-2</v>
      </c>
      <c r="Z358">
        <v>2.607917E-3</v>
      </c>
      <c r="AA358">
        <v>0.9988785</v>
      </c>
      <c r="AB358">
        <v>33</v>
      </c>
      <c r="AC358">
        <v>11.7144999999999</v>
      </c>
      <c r="AD358">
        <v>-1.1346780000000001</v>
      </c>
      <c r="AE358">
        <v>0.59570000000002199</v>
      </c>
      <c r="AF358">
        <v>-0.56138777743838097</v>
      </c>
      <c r="AG358">
        <v>-1.1346780000000001</v>
      </c>
      <c r="AH358">
        <v>11.6073219543484</v>
      </c>
      <c r="AI358">
        <v>95.576752791947698</v>
      </c>
      <c r="AJ358">
        <v>92.768950983116198</v>
      </c>
      <c r="AK358">
        <v>11.676154047983401</v>
      </c>
      <c r="AL358">
        <v>72.6660775109615</v>
      </c>
      <c r="AM358">
        <v>93.957839130309196</v>
      </c>
      <c r="AN358">
        <v>1.0000000108494</v>
      </c>
    </row>
    <row r="359" spans="1:40" x14ac:dyDescent="0.25">
      <c r="A359" t="str">
        <f>"20190304164106848"</f>
        <v>20190304164106848</v>
      </c>
      <c r="B359" t="str">
        <f>"1551688866841377"</f>
        <v>1551688866841377</v>
      </c>
      <c r="C359" t="s">
        <v>40</v>
      </c>
      <c r="D359">
        <v>5.0730360000000001</v>
      </c>
      <c r="E359">
        <v>0.52066000000000001</v>
      </c>
      <c r="F359" t="s">
        <v>43</v>
      </c>
      <c r="G359">
        <v>-423.75689999999997</v>
      </c>
      <c r="H359">
        <v>-0.05</v>
      </c>
      <c r="I359">
        <v>367.38479999999998</v>
      </c>
      <c r="J359">
        <v>-435.52210000000002</v>
      </c>
      <c r="K359">
        <v>1.0832299999999999</v>
      </c>
      <c r="L359">
        <v>366.78500000000003</v>
      </c>
      <c r="M359">
        <v>0.99974569999999996</v>
      </c>
      <c r="N359">
        <v>-2.2415729999999998E-2</v>
      </c>
      <c r="O359">
        <v>2.4814429999999998E-3</v>
      </c>
      <c r="P359">
        <v>0.95863529999999997</v>
      </c>
      <c r="Q359">
        <v>0.27622989999999997</v>
      </c>
      <c r="R359">
        <v>6.867057E-2</v>
      </c>
      <c r="S359">
        <v>3.2056580000000001</v>
      </c>
      <c r="T359">
        <v>-0.30451289999999998</v>
      </c>
      <c r="U359">
        <v>0.1611023</v>
      </c>
      <c r="V359">
        <v>-6.6285800000000006E-2</v>
      </c>
      <c r="W359">
        <v>0.29765370000000002</v>
      </c>
      <c r="X359">
        <v>0.95236989999999999</v>
      </c>
      <c r="Y359">
        <v>-4.7455940000000002E-2</v>
      </c>
      <c r="Z359">
        <v>2.601725E-3</v>
      </c>
      <c r="AA359">
        <v>0.99887000000000004</v>
      </c>
      <c r="AB359">
        <v>33</v>
      </c>
      <c r="AC359">
        <v>11.7652</v>
      </c>
      <c r="AD359">
        <v>-1.13323</v>
      </c>
      <c r="AE359">
        <v>0.59979999999995903</v>
      </c>
      <c r="AF359">
        <v>-0.56536449240256204</v>
      </c>
      <c r="AG359">
        <v>-1.13323</v>
      </c>
      <c r="AH359">
        <v>11.658767063294301</v>
      </c>
      <c r="AI359">
        <v>95.545223818256801</v>
      </c>
      <c r="AJ359">
        <v>92.776249304810804</v>
      </c>
      <c r="AK359">
        <v>11.7273482372754</v>
      </c>
      <c r="AL359">
        <v>72.6832663568604</v>
      </c>
      <c r="AM359">
        <v>93.981416934276396</v>
      </c>
      <c r="AN359">
        <v>0.99999997941566898</v>
      </c>
    </row>
    <row r="360" spans="1:40" x14ac:dyDescent="0.25">
      <c r="A360" t="str">
        <f>"20190304164106859"</f>
        <v>20190304164106859</v>
      </c>
      <c r="B360" t="str">
        <f>"1551688866852113"</f>
        <v>1551688866852113</v>
      </c>
      <c r="C360" t="s">
        <v>40</v>
      </c>
      <c r="D360">
        <v>4.5812210000000002</v>
      </c>
      <c r="E360">
        <v>0.52069100000000001</v>
      </c>
      <c r="F360" t="s">
        <v>43</v>
      </c>
      <c r="G360">
        <v>-423.52789999999999</v>
      </c>
      <c r="H360">
        <v>-0.05</v>
      </c>
      <c r="I360">
        <v>367.39170000000001</v>
      </c>
      <c r="J360">
        <v>-435.34440000000001</v>
      </c>
      <c r="K360">
        <v>1.0818099999999999</v>
      </c>
      <c r="L360">
        <v>366.78539999999998</v>
      </c>
      <c r="M360">
        <v>0.99975259999999999</v>
      </c>
      <c r="N360">
        <v>-2.2105659999999999E-2</v>
      </c>
      <c r="O360">
        <v>2.4824809999999999E-3</v>
      </c>
      <c r="P360">
        <v>0.95862060000000004</v>
      </c>
      <c r="Q360">
        <v>0.2762153</v>
      </c>
      <c r="R360">
        <v>6.8932320000000005E-2</v>
      </c>
      <c r="S360">
        <v>3.2050779999999999</v>
      </c>
      <c r="T360">
        <v>-0.30282039999999999</v>
      </c>
      <c r="U360">
        <v>0.16210939999999999</v>
      </c>
      <c r="V360">
        <v>-6.6545480000000004E-2</v>
      </c>
      <c r="W360">
        <v>0.29734369999999999</v>
      </c>
      <c r="X360">
        <v>0.95244870000000004</v>
      </c>
      <c r="Y360">
        <v>-4.7778500000000002E-2</v>
      </c>
      <c r="Z360">
        <v>2.6014649999999999E-3</v>
      </c>
      <c r="AA360">
        <v>0.99885460000000004</v>
      </c>
      <c r="AB360">
        <v>33</v>
      </c>
      <c r="AC360">
        <v>11.8165</v>
      </c>
      <c r="AD360">
        <v>-1.13181</v>
      </c>
      <c r="AE360">
        <v>0.60630000000003204</v>
      </c>
      <c r="AF360">
        <v>-0.57172536150281295</v>
      </c>
      <c r="AG360">
        <v>-1.13181</v>
      </c>
      <c r="AH360">
        <v>11.710813547600701</v>
      </c>
      <c r="AI360">
        <v>95.513769439650801</v>
      </c>
      <c r="AJ360">
        <v>92.794977679609005</v>
      </c>
      <c r="AK360">
        <v>11.7792621887686</v>
      </c>
      <c r="AL360">
        <v>72.701871684637595</v>
      </c>
      <c r="AM360">
        <v>93.996634388536805</v>
      </c>
      <c r="AN360">
        <v>1.0000000514848999</v>
      </c>
    </row>
    <row r="361" spans="1:40" x14ac:dyDescent="0.25">
      <c r="A361" t="str">
        <f>"20190304164106872"</f>
        <v>20190304164106872</v>
      </c>
      <c r="B361" t="str">
        <f>"1551688866861873"</f>
        <v>1551688866861873</v>
      </c>
      <c r="C361" t="s">
        <v>40</v>
      </c>
      <c r="D361">
        <v>4.5907640000000001</v>
      </c>
      <c r="E361">
        <v>0.52072980000000002</v>
      </c>
      <c r="F361" t="s">
        <v>43</v>
      </c>
      <c r="G361">
        <v>-423.31119999999999</v>
      </c>
      <c r="H361">
        <v>-0.05</v>
      </c>
      <c r="I361">
        <v>367.39769999999999</v>
      </c>
      <c r="J361">
        <v>-435.16849999999999</v>
      </c>
      <c r="K361">
        <v>1.0804480000000001</v>
      </c>
      <c r="L361">
        <v>366.78590000000003</v>
      </c>
      <c r="M361">
        <v>0.99976030000000005</v>
      </c>
      <c r="N361">
        <v>-2.1750760000000001E-2</v>
      </c>
      <c r="O361">
        <v>2.482485E-3</v>
      </c>
      <c r="P361">
        <v>0.95856600000000003</v>
      </c>
      <c r="Q361">
        <v>0.27635749999999998</v>
      </c>
      <c r="R361">
        <v>6.9122130000000004E-2</v>
      </c>
      <c r="S361">
        <v>3.20459</v>
      </c>
      <c r="T361">
        <v>-0.30141600000000002</v>
      </c>
      <c r="U361">
        <v>0.16305539999999999</v>
      </c>
      <c r="V361">
        <v>-6.6734600000000005E-2</v>
      </c>
      <c r="W361">
        <v>0.29714699999999999</v>
      </c>
      <c r="X361">
        <v>0.95249680000000003</v>
      </c>
      <c r="Y361">
        <v>-4.8081579999999999E-2</v>
      </c>
      <c r="Z361">
        <v>2.60056E-3</v>
      </c>
      <c r="AA361">
        <v>0.99883999999999995</v>
      </c>
      <c r="AB361">
        <v>33</v>
      </c>
      <c r="AC361">
        <v>11.8573</v>
      </c>
      <c r="AD361">
        <v>-1.1304479999999999</v>
      </c>
      <c r="AE361">
        <v>0.61179999999995904</v>
      </c>
      <c r="AF361">
        <v>-0.57712386460188403</v>
      </c>
      <c r="AG361">
        <v>-1.1304479999999999</v>
      </c>
      <c r="AH361">
        <v>11.7522467326714</v>
      </c>
      <c r="AI361">
        <v>95.487801448276002</v>
      </c>
      <c r="AJ361">
        <v>92.811395993277799</v>
      </c>
      <c r="AK361">
        <v>11.820587460079301</v>
      </c>
      <c r="AL361">
        <v>72.713674358733002</v>
      </c>
      <c r="AM361">
        <v>94.0077539859534</v>
      </c>
      <c r="AN361">
        <v>1.0000000002281999</v>
      </c>
    </row>
    <row r="362" spans="1:40" x14ac:dyDescent="0.25">
      <c r="A362" t="str">
        <f>"20190304164106890"</f>
        <v>20190304164106890</v>
      </c>
      <c r="B362" t="str">
        <f>"1551688866881899"</f>
        <v>1551688866881899</v>
      </c>
      <c r="C362" t="s">
        <v>40</v>
      </c>
      <c r="D362">
        <v>4.5540750000000001</v>
      </c>
      <c r="E362">
        <v>0.5208064</v>
      </c>
      <c r="F362" t="s">
        <v>43</v>
      </c>
      <c r="G362">
        <v>-423.08370000000002</v>
      </c>
      <c r="H362">
        <v>-0.05</v>
      </c>
      <c r="I362">
        <v>367.40260000000001</v>
      </c>
      <c r="J362">
        <v>-434.8954</v>
      </c>
      <c r="K362">
        <v>1.078398</v>
      </c>
      <c r="L362">
        <v>366.78649999999999</v>
      </c>
      <c r="M362">
        <v>0.99977289999999996</v>
      </c>
      <c r="N362">
        <v>-2.1162920000000002E-2</v>
      </c>
      <c r="O362">
        <v>2.4816899999999999E-3</v>
      </c>
      <c r="P362">
        <v>0.95843230000000001</v>
      </c>
      <c r="Q362">
        <v>0.27682380000000001</v>
      </c>
      <c r="R362">
        <v>6.9109500000000004E-2</v>
      </c>
      <c r="S362">
        <v>3.204285</v>
      </c>
      <c r="T362">
        <v>-0.29973959999999999</v>
      </c>
      <c r="U362">
        <v>0.16354369999999999</v>
      </c>
      <c r="V362">
        <v>-6.6722630000000005E-2</v>
      </c>
      <c r="W362">
        <v>0.2970505</v>
      </c>
      <c r="X362">
        <v>0.95252780000000004</v>
      </c>
      <c r="Y362">
        <v>-4.8242100000000003E-2</v>
      </c>
      <c r="Z362">
        <v>2.5831349999999999E-3</v>
      </c>
      <c r="AA362">
        <v>0.99883230000000001</v>
      </c>
      <c r="AB362">
        <v>33</v>
      </c>
      <c r="AC362">
        <v>11.811699999999901</v>
      </c>
      <c r="AD362">
        <v>-1.128398</v>
      </c>
      <c r="AE362">
        <v>0.61610000000001697</v>
      </c>
      <c r="AF362">
        <v>-0.58148607694595</v>
      </c>
      <c r="AG362">
        <v>-1.128398</v>
      </c>
      <c r="AH362">
        <v>11.706643227747399</v>
      </c>
      <c r="AI362">
        <v>95.498967159154006</v>
      </c>
      <c r="AJ362">
        <v>92.8436279849535</v>
      </c>
      <c r="AK362">
        <v>11.775266611242801</v>
      </c>
      <c r="AL362">
        <v>72.719465915023704</v>
      </c>
      <c r="AM362">
        <v>94.006907483968902</v>
      </c>
      <c r="AN362">
        <v>1.0000000593386</v>
      </c>
    </row>
    <row r="363" spans="1:40" x14ac:dyDescent="0.25">
      <c r="A363" t="str">
        <f>"20190304164106903"</f>
        <v>20190304164106903</v>
      </c>
      <c r="B363" t="str">
        <f>"1551688866891659"</f>
        <v>1551688866891659</v>
      </c>
      <c r="C363" t="s">
        <v>40</v>
      </c>
      <c r="D363">
        <v>4.5439109999999996</v>
      </c>
      <c r="E363">
        <v>0.52085930000000003</v>
      </c>
      <c r="F363" t="s">
        <v>43</v>
      </c>
      <c r="G363">
        <v>-422.67160000000001</v>
      </c>
      <c r="H363">
        <v>-0.05</v>
      </c>
      <c r="I363">
        <v>367.4126</v>
      </c>
      <c r="J363">
        <v>-434.70929999999998</v>
      </c>
      <c r="K363">
        <v>1.0770519999999999</v>
      </c>
      <c r="L363">
        <v>366.78699999999998</v>
      </c>
      <c r="M363">
        <v>0.99978199999999995</v>
      </c>
      <c r="N363">
        <v>-2.0740890000000001E-2</v>
      </c>
      <c r="O363">
        <v>2.481104E-3</v>
      </c>
      <c r="P363">
        <v>0.95826659999999997</v>
      </c>
      <c r="Q363">
        <v>0.27742539999999999</v>
      </c>
      <c r="R363">
        <v>6.8997989999999995E-2</v>
      </c>
      <c r="S363">
        <v>3.2037659999999999</v>
      </c>
      <c r="T363">
        <v>-0.29574450000000002</v>
      </c>
      <c r="U363">
        <v>0.16409299999999999</v>
      </c>
      <c r="V363">
        <v>-6.6611169999999997E-2</v>
      </c>
      <c r="W363">
        <v>0.29724679999999998</v>
      </c>
      <c r="X363">
        <v>0.9524743</v>
      </c>
      <c r="Y363">
        <v>-4.8427699999999997E-2</v>
      </c>
      <c r="Z363">
        <v>2.55588E-3</v>
      </c>
      <c r="AA363">
        <v>0.99882340000000003</v>
      </c>
      <c r="AB363">
        <v>33</v>
      </c>
      <c r="AC363">
        <v>12.0376999999999</v>
      </c>
      <c r="AD363">
        <v>-1.1270519999999999</v>
      </c>
      <c r="AE363">
        <v>0.62560000000001903</v>
      </c>
      <c r="AF363">
        <v>-0.59056195299957004</v>
      </c>
      <c r="AG363">
        <v>-1.1270519999999999</v>
      </c>
      <c r="AH363">
        <v>11.9348762700871</v>
      </c>
      <c r="AI363">
        <v>95.388088992042896</v>
      </c>
      <c r="AJ363">
        <v>92.832801204544296</v>
      </c>
      <c r="AK363">
        <v>12.0025114544133</v>
      </c>
      <c r="AL363">
        <v>72.707685645344796</v>
      </c>
      <c r="AM363">
        <v>94.000459664355105</v>
      </c>
      <c r="AN363">
        <v>1.00000000011974</v>
      </c>
    </row>
    <row r="364" spans="1:40" x14ac:dyDescent="0.25">
      <c r="A364" t="str">
        <f>"20190304164106915"</f>
        <v>20190304164106915</v>
      </c>
      <c r="B364" t="str">
        <f>"1551688866901420"</f>
        <v>1551688866901420</v>
      </c>
      <c r="C364" t="s">
        <v>40</v>
      </c>
      <c r="D364">
        <v>4.5324150000000003</v>
      </c>
      <c r="E364">
        <v>0.52089010000000002</v>
      </c>
      <c r="F364" t="s">
        <v>43</v>
      </c>
      <c r="G364">
        <v>-422.40289999999999</v>
      </c>
      <c r="H364">
        <v>-0.05</v>
      </c>
      <c r="I364">
        <v>367.41480000000001</v>
      </c>
      <c r="J364">
        <v>-434.53109999999998</v>
      </c>
      <c r="K364">
        <v>1.07585</v>
      </c>
      <c r="L364">
        <v>366.78739999999999</v>
      </c>
      <c r="M364">
        <v>0.99979050000000003</v>
      </c>
      <c r="N364">
        <v>-2.0322409999999999E-2</v>
      </c>
      <c r="O364">
        <v>2.4808120000000002E-3</v>
      </c>
      <c r="P364">
        <v>0.95821420000000002</v>
      </c>
      <c r="Q364">
        <v>0.27767449999999999</v>
      </c>
      <c r="R364">
        <v>6.8720400000000001E-2</v>
      </c>
      <c r="S364">
        <v>3.203827</v>
      </c>
      <c r="T364">
        <v>-0.2934155</v>
      </c>
      <c r="U364">
        <v>0.16345209999999999</v>
      </c>
      <c r="V364">
        <v>-6.6333279999999994E-2</v>
      </c>
      <c r="W364">
        <v>0.29709600000000003</v>
      </c>
      <c r="X364">
        <v>0.95254079999999997</v>
      </c>
      <c r="Y364">
        <v>-4.8233230000000002E-2</v>
      </c>
      <c r="Z364">
        <v>2.5180910000000001E-3</v>
      </c>
      <c r="AA364">
        <v>0.99883290000000002</v>
      </c>
      <c r="AB364">
        <v>33</v>
      </c>
      <c r="AC364">
        <v>12.1281999999999</v>
      </c>
      <c r="AD364">
        <v>-1.12585</v>
      </c>
      <c r="AE364">
        <v>0.62740000000002205</v>
      </c>
      <c r="AF364">
        <v>-0.59221443658276496</v>
      </c>
      <c r="AG364">
        <v>-1.12585</v>
      </c>
      <c r="AH364">
        <v>12.0263619483363</v>
      </c>
      <c r="AI364">
        <v>95.341732361081199</v>
      </c>
      <c r="AJ364">
        <v>92.819140260352299</v>
      </c>
      <c r="AK364">
        <v>12.093454340005099</v>
      </c>
      <c r="AL364">
        <v>72.716735649516494</v>
      </c>
      <c r="AM364">
        <v>93.983547076721294</v>
      </c>
      <c r="AN364">
        <v>1.00000005645809</v>
      </c>
    </row>
    <row r="365" spans="1:40" x14ac:dyDescent="0.25">
      <c r="A365" t="str">
        <f>"20190304164106935"</f>
        <v>20190304164106935</v>
      </c>
      <c r="B365" t="str">
        <f>"1551688866921915"</f>
        <v>1551688866921915</v>
      </c>
      <c r="C365" t="s">
        <v>40</v>
      </c>
      <c r="D365">
        <v>4.4705919999999999</v>
      </c>
      <c r="E365">
        <v>0.52097059999999995</v>
      </c>
      <c r="F365" t="s">
        <v>43</v>
      </c>
      <c r="G365">
        <v>-422.18700000000001</v>
      </c>
      <c r="H365">
        <v>-0.05</v>
      </c>
      <c r="I365">
        <v>367.4117</v>
      </c>
      <c r="J365">
        <v>-434.23750000000001</v>
      </c>
      <c r="K365">
        <v>1.0739639999999999</v>
      </c>
      <c r="L365">
        <v>366.78820000000002</v>
      </c>
      <c r="M365">
        <v>0.99980420000000003</v>
      </c>
      <c r="N365">
        <v>-1.963175E-2</v>
      </c>
      <c r="O365">
        <v>2.4805040000000001E-3</v>
      </c>
      <c r="P365">
        <v>0.95813079999999995</v>
      </c>
      <c r="Q365">
        <v>0.27810220000000002</v>
      </c>
      <c r="R365">
        <v>6.8150489999999994E-2</v>
      </c>
      <c r="S365">
        <v>3.2038880000000001</v>
      </c>
      <c r="T365">
        <v>-0.29221049999999998</v>
      </c>
      <c r="U365">
        <v>0.16201779999999999</v>
      </c>
      <c r="V365">
        <v>-6.5763660000000002E-2</v>
      </c>
      <c r="W365">
        <v>0.29686420000000002</v>
      </c>
      <c r="X365">
        <v>0.95265250000000001</v>
      </c>
      <c r="Y365">
        <v>-4.7792220000000003E-2</v>
      </c>
      <c r="Z365">
        <v>2.4671699999999999E-3</v>
      </c>
      <c r="AA365">
        <v>0.99885429999999997</v>
      </c>
      <c r="AB365">
        <v>33</v>
      </c>
      <c r="AC365">
        <v>12.0505</v>
      </c>
      <c r="AD365">
        <v>-1.123964</v>
      </c>
      <c r="AE365">
        <v>0.62349999999997796</v>
      </c>
      <c r="AF365">
        <v>-0.58849505767752397</v>
      </c>
      <c r="AG365">
        <v>-1.123964</v>
      </c>
      <c r="AH365">
        <v>11.948342634761101</v>
      </c>
      <c r="AI365">
        <v>95.367452146799593</v>
      </c>
      <c r="AJ365">
        <v>92.8197263964868</v>
      </c>
      <c r="AK365">
        <v>12.015511359233001</v>
      </c>
      <c r="AL365">
        <v>72.730643294878504</v>
      </c>
      <c r="AM365">
        <v>93.948986497136801</v>
      </c>
      <c r="AN365">
        <v>0.99999999898724201</v>
      </c>
    </row>
    <row r="366" spans="1:40" x14ac:dyDescent="0.25">
      <c r="A366" t="str">
        <f>"20190304164106947"</f>
        <v>20190304164106947</v>
      </c>
      <c r="B366" t="str">
        <f>"1551688866942411"</f>
        <v>1551688866942411</v>
      </c>
      <c r="C366" t="s">
        <v>40</v>
      </c>
      <c r="D366">
        <v>4.4451989999999997</v>
      </c>
      <c r="E366">
        <v>0.52104729999999999</v>
      </c>
      <c r="F366" t="s">
        <v>43</v>
      </c>
      <c r="G366">
        <v>-421.81319999999999</v>
      </c>
      <c r="H366">
        <v>-0.05</v>
      </c>
      <c r="I366">
        <v>367.40370000000001</v>
      </c>
      <c r="J366">
        <v>-434.05430000000001</v>
      </c>
      <c r="K366">
        <v>1.0728719999999901</v>
      </c>
      <c r="L366">
        <v>366.78859999999997</v>
      </c>
      <c r="M366">
        <v>0.99981249999999999</v>
      </c>
      <c r="N366">
        <v>-1.9205529999999998E-2</v>
      </c>
      <c r="O366">
        <v>2.4805949999999999E-3</v>
      </c>
      <c r="P366">
        <v>0.9580457</v>
      </c>
      <c r="Q366">
        <v>0.27850459999999999</v>
      </c>
      <c r="R366">
        <v>6.7705360000000006E-2</v>
      </c>
      <c r="S366">
        <v>3.2039179999999998</v>
      </c>
      <c r="T366">
        <v>-0.28984480000000001</v>
      </c>
      <c r="U366">
        <v>0.1587219</v>
      </c>
      <c r="V366">
        <v>-6.5318169999999995E-2</v>
      </c>
      <c r="W366">
        <v>0.29685830000000002</v>
      </c>
      <c r="X366">
        <v>0.952685</v>
      </c>
      <c r="Y366">
        <v>-4.6776100000000001E-2</v>
      </c>
      <c r="Z366">
        <v>2.3845530000000002E-3</v>
      </c>
      <c r="AA366">
        <v>0.99890259999999997</v>
      </c>
      <c r="AB366">
        <v>33</v>
      </c>
      <c r="AC366">
        <v>12.241099999999999</v>
      </c>
      <c r="AD366">
        <v>-1.1228720000000001</v>
      </c>
      <c r="AE366">
        <v>0.61510000000003995</v>
      </c>
      <c r="AF366">
        <v>-0.57986044484795995</v>
      </c>
      <c r="AG366">
        <v>-1.1228720000000001</v>
      </c>
      <c r="AH366">
        <v>12.1406899183975</v>
      </c>
      <c r="AI366">
        <v>95.2781747153944</v>
      </c>
      <c r="AJ366">
        <v>92.734467969353005</v>
      </c>
      <c r="AK366">
        <v>12.206286550731299</v>
      </c>
      <c r="AL366">
        <v>72.730997519640695</v>
      </c>
      <c r="AM366">
        <v>93.922186037503295</v>
      </c>
      <c r="AN366">
        <v>1.0000000114180101</v>
      </c>
    </row>
    <row r="367" spans="1:40" x14ac:dyDescent="0.25">
      <c r="A367" t="str">
        <f>"20190304164106960"</f>
        <v>20190304164106960</v>
      </c>
      <c r="B367" t="str">
        <f>"1551688866952171"</f>
        <v>1551688866952171</v>
      </c>
      <c r="C367" t="s">
        <v>40</v>
      </c>
      <c r="D367">
        <v>4.5267470000000003</v>
      </c>
      <c r="E367">
        <v>0.52111320000000005</v>
      </c>
      <c r="F367" t="s">
        <v>43</v>
      </c>
      <c r="G367">
        <v>-421.51310000000001</v>
      </c>
      <c r="H367">
        <v>-0.05</v>
      </c>
      <c r="I367">
        <v>367.40039999999999</v>
      </c>
      <c r="J367">
        <v>-433.84469999999999</v>
      </c>
      <c r="K367">
        <v>1.0716950000000001</v>
      </c>
      <c r="L367">
        <v>366.78910000000002</v>
      </c>
      <c r="M367">
        <v>0.99982170000000004</v>
      </c>
      <c r="N367">
        <v>-1.8725370000000002E-2</v>
      </c>
      <c r="O367">
        <v>2.4806260000000001E-3</v>
      </c>
      <c r="P367">
        <v>0.95796879999999995</v>
      </c>
      <c r="Q367">
        <v>0.27882040000000002</v>
      </c>
      <c r="R367">
        <v>6.7491750000000003E-2</v>
      </c>
      <c r="S367">
        <v>3.203735</v>
      </c>
      <c r="T367">
        <v>-0.28684680000000001</v>
      </c>
      <c r="U367">
        <v>0.15628049999999999</v>
      </c>
      <c r="V367">
        <v>-6.5104510000000004E-2</v>
      </c>
      <c r="W367">
        <v>0.2967149</v>
      </c>
      <c r="X367">
        <v>0.95274429999999999</v>
      </c>
      <c r="Y367">
        <v>-4.6028359999999997E-2</v>
      </c>
      <c r="Z367">
        <v>2.3123610000000002E-3</v>
      </c>
      <c r="AA367">
        <v>0.99893739999999998</v>
      </c>
      <c r="AB367">
        <v>33</v>
      </c>
      <c r="AC367">
        <v>12.3315999999999</v>
      </c>
      <c r="AD367">
        <v>-1.1216950000000001</v>
      </c>
      <c r="AE367">
        <v>0.61129999999997098</v>
      </c>
      <c r="AF367">
        <v>-0.57594900212316402</v>
      </c>
      <c r="AG367">
        <v>-1.1216950000000001</v>
      </c>
      <c r="AH367">
        <v>12.232119376330999</v>
      </c>
      <c r="AI367">
        <v>95.233648823661397</v>
      </c>
      <c r="AJ367">
        <v>92.695779192254093</v>
      </c>
      <c r="AK367">
        <v>12.2969370724129</v>
      </c>
      <c r="AL367">
        <v>72.739601458200397</v>
      </c>
      <c r="AM367">
        <v>93.909153587341294</v>
      </c>
      <c r="AN367">
        <v>1.0000000151434101</v>
      </c>
    </row>
    <row r="368" spans="1:40" x14ac:dyDescent="0.25">
      <c r="A368" t="str">
        <f>"20190304164106975"</f>
        <v>20190304164106975</v>
      </c>
      <c r="B368" t="str">
        <f>"1551688866972197"</f>
        <v>1551688866972197</v>
      </c>
      <c r="C368" t="s">
        <v>40</v>
      </c>
      <c r="D368">
        <v>4.7967740000000001</v>
      </c>
      <c r="E368">
        <v>0.52111320000000005</v>
      </c>
      <c r="F368" t="s">
        <v>43</v>
      </c>
      <c r="G368">
        <v>-421.3005</v>
      </c>
      <c r="H368">
        <v>-0.05</v>
      </c>
      <c r="I368">
        <v>367.39530000000002</v>
      </c>
      <c r="J368">
        <v>-433.63839999999999</v>
      </c>
      <c r="K368">
        <v>1.0706519999999999</v>
      </c>
      <c r="L368">
        <v>366.78960000000001</v>
      </c>
      <c r="M368">
        <v>0.99982990000000005</v>
      </c>
      <c r="N368">
        <v>-1.8273299999999999E-2</v>
      </c>
      <c r="O368">
        <v>2.4809430000000002E-3</v>
      </c>
      <c r="P368">
        <v>0.95789150000000001</v>
      </c>
      <c r="Q368">
        <v>0.27917249999999999</v>
      </c>
      <c r="R368">
        <v>6.7132259999999999E-2</v>
      </c>
      <c r="S368">
        <v>3.2041019999999998</v>
      </c>
      <c r="T368">
        <v>-0.28650829999999999</v>
      </c>
      <c r="U368">
        <v>0.15484619999999999</v>
      </c>
      <c r="V368">
        <v>-6.4744549999999998E-2</v>
      </c>
      <c r="W368">
        <v>0.29663519999999999</v>
      </c>
      <c r="X368">
        <v>0.95279369999999997</v>
      </c>
      <c r="Y368">
        <v>-4.5580059999999999E-2</v>
      </c>
      <c r="Z368">
        <v>2.2743260000000001E-3</v>
      </c>
      <c r="AA368">
        <v>0.99895809999999996</v>
      </c>
      <c r="AB368">
        <v>33</v>
      </c>
      <c r="AC368">
        <v>12.3378999999999</v>
      </c>
      <c r="AD368">
        <v>-1.120652</v>
      </c>
      <c r="AE368">
        <v>0.60570000000001301</v>
      </c>
      <c r="AF368">
        <v>-0.57038894530061202</v>
      </c>
      <c r="AG368">
        <v>-1.120652</v>
      </c>
      <c r="AH368">
        <v>12.238637788713801</v>
      </c>
      <c r="AI368">
        <v>95.226156308247496</v>
      </c>
      <c r="AJ368">
        <v>92.668372800952497</v>
      </c>
      <c r="AK368">
        <v>12.3030670719687</v>
      </c>
      <c r="AL368">
        <v>72.744384131098897</v>
      </c>
      <c r="AM368">
        <v>93.887405561649999</v>
      </c>
      <c r="AN368">
        <v>1.0000000666967099</v>
      </c>
    </row>
    <row r="369" spans="1:40" x14ac:dyDescent="0.25">
      <c r="A369" t="str">
        <f>"20190304164106992"</f>
        <v>20190304164106992</v>
      </c>
      <c r="B369" t="str">
        <f>"1551688866981958"</f>
        <v>1551688866981958</v>
      </c>
      <c r="C369" t="s">
        <v>40</v>
      </c>
      <c r="D369">
        <v>4.4236309999999897</v>
      </c>
      <c r="E369">
        <v>0.52111320000000005</v>
      </c>
      <c r="F369" t="s">
        <v>43</v>
      </c>
      <c r="G369">
        <v>-421.05349999999999</v>
      </c>
      <c r="H369">
        <v>-0.05</v>
      </c>
      <c r="I369">
        <v>367.39370000000002</v>
      </c>
      <c r="J369">
        <v>-433.3818</v>
      </c>
      <c r="K369">
        <v>1.069442</v>
      </c>
      <c r="L369">
        <v>366.7903</v>
      </c>
      <c r="M369">
        <v>0.9998397</v>
      </c>
      <c r="N369">
        <v>-1.7733240000000001E-2</v>
      </c>
      <c r="O369">
        <v>2.4812889999999998E-3</v>
      </c>
      <c r="P369">
        <v>0.95777630000000002</v>
      </c>
      <c r="Q369">
        <v>0.27958709999999998</v>
      </c>
      <c r="R369">
        <v>6.7050639999999995E-2</v>
      </c>
      <c r="S369">
        <v>3.2042540000000002</v>
      </c>
      <c r="T369">
        <v>-0.28533120000000001</v>
      </c>
      <c r="U369">
        <v>0.15380859999999999</v>
      </c>
      <c r="V369">
        <v>-6.4662639999999993E-2</v>
      </c>
      <c r="W369">
        <v>0.2965332</v>
      </c>
      <c r="X369">
        <v>0.95283099999999998</v>
      </c>
      <c r="Y369">
        <v>-4.5259010000000002E-2</v>
      </c>
      <c r="Z369">
        <v>2.2360040000000002E-3</v>
      </c>
      <c r="AA369">
        <v>0.99897279999999999</v>
      </c>
      <c r="AB369">
        <v>33</v>
      </c>
      <c r="AC369">
        <v>12.3283</v>
      </c>
      <c r="AD369">
        <v>-1.119442</v>
      </c>
      <c r="AE369">
        <v>0.60340000000002103</v>
      </c>
      <c r="AF369">
        <v>-0.568130151805748</v>
      </c>
      <c r="AG369">
        <v>-1.119442</v>
      </c>
      <c r="AH369">
        <v>12.2291695199303</v>
      </c>
      <c r="AI369">
        <v>95.224600103881897</v>
      </c>
      <c r="AJ369">
        <v>92.659875805587504</v>
      </c>
      <c r="AK369">
        <v>12.293433589032301</v>
      </c>
      <c r="AL369">
        <v>72.750503431255396</v>
      </c>
      <c r="AM369">
        <v>93.882351033678304</v>
      </c>
      <c r="AN369">
        <v>1.0000000551374999</v>
      </c>
    </row>
    <row r="370" spans="1:40" x14ac:dyDescent="0.25">
      <c r="A370" t="str">
        <f>"20190304164107007"</f>
        <v>20190304164107007</v>
      </c>
      <c r="B370" t="str">
        <f>"1551688867001477"</f>
        <v>1551688867001477</v>
      </c>
      <c r="C370" t="s">
        <v>40</v>
      </c>
      <c r="D370">
        <v>4.4005029999999996</v>
      </c>
      <c r="E370">
        <v>0.54434780000000005</v>
      </c>
      <c r="F370" t="s">
        <v>43</v>
      </c>
      <c r="G370">
        <v>-420.74950000000001</v>
      </c>
      <c r="H370">
        <v>-0.05</v>
      </c>
      <c r="I370">
        <v>367.39440000000002</v>
      </c>
      <c r="J370">
        <v>-433.16890000000001</v>
      </c>
      <c r="K370">
        <v>1.0685209999999901</v>
      </c>
      <c r="L370">
        <v>366.79079999999999</v>
      </c>
      <c r="M370">
        <v>0.99984729999999999</v>
      </c>
      <c r="N370">
        <v>-1.730661E-2</v>
      </c>
      <c r="O370">
        <v>2.4814619999999998E-3</v>
      </c>
      <c r="P370">
        <v>0.95767550000000001</v>
      </c>
      <c r="Q370">
        <v>0.27992450000000002</v>
      </c>
      <c r="R370">
        <v>6.7082699999999995E-2</v>
      </c>
      <c r="S370">
        <v>3.2044069999999998</v>
      </c>
      <c r="T370">
        <v>-0.28396559999999998</v>
      </c>
      <c r="U370">
        <v>0.15325929999999999</v>
      </c>
      <c r="V370">
        <v>-6.4694600000000005E-2</v>
      </c>
      <c r="W370">
        <v>0.29646169999999999</v>
      </c>
      <c r="X370">
        <v>0.952851</v>
      </c>
      <c r="Y370">
        <v>-4.5089259999999999E-2</v>
      </c>
      <c r="Z370">
        <v>2.207653E-3</v>
      </c>
      <c r="AA370">
        <v>0.99898050000000005</v>
      </c>
      <c r="AB370">
        <v>33</v>
      </c>
      <c r="AC370">
        <v>12.4193999999999</v>
      </c>
      <c r="AD370">
        <v>-1.1185210000000001</v>
      </c>
      <c r="AE370">
        <v>0.603600000000028</v>
      </c>
      <c r="AF370">
        <v>-0.56817749854074096</v>
      </c>
      <c r="AG370">
        <v>-1.1185210000000001</v>
      </c>
      <c r="AH370">
        <v>12.3211554929096</v>
      </c>
      <c r="AI370">
        <v>95.1816466485473</v>
      </c>
      <c r="AJ370">
        <v>92.640265892658405</v>
      </c>
      <c r="AK370">
        <v>12.384861225615101</v>
      </c>
      <c r="AL370">
        <v>72.7547916189679</v>
      </c>
      <c r="AM370">
        <v>93.884182762863404</v>
      </c>
      <c r="AN370">
        <v>0.99999997951852404</v>
      </c>
    </row>
    <row r="371" spans="1:40" x14ac:dyDescent="0.25">
      <c r="A371" t="str">
        <f>"20190304164107024"</f>
        <v>20190304164107024</v>
      </c>
      <c r="B371" t="str">
        <f>"1551688867012214"</f>
        <v>1551688867012214</v>
      </c>
      <c r="C371" t="s">
        <v>40</v>
      </c>
      <c r="D371">
        <v>4.3775579999999996</v>
      </c>
      <c r="E371">
        <v>0.54432029999999998</v>
      </c>
      <c r="F371" t="s">
        <v>41</v>
      </c>
      <c r="G371">
        <v>-432.3141</v>
      </c>
      <c r="H371">
        <v>0.76246809999999998</v>
      </c>
      <c r="I371">
        <v>366.80799999999999</v>
      </c>
      <c r="J371">
        <v>-432.90219999999999</v>
      </c>
      <c r="K371">
        <v>1.06748</v>
      </c>
      <c r="L371">
        <v>366.79149999999998</v>
      </c>
      <c r="M371">
        <v>0.99985579999999996</v>
      </c>
      <c r="N371">
        <v>-1.6804630000000001E-2</v>
      </c>
      <c r="O371">
        <v>2.4817659999999998E-3</v>
      </c>
      <c r="P371">
        <v>0.95745349999999996</v>
      </c>
      <c r="Q371">
        <v>0.28053149999999999</v>
      </c>
      <c r="R371">
        <v>6.7713499999999996E-2</v>
      </c>
      <c r="S371">
        <v>3.4930729999999999</v>
      </c>
      <c r="T371">
        <v>-1.250637</v>
      </c>
      <c r="U371">
        <v>7.2052000000000005E-2</v>
      </c>
      <c r="V371">
        <v>-6.5325289999999994E-2</v>
      </c>
      <c r="W371">
        <v>0.29658699999999999</v>
      </c>
      <c r="X371">
        <v>0.95276899999999998</v>
      </c>
      <c r="Y371">
        <v>-1.7161539999999999E-2</v>
      </c>
      <c r="Z371">
        <v>2.3069140000000002E-3</v>
      </c>
      <c r="AA371">
        <v>0.99985009999999996</v>
      </c>
      <c r="AB371">
        <v>33</v>
      </c>
      <c r="AC371">
        <v>0.58809999999999696</v>
      </c>
      <c r="AD371">
        <v>-0.3050119</v>
      </c>
      <c r="AE371">
        <v>1.6500000000064501E-2</v>
      </c>
      <c r="AF371">
        <v>-1.1854120791212199E-2</v>
      </c>
      <c r="AG371">
        <v>-0.3050119</v>
      </c>
      <c r="AH371">
        <v>0.46354867330472599</v>
      </c>
      <c r="AI371">
        <v>123.33604744728</v>
      </c>
      <c r="AJ371">
        <v>91.464879816996699</v>
      </c>
      <c r="AK371">
        <v>0.55502265885629698</v>
      </c>
      <c r="AL371">
        <v>72.747274820090794</v>
      </c>
      <c r="AM371">
        <v>93.922267486340402</v>
      </c>
      <c r="AN371">
        <v>1.0000000047217901</v>
      </c>
    </row>
    <row r="372" spans="1:40" x14ac:dyDescent="0.25">
      <c r="A372" t="str">
        <f>"20190304164107037"</f>
        <v>20190304164107037</v>
      </c>
      <c r="B372" t="str">
        <f>"1551688867031734"</f>
        <v>1551688867031734</v>
      </c>
      <c r="C372" t="s">
        <v>40</v>
      </c>
      <c r="D372">
        <v>4.3811589999999896</v>
      </c>
      <c r="E372">
        <v>0.54435940000000005</v>
      </c>
      <c r="F372" t="s">
        <v>41</v>
      </c>
      <c r="G372">
        <v>-432.02030000000002</v>
      </c>
      <c r="H372">
        <v>0.75047559999999902</v>
      </c>
      <c r="I372">
        <v>366.81060000000002</v>
      </c>
      <c r="J372">
        <v>-432.71170000000001</v>
      </c>
      <c r="K372">
        <v>1.0668230000000001</v>
      </c>
      <c r="L372">
        <v>366.7919</v>
      </c>
      <c r="M372">
        <v>0.99986129999999995</v>
      </c>
      <c r="N372">
        <v>-1.647123E-2</v>
      </c>
      <c r="O372">
        <v>2.4819880000000001E-3</v>
      </c>
      <c r="P372">
        <v>0.95731100000000002</v>
      </c>
      <c r="Q372">
        <v>0.28095019999999998</v>
      </c>
      <c r="R372">
        <v>6.7990869999999995E-2</v>
      </c>
      <c r="S372">
        <v>3.496216</v>
      </c>
      <c r="T372">
        <v>-1.256866</v>
      </c>
      <c r="U372">
        <v>7.5866699999999995E-2</v>
      </c>
      <c r="V372">
        <v>-6.5603030000000007E-2</v>
      </c>
      <c r="W372">
        <v>0.2966857</v>
      </c>
      <c r="X372">
        <v>0.95271919999999999</v>
      </c>
      <c r="Y372">
        <v>-1.8161409999999999E-2</v>
      </c>
      <c r="Z372">
        <v>2.493954E-3</v>
      </c>
      <c r="AA372">
        <v>0.99983200000000005</v>
      </c>
      <c r="AB372">
        <v>33</v>
      </c>
      <c r="AC372">
        <v>0.69139999999998702</v>
      </c>
      <c r="AD372">
        <v>-0.316347399999999</v>
      </c>
      <c r="AE372">
        <v>1.8700000000023899E-2</v>
      </c>
      <c r="AF372">
        <v>-1.4045424403257701E-2</v>
      </c>
      <c r="AG372">
        <v>-0.316347399999999</v>
      </c>
      <c r="AH372">
        <v>0.57182178100172998</v>
      </c>
      <c r="AI372">
        <v>118.945246291362</v>
      </c>
      <c r="AJ372">
        <v>91.407049863339694</v>
      </c>
      <c r="AK372">
        <v>0.65364600561880404</v>
      </c>
      <c r="AL372">
        <v>72.741353435413004</v>
      </c>
      <c r="AM372">
        <v>93.939096440388894</v>
      </c>
      <c r="AN372">
        <v>1.00000001808915</v>
      </c>
    </row>
    <row r="373" spans="1:40" x14ac:dyDescent="0.25">
      <c r="A373" t="str">
        <f>"20190304164107050"</f>
        <v>20190304164107050</v>
      </c>
      <c r="B373" t="str">
        <f>"1551688867042470"</f>
        <v>1551688867042470</v>
      </c>
      <c r="C373" t="s">
        <v>40</v>
      </c>
      <c r="D373">
        <v>4.4018470000000001</v>
      </c>
      <c r="E373">
        <v>0.54448439999999998</v>
      </c>
      <c r="F373" t="s">
        <v>41</v>
      </c>
      <c r="G373">
        <v>-431.99529999999999</v>
      </c>
      <c r="H373">
        <v>0.80959950000000003</v>
      </c>
      <c r="I373">
        <v>366.80779999999999</v>
      </c>
      <c r="J373">
        <v>-432.52019999999999</v>
      </c>
      <c r="K373">
        <v>1.0662100000000001</v>
      </c>
      <c r="L373">
        <v>366.79239999999999</v>
      </c>
      <c r="M373">
        <v>0.99986649999999999</v>
      </c>
      <c r="N373">
        <v>-1.615407E-2</v>
      </c>
      <c r="O373">
        <v>2.4829259999999999E-3</v>
      </c>
      <c r="P373">
        <v>0.95720090000000002</v>
      </c>
      <c r="Q373">
        <v>0.28123979999999998</v>
      </c>
      <c r="R373">
        <v>6.8342730000000004E-2</v>
      </c>
      <c r="S373">
        <v>3.4967649999999999</v>
      </c>
      <c r="T373">
        <v>-1.255533</v>
      </c>
      <c r="U373">
        <v>7.7575679999999994E-2</v>
      </c>
      <c r="V373">
        <v>-6.5954520000000003E-2</v>
      </c>
      <c r="W373">
        <v>0.29667070000000001</v>
      </c>
      <c r="X373">
        <v>0.95269959999999998</v>
      </c>
      <c r="Y373">
        <v>-1.8619320000000002E-2</v>
      </c>
      <c r="Z373">
        <v>2.5707680000000002E-3</v>
      </c>
      <c r="AA373">
        <v>0.99982329999999997</v>
      </c>
      <c r="AB373">
        <v>33</v>
      </c>
      <c r="AC373">
        <v>0.52490000000000203</v>
      </c>
      <c r="AD373">
        <v>-0.25661050000000002</v>
      </c>
      <c r="AE373">
        <v>1.53999999999996E-2</v>
      </c>
      <c r="AF373">
        <v>-1.13792150180784E-2</v>
      </c>
      <c r="AG373">
        <v>-0.25661050000000002</v>
      </c>
      <c r="AH373">
        <v>0.42374837520689301</v>
      </c>
      <c r="AI373">
        <v>121.18880882195</v>
      </c>
      <c r="AJ373">
        <v>91.538234436807002</v>
      </c>
      <c r="AK373">
        <v>0.49552105983011402</v>
      </c>
      <c r="AL373">
        <v>72.742253342317895</v>
      </c>
      <c r="AM373">
        <v>93.960215696398294</v>
      </c>
      <c r="AN373">
        <v>1.00000001539354</v>
      </c>
    </row>
    <row r="374" spans="1:40" x14ac:dyDescent="0.25">
      <c r="A374" t="str">
        <f>"20190304164107061"</f>
        <v>20190304164107061</v>
      </c>
      <c r="B374" t="str">
        <f>"1551688867052230"</f>
        <v>1551688867052230</v>
      </c>
      <c r="C374" t="s">
        <v>40</v>
      </c>
      <c r="D374">
        <v>4.3799630000000001</v>
      </c>
      <c r="E374">
        <v>0.5446529</v>
      </c>
      <c r="F374" t="s">
        <v>41</v>
      </c>
      <c r="G374">
        <v>-431.71089999999998</v>
      </c>
      <c r="H374">
        <v>0.77687879999999998</v>
      </c>
      <c r="I374">
        <v>366.80970000000002</v>
      </c>
      <c r="J374">
        <v>-432.34249999999997</v>
      </c>
      <c r="K374">
        <v>1.0656730000000001</v>
      </c>
      <c r="L374">
        <v>366.7928</v>
      </c>
      <c r="M374">
        <v>0.99987110000000001</v>
      </c>
      <c r="N374">
        <v>-1.5869810000000002E-2</v>
      </c>
      <c r="O374">
        <v>2.484389E-3</v>
      </c>
      <c r="P374">
        <v>0.95712140000000001</v>
      </c>
      <c r="Q374">
        <v>0.28141519999999998</v>
      </c>
      <c r="R374">
        <v>6.8732249999999995E-2</v>
      </c>
      <c r="S374">
        <v>3.495819</v>
      </c>
      <c r="T374">
        <v>-1.249781</v>
      </c>
      <c r="U374">
        <v>7.7301030000000007E-2</v>
      </c>
      <c r="V374">
        <v>-6.6343189999999996E-2</v>
      </c>
      <c r="W374">
        <v>0.29657420000000001</v>
      </c>
      <c r="X374">
        <v>0.95270259999999996</v>
      </c>
      <c r="Y374">
        <v>-1.8559269999999999E-2</v>
      </c>
      <c r="Z374">
        <v>2.546286E-3</v>
      </c>
      <c r="AA374">
        <v>0.9998245</v>
      </c>
      <c r="AB374">
        <v>33</v>
      </c>
      <c r="AC374">
        <v>0.63159999999999095</v>
      </c>
      <c r="AD374">
        <v>-0.288794199999999</v>
      </c>
      <c r="AE374">
        <v>1.6900000000020999E-2</v>
      </c>
      <c r="AF374">
        <v>-1.2681235339170999E-2</v>
      </c>
      <c r="AG374">
        <v>-0.288794199999999</v>
      </c>
      <c r="AH374">
        <v>0.52248252777395798</v>
      </c>
      <c r="AI374">
        <v>118.923807389803</v>
      </c>
      <c r="AJ374">
        <v>91.390359681901003</v>
      </c>
      <c r="AK374">
        <v>0.59711882863667298</v>
      </c>
      <c r="AL374">
        <v>72.7480419527013</v>
      </c>
      <c r="AM374">
        <v>93.983465832124296</v>
      </c>
      <c r="AN374">
        <v>0.99999995950588705</v>
      </c>
    </row>
    <row r="375" spans="1:40" x14ac:dyDescent="0.25">
      <c r="A375" t="str">
        <f>"20190304164107081"</f>
        <v>20190304164107081</v>
      </c>
      <c r="B375" t="str">
        <f>"1551688867072256"</f>
        <v>1551688867072256</v>
      </c>
      <c r="C375" t="s">
        <v>40</v>
      </c>
      <c r="D375">
        <v>4.4204100000000004</v>
      </c>
      <c r="E375">
        <v>0.54487940000000001</v>
      </c>
      <c r="F375" t="s">
        <v>41</v>
      </c>
      <c r="G375">
        <v>-431.68680000000001</v>
      </c>
      <c r="H375">
        <v>0.83245910000000001</v>
      </c>
      <c r="I375">
        <v>366.80669999999998</v>
      </c>
      <c r="J375">
        <v>-432.06509999999997</v>
      </c>
      <c r="K375">
        <v>1.064945</v>
      </c>
      <c r="L375">
        <v>366.79349999999999</v>
      </c>
      <c r="M375">
        <v>0.99987729999999997</v>
      </c>
      <c r="N375">
        <v>-1.546611E-2</v>
      </c>
      <c r="O375">
        <v>2.49366E-3</v>
      </c>
      <c r="P375">
        <v>0.95693810000000001</v>
      </c>
      <c r="Q375">
        <v>0.28190480000000001</v>
      </c>
      <c r="R375">
        <v>6.9277069999999996E-2</v>
      </c>
      <c r="S375">
        <v>3.4943240000000002</v>
      </c>
      <c r="T375">
        <v>-1.242904</v>
      </c>
      <c r="U375">
        <v>7.6995850000000005E-2</v>
      </c>
      <c r="V375">
        <v>-6.6882479999999994E-2</v>
      </c>
      <c r="W375">
        <v>0.29667569999999999</v>
      </c>
      <c r="X375">
        <v>0.95263330000000002</v>
      </c>
      <c r="Y375">
        <v>-1.8489080000000001E-2</v>
      </c>
      <c r="Z375">
        <v>2.5144130000000001E-3</v>
      </c>
      <c r="AA375">
        <v>0.99982590000000005</v>
      </c>
      <c r="AB375">
        <v>33</v>
      </c>
      <c r="AC375">
        <v>0.378299999999967</v>
      </c>
      <c r="AD375">
        <v>-0.2324859</v>
      </c>
      <c r="AE375">
        <v>1.31999999999834E-2</v>
      </c>
      <c r="AF375">
        <v>-8.8994602211469598E-3</v>
      </c>
      <c r="AG375">
        <v>-0.2324859</v>
      </c>
      <c r="AH375">
        <v>0.27470728213419299</v>
      </c>
      <c r="AI375">
        <v>130.22655715419901</v>
      </c>
      <c r="AJ375">
        <v>91.855514118477998</v>
      </c>
      <c r="AK375">
        <v>0.359990256741197</v>
      </c>
      <c r="AL375">
        <v>72.7419525620505</v>
      </c>
      <c r="AM375">
        <v>94.016032255960596</v>
      </c>
      <c r="AN375">
        <v>0.999999970685164</v>
      </c>
    </row>
    <row r="376" spans="1:40" x14ac:dyDescent="0.25">
      <c r="A376" t="str">
        <f>"20190304164107093"</f>
        <v>20190304164107093</v>
      </c>
      <c r="B376" t="str">
        <f>"1551688867082016"</f>
        <v>1551688867082016</v>
      </c>
      <c r="C376" t="s">
        <v>40</v>
      </c>
      <c r="D376">
        <v>4.413214</v>
      </c>
      <c r="E376">
        <v>0.54499019999999898</v>
      </c>
      <c r="F376" t="s">
        <v>41</v>
      </c>
      <c r="G376">
        <v>-431.39060000000001</v>
      </c>
      <c r="H376">
        <v>0.82681469999999901</v>
      </c>
      <c r="I376">
        <v>366.80810000000002</v>
      </c>
      <c r="J376">
        <v>-431.86970000000002</v>
      </c>
      <c r="K376">
        <v>1.0644929999999999</v>
      </c>
      <c r="L376">
        <v>366.79399999999998</v>
      </c>
      <c r="M376">
        <v>0.99988129999999997</v>
      </c>
      <c r="N376">
        <v>-1.520556E-2</v>
      </c>
      <c r="O376">
        <v>2.5082870000000001E-3</v>
      </c>
      <c r="P376">
        <v>0.95684369999999996</v>
      </c>
      <c r="Q376">
        <v>0.28215980000000002</v>
      </c>
      <c r="R376">
        <v>6.9543090000000002E-2</v>
      </c>
      <c r="S376">
        <v>3.4927060000000001</v>
      </c>
      <c r="T376">
        <v>-1.2328749999999999</v>
      </c>
      <c r="U376">
        <v>7.5744629999999993E-2</v>
      </c>
      <c r="V376">
        <v>-6.7138580000000003E-2</v>
      </c>
      <c r="W376">
        <v>0.2966799</v>
      </c>
      <c r="X376">
        <v>0.95261399999999996</v>
      </c>
      <c r="Y376">
        <v>-1.8164059999999999E-2</v>
      </c>
      <c r="Z376">
        <v>2.4315249999999999E-3</v>
      </c>
      <c r="AA376">
        <v>0.99983200000000005</v>
      </c>
      <c r="AB376">
        <v>33</v>
      </c>
      <c r="AC376">
        <v>0.47910000000001601</v>
      </c>
      <c r="AD376">
        <v>-0.23767830000000001</v>
      </c>
      <c r="AE376">
        <v>1.4099999999984901E-2</v>
      </c>
      <c r="AF376">
        <v>-1.0352469842559201E-2</v>
      </c>
      <c r="AG376">
        <v>-0.23767830000000001</v>
      </c>
      <c r="AH376">
        <v>0.38456983864896599</v>
      </c>
      <c r="AI376">
        <v>121.70830950336899</v>
      </c>
      <c r="AJ376">
        <v>91.542007596744696</v>
      </c>
      <c r="AK376">
        <v>0.45220803699317802</v>
      </c>
      <c r="AL376">
        <v>72.741700962865906</v>
      </c>
      <c r="AM376">
        <v>94.031440862560899</v>
      </c>
      <c r="AN376">
        <v>0.99999999249221305</v>
      </c>
    </row>
    <row r="377" spans="1:40" x14ac:dyDescent="0.25">
      <c r="A377" t="str">
        <f>"20190304164107107"</f>
        <v>20190304164107107</v>
      </c>
      <c r="B377" t="str">
        <f>"1551688867091776"</f>
        <v>1551688867091776</v>
      </c>
      <c r="C377" t="s">
        <v>40</v>
      </c>
      <c r="D377">
        <v>4.4279129999999904</v>
      </c>
      <c r="E377">
        <v>0.54508029999999996</v>
      </c>
      <c r="F377" t="s">
        <v>41</v>
      </c>
      <c r="G377">
        <v>-431.10539999999997</v>
      </c>
      <c r="H377">
        <v>0.79574290000000003</v>
      </c>
      <c r="I377">
        <v>366.81020000000001</v>
      </c>
      <c r="J377">
        <v>-431.67450000000002</v>
      </c>
      <c r="K377">
        <v>1.064076</v>
      </c>
      <c r="L377">
        <v>366.7946</v>
      </c>
      <c r="M377">
        <v>0.99988500000000002</v>
      </c>
      <c r="N377">
        <v>-1.4957379999999999E-2</v>
      </c>
      <c r="O377">
        <v>2.527755E-3</v>
      </c>
      <c r="P377">
        <v>0.95680600000000005</v>
      </c>
      <c r="Q377">
        <v>0.28223470000000001</v>
      </c>
      <c r="R377">
        <v>6.9757089999999994E-2</v>
      </c>
      <c r="S377">
        <v>3.4919129999999998</v>
      </c>
      <c r="T377">
        <v>-1.227902</v>
      </c>
      <c r="U377">
        <v>7.5225829999999994E-2</v>
      </c>
      <c r="V377">
        <v>-6.7339289999999996E-2</v>
      </c>
      <c r="W377">
        <v>0.29651680000000002</v>
      </c>
      <c r="X377">
        <v>0.95265060000000001</v>
      </c>
      <c r="Y377">
        <v>-1.8019440000000001E-2</v>
      </c>
      <c r="Z377">
        <v>2.3883260000000001E-3</v>
      </c>
      <c r="AA377">
        <v>0.99983480000000002</v>
      </c>
      <c r="AB377">
        <v>33</v>
      </c>
      <c r="AC377">
        <v>0.56910000000004801</v>
      </c>
      <c r="AD377">
        <v>-0.26833309999999999</v>
      </c>
      <c r="AE377">
        <v>1.5600000000006199E-2</v>
      </c>
      <c r="AF377">
        <v>-1.1587162816726599E-2</v>
      </c>
      <c r="AG377">
        <v>-0.26833309999999999</v>
      </c>
      <c r="AH377">
        <v>0.46568580339731103</v>
      </c>
      <c r="AI377">
        <v>119.943333067522</v>
      </c>
      <c r="AJ377">
        <v>91.4253356312596</v>
      </c>
      <c r="AK377">
        <v>0.53758737186019401</v>
      </c>
      <c r="AL377">
        <v>72.751485981471106</v>
      </c>
      <c r="AM377">
        <v>94.0432980610789</v>
      </c>
      <c r="AN377">
        <v>0.99999997917015104</v>
      </c>
    </row>
    <row r="378" spans="1:40" x14ac:dyDescent="0.25">
      <c r="A378" t="str">
        <f>"20190304164107123"</f>
        <v>20190304164107123</v>
      </c>
      <c r="B378" t="str">
        <f>"1551688867112272"</f>
        <v>1551688867112272</v>
      </c>
      <c r="C378" t="s">
        <v>40</v>
      </c>
      <c r="D378">
        <v>4.3777730000000004</v>
      </c>
      <c r="E378">
        <v>0.54517769999999899</v>
      </c>
      <c r="F378" t="s">
        <v>41</v>
      </c>
      <c r="G378">
        <v>-430.81990000000002</v>
      </c>
      <c r="H378">
        <v>0.76454200000000005</v>
      </c>
      <c r="I378">
        <v>366.8125</v>
      </c>
      <c r="J378">
        <v>-431.41660000000002</v>
      </c>
      <c r="K378">
        <v>1.063588</v>
      </c>
      <c r="L378">
        <v>366.7953</v>
      </c>
      <c r="M378">
        <v>0.99988949999999999</v>
      </c>
      <c r="N378">
        <v>-1.4654220000000001E-2</v>
      </c>
      <c r="O378">
        <v>2.5644270000000002E-3</v>
      </c>
      <c r="P378">
        <v>0.95681380000000005</v>
      </c>
      <c r="Q378">
        <v>0.2821322</v>
      </c>
      <c r="R378">
        <v>7.0064219999999997E-2</v>
      </c>
      <c r="S378">
        <v>3.491028</v>
      </c>
      <c r="T378">
        <v>-1.2236629999999999</v>
      </c>
      <c r="U378">
        <v>7.3608399999999893E-2</v>
      </c>
      <c r="V378">
        <v>-6.7620029999999998E-2</v>
      </c>
      <c r="W378">
        <v>0.29612329999999998</v>
      </c>
      <c r="X378">
        <v>0.95275310000000002</v>
      </c>
      <c r="Y378">
        <v>-1.756286E-2</v>
      </c>
      <c r="Z378">
        <v>2.2849720000000001E-3</v>
      </c>
      <c r="AA378">
        <v>0.99984309999999998</v>
      </c>
      <c r="AB378">
        <v>33</v>
      </c>
      <c r="AC378">
        <v>0.59669999999999801</v>
      </c>
      <c r="AD378">
        <v>-0.29904599999999898</v>
      </c>
      <c r="AE378">
        <v>1.7200000000002501E-2</v>
      </c>
      <c r="AF378">
        <v>-1.2526056063012899E-2</v>
      </c>
      <c r="AG378">
        <v>-0.29904599999999898</v>
      </c>
      <c r="AH378">
        <v>0.47702764715732399</v>
      </c>
      <c r="AI378">
        <v>122.074486404298</v>
      </c>
      <c r="AJ378">
        <v>91.504158651884694</v>
      </c>
      <c r="AK378">
        <v>0.56315254447524798</v>
      </c>
      <c r="AL378">
        <v>72.775091948324004</v>
      </c>
      <c r="AM378">
        <v>94.059663127212602</v>
      </c>
      <c r="AN378">
        <v>0.99999997340985003</v>
      </c>
    </row>
    <row r="379" spans="1:40" x14ac:dyDescent="0.25">
      <c r="A379" t="str">
        <f>"20190304164107136"</f>
        <v>20190304164107136</v>
      </c>
      <c r="B379" t="str">
        <f>"1551688867122032"</f>
        <v>1551688867122032</v>
      </c>
      <c r="C379" t="s">
        <v>40</v>
      </c>
      <c r="D379">
        <v>4.3907949999999998</v>
      </c>
      <c r="E379">
        <v>0.54520329999999995</v>
      </c>
      <c r="F379" t="s">
        <v>41</v>
      </c>
      <c r="G379">
        <v>-430.52600000000001</v>
      </c>
      <c r="H379">
        <v>0.75265660000000001</v>
      </c>
      <c r="I379">
        <v>366.8134</v>
      </c>
      <c r="J379">
        <v>-431.23020000000002</v>
      </c>
      <c r="K379">
        <v>1.0632740000000001</v>
      </c>
      <c r="L379">
        <v>366.79579999999999</v>
      </c>
      <c r="M379">
        <v>0.99989220000000001</v>
      </c>
      <c r="N379">
        <v>-1.445479E-2</v>
      </c>
      <c r="O379">
        <v>2.6008709999999998E-3</v>
      </c>
      <c r="P379">
        <v>0.95677880000000004</v>
      </c>
      <c r="Q379">
        <v>0.2822924</v>
      </c>
      <c r="R379">
        <v>6.9894490000000004E-2</v>
      </c>
      <c r="S379">
        <v>3.4893190000000001</v>
      </c>
      <c r="T379">
        <v>-1.2181649999999999</v>
      </c>
      <c r="U379">
        <v>7.1777339999999995E-2</v>
      </c>
      <c r="V379">
        <v>-6.7422650000000001E-2</v>
      </c>
      <c r="W379">
        <v>0.29609190000000002</v>
      </c>
      <c r="X379">
        <v>0.95277679999999998</v>
      </c>
      <c r="Y379">
        <v>-1.7053700000000001E-2</v>
      </c>
      <c r="Z379">
        <v>2.1727080000000002E-3</v>
      </c>
      <c r="AA379">
        <v>0.99985219999999997</v>
      </c>
      <c r="AB379">
        <v>33</v>
      </c>
      <c r="AC379">
        <v>0.70420000000001404</v>
      </c>
      <c r="AD379">
        <v>-0.31061739999999999</v>
      </c>
      <c r="AE379">
        <v>1.7600000000015801E-2</v>
      </c>
      <c r="AF379">
        <v>-1.32013326855746E-2</v>
      </c>
      <c r="AG379">
        <v>-0.31061739999999999</v>
      </c>
      <c r="AH379">
        <v>0.58960071843214701</v>
      </c>
      <c r="AI379">
        <v>117.775538261996</v>
      </c>
      <c r="AJ379">
        <v>91.282654962305202</v>
      </c>
      <c r="AK379">
        <v>0.66654816145807405</v>
      </c>
      <c r="AL379">
        <v>72.776974712359205</v>
      </c>
      <c r="AM379">
        <v>94.047752236792803</v>
      </c>
      <c r="AN379">
        <v>0.99999992879843302</v>
      </c>
    </row>
    <row r="380" spans="1:40" x14ac:dyDescent="0.25">
      <c r="A380" t="str">
        <f>"20190304164107149"</f>
        <v>20190304164107149</v>
      </c>
      <c r="B380" t="str">
        <f>"1551688867141552"</f>
        <v>1551688867141552</v>
      </c>
      <c r="C380" t="s">
        <v>40</v>
      </c>
      <c r="D380">
        <v>4.4984590000000004</v>
      </c>
      <c r="E380">
        <v>0.5528016</v>
      </c>
      <c r="F380" t="s">
        <v>41</v>
      </c>
      <c r="G380">
        <v>-430.50189999999998</v>
      </c>
      <c r="H380">
        <v>0.8096101</v>
      </c>
      <c r="I380">
        <v>366.81040000000002</v>
      </c>
      <c r="J380">
        <v>-431.04379999999998</v>
      </c>
      <c r="K380">
        <v>1.062991</v>
      </c>
      <c r="L380">
        <v>366.79629999999997</v>
      </c>
      <c r="M380">
        <v>0.99989470000000003</v>
      </c>
      <c r="N380">
        <v>-1.4266529999999999E-2</v>
      </c>
      <c r="O380">
        <v>2.6445510000000002E-3</v>
      </c>
      <c r="P380">
        <v>0.95671899999999999</v>
      </c>
      <c r="Q380">
        <v>0.282495099999999</v>
      </c>
      <c r="R380">
        <v>6.9892789999999996E-2</v>
      </c>
      <c r="S380">
        <v>3.4889830000000002</v>
      </c>
      <c r="T380">
        <v>-1.2153210000000001</v>
      </c>
      <c r="U380">
        <v>7.0587159999999996E-2</v>
      </c>
      <c r="V380">
        <v>-6.7387219999999998E-2</v>
      </c>
      <c r="W380">
        <v>0.2961124</v>
      </c>
      <c r="X380">
        <v>0.95277299999999998</v>
      </c>
      <c r="Y380">
        <v>-1.6699769999999999E-2</v>
      </c>
      <c r="Z380">
        <v>2.0896780000000002E-3</v>
      </c>
      <c r="AA380">
        <v>0.99985840000000004</v>
      </c>
      <c r="AB380">
        <v>33</v>
      </c>
      <c r="AC380">
        <v>0.54189999999999805</v>
      </c>
      <c r="AD380">
        <v>-0.25338089999999902</v>
      </c>
      <c r="AE380">
        <v>1.4100000000041701E-2</v>
      </c>
      <c r="AF380">
        <v>-1.03954948293828E-2</v>
      </c>
      <c r="AG380">
        <v>-0.25338089999999902</v>
      </c>
      <c r="AH380">
        <v>0.444762768993339</v>
      </c>
      <c r="AI380">
        <v>119.663392155121</v>
      </c>
      <c r="AJ380">
        <v>91.338937505843106</v>
      </c>
      <c r="AK380">
        <v>0.51198033895861705</v>
      </c>
      <c r="AL380">
        <v>72.775746094584505</v>
      </c>
      <c r="AM380">
        <v>94.045648325758094</v>
      </c>
      <c r="AN380">
        <v>0.99999999019104402</v>
      </c>
    </row>
    <row r="381" spans="1:40" x14ac:dyDescent="0.25">
      <c r="A381" t="str">
        <f>"20190304164107164"</f>
        <v>20190304164107164</v>
      </c>
      <c r="B381" t="str">
        <f>"1551688867152288"</f>
        <v>1551688867152288</v>
      </c>
      <c r="C381" t="s">
        <v>40</v>
      </c>
      <c r="D381">
        <v>4.4508080000000003</v>
      </c>
      <c r="E381">
        <v>0.55418480000000003</v>
      </c>
      <c r="F381" t="s">
        <v>41</v>
      </c>
      <c r="G381">
        <v>-430.21129999999999</v>
      </c>
      <c r="H381">
        <v>0.79255959999999903</v>
      </c>
      <c r="I381">
        <v>366.7962</v>
      </c>
      <c r="J381">
        <v>-430.83390000000003</v>
      </c>
      <c r="K381">
        <v>1.0626979999999999</v>
      </c>
      <c r="L381">
        <v>366.79689999999999</v>
      </c>
      <c r="M381">
        <v>0.99989749999999999</v>
      </c>
      <c r="N381">
        <v>-1.4066220000000001E-2</v>
      </c>
      <c r="O381">
        <v>2.7015619999999998E-3</v>
      </c>
      <c r="P381">
        <v>0.95666050000000002</v>
      </c>
      <c r="Q381">
        <v>0.28279579999999999</v>
      </c>
      <c r="R381">
        <v>6.9479009999999994E-2</v>
      </c>
      <c r="S381">
        <v>3.468353</v>
      </c>
      <c r="T381">
        <v>-1.126735</v>
      </c>
      <c r="U381">
        <v>3.0517579999999998E-4</v>
      </c>
      <c r="V381">
        <v>-6.6928760000000004E-2</v>
      </c>
      <c r="W381">
        <v>0.29621900000000001</v>
      </c>
      <c r="X381">
        <v>0.95277219999999996</v>
      </c>
      <c r="Y381">
        <v>2.359716E-3</v>
      </c>
      <c r="Z381">
        <v>-1.2092450000000001E-3</v>
      </c>
      <c r="AA381">
        <v>0.99999649999999995</v>
      </c>
      <c r="AB381">
        <v>33</v>
      </c>
      <c r="AC381">
        <v>0.62260000000003302</v>
      </c>
      <c r="AD381">
        <v>-0.2701384</v>
      </c>
      <c r="AE381">
        <v>-6.9999999999481501E-4</v>
      </c>
      <c r="AF381">
        <v>2.0047463258121199E-3</v>
      </c>
      <c r="AG381">
        <v>-0.2701384</v>
      </c>
      <c r="AH381">
        <v>0.52395669955357305</v>
      </c>
      <c r="AI381">
        <v>117.274279711774</v>
      </c>
      <c r="AJ381">
        <v>89.780777795094295</v>
      </c>
      <c r="AK381">
        <v>0.58949927664880497</v>
      </c>
      <c r="AL381">
        <v>72.769351831837696</v>
      </c>
      <c r="AM381">
        <v>94.018218124944894</v>
      </c>
      <c r="AN381">
        <v>1.0000000099844799</v>
      </c>
    </row>
    <row r="382" spans="1:40" x14ac:dyDescent="0.25">
      <c r="A382" t="str">
        <f>"20190304164107182"</f>
        <v>20190304164107182</v>
      </c>
      <c r="B382" t="str">
        <f>"1551688867172316"</f>
        <v>1551688867172316</v>
      </c>
      <c r="C382" t="s">
        <v>40</v>
      </c>
      <c r="D382">
        <v>4.4478569999999999</v>
      </c>
      <c r="E382">
        <v>0.55569760000000001</v>
      </c>
      <c r="F382" t="s">
        <v>41</v>
      </c>
      <c r="G382">
        <v>-429.92239999999998</v>
      </c>
      <c r="H382">
        <v>0.76856219999999997</v>
      </c>
      <c r="I382">
        <v>366.79329999999999</v>
      </c>
      <c r="J382">
        <v>-430.55349999999999</v>
      </c>
      <c r="K382">
        <v>1.0623659999999999</v>
      </c>
      <c r="L382">
        <v>366.7978</v>
      </c>
      <c r="M382">
        <v>0.99990060000000003</v>
      </c>
      <c r="N382">
        <v>-1.382414E-2</v>
      </c>
      <c r="O382">
        <v>2.8037159999999999E-3</v>
      </c>
      <c r="P382">
        <v>0.95660999999999996</v>
      </c>
      <c r="Q382">
        <v>0.28299299999999999</v>
      </c>
      <c r="R382">
        <v>6.9371039999999995E-2</v>
      </c>
      <c r="S382">
        <v>3.46759</v>
      </c>
      <c r="T382">
        <v>-1.118976</v>
      </c>
      <c r="U382">
        <v>-1.2512209999999999E-2</v>
      </c>
      <c r="V382">
        <v>-6.67383E-2</v>
      </c>
      <c r="W382">
        <v>0.29618159999999999</v>
      </c>
      <c r="X382">
        <v>0.95279720000000001</v>
      </c>
      <c r="Y382">
        <v>5.9652919999999996E-3</v>
      </c>
      <c r="Z382">
        <v>-1.8254549999999999E-3</v>
      </c>
      <c r="AA382">
        <v>0.9999806</v>
      </c>
      <c r="AB382">
        <v>33</v>
      </c>
      <c r="AC382">
        <v>0.63110000000000299</v>
      </c>
      <c r="AD382">
        <v>-0.293803799999999</v>
      </c>
      <c r="AE382">
        <v>-4.5000000000072699E-3</v>
      </c>
      <c r="AF382">
        <v>5.1528561576630796E-3</v>
      </c>
      <c r="AG382">
        <v>-0.293803799999999</v>
      </c>
      <c r="AH382">
        <v>0.51867773854767096</v>
      </c>
      <c r="AI382">
        <v>119.52807144724601</v>
      </c>
      <c r="AJ382">
        <v>89.430808041338295</v>
      </c>
      <c r="AK382">
        <v>0.59613238570467497</v>
      </c>
      <c r="AL382">
        <v>72.771595594966101</v>
      </c>
      <c r="AM382">
        <v>94.006715938704303</v>
      </c>
      <c r="AN382">
        <v>1.0000000225966399</v>
      </c>
    </row>
    <row r="383" spans="1:40" x14ac:dyDescent="0.25">
      <c r="A383" t="str">
        <f>"20190304164107196"</f>
        <v>20190304164107196</v>
      </c>
      <c r="B383" t="str">
        <f>"1551688867191835"</f>
        <v>1551688867191835</v>
      </c>
      <c r="C383" t="s">
        <v>40</v>
      </c>
      <c r="D383">
        <v>4.4656000000000002</v>
      </c>
      <c r="E383">
        <v>0.55697149999999995</v>
      </c>
      <c r="F383" t="s">
        <v>41</v>
      </c>
      <c r="G383">
        <v>-429.88799999999998</v>
      </c>
      <c r="H383">
        <v>0.84937479999999999</v>
      </c>
      <c r="I383">
        <v>366.79219999999998</v>
      </c>
      <c r="J383">
        <v>-430.34550000000002</v>
      </c>
      <c r="K383">
        <v>1.0621590000000001</v>
      </c>
      <c r="L383">
        <v>366.79840000000002</v>
      </c>
      <c r="M383">
        <v>0.99990250000000003</v>
      </c>
      <c r="N383">
        <v>-1.3663369999999999E-2</v>
      </c>
      <c r="O383">
        <v>2.9002239999999999E-3</v>
      </c>
      <c r="P383">
        <v>0.95664669999999896</v>
      </c>
      <c r="Q383">
        <v>0.28286869999999997</v>
      </c>
      <c r="R383">
        <v>6.9371580000000002E-2</v>
      </c>
      <c r="S383">
        <v>3.4663089999999999</v>
      </c>
      <c r="T383">
        <v>-1.109497</v>
      </c>
      <c r="U383">
        <v>-2.716064E-2</v>
      </c>
      <c r="V383">
        <v>-6.6658919999999997E-2</v>
      </c>
      <c r="W383">
        <v>0.295902</v>
      </c>
      <c r="X383">
        <v>0.9528896</v>
      </c>
      <c r="Y383">
        <v>1.0076750000000001E-2</v>
      </c>
      <c r="Z383">
        <v>-2.5109030000000001E-3</v>
      </c>
      <c r="AA383">
        <v>0.99994609999999995</v>
      </c>
      <c r="AB383">
        <v>33</v>
      </c>
      <c r="AC383">
        <v>0.45749999999998098</v>
      </c>
      <c r="AD383">
        <v>-0.21278420000000001</v>
      </c>
      <c r="AE383">
        <v>-6.2000000000352797E-3</v>
      </c>
      <c r="AF383">
        <v>6.1885000433504599E-3</v>
      </c>
      <c r="AG383">
        <v>-0.21278420000000001</v>
      </c>
      <c r="AH383">
        <v>0.37613050403556297</v>
      </c>
      <c r="AI383">
        <v>119.494346018447</v>
      </c>
      <c r="AJ383">
        <v>89.057393802113694</v>
      </c>
      <c r="AK383">
        <v>0.43219158872943603</v>
      </c>
      <c r="AL383">
        <v>72.788366840520297</v>
      </c>
      <c r="AM383">
        <v>94.001578954199303</v>
      </c>
      <c r="AN383">
        <v>0.99999999750386304</v>
      </c>
    </row>
    <row r="384" spans="1:40" x14ac:dyDescent="0.25">
      <c r="A384" t="str">
        <f>"20190304164107214"</f>
        <v>20190304164107214</v>
      </c>
      <c r="B384" t="str">
        <f>"1551688867201596"</f>
        <v>1551688867201596</v>
      </c>
      <c r="C384" t="s">
        <v>40</v>
      </c>
      <c r="D384">
        <v>4.4670480000000001</v>
      </c>
      <c r="E384">
        <v>0.55704370000000003</v>
      </c>
      <c r="F384" t="s">
        <v>41</v>
      </c>
      <c r="G384">
        <v>-429.59960000000001</v>
      </c>
      <c r="H384">
        <v>0.82575919999999903</v>
      </c>
      <c r="I384">
        <v>366.78989999999999</v>
      </c>
      <c r="J384">
        <v>-430.07979999999998</v>
      </c>
      <c r="K384">
        <v>1.061925</v>
      </c>
      <c r="L384">
        <v>366.79930000000002</v>
      </c>
      <c r="M384">
        <v>0.99990460000000003</v>
      </c>
      <c r="N384">
        <v>-1.347726E-2</v>
      </c>
      <c r="O384">
        <v>3.045463E-3</v>
      </c>
      <c r="P384">
        <v>0.95668719999999996</v>
      </c>
      <c r="Q384">
        <v>0.28270959999999901</v>
      </c>
      <c r="R384">
        <v>6.94631E-2</v>
      </c>
      <c r="S384">
        <v>3.4634089999999902</v>
      </c>
      <c r="T384">
        <v>-1.0976539999999999</v>
      </c>
      <c r="U384">
        <v>-3.9611819999999999E-2</v>
      </c>
      <c r="V384">
        <v>-6.6629919999999995E-2</v>
      </c>
      <c r="W384">
        <v>0.295562099999999</v>
      </c>
      <c r="X384">
        <v>0.95299710000000004</v>
      </c>
      <c r="Y384">
        <v>1.364639E-2</v>
      </c>
      <c r="Z384">
        <v>-3.1069050000000001E-3</v>
      </c>
      <c r="AA384">
        <v>0.99990210000000002</v>
      </c>
      <c r="AB384">
        <v>33</v>
      </c>
      <c r="AC384">
        <v>0.48019999999996799</v>
      </c>
      <c r="AD384">
        <v>-0.23616580000000001</v>
      </c>
      <c r="AE384">
        <v>-9.4000000000278305E-3</v>
      </c>
      <c r="AF384">
        <v>8.7475286646377399E-3</v>
      </c>
      <c r="AG384">
        <v>-0.23616580000000001</v>
      </c>
      <c r="AH384">
        <v>0.38667759922466</v>
      </c>
      <c r="AI384">
        <v>121.408244418604</v>
      </c>
      <c r="AJ384">
        <v>88.704059913971193</v>
      </c>
      <c r="AK384">
        <v>0.45317807767976298</v>
      </c>
      <c r="AL384">
        <v>72.808753366951095</v>
      </c>
      <c r="AM384">
        <v>93.999393990704604</v>
      </c>
      <c r="AN384">
        <v>0.99999998690201297</v>
      </c>
    </row>
    <row r="385" spans="1:40" x14ac:dyDescent="0.25">
      <c r="A385" t="str">
        <f>"20190304164107226"</f>
        <v>20190304164107226</v>
      </c>
      <c r="B385" t="str">
        <f>"1551688867222091"</f>
        <v>1551688867222091</v>
      </c>
      <c r="C385" t="s">
        <v>40</v>
      </c>
      <c r="D385">
        <v>4.4458710000000004</v>
      </c>
      <c r="E385">
        <v>0.55691269999999904</v>
      </c>
      <c r="F385" t="s">
        <v>41</v>
      </c>
      <c r="G385">
        <v>-429.3048</v>
      </c>
      <c r="H385">
        <v>0.81620000000000004</v>
      </c>
      <c r="I385">
        <v>366.78989999999999</v>
      </c>
      <c r="J385">
        <v>-429.87310000000002</v>
      </c>
      <c r="K385">
        <v>1.061769</v>
      </c>
      <c r="L385">
        <v>366.8</v>
      </c>
      <c r="M385">
        <v>0.99990590000000001</v>
      </c>
      <c r="N385">
        <v>-1.33493E-2</v>
      </c>
      <c r="O385">
        <v>3.1774220000000001E-3</v>
      </c>
      <c r="P385">
        <v>0.95660999999999996</v>
      </c>
      <c r="Q385">
        <v>0.28293740000000001</v>
      </c>
      <c r="R385">
        <v>6.9599140000000004E-2</v>
      </c>
      <c r="S385">
        <v>3.4633180000000001</v>
      </c>
      <c r="T385">
        <v>-1.0981559999999999</v>
      </c>
      <c r="U385">
        <v>-4.0557860000000001E-2</v>
      </c>
      <c r="V385">
        <v>-6.6655450000000005E-2</v>
      </c>
      <c r="W385">
        <v>0.29566369999999997</v>
      </c>
      <c r="X385">
        <v>0.95296380000000003</v>
      </c>
      <c r="Y385">
        <v>1.402575E-2</v>
      </c>
      <c r="Z385">
        <v>-3.2082120000000002E-3</v>
      </c>
      <c r="AA385">
        <v>0.99989649999999997</v>
      </c>
      <c r="AB385">
        <v>33</v>
      </c>
      <c r="AC385">
        <v>0.56830000000002201</v>
      </c>
      <c r="AD385">
        <v>-0.24556899999999901</v>
      </c>
      <c r="AE385">
        <v>-1.01000000000226E-2</v>
      </c>
      <c r="AF385">
        <v>1.00330543436567E-2</v>
      </c>
      <c r="AG385">
        <v>-0.24556899999999901</v>
      </c>
      <c r="AH385">
        <v>0.47887713821023498</v>
      </c>
      <c r="AI385">
        <v>117.143722829425</v>
      </c>
      <c r="AJ385">
        <v>88.799759823915593</v>
      </c>
      <c r="AK385">
        <v>0.53826397746912902</v>
      </c>
      <c r="AL385">
        <v>72.8026598049141</v>
      </c>
      <c r="AM385">
        <v>94.001060780213706</v>
      </c>
      <c r="AN385">
        <v>0.99999998831141601</v>
      </c>
    </row>
    <row r="386" spans="1:40" x14ac:dyDescent="0.25">
      <c r="A386" t="str">
        <f>"20190304164107239"</f>
        <v>20190304164107239</v>
      </c>
      <c r="B386" t="str">
        <f>"1551688867231852"</f>
        <v>1551688867231852</v>
      </c>
      <c r="C386" t="s">
        <v>40</v>
      </c>
      <c r="D386">
        <v>4.445379</v>
      </c>
      <c r="E386">
        <v>0.55682399999999999</v>
      </c>
      <c r="F386" t="s">
        <v>41</v>
      </c>
      <c r="G386">
        <v>-429.01740000000001</v>
      </c>
      <c r="H386">
        <v>0.78918149999999998</v>
      </c>
      <c r="I386">
        <v>366.7903</v>
      </c>
      <c r="J386">
        <v>-429.68560000000002</v>
      </c>
      <c r="K386">
        <v>1.0616509999999999</v>
      </c>
      <c r="L386">
        <v>366.80079999999998</v>
      </c>
      <c r="M386">
        <v>0.99990690000000004</v>
      </c>
      <c r="N386">
        <v>-1.3245939999999999E-2</v>
      </c>
      <c r="O386">
        <v>3.3109239999999998E-3</v>
      </c>
      <c r="P386">
        <v>0.95662400000000003</v>
      </c>
      <c r="Q386">
        <v>0.28290799999999999</v>
      </c>
      <c r="R386">
        <v>6.9524619999999995E-2</v>
      </c>
      <c r="S386">
        <v>3.4653629999999902</v>
      </c>
      <c r="T386">
        <v>-1.1038570000000001</v>
      </c>
      <c r="U386">
        <v>-3.8421629999999998E-2</v>
      </c>
      <c r="V386">
        <v>-6.6468780000000005E-2</v>
      </c>
      <c r="W386">
        <v>0.29553210000000002</v>
      </c>
      <c r="X386">
        <v>0.95301769999999997</v>
      </c>
      <c r="Y386">
        <v>1.3547129999999999E-2</v>
      </c>
      <c r="Z386">
        <v>-3.183782E-3</v>
      </c>
      <c r="AA386">
        <v>0.99990310000000004</v>
      </c>
      <c r="AB386">
        <v>33</v>
      </c>
      <c r="AC386">
        <v>0.66820000000001301</v>
      </c>
      <c r="AD386">
        <v>-0.27246949999999998</v>
      </c>
      <c r="AE386">
        <v>-1.0499999999979E-2</v>
      </c>
      <c r="AF386">
        <v>1.0900482560142401E-2</v>
      </c>
      <c r="AG386">
        <v>-0.27246949999999998</v>
      </c>
      <c r="AH386">
        <v>0.57292318477148896</v>
      </c>
      <c r="AI386">
        <v>115.43069806605</v>
      </c>
      <c r="AJ386">
        <v>88.910017402907897</v>
      </c>
      <c r="AK386">
        <v>0.63450722974525697</v>
      </c>
      <c r="AL386">
        <v>72.810553356591996</v>
      </c>
      <c r="AM386">
        <v>93.989667036124899</v>
      </c>
      <c r="AN386">
        <v>1.0000000286791899</v>
      </c>
    </row>
    <row r="387" spans="1:40" x14ac:dyDescent="0.25">
      <c r="A387" t="str">
        <f>"20190304164107252"</f>
        <v>20190304164107252</v>
      </c>
      <c r="B387" t="str">
        <f>"1551688867241611"</f>
        <v>1551688867241611</v>
      </c>
      <c r="C387" t="s">
        <v>40</v>
      </c>
      <c r="D387">
        <v>4.4524179999999998</v>
      </c>
      <c r="E387">
        <v>0.55675169999999996</v>
      </c>
      <c r="F387" t="s">
        <v>41</v>
      </c>
      <c r="G387">
        <v>-428.995</v>
      </c>
      <c r="H387">
        <v>0.84114849999999997</v>
      </c>
      <c r="I387">
        <v>366.79300000000001</v>
      </c>
      <c r="J387">
        <v>-429.51069999999999</v>
      </c>
      <c r="K387">
        <v>1.061555</v>
      </c>
      <c r="L387">
        <v>366.80149999999998</v>
      </c>
      <c r="M387">
        <v>0.9999074</v>
      </c>
      <c r="N387">
        <v>-1.3165629999999999E-2</v>
      </c>
      <c r="O387">
        <v>3.450566E-3</v>
      </c>
      <c r="P387">
        <v>0.95655210000000002</v>
      </c>
      <c r="Q387">
        <v>0.28303859999999997</v>
      </c>
      <c r="R387">
        <v>6.9981829999999995E-2</v>
      </c>
      <c r="S387">
        <v>3.4660030000000002</v>
      </c>
      <c r="T387">
        <v>-1.1067209999999901</v>
      </c>
      <c r="U387">
        <v>-3.7445069999999997E-2</v>
      </c>
      <c r="V387">
        <v>-6.6807160000000004E-2</v>
      </c>
      <c r="W387">
        <v>0.29558220000000002</v>
      </c>
      <c r="X387">
        <v>0.95297849999999995</v>
      </c>
      <c r="Y387">
        <v>1.340038E-2</v>
      </c>
      <c r="Z387">
        <v>-3.2085540000000002E-3</v>
      </c>
      <c r="AA387">
        <v>0.99990500000000004</v>
      </c>
      <c r="AB387">
        <v>33</v>
      </c>
      <c r="AC387">
        <v>0.51569999999998095</v>
      </c>
      <c r="AD387">
        <v>-0.22040649999999901</v>
      </c>
      <c r="AE387">
        <v>-8.4999999999695302E-3</v>
      </c>
      <c r="AF387">
        <v>8.6922287013804101E-3</v>
      </c>
      <c r="AG387">
        <v>-0.22040649999999901</v>
      </c>
      <c r="AH387">
        <v>0.436040110830547</v>
      </c>
      <c r="AI387">
        <v>116.81078296454901</v>
      </c>
      <c r="AJ387">
        <v>88.857990232550705</v>
      </c>
      <c r="AK387">
        <v>0.48865689224154202</v>
      </c>
      <c r="AL387">
        <v>72.807548580353199</v>
      </c>
      <c r="AM387">
        <v>94.010075993539999</v>
      </c>
      <c r="AN387">
        <v>1.00000002752317</v>
      </c>
    </row>
    <row r="388" spans="1:40" x14ac:dyDescent="0.25">
      <c r="A388" t="str">
        <f>"20190304164107271"</f>
        <v>20190304164107271</v>
      </c>
      <c r="B388" t="str">
        <f>"1551688867262108"</f>
        <v>1551688867262108</v>
      </c>
      <c r="C388" t="s">
        <v>40</v>
      </c>
      <c r="D388">
        <v>4.4510709999999998</v>
      </c>
      <c r="E388">
        <v>0.55657639999999997</v>
      </c>
      <c r="F388" t="s">
        <v>41</v>
      </c>
      <c r="G388">
        <v>-428.71140000000003</v>
      </c>
      <c r="H388">
        <v>0.80600479999999997</v>
      </c>
      <c r="I388">
        <v>366.79320000000001</v>
      </c>
      <c r="J388">
        <v>-429.22160000000002</v>
      </c>
      <c r="K388">
        <v>1.0614239999999999</v>
      </c>
      <c r="L388">
        <v>366.80279999999999</v>
      </c>
      <c r="M388">
        <v>0.99990800000000002</v>
      </c>
      <c r="N388">
        <v>-1.305567E-2</v>
      </c>
      <c r="O388">
        <v>3.6967810000000001E-3</v>
      </c>
      <c r="P388">
        <v>0.9565302</v>
      </c>
      <c r="Q388">
        <v>0.28294839999999999</v>
      </c>
      <c r="R388">
        <v>7.0641170000000003E-2</v>
      </c>
      <c r="S388">
        <v>3.4668269999999999</v>
      </c>
      <c r="T388">
        <v>-1.108498</v>
      </c>
      <c r="U388">
        <v>-3.4912110000000003E-2</v>
      </c>
      <c r="V388">
        <v>-6.7253670000000002E-2</v>
      </c>
      <c r="W388">
        <v>0.29538180000000003</v>
      </c>
      <c r="X388">
        <v>0.9530092</v>
      </c>
      <c r="Y388">
        <v>1.292484E-2</v>
      </c>
      <c r="Z388">
        <v>-3.2086200000000001E-3</v>
      </c>
      <c r="AA388">
        <v>0.99991129999999995</v>
      </c>
      <c r="AB388">
        <v>33</v>
      </c>
      <c r="AC388">
        <v>0.51019999999999699</v>
      </c>
      <c r="AD388">
        <v>-0.25541919999999901</v>
      </c>
      <c r="AE388">
        <v>-9.5999999999776195E-3</v>
      </c>
      <c r="AF388">
        <v>9.1850058859289704E-3</v>
      </c>
      <c r="AG388">
        <v>-0.25541919999999901</v>
      </c>
      <c r="AH388">
        <v>0.40795345352481399</v>
      </c>
      <c r="AI388">
        <v>122.04410647311499</v>
      </c>
      <c r="AJ388">
        <v>88.710212719946398</v>
      </c>
      <c r="AK388">
        <v>0.48140352336121001</v>
      </c>
      <c r="AL388">
        <v>72.819566816130305</v>
      </c>
      <c r="AM388">
        <v>94.036659673253396</v>
      </c>
      <c r="AN388">
        <v>0.999999999592174</v>
      </c>
    </row>
    <row r="389" spans="1:40" x14ac:dyDescent="0.25">
      <c r="A389" t="str">
        <f>"20190304164107285"</f>
        <v>20190304164107285</v>
      </c>
      <c r="B389" t="str">
        <f>"1551688867271398"</f>
        <v>1551688867271398</v>
      </c>
      <c r="C389" t="s">
        <v>40</v>
      </c>
      <c r="D389">
        <v>4.4611419999999997</v>
      </c>
      <c r="E389">
        <v>0.55650059999999901</v>
      </c>
      <c r="F389" t="s">
        <v>41</v>
      </c>
      <c r="G389">
        <v>-428.41419999999999</v>
      </c>
      <c r="H389">
        <v>0.8023342</v>
      </c>
      <c r="I389">
        <v>366.79480000000001</v>
      </c>
      <c r="J389">
        <v>-429.0206</v>
      </c>
      <c r="K389">
        <v>1.0613440000000001</v>
      </c>
      <c r="L389">
        <v>366.80360000000002</v>
      </c>
      <c r="M389">
        <v>0.99990800000000002</v>
      </c>
      <c r="N389">
        <v>-1.2997089999999999E-2</v>
      </c>
      <c r="O389">
        <v>3.8784729999999999E-3</v>
      </c>
      <c r="P389">
        <v>0.95642870000000002</v>
      </c>
      <c r="Q389">
        <v>0.28313359999999999</v>
      </c>
      <c r="R389">
        <v>7.1272660000000002E-2</v>
      </c>
      <c r="S389">
        <v>3.4678650000000002</v>
      </c>
      <c r="T389">
        <v>-1.1126499999999999</v>
      </c>
      <c r="U389">
        <v>-3.2989499999999998E-2</v>
      </c>
      <c r="V389">
        <v>-6.7726259999999996E-2</v>
      </c>
      <c r="W389">
        <v>0.29550609999999999</v>
      </c>
      <c r="X389">
        <v>0.95293720000000004</v>
      </c>
      <c r="Y389">
        <v>1.2554610000000001E-2</v>
      </c>
      <c r="Z389">
        <v>-3.2130240000000001E-3</v>
      </c>
      <c r="AA389">
        <v>0.99991600000000003</v>
      </c>
      <c r="AB389">
        <v>33</v>
      </c>
      <c r="AC389">
        <v>0.60640000000000704</v>
      </c>
      <c r="AD389">
        <v>-0.25900980000000001</v>
      </c>
      <c r="AE389">
        <v>-8.8000000000079091E-3</v>
      </c>
      <c r="AF389">
        <v>9.4317046242766607E-3</v>
      </c>
      <c r="AG389">
        <v>-0.25900980000000001</v>
      </c>
      <c r="AH389">
        <v>0.51282289850372198</v>
      </c>
      <c r="AI389">
        <v>116.792924699362</v>
      </c>
      <c r="AJ389">
        <v>88.946349798947693</v>
      </c>
      <c r="AK389">
        <v>0.57459756245386095</v>
      </c>
      <c r="AL389">
        <v>72.8121122593667</v>
      </c>
      <c r="AM389">
        <v>94.065236530622599</v>
      </c>
      <c r="AN389">
        <v>1.0000000042873101</v>
      </c>
    </row>
    <row r="390" spans="1:40" x14ac:dyDescent="0.25">
      <c r="A390" t="str">
        <f>"20190304164107297"</f>
        <v>20190304164107297</v>
      </c>
      <c r="B390" t="str">
        <f>"1551688867291895"</f>
        <v>1551688867291895</v>
      </c>
      <c r="C390" t="s">
        <v>40</v>
      </c>
      <c r="D390">
        <v>4.4664129999999904</v>
      </c>
      <c r="E390">
        <v>0.55640699999999998</v>
      </c>
      <c r="F390" t="s">
        <v>41</v>
      </c>
      <c r="G390">
        <v>-428.12700000000001</v>
      </c>
      <c r="H390">
        <v>0.7745206</v>
      </c>
      <c r="I390">
        <v>366.79509999999999</v>
      </c>
      <c r="J390">
        <v>-428.81880000000001</v>
      </c>
      <c r="K390">
        <v>1.0612740000000001</v>
      </c>
      <c r="L390">
        <v>366.80470000000003</v>
      </c>
      <c r="M390">
        <v>0.99990789999999996</v>
      </c>
      <c r="N390">
        <v>-1.2957979999999999E-2</v>
      </c>
      <c r="O390">
        <v>4.0689200000000002E-3</v>
      </c>
      <c r="P390">
        <v>0.95624160000000002</v>
      </c>
      <c r="Q390">
        <v>0.28354590000000002</v>
      </c>
      <c r="R390">
        <v>7.2137419999999994E-2</v>
      </c>
      <c r="S390">
        <v>3.468658</v>
      </c>
      <c r="T390">
        <v>-1.1132679999999999</v>
      </c>
      <c r="U390">
        <v>-3.2318119999999999E-2</v>
      </c>
      <c r="V390">
        <v>-6.8422360000000002E-2</v>
      </c>
      <c r="W390">
        <v>0.29587590000000002</v>
      </c>
      <c r="X390">
        <v>0.95277270000000003</v>
      </c>
      <c r="Y390">
        <v>1.254077E-2</v>
      </c>
      <c r="Z390">
        <v>-3.268871E-3</v>
      </c>
      <c r="AA390">
        <v>0.99991600000000003</v>
      </c>
      <c r="AB390">
        <v>33</v>
      </c>
      <c r="AC390">
        <v>0.69180000000005704</v>
      </c>
      <c r="AD390">
        <v>-0.28675339999999999</v>
      </c>
      <c r="AE390">
        <v>-9.6000000000344698E-3</v>
      </c>
      <c r="AF390">
        <v>1.05950230523887E-2</v>
      </c>
      <c r="AG390">
        <v>-0.28675339999999999</v>
      </c>
      <c r="AH390">
        <v>0.59034567104572899</v>
      </c>
      <c r="AI390">
        <v>115.903987464268</v>
      </c>
      <c r="AJ390">
        <v>88.971814362135902</v>
      </c>
      <c r="AK390">
        <v>0.65638995897825303</v>
      </c>
      <c r="AL390">
        <v>72.789932275561696</v>
      </c>
      <c r="AM390">
        <v>94.107583998381898</v>
      </c>
      <c r="AN390">
        <v>0.99999999270703399</v>
      </c>
    </row>
    <row r="391" spans="1:40" x14ac:dyDescent="0.25">
      <c r="A391" t="str">
        <f>"20190304164107315"</f>
        <v>20190304164107315</v>
      </c>
      <c r="B391" t="str">
        <f>"1551688867301656"</f>
        <v>1551688867301656</v>
      </c>
      <c r="C391" t="s">
        <v>40</v>
      </c>
      <c r="D391">
        <v>4.4640829999999996</v>
      </c>
      <c r="E391">
        <v>0.5563515</v>
      </c>
      <c r="F391" t="s">
        <v>41</v>
      </c>
      <c r="G391">
        <v>-428.1028</v>
      </c>
      <c r="H391">
        <v>0.83152579999999998</v>
      </c>
      <c r="I391">
        <v>366.79820000000001</v>
      </c>
      <c r="J391">
        <v>-428.55990000000003</v>
      </c>
      <c r="K391">
        <v>1.0611969999999999</v>
      </c>
      <c r="L391">
        <v>366.80599999999998</v>
      </c>
      <c r="M391">
        <v>0.99990710000000005</v>
      </c>
      <c r="N391">
        <v>-1.2933750000000001E-2</v>
      </c>
      <c r="O391">
        <v>4.3189739999999997E-3</v>
      </c>
      <c r="P391">
        <v>0.95608199999999999</v>
      </c>
      <c r="Q391">
        <v>0.28361320000000001</v>
      </c>
      <c r="R391">
        <v>7.3964459999999996E-2</v>
      </c>
      <c r="S391">
        <v>3.4696349999999998</v>
      </c>
      <c r="T391">
        <v>-1.113278</v>
      </c>
      <c r="U391">
        <v>-2.9785160000000001E-2</v>
      </c>
      <c r="V391">
        <v>-7.0021490000000006E-2</v>
      </c>
      <c r="W391">
        <v>0.29591469999999997</v>
      </c>
      <c r="X391">
        <v>0.95264450000000001</v>
      </c>
      <c r="Y391">
        <v>1.2071729999999999E-2</v>
      </c>
      <c r="Z391">
        <v>-3.2665720000000001E-3</v>
      </c>
      <c r="AA391">
        <v>0.99992179999999997</v>
      </c>
      <c r="AB391">
        <v>33</v>
      </c>
      <c r="AC391">
        <v>0.45710000000002499</v>
      </c>
      <c r="AD391">
        <v>-0.22967119999999999</v>
      </c>
      <c r="AE391">
        <v>-7.79999999997471E-3</v>
      </c>
      <c r="AF391">
        <v>7.8045427590483999E-3</v>
      </c>
      <c r="AG391">
        <v>-0.22967119999999999</v>
      </c>
      <c r="AH391">
        <v>0.36495319422061401</v>
      </c>
      <c r="AI391">
        <v>122.176995119309</v>
      </c>
      <c r="AJ391">
        <v>88.774913548787396</v>
      </c>
      <c r="AK391">
        <v>0.431277874425465</v>
      </c>
      <c r="AL391">
        <v>72.787605664799301</v>
      </c>
      <c r="AM391">
        <v>94.203807665242294</v>
      </c>
      <c r="AN391">
        <v>1.00000003105907</v>
      </c>
    </row>
    <row r="392" spans="1:40" x14ac:dyDescent="0.25">
      <c r="A392" t="str">
        <f>"20190304164107337"</f>
        <v>20190304164107337</v>
      </c>
      <c r="B392" t="str">
        <f>"1551688867331911"</f>
        <v>1551688867331911</v>
      </c>
      <c r="C392" t="s">
        <v>40</v>
      </c>
      <c r="D392">
        <v>4.4493689999999999</v>
      </c>
      <c r="E392">
        <v>0.55617939999999999</v>
      </c>
      <c r="F392" t="s">
        <v>41</v>
      </c>
      <c r="G392">
        <v>-427.8091</v>
      </c>
      <c r="H392">
        <v>0.82023060000000003</v>
      </c>
      <c r="I392">
        <v>366.80040000000002</v>
      </c>
      <c r="J392">
        <v>-428.22460000000001</v>
      </c>
      <c r="K392">
        <v>1.061107</v>
      </c>
      <c r="L392">
        <v>366.80779999999999</v>
      </c>
      <c r="M392">
        <v>0.9999053</v>
      </c>
      <c r="N392">
        <v>-1.2956489999999999E-2</v>
      </c>
      <c r="O392">
        <v>4.6536909999999997E-3</v>
      </c>
      <c r="P392">
        <v>0.95588790000000001</v>
      </c>
      <c r="Q392">
        <v>0.28381889999999999</v>
      </c>
      <c r="R392">
        <v>7.5668250000000006E-2</v>
      </c>
      <c r="S392">
        <v>3.4701230000000001</v>
      </c>
      <c r="T392">
        <v>-1.113796</v>
      </c>
      <c r="U392">
        <v>-2.5177000000000001E-2</v>
      </c>
      <c r="V392">
        <v>-7.1413080000000004E-2</v>
      </c>
      <c r="W392">
        <v>0.29613790000000001</v>
      </c>
      <c r="X392">
        <v>0.95247179999999998</v>
      </c>
      <c r="Y392">
        <v>1.111173E-2</v>
      </c>
      <c r="Z392">
        <v>-3.211532E-3</v>
      </c>
      <c r="AA392">
        <v>0.99993310000000002</v>
      </c>
      <c r="AB392">
        <v>33</v>
      </c>
      <c r="AC392">
        <v>0.41550000000000797</v>
      </c>
      <c r="AD392">
        <v>-0.24087639999999999</v>
      </c>
      <c r="AE392">
        <v>-7.3999999999614296E-3</v>
      </c>
      <c r="AF392">
        <v>6.9864190441898703E-3</v>
      </c>
      <c r="AG392">
        <v>-0.24087639999999999</v>
      </c>
      <c r="AH392">
        <v>0.31097935086397199</v>
      </c>
      <c r="AI392">
        <v>127.753420426717</v>
      </c>
      <c r="AJ392">
        <v>88.713017440188594</v>
      </c>
      <c r="AK392">
        <v>0.39341886938960902</v>
      </c>
      <c r="AL392">
        <v>72.774216741262094</v>
      </c>
      <c r="AM392">
        <v>94.287819078145603</v>
      </c>
      <c r="AN392">
        <v>1.0000000068033601</v>
      </c>
    </row>
    <row r="393" spans="1:40" x14ac:dyDescent="0.25">
      <c r="A393" t="str">
        <f>"20190304164107349"</f>
        <v>20190304164107349</v>
      </c>
      <c r="B393" t="str">
        <f>"1551688867341672"</f>
        <v>1551688867341672</v>
      </c>
      <c r="C393" t="s">
        <v>40</v>
      </c>
      <c r="D393">
        <v>4.471381</v>
      </c>
      <c r="E393">
        <v>0.55611880000000002</v>
      </c>
      <c r="F393" t="s">
        <v>41</v>
      </c>
      <c r="G393">
        <v>-427.50650000000002</v>
      </c>
      <c r="H393">
        <v>0.83007739999999997</v>
      </c>
      <c r="I393">
        <v>366.80380000000002</v>
      </c>
      <c r="J393">
        <v>-428.04390000000001</v>
      </c>
      <c r="K393">
        <v>1.0610710000000001</v>
      </c>
      <c r="L393">
        <v>366.80880000000002</v>
      </c>
      <c r="M393">
        <v>0.99990389999999996</v>
      </c>
      <c r="N393">
        <v>-1.299939E-2</v>
      </c>
      <c r="O393">
        <v>4.8401049999999999E-3</v>
      </c>
      <c r="P393">
        <v>0.95584769999999997</v>
      </c>
      <c r="Q393">
        <v>0.28368349999999998</v>
      </c>
      <c r="R393">
        <v>7.6676599999999998E-2</v>
      </c>
      <c r="S393">
        <v>3.4714360000000002</v>
      </c>
      <c r="T393">
        <v>-1.116851</v>
      </c>
      <c r="U393">
        <v>-1.7059330000000001E-2</v>
      </c>
      <c r="V393">
        <v>-7.2243260000000004E-2</v>
      </c>
      <c r="W393">
        <v>0.29604229999999998</v>
      </c>
      <c r="X393">
        <v>0.95243889999999998</v>
      </c>
      <c r="Y393">
        <v>9.053162E-3</v>
      </c>
      <c r="Z393">
        <v>-2.9382229999999998E-3</v>
      </c>
      <c r="AA393">
        <v>0.99995469999999997</v>
      </c>
      <c r="AB393">
        <v>33</v>
      </c>
      <c r="AC393">
        <v>0.537399999999991</v>
      </c>
      <c r="AD393">
        <v>-0.23099359999999899</v>
      </c>
      <c r="AE393">
        <v>-4.9999999999954499E-3</v>
      </c>
      <c r="AF393">
        <v>6.4159367313710901E-3</v>
      </c>
      <c r="AG393">
        <v>-0.23099359999999899</v>
      </c>
      <c r="AH393">
        <v>0.45357490810975798</v>
      </c>
      <c r="AI393">
        <v>116.986212646833</v>
      </c>
      <c r="AJ393">
        <v>89.189590132114205</v>
      </c>
      <c r="AK393">
        <v>0.50904754665146601</v>
      </c>
      <c r="AL393">
        <v>72.779951150381805</v>
      </c>
      <c r="AM393">
        <v>94.337625268919993</v>
      </c>
      <c r="AN393">
        <v>0.99999999511896298</v>
      </c>
    </row>
    <row r="394" spans="1:40" x14ac:dyDescent="0.25">
      <c r="A394" t="str">
        <f>"20190304164107364"</f>
        <v>20190304164107364</v>
      </c>
      <c r="B394" t="str">
        <f>"1551688867351431"</f>
        <v>1551688867351431</v>
      </c>
      <c r="C394" t="s">
        <v>40</v>
      </c>
      <c r="D394">
        <v>4.4773699999999996</v>
      </c>
      <c r="E394">
        <v>0.55607709999999999</v>
      </c>
      <c r="F394" t="s">
        <v>41</v>
      </c>
      <c r="G394">
        <v>-427.22309999999999</v>
      </c>
      <c r="H394">
        <v>0.7965932</v>
      </c>
      <c r="I394">
        <v>366.8057</v>
      </c>
      <c r="J394">
        <v>-427.84719999999999</v>
      </c>
      <c r="K394">
        <v>1.0610379999999999</v>
      </c>
      <c r="L394">
        <v>366.80990000000003</v>
      </c>
      <c r="M394">
        <v>0.99990199999999996</v>
      </c>
      <c r="N394">
        <v>-1.3059599999999999E-2</v>
      </c>
      <c r="O394">
        <v>5.0456989999999998E-3</v>
      </c>
      <c r="P394">
        <v>0.95580140000000002</v>
      </c>
      <c r="Q394">
        <v>0.2836436</v>
      </c>
      <c r="R394">
        <v>7.7395800000000001E-2</v>
      </c>
      <c r="S394">
        <v>3.4715579999999999</v>
      </c>
      <c r="T394">
        <v>-1.118635</v>
      </c>
      <c r="U394">
        <v>-1.275635E-2</v>
      </c>
      <c r="V394">
        <v>-7.2765109999999994E-2</v>
      </c>
      <c r="W394">
        <v>0.29605949999999998</v>
      </c>
      <c r="X394">
        <v>0.95239379999999996</v>
      </c>
      <c r="Y394">
        <v>8.0598849999999993E-3</v>
      </c>
      <c r="Z394">
        <v>-2.8418610000000002E-3</v>
      </c>
      <c r="AA394">
        <v>0.99996350000000001</v>
      </c>
      <c r="AB394">
        <v>33</v>
      </c>
      <c r="AC394">
        <v>0.62409999999999799</v>
      </c>
      <c r="AD394">
        <v>-0.26444479999999898</v>
      </c>
      <c r="AE394">
        <v>-4.20000000002573E-3</v>
      </c>
      <c r="AF394">
        <v>6.2306367237856299E-3</v>
      </c>
      <c r="AG394">
        <v>-0.26444479999999898</v>
      </c>
      <c r="AH394">
        <v>0.52908342053538304</v>
      </c>
      <c r="AI394">
        <v>116.555066162808</v>
      </c>
      <c r="AJ394">
        <v>89.325299805387402</v>
      </c>
      <c r="AK394">
        <v>0.59152272903620895</v>
      </c>
      <c r="AL394">
        <v>72.778918957879995</v>
      </c>
      <c r="AM394">
        <v>94.369043360245101</v>
      </c>
      <c r="AN394">
        <v>0.99999996952600001</v>
      </c>
    </row>
    <row r="395" spans="1:40" x14ac:dyDescent="0.25">
      <c r="A395" t="str">
        <f>"20190304164107378"</f>
        <v>20190304164107378</v>
      </c>
      <c r="B395" t="str">
        <f>"1551688867371926"</f>
        <v>1551688867371926</v>
      </c>
      <c r="C395" t="s">
        <v>40</v>
      </c>
      <c r="D395">
        <v>4.4818369999999996</v>
      </c>
      <c r="E395">
        <v>0.55597810000000003</v>
      </c>
      <c r="F395" t="s">
        <v>41</v>
      </c>
      <c r="G395">
        <v>-426.9375</v>
      </c>
      <c r="H395">
        <v>0.76759980000000005</v>
      </c>
      <c r="I395">
        <v>366.80700000000002</v>
      </c>
      <c r="J395">
        <v>-427.61219999999997</v>
      </c>
      <c r="K395">
        <v>1.060999</v>
      </c>
      <c r="L395">
        <v>366.81139999999999</v>
      </c>
      <c r="M395">
        <v>0.9998996</v>
      </c>
      <c r="N395">
        <v>-1.315027E-2</v>
      </c>
      <c r="O395">
        <v>5.2937690000000003E-3</v>
      </c>
      <c r="P395">
        <v>0.95580180000000003</v>
      </c>
      <c r="Q395">
        <v>0.28340859999999901</v>
      </c>
      <c r="R395">
        <v>7.8246339999999998E-2</v>
      </c>
      <c r="S395">
        <v>3.4718019999999998</v>
      </c>
      <c r="T395">
        <v>-1.11992</v>
      </c>
      <c r="U395">
        <v>-9.5520020000000004E-3</v>
      </c>
      <c r="V395">
        <v>-7.3377650000000003E-2</v>
      </c>
      <c r="W395">
        <v>0.29591060000000002</v>
      </c>
      <c r="X395">
        <v>0.95239309999999999</v>
      </c>
      <c r="Y395">
        <v>7.4064119999999898E-3</v>
      </c>
      <c r="Z395">
        <v>-2.8123839999999998E-3</v>
      </c>
      <c r="AA395">
        <v>0.99996859999999999</v>
      </c>
      <c r="AB395">
        <v>33</v>
      </c>
      <c r="AC395">
        <v>0.67469999999997299</v>
      </c>
      <c r="AD395">
        <v>-0.29339920000000003</v>
      </c>
      <c r="AE395">
        <v>-4.4000000000323702E-3</v>
      </c>
      <c r="AF395">
        <v>6.7042237505535E-3</v>
      </c>
      <c r="AG395">
        <v>-0.29339920000000003</v>
      </c>
      <c r="AH395">
        <v>0.56737919580978002</v>
      </c>
      <c r="AI395">
        <v>117.342443939123</v>
      </c>
      <c r="AJ395">
        <v>89.323017387790998</v>
      </c>
      <c r="AK395">
        <v>0.63878571447277199</v>
      </c>
      <c r="AL395">
        <v>72.787850859334796</v>
      </c>
      <c r="AM395">
        <v>94.405681190147007</v>
      </c>
      <c r="AN395">
        <v>0.99999998981974603</v>
      </c>
    </row>
    <row r="396" spans="1:40" x14ac:dyDescent="0.25">
      <c r="A396" t="str">
        <f>"20190304164107394"</f>
        <v>20190304164107394</v>
      </c>
      <c r="B396" t="str">
        <f>"1551688867381687"</f>
        <v>1551688867381687</v>
      </c>
      <c r="C396" t="s">
        <v>40</v>
      </c>
      <c r="D396">
        <v>4.488213</v>
      </c>
      <c r="E396">
        <v>0.55597810000000003</v>
      </c>
      <c r="F396" t="s">
        <v>41</v>
      </c>
      <c r="G396">
        <v>-426.90949999999998</v>
      </c>
      <c r="H396">
        <v>0.83358239999999995</v>
      </c>
      <c r="I396">
        <v>366.8098</v>
      </c>
      <c r="J396">
        <v>-427.39850000000001</v>
      </c>
      <c r="K396">
        <v>1.0609690000000001</v>
      </c>
      <c r="L396">
        <v>366.81270000000001</v>
      </c>
      <c r="M396">
        <v>0.99989740000000005</v>
      </c>
      <c r="N396">
        <v>-1.3235780000000001E-2</v>
      </c>
      <c r="O396">
        <v>5.5180480000000002E-3</v>
      </c>
      <c r="P396">
        <v>0.95575639999999995</v>
      </c>
      <c r="Q396">
        <v>0.28335680000000002</v>
      </c>
      <c r="R396">
        <v>7.8989279999999995E-2</v>
      </c>
      <c r="S396">
        <v>3.4723510000000002</v>
      </c>
      <c r="T396">
        <v>-1.123675</v>
      </c>
      <c r="U396">
        <v>-5.8288569999999998E-3</v>
      </c>
      <c r="V396">
        <v>-7.3906459999999993E-2</v>
      </c>
      <c r="W396">
        <v>0.29593979999999998</v>
      </c>
      <c r="X396">
        <v>0.95234319999999895</v>
      </c>
      <c r="Y396">
        <v>6.5872020000000003E-3</v>
      </c>
      <c r="Z396">
        <v>-2.7539489999999999E-3</v>
      </c>
      <c r="AA396">
        <v>0.99997449999999999</v>
      </c>
      <c r="AB396">
        <v>33</v>
      </c>
      <c r="AC396">
        <v>0.48900000000003202</v>
      </c>
      <c r="AD396">
        <v>-0.22738659999999999</v>
      </c>
      <c r="AE396">
        <v>-2.9000000000110001E-3</v>
      </c>
      <c r="AF396">
        <v>4.6032091888008201E-3</v>
      </c>
      <c r="AG396">
        <v>-0.22738659999999999</v>
      </c>
      <c r="AH396">
        <v>0.402045989961829</v>
      </c>
      <c r="AI396">
        <v>119.48974552581301</v>
      </c>
      <c r="AJ396">
        <v>89.344022968860997</v>
      </c>
      <c r="AK396">
        <v>0.46191647885606202</v>
      </c>
      <c r="AL396">
        <v>72.786100449504602</v>
      </c>
      <c r="AM396">
        <v>94.437536790956102</v>
      </c>
      <c r="AN396">
        <v>1.0000000503199999</v>
      </c>
    </row>
    <row r="397" spans="1:40" x14ac:dyDescent="0.25">
      <c r="A397" t="str">
        <f>"20190304164107408"</f>
        <v>20190304164107408</v>
      </c>
      <c r="B397" t="str">
        <f>"1551688867402183"</f>
        <v>1551688867402183</v>
      </c>
      <c r="C397" t="s">
        <v>40</v>
      </c>
      <c r="D397">
        <v>4.4905099999999996</v>
      </c>
      <c r="E397">
        <v>0.55591689999999905</v>
      </c>
      <c r="F397" t="s">
        <v>41</v>
      </c>
      <c r="G397">
        <v>-426.62259999999998</v>
      </c>
      <c r="H397">
        <v>0.80981049999999999</v>
      </c>
      <c r="I397">
        <v>366.81200000000001</v>
      </c>
      <c r="J397">
        <v>-427.1816</v>
      </c>
      <c r="K397">
        <v>1.060945</v>
      </c>
      <c r="L397">
        <v>366.8141</v>
      </c>
      <c r="M397">
        <v>0.99989470000000003</v>
      </c>
      <c r="N397">
        <v>-1.332243E-2</v>
      </c>
      <c r="O397">
        <v>5.7434080000000002E-3</v>
      </c>
      <c r="P397">
        <v>0.95581729999999998</v>
      </c>
      <c r="Q397">
        <v>0.28314260000000002</v>
      </c>
      <c r="R397">
        <v>7.9017390000000007E-2</v>
      </c>
      <c r="S397">
        <v>3.4723820000000001</v>
      </c>
      <c r="T397">
        <v>-1.1239589999999999</v>
      </c>
      <c r="U397">
        <v>-2.89917E-3</v>
      </c>
      <c r="V397">
        <v>-7.3719320000000005E-2</v>
      </c>
      <c r="W397">
        <v>0.29580909999999999</v>
      </c>
      <c r="X397">
        <v>0.95239819999999997</v>
      </c>
      <c r="Y397">
        <v>5.9898900000000003E-3</v>
      </c>
      <c r="Z397">
        <v>-2.7242740000000001E-3</v>
      </c>
      <c r="AA397">
        <v>0.99997840000000005</v>
      </c>
      <c r="AB397">
        <v>33</v>
      </c>
      <c r="AC397">
        <v>0.55900000000002503</v>
      </c>
      <c r="AD397">
        <v>-0.25113449999999998</v>
      </c>
      <c r="AE397">
        <v>-2.1000000000412902E-3</v>
      </c>
      <c r="AF397">
        <v>4.4189453830245796E-3</v>
      </c>
      <c r="AG397">
        <v>-0.25113449999999998</v>
      </c>
      <c r="AH397">
        <v>0.465106796738257</v>
      </c>
      <c r="AI397">
        <v>118.365755304462</v>
      </c>
      <c r="AJ397">
        <v>89.455653401880198</v>
      </c>
      <c r="AK397">
        <v>0.52859473752646302</v>
      </c>
      <c r="AL397">
        <v>72.793938168639599</v>
      </c>
      <c r="AM397">
        <v>94.426090526242902</v>
      </c>
      <c r="AN397">
        <v>0.99999994657365399</v>
      </c>
    </row>
    <row r="398" spans="1:40" x14ac:dyDescent="0.25">
      <c r="A398" t="str">
        <f>"20190304164107426"</f>
        <v>20190304164107426</v>
      </c>
      <c r="B398" t="str">
        <f>"1551688867411943"</f>
        <v>1551688867411943</v>
      </c>
      <c r="C398" t="s">
        <v>40</v>
      </c>
      <c r="D398">
        <v>4.5542439999999997</v>
      </c>
      <c r="E398">
        <v>0.55582310000000001</v>
      </c>
      <c r="F398" t="s">
        <v>41</v>
      </c>
      <c r="G398">
        <v>-426.33569999999997</v>
      </c>
      <c r="H398">
        <v>0.78650200000000003</v>
      </c>
      <c r="I398">
        <v>366.81330000000003</v>
      </c>
      <c r="J398">
        <v>-426.91070000000002</v>
      </c>
      <c r="K398">
        <v>1.060921</v>
      </c>
      <c r="L398">
        <v>366.8159</v>
      </c>
      <c r="M398">
        <v>0.9998918</v>
      </c>
      <c r="N398">
        <v>-1.342789E-2</v>
      </c>
      <c r="O398">
        <v>6.0198169999999898E-3</v>
      </c>
      <c r="P398">
        <v>0.955932</v>
      </c>
      <c r="Q398">
        <v>0.2829257</v>
      </c>
      <c r="R398">
        <v>7.8403760000000003E-2</v>
      </c>
      <c r="S398">
        <v>3.4725950000000001</v>
      </c>
      <c r="T398">
        <v>-1.126647</v>
      </c>
      <c r="U398">
        <v>-1.617432E-3</v>
      </c>
      <c r="V398">
        <v>-7.2842779999999996E-2</v>
      </c>
      <c r="W398">
        <v>0.29569469999999998</v>
      </c>
      <c r="X398">
        <v>0.95250119999999905</v>
      </c>
      <c r="Y398">
        <v>5.8870320000000004E-3</v>
      </c>
      <c r="Z398">
        <v>-2.7969650000000002E-3</v>
      </c>
      <c r="AA398">
        <v>0.99997879999999995</v>
      </c>
      <c r="AB398">
        <v>33</v>
      </c>
      <c r="AC398">
        <v>0.57500000000004503</v>
      </c>
      <c r="AD398">
        <v>-0.27441900000000002</v>
      </c>
      <c r="AE398">
        <v>-2.5999999999726199E-3</v>
      </c>
      <c r="AF398">
        <v>4.93715635743184E-3</v>
      </c>
      <c r="AG398">
        <v>-0.27441900000000002</v>
      </c>
      <c r="AH398">
        <v>0.46831006999047198</v>
      </c>
      <c r="AI398">
        <v>120.367939322197</v>
      </c>
      <c r="AJ398">
        <v>89.395981934167594</v>
      </c>
      <c r="AK398">
        <v>0.54281164756145195</v>
      </c>
      <c r="AL398">
        <v>72.800800373396299</v>
      </c>
      <c r="AM398">
        <v>94.373197577181003</v>
      </c>
      <c r="AN398">
        <v>0.99999998110382804</v>
      </c>
    </row>
    <row r="399" spans="1:40" x14ac:dyDescent="0.25">
      <c r="A399" t="str">
        <f>"20190304164107437"</f>
        <v>20190304164107437</v>
      </c>
      <c r="B399" t="str">
        <f>"1551688867431463"</f>
        <v>1551688867431463</v>
      </c>
      <c r="C399" t="s">
        <v>40</v>
      </c>
      <c r="D399">
        <v>4.5779350000000001</v>
      </c>
      <c r="E399">
        <v>0.55568059999999997</v>
      </c>
      <c r="F399" t="s">
        <v>41</v>
      </c>
      <c r="G399">
        <v>-426.04250000000002</v>
      </c>
      <c r="H399">
        <v>0.7785609</v>
      </c>
      <c r="I399">
        <v>366.81479999999999</v>
      </c>
      <c r="J399">
        <v>-426.73250000000002</v>
      </c>
      <c r="K399">
        <v>1.0609200000000001</v>
      </c>
      <c r="L399">
        <v>366.81720000000001</v>
      </c>
      <c r="M399">
        <v>0.9998899</v>
      </c>
      <c r="N399">
        <v>-1.349496E-2</v>
      </c>
      <c r="O399">
        <v>6.1988909999999998E-3</v>
      </c>
      <c r="P399">
        <v>0.9559067</v>
      </c>
      <c r="Q399">
        <v>0.2830821</v>
      </c>
      <c r="R399">
        <v>7.8149170000000004E-2</v>
      </c>
      <c r="S399">
        <v>3.472839</v>
      </c>
      <c r="T399">
        <v>-1.1294729999999999</v>
      </c>
      <c r="U399">
        <v>-3.9367680000000002E-3</v>
      </c>
      <c r="V399">
        <v>-7.2419299999999895E-2</v>
      </c>
      <c r="W399">
        <v>0.29591430000000002</v>
      </c>
      <c r="X399">
        <v>0.95246529999999996</v>
      </c>
      <c r="Y399">
        <v>6.6799519999999899E-3</v>
      </c>
      <c r="Z399">
        <v>-2.9889700000000001E-3</v>
      </c>
      <c r="AA399">
        <v>0.99997320000000001</v>
      </c>
      <c r="AB399">
        <v>33</v>
      </c>
      <c r="AC399">
        <v>0.68999999999999695</v>
      </c>
      <c r="AD399">
        <v>-0.28235909999999997</v>
      </c>
      <c r="AE399">
        <v>-2.4000000000228201E-3</v>
      </c>
      <c r="AF399">
        <v>5.7197690535932197E-3</v>
      </c>
      <c r="AG399">
        <v>-0.28235909999999997</v>
      </c>
      <c r="AH399">
        <v>0.59100470750029199</v>
      </c>
      <c r="AI399">
        <v>115.535615963016</v>
      </c>
      <c r="AJ399">
        <v>89.445506285978098</v>
      </c>
      <c r="AK399">
        <v>0.65501598560519303</v>
      </c>
      <c r="AL399">
        <v>72.787628890355705</v>
      </c>
      <c r="AM399">
        <v>94.348034506653406</v>
      </c>
      <c r="AN399">
        <v>0.99999998783053401</v>
      </c>
    </row>
    <row r="400" spans="1:40" x14ac:dyDescent="0.25">
      <c r="A400" t="str">
        <f>"20190304164107450"</f>
        <v>20190304164107450</v>
      </c>
      <c r="B400" t="str">
        <f>"1551688867442198"</f>
        <v>1551688867442198</v>
      </c>
      <c r="C400" t="s">
        <v>40</v>
      </c>
      <c r="D400">
        <v>4.5615430000000003</v>
      </c>
      <c r="E400">
        <v>0.55562100000000003</v>
      </c>
      <c r="F400" t="s">
        <v>41</v>
      </c>
      <c r="G400">
        <v>-426.02089999999998</v>
      </c>
      <c r="H400">
        <v>0.82905069999999903</v>
      </c>
      <c r="I400">
        <v>366.81619999999998</v>
      </c>
      <c r="J400">
        <v>-426.54750000000001</v>
      </c>
      <c r="K400">
        <v>1.0609090000000001</v>
      </c>
      <c r="L400">
        <v>366.8186</v>
      </c>
      <c r="M400">
        <v>0.99988779999999999</v>
      </c>
      <c r="N400">
        <v>-1.356166E-2</v>
      </c>
      <c r="O400">
        <v>6.3833269999999899E-3</v>
      </c>
      <c r="P400">
        <v>0.95588609999999896</v>
      </c>
      <c r="Q400">
        <v>0.28320250000000002</v>
      </c>
      <c r="R400">
        <v>7.7963969999999994E-2</v>
      </c>
      <c r="S400">
        <v>3.4739990000000001</v>
      </c>
      <c r="T400">
        <v>-1.132136</v>
      </c>
      <c r="U400">
        <v>-4.2419429999999998E-3</v>
      </c>
      <c r="V400">
        <v>-7.2059830000000005E-2</v>
      </c>
      <c r="W400">
        <v>0.29609829999999998</v>
      </c>
      <c r="X400">
        <v>0.95243540000000004</v>
      </c>
      <c r="Y400">
        <v>6.9271940000000002E-3</v>
      </c>
      <c r="Z400">
        <v>-3.0917639999999999E-3</v>
      </c>
      <c r="AA400">
        <v>0.99997119999999995</v>
      </c>
      <c r="AB400">
        <v>33</v>
      </c>
      <c r="AC400">
        <v>0.52660000000003004</v>
      </c>
      <c r="AD400">
        <v>-0.23185829999999999</v>
      </c>
      <c r="AE400">
        <v>-2.4000000000228201E-3</v>
      </c>
      <c r="AF400">
        <v>4.8261514567647301E-3</v>
      </c>
      <c r="AG400">
        <v>-0.23185829999999999</v>
      </c>
      <c r="AH400">
        <v>0.44107067340881201</v>
      </c>
      <c r="AI400">
        <v>117.728214721147</v>
      </c>
      <c r="AJ400">
        <v>89.373100294732893</v>
      </c>
      <c r="AK400">
        <v>0.49832208656457999</v>
      </c>
      <c r="AL400">
        <v>72.776592189181699</v>
      </c>
      <c r="AM400">
        <v>94.326669489775497</v>
      </c>
      <c r="AN400">
        <v>1.0000000067678301</v>
      </c>
    </row>
    <row r="401" spans="1:40" x14ac:dyDescent="0.25">
      <c r="A401" t="str">
        <f>"20190304164107463"</f>
        <v>20190304164107463</v>
      </c>
      <c r="B401" t="str">
        <f>"1551688867451959"</f>
        <v>1551688867451959</v>
      </c>
      <c r="C401" t="s">
        <v>40</v>
      </c>
      <c r="D401">
        <v>4.5700690000000002</v>
      </c>
      <c r="E401">
        <v>0.55555469999999996</v>
      </c>
      <c r="F401" t="s">
        <v>41</v>
      </c>
      <c r="G401">
        <v>-425.73860000000002</v>
      </c>
      <c r="H401">
        <v>0.79715340000000001</v>
      </c>
      <c r="I401">
        <v>366.81700000000001</v>
      </c>
      <c r="J401">
        <v>-426.36070000000001</v>
      </c>
      <c r="K401">
        <v>1.060902</v>
      </c>
      <c r="L401">
        <v>366.81990000000002</v>
      </c>
      <c r="M401">
        <v>0.99988560000000004</v>
      </c>
      <c r="N401">
        <v>-1.362725E-2</v>
      </c>
      <c r="O401">
        <v>6.5693150000000001E-3</v>
      </c>
      <c r="P401">
        <v>0.9559299</v>
      </c>
      <c r="Q401">
        <v>0.28327799999999997</v>
      </c>
      <c r="R401">
        <v>7.7146770000000003E-2</v>
      </c>
      <c r="S401">
        <v>3.4744570000000001</v>
      </c>
      <c r="T401">
        <v>-1.132987</v>
      </c>
      <c r="U401">
        <v>-4.6386719999999999E-3</v>
      </c>
      <c r="V401">
        <v>-7.1066080000000004E-2</v>
      </c>
      <c r="W401">
        <v>0.29623670000000002</v>
      </c>
      <c r="X401">
        <v>0.95246699999999995</v>
      </c>
      <c r="Y401">
        <v>7.2026939999999999E-3</v>
      </c>
      <c r="Z401">
        <v>-3.1957890000000001E-3</v>
      </c>
      <c r="AA401">
        <v>0.99996890000000005</v>
      </c>
      <c r="AB401">
        <v>33</v>
      </c>
      <c r="AC401">
        <v>0.622099999999989</v>
      </c>
      <c r="AD401">
        <v>-0.2637486</v>
      </c>
      <c r="AE401">
        <v>-2.9000000000678401E-3</v>
      </c>
      <c r="AF401">
        <v>5.9225537415351897E-3</v>
      </c>
      <c r="AG401">
        <v>-0.2637486</v>
      </c>
      <c r="AH401">
        <v>0.52729098481727699</v>
      </c>
      <c r="AI401">
        <v>116.572567572868</v>
      </c>
      <c r="AJ401">
        <v>89.356478540204705</v>
      </c>
      <c r="AK401">
        <v>0.58960510794459298</v>
      </c>
      <c r="AL401">
        <v>72.768289474256804</v>
      </c>
      <c r="AM401">
        <v>94.267082899178902</v>
      </c>
      <c r="AN401">
        <v>0.99999997812122698</v>
      </c>
    </row>
    <row r="402" spans="1:40" x14ac:dyDescent="0.25">
      <c r="A402" t="str">
        <f>"20190304164107476"</f>
        <v>20190304164107476</v>
      </c>
      <c r="B402" t="str">
        <f>"1551688867461719"</f>
        <v>1551688867461719</v>
      </c>
      <c r="C402" t="s">
        <v>40</v>
      </c>
      <c r="D402">
        <v>4.5635570000000003</v>
      </c>
      <c r="E402">
        <v>0.55548549999999997</v>
      </c>
      <c r="F402" t="s">
        <v>41</v>
      </c>
      <c r="G402">
        <v>-425.45589999999999</v>
      </c>
      <c r="H402">
        <v>0.76553939999999998</v>
      </c>
      <c r="I402">
        <v>366.81819999999999</v>
      </c>
      <c r="J402">
        <v>-426.17360000000002</v>
      </c>
      <c r="K402">
        <v>1.0608959999999901</v>
      </c>
      <c r="L402">
        <v>366.82130000000001</v>
      </c>
      <c r="M402">
        <v>0.99988350000000004</v>
      </c>
      <c r="N402">
        <v>-1.368859E-2</v>
      </c>
      <c r="O402">
        <v>6.7560859999999997E-3</v>
      </c>
      <c r="P402">
        <v>0.95596139999999996</v>
      </c>
      <c r="Q402">
        <v>0.28328419999999999</v>
      </c>
      <c r="R402">
        <v>7.6734350000000007E-2</v>
      </c>
      <c r="S402">
        <v>3.4749449999999902</v>
      </c>
      <c r="T402">
        <v>-1.134282</v>
      </c>
      <c r="U402">
        <v>-6.5917969999999999E-3</v>
      </c>
      <c r="V402">
        <v>-7.0476419999999998E-2</v>
      </c>
      <c r="W402">
        <v>0.29630190000000001</v>
      </c>
      <c r="X402">
        <v>0.95249059999999997</v>
      </c>
      <c r="Y402">
        <v>7.9031220000000003E-3</v>
      </c>
      <c r="Z402">
        <v>-3.3719779999999999E-3</v>
      </c>
      <c r="AA402">
        <v>0.99996309999999999</v>
      </c>
      <c r="AB402">
        <v>33</v>
      </c>
      <c r="AC402">
        <v>0.71770000000003598</v>
      </c>
      <c r="AD402">
        <v>-0.29535659999999903</v>
      </c>
      <c r="AE402">
        <v>-3.1000000000176399E-3</v>
      </c>
      <c r="AF402">
        <v>6.7979551640806697E-3</v>
      </c>
      <c r="AG402">
        <v>-0.29535659999999903</v>
      </c>
      <c r="AH402">
        <v>0.61372495963673601</v>
      </c>
      <c r="AI402">
        <v>115.697923522629</v>
      </c>
      <c r="AJ402">
        <v>89.365386389666497</v>
      </c>
      <c r="AK402">
        <v>0.68113145532935604</v>
      </c>
      <c r="AL402">
        <v>72.764379332698994</v>
      </c>
      <c r="AM402">
        <v>94.2317021118713</v>
      </c>
      <c r="AN402">
        <v>1.0000000424039901</v>
      </c>
    </row>
    <row r="403" spans="1:40" x14ac:dyDescent="0.25">
      <c r="A403" t="str">
        <f>"20190304164107492"</f>
        <v>20190304164107492</v>
      </c>
      <c r="B403" t="str">
        <f>"1551688867482215"</f>
        <v>1551688867482215</v>
      </c>
      <c r="C403" t="s">
        <v>40</v>
      </c>
      <c r="D403">
        <v>4.5659049999999999</v>
      </c>
      <c r="E403">
        <v>0.55536649999999999</v>
      </c>
      <c r="F403" t="s">
        <v>41</v>
      </c>
      <c r="G403">
        <v>-425.43329999999997</v>
      </c>
      <c r="H403">
        <v>0.81893870000000002</v>
      </c>
      <c r="I403">
        <v>366.81990000000002</v>
      </c>
      <c r="J403">
        <v>-425.9282</v>
      </c>
      <c r="K403">
        <v>1.060886</v>
      </c>
      <c r="L403">
        <v>366.82330000000002</v>
      </c>
      <c r="M403">
        <v>0.99988089999999996</v>
      </c>
      <c r="N403">
        <v>-1.376459E-2</v>
      </c>
      <c r="O403">
        <v>7.0022369999999997E-3</v>
      </c>
      <c r="P403">
        <v>0.95592929999999998</v>
      </c>
      <c r="Q403">
        <v>0.28360439999999998</v>
      </c>
      <c r="R403">
        <v>7.5946479999999997E-2</v>
      </c>
      <c r="S403">
        <v>3.475311</v>
      </c>
      <c r="T403">
        <v>-1.1358379999999999</v>
      </c>
      <c r="U403">
        <v>-6.5307619999999999E-3</v>
      </c>
      <c r="V403">
        <v>-6.9454219999999997E-2</v>
      </c>
      <c r="W403">
        <v>0.29669489999999998</v>
      </c>
      <c r="X403">
        <v>0.95244329999999999</v>
      </c>
      <c r="Y403">
        <v>8.1068909999999998E-3</v>
      </c>
      <c r="Z403">
        <v>-3.4848919999999999E-3</v>
      </c>
      <c r="AA403">
        <v>0.99996110000000005</v>
      </c>
      <c r="AB403">
        <v>33</v>
      </c>
      <c r="AC403">
        <v>0.49490000000002898</v>
      </c>
      <c r="AD403">
        <v>-0.2419473</v>
      </c>
      <c r="AE403">
        <v>-3.3999999999991802E-3</v>
      </c>
      <c r="AF403">
        <v>5.5413134260972399E-3</v>
      </c>
      <c r="AG403">
        <v>-0.2419473</v>
      </c>
      <c r="AH403">
        <v>0.399408100591156</v>
      </c>
      <c r="AI403">
        <v>121.203555178218</v>
      </c>
      <c r="AJ403">
        <v>89.205140047322999</v>
      </c>
      <c r="AK403">
        <v>0.46700752986393201</v>
      </c>
      <c r="AL403">
        <v>72.740801068386702</v>
      </c>
      <c r="AM403">
        <v>94.170749442561998</v>
      </c>
      <c r="AN403">
        <v>0.99999999603835399</v>
      </c>
    </row>
    <row r="404" spans="1:40" x14ac:dyDescent="0.25">
      <c r="A404" t="str">
        <f>"20190304164107504"</f>
        <v>20190304164107504</v>
      </c>
      <c r="B404" t="str">
        <f>"1551688867491975"</f>
        <v>1551688867491975</v>
      </c>
      <c r="C404" t="s">
        <v>40</v>
      </c>
      <c r="D404">
        <v>4.5715859999999999</v>
      </c>
      <c r="E404">
        <v>0.55532440000000005</v>
      </c>
      <c r="F404" t="s">
        <v>41</v>
      </c>
      <c r="G404">
        <v>-425.14429999999999</v>
      </c>
      <c r="H404">
        <v>0.80441619999999903</v>
      </c>
      <c r="I404">
        <v>366.8211</v>
      </c>
      <c r="J404">
        <v>-425.74680000000001</v>
      </c>
      <c r="K404">
        <v>1.0608799999999901</v>
      </c>
      <c r="L404">
        <v>366.82470000000001</v>
      </c>
      <c r="M404">
        <v>0.99987879999999996</v>
      </c>
      <c r="N404">
        <v>-1.3817660000000001E-2</v>
      </c>
      <c r="O404">
        <v>7.1844509999999997E-3</v>
      </c>
      <c r="P404">
        <v>0.95587699999999998</v>
      </c>
      <c r="Q404">
        <v>0.28378809999999999</v>
      </c>
      <c r="R404">
        <v>7.591958E-2</v>
      </c>
      <c r="S404">
        <v>3.47641</v>
      </c>
      <c r="T404">
        <v>-1.13733</v>
      </c>
      <c r="U404">
        <v>-8.5449219999999999E-3</v>
      </c>
      <c r="V404">
        <v>-6.9253670000000003E-2</v>
      </c>
      <c r="W404">
        <v>0.2969289</v>
      </c>
      <c r="X404">
        <v>0.95238500000000004</v>
      </c>
      <c r="Y404">
        <v>8.8188989999999998E-3</v>
      </c>
      <c r="Z404">
        <v>-3.6622909999999998E-3</v>
      </c>
      <c r="AA404">
        <v>0.99995440000000002</v>
      </c>
      <c r="AB404">
        <v>33</v>
      </c>
      <c r="AC404">
        <v>0.60250000000002002</v>
      </c>
      <c r="AD404">
        <v>-0.25646379999999902</v>
      </c>
      <c r="AE404">
        <v>-3.6000000000058199E-3</v>
      </c>
      <c r="AF404">
        <v>6.7127087693752002E-3</v>
      </c>
      <c r="AG404">
        <v>-0.25646379999999902</v>
      </c>
      <c r="AH404">
        <v>0.51004585859851703</v>
      </c>
      <c r="AI404">
        <v>116.692401132276</v>
      </c>
      <c r="AJ404">
        <v>89.245974315637497</v>
      </c>
      <c r="AK404">
        <v>0.57093390076519401</v>
      </c>
      <c r="AL404">
        <v>72.726761504952904</v>
      </c>
      <c r="AM404">
        <v>94.159002345531206</v>
      </c>
      <c r="AN404">
        <v>1.00000001534433</v>
      </c>
    </row>
    <row r="405" spans="1:40" x14ac:dyDescent="0.25">
      <c r="A405" t="str">
        <f>"20190304164107516"</f>
        <v>20190304164107516</v>
      </c>
      <c r="B405" t="str">
        <f>"1551688867501735"</f>
        <v>1551688867501735</v>
      </c>
      <c r="C405" t="s">
        <v>40</v>
      </c>
      <c r="D405">
        <v>4.5890339999999998</v>
      </c>
      <c r="E405">
        <v>0.55525029999999997</v>
      </c>
      <c r="F405" t="s">
        <v>41</v>
      </c>
      <c r="G405">
        <v>-424.86290000000002</v>
      </c>
      <c r="H405">
        <v>0.77174129999999996</v>
      </c>
      <c r="I405">
        <v>366.82240000000002</v>
      </c>
      <c r="J405">
        <v>-425.57470000000001</v>
      </c>
      <c r="K405">
        <v>1.0608709999999999</v>
      </c>
      <c r="L405">
        <v>366.8261</v>
      </c>
      <c r="M405">
        <v>0.99987689999999996</v>
      </c>
      <c r="N405">
        <v>-1.386417E-2</v>
      </c>
      <c r="O405">
        <v>7.3573349999999996E-3</v>
      </c>
      <c r="P405">
        <v>0.95579669999999906</v>
      </c>
      <c r="Q405">
        <v>0.28392460000000003</v>
      </c>
      <c r="R405">
        <v>7.6417109999999996E-2</v>
      </c>
      <c r="S405">
        <v>3.476807</v>
      </c>
      <c r="T405">
        <v>-1.137392</v>
      </c>
      <c r="U405">
        <v>-8.5449219999999999E-3</v>
      </c>
      <c r="V405">
        <v>-6.9586079999999995E-2</v>
      </c>
      <c r="W405">
        <v>0.2971087</v>
      </c>
      <c r="X405">
        <v>0.9523047</v>
      </c>
      <c r="Y405">
        <v>8.9748850000000002E-3</v>
      </c>
      <c r="Z405">
        <v>-3.7407230000000001E-3</v>
      </c>
      <c r="AA405">
        <v>0.99995270000000003</v>
      </c>
      <c r="AB405">
        <v>33</v>
      </c>
      <c r="AC405">
        <v>0.711799999999982</v>
      </c>
      <c r="AD405">
        <v>-0.28912969999999899</v>
      </c>
      <c r="AE405">
        <v>-3.69999999998071E-3</v>
      </c>
      <c r="AF405">
        <v>7.6716140058567502E-3</v>
      </c>
      <c r="AG405">
        <v>-0.28912969999999899</v>
      </c>
      <c r="AH405">
        <v>0.61095244263401605</v>
      </c>
      <c r="AI405">
        <v>115.323835441697</v>
      </c>
      <c r="AJ405">
        <v>89.280585567303007</v>
      </c>
      <c r="AK405">
        <v>0.67595689525591396</v>
      </c>
      <c r="AL405">
        <v>72.715972966295794</v>
      </c>
      <c r="AM405">
        <v>94.179245670210506</v>
      </c>
      <c r="AN405">
        <v>1.0000000218937699</v>
      </c>
    </row>
    <row r="406" spans="1:40" x14ac:dyDescent="0.25">
      <c r="A406" t="str">
        <f>"20190304164107528"</f>
        <v>20190304164107528</v>
      </c>
      <c r="B406" t="str">
        <f>"1551688867522231"</f>
        <v>1551688867522231</v>
      </c>
      <c r="C406" t="s">
        <v>40</v>
      </c>
      <c r="D406">
        <v>4.6007699999999998</v>
      </c>
      <c r="E406">
        <v>0.55292769999999902</v>
      </c>
      <c r="F406" t="s">
        <v>41</v>
      </c>
      <c r="G406">
        <v>-424.84199999999998</v>
      </c>
      <c r="H406">
        <v>0.82102659999999905</v>
      </c>
      <c r="I406">
        <v>366.82459999999998</v>
      </c>
      <c r="J406">
        <v>-425.4092</v>
      </c>
      <c r="K406">
        <v>1.060859</v>
      </c>
      <c r="L406">
        <v>366.82749999999999</v>
      </c>
      <c r="M406">
        <v>0.99987499999999996</v>
      </c>
      <c r="N406">
        <v>-1.3906460000000001E-2</v>
      </c>
      <c r="O406">
        <v>7.5224280000000003E-3</v>
      </c>
      <c r="P406">
        <v>0.95577959999999995</v>
      </c>
      <c r="Q406">
        <v>0.283902299999999</v>
      </c>
      <c r="R406">
        <v>7.671356E-2</v>
      </c>
      <c r="S406">
        <v>3.4774479999999999</v>
      </c>
      <c r="T406">
        <v>-1.1382950000000001</v>
      </c>
      <c r="U406">
        <v>-6.6833500000000002E-3</v>
      </c>
      <c r="V406">
        <v>-6.9723729999999998E-2</v>
      </c>
      <c r="W406">
        <v>0.29712650000000002</v>
      </c>
      <c r="X406">
        <v>0.95228900000000005</v>
      </c>
      <c r="Y406">
        <v>8.6149959999999998E-3</v>
      </c>
      <c r="Z406">
        <v>-3.7332580000000001E-3</v>
      </c>
      <c r="AA406">
        <v>0.99995590000000001</v>
      </c>
      <c r="AB406">
        <v>33</v>
      </c>
      <c r="AC406">
        <v>0.56720000000001303</v>
      </c>
      <c r="AD406">
        <v>-0.2398324</v>
      </c>
      <c r="AE406">
        <v>-2.9000000000110001E-3</v>
      </c>
      <c r="AF406">
        <v>6.0800312695480996E-3</v>
      </c>
      <c r="AG406">
        <v>-0.2398324</v>
      </c>
      <c r="AH406">
        <v>0.48114114692704202</v>
      </c>
      <c r="AI406">
        <v>116.492858542194</v>
      </c>
      <c r="AJ406">
        <v>89.276009561190605</v>
      </c>
      <c r="AK406">
        <v>0.53763681992239698</v>
      </c>
      <c r="AL406">
        <v>72.714903541078897</v>
      </c>
      <c r="AM406">
        <v>94.187552155837096</v>
      </c>
      <c r="AN406">
        <v>0.99999994752417998</v>
      </c>
    </row>
    <row r="407" spans="1:40" x14ac:dyDescent="0.25">
      <c r="A407" t="str">
        <f>"20190304164107539"</f>
        <v>20190304164107539</v>
      </c>
      <c r="B407" t="str">
        <f>"1551688867531991"</f>
        <v>1551688867531991</v>
      </c>
      <c r="C407" t="s">
        <v>40</v>
      </c>
      <c r="D407">
        <v>4.6146379999999896</v>
      </c>
      <c r="E407">
        <v>0.55283939999999998</v>
      </c>
      <c r="F407" t="s">
        <v>41</v>
      </c>
      <c r="G407">
        <v>-424.56670000000003</v>
      </c>
      <c r="H407">
        <v>0.77497019999999905</v>
      </c>
      <c r="I407">
        <v>366.8313</v>
      </c>
      <c r="J407">
        <v>-425.22289999999998</v>
      </c>
      <c r="K407">
        <v>1.0608420000000001</v>
      </c>
      <c r="L407">
        <v>366.82909999999998</v>
      </c>
      <c r="M407">
        <v>0.99987309999999996</v>
      </c>
      <c r="N407">
        <v>-1.3951409999999999E-2</v>
      </c>
      <c r="O407">
        <v>7.7070389999999997E-3</v>
      </c>
      <c r="P407">
        <v>0.95575860000000001</v>
      </c>
      <c r="Q407">
        <v>0.28383419999999998</v>
      </c>
      <c r="R407">
        <v>7.7225970000000005E-2</v>
      </c>
      <c r="S407">
        <v>3.4891049999999999</v>
      </c>
      <c r="T407">
        <v>-1.1838770000000001</v>
      </c>
      <c r="U407">
        <v>1.7181399999999999E-2</v>
      </c>
      <c r="V407">
        <v>-7.0058060000000005E-2</v>
      </c>
      <c r="W407">
        <v>0.297101</v>
      </c>
      <c r="X407">
        <v>0.95227249999999997</v>
      </c>
      <c r="Y407">
        <v>2.2550740000000001E-3</v>
      </c>
      <c r="Z407">
        <v>-2.8273980000000001E-3</v>
      </c>
      <c r="AA407">
        <v>0.99999340000000003</v>
      </c>
      <c r="AB407">
        <v>33</v>
      </c>
      <c r="AC407">
        <v>0.65619999999995504</v>
      </c>
      <c r="AD407">
        <v>-0.28587180000000001</v>
      </c>
      <c r="AE407">
        <v>2.2000000000161799E-3</v>
      </c>
      <c r="AF407">
        <v>2.4020410154976602E-3</v>
      </c>
      <c r="AG407">
        <v>-0.28587180000000001</v>
      </c>
      <c r="AH407">
        <v>0.55152539445788795</v>
      </c>
      <c r="AI407">
        <v>117.398810874622</v>
      </c>
      <c r="AJ407">
        <v>89.750463090887195</v>
      </c>
      <c r="AK407">
        <v>0.62121551539558995</v>
      </c>
      <c r="AL407">
        <v>72.716435064724806</v>
      </c>
      <c r="AM407">
        <v>94.207632452601899</v>
      </c>
      <c r="AN407">
        <v>1.0000000251140999</v>
      </c>
    </row>
    <row r="408" spans="1:40" x14ac:dyDescent="0.25">
      <c r="A408" t="str">
        <f>"20190304164107551"</f>
        <v>20190304164107551</v>
      </c>
      <c r="B408" t="str">
        <f>"1551688867541751"</f>
        <v>1551688867541751</v>
      </c>
      <c r="C408" t="s">
        <v>40</v>
      </c>
      <c r="D408">
        <v>4.5520740000000002</v>
      </c>
      <c r="E408">
        <v>0.55317490000000002</v>
      </c>
      <c r="F408" t="s">
        <v>41</v>
      </c>
      <c r="G408">
        <v>-424.54289999999997</v>
      </c>
      <c r="H408">
        <v>0.83041469999999995</v>
      </c>
      <c r="I408">
        <v>366.83249999999998</v>
      </c>
      <c r="J408">
        <v>-425.0598</v>
      </c>
      <c r="K408">
        <v>1.0608280000000001</v>
      </c>
      <c r="L408">
        <v>366.83049999999997</v>
      </c>
      <c r="M408">
        <v>0.99987139999999997</v>
      </c>
      <c r="N408">
        <v>-1.3986999999999999E-2</v>
      </c>
      <c r="O408">
        <v>7.8655940000000001E-3</v>
      </c>
      <c r="P408">
        <v>0.95573900000000001</v>
      </c>
      <c r="Q408">
        <v>0.28376950000000001</v>
      </c>
      <c r="R408">
        <v>7.7706700000000004E-2</v>
      </c>
      <c r="S408">
        <v>3.4883419999999998</v>
      </c>
      <c r="T408">
        <v>-1.1820539999999999</v>
      </c>
      <c r="U408">
        <v>1.9134519999999999E-2</v>
      </c>
      <c r="V408">
        <v>-7.0385690000000001E-2</v>
      </c>
      <c r="W408">
        <v>0.29707050000000002</v>
      </c>
      <c r="X408">
        <v>0.95225780000000004</v>
      </c>
      <c r="Y408">
        <v>1.8685559999999999E-3</v>
      </c>
      <c r="Z408">
        <v>-2.8071260000000001E-3</v>
      </c>
      <c r="AA408">
        <v>0.9999943</v>
      </c>
      <c r="AB408">
        <v>33</v>
      </c>
      <c r="AC408">
        <v>0.51690000000002101</v>
      </c>
      <c r="AD408">
        <v>-0.23041329999999999</v>
      </c>
      <c r="AE408">
        <v>2.0000000000095402E-3</v>
      </c>
      <c r="AF408">
        <v>1.7236893111479501E-3</v>
      </c>
      <c r="AG408">
        <v>-0.23041329999999999</v>
      </c>
      <c r="AH408">
        <v>0.43121732073866897</v>
      </c>
      <c r="AI408">
        <v>118.11683511353201</v>
      </c>
      <c r="AJ408">
        <v>89.770974884412794</v>
      </c>
      <c r="AK408">
        <v>0.48891884564492699</v>
      </c>
      <c r="AL408">
        <v>72.718264277815507</v>
      </c>
      <c r="AM408">
        <v>94.227303510053503</v>
      </c>
      <c r="AN408">
        <v>0.99999997249393202</v>
      </c>
    </row>
    <row r="409" spans="1:40" x14ac:dyDescent="0.25">
      <c r="A409" t="str">
        <f>"20190304164107572"</f>
        <v>20190304164107572</v>
      </c>
      <c r="B409" t="str">
        <f>"1551688867562247"</f>
        <v>1551688867562247</v>
      </c>
      <c r="C409" t="s">
        <v>40</v>
      </c>
      <c r="D409">
        <v>4.6212169999999997</v>
      </c>
      <c r="E409">
        <v>0.55318500000000004</v>
      </c>
      <c r="F409" t="s">
        <v>41</v>
      </c>
      <c r="G409">
        <v>-424.2647</v>
      </c>
      <c r="H409">
        <v>0.79305740000000002</v>
      </c>
      <c r="I409">
        <v>366.83460000000002</v>
      </c>
      <c r="J409">
        <v>-424.75420000000003</v>
      </c>
      <c r="K409">
        <v>1.060802</v>
      </c>
      <c r="L409">
        <v>366.83319999999998</v>
      </c>
      <c r="M409">
        <v>0.99986819999999998</v>
      </c>
      <c r="N409">
        <v>-1.4048740000000001E-2</v>
      </c>
      <c r="O409">
        <v>8.1561589999999996E-3</v>
      </c>
      <c r="P409">
        <v>0.95591179999999998</v>
      </c>
      <c r="Q409">
        <v>0.28297090000000003</v>
      </c>
      <c r="R409">
        <v>7.8489639999999999E-2</v>
      </c>
      <c r="S409">
        <v>3.4860839999999902</v>
      </c>
      <c r="T409">
        <v>-1.1740839999999999</v>
      </c>
      <c r="U409">
        <v>1.8218990000000001E-2</v>
      </c>
      <c r="V409">
        <v>-7.0883509999999997E-2</v>
      </c>
      <c r="W409">
        <v>0.29633470000000001</v>
      </c>
      <c r="X409">
        <v>0.95245020000000002</v>
      </c>
      <c r="Y409">
        <v>2.3803990000000001E-3</v>
      </c>
      <c r="Z409">
        <v>-2.9687350000000001E-3</v>
      </c>
      <c r="AA409">
        <v>0.99999280000000002</v>
      </c>
      <c r="AB409">
        <v>33</v>
      </c>
      <c r="AC409">
        <v>0.48950000000001997</v>
      </c>
      <c r="AD409">
        <v>-0.2677446</v>
      </c>
      <c r="AE409">
        <v>1.40000000004647E-3</v>
      </c>
      <c r="AF409">
        <v>1.99578189605365E-3</v>
      </c>
      <c r="AG409">
        <v>-0.2677446</v>
      </c>
      <c r="AH409">
        <v>0.37677238777890998</v>
      </c>
      <c r="AI409">
        <v>125.398246390054</v>
      </c>
      <c r="AJ409">
        <v>89.696504272352797</v>
      </c>
      <c r="AK409">
        <v>0.46222136056997398</v>
      </c>
      <c r="AL409">
        <v>72.762411884603793</v>
      </c>
      <c r="AM409">
        <v>94.256235820327205</v>
      </c>
      <c r="AN409">
        <v>1.00000005494702</v>
      </c>
    </row>
    <row r="410" spans="1:40" x14ac:dyDescent="0.25">
      <c r="A410" t="str">
        <f>"20190304164107586"</f>
        <v>20190304164107586</v>
      </c>
      <c r="B410" t="str">
        <f>"1551688867572007"</f>
        <v>1551688867572007</v>
      </c>
      <c r="C410" t="s">
        <v>40</v>
      </c>
      <c r="D410">
        <v>4.6271050000000002</v>
      </c>
      <c r="E410">
        <v>0.55313190000000001</v>
      </c>
      <c r="F410" t="s">
        <v>41</v>
      </c>
      <c r="G410">
        <v>-423.96940000000001</v>
      </c>
      <c r="H410">
        <v>0.79594759999999998</v>
      </c>
      <c r="I410">
        <v>366.83780000000002</v>
      </c>
      <c r="J410">
        <v>-424.5505</v>
      </c>
      <c r="K410">
        <v>1.0607869999999999</v>
      </c>
      <c r="L410">
        <v>366.83499999999998</v>
      </c>
      <c r="M410">
        <v>0.99986589999999997</v>
      </c>
      <c r="N410">
        <v>-1.4086049999999999E-2</v>
      </c>
      <c r="O410">
        <v>8.3442099999999995E-3</v>
      </c>
      <c r="P410">
        <v>0.9559685</v>
      </c>
      <c r="Q410">
        <v>0.28269840000000002</v>
      </c>
      <c r="R410">
        <v>7.8777310000000003E-2</v>
      </c>
      <c r="S410">
        <v>3.4847109999999999</v>
      </c>
      <c r="T410">
        <v>-1.1759299999999999</v>
      </c>
      <c r="U410">
        <v>2.2064210000000001E-2</v>
      </c>
      <c r="V410">
        <v>-7.0986110000000005E-2</v>
      </c>
      <c r="W410">
        <v>0.29609960000000002</v>
      </c>
      <c r="X410">
        <v>0.95251560000000002</v>
      </c>
      <c r="Y410">
        <v>1.50216E-3</v>
      </c>
      <c r="Z410">
        <v>-2.8828149999999999E-3</v>
      </c>
      <c r="AA410">
        <v>0.99999470000000001</v>
      </c>
      <c r="AB410">
        <v>33</v>
      </c>
      <c r="AC410">
        <v>0.58109999999999196</v>
      </c>
      <c r="AD410">
        <v>-0.2648394</v>
      </c>
      <c r="AE410">
        <v>2.8000000000361E-3</v>
      </c>
      <c r="AF410">
        <v>1.6969327634184801E-3</v>
      </c>
      <c r="AG410">
        <v>-0.2648394</v>
      </c>
      <c r="AH410">
        <v>0.48116192110934802</v>
      </c>
      <c r="AI410">
        <v>118.828955918746</v>
      </c>
      <c r="AJ410">
        <v>89.797933547733294</v>
      </c>
      <c r="AK410">
        <v>0.54923545196828105</v>
      </c>
      <c r="AL410">
        <v>72.776513813820799</v>
      </c>
      <c r="AM410">
        <v>94.262082222991694</v>
      </c>
      <c r="AN410">
        <v>0.99999998458822503</v>
      </c>
    </row>
    <row r="411" spans="1:40" x14ac:dyDescent="0.25">
      <c r="A411" t="str">
        <f>"20190304164107601"</f>
        <v>20190304164107601</v>
      </c>
      <c r="B411" t="str">
        <f>"1551688867591526"</f>
        <v>1551688867591526</v>
      </c>
      <c r="C411" t="s">
        <v>40</v>
      </c>
      <c r="D411">
        <v>5.0675530000000002</v>
      </c>
      <c r="E411">
        <v>0.55323929999999999</v>
      </c>
      <c r="F411" t="s">
        <v>41</v>
      </c>
      <c r="G411">
        <v>-423.68700000000001</v>
      </c>
      <c r="H411">
        <v>0.76862410000000003</v>
      </c>
      <c r="I411">
        <v>366.84109999999998</v>
      </c>
      <c r="J411">
        <v>-424.3272</v>
      </c>
      <c r="K411">
        <v>1.0607719999999901</v>
      </c>
      <c r="L411">
        <v>366.83710000000002</v>
      </c>
      <c r="M411">
        <v>0.99986370000000002</v>
      </c>
      <c r="N411">
        <v>-1.4123439999999999E-2</v>
      </c>
      <c r="O411">
        <v>8.5449319999999999E-3</v>
      </c>
      <c r="P411">
        <v>0.9560246</v>
      </c>
      <c r="Q411">
        <v>0.28237479999999998</v>
      </c>
      <c r="R411">
        <v>7.9255309999999995E-2</v>
      </c>
      <c r="S411">
        <v>3.4848020000000002</v>
      </c>
      <c r="T411">
        <v>-1.1790579999999999</v>
      </c>
      <c r="U411">
        <v>2.4597170000000002E-2</v>
      </c>
      <c r="V411">
        <v>-7.126615E-2</v>
      </c>
      <c r="W411">
        <v>0.29581350000000001</v>
      </c>
      <c r="X411">
        <v>0.95258359999999997</v>
      </c>
      <c r="Y411">
        <v>9.9297600000000001E-4</v>
      </c>
      <c r="Z411">
        <v>-2.865804E-3</v>
      </c>
      <c r="AA411">
        <v>0.99999539999999998</v>
      </c>
      <c r="AB411">
        <v>33</v>
      </c>
      <c r="AC411">
        <v>0.64020000000004895</v>
      </c>
      <c r="AD411">
        <v>-0.29214789999999902</v>
      </c>
      <c r="AE411">
        <v>3.9999999999622499E-3</v>
      </c>
      <c r="AF411">
        <v>1.21760701893436E-3</v>
      </c>
      <c r="AG411">
        <v>-0.29214789999999902</v>
      </c>
      <c r="AH411">
        <v>0.52987201336780898</v>
      </c>
      <c r="AI411">
        <v>118.870327090914</v>
      </c>
      <c r="AJ411">
        <v>89.868338733249203</v>
      </c>
      <c r="AK411">
        <v>0.60507539083300799</v>
      </c>
      <c r="AL411">
        <v>72.7936752565045</v>
      </c>
      <c r="AM411">
        <v>94.278529492499501</v>
      </c>
      <c r="AN411">
        <v>1.0000000029535101</v>
      </c>
    </row>
    <row r="412" spans="1:40" x14ac:dyDescent="0.25">
      <c r="A412" t="str">
        <f>"20190304164107617"</f>
        <v>20190304164107617</v>
      </c>
      <c r="B412" t="str">
        <f>"1551688867612022"</f>
        <v>1551688867612022</v>
      </c>
      <c r="C412" t="s">
        <v>40</v>
      </c>
      <c r="D412">
        <v>4.6644899999999998</v>
      </c>
      <c r="E412">
        <v>0.55327389999999999</v>
      </c>
      <c r="F412" t="s">
        <v>41</v>
      </c>
      <c r="G412">
        <v>-423.65890000000002</v>
      </c>
      <c r="H412">
        <v>0.8343642</v>
      </c>
      <c r="I412">
        <v>366.84210000000002</v>
      </c>
      <c r="J412">
        <v>-424.09620000000001</v>
      </c>
      <c r="K412">
        <v>1.0607569999999999</v>
      </c>
      <c r="L412">
        <v>366.83929999999998</v>
      </c>
      <c r="M412">
        <v>0.99986160000000002</v>
      </c>
      <c r="N412">
        <v>-1.415747E-2</v>
      </c>
      <c r="O412">
        <v>8.7441189999999999E-3</v>
      </c>
      <c r="P412">
        <v>0.95600160000000001</v>
      </c>
      <c r="Q412">
        <v>0.28249960000000002</v>
      </c>
      <c r="R412">
        <v>7.9090480000000005E-2</v>
      </c>
      <c r="S412">
        <v>3.4845280000000001</v>
      </c>
      <c r="T412">
        <v>-1.180482</v>
      </c>
      <c r="U412">
        <v>2.62145999999999E-2</v>
      </c>
      <c r="V412">
        <v>-7.0905480000000007E-2</v>
      </c>
      <c r="W412">
        <v>0.29597259999999997</v>
      </c>
      <c r="X412">
        <v>0.95256110000000005</v>
      </c>
      <c r="Y412">
        <v>7.3133399999999896E-4</v>
      </c>
      <c r="Z412">
        <v>-2.8870430000000002E-3</v>
      </c>
      <c r="AA412">
        <v>0.99999559999999998</v>
      </c>
      <c r="AB412">
        <v>33</v>
      </c>
      <c r="AC412">
        <v>0.43729999999999303</v>
      </c>
      <c r="AD412">
        <v>-0.22639279999999901</v>
      </c>
      <c r="AE412">
        <v>2.8000000000361E-3</v>
      </c>
      <c r="AF412">
        <v>8.0779695906850598E-4</v>
      </c>
      <c r="AG412">
        <v>-0.22639279999999901</v>
      </c>
      <c r="AH412">
        <v>0.344877646268825</v>
      </c>
      <c r="AI412">
        <v>123.282577422134</v>
      </c>
      <c r="AJ412">
        <v>89.865797994393901</v>
      </c>
      <c r="AK412">
        <v>0.41254689833240998</v>
      </c>
      <c r="AL412">
        <v>72.784132260855202</v>
      </c>
      <c r="AM412">
        <v>94.2570563155668</v>
      </c>
      <c r="AN412">
        <v>1.0000000081389999</v>
      </c>
    </row>
    <row r="413" spans="1:40" x14ac:dyDescent="0.25">
      <c r="A413" t="str">
        <f>"20190304164107629"</f>
        <v>20190304164107629</v>
      </c>
      <c r="B413" t="str">
        <f>"1551688867621783"</f>
        <v>1551688867621783</v>
      </c>
      <c r="C413" t="s">
        <v>40</v>
      </c>
      <c r="D413">
        <v>4.6580019999999998</v>
      </c>
      <c r="E413">
        <v>0.55324069999999903</v>
      </c>
      <c r="F413" t="s">
        <v>41</v>
      </c>
      <c r="G413">
        <v>-423.37349999999998</v>
      </c>
      <c r="H413">
        <v>0.81599650000000001</v>
      </c>
      <c r="I413">
        <v>366.84460000000001</v>
      </c>
      <c r="J413">
        <v>-423.91250000000002</v>
      </c>
      <c r="K413">
        <v>1.060745</v>
      </c>
      <c r="L413">
        <v>366.84100000000001</v>
      </c>
      <c r="M413">
        <v>0.99985979999999997</v>
      </c>
      <c r="N413">
        <v>-1.418232E-2</v>
      </c>
      <c r="O413">
        <v>8.8980919999999998E-3</v>
      </c>
      <c r="P413">
        <v>0.95590739999999996</v>
      </c>
      <c r="Q413">
        <v>0.2828466</v>
      </c>
      <c r="R413">
        <v>7.8987760000000004E-2</v>
      </c>
      <c r="S413">
        <v>3.4847410000000001</v>
      </c>
      <c r="T413">
        <v>-1.1802459999999999</v>
      </c>
      <c r="U413">
        <v>2.6275630000000001E-2</v>
      </c>
      <c r="V413">
        <v>-7.0652160000000006E-2</v>
      </c>
      <c r="W413">
        <v>0.29634329999999998</v>
      </c>
      <c r="X413">
        <v>0.95246459999999999</v>
      </c>
      <c r="Y413">
        <v>8.5359559999999995E-4</v>
      </c>
      <c r="Z413">
        <v>-2.9557339999999998E-3</v>
      </c>
      <c r="AA413">
        <v>0.99999530000000003</v>
      </c>
      <c r="AB413">
        <v>33</v>
      </c>
      <c r="AC413">
        <v>0.539000000000044</v>
      </c>
      <c r="AD413">
        <v>-0.24474850000000001</v>
      </c>
      <c r="AE413">
        <v>3.6000000000058199E-3</v>
      </c>
      <c r="AF413">
        <v>9.9213905679352296E-4</v>
      </c>
      <c r="AG413">
        <v>-0.24474850000000001</v>
      </c>
      <c r="AH413">
        <v>0.44687476727889303</v>
      </c>
      <c r="AI413">
        <v>118.708986700449</v>
      </c>
      <c r="AJ413">
        <v>89.872793696563605</v>
      </c>
      <c r="AK413">
        <v>0.50950944075917004</v>
      </c>
      <c r="AL413">
        <v>72.761894043177406</v>
      </c>
      <c r="AM413">
        <v>94.242331188861002</v>
      </c>
      <c r="AN413">
        <v>0.99999994671035597</v>
      </c>
    </row>
    <row r="414" spans="1:40" x14ac:dyDescent="0.25">
      <c r="A414" t="str">
        <f>"20190304164107650"</f>
        <v>20190304164107650</v>
      </c>
      <c r="B414" t="str">
        <f>"1551688867641302"</f>
        <v>1551688867641302</v>
      </c>
      <c r="C414" t="s">
        <v>40</v>
      </c>
      <c r="D414">
        <v>4.6703400000000004</v>
      </c>
      <c r="E414">
        <v>0.55321599999999904</v>
      </c>
      <c r="F414" t="s">
        <v>41</v>
      </c>
      <c r="G414">
        <v>-423.09440000000001</v>
      </c>
      <c r="H414">
        <v>0.78381909999999999</v>
      </c>
      <c r="I414">
        <v>366.84710000000001</v>
      </c>
      <c r="J414">
        <v>-423.60649999999998</v>
      </c>
      <c r="K414">
        <v>1.0607359999999999</v>
      </c>
      <c r="L414">
        <v>366.84410000000003</v>
      </c>
      <c r="M414">
        <v>0.9998572</v>
      </c>
      <c r="N414">
        <v>-1.4219300000000001E-2</v>
      </c>
      <c r="O414">
        <v>9.1443449999999999E-3</v>
      </c>
      <c r="P414">
        <v>0.955843</v>
      </c>
      <c r="Q414">
        <v>0.28322999999999998</v>
      </c>
      <c r="R414">
        <v>7.8389970000000003E-2</v>
      </c>
      <c r="S414">
        <v>3.4852910000000001</v>
      </c>
      <c r="T414">
        <v>-1.1798120000000001</v>
      </c>
      <c r="U414">
        <v>2.651978E-2</v>
      </c>
      <c r="V414">
        <v>-6.9811449999999997E-2</v>
      </c>
      <c r="W414">
        <v>0.29676360000000002</v>
      </c>
      <c r="X414">
        <v>0.95239580000000001</v>
      </c>
      <c r="Y414">
        <v>1.0099690000000001E-3</v>
      </c>
      <c r="Z414">
        <v>-3.0584710000000001E-3</v>
      </c>
      <c r="AA414">
        <v>0.99999479999999996</v>
      </c>
      <c r="AB414">
        <v>33</v>
      </c>
      <c r="AC414">
        <v>0.51209999999997502</v>
      </c>
      <c r="AD414">
        <v>-0.27691690000000002</v>
      </c>
      <c r="AE414">
        <v>2.9999999999858998E-3</v>
      </c>
      <c r="AF414">
        <v>1.3025534044538E-3</v>
      </c>
      <c r="AG414">
        <v>-0.27691690000000002</v>
      </c>
      <c r="AH414">
        <v>0.39624481161777197</v>
      </c>
      <c r="AI414">
        <v>124.94774725752301</v>
      </c>
      <c r="AJ414">
        <v>89.8116554673786</v>
      </c>
      <c r="AK414">
        <v>0.483419710898289</v>
      </c>
      <c r="AL414">
        <v>72.736679568055195</v>
      </c>
      <c r="AM414">
        <v>94.192333276285794</v>
      </c>
      <c r="AN414">
        <v>1.0000000163468501</v>
      </c>
    </row>
    <row r="415" spans="1:40" x14ac:dyDescent="0.25">
      <c r="A415" t="str">
        <f>"20190304164107662"</f>
        <v>20190304164107662</v>
      </c>
      <c r="B415" t="str">
        <f>"1551688867652039"</f>
        <v>1551688867652039</v>
      </c>
      <c r="C415" t="s">
        <v>40</v>
      </c>
      <c r="D415">
        <v>4.6664139999999996</v>
      </c>
      <c r="E415">
        <v>0.55322109999999902</v>
      </c>
      <c r="F415" t="s">
        <v>41</v>
      </c>
      <c r="G415">
        <v>-422.79989999999998</v>
      </c>
      <c r="H415">
        <v>0.78799390000000002</v>
      </c>
      <c r="I415">
        <v>366.8494</v>
      </c>
      <c r="J415">
        <v>-423.42899999999997</v>
      </c>
      <c r="K415">
        <v>1.060729</v>
      </c>
      <c r="L415">
        <v>366.8458</v>
      </c>
      <c r="M415">
        <v>0.99985550000000001</v>
      </c>
      <c r="N415">
        <v>-1.4238819999999999E-2</v>
      </c>
      <c r="O415">
        <v>9.2826769999999996E-3</v>
      </c>
      <c r="P415">
        <v>0.95585299999999995</v>
      </c>
      <c r="Q415">
        <v>0.28329500000000002</v>
      </c>
      <c r="R415">
        <v>7.8032260000000006E-2</v>
      </c>
      <c r="S415">
        <v>3.4858090000000002</v>
      </c>
      <c r="T415">
        <v>-1.178795</v>
      </c>
      <c r="U415">
        <v>2.4871830000000001E-2</v>
      </c>
      <c r="V415">
        <v>-6.931677E-2</v>
      </c>
      <c r="W415">
        <v>0.29684880000000002</v>
      </c>
      <c r="X415">
        <v>0.95240539999999996</v>
      </c>
      <c r="Y415">
        <v>1.58296E-3</v>
      </c>
      <c r="Z415">
        <v>-3.1973129999999998E-3</v>
      </c>
      <c r="AA415">
        <v>0.99999360000000004</v>
      </c>
      <c r="AB415">
        <v>33</v>
      </c>
      <c r="AC415">
        <v>0.62910000000004995</v>
      </c>
      <c r="AD415">
        <v>-0.27273509999999901</v>
      </c>
      <c r="AE415">
        <v>3.6000000000058199E-3</v>
      </c>
      <c r="AF415">
        <v>1.8860144090878401E-3</v>
      </c>
      <c r="AG415">
        <v>-0.27273509999999901</v>
      </c>
      <c r="AH415">
        <v>0.52957572791649599</v>
      </c>
      <c r="AI415">
        <v>117.24862738014799</v>
      </c>
      <c r="AJ415">
        <v>89.795949468240806</v>
      </c>
      <c r="AK415">
        <v>0.59568317369273405</v>
      </c>
      <c r="AL415">
        <v>72.7315679490832</v>
      </c>
      <c r="AM415">
        <v>94.1626896253251</v>
      </c>
      <c r="AN415">
        <v>1.0000000353069101</v>
      </c>
    </row>
    <row r="416" spans="1:40" x14ac:dyDescent="0.25">
      <c r="A416" t="str">
        <f>"20190304164107675"</f>
        <v>20190304164107675</v>
      </c>
      <c r="B416" t="str">
        <f>"1551688867661799"</f>
        <v>1551688867661799</v>
      </c>
      <c r="C416" t="s">
        <v>40</v>
      </c>
      <c r="D416">
        <v>4.6733760000000002</v>
      </c>
      <c r="E416">
        <v>0.55319750000000001</v>
      </c>
      <c r="F416" t="s">
        <v>41</v>
      </c>
      <c r="G416">
        <v>-422.52159999999998</v>
      </c>
      <c r="H416">
        <v>0.75389289999999998</v>
      </c>
      <c r="I416">
        <v>366.85180000000003</v>
      </c>
      <c r="J416">
        <v>-423.24720000000002</v>
      </c>
      <c r="K416">
        <v>1.060724</v>
      </c>
      <c r="L416">
        <v>366.8476</v>
      </c>
      <c r="M416">
        <v>0.99985409999999997</v>
      </c>
      <c r="N416">
        <v>-1.425628E-2</v>
      </c>
      <c r="O416">
        <v>9.4173840000000009E-3</v>
      </c>
      <c r="P416">
        <v>0.95594049999999997</v>
      </c>
      <c r="Q416">
        <v>0.2830897</v>
      </c>
      <c r="R416">
        <v>7.7707289999999998E-2</v>
      </c>
      <c r="S416">
        <v>3.485992</v>
      </c>
      <c r="T416">
        <v>-1.1787749999999999</v>
      </c>
      <c r="U416">
        <v>2.3651120000000001E-2</v>
      </c>
      <c r="V416">
        <v>-6.8857269999999998E-2</v>
      </c>
      <c r="W416">
        <v>0.2966625</v>
      </c>
      <c r="X416">
        <v>0.95249669999999997</v>
      </c>
      <c r="Y416">
        <v>2.0351929999999998E-3</v>
      </c>
      <c r="Z416">
        <v>-3.3171030000000001E-3</v>
      </c>
      <c r="AA416">
        <v>0.9999924</v>
      </c>
      <c r="AB416">
        <v>33</v>
      </c>
      <c r="AC416">
        <v>0.72560000000004199</v>
      </c>
      <c r="AD416">
        <v>-0.30683109999999902</v>
      </c>
      <c r="AE416">
        <v>4.20000000002573E-3</v>
      </c>
      <c r="AF416">
        <v>2.23457222560471E-3</v>
      </c>
      <c r="AG416">
        <v>-0.30683109999999902</v>
      </c>
      <c r="AH416">
        <v>0.61554272395519904</v>
      </c>
      <c r="AI416">
        <v>116.494840699929</v>
      </c>
      <c r="AJ416">
        <v>89.792003072838696</v>
      </c>
      <c r="AK416">
        <v>0.68778133316805601</v>
      </c>
      <c r="AL416">
        <v>72.742744383695495</v>
      </c>
      <c r="AM416">
        <v>94.1347962530091</v>
      </c>
      <c r="AN416">
        <v>0.99999996302449501</v>
      </c>
    </row>
    <row r="417" spans="1:40" x14ac:dyDescent="0.25">
      <c r="A417" t="str">
        <f>"20190304164107688"</f>
        <v>20190304164107688</v>
      </c>
      <c r="B417" t="str">
        <f>"1551688867682295"</f>
        <v>1551688867682295</v>
      </c>
      <c r="C417" t="s">
        <v>40</v>
      </c>
      <c r="D417">
        <v>4.7148430000000001</v>
      </c>
      <c r="E417">
        <v>0.55311049999999995</v>
      </c>
      <c r="F417" t="s">
        <v>41</v>
      </c>
      <c r="G417">
        <v>-422.4991</v>
      </c>
      <c r="H417">
        <v>0.8075812</v>
      </c>
      <c r="I417">
        <v>366.85230000000001</v>
      </c>
      <c r="J417">
        <v>-423.0625</v>
      </c>
      <c r="K417">
        <v>1.060713</v>
      </c>
      <c r="L417">
        <v>366.84949999999998</v>
      </c>
      <c r="M417">
        <v>0.99985250000000003</v>
      </c>
      <c r="N417">
        <v>-1.4272989999999999E-2</v>
      </c>
      <c r="O417">
        <v>9.5508420000000004E-3</v>
      </c>
      <c r="P417">
        <v>0.95593589999999995</v>
      </c>
      <c r="Q417">
        <v>0.2831671</v>
      </c>
      <c r="R417">
        <v>7.7477399999999905E-2</v>
      </c>
      <c r="S417">
        <v>3.4857179999999999</v>
      </c>
      <c r="T417">
        <v>-1.179605</v>
      </c>
      <c r="U417">
        <v>2.267456E-2</v>
      </c>
      <c r="V417">
        <v>-6.8494979999999997E-2</v>
      </c>
      <c r="W417">
        <v>0.2967573</v>
      </c>
      <c r="X417">
        <v>0.95249329999999999</v>
      </c>
      <c r="Y417">
        <v>2.4182740000000002E-3</v>
      </c>
      <c r="Z417">
        <v>-3.4274819999999999E-3</v>
      </c>
      <c r="AA417">
        <v>0.99999119999999997</v>
      </c>
      <c r="AB417">
        <v>33</v>
      </c>
      <c r="AC417">
        <v>0.56340000000000101</v>
      </c>
      <c r="AD417">
        <v>-0.25313179999999902</v>
      </c>
      <c r="AE417">
        <v>2.8000000000361E-3</v>
      </c>
      <c r="AF417">
        <v>2.14802196198734E-3</v>
      </c>
      <c r="AG417">
        <v>-0.25313179999999902</v>
      </c>
      <c r="AH417">
        <v>0.46877449855950898</v>
      </c>
      <c r="AI417">
        <v>118.368186414335</v>
      </c>
      <c r="AJ417">
        <v>89.737460694336704</v>
      </c>
      <c r="AK417">
        <v>0.53275684197324702</v>
      </c>
      <c r="AL417">
        <v>72.737056769033998</v>
      </c>
      <c r="AM417">
        <v>94.113130667522796</v>
      </c>
      <c r="AN417">
        <v>0.99999997196668899</v>
      </c>
    </row>
    <row r="418" spans="1:40" x14ac:dyDescent="0.25">
      <c r="A418" t="str">
        <f>"20190304164107699"</f>
        <v>20190304164107699</v>
      </c>
      <c r="B418" t="str">
        <f>"1551688867692055"</f>
        <v>1551688867692055</v>
      </c>
      <c r="C418" t="s">
        <v>40</v>
      </c>
      <c r="D418">
        <v>4.6676299999999999</v>
      </c>
      <c r="E418">
        <v>0.55308900000000005</v>
      </c>
      <c r="F418" t="s">
        <v>41</v>
      </c>
      <c r="G418">
        <v>-422.22059999999999</v>
      </c>
      <c r="H418">
        <v>0.77567989999999998</v>
      </c>
      <c r="I418">
        <v>366.8546</v>
      </c>
      <c r="J418">
        <v>-422.87220000000002</v>
      </c>
      <c r="K418">
        <v>1.0607040000000001</v>
      </c>
      <c r="L418">
        <v>366.85140000000001</v>
      </c>
      <c r="M418">
        <v>0.99985100000000005</v>
      </c>
      <c r="N418">
        <v>-1.428889E-2</v>
      </c>
      <c r="O418">
        <v>9.6841840000000002E-3</v>
      </c>
      <c r="P418">
        <v>0.9560052</v>
      </c>
      <c r="Q418">
        <v>0.2830163</v>
      </c>
      <c r="R418">
        <v>7.7174560000000003E-2</v>
      </c>
      <c r="S418">
        <v>3.4860839999999902</v>
      </c>
      <c r="T418">
        <v>-1.1801889999999999</v>
      </c>
      <c r="U418">
        <v>2.2003169999999999E-2</v>
      </c>
      <c r="V418">
        <v>-6.8059179999999997E-2</v>
      </c>
      <c r="W418">
        <v>0.29662379999999999</v>
      </c>
      <c r="X418">
        <v>0.95256609999999997</v>
      </c>
      <c r="Y418">
        <v>2.7200570000000001E-3</v>
      </c>
      <c r="Z418">
        <v>-3.5226390000000002E-3</v>
      </c>
      <c r="AA418">
        <v>0.99999009999999999</v>
      </c>
      <c r="AB418">
        <v>33</v>
      </c>
      <c r="AC418">
        <v>0.65160000000003004</v>
      </c>
      <c r="AD418">
        <v>-0.2850241</v>
      </c>
      <c r="AE418">
        <v>3.19999999999254E-3</v>
      </c>
      <c r="AF418">
        <v>2.6113672474950898E-3</v>
      </c>
      <c r="AG418">
        <v>-0.2850241</v>
      </c>
      <c r="AH418">
        <v>0.54695057723141605</v>
      </c>
      <c r="AI418">
        <v>117.52442407631899</v>
      </c>
      <c r="AJ418">
        <v>89.7264484371739</v>
      </c>
      <c r="AK418">
        <v>0.61676615564854897</v>
      </c>
      <c r="AL418">
        <v>72.745066058812796</v>
      </c>
      <c r="AM418">
        <v>94.086738503024307</v>
      </c>
      <c r="AN418">
        <v>0.99999995278896003</v>
      </c>
    </row>
    <row r="419" spans="1:40" x14ac:dyDescent="0.25">
      <c r="A419" t="str">
        <f>"20190304164107718"</f>
        <v>20190304164107718</v>
      </c>
      <c r="B419" t="str">
        <f>"1551688867711575"</f>
        <v>1551688867711575</v>
      </c>
      <c r="C419" t="s">
        <v>40</v>
      </c>
      <c r="D419">
        <v>4.7068779999999997</v>
      </c>
      <c r="E419">
        <v>0.55302489999999904</v>
      </c>
      <c r="F419" t="s">
        <v>41</v>
      </c>
      <c r="G419">
        <v>-422.19650000000001</v>
      </c>
      <c r="H419">
        <v>0.83185290000000001</v>
      </c>
      <c r="I419">
        <v>366.85520000000002</v>
      </c>
      <c r="J419">
        <v>-422.61410000000001</v>
      </c>
      <c r="K419">
        <v>1.0606910000000001</v>
      </c>
      <c r="L419">
        <v>366.85419999999999</v>
      </c>
      <c r="M419">
        <v>0.99984919999999999</v>
      </c>
      <c r="N419">
        <v>-1.430757E-2</v>
      </c>
      <c r="O419">
        <v>9.8539739999999997E-3</v>
      </c>
      <c r="P419">
        <v>0.95601709999999995</v>
      </c>
      <c r="Q419">
        <v>0.28294849999999999</v>
      </c>
      <c r="R419">
        <v>7.7275689999999994E-2</v>
      </c>
      <c r="S419">
        <v>3.4858699999999998</v>
      </c>
      <c r="T419">
        <v>-1.1806430000000001</v>
      </c>
      <c r="U419">
        <v>2.0996089999999999E-2</v>
      </c>
      <c r="V419">
        <v>-6.7989830000000001E-2</v>
      </c>
      <c r="W419">
        <v>0.29657600000000001</v>
      </c>
      <c r="X419">
        <v>0.95258600000000004</v>
      </c>
      <c r="Y419">
        <v>3.1444139999999999E-3</v>
      </c>
      <c r="Z419">
        <v>-3.6506440000000002E-3</v>
      </c>
      <c r="AA419">
        <v>0.9999884</v>
      </c>
      <c r="AB419">
        <v>33</v>
      </c>
      <c r="AC419">
        <v>0.41759999999999298</v>
      </c>
      <c r="AD419">
        <v>-0.22883809999999999</v>
      </c>
      <c r="AE419">
        <v>1.0000000000331901E-3</v>
      </c>
      <c r="AF419">
        <v>2.3960051940711199E-3</v>
      </c>
      <c r="AG419">
        <v>-0.22883809999999999</v>
      </c>
      <c r="AH419">
        <v>0.32115241962470498</v>
      </c>
      <c r="AI419">
        <v>125.471130341391</v>
      </c>
      <c r="AJ419">
        <v>89.572544281375201</v>
      </c>
      <c r="AK419">
        <v>0.3943494560454</v>
      </c>
      <c r="AL419">
        <v>72.747934932730203</v>
      </c>
      <c r="AM419">
        <v>94.082503343958507</v>
      </c>
      <c r="AN419">
        <v>1.0000000140777101</v>
      </c>
    </row>
    <row r="420" spans="1:40" x14ac:dyDescent="0.25">
      <c r="A420" t="str">
        <f>"20190304164107731"</f>
        <v>20190304164107731</v>
      </c>
      <c r="B420" t="str">
        <f>"1551688867721335"</f>
        <v>1551688867721335</v>
      </c>
      <c r="C420" t="s">
        <v>40</v>
      </c>
      <c r="D420">
        <v>4.7129709999999996</v>
      </c>
      <c r="E420">
        <v>0.55298069999999999</v>
      </c>
      <c r="F420" t="s">
        <v>41</v>
      </c>
      <c r="G420">
        <v>-421.90929999999997</v>
      </c>
      <c r="H420">
        <v>0.82173660000000004</v>
      </c>
      <c r="I420">
        <v>366.85840000000002</v>
      </c>
      <c r="J420">
        <v>-422.4323</v>
      </c>
      <c r="K420">
        <v>1.060684</v>
      </c>
      <c r="L420">
        <v>366.85599999999999</v>
      </c>
      <c r="M420">
        <v>0.99984790000000001</v>
      </c>
      <c r="N420">
        <v>-1.431924E-2</v>
      </c>
      <c r="O420">
        <v>9.9645970000000004E-3</v>
      </c>
      <c r="P420">
        <v>0.95599800000000001</v>
      </c>
      <c r="Q420">
        <v>0.28304759999999901</v>
      </c>
      <c r="R420">
        <v>7.7150140000000006E-2</v>
      </c>
      <c r="S420">
        <v>3.4860839999999902</v>
      </c>
      <c r="T420">
        <v>-1.181875</v>
      </c>
      <c r="U420">
        <v>2.1484380000000001E-2</v>
      </c>
      <c r="V420">
        <v>-6.7751640000000002E-2</v>
      </c>
      <c r="W420">
        <v>0.29668749999999999</v>
      </c>
      <c r="X420">
        <v>0.95256819999999998</v>
      </c>
      <c r="Y420">
        <v>3.1103609999999999E-3</v>
      </c>
      <c r="Z420">
        <v>-3.6831300000000002E-3</v>
      </c>
      <c r="AA420">
        <v>0.9999884</v>
      </c>
      <c r="AB420">
        <v>33</v>
      </c>
      <c r="AC420">
        <v>0.523000000000024</v>
      </c>
      <c r="AD420">
        <v>-0.23894739999999901</v>
      </c>
      <c r="AE420">
        <v>2.4000000000228201E-3</v>
      </c>
      <c r="AF420">
        <v>2.3265156737193099E-3</v>
      </c>
      <c r="AG420">
        <v>-0.23894739999999901</v>
      </c>
      <c r="AH420">
        <v>0.43268260437880002</v>
      </c>
      <c r="AI420">
        <v>118.909165495997</v>
      </c>
      <c r="AJ420">
        <v>89.691926037443196</v>
      </c>
      <c r="AK420">
        <v>0.49428282265719198</v>
      </c>
      <c r="AL420">
        <v>72.741244522491996</v>
      </c>
      <c r="AM420">
        <v>94.068324908273695</v>
      </c>
      <c r="AN420">
        <v>0.99999996651508904</v>
      </c>
    </row>
    <row r="421" spans="1:40" x14ac:dyDescent="0.25">
      <c r="A421" t="str">
        <f>"20190304164107742"</f>
        <v>20190304164107742</v>
      </c>
      <c r="B421" t="str">
        <f>"1551688867732071"</f>
        <v>1551688867732071</v>
      </c>
      <c r="C421" t="s">
        <v>40</v>
      </c>
      <c r="D421">
        <v>4.9718589999999896</v>
      </c>
      <c r="E421">
        <v>0.55300070000000001</v>
      </c>
      <c r="F421" t="s">
        <v>41</v>
      </c>
      <c r="G421">
        <v>-421.63200000000001</v>
      </c>
      <c r="H421">
        <v>0.78930809999999996</v>
      </c>
      <c r="I421">
        <v>366.86090000000002</v>
      </c>
      <c r="J421">
        <v>-422.2629</v>
      </c>
      <c r="K421">
        <v>1.0606739999999999</v>
      </c>
      <c r="L421">
        <v>366.8578</v>
      </c>
      <c r="M421">
        <v>0.99984669999999998</v>
      </c>
      <c r="N421">
        <v>-1.432955E-2</v>
      </c>
      <c r="O421">
        <v>1.006396E-2</v>
      </c>
      <c r="P421">
        <v>0.95596239999999999</v>
      </c>
      <c r="Q421">
        <v>0.28307520000000003</v>
      </c>
      <c r="R421">
        <v>7.748708E-2</v>
      </c>
      <c r="S421">
        <v>3.4863279999999999</v>
      </c>
      <c r="T421">
        <v>-1.1821390000000001</v>
      </c>
      <c r="U421">
        <v>2.1667479999999999E-2</v>
      </c>
      <c r="V421">
        <v>-6.7987399999999906E-2</v>
      </c>
      <c r="W421">
        <v>0.2967262</v>
      </c>
      <c r="X421">
        <v>0.95253940000000004</v>
      </c>
      <c r="Y421">
        <v>3.1500569999999999E-3</v>
      </c>
      <c r="Z421">
        <v>-3.7218279999999999E-3</v>
      </c>
      <c r="AA421">
        <v>0.99998810000000005</v>
      </c>
      <c r="AB421">
        <v>33</v>
      </c>
      <c r="AC421">
        <v>0.63090000000005297</v>
      </c>
      <c r="AD421">
        <v>-0.27136589999999899</v>
      </c>
      <c r="AE421">
        <v>3.1000000000176399E-3</v>
      </c>
      <c r="AF421">
        <v>2.7427449167088998E-3</v>
      </c>
      <c r="AG421">
        <v>-0.27136589999999899</v>
      </c>
      <c r="AH421">
        <v>0.53240303273022904</v>
      </c>
      <c r="AI421">
        <v>117.00763790262801</v>
      </c>
      <c r="AJ421">
        <v>89.704835795117702</v>
      </c>
      <c r="AK421">
        <v>0.59757841627089603</v>
      </c>
      <c r="AL421">
        <v>72.738923505905007</v>
      </c>
      <c r="AM421">
        <v>94.0825569672689</v>
      </c>
      <c r="AN421">
        <v>1.0000000164387799</v>
      </c>
    </row>
    <row r="422" spans="1:40" x14ac:dyDescent="0.25">
      <c r="A422" t="str">
        <f>"20190304164107753"</f>
        <v>20190304164107753</v>
      </c>
      <c r="B422" t="str">
        <f>"1551688867741831"</f>
        <v>1551688867741831</v>
      </c>
      <c r="C422" t="s">
        <v>40</v>
      </c>
      <c r="D422">
        <v>4.7025119999999996</v>
      </c>
      <c r="E422">
        <v>0.55295780000000005</v>
      </c>
      <c r="F422" t="s">
        <v>41</v>
      </c>
      <c r="G422">
        <v>-421.35579999999999</v>
      </c>
      <c r="H422">
        <v>0.75316450000000001</v>
      </c>
      <c r="I422">
        <v>366.86369999999999</v>
      </c>
      <c r="J422">
        <v>-422.09399999999999</v>
      </c>
      <c r="K422">
        <v>1.060662</v>
      </c>
      <c r="L422">
        <v>366.8596</v>
      </c>
      <c r="M422">
        <v>0.99984580000000001</v>
      </c>
      <c r="N422">
        <v>-1.433835E-2</v>
      </c>
      <c r="O422">
        <v>1.015043E-2</v>
      </c>
      <c r="P422">
        <v>0.95582429999999996</v>
      </c>
      <c r="Q422">
        <v>0.28339160000000002</v>
      </c>
      <c r="R422">
        <v>7.8034989999999999E-2</v>
      </c>
      <c r="S422">
        <v>3.4862980000000001</v>
      </c>
      <c r="T422">
        <v>-1.181883</v>
      </c>
      <c r="U422">
        <v>2.3010249999999999E-2</v>
      </c>
      <c r="V422">
        <v>-6.8445729999999996E-2</v>
      </c>
      <c r="W422">
        <v>0.29705090000000001</v>
      </c>
      <c r="X422">
        <v>0.95240530000000001</v>
      </c>
      <c r="Y422">
        <v>2.8639329999999999E-3</v>
      </c>
      <c r="Z422">
        <v>-3.6990090000000001E-3</v>
      </c>
      <c r="AA422">
        <v>0.99998900000000002</v>
      </c>
      <c r="AB422">
        <v>33</v>
      </c>
      <c r="AC422">
        <v>0.73820000000000596</v>
      </c>
      <c r="AD422">
        <v>-0.30749749999999998</v>
      </c>
      <c r="AE422">
        <v>4.0999999999939904E-3</v>
      </c>
      <c r="AF422">
        <v>2.8922049099069699E-3</v>
      </c>
      <c r="AG422">
        <v>-0.30749749999999998</v>
      </c>
      <c r="AH422">
        <v>0.62905666722390097</v>
      </c>
      <c r="AI422">
        <v>116.050219157876</v>
      </c>
      <c r="AJ422">
        <v>89.736573863956195</v>
      </c>
      <c r="AK422">
        <v>0.70019666375550005</v>
      </c>
      <c r="AL422">
        <v>72.719440059025601</v>
      </c>
      <c r="AM422">
        <v>94.110561808852296</v>
      </c>
      <c r="AN422">
        <v>0.99999995530706498</v>
      </c>
    </row>
    <row r="423" spans="1:40" x14ac:dyDescent="0.25">
      <c r="A423" t="str">
        <f>"20190304164107772"</f>
        <v>20190304164107772</v>
      </c>
      <c r="B423" t="str">
        <f>"1551688867761351"</f>
        <v>1551688867761351</v>
      </c>
      <c r="C423" t="s">
        <v>40</v>
      </c>
      <c r="D423">
        <v>4.7157980000000004</v>
      </c>
      <c r="E423">
        <v>0.55291319999999999</v>
      </c>
      <c r="F423" t="s">
        <v>41</v>
      </c>
      <c r="G423">
        <v>-421.33479999999997</v>
      </c>
      <c r="H423">
        <v>0.80345979999999995</v>
      </c>
      <c r="I423">
        <v>366.86500000000001</v>
      </c>
      <c r="J423">
        <v>-421.83109999999999</v>
      </c>
      <c r="K423">
        <v>1.0606420000000001</v>
      </c>
      <c r="L423">
        <v>366.86239999999998</v>
      </c>
      <c r="M423">
        <v>0.99984419999999996</v>
      </c>
      <c r="N423">
        <v>-1.435089E-2</v>
      </c>
      <c r="O423">
        <v>1.0272969999999999E-2</v>
      </c>
      <c r="P423">
        <v>0.95565650000000002</v>
      </c>
      <c r="Q423">
        <v>0.28373019999999999</v>
      </c>
      <c r="R423">
        <v>7.8851699999999997E-2</v>
      </c>
      <c r="S423">
        <v>3.486847</v>
      </c>
      <c r="T423">
        <v>-1.1813610000000001</v>
      </c>
      <c r="U423">
        <v>2.548218E-2</v>
      </c>
      <c r="V423">
        <v>-6.9133100000000003E-2</v>
      </c>
      <c r="W423">
        <v>0.29740240000000001</v>
      </c>
      <c r="X423">
        <v>0.95224600000000004</v>
      </c>
      <c r="Y423">
        <v>2.3057970000000001E-3</v>
      </c>
      <c r="Z423">
        <v>-3.639293E-3</v>
      </c>
      <c r="AA423">
        <v>0.99999070000000001</v>
      </c>
      <c r="AB423">
        <v>33</v>
      </c>
      <c r="AC423">
        <v>0.496300000000019</v>
      </c>
      <c r="AD423">
        <v>-0.25718220000000003</v>
      </c>
      <c r="AE423">
        <v>2.6000000000294598E-3</v>
      </c>
      <c r="AF423">
        <v>1.9701162258788899E-3</v>
      </c>
      <c r="AG423">
        <v>-0.25718220000000003</v>
      </c>
      <c r="AH423">
        <v>0.39124284967985201</v>
      </c>
      <c r="AI423">
        <v>123.31845392326299</v>
      </c>
      <c r="AJ423">
        <v>89.711487658058104</v>
      </c>
      <c r="AK423">
        <v>0.468206720135876</v>
      </c>
      <c r="AL423">
        <v>72.698348301833406</v>
      </c>
      <c r="AM423">
        <v>94.152390822254802</v>
      </c>
      <c r="AN423">
        <v>1.00000000877868</v>
      </c>
    </row>
    <row r="424" spans="1:40" x14ac:dyDescent="0.25">
      <c r="A424" t="str">
        <f>"20190304164107786"</f>
        <v>20190304164107786</v>
      </c>
      <c r="B424" t="str">
        <f>"1551688867772087"</f>
        <v>1551688867772087</v>
      </c>
      <c r="C424" t="s">
        <v>40</v>
      </c>
      <c r="D424">
        <v>4.8447789999999999</v>
      </c>
      <c r="E424">
        <v>0.55283769999999999</v>
      </c>
      <c r="F424" t="s">
        <v>41</v>
      </c>
      <c r="G424">
        <v>-421.04770000000002</v>
      </c>
      <c r="H424">
        <v>0.79535059999999902</v>
      </c>
      <c r="I424">
        <v>366.86860000000001</v>
      </c>
      <c r="J424">
        <v>-421.62400000000002</v>
      </c>
      <c r="K424">
        <v>1.060622</v>
      </c>
      <c r="L424">
        <v>366.86470000000003</v>
      </c>
      <c r="M424">
        <v>0.99984329999999999</v>
      </c>
      <c r="N424">
        <v>-1.435962E-2</v>
      </c>
      <c r="O424">
        <v>1.0356300000000001E-2</v>
      </c>
      <c r="P424">
        <v>0.95555789999999996</v>
      </c>
      <c r="Q424">
        <v>0.28397810000000001</v>
      </c>
      <c r="R424">
        <v>7.915577E-2</v>
      </c>
      <c r="S424">
        <v>3.4873349999999999</v>
      </c>
      <c r="T424">
        <v>-1.1808019999999999</v>
      </c>
      <c r="U424">
        <v>2.9693600000000001E-2</v>
      </c>
      <c r="V424">
        <v>-6.9346569999999996E-2</v>
      </c>
      <c r="W424">
        <v>0.29766009999999998</v>
      </c>
      <c r="X424">
        <v>0.95214989999999999</v>
      </c>
      <c r="Y424">
        <v>1.2412320000000001E-3</v>
      </c>
      <c r="Z424">
        <v>-3.480089E-3</v>
      </c>
      <c r="AA424">
        <v>0.99999309999999997</v>
      </c>
      <c r="AB424">
        <v>33</v>
      </c>
      <c r="AC424">
        <v>0.57630000000000303</v>
      </c>
      <c r="AD424">
        <v>-0.26527139999999999</v>
      </c>
      <c r="AE424">
        <v>3.8999999999873498E-3</v>
      </c>
      <c r="AF424">
        <v>1.7074148701616801E-3</v>
      </c>
      <c r="AG424">
        <v>-0.26527139999999999</v>
      </c>
      <c r="AH424">
        <v>0.47555497886347398</v>
      </c>
      <c r="AI424">
        <v>119.15324888540501</v>
      </c>
      <c r="AJ424">
        <v>89.794288252812805</v>
      </c>
      <c r="AK424">
        <v>0.54454051166588002</v>
      </c>
      <c r="AL424">
        <v>72.682881852893999</v>
      </c>
      <c r="AM424">
        <v>94.165586475936195</v>
      </c>
      <c r="AN424">
        <v>0.99999995698639099</v>
      </c>
    </row>
    <row r="425" spans="1:40" x14ac:dyDescent="0.25">
      <c r="A425" t="str">
        <f>"20190304164107801"</f>
        <v>20190304164107801</v>
      </c>
      <c r="B425" t="str">
        <f>"1551688867791607"</f>
        <v>1551688867791607</v>
      </c>
      <c r="C425" t="s">
        <v>40</v>
      </c>
      <c r="D425">
        <v>4.726407</v>
      </c>
      <c r="E425">
        <v>0.55280369999999901</v>
      </c>
      <c r="F425" t="s">
        <v>41</v>
      </c>
      <c r="G425">
        <v>-420.76749999999998</v>
      </c>
      <c r="H425">
        <v>0.77067980000000003</v>
      </c>
      <c r="I425">
        <v>366.8723</v>
      </c>
      <c r="J425">
        <v>-421.40809999999999</v>
      </c>
      <c r="K425">
        <v>1.060605</v>
      </c>
      <c r="L425">
        <v>366.86689999999999</v>
      </c>
      <c r="M425">
        <v>0.99984249999999997</v>
      </c>
      <c r="N425">
        <v>-1.4367680000000001E-2</v>
      </c>
      <c r="O425">
        <v>1.043038E-2</v>
      </c>
      <c r="P425">
        <v>0.95555699999999999</v>
      </c>
      <c r="Q425">
        <v>0.28391119999999997</v>
      </c>
      <c r="R425">
        <v>7.9407439999999996E-2</v>
      </c>
      <c r="S425">
        <v>3.4878230000000001</v>
      </c>
      <c r="T425">
        <v>-1.1806909999999999</v>
      </c>
      <c r="U425">
        <v>3.1677249999999997E-2</v>
      </c>
      <c r="V425">
        <v>-6.951446E-2</v>
      </c>
      <c r="W425">
        <v>0.29760360000000002</v>
      </c>
      <c r="X425">
        <v>0.95215539999999999</v>
      </c>
      <c r="Y425">
        <v>7.7169550000000004E-4</v>
      </c>
      <c r="Z425">
        <v>-3.4217700000000002E-3</v>
      </c>
      <c r="AA425">
        <v>0.99999389999999999</v>
      </c>
      <c r="AB425">
        <v>33</v>
      </c>
      <c r="AC425">
        <v>0.64060000000000605</v>
      </c>
      <c r="AD425">
        <v>-0.28992519999999999</v>
      </c>
      <c r="AE425">
        <v>5.4000000000087303E-3</v>
      </c>
      <c r="AF425">
        <v>1.0646293706623E-3</v>
      </c>
      <c r="AG425">
        <v>-0.28992519999999999</v>
      </c>
      <c r="AH425">
        <v>0.53171657923146598</v>
      </c>
      <c r="AI425">
        <v>118.601937756117</v>
      </c>
      <c r="AJ425">
        <v>89.885279694949105</v>
      </c>
      <c r="AK425">
        <v>0.60562387309315102</v>
      </c>
      <c r="AL425">
        <v>72.686274118162601</v>
      </c>
      <c r="AM425">
        <v>94.175611814646103</v>
      </c>
      <c r="AN425">
        <v>1.0000000343155999</v>
      </c>
    </row>
    <row r="426" spans="1:40" x14ac:dyDescent="0.25">
      <c r="A426" t="str">
        <f>"20190304164107819"</f>
        <v>20190304164107819</v>
      </c>
      <c r="B426" t="str">
        <f>"1551688867812102"</f>
        <v>1551688867812102</v>
      </c>
      <c r="C426" t="s">
        <v>40</v>
      </c>
      <c r="D426">
        <v>4.7270070000000004</v>
      </c>
      <c r="E426">
        <v>0.55276780000000003</v>
      </c>
      <c r="F426" t="s">
        <v>41</v>
      </c>
      <c r="G426">
        <v>-420.74020000000002</v>
      </c>
      <c r="H426">
        <v>0.83428570000000002</v>
      </c>
      <c r="I426">
        <v>366.87310000000002</v>
      </c>
      <c r="J426">
        <v>-421.1576</v>
      </c>
      <c r="K426">
        <v>1.0605819999999999</v>
      </c>
      <c r="L426">
        <v>366.86970000000002</v>
      </c>
      <c r="M426">
        <v>0.99984170000000006</v>
      </c>
      <c r="N426">
        <v>-1.4375580000000001E-2</v>
      </c>
      <c r="O426">
        <v>1.0494379999999999E-2</v>
      </c>
      <c r="P426">
        <v>0.95556399999999997</v>
      </c>
      <c r="Q426">
        <v>0.283775</v>
      </c>
      <c r="R426">
        <v>7.9809489999999997E-2</v>
      </c>
      <c r="S426">
        <v>3.4878849999999999</v>
      </c>
      <c r="T426">
        <v>-1.1819139999999999</v>
      </c>
      <c r="U426">
        <v>3.3355709999999997E-2</v>
      </c>
      <c r="V426">
        <v>-6.9839219999999994E-2</v>
      </c>
      <c r="W426">
        <v>0.29747889999999999</v>
      </c>
      <c r="X426">
        <v>0.95217059999999998</v>
      </c>
      <c r="Y426">
        <v>3.7348189999999998E-4</v>
      </c>
      <c r="Z426">
        <v>-3.3767469999999998E-3</v>
      </c>
      <c r="AA426">
        <v>0.99999420000000006</v>
      </c>
      <c r="AB426">
        <v>33</v>
      </c>
      <c r="AC426">
        <v>0.417399999999986</v>
      </c>
      <c r="AD426">
        <v>-0.22629629999999901</v>
      </c>
      <c r="AE426">
        <v>3.3999999999991802E-3</v>
      </c>
      <c r="AF426">
        <v>7.5815952258728302E-4</v>
      </c>
      <c r="AG426">
        <v>-0.22629629999999901</v>
      </c>
      <c r="AH426">
        <v>0.32259678152458698</v>
      </c>
      <c r="AI426">
        <v>125.048949582077</v>
      </c>
      <c r="AJ426">
        <v>89.865345027125599</v>
      </c>
      <c r="AK426">
        <v>0.394054911972398</v>
      </c>
      <c r="AL426">
        <v>72.693757807015402</v>
      </c>
      <c r="AM426">
        <v>94.194983367767193</v>
      </c>
      <c r="AN426">
        <v>1.0000000320498801</v>
      </c>
    </row>
    <row r="427" spans="1:40" x14ac:dyDescent="0.25">
      <c r="A427" t="str">
        <f>"20190304164107840"</f>
        <v>20190304164107840</v>
      </c>
      <c r="B427" t="str">
        <f>"1551688867831623"</f>
        <v>1551688867831623</v>
      </c>
      <c r="C427" t="s">
        <v>40</v>
      </c>
      <c r="D427">
        <v>4.698137</v>
      </c>
      <c r="E427">
        <v>0.55277290000000001</v>
      </c>
      <c r="F427" t="s">
        <v>41</v>
      </c>
      <c r="G427">
        <v>-420.4554</v>
      </c>
      <c r="H427">
        <v>0.82220020000000005</v>
      </c>
      <c r="I427">
        <v>366.87639999999999</v>
      </c>
      <c r="J427">
        <v>-420.84320000000002</v>
      </c>
      <c r="K427">
        <v>1.060559</v>
      </c>
      <c r="L427">
        <v>366.87299999999999</v>
      </c>
      <c r="M427">
        <v>0.99984090000000003</v>
      </c>
      <c r="N427">
        <v>-1.4384050000000001E-2</v>
      </c>
      <c r="O427">
        <v>1.055001E-2</v>
      </c>
      <c r="P427">
        <v>0.95551629999999999</v>
      </c>
      <c r="Q427">
        <v>0.28395019999999999</v>
      </c>
      <c r="R427">
        <v>7.9755699999999999E-2</v>
      </c>
      <c r="S427">
        <v>3.488251</v>
      </c>
      <c r="T427">
        <v>-1.184169</v>
      </c>
      <c r="U427">
        <v>3.5400389999999997E-2</v>
      </c>
      <c r="V427">
        <v>-6.9713730000000002E-2</v>
      </c>
      <c r="W427">
        <v>0.29766599999999999</v>
      </c>
      <c r="X427">
        <v>0.95212129999999995</v>
      </c>
      <c r="Y427">
        <v>-1.3129339999999999E-4</v>
      </c>
      <c r="Z427">
        <v>-3.3131900000000001E-3</v>
      </c>
      <c r="AA427">
        <v>0.99999450000000001</v>
      </c>
      <c r="AB427">
        <v>32</v>
      </c>
      <c r="AC427">
        <v>0.38780000000002701</v>
      </c>
      <c r="AD427">
        <v>-0.23835880000000001</v>
      </c>
      <c r="AE427">
        <v>3.3999999999423298E-3</v>
      </c>
      <c r="AF427">
        <v>5.0219741968054803E-4</v>
      </c>
      <c r="AG427">
        <v>-0.23835880000000001</v>
      </c>
      <c r="AH427">
        <v>0.28148220216604802</v>
      </c>
      <c r="AI427">
        <v>130.257842312946</v>
      </c>
      <c r="AJ427">
        <v>89.8977776858395</v>
      </c>
      <c r="AK427">
        <v>0.36884603817302403</v>
      </c>
      <c r="AL427">
        <v>72.682528718513396</v>
      </c>
      <c r="AM427">
        <v>94.187688537253905</v>
      </c>
      <c r="AN427">
        <v>1.0000000108100999</v>
      </c>
    </row>
    <row r="428" spans="1:40" x14ac:dyDescent="0.25">
      <c r="A428" t="str">
        <f>"20190304164107853"</f>
        <v>20190304164107853</v>
      </c>
      <c r="B428" t="str">
        <f>"1551688867841383"</f>
        <v>1551688867841383</v>
      </c>
      <c r="C428" t="s">
        <v>40</v>
      </c>
      <c r="D428">
        <v>4.6824500000000002</v>
      </c>
      <c r="E428">
        <v>0.55275959999999902</v>
      </c>
      <c r="F428" t="s">
        <v>41</v>
      </c>
      <c r="G428">
        <v>-420.16250000000002</v>
      </c>
      <c r="H428">
        <v>0.82945749999999996</v>
      </c>
      <c r="I428">
        <v>366.8802</v>
      </c>
      <c r="J428">
        <v>-420.6533</v>
      </c>
      <c r="K428">
        <v>1.0605469999999999</v>
      </c>
      <c r="L428">
        <v>366.875</v>
      </c>
      <c r="M428">
        <v>0.99984059999999997</v>
      </c>
      <c r="N428">
        <v>-1.438825E-2</v>
      </c>
      <c r="O428">
        <v>1.0569530000000001E-2</v>
      </c>
      <c r="P428">
        <v>0.95553390000000005</v>
      </c>
      <c r="Q428">
        <v>0.28399259999999998</v>
      </c>
      <c r="R428">
        <v>7.9391959999999998E-2</v>
      </c>
      <c r="S428">
        <v>3.4885860000000002</v>
      </c>
      <c r="T428">
        <v>-1.1844749999999999</v>
      </c>
      <c r="U428">
        <v>3.6590579999999998E-2</v>
      </c>
      <c r="V428">
        <v>-6.9321270000000004E-2</v>
      </c>
      <c r="W428">
        <v>0.297714799999999</v>
      </c>
      <c r="X428">
        <v>0.9521347</v>
      </c>
      <c r="Y428">
        <v>-4.3527920000000002E-4</v>
      </c>
      <c r="Z428">
        <v>-3.2673989999999998E-3</v>
      </c>
      <c r="AA428">
        <v>0.99999459999999996</v>
      </c>
      <c r="AB428">
        <v>32</v>
      </c>
      <c r="AC428">
        <v>0.49079999999997798</v>
      </c>
      <c r="AD428">
        <v>-0.231089499999999</v>
      </c>
      <c r="AE428">
        <v>5.2000000000020901E-3</v>
      </c>
      <c r="AF428" s="1">
        <v>-9.5336899917381601E-6</v>
      </c>
      <c r="AG428">
        <v>-0.231089499999999</v>
      </c>
      <c r="AH428">
        <v>0.40176843036957699</v>
      </c>
      <c r="AI428">
        <v>119.90668771681401</v>
      </c>
      <c r="AJ428">
        <v>90.001359589649894</v>
      </c>
      <c r="AK428">
        <v>0.463487031903564</v>
      </c>
      <c r="AL428">
        <v>72.679599952101199</v>
      </c>
      <c r="AM428">
        <v>94.164138316262594</v>
      </c>
      <c r="AN428">
        <v>1.0000000137787699</v>
      </c>
    </row>
    <row r="429" spans="1:40" x14ac:dyDescent="0.25">
      <c r="A429" t="str">
        <f>"20190304164107864"</f>
        <v>20190304164107864</v>
      </c>
      <c r="B429" t="str">
        <f>"1551688867861879"</f>
        <v>1551688867861879</v>
      </c>
      <c r="C429" t="s">
        <v>40</v>
      </c>
      <c r="D429">
        <v>4.6821669999999997</v>
      </c>
      <c r="E429">
        <v>0.55273269999999997</v>
      </c>
      <c r="F429" t="s">
        <v>41</v>
      </c>
      <c r="G429">
        <v>-419.88600000000002</v>
      </c>
      <c r="H429">
        <v>0.79989449999999995</v>
      </c>
      <c r="I429">
        <v>366.88249999999999</v>
      </c>
      <c r="J429">
        <v>-420.49009999999998</v>
      </c>
      <c r="K429">
        <v>1.0605370000000001</v>
      </c>
      <c r="L429">
        <v>366.8768</v>
      </c>
      <c r="M429">
        <v>0.99984039999999996</v>
      </c>
      <c r="N429">
        <v>-1.4391599999999999E-2</v>
      </c>
      <c r="O429">
        <v>1.058254E-2</v>
      </c>
      <c r="P429">
        <v>0.95558200000000004</v>
      </c>
      <c r="Q429">
        <v>0.28392610000000001</v>
      </c>
      <c r="R429">
        <v>7.9052189999999994E-2</v>
      </c>
      <c r="S429">
        <v>3.4888309999999998</v>
      </c>
      <c r="T429">
        <v>-1.1852009999999999</v>
      </c>
      <c r="U429">
        <v>3.5888669999999998E-2</v>
      </c>
      <c r="V429">
        <v>-6.8960309999999997E-2</v>
      </c>
      <c r="W429">
        <v>0.29765459999999999</v>
      </c>
      <c r="X429">
        <v>0.95217969999999996</v>
      </c>
      <c r="Y429">
        <v>-2.3343309999999999E-4</v>
      </c>
      <c r="Z429">
        <v>-3.3080879999999998E-3</v>
      </c>
      <c r="AA429">
        <v>0.99999450000000001</v>
      </c>
      <c r="AB429">
        <v>32</v>
      </c>
      <c r="AC429">
        <v>0.60410000000001596</v>
      </c>
      <c r="AD429">
        <v>-0.2606425</v>
      </c>
      <c r="AE429">
        <v>5.6999999999902597E-3</v>
      </c>
      <c r="AF429">
        <v>5.8500296639670902E-4</v>
      </c>
      <c r="AG429">
        <v>-0.2606425</v>
      </c>
      <c r="AH429">
        <v>0.50932243243651998</v>
      </c>
      <c r="AI429">
        <v>117.100790893116</v>
      </c>
      <c r="AJ429">
        <v>89.934190634256794</v>
      </c>
      <c r="AK429">
        <v>0.57214001364856004</v>
      </c>
      <c r="AL429">
        <v>72.683212409529105</v>
      </c>
      <c r="AM429">
        <v>94.142335985580999</v>
      </c>
      <c r="AN429">
        <v>0.99999998317427197</v>
      </c>
    </row>
    <row r="430" spans="1:40" x14ac:dyDescent="0.25">
      <c r="A430" t="str">
        <f>"20190304164107876"</f>
        <v>20190304164107876</v>
      </c>
      <c r="B430" t="str">
        <f>"1551688867871639"</f>
        <v>1551688867871639</v>
      </c>
      <c r="C430" t="s">
        <v>40</v>
      </c>
      <c r="D430">
        <v>4.6992929999999999</v>
      </c>
      <c r="E430">
        <v>0.5527261</v>
      </c>
      <c r="F430" t="s">
        <v>41</v>
      </c>
      <c r="G430">
        <v>-419.61279999999999</v>
      </c>
      <c r="H430">
        <v>0.76209259999999901</v>
      </c>
      <c r="I430">
        <v>366.88569999999999</v>
      </c>
      <c r="J430">
        <v>-420.31229999999999</v>
      </c>
      <c r="K430">
        <v>1.0605329999999999</v>
      </c>
      <c r="L430">
        <v>366.87869999999998</v>
      </c>
      <c r="M430">
        <v>0.99984039999999996</v>
      </c>
      <c r="N430">
        <v>-1.439469E-2</v>
      </c>
      <c r="O430">
        <v>1.0590209999999999E-2</v>
      </c>
      <c r="P430">
        <v>0.95557610000000004</v>
      </c>
      <c r="Q430">
        <v>0.28402509999999997</v>
      </c>
      <c r="R430">
        <v>7.8767660000000003E-2</v>
      </c>
      <c r="S430">
        <v>3.4891359999999998</v>
      </c>
      <c r="T430">
        <v>-1.186912</v>
      </c>
      <c r="U430">
        <v>3.5552979999999998E-2</v>
      </c>
      <c r="V430">
        <v>-6.8661509999999995E-2</v>
      </c>
      <c r="W430">
        <v>0.29775750000000001</v>
      </c>
      <c r="X430">
        <v>0.95216909999999999</v>
      </c>
      <c r="Y430">
        <v>-1.3623190000000001E-4</v>
      </c>
      <c r="Z430">
        <v>-3.3317379999999999E-3</v>
      </c>
      <c r="AA430">
        <v>0.99999450000000001</v>
      </c>
      <c r="AB430">
        <v>32</v>
      </c>
      <c r="AC430">
        <v>0.69950000000000001</v>
      </c>
      <c r="AD430">
        <v>-0.29844039999999999</v>
      </c>
      <c r="AE430">
        <v>7.0000000000049996E-3</v>
      </c>
      <c r="AF430">
        <v>3.46030306071057E-4</v>
      </c>
      <c r="AG430">
        <v>-0.29844039999999999</v>
      </c>
      <c r="AH430">
        <v>0.59181787304084199</v>
      </c>
      <c r="AI430">
        <v>116.760774847229</v>
      </c>
      <c r="AJ430">
        <v>89.966499704105999</v>
      </c>
      <c r="AK430">
        <v>0.66280855979665698</v>
      </c>
      <c r="AL430">
        <v>72.677036296085703</v>
      </c>
      <c r="AM430">
        <v>94.124495376529097</v>
      </c>
      <c r="AN430">
        <v>0.99999996337826902</v>
      </c>
    </row>
    <row r="431" spans="1:40" x14ac:dyDescent="0.25">
      <c r="A431" t="str">
        <f>"20190304164107888"</f>
        <v>20190304164107888</v>
      </c>
      <c r="B431" t="str">
        <f>"1551688867881399"</f>
        <v>1551688867881399</v>
      </c>
      <c r="C431" t="s">
        <v>40</v>
      </c>
      <c r="D431">
        <v>4.6700569999999999</v>
      </c>
      <c r="E431">
        <v>0.5527261</v>
      </c>
      <c r="F431" t="s">
        <v>41</v>
      </c>
      <c r="G431">
        <v>-419.59039999999999</v>
      </c>
      <c r="H431">
        <v>0.81492580000000003</v>
      </c>
      <c r="I431">
        <v>366.88600000000002</v>
      </c>
      <c r="J431">
        <v>-420.14159999999998</v>
      </c>
      <c r="K431">
        <v>1.060527</v>
      </c>
      <c r="L431">
        <v>366.88049999999998</v>
      </c>
      <c r="M431">
        <v>0.99984030000000002</v>
      </c>
      <c r="N431">
        <v>-1.4397299999999899E-2</v>
      </c>
      <c r="O431">
        <v>1.059446E-2</v>
      </c>
      <c r="P431">
        <v>0.95565630000000001</v>
      </c>
      <c r="Q431">
        <v>0.28386070000000002</v>
      </c>
      <c r="R431">
        <v>7.838494E-2</v>
      </c>
      <c r="S431">
        <v>3.489471</v>
      </c>
      <c r="T431">
        <v>-1.1872609999999999</v>
      </c>
      <c r="U431">
        <v>3.5522459999999999E-2</v>
      </c>
      <c r="V431">
        <v>-6.8267789999999995E-2</v>
      </c>
      <c r="W431">
        <v>0.29759859999999999</v>
      </c>
      <c r="X431">
        <v>0.95224710000000001</v>
      </c>
      <c r="Y431">
        <v>-1.2343909999999999E-4</v>
      </c>
      <c r="Z431">
        <v>-3.3359230000000002E-3</v>
      </c>
      <c r="AA431">
        <v>0.99999450000000001</v>
      </c>
      <c r="AB431">
        <v>32</v>
      </c>
      <c r="AC431">
        <v>0.55119999999999403</v>
      </c>
      <c r="AD431">
        <v>-0.24560119999999999</v>
      </c>
      <c r="AE431">
        <v>5.4999999999836204E-3</v>
      </c>
      <c r="AF431">
        <v>2.8416765662474198E-4</v>
      </c>
      <c r="AG431">
        <v>-0.24560119999999999</v>
      </c>
      <c r="AH431">
        <v>0.45992421962811603</v>
      </c>
      <c r="AI431">
        <v>118.102374016167</v>
      </c>
      <c r="AJ431">
        <v>89.964599373914098</v>
      </c>
      <c r="AK431">
        <v>0.52139267159524605</v>
      </c>
      <c r="AL431">
        <v>72.686573199439806</v>
      </c>
      <c r="AM431">
        <v>94.100590780610105</v>
      </c>
      <c r="AN431">
        <v>0.99999997866592605</v>
      </c>
    </row>
    <row r="432" spans="1:40" x14ac:dyDescent="0.25">
      <c r="A432" t="str">
        <f>"20190304164107899"</f>
        <v>20190304164107899</v>
      </c>
      <c r="B432" t="str">
        <f>"1551688867892135"</f>
        <v>1551688867892135</v>
      </c>
      <c r="C432" t="s">
        <v>40</v>
      </c>
      <c r="D432">
        <v>4.7033519999999998</v>
      </c>
      <c r="E432">
        <v>0.55270839999999999</v>
      </c>
      <c r="F432" t="s">
        <v>41</v>
      </c>
      <c r="G432">
        <v>-419.3168</v>
      </c>
      <c r="H432">
        <v>0.77970589999999995</v>
      </c>
      <c r="I432">
        <v>366.88850000000002</v>
      </c>
      <c r="J432">
        <v>-419.97500000000002</v>
      </c>
      <c r="K432">
        <v>1.060522</v>
      </c>
      <c r="L432">
        <v>366.88229999999999</v>
      </c>
      <c r="M432">
        <v>0.99984030000000002</v>
      </c>
      <c r="N432">
        <v>-1.43996E-2</v>
      </c>
      <c r="O432">
        <v>1.059599E-2</v>
      </c>
      <c r="P432">
        <v>0.95567519999999995</v>
      </c>
      <c r="Q432">
        <v>0.28400940000000002</v>
      </c>
      <c r="R432">
        <v>7.7615229999999993E-2</v>
      </c>
      <c r="S432">
        <v>3.489166</v>
      </c>
      <c r="T432">
        <v>-1.1879879999999901</v>
      </c>
      <c r="U432">
        <v>3.5614010000000001E-2</v>
      </c>
      <c r="V432">
        <v>-6.7491579999999995E-2</v>
      </c>
      <c r="W432">
        <v>0.29775069999999998</v>
      </c>
      <c r="X432">
        <v>0.95225490000000002</v>
      </c>
      <c r="Y432">
        <v>-1.4840629999999901E-4</v>
      </c>
      <c r="Z432">
        <v>-3.3343790000000002E-3</v>
      </c>
      <c r="AA432">
        <v>0.99999450000000001</v>
      </c>
      <c r="AB432">
        <v>32</v>
      </c>
      <c r="AC432">
        <v>0.65820000000002199</v>
      </c>
      <c r="AD432">
        <v>-0.28081609999999901</v>
      </c>
      <c r="AE432">
        <v>6.2000000000352797E-3</v>
      </c>
      <c r="AF432">
        <v>6.5596109184954895E-4</v>
      </c>
      <c r="AG432">
        <v>-0.28081609999999901</v>
      </c>
      <c r="AH432">
        <v>0.55687349048824897</v>
      </c>
      <c r="AI432">
        <v>116.760546547621</v>
      </c>
      <c r="AJ432">
        <v>89.932509294576107</v>
      </c>
      <c r="AK432">
        <v>0.62367154553717596</v>
      </c>
      <c r="AL432">
        <v>72.677444959712801</v>
      </c>
      <c r="AM432">
        <v>94.054090006531695</v>
      </c>
      <c r="AN432">
        <v>0.99999999364769798</v>
      </c>
    </row>
    <row r="433" spans="1:40" x14ac:dyDescent="0.25">
      <c r="A433" t="str">
        <f>"20190304164107918"</f>
        <v>20190304164107918</v>
      </c>
      <c r="B433" t="str">
        <f>"1551688867911655"</f>
        <v>1551688867911655</v>
      </c>
      <c r="C433" t="s">
        <v>40</v>
      </c>
      <c r="D433">
        <v>4.7215280000000002</v>
      </c>
      <c r="E433">
        <v>0.55269389999999996</v>
      </c>
      <c r="F433" t="s">
        <v>41</v>
      </c>
      <c r="G433">
        <v>-419.2955</v>
      </c>
      <c r="H433">
        <v>0.82914299999999996</v>
      </c>
      <c r="I433">
        <v>366.88830000000002</v>
      </c>
      <c r="J433">
        <v>-419.71749999999997</v>
      </c>
      <c r="K433">
        <v>1.0605070000000001</v>
      </c>
      <c r="L433">
        <v>366.88499999999999</v>
      </c>
      <c r="M433">
        <v>0.99984030000000002</v>
      </c>
      <c r="N433">
        <v>-1.4402440000000001E-2</v>
      </c>
      <c r="O433">
        <v>1.059381E-2</v>
      </c>
      <c r="P433">
        <v>0.95571159999999999</v>
      </c>
      <c r="Q433">
        <v>0.28419709999999998</v>
      </c>
      <c r="R433">
        <v>7.6471430000000007E-2</v>
      </c>
      <c r="S433">
        <v>3.4895320000000001</v>
      </c>
      <c r="T433">
        <v>-1.1882349999999999</v>
      </c>
      <c r="U433">
        <v>3.329468E-2</v>
      </c>
      <c r="V433">
        <v>-6.6344020000000004E-2</v>
      </c>
      <c r="W433">
        <v>0.29794280000000001</v>
      </c>
      <c r="X433">
        <v>0.95227550000000005</v>
      </c>
      <c r="Y433">
        <v>4.7816949999999998E-4</v>
      </c>
      <c r="Z433">
        <v>-3.442404E-3</v>
      </c>
      <c r="AA433">
        <v>0.99999400000000005</v>
      </c>
      <c r="AB433">
        <v>32</v>
      </c>
      <c r="AC433">
        <v>0.42199999999996801</v>
      </c>
      <c r="AD433">
        <v>-0.23136399999999899</v>
      </c>
      <c r="AE433">
        <v>3.30000000002428E-3</v>
      </c>
      <c r="AF433">
        <v>9.0055866736017697E-4</v>
      </c>
      <c r="AG433">
        <v>-0.23136399999999899</v>
      </c>
      <c r="AH433">
        <v>0.324482740151051</v>
      </c>
      <c r="AI433">
        <v>125.489678798688</v>
      </c>
      <c r="AJ433">
        <v>89.840983596418496</v>
      </c>
      <c r="AK433">
        <v>0.398521216697239</v>
      </c>
      <c r="AL433">
        <v>72.665915874931002</v>
      </c>
      <c r="AM433">
        <v>93.985296377175999</v>
      </c>
      <c r="AN433">
        <v>1.0000000344809199</v>
      </c>
    </row>
    <row r="434" spans="1:40" x14ac:dyDescent="0.25">
      <c r="A434" t="str">
        <f>"20190304164107930"</f>
        <v>20190304164107930</v>
      </c>
      <c r="B434" t="str">
        <f>"1551688867921415"</f>
        <v>1551688867921415</v>
      </c>
      <c r="C434" t="s">
        <v>40</v>
      </c>
      <c r="D434">
        <v>4.711265</v>
      </c>
      <c r="E434">
        <v>0.55269019999999902</v>
      </c>
      <c r="F434" t="s">
        <v>41</v>
      </c>
      <c r="G434">
        <v>-419.01119999999997</v>
      </c>
      <c r="H434">
        <v>0.81995459999999998</v>
      </c>
      <c r="I434">
        <v>366.89069999999998</v>
      </c>
      <c r="J434">
        <v>-419.54270000000002</v>
      </c>
      <c r="K434">
        <v>1.0605039999999999</v>
      </c>
      <c r="L434">
        <v>366.88679999999999</v>
      </c>
      <c r="M434">
        <v>0.99984030000000002</v>
      </c>
      <c r="N434">
        <v>-1.440407E-2</v>
      </c>
      <c r="O434">
        <v>1.0591049999999999E-2</v>
      </c>
      <c r="P434">
        <v>0.95578929999999995</v>
      </c>
      <c r="Q434">
        <v>0.284111</v>
      </c>
      <c r="R434">
        <v>7.5815160000000006E-2</v>
      </c>
      <c r="S434">
        <v>3.4901430000000002</v>
      </c>
      <c r="T434">
        <v>-1.1886219999999901</v>
      </c>
      <c r="U434">
        <v>2.9174800000000001E-2</v>
      </c>
      <c r="V434">
        <v>-6.5686460000000002E-2</v>
      </c>
      <c r="W434">
        <v>0.29785990000000001</v>
      </c>
      <c r="X434">
        <v>0.95234700000000005</v>
      </c>
      <c r="Y434">
        <v>1.5917559999999999E-3</v>
      </c>
      <c r="Z434">
        <v>-3.6347179999999999E-3</v>
      </c>
      <c r="AA434">
        <v>0.99999210000000005</v>
      </c>
      <c r="AB434">
        <v>32</v>
      </c>
      <c r="AC434">
        <v>0.53150000000005004</v>
      </c>
      <c r="AD434">
        <v>-0.2405494</v>
      </c>
      <c r="AE434">
        <v>3.8999999999873498E-3</v>
      </c>
      <c r="AF434">
        <v>1.4358500786970699E-3</v>
      </c>
      <c r="AG434">
        <v>-0.2405494</v>
      </c>
      <c r="AH434">
        <v>0.44115319118933899</v>
      </c>
      <c r="AI434">
        <v>118.602362486082</v>
      </c>
      <c r="AJ434">
        <v>89.813516346100798</v>
      </c>
      <c r="AK434">
        <v>0.50247608261721799</v>
      </c>
      <c r="AL434">
        <v>72.670891346180895</v>
      </c>
      <c r="AM434">
        <v>93.945626723814996</v>
      </c>
      <c r="AN434">
        <v>1.0000000197321699</v>
      </c>
    </row>
    <row r="435" spans="1:40" x14ac:dyDescent="0.25">
      <c r="A435" t="str">
        <f>"20190304164107942"</f>
        <v>20190304164107942</v>
      </c>
      <c r="B435" t="str">
        <f>"1551688867932150"</f>
        <v>1551688867932150</v>
      </c>
      <c r="C435" t="s">
        <v>40</v>
      </c>
      <c r="D435">
        <v>4.7006300000000003</v>
      </c>
      <c r="E435">
        <v>0.55267900000000003</v>
      </c>
      <c r="F435" t="s">
        <v>41</v>
      </c>
      <c r="G435">
        <v>-418.73770000000002</v>
      </c>
      <c r="H435">
        <v>0.78627320000000001</v>
      </c>
      <c r="I435">
        <v>366.89249999999998</v>
      </c>
      <c r="J435">
        <v>-419.36259999999999</v>
      </c>
      <c r="K435">
        <v>1.060494</v>
      </c>
      <c r="L435">
        <v>366.8888</v>
      </c>
      <c r="M435">
        <v>0.99984030000000002</v>
      </c>
      <c r="N435">
        <v>-1.4405609999999999E-2</v>
      </c>
      <c r="O435">
        <v>1.0587640000000001E-2</v>
      </c>
      <c r="P435">
        <v>0.95582279999999997</v>
      </c>
      <c r="Q435">
        <v>0.28405720000000001</v>
      </c>
      <c r="R435">
        <v>7.5594960000000003E-2</v>
      </c>
      <c r="S435">
        <v>3.4900509999999998</v>
      </c>
      <c r="T435">
        <v>-1.1889179999999999</v>
      </c>
      <c r="U435">
        <v>2.6611329999999999E-2</v>
      </c>
      <c r="V435">
        <v>-6.5466849999999993E-2</v>
      </c>
      <c r="W435">
        <v>0.29780849999999998</v>
      </c>
      <c r="X435">
        <v>0.95237819999999995</v>
      </c>
      <c r="Y435">
        <v>2.281731E-3</v>
      </c>
      <c r="Z435">
        <v>-3.754028E-3</v>
      </c>
      <c r="AA435">
        <v>0.9999903</v>
      </c>
      <c r="AB435">
        <v>32</v>
      </c>
      <c r="AC435">
        <v>0.62489999999996804</v>
      </c>
      <c r="AD435">
        <v>-0.27422079999999999</v>
      </c>
      <c r="AE435">
        <v>3.69999999998071E-3</v>
      </c>
      <c r="AF435">
        <v>2.44609173760966E-3</v>
      </c>
      <c r="AG435">
        <v>-0.27422079999999999</v>
      </c>
      <c r="AH435">
        <v>0.524002573082058</v>
      </c>
      <c r="AI435">
        <v>117.62368611629</v>
      </c>
      <c r="AJ435">
        <v>89.732540025435</v>
      </c>
      <c r="AK435">
        <v>0.59142347528149897</v>
      </c>
      <c r="AL435">
        <v>72.6739764211665</v>
      </c>
      <c r="AM435">
        <v>93.932348315825294</v>
      </c>
      <c r="AN435">
        <v>1.0000000234782001</v>
      </c>
    </row>
    <row r="436" spans="1:40" x14ac:dyDescent="0.25">
      <c r="A436" t="str">
        <f>"20190304164107954"</f>
        <v>20190304164107954</v>
      </c>
      <c r="B436" t="str">
        <f>"1551688867941912"</f>
        <v>1551688867941912</v>
      </c>
      <c r="C436" t="s">
        <v>40</v>
      </c>
      <c r="D436">
        <v>4.7008359999999998</v>
      </c>
      <c r="E436">
        <v>0.55266539999999997</v>
      </c>
      <c r="F436" t="s">
        <v>41</v>
      </c>
      <c r="G436">
        <v>-418.4633</v>
      </c>
      <c r="H436">
        <v>0.75397979999999998</v>
      </c>
      <c r="I436">
        <v>366.89530000000002</v>
      </c>
      <c r="J436">
        <v>-419.18299999999999</v>
      </c>
      <c r="K436">
        <v>1.0604929999999999</v>
      </c>
      <c r="L436">
        <v>366.89069999999998</v>
      </c>
      <c r="M436">
        <v>0.99984019999999996</v>
      </c>
      <c r="N436">
        <v>-1.440667E-2</v>
      </c>
      <c r="O436">
        <v>1.05842E-2</v>
      </c>
      <c r="P436">
        <v>0.95570109999999997</v>
      </c>
      <c r="Q436">
        <v>0.28459499999999999</v>
      </c>
      <c r="R436">
        <v>7.510725E-2</v>
      </c>
      <c r="S436">
        <v>3.4901430000000002</v>
      </c>
      <c r="T436">
        <v>-1.1895929999999999</v>
      </c>
      <c r="U436">
        <v>2.548218E-2</v>
      </c>
      <c r="V436">
        <v>-6.4982219999999993E-2</v>
      </c>
      <c r="W436">
        <v>0.298346</v>
      </c>
      <c r="X436">
        <v>0.95224310000000001</v>
      </c>
      <c r="Y436">
        <v>2.5836129999999998E-3</v>
      </c>
      <c r="Z436">
        <v>-3.8072000000000002E-3</v>
      </c>
      <c r="AA436">
        <v>0.99998940000000003</v>
      </c>
      <c r="AB436">
        <v>32</v>
      </c>
      <c r="AC436">
        <v>0.71970000000004497</v>
      </c>
      <c r="AD436">
        <v>-0.30651319999999999</v>
      </c>
      <c r="AE436">
        <v>4.6000000000390104E-3</v>
      </c>
      <c r="AF436">
        <v>2.5550708915672402E-3</v>
      </c>
      <c r="AG436">
        <v>-0.30651319999999999</v>
      </c>
      <c r="AH436">
        <v>0.60921241917341096</v>
      </c>
      <c r="AI436">
        <v>116.708149466489</v>
      </c>
      <c r="AJ436">
        <v>89.759699711498399</v>
      </c>
      <c r="AK436">
        <v>0.68197994240052295</v>
      </c>
      <c r="AL436">
        <v>72.641712412754899</v>
      </c>
      <c r="AM436">
        <v>93.9038808018353</v>
      </c>
      <c r="AN436">
        <v>0.99999997306486799</v>
      </c>
    </row>
    <row r="437" spans="1:40" x14ac:dyDescent="0.25">
      <c r="A437" t="str">
        <f>"20190304164107973"</f>
        <v>20190304164107973</v>
      </c>
      <c r="B437" t="str">
        <f>"1551688867961431"</f>
        <v>1551688867961431</v>
      </c>
      <c r="C437" t="s">
        <v>40</v>
      </c>
      <c r="D437">
        <v>4.7073720000000003</v>
      </c>
      <c r="E437">
        <v>0.55267690000000003</v>
      </c>
      <c r="F437" t="s">
        <v>41</v>
      </c>
      <c r="G437">
        <v>-418.44069999999999</v>
      </c>
      <c r="H437">
        <v>0.80786179999999996</v>
      </c>
      <c r="I437">
        <v>366.89580000000001</v>
      </c>
      <c r="J437">
        <v>-418.93209999999999</v>
      </c>
      <c r="K437">
        <v>1.0605</v>
      </c>
      <c r="L437">
        <v>366.89330000000001</v>
      </c>
      <c r="M437">
        <v>0.99984030000000002</v>
      </c>
      <c r="N437">
        <v>-1.440781E-2</v>
      </c>
      <c r="O437">
        <v>1.0579969999999999E-2</v>
      </c>
      <c r="P437">
        <v>0.95568920000000002</v>
      </c>
      <c r="Q437">
        <v>0.284757599999999</v>
      </c>
      <c r="R437">
        <v>7.4642420000000001E-2</v>
      </c>
      <c r="S437">
        <v>3.490936</v>
      </c>
      <c r="T437">
        <v>-1.1880299999999999</v>
      </c>
      <c r="U437">
        <v>2.4230959999999999E-2</v>
      </c>
      <c r="V437">
        <v>-6.4519699999999999E-2</v>
      </c>
      <c r="W437">
        <v>0.29850939999999998</v>
      </c>
      <c r="X437">
        <v>0.95222340000000005</v>
      </c>
      <c r="Y437">
        <v>2.921922E-3</v>
      </c>
      <c r="Z437">
        <v>-3.858598E-3</v>
      </c>
      <c r="AA437">
        <v>0.99998830000000005</v>
      </c>
      <c r="AB437">
        <v>32</v>
      </c>
      <c r="AC437">
        <v>0.49139999999999801</v>
      </c>
      <c r="AD437">
        <v>-0.25263819999999898</v>
      </c>
      <c r="AE437">
        <v>2.4999999999977202E-3</v>
      </c>
      <c r="AF437">
        <v>2.1352933743849101E-3</v>
      </c>
      <c r="AG437">
        <v>-0.25263819999999898</v>
      </c>
      <c r="AH437">
        <v>0.38866912248378399</v>
      </c>
      <c r="AI437">
        <v>123.023811371845</v>
      </c>
      <c r="AJ437">
        <v>89.685228230274703</v>
      </c>
      <c r="AK437">
        <v>0.46356693836958301</v>
      </c>
      <c r="AL437">
        <v>72.631904297138107</v>
      </c>
      <c r="AM437">
        <v>93.876259340722598</v>
      </c>
      <c r="AN437">
        <v>1.0000000285420001</v>
      </c>
    </row>
    <row r="438" spans="1:40" x14ac:dyDescent="0.25">
      <c r="A438" t="str">
        <f>"20190304164107985"</f>
        <v>20190304164107985</v>
      </c>
      <c r="B438" t="str">
        <f>"1551688867981927"</f>
        <v>1551688867981927</v>
      </c>
      <c r="C438" t="s">
        <v>40</v>
      </c>
      <c r="D438">
        <v>4.7126619999999999</v>
      </c>
      <c r="E438">
        <v>0.55267189999999999</v>
      </c>
      <c r="F438" t="s">
        <v>41</v>
      </c>
      <c r="G438">
        <v>-418.15809999999999</v>
      </c>
      <c r="H438">
        <v>0.79709180000000002</v>
      </c>
      <c r="I438">
        <v>366.89819999999997</v>
      </c>
      <c r="J438">
        <v>-418.7482</v>
      </c>
      <c r="K438">
        <v>1.0604990000000001</v>
      </c>
      <c r="L438">
        <v>366.89530000000002</v>
      </c>
      <c r="M438">
        <v>0.99984030000000002</v>
      </c>
      <c r="N438">
        <v>-1.440841E-2</v>
      </c>
      <c r="O438">
        <v>1.057726E-2</v>
      </c>
      <c r="P438">
        <v>0.95576819999999896</v>
      </c>
      <c r="Q438">
        <v>0.28452460000000002</v>
      </c>
      <c r="R438">
        <v>7.4520740000000002E-2</v>
      </c>
      <c r="S438">
        <v>3.4912109999999998</v>
      </c>
      <c r="T438">
        <v>-1.188094</v>
      </c>
      <c r="U438">
        <v>2.44751E-2</v>
      </c>
      <c r="V438">
        <v>-6.4398800000000006E-2</v>
      </c>
      <c r="W438">
        <v>0.29827819999999999</v>
      </c>
      <c r="X438">
        <v>0.95230400000000004</v>
      </c>
      <c r="Y438">
        <v>2.8540050000000002E-3</v>
      </c>
      <c r="Z438">
        <v>-3.8458939999999999E-3</v>
      </c>
      <c r="AA438">
        <v>0.99998860000000001</v>
      </c>
      <c r="AB438">
        <v>32</v>
      </c>
      <c r="AC438">
        <v>0.59010000000000595</v>
      </c>
      <c r="AD438">
        <v>-0.26340720000000001</v>
      </c>
      <c r="AE438">
        <v>2.8999999999541602E-3</v>
      </c>
      <c r="AF438">
        <v>2.78712290098914E-3</v>
      </c>
      <c r="AG438">
        <v>-0.26340720000000001</v>
      </c>
      <c r="AH438">
        <v>0.49205648138166402</v>
      </c>
      <c r="AI438">
        <v>118.16060846654101</v>
      </c>
      <c r="AJ438">
        <v>89.675466785877205</v>
      </c>
      <c r="AK438">
        <v>0.55813143786711095</v>
      </c>
      <c r="AL438">
        <v>72.645782847291599</v>
      </c>
      <c r="AM438">
        <v>93.868691440674894</v>
      </c>
      <c r="AN438">
        <v>0.99999999922633998</v>
      </c>
    </row>
    <row r="439" spans="1:40" x14ac:dyDescent="0.25">
      <c r="A439" t="str">
        <f>"20190304164107999"</f>
        <v>20190304164107999</v>
      </c>
      <c r="B439" t="str">
        <f>"1551688867991687"</f>
        <v>1551688867991687</v>
      </c>
      <c r="C439" t="s">
        <v>40</v>
      </c>
      <c r="D439">
        <v>5.1113039999999996</v>
      </c>
      <c r="E439">
        <v>0.55267310000000003</v>
      </c>
      <c r="F439" t="s">
        <v>41</v>
      </c>
      <c r="G439">
        <v>-417.88400000000001</v>
      </c>
      <c r="H439">
        <v>0.76594110000000004</v>
      </c>
      <c r="I439">
        <v>366.90140000000002</v>
      </c>
      <c r="J439">
        <v>-418.54640000000001</v>
      </c>
      <c r="K439">
        <v>1.0604990000000001</v>
      </c>
      <c r="L439">
        <v>366.8974</v>
      </c>
      <c r="M439">
        <v>0.99984030000000002</v>
      </c>
      <c r="N439">
        <v>-1.440877E-2</v>
      </c>
      <c r="O439">
        <v>1.057521E-2</v>
      </c>
      <c r="P439">
        <v>0.95576839999999996</v>
      </c>
      <c r="Q439">
        <v>0.28448370000000001</v>
      </c>
      <c r="R439">
        <v>7.4674740000000003E-2</v>
      </c>
      <c r="S439">
        <v>3.4911189999999999</v>
      </c>
      <c r="T439">
        <v>-1.189829</v>
      </c>
      <c r="U439">
        <v>2.4688720000000001E-2</v>
      </c>
      <c r="V439">
        <v>-6.4553579999999999E-2</v>
      </c>
      <c r="W439">
        <v>0.29823810000000001</v>
      </c>
      <c r="X439">
        <v>0.95230610000000004</v>
      </c>
      <c r="Y439">
        <v>2.792208E-3</v>
      </c>
      <c r="Z439">
        <v>-3.840141E-3</v>
      </c>
      <c r="AA439">
        <v>0.99998869999999895</v>
      </c>
      <c r="AB439">
        <v>32</v>
      </c>
      <c r="AC439">
        <v>0.662399999999991</v>
      </c>
      <c r="AD439">
        <v>-0.29455789999999998</v>
      </c>
      <c r="AE439">
        <v>4.0000000000190898E-3</v>
      </c>
      <c r="AF439">
        <v>2.50971069815947E-3</v>
      </c>
      <c r="AG439">
        <v>-0.29455789999999998</v>
      </c>
      <c r="AH439">
        <v>0.55304798216756501</v>
      </c>
      <c r="AI439">
        <v>118.03988686555699</v>
      </c>
      <c r="AJ439">
        <v>89.739995717578097</v>
      </c>
      <c r="AK439">
        <v>0.62660412197799498</v>
      </c>
      <c r="AL439">
        <v>72.648190313309399</v>
      </c>
      <c r="AM439">
        <v>93.877952826844194</v>
      </c>
      <c r="AN439">
        <v>1.0000000185398099</v>
      </c>
    </row>
    <row r="440" spans="1:40" x14ac:dyDescent="0.25">
      <c r="A440" t="str">
        <f>"20190304164108012"</f>
        <v>20190304164108012</v>
      </c>
      <c r="B440" t="str">
        <f>"1551688868001447"</f>
        <v>1551688868001447</v>
      </c>
      <c r="C440" t="s">
        <v>40</v>
      </c>
      <c r="D440">
        <v>4.744097</v>
      </c>
      <c r="E440">
        <v>0.55266740000000003</v>
      </c>
      <c r="F440" t="s">
        <v>41</v>
      </c>
      <c r="G440">
        <v>-417.85840000000002</v>
      </c>
      <c r="H440">
        <v>0.82599409999999895</v>
      </c>
      <c r="I440">
        <v>366.90230000000003</v>
      </c>
      <c r="J440">
        <v>-418.3682</v>
      </c>
      <c r="K440">
        <v>1.0604990000000001</v>
      </c>
      <c r="L440">
        <v>366.89929999999998</v>
      </c>
      <c r="M440">
        <v>0.99984030000000002</v>
      </c>
      <c r="N440">
        <v>-1.4408880000000001E-2</v>
      </c>
      <c r="O440">
        <v>1.0573880000000001E-2</v>
      </c>
      <c r="P440">
        <v>0.95569219999999999</v>
      </c>
      <c r="Q440">
        <v>0.28465309999999999</v>
      </c>
      <c r="R440">
        <v>7.4999679999999999E-2</v>
      </c>
      <c r="S440">
        <v>3.4910580000000002</v>
      </c>
      <c r="T440">
        <v>-1.1899869999999999</v>
      </c>
      <c r="U440">
        <v>2.4932860000000001E-2</v>
      </c>
      <c r="V440">
        <v>-6.4880590000000002E-2</v>
      </c>
      <c r="W440">
        <v>0.29840699999999998</v>
      </c>
      <c r="X440">
        <v>0.95223089999999999</v>
      </c>
      <c r="Y440">
        <v>2.724672E-3</v>
      </c>
      <c r="Z440">
        <v>-3.8285900000000002E-3</v>
      </c>
      <c r="AA440">
        <v>0.99998900000000002</v>
      </c>
      <c r="AB440">
        <v>32</v>
      </c>
      <c r="AC440">
        <v>0.50979999999998404</v>
      </c>
      <c r="AD440">
        <v>-0.23450489999999999</v>
      </c>
      <c r="AE440">
        <v>3.0000000000427402E-3</v>
      </c>
      <c r="AF440">
        <v>1.9736850585032901E-3</v>
      </c>
      <c r="AG440">
        <v>-0.23450489999999999</v>
      </c>
      <c r="AH440">
        <v>0.42077307330172597</v>
      </c>
      <c r="AI440">
        <v>119.131493927962</v>
      </c>
      <c r="AJ440">
        <v>89.731249450656193</v>
      </c>
      <c r="AK440">
        <v>0.48171197075897998</v>
      </c>
      <c r="AL440">
        <v>72.638050292461699</v>
      </c>
      <c r="AM440">
        <v>93.8978438834488</v>
      </c>
      <c r="AN440">
        <v>0.99999995776127804</v>
      </c>
    </row>
    <row r="441" spans="1:40" x14ac:dyDescent="0.25">
      <c r="A441" t="str">
        <f>"20190304164108030"</f>
        <v>20190304164108030</v>
      </c>
      <c r="B441" t="str">
        <f>"1551688868021942"</f>
        <v>1551688868021942</v>
      </c>
      <c r="C441" t="s">
        <v>40</v>
      </c>
      <c r="D441">
        <v>4.6672200000000004</v>
      </c>
      <c r="E441">
        <v>0.55267189999999999</v>
      </c>
      <c r="F441" t="s">
        <v>41</v>
      </c>
      <c r="G441">
        <v>-417.58569999999997</v>
      </c>
      <c r="H441">
        <v>0.79389069999999995</v>
      </c>
      <c r="I441">
        <v>366.90460000000002</v>
      </c>
      <c r="J441">
        <v>-418.10599999999999</v>
      </c>
      <c r="K441">
        <v>1.060503</v>
      </c>
      <c r="L441">
        <v>366.90210000000002</v>
      </c>
      <c r="M441">
        <v>0.99984039999999996</v>
      </c>
      <c r="N441">
        <v>-1.4408789999999999E-2</v>
      </c>
      <c r="O441">
        <v>1.05725E-2</v>
      </c>
      <c r="P441">
        <v>0.95556180000000002</v>
      </c>
      <c r="Q441">
        <v>0.28487459999999998</v>
      </c>
      <c r="R441">
        <v>7.581657E-2</v>
      </c>
      <c r="S441">
        <v>3.491425</v>
      </c>
      <c r="T441">
        <v>-1.189548</v>
      </c>
      <c r="U441">
        <v>2.5085449999999999E-2</v>
      </c>
      <c r="V441">
        <v>-6.5699489999999999E-2</v>
      </c>
      <c r="W441">
        <v>0.29862640000000001</v>
      </c>
      <c r="X441">
        <v>0.95210600000000001</v>
      </c>
      <c r="Y441">
        <v>2.683506E-3</v>
      </c>
      <c r="Z441">
        <v>-3.8192500000000002E-3</v>
      </c>
      <c r="AA441">
        <v>0.99998909999999996</v>
      </c>
      <c r="AB441">
        <v>32</v>
      </c>
      <c r="AC441">
        <v>0.52030000000001997</v>
      </c>
      <c r="AD441">
        <v>-0.26661230000000002</v>
      </c>
      <c r="AE441">
        <v>2.4999999999977202E-3</v>
      </c>
      <c r="AF441">
        <v>2.37736165368756E-3</v>
      </c>
      <c r="AG441">
        <v>-0.26661230000000002</v>
      </c>
      <c r="AH441">
        <v>0.41209434011457602</v>
      </c>
      <c r="AI441">
        <v>122.901183902065</v>
      </c>
      <c r="AJ441">
        <v>89.669465787803205</v>
      </c>
      <c r="AK441">
        <v>0.49082534114916099</v>
      </c>
      <c r="AL441">
        <v>72.624879669921597</v>
      </c>
      <c r="AM441">
        <v>93.947402700638506</v>
      </c>
      <c r="AN441">
        <v>0.99999999249961002</v>
      </c>
    </row>
    <row r="442" spans="1:40" x14ac:dyDescent="0.25">
      <c r="A442" t="str">
        <f>"20190304164108052"</f>
        <v>20190304164108052</v>
      </c>
      <c r="B442" t="str">
        <f>"1551688868041463"</f>
        <v>1551688868041463</v>
      </c>
      <c r="C442" t="s">
        <v>40</v>
      </c>
      <c r="D442">
        <v>4.9465370000000002</v>
      </c>
      <c r="E442">
        <v>0.55266919999999897</v>
      </c>
      <c r="F442" t="s">
        <v>41</v>
      </c>
      <c r="G442">
        <v>-417.3023</v>
      </c>
      <c r="H442">
        <v>0.78691409999999995</v>
      </c>
      <c r="I442">
        <v>366.90800000000002</v>
      </c>
      <c r="J442">
        <v>-417.80169999999998</v>
      </c>
      <c r="K442">
        <v>1.060505</v>
      </c>
      <c r="L442">
        <v>366.90530000000001</v>
      </c>
      <c r="M442">
        <v>0.99984039999999996</v>
      </c>
      <c r="N442">
        <v>-1.4408280000000001E-2</v>
      </c>
      <c r="O442">
        <v>1.057201E-2</v>
      </c>
      <c r="P442">
        <v>0.95546710000000001</v>
      </c>
      <c r="Q442">
        <v>0.284997</v>
      </c>
      <c r="R442">
        <v>7.6547550000000006E-2</v>
      </c>
      <c r="S442">
        <v>3.4916990000000001</v>
      </c>
      <c r="T442">
        <v>-1.1885969999999999</v>
      </c>
      <c r="U442">
        <v>2.6794430000000001E-2</v>
      </c>
      <c r="V442">
        <v>-6.6430939999999994E-2</v>
      </c>
      <c r="W442">
        <v>0.2987474</v>
      </c>
      <c r="X442">
        <v>0.95201729999999996</v>
      </c>
      <c r="Y442">
        <v>2.2225790000000001E-3</v>
      </c>
      <c r="Z442">
        <v>-3.736086E-3</v>
      </c>
      <c r="AA442">
        <v>0.9999905</v>
      </c>
      <c r="AB442">
        <v>32</v>
      </c>
      <c r="AC442">
        <v>0.49939999999998003</v>
      </c>
      <c r="AD442">
        <v>-0.27359090000000003</v>
      </c>
      <c r="AE442">
        <v>2.7000000000043599E-3</v>
      </c>
      <c r="AF442">
        <v>1.9847108397582202E-3</v>
      </c>
      <c r="AG442">
        <v>-0.27359090000000003</v>
      </c>
      <c r="AH442">
        <v>0.384119163843953</v>
      </c>
      <c r="AI442">
        <v>125.46020929376699</v>
      </c>
      <c r="AJ442">
        <v>89.703960246098106</v>
      </c>
      <c r="AK442">
        <v>0.47159670447544999</v>
      </c>
      <c r="AL442">
        <v>72.617615567662398</v>
      </c>
      <c r="AM442">
        <v>93.991579598622707</v>
      </c>
      <c r="AN442">
        <v>1.00000000914766</v>
      </c>
    </row>
    <row r="443" spans="1:40" x14ac:dyDescent="0.25">
      <c r="A443" t="str">
        <f>"20190304164108063"</f>
        <v>20190304164108063</v>
      </c>
      <c r="B443" t="str">
        <f>"1551688868052199"</f>
        <v>1551688868052199</v>
      </c>
      <c r="C443" t="s">
        <v>40</v>
      </c>
      <c r="D443">
        <v>4.741473</v>
      </c>
      <c r="E443">
        <v>0.55268169999999905</v>
      </c>
      <c r="F443" t="s">
        <v>41</v>
      </c>
      <c r="G443">
        <v>-417.01389999999998</v>
      </c>
      <c r="H443">
        <v>0.79236779999999996</v>
      </c>
      <c r="I443">
        <v>366.91149999999999</v>
      </c>
      <c r="J443">
        <v>-417.63049999999998</v>
      </c>
      <c r="K443">
        <v>1.060505</v>
      </c>
      <c r="L443">
        <v>366.90710000000001</v>
      </c>
      <c r="M443">
        <v>0.99984039999999996</v>
      </c>
      <c r="N443">
        <v>-1.440785E-2</v>
      </c>
      <c r="O443">
        <v>1.057201E-2</v>
      </c>
      <c r="P443">
        <v>0.95544799999999996</v>
      </c>
      <c r="Q443">
        <v>0.2849064</v>
      </c>
      <c r="R443">
        <v>7.7121250000000002E-2</v>
      </c>
      <c r="S443">
        <v>3.4921570000000002</v>
      </c>
      <c r="T443">
        <v>-1.1887490000000001</v>
      </c>
      <c r="U443">
        <v>2.8594970000000001E-2</v>
      </c>
      <c r="V443">
        <v>-6.7004930000000004E-2</v>
      </c>
      <c r="W443">
        <v>0.29865599999999998</v>
      </c>
      <c r="X443">
        <v>0.95200569999999896</v>
      </c>
      <c r="Y443">
        <v>1.73664E-3</v>
      </c>
      <c r="Z443">
        <v>-3.6520250000000001E-3</v>
      </c>
      <c r="AA443">
        <v>0.99999179999999999</v>
      </c>
      <c r="AB443">
        <v>32</v>
      </c>
      <c r="AC443">
        <v>0.61660000000000503</v>
      </c>
      <c r="AD443">
        <v>-0.26813720000000002</v>
      </c>
      <c r="AE443">
        <v>4.3999999999755303E-3</v>
      </c>
      <c r="AF443">
        <v>1.7825485736742801E-3</v>
      </c>
      <c r="AG443">
        <v>-0.26813720000000002</v>
      </c>
      <c r="AH443">
        <v>0.51855481724818797</v>
      </c>
      <c r="AI443">
        <v>117.342693108783</v>
      </c>
      <c r="AJ443">
        <v>89.803044722819607</v>
      </c>
      <c r="AK443">
        <v>0.58378063859172202</v>
      </c>
      <c r="AL443">
        <v>72.623102035581894</v>
      </c>
      <c r="AM443">
        <v>94.026004416754304</v>
      </c>
      <c r="AN443">
        <v>0.99999995990639601</v>
      </c>
    </row>
    <row r="444" spans="1:40" x14ac:dyDescent="0.25">
      <c r="A444" t="str">
        <f>"20190304164108075"</f>
        <v>20190304164108075</v>
      </c>
      <c r="B444" t="str">
        <f>"1551688868061959"</f>
        <v>1551688868061959</v>
      </c>
      <c r="C444" t="s">
        <v>40</v>
      </c>
      <c r="D444">
        <v>4.7450419999999998</v>
      </c>
      <c r="E444">
        <v>0.55266839999999995</v>
      </c>
      <c r="F444" t="s">
        <v>41</v>
      </c>
      <c r="G444">
        <v>-416.7423</v>
      </c>
      <c r="H444">
        <v>0.75813019999999998</v>
      </c>
      <c r="I444">
        <v>366.91460000000001</v>
      </c>
      <c r="J444">
        <v>-417.45769999999999</v>
      </c>
      <c r="K444">
        <v>1.060503</v>
      </c>
      <c r="L444">
        <v>366.90890000000002</v>
      </c>
      <c r="M444">
        <v>0.99984039999999996</v>
      </c>
      <c r="N444">
        <v>-1.440724E-2</v>
      </c>
      <c r="O444">
        <v>1.057201E-2</v>
      </c>
      <c r="P444">
        <v>0.95539249999999998</v>
      </c>
      <c r="Q444">
        <v>0.284997</v>
      </c>
      <c r="R444">
        <v>7.7474669999999995E-2</v>
      </c>
      <c r="S444">
        <v>3.492035</v>
      </c>
      <c r="T444">
        <v>-1.188947</v>
      </c>
      <c r="U444">
        <v>2.9937740000000001E-2</v>
      </c>
      <c r="V444">
        <v>-6.7358840000000003E-2</v>
      </c>
      <c r="W444">
        <v>0.298745599999999</v>
      </c>
      <c r="X444">
        <v>0.95195260000000004</v>
      </c>
      <c r="Y444">
        <v>1.3730109999999999E-3</v>
      </c>
      <c r="Z444">
        <v>-3.589849E-3</v>
      </c>
      <c r="AA444">
        <v>0.99999260000000001</v>
      </c>
      <c r="AB444">
        <v>32</v>
      </c>
      <c r="AC444">
        <v>0.71539999999998805</v>
      </c>
      <c r="AD444">
        <v>-0.3023728</v>
      </c>
      <c r="AE444">
        <v>5.6999999999902597E-3</v>
      </c>
      <c r="AF444">
        <v>1.58176473914354E-3</v>
      </c>
      <c r="AG444">
        <v>-0.3023728</v>
      </c>
      <c r="AH444">
        <v>0.60699191344444803</v>
      </c>
      <c r="AI444">
        <v>116.48009628096101</v>
      </c>
      <c r="AJ444">
        <v>89.850692840243994</v>
      </c>
      <c r="AK444">
        <v>0.67813788800396801</v>
      </c>
      <c r="AL444">
        <v>72.617722569817303</v>
      </c>
      <c r="AM444">
        <v>94.047423692113796</v>
      </c>
      <c r="AN444">
        <v>0.99999994974613104</v>
      </c>
    </row>
    <row r="445" spans="1:40" x14ac:dyDescent="0.25">
      <c r="A445" t="str">
        <f>"20190304164108087"</f>
        <v>20190304164108087</v>
      </c>
      <c r="B445" t="str">
        <f>"1551688868081479"</f>
        <v>1551688868081479</v>
      </c>
      <c r="C445" t="s">
        <v>40</v>
      </c>
      <c r="D445">
        <v>4.7387899999999998</v>
      </c>
      <c r="E445">
        <v>0.5526373</v>
      </c>
      <c r="F445" t="s">
        <v>41</v>
      </c>
      <c r="G445">
        <v>-416.72070000000002</v>
      </c>
      <c r="H445">
        <v>0.80961430000000001</v>
      </c>
      <c r="I445">
        <v>366.9153</v>
      </c>
      <c r="J445">
        <v>-417.29340000000002</v>
      </c>
      <c r="K445">
        <v>1.060505</v>
      </c>
      <c r="L445">
        <v>366.91070000000002</v>
      </c>
      <c r="M445">
        <v>0.99984050000000002</v>
      </c>
      <c r="N445">
        <v>-1.440658E-2</v>
      </c>
      <c r="O445">
        <v>1.057219E-2</v>
      </c>
      <c r="P445">
        <v>0.95538429999999996</v>
      </c>
      <c r="Q445">
        <v>0.28489239999999999</v>
      </c>
      <c r="R445">
        <v>7.7957029999999997E-2</v>
      </c>
      <c r="S445">
        <v>3.4922179999999998</v>
      </c>
      <c r="T445">
        <v>-1.1888299999999901</v>
      </c>
      <c r="U445">
        <v>3.0639650000000001E-2</v>
      </c>
      <c r="V445">
        <v>-6.7840520000000001E-2</v>
      </c>
      <c r="W445">
        <v>0.29864000000000002</v>
      </c>
      <c r="X445">
        <v>0.95195160000000001</v>
      </c>
      <c r="Y445">
        <v>1.183976E-3</v>
      </c>
      <c r="Z445">
        <v>-3.5566809999999999E-3</v>
      </c>
      <c r="AA445">
        <v>0.99999300000000002</v>
      </c>
      <c r="AB445">
        <v>32</v>
      </c>
      <c r="AC445">
        <v>0.57269999999999699</v>
      </c>
      <c r="AD445">
        <v>-0.25089070000000002</v>
      </c>
      <c r="AE445">
        <v>4.5999999999821696E-3</v>
      </c>
      <c r="AF445">
        <v>1.2212193732209799E-3</v>
      </c>
      <c r="AG445">
        <v>-0.25089070000000002</v>
      </c>
      <c r="AH445">
        <v>0.480505181086059</v>
      </c>
      <c r="AI445">
        <v>117.570760601</v>
      </c>
      <c r="AJ445">
        <v>89.854381246979102</v>
      </c>
      <c r="AK445">
        <v>0.542063523744029</v>
      </c>
      <c r="AL445">
        <v>72.624063633374803</v>
      </c>
      <c r="AM445">
        <v>94.076273682265295</v>
      </c>
      <c r="AN445">
        <v>1.00000001724821</v>
      </c>
    </row>
    <row r="446" spans="1:40" x14ac:dyDescent="0.25">
      <c r="A446" t="str">
        <f>"20190304164108099"</f>
        <v>20190304164108099</v>
      </c>
      <c r="B446" t="str">
        <f>"1551688868092216"</f>
        <v>1551688868092216</v>
      </c>
      <c r="C446" t="s">
        <v>40</v>
      </c>
      <c r="D446">
        <v>4.8535399999999997</v>
      </c>
      <c r="E446">
        <v>0.55264230000000003</v>
      </c>
      <c r="F446" t="s">
        <v>41</v>
      </c>
      <c r="G446">
        <v>-416.45069999999998</v>
      </c>
      <c r="H446">
        <v>0.77341959999999998</v>
      </c>
      <c r="I446">
        <v>366.91809999999998</v>
      </c>
      <c r="J446">
        <v>-417.11680000000001</v>
      </c>
      <c r="K446">
        <v>1.0605039999999999</v>
      </c>
      <c r="L446">
        <v>366.9126</v>
      </c>
      <c r="M446">
        <v>0.99984039999999996</v>
      </c>
      <c r="N446">
        <v>-1.440579E-2</v>
      </c>
      <c r="O446">
        <v>1.05725E-2</v>
      </c>
      <c r="P446">
        <v>0.95534739999999996</v>
      </c>
      <c r="Q446">
        <v>0.28491460000000002</v>
      </c>
      <c r="R446">
        <v>7.8328149999999999E-2</v>
      </c>
      <c r="S446">
        <v>3.4922490000000002</v>
      </c>
      <c r="T446">
        <v>-1.1897629999999999</v>
      </c>
      <c r="U446">
        <v>3.2348630000000003E-2</v>
      </c>
      <c r="V446">
        <v>-6.8212270000000005E-2</v>
      </c>
      <c r="W446">
        <v>0.29866090000000001</v>
      </c>
      <c r="X446">
        <v>0.95191840000000005</v>
      </c>
      <c r="Y446">
        <v>7.2132999999999995E-4</v>
      </c>
      <c r="Z446">
        <v>-3.4794259999999999E-3</v>
      </c>
      <c r="AA446">
        <v>0.99999369999999999</v>
      </c>
      <c r="AB446">
        <v>32</v>
      </c>
      <c r="AC446">
        <v>0.666100000000028</v>
      </c>
      <c r="AD446">
        <v>-0.28708440000000002</v>
      </c>
      <c r="AE446">
        <v>5.4999999999836204E-3</v>
      </c>
      <c r="AF446">
        <v>1.3016151688128E-3</v>
      </c>
      <c r="AG446">
        <v>-0.28708440000000002</v>
      </c>
      <c r="AH446">
        <v>0.56177547530959204</v>
      </c>
      <c r="AI446">
        <v>117.068355608148</v>
      </c>
      <c r="AJ446">
        <v>89.867247814207303</v>
      </c>
      <c r="AK446">
        <v>0.63088099637310802</v>
      </c>
      <c r="AL446">
        <v>72.622807567952194</v>
      </c>
      <c r="AM446">
        <v>94.098677240720306</v>
      </c>
      <c r="AN446">
        <v>0.99999994361295996</v>
      </c>
    </row>
    <row r="447" spans="1:40" x14ac:dyDescent="0.25">
      <c r="A447" t="str">
        <f>"20190304164108111"</f>
        <v>20190304164108111</v>
      </c>
      <c r="B447" t="str">
        <f>"1551688868101977"</f>
        <v>1551688868101977</v>
      </c>
      <c r="C447" t="s">
        <v>40</v>
      </c>
      <c r="D447">
        <v>4.6958270000000004</v>
      </c>
      <c r="E447">
        <v>0.55262519999999904</v>
      </c>
      <c r="F447" t="s">
        <v>41</v>
      </c>
      <c r="G447">
        <v>-416.4282</v>
      </c>
      <c r="H447">
        <v>0.82592330000000003</v>
      </c>
      <c r="I447">
        <v>366.91860000000003</v>
      </c>
      <c r="J447">
        <v>-416.94299999999998</v>
      </c>
      <c r="K447">
        <v>1.060505</v>
      </c>
      <c r="L447">
        <v>366.9144</v>
      </c>
      <c r="M447">
        <v>0.99984030000000002</v>
      </c>
      <c r="N447">
        <v>-1.440492E-2</v>
      </c>
      <c r="O447">
        <v>1.0572679999999999E-2</v>
      </c>
      <c r="P447">
        <v>0.95530110000000001</v>
      </c>
      <c r="Q447">
        <v>0.28494589999999997</v>
      </c>
      <c r="R447">
        <v>7.8774540000000004E-2</v>
      </c>
      <c r="S447">
        <v>3.4923709999999999</v>
      </c>
      <c r="T447">
        <v>-1.1898150000000001</v>
      </c>
      <c r="U447">
        <v>3.2623289999999999E-2</v>
      </c>
      <c r="V447">
        <v>-6.8658689999999994E-2</v>
      </c>
      <c r="W447">
        <v>0.29869099999999998</v>
      </c>
      <c r="X447">
        <v>0.95187690000000003</v>
      </c>
      <c r="Y447">
        <v>6.4753010000000004E-4</v>
      </c>
      <c r="Z447">
        <v>-3.4667489999999999E-3</v>
      </c>
      <c r="AA447">
        <v>0.99999380000000004</v>
      </c>
      <c r="AB447">
        <v>32</v>
      </c>
      <c r="AC447">
        <v>0.51480000000003601</v>
      </c>
      <c r="AD447">
        <v>-0.2345817</v>
      </c>
      <c r="AE447">
        <v>4.20000000002573E-3</v>
      </c>
      <c r="AF447">
        <v>1.0298016342564101E-3</v>
      </c>
      <c r="AG447">
        <v>-0.2345817</v>
      </c>
      <c r="AH447">
        <v>0.42630377346111797</v>
      </c>
      <c r="AI447">
        <v>118.82254957962201</v>
      </c>
      <c r="AJ447">
        <v>89.861593595263798</v>
      </c>
      <c r="AK447">
        <v>0.48658456791547</v>
      </c>
      <c r="AL447">
        <v>72.621001149549798</v>
      </c>
      <c r="AM447">
        <v>94.125588247556394</v>
      </c>
      <c r="AN447">
        <v>0.99999998097356202</v>
      </c>
    </row>
    <row r="448" spans="1:40" x14ac:dyDescent="0.25">
      <c r="A448" t="str">
        <f>"20190304164108124"</f>
        <v>20190304164108124</v>
      </c>
      <c r="B448" t="str">
        <f>"1551688868111736"</f>
        <v>1551688868111736</v>
      </c>
      <c r="C448" t="s">
        <v>40</v>
      </c>
      <c r="D448">
        <v>4.7161369999999998</v>
      </c>
      <c r="E448">
        <v>0.55260769999999904</v>
      </c>
      <c r="F448" t="s">
        <v>41</v>
      </c>
      <c r="G448">
        <v>-416.15750000000003</v>
      </c>
      <c r="H448">
        <v>0.79286049999999997</v>
      </c>
      <c r="I448">
        <v>366.9221</v>
      </c>
      <c r="J448">
        <v>-416.76350000000002</v>
      </c>
      <c r="K448">
        <v>1.060505</v>
      </c>
      <c r="L448">
        <v>366.91629999999998</v>
      </c>
      <c r="M448">
        <v>0.99984039999999996</v>
      </c>
      <c r="N448">
        <v>-1.440397E-2</v>
      </c>
      <c r="O448">
        <v>1.057251E-2</v>
      </c>
      <c r="P448">
        <v>0.9552351</v>
      </c>
      <c r="Q448">
        <v>0.28502230000000001</v>
      </c>
      <c r="R448">
        <v>7.9299019999999998E-2</v>
      </c>
      <c r="S448">
        <v>3.4925229999999998</v>
      </c>
      <c r="T448">
        <v>-1.1899949999999999</v>
      </c>
      <c r="U448">
        <v>3.3782960000000001E-2</v>
      </c>
      <c r="V448">
        <v>-6.918349E-2</v>
      </c>
      <c r="W448">
        <v>0.29876560000000002</v>
      </c>
      <c r="X448">
        <v>0.95181550000000004</v>
      </c>
      <c r="Y448">
        <v>3.341172E-4</v>
      </c>
      <c r="Z448">
        <v>-3.4128129999999998E-3</v>
      </c>
      <c r="AA448">
        <v>0.9999941</v>
      </c>
      <c r="AB448">
        <v>32</v>
      </c>
      <c r="AC448">
        <v>0.60599999999999399</v>
      </c>
      <c r="AD448">
        <v>-0.26764450000000001</v>
      </c>
      <c r="AE448">
        <v>5.8000000000220098E-3</v>
      </c>
      <c r="AF448">
        <v>5.0870930937783497E-4</v>
      </c>
      <c r="AG448">
        <v>-0.26764450000000001</v>
      </c>
      <c r="AH448">
        <v>0.50711745585778201</v>
      </c>
      <c r="AI448">
        <v>117.824011675333</v>
      </c>
      <c r="AJ448">
        <v>89.942524386977894</v>
      </c>
      <c r="AK448">
        <v>0.57341254886955595</v>
      </c>
      <c r="AL448">
        <v>72.616522582825894</v>
      </c>
      <c r="AM448">
        <v>94.157279710185406</v>
      </c>
      <c r="AN448">
        <v>0.99999999253609495</v>
      </c>
    </row>
    <row r="449" spans="1:40" x14ac:dyDescent="0.25">
      <c r="A449" t="str">
        <f>"20190304164108140"</f>
        <v>20190304164108140</v>
      </c>
      <c r="B449" t="str">
        <f>"1551688868132231"</f>
        <v>1551688868132231</v>
      </c>
      <c r="C449" t="s">
        <v>40</v>
      </c>
      <c r="D449">
        <v>4.7079649999999997</v>
      </c>
      <c r="E449">
        <v>0.55262909999999998</v>
      </c>
      <c r="F449" t="s">
        <v>41</v>
      </c>
      <c r="G449">
        <v>-415.88580000000002</v>
      </c>
      <c r="H449">
        <v>0.76145459999999998</v>
      </c>
      <c r="I449">
        <v>366.92489999999998</v>
      </c>
      <c r="J449">
        <v>-416.5308</v>
      </c>
      <c r="K449">
        <v>1.0605119999999999</v>
      </c>
      <c r="L449">
        <v>366.91879999999998</v>
      </c>
      <c r="M449">
        <v>0.99984050000000002</v>
      </c>
      <c r="N449">
        <v>-1.440264E-2</v>
      </c>
      <c r="O449">
        <v>1.0572700000000001E-2</v>
      </c>
      <c r="P449">
        <v>0.95513380000000003</v>
      </c>
      <c r="Q449">
        <v>0.28522989999999998</v>
      </c>
      <c r="R449">
        <v>7.9772609999999994E-2</v>
      </c>
      <c r="S449">
        <v>3.4928279999999998</v>
      </c>
      <c r="T449">
        <v>-1.190221</v>
      </c>
      <c r="U449">
        <v>3.549194E-2</v>
      </c>
      <c r="V449">
        <v>-6.9658520000000002E-2</v>
      </c>
      <c r="W449">
        <v>0.29897089999999998</v>
      </c>
      <c r="X449">
        <v>0.95171640000000002</v>
      </c>
      <c r="Y449">
        <v>-1.2701330000000001E-4</v>
      </c>
      <c r="Z449">
        <v>-3.333398E-3</v>
      </c>
      <c r="AA449">
        <v>0.99999450000000001</v>
      </c>
      <c r="AB449">
        <v>32</v>
      </c>
      <c r="AC449">
        <v>0.64499999999998103</v>
      </c>
      <c r="AD449">
        <v>-0.29905739999999997</v>
      </c>
      <c r="AE449">
        <v>6.1000000000035401E-3</v>
      </c>
      <c r="AF449">
        <v>5.9297515136880598E-4</v>
      </c>
      <c r="AG449">
        <v>-0.29905739999999997</v>
      </c>
      <c r="AH449">
        <v>0.53090655967108602</v>
      </c>
      <c r="AI449">
        <v>119.392360304096</v>
      </c>
      <c r="AJ449">
        <v>89.936005764511904</v>
      </c>
      <c r="AK449">
        <v>0.60934182132533699</v>
      </c>
      <c r="AL449">
        <v>72.604196646562599</v>
      </c>
      <c r="AM449">
        <v>94.186157753914301</v>
      </c>
      <c r="AN449">
        <v>1.00000000724218</v>
      </c>
    </row>
    <row r="450" spans="1:40" x14ac:dyDescent="0.25">
      <c r="A450" t="str">
        <f>"20190304164108151"</f>
        <v>20190304164108151</v>
      </c>
      <c r="B450" t="str">
        <f>"1551688868141991"</f>
        <v>1551688868141991</v>
      </c>
      <c r="C450" t="s">
        <v>40</v>
      </c>
      <c r="D450">
        <v>4.7013800000000003</v>
      </c>
      <c r="E450">
        <v>0.55263509999999905</v>
      </c>
      <c r="F450" t="s">
        <v>41</v>
      </c>
      <c r="G450">
        <v>-415.85629999999998</v>
      </c>
      <c r="H450">
        <v>0.83086109999999902</v>
      </c>
      <c r="I450">
        <v>366.92540000000002</v>
      </c>
      <c r="J450">
        <v>-416.36950000000002</v>
      </c>
      <c r="K450">
        <v>1.06051299999999</v>
      </c>
      <c r="L450">
        <v>366.9205</v>
      </c>
      <c r="M450">
        <v>0.99984039999999996</v>
      </c>
      <c r="N450">
        <v>-1.440161E-2</v>
      </c>
      <c r="O450">
        <v>1.0572700000000001E-2</v>
      </c>
      <c r="P450">
        <v>0.95511539999999995</v>
      </c>
      <c r="Q450">
        <v>0.28524660000000002</v>
      </c>
      <c r="R450">
        <v>7.9930130000000002E-2</v>
      </c>
      <c r="S450">
        <v>3.4931339999999902</v>
      </c>
      <c r="T450">
        <v>-1.1892799999999999</v>
      </c>
      <c r="U450">
        <v>3.5583499999999997E-2</v>
      </c>
      <c r="V450">
        <v>-6.9815660000000002E-2</v>
      </c>
      <c r="W450">
        <v>0.29898629999999998</v>
      </c>
      <c r="X450">
        <v>0.95169999999999999</v>
      </c>
      <c r="Y450">
        <v>-1.5001089999999999E-4</v>
      </c>
      <c r="Z450">
        <v>-3.3265339999999999E-3</v>
      </c>
      <c r="AA450">
        <v>0.99999450000000001</v>
      </c>
      <c r="AB450">
        <v>32</v>
      </c>
      <c r="AC450">
        <v>0.51320000000003996</v>
      </c>
      <c r="AD450">
        <v>-0.22965189999999899</v>
      </c>
      <c r="AE450">
        <v>4.9000000000205502E-3</v>
      </c>
      <c r="AF450">
        <v>4.3887146494168099E-4</v>
      </c>
      <c r="AG450">
        <v>-0.22965189999999899</v>
      </c>
      <c r="AH450">
        <v>0.42760429701595398</v>
      </c>
      <c r="AI450">
        <v>118.23873867565</v>
      </c>
      <c r="AJ450">
        <v>89.941194524853898</v>
      </c>
      <c r="AK450">
        <v>0.48537163350187801</v>
      </c>
      <c r="AL450">
        <v>72.603271185510195</v>
      </c>
      <c r="AM450">
        <v>94.195639505013304</v>
      </c>
      <c r="AN450">
        <v>0.99999996198446195</v>
      </c>
    </row>
    <row r="451" spans="1:40" x14ac:dyDescent="0.25">
      <c r="A451" t="str">
        <f>"20190304164108166"</f>
        <v>20190304164108166</v>
      </c>
      <c r="B451" t="str">
        <f>"1551688868151751"</f>
        <v>1551688868151751</v>
      </c>
      <c r="C451" t="s">
        <v>40</v>
      </c>
      <c r="D451">
        <v>4.6800179999999996</v>
      </c>
      <c r="E451">
        <v>0.55262359999999999</v>
      </c>
      <c r="F451" t="s">
        <v>41</v>
      </c>
      <c r="G451">
        <v>-415.58780000000002</v>
      </c>
      <c r="H451">
        <v>0.79441509999999904</v>
      </c>
      <c r="I451">
        <v>366.92829999999998</v>
      </c>
      <c r="J451">
        <v>-416.17309999999998</v>
      </c>
      <c r="K451">
        <v>1.0605150000000001</v>
      </c>
      <c r="L451">
        <v>366.92259999999999</v>
      </c>
      <c r="M451">
        <v>0.99984050000000002</v>
      </c>
      <c r="N451">
        <v>-1.4400309999999999E-2</v>
      </c>
      <c r="O451">
        <v>1.0571509999999999E-2</v>
      </c>
      <c r="P451">
        <v>0.9550476</v>
      </c>
      <c r="Q451">
        <v>0.28537800000000002</v>
      </c>
      <c r="R451">
        <v>8.0271750000000003E-2</v>
      </c>
      <c r="S451">
        <v>3.4931030000000001</v>
      </c>
      <c r="T451">
        <v>-1.18906</v>
      </c>
      <c r="U451">
        <v>3.5278320000000002E-2</v>
      </c>
      <c r="V451">
        <v>-7.015892E-2</v>
      </c>
      <c r="W451">
        <v>0.29911549999999998</v>
      </c>
      <c r="X451">
        <v>0.95163419999999999</v>
      </c>
      <c r="Y451" s="1">
        <v>-6.8484430000000007E-5</v>
      </c>
      <c r="Z451">
        <v>-3.3396889999999999E-3</v>
      </c>
      <c r="AA451">
        <v>0.99999439999999995</v>
      </c>
      <c r="AB451">
        <v>32</v>
      </c>
      <c r="AC451">
        <v>0.58529999999996096</v>
      </c>
      <c r="AD451">
        <v>-0.266099899999999</v>
      </c>
      <c r="AE451">
        <v>5.6999999999902597E-3</v>
      </c>
      <c r="AF451">
        <v>4.0480157494312001E-4</v>
      </c>
      <c r="AG451">
        <v>-0.266099899999999</v>
      </c>
      <c r="AH451">
        <v>0.485074110467066</v>
      </c>
      <c r="AI451">
        <v>118.74809675182</v>
      </c>
      <c r="AJ451">
        <v>89.952185829134294</v>
      </c>
      <c r="AK451">
        <v>0.55326866284811405</v>
      </c>
      <c r="AL451">
        <v>72.595514305171207</v>
      </c>
      <c r="AM451">
        <v>94.216484313175201</v>
      </c>
      <c r="AN451">
        <v>1.0000000035027199</v>
      </c>
    </row>
    <row r="452" spans="1:40" x14ac:dyDescent="0.25">
      <c r="A452" t="str">
        <f>"20190304164108178"</f>
        <v>20190304164108178</v>
      </c>
      <c r="B452" t="str">
        <f>"1551688868172248"</f>
        <v>1551688868172248</v>
      </c>
      <c r="C452" t="s">
        <v>40</v>
      </c>
      <c r="D452">
        <v>4.673648</v>
      </c>
      <c r="E452">
        <v>0.55261470000000001</v>
      </c>
      <c r="F452" t="s">
        <v>41</v>
      </c>
      <c r="G452">
        <v>-415.31459999999998</v>
      </c>
      <c r="H452">
        <v>0.7683449</v>
      </c>
      <c r="I452">
        <v>366.93079999999998</v>
      </c>
      <c r="J452">
        <v>-415.9905</v>
      </c>
      <c r="K452">
        <v>1.0605199999999999</v>
      </c>
      <c r="L452">
        <v>366.92450000000002</v>
      </c>
      <c r="M452">
        <v>0.99984039999999996</v>
      </c>
      <c r="N452">
        <v>-1.439901E-2</v>
      </c>
      <c r="O452">
        <v>1.0567979999999999E-2</v>
      </c>
      <c r="P452">
        <v>0.95491809999999999</v>
      </c>
      <c r="Q452">
        <v>0.28573280000000001</v>
      </c>
      <c r="R452">
        <v>8.0549419999999997E-2</v>
      </c>
      <c r="S452">
        <v>3.4935299999999998</v>
      </c>
      <c r="T452">
        <v>-1.1888970000000001</v>
      </c>
      <c r="U452">
        <v>3.5186769999999999E-2</v>
      </c>
      <c r="V452">
        <v>-7.0440279999999994E-2</v>
      </c>
      <c r="W452">
        <v>0.2994677</v>
      </c>
      <c r="X452">
        <v>0.95150259999999998</v>
      </c>
      <c r="Y452" s="1">
        <v>-4.5471679999999999E-5</v>
      </c>
      <c r="Z452">
        <v>-3.3417020000000002E-3</v>
      </c>
      <c r="AA452">
        <v>0.99999439999999995</v>
      </c>
      <c r="AB452">
        <v>32</v>
      </c>
      <c r="AC452">
        <v>0.67590000000001205</v>
      </c>
      <c r="AD452">
        <v>-0.29217510000000002</v>
      </c>
      <c r="AE452">
        <v>6.2999999999533403E-3</v>
      </c>
      <c r="AF452">
        <v>7.1112068029642096E-4</v>
      </c>
      <c r="AG452">
        <v>-0.29217510000000002</v>
      </c>
      <c r="AH452">
        <v>0.56951688705362702</v>
      </c>
      <c r="AI452">
        <v>117.158835811139</v>
      </c>
      <c r="AJ452">
        <v>89.928458324139299</v>
      </c>
      <c r="AK452">
        <v>0.64009083682855905</v>
      </c>
      <c r="AL452">
        <v>72.574364642156894</v>
      </c>
      <c r="AM452">
        <v>94.233915803373606</v>
      </c>
      <c r="AN452">
        <v>0.999999967098263</v>
      </c>
    </row>
    <row r="453" spans="1:40" x14ac:dyDescent="0.25">
      <c r="A453" t="str">
        <f>"20190304164108191"</f>
        <v>20190304164108191</v>
      </c>
      <c r="B453" t="str">
        <f>"1551688868182007"</f>
        <v>1551688868182007</v>
      </c>
      <c r="C453" t="s">
        <v>40</v>
      </c>
      <c r="D453">
        <v>4.8400019999999904</v>
      </c>
      <c r="E453">
        <v>0.55262509999999998</v>
      </c>
      <c r="F453" t="s">
        <v>41</v>
      </c>
      <c r="G453">
        <v>-415.29140000000001</v>
      </c>
      <c r="H453">
        <v>0.8228183</v>
      </c>
      <c r="I453">
        <v>366.93119999999999</v>
      </c>
      <c r="J453">
        <v>-415.80939999999998</v>
      </c>
      <c r="K453">
        <v>1.0605199999999999</v>
      </c>
      <c r="L453">
        <v>366.9264</v>
      </c>
      <c r="M453">
        <v>0.99984070000000003</v>
      </c>
      <c r="N453">
        <v>-1.439766E-2</v>
      </c>
      <c r="O453">
        <v>1.056006E-2</v>
      </c>
      <c r="P453">
        <v>0.9548432</v>
      </c>
      <c r="Q453">
        <v>0.28597479999999997</v>
      </c>
      <c r="R453">
        <v>8.0579440000000002E-2</v>
      </c>
      <c r="S453">
        <v>3.4941409999999999</v>
      </c>
      <c r="T453">
        <v>-1.1879690000000001</v>
      </c>
      <c r="U453">
        <v>3.5461430000000002E-2</v>
      </c>
      <c r="V453">
        <v>-7.0475999999999997E-2</v>
      </c>
      <c r="W453">
        <v>0.29970740000000001</v>
      </c>
      <c r="X453">
        <v>0.95142450000000001</v>
      </c>
      <c r="Y453">
        <v>-1.2415080000000001E-4</v>
      </c>
      <c r="Z453">
        <v>-3.322453E-3</v>
      </c>
      <c r="AA453">
        <v>0.99999450000000001</v>
      </c>
      <c r="AB453">
        <v>32</v>
      </c>
      <c r="AC453">
        <v>0.51799999999997204</v>
      </c>
      <c r="AD453">
        <v>-0.23770169999999999</v>
      </c>
      <c r="AE453">
        <v>4.7999999999888097E-3</v>
      </c>
      <c r="AF453">
        <v>5.5424544390478303E-4</v>
      </c>
      <c r="AG453">
        <v>-0.23770169999999999</v>
      </c>
      <c r="AH453">
        <v>0.427920537648452</v>
      </c>
      <c r="AI453">
        <v>119.051316474413</v>
      </c>
      <c r="AJ453">
        <v>89.925790177851297</v>
      </c>
      <c r="AK453">
        <v>0.489508316489354</v>
      </c>
      <c r="AL453">
        <v>72.559969999609194</v>
      </c>
      <c r="AM453">
        <v>94.236401453772004</v>
      </c>
      <c r="AN453">
        <v>0.99999998569550497</v>
      </c>
    </row>
    <row r="454" spans="1:40" x14ac:dyDescent="0.25">
      <c r="A454" t="str">
        <f>"20190304164108209"</f>
        <v>20190304164108209</v>
      </c>
      <c r="B454" t="str">
        <f>"1551688868201527"</f>
        <v>1551688868201527</v>
      </c>
      <c r="C454" t="s">
        <v>40</v>
      </c>
      <c r="D454">
        <v>4.611351</v>
      </c>
      <c r="E454">
        <v>0.55267549999999999</v>
      </c>
      <c r="F454" t="s">
        <v>41</v>
      </c>
      <c r="G454">
        <v>-415.02080000000001</v>
      </c>
      <c r="H454">
        <v>0.79263309999999998</v>
      </c>
      <c r="I454">
        <v>366.93419999999998</v>
      </c>
      <c r="J454">
        <v>-415.56029999999998</v>
      </c>
      <c r="K454">
        <v>1.06051299999999</v>
      </c>
      <c r="L454">
        <v>366.92899999999997</v>
      </c>
      <c r="M454">
        <v>0.99984099999999998</v>
      </c>
      <c r="N454">
        <v>-1.4395730000000001E-2</v>
      </c>
      <c r="O454">
        <v>1.054134E-2</v>
      </c>
      <c r="P454">
        <v>0.9549183</v>
      </c>
      <c r="Q454">
        <v>0.2857981</v>
      </c>
      <c r="R454">
        <v>8.0316070000000003E-2</v>
      </c>
      <c r="S454">
        <v>3.494415</v>
      </c>
      <c r="T454">
        <v>-1.187063</v>
      </c>
      <c r="U454">
        <v>3.533936E-2</v>
      </c>
      <c r="V454">
        <v>-7.0224200000000001E-2</v>
      </c>
      <c r="W454">
        <v>0.29953180000000001</v>
      </c>
      <c r="X454">
        <v>0.95149839999999997</v>
      </c>
      <c r="Y454">
        <v>-1.063113E-4</v>
      </c>
      <c r="Z454">
        <v>-3.31686E-3</v>
      </c>
      <c r="AA454">
        <v>0.99999450000000001</v>
      </c>
      <c r="AB454">
        <v>32</v>
      </c>
      <c r="AC454">
        <v>0.539499999999975</v>
      </c>
      <c r="AD454">
        <v>-0.267879899999999</v>
      </c>
      <c r="AE454">
        <v>5.1999999999452397E-3</v>
      </c>
      <c r="AF454">
        <v>3.9143304514700799E-4</v>
      </c>
      <c r="AG454">
        <v>-0.267879899999999</v>
      </c>
      <c r="AH454">
        <v>0.43282389883411199</v>
      </c>
      <c r="AI454">
        <v>121.753851175696</v>
      </c>
      <c r="AJ454">
        <v>89.948183417332203</v>
      </c>
      <c r="AK454">
        <v>0.50901505031364203</v>
      </c>
      <c r="AL454">
        <v>72.570515359327302</v>
      </c>
      <c r="AM454">
        <v>94.220993577041597</v>
      </c>
      <c r="AN454">
        <v>0.99999997133971896</v>
      </c>
    </row>
    <row r="455" spans="1:40" x14ac:dyDescent="0.25">
      <c r="A455" t="str">
        <f>"20190304164108223"</f>
        <v>20190304164108223</v>
      </c>
      <c r="B455" t="str">
        <f>"1551688868212263"</f>
        <v>1551688868212263</v>
      </c>
      <c r="C455" t="s">
        <v>40</v>
      </c>
      <c r="D455">
        <v>4.8506859999999996</v>
      </c>
      <c r="E455">
        <v>0.55267549999999999</v>
      </c>
      <c r="F455" t="s">
        <v>41</v>
      </c>
      <c r="G455">
        <v>-414.74180000000001</v>
      </c>
      <c r="H455">
        <v>0.78236709999999998</v>
      </c>
      <c r="I455">
        <v>366.93729999999999</v>
      </c>
      <c r="J455">
        <v>-415.3571</v>
      </c>
      <c r="K455">
        <v>1.060505</v>
      </c>
      <c r="L455">
        <v>366.93119999999999</v>
      </c>
      <c r="M455">
        <v>0.99984110000000004</v>
      </c>
      <c r="N455">
        <v>-1.439413E-2</v>
      </c>
      <c r="O455">
        <v>1.0517240000000001E-2</v>
      </c>
      <c r="P455">
        <v>0.95488890000000004</v>
      </c>
      <c r="Q455">
        <v>0.28593980000000002</v>
      </c>
      <c r="R455">
        <v>8.0160980000000007E-2</v>
      </c>
      <c r="S455">
        <v>3.4939269999999998</v>
      </c>
      <c r="T455">
        <v>-1.1873419999999999</v>
      </c>
      <c r="U455">
        <v>3.616333E-2</v>
      </c>
      <c r="V455">
        <v>-7.0085739999999994E-2</v>
      </c>
      <c r="W455">
        <v>0.29967240000000001</v>
      </c>
      <c r="X455">
        <v>0.95146439999999999</v>
      </c>
      <c r="Y455">
        <v>-3.523717E-4</v>
      </c>
      <c r="Z455">
        <v>-3.2679860000000001E-3</v>
      </c>
      <c r="AA455">
        <v>0.99999459999999996</v>
      </c>
      <c r="AB455">
        <v>32</v>
      </c>
      <c r="AC455">
        <v>0.61529999999998997</v>
      </c>
      <c r="AD455">
        <v>-0.27813789999999999</v>
      </c>
      <c r="AE455">
        <v>6.1000000000035401E-3</v>
      </c>
      <c r="AF455">
        <v>3.0910941355598699E-4</v>
      </c>
      <c r="AG455">
        <v>-0.27813789999999999</v>
      </c>
      <c r="AH455">
        <v>0.510937141746447</v>
      </c>
      <c r="AI455">
        <v>118.562459847173</v>
      </c>
      <c r="AJ455">
        <v>89.965336905077393</v>
      </c>
      <c r="AK455">
        <v>0.58173666704194305</v>
      </c>
      <c r="AL455">
        <v>72.562072787280698</v>
      </c>
      <c r="AM455">
        <v>94.212851094940902</v>
      </c>
      <c r="AN455">
        <v>1.00000003137023</v>
      </c>
    </row>
    <row r="456" spans="1:40" x14ac:dyDescent="0.25">
      <c r="A456" t="str">
        <f>"20190304164108237"</f>
        <v>20190304164108237</v>
      </c>
      <c r="B456" t="str">
        <f>"1551688868231783"</f>
        <v>1551688868231783</v>
      </c>
      <c r="C456" t="s">
        <v>40</v>
      </c>
      <c r="D456">
        <v>4.5857299999999999</v>
      </c>
      <c r="E456">
        <v>0.55248679999999994</v>
      </c>
      <c r="F456" t="s">
        <v>41</v>
      </c>
      <c r="G456">
        <v>-414.46850000000001</v>
      </c>
      <c r="H456">
        <v>0.75868990000000003</v>
      </c>
      <c r="I456">
        <v>366.9402</v>
      </c>
      <c r="J456">
        <v>-415.14780000000002</v>
      </c>
      <c r="K456">
        <v>1.060495</v>
      </c>
      <c r="L456">
        <v>366.93329999999997</v>
      </c>
      <c r="M456">
        <v>0.9998416</v>
      </c>
      <c r="N456">
        <v>-1.439241E-2</v>
      </c>
      <c r="O456">
        <v>1.0478410000000001E-2</v>
      </c>
      <c r="P456">
        <v>0.95490989999999998</v>
      </c>
      <c r="Q456">
        <v>0.28588069999999999</v>
      </c>
      <c r="R456">
        <v>8.0120220000000006E-2</v>
      </c>
      <c r="S456">
        <v>3.49411</v>
      </c>
      <c r="T456">
        <v>-1.1868399999999999</v>
      </c>
      <c r="U456">
        <v>3.598022E-2</v>
      </c>
      <c r="V456">
        <v>-7.0073010000000005E-2</v>
      </c>
      <c r="W456">
        <v>0.29961459999999901</v>
      </c>
      <c r="X456">
        <v>0.95148350000000004</v>
      </c>
      <c r="Y456">
        <v>-3.3668860000000001E-4</v>
      </c>
      <c r="Z456">
        <v>-3.256887E-3</v>
      </c>
      <c r="AA456">
        <v>0.99999459999999996</v>
      </c>
      <c r="AB456">
        <v>32</v>
      </c>
      <c r="AC456">
        <v>0.67930000000001201</v>
      </c>
      <c r="AD456">
        <v>-0.30180509999999899</v>
      </c>
      <c r="AE456">
        <v>6.9000000000300999E-3</v>
      </c>
      <c r="AF456">
        <v>1.8298372114029199E-4</v>
      </c>
      <c r="AG456">
        <v>-0.30180509999999899</v>
      </c>
      <c r="AH456">
        <v>0.56735510573770398</v>
      </c>
      <c r="AI456">
        <v>118.010786710787</v>
      </c>
      <c r="AJ456">
        <v>89.981520930240293</v>
      </c>
      <c r="AK456">
        <v>0.64263377430360302</v>
      </c>
      <c r="AL456">
        <v>72.565543290144007</v>
      </c>
      <c r="AM456">
        <v>94.2120044005746</v>
      </c>
      <c r="AN456">
        <v>0.99999999301793496</v>
      </c>
    </row>
    <row r="457" spans="1:40" x14ac:dyDescent="0.25">
      <c r="A457" t="str">
        <f>"20190304164108252"</f>
        <v>20190304164108252</v>
      </c>
      <c r="B457" t="str">
        <f>"1551688868241544"</f>
        <v>1551688868241544</v>
      </c>
      <c r="C457" t="s">
        <v>40</v>
      </c>
      <c r="D457">
        <v>4.5827530000000003</v>
      </c>
      <c r="E457">
        <v>0.52768040000000005</v>
      </c>
      <c r="F457" t="s">
        <v>41</v>
      </c>
      <c r="G457">
        <v>-414.42489999999998</v>
      </c>
      <c r="H457">
        <v>0.86096620000000001</v>
      </c>
      <c r="I457">
        <v>366.9357</v>
      </c>
      <c r="J457">
        <v>-414.94940000000003</v>
      </c>
      <c r="K457">
        <v>1.0604769999999999</v>
      </c>
      <c r="L457">
        <v>366.93529999999998</v>
      </c>
      <c r="M457">
        <v>0.99984209999999996</v>
      </c>
      <c r="N457">
        <v>-1.4390740000000001E-2</v>
      </c>
      <c r="O457">
        <v>1.043026E-2</v>
      </c>
      <c r="P457">
        <v>0.95484040000000003</v>
      </c>
      <c r="Q457">
        <v>0.28613179999999999</v>
      </c>
      <c r="R457">
        <v>8.00535E-2</v>
      </c>
      <c r="S457">
        <v>3.4235530000000001</v>
      </c>
      <c r="T457">
        <v>-0.94494239999999996</v>
      </c>
      <c r="U457">
        <v>1.1932369999999999E-2</v>
      </c>
      <c r="V457">
        <v>-7.0043179999999997E-2</v>
      </c>
      <c r="W457">
        <v>0.29986479999999999</v>
      </c>
      <c r="X457">
        <v>0.95140690000000006</v>
      </c>
      <c r="Y457">
        <v>6.3456320000000004E-3</v>
      </c>
      <c r="Z457">
        <v>-3.5846910000000001E-3</v>
      </c>
      <c r="AA457">
        <v>0.99997340000000001</v>
      </c>
      <c r="AB457">
        <v>32</v>
      </c>
      <c r="AC457">
        <v>0.52450000000004504</v>
      </c>
      <c r="AD457">
        <v>-0.19951079999999999</v>
      </c>
      <c r="AE457">
        <v>4.0000000001327803E-4</v>
      </c>
      <c r="AF457">
        <v>4.4302430078555404E-3</v>
      </c>
      <c r="AG457">
        <v>-0.19951079999999999</v>
      </c>
      <c r="AH457">
        <v>0.45818096392413898</v>
      </c>
      <c r="AI457">
        <v>113.529305853067</v>
      </c>
      <c r="AJ457">
        <v>89.446012959098297</v>
      </c>
      <c r="AK457">
        <v>0.49975392151758202</v>
      </c>
      <c r="AL457">
        <v>72.550517430450697</v>
      </c>
      <c r="AM457">
        <v>94.210555559501003</v>
      </c>
      <c r="AN457">
        <v>1.0000000173555801</v>
      </c>
    </row>
    <row r="458" spans="1:40" x14ac:dyDescent="0.25">
      <c r="A458" t="str">
        <f>"20190304164108265"</f>
        <v>20190304164108265</v>
      </c>
      <c r="B458" t="str">
        <f>"1551688868252279"</f>
        <v>1551688868252279</v>
      </c>
      <c r="C458" t="s">
        <v>40</v>
      </c>
      <c r="D458">
        <v>4.5871839999999997</v>
      </c>
      <c r="E458">
        <v>0.52319280000000001</v>
      </c>
      <c r="F458" t="s">
        <v>41</v>
      </c>
      <c r="G458">
        <v>-414.09500000000003</v>
      </c>
      <c r="H458">
        <v>0.95968770000000003</v>
      </c>
      <c r="I458">
        <v>366.97449999999998</v>
      </c>
      <c r="J458">
        <v>-414.76589999999999</v>
      </c>
      <c r="K458">
        <v>1.0604640000000001</v>
      </c>
      <c r="L458">
        <v>366.93720000000002</v>
      </c>
      <c r="M458">
        <v>0.99984260000000003</v>
      </c>
      <c r="N458">
        <v>-1.438918E-2</v>
      </c>
      <c r="O458">
        <v>1.0377519999999999E-2</v>
      </c>
      <c r="P458">
        <v>0.95486170000000004</v>
      </c>
      <c r="Q458">
        <v>0.2860859</v>
      </c>
      <c r="R458">
        <v>7.9962939999999996E-2</v>
      </c>
      <c r="S458">
        <v>3.244049</v>
      </c>
      <c r="T458">
        <v>-0.38288879999999997</v>
      </c>
      <c r="U458">
        <v>0.15005489999999999</v>
      </c>
      <c r="V458">
        <v>-6.9992940000000003E-2</v>
      </c>
      <c r="W458">
        <v>0.29982019999999998</v>
      </c>
      <c r="X458">
        <v>0.95142459999999995</v>
      </c>
      <c r="Y458">
        <v>-3.5614449999999999E-2</v>
      </c>
      <c r="Z458">
        <v>1.2796929999999999E-3</v>
      </c>
      <c r="AA458">
        <v>0.99936480000000005</v>
      </c>
      <c r="AB458">
        <v>32</v>
      </c>
      <c r="AC458">
        <v>0.67089999999995997</v>
      </c>
      <c r="AD458">
        <v>-0.100776299999999</v>
      </c>
      <c r="AE458">
        <v>3.7299999999959199E-2</v>
      </c>
      <c r="AF458">
        <v>-2.9667656539866801E-2</v>
      </c>
      <c r="AG458">
        <v>-0.100776299999999</v>
      </c>
      <c r="AH458">
        <v>0.65648422849214305</v>
      </c>
      <c r="AI458">
        <v>98.718534370957201</v>
      </c>
      <c r="AJ458">
        <v>92.587534727766695</v>
      </c>
      <c r="AK458">
        <v>0.66483650226591995</v>
      </c>
      <c r="AL458">
        <v>72.553195158218799</v>
      </c>
      <c r="AM458">
        <v>94.207468301889307</v>
      </c>
      <c r="AN458">
        <v>0.99999996673152103</v>
      </c>
    </row>
    <row r="459" spans="1:40" x14ac:dyDescent="0.25">
      <c r="A459" t="str">
        <f>"20190304164108287"</f>
        <v>20190304164108287</v>
      </c>
      <c r="B459" t="str">
        <f>"1551688868271800"</f>
        <v>1551688868271800</v>
      </c>
      <c r="C459" t="s">
        <v>40</v>
      </c>
      <c r="D459">
        <v>4.5650550000000001</v>
      </c>
      <c r="E459">
        <v>0.51965030000000001</v>
      </c>
      <c r="F459" t="s">
        <v>41</v>
      </c>
      <c r="G459">
        <v>-413.80720000000002</v>
      </c>
      <c r="H459">
        <v>0.96396649999999995</v>
      </c>
      <c r="I459">
        <v>366.99020000000002</v>
      </c>
      <c r="J459">
        <v>-414.46660000000003</v>
      </c>
      <c r="K459">
        <v>1.060441</v>
      </c>
      <c r="L459">
        <v>366.9402</v>
      </c>
      <c r="M459">
        <v>0.99984390000000001</v>
      </c>
      <c r="N459">
        <v>-1.4386599999999999E-2</v>
      </c>
      <c r="O459">
        <v>1.0263929999999999E-2</v>
      </c>
      <c r="P459">
        <v>0.95496409999999998</v>
      </c>
      <c r="Q459">
        <v>0.2858425</v>
      </c>
      <c r="R459">
        <v>7.9611089999999995E-2</v>
      </c>
      <c r="S459">
        <v>3.2240600000000001</v>
      </c>
      <c r="T459">
        <v>-0.32464100000000001</v>
      </c>
      <c r="U459">
        <v>0.1792908</v>
      </c>
      <c r="V459">
        <v>-6.9731230000000005E-2</v>
      </c>
      <c r="W459">
        <v>0.29958000000000001</v>
      </c>
      <c r="X459">
        <v>0.95151949999999996</v>
      </c>
      <c r="Y459">
        <v>-4.5050590000000001E-2</v>
      </c>
      <c r="Z459">
        <v>1.703179E-3</v>
      </c>
      <c r="AA459">
        <v>0.99898330000000002</v>
      </c>
      <c r="AB459">
        <v>32</v>
      </c>
      <c r="AC459">
        <v>0.65940000000000498</v>
      </c>
      <c r="AD459">
        <v>-9.6474499999999894E-2</v>
      </c>
      <c r="AE459">
        <v>5.0000000000011299E-2</v>
      </c>
      <c r="AF459">
        <v>-4.2327759293576898E-2</v>
      </c>
      <c r="AG459">
        <v>-9.6474499999999894E-2</v>
      </c>
      <c r="AH459">
        <v>0.64612684957618205</v>
      </c>
      <c r="AI459">
        <v>98.474310386063806</v>
      </c>
      <c r="AJ459">
        <v>93.748089981134797</v>
      </c>
      <c r="AK459">
        <v>0.654659357299892</v>
      </c>
      <c r="AL459">
        <v>72.567621113143304</v>
      </c>
      <c r="AM459">
        <v>94.191375795687307</v>
      </c>
      <c r="AN459">
        <v>0.99999998985878102</v>
      </c>
    </row>
    <row r="460" spans="1:40" x14ac:dyDescent="0.25">
      <c r="A460" t="str">
        <f>"20190304164108299"</f>
        <v>20190304164108299</v>
      </c>
      <c r="B460" t="str">
        <f>"1551688868292295"</f>
        <v>1551688868292295</v>
      </c>
      <c r="C460" t="s">
        <v>40</v>
      </c>
      <c r="D460">
        <v>4.5557730000000003</v>
      </c>
      <c r="E460">
        <v>0.51886359999999998</v>
      </c>
      <c r="F460" t="s">
        <v>43</v>
      </c>
      <c r="G460">
        <v>-401.5172</v>
      </c>
      <c r="H460">
        <v>-0.05</v>
      </c>
      <c r="I460">
        <v>367.75360000000001</v>
      </c>
      <c r="J460">
        <v>-414.27629999999999</v>
      </c>
      <c r="K460">
        <v>1.0604260000000001</v>
      </c>
      <c r="L460">
        <v>366.94200000000001</v>
      </c>
      <c r="M460">
        <v>0.99984479999999998</v>
      </c>
      <c r="N460">
        <v>-1.438496E-2</v>
      </c>
      <c r="O460">
        <v>1.017761E-2</v>
      </c>
      <c r="P460">
        <v>0.95502600000000004</v>
      </c>
      <c r="Q460">
        <v>0.28565760000000001</v>
      </c>
      <c r="R460">
        <v>7.953201E-2</v>
      </c>
      <c r="S460">
        <v>3.2069700000000001</v>
      </c>
      <c r="T460">
        <v>-0.27500449999999999</v>
      </c>
      <c r="U460">
        <v>0.2014465</v>
      </c>
      <c r="V460">
        <v>-6.9722759999999995E-2</v>
      </c>
      <c r="W460">
        <v>0.29939670000000002</v>
      </c>
      <c r="X460">
        <v>0.95157780000000003</v>
      </c>
      <c r="Y460">
        <v>-5.2331929999999999E-2</v>
      </c>
      <c r="Z460">
        <v>1.8909129999999999E-3</v>
      </c>
      <c r="AA460">
        <v>0.99862799999999996</v>
      </c>
      <c r="AB460">
        <v>32</v>
      </c>
      <c r="AC460">
        <v>12.759099999999901</v>
      </c>
      <c r="AD460">
        <v>-1.1104259999999999</v>
      </c>
      <c r="AE460">
        <v>0.81160000000005506</v>
      </c>
      <c r="AF460">
        <v>-0.67658342840420205</v>
      </c>
      <c r="AG460">
        <v>-1.1104259999999999</v>
      </c>
      <c r="AH460">
        <v>12.6711127226081</v>
      </c>
      <c r="AI460">
        <v>95.001201229108503</v>
      </c>
      <c r="AJ460">
        <v>93.056447945410099</v>
      </c>
      <c r="AK460">
        <v>12.7376571105564</v>
      </c>
      <c r="AL460">
        <v>72.578628470290994</v>
      </c>
      <c r="AM460">
        <v>94.190612652673707</v>
      </c>
      <c r="AN460">
        <v>0.99999997834287302</v>
      </c>
    </row>
    <row r="461" spans="1:40" x14ac:dyDescent="0.25">
      <c r="A461" t="str">
        <f>"20190304164108311"</f>
        <v>20190304164108311</v>
      </c>
      <c r="B461" t="str">
        <f>"1551688868302056"</f>
        <v>1551688868302056</v>
      </c>
      <c r="C461" t="s">
        <v>40</v>
      </c>
      <c r="D461">
        <v>4.5665909999999998</v>
      </c>
      <c r="E461">
        <v>0.51891449999999995</v>
      </c>
      <c r="F461" t="s">
        <v>43</v>
      </c>
      <c r="G461">
        <v>-400.35019999999997</v>
      </c>
      <c r="H461">
        <v>-0.05</v>
      </c>
      <c r="I461">
        <v>367.83640000000003</v>
      </c>
      <c r="J461">
        <v>-414.10809999999998</v>
      </c>
      <c r="K461">
        <v>1.0604119999999999</v>
      </c>
      <c r="L461">
        <v>366.94369999999998</v>
      </c>
      <c r="M461">
        <v>0.99984580000000001</v>
      </c>
      <c r="N461">
        <v>-1.4383450000000001E-2</v>
      </c>
      <c r="O461">
        <v>1.009002E-2</v>
      </c>
      <c r="P461">
        <v>0.95512580000000002</v>
      </c>
      <c r="Q461">
        <v>0.28536139999999999</v>
      </c>
      <c r="R461">
        <v>7.9397229999999999E-2</v>
      </c>
      <c r="S461">
        <v>3.2004999999999999</v>
      </c>
      <c r="T461">
        <v>-0.25519760000000002</v>
      </c>
      <c r="U461">
        <v>0.20553589999999999</v>
      </c>
      <c r="V461">
        <v>-6.9661420000000002E-2</v>
      </c>
      <c r="W461">
        <v>0.2991028</v>
      </c>
      <c r="X461">
        <v>0.95167480000000004</v>
      </c>
      <c r="Y461">
        <v>-5.3834699999999999E-2</v>
      </c>
      <c r="Z461">
        <v>1.8714529999999999E-3</v>
      </c>
      <c r="AA461">
        <v>0.99854810000000005</v>
      </c>
      <c r="AB461">
        <v>32</v>
      </c>
      <c r="AC461">
        <v>13.757899999999999</v>
      </c>
      <c r="AD461">
        <v>-1.110412</v>
      </c>
      <c r="AE461">
        <v>0.89270000000004701</v>
      </c>
      <c r="AF461">
        <v>-0.74896424108033799</v>
      </c>
      <c r="AG461">
        <v>-1.110412</v>
      </c>
      <c r="AH461">
        <v>13.677482890630399</v>
      </c>
      <c r="AI461">
        <v>94.634488872889804</v>
      </c>
      <c r="AJ461">
        <v>93.134324916611703</v>
      </c>
      <c r="AK461">
        <v>13.7429072785801</v>
      </c>
      <c r="AL461">
        <v>72.596277917576003</v>
      </c>
      <c r="AM461">
        <v>94.186513755051294</v>
      </c>
      <c r="AN461">
        <v>1.0000000616796401</v>
      </c>
    </row>
    <row r="462" spans="1:40" x14ac:dyDescent="0.25">
      <c r="A462" t="str">
        <f>"20190304164108325"</f>
        <v>20190304164108325</v>
      </c>
      <c r="B462" t="str">
        <f>"1551688868311816"</f>
        <v>1551688868311816</v>
      </c>
      <c r="C462" t="s">
        <v>40</v>
      </c>
      <c r="D462">
        <v>4.867254</v>
      </c>
      <c r="E462">
        <v>0.51897819999999995</v>
      </c>
      <c r="F462" t="s">
        <v>43</v>
      </c>
      <c r="G462">
        <v>-400.05259999999998</v>
      </c>
      <c r="H462">
        <v>-0.05</v>
      </c>
      <c r="I462">
        <v>367.84219999999999</v>
      </c>
      <c r="J462">
        <v>-413.91539999999998</v>
      </c>
      <c r="K462">
        <v>1.0603959999999999</v>
      </c>
      <c r="L462">
        <v>366.94560000000001</v>
      </c>
      <c r="M462">
        <v>0.99984680000000004</v>
      </c>
      <c r="N462">
        <v>-1.4381710000000001E-2</v>
      </c>
      <c r="O462">
        <v>9.9834529999999998E-3</v>
      </c>
      <c r="P462">
        <v>0.95515249999999996</v>
      </c>
      <c r="Q462">
        <v>0.28528360000000003</v>
      </c>
      <c r="R462">
        <v>7.935623E-2</v>
      </c>
      <c r="S462">
        <v>3.1994020000000001</v>
      </c>
      <c r="T462">
        <v>-0.25275730000000002</v>
      </c>
      <c r="U462">
        <v>0.20452880000000001</v>
      </c>
      <c r="V462">
        <v>-6.9712189999999993E-2</v>
      </c>
      <c r="W462">
        <v>0.2990255</v>
      </c>
      <c r="X462">
        <v>0.95169530000000002</v>
      </c>
      <c r="Y462">
        <v>-5.3653390000000002E-2</v>
      </c>
      <c r="Z462">
        <v>1.8575E-3</v>
      </c>
      <c r="AA462">
        <v>0.9985579</v>
      </c>
      <c r="AB462">
        <v>32</v>
      </c>
      <c r="AC462">
        <v>13.862799999999901</v>
      </c>
      <c r="AD462">
        <v>-1.1103959999999999</v>
      </c>
      <c r="AE462">
        <v>0.89659999999997797</v>
      </c>
      <c r="AF462">
        <v>-0.75332927914790004</v>
      </c>
      <c r="AG462">
        <v>-1.1103959999999999</v>
      </c>
      <c r="AH462">
        <v>13.782999857342</v>
      </c>
      <c r="AI462">
        <v>94.599121549223995</v>
      </c>
      <c r="AJ462">
        <v>93.128468794902602</v>
      </c>
      <c r="AK462">
        <v>13.8481612262108</v>
      </c>
      <c r="AL462">
        <v>72.600918044401595</v>
      </c>
      <c r="AM462">
        <v>94.189464147606301</v>
      </c>
      <c r="AN462">
        <v>0.99999999156346797</v>
      </c>
    </row>
    <row r="463" spans="1:40" x14ac:dyDescent="0.25">
      <c r="A463" t="str">
        <f>"20190304164108341"</f>
        <v>20190304164108341</v>
      </c>
      <c r="B463" t="str">
        <f>"1551688868332312"</f>
        <v>1551688868332312</v>
      </c>
      <c r="C463" t="s">
        <v>40</v>
      </c>
      <c r="D463">
        <v>4.5395349999999999</v>
      </c>
      <c r="E463">
        <v>0.51903999999999995</v>
      </c>
      <c r="F463" t="s">
        <v>43</v>
      </c>
      <c r="G463">
        <v>-399.51740000000001</v>
      </c>
      <c r="H463">
        <v>-0.05</v>
      </c>
      <c r="I463">
        <v>367.8614</v>
      </c>
      <c r="J463">
        <v>-413.69200000000001</v>
      </c>
      <c r="K463">
        <v>1.060379</v>
      </c>
      <c r="L463">
        <v>366.9477</v>
      </c>
      <c r="M463">
        <v>0.99984810000000002</v>
      </c>
      <c r="N463">
        <v>-1.4379629999999999E-2</v>
      </c>
      <c r="O463">
        <v>9.848206E-3</v>
      </c>
      <c r="P463">
        <v>0.95524450000000005</v>
      </c>
      <c r="Q463">
        <v>0.28503079999999997</v>
      </c>
      <c r="R463">
        <v>7.9154799999999997E-2</v>
      </c>
      <c r="S463">
        <v>3.1976010000000001</v>
      </c>
      <c r="T463">
        <v>-0.24660399999999999</v>
      </c>
      <c r="U463">
        <v>0.20339969999999999</v>
      </c>
      <c r="V463">
        <v>-6.9628519999999999E-2</v>
      </c>
      <c r="W463">
        <v>0.2987747</v>
      </c>
      <c r="X463">
        <v>0.95178019999999997</v>
      </c>
      <c r="Y463">
        <v>-5.3480769999999997E-2</v>
      </c>
      <c r="Z463">
        <v>1.8265009999999999E-3</v>
      </c>
      <c r="AA463">
        <v>0.99856719999999999</v>
      </c>
      <c r="AB463">
        <v>32</v>
      </c>
      <c r="AC463">
        <v>14.1745999999999</v>
      </c>
      <c r="AD463">
        <v>-1.110379</v>
      </c>
      <c r="AE463">
        <v>0.91370000000000495</v>
      </c>
      <c r="AF463">
        <v>-0.76934531166529896</v>
      </c>
      <c r="AG463">
        <v>-1.110379</v>
      </c>
      <c r="AH463">
        <v>14.0967648320953</v>
      </c>
      <c r="AI463">
        <v>94.497130274693703</v>
      </c>
      <c r="AJ463">
        <v>93.123876504426804</v>
      </c>
      <c r="AK463">
        <v>14.161342184398301</v>
      </c>
      <c r="AL463">
        <v>72.615976382207094</v>
      </c>
      <c r="AM463">
        <v>94.184081805220302</v>
      </c>
      <c r="AN463">
        <v>1.00000000063476</v>
      </c>
    </row>
    <row r="464" spans="1:40" x14ac:dyDescent="0.25">
      <c r="A464" t="str">
        <f>"20190304164108353"</f>
        <v>20190304164108353</v>
      </c>
      <c r="B464" t="str">
        <f>"1551688868342072"</f>
        <v>1551688868342072</v>
      </c>
      <c r="C464" t="s">
        <v>40</v>
      </c>
      <c r="D464">
        <v>4.9543229999999996</v>
      </c>
      <c r="E464">
        <v>0.51923409999999903</v>
      </c>
      <c r="F464" t="s">
        <v>42</v>
      </c>
      <c r="G464">
        <v>-399.87009999999998</v>
      </c>
      <c r="H464" s="1">
        <v>-5.0730190000000001E-7</v>
      </c>
      <c r="I464">
        <v>367.82339999999999</v>
      </c>
      <c r="J464">
        <v>-413.53019999999998</v>
      </c>
      <c r="K464">
        <v>1.0603689999999999</v>
      </c>
      <c r="L464">
        <v>366.94909999999999</v>
      </c>
      <c r="M464">
        <v>0.99984930000000005</v>
      </c>
      <c r="N464">
        <v>-1.43781E-2</v>
      </c>
      <c r="O464">
        <v>9.7414979999999995E-3</v>
      </c>
      <c r="P464">
        <v>0.95531080000000002</v>
      </c>
      <c r="Q464">
        <v>0.28499099999999999</v>
      </c>
      <c r="R464">
        <v>7.8496040000000003E-2</v>
      </c>
      <c r="S464">
        <v>3.1969599999999998</v>
      </c>
      <c r="T464">
        <v>-0.24526039999999999</v>
      </c>
      <c r="U464">
        <v>0.2025757</v>
      </c>
      <c r="V464">
        <v>-6.9065269999999998E-2</v>
      </c>
      <c r="W464">
        <v>0.29873509999999998</v>
      </c>
      <c r="X464">
        <v>0.9518337</v>
      </c>
      <c r="Y464">
        <v>-5.334552E-2</v>
      </c>
      <c r="Z464">
        <v>1.820129E-3</v>
      </c>
      <c r="AA464">
        <v>0.99857439999999997</v>
      </c>
      <c r="AB464">
        <v>32</v>
      </c>
      <c r="AC464">
        <v>13.6601</v>
      </c>
      <c r="AD464">
        <v>-1.0603695073018999</v>
      </c>
      <c r="AE464">
        <v>0.87430000000000496</v>
      </c>
      <c r="AF464">
        <v>-0.73675359328476198</v>
      </c>
      <c r="AG464">
        <v>-1.0603695073018999</v>
      </c>
      <c r="AH464">
        <v>13.586435939033899</v>
      </c>
      <c r="AI464">
        <v>94.456150120077396</v>
      </c>
      <c r="AJ464">
        <v>93.103946293133205</v>
      </c>
      <c r="AK464">
        <v>13.6476529438107</v>
      </c>
      <c r="AL464">
        <v>72.618354437566794</v>
      </c>
      <c r="AM464">
        <v>94.150121560409204</v>
      </c>
      <c r="AN464">
        <v>1.0000000319739299</v>
      </c>
    </row>
    <row r="465" spans="1:40" x14ac:dyDescent="0.25">
      <c r="A465" t="str">
        <f>"20190304164108365"</f>
        <v>20190304164108365</v>
      </c>
      <c r="B465" t="str">
        <f>"1551688868351832"</f>
        <v>1551688868351832</v>
      </c>
      <c r="C465" t="s">
        <v>40</v>
      </c>
      <c r="D465">
        <v>4.5517539999999999</v>
      </c>
      <c r="E465">
        <v>0.51946130000000001</v>
      </c>
      <c r="F465" t="s">
        <v>42</v>
      </c>
      <c r="G465">
        <v>-399.63339999999999</v>
      </c>
      <c r="H465" s="1">
        <v>-5.9036510000000002E-7</v>
      </c>
      <c r="I465">
        <v>367.81400000000002</v>
      </c>
      <c r="J465">
        <v>-413.36070000000001</v>
      </c>
      <c r="K465">
        <v>1.06036</v>
      </c>
      <c r="L465">
        <v>366.95069999999998</v>
      </c>
      <c r="M465">
        <v>0.99985029999999997</v>
      </c>
      <c r="N465">
        <v>-1.4375519999999999E-2</v>
      </c>
      <c r="O465">
        <v>9.6280069999999992E-3</v>
      </c>
      <c r="P465">
        <v>0.95537510000000003</v>
      </c>
      <c r="Q465">
        <v>0.28489039999999999</v>
      </c>
      <c r="R465">
        <v>7.8077839999999996E-2</v>
      </c>
      <c r="S465">
        <v>3.1968079999999999</v>
      </c>
      <c r="T465">
        <v>-0.24392510000000001</v>
      </c>
      <c r="U465">
        <v>0.1989746</v>
      </c>
      <c r="V465">
        <v>-6.8748939999999994E-2</v>
      </c>
      <c r="W465">
        <v>0.29863410000000001</v>
      </c>
      <c r="X465">
        <v>0.95188830000000002</v>
      </c>
      <c r="Y465">
        <v>-5.2346219999999999E-2</v>
      </c>
      <c r="Z465">
        <v>1.774868E-3</v>
      </c>
      <c r="AA465">
        <v>0.99862740000000005</v>
      </c>
      <c r="AB465">
        <v>31</v>
      </c>
      <c r="AC465">
        <v>13.7273</v>
      </c>
      <c r="AD465">
        <v>-1.0603605903651001</v>
      </c>
      <c r="AE465">
        <v>0.86330000000003704</v>
      </c>
      <c r="AF465">
        <v>-0.72676047126245302</v>
      </c>
      <c r="AG465">
        <v>-1.0603605903651001</v>
      </c>
      <c r="AH465">
        <v>13.6538284602946</v>
      </c>
      <c r="AI465">
        <v>94.434442769168498</v>
      </c>
      <c r="AJ465">
        <v>93.0468413871628</v>
      </c>
      <c r="AK465">
        <v>13.714210767934899</v>
      </c>
      <c r="AL465">
        <v>72.624418233134605</v>
      </c>
      <c r="AM465">
        <v>94.130943158153698</v>
      </c>
      <c r="AN465">
        <v>1.00000003905541</v>
      </c>
    </row>
    <row r="466" spans="1:40" x14ac:dyDescent="0.25">
      <c r="A466" t="str">
        <f>"20190304164108377"</f>
        <v>20190304164108377</v>
      </c>
      <c r="B466" t="str">
        <f>"1551688868361592"</f>
        <v>1551688868361592</v>
      </c>
      <c r="C466" t="s">
        <v>40</v>
      </c>
      <c r="D466">
        <v>4.585439</v>
      </c>
      <c r="E466">
        <v>0.51967070000000004</v>
      </c>
      <c r="F466" t="s">
        <v>42</v>
      </c>
      <c r="G466">
        <v>-399.42149999999998</v>
      </c>
      <c r="H466" s="1">
        <v>-6.6376200000000001E-7</v>
      </c>
      <c r="I466">
        <v>367.8091</v>
      </c>
      <c r="J466">
        <v>-413.19150000000002</v>
      </c>
      <c r="K466">
        <v>1.0603549999999999</v>
      </c>
      <c r="L466">
        <v>366.9522</v>
      </c>
      <c r="M466">
        <v>0.99985159999999995</v>
      </c>
      <c r="N466">
        <v>-1.4369989999999999E-2</v>
      </c>
      <c r="O466">
        <v>9.5101549999999993E-3</v>
      </c>
      <c r="P466">
        <v>0.95545139999999995</v>
      </c>
      <c r="Q466">
        <v>0.2847691</v>
      </c>
      <c r="R466">
        <v>7.7586349999999998E-2</v>
      </c>
      <c r="S466">
        <v>3.196564</v>
      </c>
      <c r="T466">
        <v>-0.2431625</v>
      </c>
      <c r="U466">
        <v>0.19686890000000001</v>
      </c>
      <c r="V466">
        <v>-6.8364549999999996E-2</v>
      </c>
      <c r="W466">
        <v>0.29850939999999998</v>
      </c>
      <c r="X466">
        <v>0.951955</v>
      </c>
      <c r="Y466">
        <v>-5.1815800000000002E-2</v>
      </c>
      <c r="Z466">
        <v>1.7541589999999999E-3</v>
      </c>
      <c r="AA466">
        <v>0.99865510000000002</v>
      </c>
      <c r="AB466">
        <v>31</v>
      </c>
      <c r="AC466">
        <v>13.77</v>
      </c>
      <c r="AD466">
        <v>-1.060355663762</v>
      </c>
      <c r="AE466">
        <v>0.856899999999996</v>
      </c>
      <c r="AF466">
        <v>-0.72163032476708999</v>
      </c>
      <c r="AG466">
        <v>-1.060355663762</v>
      </c>
      <c r="AH466">
        <v>13.6966232136103</v>
      </c>
      <c r="AI466">
        <v>94.420747778358603</v>
      </c>
      <c r="AJ466">
        <v>93.015938837051493</v>
      </c>
      <c r="AK466">
        <v>13.7565472381301</v>
      </c>
      <c r="AL466">
        <v>72.631902850300904</v>
      </c>
      <c r="AM466">
        <v>94.107638623148205</v>
      </c>
      <c r="AN466">
        <v>0.99999994780502899</v>
      </c>
    </row>
    <row r="467" spans="1:40" x14ac:dyDescent="0.25">
      <c r="A467" t="str">
        <f>"20190304164108389"</f>
        <v>20190304164108389</v>
      </c>
      <c r="B467" t="str">
        <f>"1551688868382087"</f>
        <v>1551688868382087</v>
      </c>
      <c r="C467" t="s">
        <v>40</v>
      </c>
      <c r="D467">
        <v>4.5907660000000003</v>
      </c>
      <c r="E467">
        <v>0.51988540000000005</v>
      </c>
      <c r="F467" t="s">
        <v>42</v>
      </c>
      <c r="G467">
        <v>-399.19510000000002</v>
      </c>
      <c r="H467" s="1">
        <v>-7.4371389999999999E-7</v>
      </c>
      <c r="I467">
        <v>367.79820000000001</v>
      </c>
      <c r="J467">
        <v>-413.02339999999998</v>
      </c>
      <c r="K467">
        <v>1.0603479999999901</v>
      </c>
      <c r="L467">
        <v>366.95359999999999</v>
      </c>
      <c r="M467">
        <v>0.99985279999999999</v>
      </c>
      <c r="N467">
        <v>-1.436284E-2</v>
      </c>
      <c r="O467">
        <v>9.3911459999999995E-3</v>
      </c>
      <c r="P467">
        <v>0.9555226</v>
      </c>
      <c r="Q467">
        <v>0.28469250000000001</v>
      </c>
      <c r="R467">
        <v>7.6987589999999995E-2</v>
      </c>
      <c r="S467">
        <v>3.1963200000000001</v>
      </c>
      <c r="T467">
        <v>-0.242149</v>
      </c>
      <c r="U467">
        <v>0.19320680000000001</v>
      </c>
      <c r="V467">
        <v>-6.7875210000000005E-2</v>
      </c>
      <c r="W467">
        <v>0.29842800000000003</v>
      </c>
      <c r="X467">
        <v>0.95201559999999996</v>
      </c>
      <c r="Y467">
        <v>-5.0803760000000003E-2</v>
      </c>
      <c r="Z467">
        <v>1.710612E-3</v>
      </c>
      <c r="AA467">
        <v>0.99870720000000002</v>
      </c>
      <c r="AB467">
        <v>31</v>
      </c>
      <c r="AC467">
        <v>13.828299999999899</v>
      </c>
      <c r="AD467">
        <v>-1.0603487437139001</v>
      </c>
      <c r="AE467">
        <v>0.84460000000001401</v>
      </c>
      <c r="AF467">
        <v>-0.71052358927350301</v>
      </c>
      <c r="AG467">
        <v>-1.0603487437139001</v>
      </c>
      <c r="AH467">
        <v>13.7550468191885</v>
      </c>
      <c r="AI467">
        <v>94.402251574244104</v>
      </c>
      <c r="AJ467">
        <v>92.957012987298199</v>
      </c>
      <c r="AK467">
        <v>13.8141411686459</v>
      </c>
      <c r="AL467">
        <v>72.636790557533502</v>
      </c>
      <c r="AM467">
        <v>94.078077792783901</v>
      </c>
      <c r="AN467">
        <v>1.0000000089799499</v>
      </c>
    </row>
    <row r="468" spans="1:40" x14ac:dyDescent="0.25">
      <c r="A468" t="str">
        <f>"20190304164108403"</f>
        <v>20190304164108403</v>
      </c>
      <c r="B468" t="str">
        <f>"1551688868391847"</f>
        <v>1551688868391847</v>
      </c>
      <c r="C468" t="s">
        <v>40</v>
      </c>
      <c r="D468">
        <v>4.6190939999999996</v>
      </c>
      <c r="E468">
        <v>0.5199587</v>
      </c>
      <c r="F468" t="s">
        <v>42</v>
      </c>
      <c r="G468">
        <v>-398.85219999999998</v>
      </c>
      <c r="H468" s="1">
        <v>-8.6147829999999998E-7</v>
      </c>
      <c r="I468">
        <v>367.79410000000001</v>
      </c>
      <c r="J468">
        <v>-412.84030000000001</v>
      </c>
      <c r="K468">
        <v>1.0603419999999999</v>
      </c>
      <c r="L468">
        <v>366.95519999999999</v>
      </c>
      <c r="M468">
        <v>0.99985429999999997</v>
      </c>
      <c r="N468">
        <v>-1.435376E-2</v>
      </c>
      <c r="O468">
        <v>9.2599399999999995E-3</v>
      </c>
      <c r="P468">
        <v>0.95559530000000004</v>
      </c>
      <c r="Q468">
        <v>0.28464240000000002</v>
      </c>
      <c r="R468">
        <v>7.6266990000000007E-2</v>
      </c>
      <c r="S468">
        <v>3.1955870000000002</v>
      </c>
      <c r="T468">
        <v>-0.23910519999999999</v>
      </c>
      <c r="U468">
        <v>0.18954470000000001</v>
      </c>
      <c r="V468">
        <v>-6.7275870000000002E-2</v>
      </c>
      <c r="W468">
        <v>0.29837010000000003</v>
      </c>
      <c r="X468">
        <v>0.95207629999999999</v>
      </c>
      <c r="Y468">
        <v>-4.9814579999999997E-2</v>
      </c>
      <c r="Z468">
        <v>1.659294E-3</v>
      </c>
      <c r="AA468">
        <v>0.99875709999999995</v>
      </c>
      <c r="AB468">
        <v>31</v>
      </c>
      <c r="AC468">
        <v>13.988099999999999</v>
      </c>
      <c r="AD468">
        <v>-1.0603428614782999</v>
      </c>
      <c r="AE468">
        <v>0.83890000000002296</v>
      </c>
      <c r="AF468">
        <v>-0.70528361409798601</v>
      </c>
      <c r="AG468">
        <v>-1.0603428614782999</v>
      </c>
      <c r="AH468">
        <v>13.9155949067799</v>
      </c>
      <c r="AI468">
        <v>94.351848914561302</v>
      </c>
      <c r="AJ468">
        <v>92.901437337416496</v>
      </c>
      <c r="AK468">
        <v>13.9737444362563</v>
      </c>
      <c r="AL468">
        <v>72.640266535288404</v>
      </c>
      <c r="AM468">
        <v>94.041931290039898</v>
      </c>
      <c r="AN468">
        <v>1.0000000201399699</v>
      </c>
    </row>
    <row r="469" spans="1:40" x14ac:dyDescent="0.25">
      <c r="A469" t="str">
        <f>"20190304164108416"</f>
        <v>20190304164108416</v>
      </c>
      <c r="B469" t="str">
        <f>"1551688868401607"</f>
        <v>1551688868401607</v>
      </c>
      <c r="C469" t="s">
        <v>40</v>
      </c>
      <c r="D469">
        <v>4.6289020000000001</v>
      </c>
      <c r="E469">
        <v>0.52000270000000004</v>
      </c>
      <c r="F469" t="s">
        <v>42</v>
      </c>
      <c r="G469">
        <v>-398.70429999999999</v>
      </c>
      <c r="H469" s="1">
        <v>-9.1498859999999997E-7</v>
      </c>
      <c r="I469">
        <v>367.78219999999999</v>
      </c>
      <c r="J469">
        <v>-412.63659999999999</v>
      </c>
      <c r="K469">
        <v>1.0603359999999999</v>
      </c>
      <c r="L469">
        <v>366.95699999999999</v>
      </c>
      <c r="M469">
        <v>0.99985579999999996</v>
      </c>
      <c r="N469">
        <v>-1.4336150000000001E-2</v>
      </c>
      <c r="O469">
        <v>9.1119549999999997E-3</v>
      </c>
      <c r="P469">
        <v>0.95563909999999996</v>
      </c>
      <c r="Q469">
        <v>0.28459230000000002</v>
      </c>
      <c r="R469">
        <v>7.5903890000000002E-2</v>
      </c>
      <c r="S469">
        <v>3.1958920000000002</v>
      </c>
      <c r="T469">
        <v>-0.23972299999999999</v>
      </c>
      <c r="U469">
        <v>0.18698119999999999</v>
      </c>
      <c r="V469">
        <v>-6.7051250000000007E-2</v>
      </c>
      <c r="W469">
        <v>0.29830420000000002</v>
      </c>
      <c r="X469">
        <v>0.95211279999999998</v>
      </c>
      <c r="Y469">
        <v>-4.9159710000000002E-2</v>
      </c>
      <c r="Z469">
        <v>1.641357E-3</v>
      </c>
      <c r="AA469">
        <v>0.99878960000000006</v>
      </c>
      <c r="AB469">
        <v>31</v>
      </c>
      <c r="AC469">
        <v>13.9322999999999</v>
      </c>
      <c r="AD469">
        <v>-1.0603369149885999</v>
      </c>
      <c r="AE469">
        <v>0.82519999999999505</v>
      </c>
      <c r="AF469">
        <v>-0.69419535887879902</v>
      </c>
      <c r="AG469">
        <v>-1.0603369149885999</v>
      </c>
      <c r="AH469">
        <v>13.8592468061437</v>
      </c>
      <c r="AI469">
        <v>94.369579548789005</v>
      </c>
      <c r="AJ469">
        <v>92.867489937558204</v>
      </c>
      <c r="AK469">
        <v>13.9170738161146</v>
      </c>
      <c r="AL469">
        <v>72.644222563678994</v>
      </c>
      <c r="AM469">
        <v>94.028326709729498</v>
      </c>
      <c r="AN469">
        <v>1.00000002489402</v>
      </c>
    </row>
    <row r="470" spans="1:40" x14ac:dyDescent="0.25">
      <c r="A470" t="str">
        <f>"20190304164108432"</f>
        <v>20190304164108432</v>
      </c>
      <c r="B470" t="str">
        <f>"1551688868422103"</f>
        <v>1551688868422103</v>
      </c>
      <c r="C470" t="s">
        <v>40</v>
      </c>
      <c r="D470">
        <v>4.6205259999999999</v>
      </c>
      <c r="E470">
        <v>0.52007510000000001</v>
      </c>
      <c r="F470" t="s">
        <v>42</v>
      </c>
      <c r="G470">
        <v>-398.53899999999999</v>
      </c>
      <c r="H470" s="1">
        <v>-9.7402869999999898E-7</v>
      </c>
      <c r="I470">
        <v>367.77170000000001</v>
      </c>
      <c r="J470">
        <v>-412.4187</v>
      </c>
      <c r="K470">
        <v>1.0603279999999999</v>
      </c>
      <c r="L470">
        <v>366.9588</v>
      </c>
      <c r="M470">
        <v>0.99985749999999995</v>
      </c>
      <c r="N470">
        <v>-1.430938E-2</v>
      </c>
      <c r="O470">
        <v>8.9540330000000001E-3</v>
      </c>
      <c r="P470">
        <v>0.9555515</v>
      </c>
      <c r="Q470">
        <v>0.28503579999999901</v>
      </c>
      <c r="R470">
        <v>7.5338240000000001E-2</v>
      </c>
      <c r="S470">
        <v>3.1961979999999999</v>
      </c>
      <c r="T470">
        <v>-0.240398</v>
      </c>
      <c r="U470">
        <v>0.1847229</v>
      </c>
      <c r="V470">
        <v>-6.6634890000000002E-2</v>
      </c>
      <c r="W470">
        <v>0.29872100000000001</v>
      </c>
      <c r="X470">
        <v>0.9520113</v>
      </c>
      <c r="Y470">
        <v>-4.860946E-2</v>
      </c>
      <c r="Z470">
        <v>1.6286149999999999E-3</v>
      </c>
      <c r="AA470">
        <v>0.9988165</v>
      </c>
      <c r="AB470">
        <v>31</v>
      </c>
      <c r="AC470">
        <v>13.8797</v>
      </c>
      <c r="AD470">
        <v>-1.0603289740287001</v>
      </c>
      <c r="AE470">
        <v>0.81290000000001295</v>
      </c>
      <c r="AF470">
        <v>-0.68459370082969995</v>
      </c>
      <c r="AG470">
        <v>-1.0603289740287001</v>
      </c>
      <c r="AH470">
        <v>13.8061247656105</v>
      </c>
      <c r="AI470">
        <v>94.386403437435604</v>
      </c>
      <c r="AJ470">
        <v>92.838756679477797</v>
      </c>
      <c r="AK470">
        <v>13.8636952906497</v>
      </c>
      <c r="AL470">
        <v>72.619200027278694</v>
      </c>
      <c r="AM470">
        <v>94.003819526924502</v>
      </c>
      <c r="AN470">
        <v>0.99999997986699996</v>
      </c>
    </row>
    <row r="471" spans="1:40" x14ac:dyDescent="0.25">
      <c r="A471" t="str">
        <f>"20190304164108445"</f>
        <v>20190304164108445</v>
      </c>
      <c r="B471" t="str">
        <f>"1551688868431864"</f>
        <v>1551688868431864</v>
      </c>
      <c r="C471" t="s">
        <v>40</v>
      </c>
      <c r="D471">
        <v>4.6286040000000002</v>
      </c>
      <c r="E471">
        <v>0.52007689999999995</v>
      </c>
      <c r="F471" t="s">
        <v>42</v>
      </c>
      <c r="G471">
        <v>-398.31330000000003</v>
      </c>
      <c r="H471" s="1">
        <v>-1.053664E-6</v>
      </c>
      <c r="I471">
        <v>367.7611</v>
      </c>
      <c r="J471">
        <v>-412.23289999999997</v>
      </c>
      <c r="K471">
        <v>1.0603149999999999</v>
      </c>
      <c r="L471">
        <v>366.96039999999999</v>
      </c>
      <c r="M471">
        <v>0.99985919999999895</v>
      </c>
      <c r="N471">
        <v>-1.4280040000000001E-2</v>
      </c>
      <c r="O471">
        <v>8.8194520000000002E-3</v>
      </c>
      <c r="P471">
        <v>0.95554799999999995</v>
      </c>
      <c r="Q471">
        <v>0.28509859999999998</v>
      </c>
      <c r="R471">
        <v>7.5145409999999996E-2</v>
      </c>
      <c r="S471">
        <v>3.1968990000000002</v>
      </c>
      <c r="T471">
        <v>-0.24031530000000001</v>
      </c>
      <c r="U471">
        <v>0.18185419999999999</v>
      </c>
      <c r="V471">
        <v>-6.6569219999999998E-2</v>
      </c>
      <c r="W471">
        <v>0.29875610000000002</v>
      </c>
      <c r="X471">
        <v>0.95200490000000004</v>
      </c>
      <c r="Y471">
        <v>-4.7840479999999998E-2</v>
      </c>
      <c r="Z471">
        <v>1.60084299999999E-3</v>
      </c>
      <c r="AA471">
        <v>0.99885369999999996</v>
      </c>
      <c r="AB471">
        <v>31</v>
      </c>
      <c r="AC471">
        <v>13.9195999999999</v>
      </c>
      <c r="AD471">
        <v>-1.0603160536639999</v>
      </c>
      <c r="AE471">
        <v>0.80070000000000596</v>
      </c>
      <c r="AF471">
        <v>-0.67399512060716305</v>
      </c>
      <c r="AG471">
        <v>-1.0603160536639999</v>
      </c>
      <c r="AH471">
        <v>13.846043907984299</v>
      </c>
      <c r="AI471">
        <v>94.373947164422205</v>
      </c>
      <c r="AJ471">
        <v>92.786833404474507</v>
      </c>
      <c r="AK471">
        <v>13.902930319112199</v>
      </c>
      <c r="AL471">
        <v>72.617093057786903</v>
      </c>
      <c r="AM471">
        <v>93.999913300392905</v>
      </c>
      <c r="AN471">
        <v>0.99999999898131398</v>
      </c>
    </row>
    <row r="472" spans="1:40" x14ac:dyDescent="0.25">
      <c r="A472" t="str">
        <f>"20190304164108459"</f>
        <v>20190304164108459</v>
      </c>
      <c r="B472" t="str">
        <f>"1551688868452360"</f>
        <v>1551688868452360</v>
      </c>
      <c r="C472" t="s">
        <v>40</v>
      </c>
      <c r="D472">
        <v>4.6418429999999997</v>
      </c>
      <c r="E472">
        <v>0.52003880000000002</v>
      </c>
      <c r="F472" t="s">
        <v>42</v>
      </c>
      <c r="G472">
        <v>-398.15969999999999</v>
      </c>
      <c r="H472" s="1">
        <v>-1.1073430000000001E-6</v>
      </c>
      <c r="I472">
        <v>367.75580000000002</v>
      </c>
      <c r="J472">
        <v>-412.03269999999998</v>
      </c>
      <c r="K472">
        <v>1.0603049999999901</v>
      </c>
      <c r="L472">
        <v>366.96190000000001</v>
      </c>
      <c r="M472">
        <v>0.99986109999999995</v>
      </c>
      <c r="N472">
        <v>-1.423934E-2</v>
      </c>
      <c r="O472">
        <v>8.6747089999999992E-3</v>
      </c>
      <c r="P472">
        <v>0.95551779999999997</v>
      </c>
      <c r="Q472">
        <v>0.28525060000000002</v>
      </c>
      <c r="R472">
        <v>7.4954729999999997E-2</v>
      </c>
      <c r="S472">
        <v>3.1972049999999999</v>
      </c>
      <c r="T472">
        <v>-0.24088499999999999</v>
      </c>
      <c r="U472">
        <v>0.1807251</v>
      </c>
      <c r="V472">
        <v>-6.6515459999999998E-2</v>
      </c>
      <c r="W472">
        <v>0.298869</v>
      </c>
      <c r="X472">
        <v>0.95197330000000002</v>
      </c>
      <c r="Y472">
        <v>-4.7627999999999997E-2</v>
      </c>
      <c r="Z472">
        <v>1.6014079999999999E-3</v>
      </c>
      <c r="AA472">
        <v>0.99886390000000003</v>
      </c>
      <c r="AB472">
        <v>31</v>
      </c>
      <c r="AC472">
        <v>13.8729999999999</v>
      </c>
      <c r="AD472">
        <v>-1.06030610734299</v>
      </c>
      <c r="AE472">
        <v>0.79390000000000704</v>
      </c>
      <c r="AF472">
        <v>-0.66961493208662803</v>
      </c>
      <c r="AG472">
        <v>-1.06030610734299</v>
      </c>
      <c r="AH472">
        <v>13.799022070272899</v>
      </c>
      <c r="AI472">
        <v>94.388784899994803</v>
      </c>
      <c r="AJ472">
        <v>92.778170581797895</v>
      </c>
      <c r="AK472">
        <v>13.8558883978769</v>
      </c>
      <c r="AL472">
        <v>72.610316031738904</v>
      </c>
      <c r="AM472">
        <v>93.996825758340805</v>
      </c>
      <c r="AN472">
        <v>1.0000000747464399</v>
      </c>
    </row>
    <row r="473" spans="1:40" x14ac:dyDescent="0.25">
      <c r="A473" t="str">
        <f>"20190304164108475"</f>
        <v>20190304164108475</v>
      </c>
      <c r="B473" t="str">
        <f>"1551688868462120"</f>
        <v>1551688868462120</v>
      </c>
      <c r="C473" t="s">
        <v>40</v>
      </c>
      <c r="D473">
        <v>4.6368489999999998</v>
      </c>
      <c r="E473">
        <v>0.52001239999999904</v>
      </c>
      <c r="F473" t="s">
        <v>42</v>
      </c>
      <c r="G473">
        <v>-397.99450000000002</v>
      </c>
      <c r="H473" s="1">
        <v>-1.1727800000000001E-6</v>
      </c>
      <c r="I473">
        <v>367.75529999999998</v>
      </c>
      <c r="J473">
        <v>-411.81150000000002</v>
      </c>
      <c r="K473">
        <v>1.060297</v>
      </c>
      <c r="L473">
        <v>366.96370000000002</v>
      </c>
      <c r="M473">
        <v>0.99986330000000001</v>
      </c>
      <c r="N473">
        <v>-1.418343E-2</v>
      </c>
      <c r="O473">
        <v>8.5163119999999998E-3</v>
      </c>
      <c r="P473">
        <v>0.95545709999999995</v>
      </c>
      <c r="Q473">
        <v>0.28534419999999999</v>
      </c>
      <c r="R473">
        <v>7.537104E-2</v>
      </c>
      <c r="S473">
        <v>3.19754</v>
      </c>
      <c r="T473">
        <v>-0.2415088</v>
      </c>
      <c r="U473">
        <v>0.1807251</v>
      </c>
      <c r="V473">
        <v>-6.7082429999999998E-2</v>
      </c>
      <c r="W473">
        <v>0.29890899999999998</v>
      </c>
      <c r="X473">
        <v>0.95192089999999996</v>
      </c>
      <c r="Y473">
        <v>-4.7779019999999998E-2</v>
      </c>
      <c r="Z473">
        <v>1.618867E-3</v>
      </c>
      <c r="AA473">
        <v>0.99885659999999998</v>
      </c>
      <c r="AB473">
        <v>31</v>
      </c>
      <c r="AC473">
        <v>13.817</v>
      </c>
      <c r="AD473">
        <v>-1.06029817278</v>
      </c>
      <c r="AE473">
        <v>0.791599999999959</v>
      </c>
      <c r="AF473">
        <v>-0.66995723307677801</v>
      </c>
      <c r="AG473">
        <v>-1.06029817278</v>
      </c>
      <c r="AH473">
        <v>13.7425781741749</v>
      </c>
      <c r="AI473">
        <v>94.406659177679202</v>
      </c>
      <c r="AJ473">
        <v>92.790986918839806</v>
      </c>
      <c r="AK473">
        <v>13.799693104654899</v>
      </c>
      <c r="AL473">
        <v>72.607913458281502</v>
      </c>
      <c r="AM473">
        <v>94.031003558852703</v>
      </c>
      <c r="AN473">
        <v>1.0000000212762501</v>
      </c>
    </row>
    <row r="474" spans="1:40" x14ac:dyDescent="0.25">
      <c r="A474" t="str">
        <f>"20190304164108487"</f>
        <v>20190304164108487</v>
      </c>
      <c r="B474" t="str">
        <f>"1551688868481640"</f>
        <v>1551688868481640</v>
      </c>
      <c r="C474" t="s">
        <v>40</v>
      </c>
      <c r="D474">
        <v>4.6547409999999996</v>
      </c>
      <c r="E474">
        <v>0.51997919999999997</v>
      </c>
      <c r="F474" t="s">
        <v>42</v>
      </c>
      <c r="G474">
        <v>-397.80130000000003</v>
      </c>
      <c r="H474" s="1">
        <v>-1.2540270000000001E-6</v>
      </c>
      <c r="I474">
        <v>367.76440000000002</v>
      </c>
      <c r="J474">
        <v>-411.64</v>
      </c>
      <c r="K474">
        <v>1.060289</v>
      </c>
      <c r="L474">
        <v>366.96499999999997</v>
      </c>
      <c r="M474">
        <v>0.999865</v>
      </c>
      <c r="N474">
        <v>-1.4134290000000001E-2</v>
      </c>
      <c r="O474">
        <v>8.3944659999999997E-3</v>
      </c>
      <c r="P474">
        <v>0.95543080000000002</v>
      </c>
      <c r="Q474">
        <v>0.28541830000000001</v>
      </c>
      <c r="R474">
        <v>7.5423240000000003E-2</v>
      </c>
      <c r="S474">
        <v>3.1976930000000001</v>
      </c>
      <c r="T474">
        <v>-0.24200240000000001</v>
      </c>
      <c r="U474">
        <v>0.18276980000000001</v>
      </c>
      <c r="V474">
        <v>-6.7250210000000005E-2</v>
      </c>
      <c r="W474">
        <v>0.2989367</v>
      </c>
      <c r="X474">
        <v>0.95190039999999998</v>
      </c>
      <c r="Y474">
        <v>-4.853151E-2</v>
      </c>
      <c r="Z474">
        <v>1.660784E-3</v>
      </c>
      <c r="AA474">
        <v>0.99882020000000005</v>
      </c>
      <c r="AB474">
        <v>31</v>
      </c>
      <c r="AC474">
        <v>13.8386999999999</v>
      </c>
      <c r="AD474">
        <v>-1.0602902540270001</v>
      </c>
      <c r="AE474">
        <v>0.79940000000004796</v>
      </c>
      <c r="AF474">
        <v>-0.67921780174114799</v>
      </c>
      <c r="AG474">
        <v>-1.0602902540270001</v>
      </c>
      <c r="AH474">
        <v>13.764391381594599</v>
      </c>
      <c r="AI474">
        <v>94.399542708007502</v>
      </c>
      <c r="AJ474">
        <v>92.825026617902907</v>
      </c>
      <c r="AK474">
        <v>13.8218675420763</v>
      </c>
      <c r="AL474">
        <v>72.606250953186205</v>
      </c>
      <c r="AM474">
        <v>94.041138889183699</v>
      </c>
      <c r="AN474">
        <v>1.0000000564360401</v>
      </c>
    </row>
    <row r="475" spans="1:40" x14ac:dyDescent="0.25">
      <c r="A475" t="str">
        <f>"20190304164108498"</f>
        <v>20190304164108498</v>
      </c>
      <c r="B475" t="str">
        <f>"1551688868491400"</f>
        <v>1551688868491400</v>
      </c>
      <c r="C475" t="s">
        <v>40</v>
      </c>
      <c r="D475">
        <v>4.6443949999999896</v>
      </c>
      <c r="E475">
        <v>0.5199705</v>
      </c>
      <c r="F475" t="s">
        <v>42</v>
      </c>
      <c r="G475">
        <v>-397.72770000000003</v>
      </c>
      <c r="H475" s="1">
        <v>-1.2854509999999999E-6</v>
      </c>
      <c r="I475">
        <v>367.76530000000002</v>
      </c>
      <c r="J475">
        <v>-411.48410000000001</v>
      </c>
      <c r="K475">
        <v>1.060279</v>
      </c>
      <c r="L475">
        <v>366.96620000000001</v>
      </c>
      <c r="M475">
        <v>0.99986640000000004</v>
      </c>
      <c r="N475">
        <v>-1.4085179999999999E-2</v>
      </c>
      <c r="O475">
        <v>8.2844800000000003E-3</v>
      </c>
      <c r="P475">
        <v>0.95541719999999997</v>
      </c>
      <c r="Q475">
        <v>0.28537309999999999</v>
      </c>
      <c r="R475">
        <v>7.5763620000000004E-2</v>
      </c>
      <c r="S475">
        <v>3.198242</v>
      </c>
      <c r="T475">
        <v>-0.24374509999999999</v>
      </c>
      <c r="U475">
        <v>0.1839905</v>
      </c>
      <c r="V475">
        <v>-6.7694829999999998E-2</v>
      </c>
      <c r="W475">
        <v>0.29884440000000001</v>
      </c>
      <c r="X475">
        <v>0.95189780000000002</v>
      </c>
      <c r="Y475">
        <v>-4.9008000000000003E-2</v>
      </c>
      <c r="Z475">
        <v>1.6958679999999999E-3</v>
      </c>
      <c r="AA475">
        <v>0.99879689999999999</v>
      </c>
      <c r="AB475">
        <v>31</v>
      </c>
      <c r="AC475">
        <v>13.7563999999999</v>
      </c>
      <c r="AD475">
        <v>-1.0602802854510001</v>
      </c>
      <c r="AE475">
        <v>0.79910000000000903</v>
      </c>
      <c r="AF475">
        <v>-0.68106429808279501</v>
      </c>
      <c r="AG475">
        <v>-1.0602802854510001</v>
      </c>
      <c r="AH475">
        <v>13.6815450884539</v>
      </c>
      <c r="AI475">
        <v>94.425941864774103</v>
      </c>
      <c r="AJ475">
        <v>92.849818849962602</v>
      </c>
      <c r="AK475">
        <v>13.7394584634634</v>
      </c>
      <c r="AL475">
        <v>72.611791551416999</v>
      </c>
      <c r="AM475">
        <v>94.067778270478897</v>
      </c>
      <c r="AN475">
        <v>0.99999999353246405</v>
      </c>
    </row>
    <row r="476" spans="1:40" x14ac:dyDescent="0.25">
      <c r="A476" t="str">
        <f>"20190304164108509"</f>
        <v>20190304164108509</v>
      </c>
      <c r="B476" t="str">
        <f>"1551688868502136"</f>
        <v>1551688868502136</v>
      </c>
      <c r="C476" t="s">
        <v>40</v>
      </c>
      <c r="D476">
        <v>4.7072469999999997</v>
      </c>
      <c r="E476">
        <v>0.52017550000000001</v>
      </c>
      <c r="F476" t="s">
        <v>42</v>
      </c>
      <c r="G476">
        <v>-397.61219999999997</v>
      </c>
      <c r="H476" s="1">
        <v>-1.3337700000000001E-6</v>
      </c>
      <c r="I476">
        <v>367.7724</v>
      </c>
      <c r="J476">
        <v>-411.32749999999999</v>
      </c>
      <c r="K476">
        <v>1.060268</v>
      </c>
      <c r="L476">
        <v>366.9674</v>
      </c>
      <c r="M476">
        <v>0.99986819999999998</v>
      </c>
      <c r="N476">
        <v>-1.403192E-2</v>
      </c>
      <c r="O476">
        <v>8.1757089999999998E-3</v>
      </c>
      <c r="P476">
        <v>0.95536940000000004</v>
      </c>
      <c r="Q476">
        <v>0.2854757</v>
      </c>
      <c r="R476">
        <v>7.5980279999999997E-2</v>
      </c>
      <c r="S476">
        <v>3.198242</v>
      </c>
      <c r="T476">
        <v>-0.24445130000000001</v>
      </c>
      <c r="U476">
        <v>0.18588260000000001</v>
      </c>
      <c r="V476">
        <v>-6.8014580000000005E-2</v>
      </c>
      <c r="W476">
        <v>0.29889569999999999</v>
      </c>
      <c r="X476">
        <v>0.95185889999999995</v>
      </c>
      <c r="Y476">
        <v>-4.9702330000000003E-2</v>
      </c>
      <c r="Z476">
        <v>1.735795E-3</v>
      </c>
      <c r="AA476">
        <v>0.9987625</v>
      </c>
      <c r="AB476">
        <v>31</v>
      </c>
      <c r="AC476">
        <v>13.715299999999999</v>
      </c>
      <c r="AD476">
        <v>-1.06026933377</v>
      </c>
      <c r="AE476">
        <v>0.80500000000000604</v>
      </c>
      <c r="AF476">
        <v>-0.68872794276872595</v>
      </c>
      <c r="AG476">
        <v>-1.06026933377</v>
      </c>
      <c r="AH476">
        <v>13.640187606435401</v>
      </c>
      <c r="AI476">
        <v>94.4391046203028</v>
      </c>
      <c r="AJ476">
        <v>92.890555560741106</v>
      </c>
      <c r="AK476">
        <v>13.698658152462899</v>
      </c>
      <c r="AL476">
        <v>72.608711509654995</v>
      </c>
      <c r="AM476">
        <v>94.087093530097306</v>
      </c>
      <c r="AN476">
        <v>0.99999999404013795</v>
      </c>
    </row>
    <row r="477" spans="1:40" x14ac:dyDescent="0.25">
      <c r="A477" t="str">
        <f>"20190304164108520"</f>
        <v>20190304164108520</v>
      </c>
      <c r="B477" t="str">
        <f>"1551688868511895"</f>
        <v>1551688868511895</v>
      </c>
      <c r="C477" t="s">
        <v>40</v>
      </c>
      <c r="D477">
        <v>4.6569789999999998</v>
      </c>
      <c r="E477">
        <v>0.52017550000000001</v>
      </c>
      <c r="F477" t="s">
        <v>42</v>
      </c>
      <c r="G477">
        <v>-397.4366</v>
      </c>
      <c r="H477" s="1">
        <v>-1.40937E-6</v>
      </c>
      <c r="I477">
        <v>367.77080000000001</v>
      </c>
      <c r="J477">
        <v>-411.16930000000002</v>
      </c>
      <c r="K477">
        <v>1.0602560000000001</v>
      </c>
      <c r="L477">
        <v>366.96859999999998</v>
      </c>
      <c r="M477">
        <v>0.99986980000000003</v>
      </c>
      <c r="N477">
        <v>-1.3976590000000001E-2</v>
      </c>
      <c r="O477">
        <v>8.0666509999999993E-3</v>
      </c>
      <c r="P477">
        <v>0.95528650000000004</v>
      </c>
      <c r="Q477">
        <v>0.28563</v>
      </c>
      <c r="R477">
        <v>7.6440980000000006E-2</v>
      </c>
      <c r="S477">
        <v>3.1983950000000001</v>
      </c>
      <c r="T477">
        <v>-0.2441258</v>
      </c>
      <c r="U477">
        <v>0.18499760000000001</v>
      </c>
      <c r="V477">
        <v>-6.8578719999999996E-2</v>
      </c>
      <c r="W477">
        <v>0.29899720000000002</v>
      </c>
      <c r="X477">
        <v>0.95178649999999998</v>
      </c>
      <c r="Y477">
        <v>-4.9533960000000002E-2</v>
      </c>
      <c r="Z477">
        <v>1.7314139999999999E-3</v>
      </c>
      <c r="AA477">
        <v>0.99877099999999996</v>
      </c>
      <c r="AB477">
        <v>31</v>
      </c>
      <c r="AC477">
        <v>13.732699999999999</v>
      </c>
      <c r="AD477">
        <v>-1.0602574093699999</v>
      </c>
      <c r="AE477">
        <v>0.802200000000027</v>
      </c>
      <c r="AF477">
        <v>-0.68730317397227503</v>
      </c>
      <c r="AG477">
        <v>-1.0602574093699999</v>
      </c>
      <c r="AH477">
        <v>13.6575903349879</v>
      </c>
      <c r="AI477">
        <v>94.433458589174293</v>
      </c>
      <c r="AJ477">
        <v>92.880916598003196</v>
      </c>
      <c r="AK477">
        <v>13.7159143036631</v>
      </c>
      <c r="AL477">
        <v>72.602616580482405</v>
      </c>
      <c r="AM477">
        <v>94.121189586589395</v>
      </c>
      <c r="AN477">
        <v>0.99999995401346298</v>
      </c>
    </row>
    <row r="478" spans="1:40" x14ac:dyDescent="0.25">
      <c r="A478" t="str">
        <f>"20190304164108532"</f>
        <v>20190304164108532</v>
      </c>
      <c r="B478" t="str">
        <f>"1551688868521655"</f>
        <v>1551688868521655</v>
      </c>
      <c r="C478" t="s">
        <v>40</v>
      </c>
      <c r="D478">
        <v>4.6414849999999896</v>
      </c>
      <c r="E478">
        <v>0.54730419999999902</v>
      </c>
      <c r="F478" t="s">
        <v>42</v>
      </c>
      <c r="G478">
        <v>-397.24900000000002</v>
      </c>
      <c r="H478" s="1">
        <v>-1.4878880000000001E-6</v>
      </c>
      <c r="I478">
        <v>367.78190000000001</v>
      </c>
      <c r="J478">
        <v>-411.01650000000001</v>
      </c>
      <c r="K478">
        <v>1.0602480000000001</v>
      </c>
      <c r="L478">
        <v>366.96969999999999</v>
      </c>
      <c r="M478">
        <v>0.99987139999999997</v>
      </c>
      <c r="N478">
        <v>-1.392053E-2</v>
      </c>
      <c r="O478">
        <v>7.9634409999999999E-3</v>
      </c>
      <c r="P478">
        <v>0.95530150000000003</v>
      </c>
      <c r="Q478">
        <v>0.28550979999999998</v>
      </c>
      <c r="R478">
        <v>7.6705460000000003E-2</v>
      </c>
      <c r="S478">
        <v>3.198334</v>
      </c>
      <c r="T478">
        <v>-0.24360380000000001</v>
      </c>
      <c r="U478">
        <v>0.18688959999999999</v>
      </c>
      <c r="V478">
        <v>-6.8941180000000005E-2</v>
      </c>
      <c r="W478">
        <v>0.29882429999999999</v>
      </c>
      <c r="X478">
        <v>0.95181470000000001</v>
      </c>
      <c r="Y478">
        <v>-5.022517E-2</v>
      </c>
      <c r="Z478">
        <v>1.7643589999999901E-3</v>
      </c>
      <c r="AA478">
        <v>0.99873639999999997</v>
      </c>
      <c r="AB478">
        <v>31</v>
      </c>
      <c r="AC478">
        <v>13.767499999999901</v>
      </c>
      <c r="AD478">
        <v>-1.06024948788799</v>
      </c>
      <c r="AE478">
        <v>0.81220000000001802</v>
      </c>
      <c r="AF478">
        <v>-0.69839931211483797</v>
      </c>
      <c r="AG478">
        <v>-1.06024948788799</v>
      </c>
      <c r="AH478">
        <v>13.692606796276801</v>
      </c>
      <c r="AI478">
        <v>94.421981181111505</v>
      </c>
      <c r="AJ478">
        <v>92.919873971225499</v>
      </c>
      <c r="AK478">
        <v>13.751340714751199</v>
      </c>
      <c r="AL478">
        <v>72.612999100118799</v>
      </c>
      <c r="AM478">
        <v>94.142773402825</v>
      </c>
      <c r="AN478">
        <v>1.00000003585318</v>
      </c>
    </row>
    <row r="479" spans="1:40" x14ac:dyDescent="0.25">
      <c r="A479" t="str">
        <f>"20190304164108545"</f>
        <v>20190304164108545</v>
      </c>
      <c r="B479" t="str">
        <f>"1551688868531415"</f>
        <v>1551688868531415</v>
      </c>
      <c r="C479" t="s">
        <v>40</v>
      </c>
      <c r="D479">
        <v>4.5643399999999996</v>
      </c>
      <c r="E479">
        <v>0.54927630000000005</v>
      </c>
      <c r="F479" t="s">
        <v>42</v>
      </c>
      <c r="G479">
        <v>-393.76580000000001</v>
      </c>
      <c r="H479" s="1">
        <v>-3.1587419999999998E-6</v>
      </c>
      <c r="I479">
        <v>366.78629999999998</v>
      </c>
      <c r="J479">
        <v>-410.84559999999999</v>
      </c>
      <c r="K479">
        <v>1.0602309999999999</v>
      </c>
      <c r="L479">
        <v>366.97089999999997</v>
      </c>
      <c r="M479">
        <v>0.99987320000000002</v>
      </c>
      <c r="N479">
        <v>-1.38572E-2</v>
      </c>
      <c r="O479">
        <v>7.8480040000000004E-3</v>
      </c>
      <c r="P479">
        <v>0.95524759999999997</v>
      </c>
      <c r="Q479">
        <v>0.285674599999999</v>
      </c>
      <c r="R479">
        <v>7.6759499999999994E-2</v>
      </c>
      <c r="S479">
        <v>3.201965</v>
      </c>
      <c r="T479">
        <v>-0.19679630000000001</v>
      </c>
      <c r="U479">
        <v>-3.4027099999999998E-2</v>
      </c>
      <c r="V479">
        <v>-6.9104020000000002E-2</v>
      </c>
      <c r="W479">
        <v>0.29892849999999999</v>
      </c>
      <c r="X479">
        <v>0.95177009999999995</v>
      </c>
      <c r="Y479">
        <v>1.8422830000000001E-2</v>
      </c>
      <c r="Z479">
        <v>-1.066602E-3</v>
      </c>
      <c r="AA479">
        <v>0.99982969999999904</v>
      </c>
      <c r="AB479">
        <v>31</v>
      </c>
      <c r="AC479">
        <v>17.079799999999899</v>
      </c>
      <c r="AD479">
        <v>-1.0602341587420001</v>
      </c>
      <c r="AE479">
        <v>-0.184599999999988</v>
      </c>
      <c r="AF479">
        <v>0.31742651075334999</v>
      </c>
      <c r="AG479">
        <v>-1.0602341587420001</v>
      </c>
      <c r="AH479">
        <v>17.012278487026801</v>
      </c>
      <c r="AI479">
        <v>93.565539309073898</v>
      </c>
      <c r="AJ479">
        <v>88.931060926021004</v>
      </c>
      <c r="AK479">
        <v>17.048239656376499</v>
      </c>
      <c r="AL479">
        <v>72.606741712322403</v>
      </c>
      <c r="AM479">
        <v>94.152718406694504</v>
      </c>
      <c r="AN479">
        <v>0.99999996847320904</v>
      </c>
    </row>
    <row r="480" spans="1:40" x14ac:dyDescent="0.25">
      <c r="A480" t="str">
        <f>"20190304164108556"</f>
        <v>20190304164108556</v>
      </c>
      <c r="B480" t="str">
        <f>"1551688868551911"</f>
        <v>1551688868551911</v>
      </c>
      <c r="C480" t="s">
        <v>40</v>
      </c>
      <c r="D480">
        <v>4.525067</v>
      </c>
      <c r="E480">
        <v>0.55232269999999895</v>
      </c>
      <c r="F480" t="s">
        <v>42</v>
      </c>
      <c r="G480">
        <v>-392.51429999999999</v>
      </c>
      <c r="H480" s="1">
        <v>-3.7142029999999998E-6</v>
      </c>
      <c r="I480">
        <v>366.68169999999998</v>
      </c>
      <c r="J480">
        <v>-410.6703</v>
      </c>
      <c r="K480">
        <v>1.060222</v>
      </c>
      <c r="L480">
        <v>366.97210000000001</v>
      </c>
      <c r="M480">
        <v>0.99987510000000002</v>
      </c>
      <c r="N480">
        <v>-1.379059E-2</v>
      </c>
      <c r="O480">
        <v>7.7302739999999997E-3</v>
      </c>
      <c r="P480">
        <v>0.95520539999999998</v>
      </c>
      <c r="Q480">
        <v>0.28581139999999999</v>
      </c>
      <c r="R480">
        <v>7.6776590000000006E-2</v>
      </c>
      <c r="S480">
        <v>3.199951</v>
      </c>
      <c r="T480">
        <v>-0.18507609999999999</v>
      </c>
      <c r="U480">
        <v>-5.0476069999999998E-2</v>
      </c>
      <c r="V480">
        <v>-6.9233520000000007E-2</v>
      </c>
      <c r="W480">
        <v>0.29900130000000003</v>
      </c>
      <c r="X480">
        <v>0.95173790000000003</v>
      </c>
      <c r="Y480">
        <v>2.34456E-2</v>
      </c>
      <c r="Z480">
        <v>-1.1794189999999999E-3</v>
      </c>
      <c r="AA480">
        <v>0.99972439999999996</v>
      </c>
      <c r="AB480">
        <v>31</v>
      </c>
      <c r="AC480">
        <v>18.155999999999999</v>
      </c>
      <c r="AD480">
        <v>-1.060225714203</v>
      </c>
      <c r="AE480">
        <v>-0.29040000000003302</v>
      </c>
      <c r="AF480">
        <v>0.42929199554587699</v>
      </c>
      <c r="AG480">
        <v>-1.060225714203</v>
      </c>
      <c r="AH480">
        <v>18.091535695203898</v>
      </c>
      <c r="AI480">
        <v>93.352950504080596</v>
      </c>
      <c r="AJ480">
        <v>88.640690042079498</v>
      </c>
      <c r="AK480">
        <v>18.127659363341198</v>
      </c>
      <c r="AL480">
        <v>72.602372021539395</v>
      </c>
      <c r="AM480">
        <v>94.160613509775601</v>
      </c>
      <c r="AN480">
        <v>1.00000004399484</v>
      </c>
    </row>
    <row r="481" spans="1:40" x14ac:dyDescent="0.25">
      <c r="A481" t="str">
        <f>"20190304164108569"</f>
        <v>20190304164108569</v>
      </c>
      <c r="B481" t="str">
        <f>"1551688868561672"</f>
        <v>1551688868561672</v>
      </c>
      <c r="C481" t="s">
        <v>40</v>
      </c>
      <c r="D481">
        <v>4.5142540000000002</v>
      </c>
      <c r="E481">
        <v>0.55325970000000002</v>
      </c>
      <c r="F481" t="s">
        <v>42</v>
      </c>
      <c r="G481">
        <v>-391.38810000000001</v>
      </c>
      <c r="H481" s="1">
        <v>-4.2267139999999997E-6</v>
      </c>
      <c r="I481">
        <v>366.51609999999999</v>
      </c>
      <c r="J481">
        <v>-410.50080000000003</v>
      </c>
      <c r="K481">
        <v>1.0602129999999901</v>
      </c>
      <c r="L481">
        <v>366.97329999999999</v>
      </c>
      <c r="M481">
        <v>0.99987680000000001</v>
      </c>
      <c r="N481">
        <v>-1.372689E-2</v>
      </c>
      <c r="O481">
        <v>7.6148119999999899E-3</v>
      </c>
      <c r="P481">
        <v>0.95518210000000003</v>
      </c>
      <c r="Q481">
        <v>0.28592800000000002</v>
      </c>
      <c r="R481">
        <v>7.6631249999999998E-2</v>
      </c>
      <c r="S481">
        <v>3.1994020000000001</v>
      </c>
      <c r="T481">
        <v>-0.1759174</v>
      </c>
      <c r="U481">
        <v>-7.5653079999999998E-2</v>
      </c>
      <c r="V481">
        <v>-6.9198239999999994E-2</v>
      </c>
      <c r="W481">
        <v>0.2990564</v>
      </c>
      <c r="X481">
        <v>0.95172310000000004</v>
      </c>
      <c r="Y481">
        <v>3.1186780000000001E-2</v>
      </c>
      <c r="Z481">
        <v>-1.384789E-3</v>
      </c>
      <c r="AA481">
        <v>0.99951259999999997</v>
      </c>
      <c r="AB481">
        <v>31</v>
      </c>
      <c r="AC481">
        <v>19.1127</v>
      </c>
      <c r="AD481">
        <v>-1.06021722671399</v>
      </c>
      <c r="AE481">
        <v>-0.4572</v>
      </c>
      <c r="AF481">
        <v>0.60089210615306798</v>
      </c>
      <c r="AG481">
        <v>-1.06021722671399</v>
      </c>
      <c r="AH481">
        <v>19.050077926636199</v>
      </c>
      <c r="AI481">
        <v>93.183885504648899</v>
      </c>
      <c r="AJ481">
        <v>88.193331787051903</v>
      </c>
      <c r="AK481">
        <v>19.089017808729</v>
      </c>
      <c r="AL481">
        <v>72.599062729644899</v>
      </c>
      <c r="AM481">
        <v>94.158565226036103</v>
      </c>
      <c r="AN481">
        <v>0.99999999293683295</v>
      </c>
    </row>
    <row r="482" spans="1:40" x14ac:dyDescent="0.25">
      <c r="A482" t="str">
        <f>"20190304164108580"</f>
        <v>20190304164108580</v>
      </c>
      <c r="B482" t="str">
        <f>"1551688868571432"</f>
        <v>1551688868571432</v>
      </c>
      <c r="C482" t="s">
        <v>40</v>
      </c>
      <c r="D482">
        <v>4.4727240000000004</v>
      </c>
      <c r="E482">
        <v>0.55376210000000003</v>
      </c>
      <c r="F482" t="s">
        <v>42</v>
      </c>
      <c r="G482">
        <v>-390.96839999999997</v>
      </c>
      <c r="H482" s="1">
        <v>-4.4162780000000002E-6</v>
      </c>
      <c r="I482">
        <v>366.46249999999998</v>
      </c>
      <c r="J482">
        <v>-410.34339999999997</v>
      </c>
      <c r="K482">
        <v>1.0602049999999901</v>
      </c>
      <c r="L482">
        <v>366.97430000000003</v>
      </c>
      <c r="M482">
        <v>0.99987859999999995</v>
      </c>
      <c r="N482">
        <v>-1.366816E-2</v>
      </c>
      <c r="O482">
        <v>7.5065969999999899E-3</v>
      </c>
      <c r="P482">
        <v>0.9552446</v>
      </c>
      <c r="Q482">
        <v>0.2857325</v>
      </c>
      <c r="R482">
        <v>7.6584730000000004E-2</v>
      </c>
      <c r="S482">
        <v>3.1994630000000002</v>
      </c>
      <c r="T482">
        <v>-0.17366589999999901</v>
      </c>
      <c r="U482">
        <v>-8.3648680000000003E-2</v>
      </c>
      <c r="V482">
        <v>-6.9256120000000004E-2</v>
      </c>
      <c r="W482">
        <v>0.29880610000000002</v>
      </c>
      <c r="X482">
        <v>0.95179749999999996</v>
      </c>
      <c r="Y482">
        <v>3.357164E-2</v>
      </c>
      <c r="Z482">
        <v>-1.4445599999999999E-3</v>
      </c>
      <c r="AA482">
        <v>0.99943519999999997</v>
      </c>
      <c r="AB482">
        <v>31</v>
      </c>
      <c r="AC482">
        <v>19.375</v>
      </c>
      <c r="AD482">
        <v>-1.06020941627799</v>
      </c>
      <c r="AE482">
        <v>-0.51180000000004999</v>
      </c>
      <c r="AF482">
        <v>0.65527870030375601</v>
      </c>
      <c r="AG482">
        <v>-1.06020941627799</v>
      </c>
      <c r="AH482">
        <v>19.312823102444099</v>
      </c>
      <c r="AI482">
        <v>93.140389269619902</v>
      </c>
      <c r="AJ482">
        <v>88.056715675521303</v>
      </c>
      <c r="AK482">
        <v>19.352999001904902</v>
      </c>
      <c r="AL482">
        <v>72.614090954548601</v>
      </c>
      <c r="AM482">
        <v>94.161707193358296</v>
      </c>
      <c r="AN482">
        <v>0.999999988280457</v>
      </c>
    </row>
    <row r="483" spans="1:40" x14ac:dyDescent="0.25">
      <c r="A483" t="str">
        <f>"20190304164108591"</f>
        <v>20190304164108591</v>
      </c>
      <c r="B483" t="str">
        <f>"1551688868582168"</f>
        <v>1551688868582168</v>
      </c>
      <c r="C483" t="s">
        <v>40</v>
      </c>
      <c r="D483">
        <v>4.4852470000000002</v>
      </c>
      <c r="E483">
        <v>0.55422289999999996</v>
      </c>
      <c r="F483" t="s">
        <v>42</v>
      </c>
      <c r="G483">
        <v>-390.28750000000002</v>
      </c>
      <c r="H483" s="1">
        <v>-4.71625099999999E-6</v>
      </c>
      <c r="I483">
        <v>366.41789999999997</v>
      </c>
      <c r="J483">
        <v>-410.18880000000001</v>
      </c>
      <c r="K483">
        <v>1.0602009999999999</v>
      </c>
      <c r="L483">
        <v>366.9753</v>
      </c>
      <c r="M483">
        <v>0.99988010000000005</v>
      </c>
      <c r="N483">
        <v>-1.361355E-2</v>
      </c>
      <c r="O483">
        <v>7.3992199999999998E-3</v>
      </c>
      <c r="P483">
        <v>0.95523880000000005</v>
      </c>
      <c r="Q483">
        <v>0.28590880000000002</v>
      </c>
      <c r="R483">
        <v>7.5994580000000006E-2</v>
      </c>
      <c r="S483">
        <v>3.1982119999999998</v>
      </c>
      <c r="T483">
        <v>-0.169066299999999</v>
      </c>
      <c r="U483">
        <v>-8.8714600000000005E-2</v>
      </c>
      <c r="V483">
        <v>-6.8770890000000001E-2</v>
      </c>
      <c r="W483">
        <v>0.298929</v>
      </c>
      <c r="X483">
        <v>0.95179409999999998</v>
      </c>
      <c r="Y483">
        <v>3.505722E-2</v>
      </c>
      <c r="Z483">
        <v>-1.454821E-3</v>
      </c>
      <c r="AA483">
        <v>0.99938419999999895</v>
      </c>
      <c r="AB483">
        <v>31</v>
      </c>
      <c r="AC483">
        <v>19.9012999999999</v>
      </c>
      <c r="AD483">
        <v>-1.0602057162509999</v>
      </c>
      <c r="AE483">
        <v>-0.55740000000002898</v>
      </c>
      <c r="AF483">
        <v>0.70265985269708597</v>
      </c>
      <c r="AG483">
        <v>-1.0602057162509999</v>
      </c>
      <c r="AH483">
        <v>19.840366929141499</v>
      </c>
      <c r="AI483">
        <v>93.056881024068005</v>
      </c>
      <c r="AJ483">
        <v>87.971679418661907</v>
      </c>
      <c r="AK483">
        <v>19.8810947111152</v>
      </c>
      <c r="AL483">
        <v>72.606712178153003</v>
      </c>
      <c r="AM483">
        <v>94.132665064557003</v>
      </c>
      <c r="AN483">
        <v>0.99999999557360097</v>
      </c>
    </row>
    <row r="484" spans="1:40" x14ac:dyDescent="0.25">
      <c r="A484" t="str">
        <f>"20190304164108605"</f>
        <v>20190304164108605</v>
      </c>
      <c r="B484" t="str">
        <f>"1551688868591929"</f>
        <v>1551688868591929</v>
      </c>
      <c r="C484" t="s">
        <v>40</v>
      </c>
      <c r="D484">
        <v>4.4534640000000003</v>
      </c>
      <c r="E484">
        <v>0.55449619999999999</v>
      </c>
      <c r="F484" t="s">
        <v>42</v>
      </c>
      <c r="G484">
        <v>-389.9051</v>
      </c>
      <c r="H484" s="1">
        <v>-8.8095360000000005E-7</v>
      </c>
      <c r="I484">
        <v>366.37430000000001</v>
      </c>
      <c r="J484">
        <v>-410.00319999999999</v>
      </c>
      <c r="K484">
        <v>1.060198</v>
      </c>
      <c r="L484">
        <v>366.97660000000002</v>
      </c>
      <c r="M484">
        <v>0.99988189999999999</v>
      </c>
      <c r="N484">
        <v>-1.3548859999999999E-2</v>
      </c>
      <c r="O484">
        <v>7.2711319999999996E-3</v>
      </c>
      <c r="P484">
        <v>0.95534189999999997</v>
      </c>
      <c r="Q484">
        <v>0.28572609999999998</v>
      </c>
      <c r="R484">
        <v>7.5383450000000005E-2</v>
      </c>
      <c r="S484">
        <v>3.1980900000000001</v>
      </c>
      <c r="T484">
        <v>-0.16715929999999901</v>
      </c>
      <c r="U484">
        <v>-9.4757079999999994E-2</v>
      </c>
      <c r="V484">
        <v>-6.8284380000000006E-2</v>
      </c>
      <c r="W484">
        <v>0.29868509999999998</v>
      </c>
      <c r="X484">
        <v>0.95190569999999997</v>
      </c>
      <c r="Y484">
        <v>3.6815399999999998E-2</v>
      </c>
      <c r="Z484">
        <v>-1.4922290000000001E-3</v>
      </c>
      <c r="AA484">
        <v>0.99932100000000001</v>
      </c>
      <c r="AB484">
        <v>31</v>
      </c>
      <c r="AC484">
        <v>20.098099999999899</v>
      </c>
      <c r="AD484">
        <v>-1.0601988809536</v>
      </c>
      <c r="AE484">
        <v>-0.60230000000001305</v>
      </c>
      <c r="AF484">
        <v>0.74635838995709602</v>
      </c>
      <c r="AG484">
        <v>-1.0601988809536</v>
      </c>
      <c r="AH484">
        <v>20.037480756727302</v>
      </c>
      <c r="AI484">
        <v>93.026645551139893</v>
      </c>
      <c r="AJ484">
        <v>87.866826381421205</v>
      </c>
      <c r="AK484">
        <v>20.079385139730999</v>
      </c>
      <c r="AL484">
        <v>72.6213557700694</v>
      </c>
      <c r="AM484">
        <v>94.103049885025001</v>
      </c>
      <c r="AN484">
        <v>1.0000000036032399</v>
      </c>
    </row>
    <row r="485" spans="1:40" x14ac:dyDescent="0.25">
      <c r="A485" t="str">
        <f>"20190304164108622"</f>
        <v>20190304164108622</v>
      </c>
      <c r="B485" t="str">
        <f>"1551688868611447"</f>
        <v>1551688868611447</v>
      </c>
      <c r="C485" t="s">
        <v>40</v>
      </c>
      <c r="D485">
        <v>4.4109489999999996</v>
      </c>
      <c r="E485">
        <v>0.55500439999999995</v>
      </c>
      <c r="F485" t="s">
        <v>42</v>
      </c>
      <c r="G485">
        <v>-389.76729999999998</v>
      </c>
      <c r="H485" s="1">
        <v>-9.3423150000000001E-7</v>
      </c>
      <c r="I485">
        <v>366.3503</v>
      </c>
      <c r="J485">
        <v>-409.76519999999999</v>
      </c>
      <c r="K485">
        <v>1.0602039999999999</v>
      </c>
      <c r="L485">
        <v>366.97809999999998</v>
      </c>
      <c r="M485">
        <v>0.99988410000000005</v>
      </c>
      <c r="N485">
        <v>-1.3467669999999999E-2</v>
      </c>
      <c r="O485">
        <v>7.1122629999999997E-3</v>
      </c>
      <c r="P485">
        <v>0.95551220000000003</v>
      </c>
      <c r="Q485">
        <v>0.28543550000000001</v>
      </c>
      <c r="R485">
        <v>7.4316869999999993E-2</v>
      </c>
      <c r="S485">
        <v>3.1981510000000002</v>
      </c>
      <c r="T485">
        <v>-0.16755709999999999</v>
      </c>
      <c r="U485">
        <v>-9.8968509999999996E-2</v>
      </c>
      <c r="V485">
        <v>-6.7373730000000007E-2</v>
      </c>
      <c r="W485">
        <v>0.29831780000000002</v>
      </c>
      <c r="X485">
        <v>0.95208570000000003</v>
      </c>
      <c r="Y485">
        <v>3.796865E-2</v>
      </c>
      <c r="Z485">
        <v>-1.5262450000000001E-3</v>
      </c>
      <c r="AA485">
        <v>0.99927779999999999</v>
      </c>
      <c r="AB485">
        <v>31</v>
      </c>
      <c r="AC485">
        <v>19.997900000000001</v>
      </c>
      <c r="AD485">
        <v>-1.0602049342315001</v>
      </c>
      <c r="AE485">
        <v>-0.62779999999997904</v>
      </c>
      <c r="AF485">
        <v>0.76787121811360404</v>
      </c>
      <c r="AG485">
        <v>-1.0602049342315001</v>
      </c>
      <c r="AH485">
        <v>19.936947491340199</v>
      </c>
      <c r="AI485">
        <v>93.0417508419239</v>
      </c>
      <c r="AJ485">
        <v>87.794344151077894</v>
      </c>
      <c r="AK485">
        <v>19.9798782774728</v>
      </c>
      <c r="AL485">
        <v>72.643404912937598</v>
      </c>
      <c r="AM485">
        <v>94.047751353937599</v>
      </c>
      <c r="AN485">
        <v>0.99999995471771996</v>
      </c>
    </row>
    <row r="486" spans="1:40" x14ac:dyDescent="0.25">
      <c r="A486" t="str">
        <f>"20190304164108636"</f>
        <v>20190304164108636</v>
      </c>
      <c r="B486" t="str">
        <f>"1551688868631943"</f>
        <v>1551688868631943</v>
      </c>
      <c r="C486" t="s">
        <v>40</v>
      </c>
      <c r="D486">
        <v>4.3515009999999998</v>
      </c>
      <c r="E486">
        <v>0.55516430000000005</v>
      </c>
      <c r="F486" t="s">
        <v>42</v>
      </c>
      <c r="G486">
        <v>-389.26350000000002</v>
      </c>
      <c r="H486" s="1">
        <v>-1.1202849999999999E-6</v>
      </c>
      <c r="I486">
        <v>366.2953</v>
      </c>
      <c r="J486">
        <v>-409.55470000000003</v>
      </c>
      <c r="K486">
        <v>1.060206</v>
      </c>
      <c r="L486">
        <v>366.9794</v>
      </c>
      <c r="M486">
        <v>0.99988589999999999</v>
      </c>
      <c r="N486">
        <v>-1.339898E-2</v>
      </c>
      <c r="O486">
        <v>6.979308E-3</v>
      </c>
      <c r="P486">
        <v>0.95556799999999997</v>
      </c>
      <c r="Q486">
        <v>0.28536139999999999</v>
      </c>
      <c r="R486">
        <v>7.3881730000000007E-2</v>
      </c>
      <c r="S486">
        <v>3.1973569999999998</v>
      </c>
      <c r="T486">
        <v>-0.16534509999999999</v>
      </c>
      <c r="U486">
        <v>-0.1064758</v>
      </c>
      <c r="V486">
        <v>-6.7070829999999998E-2</v>
      </c>
      <c r="W486">
        <v>0.29817759999999999</v>
      </c>
      <c r="X486">
        <v>0.95215110000000003</v>
      </c>
      <c r="Y486">
        <v>4.0185319999999997E-2</v>
      </c>
      <c r="Z486">
        <v>-1.5747490000000001E-3</v>
      </c>
      <c r="AA486">
        <v>0.99919100000000005</v>
      </c>
      <c r="AB486">
        <v>31</v>
      </c>
      <c r="AC486">
        <v>20.2912</v>
      </c>
      <c r="AD486">
        <v>-1.0602071202850001</v>
      </c>
      <c r="AE486">
        <v>-0.68410000000000004</v>
      </c>
      <c r="AF486">
        <v>0.82346904475494098</v>
      </c>
      <c r="AG486">
        <v>-1.0602071202850001</v>
      </c>
      <c r="AH486">
        <v>20.2307630326994</v>
      </c>
      <c r="AI486">
        <v>92.997403200306096</v>
      </c>
      <c r="AJ486">
        <v>87.669130424625493</v>
      </c>
      <c r="AK486">
        <v>20.275253717051399</v>
      </c>
      <c r="AL486">
        <v>72.651822458453196</v>
      </c>
      <c r="AM486">
        <v>94.029337617383902</v>
      </c>
      <c r="AN486">
        <v>1.00000004730492</v>
      </c>
    </row>
    <row r="487" spans="1:40" x14ac:dyDescent="0.25">
      <c r="A487" t="str">
        <f>"20190304164108650"</f>
        <v>20190304164108650</v>
      </c>
      <c r="B487" t="str">
        <f>"1551688868641704"</f>
        <v>1551688868641704</v>
      </c>
      <c r="C487" t="s">
        <v>40</v>
      </c>
      <c r="D487">
        <v>4.3415900000000001</v>
      </c>
      <c r="E487">
        <v>0.55515829999999999</v>
      </c>
      <c r="F487" t="s">
        <v>42</v>
      </c>
      <c r="G487">
        <v>-388.58359999999999</v>
      </c>
      <c r="H487" s="1">
        <v>-1.3618860000000001E-6</v>
      </c>
      <c r="I487">
        <v>366.25700000000001</v>
      </c>
      <c r="J487">
        <v>-409.3802</v>
      </c>
      <c r="K487">
        <v>1.060208</v>
      </c>
      <c r="L487">
        <v>366.98050000000001</v>
      </c>
      <c r="M487">
        <v>0.99988730000000003</v>
      </c>
      <c r="N487">
        <v>-1.334465E-2</v>
      </c>
      <c r="O487">
        <v>6.8737759999999998E-3</v>
      </c>
      <c r="P487">
        <v>0.95554649999999997</v>
      </c>
      <c r="Q487">
        <v>0.28549669999999999</v>
      </c>
      <c r="R487">
        <v>7.3639449999999995E-2</v>
      </c>
      <c r="S487">
        <v>3.196259</v>
      </c>
      <c r="T487">
        <v>-0.1615887</v>
      </c>
      <c r="U487">
        <v>-0.11010739999999899</v>
      </c>
      <c r="V487">
        <v>-6.6935079999999994E-2</v>
      </c>
      <c r="W487">
        <v>0.29825950000000001</v>
      </c>
      <c r="X487">
        <v>0.95213499999999995</v>
      </c>
      <c r="Y487">
        <v>4.122667E-2</v>
      </c>
      <c r="Z487">
        <v>-1.5720700000000001E-3</v>
      </c>
      <c r="AA487">
        <v>0.99914860000000005</v>
      </c>
      <c r="AB487">
        <v>31</v>
      </c>
      <c r="AC487">
        <v>20.796600000000002</v>
      </c>
      <c r="AD487">
        <v>-1.060209361886</v>
      </c>
      <c r="AE487">
        <v>-0.72350000000005799</v>
      </c>
      <c r="AF487">
        <v>0.86420349865480595</v>
      </c>
      <c r="AG487">
        <v>-1.060209361886</v>
      </c>
      <c r="AH487">
        <v>20.737304828819301</v>
      </c>
      <c r="AI487">
        <v>92.924205243032603</v>
      </c>
      <c r="AJ487">
        <v>87.613644645496294</v>
      </c>
      <c r="AK487">
        <v>20.782365196037901</v>
      </c>
      <c r="AL487">
        <v>72.646906215544504</v>
      </c>
      <c r="AM487">
        <v>94.021276873762204</v>
      </c>
      <c r="AN487">
        <v>1.0000000462499199</v>
      </c>
    </row>
    <row r="488" spans="1:40" x14ac:dyDescent="0.25">
      <c r="A488" t="str">
        <f>"20190304164108666"</f>
        <v>20190304164108666</v>
      </c>
      <c r="B488" t="str">
        <f>"1551688868651464"</f>
        <v>1551688868651464</v>
      </c>
      <c r="C488" t="s">
        <v>40</v>
      </c>
      <c r="D488">
        <v>4.3294759999999997</v>
      </c>
      <c r="E488">
        <v>0.55520389999999997</v>
      </c>
      <c r="F488" t="s">
        <v>42</v>
      </c>
      <c r="G488">
        <v>-388.0342</v>
      </c>
      <c r="H488" s="1">
        <v>-1.556168E-6</v>
      </c>
      <c r="I488">
        <v>366.22949999999997</v>
      </c>
      <c r="J488">
        <v>-409.16320000000002</v>
      </c>
      <c r="K488">
        <v>1.0602100000000001</v>
      </c>
      <c r="L488">
        <v>366.98180000000002</v>
      </c>
      <c r="M488">
        <v>0.99988909999999998</v>
      </c>
      <c r="N488">
        <v>-1.3278899999999901E-2</v>
      </c>
      <c r="O488">
        <v>6.7492969999999996E-3</v>
      </c>
      <c r="P488">
        <v>0.95552179999999998</v>
      </c>
      <c r="Q488">
        <v>0.28556039999999999</v>
      </c>
      <c r="R488">
        <v>7.3714660000000001E-2</v>
      </c>
      <c r="S488">
        <v>3.1956790000000002</v>
      </c>
      <c r="T488">
        <v>-0.15872169999999999</v>
      </c>
      <c r="U488">
        <v>-0.11242679999999999</v>
      </c>
      <c r="V488">
        <v>-6.7136680000000004E-2</v>
      </c>
      <c r="W488">
        <v>0.29825859999999998</v>
      </c>
      <c r="X488">
        <v>0.952121</v>
      </c>
      <c r="Y488">
        <v>4.1834259999999998E-2</v>
      </c>
      <c r="Z488">
        <v>-1.5613770000000001E-3</v>
      </c>
      <c r="AA488">
        <v>0.99912330000000005</v>
      </c>
      <c r="AB488">
        <v>31</v>
      </c>
      <c r="AC488">
        <v>21.129000000000001</v>
      </c>
      <c r="AD488">
        <v>-1.0602115561679999</v>
      </c>
      <c r="AE488">
        <v>-0.75230000000004704</v>
      </c>
      <c r="AF488">
        <v>0.89265661010919894</v>
      </c>
      <c r="AG488">
        <v>-1.0602115561679999</v>
      </c>
      <c r="AH488">
        <v>21.070455970174599</v>
      </c>
      <c r="AI488">
        <v>92.877970750124007</v>
      </c>
      <c r="AJ488">
        <v>87.574096624807893</v>
      </c>
      <c r="AK488">
        <v>21.115989182571401</v>
      </c>
      <c r="AL488">
        <v>72.646958740505895</v>
      </c>
      <c r="AM488">
        <v>94.033407648904202</v>
      </c>
      <c r="AN488">
        <v>0.99999996245819001</v>
      </c>
    </row>
    <row r="489" spans="1:40" x14ac:dyDescent="0.25">
      <c r="A489" t="str">
        <f>"20190304164108678"</f>
        <v>20190304164108678</v>
      </c>
      <c r="B489" t="str">
        <f>"1551688868671960"</f>
        <v>1551688868671960</v>
      </c>
      <c r="C489" t="s">
        <v>40</v>
      </c>
      <c r="D489">
        <v>4.3105169999999999</v>
      </c>
      <c r="E489">
        <v>0.55532599999999999</v>
      </c>
      <c r="F489" t="s">
        <v>42</v>
      </c>
      <c r="G489">
        <v>-387.45780000000002</v>
      </c>
      <c r="H489" s="1">
        <v>-1.7575300000000001E-6</v>
      </c>
      <c r="I489">
        <v>366.2099</v>
      </c>
      <c r="J489">
        <v>-408.9735</v>
      </c>
      <c r="K489">
        <v>1.060208</v>
      </c>
      <c r="L489">
        <v>366.983</v>
      </c>
      <c r="M489">
        <v>0.99989050000000002</v>
      </c>
      <c r="N489">
        <v>-1.3220529999999999E-2</v>
      </c>
      <c r="O489">
        <v>6.6503999999999903E-3</v>
      </c>
      <c r="P489">
        <v>0.95556249999999998</v>
      </c>
      <c r="Q489">
        <v>0.28542099999999998</v>
      </c>
      <c r="R489">
        <v>7.3722490000000002E-2</v>
      </c>
      <c r="S489">
        <v>3.1950379999999998</v>
      </c>
      <c r="T489">
        <v>-0.15606239999999999</v>
      </c>
      <c r="U489">
        <v>-0.11361690000000001</v>
      </c>
      <c r="V489">
        <v>-6.7246790000000001E-2</v>
      </c>
      <c r="W489">
        <v>0.29806199999999999</v>
      </c>
      <c r="X489">
        <v>0.95217479999999999</v>
      </c>
      <c r="Y489">
        <v>4.2116000000000001E-2</v>
      </c>
      <c r="Z489">
        <v>-1.5430489999999999E-3</v>
      </c>
      <c r="AA489">
        <v>0.99911150000000004</v>
      </c>
      <c r="AB489">
        <v>31</v>
      </c>
      <c r="AC489">
        <v>21.515699999999899</v>
      </c>
      <c r="AD489">
        <v>-1.06020975753</v>
      </c>
      <c r="AE489">
        <v>-0.77309999999999901</v>
      </c>
      <c r="AF489">
        <v>0.91396704371579396</v>
      </c>
      <c r="AG489">
        <v>-1.06020975753</v>
      </c>
      <c r="AH489">
        <v>21.458046415227201</v>
      </c>
      <c r="AI489">
        <v>92.826039797507207</v>
      </c>
      <c r="AJ489">
        <v>87.561063098845395</v>
      </c>
      <c r="AK489">
        <v>21.503654025421099</v>
      </c>
      <c r="AL489">
        <v>72.658759957781598</v>
      </c>
      <c r="AM489">
        <v>94.039773388651795</v>
      </c>
      <c r="AN489">
        <v>0.99999996818217096</v>
      </c>
    </row>
    <row r="490" spans="1:40" x14ac:dyDescent="0.25">
      <c r="A490" t="str">
        <f>"20190304164108691"</f>
        <v>20190304164108691</v>
      </c>
      <c r="B490" t="str">
        <f>"1551688868682226"</f>
        <v>1551688868682226</v>
      </c>
      <c r="C490" t="s">
        <v>40</v>
      </c>
      <c r="D490">
        <v>4.3387190000000002</v>
      </c>
      <c r="E490">
        <v>0.55542309999999995</v>
      </c>
      <c r="F490" t="s">
        <v>42</v>
      </c>
      <c r="G490">
        <v>-387.20650000000001</v>
      </c>
      <c r="H490" s="1">
        <v>-1.8445310000000001E-6</v>
      </c>
      <c r="I490">
        <v>366.20429999999999</v>
      </c>
      <c r="J490">
        <v>-408.80059999999997</v>
      </c>
      <c r="K490">
        <v>1.060216</v>
      </c>
      <c r="L490">
        <v>366.98399999999998</v>
      </c>
      <c r="M490">
        <v>0.9998918</v>
      </c>
      <c r="N490">
        <v>-1.3165390000000001E-2</v>
      </c>
      <c r="O490">
        <v>6.5670850000000003E-3</v>
      </c>
      <c r="P490">
        <v>0.95552969999999904</v>
      </c>
      <c r="Q490">
        <v>0.28551650000000001</v>
      </c>
      <c r="R490">
        <v>7.3779600000000001E-2</v>
      </c>
      <c r="S490">
        <v>3.1948240000000001</v>
      </c>
      <c r="T490">
        <v>-0.15561059999999999</v>
      </c>
      <c r="U490">
        <v>-0.1142883</v>
      </c>
      <c r="V490">
        <v>-6.7391190000000004E-2</v>
      </c>
      <c r="W490">
        <v>0.29810300000000001</v>
      </c>
      <c r="X490">
        <v>0.95215179999999999</v>
      </c>
      <c r="Y490">
        <v>4.2245070000000003E-2</v>
      </c>
      <c r="Z490">
        <v>-1.539461E-3</v>
      </c>
      <c r="AA490">
        <v>0.9991061</v>
      </c>
      <c r="AB490">
        <v>31</v>
      </c>
      <c r="AC490">
        <v>21.594099999999901</v>
      </c>
      <c r="AD490">
        <v>-1.060217844531</v>
      </c>
      <c r="AE490">
        <v>-0.77970000000004802</v>
      </c>
      <c r="AF490">
        <v>0.919292625722826</v>
      </c>
      <c r="AG490">
        <v>-1.060217844531</v>
      </c>
      <c r="AH490">
        <v>21.536665399777998</v>
      </c>
      <c r="AI490">
        <v>92.815750512045796</v>
      </c>
      <c r="AJ490">
        <v>87.555813206799399</v>
      </c>
      <c r="AK490">
        <v>21.582333454739398</v>
      </c>
      <c r="AL490">
        <v>72.656299714046497</v>
      </c>
      <c r="AM490">
        <v>94.048516706741196</v>
      </c>
      <c r="AN490">
        <v>1.0000000106709199</v>
      </c>
    </row>
    <row r="491" spans="1:40" x14ac:dyDescent="0.25">
      <c r="A491" t="str">
        <f>"20190304164108702"</f>
        <v>20190304164108702</v>
      </c>
      <c r="B491" t="str">
        <f>"1551688868691986"</f>
        <v>1551688868691986</v>
      </c>
      <c r="C491" t="s">
        <v>40</v>
      </c>
      <c r="D491">
        <v>4.3262510000000001</v>
      </c>
      <c r="E491">
        <v>0.5555099</v>
      </c>
      <c r="F491" t="s">
        <v>42</v>
      </c>
      <c r="G491">
        <v>-387.02519999999998</v>
      </c>
      <c r="H491" s="1">
        <v>-1.90714E-6</v>
      </c>
      <c r="I491">
        <v>366.20089999999999</v>
      </c>
      <c r="J491">
        <v>-408.6422</v>
      </c>
      <c r="K491">
        <v>1.0602210000000001</v>
      </c>
      <c r="L491">
        <v>366.98500000000001</v>
      </c>
      <c r="M491">
        <v>0.99989300000000003</v>
      </c>
      <c r="N491">
        <v>-1.3114199999999999E-2</v>
      </c>
      <c r="O491">
        <v>6.4933250000000003E-3</v>
      </c>
      <c r="P491">
        <v>0.95547629999999995</v>
      </c>
      <c r="Q491">
        <v>0.28564869999999998</v>
      </c>
      <c r="R491">
        <v>7.3960189999999995E-2</v>
      </c>
      <c r="S491">
        <v>3.1949770000000002</v>
      </c>
      <c r="T491">
        <v>-0.15555929999999901</v>
      </c>
      <c r="U491">
        <v>-0.11489870000000001</v>
      </c>
      <c r="V491">
        <v>-6.7649550000000003E-2</v>
      </c>
      <c r="W491">
        <v>0.298184</v>
      </c>
      <c r="X491">
        <v>0.95210810000000001</v>
      </c>
      <c r="Y491">
        <v>4.2360250000000002E-2</v>
      </c>
      <c r="Z491">
        <v>-1.5391389999999999E-3</v>
      </c>
      <c r="AA491">
        <v>0.99910120000000002</v>
      </c>
      <c r="AB491">
        <v>31</v>
      </c>
      <c r="AC491">
        <v>21.617000000000001</v>
      </c>
      <c r="AD491">
        <v>-1.06022290713999</v>
      </c>
      <c r="AE491">
        <v>-0.784100000000023</v>
      </c>
      <c r="AF491">
        <v>0.922246195312595</v>
      </c>
      <c r="AG491">
        <v>-1.06022290713999</v>
      </c>
      <c r="AH491">
        <v>21.559658945479701</v>
      </c>
      <c r="AI491">
        <v>92.8127547702084</v>
      </c>
      <c r="AJ491">
        <v>87.550581839423202</v>
      </c>
      <c r="AK491">
        <v>21.605404520697999</v>
      </c>
      <c r="AL491">
        <v>72.651437385035095</v>
      </c>
      <c r="AM491">
        <v>94.064171646818906</v>
      </c>
      <c r="AN491">
        <v>0.99999999677840601</v>
      </c>
    </row>
    <row r="492" spans="1:40" x14ac:dyDescent="0.25">
      <c r="A492" t="str">
        <f>"20190304164108714"</f>
        <v>20190304164108714</v>
      </c>
      <c r="B492" t="str">
        <f>"1551688868701746"</f>
        <v>1551688868701746</v>
      </c>
      <c r="C492" t="s">
        <v>40</v>
      </c>
      <c r="D492">
        <v>4.2907310000000001</v>
      </c>
      <c r="E492">
        <v>0.55553779999999997</v>
      </c>
      <c r="F492" t="s">
        <v>42</v>
      </c>
      <c r="G492">
        <v>-386.80770000000001</v>
      </c>
      <c r="H492" s="1">
        <v>-1.9812210000000001E-6</v>
      </c>
      <c r="I492">
        <v>366.20060000000001</v>
      </c>
      <c r="J492">
        <v>-408.47570000000002</v>
      </c>
      <c r="K492">
        <v>1.0602259999999999</v>
      </c>
      <c r="L492">
        <v>366.98599999999999</v>
      </c>
      <c r="M492">
        <v>0.99989410000000001</v>
      </c>
      <c r="N492">
        <v>-1.305914E-2</v>
      </c>
      <c r="O492">
        <v>6.4231239999999997E-3</v>
      </c>
      <c r="P492">
        <v>0.95542479999999996</v>
      </c>
      <c r="Q492">
        <v>0.28572429999999999</v>
      </c>
      <c r="R492">
        <v>7.4331770000000005E-2</v>
      </c>
      <c r="S492">
        <v>3.195068</v>
      </c>
      <c r="T492">
        <v>-0.155144</v>
      </c>
      <c r="U492">
        <v>-0.11477660000000001</v>
      </c>
      <c r="V492">
        <v>-6.8095820000000001E-2</v>
      </c>
      <c r="W492">
        <v>0.298205</v>
      </c>
      <c r="X492">
        <v>0.95206970000000002</v>
      </c>
      <c r="Y492">
        <v>4.2251530000000002E-2</v>
      </c>
      <c r="Z492">
        <v>-1.528862E-3</v>
      </c>
      <c r="AA492">
        <v>0.99910580000000004</v>
      </c>
      <c r="AB492">
        <v>31</v>
      </c>
      <c r="AC492">
        <v>21.667999999999999</v>
      </c>
      <c r="AD492">
        <v>-1.060227981221</v>
      </c>
      <c r="AE492">
        <v>-0.785399999999981</v>
      </c>
      <c r="AF492">
        <v>0.92236648052103398</v>
      </c>
      <c r="AG492">
        <v>-1.060227981221</v>
      </c>
      <c r="AH492">
        <v>21.6108349703842</v>
      </c>
      <c r="AI492">
        <v>92.806129468901403</v>
      </c>
      <c r="AJ492">
        <v>87.556056873082895</v>
      </c>
      <c r="AK492">
        <v>21.656477816434801</v>
      </c>
      <c r="AL492">
        <v>72.650176670932794</v>
      </c>
      <c r="AM492">
        <v>94.091055851162693</v>
      </c>
      <c r="AN492">
        <v>0.99999998819228098</v>
      </c>
    </row>
    <row r="493" spans="1:40" x14ac:dyDescent="0.25">
      <c r="A493" t="str">
        <f>"20190304164108726"</f>
        <v>20190304164108726</v>
      </c>
      <c r="B493" t="str">
        <f>"1551688868722242"</f>
        <v>1551688868722242</v>
      </c>
      <c r="C493" t="s">
        <v>40</v>
      </c>
      <c r="D493">
        <v>4.246372</v>
      </c>
      <c r="E493">
        <v>0.55545940000000005</v>
      </c>
      <c r="F493" t="s">
        <v>42</v>
      </c>
      <c r="G493">
        <v>-386.48329999999999</v>
      </c>
      <c r="H493" s="1">
        <v>-2.0966989999999999E-6</v>
      </c>
      <c r="I493">
        <v>366.2013</v>
      </c>
      <c r="J493">
        <v>-408.31569999999999</v>
      </c>
      <c r="K493">
        <v>1.0602290000000001</v>
      </c>
      <c r="L493">
        <v>366.98700000000002</v>
      </c>
      <c r="M493">
        <v>0.99989530000000004</v>
      </c>
      <c r="N493">
        <v>-1.300596E-2</v>
      </c>
      <c r="O493">
        <v>6.3581330000000002E-3</v>
      </c>
      <c r="P493">
        <v>0.95542400000000005</v>
      </c>
      <c r="Q493">
        <v>0.2855992</v>
      </c>
      <c r="R493">
        <v>7.4822979999999997E-2</v>
      </c>
      <c r="S493">
        <v>3.1948850000000002</v>
      </c>
      <c r="T493">
        <v>-0.15402189999999999</v>
      </c>
      <c r="U493">
        <v>-0.11398320000000001</v>
      </c>
      <c r="V493">
        <v>-6.8656800000000004E-2</v>
      </c>
      <c r="W493">
        <v>0.29802840000000003</v>
      </c>
      <c r="X493">
        <v>0.95208470000000001</v>
      </c>
      <c r="Y493">
        <v>4.194225E-2</v>
      </c>
      <c r="Z493">
        <v>-1.5067520000000001E-3</v>
      </c>
      <c r="AA493">
        <v>0.99911890000000003</v>
      </c>
      <c r="AB493">
        <v>31</v>
      </c>
      <c r="AC493">
        <v>21.8324</v>
      </c>
      <c r="AD493">
        <v>-1.0602310966990001</v>
      </c>
      <c r="AE493">
        <v>-0.78569999999996298</v>
      </c>
      <c r="AF493">
        <v>0.92233681861241401</v>
      </c>
      <c r="AG493">
        <v>-1.0602310966990001</v>
      </c>
      <c r="AH493">
        <v>21.7756755747757</v>
      </c>
      <c r="AI493">
        <v>92.784967259723103</v>
      </c>
      <c r="AJ493">
        <v>87.574613108837298</v>
      </c>
      <c r="AK493">
        <v>21.820972524689601</v>
      </c>
      <c r="AL493">
        <v>72.660776961715399</v>
      </c>
      <c r="AM493">
        <v>94.124577763051207</v>
      </c>
      <c r="AN493">
        <v>0.99999997968344401</v>
      </c>
    </row>
    <row r="494" spans="1:40" x14ac:dyDescent="0.25">
      <c r="A494" t="str">
        <f>"20190304164108743"</f>
        <v>20190304164108743</v>
      </c>
      <c r="B494" t="str">
        <f>"1551688868732003"</f>
        <v>1551688868732003</v>
      </c>
      <c r="C494" t="s">
        <v>40</v>
      </c>
      <c r="D494">
        <v>4.23447</v>
      </c>
      <c r="E494">
        <v>0.55544329999999997</v>
      </c>
      <c r="F494" t="s">
        <v>42</v>
      </c>
      <c r="G494">
        <v>-385.91079999999999</v>
      </c>
      <c r="H494" s="1">
        <v>-2.3426930000000001E-6</v>
      </c>
      <c r="I494">
        <v>366.19929999999999</v>
      </c>
      <c r="J494">
        <v>-408.07229999999998</v>
      </c>
      <c r="K494">
        <v>1.0602290000000001</v>
      </c>
      <c r="L494">
        <v>366.98840000000001</v>
      </c>
      <c r="M494">
        <v>0.99989689999999998</v>
      </c>
      <c r="N494">
        <v>-1.292457E-2</v>
      </c>
      <c r="O494">
        <v>6.267084E-3</v>
      </c>
      <c r="P494">
        <v>0.95535369999999997</v>
      </c>
      <c r="Q494">
        <v>0.28555599999999998</v>
      </c>
      <c r="R494">
        <v>7.5876440000000003E-2</v>
      </c>
      <c r="S494">
        <v>3.1939389999999999</v>
      </c>
      <c r="T494">
        <v>-0.1511412</v>
      </c>
      <c r="U494">
        <v>-0.1122742</v>
      </c>
      <c r="V494">
        <v>-6.9805899999999907E-2</v>
      </c>
      <c r="W494">
        <v>0.29790450000000002</v>
      </c>
      <c r="X494">
        <v>0.95204</v>
      </c>
      <c r="Y494">
        <v>4.1331069999999998E-2</v>
      </c>
      <c r="Z494">
        <v>-1.4598199999999999E-3</v>
      </c>
      <c r="AA494">
        <v>0.99914440000000004</v>
      </c>
      <c r="AB494">
        <v>31</v>
      </c>
      <c r="AC494">
        <v>22.161499999999901</v>
      </c>
      <c r="AD494">
        <v>-1.0602313426929999</v>
      </c>
      <c r="AE494">
        <v>-0.78910000000001901</v>
      </c>
      <c r="AF494">
        <v>0.92586765657220604</v>
      </c>
      <c r="AG494">
        <v>-1.0602313426929999</v>
      </c>
      <c r="AH494">
        <v>22.105588304996701</v>
      </c>
      <c r="AI494">
        <v>92.743522310436504</v>
      </c>
      <c r="AJ494">
        <v>87.601632635493104</v>
      </c>
      <c r="AK494">
        <v>22.150357914208101</v>
      </c>
      <c r="AL494">
        <v>72.668215117293101</v>
      </c>
      <c r="AM494">
        <v>94.193562237169999</v>
      </c>
      <c r="AN494">
        <v>1.0000000581975199</v>
      </c>
    </row>
    <row r="495" spans="1:40" x14ac:dyDescent="0.25">
      <c r="A495" t="str">
        <f>"20190304164108755"</f>
        <v>20190304164108755</v>
      </c>
      <c r="B495" t="str">
        <f>"1551688868741762"</f>
        <v>1551688868741762</v>
      </c>
      <c r="C495" t="s">
        <v>40</v>
      </c>
      <c r="D495">
        <v>4.2891500000000002</v>
      </c>
      <c r="E495">
        <v>0.55558580000000002</v>
      </c>
      <c r="F495" t="s">
        <v>42</v>
      </c>
      <c r="G495">
        <v>-385.46940000000001</v>
      </c>
      <c r="H495" s="1">
        <v>-2.529972E-6</v>
      </c>
      <c r="I495">
        <v>366.21109999999999</v>
      </c>
      <c r="J495">
        <v>-407.89870000000002</v>
      </c>
      <c r="K495">
        <v>1.0602290000000001</v>
      </c>
      <c r="L495">
        <v>366.98939999999999</v>
      </c>
      <c r="M495">
        <v>0.99989799999999995</v>
      </c>
      <c r="N495">
        <v>-1.28682E-2</v>
      </c>
      <c r="O495">
        <v>6.2074189999999996E-3</v>
      </c>
      <c r="P495">
        <v>0.95525749999999998</v>
      </c>
      <c r="Q495">
        <v>0.28575539999999999</v>
      </c>
      <c r="R495">
        <v>7.6335429999999996E-2</v>
      </c>
      <c r="S495">
        <v>3.193695</v>
      </c>
      <c r="T495">
        <v>-0.14980539999999901</v>
      </c>
      <c r="U495">
        <v>-0.10983279999999999</v>
      </c>
      <c r="V495">
        <v>-7.0327829999999994E-2</v>
      </c>
      <c r="W495">
        <v>0.29804789999999998</v>
      </c>
      <c r="X495">
        <v>0.95195660000000004</v>
      </c>
      <c r="Y495">
        <v>4.0513470000000003E-2</v>
      </c>
      <c r="Z495">
        <v>-1.421416E-3</v>
      </c>
      <c r="AA495">
        <v>0.99917800000000001</v>
      </c>
      <c r="AB495">
        <v>31</v>
      </c>
      <c r="AC495">
        <v>22.429300000000001</v>
      </c>
      <c r="AD495">
        <v>-1.060231529972</v>
      </c>
      <c r="AE495">
        <v>-0.77830000000000099</v>
      </c>
      <c r="AF495">
        <v>0.91548145087015997</v>
      </c>
      <c r="AG495">
        <v>-1.060231529972</v>
      </c>
      <c r="AH495">
        <v>22.374102553334499</v>
      </c>
      <c r="AI495">
        <v>92.710755015686104</v>
      </c>
      <c r="AJ495">
        <v>87.656934834725405</v>
      </c>
      <c r="AK495">
        <v>22.4179094085769</v>
      </c>
      <c r="AL495">
        <v>72.659606172765706</v>
      </c>
      <c r="AM495">
        <v>94.225172658822402</v>
      </c>
      <c r="AN495">
        <v>0.99999996132523805</v>
      </c>
    </row>
    <row r="496" spans="1:40" x14ac:dyDescent="0.25">
      <c r="A496" t="str">
        <f>"20190304164108767"</f>
        <v>20190304164108767</v>
      </c>
      <c r="B496" t="str">
        <f>"1551688868762258"</f>
        <v>1551688868762258</v>
      </c>
      <c r="C496" t="s">
        <v>40</v>
      </c>
      <c r="D496">
        <v>4.2649010000000001</v>
      </c>
      <c r="E496">
        <v>0.55577880000000002</v>
      </c>
      <c r="F496" t="s">
        <v>42</v>
      </c>
      <c r="G496">
        <v>-385.25470000000001</v>
      </c>
      <c r="H496" s="1">
        <v>-2.6221459999999998E-6</v>
      </c>
      <c r="I496">
        <v>366.21050000000002</v>
      </c>
      <c r="J496">
        <v>-407.74509999999998</v>
      </c>
      <c r="K496">
        <v>1.060233</v>
      </c>
      <c r="L496">
        <v>366.99040000000002</v>
      </c>
      <c r="M496">
        <v>0.99989890000000003</v>
      </c>
      <c r="N496">
        <v>-1.281885E-2</v>
      </c>
      <c r="O496">
        <v>6.1567339999999996E-3</v>
      </c>
      <c r="P496">
        <v>0.9551134</v>
      </c>
      <c r="Q496">
        <v>0.28608270000000002</v>
      </c>
      <c r="R496">
        <v>7.6910500000000007E-2</v>
      </c>
      <c r="S496">
        <v>3.1940309999999998</v>
      </c>
      <c r="T496">
        <v>-0.14954970000000001</v>
      </c>
      <c r="U496">
        <v>-0.1098633</v>
      </c>
      <c r="V496">
        <v>-7.0955039999999997E-2</v>
      </c>
      <c r="W496">
        <v>0.29832599999999998</v>
      </c>
      <c r="X496">
        <v>0.95182299999999997</v>
      </c>
      <c r="Y496">
        <v>4.0469079999999998E-2</v>
      </c>
      <c r="Z496">
        <v>-1.4154300000000001E-3</v>
      </c>
      <c r="AA496">
        <v>0.99917979999999995</v>
      </c>
      <c r="AB496">
        <v>31</v>
      </c>
      <c r="AC496">
        <v>22.490399999999902</v>
      </c>
      <c r="AD496">
        <v>-1.0602356221459901</v>
      </c>
      <c r="AE496">
        <v>-0.77989999999999704</v>
      </c>
      <c r="AF496">
        <v>0.91633005126504896</v>
      </c>
      <c r="AG496">
        <v>-1.0602356221459901</v>
      </c>
      <c r="AH496">
        <v>22.435372507669101</v>
      </c>
      <c r="AI496">
        <v>92.703381629387707</v>
      </c>
      <c r="AJ496">
        <v>87.661162971649603</v>
      </c>
      <c r="AK496">
        <v>22.479094730330999</v>
      </c>
      <c r="AL496">
        <v>72.642913872259001</v>
      </c>
      <c r="AM496">
        <v>94.263312169417901</v>
      </c>
      <c r="AN496">
        <v>1.0000000216531999</v>
      </c>
    </row>
    <row r="497" spans="1:40" x14ac:dyDescent="0.25">
      <c r="A497" t="str">
        <f>"20190304164108778"</f>
        <v>20190304164108778</v>
      </c>
      <c r="B497" t="str">
        <f>"1551688868772019"</f>
        <v>1551688868772019</v>
      </c>
      <c r="C497" t="s">
        <v>40</v>
      </c>
      <c r="D497">
        <v>4.268243</v>
      </c>
      <c r="E497">
        <v>0.5558786</v>
      </c>
      <c r="F497" t="s">
        <v>42</v>
      </c>
      <c r="G497">
        <v>-384.98430000000002</v>
      </c>
      <c r="H497" s="1">
        <v>-2.739011E-6</v>
      </c>
      <c r="I497">
        <v>366.20549999999997</v>
      </c>
      <c r="J497">
        <v>-407.584</v>
      </c>
      <c r="K497">
        <v>1.0602309999999999</v>
      </c>
      <c r="L497">
        <v>366.99130000000002</v>
      </c>
      <c r="M497">
        <v>0.99989989999999995</v>
      </c>
      <c r="N497">
        <v>-1.276769E-2</v>
      </c>
      <c r="O497">
        <v>6.1066940000000002E-3</v>
      </c>
      <c r="P497">
        <v>0.95501449999999999</v>
      </c>
      <c r="Q497">
        <v>0.2862519</v>
      </c>
      <c r="R497">
        <v>7.7506530000000004E-2</v>
      </c>
      <c r="S497">
        <v>3.1943969999999999</v>
      </c>
      <c r="T497">
        <v>-0.14879999999999999</v>
      </c>
      <c r="U497">
        <v>-0.1101379</v>
      </c>
      <c r="V497">
        <v>-7.1601709999999999E-2</v>
      </c>
      <c r="W497">
        <v>0.29844530000000002</v>
      </c>
      <c r="X497">
        <v>0.95173719999999995</v>
      </c>
      <c r="Y497">
        <v>4.0501519999999999E-2</v>
      </c>
      <c r="Z497">
        <v>-1.4076539999999999E-3</v>
      </c>
      <c r="AA497">
        <v>0.99917849999999997</v>
      </c>
      <c r="AB497">
        <v>31</v>
      </c>
      <c r="AC497">
        <v>22.599699999999899</v>
      </c>
      <c r="AD497">
        <v>-1.0602337390109999</v>
      </c>
      <c r="AE497">
        <v>-0.78580000000005101</v>
      </c>
      <c r="AF497">
        <v>0.92177975604335805</v>
      </c>
      <c r="AG497">
        <v>-1.0602337390109999</v>
      </c>
      <c r="AH497">
        <v>22.544920581875299</v>
      </c>
      <c r="AI497">
        <v>92.690255454363495</v>
      </c>
      <c r="AJ497">
        <v>87.658688160860194</v>
      </c>
      <c r="AK497">
        <v>22.5886524065304</v>
      </c>
      <c r="AL497">
        <v>72.635752746937598</v>
      </c>
      <c r="AM497">
        <v>94.302408301275094</v>
      </c>
      <c r="AN497">
        <v>1.00000004991542</v>
      </c>
    </row>
    <row r="498" spans="1:40" x14ac:dyDescent="0.25">
      <c r="A498" t="str">
        <f>"20190304164108791"</f>
        <v>20190304164108791</v>
      </c>
      <c r="B498" t="str">
        <f>"1551688868782287"</f>
        <v>1551688868782287</v>
      </c>
      <c r="C498" t="s">
        <v>40</v>
      </c>
      <c r="D498">
        <v>4.2039619999999998</v>
      </c>
      <c r="E498">
        <v>0.55589739999999999</v>
      </c>
      <c r="F498" t="s">
        <v>42</v>
      </c>
      <c r="G498">
        <v>-384.70139999999998</v>
      </c>
      <c r="H498" s="1">
        <v>-2.860541E-6</v>
      </c>
      <c r="I498">
        <v>366.2047</v>
      </c>
      <c r="J498">
        <v>-407.41320000000002</v>
      </c>
      <c r="K498">
        <v>1.0602279999999999</v>
      </c>
      <c r="L498">
        <v>366.9923</v>
      </c>
      <c r="M498">
        <v>0.99990089999999998</v>
      </c>
      <c r="N498">
        <v>-1.271299E-2</v>
      </c>
      <c r="O498">
        <v>6.0561180000000001E-3</v>
      </c>
      <c r="P498">
        <v>0.95494140000000005</v>
      </c>
      <c r="Q498">
        <v>0.28636409999999901</v>
      </c>
      <c r="R498">
        <v>7.7990550000000006E-2</v>
      </c>
      <c r="S498">
        <v>3.1945800000000002</v>
      </c>
      <c r="T498">
        <v>-0.14801589999999901</v>
      </c>
      <c r="U498">
        <v>-0.1098022</v>
      </c>
      <c r="V498">
        <v>-7.2135370000000004E-2</v>
      </c>
      <c r="W498">
        <v>0.29850389999999999</v>
      </c>
      <c r="X498">
        <v>0.95167849999999998</v>
      </c>
      <c r="Y498">
        <v>4.0344999999999999E-2</v>
      </c>
      <c r="Z498">
        <v>-1.3940319999999999E-3</v>
      </c>
      <c r="AA498">
        <v>0.99918479999999998</v>
      </c>
      <c r="AB498">
        <v>31</v>
      </c>
      <c r="AC498">
        <v>22.7118</v>
      </c>
      <c r="AD498">
        <v>-1.060230860541</v>
      </c>
      <c r="AE498">
        <v>-0.78759999999999697</v>
      </c>
      <c r="AF498">
        <v>0.92313272645276001</v>
      </c>
      <c r="AG498">
        <v>-1.060230860541</v>
      </c>
      <c r="AH498">
        <v>22.657297694171401</v>
      </c>
      <c r="AI498">
        <v>92.676939937630706</v>
      </c>
      <c r="AJ498">
        <v>87.666872191628997</v>
      </c>
      <c r="AK498">
        <v>22.700867875713399</v>
      </c>
      <c r="AL498">
        <v>72.632234479431105</v>
      </c>
      <c r="AM498">
        <v>94.334619475142205</v>
      </c>
      <c r="AN498">
        <v>1.00000002864124</v>
      </c>
    </row>
    <row r="499" spans="1:40" x14ac:dyDescent="0.25">
      <c r="A499" t="str">
        <f>"20190304164108803"</f>
        <v>20190304164108803</v>
      </c>
      <c r="B499" t="str">
        <f>"1551688868792045"</f>
        <v>1551688868792045</v>
      </c>
      <c r="C499" t="s">
        <v>40</v>
      </c>
      <c r="D499">
        <v>4.2075750000000003</v>
      </c>
      <c r="E499">
        <v>0.55597759999999996</v>
      </c>
      <c r="F499" t="s">
        <v>42</v>
      </c>
      <c r="G499">
        <v>-384.32010000000002</v>
      </c>
      <c r="H499" s="1">
        <v>-3.023916E-6</v>
      </c>
      <c r="I499">
        <v>366.20600000000002</v>
      </c>
      <c r="J499">
        <v>-407.23849999999999</v>
      </c>
      <c r="K499">
        <v>1.0602210000000001</v>
      </c>
      <c r="L499">
        <v>366.99329999999998</v>
      </c>
      <c r="M499">
        <v>0.99990179999999995</v>
      </c>
      <c r="N499">
        <v>-1.265702E-2</v>
      </c>
      <c r="O499">
        <v>6.005776E-3</v>
      </c>
      <c r="P499">
        <v>0.95486059999999995</v>
      </c>
      <c r="Q499">
        <v>0.28650369999999997</v>
      </c>
      <c r="R499">
        <v>7.8466549999999996E-2</v>
      </c>
      <c r="S499">
        <v>3.1944270000000001</v>
      </c>
      <c r="T499">
        <v>-0.14665899999999901</v>
      </c>
      <c r="U499">
        <v>-0.1087646</v>
      </c>
      <c r="V499">
        <v>-7.2661110000000001E-2</v>
      </c>
      <c r="W499">
        <v>0.298589099999999</v>
      </c>
      <c r="X499">
        <v>0.95161180000000001</v>
      </c>
      <c r="Y499">
        <v>3.9973689999999999E-2</v>
      </c>
      <c r="Z499">
        <v>-1.3696379999999901E-3</v>
      </c>
      <c r="AA499">
        <v>0.99919979999999997</v>
      </c>
      <c r="AB499">
        <v>31</v>
      </c>
      <c r="AC499">
        <v>22.918399999999899</v>
      </c>
      <c r="AD499">
        <v>-1.0602240239159999</v>
      </c>
      <c r="AE499">
        <v>-0.78730000000001599</v>
      </c>
      <c r="AF499">
        <v>0.92296673101840598</v>
      </c>
      <c r="AG499">
        <v>-1.0602240239159999</v>
      </c>
      <c r="AH499">
        <v>22.864384314521502</v>
      </c>
      <c r="AI499">
        <v>92.652752503835202</v>
      </c>
      <c r="AJ499">
        <v>87.688395981530604</v>
      </c>
      <c r="AK499">
        <v>22.907553615556399</v>
      </c>
      <c r="AL499">
        <v>72.627120047960602</v>
      </c>
      <c r="AM499">
        <v>94.366394353932506</v>
      </c>
      <c r="AN499">
        <v>1.0000000527222299</v>
      </c>
    </row>
    <row r="500" spans="1:40" x14ac:dyDescent="0.25">
      <c r="A500" t="str">
        <f>"20190304164108816"</f>
        <v>20190304164108816</v>
      </c>
      <c r="B500" t="str">
        <f>"1551688868811566"</f>
        <v>1551688868811566</v>
      </c>
      <c r="C500" t="s">
        <v>40</v>
      </c>
      <c r="D500">
        <v>4.221457</v>
      </c>
      <c r="E500">
        <v>0.55614779999999997</v>
      </c>
      <c r="F500" t="s">
        <v>42</v>
      </c>
      <c r="G500">
        <v>-384.13240000000002</v>
      </c>
      <c r="H500" s="1">
        <v>-3.1027980000000001E-6</v>
      </c>
      <c r="I500">
        <v>366.21519999999998</v>
      </c>
      <c r="J500">
        <v>-407.05720000000002</v>
      </c>
      <c r="K500">
        <v>1.0602180000000001</v>
      </c>
      <c r="L500">
        <v>366.99439999999998</v>
      </c>
      <c r="M500">
        <v>0.99990290000000004</v>
      </c>
      <c r="N500">
        <v>-1.260061E-2</v>
      </c>
      <c r="O500">
        <v>5.9545309999999999E-3</v>
      </c>
      <c r="P500">
        <v>0.95484809999999998</v>
      </c>
      <c r="Q500">
        <v>0.28639300000000001</v>
      </c>
      <c r="R500">
        <v>7.9021590000000003E-2</v>
      </c>
      <c r="S500">
        <v>3.1946110000000001</v>
      </c>
      <c r="T500">
        <v>-0.1465842</v>
      </c>
      <c r="U500">
        <v>-0.1075745</v>
      </c>
      <c r="V500">
        <v>-7.3265350000000007E-2</v>
      </c>
      <c r="W500">
        <v>0.29842469999999999</v>
      </c>
      <c r="X500">
        <v>0.95161700000000005</v>
      </c>
      <c r="Y500">
        <v>3.9549380000000002E-2</v>
      </c>
      <c r="Z500">
        <v>-1.35407E-3</v>
      </c>
      <c r="AA500">
        <v>0.99921669999999996</v>
      </c>
      <c r="AB500">
        <v>31</v>
      </c>
      <c r="AC500">
        <v>22.924800000000001</v>
      </c>
      <c r="AD500">
        <v>-1.060221102798</v>
      </c>
      <c r="AE500">
        <v>-0.779200000000003</v>
      </c>
      <c r="AF500">
        <v>0.91375132324147701</v>
      </c>
      <c r="AG500">
        <v>-1.060221102798</v>
      </c>
      <c r="AH500">
        <v>22.8708922541996</v>
      </c>
      <c r="AI500">
        <v>92.652035444772693</v>
      </c>
      <c r="AJ500">
        <v>87.712102160996096</v>
      </c>
      <c r="AK500">
        <v>22.913679817321999</v>
      </c>
      <c r="AL500">
        <v>72.636988748504606</v>
      </c>
      <c r="AM500">
        <v>94.402538568071805</v>
      </c>
      <c r="AN500">
        <v>1.0000000138848499</v>
      </c>
    </row>
    <row r="501" spans="1:40" x14ac:dyDescent="0.25">
      <c r="A501" t="str">
        <f>"20190304164108834"</f>
        <v>20190304164108834</v>
      </c>
      <c r="B501" t="str">
        <f>"1551688868821327"</f>
        <v>1551688868821327</v>
      </c>
      <c r="C501" t="s">
        <v>40</v>
      </c>
      <c r="D501">
        <v>4.2223850000000001</v>
      </c>
      <c r="E501">
        <v>0.556233599999999</v>
      </c>
      <c r="F501" t="s">
        <v>42</v>
      </c>
      <c r="G501">
        <v>-384.00909999999999</v>
      </c>
      <c r="H501" s="1">
        <v>-3.1544869999999999E-6</v>
      </c>
      <c r="I501">
        <v>366.22199999999998</v>
      </c>
      <c r="J501">
        <v>-406.81389999999999</v>
      </c>
      <c r="K501">
        <v>1.060206</v>
      </c>
      <c r="L501">
        <v>366.9957</v>
      </c>
      <c r="M501">
        <v>0.99990440000000003</v>
      </c>
      <c r="N501">
        <v>-1.252614E-2</v>
      </c>
      <c r="O501">
        <v>5.8849230000000002E-3</v>
      </c>
      <c r="P501">
        <v>0.95480469999999895</v>
      </c>
      <c r="Q501">
        <v>0.28634680000000001</v>
      </c>
      <c r="R501">
        <v>7.9711690000000002E-2</v>
      </c>
      <c r="S501">
        <v>3.1947939999999999</v>
      </c>
      <c r="T501">
        <v>-0.14696129999999999</v>
      </c>
      <c r="U501">
        <v>-0.1070557</v>
      </c>
      <c r="V501">
        <v>-7.4022340000000006E-2</v>
      </c>
      <c r="W501">
        <v>0.2983073</v>
      </c>
      <c r="X501">
        <v>0.95159519999999997</v>
      </c>
      <c r="Y501">
        <v>3.9315959999999997E-2</v>
      </c>
      <c r="Z501">
        <v>-1.346851E-3</v>
      </c>
      <c r="AA501">
        <v>0.9992259</v>
      </c>
      <c r="AB501">
        <v>31</v>
      </c>
      <c r="AC501">
        <v>22.8048</v>
      </c>
      <c r="AD501">
        <v>-1.060209154487</v>
      </c>
      <c r="AE501">
        <v>-0.77370000000001904</v>
      </c>
      <c r="AF501">
        <v>0.90594575972658697</v>
      </c>
      <c r="AG501">
        <v>-1.060209154487</v>
      </c>
      <c r="AH501">
        <v>22.750735137010999</v>
      </c>
      <c r="AI501">
        <v>92.666005911566501</v>
      </c>
      <c r="AJ501">
        <v>87.719657914608405</v>
      </c>
      <c r="AK501">
        <v>22.793436126333599</v>
      </c>
      <c r="AL501">
        <v>72.644035819922607</v>
      </c>
      <c r="AM501">
        <v>94.447946225775695</v>
      </c>
      <c r="AN501">
        <v>0.99999998835770199</v>
      </c>
    </row>
    <row r="502" spans="1:40" x14ac:dyDescent="0.25">
      <c r="A502" t="str">
        <f>"20190304164108850"</f>
        <v>20190304164108850</v>
      </c>
      <c r="B502" t="str">
        <f>"1551688868841822"</f>
        <v>1551688868841822</v>
      </c>
      <c r="C502" t="s">
        <v>40</v>
      </c>
      <c r="D502">
        <v>4.1499459999999999</v>
      </c>
      <c r="E502">
        <v>0.5562918</v>
      </c>
      <c r="F502" t="s">
        <v>42</v>
      </c>
      <c r="G502">
        <v>-383.75560000000002</v>
      </c>
      <c r="H502" s="1">
        <v>-3.2614170000000001E-6</v>
      </c>
      <c r="I502">
        <v>366.23230000000001</v>
      </c>
      <c r="J502">
        <v>-406.59559999999999</v>
      </c>
      <c r="K502">
        <v>1.0601989999999999</v>
      </c>
      <c r="L502">
        <v>366.99689999999998</v>
      </c>
      <c r="M502">
        <v>0.99990540000000006</v>
      </c>
      <c r="N502">
        <v>-1.24612E-2</v>
      </c>
      <c r="O502">
        <v>5.8221590000000004E-3</v>
      </c>
      <c r="P502">
        <v>0.95483879999999999</v>
      </c>
      <c r="Q502">
        <v>0.28615390000000002</v>
      </c>
      <c r="R502">
        <v>7.9992579999999994E-2</v>
      </c>
      <c r="S502">
        <v>3.1949160000000001</v>
      </c>
      <c r="T502">
        <v>-0.14690020000000001</v>
      </c>
      <c r="U502">
        <v>-0.1057739</v>
      </c>
      <c r="V502">
        <v>-7.4362940000000002E-2</v>
      </c>
      <c r="W502">
        <v>0.29805290000000001</v>
      </c>
      <c r="X502">
        <v>0.95164839999999995</v>
      </c>
      <c r="Y502">
        <v>3.8852280000000003E-2</v>
      </c>
      <c r="Z502">
        <v>-1.3297820000000001E-3</v>
      </c>
      <c r="AA502">
        <v>0.99924409999999997</v>
      </c>
      <c r="AB502">
        <v>31</v>
      </c>
      <c r="AC502">
        <v>22.8399999999999</v>
      </c>
      <c r="AD502">
        <v>-1.0602022614169999</v>
      </c>
      <c r="AE502">
        <v>-0.76459999999997297</v>
      </c>
      <c r="AF502">
        <v>0.89564779185111099</v>
      </c>
      <c r="AG502">
        <v>-1.0602022614169999</v>
      </c>
      <c r="AH502">
        <v>22.786118744237601</v>
      </c>
      <c r="AI502">
        <v>92.661908605793499</v>
      </c>
      <c r="AJ502">
        <v>87.749049105035596</v>
      </c>
      <c r="AK502">
        <v>22.828346879015498</v>
      </c>
      <c r="AL502">
        <v>72.659307239743896</v>
      </c>
      <c r="AM502">
        <v>94.468081145008796</v>
      </c>
      <c r="AN502">
        <v>1.0000000276332</v>
      </c>
    </row>
    <row r="503" spans="1:40" x14ac:dyDescent="0.25">
      <c r="A503" t="str">
        <f>"20190304164108862"</f>
        <v>20190304164108862</v>
      </c>
      <c r="B503" t="str">
        <f>"1551688868851582"</f>
        <v>1551688868851582</v>
      </c>
      <c r="C503" t="s">
        <v>40</v>
      </c>
      <c r="D503">
        <v>4.1997220000000004</v>
      </c>
      <c r="E503">
        <v>0.55637329999999996</v>
      </c>
      <c r="F503" t="s">
        <v>42</v>
      </c>
      <c r="G503">
        <v>-383.4196</v>
      </c>
      <c r="H503" s="1">
        <v>-3.4055019999999999E-6</v>
      </c>
      <c r="I503">
        <v>366.23239999999998</v>
      </c>
      <c r="J503">
        <v>-406.4194</v>
      </c>
      <c r="K503">
        <v>1.060192</v>
      </c>
      <c r="L503">
        <v>366.99799999999999</v>
      </c>
      <c r="M503">
        <v>0.99990639999999997</v>
      </c>
      <c r="N503">
        <v>-1.2409989999999999E-2</v>
      </c>
      <c r="O503">
        <v>5.7710460000000002E-3</v>
      </c>
      <c r="P503">
        <v>0.95484910000000001</v>
      </c>
      <c r="Q503">
        <v>0.28610459999999999</v>
      </c>
      <c r="R503">
        <v>8.0046740000000005E-2</v>
      </c>
      <c r="S503">
        <v>3.1945190000000001</v>
      </c>
      <c r="T503">
        <v>-0.14613519999999999</v>
      </c>
      <c r="U503">
        <v>-0.1053772</v>
      </c>
      <c r="V503">
        <v>-7.4465600000000007E-2</v>
      </c>
      <c r="W503">
        <v>0.29795500000000003</v>
      </c>
      <c r="X503">
        <v>0.95167100000000004</v>
      </c>
      <c r="Y503">
        <v>3.8682149999999998E-2</v>
      </c>
      <c r="Z503">
        <v>-1.316546E-3</v>
      </c>
      <c r="AA503">
        <v>0.99925070000000005</v>
      </c>
      <c r="AB503">
        <v>31</v>
      </c>
      <c r="AC503">
        <v>22.9998</v>
      </c>
      <c r="AD503">
        <v>-1.060195405502</v>
      </c>
      <c r="AE503">
        <v>-0.76560000000006301</v>
      </c>
      <c r="AF503">
        <v>0.896427720413843</v>
      </c>
      <c r="AG503">
        <v>-1.060195405502</v>
      </c>
      <c r="AH503">
        <v>22.946295322457502</v>
      </c>
      <c r="AI503">
        <v>92.643361362620993</v>
      </c>
      <c r="AJ503">
        <v>87.762801391619206</v>
      </c>
      <c r="AK503">
        <v>22.9882593073336</v>
      </c>
      <c r="AL503">
        <v>72.665182990228402</v>
      </c>
      <c r="AM503">
        <v>94.474118599079702</v>
      </c>
      <c r="AN503">
        <v>0.99999999992468003</v>
      </c>
    </row>
    <row r="504" spans="1:40" x14ac:dyDescent="0.25">
      <c r="A504" t="str">
        <f>"20190304164108878"</f>
        <v>20190304164108878</v>
      </c>
      <c r="B504" t="str">
        <f>"1551688868872077"</f>
        <v>1551688868872077</v>
      </c>
      <c r="C504" t="s">
        <v>40</v>
      </c>
      <c r="D504">
        <v>4.2320390000000003</v>
      </c>
      <c r="E504">
        <v>0.55659159999999996</v>
      </c>
      <c r="F504" t="s">
        <v>42</v>
      </c>
      <c r="G504">
        <v>-383.2953</v>
      </c>
      <c r="H504" s="1">
        <v>-3.4590050000000002E-6</v>
      </c>
      <c r="I504">
        <v>366.23160000000001</v>
      </c>
      <c r="J504">
        <v>-406.18650000000002</v>
      </c>
      <c r="K504">
        <v>1.0601860000000001</v>
      </c>
      <c r="L504">
        <v>366.99919999999997</v>
      </c>
      <c r="M504">
        <v>0.99990760000000001</v>
      </c>
      <c r="N504">
        <v>-1.2343669999999999E-2</v>
      </c>
      <c r="O504">
        <v>5.7025660000000001E-3</v>
      </c>
      <c r="P504">
        <v>0.95481470000000002</v>
      </c>
      <c r="Q504">
        <v>0.28629569999999999</v>
      </c>
      <c r="R504">
        <v>7.9774079999999997E-2</v>
      </c>
      <c r="S504">
        <v>3.1946110000000001</v>
      </c>
      <c r="T504">
        <v>-0.1464664</v>
      </c>
      <c r="U504">
        <v>-0.1058655</v>
      </c>
      <c r="V504">
        <v>-7.4258770000000002E-2</v>
      </c>
      <c r="W504">
        <v>0.29808259999999998</v>
      </c>
      <c r="X504">
        <v>0.95164720000000003</v>
      </c>
      <c r="Y504">
        <v>3.876508E-2</v>
      </c>
      <c r="Z504">
        <v>-1.318327E-3</v>
      </c>
      <c r="AA504">
        <v>0.99924749999999996</v>
      </c>
      <c r="AB504">
        <v>31</v>
      </c>
      <c r="AC504">
        <v>22.891200000000001</v>
      </c>
      <c r="AD504">
        <v>-1.0601894590050001</v>
      </c>
      <c r="AE504">
        <v>-0.76759999999995898</v>
      </c>
      <c r="AF504">
        <v>0.89621580076085705</v>
      </c>
      <c r="AG504">
        <v>-1.0601894590050001</v>
      </c>
      <c r="AH504">
        <v>22.837518370983801</v>
      </c>
      <c r="AI504">
        <v>92.655900715011796</v>
      </c>
      <c r="AJ504">
        <v>87.752687193977906</v>
      </c>
      <c r="AK504">
        <v>22.879673288653901</v>
      </c>
      <c r="AL504">
        <v>72.657523978548596</v>
      </c>
      <c r="AM504">
        <v>94.461853008236005</v>
      </c>
      <c r="AN504">
        <v>0.99999999730625599</v>
      </c>
    </row>
    <row r="505" spans="1:40" x14ac:dyDescent="0.25">
      <c r="A505" t="str">
        <f>"20190304164108890"</f>
        <v>20190304164108890</v>
      </c>
      <c r="B505" t="str">
        <f>"1551688868881369"</f>
        <v>1551688868881369</v>
      </c>
      <c r="C505" t="s">
        <v>40</v>
      </c>
      <c r="D505">
        <v>4.7040660000000001</v>
      </c>
      <c r="E505">
        <v>0.55659159999999996</v>
      </c>
      <c r="F505" t="s">
        <v>42</v>
      </c>
      <c r="G505">
        <v>-382.95569999999998</v>
      </c>
      <c r="H505" s="1">
        <v>-3.6081900000000002E-6</v>
      </c>
      <c r="I505">
        <v>366.21170000000001</v>
      </c>
      <c r="J505">
        <v>-406.02910000000003</v>
      </c>
      <c r="K505">
        <v>1.0601860000000001</v>
      </c>
      <c r="L505">
        <v>367</v>
      </c>
      <c r="M505">
        <v>0.99990840000000003</v>
      </c>
      <c r="N505">
        <v>-1.2300169999999999E-2</v>
      </c>
      <c r="O505">
        <v>5.656594E-3</v>
      </c>
      <c r="P505">
        <v>0.95483969999999996</v>
      </c>
      <c r="Q505">
        <v>0.28626360000000001</v>
      </c>
      <c r="R505">
        <v>7.9590339999999996E-2</v>
      </c>
      <c r="S505">
        <v>3.1946720000000002</v>
      </c>
      <c r="T505">
        <v>-0.1457957</v>
      </c>
      <c r="U505">
        <v>-0.10827639999999999</v>
      </c>
      <c r="V505">
        <v>-7.4118959999999998E-2</v>
      </c>
      <c r="W505">
        <v>0.29800919999999997</v>
      </c>
      <c r="X505">
        <v>0.95168109999999995</v>
      </c>
      <c r="Y505">
        <v>3.9471319999999997E-2</v>
      </c>
      <c r="Z505">
        <v>-1.33136E-3</v>
      </c>
      <c r="AA505">
        <v>0.99921979999999999</v>
      </c>
      <c r="AB505">
        <v>31</v>
      </c>
      <c r="AC505">
        <v>23.073399999999999</v>
      </c>
      <c r="AD505">
        <v>-1.06018960819</v>
      </c>
      <c r="AE505">
        <v>-0.78829999999999201</v>
      </c>
      <c r="AF505">
        <v>0.91688058407505901</v>
      </c>
      <c r="AG505">
        <v>-1.06018960819</v>
      </c>
      <c r="AH505">
        <v>23.020026529293101</v>
      </c>
      <c r="AI505">
        <v>92.634813354074694</v>
      </c>
      <c r="AJ505">
        <v>87.719132321710006</v>
      </c>
      <c r="AK505">
        <v>23.062660154893798</v>
      </c>
      <c r="AL505">
        <v>72.661929946685305</v>
      </c>
      <c r="AM505">
        <v>94.453328322292194</v>
      </c>
      <c r="AN505">
        <v>1.0000000098066599</v>
      </c>
    </row>
    <row r="506" spans="1:40" x14ac:dyDescent="0.25">
      <c r="A506" t="str">
        <f>"20190304164108901"</f>
        <v>20190304164108901</v>
      </c>
      <c r="B506" t="str">
        <f>"1551688868892105"</f>
        <v>1551688868892105</v>
      </c>
      <c r="C506" t="s">
        <v>40</v>
      </c>
      <c r="D506">
        <v>4.3214860000000002</v>
      </c>
      <c r="E506">
        <v>0.57214279999999995</v>
      </c>
      <c r="F506" t="s">
        <v>42</v>
      </c>
      <c r="G506">
        <v>-382.80439999999999</v>
      </c>
      <c r="H506" s="1">
        <v>-3.6739640000000002E-6</v>
      </c>
      <c r="I506">
        <v>366.20710000000003</v>
      </c>
      <c r="J506">
        <v>-405.86520000000002</v>
      </c>
      <c r="K506">
        <v>1.0601830000000001</v>
      </c>
      <c r="L506">
        <v>367.0009</v>
      </c>
      <c r="M506">
        <v>0.99990919999999905</v>
      </c>
      <c r="N506">
        <v>-1.22554E-2</v>
      </c>
      <c r="O506">
        <v>5.608783E-3</v>
      </c>
      <c r="P506">
        <v>0.95487200000000005</v>
      </c>
      <c r="Q506">
        <v>0.2862652</v>
      </c>
      <c r="R506">
        <v>7.9194440000000005E-2</v>
      </c>
      <c r="S506">
        <v>3.1947329999999998</v>
      </c>
      <c r="T506">
        <v>-0.1458362</v>
      </c>
      <c r="U506">
        <v>-0.10906979999999999</v>
      </c>
      <c r="V506">
        <v>-7.3768710000000001E-2</v>
      </c>
      <c r="W506">
        <v>0.29796830000000002</v>
      </c>
      <c r="X506">
        <v>0.95172109999999999</v>
      </c>
      <c r="Y506">
        <v>3.9670549999999999E-2</v>
      </c>
      <c r="Z506">
        <v>-1.335195E-3</v>
      </c>
      <c r="AA506">
        <v>0.99921190000000004</v>
      </c>
      <c r="AB506">
        <v>31</v>
      </c>
      <c r="AC506">
        <v>23.0608</v>
      </c>
      <c r="AD506">
        <v>-1.060186673964</v>
      </c>
      <c r="AE506">
        <v>-0.79379999999997597</v>
      </c>
      <c r="AF506">
        <v>0.92119554169625895</v>
      </c>
      <c r="AG506">
        <v>-1.060186673964</v>
      </c>
      <c r="AH506">
        <v>23.007414474208598</v>
      </c>
      <c r="AI506">
        <v>92.636226389322204</v>
      </c>
      <c r="AJ506">
        <v>87.707154833947101</v>
      </c>
      <c r="AK506">
        <v>23.050243334891601</v>
      </c>
      <c r="AL506">
        <v>72.664384541557595</v>
      </c>
      <c r="AM506">
        <v>94.432182578366707</v>
      </c>
      <c r="AN506">
        <v>0.99999999128258199</v>
      </c>
    </row>
    <row r="507" spans="1:40" x14ac:dyDescent="0.25">
      <c r="A507" t="str">
        <f>"20190304164108913"</f>
        <v>20190304164108913</v>
      </c>
      <c r="B507" t="str">
        <f>"1551688868901864"</f>
        <v>1551688868901864</v>
      </c>
      <c r="C507" t="s">
        <v>40</v>
      </c>
      <c r="D507">
        <v>4.28505</v>
      </c>
      <c r="E507">
        <v>0.57214279999999995</v>
      </c>
      <c r="F507" t="s">
        <v>41</v>
      </c>
      <c r="G507">
        <v>-405.15750000000003</v>
      </c>
      <c r="H507">
        <v>0.93940749999999995</v>
      </c>
      <c r="I507">
        <v>366.95979999999997</v>
      </c>
      <c r="J507">
        <v>-405.70850000000002</v>
      </c>
      <c r="K507">
        <v>1.0601769999999999</v>
      </c>
      <c r="L507">
        <v>367.00170000000003</v>
      </c>
      <c r="M507">
        <v>0.99991010000000002</v>
      </c>
      <c r="N507">
        <v>-1.2213409999999999E-2</v>
      </c>
      <c r="O507">
        <v>5.5653789999999996E-3</v>
      </c>
      <c r="P507">
        <v>0.95489440000000003</v>
      </c>
      <c r="Q507">
        <v>0.28628740000000003</v>
      </c>
      <c r="R507">
        <v>7.8843869999999996E-2</v>
      </c>
      <c r="S507">
        <v>3.3280029999999998</v>
      </c>
      <c r="T507">
        <v>-0.56816699999999998</v>
      </c>
      <c r="U507">
        <v>-0.19137570000000001</v>
      </c>
      <c r="V507">
        <v>-7.3460979999999995E-2</v>
      </c>
      <c r="W507">
        <v>0.29795060000000001</v>
      </c>
      <c r="X507">
        <v>0.95175050000000005</v>
      </c>
      <c r="Y507">
        <v>6.1938050000000001E-2</v>
      </c>
      <c r="Z507">
        <v>-6.5015050000000003E-3</v>
      </c>
      <c r="AA507">
        <v>0.99805880000000002</v>
      </c>
      <c r="AB507">
        <v>31</v>
      </c>
      <c r="AC507">
        <v>0.55099999999998694</v>
      </c>
      <c r="AD507">
        <v>-0.1207695</v>
      </c>
      <c r="AE507">
        <v>-4.1900000000055102E-2</v>
      </c>
      <c r="AF507">
        <v>4.2916221836478301E-2</v>
      </c>
      <c r="AG507">
        <v>-0.1207695</v>
      </c>
      <c r="AH507">
        <v>0.52565070162311001</v>
      </c>
      <c r="AI507">
        <v>102.897815750707</v>
      </c>
      <c r="AJ507">
        <v>85.332496239363095</v>
      </c>
      <c r="AK507">
        <v>0.54105058390490202</v>
      </c>
      <c r="AL507">
        <v>72.665447891736605</v>
      </c>
      <c r="AM507">
        <v>94.413630906815996</v>
      </c>
      <c r="AN507">
        <v>1.00000004493658</v>
      </c>
    </row>
    <row r="508" spans="1:40" x14ac:dyDescent="0.25">
      <c r="A508" t="str">
        <f>"20190304164108925"</f>
        <v>20190304164108925</v>
      </c>
      <c r="B508" t="str">
        <f>"1551688868911625"</f>
        <v>1551688868911625</v>
      </c>
      <c r="C508" t="s">
        <v>40</v>
      </c>
      <c r="D508">
        <v>4.4425339999999904</v>
      </c>
      <c r="E508">
        <v>0.55622199999999999</v>
      </c>
      <c r="F508" t="s">
        <v>41</v>
      </c>
      <c r="G508">
        <v>-404.88780000000003</v>
      </c>
      <c r="H508">
        <v>0.92011889999999996</v>
      </c>
      <c r="I508">
        <v>366.95400000000001</v>
      </c>
      <c r="J508">
        <v>-405.53769999999997</v>
      </c>
      <c r="K508">
        <v>1.060173</v>
      </c>
      <c r="L508">
        <v>367.0027</v>
      </c>
      <c r="M508">
        <v>0.99991070000000004</v>
      </c>
      <c r="N508">
        <v>-1.2168190000000001E-2</v>
      </c>
      <c r="O508">
        <v>5.5191399999999996E-3</v>
      </c>
      <c r="P508">
        <v>0.95482239999999996</v>
      </c>
      <c r="Q508">
        <v>0.28663430000000001</v>
      </c>
      <c r="R508">
        <v>7.845365E-2</v>
      </c>
      <c r="S508">
        <v>3.3278810000000001</v>
      </c>
      <c r="T508">
        <v>-0.56792959999999904</v>
      </c>
      <c r="U508">
        <v>-0.19281010000000001</v>
      </c>
      <c r="V508">
        <v>-7.3116120000000007E-2</v>
      </c>
      <c r="W508">
        <v>0.29825269999999998</v>
      </c>
      <c r="X508">
        <v>0.95168240000000004</v>
      </c>
      <c r="Y508">
        <v>6.2318419999999999E-2</v>
      </c>
      <c r="Z508">
        <v>-6.5252060000000004E-3</v>
      </c>
      <c r="AA508">
        <v>0.99803500000000001</v>
      </c>
      <c r="AB508">
        <v>31</v>
      </c>
      <c r="AC508">
        <v>0.64989999999994497</v>
      </c>
      <c r="AD508">
        <v>-0.14005409999999899</v>
      </c>
      <c r="AE508">
        <v>-4.86999999999966E-2</v>
      </c>
      <c r="AF508">
        <v>4.9978344822420397E-2</v>
      </c>
      <c r="AG508">
        <v>-0.14005409999999899</v>
      </c>
      <c r="AH508">
        <v>0.62094520194906599</v>
      </c>
      <c r="AI508">
        <v>102.670719635533</v>
      </c>
      <c r="AJ508">
        <v>85.398324112014095</v>
      </c>
      <c r="AK508">
        <v>0.63850288151390899</v>
      </c>
      <c r="AL508">
        <v>72.647313850489098</v>
      </c>
      <c r="AM508">
        <v>94.393305688437593</v>
      </c>
      <c r="AN508">
        <v>1.00000001526545</v>
      </c>
    </row>
    <row r="509" spans="1:40" x14ac:dyDescent="0.25">
      <c r="A509" t="str">
        <f>"20190304164108937"</f>
        <v>20190304164108937</v>
      </c>
      <c r="B509" t="str">
        <f>"1551688868922361"</f>
        <v>1551688868922361</v>
      </c>
      <c r="C509" t="s">
        <v>40</v>
      </c>
      <c r="D509">
        <v>4.5733969999999999</v>
      </c>
      <c r="E509">
        <v>0.55507510000000004</v>
      </c>
      <c r="F509" t="s">
        <v>41</v>
      </c>
      <c r="G509">
        <v>-404.67469999999997</v>
      </c>
      <c r="H509">
        <v>0.76721309999999998</v>
      </c>
      <c r="I509">
        <v>367.0016</v>
      </c>
      <c r="J509">
        <v>-405.37209999999999</v>
      </c>
      <c r="K509">
        <v>1.060171</v>
      </c>
      <c r="L509">
        <v>367.00349999999997</v>
      </c>
      <c r="M509">
        <v>0.99991149999999995</v>
      </c>
      <c r="N509">
        <v>-1.212589E-2</v>
      </c>
      <c r="O509">
        <v>5.4772450000000004E-3</v>
      </c>
      <c r="P509">
        <v>0.95487049999999996</v>
      </c>
      <c r="Q509">
        <v>0.2866283</v>
      </c>
      <c r="R509">
        <v>7.7889730000000004E-2</v>
      </c>
      <c r="S509">
        <v>3.4987789999999999</v>
      </c>
      <c r="T509">
        <v>-1.1877180000000001</v>
      </c>
      <c r="U509">
        <v>-3.540039E-3</v>
      </c>
      <c r="V509">
        <v>-7.2594859999999997E-2</v>
      </c>
      <c r="W509">
        <v>0.29820679999999999</v>
      </c>
      <c r="X509">
        <v>0.95173669999999999</v>
      </c>
      <c r="Y509">
        <v>5.8629700000000003E-3</v>
      </c>
      <c r="Z509">
        <v>-2.748543E-3</v>
      </c>
      <c r="AA509">
        <v>0.99997899999999995</v>
      </c>
      <c r="AB509">
        <v>31</v>
      </c>
      <c r="AC509">
        <v>0.69740000000001501</v>
      </c>
      <c r="AD509">
        <v>-0.29295789999999999</v>
      </c>
      <c r="AE509">
        <v>-1.8999999999778001E-3</v>
      </c>
      <c r="AF509">
        <v>4.8621192159433203E-3</v>
      </c>
      <c r="AG509">
        <v>-0.29295789999999999</v>
      </c>
      <c r="AH509">
        <v>0.59277820064726305</v>
      </c>
      <c r="AI509">
        <v>116.298354007459</v>
      </c>
      <c r="AJ509">
        <v>89.530055823255296</v>
      </c>
      <c r="AK509">
        <v>0.66123669479112102</v>
      </c>
      <c r="AL509">
        <v>72.650069329623506</v>
      </c>
      <c r="AM509">
        <v>94.361858306557394</v>
      </c>
      <c r="AN509">
        <v>1.0000000276957699</v>
      </c>
    </row>
    <row r="510" spans="1:40" x14ac:dyDescent="0.25">
      <c r="A510" t="str">
        <f>"20190304164108948"</f>
        <v>20190304164108948</v>
      </c>
      <c r="B510" t="str">
        <f>"1551688868932120"</f>
        <v>1551688868932120</v>
      </c>
      <c r="C510" t="s">
        <v>40</v>
      </c>
      <c r="D510">
        <v>4.2534589999999897</v>
      </c>
      <c r="E510">
        <v>0.55443949999999997</v>
      </c>
      <c r="F510" t="s">
        <v>41</v>
      </c>
      <c r="G510">
        <v>-404.65539999999999</v>
      </c>
      <c r="H510">
        <v>0.81303760000000003</v>
      </c>
      <c r="I510">
        <v>367.00479999999999</v>
      </c>
      <c r="J510">
        <v>-405.21269999999998</v>
      </c>
      <c r="K510">
        <v>1.0601659999999999</v>
      </c>
      <c r="L510">
        <v>367.00439999999998</v>
      </c>
      <c r="M510">
        <v>0.99991229999999998</v>
      </c>
      <c r="N510">
        <v>-1.2086909999999999E-2</v>
      </c>
      <c r="O510">
        <v>5.4383720000000003E-3</v>
      </c>
      <c r="P510">
        <v>0.95489179999999996</v>
      </c>
      <c r="Q510">
        <v>0.28665269999999998</v>
      </c>
      <c r="R510">
        <v>7.7540189999999995E-2</v>
      </c>
      <c r="S510">
        <v>3.5038450000000001</v>
      </c>
      <c r="T510">
        <v>-1.208062</v>
      </c>
      <c r="U510">
        <v>6.8054200000000004E-3</v>
      </c>
      <c r="V510">
        <v>-7.2284310000000004E-2</v>
      </c>
      <c r="W510">
        <v>0.298193599999999</v>
      </c>
      <c r="X510">
        <v>0.95176450000000001</v>
      </c>
      <c r="Y510">
        <v>3.0228999999999998E-3</v>
      </c>
      <c r="Z510">
        <v>-2.2837389999999999E-3</v>
      </c>
      <c r="AA510">
        <v>0.99999280000000002</v>
      </c>
      <c r="AB510">
        <v>31</v>
      </c>
      <c r="AC510">
        <v>0.55729999999999702</v>
      </c>
      <c r="AD510">
        <v>-0.247128399999999</v>
      </c>
      <c r="AE510">
        <v>4.0000000001327803E-4</v>
      </c>
      <c r="AF510">
        <v>2.1986867104385201E-3</v>
      </c>
      <c r="AG510">
        <v>-0.247128399999999</v>
      </c>
      <c r="AH510">
        <v>0.46571647099854901</v>
      </c>
      <c r="AI510">
        <v>117.952004250144</v>
      </c>
      <c r="AJ510">
        <v>89.729503805649003</v>
      </c>
      <c r="AK510">
        <v>0.52722776071556798</v>
      </c>
      <c r="AL510">
        <v>72.650862154285306</v>
      </c>
      <c r="AM510">
        <v>94.343144101493607</v>
      </c>
      <c r="AN510">
        <v>1.00000005400669</v>
      </c>
    </row>
    <row r="511" spans="1:40" x14ac:dyDescent="0.25">
      <c r="A511" t="str">
        <f>"20190304164108959"</f>
        <v>20190304164108959</v>
      </c>
      <c r="B511" t="str">
        <f>"1551688868951641"</f>
        <v>1551688868951641</v>
      </c>
      <c r="C511" t="s">
        <v>40</v>
      </c>
      <c r="D511">
        <v>4.2409819999999998</v>
      </c>
      <c r="E511">
        <v>0.55383760000000004</v>
      </c>
      <c r="F511" t="s">
        <v>41</v>
      </c>
      <c r="G511">
        <v>-404.392</v>
      </c>
      <c r="H511">
        <v>0.77480230000000005</v>
      </c>
      <c r="I511">
        <v>367.00700000000001</v>
      </c>
      <c r="J511">
        <v>-405.04790000000003</v>
      </c>
      <c r="K511">
        <v>1.0601670000000001</v>
      </c>
      <c r="L511">
        <v>367.0052</v>
      </c>
      <c r="M511">
        <v>0.99991280000000005</v>
      </c>
      <c r="N511">
        <v>-1.2048E-2</v>
      </c>
      <c r="O511">
        <v>5.4002779999999997E-3</v>
      </c>
      <c r="P511">
        <v>0.95495649999999999</v>
      </c>
      <c r="Q511">
        <v>0.28652509999999998</v>
      </c>
      <c r="R511">
        <v>7.7211050000000003E-2</v>
      </c>
      <c r="S511">
        <v>3.5067439999999999</v>
      </c>
      <c r="T511">
        <v>-1.219193</v>
      </c>
      <c r="U511">
        <v>1.2268070000000001E-2</v>
      </c>
      <c r="V511">
        <v>-7.1993630000000003E-2</v>
      </c>
      <c r="W511">
        <v>0.29802879999999998</v>
      </c>
      <c r="X511">
        <v>0.95183810000000002</v>
      </c>
      <c r="Y511">
        <v>1.5146370000000001E-3</v>
      </c>
      <c r="Z511">
        <v>-2.025865E-3</v>
      </c>
      <c r="AA511">
        <v>0.99999680000000002</v>
      </c>
      <c r="AB511">
        <v>31</v>
      </c>
      <c r="AC511">
        <v>0.65590000000003101</v>
      </c>
      <c r="AD511">
        <v>-0.28536469999999903</v>
      </c>
      <c r="AE511">
        <v>1.79999999994606E-3</v>
      </c>
      <c r="AF511">
        <v>1.4650164941251E-3</v>
      </c>
      <c r="AG511">
        <v>-0.28536469999999903</v>
      </c>
      <c r="AH511">
        <v>0.55150680418331699</v>
      </c>
      <c r="AI511">
        <v>117.358198610405</v>
      </c>
      <c r="AJ511">
        <v>89.847800491384305</v>
      </c>
      <c r="AK511">
        <v>0.62096289207964195</v>
      </c>
      <c r="AL511">
        <v>72.660753467849403</v>
      </c>
      <c r="AM511">
        <v>94.325412040506706</v>
      </c>
      <c r="AN511">
        <v>1.0000000085008101</v>
      </c>
    </row>
    <row r="512" spans="1:40" x14ac:dyDescent="0.25">
      <c r="A512" t="str">
        <f>"20190304164108971"</f>
        <v>20190304164108971</v>
      </c>
      <c r="B512" t="str">
        <f>"1551688868961401"</f>
        <v>1551688868961401</v>
      </c>
      <c r="C512" t="s">
        <v>40</v>
      </c>
      <c r="D512">
        <v>4.2545339999999996</v>
      </c>
      <c r="E512">
        <v>0.55406639999999996</v>
      </c>
      <c r="F512" t="s">
        <v>41</v>
      </c>
      <c r="G512">
        <v>-404.37150000000003</v>
      </c>
      <c r="H512">
        <v>0.82304449999999996</v>
      </c>
      <c r="I512">
        <v>367.00810000000001</v>
      </c>
      <c r="J512">
        <v>-404.89569999999998</v>
      </c>
      <c r="K512">
        <v>1.0601659999999999</v>
      </c>
      <c r="L512">
        <v>367.00599999999997</v>
      </c>
      <c r="M512">
        <v>0.99991350000000001</v>
      </c>
      <c r="N512">
        <v>-1.2012760000000001E-2</v>
      </c>
      <c r="O512">
        <v>5.368121E-3</v>
      </c>
      <c r="P512">
        <v>0.95494469999999998</v>
      </c>
      <c r="Q512">
        <v>0.28668660000000001</v>
      </c>
      <c r="R512">
        <v>7.6756340000000006E-2</v>
      </c>
      <c r="S512">
        <v>3.5091549999999998</v>
      </c>
      <c r="T512">
        <v>-1.229973</v>
      </c>
      <c r="U512">
        <v>1.6510009999999999E-2</v>
      </c>
      <c r="V512">
        <v>-7.157173E-2</v>
      </c>
      <c r="W512">
        <v>0.29815580000000003</v>
      </c>
      <c r="X512">
        <v>0.95183010000000001</v>
      </c>
      <c r="Y512">
        <v>3.438731E-4</v>
      </c>
      <c r="Z512">
        <v>-1.824998E-3</v>
      </c>
      <c r="AA512">
        <v>0.99999830000000001</v>
      </c>
      <c r="AB512">
        <v>31</v>
      </c>
      <c r="AC512">
        <v>0.52419999999995004</v>
      </c>
      <c r="AD512">
        <v>-0.23712150000000001</v>
      </c>
      <c r="AE512">
        <v>2.1000000000412902E-3</v>
      </c>
      <c r="AF512">
        <v>5.92887533933272E-4</v>
      </c>
      <c r="AG512">
        <v>-0.23712150000000001</v>
      </c>
      <c r="AH512">
        <v>0.43516229133198298</v>
      </c>
      <c r="AI512">
        <v>118.586103185837</v>
      </c>
      <c r="AJ512">
        <v>89.9219373252743</v>
      </c>
      <c r="AK512">
        <v>0.49557358391583001</v>
      </c>
      <c r="AL512">
        <v>72.653129580939506</v>
      </c>
      <c r="AM512">
        <v>94.300195449444999</v>
      </c>
      <c r="AN512">
        <v>0.99999996643742095</v>
      </c>
    </row>
    <row r="513" spans="1:40" x14ac:dyDescent="0.25">
      <c r="A513" t="str">
        <f>"20190304164108983"</f>
        <v>20190304164108983</v>
      </c>
      <c r="B513" t="str">
        <f>"1551688868972136"</f>
        <v>1551688868972136</v>
      </c>
      <c r="C513" t="s">
        <v>40</v>
      </c>
      <c r="D513">
        <v>4.2738379999999996</v>
      </c>
      <c r="E513">
        <v>0.55408000000000002</v>
      </c>
      <c r="F513" t="s">
        <v>41</v>
      </c>
      <c r="G513">
        <v>-404.10820000000001</v>
      </c>
      <c r="H513">
        <v>0.78517539999999997</v>
      </c>
      <c r="I513">
        <v>367.00839999999999</v>
      </c>
      <c r="J513">
        <v>-404.73770000000002</v>
      </c>
      <c r="K513">
        <v>1.060165</v>
      </c>
      <c r="L513">
        <v>367.0068</v>
      </c>
      <c r="M513">
        <v>0.99991410000000003</v>
      </c>
      <c r="N513">
        <v>-1.19764E-2</v>
      </c>
      <c r="O513">
        <v>5.3356150000000001E-3</v>
      </c>
      <c r="P513">
        <v>0.95490469999999905</v>
      </c>
      <c r="Q513">
        <v>0.28679369999999998</v>
      </c>
      <c r="R513">
        <v>7.6852719999999999E-2</v>
      </c>
      <c r="S513">
        <v>3.5083009999999999</v>
      </c>
      <c r="T513">
        <v>-1.2251989999999999</v>
      </c>
      <c r="U513">
        <v>1.281738E-2</v>
      </c>
      <c r="V513">
        <v>-7.1702119999999994E-2</v>
      </c>
      <c r="W513">
        <v>0.29822720000000003</v>
      </c>
      <c r="X513">
        <v>0.95179800000000003</v>
      </c>
      <c r="Y513">
        <v>1.307644E-3</v>
      </c>
      <c r="Z513">
        <v>-1.9774409999999999E-3</v>
      </c>
      <c r="AA513">
        <v>0.99999720000000003</v>
      </c>
      <c r="AB513">
        <v>31</v>
      </c>
      <c r="AC513">
        <v>0.62950000000000705</v>
      </c>
      <c r="AD513">
        <v>-0.2749896</v>
      </c>
      <c r="AE513">
        <v>1.59999999999627E-3</v>
      </c>
      <c r="AF513">
        <v>1.47715340213506E-3</v>
      </c>
      <c r="AG513">
        <v>-0.2749896</v>
      </c>
      <c r="AH513">
        <v>0.52862417273828599</v>
      </c>
      <c r="AI513">
        <v>117.483300166745</v>
      </c>
      <c r="AJ513">
        <v>89.839896774084707</v>
      </c>
      <c r="AK513">
        <v>0.59587329030052305</v>
      </c>
      <c r="AL513">
        <v>72.6488450827718</v>
      </c>
      <c r="AM513">
        <v>94.308144859923502</v>
      </c>
      <c r="AN513">
        <v>1.0000000448181601</v>
      </c>
    </row>
    <row r="514" spans="1:40" x14ac:dyDescent="0.25">
      <c r="A514" t="str">
        <f>"20190304164108995"</f>
        <v>20190304164108995</v>
      </c>
      <c r="B514" t="str">
        <f>"1551688868981365"</f>
        <v>1551688868981365</v>
      </c>
      <c r="C514" t="s">
        <v>40</v>
      </c>
      <c r="D514">
        <v>4.2792669999999999</v>
      </c>
      <c r="E514">
        <v>0.55422709999999997</v>
      </c>
      <c r="F514" t="s">
        <v>41</v>
      </c>
      <c r="G514">
        <v>-403.84370000000001</v>
      </c>
      <c r="H514">
        <v>0.74821789999999999</v>
      </c>
      <c r="I514">
        <v>367.00970000000001</v>
      </c>
      <c r="J514">
        <v>-404.5668</v>
      </c>
      <c r="K514">
        <v>1.060163</v>
      </c>
      <c r="L514">
        <v>367.0077</v>
      </c>
      <c r="M514">
        <v>0.99991479999999999</v>
      </c>
      <c r="N514">
        <v>-1.193867E-2</v>
      </c>
      <c r="O514">
        <v>5.3054490000000003E-3</v>
      </c>
      <c r="P514">
        <v>0.9548719</v>
      </c>
      <c r="Q514">
        <v>0.2869429</v>
      </c>
      <c r="R514">
        <v>7.6706200000000002E-2</v>
      </c>
      <c r="S514">
        <v>3.50827</v>
      </c>
      <c r="T514">
        <v>-1.2240960000000001</v>
      </c>
      <c r="U514">
        <v>1.260376E-2</v>
      </c>
      <c r="V514">
        <v>-7.1587399999999995E-2</v>
      </c>
      <c r="W514">
        <v>0.29833920000000003</v>
      </c>
      <c r="X514">
        <v>0.95177149999999999</v>
      </c>
      <c r="Y514">
        <v>1.3387010000000001E-3</v>
      </c>
      <c r="Z514">
        <v>-1.9714789999999999E-3</v>
      </c>
      <c r="AA514">
        <v>0.99999709999999997</v>
      </c>
      <c r="AB514">
        <v>31</v>
      </c>
      <c r="AC514">
        <v>0.72309999999998797</v>
      </c>
      <c r="AD514">
        <v>-0.31194509999999998</v>
      </c>
      <c r="AE514">
        <v>2.0000000000095402E-3</v>
      </c>
      <c r="AF514">
        <v>1.5484905355062E-3</v>
      </c>
      <c r="AG514">
        <v>-0.31194509999999998</v>
      </c>
      <c r="AH514">
        <v>0.60964323611781301</v>
      </c>
      <c r="AI514">
        <v>117.098055197606</v>
      </c>
      <c r="AJ514">
        <v>89.854469341663801</v>
      </c>
      <c r="AK514">
        <v>0.684818967743409</v>
      </c>
      <c r="AL514">
        <v>72.642121296164305</v>
      </c>
      <c r="AM514">
        <v>94.301397230994596</v>
      </c>
      <c r="AN514">
        <v>1.0000000111538201</v>
      </c>
    </row>
    <row r="515" spans="1:40" x14ac:dyDescent="0.25">
      <c r="A515" t="str">
        <f>"20190304164109012"</f>
        <v>20190304164109012</v>
      </c>
      <c r="B515" t="str">
        <f>"1551688869001860"</f>
        <v>1551688869001860</v>
      </c>
      <c r="C515" t="s">
        <v>40</v>
      </c>
      <c r="D515">
        <v>4.2885260000000001</v>
      </c>
      <c r="E515">
        <v>0.554454</v>
      </c>
      <c r="F515" t="s">
        <v>41</v>
      </c>
      <c r="G515">
        <v>-403.82190000000003</v>
      </c>
      <c r="H515">
        <v>0.80102799999999996</v>
      </c>
      <c r="I515">
        <v>367.00959999999998</v>
      </c>
      <c r="J515">
        <v>-404.32240000000002</v>
      </c>
      <c r="K515">
        <v>1.0601689999999999</v>
      </c>
      <c r="L515">
        <v>367.00889999999998</v>
      </c>
      <c r="M515">
        <v>0.99991549999999996</v>
      </c>
      <c r="N515">
        <v>-1.1887119999999999E-2</v>
      </c>
      <c r="O515">
        <v>5.2662100000000003E-3</v>
      </c>
      <c r="P515">
        <v>0.95487929999999999</v>
      </c>
      <c r="Q515">
        <v>0.28698790000000002</v>
      </c>
      <c r="R515">
        <v>7.6442700000000002E-2</v>
      </c>
      <c r="S515">
        <v>3.5075989999999999</v>
      </c>
      <c r="T515">
        <v>-1.2201500000000001</v>
      </c>
      <c r="U515">
        <v>1.0406489999999999E-2</v>
      </c>
      <c r="V515">
        <v>-7.1365579999999998E-2</v>
      </c>
      <c r="W515">
        <v>0.29833419999999999</v>
      </c>
      <c r="X515">
        <v>0.95178969999999896</v>
      </c>
      <c r="Y515">
        <v>1.8956050000000001E-3</v>
      </c>
      <c r="Z515">
        <v>-2.0506000000000001E-3</v>
      </c>
      <c r="AA515">
        <v>0.99999610000000005</v>
      </c>
      <c r="AB515">
        <v>31</v>
      </c>
      <c r="AC515">
        <v>0.50049999999998795</v>
      </c>
      <c r="AD515">
        <v>-0.25914100000000001</v>
      </c>
      <c r="AE515">
        <v>6.9999999999481501E-4</v>
      </c>
      <c r="AF515">
        <v>1.52666637340429E-3</v>
      </c>
      <c r="AG515">
        <v>-0.25914100000000001</v>
      </c>
      <c r="AH515">
        <v>0.39468884439186103</v>
      </c>
      <c r="AI515">
        <v>123.287519693509</v>
      </c>
      <c r="AJ515">
        <v>89.778379589570804</v>
      </c>
      <c r="AK515">
        <v>0.47216064266158198</v>
      </c>
      <c r="AL515">
        <v>72.642421010319893</v>
      </c>
      <c r="AM515">
        <v>94.288037065071194</v>
      </c>
      <c r="AN515">
        <v>0.99999998696223202</v>
      </c>
    </row>
    <row r="516" spans="1:40" x14ac:dyDescent="0.25">
      <c r="A516" t="str">
        <f>"20190304164109026"</f>
        <v>20190304164109026</v>
      </c>
      <c r="B516" t="str">
        <f>"1551688869011620"</f>
        <v>1551688869011620</v>
      </c>
      <c r="C516" t="s">
        <v>40</v>
      </c>
      <c r="D516">
        <v>4.3197970000000003</v>
      </c>
      <c r="E516">
        <v>0.55459389999999997</v>
      </c>
      <c r="F516" t="s">
        <v>41</v>
      </c>
      <c r="G516">
        <v>-403.54629999999997</v>
      </c>
      <c r="H516">
        <v>0.79133830000000005</v>
      </c>
      <c r="I516">
        <v>367.00990000000002</v>
      </c>
      <c r="J516">
        <v>-404.12630000000001</v>
      </c>
      <c r="K516">
        <v>1.0601689999999999</v>
      </c>
      <c r="L516">
        <v>367.00990000000002</v>
      </c>
      <c r="M516">
        <v>0.99991609999999997</v>
      </c>
      <c r="N516">
        <v>-1.18473E-2</v>
      </c>
      <c r="O516">
        <v>5.2379030000000004E-3</v>
      </c>
      <c r="P516">
        <v>0.95488720000000005</v>
      </c>
      <c r="Q516">
        <v>0.2869776</v>
      </c>
      <c r="R516">
        <v>7.6384160000000006E-2</v>
      </c>
      <c r="S516">
        <v>3.5061949999999902</v>
      </c>
      <c r="T516">
        <v>-1.2144649999999999</v>
      </c>
      <c r="U516">
        <v>6.9274899999999997E-3</v>
      </c>
      <c r="V516">
        <v>-7.1337220000000007E-2</v>
      </c>
      <c r="W516">
        <v>0.29828549999999998</v>
      </c>
      <c r="X516">
        <v>0.95180710000000002</v>
      </c>
      <c r="Y516">
        <v>2.8081199999999999E-3</v>
      </c>
      <c r="Z516">
        <v>-2.1922230000000001E-3</v>
      </c>
      <c r="AA516">
        <v>0.99999369999999999</v>
      </c>
      <c r="AB516">
        <v>31</v>
      </c>
      <c r="AC516">
        <v>0.58000000000004004</v>
      </c>
      <c r="AD516">
        <v>-0.26883069999999998</v>
      </c>
      <c r="AE516">
        <v>0</v>
      </c>
      <c r="AF516">
        <v>2.5009166212717499E-3</v>
      </c>
      <c r="AG516">
        <v>-0.26883069999999998</v>
      </c>
      <c r="AH516">
        <v>0.47742518224702302</v>
      </c>
      <c r="AI516">
        <v>119.382849292098</v>
      </c>
      <c r="AJ516">
        <v>89.699867828493595</v>
      </c>
      <c r="AK516">
        <v>0.54791514351224102</v>
      </c>
      <c r="AL516">
        <v>72.645344600788405</v>
      </c>
      <c r="AM516">
        <v>94.286261325507994</v>
      </c>
      <c r="AN516">
        <v>0.999999997038994</v>
      </c>
    </row>
    <row r="517" spans="1:40" x14ac:dyDescent="0.25">
      <c r="A517" t="str">
        <f>"20190304164109040"</f>
        <v>20190304164109040</v>
      </c>
      <c r="B517" t="str">
        <f>"1551688869032117"</f>
        <v>1551688869032117</v>
      </c>
      <c r="C517" t="s">
        <v>40</v>
      </c>
      <c r="D517">
        <v>4.3050509999999997</v>
      </c>
      <c r="E517">
        <v>0.55474159999999995</v>
      </c>
      <c r="F517" t="s">
        <v>41</v>
      </c>
      <c r="G517">
        <v>-403.27659999999997</v>
      </c>
      <c r="H517">
        <v>0.76653099999999996</v>
      </c>
      <c r="I517">
        <v>367.01119999999997</v>
      </c>
      <c r="J517">
        <v>-403.9144</v>
      </c>
      <c r="K517">
        <v>1.0601640000000001</v>
      </c>
      <c r="L517">
        <v>367.01100000000002</v>
      </c>
      <c r="M517">
        <v>0.99991680000000005</v>
      </c>
      <c r="N517">
        <v>-1.1804729999999999E-2</v>
      </c>
      <c r="O517">
        <v>5.2101439999999999E-3</v>
      </c>
      <c r="P517">
        <v>0.95496420000000004</v>
      </c>
      <c r="Q517">
        <v>0.28669519999999998</v>
      </c>
      <c r="R517">
        <v>7.6481359999999998E-2</v>
      </c>
      <c r="S517">
        <v>3.505341</v>
      </c>
      <c r="T517">
        <v>-1.2113430000000001</v>
      </c>
      <c r="U517">
        <v>5.5847170000000003E-3</v>
      </c>
      <c r="V517">
        <v>-7.1463239999999997E-2</v>
      </c>
      <c r="W517">
        <v>0.29796230000000001</v>
      </c>
      <c r="X517">
        <v>0.95189889999999999</v>
      </c>
      <c r="Y517">
        <v>3.1461520000000001E-3</v>
      </c>
      <c r="Z517">
        <v>-2.2372619999999998E-3</v>
      </c>
      <c r="AA517">
        <v>0.99999249999999995</v>
      </c>
      <c r="AB517">
        <v>31</v>
      </c>
      <c r="AC517">
        <v>0.63780000000002701</v>
      </c>
      <c r="AD517">
        <v>-0.29363299999999898</v>
      </c>
      <c r="AE517">
        <v>2.0000000000663901E-4</v>
      </c>
      <c r="AF517">
        <v>2.5770492591067401E-3</v>
      </c>
      <c r="AG517">
        <v>-0.29363299999999898</v>
      </c>
      <c r="AH517">
        <v>0.52625151775565504</v>
      </c>
      <c r="AI517">
        <v>119.159950724719</v>
      </c>
      <c r="AJ517">
        <v>89.719425292079094</v>
      </c>
      <c r="AK517">
        <v>0.60263391857081405</v>
      </c>
      <c r="AL517">
        <v>72.664745212530704</v>
      </c>
      <c r="AM517">
        <v>94.293392340257398</v>
      </c>
      <c r="AN517">
        <v>1.00000002135689</v>
      </c>
    </row>
    <row r="518" spans="1:40" x14ac:dyDescent="0.25">
      <c r="A518" t="str">
        <f>"20190304164109057"</f>
        <v>20190304164109057</v>
      </c>
      <c r="B518" t="str">
        <f>"1551688869041876"</f>
        <v>1551688869041876</v>
      </c>
      <c r="C518" t="s">
        <v>40</v>
      </c>
      <c r="D518">
        <v>4.3048529999999996</v>
      </c>
      <c r="E518">
        <v>0.55480589999999996</v>
      </c>
      <c r="F518" t="s">
        <v>41</v>
      </c>
      <c r="G518">
        <v>-403.24939999999998</v>
      </c>
      <c r="H518">
        <v>0.83074579999999998</v>
      </c>
      <c r="I518">
        <v>367.01179999999999</v>
      </c>
      <c r="J518">
        <v>-403.69119999999998</v>
      </c>
      <c r="K518">
        <v>1.0601590000000001</v>
      </c>
      <c r="L518">
        <v>367.01209999999998</v>
      </c>
      <c r="M518">
        <v>0.99991759999999996</v>
      </c>
      <c r="N518">
        <v>-1.176132E-2</v>
      </c>
      <c r="O518">
        <v>5.1842219999999996E-3</v>
      </c>
      <c r="P518">
        <v>0.95496950000000003</v>
      </c>
      <c r="Q518">
        <v>0.28660409999999997</v>
      </c>
      <c r="R518">
        <v>7.6756359999999996E-2</v>
      </c>
      <c r="S518">
        <v>3.5040279999999999</v>
      </c>
      <c r="T518">
        <v>-1.2088380000000001</v>
      </c>
      <c r="U518">
        <v>4.6081539999999997E-3</v>
      </c>
      <c r="V518">
        <v>-7.1765469999999998E-2</v>
      </c>
      <c r="W518">
        <v>0.29782989999999998</v>
      </c>
      <c r="X518">
        <v>0.95191760000000003</v>
      </c>
      <c r="Y518">
        <v>3.386825E-3</v>
      </c>
      <c r="Z518">
        <v>-2.2671670000000001E-3</v>
      </c>
      <c r="AA518">
        <v>0.99999170000000004</v>
      </c>
      <c r="AB518">
        <v>31</v>
      </c>
      <c r="AC518">
        <v>0.44180000000000003</v>
      </c>
      <c r="AD518">
        <v>-0.22941320000000001</v>
      </c>
      <c r="AE518">
        <v>-2.9999999998153699E-4</v>
      </c>
      <c r="AF518">
        <v>2.0403753123654301E-3</v>
      </c>
      <c r="AG518">
        <v>-0.22941320000000001</v>
      </c>
      <c r="AH518">
        <v>0.34796660488023901</v>
      </c>
      <c r="AI518">
        <v>123.396276339702</v>
      </c>
      <c r="AJ518">
        <v>89.664038006640496</v>
      </c>
      <c r="AK518">
        <v>0.41679171966047401</v>
      </c>
      <c r="AL518">
        <v>72.672692027908596</v>
      </c>
      <c r="AM518">
        <v>94.311397113586807</v>
      </c>
      <c r="AN518">
        <v>1.0000000246040399</v>
      </c>
    </row>
    <row r="519" spans="1:40" x14ac:dyDescent="0.25">
      <c r="A519" t="str">
        <f>"20190304164109079"</f>
        <v>20190304164109079</v>
      </c>
      <c r="B519" t="str">
        <f>"1551688869072133"</f>
        <v>1551688869072133</v>
      </c>
      <c r="C519" t="s">
        <v>40</v>
      </c>
      <c r="D519">
        <v>4.3458009999999998</v>
      </c>
      <c r="E519">
        <v>0.55501040000000001</v>
      </c>
      <c r="F519" t="s">
        <v>41</v>
      </c>
      <c r="G519">
        <v>-402.97669999999999</v>
      </c>
      <c r="H519">
        <v>0.81385209999999997</v>
      </c>
      <c r="I519">
        <v>367.0127</v>
      </c>
      <c r="J519">
        <v>-403.37729999999999</v>
      </c>
      <c r="K519">
        <v>1.0601560000000001</v>
      </c>
      <c r="L519">
        <v>367.0138</v>
      </c>
      <c r="M519">
        <v>0.99991830000000004</v>
      </c>
      <c r="N519">
        <v>-1.1696099999999999E-2</v>
      </c>
      <c r="O519">
        <v>5.1494940000000001E-3</v>
      </c>
      <c r="P519">
        <v>0.95491839999999995</v>
      </c>
      <c r="Q519">
        <v>0.28671289999999999</v>
      </c>
      <c r="R519">
        <v>7.6983969999999999E-2</v>
      </c>
      <c r="S519">
        <v>3.5035400000000001</v>
      </c>
      <c r="T519">
        <v>-1.207748</v>
      </c>
      <c r="U519">
        <v>4.8828129999999997E-3</v>
      </c>
      <c r="V519">
        <v>-7.2028560000000005E-2</v>
      </c>
      <c r="W519">
        <v>0.29787540000000001</v>
      </c>
      <c r="X519">
        <v>0.95188349999999999</v>
      </c>
      <c r="Y519">
        <v>3.2822939999999998E-3</v>
      </c>
      <c r="Z519">
        <v>-2.2363370000000001E-3</v>
      </c>
      <c r="AA519">
        <v>0.99999210000000005</v>
      </c>
      <c r="AB519">
        <v>31</v>
      </c>
      <c r="AC519">
        <v>0.40059999999999701</v>
      </c>
      <c r="AD519">
        <v>-0.24630389999999899</v>
      </c>
      <c r="AE519">
        <v>-1.1000000000080899E-3</v>
      </c>
      <c r="AF519">
        <v>2.2953285437751999E-3</v>
      </c>
      <c r="AG519">
        <v>-0.24630389999999899</v>
      </c>
      <c r="AH519">
        <v>0.29069850675453102</v>
      </c>
      <c r="AI519">
        <v>130.27315811908801</v>
      </c>
      <c r="AJ519">
        <v>89.547607221456801</v>
      </c>
      <c r="AK519">
        <v>0.38102034265593698</v>
      </c>
      <c r="AL519">
        <v>72.669961259884104</v>
      </c>
      <c r="AM519">
        <v>94.327297065701501</v>
      </c>
      <c r="AN519">
        <v>1.0000000324765399</v>
      </c>
    </row>
    <row r="520" spans="1:40" x14ac:dyDescent="0.25">
      <c r="A520" t="str">
        <f>"20190304164109091"</f>
        <v>20190304164109091</v>
      </c>
      <c r="B520" t="str">
        <f>"1551688869082398"</f>
        <v>1551688869082398</v>
      </c>
      <c r="C520" t="s">
        <v>40</v>
      </c>
      <c r="D520">
        <v>4.3673169999999999</v>
      </c>
      <c r="E520">
        <v>0.55507689999999998</v>
      </c>
      <c r="F520" t="s">
        <v>41</v>
      </c>
      <c r="G520">
        <v>-402.69189999999998</v>
      </c>
      <c r="H520">
        <v>0.82466340000000005</v>
      </c>
      <c r="I520">
        <v>367.01429999999999</v>
      </c>
      <c r="J520">
        <v>-403.2208</v>
      </c>
      <c r="K520">
        <v>1.0601499999999999</v>
      </c>
      <c r="L520">
        <v>367.0145</v>
      </c>
      <c r="M520">
        <v>0.99991890000000005</v>
      </c>
      <c r="N520">
        <v>-1.1660179999999999E-2</v>
      </c>
      <c r="O520">
        <v>5.133093E-3</v>
      </c>
      <c r="P520">
        <v>0.95487010000000005</v>
      </c>
      <c r="Q520">
        <v>0.28684589999999999</v>
      </c>
      <c r="R520">
        <v>7.709009E-2</v>
      </c>
      <c r="S520">
        <v>3.5025940000000002</v>
      </c>
      <c r="T520">
        <v>-1.203273</v>
      </c>
      <c r="U520">
        <v>4.4555659999999898E-3</v>
      </c>
      <c r="V520">
        <v>-7.2151519999999997E-2</v>
      </c>
      <c r="W520">
        <v>0.29797370000000001</v>
      </c>
      <c r="X520">
        <v>0.95184340000000001</v>
      </c>
      <c r="Y520">
        <v>3.385412E-3</v>
      </c>
      <c r="Z520">
        <v>-2.2415949999999999E-3</v>
      </c>
      <c r="AA520">
        <v>0.99999179999999999</v>
      </c>
      <c r="AB520">
        <v>31</v>
      </c>
      <c r="AC520">
        <v>0.52890000000002102</v>
      </c>
      <c r="AD520">
        <v>-0.23548659999999899</v>
      </c>
      <c r="AE520">
        <v>-2.0000000000663901E-4</v>
      </c>
      <c r="AF520">
        <v>2.4328026374139601E-3</v>
      </c>
      <c r="AG520">
        <v>-0.23548659999999899</v>
      </c>
      <c r="AH520">
        <v>0.44139173348100602</v>
      </c>
      <c r="AI520">
        <v>118.079974894457</v>
      </c>
      <c r="AJ520">
        <v>89.684208150066198</v>
      </c>
      <c r="AK520">
        <v>0.50028643764707403</v>
      </c>
      <c r="AL520">
        <v>72.664060808258995</v>
      </c>
      <c r="AM520">
        <v>94.334837984071697</v>
      </c>
      <c r="AN520">
        <v>1.0000000129267801</v>
      </c>
    </row>
    <row r="521" spans="1:40" x14ac:dyDescent="0.25">
      <c r="A521" t="str">
        <f>"20190304164109102"</f>
        <v>20190304164109102</v>
      </c>
      <c r="B521" t="str">
        <f>"1551688869092159"</f>
        <v>1551688869092159</v>
      </c>
      <c r="C521" t="s">
        <v>40</v>
      </c>
      <c r="D521">
        <v>4.3672839999999997</v>
      </c>
      <c r="E521">
        <v>0.55507689999999998</v>
      </c>
      <c r="F521" t="s">
        <v>41</v>
      </c>
      <c r="G521">
        <v>-402.42720000000003</v>
      </c>
      <c r="H521">
        <v>0.78811399999999998</v>
      </c>
      <c r="I521">
        <v>367.01490000000001</v>
      </c>
      <c r="J521">
        <v>-403.05720000000002</v>
      </c>
      <c r="K521">
        <v>1.0601510000000001</v>
      </c>
      <c r="L521">
        <v>367.0154</v>
      </c>
      <c r="M521">
        <v>0.99991949999999996</v>
      </c>
      <c r="N521">
        <v>-1.162185E-2</v>
      </c>
      <c r="O521">
        <v>5.1159889999999996E-3</v>
      </c>
      <c r="P521">
        <v>0.95486079999999995</v>
      </c>
      <c r="Q521">
        <v>0.28688370000000002</v>
      </c>
      <c r="R521">
        <v>7.706383E-2</v>
      </c>
      <c r="S521">
        <v>3.502014</v>
      </c>
      <c r="T521">
        <v>-1.2004189999999999</v>
      </c>
      <c r="U521">
        <v>4.6081539999999997E-3</v>
      </c>
      <c r="V521">
        <v>-7.2142419999999999E-2</v>
      </c>
      <c r="W521">
        <v>0.29797459999999998</v>
      </c>
      <c r="X521">
        <v>0.95184380000000002</v>
      </c>
      <c r="Y521">
        <v>3.3307010000000001E-3</v>
      </c>
      <c r="Z521">
        <v>-2.2220019999999998E-3</v>
      </c>
      <c r="AA521">
        <v>0.99999199999999999</v>
      </c>
      <c r="AB521">
        <v>31</v>
      </c>
      <c r="AC521">
        <v>0.62999999999999501</v>
      </c>
      <c r="AD521">
        <v>-0.27203699999999997</v>
      </c>
      <c r="AE521">
        <v>-4.9999999998817603E-4</v>
      </c>
      <c r="AF521">
        <v>3.1381578551232798E-3</v>
      </c>
      <c r="AG521">
        <v>-0.27203699999999997</v>
      </c>
      <c r="AH521">
        <v>0.53098437893109596</v>
      </c>
      <c r="AI521">
        <v>117.126828577399</v>
      </c>
      <c r="AJ521">
        <v>89.661381550429198</v>
      </c>
      <c r="AK521">
        <v>0.59662248371358395</v>
      </c>
      <c r="AL521">
        <v>72.664006651793898</v>
      </c>
      <c r="AM521">
        <v>94.334291528304107</v>
      </c>
      <c r="AN521">
        <v>1.0000000053035201</v>
      </c>
    </row>
    <row r="522" spans="1:40" x14ac:dyDescent="0.25">
      <c r="A522" t="str">
        <f>"20190304164109113"</f>
        <v>20190304164109113</v>
      </c>
      <c r="B522" t="str">
        <f>"1551688869101919"</f>
        <v>1551688869101919</v>
      </c>
      <c r="C522" t="s">
        <v>40</v>
      </c>
      <c r="D522">
        <v>4.3873870000000004</v>
      </c>
      <c r="E522">
        <v>0.56292030000000004</v>
      </c>
      <c r="F522" t="s">
        <v>41</v>
      </c>
      <c r="G522">
        <v>-402.161</v>
      </c>
      <c r="H522">
        <v>0.75298240000000005</v>
      </c>
      <c r="I522">
        <v>367.01650000000001</v>
      </c>
      <c r="J522">
        <v>-402.89</v>
      </c>
      <c r="K522">
        <v>1.0601449999999999</v>
      </c>
      <c r="L522">
        <v>367.01620000000003</v>
      </c>
      <c r="M522">
        <v>0.99992000000000003</v>
      </c>
      <c r="N522">
        <v>-1.15827E-2</v>
      </c>
      <c r="O522">
        <v>5.0987640000000004E-3</v>
      </c>
      <c r="P522">
        <v>0.95480149999999997</v>
      </c>
      <c r="Q522">
        <v>0.28706179999999998</v>
      </c>
      <c r="R522">
        <v>7.7135380000000003E-2</v>
      </c>
      <c r="S522">
        <v>3.502075</v>
      </c>
      <c r="T522">
        <v>-1.200399</v>
      </c>
      <c r="U522">
        <v>4.9438479999999998E-3</v>
      </c>
      <c r="V522">
        <v>-7.2231260000000005E-2</v>
      </c>
      <c r="W522">
        <v>0.2981143</v>
      </c>
      <c r="X522">
        <v>0.95179329999999995</v>
      </c>
      <c r="Y522">
        <v>3.2248149999999998E-3</v>
      </c>
      <c r="Z522">
        <v>-2.1982360000000001E-3</v>
      </c>
      <c r="AA522">
        <v>0.9999924</v>
      </c>
      <c r="AB522">
        <v>31</v>
      </c>
      <c r="AC522">
        <v>0.72899999999998499</v>
      </c>
      <c r="AD522">
        <v>-0.30716260000000001</v>
      </c>
      <c r="AE522">
        <v>2.9999999998153699E-4</v>
      </c>
      <c r="AF522">
        <v>2.9020409695865298E-3</v>
      </c>
      <c r="AG522">
        <v>-0.30716260000000001</v>
      </c>
      <c r="AH522">
        <v>0.61908365441909496</v>
      </c>
      <c r="AI522">
        <v>116.388373174153</v>
      </c>
      <c r="AJ522">
        <v>89.731420010113595</v>
      </c>
      <c r="AK522">
        <v>0.69110191422788803</v>
      </c>
      <c r="AL522">
        <v>72.655621032235899</v>
      </c>
      <c r="AM522">
        <v>94.339837997991296</v>
      </c>
      <c r="AN522">
        <v>0.99999998835528303</v>
      </c>
    </row>
    <row r="523" spans="1:40" x14ac:dyDescent="0.25">
      <c r="A523" t="str">
        <f>"20190304164109126"</f>
        <v>20190304164109126</v>
      </c>
      <c r="B523" t="str">
        <f>"1551688869121589"</f>
        <v>1551688869121589</v>
      </c>
      <c r="C523" t="s">
        <v>40</v>
      </c>
      <c r="D523">
        <v>4.376544</v>
      </c>
      <c r="E523">
        <v>0.56022749999999999</v>
      </c>
      <c r="F523" t="s">
        <v>41</v>
      </c>
      <c r="G523">
        <v>-402.12459999999999</v>
      </c>
      <c r="H523">
        <v>0.84155429999999998</v>
      </c>
      <c r="I523">
        <v>366.99829999999997</v>
      </c>
      <c r="J523">
        <v>-402.72289999999998</v>
      </c>
      <c r="K523">
        <v>1.0601430000000001</v>
      </c>
      <c r="L523">
        <v>367.017</v>
      </c>
      <c r="M523">
        <v>0.99992049999999999</v>
      </c>
      <c r="N523">
        <v>-1.154351E-2</v>
      </c>
      <c r="O523">
        <v>5.0818360000000002E-3</v>
      </c>
      <c r="P523">
        <v>0.95471229999999996</v>
      </c>
      <c r="Q523">
        <v>0.28736230000000001</v>
      </c>
      <c r="R523">
        <v>7.7119439999999997E-2</v>
      </c>
      <c r="S523">
        <v>3.4442140000000001</v>
      </c>
      <c r="T523">
        <v>-0.98373160000000004</v>
      </c>
      <c r="U523">
        <v>-7.9833979999999999E-2</v>
      </c>
      <c r="V523">
        <v>-7.2232309999999994E-2</v>
      </c>
      <c r="W523">
        <v>0.2983769</v>
      </c>
      <c r="X523">
        <v>0.95171090000000003</v>
      </c>
      <c r="Y523">
        <v>2.6944160000000002E-2</v>
      </c>
      <c r="Z523">
        <v>-5.2959840000000001E-3</v>
      </c>
      <c r="AA523">
        <v>0.99962289999999998</v>
      </c>
      <c r="AB523">
        <v>31</v>
      </c>
      <c r="AC523">
        <v>0.59829999999999395</v>
      </c>
      <c r="AD523">
        <v>-0.2185887</v>
      </c>
      <c r="AE523">
        <v>-1.8700000000023899E-2</v>
      </c>
      <c r="AF523">
        <v>1.9182442718754401E-2</v>
      </c>
      <c r="AG523">
        <v>-0.2185887</v>
      </c>
      <c r="AH523">
        <v>0.52781328085766199</v>
      </c>
      <c r="AI523">
        <v>112.483047842006</v>
      </c>
      <c r="AJ523">
        <v>87.918602022712406</v>
      </c>
      <c r="AK523">
        <v>0.57160812216594503</v>
      </c>
      <c r="AL523">
        <v>72.639857236945204</v>
      </c>
      <c r="AM523">
        <v>94.340275160461402</v>
      </c>
      <c r="AN523">
        <v>0.99999995912017703</v>
      </c>
    </row>
    <row r="524" spans="1:40" x14ac:dyDescent="0.25">
      <c r="A524" t="str">
        <f>"20190304164109138"</f>
        <v>20190304164109138</v>
      </c>
      <c r="B524" t="str">
        <f>"1551688869132326"</f>
        <v>1551688869132326</v>
      </c>
      <c r="C524" t="s">
        <v>40</v>
      </c>
      <c r="D524">
        <v>4.3988180000000003</v>
      </c>
      <c r="E524">
        <v>0.56087600000000004</v>
      </c>
      <c r="F524" t="s">
        <v>41</v>
      </c>
      <c r="G524">
        <v>-401.86180000000002</v>
      </c>
      <c r="H524">
        <v>0.79916049999999905</v>
      </c>
      <c r="I524">
        <v>367.00380000000001</v>
      </c>
      <c r="J524">
        <v>-402.55439999999999</v>
      </c>
      <c r="K524">
        <v>1.0601320000000001</v>
      </c>
      <c r="L524">
        <v>367.0179</v>
      </c>
      <c r="M524">
        <v>0.99992099999999995</v>
      </c>
      <c r="N524">
        <v>-1.1503859999999999E-2</v>
      </c>
      <c r="O524">
        <v>5.0646069999999996E-3</v>
      </c>
      <c r="P524">
        <v>0.95477049999999997</v>
      </c>
      <c r="Q524">
        <v>0.2871783</v>
      </c>
      <c r="R524">
        <v>7.7085319999999999E-2</v>
      </c>
      <c r="S524">
        <v>3.4623110000000001</v>
      </c>
      <c r="T524">
        <v>-1.0494619999999999</v>
      </c>
      <c r="U524">
        <v>-5.1086430000000002E-2</v>
      </c>
      <c r="V524">
        <v>-7.2214840000000002E-2</v>
      </c>
      <c r="W524">
        <v>0.29815580000000003</v>
      </c>
      <c r="X524">
        <v>0.95178160000000001</v>
      </c>
      <c r="Y524">
        <v>1.8732200000000001E-2</v>
      </c>
      <c r="Z524">
        <v>-4.33097E-3</v>
      </c>
      <c r="AA524">
        <v>0.99981520000000002</v>
      </c>
      <c r="AB524">
        <v>31</v>
      </c>
      <c r="AC524">
        <v>0.69259999999997002</v>
      </c>
      <c r="AD524">
        <v>-0.26097150000000002</v>
      </c>
      <c r="AE524">
        <v>-1.4099999999984901E-2</v>
      </c>
      <c r="AF524">
        <v>1.5419477745313701E-2</v>
      </c>
      <c r="AG524">
        <v>-0.26097150000000002</v>
      </c>
      <c r="AH524">
        <v>0.60645243979949703</v>
      </c>
      <c r="AI524">
        <v>113.27668522706701</v>
      </c>
      <c r="AJ524">
        <v>88.543528502988096</v>
      </c>
      <c r="AK524">
        <v>0.66040021641800695</v>
      </c>
      <c r="AL524">
        <v>72.653130882178601</v>
      </c>
      <c r="AM524">
        <v>94.338908343095198</v>
      </c>
      <c r="AN524">
        <v>1.0000000391442101</v>
      </c>
    </row>
    <row r="525" spans="1:40" x14ac:dyDescent="0.25">
      <c r="A525" t="str">
        <f>"20190304164109149"</f>
        <v>20190304164109149</v>
      </c>
      <c r="B525" t="str">
        <f>"1551688869142086"</f>
        <v>1551688869142086</v>
      </c>
      <c r="C525" t="s">
        <v>40</v>
      </c>
      <c r="D525">
        <v>4.3972369999999996</v>
      </c>
      <c r="E525">
        <v>0.56028080000000002</v>
      </c>
      <c r="F525" t="s">
        <v>41</v>
      </c>
      <c r="G525">
        <v>-401.84120000000001</v>
      </c>
      <c r="H525">
        <v>0.84700549999999997</v>
      </c>
      <c r="I525">
        <v>367.00540000000001</v>
      </c>
      <c r="J525">
        <v>-402.39670000000001</v>
      </c>
      <c r="K525">
        <v>1.060127</v>
      </c>
      <c r="L525">
        <v>367.01859999999999</v>
      </c>
      <c r="M525">
        <v>0.99992159999999997</v>
      </c>
      <c r="N525">
        <v>-1.1465690000000001E-2</v>
      </c>
      <c r="O525">
        <v>5.0480270000000001E-3</v>
      </c>
      <c r="P525">
        <v>0.95469020000000004</v>
      </c>
      <c r="Q525">
        <v>0.28745029999999999</v>
      </c>
      <c r="R525">
        <v>7.7065229999999998E-2</v>
      </c>
      <c r="S525">
        <v>3.457611</v>
      </c>
      <c r="T525">
        <v>-1.0333270000000001</v>
      </c>
      <c r="U525">
        <v>-5.7891850000000002E-2</v>
      </c>
      <c r="V525">
        <v>-7.2210659999999996E-2</v>
      </c>
      <c r="W525">
        <v>0.29839019999999999</v>
      </c>
      <c r="X525">
        <v>0.95170840000000001</v>
      </c>
      <c r="Y525">
        <v>2.0646230000000002E-2</v>
      </c>
      <c r="Z525">
        <v>-4.5595549999999999E-3</v>
      </c>
      <c r="AA525">
        <v>0.99977640000000001</v>
      </c>
      <c r="AB525">
        <v>31</v>
      </c>
      <c r="AC525">
        <v>0.555499999999995</v>
      </c>
      <c r="AD525">
        <v>-0.21312149999999999</v>
      </c>
      <c r="AE525">
        <v>-1.31999999999834E-2</v>
      </c>
      <c r="AF525">
        <v>1.39517565045834E-2</v>
      </c>
      <c r="AG525">
        <v>-0.21312149999999999</v>
      </c>
      <c r="AH525">
        <v>0.48419631820186398</v>
      </c>
      <c r="AI525">
        <v>113.748176113459</v>
      </c>
      <c r="AJ525">
        <v>88.3495214356888</v>
      </c>
      <c r="AK525">
        <v>0.52920837090134398</v>
      </c>
      <c r="AL525">
        <v>72.639059291701003</v>
      </c>
      <c r="AM525">
        <v>94.338990584331896</v>
      </c>
      <c r="AN525">
        <v>0.99999998475211704</v>
      </c>
    </row>
    <row r="526" spans="1:40" x14ac:dyDescent="0.25">
      <c r="A526" t="str">
        <f>"20190304164109160"</f>
        <v>20190304164109160</v>
      </c>
      <c r="B526" t="str">
        <f>"1551688869151845"</f>
        <v>1551688869151845</v>
      </c>
      <c r="C526" t="s">
        <v>40</v>
      </c>
      <c r="D526">
        <v>4.4145969999999997</v>
      </c>
      <c r="E526">
        <v>0.56062900000000004</v>
      </c>
      <c r="F526" t="s">
        <v>41</v>
      </c>
      <c r="G526">
        <v>-401.57560000000001</v>
      </c>
      <c r="H526">
        <v>0.81171110000000002</v>
      </c>
      <c r="I526">
        <v>367.00599999999997</v>
      </c>
      <c r="J526">
        <v>-402.23329999999999</v>
      </c>
      <c r="K526">
        <v>1.0601229999999999</v>
      </c>
      <c r="L526">
        <v>367.01940000000002</v>
      </c>
      <c r="M526">
        <v>0.99992219999999998</v>
      </c>
      <c r="N526">
        <v>-1.1425640000000001E-2</v>
      </c>
      <c r="O526">
        <v>5.030624E-3</v>
      </c>
      <c r="P526">
        <v>0.95468399999999998</v>
      </c>
      <c r="Q526">
        <v>0.28753859999999998</v>
      </c>
      <c r="R526">
        <v>7.6812119999999998E-2</v>
      </c>
      <c r="S526">
        <v>3.4619140000000002</v>
      </c>
      <c r="T526">
        <v>-1.0473870000000001</v>
      </c>
      <c r="U526">
        <v>-5.1879880000000003E-2</v>
      </c>
      <c r="V526">
        <v>-7.1974880000000005E-2</v>
      </c>
      <c r="W526">
        <v>0.29843969999999997</v>
      </c>
      <c r="X526">
        <v>0.95171079999999997</v>
      </c>
      <c r="Y526">
        <v>1.892547E-2</v>
      </c>
      <c r="Z526">
        <v>-4.3430099999999996E-3</v>
      </c>
      <c r="AA526">
        <v>0.99981149999999996</v>
      </c>
      <c r="AB526">
        <v>31</v>
      </c>
      <c r="AC526">
        <v>0.65769999999997697</v>
      </c>
      <c r="AD526">
        <v>-0.24841189999999899</v>
      </c>
      <c r="AE526">
        <v>-1.34000000000469E-2</v>
      </c>
      <c r="AF526">
        <v>1.46234364957562E-2</v>
      </c>
      <c r="AG526">
        <v>-0.24841189999999899</v>
      </c>
      <c r="AH526">
        <v>0.57555249027066901</v>
      </c>
      <c r="AI526">
        <v>113.33859127610199</v>
      </c>
      <c r="AJ526">
        <v>88.5445619926181</v>
      </c>
      <c r="AK526">
        <v>0.62704304956942503</v>
      </c>
      <c r="AL526">
        <v>72.636088788332103</v>
      </c>
      <c r="AM526">
        <v>94.324866023775797</v>
      </c>
      <c r="AN526">
        <v>1.00000004236187</v>
      </c>
    </row>
    <row r="527" spans="1:40" x14ac:dyDescent="0.25">
      <c r="A527" t="str">
        <f>"20190304164109173"</f>
        <v>20190304164109173</v>
      </c>
      <c r="B527" t="str">
        <f>"1551688869161606"</f>
        <v>1551688869161606</v>
      </c>
      <c r="C527" t="s">
        <v>40</v>
      </c>
      <c r="D527">
        <v>4.4002270000000001</v>
      </c>
      <c r="E527">
        <v>0.56014280000000005</v>
      </c>
      <c r="F527" t="s">
        <v>41</v>
      </c>
      <c r="G527">
        <v>-401.55599999999998</v>
      </c>
      <c r="H527">
        <v>0.85694689999999996</v>
      </c>
      <c r="I527">
        <v>367.00810000000001</v>
      </c>
      <c r="J527">
        <v>-402.07400000000001</v>
      </c>
      <c r="K527">
        <v>1.060114</v>
      </c>
      <c r="L527">
        <v>367.02019999999999</v>
      </c>
      <c r="M527">
        <v>0.99992259999999999</v>
      </c>
      <c r="N527">
        <v>-1.138464E-2</v>
      </c>
      <c r="O527">
        <v>5.0138769999999999E-3</v>
      </c>
      <c r="P527">
        <v>0.95466410000000002</v>
      </c>
      <c r="Q527">
        <v>0.28766779999999997</v>
      </c>
      <c r="R527">
        <v>7.6574899999999904E-2</v>
      </c>
      <c r="S527">
        <v>3.4594420000000001</v>
      </c>
      <c r="T527">
        <v>-1.0376970000000001</v>
      </c>
      <c r="U527">
        <v>-5.6488040000000003E-2</v>
      </c>
      <c r="V527">
        <v>-7.1753559999999994E-2</v>
      </c>
      <c r="W527">
        <v>0.29852990000000001</v>
      </c>
      <c r="X527">
        <v>0.95169919999999997</v>
      </c>
      <c r="Y527">
        <v>2.0210849999999999E-2</v>
      </c>
      <c r="Z527">
        <v>-4.4990009999999999E-3</v>
      </c>
      <c r="AA527">
        <v>0.99978560000000005</v>
      </c>
      <c r="AB527">
        <v>31</v>
      </c>
      <c r="AC527">
        <v>0.51800000000002899</v>
      </c>
      <c r="AD527">
        <v>-0.20316709999999999</v>
      </c>
      <c r="AE527">
        <v>-1.2099999999975301E-2</v>
      </c>
      <c r="AF527">
        <v>1.2738657551681199E-2</v>
      </c>
      <c r="AG527">
        <v>-0.20316709999999999</v>
      </c>
      <c r="AH527">
        <v>0.448913176264921</v>
      </c>
      <c r="AI527">
        <v>114.341681189322</v>
      </c>
      <c r="AJ527">
        <v>88.374573210179904</v>
      </c>
      <c r="AK527">
        <v>0.49291194319359799</v>
      </c>
      <c r="AL527">
        <v>72.630673482533993</v>
      </c>
      <c r="AM527">
        <v>94.311669807417204</v>
      </c>
      <c r="AN527">
        <v>1.0000000209236599</v>
      </c>
    </row>
    <row r="528" spans="1:40" x14ac:dyDescent="0.25">
      <c r="A528" t="str">
        <f>"20190304164109185"</f>
        <v>20190304164109185</v>
      </c>
      <c r="B528" t="str">
        <f>"1551688869172342"</f>
        <v>1551688869172342</v>
      </c>
      <c r="C528" t="s">
        <v>40</v>
      </c>
      <c r="D528">
        <v>4.4177039999999996</v>
      </c>
      <c r="E528">
        <v>0.55964290000000005</v>
      </c>
      <c r="F528" t="s">
        <v>41</v>
      </c>
      <c r="G528">
        <v>-401.28980000000001</v>
      </c>
      <c r="H528">
        <v>0.82248759999999999</v>
      </c>
      <c r="I528">
        <v>367.00839999999999</v>
      </c>
      <c r="J528">
        <v>-401.89850000000001</v>
      </c>
      <c r="K528">
        <v>1.0601080000000001</v>
      </c>
      <c r="L528">
        <v>367.02109999999999</v>
      </c>
      <c r="M528">
        <v>0.99992329999999996</v>
      </c>
      <c r="N528">
        <v>-1.133878E-2</v>
      </c>
      <c r="O528">
        <v>4.9947739999999996E-3</v>
      </c>
      <c r="P528">
        <v>0.95462060000000004</v>
      </c>
      <c r="Q528">
        <v>0.28784300000000002</v>
      </c>
      <c r="R528">
        <v>7.6459830000000006E-2</v>
      </c>
      <c r="S528">
        <v>3.4627080000000001</v>
      </c>
      <c r="T528">
        <v>-1.049204</v>
      </c>
      <c r="U528">
        <v>-5.1422120000000002E-2</v>
      </c>
      <c r="V528">
        <v>-7.1657460000000006E-2</v>
      </c>
      <c r="W528">
        <v>0.29866090000000001</v>
      </c>
      <c r="X528">
        <v>0.95166530000000005</v>
      </c>
      <c r="Y528">
        <v>1.876019E-2</v>
      </c>
      <c r="Z528">
        <v>-4.3131180000000003E-3</v>
      </c>
      <c r="AA528">
        <v>0.99981469999999995</v>
      </c>
      <c r="AB528">
        <v>31</v>
      </c>
      <c r="AC528">
        <v>0.60869999999999802</v>
      </c>
      <c r="AD528">
        <v>-0.23762040000000001</v>
      </c>
      <c r="AE528">
        <v>-1.26999999999952E-2</v>
      </c>
      <c r="AF528">
        <v>1.36596469695698E-2</v>
      </c>
      <c r="AG528">
        <v>-0.23762040000000001</v>
      </c>
      <c r="AH528">
        <v>0.52817464640314604</v>
      </c>
      <c r="AI528">
        <v>114.215329584692</v>
      </c>
      <c r="AJ528">
        <v>88.518547399691997</v>
      </c>
      <c r="AK528">
        <v>0.57932589926101297</v>
      </c>
      <c r="AL528">
        <v>72.622808291986004</v>
      </c>
      <c r="AM528">
        <v>94.306069701002102</v>
      </c>
      <c r="AN528">
        <v>0.99999998399327505</v>
      </c>
    </row>
    <row r="529" spans="1:40" x14ac:dyDescent="0.25">
      <c r="A529" t="str">
        <f>"20190304164109202"</f>
        <v>20190304164109202</v>
      </c>
      <c r="B529" t="str">
        <f>"1551688869192369"</f>
        <v>1551688869192369</v>
      </c>
      <c r="C529" t="s">
        <v>40</v>
      </c>
      <c r="D529">
        <v>4.3990200000000002</v>
      </c>
      <c r="E529">
        <v>0.55951549999999906</v>
      </c>
      <c r="F529" t="s">
        <v>41</v>
      </c>
      <c r="G529">
        <v>-401.0213</v>
      </c>
      <c r="H529">
        <v>0.7919368</v>
      </c>
      <c r="I529">
        <v>367.00909999999999</v>
      </c>
      <c r="J529">
        <v>-401.65769999999998</v>
      </c>
      <c r="K529">
        <v>1.060101</v>
      </c>
      <c r="L529">
        <v>367.0222</v>
      </c>
      <c r="M529">
        <v>0.99992420000000004</v>
      </c>
      <c r="N529">
        <v>-1.127364E-2</v>
      </c>
      <c r="O529">
        <v>4.9684519999999999E-3</v>
      </c>
      <c r="P529">
        <v>0.95454519999999998</v>
      </c>
      <c r="Q529">
        <v>0.28817599999999999</v>
      </c>
      <c r="R529">
        <v>7.6146069999999996E-2</v>
      </c>
      <c r="S529">
        <v>3.4658509999999998</v>
      </c>
      <c r="T529">
        <v>-1.059639</v>
      </c>
      <c r="U529">
        <v>-4.6630860000000003E-2</v>
      </c>
      <c r="V529">
        <v>-7.1369329999999995E-2</v>
      </c>
      <c r="W529">
        <v>0.2989308</v>
      </c>
      <c r="X529">
        <v>0.95160219999999995</v>
      </c>
      <c r="Y529">
        <v>1.7385810000000002E-2</v>
      </c>
      <c r="Z529">
        <v>-4.128797E-3</v>
      </c>
      <c r="AA529">
        <v>0.99984030000000002</v>
      </c>
      <c r="AB529">
        <v>31</v>
      </c>
      <c r="AC529">
        <v>0.63639999999997998</v>
      </c>
      <c r="AD529">
        <v>-0.26816420000000002</v>
      </c>
      <c r="AE529">
        <v>-1.3100000000008501E-2</v>
      </c>
      <c r="AF529">
        <v>1.38107801991068E-2</v>
      </c>
      <c r="AG529">
        <v>-0.26816420000000002</v>
      </c>
      <c r="AH529">
        <v>0.54041284656926702</v>
      </c>
      <c r="AI529">
        <v>116.384125835147</v>
      </c>
      <c r="AJ529">
        <v>88.536068819130406</v>
      </c>
      <c r="AK529">
        <v>0.60344744638489101</v>
      </c>
      <c r="AL529">
        <v>72.606603748256006</v>
      </c>
      <c r="AM529">
        <v>94.289103334847596</v>
      </c>
      <c r="AN529">
        <v>0.99999997574906396</v>
      </c>
    </row>
    <row r="530" spans="1:40" x14ac:dyDescent="0.25">
      <c r="A530" t="str">
        <f>"20190304164109225"</f>
        <v>20190304164109225</v>
      </c>
      <c r="B530" t="str">
        <f>"1551688869211888"</f>
        <v>1551688869211888</v>
      </c>
      <c r="C530" t="s">
        <v>40</v>
      </c>
      <c r="D530">
        <v>4.4288540000000003</v>
      </c>
      <c r="E530">
        <v>0.55896259999999998</v>
      </c>
      <c r="F530" t="s">
        <v>41</v>
      </c>
      <c r="G530">
        <v>-400.74419999999998</v>
      </c>
      <c r="H530">
        <v>0.78094569999999996</v>
      </c>
      <c r="I530">
        <v>367.00959999999998</v>
      </c>
      <c r="J530">
        <v>-401.34190000000001</v>
      </c>
      <c r="K530">
        <v>1.0600889999999901</v>
      </c>
      <c r="L530">
        <v>367.02370000000002</v>
      </c>
      <c r="M530">
        <v>0.99992530000000002</v>
      </c>
      <c r="N530">
        <v>-1.1185230000000001E-2</v>
      </c>
      <c r="O530">
        <v>4.9342659999999997E-3</v>
      </c>
      <c r="P530">
        <v>0.95448089999999997</v>
      </c>
      <c r="Q530">
        <v>0.28839160000000003</v>
      </c>
      <c r="R530">
        <v>7.6137109999999994E-2</v>
      </c>
      <c r="S530">
        <v>3.4663699999999902</v>
      </c>
      <c r="T530">
        <v>-1.059312</v>
      </c>
      <c r="U530">
        <v>-4.6569819999999998E-2</v>
      </c>
      <c r="V530">
        <v>-7.1393499999999999E-2</v>
      </c>
      <c r="W530">
        <v>0.29906139999999998</v>
      </c>
      <c r="X530">
        <v>0.95155940000000006</v>
      </c>
      <c r="Y530">
        <v>1.7336810000000001E-2</v>
      </c>
      <c r="Z530">
        <v>-4.1092100000000003E-3</v>
      </c>
      <c r="AA530">
        <v>0.99984130000000004</v>
      </c>
      <c r="AB530">
        <v>31</v>
      </c>
      <c r="AC530">
        <v>0.59770000000003098</v>
      </c>
      <c r="AD530">
        <v>-0.27914329999999898</v>
      </c>
      <c r="AE530">
        <v>-1.4100000000041701E-2</v>
      </c>
      <c r="AF530">
        <v>1.399777936753E-2</v>
      </c>
      <c r="AG530">
        <v>-0.27914329999999898</v>
      </c>
      <c r="AH530">
        <v>0.49066146144518902</v>
      </c>
      <c r="AI530">
        <v>119.626060625582</v>
      </c>
      <c r="AJ530">
        <v>88.365887130868103</v>
      </c>
      <c r="AK530">
        <v>0.56468184804333899</v>
      </c>
      <c r="AL530">
        <v>72.598763037875301</v>
      </c>
      <c r="AM530">
        <v>94.290742726200406</v>
      </c>
      <c r="AN530">
        <v>1.0000000222702801</v>
      </c>
    </row>
    <row r="531" spans="1:40" x14ac:dyDescent="0.25">
      <c r="A531" t="str">
        <f>"20190304164109240"</f>
        <v>20190304164109240</v>
      </c>
      <c r="B531" t="str">
        <f>"1551688869222624"</f>
        <v>1551688869222624</v>
      </c>
      <c r="C531" t="s">
        <v>40</v>
      </c>
      <c r="D531">
        <v>4.4243880000000004</v>
      </c>
      <c r="E531">
        <v>0.55876669999999995</v>
      </c>
      <c r="F531" t="s">
        <v>41</v>
      </c>
      <c r="G531">
        <v>-400.45949999999999</v>
      </c>
      <c r="H531">
        <v>0.78756749999999998</v>
      </c>
      <c r="I531">
        <v>367.01339999999999</v>
      </c>
      <c r="J531">
        <v>-401.12979999999999</v>
      </c>
      <c r="K531">
        <v>1.0600799999999999</v>
      </c>
      <c r="L531">
        <v>367.02480000000003</v>
      </c>
      <c r="M531">
        <v>0.99992610000000004</v>
      </c>
      <c r="N531">
        <v>-1.1126759999999999E-2</v>
      </c>
      <c r="O531">
        <v>4.9107589999999998E-3</v>
      </c>
      <c r="P531">
        <v>0.95441100000000001</v>
      </c>
      <c r="Q531">
        <v>0.28866619999999998</v>
      </c>
      <c r="R531">
        <v>7.5970399999999993E-2</v>
      </c>
      <c r="S531">
        <v>3.4700929999999999</v>
      </c>
      <c r="T531">
        <v>-1.0716399999999999</v>
      </c>
      <c r="U531">
        <v>-4.0344240000000003E-2</v>
      </c>
      <c r="V531">
        <v>-7.124954E-2</v>
      </c>
      <c r="W531">
        <v>0.29927979999999998</v>
      </c>
      <c r="X531">
        <v>0.9515015</v>
      </c>
      <c r="Y531">
        <v>1.5570580000000001E-2</v>
      </c>
      <c r="Z531">
        <v>-3.8666619999999999E-3</v>
      </c>
      <c r="AA531">
        <v>0.99987130000000002</v>
      </c>
      <c r="AB531">
        <v>32</v>
      </c>
      <c r="AC531">
        <v>0.67029999999999701</v>
      </c>
      <c r="AD531">
        <v>-0.27251249999999899</v>
      </c>
      <c r="AE531">
        <v>-1.14000000000373E-2</v>
      </c>
      <c r="AF531">
        <v>1.26083711637893E-2</v>
      </c>
      <c r="AG531">
        <v>-0.27251249999999899</v>
      </c>
      <c r="AH531">
        <v>0.57519251364472301</v>
      </c>
      <c r="AI531">
        <v>115.34515417311501</v>
      </c>
      <c r="AJ531">
        <v>88.744262546023293</v>
      </c>
      <c r="AK531">
        <v>0.63660699134755705</v>
      </c>
      <c r="AL531">
        <v>72.585648613865402</v>
      </c>
      <c r="AM531">
        <v>94.282382560784697</v>
      </c>
      <c r="AN531">
        <v>1.00000000007025</v>
      </c>
    </row>
    <row r="532" spans="1:40" x14ac:dyDescent="0.25">
      <c r="A532" t="str">
        <f>"20190304164109254"</f>
        <v>20190304164109254</v>
      </c>
      <c r="B532" t="str">
        <f>"1551688869242144"</f>
        <v>1551688869242144</v>
      </c>
      <c r="C532" t="s">
        <v>40</v>
      </c>
      <c r="D532">
        <v>4.4350829999999997</v>
      </c>
      <c r="E532">
        <v>0.55876789999999998</v>
      </c>
      <c r="F532" t="s">
        <v>41</v>
      </c>
      <c r="G532">
        <v>-400.435</v>
      </c>
      <c r="H532">
        <v>0.84483209999999997</v>
      </c>
      <c r="I532">
        <v>367.01710000000003</v>
      </c>
      <c r="J532">
        <v>-400.92630000000003</v>
      </c>
      <c r="K532">
        <v>1.060252</v>
      </c>
      <c r="L532">
        <v>367.0258</v>
      </c>
      <c r="M532">
        <v>0.99991940000000001</v>
      </c>
      <c r="N532">
        <v>-1.172104E-2</v>
      </c>
      <c r="O532">
        <v>4.8906419999999997E-3</v>
      </c>
      <c r="P532">
        <v>0.95457519999999996</v>
      </c>
      <c r="Q532">
        <v>0.28811560000000003</v>
      </c>
      <c r="R532">
        <v>7.6000319999999996E-2</v>
      </c>
      <c r="S532">
        <v>3.4716490000000002</v>
      </c>
      <c r="T532">
        <v>-1.0754859999999999</v>
      </c>
      <c r="U532">
        <v>-3.823853E-2</v>
      </c>
      <c r="V532">
        <v>-7.1298589999999995E-2</v>
      </c>
      <c r="W532">
        <v>0.29929660000000002</v>
      </c>
      <c r="X532">
        <v>0.95149249999999996</v>
      </c>
      <c r="Y532">
        <v>1.496286E-2</v>
      </c>
      <c r="Z532">
        <v>-3.7785879999999998E-3</v>
      </c>
      <c r="AA532">
        <v>0.99988089999999996</v>
      </c>
      <c r="AB532">
        <v>32</v>
      </c>
      <c r="AC532">
        <v>0.491300000000023</v>
      </c>
      <c r="AD532">
        <v>-0.2154199</v>
      </c>
      <c r="AE532">
        <v>-8.6999999999761695E-3</v>
      </c>
      <c r="AF532">
        <v>9.3129344257503605E-3</v>
      </c>
      <c r="AG532">
        <v>-0.2154199</v>
      </c>
      <c r="AH532">
        <v>0.41205641453452602</v>
      </c>
      <c r="AI532">
        <v>117.594213487934</v>
      </c>
      <c r="AJ532">
        <v>88.705271919714207</v>
      </c>
      <c r="AK532">
        <v>0.46506231068823201</v>
      </c>
      <c r="AL532">
        <v>72.584639094899103</v>
      </c>
      <c r="AM532">
        <v>94.285360066843594</v>
      </c>
      <c r="AN532">
        <v>0.999999960631898</v>
      </c>
    </row>
    <row r="533" spans="1:40" x14ac:dyDescent="0.25">
      <c r="A533" t="str">
        <f>"20190304164109270"</f>
        <v>20190304164109270</v>
      </c>
      <c r="B533" t="str">
        <f>"1551688869261664"</f>
        <v>1551688869261664</v>
      </c>
      <c r="C533" t="s">
        <v>40</v>
      </c>
      <c r="D533">
        <v>4.4349829999999999</v>
      </c>
      <c r="E533">
        <v>0.55846859999999998</v>
      </c>
      <c r="F533" t="s">
        <v>41</v>
      </c>
      <c r="G533">
        <v>-400.16570000000002</v>
      </c>
      <c r="H533">
        <v>0.82432019999999995</v>
      </c>
      <c r="I533">
        <v>367.0172</v>
      </c>
      <c r="J533">
        <v>-400.70870000000002</v>
      </c>
      <c r="K533">
        <v>1.060613</v>
      </c>
      <c r="L533">
        <v>367.02679999999998</v>
      </c>
      <c r="M533">
        <v>0.99990900000000005</v>
      </c>
      <c r="N533">
        <v>-1.2585549999999999E-2</v>
      </c>
      <c r="O533">
        <v>4.8695429999999996E-3</v>
      </c>
      <c r="P533">
        <v>0.95482250000000002</v>
      </c>
      <c r="Q533">
        <v>0.28730060000000002</v>
      </c>
      <c r="R533">
        <v>7.5977879999999998E-2</v>
      </c>
      <c r="S533">
        <v>3.4707340000000002</v>
      </c>
      <c r="T533">
        <v>-1.076646</v>
      </c>
      <c r="U533">
        <v>-3.7780759999999997E-2</v>
      </c>
      <c r="V533">
        <v>-7.1296100000000001E-2</v>
      </c>
      <c r="W533">
        <v>0.29930659999999998</v>
      </c>
      <c r="X533">
        <v>0.95148960000000005</v>
      </c>
      <c r="Y533">
        <v>1.48176E-2</v>
      </c>
      <c r="Z533">
        <v>-3.7568079999999999E-3</v>
      </c>
      <c r="AA533">
        <v>0.99988319999999997</v>
      </c>
      <c r="AB533">
        <v>32</v>
      </c>
      <c r="AC533">
        <v>0.54300000000000603</v>
      </c>
      <c r="AD533">
        <v>-0.2362928</v>
      </c>
      <c r="AE533">
        <v>-9.5999999999776195E-3</v>
      </c>
      <c r="AF533">
        <v>1.0295291409123801E-2</v>
      </c>
      <c r="AG533">
        <v>-0.2362928</v>
      </c>
      <c r="AH533">
        <v>0.45652386188736399</v>
      </c>
      <c r="AI533">
        <v>117.35974714527001</v>
      </c>
      <c r="AJ533">
        <v>88.708114014265306</v>
      </c>
      <c r="AK533">
        <v>0.51415398163351</v>
      </c>
      <c r="AL533">
        <v>72.584039619372703</v>
      </c>
      <c r="AM533">
        <v>94.285223976377395</v>
      </c>
      <c r="AN533">
        <v>1.00000001679346</v>
      </c>
    </row>
    <row r="534" spans="1:40" x14ac:dyDescent="0.25">
      <c r="A534" t="str">
        <f>"20190304164109283"</f>
        <v>20190304164109283</v>
      </c>
      <c r="B534" t="str">
        <f>"1551688869272401"</f>
        <v>1551688869272401</v>
      </c>
      <c r="C534" t="s">
        <v>40</v>
      </c>
      <c r="D534">
        <v>4.4399509999999998</v>
      </c>
      <c r="E534">
        <v>0.55831709999999901</v>
      </c>
      <c r="F534" t="s">
        <v>41</v>
      </c>
      <c r="G534">
        <v>-399.89859999999999</v>
      </c>
      <c r="H534">
        <v>0.80697719999999995</v>
      </c>
      <c r="I534">
        <v>367.01889999999997</v>
      </c>
      <c r="J534">
        <v>-400.53030000000001</v>
      </c>
      <c r="K534">
        <v>1.0610120000000001</v>
      </c>
      <c r="L534">
        <v>367.02769999999998</v>
      </c>
      <c r="M534">
        <v>0.99989989999999995</v>
      </c>
      <c r="N534">
        <v>-1.329019E-2</v>
      </c>
      <c r="O534">
        <v>4.852365E-3</v>
      </c>
      <c r="P534">
        <v>0.95493939999999999</v>
      </c>
      <c r="Q534">
        <v>0.28684549999999998</v>
      </c>
      <c r="R534">
        <v>7.6225440000000005E-2</v>
      </c>
      <c r="S534">
        <v>3.4716800000000001</v>
      </c>
      <c r="T534">
        <v>-1.086802</v>
      </c>
      <c r="U534">
        <v>-3.4759520000000002E-2</v>
      </c>
      <c r="V534">
        <v>-7.1560029999999997E-2</v>
      </c>
      <c r="W534">
        <v>0.2995237</v>
      </c>
      <c r="X534">
        <v>0.95140150000000001</v>
      </c>
      <c r="Y534">
        <v>1.395392E-2</v>
      </c>
      <c r="Z534">
        <v>-3.6484780000000001E-3</v>
      </c>
      <c r="AA534">
        <v>0.99989600000000001</v>
      </c>
      <c r="AB534">
        <v>31</v>
      </c>
      <c r="AC534">
        <v>0.63170000000002302</v>
      </c>
      <c r="AD534">
        <v>-0.25403480000000001</v>
      </c>
      <c r="AE534">
        <v>-8.8000000000079091E-3</v>
      </c>
      <c r="AF534">
        <v>1.0213926784924301E-2</v>
      </c>
      <c r="AG534">
        <v>-0.25403480000000001</v>
      </c>
      <c r="AH534">
        <v>0.54373405614433001</v>
      </c>
      <c r="AI534">
        <v>115.03830009589799</v>
      </c>
      <c r="AJ534">
        <v>88.923837728331506</v>
      </c>
      <c r="AK534">
        <v>0.600237226205251</v>
      </c>
      <c r="AL534">
        <v>72.571003193789494</v>
      </c>
      <c r="AM534">
        <v>94.301424748385202</v>
      </c>
      <c r="AN534">
        <v>1.00000004947876</v>
      </c>
    </row>
    <row r="535" spans="1:40" x14ac:dyDescent="0.25">
      <c r="A535" t="str">
        <f>"20190304164109296"</f>
        <v>20190304164109296</v>
      </c>
      <c r="B535" t="str">
        <f>"1551688869281693"</f>
        <v>1551688869281693</v>
      </c>
      <c r="C535" t="s">
        <v>40</v>
      </c>
      <c r="D535">
        <v>4.4323220000000001</v>
      </c>
      <c r="E535">
        <v>0.55818979999999996</v>
      </c>
      <c r="F535" t="s">
        <v>41</v>
      </c>
      <c r="G535">
        <v>-399.63330000000002</v>
      </c>
      <c r="H535">
        <v>0.7789104</v>
      </c>
      <c r="I535">
        <v>367.01900000000001</v>
      </c>
      <c r="J535">
        <v>-400.34429999999998</v>
      </c>
      <c r="K535">
        <v>1.0613520000000001</v>
      </c>
      <c r="L535">
        <v>367.02850000000001</v>
      </c>
      <c r="M535">
        <v>0.99990460000000003</v>
      </c>
      <c r="N535">
        <v>-1.294617E-2</v>
      </c>
      <c r="O535">
        <v>4.833408E-3</v>
      </c>
      <c r="P535">
        <v>0.95481490000000002</v>
      </c>
      <c r="Q535">
        <v>0.28728599999999999</v>
      </c>
      <c r="R535">
        <v>7.6126559999999996E-2</v>
      </c>
      <c r="S535">
        <v>3.4721679999999999</v>
      </c>
      <c r="T535">
        <v>-1.091961</v>
      </c>
      <c r="U535">
        <v>-3.2745360000000001E-2</v>
      </c>
      <c r="V535">
        <v>-7.1478910000000007E-2</v>
      </c>
      <c r="W535">
        <v>0.2996356</v>
      </c>
      <c r="X535">
        <v>0.95137229999999995</v>
      </c>
      <c r="Y535">
        <v>1.3375629999999999E-2</v>
      </c>
      <c r="Z535">
        <v>-3.5653780000000001E-3</v>
      </c>
      <c r="AA535">
        <v>0.99990420000000002</v>
      </c>
      <c r="AB535">
        <v>31</v>
      </c>
      <c r="AC535">
        <v>0.710999999999955</v>
      </c>
      <c r="AD535">
        <v>-0.28244160000000001</v>
      </c>
      <c r="AE535">
        <v>-9.5000000000027198E-3</v>
      </c>
      <c r="AF535">
        <v>1.11737773296807E-2</v>
      </c>
      <c r="AG535">
        <v>-0.28244160000000001</v>
      </c>
      <c r="AH535">
        <v>0.61406165694186399</v>
      </c>
      <c r="AI535">
        <v>114.69676886289101</v>
      </c>
      <c r="AJ535">
        <v>88.957531986591505</v>
      </c>
      <c r="AK535">
        <v>0.67599543581044996</v>
      </c>
      <c r="AL535">
        <v>72.5642820884798</v>
      </c>
      <c r="AM535">
        <v>94.296698328660099</v>
      </c>
      <c r="AN535">
        <v>0.99999999028471898</v>
      </c>
    </row>
    <row r="536" spans="1:40" x14ac:dyDescent="0.25">
      <c r="A536" t="str">
        <f>"20190304164109313"</f>
        <v>20190304164109313</v>
      </c>
      <c r="B536" t="str">
        <f>"1551688869302188"</f>
        <v>1551688869302188</v>
      </c>
      <c r="C536" t="s">
        <v>40</v>
      </c>
      <c r="D536">
        <v>4.4591000000000003</v>
      </c>
      <c r="E536">
        <v>0.55796239999999997</v>
      </c>
      <c r="F536" t="s">
        <v>41</v>
      </c>
      <c r="G536">
        <v>-399.61130000000003</v>
      </c>
      <c r="H536">
        <v>0.83062060000000004</v>
      </c>
      <c r="I536">
        <v>367.02170000000001</v>
      </c>
      <c r="J536">
        <v>-400.10930000000002</v>
      </c>
      <c r="K536">
        <v>1.0618190000000001</v>
      </c>
      <c r="L536">
        <v>367.02969999999999</v>
      </c>
      <c r="M536">
        <v>0.99991830000000004</v>
      </c>
      <c r="N536">
        <v>-1.184701E-2</v>
      </c>
      <c r="O536">
        <v>4.8115459999999999E-3</v>
      </c>
      <c r="P536">
        <v>0.95454779999999995</v>
      </c>
      <c r="Q536">
        <v>0.28808590000000001</v>
      </c>
      <c r="R536">
        <v>7.6456140000000006E-2</v>
      </c>
      <c r="S536">
        <v>3.4735109999999998</v>
      </c>
      <c r="T536">
        <v>-1.093397</v>
      </c>
      <c r="U536">
        <v>-3.1158450000000001E-2</v>
      </c>
      <c r="V536">
        <v>-7.1828660000000003E-2</v>
      </c>
      <c r="W536">
        <v>0.29938619999999999</v>
      </c>
      <c r="X536">
        <v>0.95142450000000001</v>
      </c>
      <c r="Y536">
        <v>1.2916540000000001E-2</v>
      </c>
      <c r="Z536">
        <v>-3.486378E-3</v>
      </c>
      <c r="AA536">
        <v>0.99991050000000004</v>
      </c>
      <c r="AB536">
        <v>31</v>
      </c>
      <c r="AC536">
        <v>0.49799999999999001</v>
      </c>
      <c r="AD536">
        <v>-0.2311984</v>
      </c>
      <c r="AE536">
        <v>-7.9999999999813502E-3</v>
      </c>
      <c r="AF536">
        <v>8.5532131742314492E-3</v>
      </c>
      <c r="AG536">
        <v>-0.2311984</v>
      </c>
      <c r="AH536">
        <v>0.40967961509496897</v>
      </c>
      <c r="AI536">
        <v>119.43241156355199</v>
      </c>
      <c r="AJ536">
        <v>88.803963357341303</v>
      </c>
      <c r="AK536">
        <v>0.470492555352926</v>
      </c>
      <c r="AL536">
        <v>72.579259678203002</v>
      </c>
      <c r="AM536">
        <v>94.317406993740605</v>
      </c>
      <c r="AN536">
        <v>1.0000000161740401</v>
      </c>
    </row>
    <row r="537" spans="1:40" x14ac:dyDescent="0.25">
      <c r="A537" t="str">
        <f>"20190304164109326"</f>
        <v>20190304164109326</v>
      </c>
      <c r="B537" t="str">
        <f>"1551688869311949"</f>
        <v>1551688869311949</v>
      </c>
      <c r="C537" t="s">
        <v>40</v>
      </c>
      <c r="D537">
        <v>4.4534719999999997</v>
      </c>
      <c r="E537">
        <v>0.55785750000000001</v>
      </c>
      <c r="F537" t="s">
        <v>41</v>
      </c>
      <c r="G537">
        <v>-399.33690000000001</v>
      </c>
      <c r="H537">
        <v>0.81829079999999998</v>
      </c>
      <c r="I537">
        <v>367.02350000000001</v>
      </c>
      <c r="J537">
        <v>-399.9248</v>
      </c>
      <c r="K537">
        <v>1.062262</v>
      </c>
      <c r="L537">
        <v>367.03050000000002</v>
      </c>
      <c r="M537">
        <v>0.99993149999999997</v>
      </c>
      <c r="N537">
        <v>-1.068246E-2</v>
      </c>
      <c r="O537">
        <v>4.7949339999999998E-3</v>
      </c>
      <c r="P537">
        <v>0.9541482</v>
      </c>
      <c r="Q537">
        <v>0.2894118</v>
      </c>
      <c r="R537">
        <v>7.6433169999999995E-2</v>
      </c>
      <c r="S537">
        <v>3.4757690000000001</v>
      </c>
      <c r="T537">
        <v>-1.0959239999999999</v>
      </c>
      <c r="U537">
        <v>-2.7252200000000001E-2</v>
      </c>
      <c r="V537">
        <v>-7.1822259999999999E-2</v>
      </c>
      <c r="W537">
        <v>0.29960009999999998</v>
      </c>
      <c r="X537">
        <v>0.95135769999999997</v>
      </c>
      <c r="Y537">
        <v>1.182397E-2</v>
      </c>
      <c r="Z537">
        <v>-3.3105700000000001E-3</v>
      </c>
      <c r="AA537">
        <v>0.99992460000000005</v>
      </c>
      <c r="AB537">
        <v>31</v>
      </c>
      <c r="AC537">
        <v>0.58789999999998999</v>
      </c>
      <c r="AD537">
        <v>-0.2439712</v>
      </c>
      <c r="AE537">
        <v>-7.0000000000049996E-3</v>
      </c>
      <c r="AF537">
        <v>8.3766450433531495E-3</v>
      </c>
      <c r="AG537">
        <v>-0.2439712</v>
      </c>
      <c r="AH537">
        <v>0.50150533006451403</v>
      </c>
      <c r="AI537">
        <v>115.938748634185</v>
      </c>
      <c r="AJ537">
        <v>89.043077405765899</v>
      </c>
      <c r="AK537">
        <v>0.55776313135123901</v>
      </c>
      <c r="AL537">
        <v>72.566415378645701</v>
      </c>
      <c r="AM537">
        <v>94.3173257387989</v>
      </c>
      <c r="AN537">
        <v>1.0000000651504</v>
      </c>
    </row>
    <row r="538" spans="1:40" x14ac:dyDescent="0.25">
      <c r="A538" t="str">
        <f>"20190304164109339"</f>
        <v>20190304164109339</v>
      </c>
      <c r="B538" t="str">
        <f>"1551688869331468"</f>
        <v>1551688869331468</v>
      </c>
      <c r="C538" t="s">
        <v>40</v>
      </c>
      <c r="D538">
        <v>4.4689019999999999</v>
      </c>
      <c r="E538">
        <v>0.55766640000000001</v>
      </c>
      <c r="F538" t="s">
        <v>41</v>
      </c>
      <c r="G538">
        <v>-399.06689999999998</v>
      </c>
      <c r="H538">
        <v>0.79248499999999999</v>
      </c>
      <c r="I538">
        <v>367.02379999999999</v>
      </c>
      <c r="J538">
        <v>-399.7432</v>
      </c>
      <c r="K538">
        <v>1.062829</v>
      </c>
      <c r="L538">
        <v>367.03140000000002</v>
      </c>
      <c r="M538">
        <v>0.99994400000000006</v>
      </c>
      <c r="N538">
        <v>-9.4543720000000008E-3</v>
      </c>
      <c r="O538">
        <v>4.7782049999999998E-3</v>
      </c>
      <c r="P538">
        <v>0.95382579999999995</v>
      </c>
      <c r="Q538">
        <v>0.29047849999999997</v>
      </c>
      <c r="R538">
        <v>7.6411989999999999E-2</v>
      </c>
      <c r="S538">
        <v>3.4779360000000001</v>
      </c>
      <c r="T538">
        <v>-1.0935709999999901</v>
      </c>
      <c r="U538">
        <v>-2.581787E-2</v>
      </c>
      <c r="V538">
        <v>-7.1818859999999998E-2</v>
      </c>
      <c r="W538">
        <v>0.29949500000000001</v>
      </c>
      <c r="X538">
        <v>0.95139099999999999</v>
      </c>
      <c r="Y538">
        <v>1.1415979999999999E-2</v>
      </c>
      <c r="Z538">
        <v>-3.2305820000000001E-3</v>
      </c>
      <c r="AA538">
        <v>0.99992959999999997</v>
      </c>
      <c r="AB538">
        <v>31</v>
      </c>
      <c r="AC538">
        <v>0.67630000000002599</v>
      </c>
      <c r="AD538">
        <v>-0.27034399999999997</v>
      </c>
      <c r="AE538">
        <v>-7.6000000000249202E-3</v>
      </c>
      <c r="AF538">
        <v>9.3393875349857703E-3</v>
      </c>
      <c r="AG538">
        <v>-0.27034399999999997</v>
      </c>
      <c r="AH538">
        <v>0.583094037566526</v>
      </c>
      <c r="AI538">
        <v>114.871382217313</v>
      </c>
      <c r="AJ538">
        <v>89.082374879071594</v>
      </c>
      <c r="AK538">
        <v>0.642784379976024</v>
      </c>
      <c r="AL538">
        <v>72.572726159927598</v>
      </c>
      <c r="AM538">
        <v>94.316971599235202</v>
      </c>
      <c r="AN538">
        <v>1.0000000192788401</v>
      </c>
    </row>
    <row r="539" spans="1:40" x14ac:dyDescent="0.25">
      <c r="A539" t="str">
        <f>"20190304164109350"</f>
        <v>20190304164109350</v>
      </c>
      <c r="B539" t="str">
        <f>"1551688869342205"</f>
        <v>1551688869342205</v>
      </c>
      <c r="C539" t="s">
        <v>40</v>
      </c>
      <c r="D539">
        <v>4.4463010000000001</v>
      </c>
      <c r="E539">
        <v>0.5575814</v>
      </c>
      <c r="F539" t="s">
        <v>41</v>
      </c>
      <c r="G539">
        <v>-399.04520000000002</v>
      </c>
      <c r="H539">
        <v>0.84338060000000004</v>
      </c>
      <c r="I539">
        <v>367.02620000000002</v>
      </c>
      <c r="J539">
        <v>-399.5745</v>
      </c>
      <c r="K539">
        <v>1.063493</v>
      </c>
      <c r="L539">
        <v>367.03219999999999</v>
      </c>
      <c r="M539">
        <v>0.9999536</v>
      </c>
      <c r="N539">
        <v>-8.3725969999999903E-3</v>
      </c>
      <c r="O539">
        <v>4.7615440000000004E-3</v>
      </c>
      <c r="P539">
        <v>0.95351870000000005</v>
      </c>
      <c r="Q539">
        <v>0.29145460000000001</v>
      </c>
      <c r="R539">
        <v>7.6527490000000004E-2</v>
      </c>
      <c r="S539">
        <v>3.4803769999999998</v>
      </c>
      <c r="T539">
        <v>-1.0941529999999999</v>
      </c>
      <c r="U539">
        <v>-2.39563E-2</v>
      </c>
      <c r="V539">
        <v>-7.1952169999999996E-2</v>
      </c>
      <c r="W539">
        <v>0.29943900000000001</v>
      </c>
      <c r="X539">
        <v>0.95139859999999998</v>
      </c>
      <c r="Y539">
        <v>1.0886959999999999E-2</v>
      </c>
      <c r="Z539">
        <v>-3.1403479999999998E-3</v>
      </c>
      <c r="AA539">
        <v>0.99993580000000004</v>
      </c>
      <c r="AB539">
        <v>31</v>
      </c>
      <c r="AC539">
        <v>0.52929999999997701</v>
      </c>
      <c r="AD539">
        <v>-0.22011240000000001</v>
      </c>
      <c r="AE539">
        <v>-5.9999999999717996E-3</v>
      </c>
      <c r="AF539">
        <v>7.2642220150481102E-3</v>
      </c>
      <c r="AG539">
        <v>-0.22011240000000001</v>
      </c>
      <c r="AH539">
        <v>0.451239869386795</v>
      </c>
      <c r="AI539">
        <v>115.999948110579</v>
      </c>
      <c r="AJ539">
        <v>89.077711562765103</v>
      </c>
      <c r="AK539">
        <v>0.50211518327915095</v>
      </c>
      <c r="AL539">
        <v>72.576089840468597</v>
      </c>
      <c r="AM539">
        <v>94.324919957833004</v>
      </c>
      <c r="AN539">
        <v>1.00000006278533</v>
      </c>
    </row>
    <row r="540" spans="1:40" x14ac:dyDescent="0.25">
      <c r="A540" t="str">
        <f>"20190304164109363"</f>
        <v>20190304164109363</v>
      </c>
      <c r="B540" t="str">
        <f>"1551688869351965"</f>
        <v>1551688869351965</v>
      </c>
      <c r="C540" t="s">
        <v>40</v>
      </c>
      <c r="D540">
        <v>4.4844860000000004</v>
      </c>
      <c r="E540">
        <v>0.55751779999999995</v>
      </c>
      <c r="F540" t="s">
        <v>41</v>
      </c>
      <c r="G540">
        <v>-398.77699999999999</v>
      </c>
      <c r="H540">
        <v>0.81330469999999999</v>
      </c>
      <c r="I540">
        <v>367.0265</v>
      </c>
      <c r="J540">
        <v>-399.40980000000002</v>
      </c>
      <c r="K540">
        <v>1.0641849999999999</v>
      </c>
      <c r="L540">
        <v>367.03289999999998</v>
      </c>
      <c r="M540">
        <v>0.99996180000000001</v>
      </c>
      <c r="N540">
        <v>-7.3378779999999999E-3</v>
      </c>
      <c r="O540">
        <v>4.7450139999999997E-3</v>
      </c>
      <c r="P540">
        <v>0.95315380000000005</v>
      </c>
      <c r="Q540">
        <v>0.29257539999999999</v>
      </c>
      <c r="R540">
        <v>7.6794760000000004E-2</v>
      </c>
      <c r="S540">
        <v>3.4820250000000001</v>
      </c>
      <c r="T540">
        <v>-1.092344</v>
      </c>
      <c r="U540">
        <v>-2.3834230000000001E-2</v>
      </c>
      <c r="V540">
        <v>-7.2237540000000003E-2</v>
      </c>
      <c r="W540">
        <v>0.29957230000000001</v>
      </c>
      <c r="X540">
        <v>0.95133500000000004</v>
      </c>
      <c r="Y540">
        <v>1.083869E-2</v>
      </c>
      <c r="Z540">
        <v>-3.1205109999999999E-3</v>
      </c>
      <c r="AA540">
        <v>0.99993639999999995</v>
      </c>
      <c r="AB540">
        <v>32</v>
      </c>
      <c r="AC540">
        <v>0.632800000000031</v>
      </c>
      <c r="AD540">
        <v>-0.250880299999999</v>
      </c>
      <c r="AE540">
        <v>-6.39999999998508E-3</v>
      </c>
      <c r="AF540">
        <v>8.1255948254212399E-3</v>
      </c>
      <c r="AG540">
        <v>-0.250880299999999</v>
      </c>
      <c r="AH540">
        <v>0.54682134558302498</v>
      </c>
      <c r="AI540">
        <v>114.643144531327</v>
      </c>
      <c r="AJ540">
        <v>89.148665225232506</v>
      </c>
      <c r="AK540">
        <v>0.60168142251908296</v>
      </c>
      <c r="AL540">
        <v>72.568084676242293</v>
      </c>
      <c r="AM540">
        <v>94.342296751834894</v>
      </c>
      <c r="AN540">
        <v>1.0000000536687601</v>
      </c>
    </row>
    <row r="541" spans="1:40" x14ac:dyDescent="0.25">
      <c r="A541" t="str">
        <f>"20190304164109375"</f>
        <v>20190304164109375</v>
      </c>
      <c r="B541" t="str">
        <f>"1551688869361725"</f>
        <v>1551688869361725</v>
      </c>
      <c r="C541" t="s">
        <v>40</v>
      </c>
      <c r="D541">
        <v>4.4793459999999996</v>
      </c>
      <c r="E541">
        <v>0.55744130000000003</v>
      </c>
      <c r="F541" t="s">
        <v>41</v>
      </c>
      <c r="G541">
        <v>-398.50799999999998</v>
      </c>
      <c r="H541">
        <v>0.78216370000000002</v>
      </c>
      <c r="I541">
        <v>367.02670000000001</v>
      </c>
      <c r="J541">
        <v>-399.22579999999999</v>
      </c>
      <c r="K541">
        <v>1.065067</v>
      </c>
      <c r="L541">
        <v>367.03379999999999</v>
      </c>
      <c r="M541">
        <v>0.99996940000000001</v>
      </c>
      <c r="N541">
        <v>-6.2345229999999996E-3</v>
      </c>
      <c r="O541">
        <v>4.7263219999999998E-3</v>
      </c>
      <c r="P541">
        <v>0.95281459999999996</v>
      </c>
      <c r="Q541">
        <v>0.29368830000000001</v>
      </c>
      <c r="R541">
        <v>7.6757290000000006E-2</v>
      </c>
      <c r="S541">
        <v>3.4837340000000001</v>
      </c>
      <c r="T541">
        <v>-1.089445</v>
      </c>
      <c r="U541">
        <v>-2.3132320000000001E-2</v>
      </c>
      <c r="V541">
        <v>-7.2220670000000001E-2</v>
      </c>
      <c r="W541">
        <v>0.29963279999999998</v>
      </c>
      <c r="X541">
        <v>0.95131710000000003</v>
      </c>
      <c r="Y541">
        <v>1.0631079999999999E-2</v>
      </c>
      <c r="Z541">
        <v>-3.0721920000000001E-3</v>
      </c>
      <c r="AA541">
        <v>0.99993880000000002</v>
      </c>
      <c r="AB541">
        <v>32</v>
      </c>
      <c r="AC541">
        <v>0.71779999999995403</v>
      </c>
      <c r="AD541">
        <v>-0.28290330000000002</v>
      </c>
      <c r="AE541">
        <v>-7.0999999999799002E-3</v>
      </c>
      <c r="AF541">
        <v>9.0819365976305497E-3</v>
      </c>
      <c r="AG541">
        <v>-0.28290330000000002</v>
      </c>
      <c r="AH541">
        <v>0.62126388529747401</v>
      </c>
      <c r="AI541">
        <v>114.48066245077</v>
      </c>
      <c r="AJ541">
        <v>89.162482180018699</v>
      </c>
      <c r="AK541">
        <v>0.682704602224246</v>
      </c>
      <c r="AL541">
        <v>72.564449200715501</v>
      </c>
      <c r="AM541">
        <v>94.341367923881904</v>
      </c>
      <c r="AN541">
        <v>0.999999932381747</v>
      </c>
    </row>
    <row r="542" spans="1:40" x14ac:dyDescent="0.25">
      <c r="A542" t="str">
        <f>"20190304164109391"</f>
        <v>20190304164109391</v>
      </c>
      <c r="B542" t="str">
        <f>"1551688869381753"</f>
        <v>1551688869381753</v>
      </c>
      <c r="C542" t="s">
        <v>40</v>
      </c>
      <c r="D542">
        <v>4.49559</v>
      </c>
      <c r="E542">
        <v>0.5573013</v>
      </c>
      <c r="F542" t="s">
        <v>41</v>
      </c>
      <c r="G542">
        <v>-398.48630000000003</v>
      </c>
      <c r="H542">
        <v>0.83448919999999904</v>
      </c>
      <c r="I542">
        <v>367.02870000000001</v>
      </c>
      <c r="J542">
        <v>-399.00749999999999</v>
      </c>
      <c r="K542">
        <v>1.066147</v>
      </c>
      <c r="L542">
        <v>367.03480000000002</v>
      </c>
      <c r="M542">
        <v>0.9999768</v>
      </c>
      <c r="N542">
        <v>-4.948114E-3</v>
      </c>
      <c r="O542">
        <v>4.7054649999999998E-3</v>
      </c>
      <c r="P542">
        <v>0.95237320000000003</v>
      </c>
      <c r="Q542">
        <v>0.2950583</v>
      </c>
      <c r="R542">
        <v>7.6981629999999995E-2</v>
      </c>
      <c r="S542">
        <v>3.4853519999999998</v>
      </c>
      <c r="T542">
        <v>-1.086695</v>
      </c>
      <c r="U542">
        <v>-2.2583010000000001E-2</v>
      </c>
      <c r="V542">
        <v>-7.246901E-2</v>
      </c>
      <c r="W542">
        <v>0.29977609999999999</v>
      </c>
      <c r="X542">
        <v>0.95125309999999996</v>
      </c>
      <c r="Y542">
        <v>1.046323E-2</v>
      </c>
      <c r="Z542">
        <v>-3.0301439999999998E-3</v>
      </c>
      <c r="AA542">
        <v>0.99994070000000002</v>
      </c>
      <c r="AB542">
        <v>32</v>
      </c>
      <c r="AC542">
        <v>0.52119999999996403</v>
      </c>
      <c r="AD542">
        <v>-0.2316578</v>
      </c>
      <c r="AE542">
        <v>-6.1000000000035401E-3</v>
      </c>
      <c r="AF542">
        <v>7.1417625922551801E-3</v>
      </c>
      <c r="AG542">
        <v>-0.2316578</v>
      </c>
      <c r="AH542">
        <v>0.43520163343686502</v>
      </c>
      <c r="AI542">
        <v>118.02317043419301</v>
      </c>
      <c r="AJ542">
        <v>89.059846981271093</v>
      </c>
      <c r="AK542">
        <v>0.49306876074223099</v>
      </c>
      <c r="AL542">
        <v>72.555843678459098</v>
      </c>
      <c r="AM542">
        <v>94.356530863912496</v>
      </c>
      <c r="AN542">
        <v>0.99999996390059898</v>
      </c>
    </row>
    <row r="543" spans="1:40" x14ac:dyDescent="0.25">
      <c r="A543" t="str">
        <f>"20190304164109404"</f>
        <v>20190304164109404</v>
      </c>
      <c r="B543" t="str">
        <f>"1551688869391512"</f>
        <v>1551688869391512</v>
      </c>
      <c r="C543" t="s">
        <v>40</v>
      </c>
      <c r="D543">
        <v>4.5328290000000004</v>
      </c>
      <c r="E543">
        <v>0.55729030000000002</v>
      </c>
      <c r="F543" t="s">
        <v>41</v>
      </c>
      <c r="G543">
        <v>-398.21089999999998</v>
      </c>
      <c r="H543">
        <v>0.81837680000000002</v>
      </c>
      <c r="I543">
        <v>367.03019999999998</v>
      </c>
      <c r="J543">
        <v>-398.83629999999999</v>
      </c>
      <c r="K543">
        <v>1.0670109999999999</v>
      </c>
      <c r="L543">
        <v>367.03559999999999</v>
      </c>
      <c r="M543">
        <v>0.99998120000000001</v>
      </c>
      <c r="N543">
        <v>-3.9550009999999997E-3</v>
      </c>
      <c r="O543">
        <v>4.6904640000000001E-3</v>
      </c>
      <c r="P543">
        <v>0.95209940000000004</v>
      </c>
      <c r="Q543">
        <v>0.29594310000000001</v>
      </c>
      <c r="R543">
        <v>7.6971680000000001E-2</v>
      </c>
      <c r="S543">
        <v>3.4877009999999999</v>
      </c>
      <c r="T543">
        <v>-1.084859</v>
      </c>
      <c r="U543">
        <v>-1.934814E-2</v>
      </c>
      <c r="V543">
        <v>-7.2476830000000006E-2</v>
      </c>
      <c r="W543">
        <v>0.2997147</v>
      </c>
      <c r="X543">
        <v>0.95127189999999995</v>
      </c>
      <c r="Y543">
        <v>9.5637580000000003E-3</v>
      </c>
      <c r="Z543">
        <v>-2.8795890000000001E-3</v>
      </c>
      <c r="AA543">
        <v>0.99995009999999995</v>
      </c>
      <c r="AB543">
        <v>32</v>
      </c>
      <c r="AC543">
        <v>0.62540000000001295</v>
      </c>
      <c r="AD543">
        <v>-0.2486342</v>
      </c>
      <c r="AE543">
        <v>-5.4000000000087303E-3</v>
      </c>
      <c r="AF543">
        <v>7.1960920441084099E-3</v>
      </c>
      <c r="AG543">
        <v>-0.2486342</v>
      </c>
      <c r="AH543">
        <v>0.54002150050852105</v>
      </c>
      <c r="AI543">
        <v>114.72013753513799</v>
      </c>
      <c r="AJ543">
        <v>89.2365465062867</v>
      </c>
      <c r="AK543">
        <v>0.59455358897396404</v>
      </c>
      <c r="AL543">
        <v>72.559532024166003</v>
      </c>
      <c r="AM543">
        <v>94.356913383293303</v>
      </c>
      <c r="AN543">
        <v>1.00000001000627</v>
      </c>
    </row>
    <row r="544" spans="1:40" x14ac:dyDescent="0.25">
      <c r="A544" t="str">
        <f>"20190304164109416"</f>
        <v>20190304164109416</v>
      </c>
      <c r="B544" t="str">
        <f>"1551688869402249"</f>
        <v>1551688869402249</v>
      </c>
      <c r="C544" t="s">
        <v>40</v>
      </c>
      <c r="D544">
        <v>4.509601</v>
      </c>
      <c r="E544">
        <v>0.5572608</v>
      </c>
      <c r="F544" t="s">
        <v>41</v>
      </c>
      <c r="G544">
        <v>-397.93979999999999</v>
      </c>
      <c r="H544">
        <v>0.7889893</v>
      </c>
      <c r="I544">
        <v>367.03030000000001</v>
      </c>
      <c r="J544">
        <v>-398.65750000000003</v>
      </c>
      <c r="K544">
        <v>1.067922</v>
      </c>
      <c r="L544">
        <v>367.03649999999999</v>
      </c>
      <c r="M544">
        <v>0.99998469999999995</v>
      </c>
      <c r="N544">
        <v>-2.9543400000000002E-3</v>
      </c>
      <c r="O544">
        <v>4.6784299999999999E-3</v>
      </c>
      <c r="P544">
        <v>0.95190249999999998</v>
      </c>
      <c r="Q544">
        <v>0.29658040000000002</v>
      </c>
      <c r="R544">
        <v>7.6951790000000006E-2</v>
      </c>
      <c r="S544">
        <v>3.4887999999999999</v>
      </c>
      <c r="T544">
        <v>-1.081915</v>
      </c>
      <c r="U544">
        <v>-1.9226070000000001E-2</v>
      </c>
      <c r="V544">
        <v>-7.2471670000000002E-2</v>
      </c>
      <c r="W544">
        <v>0.29939850000000001</v>
      </c>
      <c r="X544">
        <v>0.95137179999999999</v>
      </c>
      <c r="Y544">
        <v>9.5216280000000007E-3</v>
      </c>
      <c r="Z544">
        <v>-2.8608930000000002E-3</v>
      </c>
      <c r="AA544">
        <v>0.99995060000000002</v>
      </c>
      <c r="AB544">
        <v>32</v>
      </c>
      <c r="AC544">
        <v>0.71770000000003598</v>
      </c>
      <c r="AD544">
        <v>-0.27893269999999998</v>
      </c>
      <c r="AE544">
        <v>-6.1999999999784398E-3</v>
      </c>
      <c r="AF544">
        <v>8.3035245988656095E-3</v>
      </c>
      <c r="AG544">
        <v>-0.27893269999999998</v>
      </c>
      <c r="AH544">
        <v>0.62349320155680799</v>
      </c>
      <c r="AI544">
        <v>114.10045790250901</v>
      </c>
      <c r="AJ544">
        <v>89.236994422269902</v>
      </c>
      <c r="AK544">
        <v>0.68309309178003796</v>
      </c>
      <c r="AL544">
        <v>72.578519929261404</v>
      </c>
      <c r="AM544">
        <v>94.356148676603397</v>
      </c>
      <c r="AN544">
        <v>0.99999995329503799</v>
      </c>
    </row>
    <row r="545" spans="1:40" x14ac:dyDescent="0.25">
      <c r="A545" t="str">
        <f>"20190304164109430"</f>
        <v>20190304164109430</v>
      </c>
      <c r="B545" t="str">
        <f>"1551688869421769"</f>
        <v>1551688869421769</v>
      </c>
      <c r="C545" t="s">
        <v>40</v>
      </c>
      <c r="D545">
        <v>4.5286739999999996</v>
      </c>
      <c r="E545">
        <v>0.55718849999999998</v>
      </c>
      <c r="F545" t="s">
        <v>41</v>
      </c>
      <c r="G545">
        <v>-397.91899999999998</v>
      </c>
      <c r="H545">
        <v>0.83934149999999996</v>
      </c>
      <c r="I545">
        <v>367.03230000000002</v>
      </c>
      <c r="J545">
        <v>-398.4538</v>
      </c>
      <c r="K545">
        <v>1.069034</v>
      </c>
      <c r="L545">
        <v>367.03739999999999</v>
      </c>
      <c r="M545">
        <v>0.99998699999999996</v>
      </c>
      <c r="N545">
        <v>-2.133921E-3</v>
      </c>
      <c r="O545">
        <v>4.6665910000000003E-3</v>
      </c>
      <c r="P545">
        <v>0.95179119999999995</v>
      </c>
      <c r="Q545">
        <v>0.2969542</v>
      </c>
      <c r="R545">
        <v>7.6890449999999999E-2</v>
      </c>
      <c r="S545">
        <v>3.489655</v>
      </c>
      <c r="T545">
        <v>-1.0802149999999999</v>
      </c>
      <c r="U545">
        <v>-1.8096919999999999E-2</v>
      </c>
      <c r="V545">
        <v>-7.2425110000000001E-2</v>
      </c>
      <c r="W545">
        <v>0.2989909</v>
      </c>
      <c r="X545">
        <v>0.9515036</v>
      </c>
      <c r="Y545">
        <v>9.2029069999999998E-3</v>
      </c>
      <c r="Z545">
        <v>-2.8035820000000002E-3</v>
      </c>
      <c r="AA545">
        <v>0.99995369999999995</v>
      </c>
      <c r="AB545">
        <v>32</v>
      </c>
      <c r="AC545">
        <v>0.53479999999996097</v>
      </c>
      <c r="AD545">
        <v>-0.22969249999999999</v>
      </c>
      <c r="AE545">
        <v>-5.0999999999703496E-3</v>
      </c>
      <c r="AF545">
        <v>6.4128182212260798E-3</v>
      </c>
      <c r="AG545">
        <v>-0.22969249999999999</v>
      </c>
      <c r="AH545">
        <v>0.45149375729425201</v>
      </c>
      <c r="AI545">
        <v>116.961881974945</v>
      </c>
      <c r="AJ545">
        <v>89.186250734338799</v>
      </c>
      <c r="AK545">
        <v>0.50660278490101995</v>
      </c>
      <c r="AL545">
        <v>72.602996172869297</v>
      </c>
      <c r="AM545">
        <v>94.352760096953702</v>
      </c>
      <c r="AN545">
        <v>1.0000000278271399</v>
      </c>
    </row>
    <row r="546" spans="1:40" x14ac:dyDescent="0.25">
      <c r="A546" t="str">
        <f>"20190304164109449"</f>
        <v>20190304164109449</v>
      </c>
      <c r="B546" t="str">
        <f>"1551688869442264"</f>
        <v>1551688869442264</v>
      </c>
      <c r="C546" t="s">
        <v>40</v>
      </c>
      <c r="D546">
        <v>4.53369</v>
      </c>
      <c r="E546">
        <v>0.55707810000000002</v>
      </c>
      <c r="F546" t="s">
        <v>41</v>
      </c>
      <c r="G546">
        <v>-397.6463</v>
      </c>
      <c r="H546">
        <v>0.81912819999999997</v>
      </c>
      <c r="I546">
        <v>367.0333</v>
      </c>
      <c r="J546">
        <v>-398.1925</v>
      </c>
      <c r="K546">
        <v>1.0706819999999999</v>
      </c>
      <c r="L546">
        <v>367.03859999999997</v>
      </c>
      <c r="M546">
        <v>0.99998779999999998</v>
      </c>
      <c r="N546">
        <v>-1.64182E-3</v>
      </c>
      <c r="O546">
        <v>4.6546290000000004E-3</v>
      </c>
      <c r="P546">
        <v>0.95170069999999996</v>
      </c>
      <c r="Q546">
        <v>0.2971703</v>
      </c>
      <c r="R546">
        <v>7.7174290000000006E-2</v>
      </c>
      <c r="S546">
        <v>3.490326</v>
      </c>
      <c r="T546">
        <v>-1.080174</v>
      </c>
      <c r="U546">
        <v>-1.7303470000000001E-2</v>
      </c>
      <c r="V546">
        <v>-7.2723789999999996E-2</v>
      </c>
      <c r="W546">
        <v>0.2987379</v>
      </c>
      <c r="X546">
        <v>0.95156030000000003</v>
      </c>
      <c r="Y546">
        <v>8.9742609999999903E-3</v>
      </c>
      <c r="Z546">
        <v>-2.764533E-3</v>
      </c>
      <c r="AA546">
        <v>0.99995590000000001</v>
      </c>
      <c r="AB546">
        <v>32</v>
      </c>
      <c r="AC546">
        <v>0.54619999999999802</v>
      </c>
      <c r="AD546">
        <v>-0.25155379999999899</v>
      </c>
      <c r="AE546">
        <v>-5.2999999999769898E-3</v>
      </c>
      <c r="AF546">
        <v>6.4700748132119701E-3</v>
      </c>
      <c r="AG546">
        <v>-0.25155379999999899</v>
      </c>
      <c r="AH546">
        <v>0.450601860919706</v>
      </c>
      <c r="AI546">
        <v>119.170440320716</v>
      </c>
      <c r="AJ546">
        <v>89.177361350402094</v>
      </c>
      <c r="AK546">
        <v>0.51610387832957705</v>
      </c>
      <c r="AL546">
        <v>72.618186540304507</v>
      </c>
      <c r="AM546">
        <v>94.370381975413096</v>
      </c>
      <c r="AN546">
        <v>1.00000004353223</v>
      </c>
    </row>
    <row r="547" spans="1:40" x14ac:dyDescent="0.25">
      <c r="A547" t="str">
        <f>"20190304164109470"</f>
        <v>20190304164109470</v>
      </c>
      <c r="B547" t="str">
        <f>"1551688869461784"</f>
        <v>1551688869461784</v>
      </c>
      <c r="C547" t="s">
        <v>40</v>
      </c>
      <c r="D547">
        <v>4.5539769999999997</v>
      </c>
      <c r="E547">
        <v>0.55698749999999997</v>
      </c>
      <c r="F547" t="s">
        <v>41</v>
      </c>
      <c r="G547">
        <v>-397.36779999999999</v>
      </c>
      <c r="H547">
        <v>0.81523350000000006</v>
      </c>
      <c r="I547">
        <v>367.03429999999997</v>
      </c>
      <c r="J547">
        <v>-397.89429999999999</v>
      </c>
      <c r="K547">
        <v>1.0729630000000001</v>
      </c>
      <c r="L547">
        <v>367.04</v>
      </c>
      <c r="M547">
        <v>0.99998799999999999</v>
      </c>
      <c r="N547">
        <v>-1.62517E-3</v>
      </c>
      <c r="O547">
        <v>4.6452339999999998E-3</v>
      </c>
      <c r="P547">
        <v>0.95160679999999997</v>
      </c>
      <c r="Q547">
        <v>0.29744480000000001</v>
      </c>
      <c r="R547">
        <v>7.7274869999999996E-2</v>
      </c>
      <c r="S547">
        <v>3.4912109999999998</v>
      </c>
      <c r="T547">
        <v>-1.0814159999999999</v>
      </c>
      <c r="U547">
        <v>-1.5930179999999999E-2</v>
      </c>
      <c r="V547">
        <v>-7.2836979999999996E-2</v>
      </c>
      <c r="W547">
        <v>0.29899540000000002</v>
      </c>
      <c r="X547">
        <v>0.9514707</v>
      </c>
      <c r="Y547">
        <v>8.5878120000000002E-3</v>
      </c>
      <c r="Z547">
        <v>-2.705271E-3</v>
      </c>
      <c r="AA547">
        <v>0.9999595</v>
      </c>
      <c r="AB547">
        <v>32</v>
      </c>
      <c r="AC547">
        <v>0.52649999999999797</v>
      </c>
      <c r="AD547">
        <v>-0.257729499999999</v>
      </c>
      <c r="AE547">
        <v>-5.7000000000471101E-3</v>
      </c>
      <c r="AF547">
        <v>6.5712162365868902E-3</v>
      </c>
      <c r="AG547">
        <v>-0.257729499999999</v>
      </c>
      <c r="AH547">
        <v>0.42470901478912698</v>
      </c>
      <c r="AI547">
        <v>121.247919474401</v>
      </c>
      <c r="AJ547">
        <v>89.113574461638805</v>
      </c>
      <c r="AK547">
        <v>0.49683540865786602</v>
      </c>
      <c r="AL547">
        <v>72.6027251937778</v>
      </c>
      <c r="AM547">
        <v>94.377568379224797</v>
      </c>
      <c r="AN547">
        <v>0.99999998391758504</v>
      </c>
    </row>
    <row r="548" spans="1:40" x14ac:dyDescent="0.25">
      <c r="A548" t="str">
        <f>"20190304164109480"</f>
        <v>20190304164109480</v>
      </c>
      <c r="B548" t="str">
        <f>"1551688869471545"</f>
        <v>1551688869471545</v>
      </c>
      <c r="C548" t="s">
        <v>40</v>
      </c>
      <c r="D548">
        <v>4.5743839999999896</v>
      </c>
      <c r="E548">
        <v>0.55693729999999997</v>
      </c>
      <c r="F548" t="s">
        <v>41</v>
      </c>
      <c r="G548">
        <v>-397.08420000000001</v>
      </c>
      <c r="H548">
        <v>0.82194940000000005</v>
      </c>
      <c r="I548">
        <v>367.03620000000001</v>
      </c>
      <c r="J548">
        <v>-397.74209999999999</v>
      </c>
      <c r="K548">
        <v>1.0742080000000001</v>
      </c>
      <c r="L548">
        <v>367.04070000000002</v>
      </c>
      <c r="M548">
        <v>0.99998799999999999</v>
      </c>
      <c r="N548">
        <v>-1.6428339999999999E-3</v>
      </c>
      <c r="O548">
        <v>4.6418839999999998E-3</v>
      </c>
      <c r="P548">
        <v>0.9515787</v>
      </c>
      <c r="Q548">
        <v>0.29757640000000002</v>
      </c>
      <c r="R548">
        <v>7.7112E-2</v>
      </c>
      <c r="S548">
        <v>3.4920040000000001</v>
      </c>
      <c r="T548">
        <v>-1.081885</v>
      </c>
      <c r="U548">
        <v>-1.6265870000000002E-2</v>
      </c>
      <c r="V548">
        <v>-7.2678259999999995E-2</v>
      </c>
      <c r="W548">
        <v>0.29914380000000002</v>
      </c>
      <c r="X548">
        <v>0.95143619999999995</v>
      </c>
      <c r="Y548">
        <v>8.6753279999999995E-3</v>
      </c>
      <c r="Z548">
        <v>-2.7181129999999999E-3</v>
      </c>
      <c r="AA548">
        <v>0.99995869999999998</v>
      </c>
      <c r="AB548">
        <v>31</v>
      </c>
      <c r="AC548">
        <v>0.65789999999998305</v>
      </c>
      <c r="AD548">
        <v>-0.2522586</v>
      </c>
      <c r="AE548">
        <v>-4.5000000000072699E-3</v>
      </c>
      <c r="AF548">
        <v>6.5856789518843398E-3</v>
      </c>
      <c r="AG548">
        <v>-0.2522586</v>
      </c>
      <c r="AH548">
        <v>0.57355302390428098</v>
      </c>
      <c r="AI548">
        <v>113.739336857906</v>
      </c>
      <c r="AJ548">
        <v>89.342144471335104</v>
      </c>
      <c r="AK548">
        <v>0.62661059971162403</v>
      </c>
      <c r="AL548">
        <v>72.593814833362202</v>
      </c>
      <c r="AM548">
        <v>94.368223899982297</v>
      </c>
      <c r="AN548">
        <v>0.99999999261275296</v>
      </c>
    </row>
    <row r="549" spans="1:40" x14ac:dyDescent="0.25">
      <c r="A549" t="str">
        <f>"20190304164109493"</f>
        <v>20190304164109493</v>
      </c>
      <c r="B549" t="str">
        <f>"1551688869482281"</f>
        <v>1551688869482281</v>
      </c>
      <c r="C549" t="s">
        <v>40</v>
      </c>
      <c r="D549">
        <v>4.5547529999999998</v>
      </c>
      <c r="E549">
        <v>0.55689379999999999</v>
      </c>
      <c r="F549" t="s">
        <v>41</v>
      </c>
      <c r="G549">
        <v>-397.06619999999998</v>
      </c>
      <c r="H549">
        <v>0.86470480000000005</v>
      </c>
      <c r="I549">
        <v>367.03719999999998</v>
      </c>
      <c r="J549">
        <v>-397.58330000000001</v>
      </c>
      <c r="K549">
        <v>1.07555</v>
      </c>
      <c r="L549">
        <v>367.04140000000001</v>
      </c>
      <c r="M549">
        <v>0.99998830000000005</v>
      </c>
      <c r="N549">
        <v>-1.49565299999999E-3</v>
      </c>
      <c r="O549">
        <v>4.6401569999999998E-3</v>
      </c>
      <c r="P549">
        <v>0.95152490000000001</v>
      </c>
      <c r="Q549">
        <v>0.29769869999999998</v>
      </c>
      <c r="R549">
        <v>7.7304570000000003E-2</v>
      </c>
      <c r="S549">
        <v>3.4925229999999998</v>
      </c>
      <c r="T549">
        <v>-1.0824069999999999</v>
      </c>
      <c r="U549">
        <v>-1.7547610000000002E-2</v>
      </c>
      <c r="V549">
        <v>-7.2872859999999998E-2</v>
      </c>
      <c r="W549">
        <v>0.299126</v>
      </c>
      <c r="X549">
        <v>0.95142689999999996</v>
      </c>
      <c r="Y549">
        <v>9.0231459999999993E-3</v>
      </c>
      <c r="Z549">
        <v>-2.7713999999999998E-3</v>
      </c>
      <c r="AA549">
        <v>0.9999555</v>
      </c>
      <c r="AB549">
        <v>31</v>
      </c>
      <c r="AC549">
        <v>0.51710000000002698</v>
      </c>
      <c r="AD549">
        <v>-0.21084519999999901</v>
      </c>
      <c r="AE549">
        <v>-4.20000000002573E-3</v>
      </c>
      <c r="AF549">
        <v>5.6586564453847497E-3</v>
      </c>
      <c r="AG549">
        <v>-0.21084519999999901</v>
      </c>
      <c r="AH549">
        <v>0.44336717792453501</v>
      </c>
      <c r="AI549">
        <v>115.431818776425</v>
      </c>
      <c r="AJ549">
        <v>89.268778687780596</v>
      </c>
      <c r="AK549">
        <v>0.49098082774847002</v>
      </c>
      <c r="AL549">
        <v>72.594883444106003</v>
      </c>
      <c r="AM549">
        <v>94.379917251939801</v>
      </c>
      <c r="AN549">
        <v>0.99999998182209404</v>
      </c>
    </row>
    <row r="550" spans="1:40" x14ac:dyDescent="0.25">
      <c r="A550" t="str">
        <f>"20190304164109504"</f>
        <v>20190304164109504</v>
      </c>
      <c r="B550" t="str">
        <f>"1551688869492041"</f>
        <v>1551688869492041</v>
      </c>
      <c r="C550" t="s">
        <v>40</v>
      </c>
      <c r="D550">
        <v>4.5591549999999996</v>
      </c>
      <c r="E550">
        <v>0.55684919999999904</v>
      </c>
      <c r="F550" t="s">
        <v>41</v>
      </c>
      <c r="G550">
        <v>-396.79680000000002</v>
      </c>
      <c r="H550">
        <v>0.83177570000000001</v>
      </c>
      <c r="I550">
        <v>367.03730000000002</v>
      </c>
      <c r="J550">
        <v>-397.4171</v>
      </c>
      <c r="K550">
        <v>1.076964</v>
      </c>
      <c r="L550">
        <v>367.04219999999998</v>
      </c>
      <c r="M550">
        <v>0.9999884</v>
      </c>
      <c r="N550">
        <v>-1.3254460000000001E-3</v>
      </c>
      <c r="O550">
        <v>4.6389120000000002E-3</v>
      </c>
      <c r="P550">
        <v>0.95153469999999996</v>
      </c>
      <c r="Q550">
        <v>0.29770239999999998</v>
      </c>
      <c r="R550">
        <v>7.7170069999999993E-2</v>
      </c>
      <c r="S550">
        <v>3.4928590000000002</v>
      </c>
      <c r="T550">
        <v>-1.0825720000000001</v>
      </c>
      <c r="U550">
        <v>-1.6845699999999901E-2</v>
      </c>
      <c r="V550">
        <v>-7.273963E-2</v>
      </c>
      <c r="W550">
        <v>0.2989677</v>
      </c>
      <c r="X550">
        <v>0.95148690000000002</v>
      </c>
      <c r="Y550">
        <v>8.8295930000000002E-3</v>
      </c>
      <c r="Z550">
        <v>-2.7417230000000002E-3</v>
      </c>
      <c r="AA550">
        <v>0.99995730000000005</v>
      </c>
      <c r="AB550">
        <v>32</v>
      </c>
      <c r="AC550">
        <v>0.62029999999998597</v>
      </c>
      <c r="AD550">
        <v>-0.2451883</v>
      </c>
      <c r="AE550">
        <v>-4.8999999999637103E-3</v>
      </c>
      <c r="AF550">
        <v>6.7265649429474102E-3</v>
      </c>
      <c r="AG550">
        <v>-0.2451883</v>
      </c>
      <c r="AH550">
        <v>0.53645879080974601</v>
      </c>
      <c r="AI550">
        <v>114.56105098536101</v>
      </c>
      <c r="AJ550">
        <v>89.281615676087199</v>
      </c>
      <c r="AK550">
        <v>0.58987336214638098</v>
      </c>
      <c r="AL550">
        <v>72.604389191844803</v>
      </c>
      <c r="AM550">
        <v>94.371666108739404</v>
      </c>
      <c r="AN550">
        <v>1.00000003014371</v>
      </c>
    </row>
    <row r="551" spans="1:40" x14ac:dyDescent="0.25">
      <c r="A551" t="str">
        <f>"20190304164109516"</f>
        <v>20190304164109516</v>
      </c>
      <c r="B551" t="str">
        <f>"1551688869501800"</f>
        <v>1551688869501800</v>
      </c>
      <c r="C551" t="s">
        <v>40</v>
      </c>
      <c r="D551">
        <v>4.5916050000000004</v>
      </c>
      <c r="E551">
        <v>0.55679909999999999</v>
      </c>
      <c r="F551" t="s">
        <v>41</v>
      </c>
      <c r="G551">
        <v>-396.52429999999998</v>
      </c>
      <c r="H551">
        <v>0.80003829999999998</v>
      </c>
      <c r="I551">
        <v>367.03769999999997</v>
      </c>
      <c r="J551">
        <v>-397.24329999999998</v>
      </c>
      <c r="K551">
        <v>1.0785070000000001</v>
      </c>
      <c r="L551">
        <v>367.04300000000001</v>
      </c>
      <c r="M551">
        <v>0.99998869999999895</v>
      </c>
      <c r="N551">
        <v>-1.1437909999999999E-3</v>
      </c>
      <c r="O551">
        <v>4.6390290000000002E-3</v>
      </c>
      <c r="P551">
        <v>0.95151600000000003</v>
      </c>
      <c r="Q551">
        <v>0.29772409999999999</v>
      </c>
      <c r="R551">
        <v>7.7317490000000003E-2</v>
      </c>
      <c r="S551">
        <v>3.4931640000000002</v>
      </c>
      <c r="T551">
        <v>-1.08345</v>
      </c>
      <c r="U551">
        <v>-1.6845699999999901E-2</v>
      </c>
      <c r="V551">
        <v>-7.2887540000000001E-2</v>
      </c>
      <c r="W551">
        <v>0.29881659999999999</v>
      </c>
      <c r="X551">
        <v>0.95152300000000001</v>
      </c>
      <c r="Y551">
        <v>8.8284430000000001E-3</v>
      </c>
      <c r="Z551">
        <v>-2.74348E-3</v>
      </c>
      <c r="AA551">
        <v>0.99995730000000005</v>
      </c>
      <c r="AB551">
        <v>32</v>
      </c>
      <c r="AC551">
        <v>0.71899999999999398</v>
      </c>
      <c r="AD551">
        <v>-0.27846869999999901</v>
      </c>
      <c r="AE551">
        <v>-5.3000000000338297E-3</v>
      </c>
      <c r="AF551">
        <v>7.5090940300279897E-3</v>
      </c>
      <c r="AG551">
        <v>-0.27846869999999901</v>
      </c>
      <c r="AH551">
        <v>0.62519301334423905</v>
      </c>
      <c r="AI551">
        <v>114.00724663484201</v>
      </c>
      <c r="AJ551">
        <v>89.311862577359506</v>
      </c>
      <c r="AK551">
        <v>0.68444686229633001</v>
      </c>
      <c r="AL551">
        <v>72.613460519029303</v>
      </c>
      <c r="AM551">
        <v>94.380355416909097</v>
      </c>
      <c r="AN551">
        <v>0.99999998672590495</v>
      </c>
    </row>
    <row r="552" spans="1:40" x14ac:dyDescent="0.25">
      <c r="A552" t="str">
        <f>"20190304164109526"</f>
        <v>20190304164109526</v>
      </c>
      <c r="B552" t="str">
        <f>"1551688869511562"</f>
        <v>1551688869511562</v>
      </c>
      <c r="C552" t="s">
        <v>40</v>
      </c>
      <c r="D552">
        <v>4.905837</v>
      </c>
      <c r="E552">
        <v>0.55676890000000001</v>
      </c>
      <c r="F552" t="s">
        <v>41</v>
      </c>
      <c r="G552">
        <v>-396.50420000000003</v>
      </c>
      <c r="H552">
        <v>0.84908130000000004</v>
      </c>
      <c r="I552">
        <v>367.0394</v>
      </c>
      <c r="J552">
        <v>-397.09879999999998</v>
      </c>
      <c r="K552">
        <v>1.079806</v>
      </c>
      <c r="L552">
        <v>367.0437</v>
      </c>
      <c r="M552">
        <v>0.99998880000000001</v>
      </c>
      <c r="N552">
        <v>-1.034339E-3</v>
      </c>
      <c r="O552">
        <v>4.6394490000000004E-3</v>
      </c>
      <c r="P552">
        <v>0.95146050000000004</v>
      </c>
      <c r="Q552">
        <v>0.29787580000000002</v>
      </c>
      <c r="R552">
        <v>7.7415209999999998E-2</v>
      </c>
      <c r="S552">
        <v>3.4934690000000002</v>
      </c>
      <c r="T552">
        <v>-1.0843259999999999</v>
      </c>
      <c r="U552">
        <v>-1.638794E-2</v>
      </c>
      <c r="V552">
        <v>-7.2984850000000004E-2</v>
      </c>
      <c r="W552">
        <v>0.29886390000000002</v>
      </c>
      <c r="X552">
        <v>0.95150069999999998</v>
      </c>
      <c r="Y552">
        <v>8.7024519999999994E-3</v>
      </c>
      <c r="Z552">
        <v>-2.7263309999999998E-3</v>
      </c>
      <c r="AA552">
        <v>0.99995840000000003</v>
      </c>
      <c r="AB552">
        <v>32</v>
      </c>
      <c r="AC552">
        <v>0.59459999999995705</v>
      </c>
      <c r="AD552">
        <v>-0.2307247</v>
      </c>
      <c r="AE552">
        <v>-4.3000000000006297E-3</v>
      </c>
      <c r="AF552">
        <v>6.1348894742806696E-3</v>
      </c>
      <c r="AG552">
        <v>-0.2307247</v>
      </c>
      <c r="AH552">
        <v>0.51676797983619704</v>
      </c>
      <c r="AI552">
        <v>114.058130819656</v>
      </c>
      <c r="AJ552">
        <v>89.3198364128625</v>
      </c>
      <c r="AK552">
        <v>0.565968788046599</v>
      </c>
      <c r="AL552">
        <v>72.610620904353198</v>
      </c>
      <c r="AM552">
        <v>94.386283089989604</v>
      </c>
      <c r="AN552">
        <v>1.0000000005766101</v>
      </c>
    </row>
    <row r="553" spans="1:40" x14ac:dyDescent="0.25">
      <c r="A553" t="str">
        <f>"20190304164109537"</f>
        <v>20190304164109537</v>
      </c>
      <c r="B553" t="str">
        <f>"1551688869532057"</f>
        <v>1551688869532057</v>
      </c>
      <c r="C553" t="s">
        <v>40</v>
      </c>
      <c r="D553">
        <v>4.5987730000000004</v>
      </c>
      <c r="E553">
        <v>0.55672569999999999</v>
      </c>
      <c r="F553" t="s">
        <v>41</v>
      </c>
      <c r="G553">
        <v>-396.23309999999998</v>
      </c>
      <c r="H553">
        <v>0.81111359999999999</v>
      </c>
      <c r="I553">
        <v>367.03949999999998</v>
      </c>
      <c r="J553">
        <v>-396.91899999999998</v>
      </c>
      <c r="K553">
        <v>1.081467</v>
      </c>
      <c r="L553">
        <v>367.04450000000003</v>
      </c>
      <c r="M553">
        <v>0.99998889999999996</v>
      </c>
      <c r="N553">
        <v>-9.7150790000000002E-4</v>
      </c>
      <c r="O553">
        <v>4.6404949999999997E-3</v>
      </c>
      <c r="P553">
        <v>0.95148469999999996</v>
      </c>
      <c r="Q553">
        <v>0.29777179999999998</v>
      </c>
      <c r="R553">
        <v>7.7518770000000001E-2</v>
      </c>
      <c r="S553">
        <v>3.4938660000000001</v>
      </c>
      <c r="T553">
        <v>-1.0843989999999999</v>
      </c>
      <c r="U553">
        <v>-1.61438E-2</v>
      </c>
      <c r="V553">
        <v>-7.3087219999999994E-2</v>
      </c>
      <c r="W553">
        <v>0.29870010000000002</v>
      </c>
      <c r="X553">
        <v>0.95154430000000001</v>
      </c>
      <c r="Y553">
        <v>8.6362260000000003E-3</v>
      </c>
      <c r="Z553">
        <v>-2.7164580000000002E-3</v>
      </c>
      <c r="AA553">
        <v>0.99995900000000004</v>
      </c>
      <c r="AB553">
        <v>32</v>
      </c>
      <c r="AC553">
        <v>0.68590000000006002</v>
      </c>
      <c r="AD553">
        <v>-0.27035340000000002</v>
      </c>
      <c r="AE553">
        <v>-5.0000000000522899E-3</v>
      </c>
      <c r="AF553">
        <v>7.0825664595505202E-3</v>
      </c>
      <c r="AG553">
        <v>-0.27035340000000002</v>
      </c>
      <c r="AH553">
        <v>0.59364501730263797</v>
      </c>
      <c r="AI553">
        <v>114.483578025874</v>
      </c>
      <c r="AJ553">
        <v>89.316456969861605</v>
      </c>
      <c r="AK553">
        <v>0.65234617359762503</v>
      </c>
      <c r="AL553">
        <v>72.620455573634999</v>
      </c>
      <c r="AM553">
        <v>94.392210844063598</v>
      </c>
      <c r="AN553">
        <v>1.00000002316491</v>
      </c>
    </row>
    <row r="554" spans="1:40" x14ac:dyDescent="0.25">
      <c r="A554" t="str">
        <f>"20190304164109549"</f>
        <v>20190304164109549</v>
      </c>
      <c r="B554" t="str">
        <f>"1551688869541817"</f>
        <v>1551688869541817</v>
      </c>
      <c r="C554" t="s">
        <v>40</v>
      </c>
      <c r="D554">
        <v>4.5959339999999997</v>
      </c>
      <c r="E554">
        <v>0.55670169999999997</v>
      </c>
      <c r="F554" t="s">
        <v>41</v>
      </c>
      <c r="G554">
        <v>-396.21210000000002</v>
      </c>
      <c r="H554">
        <v>0.86181489999999905</v>
      </c>
      <c r="I554">
        <v>367.04109999999997</v>
      </c>
      <c r="J554">
        <v>-396.76499999999999</v>
      </c>
      <c r="K554">
        <v>1.0828880000000001</v>
      </c>
      <c r="L554">
        <v>367.0453</v>
      </c>
      <c r="M554">
        <v>0.99998889999999996</v>
      </c>
      <c r="N554">
        <v>-9.8896349999999999E-4</v>
      </c>
      <c r="O554">
        <v>4.6414999999999998E-3</v>
      </c>
      <c r="P554">
        <v>0.95148739999999998</v>
      </c>
      <c r="Q554">
        <v>0.29767379999999999</v>
      </c>
      <c r="R554">
        <v>7.7860440000000003E-2</v>
      </c>
      <c r="S554">
        <v>3.4940190000000002</v>
      </c>
      <c r="T554">
        <v>-1.0858019999999999</v>
      </c>
      <c r="U554">
        <v>-1.5777590000000001E-2</v>
      </c>
      <c r="V554">
        <v>-7.342812E-2</v>
      </c>
      <c r="W554">
        <v>0.29861910000000003</v>
      </c>
      <c r="X554">
        <v>0.95154349999999999</v>
      </c>
      <c r="Y554">
        <v>8.5354200000000002E-3</v>
      </c>
      <c r="Z554">
        <v>-2.7046499999999998E-3</v>
      </c>
      <c r="AA554">
        <v>0.99995990000000001</v>
      </c>
      <c r="AB554">
        <v>32</v>
      </c>
      <c r="AC554">
        <v>0.55289999999996498</v>
      </c>
      <c r="AD554">
        <v>-0.221073099999999</v>
      </c>
      <c r="AE554">
        <v>-4.20000000002573E-3</v>
      </c>
      <c r="AF554">
        <v>5.8336449362486401E-3</v>
      </c>
      <c r="AG554">
        <v>-0.221073099999999</v>
      </c>
      <c r="AH554">
        <v>0.47667144020909102</v>
      </c>
      <c r="AI554">
        <v>114.87952901398199</v>
      </c>
      <c r="AJ554">
        <v>89.298832444854696</v>
      </c>
      <c r="AK554">
        <v>0.52547408011038998</v>
      </c>
      <c r="AL554">
        <v>72.625318850238699</v>
      </c>
      <c r="AM554">
        <v>94.412620360324297</v>
      </c>
      <c r="AN554">
        <v>1.0000000440418899</v>
      </c>
    </row>
    <row r="555" spans="1:40" x14ac:dyDescent="0.25">
      <c r="A555" t="str">
        <f>"20190304164109560"</f>
        <v>20190304164109560</v>
      </c>
      <c r="B555" t="str">
        <f>"1551688869541817"</f>
        <v>1551688869541817</v>
      </c>
      <c r="C555" t="s">
        <v>40</v>
      </c>
      <c r="D555">
        <v>4.5959339999999997</v>
      </c>
      <c r="E555">
        <v>0.55670169999999997</v>
      </c>
      <c r="F555" t="s">
        <v>41</v>
      </c>
      <c r="G555">
        <v>-395.9393</v>
      </c>
      <c r="H555">
        <v>0.82612090000000005</v>
      </c>
      <c r="I555">
        <v>367.04160000000002</v>
      </c>
      <c r="J555">
        <v>-396.60469999999998</v>
      </c>
      <c r="K555">
        <v>1.0843719999999999</v>
      </c>
      <c r="L555">
        <v>367.04599999999999</v>
      </c>
      <c r="M555">
        <v>0.99998860000000001</v>
      </c>
      <c r="N555">
        <v>-1.040977E-3</v>
      </c>
      <c r="O555">
        <v>4.6427830000000002E-3</v>
      </c>
      <c r="P555">
        <v>0.95152199999999998</v>
      </c>
      <c r="Q555">
        <v>0.29750789999999999</v>
      </c>
      <c r="R555">
        <v>7.8072100000000005E-2</v>
      </c>
      <c r="S555">
        <v>3.49411</v>
      </c>
      <c r="T555">
        <v>-1.0866990000000001</v>
      </c>
      <c r="U555">
        <v>-1.434326E-2</v>
      </c>
      <c r="V555">
        <v>-7.3638270000000006E-2</v>
      </c>
      <c r="W555">
        <v>0.29850260000000001</v>
      </c>
      <c r="X555">
        <v>0.95156379999999996</v>
      </c>
      <c r="Y555">
        <v>8.1436540000000002E-3</v>
      </c>
      <c r="Z555">
        <v>-2.647375E-3</v>
      </c>
      <c r="AA555">
        <v>0.9999633</v>
      </c>
      <c r="AB555">
        <v>32</v>
      </c>
      <c r="AC555">
        <v>0.66539999999997601</v>
      </c>
      <c r="AD555">
        <v>-0.25825109999999901</v>
      </c>
      <c r="AE555">
        <v>-4.3999999999755303E-3</v>
      </c>
      <c r="AF555">
        <v>6.5088592490113503E-3</v>
      </c>
      <c r="AG555">
        <v>-0.25825109999999901</v>
      </c>
      <c r="AH555">
        <v>0.57826994474305804</v>
      </c>
      <c r="AI555">
        <v>114.063835897191</v>
      </c>
      <c r="AJ555">
        <v>89.355120528163098</v>
      </c>
      <c r="AK555">
        <v>0.63334992294392201</v>
      </c>
      <c r="AL555">
        <v>72.632312568632599</v>
      </c>
      <c r="AM555">
        <v>94.425105082913106</v>
      </c>
      <c r="AN555">
        <v>1.0000000312428901</v>
      </c>
    </row>
    <row r="556" spans="1:40" x14ac:dyDescent="0.25">
      <c r="A556" t="str">
        <f>"20190304164109571"</f>
        <v>20190304164109571</v>
      </c>
      <c r="B556" t="str">
        <f>"1551688869562313"</f>
        <v>1551688869562313</v>
      </c>
      <c r="C556" t="s">
        <v>40</v>
      </c>
      <c r="D556">
        <v>4.6910360000000004</v>
      </c>
      <c r="E556">
        <v>0.55664469999999899</v>
      </c>
      <c r="F556" t="s">
        <v>41</v>
      </c>
      <c r="G556">
        <v>-395.9203</v>
      </c>
      <c r="H556">
        <v>0.8714151</v>
      </c>
      <c r="I556">
        <v>367.04300000000001</v>
      </c>
      <c r="J556">
        <v>-396.44740000000002</v>
      </c>
      <c r="K556">
        <v>1.0857889999999999</v>
      </c>
      <c r="L556">
        <v>367.04669999999999</v>
      </c>
      <c r="M556">
        <v>0.99998860000000001</v>
      </c>
      <c r="N556">
        <v>-1.1478839999999901E-3</v>
      </c>
      <c r="O556">
        <v>4.6439139999999999E-3</v>
      </c>
      <c r="P556">
        <v>0.95155710000000004</v>
      </c>
      <c r="Q556">
        <v>0.29732170000000002</v>
      </c>
      <c r="R556">
        <v>7.8352900000000003E-2</v>
      </c>
      <c r="S556">
        <v>3.4938959999999999</v>
      </c>
      <c r="T556">
        <v>-1.087205</v>
      </c>
      <c r="U556">
        <v>-1.4190670000000001E-2</v>
      </c>
      <c r="V556">
        <v>-7.3918010000000006E-2</v>
      </c>
      <c r="W556">
        <v>0.29841800000000002</v>
      </c>
      <c r="X556">
        <v>0.95156859999999999</v>
      </c>
      <c r="Y556">
        <v>8.102649E-3</v>
      </c>
      <c r="Z556">
        <v>-2.6427529999999999E-3</v>
      </c>
      <c r="AA556">
        <v>0.99996370000000001</v>
      </c>
      <c r="AB556">
        <v>32</v>
      </c>
      <c r="AC556">
        <v>0.527100000000018</v>
      </c>
      <c r="AD556">
        <v>-0.21437389999999901</v>
      </c>
      <c r="AE556">
        <v>-3.69999999998071E-3</v>
      </c>
      <c r="AF556">
        <v>5.27524190122311E-3</v>
      </c>
      <c r="AG556">
        <v>-0.21437389999999901</v>
      </c>
      <c r="AH556">
        <v>0.45227130767110602</v>
      </c>
      <c r="AI556">
        <v>115.359164178171</v>
      </c>
      <c r="AJ556">
        <v>89.331738745702197</v>
      </c>
      <c r="AK556">
        <v>0.50053304877985705</v>
      </c>
      <c r="AL556">
        <v>72.637390488373995</v>
      </c>
      <c r="AM556">
        <v>94.441825885485699</v>
      </c>
      <c r="AN556">
        <v>0.99999998771615894</v>
      </c>
    </row>
    <row r="557" spans="1:40" x14ac:dyDescent="0.25">
      <c r="A557" t="str">
        <f>"20190304164109582"</f>
        <v>20190304164109582</v>
      </c>
      <c r="B557" t="str">
        <f>"1551688869572073"</f>
        <v>1551688869572073</v>
      </c>
      <c r="C557" t="s">
        <v>40</v>
      </c>
      <c r="D557">
        <v>4.6465899999999998</v>
      </c>
      <c r="E557">
        <v>0.55663750000000001</v>
      </c>
      <c r="F557" t="s">
        <v>41</v>
      </c>
      <c r="G557">
        <v>-395.64620000000002</v>
      </c>
      <c r="H557">
        <v>0.83606209999999903</v>
      </c>
      <c r="I557">
        <v>367.04349999999999</v>
      </c>
      <c r="J557">
        <v>-396.28429999999997</v>
      </c>
      <c r="K557">
        <v>1.08725</v>
      </c>
      <c r="L557">
        <v>367.04750000000001</v>
      </c>
      <c r="M557">
        <v>0.9999884</v>
      </c>
      <c r="N557">
        <v>-1.270469E-3</v>
      </c>
      <c r="O557">
        <v>4.6448499999999998E-3</v>
      </c>
      <c r="P557">
        <v>0.95152170000000003</v>
      </c>
      <c r="Q557">
        <v>0.29733340000000003</v>
      </c>
      <c r="R557">
        <v>7.8735869999999999E-2</v>
      </c>
      <c r="S557">
        <v>3.4940799999999999</v>
      </c>
      <c r="T557">
        <v>-1.0889979999999999</v>
      </c>
      <c r="U557">
        <v>-1.2634279999999999E-2</v>
      </c>
      <c r="V557">
        <v>-7.4300110000000003E-2</v>
      </c>
      <c r="W557">
        <v>0.29854629999999999</v>
      </c>
      <c r="X557">
        <v>0.95149859999999997</v>
      </c>
      <c r="Y557">
        <v>7.6763539999999998E-3</v>
      </c>
      <c r="Z557">
        <v>-2.5818519999999999E-3</v>
      </c>
      <c r="AA557">
        <v>0.99996719999999895</v>
      </c>
      <c r="AB557">
        <v>32</v>
      </c>
      <c r="AC557">
        <v>0.63809999999995104</v>
      </c>
      <c r="AD557">
        <v>-0.25118790000000002</v>
      </c>
      <c r="AE557">
        <v>-4.0000000000190898E-3</v>
      </c>
      <c r="AF557">
        <v>6.0295369889186799E-3</v>
      </c>
      <c r="AG557">
        <v>-0.25118790000000002</v>
      </c>
      <c r="AH557">
        <v>0.55246747542835095</v>
      </c>
      <c r="AI557">
        <v>114.448369205718</v>
      </c>
      <c r="AJ557">
        <v>89.374708336984</v>
      </c>
      <c r="AK557">
        <v>0.606920116513604</v>
      </c>
      <c r="AL557">
        <v>72.629688428194299</v>
      </c>
      <c r="AM557">
        <v>94.465021287684706</v>
      </c>
      <c r="AN557">
        <v>0.99999999269583095</v>
      </c>
    </row>
    <row r="558" spans="1:40" x14ac:dyDescent="0.25">
      <c r="A558" t="str">
        <f>"20190304164109593"</f>
        <v>20190304164109593</v>
      </c>
      <c r="B558" t="str">
        <f>"1551688869581832"</f>
        <v>1551688869581832</v>
      </c>
      <c r="C558" t="s">
        <v>40</v>
      </c>
      <c r="D558">
        <v>4.6402210000000004</v>
      </c>
      <c r="E558">
        <v>0.5566238</v>
      </c>
      <c r="F558" t="s">
        <v>41</v>
      </c>
      <c r="G558">
        <v>-395.3698</v>
      </c>
      <c r="H558">
        <v>0.80215439999999905</v>
      </c>
      <c r="I558">
        <v>367.04419999999999</v>
      </c>
      <c r="J558">
        <v>-396.11660000000001</v>
      </c>
      <c r="K558">
        <v>1.088681</v>
      </c>
      <c r="L558">
        <v>367.04829999999998</v>
      </c>
      <c r="M558">
        <v>0.99998819999999999</v>
      </c>
      <c r="N558">
        <v>-1.4353899999999999E-3</v>
      </c>
      <c r="O558">
        <v>4.6455689999999996E-3</v>
      </c>
      <c r="P558">
        <v>0.95156430000000003</v>
      </c>
      <c r="Q558">
        <v>0.29710979999999998</v>
      </c>
      <c r="R558">
        <v>7.9063809999999998E-2</v>
      </c>
      <c r="S558">
        <v>3.4942630000000001</v>
      </c>
      <c r="T558">
        <v>-1.089342</v>
      </c>
      <c r="U558">
        <v>-1.211548E-2</v>
      </c>
      <c r="V558">
        <v>-7.4627970000000002E-2</v>
      </c>
      <c r="W558">
        <v>0.298479299999999</v>
      </c>
      <c r="X558">
        <v>0.95149399999999995</v>
      </c>
      <c r="Y558">
        <v>7.5348639999999996E-3</v>
      </c>
      <c r="Z558">
        <v>-2.5609719999999999E-3</v>
      </c>
      <c r="AA558">
        <v>0.99996830000000003</v>
      </c>
      <c r="AB558">
        <v>32</v>
      </c>
      <c r="AC558">
        <v>0.74680000000000701</v>
      </c>
      <c r="AD558">
        <v>-0.28652660000000002</v>
      </c>
      <c r="AE558">
        <v>-4.0999999999939904E-3</v>
      </c>
      <c r="AF558">
        <v>6.5980381378235101E-3</v>
      </c>
      <c r="AG558">
        <v>-0.28652660000000002</v>
      </c>
      <c r="AH558">
        <v>0.65095259070195899</v>
      </c>
      <c r="AI558">
        <v>113.756333154822</v>
      </c>
      <c r="AJ558">
        <v>89.419271390546896</v>
      </c>
      <c r="AK558">
        <v>0.71125262878700202</v>
      </c>
      <c r="AL558">
        <v>72.633711290186497</v>
      </c>
      <c r="AM558">
        <v>94.484665236076296</v>
      </c>
      <c r="AN558">
        <v>1.0000000292354001</v>
      </c>
    </row>
    <row r="559" spans="1:40" x14ac:dyDescent="0.25">
      <c r="A559" t="str">
        <f>"20190304164109605"</f>
        <v>20190304164109605</v>
      </c>
      <c r="B559" t="str">
        <f>"1551688869591593"</f>
        <v>1551688869591593</v>
      </c>
      <c r="C559" t="s">
        <v>40</v>
      </c>
      <c r="D559">
        <v>4.6461110000000003</v>
      </c>
      <c r="E559">
        <v>0.55658719999999995</v>
      </c>
      <c r="F559" t="s">
        <v>41</v>
      </c>
      <c r="G559">
        <v>-395.35050000000001</v>
      </c>
      <c r="H559">
        <v>0.84959640000000003</v>
      </c>
      <c r="I559">
        <v>367.04570000000001</v>
      </c>
      <c r="J559">
        <v>-395.95589999999999</v>
      </c>
      <c r="K559">
        <v>1.090025</v>
      </c>
      <c r="L559">
        <v>367.04910000000001</v>
      </c>
      <c r="M559">
        <v>0.99998779999999998</v>
      </c>
      <c r="N559">
        <v>-1.599889E-3</v>
      </c>
      <c r="O559">
        <v>4.6462760000000004E-3</v>
      </c>
      <c r="P559">
        <v>0.95150939999999995</v>
      </c>
      <c r="Q559">
        <v>0.29718309999999998</v>
      </c>
      <c r="R559">
        <v>7.9448270000000001E-2</v>
      </c>
      <c r="S559">
        <v>3.49411</v>
      </c>
      <c r="T559">
        <v>-1.090482</v>
      </c>
      <c r="U559">
        <v>-1.126099E-2</v>
      </c>
      <c r="V559">
        <v>-7.5012490000000001E-2</v>
      </c>
      <c r="W559">
        <v>0.29870910000000001</v>
      </c>
      <c r="X559">
        <v>0.9513916</v>
      </c>
      <c r="Y559">
        <v>7.3011279999999996E-3</v>
      </c>
      <c r="Z559">
        <v>-2.5279249999999999E-3</v>
      </c>
      <c r="AA559">
        <v>0.99997009999999997</v>
      </c>
      <c r="AB559">
        <v>32</v>
      </c>
      <c r="AC559">
        <v>0.60539999999997396</v>
      </c>
      <c r="AD559">
        <v>-0.24042859999999999</v>
      </c>
      <c r="AE559">
        <v>-3.3999999999991802E-3</v>
      </c>
      <c r="AF559">
        <v>5.3664514452380699E-3</v>
      </c>
      <c r="AG559">
        <v>-0.24042859999999999</v>
      </c>
      <c r="AH559">
        <v>0.52290721851537103</v>
      </c>
      <c r="AI559">
        <v>114.691452123099</v>
      </c>
      <c r="AJ559">
        <v>89.412009982284999</v>
      </c>
      <c r="AK559">
        <v>0.57555770316672505</v>
      </c>
      <c r="AL559">
        <v>72.619914618192496</v>
      </c>
      <c r="AM559">
        <v>94.508160617740202</v>
      </c>
      <c r="AN559">
        <v>0.99999998831468495</v>
      </c>
    </row>
    <row r="560" spans="1:40" x14ac:dyDescent="0.25">
      <c r="A560" t="str">
        <f>"20190304164109617"</f>
        <v>20190304164109617</v>
      </c>
      <c r="B560" t="str">
        <f>"1551688869612088"</f>
        <v>1551688869612088</v>
      </c>
      <c r="C560" t="s">
        <v>40</v>
      </c>
      <c r="D560">
        <v>4.6730650000000002</v>
      </c>
      <c r="E560">
        <v>0.55651530000000005</v>
      </c>
      <c r="F560" t="s">
        <v>41</v>
      </c>
      <c r="G560">
        <v>-395.07369999999997</v>
      </c>
      <c r="H560">
        <v>0.81462789999999996</v>
      </c>
      <c r="I560">
        <v>367.04610000000002</v>
      </c>
      <c r="J560">
        <v>-395.78449999999998</v>
      </c>
      <c r="K560">
        <v>1.091386</v>
      </c>
      <c r="L560">
        <v>367.0498</v>
      </c>
      <c r="M560">
        <v>0.99998770000000003</v>
      </c>
      <c r="N560">
        <v>-1.7933389999999999E-3</v>
      </c>
      <c r="O560">
        <v>4.6466440000000001E-3</v>
      </c>
      <c r="P560">
        <v>0.95147110000000001</v>
      </c>
      <c r="Q560">
        <v>0.2972533</v>
      </c>
      <c r="R560">
        <v>7.9644989999999999E-2</v>
      </c>
      <c r="S560">
        <v>3.4944760000000001</v>
      </c>
      <c r="T560">
        <v>-1.0908770000000001</v>
      </c>
      <c r="U560">
        <v>-1.049805E-2</v>
      </c>
      <c r="V560">
        <v>-7.5209449999999997E-2</v>
      </c>
      <c r="W560">
        <v>0.29896349999999999</v>
      </c>
      <c r="X560">
        <v>0.95129620000000004</v>
      </c>
      <c r="Y560">
        <v>7.0925679999999996E-3</v>
      </c>
      <c r="Z560">
        <v>-2.4965149999999999E-3</v>
      </c>
      <c r="AA560">
        <v>0.99997170000000002</v>
      </c>
      <c r="AB560">
        <v>33</v>
      </c>
      <c r="AC560">
        <v>0.71080000000000598</v>
      </c>
      <c r="AD560">
        <v>-0.27675809999999901</v>
      </c>
      <c r="AE560">
        <v>-3.69999999998071E-3</v>
      </c>
      <c r="AF560">
        <v>6.0809399624547301E-3</v>
      </c>
      <c r="AG560">
        <v>-0.27675809999999901</v>
      </c>
      <c r="AH560">
        <v>0.61720757053768305</v>
      </c>
      <c r="AI560">
        <v>114.150598024703</v>
      </c>
      <c r="AJ560">
        <v>89.4355206589983</v>
      </c>
      <c r="AK560">
        <v>0.67644453495868095</v>
      </c>
      <c r="AL560">
        <v>72.604641686705307</v>
      </c>
      <c r="AM560">
        <v>94.520400092739493</v>
      </c>
      <c r="AN560">
        <v>1.00000004791799</v>
      </c>
    </row>
    <row r="561" spans="1:40" x14ac:dyDescent="0.25">
      <c r="A561" t="str">
        <f>"20190304164109630"</f>
        <v>20190304164109630</v>
      </c>
      <c r="B561" t="str">
        <f>"1551688869621848"</f>
        <v>1551688869621848</v>
      </c>
      <c r="C561" t="s">
        <v>40</v>
      </c>
      <c r="D561">
        <v>4.7684369999999996</v>
      </c>
      <c r="E561">
        <v>0.55645979999999995</v>
      </c>
      <c r="F561" t="s">
        <v>41</v>
      </c>
      <c r="G561">
        <v>-395.05380000000002</v>
      </c>
      <c r="H561">
        <v>0.86302849999999998</v>
      </c>
      <c r="I561">
        <v>367.04759999999999</v>
      </c>
      <c r="J561">
        <v>-395.58460000000002</v>
      </c>
      <c r="K561">
        <v>1.0928899999999999</v>
      </c>
      <c r="L561">
        <v>367.05079999999998</v>
      </c>
      <c r="M561">
        <v>0.99998730000000002</v>
      </c>
      <c r="N561">
        <v>-2.0280150000000002E-3</v>
      </c>
      <c r="O561">
        <v>4.6467130000000002E-3</v>
      </c>
      <c r="P561">
        <v>0.95146160000000002</v>
      </c>
      <c r="Q561">
        <v>0.2972689</v>
      </c>
      <c r="R561">
        <v>7.9701320000000006E-2</v>
      </c>
      <c r="S561">
        <v>3.4949949999999999</v>
      </c>
      <c r="T561">
        <v>-1.0922069999999999</v>
      </c>
      <c r="U561">
        <v>-8.8806149999999997E-3</v>
      </c>
      <c r="V561">
        <v>-7.5266159999999999E-2</v>
      </c>
      <c r="W561">
        <v>0.29920200000000002</v>
      </c>
      <c r="X561">
        <v>0.95121670000000003</v>
      </c>
      <c r="Y561">
        <v>6.6495859999999999E-3</v>
      </c>
      <c r="Z561">
        <v>-2.4308120000000001E-3</v>
      </c>
      <c r="AA561">
        <v>0.99997499999999995</v>
      </c>
      <c r="AB561">
        <v>33</v>
      </c>
      <c r="AC561">
        <v>0.53079999999999905</v>
      </c>
      <c r="AD561">
        <v>-0.229861499999999</v>
      </c>
      <c r="AE561">
        <v>-3.19999999999254E-3</v>
      </c>
      <c r="AF561">
        <v>4.7716505306890297E-3</v>
      </c>
      <c r="AG561">
        <v>-0.229861499999999</v>
      </c>
      <c r="AH561">
        <v>0.44696341755105601</v>
      </c>
      <c r="AI561">
        <v>117.21423626405701</v>
      </c>
      <c r="AJ561">
        <v>89.388350275802196</v>
      </c>
      <c r="AK561">
        <v>0.50262846562839703</v>
      </c>
      <c r="AL561">
        <v>72.590320669148696</v>
      </c>
      <c r="AM561">
        <v>94.524170972906106</v>
      </c>
      <c r="AN561">
        <v>1.0000000210020099</v>
      </c>
    </row>
    <row r="562" spans="1:40" x14ac:dyDescent="0.25">
      <c r="A562" t="str">
        <f>"20190304164109650"</f>
        <v>20190304164109650</v>
      </c>
      <c r="B562" t="str">
        <f>"1551688869642346"</f>
        <v>1551688869642346</v>
      </c>
      <c r="C562" t="s">
        <v>40</v>
      </c>
      <c r="D562">
        <v>4.6717649999999997</v>
      </c>
      <c r="E562">
        <v>0.54890439999999996</v>
      </c>
      <c r="F562" t="s">
        <v>41</v>
      </c>
      <c r="G562">
        <v>-394.77199999999999</v>
      </c>
      <c r="H562">
        <v>0.83878339999999996</v>
      </c>
      <c r="I562">
        <v>367.0489</v>
      </c>
      <c r="J562">
        <v>-395.30020000000002</v>
      </c>
      <c r="K562">
        <v>1.094886</v>
      </c>
      <c r="L562">
        <v>367.0521</v>
      </c>
      <c r="M562">
        <v>0.9999865</v>
      </c>
      <c r="N562">
        <v>-2.3713250000000001E-3</v>
      </c>
      <c r="O562">
        <v>4.6469850000000002E-3</v>
      </c>
      <c r="P562">
        <v>0.9515247</v>
      </c>
      <c r="Q562">
        <v>0.29703049999999998</v>
      </c>
      <c r="R562">
        <v>7.9838019999999996E-2</v>
      </c>
      <c r="S562">
        <v>3.4950869999999998</v>
      </c>
      <c r="T562">
        <v>-1.0928310000000001</v>
      </c>
      <c r="U562">
        <v>-7.2631839999999998E-3</v>
      </c>
      <c r="V562">
        <v>-7.5402769999999994E-2</v>
      </c>
      <c r="W562">
        <v>0.29929020000000001</v>
      </c>
      <c r="X562">
        <v>0.95117810000000003</v>
      </c>
      <c r="Y562">
        <v>6.2078259999999996E-3</v>
      </c>
      <c r="Z562">
        <v>-2.3637810000000001E-3</v>
      </c>
      <c r="AA562">
        <v>0.99997789999999998</v>
      </c>
      <c r="AB562">
        <v>33</v>
      </c>
      <c r="AC562">
        <v>0.52820000000002598</v>
      </c>
      <c r="AD562">
        <v>-0.25610260000000001</v>
      </c>
      <c r="AE562">
        <v>-3.19999999999254E-3</v>
      </c>
      <c r="AF562">
        <v>4.5782545670823996E-3</v>
      </c>
      <c r="AG562">
        <v>-0.25610260000000001</v>
      </c>
      <c r="AH562">
        <v>0.42764802959573001</v>
      </c>
      <c r="AI562">
        <v>120.914386178746</v>
      </c>
      <c r="AJ562">
        <v>89.386634275455407</v>
      </c>
      <c r="AK562">
        <v>0.49849005943825098</v>
      </c>
      <c r="AL562">
        <v>72.585023927149393</v>
      </c>
      <c r="AM562">
        <v>94.5325314386249</v>
      </c>
      <c r="AN562">
        <v>0.99999998972966098</v>
      </c>
    </row>
    <row r="563" spans="1:40" x14ac:dyDescent="0.25">
      <c r="A563" t="str">
        <f>"20190304164109664"</f>
        <v>20190304164109664</v>
      </c>
      <c r="B563" t="str">
        <f>"1551688869652105"</f>
        <v>1551688869652105</v>
      </c>
      <c r="C563" t="s">
        <v>40</v>
      </c>
      <c r="D563">
        <v>4.7276590000000001</v>
      </c>
      <c r="E563">
        <v>0.54497519999999999</v>
      </c>
      <c r="F563" t="s">
        <v>41</v>
      </c>
      <c r="G563">
        <v>-394.435</v>
      </c>
      <c r="H563">
        <v>0.94157389999999996</v>
      </c>
      <c r="I563">
        <v>367.05259999999998</v>
      </c>
      <c r="J563">
        <v>-395.09190000000001</v>
      </c>
      <c r="K563">
        <v>1.096244</v>
      </c>
      <c r="L563">
        <v>367.053</v>
      </c>
      <c r="M563">
        <v>0.99998580000000004</v>
      </c>
      <c r="N563">
        <v>-2.6235550000000001E-3</v>
      </c>
      <c r="O563">
        <v>4.6473799999999996E-3</v>
      </c>
      <c r="P563">
        <v>0.95162919999999995</v>
      </c>
      <c r="Q563">
        <v>0.29672189999999998</v>
      </c>
      <c r="R563">
        <v>7.9738870000000003E-2</v>
      </c>
      <c r="S563">
        <v>3.3372190000000002</v>
      </c>
      <c r="T563">
        <v>-0.59153009999999995</v>
      </c>
      <c r="U563">
        <v>2.9907229999999998E-3</v>
      </c>
      <c r="V563">
        <v>-7.5303770000000006E-2</v>
      </c>
      <c r="W563">
        <v>0.29922159999999998</v>
      </c>
      <c r="X563">
        <v>0.95120749999999998</v>
      </c>
      <c r="Y563">
        <v>3.6235880000000001E-3</v>
      </c>
      <c r="Z563">
        <v>-1.128738E-3</v>
      </c>
      <c r="AA563">
        <v>0.99999280000000002</v>
      </c>
      <c r="AB563">
        <v>33</v>
      </c>
      <c r="AC563">
        <v>0.65690000000000703</v>
      </c>
      <c r="AD563">
        <v>-0.1546701</v>
      </c>
      <c r="AE563">
        <v>-4.0000000007012199E-4</v>
      </c>
      <c r="AF563">
        <v>3.2715017583628899E-3</v>
      </c>
      <c r="AG563">
        <v>-0.1546701</v>
      </c>
      <c r="AH563">
        <v>0.62238665949762995</v>
      </c>
      <c r="AI563">
        <v>103.955749781934</v>
      </c>
      <c r="AJ563">
        <v>89.698834294938493</v>
      </c>
      <c r="AK563">
        <v>0.64132573352266398</v>
      </c>
      <c r="AL563">
        <v>72.589142762948697</v>
      </c>
      <c r="AM563">
        <v>94.526465876149402</v>
      </c>
      <c r="AN563">
        <v>0.99999996586951001</v>
      </c>
    </row>
    <row r="564" spans="1:40" x14ac:dyDescent="0.25">
      <c r="A564" t="str">
        <f>"20190304164109675"</f>
        <v>20190304164109675</v>
      </c>
      <c r="B564" t="str">
        <f>"1551688869661864"</f>
        <v>1551688869661864</v>
      </c>
      <c r="C564" t="s">
        <v>40</v>
      </c>
      <c r="D564">
        <v>4.7527480000000004</v>
      </c>
      <c r="E564">
        <v>0.54244029999999999</v>
      </c>
      <c r="F564" t="s">
        <v>41</v>
      </c>
      <c r="G564">
        <v>-394.13350000000003</v>
      </c>
      <c r="H564">
        <v>0.95760970000000001</v>
      </c>
      <c r="I564">
        <v>367.05939999999998</v>
      </c>
      <c r="J564">
        <v>-394.91359999999997</v>
      </c>
      <c r="K564">
        <v>1.0972930000000001</v>
      </c>
      <c r="L564">
        <v>367.0539</v>
      </c>
      <c r="M564">
        <v>0.99998529999999997</v>
      </c>
      <c r="N564">
        <v>-2.8353699999999998E-3</v>
      </c>
      <c r="O564">
        <v>4.6473850000000004E-3</v>
      </c>
      <c r="P564">
        <v>0.95170840000000001</v>
      </c>
      <c r="Q564">
        <v>0.2964639</v>
      </c>
      <c r="R564">
        <v>7.9754130000000006E-2</v>
      </c>
      <c r="S564">
        <v>3.2994379999999999</v>
      </c>
      <c r="T564">
        <v>-0.47731410000000002</v>
      </c>
      <c r="U564">
        <v>2.2186279999999999E-2</v>
      </c>
      <c r="V564">
        <v>-7.5318789999999997E-2</v>
      </c>
      <c r="W564">
        <v>0.29916510000000002</v>
      </c>
      <c r="X564">
        <v>0.95122410000000002</v>
      </c>
      <c r="Y564">
        <v>-2.1009319999999998E-3</v>
      </c>
      <c r="Z564">
        <v>-5.0154029999999997E-4</v>
      </c>
      <c r="AA564">
        <v>0.99999769999999999</v>
      </c>
      <c r="AB564">
        <v>33</v>
      </c>
      <c r="AC564">
        <v>0.78009999999994695</v>
      </c>
      <c r="AD564">
        <v>-0.13968330000000001</v>
      </c>
      <c r="AE564">
        <v>5.4999999999836204E-3</v>
      </c>
      <c r="AF564">
        <v>-1.81627132091151E-3</v>
      </c>
      <c r="AG564">
        <v>-0.13968330000000001</v>
      </c>
      <c r="AH564">
        <v>0.75588333179717004</v>
      </c>
      <c r="AI564">
        <v>100.469819478719</v>
      </c>
      <c r="AJ564">
        <v>90.137672675773601</v>
      </c>
      <c r="AK564">
        <v>0.76868350732222102</v>
      </c>
      <c r="AL564">
        <v>72.592535686173505</v>
      </c>
      <c r="AM564">
        <v>94.527286287109106</v>
      </c>
      <c r="AN564">
        <v>0.999999982802942</v>
      </c>
    </row>
    <row r="565" spans="1:40" x14ac:dyDescent="0.25">
      <c r="A565" t="str">
        <f>"20190304164109692"</f>
        <v>20190304164109692</v>
      </c>
      <c r="B565" t="str">
        <f>"1551688869682361"</f>
        <v>1551688869682361</v>
      </c>
      <c r="C565" t="s">
        <v>40</v>
      </c>
      <c r="D565">
        <v>4.6968350000000001</v>
      </c>
      <c r="E565">
        <v>0.53979069999999996</v>
      </c>
      <c r="F565" t="s">
        <v>41</v>
      </c>
      <c r="G565">
        <v>-394.11489999999998</v>
      </c>
      <c r="H565">
        <v>0.9973339</v>
      </c>
      <c r="I565">
        <v>367.06229999999999</v>
      </c>
      <c r="J565">
        <v>-394.67869999999999</v>
      </c>
      <c r="K565">
        <v>1.0985910000000001</v>
      </c>
      <c r="L565">
        <v>367.05500000000001</v>
      </c>
      <c r="M565">
        <v>0.9999844</v>
      </c>
      <c r="N565">
        <v>-3.1065070000000001E-3</v>
      </c>
      <c r="O565">
        <v>4.6479900000000003E-3</v>
      </c>
      <c r="P565">
        <v>0.95180189999999998</v>
      </c>
      <c r="Q565">
        <v>0.29613919999999999</v>
      </c>
      <c r="R565">
        <v>7.9842590000000005E-2</v>
      </c>
      <c r="S565">
        <v>3.2770999999999999</v>
      </c>
      <c r="T565">
        <v>-0.41019800000000001</v>
      </c>
      <c r="U565">
        <v>3.4759520000000002E-2</v>
      </c>
      <c r="V565">
        <v>-7.5406600000000004E-2</v>
      </c>
      <c r="W565">
        <v>0.2990987</v>
      </c>
      <c r="X565">
        <v>0.95123800000000003</v>
      </c>
      <c r="Y565">
        <v>-5.9452719999999997E-3</v>
      </c>
      <c r="Z565">
        <v>-1.8522419999999999E-4</v>
      </c>
      <c r="AA565">
        <v>0.99998229999999999</v>
      </c>
      <c r="AB565">
        <v>33</v>
      </c>
      <c r="AC565">
        <v>0.56380000000001396</v>
      </c>
      <c r="AD565">
        <v>-0.1012571</v>
      </c>
      <c r="AE565">
        <v>7.2999999999865299E-3</v>
      </c>
      <c r="AF565">
        <v>-4.5331774083545596E-3</v>
      </c>
      <c r="AG565">
        <v>-0.1012571</v>
      </c>
      <c r="AH565">
        <v>0.54621255412256797</v>
      </c>
      <c r="AI565">
        <v>100.50193696042599</v>
      </c>
      <c r="AJ565">
        <v>90.475503479873495</v>
      </c>
      <c r="AK565">
        <v>0.555537311329244</v>
      </c>
      <c r="AL565">
        <v>72.596522276803398</v>
      </c>
      <c r="AM565">
        <v>94.532476462964098</v>
      </c>
      <c r="AN565">
        <v>0.999999960154624</v>
      </c>
    </row>
    <row r="566" spans="1:40" x14ac:dyDescent="0.25">
      <c r="A566" t="str">
        <f>"20190304164109703"</f>
        <v>20190304164109703</v>
      </c>
      <c r="B566" t="str">
        <f>"1551688869692121"</f>
        <v>1551688869692121</v>
      </c>
      <c r="C566" t="s">
        <v>40</v>
      </c>
      <c r="D566">
        <v>4.7185949999999997</v>
      </c>
      <c r="E566">
        <v>0.53924859999999997</v>
      </c>
      <c r="F566" t="s">
        <v>41</v>
      </c>
      <c r="G566">
        <v>-393.81490000000002</v>
      </c>
      <c r="H566">
        <v>1.0081519999999999</v>
      </c>
      <c r="I566">
        <v>367.0675</v>
      </c>
      <c r="J566">
        <v>-394.51150000000001</v>
      </c>
      <c r="K566">
        <v>1.0994630000000001</v>
      </c>
      <c r="L566">
        <v>367.05579999999998</v>
      </c>
      <c r="M566">
        <v>0.99998379999999998</v>
      </c>
      <c r="N566">
        <v>-3.2946770000000002E-3</v>
      </c>
      <c r="O566">
        <v>4.6480419999999998E-3</v>
      </c>
      <c r="P566">
        <v>0.95191409999999999</v>
      </c>
      <c r="Q566">
        <v>0.2958654</v>
      </c>
      <c r="R566">
        <v>7.9518980000000003E-2</v>
      </c>
      <c r="S566">
        <v>3.2539370000000001</v>
      </c>
      <c r="T566">
        <v>-0.34092879999999998</v>
      </c>
      <c r="U566">
        <v>4.8431399999999999E-2</v>
      </c>
      <c r="V566">
        <v>-7.5082799999999894E-2</v>
      </c>
      <c r="W566">
        <v>0.29900399999999999</v>
      </c>
      <c r="X566">
        <v>0.95129339999999996</v>
      </c>
      <c r="Y566">
        <v>-1.0200849999999999E-2</v>
      </c>
      <c r="Z566" s="1">
        <v>7.9396650000000002E-5</v>
      </c>
      <c r="AA566">
        <v>0.99994799999999995</v>
      </c>
      <c r="AB566">
        <v>33</v>
      </c>
      <c r="AC566">
        <v>0.69659999999998901</v>
      </c>
      <c r="AD566">
        <v>-9.1310999999999906E-2</v>
      </c>
      <c r="AE566">
        <v>1.17000000000189E-2</v>
      </c>
      <c r="AF566">
        <v>-8.3191292872720392E-3</v>
      </c>
      <c r="AG566">
        <v>-9.1310999999999906E-2</v>
      </c>
      <c r="AH566">
        <v>0.68488237706083999</v>
      </c>
      <c r="AI566">
        <v>97.593543102357202</v>
      </c>
      <c r="AJ566">
        <v>90.695926151661098</v>
      </c>
      <c r="AK566">
        <v>0.69099260274014895</v>
      </c>
      <c r="AL566">
        <v>72.602208683645301</v>
      </c>
      <c r="AM566">
        <v>94.512832599876404</v>
      </c>
      <c r="AN566">
        <v>0.99999997587769895</v>
      </c>
    </row>
    <row r="567" spans="1:40" x14ac:dyDescent="0.25">
      <c r="A567" t="str">
        <f>"20190304164109714"</f>
        <v>20190304164109714</v>
      </c>
      <c r="B567" t="str">
        <f>"1551688869701880"</f>
        <v>1551688869701880</v>
      </c>
      <c r="C567" t="s">
        <v>40</v>
      </c>
      <c r="D567">
        <v>4.712288</v>
      </c>
      <c r="E567">
        <v>0.53888519999999995</v>
      </c>
      <c r="F567" t="s">
        <v>41</v>
      </c>
      <c r="G567">
        <v>-393.52260000000001</v>
      </c>
      <c r="H567">
        <v>1.0009220000000001</v>
      </c>
      <c r="I567">
        <v>367.07049999999998</v>
      </c>
      <c r="J567">
        <v>-394.3442</v>
      </c>
      <c r="K567">
        <v>1.100241</v>
      </c>
      <c r="L567">
        <v>367.05650000000003</v>
      </c>
      <c r="M567">
        <v>0.99998319999999996</v>
      </c>
      <c r="N567">
        <v>-3.4732880000000002E-3</v>
      </c>
      <c r="O567">
        <v>4.6483920000000003E-3</v>
      </c>
      <c r="P567">
        <v>0.95198249999999995</v>
      </c>
      <c r="Q567">
        <v>0.295711</v>
      </c>
      <c r="R567">
        <v>7.9275559999999995E-2</v>
      </c>
      <c r="S567">
        <v>3.2480769999999999</v>
      </c>
      <c r="T567">
        <v>-0.3238877</v>
      </c>
      <c r="U567">
        <v>4.9621579999999998E-2</v>
      </c>
      <c r="V567">
        <v>-7.4838379999999996E-2</v>
      </c>
      <c r="W567">
        <v>0.29902000000000001</v>
      </c>
      <c r="X567">
        <v>0.95130769999999998</v>
      </c>
      <c r="Y567">
        <v>-1.059449E-2</v>
      </c>
      <c r="Z567" s="1">
        <v>9.9096329999999997E-5</v>
      </c>
      <c r="AA567">
        <v>0.9999439</v>
      </c>
      <c r="AB567">
        <v>33</v>
      </c>
      <c r="AC567">
        <v>0.82159999999998901</v>
      </c>
      <c r="AD567">
        <v>-9.9319000000000102E-2</v>
      </c>
      <c r="AE567">
        <v>1.39999999999531E-2</v>
      </c>
      <c r="AF567">
        <v>-1.00341194567084E-2</v>
      </c>
      <c r="AG567">
        <v>-9.9319000000000102E-2</v>
      </c>
      <c r="AH567">
        <v>0.80982553519997302</v>
      </c>
      <c r="AI567">
        <v>96.991447951055704</v>
      </c>
      <c r="AJ567">
        <v>90.709885342955403</v>
      </c>
      <c r="AK567">
        <v>0.81595486687450702</v>
      </c>
      <c r="AL567">
        <v>72.601249182786802</v>
      </c>
      <c r="AM567">
        <v>94.498134847397793</v>
      </c>
      <c r="AN567">
        <v>1.00000004180015</v>
      </c>
    </row>
    <row r="568" spans="1:40" x14ac:dyDescent="0.25">
      <c r="A568" t="str">
        <f>"20190304164109726"</f>
        <v>20190304164109726</v>
      </c>
      <c r="B568" t="str">
        <f>"1551688869722377"</f>
        <v>1551688869722377</v>
      </c>
      <c r="C568" t="s">
        <v>40</v>
      </c>
      <c r="D568">
        <v>4.7398860000000003</v>
      </c>
      <c r="E568">
        <v>0.53862509999999997</v>
      </c>
      <c r="F568" t="s">
        <v>41</v>
      </c>
      <c r="G568">
        <v>-393.51330000000002</v>
      </c>
      <c r="H568">
        <v>1.0206569999999999</v>
      </c>
      <c r="I568">
        <v>367.06909999999999</v>
      </c>
      <c r="J568">
        <v>-394.17180000000002</v>
      </c>
      <c r="K568">
        <v>1.101008</v>
      </c>
      <c r="L568">
        <v>367.0573</v>
      </c>
      <c r="M568">
        <v>0.9999825</v>
      </c>
      <c r="N568">
        <v>-3.6526480000000001E-3</v>
      </c>
      <c r="O568">
        <v>4.6486039999999998E-3</v>
      </c>
      <c r="P568">
        <v>0.95209160000000004</v>
      </c>
      <c r="Q568">
        <v>0.29542249999999998</v>
      </c>
      <c r="R568">
        <v>7.9041059999999996E-2</v>
      </c>
      <c r="S568">
        <v>3.2436829999999999</v>
      </c>
      <c r="T568">
        <v>-0.31093359999999998</v>
      </c>
      <c r="U568">
        <v>5.0567630000000002E-2</v>
      </c>
      <c r="V568">
        <v>-7.4603100000000006E-2</v>
      </c>
      <c r="W568">
        <v>0.29890220000000001</v>
      </c>
      <c r="X568">
        <v>0.95136310000000002</v>
      </c>
      <c r="Y568">
        <v>-1.090725E-2</v>
      </c>
      <c r="Z568">
        <v>1.139024E-4</v>
      </c>
      <c r="AA568">
        <v>0.99994050000000001</v>
      </c>
      <c r="AB568">
        <v>33</v>
      </c>
      <c r="AC568">
        <v>0.65850000000000297</v>
      </c>
      <c r="AD568">
        <v>-8.0351000000000006E-2</v>
      </c>
      <c r="AE568">
        <v>1.17999999999938E-2</v>
      </c>
      <c r="AF568">
        <v>-8.6105828405898307E-3</v>
      </c>
      <c r="AG568">
        <v>-8.0351000000000006E-2</v>
      </c>
      <c r="AH568">
        <v>0.64888940387946403</v>
      </c>
      <c r="AI568">
        <v>97.058302217191496</v>
      </c>
      <c r="AJ568">
        <v>90.760254519106198</v>
      </c>
      <c r="AK568">
        <v>0.65390204450276801</v>
      </c>
      <c r="AL568">
        <v>72.608320417479206</v>
      </c>
      <c r="AM568">
        <v>94.4837911355975</v>
      </c>
      <c r="AN568">
        <v>0.99999994786802804</v>
      </c>
    </row>
    <row r="569" spans="1:40" x14ac:dyDescent="0.25">
      <c r="A569" t="str">
        <f>"20190304164109737"</f>
        <v>20190304164109737</v>
      </c>
      <c r="B569" t="str">
        <f>"1551688869732137"</f>
        <v>1551688869732137</v>
      </c>
      <c r="C569" t="s">
        <v>40</v>
      </c>
      <c r="D569">
        <v>4.712866</v>
      </c>
      <c r="E569">
        <v>0.53848809999999903</v>
      </c>
      <c r="F569" t="s">
        <v>41</v>
      </c>
      <c r="G569">
        <v>-393.21960000000001</v>
      </c>
      <c r="H569">
        <v>1.014626</v>
      </c>
      <c r="I569">
        <v>367.07170000000002</v>
      </c>
      <c r="J569">
        <v>-393.99549999999999</v>
      </c>
      <c r="K569">
        <v>1.1017319999999999</v>
      </c>
      <c r="L569">
        <v>367.05810000000002</v>
      </c>
      <c r="M569">
        <v>0.99998200000000004</v>
      </c>
      <c r="N569">
        <v>-3.8280670000000001E-3</v>
      </c>
      <c r="O569">
        <v>4.6489280000000001E-3</v>
      </c>
      <c r="P569">
        <v>0.95218689999999995</v>
      </c>
      <c r="Q569">
        <v>0.29514770000000001</v>
      </c>
      <c r="R569">
        <v>7.891977E-2</v>
      </c>
      <c r="S569">
        <v>3.2379760000000002</v>
      </c>
      <c r="T569">
        <v>-0.294014099999999</v>
      </c>
      <c r="U569">
        <v>5.0354000000000003E-2</v>
      </c>
      <c r="V569">
        <v>-7.4480969999999994E-2</v>
      </c>
      <c r="W569">
        <v>0.29879470000000002</v>
      </c>
      <c r="X569">
        <v>0.95140650000000004</v>
      </c>
      <c r="Y569">
        <v>-1.0871560000000001E-2</v>
      </c>
      <c r="Z569">
        <v>1.099167E-4</v>
      </c>
      <c r="AA569">
        <v>0.99994090000000002</v>
      </c>
      <c r="AB569">
        <v>33</v>
      </c>
      <c r="AC569">
        <v>0.77589999999997805</v>
      </c>
      <c r="AD569">
        <v>-8.7105999999999906E-2</v>
      </c>
      <c r="AE569">
        <v>1.35999999999967E-2</v>
      </c>
      <c r="AF569">
        <v>-9.8683876935757708E-3</v>
      </c>
      <c r="AG569">
        <v>-8.7105999999999906E-2</v>
      </c>
      <c r="AH569">
        <v>0.76629989191155301</v>
      </c>
      <c r="AI569">
        <v>96.484494267012806</v>
      </c>
      <c r="AJ569">
        <v>90.737812595129199</v>
      </c>
      <c r="AK569">
        <v>0.771297844321717</v>
      </c>
      <c r="AL569">
        <v>72.614775747357299</v>
      </c>
      <c r="AM569">
        <v>94.476277371987393</v>
      </c>
      <c r="AN569">
        <v>1.0000000079412401</v>
      </c>
    </row>
    <row r="570" spans="1:40" x14ac:dyDescent="0.25">
      <c r="A570" t="str">
        <f>"20190304164109749"</f>
        <v>20190304164109749</v>
      </c>
      <c r="B570" t="str">
        <f>"1551688869741897"</f>
        <v>1551688869741897</v>
      </c>
      <c r="C570" t="s">
        <v>40</v>
      </c>
      <c r="D570">
        <v>4.7484659999999996</v>
      </c>
      <c r="E570">
        <v>0.53840239999999995</v>
      </c>
      <c r="F570" t="s">
        <v>41</v>
      </c>
      <c r="G570">
        <v>-393.20940000000002</v>
      </c>
      <c r="H570">
        <v>1.031593</v>
      </c>
      <c r="I570">
        <v>367.07</v>
      </c>
      <c r="J570">
        <v>-393.83210000000003</v>
      </c>
      <c r="K570">
        <v>1.1023480000000001</v>
      </c>
      <c r="L570">
        <v>367.05889999999999</v>
      </c>
      <c r="M570">
        <v>0.99998120000000001</v>
      </c>
      <c r="N570">
        <v>-3.9824480000000004E-3</v>
      </c>
      <c r="O570">
        <v>4.6492779999999997E-3</v>
      </c>
      <c r="P570">
        <v>0.95229969999999997</v>
      </c>
      <c r="Q570">
        <v>0.29486099999999998</v>
      </c>
      <c r="R570">
        <v>7.8629969999999993E-2</v>
      </c>
      <c r="S570">
        <v>3.236084</v>
      </c>
      <c r="T570">
        <v>-0.28909679999999999</v>
      </c>
      <c r="U570">
        <v>5.0354000000000003E-2</v>
      </c>
      <c r="V570">
        <v>-7.4190839999999994E-2</v>
      </c>
      <c r="W570">
        <v>0.29865550000000002</v>
      </c>
      <c r="X570">
        <v>0.95147289999999995</v>
      </c>
      <c r="Y570">
        <v>-1.0881E-2</v>
      </c>
      <c r="Z570">
        <v>1.1073660000000001E-4</v>
      </c>
      <c r="AA570">
        <v>0.99994079999999996</v>
      </c>
      <c r="AB570">
        <v>33</v>
      </c>
      <c r="AC570">
        <v>0.62270000000000802</v>
      </c>
      <c r="AD570">
        <v>-7.0754999999999901E-2</v>
      </c>
      <c r="AE570">
        <v>1.1099999999999E-2</v>
      </c>
      <c r="AF570">
        <v>-8.1002037755247697E-3</v>
      </c>
      <c r="AG570">
        <v>-7.0754999999999901E-2</v>
      </c>
      <c r="AH570">
        <v>0.61480965227449402</v>
      </c>
      <c r="AI570">
        <v>96.564404264279801</v>
      </c>
      <c r="AJ570">
        <v>90.754836292310699</v>
      </c>
      <c r="AK570">
        <v>0.61892066685164904</v>
      </c>
      <c r="AL570">
        <v>72.623133380656697</v>
      </c>
      <c r="AM570">
        <v>94.458601207859402</v>
      </c>
      <c r="AN570">
        <v>1.0000000339272801</v>
      </c>
    </row>
    <row r="571" spans="1:40" x14ac:dyDescent="0.25">
      <c r="A571" t="str">
        <f>"20190304164109760"</f>
        <v>20190304164109760</v>
      </c>
      <c r="B571" t="str">
        <f>"1551688869751658"</f>
        <v>1551688869751658</v>
      </c>
      <c r="C571" t="s">
        <v>40</v>
      </c>
      <c r="D571">
        <v>4.7366809999999999</v>
      </c>
      <c r="E571">
        <v>0.53833909999999996</v>
      </c>
      <c r="F571" t="s">
        <v>41</v>
      </c>
      <c r="G571">
        <v>-392.91890000000001</v>
      </c>
      <c r="H571">
        <v>1.0218039999999999</v>
      </c>
      <c r="I571">
        <v>367.0727</v>
      </c>
      <c r="J571">
        <v>-393.6574</v>
      </c>
      <c r="K571">
        <v>1.102973</v>
      </c>
      <c r="L571">
        <v>367.05970000000002</v>
      </c>
      <c r="M571">
        <v>0.99998069999999895</v>
      </c>
      <c r="N571">
        <v>-4.1428000000000003E-3</v>
      </c>
      <c r="O571">
        <v>4.6494850000000001E-3</v>
      </c>
      <c r="P571">
        <v>0.95237579999999999</v>
      </c>
      <c r="Q571">
        <v>0.294622</v>
      </c>
      <c r="R571">
        <v>7.8602839999999993E-2</v>
      </c>
      <c r="S571">
        <v>3.2345579999999998</v>
      </c>
      <c r="T571">
        <v>-0.28541519999999998</v>
      </c>
      <c r="U571">
        <v>4.9621579999999998E-2</v>
      </c>
      <c r="V571">
        <v>-7.4162999999999896E-2</v>
      </c>
      <c r="W571">
        <v>0.29856899999999997</v>
      </c>
      <c r="X571">
        <v>0.95150219999999996</v>
      </c>
      <c r="Y571">
        <v>-1.066315E-2</v>
      </c>
      <c r="Z571">
        <v>1.0143130000000001E-4</v>
      </c>
      <c r="AA571">
        <v>0.99994309999999997</v>
      </c>
      <c r="AB571">
        <v>33</v>
      </c>
      <c r="AC571">
        <v>0.73849999999998694</v>
      </c>
      <c r="AD571">
        <v>-8.1168999999999797E-2</v>
      </c>
      <c r="AE571">
        <v>1.2999999999976799E-2</v>
      </c>
      <c r="AF571">
        <v>-9.4520371417006494E-3</v>
      </c>
      <c r="AG571">
        <v>-8.1168999999999797E-2</v>
      </c>
      <c r="AH571">
        <v>0.72973968390944</v>
      </c>
      <c r="AI571">
        <v>96.346396679100195</v>
      </c>
      <c r="AJ571">
        <v>90.742088672199003</v>
      </c>
      <c r="AK571">
        <v>0.73430086057376898</v>
      </c>
      <c r="AL571">
        <v>72.628326104343003</v>
      </c>
      <c r="AM571">
        <v>94.456798175557395</v>
      </c>
      <c r="AN571">
        <v>1.00000001746741</v>
      </c>
    </row>
    <row r="572" spans="1:40" x14ac:dyDescent="0.25">
      <c r="A572" t="str">
        <f>"20190304164109773"</f>
        <v>20190304164109773</v>
      </c>
      <c r="B572" t="str">
        <f>"1551688869762393"</f>
        <v>1551688869762393</v>
      </c>
      <c r="C572" t="s">
        <v>40</v>
      </c>
      <c r="D572">
        <v>4.7676049999999996</v>
      </c>
      <c r="E572">
        <v>0.53834219999999999</v>
      </c>
      <c r="F572" t="s">
        <v>41</v>
      </c>
      <c r="G572">
        <v>-392.90690000000001</v>
      </c>
      <c r="H572">
        <v>1.037215</v>
      </c>
      <c r="I572">
        <v>367.07100000000003</v>
      </c>
      <c r="J572">
        <v>-393.48660000000001</v>
      </c>
      <c r="K572">
        <v>1.1035159999999999</v>
      </c>
      <c r="L572">
        <v>367.06049999999999</v>
      </c>
      <c r="M572">
        <v>0.99997999999999998</v>
      </c>
      <c r="N572">
        <v>-4.2883319999999997E-3</v>
      </c>
      <c r="O572">
        <v>4.6498290000000003E-3</v>
      </c>
      <c r="P572">
        <v>0.95241679999999995</v>
      </c>
      <c r="Q572">
        <v>0.29450150000000003</v>
      </c>
      <c r="R572">
        <v>7.8555490000000006E-2</v>
      </c>
      <c r="S572">
        <v>3.2336429999999998</v>
      </c>
      <c r="T572">
        <v>-0.28352070000000001</v>
      </c>
      <c r="U572">
        <v>4.9804689999999999E-2</v>
      </c>
      <c r="V572">
        <v>-7.411537E-2</v>
      </c>
      <c r="W572">
        <v>0.2985872</v>
      </c>
      <c r="X572">
        <v>0.95150020000000002</v>
      </c>
      <c r="Y572">
        <v>-1.0723709999999999E-2</v>
      </c>
      <c r="Z572">
        <v>1.052547E-4</v>
      </c>
      <c r="AA572">
        <v>0.99994249999999996</v>
      </c>
      <c r="AB572">
        <v>33</v>
      </c>
      <c r="AC572">
        <v>0.57970000000000199</v>
      </c>
      <c r="AD572">
        <v>-6.6300999999999902E-2</v>
      </c>
      <c r="AE572">
        <v>1.0499999999979E-2</v>
      </c>
      <c r="AF572">
        <v>-7.7036195618473101E-3</v>
      </c>
      <c r="AG572">
        <v>-6.6300999999999902E-2</v>
      </c>
      <c r="AH572">
        <v>0.572259413674996</v>
      </c>
      <c r="AI572">
        <v>96.608133036522602</v>
      </c>
      <c r="AJ572">
        <v>90.771255514151903</v>
      </c>
      <c r="AK572">
        <v>0.57613887639613703</v>
      </c>
      <c r="AL572">
        <v>72.627233479066902</v>
      </c>
      <c r="AM572">
        <v>94.453956713350294</v>
      </c>
      <c r="AN572">
        <v>1.00000001733705</v>
      </c>
    </row>
    <row r="573" spans="1:40" x14ac:dyDescent="0.25">
      <c r="A573" t="str">
        <f>"20190304164109784"</f>
        <v>20190304164109784</v>
      </c>
      <c r="B573" t="str">
        <f>"1551688869772153"</f>
        <v>1551688869772153</v>
      </c>
      <c r="C573" t="s">
        <v>40</v>
      </c>
      <c r="D573">
        <v>4.7897829999999999</v>
      </c>
      <c r="E573">
        <v>0.5384002</v>
      </c>
      <c r="F573" t="s">
        <v>41</v>
      </c>
      <c r="G573">
        <v>-392.61720000000003</v>
      </c>
      <c r="H573">
        <v>1.027935</v>
      </c>
      <c r="I573">
        <v>367.07350000000002</v>
      </c>
      <c r="J573">
        <v>-393.30529999999999</v>
      </c>
      <c r="K573">
        <v>1.104066</v>
      </c>
      <c r="L573">
        <v>367.06130000000002</v>
      </c>
      <c r="M573">
        <v>0.99997930000000002</v>
      </c>
      <c r="N573">
        <v>-4.4387929999999999E-3</v>
      </c>
      <c r="O573">
        <v>4.6501520000000003E-3</v>
      </c>
      <c r="P573">
        <v>0.95250429999999997</v>
      </c>
      <c r="Q573">
        <v>0.29429689999999997</v>
      </c>
      <c r="R573">
        <v>7.8261440000000002E-2</v>
      </c>
      <c r="S573">
        <v>3.2328190000000001</v>
      </c>
      <c r="T573">
        <v>-0.28141739999999998</v>
      </c>
      <c r="U573">
        <v>4.9591059999999999E-2</v>
      </c>
      <c r="V573">
        <v>-7.3820109999999994E-2</v>
      </c>
      <c r="W573">
        <v>0.29852620000000002</v>
      </c>
      <c r="X573">
        <v>0.95154229999999995</v>
      </c>
      <c r="Y573">
        <v>-1.066172E-2</v>
      </c>
      <c r="Z573">
        <v>1.0345949999999999E-4</v>
      </c>
      <c r="AA573">
        <v>0.99994309999999997</v>
      </c>
      <c r="AB573">
        <v>33</v>
      </c>
      <c r="AC573">
        <v>0.68809999999996296</v>
      </c>
      <c r="AD573">
        <v>-7.6130999999999893E-2</v>
      </c>
      <c r="AE573">
        <v>1.2200000000007E-2</v>
      </c>
      <c r="AF573">
        <v>-8.8912623551635501E-3</v>
      </c>
      <c r="AG573">
        <v>-7.6130999999999893E-2</v>
      </c>
      <c r="AH573">
        <v>0.67983004951467296</v>
      </c>
      <c r="AI573">
        <v>96.389123935220695</v>
      </c>
      <c r="AJ573">
        <v>90.749308984695006</v>
      </c>
      <c r="AK573">
        <v>0.68413732534513205</v>
      </c>
      <c r="AL573">
        <v>72.630895673352995</v>
      </c>
      <c r="AM573">
        <v>94.436088565840095</v>
      </c>
      <c r="AN573">
        <v>1.00000002470807</v>
      </c>
    </row>
    <row r="574" spans="1:40" x14ac:dyDescent="0.25">
      <c r="A574" t="str">
        <f>"20190304164109796"</f>
        <v>20190304164109796</v>
      </c>
      <c r="B574" t="str">
        <f>"1551688869791672"</f>
        <v>1551688869791672</v>
      </c>
      <c r="C574" t="s">
        <v>40</v>
      </c>
      <c r="D574">
        <v>4.7714619999999996</v>
      </c>
      <c r="E574">
        <v>0.53848799999999997</v>
      </c>
      <c r="F574" t="s">
        <v>41</v>
      </c>
      <c r="G574">
        <v>-392.3229</v>
      </c>
      <c r="H574">
        <v>1.0188029999999999</v>
      </c>
      <c r="I574">
        <v>367.07600000000002</v>
      </c>
      <c r="J574">
        <v>-393.12189999999998</v>
      </c>
      <c r="K574">
        <v>1.104562</v>
      </c>
      <c r="L574">
        <v>367.06220000000002</v>
      </c>
      <c r="M574">
        <v>0.99997879999999995</v>
      </c>
      <c r="N574">
        <v>-4.5805819999999997E-3</v>
      </c>
      <c r="O574">
        <v>4.6503650000000001E-3</v>
      </c>
      <c r="P574">
        <v>0.95254950000000005</v>
      </c>
      <c r="Q574">
        <v>0.29416679999999901</v>
      </c>
      <c r="R574">
        <v>7.820299E-2</v>
      </c>
      <c r="S574">
        <v>3.232361</v>
      </c>
      <c r="T574">
        <v>-0.28069870000000002</v>
      </c>
      <c r="U574">
        <v>4.8645019999999997E-2</v>
      </c>
      <c r="V574">
        <v>-7.3761899999999894E-2</v>
      </c>
      <c r="W574">
        <v>0.2985312</v>
      </c>
      <c r="X574">
        <v>0.95154519999999998</v>
      </c>
      <c r="Y574">
        <v>-1.037223E-2</v>
      </c>
      <c r="Z574" s="1">
        <v>9.1505759999999998E-5</v>
      </c>
      <c r="AA574">
        <v>0.99994620000000001</v>
      </c>
      <c r="AB574">
        <v>33</v>
      </c>
      <c r="AC574">
        <v>0.79899999999997795</v>
      </c>
      <c r="AD574">
        <v>-8.5758999999999905E-2</v>
      </c>
      <c r="AE574">
        <v>1.3799999999946499E-2</v>
      </c>
      <c r="AF574">
        <v>-9.9693542990862902E-3</v>
      </c>
      <c r="AG574">
        <v>-8.5758999999999905E-2</v>
      </c>
      <c r="AH574">
        <v>0.789957657341397</v>
      </c>
      <c r="AI574">
        <v>96.195362532822998</v>
      </c>
      <c r="AJ574">
        <v>90.723040784292905</v>
      </c>
      <c r="AK574">
        <v>0.79466162264101403</v>
      </c>
      <c r="AL574">
        <v>72.630594731887797</v>
      </c>
      <c r="AM574">
        <v>94.432591030016198</v>
      </c>
      <c r="AN574">
        <v>0.99999998145404401</v>
      </c>
    </row>
    <row r="575" spans="1:40" x14ac:dyDescent="0.25">
      <c r="A575" t="str">
        <f>"20190304164109808"</f>
        <v>20190304164109808</v>
      </c>
      <c r="B575" t="str">
        <f>"1551688869802409"</f>
        <v>1551688869802409</v>
      </c>
      <c r="C575" t="s">
        <v>40</v>
      </c>
      <c r="D575">
        <v>4.7538359999999997</v>
      </c>
      <c r="E575">
        <v>0.53846149999999904</v>
      </c>
      <c r="F575" t="s">
        <v>41</v>
      </c>
      <c r="G575">
        <v>-392.31270000000001</v>
      </c>
      <c r="H575">
        <v>1.034959</v>
      </c>
      <c r="I575">
        <v>367.07400000000001</v>
      </c>
      <c r="J575">
        <v>-392.95370000000003</v>
      </c>
      <c r="K575">
        <v>1.104981</v>
      </c>
      <c r="L575">
        <v>367.06290000000001</v>
      </c>
      <c r="M575">
        <v>0.99997809999999998</v>
      </c>
      <c r="N575">
        <v>-4.7047259999999898E-3</v>
      </c>
      <c r="O575">
        <v>4.6507290000000001E-3</v>
      </c>
      <c r="P575">
        <v>0.95267250000000003</v>
      </c>
      <c r="Q575">
        <v>0.29387029999999997</v>
      </c>
      <c r="R575">
        <v>7.7816670000000004E-2</v>
      </c>
      <c r="S575">
        <v>3.2314449999999999</v>
      </c>
      <c r="T575">
        <v>-0.27815459999999997</v>
      </c>
      <c r="U575">
        <v>4.7485350000000003E-2</v>
      </c>
      <c r="V575">
        <v>-7.3374149999999999E-2</v>
      </c>
      <c r="W575">
        <v>0.29835329999999999</v>
      </c>
      <c r="X575">
        <v>0.951631</v>
      </c>
      <c r="Y575">
        <v>-1.001904E-2</v>
      </c>
      <c r="Z575" s="1">
        <v>7.6286870000000001E-5</v>
      </c>
      <c r="AA575">
        <v>0.9999498</v>
      </c>
      <c r="AB575">
        <v>33</v>
      </c>
      <c r="AC575">
        <v>0.641000000000019</v>
      </c>
      <c r="AD575">
        <v>-7.0022000000000001E-2</v>
      </c>
      <c r="AE575">
        <v>1.1099999999999E-2</v>
      </c>
      <c r="AF575">
        <v>-8.0230189021433702E-3</v>
      </c>
      <c r="AG575">
        <v>-7.0022000000000001E-2</v>
      </c>
      <c r="AH575">
        <v>0.63348749335745402</v>
      </c>
      <c r="AI575">
        <v>96.307033518473006</v>
      </c>
      <c r="AJ575">
        <v>90.725603191338706</v>
      </c>
      <c r="AK575">
        <v>0.63739615119375703</v>
      </c>
      <c r="AL575">
        <v>72.641274836323205</v>
      </c>
      <c r="AM575">
        <v>94.408986026483802</v>
      </c>
      <c r="AN575">
        <v>1.00000000883505</v>
      </c>
    </row>
    <row r="576" spans="1:40" x14ac:dyDescent="0.25">
      <c r="A576" t="str">
        <f>"20190304164109819"</f>
        <v>20190304164109819</v>
      </c>
      <c r="B576" t="str">
        <f>"1551688869812169"</f>
        <v>1551688869812169</v>
      </c>
      <c r="C576" t="s">
        <v>40</v>
      </c>
      <c r="D576">
        <v>4.771102</v>
      </c>
      <c r="E576">
        <v>0.53846719999999904</v>
      </c>
      <c r="F576" t="s">
        <v>41</v>
      </c>
      <c r="G576">
        <v>-392.02010000000001</v>
      </c>
      <c r="H576">
        <v>1.025082</v>
      </c>
      <c r="I576">
        <v>367.07589999999999</v>
      </c>
      <c r="J576">
        <v>-392.77589999999998</v>
      </c>
      <c r="K576">
        <v>1.1053949999999999</v>
      </c>
      <c r="L576">
        <v>367.06380000000001</v>
      </c>
      <c r="M576">
        <v>0.99997749999999996</v>
      </c>
      <c r="N576">
        <v>-4.83045E-3</v>
      </c>
      <c r="O576">
        <v>4.6512599999999999E-3</v>
      </c>
      <c r="P576">
        <v>0.95270569999999999</v>
      </c>
      <c r="Q576">
        <v>0.29380600000000001</v>
      </c>
      <c r="R576">
        <v>7.7653689999999997E-2</v>
      </c>
      <c r="S576">
        <v>3.2306520000000001</v>
      </c>
      <c r="T576">
        <v>-0.27684130000000001</v>
      </c>
      <c r="U576">
        <v>4.6569819999999998E-2</v>
      </c>
      <c r="V576">
        <v>-7.3210839999999999E-2</v>
      </c>
      <c r="W576">
        <v>0.29840889999999998</v>
      </c>
      <c r="X576">
        <v>0.95162619999999998</v>
      </c>
      <c r="Y576">
        <v>-9.7399779999999998E-3</v>
      </c>
      <c r="Z576" s="1">
        <v>6.4711669999999895E-5</v>
      </c>
      <c r="AA576">
        <v>0.99995259999999997</v>
      </c>
      <c r="AB576">
        <v>33</v>
      </c>
      <c r="AC576">
        <v>0.75579999999996506</v>
      </c>
      <c r="AD576">
        <v>-8.0312999999999996E-2</v>
      </c>
      <c r="AE576">
        <v>1.2099999999975301E-2</v>
      </c>
      <c r="AF576">
        <v>-8.4885801026238009E-3</v>
      </c>
      <c r="AG576">
        <v>-8.0312999999999996E-2</v>
      </c>
      <c r="AH576">
        <v>0.74741075696319603</v>
      </c>
      <c r="AI576">
        <v>96.132790235468207</v>
      </c>
      <c r="AJ576">
        <v>90.650698293272399</v>
      </c>
      <c r="AK576">
        <v>0.75176131423840697</v>
      </c>
      <c r="AL576">
        <v>72.637938094094693</v>
      </c>
      <c r="AM576">
        <v>94.399233544178898</v>
      </c>
      <c r="AN576">
        <v>1.0000000616095699</v>
      </c>
    </row>
    <row r="577" spans="1:40" x14ac:dyDescent="0.25">
      <c r="A577" t="str">
        <f>"20190304164109833"</f>
        <v>20190304164109833</v>
      </c>
      <c r="B577" t="str">
        <f>"1551688869821929"</f>
        <v>1551688869821929</v>
      </c>
      <c r="C577" t="s">
        <v>40</v>
      </c>
      <c r="D577">
        <v>4.7892039999999998</v>
      </c>
      <c r="E577">
        <v>0.53848289999999999</v>
      </c>
      <c r="F577" t="s">
        <v>41</v>
      </c>
      <c r="G577">
        <v>-392.00689999999997</v>
      </c>
      <c r="H577">
        <v>1.0398160000000001</v>
      </c>
      <c r="I577">
        <v>367.07420000000002</v>
      </c>
      <c r="J577">
        <v>-392.57569999999998</v>
      </c>
      <c r="K577">
        <v>1.1058049999999999</v>
      </c>
      <c r="L577">
        <v>367.06470000000002</v>
      </c>
      <c r="M577">
        <v>0.99997689999999995</v>
      </c>
      <c r="N577">
        <v>-4.9613259999999899E-3</v>
      </c>
      <c r="O577">
        <v>4.6514729999999997E-3</v>
      </c>
      <c r="P577">
        <v>0.95273269999999999</v>
      </c>
      <c r="Q577">
        <v>0.29376720000000001</v>
      </c>
      <c r="R577">
        <v>7.7467079999999994E-2</v>
      </c>
      <c r="S577">
        <v>3.2303160000000002</v>
      </c>
      <c r="T577">
        <v>-0.2759298</v>
      </c>
      <c r="U577">
        <v>4.5745849999999998E-2</v>
      </c>
      <c r="V577">
        <v>-7.3023640000000001E-2</v>
      </c>
      <c r="W577">
        <v>0.2984948</v>
      </c>
      <c r="X577">
        <v>0.9516135</v>
      </c>
      <c r="Y577">
        <v>-9.4872489999999997E-3</v>
      </c>
      <c r="Z577" s="1">
        <v>5.447952E-5</v>
      </c>
      <c r="AA577">
        <v>0.99995500000000004</v>
      </c>
      <c r="AB577">
        <v>33</v>
      </c>
      <c r="AC577">
        <v>0.56880000000000996</v>
      </c>
      <c r="AD577">
        <v>-6.5988999999999798E-2</v>
      </c>
      <c r="AE577">
        <v>9.5000000000027198E-3</v>
      </c>
      <c r="AF577">
        <v>-6.76310530653972E-3</v>
      </c>
      <c r="AG577">
        <v>-6.5988999999999798E-2</v>
      </c>
      <c r="AH577">
        <v>0.56128560627246304</v>
      </c>
      <c r="AI577">
        <v>96.704863821343807</v>
      </c>
      <c r="AJ577">
        <v>90.690341307020901</v>
      </c>
      <c r="AK577">
        <v>0.56519184311438397</v>
      </c>
      <c r="AL577">
        <v>72.632778928635702</v>
      </c>
      <c r="AM577">
        <v>94.388087033843405</v>
      </c>
      <c r="AN577">
        <v>0.99999992550406702</v>
      </c>
    </row>
    <row r="578" spans="1:40" x14ac:dyDescent="0.25">
      <c r="A578" t="str">
        <f>"20190304164109851"</f>
        <v>20190304164109851</v>
      </c>
      <c r="B578" t="str">
        <f>"1551688869841449"</f>
        <v>1551688869841449</v>
      </c>
      <c r="C578" t="s">
        <v>40</v>
      </c>
      <c r="D578">
        <v>4.7606849999999996</v>
      </c>
      <c r="E578">
        <v>0.53833369999999903</v>
      </c>
      <c r="F578" t="s">
        <v>41</v>
      </c>
      <c r="G578">
        <v>-391.71440000000001</v>
      </c>
      <c r="H578">
        <v>1.0324439999999999</v>
      </c>
      <c r="I578">
        <v>367.07670000000002</v>
      </c>
      <c r="J578">
        <v>-392.3134</v>
      </c>
      <c r="K578">
        <v>1.10629</v>
      </c>
      <c r="L578">
        <v>367.0659</v>
      </c>
      <c r="M578">
        <v>0.99997610000000003</v>
      </c>
      <c r="N578">
        <v>-5.1226700000000002E-3</v>
      </c>
      <c r="O578">
        <v>4.6518970000000003E-3</v>
      </c>
      <c r="P578">
        <v>0.9527736</v>
      </c>
      <c r="Q578">
        <v>0.2936396</v>
      </c>
      <c r="R578">
        <v>7.7448899999999904E-2</v>
      </c>
      <c r="S578">
        <v>3.2299799999999999</v>
      </c>
      <c r="T578">
        <v>-0.275122599999999</v>
      </c>
      <c r="U578">
        <v>4.501343E-2</v>
      </c>
      <c r="V578">
        <v>-7.3004849999999996E-2</v>
      </c>
      <c r="W578">
        <v>0.29852070000000003</v>
      </c>
      <c r="X578">
        <v>0.95160690000000003</v>
      </c>
      <c r="Y578">
        <v>-9.2624400000000003E-3</v>
      </c>
      <c r="Z578" s="1">
        <v>4.5806229999999997E-5</v>
      </c>
      <c r="AA578">
        <v>0.99995710000000004</v>
      </c>
      <c r="AB578">
        <v>34</v>
      </c>
      <c r="AC578">
        <v>0.59899999999998899</v>
      </c>
      <c r="AD578">
        <v>-7.3845999999999801E-2</v>
      </c>
      <c r="AE578">
        <v>1.08000000000174E-2</v>
      </c>
      <c r="AF578">
        <v>-7.8934311789359002E-3</v>
      </c>
      <c r="AG578">
        <v>-7.3845999999999801E-2</v>
      </c>
      <c r="AH578">
        <v>0.590078376686893</v>
      </c>
      <c r="AI578">
        <v>97.1326260489775</v>
      </c>
      <c r="AJ578">
        <v>90.766395341830304</v>
      </c>
      <c r="AK578">
        <v>0.59473357783566905</v>
      </c>
      <c r="AL578">
        <v>72.631225489768696</v>
      </c>
      <c r="AM578">
        <v>94.386992633861595</v>
      </c>
      <c r="AN578">
        <v>1.0000000042898101</v>
      </c>
    </row>
    <row r="579" spans="1:40" x14ac:dyDescent="0.25">
      <c r="A579" t="str">
        <f>"20190304164109863"</f>
        <v>20190304164109863</v>
      </c>
      <c r="B579" t="str">
        <f>"1551688869852185"</f>
        <v>1551688869852185</v>
      </c>
      <c r="C579" t="s">
        <v>40</v>
      </c>
      <c r="D579">
        <v>4.751493</v>
      </c>
      <c r="E579">
        <v>0.53824119999999998</v>
      </c>
      <c r="F579" t="s">
        <v>41</v>
      </c>
      <c r="G579">
        <v>-391.41449999999998</v>
      </c>
      <c r="H579">
        <v>1.030554</v>
      </c>
      <c r="I579">
        <v>367.07839999999999</v>
      </c>
      <c r="J579">
        <v>-392.11309999999997</v>
      </c>
      <c r="K579">
        <v>1.106625</v>
      </c>
      <c r="L579">
        <v>367.06689999999998</v>
      </c>
      <c r="M579">
        <v>0.99997550000000002</v>
      </c>
      <c r="N579">
        <v>-5.2384220000000004E-3</v>
      </c>
      <c r="O579">
        <v>4.6522489999999998E-3</v>
      </c>
      <c r="P579">
        <v>0.95279539999999996</v>
      </c>
      <c r="Q579">
        <v>0.29359359999999901</v>
      </c>
      <c r="R579">
        <v>7.7355389999999996E-2</v>
      </c>
      <c r="S579">
        <v>3.228882</v>
      </c>
      <c r="T579">
        <v>-0.27231850000000002</v>
      </c>
      <c r="U579">
        <v>4.58374E-2</v>
      </c>
      <c r="V579">
        <v>-7.2911199999999995E-2</v>
      </c>
      <c r="W579">
        <v>0.2985854</v>
      </c>
      <c r="X579">
        <v>0.95159380000000005</v>
      </c>
      <c r="Y579">
        <v>-9.5212560000000005E-3</v>
      </c>
      <c r="Z579" s="1">
        <v>5.8443809999999897E-5</v>
      </c>
      <c r="AA579">
        <v>0.99995460000000003</v>
      </c>
      <c r="AB579">
        <v>34</v>
      </c>
      <c r="AC579">
        <v>0.698599999999999</v>
      </c>
      <c r="AD579">
        <v>-7.6070999999999694E-2</v>
      </c>
      <c r="AE579">
        <v>1.15000000000122E-2</v>
      </c>
      <c r="AF579">
        <v>-8.1531231525657499E-3</v>
      </c>
      <c r="AG579">
        <v>-7.6070999999999694E-2</v>
      </c>
      <c r="AH579">
        <v>0.69046124208720505</v>
      </c>
      <c r="AI579">
        <v>96.286723906890799</v>
      </c>
      <c r="AJ579">
        <v>90.676530133899107</v>
      </c>
      <c r="AK579">
        <v>0.694686977913612</v>
      </c>
      <c r="AL579">
        <v>72.627341627931102</v>
      </c>
      <c r="AM579">
        <v>94.381447045007107</v>
      </c>
      <c r="AN579">
        <v>1.0000000221885099</v>
      </c>
    </row>
    <row r="580" spans="1:40" x14ac:dyDescent="0.25">
      <c r="A580" t="str">
        <f>"20190304164109875"</f>
        <v>20190304164109875</v>
      </c>
      <c r="B580" t="str">
        <f>"1551688869861946"</f>
        <v>1551688869861946</v>
      </c>
      <c r="C580" t="s">
        <v>40</v>
      </c>
      <c r="D580">
        <v>4.7690020000000004</v>
      </c>
      <c r="E580">
        <v>0.53816719999999996</v>
      </c>
      <c r="F580" t="s">
        <v>41</v>
      </c>
      <c r="G580">
        <v>-391.11630000000002</v>
      </c>
      <c r="H580">
        <v>1.0229649999999999</v>
      </c>
      <c r="I580">
        <v>367.08100000000002</v>
      </c>
      <c r="J580">
        <v>-391.9341</v>
      </c>
      <c r="K580">
        <v>1.1068910000000001</v>
      </c>
      <c r="L580">
        <v>367.0677</v>
      </c>
      <c r="M580">
        <v>0.99997499999999995</v>
      </c>
      <c r="N580">
        <v>-5.3336750000000004E-3</v>
      </c>
      <c r="O580">
        <v>4.6525309999999997E-3</v>
      </c>
      <c r="P580">
        <v>0.95275209999999999</v>
      </c>
      <c r="Q580">
        <v>0.29368889999999997</v>
      </c>
      <c r="R580">
        <v>7.7526880000000006E-2</v>
      </c>
      <c r="S580">
        <v>3.2283940000000002</v>
      </c>
      <c r="T580">
        <v>-0.27109939999999999</v>
      </c>
      <c r="U580">
        <v>4.6508790000000001E-2</v>
      </c>
      <c r="V580">
        <v>-7.3082339999999996E-2</v>
      </c>
      <c r="W580">
        <v>0.29877110000000001</v>
      </c>
      <c r="X580">
        <v>0.95152239999999999</v>
      </c>
      <c r="Y580">
        <v>-9.7303440000000001E-3</v>
      </c>
      <c r="Z580" s="1">
        <v>6.8600990000000002E-5</v>
      </c>
      <c r="AA580">
        <v>0.99995270000000003</v>
      </c>
      <c r="AB580">
        <v>34</v>
      </c>
      <c r="AC580">
        <v>0.81779999999997699</v>
      </c>
      <c r="AD580">
        <v>-8.3926000000000098E-2</v>
      </c>
      <c r="AE580">
        <v>1.32999999999583E-2</v>
      </c>
      <c r="AF580">
        <v>-9.3960321488128704E-3</v>
      </c>
      <c r="AG580">
        <v>-8.3926000000000098E-2</v>
      </c>
      <c r="AH580">
        <v>0.80933163697946497</v>
      </c>
      <c r="AI580">
        <v>95.919896238928899</v>
      </c>
      <c r="AJ580">
        <v>90.665152301806899</v>
      </c>
      <c r="AK580">
        <v>0.81372572621983796</v>
      </c>
      <c r="AL580">
        <v>72.616193192321902</v>
      </c>
      <c r="AM580">
        <v>94.392019413416804</v>
      </c>
      <c r="AN580">
        <v>1.00000003815842</v>
      </c>
    </row>
    <row r="581" spans="1:40" x14ac:dyDescent="0.25">
      <c r="A581" t="str">
        <f>"20190304164109888"</f>
        <v>20190304164109888</v>
      </c>
      <c r="B581" t="str">
        <f>"1551688869881465"</f>
        <v>1551688869881465</v>
      </c>
      <c r="C581" t="s">
        <v>40</v>
      </c>
      <c r="D581">
        <v>4.796227</v>
      </c>
      <c r="E581">
        <v>0.53805700000000001</v>
      </c>
      <c r="F581" t="s">
        <v>41</v>
      </c>
      <c r="G581">
        <v>-391.10629999999998</v>
      </c>
      <c r="H581">
        <v>1.037819</v>
      </c>
      <c r="I581">
        <v>367.0795</v>
      </c>
      <c r="J581">
        <v>-391.75510000000003</v>
      </c>
      <c r="K581">
        <v>1.1071359999999999</v>
      </c>
      <c r="L581">
        <v>367.06849999999997</v>
      </c>
      <c r="M581">
        <v>0.99997449999999999</v>
      </c>
      <c r="N581">
        <v>-5.4248830000000001E-3</v>
      </c>
      <c r="O581">
        <v>4.6527590000000002E-3</v>
      </c>
      <c r="P581">
        <v>0.952843</v>
      </c>
      <c r="Q581">
        <v>0.29341299999999998</v>
      </c>
      <c r="R581">
        <v>7.7452989999999999E-2</v>
      </c>
      <c r="S581">
        <v>3.228027</v>
      </c>
      <c r="T581">
        <v>-0.26956330000000001</v>
      </c>
      <c r="U581">
        <v>4.7027590000000001E-2</v>
      </c>
      <c r="V581">
        <v>-7.3007929999999999E-2</v>
      </c>
      <c r="W581">
        <v>0.29858220000000002</v>
      </c>
      <c r="X581">
        <v>0.95158739999999997</v>
      </c>
      <c r="Y581">
        <v>-9.8919720000000006E-3</v>
      </c>
      <c r="Z581" s="1">
        <v>7.6528490000000004E-5</v>
      </c>
      <c r="AA581">
        <v>0.99995109999999998</v>
      </c>
      <c r="AB581">
        <v>34</v>
      </c>
      <c r="AC581">
        <v>0.648800000000051</v>
      </c>
      <c r="AD581">
        <v>-6.9317000000000004E-2</v>
      </c>
      <c r="AE581">
        <v>1.10000000000241E-2</v>
      </c>
      <c r="AF581">
        <v>-7.8910795506353295E-3</v>
      </c>
      <c r="AG581">
        <v>-6.9317000000000004E-2</v>
      </c>
      <c r="AH581">
        <v>0.64152357575992003</v>
      </c>
      <c r="AI581">
        <v>96.166454635878097</v>
      </c>
      <c r="AJ581">
        <v>90.704732874288396</v>
      </c>
      <c r="AK581">
        <v>0.64530582972825301</v>
      </c>
      <c r="AL581">
        <v>72.627533948092093</v>
      </c>
      <c r="AM581">
        <v>94.387266545381195</v>
      </c>
      <c r="AN581">
        <v>1.0000000339192401</v>
      </c>
    </row>
    <row r="582" spans="1:40" x14ac:dyDescent="0.25">
      <c r="A582" t="str">
        <f>"20190304164109899"</f>
        <v>20190304164109899</v>
      </c>
      <c r="B582" t="str">
        <f>"1551688869892201"</f>
        <v>1551688869892201</v>
      </c>
      <c r="C582" t="s">
        <v>40</v>
      </c>
      <c r="D582">
        <v>4.9903760000000004</v>
      </c>
      <c r="E582">
        <v>0.53805700000000001</v>
      </c>
      <c r="F582" t="s">
        <v>41</v>
      </c>
      <c r="G582">
        <v>-390.81040000000002</v>
      </c>
      <c r="H582">
        <v>1.0285569999999999</v>
      </c>
      <c r="I582">
        <v>367.08229999999998</v>
      </c>
      <c r="J582">
        <v>-391.57069999999999</v>
      </c>
      <c r="K582">
        <v>1.1073660000000001</v>
      </c>
      <c r="L582">
        <v>367.06939999999997</v>
      </c>
      <c r="M582">
        <v>0.99997400000000003</v>
      </c>
      <c r="N582">
        <v>-5.5139999999999998E-3</v>
      </c>
      <c r="O582">
        <v>4.6529900000000001E-3</v>
      </c>
      <c r="P582">
        <v>0.95278090000000004</v>
      </c>
      <c r="Q582">
        <v>0.29355239999999999</v>
      </c>
      <c r="R582">
        <v>7.7689140000000004E-2</v>
      </c>
      <c r="S582">
        <v>3.2272949999999998</v>
      </c>
      <c r="T582">
        <v>-0.26859179999999999</v>
      </c>
      <c r="U582">
        <v>4.79126E-2</v>
      </c>
      <c r="V582">
        <v>-7.3244390000000006E-2</v>
      </c>
      <c r="W582">
        <v>0.29880649999999997</v>
      </c>
      <c r="X582">
        <v>0.95149870000000003</v>
      </c>
      <c r="Y582">
        <v>-1.016825E-2</v>
      </c>
      <c r="Z582" s="1">
        <v>8.9523269999999995E-5</v>
      </c>
      <c r="AA582">
        <v>0.99994830000000001</v>
      </c>
      <c r="AB582">
        <v>34</v>
      </c>
      <c r="AC582">
        <v>0.760299999999972</v>
      </c>
      <c r="AD582">
        <v>-7.8809000000000101E-2</v>
      </c>
      <c r="AE582">
        <v>1.29000000000019E-2</v>
      </c>
      <c r="AF582">
        <v>-9.2626455609097508E-3</v>
      </c>
      <c r="AG582">
        <v>-7.8809000000000101E-2</v>
      </c>
      <c r="AH582">
        <v>0.75227142448663797</v>
      </c>
      <c r="AI582">
        <v>95.980120331353206</v>
      </c>
      <c r="AJ582">
        <v>90.705441763460499</v>
      </c>
      <c r="AK582">
        <v>0.75644494259856199</v>
      </c>
      <c r="AL582">
        <v>72.614065724968</v>
      </c>
      <c r="AM582">
        <v>94.401829086343099</v>
      </c>
      <c r="AN582">
        <v>0.99999992060520204</v>
      </c>
    </row>
    <row r="583" spans="1:40" x14ac:dyDescent="0.25">
      <c r="A583" t="str">
        <f>"20190304164109916"</f>
        <v>20190304164109916</v>
      </c>
      <c r="B583" t="str">
        <f>"1551688869911721"</f>
        <v>1551688869911721</v>
      </c>
      <c r="C583" t="s">
        <v>40</v>
      </c>
      <c r="D583">
        <v>4.7422519999999997</v>
      </c>
      <c r="E583">
        <v>0.54567919999999903</v>
      </c>
      <c r="F583" t="s">
        <v>42</v>
      </c>
      <c r="G583">
        <v>-378.2441</v>
      </c>
      <c r="H583" s="1">
        <v>-1.207666E-6</v>
      </c>
      <c r="I583">
        <v>367.27089999999998</v>
      </c>
      <c r="J583">
        <v>-391.32060000000001</v>
      </c>
      <c r="K583">
        <v>1.1076379999999999</v>
      </c>
      <c r="L583">
        <v>367.07049999999998</v>
      </c>
      <c r="M583">
        <v>0.99997329999999995</v>
      </c>
      <c r="N583">
        <v>-5.6253910000000004E-3</v>
      </c>
      <c r="O583">
        <v>4.6535689999999998E-3</v>
      </c>
      <c r="P583">
        <v>0.95284219999999997</v>
      </c>
      <c r="Q583">
        <v>0.2932882</v>
      </c>
      <c r="R583">
        <v>7.7933000000000002E-2</v>
      </c>
      <c r="S583">
        <v>3.227325</v>
      </c>
      <c r="T583">
        <v>-0.26817039999999998</v>
      </c>
      <c r="U583">
        <v>4.8828129999999997E-2</v>
      </c>
      <c r="V583">
        <v>-7.3487300000000005E-2</v>
      </c>
      <c r="W583">
        <v>0.29864819999999997</v>
      </c>
      <c r="X583">
        <v>0.95152969999999903</v>
      </c>
      <c r="Y583">
        <v>-1.0450070000000001E-2</v>
      </c>
      <c r="Z583">
        <v>1.029892E-4</v>
      </c>
      <c r="AA583">
        <v>0.99994539999999998</v>
      </c>
      <c r="AB583">
        <v>34</v>
      </c>
      <c r="AC583">
        <v>13.076499999999999</v>
      </c>
      <c r="AD583">
        <v>-1.107639207666</v>
      </c>
      <c r="AE583">
        <v>0.20040000000000099</v>
      </c>
      <c r="AF583">
        <v>-0.138550620843304</v>
      </c>
      <c r="AG583">
        <v>-1.107639207666</v>
      </c>
      <c r="AH583">
        <v>12.9841533492233</v>
      </c>
      <c r="AI583">
        <v>94.875650025204905</v>
      </c>
      <c r="AJ583">
        <v>90.611365587731299</v>
      </c>
      <c r="AK583">
        <v>13.0320489212188</v>
      </c>
      <c r="AL583">
        <v>72.623570141767303</v>
      </c>
      <c r="AM583">
        <v>94.416226479404301</v>
      </c>
      <c r="AN583">
        <v>0.99999995030330802</v>
      </c>
    </row>
    <row r="584" spans="1:40" x14ac:dyDescent="0.25">
      <c r="A584" t="str">
        <f>"20190304164109929"</f>
        <v>20190304164109929</v>
      </c>
      <c r="B584" t="str">
        <f>"1551688869921481"</f>
        <v>1551688869921481</v>
      </c>
      <c r="C584" t="s">
        <v>40</v>
      </c>
      <c r="D584">
        <v>4.709892</v>
      </c>
      <c r="E584">
        <v>0.54707790000000001</v>
      </c>
      <c r="F584" t="s">
        <v>42</v>
      </c>
      <c r="G584">
        <v>-366.50349999999997</v>
      </c>
      <c r="H584" s="1">
        <v>-1.966703E-6</v>
      </c>
      <c r="I584">
        <v>366.88549999999998</v>
      </c>
      <c r="J584">
        <v>-391.1277</v>
      </c>
      <c r="K584">
        <v>1.107826</v>
      </c>
      <c r="L584">
        <v>367.07139999999998</v>
      </c>
      <c r="M584">
        <v>0.999973</v>
      </c>
      <c r="N584">
        <v>-5.7060820000000003E-3</v>
      </c>
      <c r="O584">
        <v>4.6538150000000004E-3</v>
      </c>
      <c r="P584">
        <v>0.95285799999999998</v>
      </c>
      <c r="Q584">
        <v>0.2931859</v>
      </c>
      <c r="R584">
        <v>7.8128329999999996E-2</v>
      </c>
      <c r="S584">
        <v>3.1943049999999999</v>
      </c>
      <c r="T584">
        <v>-0.1425679</v>
      </c>
      <c r="U584">
        <v>-2.3803709999999999E-2</v>
      </c>
      <c r="V584">
        <v>-7.3682109999999995E-2</v>
      </c>
      <c r="W584">
        <v>0.29862270000000002</v>
      </c>
      <c r="X584">
        <v>0.95152270000000005</v>
      </c>
      <c r="Y584">
        <v>1.20883E-2</v>
      </c>
      <c r="Z584">
        <v>-4.8519159999999998E-4</v>
      </c>
      <c r="AA584">
        <v>0.9999268</v>
      </c>
      <c r="AB584">
        <v>34</v>
      </c>
      <c r="AC584">
        <v>24.624199999999998</v>
      </c>
      <c r="AD584">
        <v>-1.107827966703</v>
      </c>
      <c r="AE584">
        <v>-0.18590000000000301</v>
      </c>
      <c r="AF584">
        <v>0.299889356005965</v>
      </c>
      <c r="AG584">
        <v>-1.107827966703</v>
      </c>
      <c r="AH584">
        <v>24.573333452424801</v>
      </c>
      <c r="AI584">
        <v>92.581098761197097</v>
      </c>
      <c r="AJ584">
        <v>89.300805423282199</v>
      </c>
      <c r="AK584">
        <v>24.6001205971376</v>
      </c>
      <c r="AL584">
        <v>72.625102103877197</v>
      </c>
      <c r="AM584">
        <v>94.427919554010103</v>
      </c>
      <c r="AN584">
        <v>1.00000000945231</v>
      </c>
    </row>
    <row r="585" spans="1:40" x14ac:dyDescent="0.25">
      <c r="A585" t="str">
        <f>"20190304164109940"</f>
        <v>20190304164109940</v>
      </c>
      <c r="B585" t="str">
        <f>"1551688869932217"</f>
        <v>1551688869932217</v>
      </c>
      <c r="C585" t="s">
        <v>40</v>
      </c>
      <c r="D585">
        <v>4.7079659999999999</v>
      </c>
      <c r="E585">
        <v>0.54765989999999998</v>
      </c>
      <c r="F585" t="s">
        <v>42</v>
      </c>
      <c r="G585">
        <v>-366.1327</v>
      </c>
      <c r="H585" s="1">
        <v>-2.1411699999999999E-6</v>
      </c>
      <c r="I585">
        <v>366.7987</v>
      </c>
      <c r="J585">
        <v>-390.95639999999997</v>
      </c>
      <c r="K585">
        <v>1.10797099999999</v>
      </c>
      <c r="L585">
        <v>367.07220000000001</v>
      </c>
      <c r="M585">
        <v>0.99997250000000004</v>
      </c>
      <c r="N585">
        <v>-5.7745549999999998E-3</v>
      </c>
      <c r="O585">
        <v>4.6540929999999998E-3</v>
      </c>
      <c r="P585">
        <v>0.95293249999999996</v>
      </c>
      <c r="Q585">
        <v>0.29297980000000001</v>
      </c>
      <c r="R585">
        <v>7.7991130000000006E-2</v>
      </c>
      <c r="S585">
        <v>3.1948850000000002</v>
      </c>
      <c r="T585">
        <v>-0.14160349999999999</v>
      </c>
      <c r="U585">
        <v>-3.4851069999999998E-2</v>
      </c>
      <c r="V585">
        <v>-7.3544390000000001E-2</v>
      </c>
      <c r="W585">
        <v>0.29848249999999998</v>
      </c>
      <c r="X585">
        <v>0.95157729999999996</v>
      </c>
      <c r="Y585">
        <v>1.554082E-2</v>
      </c>
      <c r="Z585">
        <v>-5.6842619999999998E-4</v>
      </c>
      <c r="AA585">
        <v>0.99987910000000002</v>
      </c>
      <c r="AB585">
        <v>34</v>
      </c>
      <c r="AC585">
        <v>24.823699999999899</v>
      </c>
      <c r="AD585">
        <v>-1.10797314116999</v>
      </c>
      <c r="AE585">
        <v>-0.27350000000001201</v>
      </c>
      <c r="AF585">
        <v>0.38825739294802097</v>
      </c>
      <c r="AG585">
        <v>-1.10797314116999</v>
      </c>
      <c r="AH585">
        <v>24.772812670799102</v>
      </c>
      <c r="AI585">
        <v>92.560554089435797</v>
      </c>
      <c r="AJ585">
        <v>89.102092720542998</v>
      </c>
      <c r="AK585">
        <v>24.800616845297199</v>
      </c>
      <c r="AL585">
        <v>72.633518107285397</v>
      </c>
      <c r="AM585">
        <v>94.419423516145002</v>
      </c>
      <c r="AN585">
        <v>0.99999996899100496</v>
      </c>
    </row>
    <row r="586" spans="1:40" x14ac:dyDescent="0.25">
      <c r="A586" t="str">
        <f>"20190304164109950"</f>
        <v>20190304164109950</v>
      </c>
      <c r="B586" t="str">
        <f>"1551688869941977"</f>
        <v>1551688869941977</v>
      </c>
      <c r="C586" t="s">
        <v>40</v>
      </c>
      <c r="D586">
        <v>4.6795879999999999</v>
      </c>
      <c r="E586">
        <v>0.54834569999999905</v>
      </c>
      <c r="F586" t="s">
        <v>42</v>
      </c>
      <c r="G586">
        <v>-365.66329999999999</v>
      </c>
      <c r="H586" s="1">
        <v>-2.34991E-6</v>
      </c>
      <c r="I586">
        <v>366.75700000000001</v>
      </c>
      <c r="J586">
        <v>-390.79539999999997</v>
      </c>
      <c r="K586">
        <v>1.1080970000000001</v>
      </c>
      <c r="L586">
        <v>367.07299999999998</v>
      </c>
      <c r="M586">
        <v>0.99997210000000003</v>
      </c>
      <c r="N586">
        <v>-5.8340379999999997E-3</v>
      </c>
      <c r="O586">
        <v>4.6544550000000001E-3</v>
      </c>
      <c r="P586">
        <v>0.95294860000000003</v>
      </c>
      <c r="Q586">
        <v>0.29290690000000003</v>
      </c>
      <c r="R586">
        <v>7.8066679999999999E-2</v>
      </c>
      <c r="S586">
        <v>3.1944889999999999</v>
      </c>
      <c r="T586">
        <v>-0.1399357</v>
      </c>
      <c r="U586">
        <v>-3.9794919999999998E-2</v>
      </c>
      <c r="V586">
        <v>-7.3619649999999995E-2</v>
      </c>
      <c r="W586">
        <v>0.29846610000000001</v>
      </c>
      <c r="X586">
        <v>0.95157670000000005</v>
      </c>
      <c r="Y586">
        <v>1.7088519999999999E-2</v>
      </c>
      <c r="Z586">
        <v>-6.0061070000000003E-4</v>
      </c>
      <c r="AA586">
        <v>0.99985380000000001</v>
      </c>
      <c r="AB586">
        <v>34</v>
      </c>
      <c r="AC586">
        <v>25.132099999999902</v>
      </c>
      <c r="AD586">
        <v>-1.10809934990999</v>
      </c>
      <c r="AE586">
        <v>-0.31600000000008699</v>
      </c>
      <c r="AF586">
        <v>0.43213485772405502</v>
      </c>
      <c r="AG586">
        <v>-1.10809934990999</v>
      </c>
      <c r="AH586">
        <v>25.0816055900126</v>
      </c>
      <c r="AI586">
        <v>92.529293989582797</v>
      </c>
      <c r="AJ586">
        <v>89.012939822609596</v>
      </c>
      <c r="AK586">
        <v>25.109790195807701</v>
      </c>
      <c r="AL586">
        <v>72.634503922694094</v>
      </c>
      <c r="AM586">
        <v>94.423930868226506</v>
      </c>
      <c r="AN586">
        <v>1.0000000408491101</v>
      </c>
    </row>
    <row r="587" spans="1:40" x14ac:dyDescent="0.25">
      <c r="A587" t="str">
        <f>"20190304164109961"</f>
        <v>20190304164109961</v>
      </c>
      <c r="B587" t="str">
        <f>"1551688869951738"</f>
        <v>1551688869951738</v>
      </c>
      <c r="C587" t="s">
        <v>40</v>
      </c>
      <c r="D587">
        <v>4.6849379999999998</v>
      </c>
      <c r="E587">
        <v>0.54854150000000002</v>
      </c>
      <c r="F587" t="s">
        <v>42</v>
      </c>
      <c r="G587">
        <v>-365.54500000000002</v>
      </c>
      <c r="H587" s="1">
        <v>-2.4073260000000001E-6</v>
      </c>
      <c r="I587">
        <v>366.71949999999998</v>
      </c>
      <c r="J587">
        <v>-390.61959999999999</v>
      </c>
      <c r="K587">
        <v>1.108228</v>
      </c>
      <c r="L587">
        <v>367.07380000000001</v>
      </c>
      <c r="M587">
        <v>0.99997170000000002</v>
      </c>
      <c r="N587">
        <v>-5.8977350000000003E-3</v>
      </c>
      <c r="O587">
        <v>4.6547419999999999E-3</v>
      </c>
      <c r="P587">
        <v>0.95299860000000003</v>
      </c>
      <c r="Q587">
        <v>0.29280479999999998</v>
      </c>
      <c r="R587">
        <v>7.783938E-2</v>
      </c>
      <c r="S587">
        <v>3.1948850000000002</v>
      </c>
      <c r="T587">
        <v>-0.14020529999999901</v>
      </c>
      <c r="U587">
        <v>-4.4708249999999998E-2</v>
      </c>
      <c r="V587">
        <v>-7.3391940000000003E-2</v>
      </c>
      <c r="W587">
        <v>0.2984252</v>
      </c>
      <c r="X587">
        <v>0.95160699999999998</v>
      </c>
      <c r="Y587">
        <v>1.862285E-2</v>
      </c>
      <c r="Z587">
        <v>-6.4008149999999998E-4</v>
      </c>
      <c r="AA587">
        <v>0.9998264</v>
      </c>
      <c r="AB587">
        <v>34</v>
      </c>
      <c r="AC587">
        <v>25.074599999999901</v>
      </c>
      <c r="AD587">
        <v>-1.1082304073260001</v>
      </c>
      <c r="AE587">
        <v>-0.35430000000002299</v>
      </c>
      <c r="AF587">
        <v>0.47009589005997698</v>
      </c>
      <c r="AG587">
        <v>-1.1082304073260001</v>
      </c>
      <c r="AH587">
        <v>25.023807293604602</v>
      </c>
      <c r="AI587">
        <v>92.535356851404003</v>
      </c>
      <c r="AJ587">
        <v>88.923771178390695</v>
      </c>
      <c r="AK587">
        <v>25.052746281576301</v>
      </c>
      <c r="AL587">
        <v>72.636957223853003</v>
      </c>
      <c r="AM587">
        <v>94.410161579776599</v>
      </c>
      <c r="AN587">
        <v>0.999999929650499</v>
      </c>
    </row>
    <row r="588" spans="1:40" x14ac:dyDescent="0.25">
      <c r="A588" t="str">
        <f>"20190304164109973"</f>
        <v>20190304164109973</v>
      </c>
      <c r="B588" t="str">
        <f>"1551688869962475"</f>
        <v>1551688869962475</v>
      </c>
      <c r="C588" t="s">
        <v>40</v>
      </c>
      <c r="D588">
        <v>4.6236499999999996</v>
      </c>
      <c r="E588">
        <v>0.54871879999999995</v>
      </c>
      <c r="F588" t="s">
        <v>42</v>
      </c>
      <c r="G588">
        <v>-365.214</v>
      </c>
      <c r="H588" s="1">
        <v>-2.5530500000000001E-6</v>
      </c>
      <c r="I588">
        <v>366.69869999999997</v>
      </c>
      <c r="J588">
        <v>-390.45139999999998</v>
      </c>
      <c r="K588">
        <v>1.1083379999999901</v>
      </c>
      <c r="L588">
        <v>367.07459999999998</v>
      </c>
      <c r="M588">
        <v>0.99997150000000001</v>
      </c>
      <c r="N588">
        <v>-5.9529419999999897E-3</v>
      </c>
      <c r="O588">
        <v>4.6551129999999998E-3</v>
      </c>
      <c r="P588">
        <v>0.95307620000000004</v>
      </c>
      <c r="Q588">
        <v>0.29259950000000001</v>
      </c>
      <c r="R588">
        <v>7.7664349999999993E-2</v>
      </c>
      <c r="S588">
        <v>3.1946409999999998</v>
      </c>
      <c r="T588">
        <v>-0.13935449999999999</v>
      </c>
      <c r="U588">
        <v>-4.7149660000000003E-2</v>
      </c>
      <c r="V588">
        <v>-7.32159E-2</v>
      </c>
      <c r="W588">
        <v>0.2982728</v>
      </c>
      <c r="X588">
        <v>0.95166839999999997</v>
      </c>
      <c r="Y588">
        <v>1.9387649999999999E-2</v>
      </c>
      <c r="Z588">
        <v>-6.5563220000000003E-4</v>
      </c>
      <c r="AA588">
        <v>0.99981180000000003</v>
      </c>
      <c r="AB588">
        <v>34</v>
      </c>
      <c r="AC588">
        <v>25.237399999999901</v>
      </c>
      <c r="AD588">
        <v>-1.1083405530499999</v>
      </c>
      <c r="AE588">
        <v>-0.37590000000000101</v>
      </c>
      <c r="AF588">
        <v>0.492431425570938</v>
      </c>
      <c r="AG588">
        <v>-1.1083405530499999</v>
      </c>
      <c r="AH588">
        <v>25.186810459600601</v>
      </c>
      <c r="AI588">
        <v>92.519182960843594</v>
      </c>
      <c r="AJ588">
        <v>88.879943599494595</v>
      </c>
      <c r="AK588">
        <v>25.215993508451501</v>
      </c>
      <c r="AL588">
        <v>72.646106788163806</v>
      </c>
      <c r="AM588">
        <v>94.399342081932602</v>
      </c>
      <c r="AN588">
        <v>0.99999998739560403</v>
      </c>
    </row>
    <row r="589" spans="1:40" x14ac:dyDescent="0.25">
      <c r="A589" t="str">
        <f>"20190304164109985"</f>
        <v>20190304164109985</v>
      </c>
      <c r="B589" t="str">
        <f>"1551688869972234"</f>
        <v>1551688869972234</v>
      </c>
      <c r="C589" t="s">
        <v>40</v>
      </c>
      <c r="D589">
        <v>4.6253760000000002</v>
      </c>
      <c r="E589">
        <v>0.54891290000000004</v>
      </c>
      <c r="F589" t="s">
        <v>42</v>
      </c>
      <c r="G589">
        <v>-365.08269999999999</v>
      </c>
      <c r="H589" s="1">
        <v>-2.6120370000000001E-6</v>
      </c>
      <c r="I589">
        <v>366.68360000000001</v>
      </c>
      <c r="J589">
        <v>-390.26260000000002</v>
      </c>
      <c r="K589">
        <v>1.1084529999999999</v>
      </c>
      <c r="L589">
        <v>367.07549999999998</v>
      </c>
      <c r="M589">
        <v>0.9999711</v>
      </c>
      <c r="N589">
        <v>-6.0133950000000004E-3</v>
      </c>
      <c r="O589">
        <v>4.6554070000000003E-3</v>
      </c>
      <c r="P589">
        <v>0.953125</v>
      </c>
      <c r="Q589">
        <v>0.2925007</v>
      </c>
      <c r="R589">
        <v>7.7434840000000005E-2</v>
      </c>
      <c r="S589">
        <v>3.1945800000000002</v>
      </c>
      <c r="T589">
        <v>-0.13956859999999999</v>
      </c>
      <c r="U589">
        <v>-4.9224850000000001E-2</v>
      </c>
      <c r="V589">
        <v>-7.2985910000000001E-2</v>
      </c>
      <c r="W589">
        <v>0.29823179999999999</v>
      </c>
      <c r="X589">
        <v>0.95169890000000001</v>
      </c>
      <c r="Y589">
        <v>2.0036760000000001E-2</v>
      </c>
      <c r="Z589">
        <v>-6.7304300000000001E-4</v>
      </c>
      <c r="AA589">
        <v>0.99979899999999999</v>
      </c>
      <c r="AB589">
        <v>34</v>
      </c>
      <c r="AC589">
        <v>25.1799</v>
      </c>
      <c r="AD589">
        <v>-1.1084556120369999</v>
      </c>
      <c r="AE589">
        <v>-0.391899999999964</v>
      </c>
      <c r="AF589">
        <v>0.50813608103048502</v>
      </c>
      <c r="AG589">
        <v>-1.1084556120369999</v>
      </c>
      <c r="AH589">
        <v>25.129117028224801</v>
      </c>
      <c r="AI589">
        <v>92.525187426441406</v>
      </c>
      <c r="AJ589">
        <v>88.841579445008705</v>
      </c>
      <c r="AK589">
        <v>25.1586843602546</v>
      </c>
      <c r="AL589">
        <v>72.648567669838201</v>
      </c>
      <c r="AM589">
        <v>94.385436612999897</v>
      </c>
      <c r="AN589">
        <v>0.99999997292548803</v>
      </c>
    </row>
    <row r="590" spans="1:40" x14ac:dyDescent="0.25">
      <c r="A590" t="str">
        <f>"20190304164109996"</f>
        <v>20190304164109996</v>
      </c>
      <c r="B590" t="str">
        <f>"1551688869981993"</f>
        <v>1551688869981993</v>
      </c>
      <c r="C590" t="s">
        <v>40</v>
      </c>
      <c r="D590">
        <v>4.6229269999999998</v>
      </c>
      <c r="E590">
        <v>0.54907109999999903</v>
      </c>
      <c r="F590" t="s">
        <v>42</v>
      </c>
      <c r="G590">
        <v>-364.85660000000001</v>
      </c>
      <c r="H590" s="1">
        <v>-2.712168E-6</v>
      </c>
      <c r="I590">
        <v>366.66590000000002</v>
      </c>
      <c r="J590">
        <v>-390.08179999999999</v>
      </c>
      <c r="K590">
        <v>1.108549</v>
      </c>
      <c r="L590">
        <v>367.0763</v>
      </c>
      <c r="M590">
        <v>0.99997080000000005</v>
      </c>
      <c r="N590">
        <v>-6.0673300000000001E-3</v>
      </c>
      <c r="O590">
        <v>4.6557780000000002E-3</v>
      </c>
      <c r="P590">
        <v>0.95315899999999998</v>
      </c>
      <c r="Q590">
        <v>0.29249180000000002</v>
      </c>
      <c r="R590">
        <v>7.7050240000000006E-2</v>
      </c>
      <c r="S590">
        <v>3.1944889999999999</v>
      </c>
      <c r="T590">
        <v>-0.13937379999999999</v>
      </c>
      <c r="U590">
        <v>-5.1483149999999998E-2</v>
      </c>
      <c r="V590">
        <v>-7.2600529999999996E-2</v>
      </c>
      <c r="W590">
        <v>0.29827409999999999</v>
      </c>
      <c r="X590">
        <v>0.95171519999999998</v>
      </c>
      <c r="Y590">
        <v>2.0743480000000002E-2</v>
      </c>
      <c r="Z590">
        <v>-6.9002229999999998E-4</v>
      </c>
      <c r="AA590">
        <v>0.99978460000000002</v>
      </c>
      <c r="AB590">
        <v>34</v>
      </c>
      <c r="AC590">
        <v>25.225199999999901</v>
      </c>
      <c r="AD590">
        <v>-1.108551712168</v>
      </c>
      <c r="AE590">
        <v>-0.410399999999981</v>
      </c>
      <c r="AF590">
        <v>0.52682347114441797</v>
      </c>
      <c r="AG590">
        <v>-1.108551712168</v>
      </c>
      <c r="AH590">
        <v>25.1744101460366</v>
      </c>
      <c r="AI590">
        <v>92.520831744472005</v>
      </c>
      <c r="AJ590">
        <v>88.801149417751901</v>
      </c>
      <c r="AK590">
        <v>25.204312251461399</v>
      </c>
      <c r="AL590">
        <v>72.646029850875394</v>
      </c>
      <c r="AM590">
        <v>94.362295838392299</v>
      </c>
      <c r="AN590">
        <v>1.0000000487990599</v>
      </c>
    </row>
    <row r="591" spans="1:40" x14ac:dyDescent="0.25">
      <c r="A591" t="str">
        <f>"20190304164110008"</f>
        <v>20190304164110008</v>
      </c>
      <c r="B591" t="str">
        <f>"1551688870001513"</f>
        <v>1551688870001513</v>
      </c>
      <c r="C591" t="s">
        <v>40</v>
      </c>
      <c r="D591">
        <v>4.5415660000000004</v>
      </c>
      <c r="E591">
        <v>0.54925979999999996</v>
      </c>
      <c r="F591" t="s">
        <v>42</v>
      </c>
      <c r="G591">
        <v>-364.64429999999999</v>
      </c>
      <c r="H591" s="1">
        <v>-2.8064759999999999E-6</v>
      </c>
      <c r="I591">
        <v>366.64760000000001</v>
      </c>
      <c r="J591">
        <v>-389.9042</v>
      </c>
      <c r="K591">
        <v>1.1086339999999999</v>
      </c>
      <c r="L591">
        <v>367.07709999999997</v>
      </c>
      <c r="M591">
        <v>0.99997049999999998</v>
      </c>
      <c r="N591">
        <v>-6.1176219999999996E-3</v>
      </c>
      <c r="O591">
        <v>4.6559210000000004E-3</v>
      </c>
      <c r="P591">
        <v>0.95316829999999997</v>
      </c>
      <c r="Q591">
        <v>0.29257939999999999</v>
      </c>
      <c r="R591">
        <v>7.6602320000000002E-2</v>
      </c>
      <c r="S591">
        <v>3.194458</v>
      </c>
      <c r="T591">
        <v>-0.13921229999999901</v>
      </c>
      <c r="U591">
        <v>-5.3833010000000001E-2</v>
      </c>
      <c r="V591">
        <v>-7.2153019999999998E-2</v>
      </c>
      <c r="W591">
        <v>0.2984097</v>
      </c>
      <c r="X591">
        <v>0.95170659999999896</v>
      </c>
      <c r="Y591">
        <v>2.1478259999999999E-2</v>
      </c>
      <c r="Z591">
        <v>-7.0781039999999896E-4</v>
      </c>
      <c r="AA591">
        <v>0.99976909999999997</v>
      </c>
      <c r="AB591">
        <v>34</v>
      </c>
      <c r="AC591">
        <v>25.259899999999998</v>
      </c>
      <c r="AD591">
        <v>-1.1086368064759999</v>
      </c>
      <c r="AE591">
        <v>-0.42949999999996102</v>
      </c>
      <c r="AF591">
        <v>0.54605409893336798</v>
      </c>
      <c r="AG591">
        <v>-1.1086368064759999</v>
      </c>
      <c r="AH591">
        <v>25.2090811884845</v>
      </c>
      <c r="AI591">
        <v>92.517522913737295</v>
      </c>
      <c r="AJ591">
        <v>88.7591097358046</v>
      </c>
      <c r="AK591">
        <v>25.239354686981098</v>
      </c>
      <c r="AL591">
        <v>72.637887710245096</v>
      </c>
      <c r="AM591">
        <v>94.335548494579498</v>
      </c>
      <c r="AN591">
        <v>0.99999992991638198</v>
      </c>
    </row>
    <row r="592" spans="1:40" x14ac:dyDescent="0.25">
      <c r="A592" t="str">
        <f>"20190304164110020"</f>
        <v>20190304164110020</v>
      </c>
      <c r="B592" t="str">
        <f>"1551688870012249"</f>
        <v>1551688870012249</v>
      </c>
      <c r="C592" t="s">
        <v>40</v>
      </c>
      <c r="D592">
        <v>4.5233480000000004</v>
      </c>
      <c r="E592">
        <v>0.5492823</v>
      </c>
      <c r="F592" t="s">
        <v>42</v>
      </c>
      <c r="G592">
        <v>-364.21199999999999</v>
      </c>
      <c r="H592" s="1">
        <v>-2.9967430000000002E-6</v>
      </c>
      <c r="I592">
        <v>366.62049999999999</v>
      </c>
      <c r="J592">
        <v>-389.72219999999999</v>
      </c>
      <c r="K592">
        <v>1.108714</v>
      </c>
      <c r="L592">
        <v>367.07799999999997</v>
      </c>
      <c r="M592">
        <v>0.99997020000000003</v>
      </c>
      <c r="N592">
        <v>-6.1670340000000001E-3</v>
      </c>
      <c r="O592">
        <v>4.656304E-3</v>
      </c>
      <c r="P592">
        <v>0.95319540000000003</v>
      </c>
      <c r="Q592">
        <v>0.29254269999999999</v>
      </c>
      <c r="R592">
        <v>7.6405780000000006E-2</v>
      </c>
      <c r="S592">
        <v>3.1942750000000002</v>
      </c>
      <c r="T592">
        <v>-0.13783509999999999</v>
      </c>
      <c r="U592">
        <v>-5.6762699999999902E-2</v>
      </c>
      <c r="V592">
        <v>-7.1955809999999995E-2</v>
      </c>
      <c r="W592">
        <v>0.29842020000000002</v>
      </c>
      <c r="X592">
        <v>0.95171830000000002</v>
      </c>
      <c r="Y592">
        <v>2.23958E-2</v>
      </c>
      <c r="Z592">
        <v>-7.2414780000000002E-4</v>
      </c>
      <c r="AA592">
        <v>0.99974890000000005</v>
      </c>
      <c r="AB592">
        <v>34</v>
      </c>
      <c r="AC592">
        <v>25.510200000000001</v>
      </c>
      <c r="AD592">
        <v>-1.1087169967429999</v>
      </c>
      <c r="AE592">
        <v>-0.45750000000003799</v>
      </c>
      <c r="AF592">
        <v>0.57519439144013396</v>
      </c>
      <c r="AG592">
        <v>-1.1087169967429999</v>
      </c>
      <c r="AH592">
        <v>25.4597172234681</v>
      </c>
      <c r="AI592">
        <v>92.492899588318195</v>
      </c>
      <c r="AJ592">
        <v>88.705774877295894</v>
      </c>
      <c r="AK592">
        <v>25.490337445113799</v>
      </c>
      <c r="AL592">
        <v>72.637258433237704</v>
      </c>
      <c r="AM592">
        <v>94.323690537285401</v>
      </c>
      <c r="AN592">
        <v>0.99999998845784299</v>
      </c>
    </row>
    <row r="593" spans="1:40" x14ac:dyDescent="0.25">
      <c r="A593" t="str">
        <f>"20190304164110033"</f>
        <v>20190304164110033</v>
      </c>
      <c r="B593" t="str">
        <f>"1551688870022009"</f>
        <v>1551688870022009</v>
      </c>
      <c r="C593" t="s">
        <v>40</v>
      </c>
      <c r="D593">
        <v>4.5265190000000004</v>
      </c>
      <c r="E593">
        <v>0.54939199999999999</v>
      </c>
      <c r="F593" t="s">
        <v>42</v>
      </c>
      <c r="G593">
        <v>-363.851</v>
      </c>
      <c r="H593" s="1">
        <v>-3.1529509999999998E-6</v>
      </c>
      <c r="I593">
        <v>366.61290000000002</v>
      </c>
      <c r="J593">
        <v>-389.52980000000002</v>
      </c>
      <c r="K593">
        <v>1.108787</v>
      </c>
      <c r="L593">
        <v>367.07889999999998</v>
      </c>
      <c r="M593">
        <v>0.99997000000000003</v>
      </c>
      <c r="N593">
        <v>-6.2171659999999997E-3</v>
      </c>
      <c r="O593">
        <v>4.656505E-3</v>
      </c>
      <c r="P593">
        <v>0.95328610000000003</v>
      </c>
      <c r="Q593">
        <v>0.29235460000000002</v>
      </c>
      <c r="R593">
        <v>7.5991409999999995E-2</v>
      </c>
      <c r="S593">
        <v>3.1938780000000002</v>
      </c>
      <c r="T593">
        <v>-0.1368742</v>
      </c>
      <c r="U593">
        <v>-5.7403559999999999E-2</v>
      </c>
      <c r="V593">
        <v>-7.1540649999999997E-2</v>
      </c>
      <c r="W593">
        <v>0.29828100000000002</v>
      </c>
      <c r="X593">
        <v>0.95179329999999995</v>
      </c>
      <c r="Y593">
        <v>2.259887E-2</v>
      </c>
      <c r="Z593">
        <v>-7.2478429999999904E-4</v>
      </c>
      <c r="AA593">
        <v>0.99974439999999998</v>
      </c>
      <c r="AB593">
        <v>34</v>
      </c>
      <c r="AC593">
        <v>25.678799999999999</v>
      </c>
      <c r="AD593">
        <v>-1.108790152951</v>
      </c>
      <c r="AE593">
        <v>-0.46599999999995101</v>
      </c>
      <c r="AF593">
        <v>0.58448132532039299</v>
      </c>
      <c r="AG593">
        <v>-1.108790152951</v>
      </c>
      <c r="AH593">
        <v>25.628584296344801</v>
      </c>
      <c r="AI593">
        <v>92.476645579607904</v>
      </c>
      <c r="AJ593">
        <v>88.693548237296397</v>
      </c>
      <c r="AK593">
        <v>25.659216025782701</v>
      </c>
      <c r="AL593">
        <v>72.645615726142694</v>
      </c>
      <c r="AM593">
        <v>94.298500658306395</v>
      </c>
      <c r="AN593">
        <v>1.0000000527441499</v>
      </c>
    </row>
    <row r="594" spans="1:40" x14ac:dyDescent="0.25">
      <c r="A594" t="str">
        <f>"20190304164110046"</f>
        <v>20190304164110046</v>
      </c>
      <c r="B594" t="str">
        <f>"1551688870041588"</f>
        <v>1551688870041588</v>
      </c>
      <c r="C594" t="s">
        <v>40</v>
      </c>
      <c r="D594">
        <v>4.4837059999999997</v>
      </c>
      <c r="E594">
        <v>0.54960379999999998</v>
      </c>
      <c r="F594" t="s">
        <v>42</v>
      </c>
      <c r="G594">
        <v>-363.80790000000002</v>
      </c>
      <c r="H594" s="1">
        <v>-3.1742559999999999E-6</v>
      </c>
      <c r="I594">
        <v>366.59710000000001</v>
      </c>
      <c r="J594">
        <v>-389.32139999999998</v>
      </c>
      <c r="K594">
        <v>1.10886</v>
      </c>
      <c r="L594">
        <v>367.07979999999998</v>
      </c>
      <c r="M594">
        <v>0.99996949999999996</v>
      </c>
      <c r="N594">
        <v>-6.2703409999999996E-3</v>
      </c>
      <c r="O594">
        <v>4.6569920000000004E-3</v>
      </c>
      <c r="P594">
        <v>0.95346580000000003</v>
      </c>
      <c r="Q594">
        <v>0.291852</v>
      </c>
      <c r="R594">
        <v>7.5667040000000005E-2</v>
      </c>
      <c r="S594">
        <v>3.194</v>
      </c>
      <c r="T594">
        <v>-0.137683</v>
      </c>
      <c r="U594">
        <v>-5.9814449999999998E-2</v>
      </c>
      <c r="V594">
        <v>-7.1214849999999996E-2</v>
      </c>
      <c r="W594">
        <v>0.29782989999999998</v>
      </c>
      <c r="X594">
        <v>0.951959</v>
      </c>
      <c r="Y594">
        <v>2.3351920000000002E-2</v>
      </c>
      <c r="Z594">
        <v>-7.4774539999999902E-4</v>
      </c>
      <c r="AA594">
        <v>0.99972700000000003</v>
      </c>
      <c r="AB594">
        <v>34</v>
      </c>
      <c r="AC594">
        <v>25.513499999999901</v>
      </c>
      <c r="AD594">
        <v>-1.108863174256</v>
      </c>
      <c r="AE594">
        <v>-0.48269999999996499</v>
      </c>
      <c r="AF594">
        <v>0.60037959716892098</v>
      </c>
      <c r="AG594">
        <v>-1.108863174256</v>
      </c>
      <c r="AH594">
        <v>25.462894936948199</v>
      </c>
      <c r="AI594">
        <v>92.492860432436899</v>
      </c>
      <c r="AJ594">
        <v>88.6492955935353</v>
      </c>
      <c r="AK594">
        <v>25.494098371387501</v>
      </c>
      <c r="AL594">
        <v>72.672692856151997</v>
      </c>
      <c r="AM594">
        <v>94.278255880067803</v>
      </c>
      <c r="AN594">
        <v>1.0000000709377601</v>
      </c>
    </row>
    <row r="595" spans="1:40" x14ac:dyDescent="0.25">
      <c r="A595" t="str">
        <f>"20190304164110063"</f>
        <v>20190304164110063</v>
      </c>
      <c r="B595" t="str">
        <f>"1551688870052324"</f>
        <v>1551688870052324</v>
      </c>
      <c r="C595" t="s">
        <v>40</v>
      </c>
      <c r="D595">
        <v>4.4744769999999896</v>
      </c>
      <c r="E595">
        <v>0.54962100000000003</v>
      </c>
      <c r="F595" t="s">
        <v>42</v>
      </c>
      <c r="G595">
        <v>-363.75040000000001</v>
      </c>
      <c r="H595" s="1">
        <v>-3.2016980000000001E-6</v>
      </c>
      <c r="I595">
        <v>366.58150000000001</v>
      </c>
      <c r="J595">
        <v>-389.07130000000001</v>
      </c>
      <c r="K595">
        <v>1.108938</v>
      </c>
      <c r="L595">
        <v>367.08100000000002</v>
      </c>
      <c r="M595">
        <v>0.9999692</v>
      </c>
      <c r="N595">
        <v>-6.3320619999999899E-3</v>
      </c>
      <c r="O595">
        <v>4.6572719999999996E-3</v>
      </c>
      <c r="P595">
        <v>0.95348929999999998</v>
      </c>
      <c r="Q595">
        <v>0.29186889999999999</v>
      </c>
      <c r="R595">
        <v>7.5306150000000002E-2</v>
      </c>
      <c r="S595">
        <v>3.1937259999999998</v>
      </c>
      <c r="T595">
        <v>-0.13849220000000001</v>
      </c>
      <c r="U595">
        <v>-6.2225339999999997E-2</v>
      </c>
      <c r="V595">
        <v>-7.0853600000000003E-2</v>
      </c>
      <c r="W595">
        <v>0.29790539999999999</v>
      </c>
      <c r="X595">
        <v>0.95196219999999998</v>
      </c>
      <c r="Y595">
        <v>2.410704E-2</v>
      </c>
      <c r="Z595">
        <v>-7.7113419999999999E-4</v>
      </c>
      <c r="AA595">
        <v>0.99970910000000002</v>
      </c>
      <c r="AB595">
        <v>35</v>
      </c>
      <c r="AC595">
        <v>25.320899999999899</v>
      </c>
      <c r="AD595">
        <v>-1.108941201698</v>
      </c>
      <c r="AE595">
        <v>-0.49949999999995498</v>
      </c>
      <c r="AF595">
        <v>0.61624173492396705</v>
      </c>
      <c r="AG595">
        <v>-1.108941201698</v>
      </c>
      <c r="AH595">
        <v>25.269849175749901</v>
      </c>
      <c r="AI595">
        <v>92.512007968601495</v>
      </c>
      <c r="AJ595">
        <v>88.603036622586401</v>
      </c>
      <c r="AK595">
        <v>25.301675474755299</v>
      </c>
      <c r="AL595">
        <v>72.668159076244095</v>
      </c>
      <c r="AM595">
        <v>94.256619378436497</v>
      </c>
      <c r="AN595">
        <v>0.99999994510547796</v>
      </c>
    </row>
    <row r="596" spans="1:40" x14ac:dyDescent="0.25">
      <c r="A596" t="str">
        <f>"20190304164110076"</f>
        <v>20190304164110076</v>
      </c>
      <c r="B596" t="str">
        <f>"1551688870071846"</f>
        <v>1551688870071846</v>
      </c>
      <c r="C596" t="s">
        <v>40</v>
      </c>
      <c r="D596">
        <v>4.4165419999999997</v>
      </c>
      <c r="E596">
        <v>0.54975459999999998</v>
      </c>
      <c r="F596" t="s">
        <v>42</v>
      </c>
      <c r="G596">
        <v>-363.21559999999999</v>
      </c>
      <c r="H596" s="1">
        <v>-3.4341639999999999E-6</v>
      </c>
      <c r="I596">
        <v>366.56420000000003</v>
      </c>
      <c r="J596">
        <v>-388.84589999999997</v>
      </c>
      <c r="K596">
        <v>1.109002</v>
      </c>
      <c r="L596">
        <v>367.08199999999999</v>
      </c>
      <c r="M596">
        <v>0.99996890000000005</v>
      </c>
      <c r="N596">
        <v>-6.3840549999999996E-3</v>
      </c>
      <c r="O596">
        <v>4.65782E-3</v>
      </c>
      <c r="P596">
        <v>0.95352959999999998</v>
      </c>
      <c r="Q596">
        <v>0.29165429999999998</v>
      </c>
      <c r="R596">
        <v>7.5627379999999994E-2</v>
      </c>
      <c r="S596">
        <v>3.193298</v>
      </c>
      <c r="T596">
        <v>-0.13695940000000001</v>
      </c>
      <c r="U596">
        <v>-6.3812259999999996E-2</v>
      </c>
      <c r="V596">
        <v>-7.1173819999999999E-2</v>
      </c>
      <c r="W596">
        <v>0.29774020000000001</v>
      </c>
      <c r="X596">
        <v>0.95199009999999995</v>
      </c>
      <c r="Y596">
        <v>2.4606869999999999E-2</v>
      </c>
      <c r="Z596">
        <v>-7.7593200000000001E-4</v>
      </c>
      <c r="AA596">
        <v>0.9996969</v>
      </c>
      <c r="AB596">
        <v>35</v>
      </c>
      <c r="AC596">
        <v>25.630299999999899</v>
      </c>
      <c r="AD596">
        <v>-1.1090054341640001</v>
      </c>
      <c r="AE596">
        <v>-0.51779999999996495</v>
      </c>
      <c r="AF596">
        <v>0.63598789261528998</v>
      </c>
      <c r="AG596">
        <v>-1.1090054341640001</v>
      </c>
      <c r="AH596">
        <v>25.5797383910839</v>
      </c>
      <c r="AI596">
        <v>92.481728679408604</v>
      </c>
      <c r="AJ596">
        <v>88.575751020160595</v>
      </c>
      <c r="AK596">
        <v>25.611665111992501</v>
      </c>
      <c r="AL596">
        <v>72.678076063662104</v>
      </c>
      <c r="AM596">
        <v>94.275660967566097</v>
      </c>
      <c r="AN596">
        <v>1.0000000449237201</v>
      </c>
    </row>
    <row r="597" spans="1:40" x14ac:dyDescent="0.25">
      <c r="A597" t="str">
        <f>"20190304164110090"</f>
        <v>20190304164110090</v>
      </c>
      <c r="B597" t="str">
        <f>"1551688870081604"</f>
        <v>1551688870081604</v>
      </c>
      <c r="C597" t="s">
        <v>40</v>
      </c>
      <c r="D597">
        <v>4.4047320000000001</v>
      </c>
      <c r="E597">
        <v>0.54981610000000003</v>
      </c>
      <c r="F597" t="s">
        <v>42</v>
      </c>
      <c r="G597">
        <v>-362.85680000000002</v>
      </c>
      <c r="H597" s="1">
        <v>-3.5895800000000002E-6</v>
      </c>
      <c r="I597">
        <v>366.55579999999998</v>
      </c>
      <c r="J597">
        <v>-388.63909999999998</v>
      </c>
      <c r="K597">
        <v>1.1090519999999999</v>
      </c>
      <c r="L597">
        <v>367.08300000000003</v>
      </c>
      <c r="M597">
        <v>0.99996850000000004</v>
      </c>
      <c r="N597">
        <v>-6.4310770000000003E-3</v>
      </c>
      <c r="O597">
        <v>4.6583229999999998E-3</v>
      </c>
      <c r="P597">
        <v>0.95358030000000005</v>
      </c>
      <c r="Q597">
        <v>0.29145349999999998</v>
      </c>
      <c r="R597">
        <v>7.5759350000000003E-2</v>
      </c>
      <c r="S597">
        <v>3.192993</v>
      </c>
      <c r="T597">
        <v>-0.13625129999999999</v>
      </c>
      <c r="U597">
        <v>-6.4636230000000003E-2</v>
      </c>
      <c r="V597">
        <v>-7.1305439999999998E-2</v>
      </c>
      <c r="W597">
        <v>0.2975854</v>
      </c>
      <c r="X597">
        <v>0.9520286</v>
      </c>
      <c r="Y597">
        <v>2.4867150000000001E-2</v>
      </c>
      <c r="Z597">
        <v>-7.7900929999999901E-4</v>
      </c>
      <c r="AA597">
        <v>0.99969050000000004</v>
      </c>
      <c r="AB597">
        <v>35</v>
      </c>
      <c r="AC597">
        <v>25.7822999999999</v>
      </c>
      <c r="AD597">
        <v>-1.1090555895799901</v>
      </c>
      <c r="AE597">
        <v>-0.52720000000004996</v>
      </c>
      <c r="AF597">
        <v>0.64610399602384505</v>
      </c>
      <c r="AG597">
        <v>-1.1090555895799901</v>
      </c>
      <c r="AH597">
        <v>25.731970046455601</v>
      </c>
      <c r="AI597">
        <v>92.4671611371067</v>
      </c>
      <c r="AJ597">
        <v>88.561662582452897</v>
      </c>
      <c r="AK597">
        <v>25.763961984643299</v>
      </c>
      <c r="AL597">
        <v>72.687365698857207</v>
      </c>
      <c r="AM597">
        <v>94.283365858275602</v>
      </c>
      <c r="AN597">
        <v>0.99999999564235598</v>
      </c>
    </row>
    <row r="598" spans="1:40" x14ac:dyDescent="0.25">
      <c r="A598" t="str">
        <f>"20190304164110106"</f>
        <v>20190304164110106</v>
      </c>
      <c r="B598" t="str">
        <f>"1551688870102100"</f>
        <v>1551688870102100</v>
      </c>
      <c r="C598" t="s">
        <v>40</v>
      </c>
      <c r="D598">
        <v>4.381367</v>
      </c>
      <c r="E598">
        <v>0.54991250000000003</v>
      </c>
      <c r="F598" t="s">
        <v>42</v>
      </c>
      <c r="G598">
        <v>-362.64839999999998</v>
      </c>
      <c r="H598" s="1">
        <v>-3.6794069999999999E-6</v>
      </c>
      <c r="I598">
        <v>366.55349999999999</v>
      </c>
      <c r="J598">
        <v>-388.39490000000001</v>
      </c>
      <c r="K598">
        <v>1.1091059999999999</v>
      </c>
      <c r="L598">
        <v>367.08409999999998</v>
      </c>
      <c r="M598">
        <v>0.99996830000000003</v>
      </c>
      <c r="N598">
        <v>-6.4864669999999897E-3</v>
      </c>
      <c r="O598">
        <v>4.658321E-3</v>
      </c>
      <c r="P598">
        <v>0.95361609999999997</v>
      </c>
      <c r="Q598">
        <v>0.29121219999999998</v>
      </c>
      <c r="R598">
        <v>7.6238710000000001E-2</v>
      </c>
      <c r="S598">
        <v>3.192841</v>
      </c>
      <c r="T598">
        <v>-0.13624240000000001</v>
      </c>
      <c r="U598">
        <v>-6.5032960000000001E-2</v>
      </c>
      <c r="V598">
        <v>-7.1784689999999998E-2</v>
      </c>
      <c r="W598">
        <v>0.29739650000000001</v>
      </c>
      <c r="X598">
        <v>0.9520516</v>
      </c>
      <c r="Y598">
        <v>2.4992139999999999E-2</v>
      </c>
      <c r="Z598">
        <v>-7.8249750000000001E-4</v>
      </c>
      <c r="AA598">
        <v>0.99968729999999995</v>
      </c>
      <c r="AB598">
        <v>35</v>
      </c>
      <c r="AC598">
        <v>25.746500000000001</v>
      </c>
      <c r="AD598">
        <v>-1.1091096794069999</v>
      </c>
      <c r="AE598">
        <v>-0.53059999999999197</v>
      </c>
      <c r="AF598">
        <v>0.64932774569968799</v>
      </c>
      <c r="AG598">
        <v>-1.1091096794069999</v>
      </c>
      <c r="AH598">
        <v>25.696084371538401</v>
      </c>
      <c r="AI598">
        <v>92.470712739327197</v>
      </c>
      <c r="AJ598">
        <v>88.552471145240602</v>
      </c>
      <c r="AK598">
        <v>25.7282044229968</v>
      </c>
      <c r="AL598">
        <v>72.698701933913199</v>
      </c>
      <c r="AM598">
        <v>94.311942726854795</v>
      </c>
      <c r="AN598">
        <v>0.99999998449660199</v>
      </c>
    </row>
    <row r="599" spans="1:40" x14ac:dyDescent="0.25">
      <c r="A599" t="str">
        <f>"20190304164110117"</f>
        <v>20190304164110117</v>
      </c>
      <c r="B599" t="str">
        <f>"1551688870111860"</f>
        <v>1551688870111860</v>
      </c>
      <c r="C599" t="s">
        <v>40</v>
      </c>
      <c r="D599">
        <v>4.3501310000000002</v>
      </c>
      <c r="E599">
        <v>0.549987</v>
      </c>
      <c r="F599" t="s">
        <v>42</v>
      </c>
      <c r="G599">
        <v>-362.24400000000003</v>
      </c>
      <c r="H599" s="1">
        <v>-3.8516349999999996E-6</v>
      </c>
      <c r="I599">
        <v>366.56049999999999</v>
      </c>
      <c r="J599">
        <v>-388.20920000000001</v>
      </c>
      <c r="K599">
        <v>1.10914</v>
      </c>
      <c r="L599">
        <v>367.08499999999998</v>
      </c>
      <c r="M599">
        <v>0.99996790000000002</v>
      </c>
      <c r="N599">
        <v>-6.5293E-3</v>
      </c>
      <c r="O599">
        <v>4.6588350000000001E-3</v>
      </c>
      <c r="P599">
        <v>0.95360730000000005</v>
      </c>
      <c r="Q599">
        <v>0.2912092</v>
      </c>
      <c r="R599">
        <v>7.6358709999999996E-2</v>
      </c>
      <c r="S599">
        <v>3.1923520000000001</v>
      </c>
      <c r="T599">
        <v>-0.1353936</v>
      </c>
      <c r="U599">
        <v>-6.3903810000000005E-2</v>
      </c>
      <c r="V599">
        <v>-7.1904120000000002E-2</v>
      </c>
      <c r="W599">
        <v>0.29743429999999998</v>
      </c>
      <c r="X599">
        <v>0.95203079999999995</v>
      </c>
      <c r="Y599">
        <v>2.4643000000000002E-2</v>
      </c>
      <c r="Z599">
        <v>-7.6987089999999995E-4</v>
      </c>
      <c r="AA599">
        <v>0.99969600000000003</v>
      </c>
      <c r="AB599">
        <v>35</v>
      </c>
      <c r="AC599">
        <v>25.9651999999999</v>
      </c>
      <c r="AD599">
        <v>-1.1091438516350001</v>
      </c>
      <c r="AE599">
        <v>-0.52449999999998898</v>
      </c>
      <c r="AF599">
        <v>0.644289302786617</v>
      </c>
      <c r="AG599">
        <v>-1.1091438516350001</v>
      </c>
      <c r="AH599">
        <v>25.915206300349801</v>
      </c>
      <c r="AI599">
        <v>92.449947982306199</v>
      </c>
      <c r="AJ599">
        <v>88.575837884383205</v>
      </c>
      <c r="AK599">
        <v>25.946930962620499</v>
      </c>
      <c r="AL599">
        <v>72.696433863725602</v>
      </c>
      <c r="AM599">
        <v>94.319183497507595</v>
      </c>
      <c r="AN599">
        <v>1.00000000471905</v>
      </c>
    </row>
    <row r="600" spans="1:40" x14ac:dyDescent="0.25">
      <c r="A600" t="str">
        <f>"20190304164110129"</f>
        <v>20190304164110129</v>
      </c>
      <c r="B600" t="str">
        <f>"1551688870121620"</f>
        <v>1551688870121620</v>
      </c>
      <c r="C600" t="s">
        <v>40</v>
      </c>
      <c r="D600">
        <v>4.3703779999999997</v>
      </c>
      <c r="E600">
        <v>0.55005400000000004</v>
      </c>
      <c r="F600" t="s">
        <v>42</v>
      </c>
      <c r="G600">
        <v>-361.91399999999999</v>
      </c>
      <c r="H600" s="1">
        <v>-3.9933590000000001E-6</v>
      </c>
      <c r="I600">
        <v>366.5598</v>
      </c>
      <c r="J600">
        <v>-388.03800000000001</v>
      </c>
      <c r="K600">
        <v>1.10917</v>
      </c>
      <c r="L600">
        <v>367.08580000000001</v>
      </c>
      <c r="M600">
        <v>0.99996759999999996</v>
      </c>
      <c r="N600">
        <v>-6.5684840000000003E-3</v>
      </c>
      <c r="O600">
        <v>4.6590640000000001E-3</v>
      </c>
      <c r="P600">
        <v>0.9536095</v>
      </c>
      <c r="Q600">
        <v>0.29116550000000002</v>
      </c>
      <c r="R600">
        <v>7.649794E-2</v>
      </c>
      <c r="S600">
        <v>3.1921689999999998</v>
      </c>
      <c r="T600">
        <v>-0.13464699999999999</v>
      </c>
      <c r="U600">
        <v>-6.3751219999999997E-2</v>
      </c>
      <c r="V600">
        <v>-7.2043159999999995E-2</v>
      </c>
      <c r="W600">
        <v>0.29742790000000002</v>
      </c>
      <c r="X600">
        <v>0.95202229999999999</v>
      </c>
      <c r="Y600">
        <v>2.4596940000000001E-2</v>
      </c>
      <c r="Z600">
        <v>-7.6513259999999995E-4</v>
      </c>
      <c r="AA600">
        <v>0.99969710000000001</v>
      </c>
      <c r="AB600">
        <v>35</v>
      </c>
      <c r="AC600">
        <v>26.123999999999999</v>
      </c>
      <c r="AD600">
        <v>-1.1091739933589999</v>
      </c>
      <c r="AE600">
        <v>-0.52600000000001002</v>
      </c>
      <c r="AF600">
        <v>0.64654525572783506</v>
      </c>
      <c r="AG600">
        <v>-1.1091739933589999</v>
      </c>
      <c r="AH600">
        <v>26.074281045730899</v>
      </c>
      <c r="AI600">
        <v>92.435089339109098</v>
      </c>
      <c r="AJ600">
        <v>88.579568700282806</v>
      </c>
      <c r="AK600">
        <v>26.105869450508798</v>
      </c>
      <c r="AL600">
        <v>72.696818142702398</v>
      </c>
      <c r="AM600">
        <v>94.327542236822893</v>
      </c>
      <c r="AN600">
        <v>1.0000000161492399</v>
      </c>
    </row>
    <row r="601" spans="1:40" x14ac:dyDescent="0.25">
      <c r="A601" t="str">
        <f>"20190304164110140"</f>
        <v>20190304164110140</v>
      </c>
      <c r="B601" t="str">
        <f>"1551688870132357"</f>
        <v>1551688870132357</v>
      </c>
      <c r="C601" t="s">
        <v>40</v>
      </c>
      <c r="D601">
        <v>4.3471820000000001</v>
      </c>
      <c r="E601">
        <v>0.55012620000000001</v>
      </c>
      <c r="F601" t="s">
        <v>42</v>
      </c>
      <c r="G601">
        <v>-361.6103</v>
      </c>
      <c r="H601" s="1">
        <v>-4.1231749999999997E-6</v>
      </c>
      <c r="I601">
        <v>366.56240000000003</v>
      </c>
      <c r="J601">
        <v>-387.85399999999998</v>
      </c>
      <c r="K601">
        <v>1.1092029999999999</v>
      </c>
      <c r="L601">
        <v>367.08670000000001</v>
      </c>
      <c r="M601">
        <v>0.99996750000000001</v>
      </c>
      <c r="N601">
        <v>-6.6104619999999897E-3</v>
      </c>
      <c r="O601">
        <v>4.6593999999999898E-3</v>
      </c>
      <c r="P601">
        <v>0.95373240000000004</v>
      </c>
      <c r="Q601">
        <v>0.29061999999999999</v>
      </c>
      <c r="R601">
        <v>7.7038259999999997E-2</v>
      </c>
      <c r="S601">
        <v>3.1919249999999999</v>
      </c>
      <c r="T601">
        <v>-0.1339649</v>
      </c>
      <c r="U601">
        <v>-6.3201900000000005E-2</v>
      </c>
      <c r="V601">
        <v>-7.258262E-2</v>
      </c>
      <c r="W601">
        <v>0.29692299999999999</v>
      </c>
      <c r="X601">
        <v>0.95213890000000001</v>
      </c>
      <c r="Y601">
        <v>2.4427259999999999E-2</v>
      </c>
      <c r="Z601">
        <v>-7.5778199999999895E-4</v>
      </c>
      <c r="AA601">
        <v>0.99970130000000001</v>
      </c>
      <c r="AB601">
        <v>35</v>
      </c>
      <c r="AC601">
        <v>26.2437</v>
      </c>
      <c r="AD601">
        <v>-1.109207123175</v>
      </c>
      <c r="AE601">
        <v>-0.524299999999982</v>
      </c>
      <c r="AF601">
        <v>0.64542433435770596</v>
      </c>
      <c r="AG601">
        <v>-1.109207123175</v>
      </c>
      <c r="AH601">
        <v>26.1941978694352</v>
      </c>
      <c r="AI601">
        <v>92.424036510677794</v>
      </c>
      <c r="AJ601">
        <v>88.588519130197298</v>
      </c>
      <c r="AK601">
        <v>26.225615627409098</v>
      </c>
      <c r="AL601">
        <v>72.727115149276798</v>
      </c>
      <c r="AM601">
        <v>94.359290591842495</v>
      </c>
      <c r="AN601">
        <v>0.99999999477413704</v>
      </c>
    </row>
    <row r="602" spans="1:40" x14ac:dyDescent="0.25">
      <c r="A602" t="str">
        <f>"20190304164110152"</f>
        <v>20190304164110152</v>
      </c>
      <c r="B602" t="str">
        <f>"1551688870142117"</f>
        <v>1551688870142117</v>
      </c>
      <c r="C602" t="s">
        <v>40</v>
      </c>
      <c r="D602">
        <v>4.3372769999999896</v>
      </c>
      <c r="E602">
        <v>0.55018619999999996</v>
      </c>
      <c r="F602" t="s">
        <v>42</v>
      </c>
      <c r="G602">
        <v>-361.7278</v>
      </c>
      <c r="H602" s="1">
        <v>-4.0692199999999996E-6</v>
      </c>
      <c r="I602">
        <v>366.58249999999998</v>
      </c>
      <c r="J602">
        <v>-387.67189999999999</v>
      </c>
      <c r="K602">
        <v>1.109229</v>
      </c>
      <c r="L602">
        <v>367.08749999999998</v>
      </c>
      <c r="M602">
        <v>0.99996700000000005</v>
      </c>
      <c r="N602">
        <v>-6.6520559999999999E-3</v>
      </c>
      <c r="O602">
        <v>4.6597979999999997E-3</v>
      </c>
      <c r="P602">
        <v>0.95379530000000001</v>
      </c>
      <c r="Q602">
        <v>0.29037829999999998</v>
      </c>
      <c r="R602">
        <v>7.7169420000000002E-2</v>
      </c>
      <c r="S602">
        <v>3.1918030000000002</v>
      </c>
      <c r="T602">
        <v>-0.13550999999999999</v>
      </c>
      <c r="U602">
        <v>-6.1584470000000002E-2</v>
      </c>
      <c r="V602">
        <v>-7.2713139999999996E-2</v>
      </c>
      <c r="W602">
        <v>0.29672169999999998</v>
      </c>
      <c r="X602">
        <v>0.95219169999999997</v>
      </c>
      <c r="Y602">
        <v>2.3921899999999999E-2</v>
      </c>
      <c r="Z602">
        <v>-7.5389450000000002E-4</v>
      </c>
      <c r="AA602">
        <v>0.99971350000000003</v>
      </c>
      <c r="AB602">
        <v>35</v>
      </c>
      <c r="AC602">
        <v>25.944099999999899</v>
      </c>
      <c r="AD602">
        <v>-1.1092330692200001</v>
      </c>
      <c r="AE602">
        <v>-0.50499999999999501</v>
      </c>
      <c r="AF602">
        <v>0.62474986956921497</v>
      </c>
      <c r="AG602">
        <v>-1.1092330692200001</v>
      </c>
      <c r="AH602">
        <v>25.894149336045199</v>
      </c>
      <c r="AI602">
        <v>92.452178852229196</v>
      </c>
      <c r="AJ602">
        <v>88.617889044014603</v>
      </c>
      <c r="AK602">
        <v>25.925425362735801</v>
      </c>
      <c r="AL602">
        <v>72.739193217340599</v>
      </c>
      <c r="AM602">
        <v>94.3668580626222</v>
      </c>
      <c r="AN602">
        <v>1.00000000076421</v>
      </c>
    </row>
    <row r="603" spans="1:40" x14ac:dyDescent="0.25">
      <c r="A603" t="str">
        <f>"20190304164110166"</f>
        <v>20190304164110166</v>
      </c>
      <c r="B603" t="str">
        <f>"1551688870161636"</f>
        <v>1551688870161636</v>
      </c>
      <c r="C603" t="s">
        <v>40</v>
      </c>
      <c r="D603">
        <v>4.3216720000000004</v>
      </c>
      <c r="E603">
        <v>0.55037700000000001</v>
      </c>
      <c r="F603" t="s">
        <v>42</v>
      </c>
      <c r="G603">
        <v>-361.45010000000002</v>
      </c>
      <c r="H603" s="1">
        <v>-4.18964099999999E-6</v>
      </c>
      <c r="I603">
        <v>366.5752</v>
      </c>
      <c r="J603">
        <v>-387.46039999999999</v>
      </c>
      <c r="K603">
        <v>1.1092569999999999</v>
      </c>
      <c r="L603">
        <v>367.08850000000001</v>
      </c>
      <c r="M603">
        <v>0.99996680000000004</v>
      </c>
      <c r="N603">
        <v>-6.7001669999999999E-3</v>
      </c>
      <c r="O603">
        <v>4.6607699999999998E-3</v>
      </c>
      <c r="P603">
        <v>0.9538683</v>
      </c>
      <c r="Q603">
        <v>0.29008270000000003</v>
      </c>
      <c r="R603">
        <v>7.7379619999999996E-2</v>
      </c>
      <c r="S603">
        <v>3.1914669999999998</v>
      </c>
      <c r="T603">
        <v>-0.1350046</v>
      </c>
      <c r="U603">
        <v>-6.2347409999999999E-2</v>
      </c>
      <c r="V603">
        <v>-7.2922000000000001E-2</v>
      </c>
      <c r="W603">
        <v>0.29647259999999998</v>
      </c>
      <c r="X603">
        <v>0.95225329999999997</v>
      </c>
      <c r="Y603">
        <v>2.416372E-2</v>
      </c>
      <c r="Z603">
        <v>-7.5764799999999998E-4</v>
      </c>
      <c r="AA603">
        <v>0.99970769999999998</v>
      </c>
      <c r="AB603">
        <v>35</v>
      </c>
      <c r="AC603">
        <v>26.010299999999901</v>
      </c>
      <c r="AD603">
        <v>-1.1092611896409901</v>
      </c>
      <c r="AE603">
        <v>-0.51330000000001497</v>
      </c>
      <c r="AF603">
        <v>0.63337364835839205</v>
      </c>
      <c r="AG603">
        <v>-1.1092611896409901</v>
      </c>
      <c r="AH603">
        <v>25.960427479967699</v>
      </c>
      <c r="AI603">
        <v>92.445971844390698</v>
      </c>
      <c r="AJ603">
        <v>88.602394390966893</v>
      </c>
      <c r="AK603">
        <v>25.991833669595898</v>
      </c>
      <c r="AL603">
        <v>72.7541377762727</v>
      </c>
      <c r="AM603">
        <v>94.379070432830403</v>
      </c>
      <c r="AN603">
        <v>0.99999998399782397</v>
      </c>
    </row>
    <row r="604" spans="1:40" x14ac:dyDescent="0.25">
      <c r="A604" t="str">
        <f>"20190304164110178"</f>
        <v>20190304164110178</v>
      </c>
      <c r="B604" t="str">
        <f>"1551688870172374"</f>
        <v>1551688870172374</v>
      </c>
      <c r="C604" t="s">
        <v>40</v>
      </c>
      <c r="D604">
        <v>4.2729819999999998</v>
      </c>
      <c r="E604">
        <v>0.55044190000000004</v>
      </c>
      <c r="F604" t="s">
        <v>42</v>
      </c>
      <c r="G604">
        <v>-361.18560000000002</v>
      </c>
      <c r="H604" s="1">
        <v>-4.3048160000000003E-6</v>
      </c>
      <c r="I604">
        <v>366.56549999999999</v>
      </c>
      <c r="J604">
        <v>-387.25470000000001</v>
      </c>
      <c r="K604">
        <v>1.1092869999999999</v>
      </c>
      <c r="L604">
        <v>367.08940000000001</v>
      </c>
      <c r="M604">
        <v>0.99996640000000003</v>
      </c>
      <c r="N604">
        <v>-6.7464219999999898E-3</v>
      </c>
      <c r="O604">
        <v>4.6636630000000002E-3</v>
      </c>
      <c r="P604">
        <v>0.953878</v>
      </c>
      <c r="Q604">
        <v>0.2900104</v>
      </c>
      <c r="R604">
        <v>7.7531349999999999E-2</v>
      </c>
      <c r="S604">
        <v>3.1912229999999999</v>
      </c>
      <c r="T604">
        <v>-0.1347255</v>
      </c>
      <c r="U604">
        <v>-6.3507079999999994E-2</v>
      </c>
      <c r="V604">
        <v>-7.3071620000000004E-2</v>
      </c>
      <c r="W604">
        <v>0.29644389999999998</v>
      </c>
      <c r="X604">
        <v>0.95225079999999995</v>
      </c>
      <c r="Y604">
        <v>2.4530969999999999E-2</v>
      </c>
      <c r="Z604">
        <v>-7.6567080000000004E-4</v>
      </c>
      <c r="AA604">
        <v>0.9996988</v>
      </c>
      <c r="AB604">
        <v>35</v>
      </c>
      <c r="AC604">
        <v>26.069099999999899</v>
      </c>
      <c r="AD604">
        <v>-1.109291304816</v>
      </c>
      <c r="AE604">
        <v>-0.52390000000002601</v>
      </c>
      <c r="AF604">
        <v>0.64430840388896704</v>
      </c>
      <c r="AG604">
        <v>-1.109291304816</v>
      </c>
      <c r="AH604">
        <v>26.019279846875101</v>
      </c>
      <c r="AI604">
        <v>92.440490372661401</v>
      </c>
      <c r="AJ604">
        <v>88.581489969482604</v>
      </c>
      <c r="AK604">
        <v>26.0508845198827</v>
      </c>
      <c r="AL604">
        <v>72.755860150211504</v>
      </c>
      <c r="AM604">
        <v>94.388031747046696</v>
      </c>
      <c r="AN604">
        <v>1.00000001679863</v>
      </c>
    </row>
    <row r="605" spans="1:40" x14ac:dyDescent="0.25">
      <c r="A605" t="str">
        <f>"20190304164110189"</f>
        <v>20190304164110189</v>
      </c>
      <c r="B605" t="str">
        <f>"1551688870182133"</f>
        <v>1551688870182133</v>
      </c>
      <c r="C605" t="s">
        <v>40</v>
      </c>
      <c r="D605">
        <v>4.2629900000000003</v>
      </c>
      <c r="E605">
        <v>0.55048819999999998</v>
      </c>
      <c r="F605" t="s">
        <v>42</v>
      </c>
      <c r="G605">
        <v>-360.85660000000001</v>
      </c>
      <c r="H605" s="1">
        <v>-4.4465809999999996E-6</v>
      </c>
      <c r="I605">
        <v>366.56200000000001</v>
      </c>
      <c r="J605">
        <v>-387.0788</v>
      </c>
      <c r="K605">
        <v>1.109307</v>
      </c>
      <c r="L605">
        <v>367.09030000000001</v>
      </c>
      <c r="M605">
        <v>0.99996609999999997</v>
      </c>
      <c r="N605">
        <v>-6.785953E-3</v>
      </c>
      <c r="O605">
        <v>4.6687899999999999E-3</v>
      </c>
      <c r="P605">
        <v>0.95397370000000004</v>
      </c>
      <c r="Q605">
        <v>0.289670599999999</v>
      </c>
      <c r="R605">
        <v>7.7624070000000003E-2</v>
      </c>
      <c r="S605">
        <v>3.1910099999999999</v>
      </c>
      <c r="T605">
        <v>-0.13409099999999999</v>
      </c>
      <c r="U605">
        <v>-6.3751219999999997E-2</v>
      </c>
      <c r="V605">
        <v>-7.3160509999999998E-2</v>
      </c>
      <c r="W605">
        <v>0.29614249999999998</v>
      </c>
      <c r="X605">
        <v>0.95233769999999995</v>
      </c>
      <c r="Y605">
        <v>2.4614029999999999E-2</v>
      </c>
      <c r="Z605">
        <v>-7.648644E-4</v>
      </c>
      <c r="AA605">
        <v>0.99969669999999999</v>
      </c>
      <c r="AB605">
        <v>35</v>
      </c>
      <c r="AC605">
        <v>26.222199999999901</v>
      </c>
      <c r="AD605">
        <v>-1.1093114465809999</v>
      </c>
      <c r="AE605">
        <v>-0.52830000000005795</v>
      </c>
      <c r="AF605">
        <v>0.64956098613003399</v>
      </c>
      <c r="AG605">
        <v>-1.1093114465809999</v>
      </c>
      <c r="AH605">
        <v>26.172626711408</v>
      </c>
      <c r="AI605">
        <v>92.4262492046402</v>
      </c>
      <c r="AJ605">
        <v>88.578306068133003</v>
      </c>
      <c r="AK605">
        <v>26.2041769635095</v>
      </c>
      <c r="AL605">
        <v>72.773940108427894</v>
      </c>
      <c r="AM605">
        <v>94.392949484009094</v>
      </c>
      <c r="AN605">
        <v>0.99999996768549904</v>
      </c>
    </row>
    <row r="606" spans="1:40" x14ac:dyDescent="0.25">
      <c r="A606" t="str">
        <f>"20190304164110207"</f>
        <v>20190304164110207</v>
      </c>
      <c r="B606" t="str">
        <f>"1551688870201652"</f>
        <v>1551688870201652</v>
      </c>
      <c r="C606" t="s">
        <v>40</v>
      </c>
      <c r="D606">
        <v>4.2254969999999998</v>
      </c>
      <c r="E606">
        <v>0.5506896</v>
      </c>
      <c r="F606" t="s">
        <v>42</v>
      </c>
      <c r="G606">
        <v>-360.80560000000003</v>
      </c>
      <c r="H606" s="1">
        <v>-4.4687229999999997E-6</v>
      </c>
      <c r="I606">
        <v>366.56049999999999</v>
      </c>
      <c r="J606">
        <v>-386.81150000000002</v>
      </c>
      <c r="K606">
        <v>1.1093309999999901</v>
      </c>
      <c r="L606">
        <v>367.09160000000003</v>
      </c>
      <c r="M606">
        <v>0.99996560000000001</v>
      </c>
      <c r="N606">
        <v>-6.8457459999999998E-3</v>
      </c>
      <c r="O606">
        <v>4.6810189999999998E-3</v>
      </c>
      <c r="P606">
        <v>0.95403930000000003</v>
      </c>
      <c r="Q606">
        <v>0.28952030000000001</v>
      </c>
      <c r="R606">
        <v>7.7376399999999901E-2</v>
      </c>
      <c r="S606">
        <v>3.1908569999999998</v>
      </c>
      <c r="T606">
        <v>-0.13472439999999999</v>
      </c>
      <c r="U606">
        <v>-6.4331050000000001E-2</v>
      </c>
      <c r="V606">
        <v>-7.2903899999999994E-2</v>
      </c>
      <c r="W606">
        <v>0.29604819999999998</v>
      </c>
      <c r="X606">
        <v>0.95238670000000003</v>
      </c>
      <c r="Y606">
        <v>2.480831E-2</v>
      </c>
      <c r="Z606">
        <v>-7.7391699999999897E-4</v>
      </c>
      <c r="AA606">
        <v>0.99969189999999997</v>
      </c>
      <c r="AB606">
        <v>35</v>
      </c>
      <c r="AC606">
        <v>26.0059</v>
      </c>
      <c r="AD606">
        <v>-1.1093354687229999</v>
      </c>
      <c r="AE606">
        <v>-0.53110000000003699</v>
      </c>
      <c r="AF606">
        <v>0.65164588979664495</v>
      </c>
      <c r="AG606">
        <v>-1.1093354687229999</v>
      </c>
      <c r="AH606">
        <v>25.955918555741398</v>
      </c>
      <c r="AI606">
        <v>92.4465170394447</v>
      </c>
      <c r="AJ606">
        <v>88.561841776529604</v>
      </c>
      <c r="AK606">
        <v>25.9877851234024</v>
      </c>
      <c r="AL606">
        <v>72.779596809886399</v>
      </c>
      <c r="AM606">
        <v>94.377376890789805</v>
      </c>
      <c r="AN606">
        <v>0.99999997084766901</v>
      </c>
    </row>
    <row r="607" spans="1:40" x14ac:dyDescent="0.25">
      <c r="A607" t="str">
        <f>"20190304164110218"</f>
        <v>20190304164110218</v>
      </c>
      <c r="B607" t="str">
        <f>"1551688870212389"</f>
        <v>1551688870212389</v>
      </c>
      <c r="C607" t="s">
        <v>40</v>
      </c>
      <c r="D607">
        <v>4.2299049999999996</v>
      </c>
      <c r="E607">
        <v>0.55076320000000001</v>
      </c>
      <c r="F607" t="s">
        <v>42</v>
      </c>
      <c r="G607">
        <v>-360.6035</v>
      </c>
      <c r="H607" s="1">
        <v>-4.5586940000000003E-6</v>
      </c>
      <c r="I607">
        <v>366.5421</v>
      </c>
      <c r="J607">
        <v>-386.63679999999999</v>
      </c>
      <c r="K607">
        <v>1.1093500000000001</v>
      </c>
      <c r="L607">
        <v>367.0924</v>
      </c>
      <c r="M607">
        <v>0.99996529999999995</v>
      </c>
      <c r="N607">
        <v>-6.8844049999999997E-3</v>
      </c>
      <c r="O607">
        <v>4.693198E-3</v>
      </c>
      <c r="P607">
        <v>0.95417830000000003</v>
      </c>
      <c r="Q607">
        <v>0.28911290000000001</v>
      </c>
      <c r="R607">
        <v>7.7186569999999996E-2</v>
      </c>
      <c r="S607">
        <v>3.1909480000000001</v>
      </c>
      <c r="T607">
        <v>-0.13506660000000001</v>
      </c>
      <c r="U607">
        <v>-6.6894529999999994E-2</v>
      </c>
      <c r="V607">
        <v>-7.2705080000000005E-2</v>
      </c>
      <c r="W607">
        <v>0.29567830000000001</v>
      </c>
      <c r="X607">
        <v>0.9525169</v>
      </c>
      <c r="Y607">
        <v>2.5621669999999999E-2</v>
      </c>
      <c r="Z607">
        <v>-7.9645780000000004E-4</v>
      </c>
      <c r="AA607">
        <v>0.99967139999999999</v>
      </c>
      <c r="AB607">
        <v>35</v>
      </c>
      <c r="AC607">
        <v>26.033300000000001</v>
      </c>
      <c r="AD607">
        <v>-1.1093545586939999</v>
      </c>
      <c r="AE607">
        <v>-0.55029999999999202</v>
      </c>
      <c r="AF607">
        <v>0.67125789898622701</v>
      </c>
      <c r="AG607">
        <v>-1.1093545586939999</v>
      </c>
      <c r="AH607">
        <v>25.983269650360199</v>
      </c>
      <c r="AI607">
        <v>92.443941606456605</v>
      </c>
      <c r="AJ607">
        <v>88.520136522555106</v>
      </c>
      <c r="AK607">
        <v>26.015602173064799</v>
      </c>
      <c r="AL607">
        <v>72.801785499916804</v>
      </c>
      <c r="AM607">
        <v>94.364890915718505</v>
      </c>
      <c r="AN607">
        <v>1.0000000652671499</v>
      </c>
    </row>
    <row r="608" spans="1:40" x14ac:dyDescent="0.25">
      <c r="A608" t="str">
        <f>"20190304164110232"</f>
        <v>20190304164110232</v>
      </c>
      <c r="B608" t="str">
        <f>"1551688870222148"</f>
        <v>1551688870222148</v>
      </c>
      <c r="C608" t="s">
        <v>40</v>
      </c>
      <c r="D608">
        <v>4.289676</v>
      </c>
      <c r="E608">
        <v>0.55087949999999997</v>
      </c>
      <c r="F608" t="s">
        <v>42</v>
      </c>
      <c r="G608">
        <v>-360.56659999999999</v>
      </c>
      <c r="H608" s="1">
        <v>-4.5759519999999901E-6</v>
      </c>
      <c r="I608">
        <v>366.53399999999999</v>
      </c>
      <c r="J608">
        <v>-386.41640000000001</v>
      </c>
      <c r="K608">
        <v>1.109372</v>
      </c>
      <c r="L608">
        <v>367.09339999999997</v>
      </c>
      <c r="M608">
        <v>0.99996490000000005</v>
      </c>
      <c r="N608">
        <v>-6.9315260000000004E-3</v>
      </c>
      <c r="O608">
        <v>4.7144880000000002E-3</v>
      </c>
      <c r="P608">
        <v>0.95418159999999996</v>
      </c>
      <c r="Q608">
        <v>0.28913689999999997</v>
      </c>
      <c r="R608">
        <v>7.7055460000000006E-2</v>
      </c>
      <c r="S608">
        <v>3.1907649999999999</v>
      </c>
      <c r="T608">
        <v>-0.13577510000000001</v>
      </c>
      <c r="U608">
        <v>-6.8328860000000005E-2</v>
      </c>
      <c r="V608">
        <v>-7.2558600000000001E-2</v>
      </c>
      <c r="W608">
        <v>0.29574620000000001</v>
      </c>
      <c r="X608">
        <v>0.95250690000000005</v>
      </c>
      <c r="Y608">
        <v>2.6092500000000001E-2</v>
      </c>
      <c r="Z608">
        <v>-8.131646E-4</v>
      </c>
      <c r="AA608">
        <v>0.99965919999999997</v>
      </c>
      <c r="AB608">
        <v>35</v>
      </c>
      <c r="AC608">
        <v>25.849799999999998</v>
      </c>
      <c r="AD608">
        <v>-1.109376575952</v>
      </c>
      <c r="AE608">
        <v>-0.55939999999998202</v>
      </c>
      <c r="AF608">
        <v>0.68001341238012203</v>
      </c>
      <c r="AG608">
        <v>-1.109376575952</v>
      </c>
      <c r="AH608">
        <v>25.799380181971301</v>
      </c>
      <c r="AI608">
        <v>92.461355096440897</v>
      </c>
      <c r="AJ608">
        <v>88.490162191804799</v>
      </c>
      <c r="AK608">
        <v>25.832172816125599</v>
      </c>
      <c r="AL608">
        <v>72.797711467467707</v>
      </c>
      <c r="AM608">
        <v>94.3561763460159</v>
      </c>
      <c r="AN608">
        <v>0.99999997989800404</v>
      </c>
    </row>
    <row r="609" spans="1:40" x14ac:dyDescent="0.25">
      <c r="A609" t="str">
        <f>"20190304164110245"</f>
        <v>20190304164110245</v>
      </c>
      <c r="B609" t="str">
        <f>"1551688870231908"</f>
        <v>1551688870231908</v>
      </c>
      <c r="C609" t="s">
        <v>40</v>
      </c>
      <c r="D609">
        <v>4.2052490000000002</v>
      </c>
      <c r="E609">
        <v>0.55091919999999905</v>
      </c>
      <c r="F609" t="s">
        <v>42</v>
      </c>
      <c r="G609">
        <v>-360.37520000000001</v>
      </c>
      <c r="H609" s="1">
        <v>-4.6607769999999999E-6</v>
      </c>
      <c r="I609">
        <v>366.5188</v>
      </c>
      <c r="J609">
        <v>-386.20310000000001</v>
      </c>
      <c r="K609">
        <v>1.1093959999999901</v>
      </c>
      <c r="L609">
        <v>367.09449999999998</v>
      </c>
      <c r="M609">
        <v>0.99996450000000003</v>
      </c>
      <c r="N609">
        <v>-6.9763300000000002E-3</v>
      </c>
      <c r="O609">
        <v>4.7399649999999996E-3</v>
      </c>
      <c r="P609">
        <v>0.95426429999999995</v>
      </c>
      <c r="Q609">
        <v>0.2888966</v>
      </c>
      <c r="R609">
        <v>7.6934089999999997E-2</v>
      </c>
      <c r="S609">
        <v>3.1909179999999999</v>
      </c>
      <c r="T609">
        <v>-0.13593549999999999</v>
      </c>
      <c r="U609">
        <v>-7.0404049999999996E-2</v>
      </c>
      <c r="V609">
        <v>-7.2417460000000003E-2</v>
      </c>
      <c r="W609">
        <v>0.29554750000000002</v>
      </c>
      <c r="X609">
        <v>0.95257930000000002</v>
      </c>
      <c r="Y609">
        <v>2.676595E-2</v>
      </c>
      <c r="Z609">
        <v>-8.3198409999999995E-4</v>
      </c>
      <c r="AA609">
        <v>0.99964140000000001</v>
      </c>
      <c r="AB609">
        <v>35</v>
      </c>
      <c r="AC609">
        <v>25.8279</v>
      </c>
      <c r="AD609">
        <v>-1.10940066077699</v>
      </c>
      <c r="AE609">
        <v>-0.575699999999983</v>
      </c>
      <c r="AF609">
        <v>0.69683481674200398</v>
      </c>
      <c r="AG609">
        <v>-1.10940066077699</v>
      </c>
      <c r="AH609">
        <v>25.777345145424899</v>
      </c>
      <c r="AI609">
        <v>92.463465631367299</v>
      </c>
      <c r="AJ609">
        <v>88.451509552440001</v>
      </c>
      <c r="AK609">
        <v>25.810615477634698</v>
      </c>
      <c r="AL609">
        <v>72.809628669191099</v>
      </c>
      <c r="AM609">
        <v>94.347406113976803</v>
      </c>
      <c r="AN609">
        <v>0.99999996802879498</v>
      </c>
    </row>
    <row r="610" spans="1:40" x14ac:dyDescent="0.25">
      <c r="A610" t="str">
        <f>"20190304164110268"</f>
        <v>20190304164110268</v>
      </c>
      <c r="B610" t="str">
        <f>"1551688870262164"</f>
        <v>1551688870262164</v>
      </c>
      <c r="C610" t="s">
        <v>40</v>
      </c>
      <c r="D610">
        <v>4.2607049999999997</v>
      </c>
      <c r="E610">
        <v>0.5512146</v>
      </c>
      <c r="F610" t="s">
        <v>42</v>
      </c>
      <c r="G610">
        <v>-360.2337</v>
      </c>
      <c r="H610" s="1">
        <v>-4.7228589999999996E-6</v>
      </c>
      <c r="I610">
        <v>366.51100000000002</v>
      </c>
      <c r="J610">
        <v>-385.86149999999998</v>
      </c>
      <c r="K610">
        <v>1.1094310000000001</v>
      </c>
      <c r="L610">
        <v>367.09609999999998</v>
      </c>
      <c r="M610">
        <v>0.99996390000000002</v>
      </c>
      <c r="N610">
        <v>-7.0469440000000003E-3</v>
      </c>
      <c r="O610">
        <v>4.7965250000000003E-3</v>
      </c>
      <c r="P610">
        <v>0.95435890000000001</v>
      </c>
      <c r="Q610">
        <v>0.2885491</v>
      </c>
      <c r="R610">
        <v>7.7064480000000005E-2</v>
      </c>
      <c r="S610">
        <v>3.1908569999999998</v>
      </c>
      <c r="T610">
        <v>-0.1363114</v>
      </c>
      <c r="U610">
        <v>-7.1685789999999999E-2</v>
      </c>
      <c r="V610">
        <v>-7.2504490000000005E-2</v>
      </c>
      <c r="W610">
        <v>0.2952651</v>
      </c>
      <c r="X610">
        <v>0.95266030000000002</v>
      </c>
      <c r="Y610">
        <v>2.7223540000000001E-2</v>
      </c>
      <c r="Z610">
        <v>-8.4813749999999995E-4</v>
      </c>
      <c r="AA610">
        <v>0.99962899999999999</v>
      </c>
      <c r="AB610">
        <v>35</v>
      </c>
      <c r="AC610">
        <v>25.627799999999901</v>
      </c>
      <c r="AD610">
        <v>-1.1094357228589999</v>
      </c>
      <c r="AE610">
        <v>-0.58510000000001094</v>
      </c>
      <c r="AF610">
        <v>0.70669697906218099</v>
      </c>
      <c r="AG610">
        <v>-1.1094357228589999</v>
      </c>
      <c r="AH610">
        <v>25.576791396944401</v>
      </c>
      <c r="AI610">
        <v>92.4827960770847</v>
      </c>
      <c r="AJ610">
        <v>88.417297372831499</v>
      </c>
      <c r="AK610">
        <v>25.610594026811999</v>
      </c>
      <c r="AL610">
        <v>72.826565639703901</v>
      </c>
      <c r="AM610">
        <v>94.352242023521896</v>
      </c>
      <c r="AN610">
        <v>1.0000000137721199</v>
      </c>
    </row>
    <row r="611" spans="1:40" x14ac:dyDescent="0.25">
      <c r="A611" t="str">
        <f>"20190304164110287"</f>
        <v>20190304164110287</v>
      </c>
      <c r="B611" t="str">
        <f>"1551688870281684"</f>
        <v>1551688870281684</v>
      </c>
      <c r="C611" t="s">
        <v>40</v>
      </c>
      <c r="D611">
        <v>4.2314749999999997</v>
      </c>
      <c r="E611">
        <v>0.55140509999999998</v>
      </c>
      <c r="F611" t="s">
        <v>42</v>
      </c>
      <c r="G611">
        <v>-360.08170000000001</v>
      </c>
      <c r="H611" s="1">
        <v>-4.7901140000000001E-6</v>
      </c>
      <c r="I611">
        <v>366.49939999999998</v>
      </c>
      <c r="J611">
        <v>-385.53879999999998</v>
      </c>
      <c r="K611">
        <v>1.109461</v>
      </c>
      <c r="L611">
        <v>367.09769999999997</v>
      </c>
      <c r="M611">
        <v>0.99996289999999999</v>
      </c>
      <c r="N611">
        <v>-7.1117929999999999E-3</v>
      </c>
      <c r="O611">
        <v>4.8656759999999898E-3</v>
      </c>
      <c r="P611">
        <v>0.95436639999999995</v>
      </c>
      <c r="Q611">
        <v>0.28850110000000001</v>
      </c>
      <c r="R611">
        <v>7.7147389999999996E-2</v>
      </c>
      <c r="S611">
        <v>3.1909179999999999</v>
      </c>
      <c r="T611">
        <v>-0.13732139999999901</v>
      </c>
      <c r="U611">
        <v>-7.3852539999999994E-2</v>
      </c>
      <c r="V611">
        <v>-7.2530999999999998E-2</v>
      </c>
      <c r="W611">
        <v>0.29527700000000001</v>
      </c>
      <c r="X611">
        <v>0.95265460000000002</v>
      </c>
      <c r="Y611">
        <v>2.7969339999999999E-2</v>
      </c>
      <c r="Z611">
        <v>-8.756832E-4</v>
      </c>
      <c r="AA611">
        <v>0.99960839999999995</v>
      </c>
      <c r="AB611">
        <v>35</v>
      </c>
      <c r="AC611">
        <v>25.457099999999901</v>
      </c>
      <c r="AD611">
        <v>-1.1094657901139999</v>
      </c>
      <c r="AE611">
        <v>-0.59829999999999395</v>
      </c>
      <c r="AF611">
        <v>0.72079374750292402</v>
      </c>
      <c r="AG611">
        <v>-1.1094657901139999</v>
      </c>
      <c r="AH611">
        <v>25.405659277282702</v>
      </c>
      <c r="AI611">
        <v>92.499514912057805</v>
      </c>
      <c r="AJ611">
        <v>88.374875311473502</v>
      </c>
      <c r="AK611">
        <v>25.440086109902499</v>
      </c>
      <c r="AL611">
        <v>72.825852107980495</v>
      </c>
      <c r="AM611">
        <v>94.353853177151606</v>
      </c>
      <c r="AN611">
        <v>1.0000000197955701</v>
      </c>
    </row>
    <row r="612" spans="1:40" x14ac:dyDescent="0.25">
      <c r="A612" t="str">
        <f>"20190304164110301"</f>
        <v>20190304164110301</v>
      </c>
      <c r="B612" t="str">
        <f>"1551688870292421"</f>
        <v>1551688870292421</v>
      </c>
      <c r="C612" t="s">
        <v>40</v>
      </c>
      <c r="D612">
        <v>4.2078350000000002</v>
      </c>
      <c r="E612">
        <v>0.55148189999999997</v>
      </c>
      <c r="F612" t="s">
        <v>42</v>
      </c>
      <c r="G612">
        <v>-359.80419999999998</v>
      </c>
      <c r="H612" s="1">
        <v>-8.8457699999999997E-7</v>
      </c>
      <c r="I612">
        <v>366.4898</v>
      </c>
      <c r="J612">
        <v>-385.31240000000003</v>
      </c>
      <c r="K612">
        <v>1.1094809999999999</v>
      </c>
      <c r="L612">
        <v>367.09890000000001</v>
      </c>
      <c r="M612">
        <v>0.99996240000000003</v>
      </c>
      <c r="N612">
        <v>-7.1556719999999897E-3</v>
      </c>
      <c r="O612">
        <v>4.920916E-3</v>
      </c>
      <c r="P612">
        <v>0.95432570000000005</v>
      </c>
      <c r="Q612">
        <v>0.28852840000000002</v>
      </c>
      <c r="R612">
        <v>7.7548899999999907E-2</v>
      </c>
      <c r="S612">
        <v>3.1911930000000002</v>
      </c>
      <c r="T612">
        <v>-0.13757710000000001</v>
      </c>
      <c r="U612">
        <v>-7.5378420000000002E-2</v>
      </c>
      <c r="V612">
        <v>-7.2886469999999995E-2</v>
      </c>
      <c r="W612">
        <v>0.29534389999999999</v>
      </c>
      <c r="X612">
        <v>0.95260670000000003</v>
      </c>
      <c r="Y612">
        <v>2.8499529999999999E-2</v>
      </c>
      <c r="Z612">
        <v>-8.9282369999999997E-4</v>
      </c>
      <c r="AA612">
        <v>0.99959339999999997</v>
      </c>
      <c r="AB612">
        <v>35</v>
      </c>
      <c r="AC612">
        <v>25.508199999999999</v>
      </c>
      <c r="AD612">
        <v>-1.109481884577</v>
      </c>
      <c r="AE612">
        <v>-0.60910000000001197</v>
      </c>
      <c r="AF612">
        <v>0.73323317633542495</v>
      </c>
      <c r="AG612">
        <v>-1.109481884577</v>
      </c>
      <c r="AH612">
        <v>25.456761454210401</v>
      </c>
      <c r="AI612">
        <v>92.494509123247397</v>
      </c>
      <c r="AJ612">
        <v>88.350161134006399</v>
      </c>
      <c r="AK612">
        <v>25.4914747450918</v>
      </c>
      <c r="AL612">
        <v>72.821839576785905</v>
      </c>
      <c r="AM612">
        <v>94.375327636985404</v>
      </c>
      <c r="AN612">
        <v>0.99999999083058</v>
      </c>
    </row>
    <row r="613" spans="1:40" x14ac:dyDescent="0.25">
      <c r="A613" t="str">
        <f>"20190304164110320"</f>
        <v>20190304164110320</v>
      </c>
      <c r="B613" t="str">
        <f>"1551688870311940"</f>
        <v>1551688870311940</v>
      </c>
      <c r="C613" t="s">
        <v>40</v>
      </c>
      <c r="D613">
        <v>4.1728300000000003</v>
      </c>
      <c r="E613">
        <v>0.55154650000000005</v>
      </c>
      <c r="F613" t="s">
        <v>42</v>
      </c>
      <c r="G613">
        <v>-359.55369999999999</v>
      </c>
      <c r="H613" s="1">
        <v>-9.6985960000000001E-7</v>
      </c>
      <c r="I613">
        <v>366.48970000000003</v>
      </c>
      <c r="J613">
        <v>-385.0206</v>
      </c>
      <c r="K613">
        <v>1.1095010000000001</v>
      </c>
      <c r="L613">
        <v>367.10039999999998</v>
      </c>
      <c r="M613">
        <v>0.99996160000000001</v>
      </c>
      <c r="N613">
        <v>-7.2083009999999899E-3</v>
      </c>
      <c r="O613">
        <v>5.0034349999999997E-3</v>
      </c>
      <c r="P613">
        <v>0.95426659999999996</v>
      </c>
      <c r="Q613">
        <v>0.2884892</v>
      </c>
      <c r="R613">
        <v>7.8420050000000005E-2</v>
      </c>
      <c r="S613">
        <v>3.1912539999999998</v>
      </c>
      <c r="T613">
        <v>-0.13745389999999999</v>
      </c>
      <c r="U613">
        <v>-7.5469969999999997E-2</v>
      </c>
      <c r="V613">
        <v>-7.3687520000000006E-2</v>
      </c>
      <c r="W613">
        <v>0.29535220000000001</v>
      </c>
      <c r="X613">
        <v>0.95254249999999996</v>
      </c>
      <c r="Y613">
        <v>2.8610090000000001E-2</v>
      </c>
      <c r="Z613">
        <v>-8.9829669999999995E-4</v>
      </c>
      <c r="AA613">
        <v>0.99959019999999998</v>
      </c>
      <c r="AB613">
        <v>35</v>
      </c>
      <c r="AC613">
        <v>25.466899999999999</v>
      </c>
      <c r="AD613">
        <v>-1.1095019698596</v>
      </c>
      <c r="AE613">
        <v>-0.61069999999995095</v>
      </c>
      <c r="AF613">
        <v>0.73672011599420295</v>
      </c>
      <c r="AG613">
        <v>-1.1095019698596</v>
      </c>
      <c r="AH613">
        <v>25.415314124214198</v>
      </c>
      <c r="AI613">
        <v>92.498603927255601</v>
      </c>
      <c r="AJ613">
        <v>88.339617746081998</v>
      </c>
      <c r="AK613">
        <v>25.4501855235461</v>
      </c>
      <c r="AL613">
        <v>72.821341863475297</v>
      </c>
      <c r="AM613">
        <v>94.423521286575493</v>
      </c>
      <c r="AN613">
        <v>0.99999999347741997</v>
      </c>
    </row>
    <row r="614" spans="1:40" x14ac:dyDescent="0.25">
      <c r="A614" t="str">
        <f>"20190304164110333"</f>
        <v>20190304164110333</v>
      </c>
      <c r="B614" t="str">
        <f>"1551688870321700"</f>
        <v>1551688870321700</v>
      </c>
      <c r="C614" t="s">
        <v>40</v>
      </c>
      <c r="D614">
        <v>4.2071940000000003</v>
      </c>
      <c r="E614">
        <v>0.55163289999999998</v>
      </c>
      <c r="F614" t="s">
        <v>42</v>
      </c>
      <c r="G614">
        <v>-359.02809999999999</v>
      </c>
      <c r="H614" s="1">
        <v>-1.147209E-6</v>
      </c>
      <c r="I614">
        <v>366.49540000000002</v>
      </c>
      <c r="J614">
        <v>-384.81450000000001</v>
      </c>
      <c r="K614">
        <v>1.1095139999999999</v>
      </c>
      <c r="L614">
        <v>367.10149999999999</v>
      </c>
      <c r="M614">
        <v>0.99996099999999999</v>
      </c>
      <c r="N614">
        <v>-7.2431229999999997E-3</v>
      </c>
      <c r="O614">
        <v>5.0665479999999997E-3</v>
      </c>
      <c r="P614">
        <v>0.95407549999999997</v>
      </c>
      <c r="Q614">
        <v>0.28896270000000002</v>
      </c>
      <c r="R614">
        <v>7.8998680000000002E-2</v>
      </c>
      <c r="S614">
        <v>3.1911320000000001</v>
      </c>
      <c r="T614">
        <v>-0.1362149</v>
      </c>
      <c r="U614">
        <v>-7.4279789999999998E-2</v>
      </c>
      <c r="V614">
        <v>-7.421179E-2</v>
      </c>
      <c r="W614">
        <v>0.29585640000000002</v>
      </c>
      <c r="X614">
        <v>0.95234529999999995</v>
      </c>
      <c r="Y614">
        <v>2.8302339999999999E-2</v>
      </c>
      <c r="Z614">
        <v>-8.8572460000000005E-4</v>
      </c>
      <c r="AA614">
        <v>0.99959900000000002</v>
      </c>
      <c r="AB614">
        <v>36</v>
      </c>
      <c r="AC614">
        <v>25.7864</v>
      </c>
      <c r="AD614">
        <v>-1.1095151472089999</v>
      </c>
      <c r="AE614">
        <v>-0.606099999999969</v>
      </c>
      <c r="AF614">
        <v>0.73538298346044395</v>
      </c>
      <c r="AG614">
        <v>-1.1095151472089999</v>
      </c>
      <c r="AH614">
        <v>25.735379593708998</v>
      </c>
      <c r="AI614">
        <v>92.467626474192699</v>
      </c>
      <c r="AJ614">
        <v>88.363230706684504</v>
      </c>
      <c r="AK614">
        <v>25.769780263450901</v>
      </c>
      <c r="AL614">
        <v>72.791101768359894</v>
      </c>
      <c r="AM614">
        <v>94.455786138855402</v>
      </c>
      <c r="AN614">
        <v>0.99999998481402697</v>
      </c>
    </row>
    <row r="615" spans="1:40" x14ac:dyDescent="0.25">
      <c r="A615" t="str">
        <f>"20190304164110347"</f>
        <v>20190304164110347</v>
      </c>
      <c r="B615" t="str">
        <f>"1551688870332436"</f>
        <v>1551688870332436</v>
      </c>
      <c r="C615" t="s">
        <v>40</v>
      </c>
      <c r="D615">
        <v>4.1810349999999996</v>
      </c>
      <c r="E615">
        <v>0.55165120000000001</v>
      </c>
      <c r="F615" t="s">
        <v>42</v>
      </c>
      <c r="G615">
        <v>-358.50409999999999</v>
      </c>
      <c r="H615" s="1">
        <v>-1.32575799999999E-6</v>
      </c>
      <c r="I615">
        <v>366.49459999999999</v>
      </c>
      <c r="J615">
        <v>-384.59739999999999</v>
      </c>
      <c r="K615">
        <v>1.1095349999999999</v>
      </c>
      <c r="L615">
        <v>367.10270000000003</v>
      </c>
      <c r="M615">
        <v>0.99996030000000002</v>
      </c>
      <c r="N615">
        <v>-7.2792380000000004E-3</v>
      </c>
      <c r="O615">
        <v>5.1356129999999998E-3</v>
      </c>
      <c r="P615">
        <v>0.95395459999999999</v>
      </c>
      <c r="Q615">
        <v>0.28917929999999997</v>
      </c>
      <c r="R615">
        <v>7.9663070000000002E-2</v>
      </c>
      <c r="S615">
        <v>3.1912229999999999</v>
      </c>
      <c r="T615">
        <v>-0.13457429999999901</v>
      </c>
      <c r="U615">
        <v>-7.3608399999999893E-2</v>
      </c>
      <c r="V615">
        <v>-7.4815179999999995E-2</v>
      </c>
      <c r="W615">
        <v>0.29610510000000001</v>
      </c>
      <c r="X615">
        <v>0.95222079999999998</v>
      </c>
      <c r="Y615">
        <v>2.816138E-2</v>
      </c>
      <c r="Z615">
        <v>-8.7508940000000004E-4</v>
      </c>
      <c r="AA615">
        <v>0.99960300000000002</v>
      </c>
      <c r="AB615">
        <v>36</v>
      </c>
      <c r="AC615">
        <v>26.093299999999999</v>
      </c>
      <c r="AD615">
        <v>-1.109536325758</v>
      </c>
      <c r="AE615">
        <v>-0.60810000000003495</v>
      </c>
      <c r="AF615">
        <v>0.74076197125519305</v>
      </c>
      <c r="AG615">
        <v>-1.109536325758</v>
      </c>
      <c r="AH615">
        <v>26.0427701781739</v>
      </c>
      <c r="AI615">
        <v>92.438591273677304</v>
      </c>
      <c r="AJ615">
        <v>88.370715035530296</v>
      </c>
      <c r="AK615">
        <v>26.076918485691898</v>
      </c>
      <c r="AL615">
        <v>72.776184106838997</v>
      </c>
      <c r="AM615">
        <v>94.4924517960592</v>
      </c>
      <c r="AN615">
        <v>0.999999996678541</v>
      </c>
    </row>
    <row r="616" spans="1:40" x14ac:dyDescent="0.25">
      <c r="A616" t="str">
        <f>"20190304164110362"</f>
        <v>20190304164110362</v>
      </c>
      <c r="B616" t="str">
        <f>"1551688870351957"</f>
        <v>1551688870351957</v>
      </c>
      <c r="C616" t="s">
        <v>40</v>
      </c>
      <c r="D616">
        <v>4.2160250000000001</v>
      </c>
      <c r="E616">
        <v>0.55167129999999998</v>
      </c>
      <c r="F616" t="s">
        <v>42</v>
      </c>
      <c r="G616">
        <v>-358.06490000000002</v>
      </c>
      <c r="H616" s="1">
        <v>-1.471201E-6</v>
      </c>
      <c r="I616">
        <v>366.50959999999998</v>
      </c>
      <c r="J616">
        <v>-384.3433</v>
      </c>
      <c r="K616">
        <v>1.1095489999999999</v>
      </c>
      <c r="L616">
        <v>367.10410000000002</v>
      </c>
      <c r="M616">
        <v>0.9999595</v>
      </c>
      <c r="N616">
        <v>-7.3212119999999997E-3</v>
      </c>
      <c r="O616">
        <v>5.2204469999999996E-3</v>
      </c>
      <c r="P616">
        <v>0.95384650000000004</v>
      </c>
      <c r="Q616">
        <v>0.28933170000000002</v>
      </c>
      <c r="R616">
        <v>8.0399960000000006E-2</v>
      </c>
      <c r="S616">
        <v>3.1912229999999999</v>
      </c>
      <c r="T616">
        <v>-0.13345029999999999</v>
      </c>
      <c r="U616">
        <v>-7.1319579999999994E-2</v>
      </c>
      <c r="V616">
        <v>-7.5475680000000003E-2</v>
      </c>
      <c r="W616">
        <v>0.2962959</v>
      </c>
      <c r="X616">
        <v>0.95210930000000005</v>
      </c>
      <c r="Y616">
        <v>2.7530700000000002E-2</v>
      </c>
      <c r="Z616">
        <v>-8.5614589999999998E-4</v>
      </c>
      <c r="AA616">
        <v>0.99962059999999997</v>
      </c>
      <c r="AB616">
        <v>36</v>
      </c>
      <c r="AC616">
        <v>26.278399999999898</v>
      </c>
      <c r="AD616">
        <v>-1.10955047120099</v>
      </c>
      <c r="AE616">
        <v>-0.594500000000039</v>
      </c>
      <c r="AF616">
        <v>0.73037914480205701</v>
      </c>
      <c r="AG616">
        <v>-1.10955047120099</v>
      </c>
      <c r="AH616">
        <v>26.228203216787801</v>
      </c>
      <c r="AI616">
        <v>92.421442497242595</v>
      </c>
      <c r="AJ616">
        <v>88.404891480285002</v>
      </c>
      <c r="AK616">
        <v>26.261820194427202</v>
      </c>
      <c r="AL616">
        <v>72.764738141275899</v>
      </c>
      <c r="AM616">
        <v>94.532477075950894</v>
      </c>
      <c r="AN616">
        <v>0.99999997888738101</v>
      </c>
    </row>
    <row r="617" spans="1:40" x14ac:dyDescent="0.25">
      <c r="A617" t="str">
        <f>"20190304164110375"</f>
        <v>20190304164110375</v>
      </c>
      <c r="B617" t="str">
        <f>"1551688870361717"</f>
        <v>1551688870361717</v>
      </c>
      <c r="C617" t="s">
        <v>40</v>
      </c>
      <c r="D617">
        <v>4.230969</v>
      </c>
      <c r="E617">
        <v>0.56073479999999998</v>
      </c>
      <c r="F617" t="s">
        <v>42</v>
      </c>
      <c r="G617">
        <v>-357.66820000000001</v>
      </c>
      <c r="H617" s="1">
        <v>-1.6003569999999901E-6</v>
      </c>
      <c r="I617">
        <v>366.53160000000003</v>
      </c>
      <c r="J617">
        <v>-384.13130000000001</v>
      </c>
      <c r="K617">
        <v>1.109558</v>
      </c>
      <c r="L617">
        <v>367.10520000000002</v>
      </c>
      <c r="M617">
        <v>0.99995889999999998</v>
      </c>
      <c r="N617">
        <v>-7.3557630000000004E-3</v>
      </c>
      <c r="O617">
        <v>5.2936679999999996E-3</v>
      </c>
      <c r="P617">
        <v>0.95383070000000003</v>
      </c>
      <c r="Q617">
        <v>0.28925089999999998</v>
      </c>
      <c r="R617">
        <v>8.0877829999999998E-2</v>
      </c>
      <c r="S617">
        <v>3.1911320000000001</v>
      </c>
      <c r="T617">
        <v>-0.13273499999999999</v>
      </c>
      <c r="U617">
        <v>-6.8481449999999999E-2</v>
      </c>
      <c r="V617">
        <v>-7.5886369999999995E-2</v>
      </c>
      <c r="W617">
        <v>0.29624719999999999</v>
      </c>
      <c r="X617">
        <v>0.95209180000000004</v>
      </c>
      <c r="Y617">
        <v>2.6716989999999999E-2</v>
      </c>
      <c r="Z617">
        <v>-8.3481789999999897E-4</v>
      </c>
      <c r="AA617">
        <v>0.9996427</v>
      </c>
      <c r="AB617">
        <v>36</v>
      </c>
      <c r="AC617">
        <v>26.463100000000001</v>
      </c>
      <c r="AD617">
        <v>-1.1095596003569901</v>
      </c>
      <c r="AE617">
        <v>-0.573599999999999</v>
      </c>
      <c r="AF617">
        <v>0.71243075508119502</v>
      </c>
      <c r="AG617">
        <v>-1.1095596003569901</v>
      </c>
      <c r="AH617">
        <v>26.4132798173422</v>
      </c>
      <c r="AI617">
        <v>92.404572844299693</v>
      </c>
      <c r="AJ617">
        <v>88.454967303812694</v>
      </c>
      <c r="AK617">
        <v>26.4461723278955</v>
      </c>
      <c r="AL617">
        <v>72.7676594533512</v>
      </c>
      <c r="AM617">
        <v>94.557119704455005</v>
      </c>
      <c r="AN617">
        <v>0.99999997014342801</v>
      </c>
    </row>
    <row r="618" spans="1:40" x14ac:dyDescent="0.25">
      <c r="A618" t="str">
        <f>"20190304164110386"</f>
        <v>20190304164110386</v>
      </c>
      <c r="B618" t="str">
        <f>"1551688870371476"</f>
        <v>1551688870371476</v>
      </c>
      <c r="C618" t="s">
        <v>40</v>
      </c>
      <c r="D618">
        <v>4.2295989999999897</v>
      </c>
      <c r="E618">
        <v>0.56164899999999995</v>
      </c>
      <c r="F618" t="s">
        <v>42</v>
      </c>
      <c r="G618">
        <v>-355.12389999999999</v>
      </c>
      <c r="H618" s="1">
        <v>-2.7452270000000001E-6</v>
      </c>
      <c r="I618">
        <v>365.8331</v>
      </c>
      <c r="J618">
        <v>-383.96300000000002</v>
      </c>
      <c r="K618">
        <v>1.109564</v>
      </c>
      <c r="L618">
        <v>367.10610000000003</v>
      </c>
      <c r="M618">
        <v>0.99995849999999997</v>
      </c>
      <c r="N618">
        <v>-7.3826539999999998E-3</v>
      </c>
      <c r="O618">
        <v>5.3524239999999997E-3</v>
      </c>
      <c r="P618">
        <v>0.95379510000000001</v>
      </c>
      <c r="Q618">
        <v>0.28927709999999901</v>
      </c>
      <c r="R618">
        <v>8.1201659999999995E-2</v>
      </c>
      <c r="S618">
        <v>3.194153</v>
      </c>
      <c r="T618">
        <v>-0.1221792</v>
      </c>
      <c r="U618">
        <v>-0.1400757</v>
      </c>
      <c r="V618">
        <v>-7.6156589999999996E-2</v>
      </c>
      <c r="W618">
        <v>0.29629870000000003</v>
      </c>
      <c r="X618">
        <v>0.95205430000000002</v>
      </c>
      <c r="Y618">
        <v>4.9113150000000001E-2</v>
      </c>
      <c r="Z618">
        <v>-1.2850610000000001E-3</v>
      </c>
      <c r="AA618">
        <v>0.99879240000000002</v>
      </c>
      <c r="AB618">
        <v>36</v>
      </c>
      <c r="AC618">
        <v>28.839099999999998</v>
      </c>
      <c r="AD618">
        <v>-1.1095667452269999</v>
      </c>
      <c r="AE618">
        <v>-1.2730000000000199</v>
      </c>
      <c r="AF618">
        <v>1.4252394014060901</v>
      </c>
      <c r="AG618">
        <v>-1.1095667452269999</v>
      </c>
      <c r="AH618">
        <v>28.789339687748299</v>
      </c>
      <c r="AI618">
        <v>92.204440855682407</v>
      </c>
      <c r="AJ618">
        <v>87.165840213852704</v>
      </c>
      <c r="AK618">
        <v>28.8459446953986</v>
      </c>
      <c r="AL618">
        <v>72.764571754190001</v>
      </c>
      <c r="AM618">
        <v>94.573457582036696</v>
      </c>
      <c r="AN618">
        <v>1.0000000679853001</v>
      </c>
    </row>
    <row r="619" spans="1:40" x14ac:dyDescent="0.25">
      <c r="A619" t="str">
        <f>"20190304164110397"</f>
        <v>20190304164110397</v>
      </c>
      <c r="B619" t="str">
        <f>"1551688870382212"</f>
        <v>1551688870382212</v>
      </c>
      <c r="C619" t="s">
        <v>40</v>
      </c>
      <c r="D619">
        <v>4.2073260000000001</v>
      </c>
      <c r="E619">
        <v>0.56231100000000001</v>
      </c>
      <c r="F619" t="s">
        <v>42</v>
      </c>
      <c r="G619">
        <v>-355.92340000000002</v>
      </c>
      <c r="H619" s="1">
        <v>-2.403373E-6</v>
      </c>
      <c r="I619">
        <v>365.82679999999999</v>
      </c>
      <c r="J619">
        <v>-383.77140000000003</v>
      </c>
      <c r="K619">
        <v>1.1095710000000001</v>
      </c>
      <c r="L619">
        <v>367.10719999999998</v>
      </c>
      <c r="M619">
        <v>0.99995789999999996</v>
      </c>
      <c r="N619">
        <v>-7.4123239999999996E-3</v>
      </c>
      <c r="O619">
        <v>5.4201079999999999E-3</v>
      </c>
      <c r="P619">
        <v>0.95376539999999999</v>
      </c>
      <c r="Q619">
        <v>0.2893117</v>
      </c>
      <c r="R619">
        <v>8.1429109999999999E-2</v>
      </c>
      <c r="S619">
        <v>3.1961059999999999</v>
      </c>
      <c r="T619">
        <v>-0.1264739</v>
      </c>
      <c r="U619">
        <v>-0.145813</v>
      </c>
      <c r="V619">
        <v>-7.632121E-2</v>
      </c>
      <c r="W619">
        <v>0.29636059999999997</v>
      </c>
      <c r="X619">
        <v>0.95202180000000003</v>
      </c>
      <c r="Y619">
        <v>5.0938570000000002E-2</v>
      </c>
      <c r="Z619">
        <v>-1.3700590000000001E-3</v>
      </c>
      <c r="AA619">
        <v>0.9987009</v>
      </c>
      <c r="AB619">
        <v>36</v>
      </c>
      <c r="AC619">
        <v>27.847999999999999</v>
      </c>
      <c r="AD619">
        <v>-1.10957340337299</v>
      </c>
      <c r="AE619">
        <v>-1.28039999999998</v>
      </c>
      <c r="AF619">
        <v>1.4290605946139701</v>
      </c>
      <c r="AG619">
        <v>-1.10957340337299</v>
      </c>
      <c r="AH619">
        <v>27.796615738327599</v>
      </c>
      <c r="AI619">
        <v>92.282882997555205</v>
      </c>
      <c r="AJ619">
        <v>87.0569397078268</v>
      </c>
      <c r="AK619">
        <v>27.855434188409198</v>
      </c>
      <c r="AL619">
        <v>72.760857508251902</v>
      </c>
      <c r="AM619">
        <v>94.583457285870196</v>
      </c>
      <c r="AN619">
        <v>1.0000000200017301</v>
      </c>
    </row>
    <row r="620" spans="1:40" x14ac:dyDescent="0.25">
      <c r="A620" t="str">
        <f>"20190304164110408"</f>
        <v>20190304164110408</v>
      </c>
      <c r="B620" t="str">
        <f>"1551688870401732"</f>
        <v>1551688870401732</v>
      </c>
      <c r="C620" t="s">
        <v>40</v>
      </c>
      <c r="D620">
        <v>4.1862339999999998</v>
      </c>
      <c r="E620">
        <v>0.56304790000000005</v>
      </c>
      <c r="F620" t="s">
        <v>42</v>
      </c>
      <c r="G620">
        <v>-356.13229999999999</v>
      </c>
      <c r="H620" s="1">
        <v>-2.3171400000000001E-6</v>
      </c>
      <c r="I620">
        <v>365.80779999999999</v>
      </c>
      <c r="J620">
        <v>-383.59679999999997</v>
      </c>
      <c r="K620">
        <v>1.1095759999999999</v>
      </c>
      <c r="L620">
        <v>367.10820000000001</v>
      </c>
      <c r="M620">
        <v>0.99995730000000005</v>
      </c>
      <c r="N620">
        <v>-7.4382490000000001E-3</v>
      </c>
      <c r="O620">
        <v>5.4821999999999996E-3</v>
      </c>
      <c r="P620">
        <v>0.95374919999999996</v>
      </c>
      <c r="Q620">
        <v>0.28929769999999999</v>
      </c>
      <c r="R620">
        <v>8.1665370000000001E-2</v>
      </c>
      <c r="S620">
        <v>3.197235</v>
      </c>
      <c r="T620">
        <v>-0.12835260000000001</v>
      </c>
      <c r="U620">
        <v>-0.15029909999999999</v>
      </c>
      <c r="V620">
        <v>-7.6499810000000001E-2</v>
      </c>
      <c r="W620">
        <v>0.29637059999999998</v>
      </c>
      <c r="X620">
        <v>0.95200430000000003</v>
      </c>
      <c r="Y620">
        <v>5.2379969999999998E-2</v>
      </c>
      <c r="Z620">
        <v>-1.4245389999999901E-3</v>
      </c>
      <c r="AA620">
        <v>0.99862620000000002</v>
      </c>
      <c r="AB620">
        <v>36</v>
      </c>
      <c r="AC620">
        <v>27.464499999999902</v>
      </c>
      <c r="AD620">
        <v>-1.10957831714</v>
      </c>
      <c r="AE620">
        <v>-1.30040000000002</v>
      </c>
      <c r="AF620">
        <v>1.44859140832443</v>
      </c>
      <c r="AG620">
        <v>-1.10957831714</v>
      </c>
      <c r="AH620">
        <v>27.412315794999301</v>
      </c>
      <c r="AI620">
        <v>92.314690672163906</v>
      </c>
      <c r="AJ620">
        <v>86.975044173424493</v>
      </c>
      <c r="AK620">
        <v>27.4729801505935</v>
      </c>
      <c r="AL620">
        <v>72.760256716451295</v>
      </c>
      <c r="AM620">
        <v>94.594221307173299</v>
      </c>
      <c r="AN620">
        <v>0.99999997034644195</v>
      </c>
    </row>
    <row r="621" spans="1:40" x14ac:dyDescent="0.25">
      <c r="A621" t="str">
        <f>"20190304164110420"</f>
        <v>20190304164110420</v>
      </c>
      <c r="B621" t="str">
        <f>"1551688870411495"</f>
        <v>1551688870411495</v>
      </c>
      <c r="C621" t="s">
        <v>40</v>
      </c>
      <c r="D621">
        <v>4.2529009999999996</v>
      </c>
      <c r="E621">
        <v>0.56343880000000002</v>
      </c>
      <c r="F621" t="s">
        <v>42</v>
      </c>
      <c r="G621">
        <v>-355.25689999999997</v>
      </c>
      <c r="H621" s="1">
        <v>-2.707435E-6</v>
      </c>
      <c r="I621">
        <v>365.72460000000001</v>
      </c>
      <c r="J621">
        <v>-383.41149999999999</v>
      </c>
      <c r="K621">
        <v>1.109578</v>
      </c>
      <c r="L621">
        <v>367.10930000000002</v>
      </c>
      <c r="M621">
        <v>0.99995670000000003</v>
      </c>
      <c r="N621">
        <v>-7.4650879999999999E-3</v>
      </c>
      <c r="O621">
        <v>5.5482209999999999E-3</v>
      </c>
      <c r="P621">
        <v>0.95365350000000004</v>
      </c>
      <c r="Q621">
        <v>0.28953119999999999</v>
      </c>
      <c r="R621">
        <v>8.1957080000000002E-2</v>
      </c>
      <c r="S621">
        <v>3.1968079999999999</v>
      </c>
      <c r="T621">
        <v>-0.12516259999999901</v>
      </c>
      <c r="U621">
        <v>-0.15606689999999901</v>
      </c>
      <c r="V621">
        <v>-7.6730789999999993E-2</v>
      </c>
      <c r="W621">
        <v>0.29662880000000003</v>
      </c>
      <c r="X621">
        <v>0.95190529999999995</v>
      </c>
      <c r="Y621">
        <v>5.4250380000000001E-2</v>
      </c>
      <c r="Z621">
        <v>-1.4393260000000001E-3</v>
      </c>
      <c r="AA621">
        <v>0.99852629999999998</v>
      </c>
      <c r="AB621">
        <v>36</v>
      </c>
      <c r="AC621">
        <v>28.154599999999999</v>
      </c>
      <c r="AD621">
        <v>-1.1095807074349999</v>
      </c>
      <c r="AE621">
        <v>-1.3847</v>
      </c>
      <c r="AF621">
        <v>1.5385071912147099</v>
      </c>
      <c r="AG621">
        <v>-1.1095807074349999</v>
      </c>
      <c r="AH621">
        <v>28.102940472204502</v>
      </c>
      <c r="AI621">
        <v>92.257642071564106</v>
      </c>
      <c r="AJ621">
        <v>86.866446651241603</v>
      </c>
      <c r="AK621">
        <v>28.166885466945001</v>
      </c>
      <c r="AL621">
        <v>72.744766556852596</v>
      </c>
      <c r="AM621">
        <v>94.608510417579296</v>
      </c>
      <c r="AN621">
        <v>0.99999997964577603</v>
      </c>
    </row>
    <row r="622" spans="1:40" x14ac:dyDescent="0.25">
      <c r="A622" t="str">
        <f>"20190304164110431"</f>
        <v>20190304164110431</v>
      </c>
      <c r="B622" t="str">
        <f>"1551688870422229"</f>
        <v>1551688870422229</v>
      </c>
      <c r="C622" t="s">
        <v>40</v>
      </c>
      <c r="D622">
        <v>4.2157730000000004</v>
      </c>
      <c r="E622">
        <v>0.56358799999999998</v>
      </c>
      <c r="F622" t="s">
        <v>42</v>
      </c>
      <c r="G622">
        <v>-355.13220000000001</v>
      </c>
      <c r="H622" s="1">
        <v>-2.7642059999999999E-6</v>
      </c>
      <c r="I622">
        <v>365.70600000000002</v>
      </c>
      <c r="J622">
        <v>-383.22800000000001</v>
      </c>
      <c r="K622">
        <v>1.1095820000000001</v>
      </c>
      <c r="L622">
        <v>367.1103</v>
      </c>
      <c r="M622">
        <v>0.99995630000000002</v>
      </c>
      <c r="N622">
        <v>-7.490076E-3</v>
      </c>
      <c r="O622">
        <v>5.6133529999999997E-3</v>
      </c>
      <c r="P622">
        <v>0.95358030000000005</v>
      </c>
      <c r="Q622">
        <v>0.2897072</v>
      </c>
      <c r="R622">
        <v>8.2187469999999999E-2</v>
      </c>
      <c r="S622">
        <v>3.19754</v>
      </c>
      <c r="T622">
        <v>-0.12545999999999999</v>
      </c>
      <c r="U622">
        <v>-0.15866089999999999</v>
      </c>
      <c r="V622">
        <v>-7.6901029999999995E-2</v>
      </c>
      <c r="W622">
        <v>0.29682740000000002</v>
      </c>
      <c r="X622">
        <v>0.9518297</v>
      </c>
      <c r="Y622">
        <v>5.5111300000000002E-2</v>
      </c>
      <c r="Z622">
        <v>-1.464754E-3</v>
      </c>
      <c r="AA622">
        <v>0.99847909999999995</v>
      </c>
      <c r="AB622">
        <v>36</v>
      </c>
      <c r="AC622">
        <v>28.095800000000001</v>
      </c>
      <c r="AD622">
        <v>-1.1095847642059999</v>
      </c>
      <c r="AE622">
        <v>-1.4043000000000301</v>
      </c>
      <c r="AF622">
        <v>1.55956754506083</v>
      </c>
      <c r="AG622">
        <v>-1.1095847642059999</v>
      </c>
      <c r="AH622">
        <v>28.043843584987801</v>
      </c>
      <c r="AI622">
        <v>92.262295224675</v>
      </c>
      <c r="AJ622">
        <v>86.816959427255199</v>
      </c>
      <c r="AK622">
        <v>28.109083803920601</v>
      </c>
      <c r="AL622">
        <v>72.732851782260894</v>
      </c>
      <c r="AM622">
        <v>94.619056231194705</v>
      </c>
      <c r="AN622">
        <v>1.0000000258039501</v>
      </c>
    </row>
    <row r="623" spans="1:40" x14ac:dyDescent="0.25">
      <c r="A623" t="str">
        <f>"20190304164110445"</f>
        <v>20190304164110445</v>
      </c>
      <c r="B623" t="str">
        <f>"1551688870431989"</f>
        <v>1551688870431989</v>
      </c>
      <c r="C623" t="s">
        <v>40</v>
      </c>
      <c r="D623">
        <v>4.2275989999999997</v>
      </c>
      <c r="E623">
        <v>0.56378419999999996</v>
      </c>
      <c r="F623" t="s">
        <v>42</v>
      </c>
      <c r="G623">
        <v>-355.08280000000002</v>
      </c>
      <c r="H623" s="1">
        <v>-2.7849900000000002E-6</v>
      </c>
      <c r="I623">
        <v>365.70830000000001</v>
      </c>
      <c r="J623">
        <v>-383.00760000000002</v>
      </c>
      <c r="K623">
        <v>1.1095919999999999</v>
      </c>
      <c r="L623">
        <v>367.11160000000001</v>
      </c>
      <c r="M623">
        <v>0.9999555</v>
      </c>
      <c r="N623">
        <v>-7.5191709999999998E-3</v>
      </c>
      <c r="O623">
        <v>5.6917629999999999E-3</v>
      </c>
      <c r="P623">
        <v>0.95360540000000005</v>
      </c>
      <c r="Q623">
        <v>0.28965649999999998</v>
      </c>
      <c r="R623">
        <v>8.2072099999999995E-2</v>
      </c>
      <c r="S623">
        <v>3.1980900000000001</v>
      </c>
      <c r="T623">
        <v>-0.12607989999999999</v>
      </c>
      <c r="U623">
        <v>-0.15930179999999999</v>
      </c>
      <c r="V623">
        <v>-7.6711890000000005E-2</v>
      </c>
      <c r="W623">
        <v>0.29680410000000002</v>
      </c>
      <c r="X623">
        <v>0.95185220000000004</v>
      </c>
      <c r="Y623">
        <v>5.5379919999999999E-2</v>
      </c>
      <c r="Z623">
        <v>-1.480384E-3</v>
      </c>
      <c r="AA623">
        <v>0.99846429999999997</v>
      </c>
      <c r="AB623">
        <v>36</v>
      </c>
      <c r="AC623">
        <v>27.924800000000001</v>
      </c>
      <c r="AD623">
        <v>-1.1095947849900001</v>
      </c>
      <c r="AE623">
        <v>-1.4033</v>
      </c>
      <c r="AF623">
        <v>1.5597666312440801</v>
      </c>
      <c r="AG623">
        <v>-1.1095947849900001</v>
      </c>
      <c r="AH623">
        <v>27.872463789177999</v>
      </c>
      <c r="AI623">
        <v>92.276167235721402</v>
      </c>
      <c r="AJ623">
        <v>86.7970204657572</v>
      </c>
      <c r="AK623">
        <v>27.938115724040099</v>
      </c>
      <c r="AL623">
        <v>72.734249301768898</v>
      </c>
      <c r="AM623">
        <v>94.607636077322496</v>
      </c>
      <c r="AN623">
        <v>0.999999999244511</v>
      </c>
    </row>
    <row r="624" spans="1:40" x14ac:dyDescent="0.25">
      <c r="A624" t="str">
        <f>"20190304164110459"</f>
        <v>20190304164110459</v>
      </c>
      <c r="B624" t="str">
        <f>"1551688870451509"</f>
        <v>1551688870451509</v>
      </c>
      <c r="C624" t="s">
        <v>40</v>
      </c>
      <c r="D624">
        <v>4.1660570000000003</v>
      </c>
      <c r="E624">
        <v>0.56373689999999999</v>
      </c>
      <c r="F624" t="s">
        <v>42</v>
      </c>
      <c r="G624">
        <v>-355.10210000000001</v>
      </c>
      <c r="H624" s="1">
        <v>-2.7774969999999998E-6</v>
      </c>
      <c r="I624">
        <v>365.7038</v>
      </c>
      <c r="J624">
        <v>-382.77940000000001</v>
      </c>
      <c r="K624">
        <v>1.1095980000000001</v>
      </c>
      <c r="L624">
        <v>367.11290000000002</v>
      </c>
      <c r="M624">
        <v>0.99995489999999998</v>
      </c>
      <c r="N624">
        <v>-7.5474799999999996E-3</v>
      </c>
      <c r="O624">
        <v>5.7727389999999998E-3</v>
      </c>
      <c r="P624">
        <v>0.95360290000000003</v>
      </c>
      <c r="Q624">
        <v>0.28963430000000001</v>
      </c>
      <c r="R624">
        <v>8.2181379999999998E-2</v>
      </c>
      <c r="S624">
        <v>3.1984249999999999</v>
      </c>
      <c r="T624">
        <v>-0.1271774</v>
      </c>
      <c r="U624">
        <v>-0.1613464</v>
      </c>
      <c r="V624">
        <v>-7.6745380000000002E-2</v>
      </c>
      <c r="W624">
        <v>0.29680869999999998</v>
      </c>
      <c r="X624">
        <v>0.95184809999999997</v>
      </c>
      <c r="Y624">
        <v>5.6090639999999997E-2</v>
      </c>
      <c r="Z624">
        <v>-1.5116939999999901E-3</v>
      </c>
      <c r="AA624">
        <v>0.99842450000000005</v>
      </c>
      <c r="AB624">
        <v>36</v>
      </c>
      <c r="AC624">
        <v>27.677299999999999</v>
      </c>
      <c r="AD624">
        <v>-1.10960077749699</v>
      </c>
      <c r="AE624">
        <v>-1.40910000000002</v>
      </c>
      <c r="AF624">
        <v>1.56634387957356</v>
      </c>
      <c r="AG624">
        <v>-1.10960077749699</v>
      </c>
      <c r="AH624">
        <v>27.624419375658</v>
      </c>
      <c r="AI624">
        <v>92.296500534596305</v>
      </c>
      <c r="AJ624">
        <v>86.754722721749104</v>
      </c>
      <c r="AK624">
        <v>27.691030910327701</v>
      </c>
      <c r="AL624">
        <v>72.733973880468099</v>
      </c>
      <c r="AM624">
        <v>94.609658729387903</v>
      </c>
      <c r="AN624">
        <v>1.0000000316103199</v>
      </c>
    </row>
    <row r="625" spans="1:40" x14ac:dyDescent="0.25">
      <c r="A625" t="str">
        <f>"20190304164110475"</f>
        <v>20190304164110475</v>
      </c>
      <c r="B625" t="str">
        <f>"1551688870462245"</f>
        <v>1551688870462245</v>
      </c>
      <c r="C625" t="s">
        <v>40</v>
      </c>
      <c r="D625">
        <v>4.1819419999999896</v>
      </c>
      <c r="E625">
        <v>0.56374499999999905</v>
      </c>
      <c r="F625" t="s">
        <v>42</v>
      </c>
      <c r="G625">
        <v>-353.94330000000002</v>
      </c>
      <c r="H625" s="1">
        <v>-3.2827150000000001E-6</v>
      </c>
      <c r="I625">
        <v>365.65820000000002</v>
      </c>
      <c r="J625">
        <v>-382.5231</v>
      </c>
      <c r="K625">
        <v>1.109602</v>
      </c>
      <c r="L625">
        <v>367.11450000000002</v>
      </c>
      <c r="M625">
        <v>0.99995420000000002</v>
      </c>
      <c r="N625">
        <v>-7.5796329999999997E-3</v>
      </c>
      <c r="O625">
        <v>5.8627019999999896E-3</v>
      </c>
      <c r="P625">
        <v>0.95375010000000005</v>
      </c>
      <c r="Q625">
        <v>0.28931980000000002</v>
      </c>
      <c r="R625">
        <v>8.1578429999999993E-2</v>
      </c>
      <c r="S625">
        <v>3.1972659999999999</v>
      </c>
      <c r="T625">
        <v>-0.123029</v>
      </c>
      <c r="U625">
        <v>-0.1612854</v>
      </c>
      <c r="V625">
        <v>-7.6057899999999998E-2</v>
      </c>
      <c r="W625">
        <v>0.29652590000000001</v>
      </c>
      <c r="X625">
        <v>0.95199140000000004</v>
      </c>
      <c r="Y625">
        <v>5.6182839999999998E-2</v>
      </c>
      <c r="Z625">
        <v>-1.473991E-3</v>
      </c>
      <c r="AA625">
        <v>0.99841939999999996</v>
      </c>
      <c r="AB625">
        <v>36</v>
      </c>
      <c r="AC625">
        <v>28.579799999999899</v>
      </c>
      <c r="AD625">
        <v>-1.109605282715</v>
      </c>
      <c r="AE625">
        <v>-1.4562999999999899</v>
      </c>
      <c r="AF625">
        <v>1.6213969072072301</v>
      </c>
      <c r="AG625">
        <v>-1.109605282715</v>
      </c>
      <c r="AH625">
        <v>28.527880121321601</v>
      </c>
      <c r="AI625">
        <v>92.223838124396195</v>
      </c>
      <c r="AJ625">
        <v>86.747064180619702</v>
      </c>
      <c r="AK625">
        <v>28.595455863312001</v>
      </c>
      <c r="AL625">
        <v>72.750940755879398</v>
      </c>
      <c r="AM625">
        <v>94.567856522472695</v>
      </c>
      <c r="AN625">
        <v>1.0000000195985801</v>
      </c>
    </row>
    <row r="626" spans="1:40" x14ac:dyDescent="0.25">
      <c r="A626" t="str">
        <f>"20190304164110489"</f>
        <v>20190304164110489</v>
      </c>
      <c r="B626" t="str">
        <f>"1551688870472004"</f>
        <v>1551688870472004</v>
      </c>
      <c r="C626" t="s">
        <v>40</v>
      </c>
      <c r="D626">
        <v>4.2545769999999896</v>
      </c>
      <c r="E626">
        <v>0.56391939999999996</v>
      </c>
      <c r="F626" t="s">
        <v>42</v>
      </c>
      <c r="G626">
        <v>-353.50130000000001</v>
      </c>
      <c r="H626" s="1">
        <v>-3.4772989999999999E-6</v>
      </c>
      <c r="I626">
        <v>365.6302</v>
      </c>
      <c r="J626">
        <v>-382.30200000000002</v>
      </c>
      <c r="K626">
        <v>1.109605</v>
      </c>
      <c r="L626">
        <v>367.11590000000001</v>
      </c>
      <c r="M626">
        <v>0.9999536</v>
      </c>
      <c r="N626">
        <v>-7.6075479999999996E-3</v>
      </c>
      <c r="O626">
        <v>5.9402789999999997E-3</v>
      </c>
      <c r="P626">
        <v>0.95381190000000005</v>
      </c>
      <c r="Q626">
        <v>0.28909170000000001</v>
      </c>
      <c r="R626">
        <v>8.1666840000000004E-2</v>
      </c>
      <c r="S626">
        <v>3.1965029999999999</v>
      </c>
      <c r="T626">
        <v>-0.12221319999999999</v>
      </c>
      <c r="U626">
        <v>-0.16348270000000001</v>
      </c>
      <c r="V626">
        <v>-7.6072860000000006E-2</v>
      </c>
      <c r="W626">
        <v>0.29632459999999899</v>
      </c>
      <c r="X626">
        <v>0.95205289999999998</v>
      </c>
      <c r="Y626">
        <v>5.6956699999999999E-2</v>
      </c>
      <c r="Z626">
        <v>-1.4863529999999999E-3</v>
      </c>
      <c r="AA626">
        <v>0.99837549999999997</v>
      </c>
      <c r="AB626">
        <v>36</v>
      </c>
      <c r="AC626">
        <v>28.8006999999999</v>
      </c>
      <c r="AD626">
        <v>-1.109608477299</v>
      </c>
      <c r="AE626">
        <v>-1.4857</v>
      </c>
      <c r="AF626">
        <v>1.65431385114555</v>
      </c>
      <c r="AG626">
        <v>-1.109608477299</v>
      </c>
      <c r="AH626">
        <v>28.748806341974898</v>
      </c>
      <c r="AI626">
        <v>92.206682883618299</v>
      </c>
      <c r="AJ626">
        <v>86.706618434146705</v>
      </c>
      <c r="AK626">
        <v>28.8177350147329</v>
      </c>
      <c r="AL626">
        <v>72.763017457550603</v>
      </c>
      <c r="AM626">
        <v>94.568457301715597</v>
      </c>
      <c r="AN626">
        <v>1.0000000364960699</v>
      </c>
    </row>
    <row r="627" spans="1:40" x14ac:dyDescent="0.25">
      <c r="A627" t="str">
        <f>"20190304164110502"</f>
        <v>20190304164110502</v>
      </c>
      <c r="B627" t="str">
        <f>"1551688870491525"</f>
        <v>1551688870491525</v>
      </c>
      <c r="C627" t="s">
        <v>40</v>
      </c>
      <c r="D627">
        <v>4.2514010000000004</v>
      </c>
      <c r="E627">
        <v>0.56399919999999903</v>
      </c>
      <c r="F627" t="s">
        <v>42</v>
      </c>
      <c r="G627">
        <v>-353.66030000000001</v>
      </c>
      <c r="H627" s="1">
        <v>-3.4068359999999999E-6</v>
      </c>
      <c r="I627">
        <v>365.6429</v>
      </c>
      <c r="J627">
        <v>-382.08609999999999</v>
      </c>
      <c r="K627">
        <v>1.1096090000000001</v>
      </c>
      <c r="L627">
        <v>367.11720000000003</v>
      </c>
      <c r="M627">
        <v>0.99995290000000003</v>
      </c>
      <c r="N627">
        <v>-7.6348780000000003E-3</v>
      </c>
      <c r="O627">
        <v>6.0161859999999998E-3</v>
      </c>
      <c r="P627">
        <v>0.95384440000000004</v>
      </c>
      <c r="Q627">
        <v>0.2889854</v>
      </c>
      <c r="R627">
        <v>8.1659990000000002E-2</v>
      </c>
      <c r="S627">
        <v>3.1968990000000002</v>
      </c>
      <c r="T627">
        <v>-0.12385069999999999</v>
      </c>
      <c r="U627">
        <v>-0.16439819999999999</v>
      </c>
      <c r="V627">
        <v>-7.5994049999999994E-2</v>
      </c>
      <c r="W627">
        <v>0.29624400000000001</v>
      </c>
      <c r="X627">
        <v>0.95208419999999905</v>
      </c>
      <c r="Y627">
        <v>5.730963E-2</v>
      </c>
      <c r="Z627">
        <v>-1.514938E-3</v>
      </c>
      <c r="AA627">
        <v>0.99835529999999995</v>
      </c>
      <c r="AB627">
        <v>36</v>
      </c>
      <c r="AC627">
        <v>28.425799999999899</v>
      </c>
      <c r="AD627">
        <v>-1.109612406836</v>
      </c>
      <c r="AE627">
        <v>-1.4743000000000199</v>
      </c>
      <c r="AF627">
        <v>1.6427966613329601</v>
      </c>
      <c r="AG627">
        <v>-1.109612406836</v>
      </c>
      <c r="AH627">
        <v>28.3732974426811</v>
      </c>
      <c r="AI627">
        <v>92.2358201858207</v>
      </c>
      <c r="AJ627">
        <v>86.686308789775396</v>
      </c>
      <c r="AK627">
        <v>28.4424687454297</v>
      </c>
      <c r="AL627">
        <v>72.767851299223807</v>
      </c>
      <c r="AM627">
        <v>94.563595071770294</v>
      </c>
      <c r="AN627">
        <v>0.99999996353052001</v>
      </c>
    </row>
    <row r="628" spans="1:40" x14ac:dyDescent="0.25">
      <c r="A628" t="str">
        <f>"20190304164110519"</f>
        <v>20190304164110519</v>
      </c>
      <c r="B628" t="str">
        <f>"1551688870512020"</f>
        <v>1551688870512020</v>
      </c>
      <c r="C628" t="s">
        <v>40</v>
      </c>
      <c r="D628">
        <v>4.2535429999999996</v>
      </c>
      <c r="E628">
        <v>0.564114</v>
      </c>
      <c r="F628" t="s">
        <v>42</v>
      </c>
      <c r="G628">
        <v>-354.03590000000003</v>
      </c>
      <c r="H628" s="1">
        <v>-3.2408040000000001E-6</v>
      </c>
      <c r="I628">
        <v>365.6705</v>
      </c>
      <c r="J628">
        <v>-381.7919</v>
      </c>
      <c r="K628">
        <v>1.1096029999999999</v>
      </c>
      <c r="L628">
        <v>367.11900000000003</v>
      </c>
      <c r="M628">
        <v>0.99995199999999995</v>
      </c>
      <c r="N628">
        <v>-7.6708619999999996E-3</v>
      </c>
      <c r="O628">
        <v>6.1192410000000001E-3</v>
      </c>
      <c r="P628">
        <v>0.95379210000000003</v>
      </c>
      <c r="Q628">
        <v>0.28920059999999997</v>
      </c>
      <c r="R628">
        <v>8.1511009999999995E-2</v>
      </c>
      <c r="S628">
        <v>3.197632</v>
      </c>
      <c r="T628">
        <v>-0.12649199999999999</v>
      </c>
      <c r="U628">
        <v>-0.16491700000000001</v>
      </c>
      <c r="V628">
        <v>-7.5748679999999999E-2</v>
      </c>
      <c r="W628">
        <v>0.2964927</v>
      </c>
      <c r="X628">
        <v>0.95202640000000005</v>
      </c>
      <c r="Y628">
        <v>5.7559869999999999E-2</v>
      </c>
      <c r="Z628">
        <v>-1.5532229999999901E-3</v>
      </c>
      <c r="AA628">
        <v>0.99834080000000003</v>
      </c>
      <c r="AB628">
        <v>36</v>
      </c>
      <c r="AC628">
        <v>27.755999999999901</v>
      </c>
      <c r="AD628">
        <v>-1.1096062408039999</v>
      </c>
      <c r="AE628">
        <v>-1.4485000000000201</v>
      </c>
      <c r="AF628">
        <v>1.6157482713267199</v>
      </c>
      <c r="AG628">
        <v>-1.1096062408039999</v>
      </c>
      <c r="AH628">
        <v>27.7024632185455</v>
      </c>
      <c r="AI628">
        <v>92.289836049614706</v>
      </c>
      <c r="AJ628">
        <v>86.662000965024902</v>
      </c>
      <c r="AK628">
        <v>27.7717182914704</v>
      </c>
      <c r="AL628">
        <v>72.7529326424457</v>
      </c>
      <c r="AM628">
        <v>94.549197070249207</v>
      </c>
      <c r="AN628">
        <v>1.0000000249859899</v>
      </c>
    </row>
    <row r="629" spans="1:40" x14ac:dyDescent="0.25">
      <c r="A629" t="str">
        <f>"20190304164110533"</f>
        <v>20190304164110533</v>
      </c>
      <c r="B629" t="str">
        <f>"1551688870521781"</f>
        <v>1551688870521781</v>
      </c>
      <c r="C629" t="s">
        <v>40</v>
      </c>
      <c r="D629">
        <v>4.2696579999999997</v>
      </c>
      <c r="E629">
        <v>0.56419969999999997</v>
      </c>
      <c r="F629" t="s">
        <v>42</v>
      </c>
      <c r="G629">
        <v>-353.83109999999999</v>
      </c>
      <c r="H629" s="1">
        <v>-3.3295979999999998E-6</v>
      </c>
      <c r="I629">
        <v>365.6653</v>
      </c>
      <c r="J629">
        <v>-381.59719999999999</v>
      </c>
      <c r="K629">
        <v>1.109605</v>
      </c>
      <c r="L629">
        <v>367.12029999999999</v>
      </c>
      <c r="M629">
        <v>0.99995140000000005</v>
      </c>
      <c r="N629">
        <v>-7.693531E-3</v>
      </c>
      <c r="O629">
        <v>6.1874109999999899E-3</v>
      </c>
      <c r="P629">
        <v>0.95380039999999999</v>
      </c>
      <c r="Q629">
        <v>0.28915479999999999</v>
      </c>
      <c r="R629">
        <v>8.1575259999999997E-2</v>
      </c>
      <c r="S629">
        <v>3.198029</v>
      </c>
      <c r="T629">
        <v>-0.1269112</v>
      </c>
      <c r="U629">
        <v>-0.16625980000000001</v>
      </c>
      <c r="V629">
        <v>-7.5748369999999995E-2</v>
      </c>
      <c r="W629">
        <v>0.29646860000000003</v>
      </c>
      <c r="X629">
        <v>0.95203389999999999</v>
      </c>
      <c r="Y629">
        <v>5.8038760000000002E-2</v>
      </c>
      <c r="Z629">
        <v>-1.571636E-3</v>
      </c>
      <c r="AA629">
        <v>0.99831309999999995</v>
      </c>
      <c r="AB629">
        <v>36</v>
      </c>
      <c r="AC629">
        <v>27.766099999999899</v>
      </c>
      <c r="AD629">
        <v>-1.1096083295979999</v>
      </c>
      <c r="AE629">
        <v>-1.4549999999999801</v>
      </c>
      <c r="AF629">
        <v>1.6241907222299701</v>
      </c>
      <c r="AG629">
        <v>-1.1096083295979999</v>
      </c>
      <c r="AH629">
        <v>27.712429480050201</v>
      </c>
      <c r="AI629">
        <v>92.288979938955507</v>
      </c>
      <c r="AJ629">
        <v>86.645803276203196</v>
      </c>
      <c r="AK629">
        <v>27.782152073481399</v>
      </c>
      <c r="AL629">
        <v>72.754377971240203</v>
      </c>
      <c r="AM629">
        <v>94.549142843478293</v>
      </c>
      <c r="AN629">
        <v>0.99999999654641303</v>
      </c>
    </row>
    <row r="630" spans="1:40" x14ac:dyDescent="0.25">
      <c r="A630" t="str">
        <f>"20190304164110546"</f>
        <v>20190304164110546</v>
      </c>
      <c r="B630" t="str">
        <f>"1551688870531542"</f>
        <v>1551688870531542</v>
      </c>
      <c r="C630" t="s">
        <v>40</v>
      </c>
      <c r="D630">
        <v>4.2448870000000003</v>
      </c>
      <c r="E630">
        <v>0.56421969999999899</v>
      </c>
      <c r="F630" t="s">
        <v>42</v>
      </c>
      <c r="G630">
        <v>-353.7688</v>
      </c>
      <c r="H630" s="1">
        <v>-3.3556300000000001E-6</v>
      </c>
      <c r="I630">
        <v>365.66930000000002</v>
      </c>
      <c r="J630">
        <v>-381.38670000000002</v>
      </c>
      <c r="K630">
        <v>1.1096140000000001</v>
      </c>
      <c r="L630">
        <v>367.1216</v>
      </c>
      <c r="M630">
        <v>0.99995060000000002</v>
      </c>
      <c r="N630">
        <v>-7.7174069999999999E-3</v>
      </c>
      <c r="O630">
        <v>6.2609409999999999E-3</v>
      </c>
      <c r="P630">
        <v>0.95377140000000005</v>
      </c>
      <c r="Q630">
        <v>0.28924139999999998</v>
      </c>
      <c r="R630">
        <v>8.1606910000000005E-2</v>
      </c>
      <c r="S630">
        <v>3.1982119999999998</v>
      </c>
      <c r="T630">
        <v>-0.12752260000000001</v>
      </c>
      <c r="U630">
        <v>-0.16674800000000001</v>
      </c>
      <c r="V630">
        <v>-7.5710710000000001E-2</v>
      </c>
      <c r="W630">
        <v>0.2965778</v>
      </c>
      <c r="X630">
        <v>0.95200289999999999</v>
      </c>
      <c r="Y630">
        <v>5.8260439999999997E-2</v>
      </c>
      <c r="Z630">
        <v>-1.5864500000000001E-3</v>
      </c>
      <c r="AA630">
        <v>0.99830010000000002</v>
      </c>
      <c r="AB630">
        <v>36</v>
      </c>
      <c r="AC630">
        <v>27.617899999999999</v>
      </c>
      <c r="AD630">
        <v>-1.10961735563</v>
      </c>
      <c r="AE630">
        <v>-1.4522999999999699</v>
      </c>
      <c r="AF630">
        <v>1.6225787376652001</v>
      </c>
      <c r="AG630">
        <v>-1.10961735563</v>
      </c>
      <c r="AH630">
        <v>27.563893882595401</v>
      </c>
      <c r="AI630">
        <v>92.301285578641497</v>
      </c>
      <c r="AJ630">
        <v>86.631109044386093</v>
      </c>
      <c r="AK630">
        <v>27.633896909535199</v>
      </c>
      <c r="AL630">
        <v>72.747826910692694</v>
      </c>
      <c r="AM630">
        <v>94.547038060470499</v>
      </c>
      <c r="AN630">
        <v>1.0000000123349699</v>
      </c>
    </row>
    <row r="631" spans="1:40" x14ac:dyDescent="0.25">
      <c r="A631" t="str">
        <f>"20190304164110558"</f>
        <v>20190304164110558</v>
      </c>
      <c r="B631" t="str">
        <f>"1551688870542277"</f>
        <v>1551688870542277</v>
      </c>
      <c r="C631" t="s">
        <v>40</v>
      </c>
      <c r="D631">
        <v>4.2674409999999998</v>
      </c>
      <c r="E631">
        <v>0.56421949999999998</v>
      </c>
      <c r="F631" t="s">
        <v>42</v>
      </c>
      <c r="G631">
        <v>-353.7122</v>
      </c>
      <c r="H631" s="1">
        <v>-3.3780129999999998E-6</v>
      </c>
      <c r="I631">
        <v>365.67989999999998</v>
      </c>
      <c r="J631">
        <v>-381.17169999999999</v>
      </c>
      <c r="K631">
        <v>1.109618</v>
      </c>
      <c r="L631">
        <v>367.12310000000002</v>
      </c>
      <c r="M631">
        <v>0.99995009999999995</v>
      </c>
      <c r="N631">
        <v>-7.740495E-3</v>
      </c>
      <c r="O631">
        <v>6.3363200000000003E-3</v>
      </c>
      <c r="P631">
        <v>0.95372920000000005</v>
      </c>
      <c r="Q631">
        <v>0.28936410000000001</v>
      </c>
      <c r="R631">
        <v>8.1665860000000007E-2</v>
      </c>
      <c r="S631">
        <v>3.198547</v>
      </c>
      <c r="T631">
        <v>-0.12824650000000001</v>
      </c>
      <c r="U631">
        <v>-0.166626</v>
      </c>
      <c r="V631">
        <v>-7.5698989999999994E-2</v>
      </c>
      <c r="W631">
        <v>0.29672169999999998</v>
      </c>
      <c r="X631">
        <v>0.951959</v>
      </c>
      <c r="Y631">
        <v>5.8291540000000003E-2</v>
      </c>
      <c r="Z631">
        <v>-1.5980089999999901E-3</v>
      </c>
      <c r="AA631">
        <v>0.99829829999999997</v>
      </c>
      <c r="AB631">
        <v>36</v>
      </c>
      <c r="AC631">
        <v>27.459499999999899</v>
      </c>
      <c r="AD631">
        <v>-1.109621378013</v>
      </c>
      <c r="AE631">
        <v>-1.44320000000004</v>
      </c>
      <c r="AF631">
        <v>1.61453924718219</v>
      </c>
      <c r="AG631">
        <v>-1.109621378013</v>
      </c>
      <c r="AH631">
        <v>27.405176742607502</v>
      </c>
      <c r="AI631">
        <v>92.314600952258601</v>
      </c>
      <c r="AJ631">
        <v>86.628393105531103</v>
      </c>
      <c r="AK631">
        <v>27.475110716370001</v>
      </c>
      <c r="AL631">
        <v>72.739193577759707</v>
      </c>
      <c r="AM631">
        <v>94.546545908395004</v>
      </c>
      <c r="AN631">
        <v>1.00000002100945</v>
      </c>
    </row>
    <row r="632" spans="1:40" x14ac:dyDescent="0.25">
      <c r="A632" t="str">
        <f>"20190304164110571"</f>
        <v>20190304164110571</v>
      </c>
      <c r="B632" t="str">
        <f>"1551688870561797"</f>
        <v>1551688870561797</v>
      </c>
      <c r="C632" t="s">
        <v>40</v>
      </c>
      <c r="D632">
        <v>4.2782109999999998</v>
      </c>
      <c r="E632">
        <v>0.56423259999999997</v>
      </c>
      <c r="F632" t="s">
        <v>42</v>
      </c>
      <c r="G632">
        <v>-353.53500000000003</v>
      </c>
      <c r="H632" s="1">
        <v>-3.4530300000000002E-6</v>
      </c>
      <c r="I632">
        <v>365.68549999999999</v>
      </c>
      <c r="J632">
        <v>-380.9701</v>
      </c>
      <c r="K632">
        <v>1.109621</v>
      </c>
      <c r="L632">
        <v>367.12439999999998</v>
      </c>
      <c r="M632">
        <v>0.99994930000000004</v>
      </c>
      <c r="N632">
        <v>-7.7628250000000001E-3</v>
      </c>
      <c r="O632">
        <v>6.4071700000000002E-3</v>
      </c>
      <c r="P632">
        <v>0.95370440000000001</v>
      </c>
      <c r="Q632">
        <v>0.2894622</v>
      </c>
      <c r="R632">
        <v>8.1607520000000003E-2</v>
      </c>
      <c r="S632">
        <v>3.1987920000000001</v>
      </c>
      <c r="T632">
        <v>-0.12843199999999999</v>
      </c>
      <c r="U632">
        <v>-0.1663818</v>
      </c>
      <c r="V632">
        <v>-7.5573520000000005E-2</v>
      </c>
      <c r="W632">
        <v>0.29684100000000002</v>
      </c>
      <c r="X632">
        <v>0.95193179999999999</v>
      </c>
      <c r="Y632">
        <v>5.8282130000000001E-2</v>
      </c>
      <c r="Z632">
        <v>-1.602535E-3</v>
      </c>
      <c r="AA632">
        <v>0.99829889999999999</v>
      </c>
      <c r="AB632">
        <v>36</v>
      </c>
      <c r="AC632">
        <v>27.435099999999899</v>
      </c>
      <c r="AD632">
        <v>-1.1096244530299999</v>
      </c>
      <c r="AE632">
        <v>-1.4388999999999801</v>
      </c>
      <c r="AF632">
        <v>1.61202734331124</v>
      </c>
      <c r="AG632">
        <v>-1.1096244530299999</v>
      </c>
      <c r="AH632">
        <v>27.380649973904202</v>
      </c>
      <c r="AI632">
        <v>92.316683750163193</v>
      </c>
      <c r="AJ632">
        <v>86.630618033763994</v>
      </c>
      <c r="AK632">
        <v>27.450498931272801</v>
      </c>
      <c r="AL632">
        <v>72.732036106341496</v>
      </c>
      <c r="AM632">
        <v>94.539170743732001</v>
      </c>
      <c r="AN632">
        <v>1.00000004402871</v>
      </c>
    </row>
    <row r="633" spans="1:40" x14ac:dyDescent="0.25">
      <c r="A633" t="str">
        <f>"20190304164110588"</f>
        <v>20190304164110588</v>
      </c>
      <c r="B633" t="str">
        <f>"1551688870571557"</f>
        <v>1551688870571557</v>
      </c>
      <c r="C633" t="s">
        <v>40</v>
      </c>
      <c r="D633">
        <v>4.2667769999999896</v>
      </c>
      <c r="E633">
        <v>0.56428889999999998</v>
      </c>
      <c r="F633" t="s">
        <v>42</v>
      </c>
      <c r="G633">
        <v>-353.53120000000001</v>
      </c>
      <c r="H633" s="1">
        <v>-3.4528869999999999E-6</v>
      </c>
      <c r="I633">
        <v>365.69569999999999</v>
      </c>
      <c r="J633">
        <v>-380.6986</v>
      </c>
      <c r="K633">
        <v>1.1096220000000001</v>
      </c>
      <c r="L633">
        <v>367.12619999999998</v>
      </c>
      <c r="M633">
        <v>0.99994850000000002</v>
      </c>
      <c r="N633">
        <v>-7.7934689999999999E-3</v>
      </c>
      <c r="O633">
        <v>6.5023090000000004E-3</v>
      </c>
      <c r="P633">
        <v>0.95361010000000002</v>
      </c>
      <c r="Q633">
        <v>0.2897323</v>
      </c>
      <c r="R633">
        <v>8.1748989999999994E-2</v>
      </c>
      <c r="S633">
        <v>3.1991580000000002</v>
      </c>
      <c r="T633">
        <v>-0.1293725</v>
      </c>
      <c r="U633">
        <v>-0.16656489999999999</v>
      </c>
      <c r="V633">
        <v>-7.5625150000000002E-2</v>
      </c>
      <c r="W633">
        <v>0.2971393</v>
      </c>
      <c r="X633">
        <v>0.95183459999999998</v>
      </c>
      <c r="Y633">
        <v>5.8427149999999997E-2</v>
      </c>
      <c r="Z633">
        <v>-1.6200979999999999E-3</v>
      </c>
      <c r="AA633">
        <v>0.99829040000000002</v>
      </c>
      <c r="AB633">
        <v>37</v>
      </c>
      <c r="AC633">
        <v>27.167399999999901</v>
      </c>
      <c r="AD633">
        <v>-1.109625452887</v>
      </c>
      <c r="AE633">
        <v>-1.4304999999999899</v>
      </c>
      <c r="AF633">
        <v>1.60445674279751</v>
      </c>
      <c r="AG633">
        <v>-1.109625452887</v>
      </c>
      <c r="AH633">
        <v>27.112419032011498</v>
      </c>
      <c r="AI633">
        <v>92.339538445742804</v>
      </c>
      <c r="AJ633">
        <v>86.613304314796594</v>
      </c>
      <c r="AK633">
        <v>27.1825093737238</v>
      </c>
      <c r="AL633">
        <v>72.714136692753002</v>
      </c>
      <c r="AM633">
        <v>94.542720730536999</v>
      </c>
      <c r="AN633">
        <v>1.0000000163370799</v>
      </c>
    </row>
    <row r="634" spans="1:40" x14ac:dyDescent="0.25">
      <c r="A634" t="str">
        <f>"20190304164110610"</f>
        <v>20190304164110610</v>
      </c>
      <c r="B634" t="str">
        <f>"1551688870601813"</f>
        <v>1551688870601813</v>
      </c>
      <c r="C634" t="s">
        <v>40</v>
      </c>
      <c r="D634">
        <v>4.2835910000000004</v>
      </c>
      <c r="E634">
        <v>0.56430590000000003</v>
      </c>
      <c r="F634" t="s">
        <v>42</v>
      </c>
      <c r="G634">
        <v>-353.1465</v>
      </c>
      <c r="H634" s="1">
        <v>-3.618763E-6</v>
      </c>
      <c r="I634">
        <v>365.6909</v>
      </c>
      <c r="J634">
        <v>-380.3297</v>
      </c>
      <c r="K634">
        <v>1.1096299999999999</v>
      </c>
      <c r="L634">
        <v>367.12869999999998</v>
      </c>
      <c r="M634">
        <v>0.99994740000000004</v>
      </c>
      <c r="N634">
        <v>-7.8364869999999996E-3</v>
      </c>
      <c r="O634">
        <v>6.6311969999999897E-3</v>
      </c>
      <c r="P634">
        <v>0.95352950000000003</v>
      </c>
      <c r="Q634">
        <v>0.28993439999999998</v>
      </c>
      <c r="R634">
        <v>8.1972370000000003E-2</v>
      </c>
      <c r="S634">
        <v>3.1993710000000002</v>
      </c>
      <c r="T634">
        <v>-0.12884989999999999</v>
      </c>
      <c r="U634">
        <v>-0.16665650000000001</v>
      </c>
      <c r="V634">
        <v>-7.5726740000000001E-2</v>
      </c>
      <c r="W634">
        <v>0.29738189999999998</v>
      </c>
      <c r="X634">
        <v>0.95175080000000001</v>
      </c>
      <c r="Y634">
        <v>5.8581059999999997E-2</v>
      </c>
      <c r="Z634">
        <v>-1.6230319999999999E-3</v>
      </c>
      <c r="AA634">
        <v>0.99828139999999999</v>
      </c>
      <c r="AB634">
        <v>37</v>
      </c>
      <c r="AC634">
        <v>27.183199999999999</v>
      </c>
      <c r="AD634">
        <v>-1.10963361876299</v>
      </c>
      <c r="AE634">
        <v>-1.43779999999998</v>
      </c>
      <c r="AF634">
        <v>1.6153468851080901</v>
      </c>
      <c r="AG634">
        <v>-1.10963361876299</v>
      </c>
      <c r="AH634">
        <v>27.127989906928001</v>
      </c>
      <c r="AI634">
        <v>92.338163511790697</v>
      </c>
      <c r="AJ634">
        <v>86.592323834169804</v>
      </c>
      <c r="AK634">
        <v>27.198685054934199</v>
      </c>
      <c r="AL634">
        <v>72.699579430572399</v>
      </c>
      <c r="AM634">
        <v>94.549196371322097</v>
      </c>
      <c r="AN634">
        <v>1.0000000594496301</v>
      </c>
    </row>
    <row r="635" spans="1:40" x14ac:dyDescent="0.25">
      <c r="A635" t="str">
        <f>"20190304164110624"</f>
        <v>20190304164110624</v>
      </c>
      <c r="B635" t="str">
        <f>"1551688870611573"</f>
        <v>1551688870611573</v>
      </c>
      <c r="C635" t="s">
        <v>40</v>
      </c>
      <c r="D635">
        <v>4.2874420000000004</v>
      </c>
      <c r="E635">
        <v>0.56428029999999996</v>
      </c>
      <c r="F635" t="s">
        <v>42</v>
      </c>
      <c r="G635">
        <v>-352.90960000000001</v>
      </c>
      <c r="H635" s="1">
        <v>-3.7179739999999999E-6</v>
      </c>
      <c r="I635">
        <v>365.7045</v>
      </c>
      <c r="J635">
        <v>-380.11090000000002</v>
      </c>
      <c r="K635">
        <v>1.1096349999999999</v>
      </c>
      <c r="L635">
        <v>367.1302</v>
      </c>
      <c r="M635">
        <v>0.99994669999999997</v>
      </c>
      <c r="N635">
        <v>-7.8629809999999998E-3</v>
      </c>
      <c r="O635">
        <v>6.7077509999999996E-3</v>
      </c>
      <c r="P635">
        <v>0.95353679999999996</v>
      </c>
      <c r="Q635">
        <v>0.28995929999999998</v>
      </c>
      <c r="R635">
        <v>8.1802440000000004E-2</v>
      </c>
      <c r="S635">
        <v>3.1998899999999999</v>
      </c>
      <c r="T635">
        <v>-0.1294922</v>
      </c>
      <c r="U635">
        <v>-0.1661987</v>
      </c>
      <c r="V635">
        <v>-7.5484529999999994E-2</v>
      </c>
      <c r="W635">
        <v>0.29743160000000002</v>
      </c>
      <c r="X635">
        <v>0.95175449999999995</v>
      </c>
      <c r="Y635">
        <v>5.8506120000000002E-2</v>
      </c>
      <c r="Z635">
        <v>-1.6312849999999999E-3</v>
      </c>
      <c r="AA635">
        <v>0.99828570000000005</v>
      </c>
      <c r="AB635">
        <v>37</v>
      </c>
      <c r="AC635">
        <v>27.2013</v>
      </c>
      <c r="AD635">
        <v>-1.1096387179739999</v>
      </c>
      <c r="AE635">
        <v>-1.4257</v>
      </c>
      <c r="AF635">
        <v>1.6054687227044599</v>
      </c>
      <c r="AG635">
        <v>-1.1096387179739999</v>
      </c>
      <c r="AH635">
        <v>27.146073986621801</v>
      </c>
      <c r="AI635">
        <v>92.336674035756204</v>
      </c>
      <c r="AJ635">
        <v>86.615364799761807</v>
      </c>
      <c r="AK635">
        <v>27.216137874267801</v>
      </c>
      <c r="AL635">
        <v>72.6965966967051</v>
      </c>
      <c r="AM635">
        <v>94.534689113799402</v>
      </c>
      <c r="AN635">
        <v>1.00000004960906</v>
      </c>
    </row>
    <row r="636" spans="1:40" x14ac:dyDescent="0.25">
      <c r="A636" t="str">
        <f>"20190304164110636"</f>
        <v>20190304164110636</v>
      </c>
      <c r="B636" t="str">
        <f>"1551688870622308"</f>
        <v>1551688870622308</v>
      </c>
      <c r="C636" t="s">
        <v>40</v>
      </c>
      <c r="D636">
        <v>4.2872209999999997</v>
      </c>
      <c r="E636">
        <v>0.56428919999999905</v>
      </c>
      <c r="F636" t="s">
        <v>42</v>
      </c>
      <c r="G636">
        <v>-352.80860000000001</v>
      </c>
      <c r="H636" s="1">
        <v>-3.7599190000000001E-6</v>
      </c>
      <c r="I636">
        <v>365.7122</v>
      </c>
      <c r="J636">
        <v>-379.8843</v>
      </c>
      <c r="K636">
        <v>1.10964</v>
      </c>
      <c r="L636">
        <v>367.1318</v>
      </c>
      <c r="M636">
        <v>0.9999458</v>
      </c>
      <c r="N636">
        <v>-7.891192E-3</v>
      </c>
      <c r="O636">
        <v>6.7869189999999998E-3</v>
      </c>
      <c r="P636">
        <v>0.95347020000000005</v>
      </c>
      <c r="Q636">
        <v>0.29016609999999998</v>
      </c>
      <c r="R636">
        <v>8.1842570000000003E-2</v>
      </c>
      <c r="S636">
        <v>3.2000120000000001</v>
      </c>
      <c r="T636">
        <v>-0.1300567</v>
      </c>
      <c r="U636">
        <v>-0.1661987</v>
      </c>
      <c r="V636">
        <v>-7.5449749999999996E-2</v>
      </c>
      <c r="W636">
        <v>0.29766500000000001</v>
      </c>
      <c r="X636">
        <v>0.95168419999999998</v>
      </c>
      <c r="Y636">
        <v>5.8582549999999997E-2</v>
      </c>
      <c r="Z636">
        <v>-1.6426450000000001E-3</v>
      </c>
      <c r="AA636">
        <v>0.99828119999999998</v>
      </c>
      <c r="AB636">
        <v>37</v>
      </c>
      <c r="AC636">
        <v>27.075699999999902</v>
      </c>
      <c r="AD636">
        <v>-1.1096437599190001</v>
      </c>
      <c r="AE636">
        <v>-1.4196</v>
      </c>
      <c r="AF636">
        <v>1.6006525155495801</v>
      </c>
      <c r="AG636">
        <v>-1.1096437599190001</v>
      </c>
      <c r="AH636">
        <v>27.0201824785924</v>
      </c>
      <c r="AI636">
        <v>92.347546031372204</v>
      </c>
      <c r="AJ636">
        <v>86.609808994411694</v>
      </c>
      <c r="AK636">
        <v>27.090287169498499</v>
      </c>
      <c r="AL636">
        <v>72.682587947960002</v>
      </c>
      <c r="AM636">
        <v>94.5329418580328</v>
      </c>
      <c r="AN636">
        <v>0.99999996676485003</v>
      </c>
    </row>
    <row r="637" spans="1:40" x14ac:dyDescent="0.25">
      <c r="A637" t="str">
        <f>"20190304164110650"</f>
        <v>20190304164110650</v>
      </c>
      <c r="B637" t="str">
        <f>"1551688870641829"</f>
        <v>1551688870641829</v>
      </c>
      <c r="C637" t="s">
        <v>40</v>
      </c>
      <c r="D637">
        <v>4.3172490000000003</v>
      </c>
      <c r="E637">
        <v>0.56428940000000005</v>
      </c>
      <c r="F637" t="s">
        <v>42</v>
      </c>
      <c r="G637">
        <v>-352.5059</v>
      </c>
      <c r="H637" s="1">
        <v>-3.890074E-6</v>
      </c>
      <c r="I637">
        <v>365.71069999999997</v>
      </c>
      <c r="J637">
        <v>-379.67750000000001</v>
      </c>
      <c r="K637">
        <v>1.1096360000000001</v>
      </c>
      <c r="L637">
        <v>367.13330000000002</v>
      </c>
      <c r="M637">
        <v>0.99994519999999998</v>
      </c>
      <c r="N637">
        <v>-7.9179249999999993E-3</v>
      </c>
      <c r="O637">
        <v>6.8583999999999997E-3</v>
      </c>
      <c r="P637">
        <v>0.95345069999999998</v>
      </c>
      <c r="Q637">
        <v>0.29015999999999997</v>
      </c>
      <c r="R637">
        <v>8.2092139999999994E-2</v>
      </c>
      <c r="S637">
        <v>3.2001339999999998</v>
      </c>
      <c r="T637">
        <v>-0.1297005</v>
      </c>
      <c r="U637">
        <v>-0.16610720000000001</v>
      </c>
      <c r="V637">
        <v>-7.5631240000000002E-2</v>
      </c>
      <c r="W637">
        <v>0.29768430000000001</v>
      </c>
      <c r="X637">
        <v>0.95166379999999995</v>
      </c>
      <c r="Y637">
        <v>5.8623670000000003E-2</v>
      </c>
      <c r="Z637">
        <v>-1.642508E-3</v>
      </c>
      <c r="AA637">
        <v>0.99827880000000002</v>
      </c>
      <c r="AB637">
        <v>37</v>
      </c>
      <c r="AC637">
        <v>27.171600000000002</v>
      </c>
      <c r="AD637">
        <v>-1.1096398900740001</v>
      </c>
      <c r="AE637">
        <v>-1.4226000000000401</v>
      </c>
      <c r="AF637">
        <v>1.6062545455582899</v>
      </c>
      <c r="AG637">
        <v>-1.1096398900740001</v>
      </c>
      <c r="AH637">
        <v>27.116104299673601</v>
      </c>
      <c r="AI637">
        <v>92.339243209322802</v>
      </c>
      <c r="AJ637">
        <v>86.609978066394504</v>
      </c>
      <c r="AK637">
        <v>27.1862918902441</v>
      </c>
      <c r="AL637">
        <v>72.681430358986802</v>
      </c>
      <c r="AM637">
        <v>94.543896975538004</v>
      </c>
      <c r="AN637">
        <v>1.0000000075804301</v>
      </c>
    </row>
    <row r="638" spans="1:40" x14ac:dyDescent="0.25">
      <c r="A638" t="str">
        <f>"20190304164110665"</f>
        <v>20190304164110665</v>
      </c>
      <c r="B638" t="str">
        <f>"1551688870651590"</f>
        <v>1551688870651590</v>
      </c>
      <c r="C638" t="s">
        <v>40</v>
      </c>
      <c r="D638">
        <v>4.3047129999999996</v>
      </c>
      <c r="E638">
        <v>0.56428080000000003</v>
      </c>
      <c r="F638" t="s">
        <v>42</v>
      </c>
      <c r="G638">
        <v>-352.51560000000001</v>
      </c>
      <c r="H638" s="1">
        <v>-3.8819559999999999E-6</v>
      </c>
      <c r="I638">
        <v>365.7328</v>
      </c>
      <c r="J638">
        <v>-379.42720000000003</v>
      </c>
      <c r="K638">
        <v>1.1096379999999999</v>
      </c>
      <c r="L638">
        <v>367.13510000000002</v>
      </c>
      <c r="M638">
        <v>0.99994439999999996</v>
      </c>
      <c r="N638">
        <v>-7.9512239999999998E-3</v>
      </c>
      <c r="O638">
        <v>6.9436180000000004E-3</v>
      </c>
      <c r="P638">
        <v>0.9534764</v>
      </c>
      <c r="Q638">
        <v>0.29008349999999999</v>
      </c>
      <c r="R638">
        <v>8.2065399999999997E-2</v>
      </c>
      <c r="S638">
        <v>3.2005309999999998</v>
      </c>
      <c r="T638">
        <v>-0.13075030000000001</v>
      </c>
      <c r="U638">
        <v>-0.1650085</v>
      </c>
      <c r="V638">
        <v>-7.5522510000000001E-2</v>
      </c>
      <c r="W638">
        <v>0.297639599999999</v>
      </c>
      <c r="X638">
        <v>0.95168640000000004</v>
      </c>
      <c r="Y638">
        <v>5.8359849999999998E-2</v>
      </c>
      <c r="Z638">
        <v>-1.6512969999999999E-3</v>
      </c>
      <c r="AA638">
        <v>0.99829420000000002</v>
      </c>
      <c r="AB638">
        <v>37</v>
      </c>
      <c r="AC638">
        <v>26.9116</v>
      </c>
      <c r="AD638">
        <v>-1.1096418819560001</v>
      </c>
      <c r="AE638">
        <v>-1.4023000000000201</v>
      </c>
      <c r="AF638">
        <v>1.5864460584604201</v>
      </c>
      <c r="AG638">
        <v>-1.1096418819560001</v>
      </c>
      <c r="AH638">
        <v>26.855678870723398</v>
      </c>
      <c r="AI638">
        <v>92.361928725590403</v>
      </c>
      <c r="AJ638">
        <v>86.619294072475</v>
      </c>
      <c r="AK638">
        <v>26.925371005986399</v>
      </c>
      <c r="AL638">
        <v>72.684112814844994</v>
      </c>
      <c r="AM638">
        <v>94.537284513531802</v>
      </c>
      <c r="AN638">
        <v>0.99999999247491</v>
      </c>
    </row>
    <row r="639" spans="1:40" x14ac:dyDescent="0.25">
      <c r="A639" t="str">
        <f>"20190304164110678"</f>
        <v>20190304164110678</v>
      </c>
      <c r="B639" t="str">
        <f>"1551688870672084"</f>
        <v>1551688870672084</v>
      </c>
      <c r="C639" t="s">
        <v>40</v>
      </c>
      <c r="D639">
        <v>4.3075519999999896</v>
      </c>
      <c r="E639">
        <v>0.56422680000000003</v>
      </c>
      <c r="F639" t="s">
        <v>42</v>
      </c>
      <c r="G639">
        <v>-352.43970000000002</v>
      </c>
      <c r="H639" s="1">
        <v>-3.9126130000000002E-6</v>
      </c>
      <c r="I639">
        <v>365.74369999999999</v>
      </c>
      <c r="J639">
        <v>-379.19490000000002</v>
      </c>
      <c r="K639">
        <v>1.109639</v>
      </c>
      <c r="L639">
        <v>367.13670000000002</v>
      </c>
      <c r="M639">
        <v>0.99994360000000004</v>
      </c>
      <c r="N639">
        <v>-7.9828599999999996E-3</v>
      </c>
      <c r="O639">
        <v>7.0214469999999897E-3</v>
      </c>
      <c r="P639">
        <v>0.95349280000000003</v>
      </c>
      <c r="Q639">
        <v>0.28998439999999998</v>
      </c>
      <c r="R639">
        <v>8.2222539999999997E-2</v>
      </c>
      <c r="S639">
        <v>3.200653</v>
      </c>
      <c r="T639">
        <v>-0.1316001</v>
      </c>
      <c r="U639">
        <v>-0.1650085</v>
      </c>
      <c r="V639">
        <v>-7.5604550000000006E-2</v>
      </c>
      <c r="W639">
        <v>0.29757090000000003</v>
      </c>
      <c r="X639">
        <v>0.95170140000000003</v>
      </c>
      <c r="Y639">
        <v>5.8434689999999997E-2</v>
      </c>
      <c r="Z639">
        <v>-1.6659330000000001E-3</v>
      </c>
      <c r="AA639">
        <v>0.9982898</v>
      </c>
      <c r="AB639">
        <v>37</v>
      </c>
      <c r="AC639">
        <v>26.755199999999999</v>
      </c>
      <c r="AD639">
        <v>-1.1096429126130001</v>
      </c>
      <c r="AE639">
        <v>-1.39300000000002</v>
      </c>
      <c r="AF639">
        <v>1.5781246714332999</v>
      </c>
      <c r="AG639">
        <v>-1.1096429126130001</v>
      </c>
      <c r="AH639">
        <v>26.698958893513101</v>
      </c>
      <c r="AI639">
        <v>92.375774452121405</v>
      </c>
      <c r="AJ639">
        <v>86.617291267350495</v>
      </c>
      <c r="AK639">
        <v>26.7685672173466</v>
      </c>
      <c r="AL639">
        <v>72.688236374644205</v>
      </c>
      <c r="AM639">
        <v>94.542121454599794</v>
      </c>
      <c r="AN639">
        <v>1.00000002163473</v>
      </c>
    </row>
    <row r="640" spans="1:40" x14ac:dyDescent="0.25">
      <c r="A640" t="str">
        <f>"20190304164110690"</f>
        <v>20190304164110690</v>
      </c>
      <c r="B640" t="str">
        <f>"1551688870681845"</f>
        <v>1551688870681845</v>
      </c>
      <c r="C640" t="s">
        <v>40</v>
      </c>
      <c r="D640">
        <v>4.3211570000000004</v>
      </c>
      <c r="E640">
        <v>0.56422159999999999</v>
      </c>
      <c r="F640" t="s">
        <v>42</v>
      </c>
      <c r="G640">
        <v>-352.59109999999998</v>
      </c>
      <c r="H640" s="1">
        <v>-3.8420130000000004E-6</v>
      </c>
      <c r="I640">
        <v>365.77550000000002</v>
      </c>
      <c r="J640">
        <v>-378.99770000000001</v>
      </c>
      <c r="K640">
        <v>1.109637</v>
      </c>
      <c r="L640">
        <v>367.13819999999998</v>
      </c>
      <c r="M640">
        <v>0.99994289999999997</v>
      </c>
      <c r="N640">
        <v>-8.0091580000000006E-3</v>
      </c>
      <c r="O640">
        <v>7.0849880000000004E-3</v>
      </c>
      <c r="P640">
        <v>0.95354050000000001</v>
      </c>
      <c r="Q640">
        <v>0.28984389999999999</v>
      </c>
      <c r="R640">
        <v>8.2167160000000003E-2</v>
      </c>
      <c r="S640">
        <v>3.20105</v>
      </c>
      <c r="T640">
        <v>-0.13351499999999999</v>
      </c>
      <c r="U640">
        <v>-0.16378779999999901</v>
      </c>
      <c r="V640">
        <v>-7.5487100000000001E-2</v>
      </c>
      <c r="W640">
        <v>0.297456099999999</v>
      </c>
      <c r="X640">
        <v>0.9517466</v>
      </c>
      <c r="Y640">
        <v>5.8110620000000002E-2</v>
      </c>
      <c r="Z640">
        <v>-1.682074E-3</v>
      </c>
      <c r="AA640">
        <v>0.99830870000000005</v>
      </c>
      <c r="AB640">
        <v>37</v>
      </c>
      <c r="AC640">
        <v>26.406600000000001</v>
      </c>
      <c r="AD640">
        <v>-1.109640842013</v>
      </c>
      <c r="AE640">
        <v>-1.3626999999999601</v>
      </c>
      <c r="AF640">
        <v>1.5470377332505201</v>
      </c>
      <c r="AG640">
        <v>-1.109640842013</v>
      </c>
      <c r="AH640">
        <v>26.349877297980601</v>
      </c>
      <c r="AI640">
        <v>92.407263297416904</v>
      </c>
      <c r="AJ640">
        <v>86.639942748158603</v>
      </c>
      <c r="AK640">
        <v>26.4185666182895</v>
      </c>
      <c r="AL640">
        <v>72.695125735077397</v>
      </c>
      <c r="AM640">
        <v>94.534880345677195</v>
      </c>
      <c r="AN640">
        <v>1.0000000121525801</v>
      </c>
    </row>
    <row r="641" spans="1:40" x14ac:dyDescent="0.25">
      <c r="A641" t="str">
        <f>"20190304164110701"</f>
        <v>20190304164110701</v>
      </c>
      <c r="B641" t="str">
        <f>"1551688870691605"</f>
        <v>1551688870691605</v>
      </c>
      <c r="C641" t="s">
        <v>40</v>
      </c>
      <c r="D641">
        <v>4.2395319999999996</v>
      </c>
      <c r="E641">
        <v>0.56419759999999997</v>
      </c>
      <c r="F641" t="s">
        <v>42</v>
      </c>
      <c r="G641">
        <v>-352.6284</v>
      </c>
      <c r="H641" s="1">
        <v>-3.8238819999999999E-6</v>
      </c>
      <c r="I641">
        <v>365.78750000000002</v>
      </c>
      <c r="J641">
        <v>-378.81310000000002</v>
      </c>
      <c r="K641">
        <v>1.1096360000000001</v>
      </c>
      <c r="L641">
        <v>367.13959999999997</v>
      </c>
      <c r="M641">
        <v>0.99994229999999995</v>
      </c>
      <c r="N641">
        <v>-8.0336019999999904E-3</v>
      </c>
      <c r="O641">
        <v>7.1438259999999998E-3</v>
      </c>
      <c r="P641">
        <v>0.95357720000000001</v>
      </c>
      <c r="Q641">
        <v>0.28972239999999999</v>
      </c>
      <c r="R641">
        <v>8.2169300000000001E-2</v>
      </c>
      <c r="S641">
        <v>3.201263</v>
      </c>
      <c r="T641">
        <v>-0.13471089999999999</v>
      </c>
      <c r="U641">
        <v>-0.163970899999999</v>
      </c>
      <c r="V641">
        <v>-7.5431860000000003E-2</v>
      </c>
      <c r="W641">
        <v>0.29735909999999999</v>
      </c>
      <c r="X641">
        <v>0.95178130000000005</v>
      </c>
      <c r="Y641">
        <v>5.8221679999999998E-2</v>
      </c>
      <c r="Z641">
        <v>-1.700769E-3</v>
      </c>
      <c r="AA641">
        <v>0.99830220000000003</v>
      </c>
      <c r="AB641">
        <v>37</v>
      </c>
      <c r="AC641">
        <v>26.184699999999999</v>
      </c>
      <c r="AD641">
        <v>-1.109639823882</v>
      </c>
      <c r="AE641">
        <v>-1.3520999999999499</v>
      </c>
      <c r="AF641">
        <v>1.5363786955254</v>
      </c>
      <c r="AG641">
        <v>-1.109639823882</v>
      </c>
      <c r="AH641">
        <v>26.127576010723502</v>
      </c>
      <c r="AI641">
        <v>92.427705389148102</v>
      </c>
      <c r="AJ641">
        <v>86.634714058268997</v>
      </c>
      <c r="AK641">
        <v>26.1962208768926</v>
      </c>
      <c r="AL641">
        <v>72.700946992257897</v>
      </c>
      <c r="AM641">
        <v>94.531411110882004</v>
      </c>
      <c r="AN641">
        <v>1.00000002144277</v>
      </c>
    </row>
    <row r="642" spans="1:40" x14ac:dyDescent="0.25">
      <c r="A642" t="str">
        <f>"20190304164110713"</f>
        <v>20190304164110713</v>
      </c>
      <c r="B642" t="str">
        <f>"1551688870702341"</f>
        <v>1551688870702341</v>
      </c>
      <c r="C642" t="s">
        <v>40</v>
      </c>
      <c r="D642">
        <v>4.2924699999999998</v>
      </c>
      <c r="E642">
        <v>0.56414219999999904</v>
      </c>
      <c r="F642" t="s">
        <v>42</v>
      </c>
      <c r="G642">
        <v>-352.41770000000002</v>
      </c>
      <c r="H642" s="1">
        <v>-3.914286E-6</v>
      </c>
      <c r="I642">
        <v>365.78739999999999</v>
      </c>
      <c r="J642">
        <v>-378.63029999999998</v>
      </c>
      <c r="K642">
        <v>1.10964</v>
      </c>
      <c r="L642">
        <v>367.14089999999999</v>
      </c>
      <c r="M642">
        <v>0.99994170000000004</v>
      </c>
      <c r="N642">
        <v>-8.05844E-3</v>
      </c>
      <c r="O642">
        <v>7.197943E-3</v>
      </c>
      <c r="P642">
        <v>0.95358580000000004</v>
      </c>
      <c r="Q642">
        <v>0.28971930000000001</v>
      </c>
      <c r="R642">
        <v>8.2079250000000006E-2</v>
      </c>
      <c r="S642">
        <v>3.2010800000000001</v>
      </c>
      <c r="T642">
        <v>-0.13456989999999999</v>
      </c>
      <c r="U642">
        <v>-0.163970899999999</v>
      </c>
      <c r="V642">
        <v>-7.5288389999999997E-2</v>
      </c>
      <c r="W642">
        <v>0.29737960000000002</v>
      </c>
      <c r="X642">
        <v>0.95178620000000003</v>
      </c>
      <c r="Y642">
        <v>5.8278629999999998E-2</v>
      </c>
      <c r="Z642">
        <v>-1.703071E-3</v>
      </c>
      <c r="AA642">
        <v>0.99829889999999999</v>
      </c>
      <c r="AB642">
        <v>37</v>
      </c>
      <c r="AC642">
        <v>26.212599999999899</v>
      </c>
      <c r="AD642">
        <v>-1.109643914286</v>
      </c>
      <c r="AE642">
        <v>-1.3534999999999899</v>
      </c>
      <c r="AF642">
        <v>1.5393965268761001</v>
      </c>
      <c r="AG642">
        <v>-1.109643914286</v>
      </c>
      <c r="AH642">
        <v>26.155431299604299</v>
      </c>
      <c r="AI642">
        <v>92.425124431393201</v>
      </c>
      <c r="AJ642">
        <v>86.631701782685496</v>
      </c>
      <c r="AK642">
        <v>26.2241804019075</v>
      </c>
      <c r="AL642">
        <v>72.699715847100606</v>
      </c>
      <c r="AM642">
        <v>94.522805055608998</v>
      </c>
      <c r="AN642">
        <v>0.99999996933769497</v>
      </c>
    </row>
    <row r="643" spans="1:40" x14ac:dyDescent="0.25">
      <c r="A643" t="str">
        <f>"20190304164110726"</f>
        <v>20190304164110726</v>
      </c>
      <c r="B643" t="str">
        <f>"1551688870721860"</f>
        <v>1551688870721860</v>
      </c>
      <c r="C643" t="s">
        <v>40</v>
      </c>
      <c r="D643">
        <v>4.3088119999999996</v>
      </c>
      <c r="E643">
        <v>0.56411140000000004</v>
      </c>
      <c r="F643" t="s">
        <v>42</v>
      </c>
      <c r="G643">
        <v>-352.2045</v>
      </c>
      <c r="H643" s="1">
        <v>-4.0051769999999998E-6</v>
      </c>
      <c r="I643">
        <v>365.79059999999998</v>
      </c>
      <c r="J643">
        <v>-378.40890000000002</v>
      </c>
      <c r="K643">
        <v>1.1096429999999999</v>
      </c>
      <c r="L643">
        <v>367.14249999999998</v>
      </c>
      <c r="M643">
        <v>0.99994090000000002</v>
      </c>
      <c r="N643">
        <v>-8.0894599999999997E-3</v>
      </c>
      <c r="O643">
        <v>7.2611430000000003E-3</v>
      </c>
      <c r="P643">
        <v>0.95364400000000005</v>
      </c>
      <c r="Q643">
        <v>0.2895258</v>
      </c>
      <c r="R643">
        <v>8.2084420000000005E-2</v>
      </c>
      <c r="S643">
        <v>3.200958</v>
      </c>
      <c r="T643">
        <v>-0.13441049999999999</v>
      </c>
      <c r="U643">
        <v>-0.16354369999999999</v>
      </c>
      <c r="V643">
        <v>-7.5229740000000003E-2</v>
      </c>
      <c r="W643">
        <v>0.29721710000000001</v>
      </c>
      <c r="X643">
        <v>0.95184170000000001</v>
      </c>
      <c r="Y643">
        <v>5.8210930000000001E-2</v>
      </c>
      <c r="Z643">
        <v>-1.702456E-3</v>
      </c>
      <c r="AA643">
        <v>0.99830289999999999</v>
      </c>
      <c r="AB643">
        <v>37</v>
      </c>
      <c r="AC643">
        <v>26.2044</v>
      </c>
      <c r="AD643">
        <v>-1.109647005177</v>
      </c>
      <c r="AE643">
        <v>-1.3519000000000001</v>
      </c>
      <c r="AF643">
        <v>1.5393914214045501</v>
      </c>
      <c r="AG643">
        <v>-1.109647005177</v>
      </c>
      <c r="AH643">
        <v>26.147130715328</v>
      </c>
      <c r="AI643">
        <v>92.425897505259002</v>
      </c>
      <c r="AJ643">
        <v>86.630646105546901</v>
      </c>
      <c r="AK643">
        <v>26.215901416293999</v>
      </c>
      <c r="AL643">
        <v>72.709469125298497</v>
      </c>
      <c r="AM643">
        <v>94.519033951036704</v>
      </c>
      <c r="AN643">
        <v>1.00000007008588</v>
      </c>
    </row>
    <row r="644" spans="1:40" x14ac:dyDescent="0.25">
      <c r="A644" t="str">
        <f>"20190304164110742"</f>
        <v>20190304164110742</v>
      </c>
      <c r="B644" t="str">
        <f>"1551688870731621"</f>
        <v>1551688870731621</v>
      </c>
      <c r="C644" t="s">
        <v>40</v>
      </c>
      <c r="D644">
        <v>4.3547279999999997</v>
      </c>
      <c r="E644">
        <v>0.56411140000000004</v>
      </c>
      <c r="F644" t="s">
        <v>42</v>
      </c>
      <c r="G644">
        <v>-352.14420000000001</v>
      </c>
      <c r="H644" s="1">
        <v>-4.0291509999999996E-6</v>
      </c>
      <c r="I644">
        <v>365.80130000000003</v>
      </c>
      <c r="J644">
        <v>-378.15019999999998</v>
      </c>
      <c r="K644">
        <v>1.1096379999999999</v>
      </c>
      <c r="L644">
        <v>367.14449999999999</v>
      </c>
      <c r="M644">
        <v>0.99994019999999995</v>
      </c>
      <c r="N644">
        <v>-8.1279660000000004E-3</v>
      </c>
      <c r="O644">
        <v>7.3289399999999999E-3</v>
      </c>
      <c r="P644">
        <v>0.95363830000000005</v>
      </c>
      <c r="Q644">
        <v>0.28959309999999899</v>
      </c>
      <c r="R644">
        <v>8.191466E-2</v>
      </c>
      <c r="S644">
        <v>3.200958</v>
      </c>
      <c r="T644">
        <v>-0.1352352</v>
      </c>
      <c r="U644">
        <v>-0.16345209999999999</v>
      </c>
      <c r="V644">
        <v>-7.4991160000000001E-2</v>
      </c>
      <c r="W644">
        <v>0.29732229999999998</v>
      </c>
      <c r="X644">
        <v>0.9518276</v>
      </c>
      <c r="Y644">
        <v>5.8249259999999997E-2</v>
      </c>
      <c r="Z644">
        <v>-1.7159279999999901E-3</v>
      </c>
      <c r="AA644">
        <v>0.99830059999999998</v>
      </c>
      <c r="AB644">
        <v>37</v>
      </c>
      <c r="AC644">
        <v>26.005999999999901</v>
      </c>
      <c r="AD644">
        <v>-1.1096420291510001</v>
      </c>
      <c r="AE644">
        <v>-1.34319999999996</v>
      </c>
      <c r="AF644">
        <v>1.5309866907465299</v>
      </c>
      <c r="AG644">
        <v>-1.1096420291510001</v>
      </c>
      <c r="AH644">
        <v>25.9483406452193</v>
      </c>
      <c r="AI644">
        <v>92.444430653152196</v>
      </c>
      <c r="AJ644">
        <v>86.623387168462202</v>
      </c>
      <c r="AK644">
        <v>26.017140656122098</v>
      </c>
      <c r="AL644">
        <v>72.703155013666105</v>
      </c>
      <c r="AM644">
        <v>94.504828040705306</v>
      </c>
      <c r="AN644">
        <v>1.00000000213859</v>
      </c>
    </row>
    <row r="645" spans="1:40" x14ac:dyDescent="0.25">
      <c r="A645" t="str">
        <f>"20190304164110754"</f>
        <v>20190304164110754</v>
      </c>
      <c r="B645" t="str">
        <f>"1551688870742358"</f>
        <v>1551688870742358</v>
      </c>
      <c r="C645" t="s">
        <v>40</v>
      </c>
      <c r="D645">
        <v>4.3714849999999998</v>
      </c>
      <c r="E645">
        <v>0.56333800000000001</v>
      </c>
      <c r="F645" t="s">
        <v>42</v>
      </c>
      <c r="G645">
        <v>-351.85019999999997</v>
      </c>
      <c r="H645" s="1">
        <v>-4.1559149999999997E-6</v>
      </c>
      <c r="I645">
        <v>365.79770000000002</v>
      </c>
      <c r="J645">
        <v>-377.95659999999998</v>
      </c>
      <c r="K645">
        <v>1.1096349999999999</v>
      </c>
      <c r="L645">
        <v>367.14589999999998</v>
      </c>
      <c r="M645">
        <v>0.99993969999999999</v>
      </c>
      <c r="N645">
        <v>-8.1577200000000002E-3</v>
      </c>
      <c r="O645">
        <v>7.3731069999999899E-3</v>
      </c>
      <c r="P645">
        <v>0.95366419999999996</v>
      </c>
      <c r="Q645">
        <v>0.28956989999999999</v>
      </c>
      <c r="R645">
        <v>8.1694600000000006E-2</v>
      </c>
      <c r="S645">
        <v>3.2009280000000002</v>
      </c>
      <c r="T645">
        <v>-0.13505210000000001</v>
      </c>
      <c r="U645">
        <v>-0.1639099</v>
      </c>
      <c r="V645">
        <v>-7.4724120000000005E-2</v>
      </c>
      <c r="W645">
        <v>0.29732920000000002</v>
      </c>
      <c r="X645">
        <v>0.95184650000000004</v>
      </c>
      <c r="Y645">
        <v>5.8436139999999998E-2</v>
      </c>
      <c r="Z645">
        <v>-1.720709E-3</v>
      </c>
      <c r="AA645">
        <v>0.9982896</v>
      </c>
      <c r="AB645">
        <v>37</v>
      </c>
      <c r="AC645">
        <v>26.106400000000001</v>
      </c>
      <c r="AD645">
        <v>-1.1096391559149901</v>
      </c>
      <c r="AE645">
        <v>-1.3481999999999601</v>
      </c>
      <c r="AF645">
        <v>1.5378840070484501</v>
      </c>
      <c r="AG645">
        <v>-1.1096391559149901</v>
      </c>
      <c r="AH645">
        <v>26.0488141510201</v>
      </c>
      <c r="AI645">
        <v>92.435001931879199</v>
      </c>
      <c r="AJ645">
        <v>86.621262660794798</v>
      </c>
      <c r="AK645">
        <v>26.117754592419701</v>
      </c>
      <c r="AL645">
        <v>72.702741862119197</v>
      </c>
      <c r="AM645">
        <v>94.488763469878904</v>
      </c>
      <c r="AN645">
        <v>1.0000000534223299</v>
      </c>
    </row>
    <row r="646" spans="1:40" x14ac:dyDescent="0.25">
      <c r="A646" t="str">
        <f>"20190304164110765"</f>
        <v>20190304164110765</v>
      </c>
      <c r="B646" t="str">
        <f>"1551688870752118"</f>
        <v>1551688870752118</v>
      </c>
      <c r="C646" t="s">
        <v>40</v>
      </c>
      <c r="D646">
        <v>4.3802760000000003</v>
      </c>
      <c r="E646">
        <v>0.56282100000000002</v>
      </c>
      <c r="F646" t="s">
        <v>42</v>
      </c>
      <c r="G646">
        <v>-351.83679999999998</v>
      </c>
      <c r="H646" s="1">
        <v>-4.1519E-6</v>
      </c>
      <c r="I646">
        <v>365.8528</v>
      </c>
      <c r="J646">
        <v>-377.76530000000002</v>
      </c>
      <c r="K646">
        <v>1.109632</v>
      </c>
      <c r="L646">
        <v>367.1474</v>
      </c>
      <c r="M646">
        <v>0.99993900000000002</v>
      </c>
      <c r="N646">
        <v>-8.1874640000000002E-3</v>
      </c>
      <c r="O646">
        <v>7.4142319999999998E-3</v>
      </c>
      <c r="P646">
        <v>0.95362170000000002</v>
      </c>
      <c r="Q646">
        <v>0.28965459999999998</v>
      </c>
      <c r="R646">
        <v>8.1890110000000002E-2</v>
      </c>
      <c r="S646">
        <v>3.200653</v>
      </c>
      <c r="T646">
        <v>-0.135971799999999</v>
      </c>
      <c r="U646">
        <v>-0.15844730000000001</v>
      </c>
      <c r="V646">
        <v>-7.4876109999999996E-2</v>
      </c>
      <c r="W646">
        <v>0.29744290000000001</v>
      </c>
      <c r="X646">
        <v>0.95179899999999995</v>
      </c>
      <c r="Y646">
        <v>5.6782859999999998E-2</v>
      </c>
      <c r="Z646">
        <v>-1.691594E-3</v>
      </c>
      <c r="AA646">
        <v>0.99838510000000003</v>
      </c>
      <c r="AB646">
        <v>37</v>
      </c>
      <c r="AC646">
        <v>25.9285</v>
      </c>
      <c r="AD646">
        <v>-1.1096361519</v>
      </c>
      <c r="AE646">
        <v>-1.2946</v>
      </c>
      <c r="AF646">
        <v>1.48409940621791</v>
      </c>
      <c r="AG646">
        <v>-1.1096361519</v>
      </c>
      <c r="AH646">
        <v>25.870923788803999</v>
      </c>
      <c r="AI646">
        <v>92.451955837223295</v>
      </c>
      <c r="AJ646">
        <v>86.716795212881493</v>
      </c>
      <c r="AK646">
        <v>25.937203803094199</v>
      </c>
      <c r="AL646">
        <v>72.695918097070802</v>
      </c>
      <c r="AM646">
        <v>94.498079803103394</v>
      </c>
      <c r="AN646">
        <v>1.0000000235050699</v>
      </c>
    </row>
    <row r="647" spans="1:40" x14ac:dyDescent="0.25">
      <c r="A647" t="str">
        <f>"20190304164110777"</f>
        <v>20190304164110777</v>
      </c>
      <c r="B647" t="str">
        <f>"1551688870771638"</f>
        <v>1551688870771638</v>
      </c>
      <c r="C647" t="s">
        <v>40</v>
      </c>
      <c r="D647">
        <v>4.3648920000000002</v>
      </c>
      <c r="E647">
        <v>0.56180620000000003</v>
      </c>
      <c r="F647" t="s">
        <v>42</v>
      </c>
      <c r="G647">
        <v>-351.70299999999997</v>
      </c>
      <c r="H647" s="1">
        <v>-4.2022159999999998E-6</v>
      </c>
      <c r="I647">
        <v>365.89260000000002</v>
      </c>
      <c r="J647">
        <v>-377.56560000000002</v>
      </c>
      <c r="K647">
        <v>1.109632</v>
      </c>
      <c r="L647">
        <v>367.14890000000003</v>
      </c>
      <c r="M647">
        <v>0.99993849999999995</v>
      </c>
      <c r="N647">
        <v>-8.2194509999999991E-3</v>
      </c>
      <c r="O647">
        <v>7.4509880000000004E-3</v>
      </c>
      <c r="P647">
        <v>0.95357910000000001</v>
      </c>
      <c r="Q647">
        <v>0.28975669999999998</v>
      </c>
      <c r="R647">
        <v>8.20245E-2</v>
      </c>
      <c r="S647">
        <v>3.2005620000000001</v>
      </c>
      <c r="T647">
        <v>-0.13626779999999999</v>
      </c>
      <c r="U647">
        <v>-0.15408329999999901</v>
      </c>
      <c r="V647">
        <v>-7.4970880000000004E-2</v>
      </c>
      <c r="W647">
        <v>0.29757630000000002</v>
      </c>
      <c r="X647">
        <v>0.95174979999999998</v>
      </c>
      <c r="Y647">
        <v>5.5463940000000003E-2</v>
      </c>
      <c r="Z647">
        <v>-1.663442E-3</v>
      </c>
      <c r="AA647">
        <v>0.99845930000000005</v>
      </c>
      <c r="AB647">
        <v>37</v>
      </c>
      <c r="AC647">
        <v>25.862599999999901</v>
      </c>
      <c r="AD647">
        <v>-1.109636202216</v>
      </c>
      <c r="AE647">
        <v>-1.25630000000001</v>
      </c>
      <c r="AF647">
        <v>1.4463173718990701</v>
      </c>
      <c r="AG647">
        <v>-1.109636202216</v>
      </c>
      <c r="AH647">
        <v>25.8051296601449</v>
      </c>
      <c r="AI647">
        <v>92.458382824990096</v>
      </c>
      <c r="AJ647">
        <v>86.792061368354695</v>
      </c>
      <c r="AK647">
        <v>25.869438401681901</v>
      </c>
      <c r="AL647">
        <v>72.687911632875498</v>
      </c>
      <c r="AM647">
        <v>94.503981433577394</v>
      </c>
      <c r="AN647">
        <v>0.99999998448485194</v>
      </c>
    </row>
    <row r="648" spans="1:40" x14ac:dyDescent="0.25">
      <c r="A648" t="str">
        <f>"20190304164110788"</f>
        <v>20190304164110788</v>
      </c>
      <c r="B648" t="str">
        <f>"1551688870782373"</f>
        <v>1551688870782373</v>
      </c>
      <c r="C648" t="s">
        <v>40</v>
      </c>
      <c r="D648">
        <v>4.362787</v>
      </c>
      <c r="E648">
        <v>0.56131880000000001</v>
      </c>
      <c r="F648" t="s">
        <v>42</v>
      </c>
      <c r="G648">
        <v>-351.61579999999998</v>
      </c>
      <c r="H648" s="1">
        <v>-4.2263149999999999E-6</v>
      </c>
      <c r="I648">
        <v>365.96769999999998</v>
      </c>
      <c r="J648">
        <v>-377.38470000000001</v>
      </c>
      <c r="K648">
        <v>1.1096299999999999</v>
      </c>
      <c r="L648">
        <v>367.15030000000002</v>
      </c>
      <c r="M648">
        <v>0.99993810000000005</v>
      </c>
      <c r="N648">
        <v>-8.2495759999999998E-3</v>
      </c>
      <c r="O648">
        <v>7.4793480000000002E-3</v>
      </c>
      <c r="P648">
        <v>0.95364749999999998</v>
      </c>
      <c r="Q648">
        <v>0.28942830000000003</v>
      </c>
      <c r="R648">
        <v>8.2389879999999999E-2</v>
      </c>
      <c r="S648">
        <v>3.2001650000000001</v>
      </c>
      <c r="T648">
        <v>-0.1368415</v>
      </c>
      <c r="U648">
        <v>-0.1456604</v>
      </c>
      <c r="V648">
        <v>-7.5303590000000004E-2</v>
      </c>
      <c r="W648">
        <v>0.29727809999999999</v>
      </c>
      <c r="X648">
        <v>0.95181669999999996</v>
      </c>
      <c r="Y648">
        <v>5.2878059999999998E-2</v>
      </c>
      <c r="Z648">
        <v>-1.6056759999999999E-3</v>
      </c>
      <c r="AA648">
        <v>0.99859969999999998</v>
      </c>
      <c r="AB648">
        <v>37</v>
      </c>
      <c r="AC648">
        <v>25.768899999999999</v>
      </c>
      <c r="AD648">
        <v>-1.1096342263150001</v>
      </c>
      <c r="AE648">
        <v>-1.1826000000000301</v>
      </c>
      <c r="AF648">
        <v>1.37276792660632</v>
      </c>
      <c r="AG648">
        <v>-1.1096342263150001</v>
      </c>
      <c r="AH648">
        <v>25.7117580122496</v>
      </c>
      <c r="AI648">
        <v>92.4676522136714</v>
      </c>
      <c r="AJ648">
        <v>86.943841798643703</v>
      </c>
      <c r="AK648">
        <v>25.7722773533308</v>
      </c>
      <c r="AL648">
        <v>72.705806753826593</v>
      </c>
      <c r="AM648">
        <v>94.523570020549798</v>
      </c>
      <c r="AN648">
        <v>0.99999996490269305</v>
      </c>
    </row>
    <row r="649" spans="1:40" x14ac:dyDescent="0.25">
      <c r="A649" t="str">
        <f>"20190304164110798"</f>
        <v>20190304164110798</v>
      </c>
      <c r="B649" t="str">
        <f>"1551688870792133"</f>
        <v>1551688870792133</v>
      </c>
      <c r="C649" t="s">
        <v>40</v>
      </c>
      <c r="D649">
        <v>4.3776199999999896</v>
      </c>
      <c r="E649">
        <v>0.56085050000000003</v>
      </c>
      <c r="F649" t="s">
        <v>42</v>
      </c>
      <c r="G649">
        <v>-351.73680000000002</v>
      </c>
      <c r="H649" s="1">
        <v>-4.1652219999999997E-6</v>
      </c>
      <c r="I649">
        <v>366.01949999999999</v>
      </c>
      <c r="J649">
        <v>-377.19389999999999</v>
      </c>
      <c r="K649">
        <v>1.1096269999999999</v>
      </c>
      <c r="L649">
        <v>367.15179999999998</v>
      </c>
      <c r="M649">
        <v>0.99993750000000003</v>
      </c>
      <c r="N649">
        <v>-8.2823299999999992E-3</v>
      </c>
      <c r="O649">
        <v>7.5056589999999996E-3</v>
      </c>
      <c r="P649">
        <v>0.9536327</v>
      </c>
      <c r="Q649">
        <v>0.28941270000000002</v>
      </c>
      <c r="R649">
        <v>8.2613420000000007E-2</v>
      </c>
      <c r="S649">
        <v>3.2000120000000001</v>
      </c>
      <c r="T649">
        <v>-0.13844509999999999</v>
      </c>
      <c r="U649">
        <v>-0.14108280000000001</v>
      </c>
      <c r="V649">
        <v>-7.5496060000000004E-2</v>
      </c>
      <c r="W649">
        <v>0.29729489999999997</v>
      </c>
      <c r="X649">
        <v>0.95179619999999998</v>
      </c>
      <c r="Y649">
        <v>5.1480919999999999E-2</v>
      </c>
      <c r="Z649">
        <v>-1.588307E-3</v>
      </c>
      <c r="AA649">
        <v>0.99867269999999997</v>
      </c>
      <c r="AB649">
        <v>37</v>
      </c>
      <c r="AC649">
        <v>25.457099999999901</v>
      </c>
      <c r="AD649">
        <v>-1.1096311652219999</v>
      </c>
      <c r="AE649">
        <v>-1.1322999999999801</v>
      </c>
      <c r="AF649">
        <v>1.3208424112441799</v>
      </c>
      <c r="AG649">
        <v>-1.1096311652219999</v>
      </c>
      <c r="AH649">
        <v>25.399721315995102</v>
      </c>
      <c r="AI649">
        <v>92.498104411875403</v>
      </c>
      <c r="AJ649">
        <v>87.023172518729197</v>
      </c>
      <c r="AK649">
        <v>25.458235385202801</v>
      </c>
      <c r="AL649">
        <v>72.704798507972299</v>
      </c>
      <c r="AM649">
        <v>94.535181007635401</v>
      </c>
      <c r="AN649">
        <v>0.99999995948798504</v>
      </c>
    </row>
    <row r="650" spans="1:40" x14ac:dyDescent="0.25">
      <c r="A650" t="str">
        <f>"20190304164110810"</f>
        <v>20190304164110810</v>
      </c>
      <c r="B650" t="str">
        <f>"1551688870801893"</f>
        <v>1551688870801893</v>
      </c>
      <c r="C650" t="s">
        <v>40</v>
      </c>
      <c r="D650">
        <v>4.3814000000000002</v>
      </c>
      <c r="E650">
        <v>0.5604325</v>
      </c>
      <c r="F650" t="s">
        <v>42</v>
      </c>
      <c r="G650">
        <v>-351.69929999999999</v>
      </c>
      <c r="H650" s="1">
        <v>-4.1728540000000003E-6</v>
      </c>
      <c r="I650">
        <v>366.06700000000001</v>
      </c>
      <c r="J650">
        <v>-377.0154</v>
      </c>
      <c r="K650">
        <v>1.1096250000000001</v>
      </c>
      <c r="L650">
        <v>367.15309999999999</v>
      </c>
      <c r="M650">
        <v>0.99993719999999997</v>
      </c>
      <c r="N650">
        <v>-8.3148930000000003E-3</v>
      </c>
      <c r="O650">
        <v>7.5242879999999996E-3</v>
      </c>
      <c r="P650">
        <v>0.95363940000000003</v>
      </c>
      <c r="Q650">
        <v>0.28933379999999997</v>
      </c>
      <c r="R650">
        <v>8.2813890000000001E-2</v>
      </c>
      <c r="S650">
        <v>3.1999209999999998</v>
      </c>
      <c r="T650">
        <v>-0.13927339999999999</v>
      </c>
      <c r="U650">
        <v>-0.13613889999999901</v>
      </c>
      <c r="V650">
        <v>-7.5673760000000007E-2</v>
      </c>
      <c r="W650">
        <v>0.29724850000000003</v>
      </c>
      <c r="X650">
        <v>0.95179659999999999</v>
      </c>
      <c r="Y650">
        <v>4.9961650000000003E-2</v>
      </c>
      <c r="Z650">
        <v>-1.5588729999999999E-3</v>
      </c>
      <c r="AA650">
        <v>0.99874989999999997</v>
      </c>
      <c r="AB650">
        <v>37</v>
      </c>
      <c r="AC650">
        <v>25.316099999999999</v>
      </c>
      <c r="AD650">
        <v>-1.109629172854</v>
      </c>
      <c r="AE650">
        <v>-1.08610000000004</v>
      </c>
      <c r="AF650">
        <v>1.2741181704889599</v>
      </c>
      <c r="AG650">
        <v>-1.109629172854</v>
      </c>
      <c r="AH650">
        <v>25.258774056096701</v>
      </c>
      <c r="AI650">
        <v>92.512221757477406</v>
      </c>
      <c r="AJ650">
        <v>87.112299610271407</v>
      </c>
      <c r="AK650">
        <v>25.315219154306401</v>
      </c>
      <c r="AL650">
        <v>72.707583241229202</v>
      </c>
      <c r="AM650">
        <v>94.545809168584995</v>
      </c>
      <c r="AN650">
        <v>0.99999997823817299</v>
      </c>
    </row>
    <row r="651" spans="1:40" x14ac:dyDescent="0.25">
      <c r="A651" t="str">
        <f>"20190304164110823"</f>
        <v>20190304164110823</v>
      </c>
      <c r="B651" t="str">
        <f>"1551688870811653"</f>
        <v>1551688870811653</v>
      </c>
      <c r="C651" t="s">
        <v>40</v>
      </c>
      <c r="D651">
        <v>4.3707979999999997</v>
      </c>
      <c r="E651">
        <v>0.56001939999999995</v>
      </c>
      <c r="F651" t="s">
        <v>42</v>
      </c>
      <c r="G651">
        <v>-351.66469999999998</v>
      </c>
      <c r="H651" s="1">
        <v>-4.1804120000000002E-6</v>
      </c>
      <c r="I651">
        <v>366.10829999999999</v>
      </c>
      <c r="J651">
        <v>-376.81079999999997</v>
      </c>
      <c r="K651">
        <v>1.1096189999999999</v>
      </c>
      <c r="L651">
        <v>367.15469999999999</v>
      </c>
      <c r="M651">
        <v>0.99993659999999995</v>
      </c>
      <c r="N651">
        <v>-8.353068E-3</v>
      </c>
      <c r="O651">
        <v>7.5437159999999998E-3</v>
      </c>
      <c r="P651">
        <v>0.95360769999999995</v>
      </c>
      <c r="Q651">
        <v>0.2893963</v>
      </c>
      <c r="R651">
        <v>8.2958859999999995E-2</v>
      </c>
      <c r="S651">
        <v>3.1997680000000002</v>
      </c>
      <c r="T651">
        <v>-0.14005699999999999</v>
      </c>
      <c r="U651">
        <v>-0.1318665</v>
      </c>
      <c r="V651">
        <v>-7.5794260000000002E-2</v>
      </c>
      <c r="W651">
        <v>0.29734870000000002</v>
      </c>
      <c r="X651">
        <v>0.95175580000000004</v>
      </c>
      <c r="Y651">
        <v>4.8652590000000003E-2</v>
      </c>
      <c r="Z651">
        <v>-1.5341770000000001E-3</v>
      </c>
      <c r="AA651">
        <v>0.9988146</v>
      </c>
      <c r="AB651">
        <v>37</v>
      </c>
      <c r="AC651">
        <v>25.146099999999901</v>
      </c>
      <c r="AD651">
        <v>-1.109623180412</v>
      </c>
      <c r="AE651">
        <v>-1.0464</v>
      </c>
      <c r="AF651">
        <v>1.2336738366418001</v>
      </c>
      <c r="AG651">
        <v>-1.109623180412</v>
      </c>
      <c r="AH651">
        <v>25.088722194816899</v>
      </c>
      <c r="AI651">
        <v>92.529373375497102</v>
      </c>
      <c r="AJ651">
        <v>87.184893825712805</v>
      </c>
      <c r="AK651">
        <v>25.143531894036201</v>
      </c>
      <c r="AL651">
        <v>72.701571804852406</v>
      </c>
      <c r="AM651">
        <v>94.553211689377704</v>
      </c>
      <c r="AN651">
        <v>1.00000006103713</v>
      </c>
    </row>
    <row r="652" spans="1:40" x14ac:dyDescent="0.25">
      <c r="A652" t="str">
        <f>"20190304164110835"</f>
        <v>20190304164110835</v>
      </c>
      <c r="B652" t="str">
        <f>"1551688870822389"</f>
        <v>1551688870822389</v>
      </c>
      <c r="C652" t="s">
        <v>40</v>
      </c>
      <c r="D652">
        <v>4.3948650000000002</v>
      </c>
      <c r="E652">
        <v>0.5596257</v>
      </c>
      <c r="F652" t="s">
        <v>42</v>
      </c>
      <c r="G652">
        <v>-351.53649999999999</v>
      </c>
      <c r="H652" s="1">
        <v>-4.2279879999999997E-6</v>
      </c>
      <c r="I652">
        <v>366.15010000000001</v>
      </c>
      <c r="J652">
        <v>-376.60079999999999</v>
      </c>
      <c r="K652">
        <v>1.109618</v>
      </c>
      <c r="L652">
        <v>367.15629999999999</v>
      </c>
      <c r="M652">
        <v>0.9999363</v>
      </c>
      <c r="N652">
        <v>-8.3973840000000008E-3</v>
      </c>
      <c r="O652">
        <v>7.5572219999999997E-3</v>
      </c>
      <c r="P652">
        <v>0.95360869999999998</v>
      </c>
      <c r="Q652">
        <v>0.28934470000000001</v>
      </c>
      <c r="R652">
        <v>8.3129120000000001E-2</v>
      </c>
      <c r="S652">
        <v>3.199646</v>
      </c>
      <c r="T652">
        <v>-0.14047409999999999</v>
      </c>
      <c r="U652">
        <v>-0.12716669999999999</v>
      </c>
      <c r="V652">
        <v>-7.5946059999999996E-2</v>
      </c>
      <c r="W652">
        <v>0.29734050000000001</v>
      </c>
      <c r="X652">
        <v>0.95174619999999999</v>
      </c>
      <c r="Y652">
        <v>4.720419E-2</v>
      </c>
      <c r="Z652">
        <v>-1.501781E-3</v>
      </c>
      <c r="AA652">
        <v>0.99888410000000005</v>
      </c>
      <c r="AB652">
        <v>37</v>
      </c>
      <c r="AC652">
        <v>25.064299999999999</v>
      </c>
      <c r="AD652">
        <v>-1.1096222279879999</v>
      </c>
      <c r="AE652">
        <v>-1.00619999999997</v>
      </c>
      <c r="AF652">
        <v>1.1932594665816101</v>
      </c>
      <c r="AG652">
        <v>-1.1096222279879999</v>
      </c>
      <c r="AH652">
        <v>25.007046824300499</v>
      </c>
      <c r="AI652">
        <v>92.537799877163806</v>
      </c>
      <c r="AJ652">
        <v>87.268093556003194</v>
      </c>
      <c r="AK652">
        <v>25.060078222467499</v>
      </c>
      <c r="AL652">
        <v>72.702062853039607</v>
      </c>
      <c r="AM652">
        <v>94.562338182100305</v>
      </c>
      <c r="AN652">
        <v>1.0000000030920999</v>
      </c>
    </row>
    <row r="653" spans="1:40" x14ac:dyDescent="0.25">
      <c r="A653" t="str">
        <f>"20190304164110847"</f>
        <v>20190304164110847</v>
      </c>
      <c r="B653" t="str">
        <f>"1551688870841909"</f>
        <v>1551688870841909</v>
      </c>
      <c r="C653" t="s">
        <v>40</v>
      </c>
      <c r="D653">
        <v>4.4053370000000003</v>
      </c>
      <c r="E653">
        <v>0.55889049999999996</v>
      </c>
      <c r="F653" t="s">
        <v>42</v>
      </c>
      <c r="G653">
        <v>-351.47039999999998</v>
      </c>
      <c r="H653" s="1">
        <v>-4.2489519999999998E-6</v>
      </c>
      <c r="I653">
        <v>366.19170000000003</v>
      </c>
      <c r="J653">
        <v>-376.38780000000003</v>
      </c>
      <c r="K653">
        <v>1.109621</v>
      </c>
      <c r="L653">
        <v>367.15789999999998</v>
      </c>
      <c r="M653">
        <v>0.99993580000000004</v>
      </c>
      <c r="N653">
        <v>-8.443585E-3</v>
      </c>
      <c r="O653">
        <v>7.5681619999999998E-3</v>
      </c>
      <c r="P653">
        <v>0.95362769999999997</v>
      </c>
      <c r="Q653">
        <v>0.28916649999999999</v>
      </c>
      <c r="R653">
        <v>8.3528859999999996E-2</v>
      </c>
      <c r="S653">
        <v>3.199554</v>
      </c>
      <c r="T653">
        <v>-0.14127429999999999</v>
      </c>
      <c r="U653">
        <v>-0.1228027</v>
      </c>
      <c r="V653">
        <v>-7.6330099999999998E-2</v>
      </c>
      <c r="W653">
        <v>0.29720800000000003</v>
      </c>
      <c r="X653">
        <v>0.95175679999999996</v>
      </c>
      <c r="Y653">
        <v>4.5856729999999998E-2</v>
      </c>
      <c r="Z653">
        <v>-1.475346E-3</v>
      </c>
      <c r="AA653">
        <v>0.99894700000000003</v>
      </c>
      <c r="AB653">
        <v>37</v>
      </c>
      <c r="AC653">
        <v>24.917400000000001</v>
      </c>
      <c r="AD653">
        <v>-1.109625248952</v>
      </c>
      <c r="AE653">
        <v>-0.96619999999995798</v>
      </c>
      <c r="AF653">
        <v>1.1524758956610299</v>
      </c>
      <c r="AG653">
        <v>-1.109625248952</v>
      </c>
      <c r="AH653">
        <v>24.860147286180801</v>
      </c>
      <c r="AI653">
        <v>92.552945553794501</v>
      </c>
      <c r="AJ653">
        <v>87.345761396276203</v>
      </c>
      <c r="AK653">
        <v>24.911571447297199</v>
      </c>
      <c r="AL653">
        <v>72.710012924385197</v>
      </c>
      <c r="AM653">
        <v>94.5852597877291</v>
      </c>
      <c r="AN653">
        <v>0.99999994288812299</v>
      </c>
    </row>
    <row r="654" spans="1:40" x14ac:dyDescent="0.25">
      <c r="A654" t="str">
        <f>"20190304164110860"</f>
        <v>20190304164110860</v>
      </c>
      <c r="B654" t="str">
        <f>"1551688870852645"</f>
        <v>1551688870852645</v>
      </c>
      <c r="C654" t="s">
        <v>40</v>
      </c>
      <c r="D654">
        <v>4.3933269999999904</v>
      </c>
      <c r="E654">
        <v>0.55854040000000005</v>
      </c>
      <c r="F654" t="s">
        <v>42</v>
      </c>
      <c r="G654">
        <v>-351.5188</v>
      </c>
      <c r="H654" s="1">
        <v>-4.2162990000000004E-6</v>
      </c>
      <c r="I654">
        <v>366.25880000000001</v>
      </c>
      <c r="J654">
        <v>-376.16719999999998</v>
      </c>
      <c r="K654">
        <v>1.109621</v>
      </c>
      <c r="L654">
        <v>367.15949999999998</v>
      </c>
      <c r="M654">
        <v>0.99993529999999997</v>
      </c>
      <c r="N654">
        <v>-8.4929549999999999E-3</v>
      </c>
      <c r="O654">
        <v>7.5766499999999999E-3</v>
      </c>
      <c r="P654">
        <v>0.95359830000000001</v>
      </c>
      <c r="Q654">
        <v>0.28919280000000003</v>
      </c>
      <c r="R654">
        <v>8.3773509999999995E-2</v>
      </c>
      <c r="S654">
        <v>3.1993100000000001</v>
      </c>
      <c r="T654">
        <v>-0.14274899999999999</v>
      </c>
      <c r="U654">
        <v>-0.1156616</v>
      </c>
      <c r="V654">
        <v>-7.6561969999999993E-2</v>
      </c>
      <c r="W654">
        <v>0.2972822</v>
      </c>
      <c r="X654">
        <v>0.95171510000000004</v>
      </c>
      <c r="Y654">
        <v>4.3642819999999999E-2</v>
      </c>
      <c r="Z654">
        <v>-1.431833E-3</v>
      </c>
      <c r="AA654">
        <v>0.99904610000000005</v>
      </c>
      <c r="AB654">
        <v>37</v>
      </c>
      <c r="AC654">
        <v>24.648399999999899</v>
      </c>
      <c r="AD654">
        <v>-1.1096252162989999</v>
      </c>
      <c r="AE654">
        <v>-0.90069999999997197</v>
      </c>
      <c r="AF654">
        <v>1.0852367236187299</v>
      </c>
      <c r="AG654">
        <v>-1.1096252162989999</v>
      </c>
      <c r="AH654">
        <v>24.591097249671499</v>
      </c>
      <c r="AI654">
        <v>92.5810987588156</v>
      </c>
      <c r="AJ654">
        <v>87.473103204655303</v>
      </c>
      <c r="AK654">
        <v>24.6400298459588</v>
      </c>
      <c r="AL654">
        <v>72.705561997450303</v>
      </c>
      <c r="AM654">
        <v>94.5993295398209</v>
      </c>
      <c r="AN654">
        <v>1.0000000366275601</v>
      </c>
    </row>
    <row r="655" spans="1:40" x14ac:dyDescent="0.25">
      <c r="A655" t="str">
        <f>"20190304164110878"</f>
        <v>20190304164110878</v>
      </c>
      <c r="B655" t="str">
        <f>"1551688870872165"</f>
        <v>1551688870872165</v>
      </c>
      <c r="C655" t="s">
        <v>40</v>
      </c>
      <c r="D655">
        <v>4.4070470000000004</v>
      </c>
      <c r="E655">
        <v>0.55790589999999995</v>
      </c>
      <c r="F655" t="s">
        <v>42</v>
      </c>
      <c r="G655">
        <v>-351.37240000000003</v>
      </c>
      <c r="H655" s="1">
        <v>-4.2731109999999999E-6</v>
      </c>
      <c r="I655">
        <v>366.29270000000002</v>
      </c>
      <c r="J655">
        <v>-375.88380000000001</v>
      </c>
      <c r="K655">
        <v>1.109621</v>
      </c>
      <c r="L655">
        <v>367.1617</v>
      </c>
      <c r="M655">
        <v>0.99993469999999995</v>
      </c>
      <c r="N655">
        <v>-8.5606840000000007E-3</v>
      </c>
      <c r="O655">
        <v>7.5826740000000002E-3</v>
      </c>
      <c r="P655">
        <v>0.95352579999999998</v>
      </c>
      <c r="Q655">
        <v>0.28938029999999998</v>
      </c>
      <c r="R655">
        <v>8.3951139999999994E-2</v>
      </c>
      <c r="S655">
        <v>3.199249</v>
      </c>
      <c r="T655">
        <v>-0.1431732</v>
      </c>
      <c r="U655">
        <v>-0.1118469</v>
      </c>
      <c r="V655">
        <v>-7.6730389999999996E-2</v>
      </c>
      <c r="W655">
        <v>0.29753439999999998</v>
      </c>
      <c r="X655">
        <v>0.95162270000000004</v>
      </c>
      <c r="Y655">
        <v>4.24608E-2</v>
      </c>
      <c r="Z655">
        <v>-1.4054639999999999E-3</v>
      </c>
      <c r="AA655">
        <v>0.99909720000000002</v>
      </c>
      <c r="AB655">
        <v>37</v>
      </c>
      <c r="AC655">
        <v>24.511399999999899</v>
      </c>
      <c r="AD655">
        <v>-1.1096252731109999</v>
      </c>
      <c r="AE655">
        <v>-0.86899999999997102</v>
      </c>
      <c r="AF655">
        <v>1.05268914252138</v>
      </c>
      <c r="AG655">
        <v>-1.1096252731109999</v>
      </c>
      <c r="AH655">
        <v>24.454053648775702</v>
      </c>
      <c r="AI655">
        <v>92.595666173747901</v>
      </c>
      <c r="AJ655">
        <v>87.535074106355694</v>
      </c>
      <c r="AK655">
        <v>24.501839982636199</v>
      </c>
      <c r="AL655">
        <v>72.690426815952804</v>
      </c>
      <c r="AM655">
        <v>94.609849164943398</v>
      </c>
      <c r="AN655">
        <v>1.0000000175441</v>
      </c>
    </row>
    <row r="656" spans="1:40" x14ac:dyDescent="0.25">
      <c r="A656" t="str">
        <f>"20190304164110890"</f>
        <v>20190304164110890</v>
      </c>
      <c r="B656" t="str">
        <f>"1551688870881925"</f>
        <v>1551688870881925</v>
      </c>
      <c r="C656" t="s">
        <v>40</v>
      </c>
      <c r="D656">
        <v>4.3951390000000004</v>
      </c>
      <c r="E656">
        <v>0.55762100000000003</v>
      </c>
      <c r="F656" t="s">
        <v>42</v>
      </c>
      <c r="G656">
        <v>-351.08479999999997</v>
      </c>
      <c r="H656" s="1">
        <v>-4.3886889999999999E-6</v>
      </c>
      <c r="I656">
        <v>366.33640000000003</v>
      </c>
      <c r="J656">
        <v>-375.67529999999999</v>
      </c>
      <c r="K656">
        <v>1.1096250000000001</v>
      </c>
      <c r="L656">
        <v>367.16329999999999</v>
      </c>
      <c r="M656">
        <v>0.99993430000000005</v>
      </c>
      <c r="N656">
        <v>-8.613229E-3</v>
      </c>
      <c r="O656">
        <v>7.5849119999999897E-3</v>
      </c>
      <c r="P656">
        <v>0.95352219999999999</v>
      </c>
      <c r="Q656">
        <v>0.28937210000000002</v>
      </c>
      <c r="R656">
        <v>8.4019799999999895E-2</v>
      </c>
      <c r="S656">
        <v>3.1990050000000001</v>
      </c>
      <c r="T656">
        <v>-0.143138299999999</v>
      </c>
      <c r="U656">
        <v>-0.10644530000000001</v>
      </c>
      <c r="V656">
        <v>-7.6793749999999994E-2</v>
      </c>
      <c r="W656">
        <v>0.29757719999999999</v>
      </c>
      <c r="X656">
        <v>0.95160420000000001</v>
      </c>
      <c r="Y656">
        <v>4.0782579999999999E-2</v>
      </c>
      <c r="Z656">
        <v>-1.3613270000000001E-3</v>
      </c>
      <c r="AA656">
        <v>0.99916709999999997</v>
      </c>
      <c r="AB656">
        <v>37</v>
      </c>
      <c r="AC656">
        <v>24.590499999999999</v>
      </c>
      <c r="AD656">
        <v>-1.1096293886890001</v>
      </c>
      <c r="AE656">
        <v>-0.826899999999966</v>
      </c>
      <c r="AF656">
        <v>1.0113429051554601</v>
      </c>
      <c r="AG656">
        <v>-1.1096293886890001</v>
      </c>
      <c r="AH656">
        <v>24.533621363427802</v>
      </c>
      <c r="AI656">
        <v>92.587467247630698</v>
      </c>
      <c r="AJ656">
        <v>87.6394479215069</v>
      </c>
      <c r="AK656">
        <v>24.579517266539099</v>
      </c>
      <c r="AL656">
        <v>72.687858106305001</v>
      </c>
      <c r="AM656">
        <v>94.613728620121606</v>
      </c>
      <c r="AN656">
        <v>1.0000000117282699</v>
      </c>
    </row>
    <row r="657" spans="1:40" x14ac:dyDescent="0.25">
      <c r="A657" t="str">
        <f>"20190304164110900"</f>
        <v>20190304164110900</v>
      </c>
      <c r="B657" t="str">
        <f>"1551688870892193"</f>
        <v>1551688870892193</v>
      </c>
      <c r="C657" t="s">
        <v>40</v>
      </c>
      <c r="D657">
        <v>4.3838419999999996</v>
      </c>
      <c r="E657">
        <v>0.55731299999999995</v>
      </c>
      <c r="F657" t="s">
        <v>42</v>
      </c>
      <c r="G657">
        <v>-350.94600000000003</v>
      </c>
      <c r="H657" s="1">
        <v>-4.444254E-6</v>
      </c>
      <c r="I657">
        <v>366.35899999999998</v>
      </c>
      <c r="J657">
        <v>-375.48239999999998</v>
      </c>
      <c r="K657">
        <v>1.1096280000000001</v>
      </c>
      <c r="L657">
        <v>367.16469999999998</v>
      </c>
      <c r="M657">
        <v>0.99993370000000004</v>
      </c>
      <c r="N657">
        <v>-8.6629519999999998E-3</v>
      </c>
      <c r="O657">
        <v>7.5865119999999897E-3</v>
      </c>
      <c r="P657">
        <v>0.95351810000000004</v>
      </c>
      <c r="Q657">
        <v>0.2894717</v>
      </c>
      <c r="R657">
        <v>8.3721740000000003E-2</v>
      </c>
      <c r="S657">
        <v>3.1989749999999999</v>
      </c>
      <c r="T657">
        <v>-0.14354069999999999</v>
      </c>
      <c r="U657">
        <v>-0.1040344</v>
      </c>
      <c r="V657">
        <v>-7.6492400000000002E-2</v>
      </c>
      <c r="W657">
        <v>0.29772470000000001</v>
      </c>
      <c r="X657">
        <v>0.95158229999999999</v>
      </c>
      <c r="Y657">
        <v>4.0032860000000003E-2</v>
      </c>
      <c r="Z657">
        <v>-1.345504E-3</v>
      </c>
      <c r="AA657">
        <v>0.99919749999999996</v>
      </c>
      <c r="AB657">
        <v>37</v>
      </c>
      <c r="AC657">
        <v>24.5364</v>
      </c>
      <c r="AD657">
        <v>-1.109632444254</v>
      </c>
      <c r="AE657">
        <v>-0.80569999999994402</v>
      </c>
      <c r="AF657">
        <v>0.98980731217596696</v>
      </c>
      <c r="AG657">
        <v>-1.109632444254</v>
      </c>
      <c r="AH657">
        <v>24.479569372272401</v>
      </c>
      <c r="AI657">
        <v>92.593263086607294</v>
      </c>
      <c r="AJ657">
        <v>87.684562799078506</v>
      </c>
      <c r="AK657">
        <v>24.524687955781999</v>
      </c>
      <c r="AL657">
        <v>72.679005158009105</v>
      </c>
      <c r="AM657">
        <v>94.595806688353207</v>
      </c>
      <c r="AN657">
        <v>0.99999997896056902</v>
      </c>
    </row>
    <row r="658" spans="1:40" x14ac:dyDescent="0.25">
      <c r="A658" t="str">
        <f>"20190304164110911"</f>
        <v>20190304164110911</v>
      </c>
      <c r="B658" t="str">
        <f>"1551688870901953"</f>
        <v>1551688870901953</v>
      </c>
      <c r="C658" t="s">
        <v>40</v>
      </c>
      <c r="D658">
        <v>4.4125459999999999</v>
      </c>
      <c r="E658">
        <v>0.55705609999999905</v>
      </c>
      <c r="F658" t="s">
        <v>42</v>
      </c>
      <c r="G658">
        <v>-350.75599999999997</v>
      </c>
      <c r="H658" s="1">
        <v>-4.5235139999999999E-6</v>
      </c>
      <c r="I658">
        <v>366.37180000000001</v>
      </c>
      <c r="J658">
        <v>-375.31700000000001</v>
      </c>
      <c r="K658">
        <v>1.109634</v>
      </c>
      <c r="L658">
        <v>367.166</v>
      </c>
      <c r="M658">
        <v>0.99993339999999997</v>
      </c>
      <c r="N658">
        <v>-8.7076649999999998E-3</v>
      </c>
      <c r="O658">
        <v>7.5862960000000002E-3</v>
      </c>
      <c r="P658">
        <v>0.95359079999999996</v>
      </c>
      <c r="Q658">
        <v>0.289325</v>
      </c>
      <c r="R658">
        <v>8.340301E-2</v>
      </c>
      <c r="S658">
        <v>3.1988219999999998</v>
      </c>
      <c r="T658">
        <v>-0.1435506</v>
      </c>
      <c r="U658">
        <v>-0.1025696</v>
      </c>
      <c r="V658">
        <v>-7.6171879999999997E-2</v>
      </c>
      <c r="W658">
        <v>0.29762139999999998</v>
      </c>
      <c r="X658">
        <v>0.95164040000000005</v>
      </c>
      <c r="Y658">
        <v>3.9577609999999999E-2</v>
      </c>
      <c r="Z658">
        <v>-1.33401299999999E-3</v>
      </c>
      <c r="AA658">
        <v>0.99921559999999998</v>
      </c>
      <c r="AB658">
        <v>37</v>
      </c>
      <c r="AC658">
        <v>24.5609999999999</v>
      </c>
      <c r="AD658">
        <v>-1.1096385235140001</v>
      </c>
      <c r="AE658">
        <v>-0.79419999999998903</v>
      </c>
      <c r="AF658">
        <v>0.97851601420757806</v>
      </c>
      <c r="AG658">
        <v>-1.1096385235140001</v>
      </c>
      <c r="AH658">
        <v>24.504303645793001</v>
      </c>
      <c r="AI658">
        <v>92.590715290583702</v>
      </c>
      <c r="AJ658">
        <v>87.713256136497904</v>
      </c>
      <c r="AK658">
        <v>24.5489243839348</v>
      </c>
      <c r="AL658">
        <v>72.685206161923801</v>
      </c>
      <c r="AM658">
        <v>94.576352998231599</v>
      </c>
      <c r="AN658">
        <v>1.0000000519764201</v>
      </c>
    </row>
    <row r="659" spans="1:40" x14ac:dyDescent="0.25">
      <c r="A659" t="str">
        <f>"20190304164110924"</f>
        <v>20190304164110924</v>
      </c>
      <c r="B659" t="str">
        <f>"1551688870911713"</f>
        <v>1551688870911713</v>
      </c>
      <c r="C659" t="s">
        <v>40</v>
      </c>
      <c r="D659">
        <v>4.3982250000000001</v>
      </c>
      <c r="E659">
        <v>0.55677909999999997</v>
      </c>
      <c r="F659" t="s">
        <v>42</v>
      </c>
      <c r="G659">
        <v>-350.75510000000003</v>
      </c>
      <c r="H659" s="1">
        <v>-4.5206749999999997E-6</v>
      </c>
      <c r="I659">
        <v>366.38979999999998</v>
      </c>
      <c r="J659">
        <v>-375.11579999999998</v>
      </c>
      <c r="K659">
        <v>1.10964</v>
      </c>
      <c r="L659">
        <v>367.16750000000002</v>
      </c>
      <c r="M659">
        <v>0.99993290000000001</v>
      </c>
      <c r="N659">
        <v>-8.7623479999999997E-3</v>
      </c>
      <c r="O659">
        <v>7.586031E-3</v>
      </c>
      <c r="P659">
        <v>0.95365789999999995</v>
      </c>
      <c r="Q659">
        <v>0.28918680000000002</v>
      </c>
      <c r="R659">
        <v>8.3113129999999993E-2</v>
      </c>
      <c r="S659">
        <v>3.1987000000000001</v>
      </c>
      <c r="T659">
        <v>-0.14450789999999999</v>
      </c>
      <c r="U659">
        <v>-0.1010742</v>
      </c>
      <c r="V659">
        <v>-7.5879950000000002E-2</v>
      </c>
      <c r="W659">
        <v>0.29753629999999998</v>
      </c>
      <c r="X659">
        <v>0.95169029999999999</v>
      </c>
      <c r="Y659">
        <v>3.9111779999999999E-2</v>
      </c>
      <c r="Z659">
        <v>-1.330349E-3</v>
      </c>
      <c r="AA659">
        <v>0.99923399999999996</v>
      </c>
      <c r="AB659">
        <v>38</v>
      </c>
      <c r="AC659">
        <v>24.360699999999898</v>
      </c>
      <c r="AD659">
        <v>-1.1096445206750001</v>
      </c>
      <c r="AE659">
        <v>-0.77770000000003803</v>
      </c>
      <c r="AF659">
        <v>0.96049486783734195</v>
      </c>
      <c r="AG659">
        <v>-1.1096445206750001</v>
      </c>
      <c r="AH659">
        <v>24.3037236846307</v>
      </c>
      <c r="AI659">
        <v>92.612123830569004</v>
      </c>
      <c r="AJ659">
        <v>87.736820964895898</v>
      </c>
      <c r="AK659">
        <v>24.347994707825201</v>
      </c>
      <c r="AL659">
        <v>72.690312867100005</v>
      </c>
      <c r="AM659">
        <v>94.558650094009195</v>
      </c>
      <c r="AN659">
        <v>1.0000000218718901</v>
      </c>
    </row>
    <row r="660" spans="1:40" x14ac:dyDescent="0.25">
      <c r="A660" t="str">
        <f>"20190304164110935"</f>
        <v>20190304164110935</v>
      </c>
      <c r="B660" t="str">
        <f>"1551688870921472"</f>
        <v>1551688870921472</v>
      </c>
      <c r="C660" t="s">
        <v>40</v>
      </c>
      <c r="D660">
        <v>4.3892189999999998</v>
      </c>
      <c r="E660">
        <v>0.55649759999999904</v>
      </c>
      <c r="F660" t="s">
        <v>42</v>
      </c>
      <c r="G660">
        <v>-350.70479999999998</v>
      </c>
      <c r="H660" s="1">
        <v>-4.539152E-6</v>
      </c>
      <c r="I660">
        <v>366.40730000000002</v>
      </c>
      <c r="J660">
        <v>-374.91930000000002</v>
      </c>
      <c r="K660">
        <v>1.109645</v>
      </c>
      <c r="L660">
        <v>367.16899999999998</v>
      </c>
      <c r="M660">
        <v>0.9999323</v>
      </c>
      <c r="N660">
        <v>-8.8174800000000008E-3</v>
      </c>
      <c r="O660">
        <v>7.5859430000000004E-3</v>
      </c>
      <c r="P660">
        <v>0.95370889999999997</v>
      </c>
      <c r="Q660">
        <v>0.2891669</v>
      </c>
      <c r="R660">
        <v>8.2594070000000006E-2</v>
      </c>
      <c r="S660">
        <v>3.198547</v>
      </c>
      <c r="T660">
        <v>-0.14539479999999999</v>
      </c>
      <c r="U660">
        <v>-9.9609379999999997E-2</v>
      </c>
      <c r="V660">
        <v>-7.5358579999999994E-2</v>
      </c>
      <c r="W660">
        <v>0.2975699</v>
      </c>
      <c r="X660">
        <v>0.95172120000000004</v>
      </c>
      <c r="Y660">
        <v>3.8655929999999998E-2</v>
      </c>
      <c r="Z660">
        <v>-1.3262219999999999E-3</v>
      </c>
      <c r="AA660">
        <v>0.99925169999999996</v>
      </c>
      <c r="AB660">
        <v>38</v>
      </c>
      <c r="AC660">
        <v>24.214500000000001</v>
      </c>
      <c r="AD660">
        <v>-1.109649539152</v>
      </c>
      <c r="AE660">
        <v>-0.76170000000001803</v>
      </c>
      <c r="AF660">
        <v>0.94339586943375797</v>
      </c>
      <c r="AG660">
        <v>-1.109649539152</v>
      </c>
      <c r="AH660">
        <v>24.157344333315098</v>
      </c>
      <c r="AI660">
        <v>92.627989728078504</v>
      </c>
      <c r="AJ660">
        <v>87.763613909185693</v>
      </c>
      <c r="AK660">
        <v>24.201210777656499</v>
      </c>
      <c r="AL660">
        <v>72.688296033928495</v>
      </c>
      <c r="AM660">
        <v>94.527311963112595</v>
      </c>
      <c r="AN660">
        <v>1.0000000017475299</v>
      </c>
    </row>
    <row r="661" spans="1:40" x14ac:dyDescent="0.25">
      <c r="A661" t="str">
        <f>"20190304164110946"</f>
        <v>20190304164110946</v>
      </c>
      <c r="B661" t="str">
        <f>"1551688870941969"</f>
        <v>1551688870941969</v>
      </c>
      <c r="C661" t="s">
        <v>40</v>
      </c>
      <c r="D661">
        <v>4.4510129999999997</v>
      </c>
      <c r="E661">
        <v>0.55603329999999995</v>
      </c>
      <c r="F661" t="s">
        <v>42</v>
      </c>
      <c r="G661">
        <v>-350.58100000000002</v>
      </c>
      <c r="H661" s="1">
        <v>-4.5904039999999901E-6</v>
      </c>
      <c r="I661">
        <v>366.41770000000002</v>
      </c>
      <c r="J661">
        <v>-374.72460000000001</v>
      </c>
      <c r="K661">
        <v>1.109645</v>
      </c>
      <c r="L661">
        <v>367.1705</v>
      </c>
      <c r="M661">
        <v>0.99993189999999998</v>
      </c>
      <c r="N661">
        <v>-8.8717620000000001E-3</v>
      </c>
      <c r="O661">
        <v>7.5858569999999997E-3</v>
      </c>
      <c r="P661">
        <v>0.9538084</v>
      </c>
      <c r="Q661">
        <v>0.28891679999999997</v>
      </c>
      <c r="R661">
        <v>8.2321820000000004E-2</v>
      </c>
      <c r="S661">
        <v>3.1984249999999999</v>
      </c>
      <c r="T661">
        <v>-0.14582479999999901</v>
      </c>
      <c r="U661">
        <v>-9.8724370000000006E-2</v>
      </c>
      <c r="V661">
        <v>-7.5084769999999995E-2</v>
      </c>
      <c r="W661">
        <v>0.29737279999999999</v>
      </c>
      <c r="X661">
        <v>0.95180450000000005</v>
      </c>
      <c r="Y661">
        <v>3.8380810000000001E-2</v>
      </c>
      <c r="Z661">
        <v>-1.323032E-3</v>
      </c>
      <c r="AA661">
        <v>0.99926230000000005</v>
      </c>
      <c r="AB661">
        <v>38</v>
      </c>
      <c r="AC661">
        <v>24.143599999999999</v>
      </c>
      <c r="AD661">
        <v>-1.109649590404</v>
      </c>
      <c r="AE661">
        <v>-0.75279999999997904</v>
      </c>
      <c r="AF661">
        <v>0.93396448601970805</v>
      </c>
      <c r="AG661">
        <v>-1.109649590404</v>
      </c>
      <c r="AH661">
        <v>24.086364778419401</v>
      </c>
      <c r="AI661">
        <v>92.635751582343204</v>
      </c>
      <c r="AJ661">
        <v>87.779431289450699</v>
      </c>
      <c r="AK661">
        <v>24.129993371605298</v>
      </c>
      <c r="AL661">
        <v>72.700125457827895</v>
      </c>
      <c r="AM661">
        <v>94.510537155521803</v>
      </c>
      <c r="AN661">
        <v>1.00000005554302</v>
      </c>
    </row>
    <row r="662" spans="1:40" x14ac:dyDescent="0.25">
      <c r="A662" t="str">
        <f>"20190304164110958"</f>
        <v>20190304164110958</v>
      </c>
      <c r="B662" t="str">
        <f>"1551688870951729"</f>
        <v>1551688870951729</v>
      </c>
      <c r="C662" t="s">
        <v>40</v>
      </c>
      <c r="D662">
        <v>4.426024</v>
      </c>
      <c r="E662">
        <v>0.55580229999999997</v>
      </c>
      <c r="F662" t="s">
        <v>42</v>
      </c>
      <c r="G662">
        <v>-350.6703</v>
      </c>
      <c r="H662" s="1">
        <v>-4.5466879999999997E-6</v>
      </c>
      <c r="I662">
        <v>366.44839999999999</v>
      </c>
      <c r="J662">
        <v>-374.52809999999999</v>
      </c>
      <c r="K662">
        <v>1.109645</v>
      </c>
      <c r="L662">
        <v>367.17200000000003</v>
      </c>
      <c r="M662">
        <v>0.99993149999999997</v>
      </c>
      <c r="N662">
        <v>-8.9261340000000005E-3</v>
      </c>
      <c r="O662">
        <v>7.5859489999999998E-3</v>
      </c>
      <c r="P662">
        <v>0.95382809999999996</v>
      </c>
      <c r="Q662">
        <v>0.2889584</v>
      </c>
      <c r="R662">
        <v>8.1945229999999994E-2</v>
      </c>
      <c r="S662">
        <v>3.1983030000000001</v>
      </c>
      <c r="T662">
        <v>-0.14754020000000001</v>
      </c>
      <c r="U662">
        <v>-9.6008300000000005E-2</v>
      </c>
      <c r="V662">
        <v>-7.4706259999999997E-2</v>
      </c>
      <c r="W662">
        <v>0.29746620000000001</v>
      </c>
      <c r="X662">
        <v>0.95180509999999996</v>
      </c>
      <c r="Y662">
        <v>3.7534110000000002E-2</v>
      </c>
      <c r="Z662">
        <v>-1.3147689999999999E-3</v>
      </c>
      <c r="AA662">
        <v>0.99929449999999997</v>
      </c>
      <c r="AB662">
        <v>38</v>
      </c>
      <c r="AC662">
        <v>23.857800000000001</v>
      </c>
      <c r="AD662">
        <v>-1.1096495466879901</v>
      </c>
      <c r="AE662">
        <v>-0.72359999999997604</v>
      </c>
      <c r="AF662">
        <v>0.90261960551161202</v>
      </c>
      <c r="AG662">
        <v>-1.1096495466879901</v>
      </c>
      <c r="AH662">
        <v>23.800185129018899</v>
      </c>
      <c r="AI662">
        <v>92.667485717717</v>
      </c>
      <c r="AJ662">
        <v>87.828104255614804</v>
      </c>
      <c r="AK662">
        <v>23.843130172951099</v>
      </c>
      <c r="AL662">
        <v>72.694520409765403</v>
      </c>
      <c r="AM662">
        <v>94.487889382988996</v>
      </c>
      <c r="AN662">
        <v>1.0000000569058101</v>
      </c>
    </row>
    <row r="663" spans="1:40" x14ac:dyDescent="0.25">
      <c r="A663" t="str">
        <f>"20190304164110969"</f>
        <v>20190304164110969</v>
      </c>
      <c r="B663" t="str">
        <f>"1551688870961488"</f>
        <v>1551688870961488</v>
      </c>
      <c r="C663" t="s">
        <v>40</v>
      </c>
      <c r="D663">
        <v>4.4332890000000003</v>
      </c>
      <c r="E663">
        <v>0.55557190000000001</v>
      </c>
      <c r="F663" t="s">
        <v>42</v>
      </c>
      <c r="G663">
        <v>-350.49200000000002</v>
      </c>
      <c r="H663" s="1">
        <v>-4.6217350000000001E-6</v>
      </c>
      <c r="I663">
        <v>366.4563</v>
      </c>
      <c r="J663">
        <v>-374.35379999999998</v>
      </c>
      <c r="K663">
        <v>1.10965</v>
      </c>
      <c r="L663">
        <v>367.17329999999998</v>
      </c>
      <c r="M663">
        <v>0.99993100000000001</v>
      </c>
      <c r="N663">
        <v>-8.9726130000000008E-3</v>
      </c>
      <c r="O663">
        <v>7.5860199999999997E-3</v>
      </c>
      <c r="P663">
        <v>0.95388530000000005</v>
      </c>
      <c r="Q663">
        <v>0.2888695</v>
      </c>
      <c r="R663">
        <v>8.1593089999999993E-2</v>
      </c>
      <c r="S663">
        <v>3.1980590000000002</v>
      </c>
      <c r="T663">
        <v>-0.1476412</v>
      </c>
      <c r="U663">
        <v>-9.5214839999999995E-2</v>
      </c>
      <c r="V663">
        <v>-7.4352379999999996E-2</v>
      </c>
      <c r="W663">
        <v>0.29742249999999998</v>
      </c>
      <c r="X663">
        <v>0.95184639999999998</v>
      </c>
      <c r="Y663">
        <v>3.7288969999999998E-2</v>
      </c>
      <c r="Z663">
        <v>-1.309464E-3</v>
      </c>
      <c r="AA663">
        <v>0.99930359999999996</v>
      </c>
      <c r="AB663">
        <v>38</v>
      </c>
      <c r="AC663">
        <v>23.861799999999999</v>
      </c>
      <c r="AD663">
        <v>-1.1096546217350001</v>
      </c>
      <c r="AE663">
        <v>-0.71699999999998398</v>
      </c>
      <c r="AF663">
        <v>0.89606668603994799</v>
      </c>
      <c r="AG663">
        <v>-1.1096546217350001</v>
      </c>
      <c r="AH663">
        <v>23.804242150402601</v>
      </c>
      <c r="AI663">
        <v>92.667072238487293</v>
      </c>
      <c r="AJ663">
        <v>87.844224174910707</v>
      </c>
      <c r="AK663">
        <v>23.8469329944203</v>
      </c>
      <c r="AL663">
        <v>72.697141819896999</v>
      </c>
      <c r="AM663">
        <v>94.466523674883405</v>
      </c>
      <c r="AN663">
        <v>0.99999999455543698</v>
      </c>
    </row>
    <row r="664" spans="1:40" x14ac:dyDescent="0.25">
      <c r="A664" t="str">
        <f>"20190304164110979"</f>
        <v>20190304164110979</v>
      </c>
      <c r="B664" t="str">
        <f>"1551688870972225"</f>
        <v>1551688870972225</v>
      </c>
      <c r="C664" t="s">
        <v>40</v>
      </c>
      <c r="D664">
        <v>4.4587320000000004</v>
      </c>
      <c r="E664">
        <v>0.55535699999999999</v>
      </c>
      <c r="F664" t="s">
        <v>42</v>
      </c>
      <c r="G664">
        <v>-350.40480000000002</v>
      </c>
      <c r="H664" s="1">
        <v>-4.6580390000000001E-6</v>
      </c>
      <c r="I664">
        <v>366.46249999999998</v>
      </c>
      <c r="J664">
        <v>-374.17020000000002</v>
      </c>
      <c r="K664">
        <v>1.109653</v>
      </c>
      <c r="L664">
        <v>367.17469999999997</v>
      </c>
      <c r="M664">
        <v>0.9999306</v>
      </c>
      <c r="N664">
        <v>-9.0206430000000001E-3</v>
      </c>
      <c r="O664">
        <v>7.5861430000000001E-3</v>
      </c>
      <c r="P664">
        <v>0.95389420000000003</v>
      </c>
      <c r="Q664">
        <v>0.28889920000000002</v>
      </c>
      <c r="R664">
        <v>8.1384440000000002E-2</v>
      </c>
      <c r="S664">
        <v>3.1979980000000001</v>
      </c>
      <c r="T664">
        <v>-0.14817620000000001</v>
      </c>
      <c r="U664">
        <v>-9.4909670000000002E-2</v>
      </c>
      <c r="V664">
        <v>-7.4142669999999994E-2</v>
      </c>
      <c r="W664">
        <v>0.2974985</v>
      </c>
      <c r="X664">
        <v>0.95183899999999999</v>
      </c>
      <c r="Y664">
        <v>3.7194119999999997E-2</v>
      </c>
      <c r="Z664">
        <v>-1.3117820000000001E-3</v>
      </c>
      <c r="AA664">
        <v>0.99930719999999995</v>
      </c>
      <c r="AB664">
        <v>38</v>
      </c>
      <c r="AC664">
        <v>23.7654</v>
      </c>
      <c r="AD664">
        <v>-1.1096576580390001</v>
      </c>
      <c r="AE664">
        <v>-0.71219999999999495</v>
      </c>
      <c r="AF664">
        <v>0.89053478812416498</v>
      </c>
      <c r="AG664">
        <v>-1.1096576580390001</v>
      </c>
      <c r="AH664">
        <v>23.707672947128799</v>
      </c>
      <c r="AI664">
        <v>92.677935674668404</v>
      </c>
      <c r="AJ664">
        <v>87.848801642579602</v>
      </c>
      <c r="AK664">
        <v>23.750329448134501</v>
      </c>
      <c r="AL664">
        <v>72.692580759444894</v>
      </c>
      <c r="AM664">
        <v>94.454011147893596</v>
      </c>
      <c r="AN664">
        <v>0.99999998746898899</v>
      </c>
    </row>
    <row r="665" spans="1:40" x14ac:dyDescent="0.25">
      <c r="A665" t="str">
        <f>"20190304164110990"</f>
        <v>20190304164110990</v>
      </c>
      <c r="B665" t="str">
        <f>"1551688870981985"</f>
        <v>1551688870981985</v>
      </c>
      <c r="C665" t="s">
        <v>40</v>
      </c>
      <c r="D665">
        <v>4.4425929999999996</v>
      </c>
      <c r="E665">
        <v>0.55512269999999997</v>
      </c>
      <c r="F665" t="s">
        <v>42</v>
      </c>
      <c r="G665">
        <v>-350.26459999999997</v>
      </c>
      <c r="H665" s="1">
        <v>-4.7160140000000002E-6</v>
      </c>
      <c r="I665">
        <v>366.47500000000002</v>
      </c>
      <c r="J665">
        <v>-373.99990000000003</v>
      </c>
      <c r="K665">
        <v>1.1096549999999901</v>
      </c>
      <c r="L665">
        <v>367.17599999999999</v>
      </c>
      <c r="M665">
        <v>0.99993030000000005</v>
      </c>
      <c r="N665">
        <v>-9.0626960000000003E-3</v>
      </c>
      <c r="O665">
        <v>7.5865919999999996E-3</v>
      </c>
      <c r="P665">
        <v>0.95385010000000003</v>
      </c>
      <c r="Q665">
        <v>0.28908220000000001</v>
      </c>
      <c r="R665">
        <v>8.1251169999999998E-2</v>
      </c>
      <c r="S665">
        <v>3.197937</v>
      </c>
      <c r="T665">
        <v>-0.14844189999999999</v>
      </c>
      <c r="U665">
        <v>-9.3597410000000006E-2</v>
      </c>
      <c r="V665">
        <v>-7.400793E-2</v>
      </c>
      <c r="W665">
        <v>0.29772110000000002</v>
      </c>
      <c r="X665">
        <v>0.95177990000000001</v>
      </c>
      <c r="Y665">
        <v>3.6785739999999997E-2</v>
      </c>
      <c r="Z665">
        <v>-1.3031410000000001E-3</v>
      </c>
      <c r="AA665">
        <v>0.99932240000000006</v>
      </c>
      <c r="AB665">
        <v>38</v>
      </c>
      <c r="AC665">
        <v>23.735299999999999</v>
      </c>
      <c r="AD665">
        <v>-1.10965971601399</v>
      </c>
      <c r="AE665">
        <v>-0.70099999999996498</v>
      </c>
      <c r="AF665">
        <v>0.879137376108588</v>
      </c>
      <c r="AG665">
        <v>-1.10965971601399</v>
      </c>
      <c r="AH665">
        <v>23.677591490167401</v>
      </c>
      <c r="AI665">
        <v>92.681381191135003</v>
      </c>
      <c r="AJ665">
        <v>87.873612554175807</v>
      </c>
      <c r="AK665">
        <v>23.719877023008799</v>
      </c>
      <c r="AL665">
        <v>72.679221642555405</v>
      </c>
      <c r="AM665">
        <v>94.446224284440106</v>
      </c>
      <c r="AN665">
        <v>1.00000000256605</v>
      </c>
    </row>
    <row r="666" spans="1:40" x14ac:dyDescent="0.25">
      <c r="A666" t="str">
        <f>"20190304164111001"</f>
        <v>20190304164111001</v>
      </c>
      <c r="B666" t="str">
        <f>"1551688870992252"</f>
        <v>1551688870992252</v>
      </c>
      <c r="C666" t="s">
        <v>40</v>
      </c>
      <c r="D666">
        <v>4.4490460000000001</v>
      </c>
      <c r="E666">
        <v>0.55491040000000003</v>
      </c>
      <c r="F666" t="s">
        <v>42</v>
      </c>
      <c r="G666">
        <v>-350.00810000000001</v>
      </c>
      <c r="H666" s="1">
        <v>-4.8244090000000004E-6</v>
      </c>
      <c r="I666">
        <v>366.48430000000002</v>
      </c>
      <c r="J666">
        <v>-373.8152</v>
      </c>
      <c r="K666">
        <v>1.109653</v>
      </c>
      <c r="L666">
        <v>367.17739999999998</v>
      </c>
      <c r="M666">
        <v>0.99992979999999998</v>
      </c>
      <c r="N666">
        <v>-9.1076070000000002E-3</v>
      </c>
      <c r="O666">
        <v>7.5870260000000002E-3</v>
      </c>
      <c r="P666">
        <v>0.95392520000000003</v>
      </c>
      <c r="Q666">
        <v>0.28890120000000002</v>
      </c>
      <c r="R666">
        <v>8.1013520000000006E-2</v>
      </c>
      <c r="S666">
        <v>3.1978759999999999</v>
      </c>
      <c r="T666">
        <v>-0.14790590000000001</v>
      </c>
      <c r="U666">
        <v>-9.2193600000000001E-2</v>
      </c>
      <c r="V666">
        <v>-7.3768440000000005E-2</v>
      </c>
      <c r="W666">
        <v>0.2975836</v>
      </c>
      <c r="X666">
        <v>0.95184150000000001</v>
      </c>
      <c r="Y666">
        <v>3.6349310000000003E-2</v>
      </c>
      <c r="Z666">
        <v>-1.28725E-3</v>
      </c>
      <c r="AA666">
        <v>0.99933830000000001</v>
      </c>
      <c r="AB666">
        <v>38</v>
      </c>
      <c r="AC666">
        <v>23.807099999999899</v>
      </c>
      <c r="AD666">
        <v>-1.1096578244090001</v>
      </c>
      <c r="AE666">
        <v>-0.69309999999995797</v>
      </c>
      <c r="AF666">
        <v>0.87182016874874302</v>
      </c>
      <c r="AG666">
        <v>-1.1096578244090001</v>
      </c>
      <c r="AH666">
        <v>23.7496029873898</v>
      </c>
      <c r="AI666">
        <v>92.673299602254801</v>
      </c>
      <c r="AJ666">
        <v>87.897682875993695</v>
      </c>
      <c r="AK666">
        <v>23.7914911880811</v>
      </c>
      <c r="AL666">
        <v>72.687474007228403</v>
      </c>
      <c r="AM666">
        <v>94.431608022216196</v>
      </c>
      <c r="AN666">
        <v>1.00000001142562</v>
      </c>
    </row>
    <row r="667" spans="1:40" x14ac:dyDescent="0.25">
      <c r="A667" t="str">
        <f>"20190304164111010"</f>
        <v>20190304164111010</v>
      </c>
      <c r="B667" t="str">
        <f>"1551688871002012"</f>
        <v>1551688871002012</v>
      </c>
      <c r="C667" t="s">
        <v>40</v>
      </c>
      <c r="D667">
        <v>4.4289959999999997</v>
      </c>
      <c r="E667">
        <v>0.55468609999999996</v>
      </c>
      <c r="F667" t="s">
        <v>42</v>
      </c>
      <c r="G667">
        <v>-349.96300000000002</v>
      </c>
      <c r="H667" s="1">
        <v>-4.841117E-6</v>
      </c>
      <c r="I667">
        <v>366.49900000000002</v>
      </c>
      <c r="J667">
        <v>-373.64269999999999</v>
      </c>
      <c r="K667">
        <v>1.1096549999999901</v>
      </c>
      <c r="L667">
        <v>367.17869999999999</v>
      </c>
      <c r="M667">
        <v>0.99992930000000002</v>
      </c>
      <c r="N667">
        <v>-9.1464240000000002E-3</v>
      </c>
      <c r="O667">
        <v>7.5876700000000004E-3</v>
      </c>
      <c r="P667">
        <v>0.95394159999999995</v>
      </c>
      <c r="Q667">
        <v>0.28880280000000003</v>
      </c>
      <c r="R667">
        <v>8.1167740000000002E-2</v>
      </c>
      <c r="S667">
        <v>3.197632</v>
      </c>
      <c r="T667">
        <v>-0.14876039999999999</v>
      </c>
      <c r="U667">
        <v>-9.0942380000000003E-2</v>
      </c>
      <c r="V667">
        <v>-7.3921050000000002E-2</v>
      </c>
      <c r="W667">
        <v>0.29752260000000003</v>
      </c>
      <c r="X667">
        <v>0.95184869999999999</v>
      </c>
      <c r="Y667">
        <v>3.5961340000000001E-2</v>
      </c>
      <c r="Z667">
        <v>-1.283862E-3</v>
      </c>
      <c r="AA667">
        <v>0.99935229999999997</v>
      </c>
      <c r="AB667">
        <v>38</v>
      </c>
      <c r="AC667">
        <v>23.679699999999901</v>
      </c>
      <c r="AD667">
        <v>-1.10965984111699</v>
      </c>
      <c r="AE667">
        <v>-0.679699999999968</v>
      </c>
      <c r="AF667">
        <v>0.857480257233318</v>
      </c>
      <c r="AG667">
        <v>-1.10965984111699</v>
      </c>
      <c r="AH667">
        <v>23.622030047057098</v>
      </c>
      <c r="AI667">
        <v>92.6877607636889</v>
      </c>
      <c r="AJ667">
        <v>87.921074636511705</v>
      </c>
      <c r="AK667">
        <v>23.663620198494598</v>
      </c>
      <c r="AL667">
        <v>72.691134367318298</v>
      </c>
      <c r="AM667">
        <v>94.440705913747607</v>
      </c>
      <c r="AN667">
        <v>0.99999998341777596</v>
      </c>
    </row>
    <row r="668" spans="1:40" x14ac:dyDescent="0.25">
      <c r="A668" t="str">
        <f>"20190304164111022"</f>
        <v>20190304164111022</v>
      </c>
      <c r="B668" t="str">
        <f>"1551688871011772"</f>
        <v>1551688871011772</v>
      </c>
      <c r="C668" t="s">
        <v>40</v>
      </c>
      <c r="D668">
        <v>4.4482869999999997</v>
      </c>
      <c r="E668">
        <v>0.55448160000000002</v>
      </c>
      <c r="F668" t="s">
        <v>42</v>
      </c>
      <c r="G668">
        <v>-349.86439999999999</v>
      </c>
      <c r="H668" s="1">
        <v>-8.6088390000000003E-7</v>
      </c>
      <c r="I668">
        <v>366.5172</v>
      </c>
      <c r="J668">
        <v>-373.45729999999998</v>
      </c>
      <c r="K668">
        <v>1.109658</v>
      </c>
      <c r="L668">
        <v>367.18009999999998</v>
      </c>
      <c r="M668">
        <v>0.99992910000000002</v>
      </c>
      <c r="N668">
        <v>-9.1877109999999994E-3</v>
      </c>
      <c r="O668">
        <v>7.5881809999999899E-3</v>
      </c>
      <c r="P668">
        <v>0.95391649999999995</v>
      </c>
      <c r="Q668">
        <v>0.28887750000000001</v>
      </c>
      <c r="R668">
        <v>8.1199350000000003E-2</v>
      </c>
      <c r="S668">
        <v>3.19754</v>
      </c>
      <c r="T668">
        <v>-0.1492192</v>
      </c>
      <c r="U668">
        <v>-8.8958739999999994E-2</v>
      </c>
      <c r="V668">
        <v>-7.3951890000000006E-2</v>
      </c>
      <c r="W668">
        <v>0.29763640000000002</v>
      </c>
      <c r="X668">
        <v>0.95181070000000001</v>
      </c>
      <c r="Y668">
        <v>3.5343659999999999E-2</v>
      </c>
      <c r="Z668">
        <v>-1.270773E-3</v>
      </c>
      <c r="AA668">
        <v>0.9993744</v>
      </c>
      <c r="AB668">
        <v>38</v>
      </c>
      <c r="AC668">
        <v>23.592899999999901</v>
      </c>
      <c r="AD668">
        <v>-1.1096588608839</v>
      </c>
      <c r="AE668">
        <v>-0.66289999999997895</v>
      </c>
      <c r="AF668">
        <v>0.840058769863118</v>
      </c>
      <c r="AG668">
        <v>-1.1096588608839</v>
      </c>
      <c r="AH668">
        <v>23.535167809914299</v>
      </c>
      <c r="AI668">
        <v>92.697722299117501</v>
      </c>
      <c r="AJ668">
        <v>87.955765713899694</v>
      </c>
      <c r="AK668">
        <v>23.5762839600558</v>
      </c>
      <c r="AL668">
        <v>72.684304260854901</v>
      </c>
      <c r="AM668">
        <v>94.442727823412795</v>
      </c>
      <c r="AN668">
        <v>0.99999995863700997</v>
      </c>
    </row>
    <row r="669" spans="1:40" x14ac:dyDescent="0.25">
      <c r="A669" t="str">
        <f>"20190304164111033"</f>
        <v>20190304164111033</v>
      </c>
      <c r="B669" t="str">
        <f>"1551688871021531"</f>
        <v>1551688871021531</v>
      </c>
      <c r="C669" t="s">
        <v>40</v>
      </c>
      <c r="D669">
        <v>4.4505400000000002</v>
      </c>
      <c r="E669">
        <v>0.55428509999999998</v>
      </c>
      <c r="F669" t="s">
        <v>42</v>
      </c>
      <c r="G669">
        <v>-349.68689999999998</v>
      </c>
      <c r="H669" s="1">
        <v>-9.2483690000000005E-7</v>
      </c>
      <c r="I669">
        <v>366.53309999999999</v>
      </c>
      <c r="J669">
        <v>-373.26159999999999</v>
      </c>
      <c r="K669">
        <v>1.1096600000000001</v>
      </c>
      <c r="L669">
        <v>367.1816</v>
      </c>
      <c r="M669">
        <v>0.9999287</v>
      </c>
      <c r="N669">
        <v>-9.2277090000000006E-3</v>
      </c>
      <c r="O669">
        <v>7.5888190000000001E-3</v>
      </c>
      <c r="P669">
        <v>0.95380330000000002</v>
      </c>
      <c r="Q669">
        <v>0.28921380000000002</v>
      </c>
      <c r="R669">
        <v>8.1332180000000004E-2</v>
      </c>
      <c r="S669">
        <v>3.1975709999999999</v>
      </c>
      <c r="T669">
        <v>-0.14926989999999901</v>
      </c>
      <c r="U669">
        <v>-8.7036130000000003E-2</v>
      </c>
      <c r="V669">
        <v>-7.4084010000000006E-2</v>
      </c>
      <c r="W669">
        <v>0.298010099999999</v>
      </c>
      <c r="X669">
        <v>0.95168350000000002</v>
      </c>
      <c r="Y669">
        <v>3.474431E-2</v>
      </c>
      <c r="Z669">
        <v>-1.254851E-3</v>
      </c>
      <c r="AA669">
        <v>0.99939540000000004</v>
      </c>
      <c r="AB669">
        <v>38</v>
      </c>
      <c r="AC669">
        <v>23.5747</v>
      </c>
      <c r="AD669">
        <v>-1.1096609248369</v>
      </c>
      <c r="AE669">
        <v>-0.64850000000001196</v>
      </c>
      <c r="AF669">
        <v>0.82556533378213504</v>
      </c>
      <c r="AG669">
        <v>-1.1096609248369</v>
      </c>
      <c r="AH669">
        <v>23.5170349678938</v>
      </c>
      <c r="AI669">
        <v>92.699860436232001</v>
      </c>
      <c r="AJ669">
        <v>87.989457728775193</v>
      </c>
      <c r="AK669">
        <v>23.557670495394799</v>
      </c>
      <c r="AL669">
        <v>72.661875253354197</v>
      </c>
      <c r="AM669">
        <v>94.451225664114006</v>
      </c>
      <c r="AN669">
        <v>0.99999997220596903</v>
      </c>
    </row>
    <row r="670" spans="1:40" x14ac:dyDescent="0.25">
      <c r="A670" t="str">
        <f>"20190304164111048"</f>
        <v>20190304164111048</v>
      </c>
      <c r="B670" t="str">
        <f>"1551688871042028"</f>
        <v>1551688871042028</v>
      </c>
      <c r="C670" t="s">
        <v>40</v>
      </c>
      <c r="D670">
        <v>4.4238289999999996</v>
      </c>
      <c r="E670">
        <v>0.55389089999999996</v>
      </c>
      <c r="F670" t="s">
        <v>42</v>
      </c>
      <c r="G670">
        <v>-349.40750000000003</v>
      </c>
      <c r="H670" s="1">
        <v>-1.027258E-6</v>
      </c>
      <c r="I670">
        <v>366.55149999999998</v>
      </c>
      <c r="J670">
        <v>-373.01639999999998</v>
      </c>
      <c r="K670">
        <v>1.109669</v>
      </c>
      <c r="L670">
        <v>367.18349999999998</v>
      </c>
      <c r="M670">
        <v>0.99992820000000004</v>
      </c>
      <c r="N670">
        <v>-9.2759160000000004E-3</v>
      </c>
      <c r="O670">
        <v>7.5895950000000002E-3</v>
      </c>
      <c r="P670">
        <v>0.95381340000000003</v>
      </c>
      <c r="Q670">
        <v>0.28916730000000002</v>
      </c>
      <c r="R670">
        <v>8.1379320000000005E-2</v>
      </c>
      <c r="S670">
        <v>3.1976619999999998</v>
      </c>
      <c r="T670">
        <v>-0.14875050000000001</v>
      </c>
      <c r="U670">
        <v>-8.4472660000000005E-2</v>
      </c>
      <c r="V670">
        <v>-7.4129840000000002E-2</v>
      </c>
      <c r="W670">
        <v>0.29800969999999999</v>
      </c>
      <c r="X670">
        <v>0.95168010000000003</v>
      </c>
      <c r="Y670">
        <v>3.3945040000000003E-2</v>
      </c>
      <c r="Z670">
        <v>-1.228994E-3</v>
      </c>
      <c r="AA670">
        <v>0.99942299999999995</v>
      </c>
      <c r="AB670">
        <v>38</v>
      </c>
      <c r="AC670">
        <v>23.608899999999899</v>
      </c>
      <c r="AD670">
        <v>-1.109670027258</v>
      </c>
      <c r="AE670">
        <v>-0.632000000000005</v>
      </c>
      <c r="AF670">
        <v>0.80938467304384698</v>
      </c>
      <c r="AG670">
        <v>-1.109670027258</v>
      </c>
      <c r="AH670">
        <v>23.551430440063601</v>
      </c>
      <c r="AI670">
        <v>92.696014307594893</v>
      </c>
      <c r="AJ670">
        <v>88.031708446938495</v>
      </c>
      <c r="AK670">
        <v>23.591446477304199</v>
      </c>
      <c r="AL670">
        <v>72.661900003089201</v>
      </c>
      <c r="AM670">
        <v>94.453984062132406</v>
      </c>
      <c r="AN670">
        <v>1.0000000136042599</v>
      </c>
    </row>
    <row r="671" spans="1:40" x14ac:dyDescent="0.25">
      <c r="A671" t="str">
        <f>"20190304164111060"</f>
        <v>20190304164111060</v>
      </c>
      <c r="B671" t="str">
        <f>"1551688871052764"</f>
        <v>1551688871052764</v>
      </c>
      <c r="C671" t="s">
        <v>40</v>
      </c>
      <c r="D671">
        <v>4.4673369999999997</v>
      </c>
      <c r="E671">
        <v>0.55372390000000005</v>
      </c>
      <c r="F671" t="s">
        <v>42</v>
      </c>
      <c r="G671">
        <v>-349.26459999999997</v>
      </c>
      <c r="H671" s="1">
        <v>-1.0737340000000001E-6</v>
      </c>
      <c r="I671">
        <v>366.58300000000003</v>
      </c>
      <c r="J671">
        <v>-372.79860000000002</v>
      </c>
      <c r="K671">
        <v>1.1096699999999999</v>
      </c>
      <c r="L671">
        <v>367.18509999999998</v>
      </c>
      <c r="M671">
        <v>0.99992780000000003</v>
      </c>
      <c r="N671">
        <v>-9.3164430000000006E-3</v>
      </c>
      <c r="O671">
        <v>7.5902309999999898E-3</v>
      </c>
      <c r="P671">
        <v>0.95374800000000004</v>
      </c>
      <c r="Q671">
        <v>0.28936770000000001</v>
      </c>
      <c r="R671">
        <v>8.1430269999999999E-2</v>
      </c>
      <c r="S671">
        <v>3.1974179999999999</v>
      </c>
      <c r="T671">
        <v>-0.1493816</v>
      </c>
      <c r="U671">
        <v>-8.0841060000000006E-2</v>
      </c>
      <c r="V671">
        <v>-7.417986E-2</v>
      </c>
      <c r="W671">
        <v>0.29824820000000002</v>
      </c>
      <c r="X671">
        <v>0.95160149999999999</v>
      </c>
      <c r="Y671">
        <v>3.2814339999999997E-2</v>
      </c>
      <c r="Z671">
        <v>-1.2026739999999999E-3</v>
      </c>
      <c r="AA671">
        <v>0.99946080000000004</v>
      </c>
      <c r="AB671">
        <v>38</v>
      </c>
      <c r="AC671">
        <v>23.533999999999999</v>
      </c>
      <c r="AD671">
        <v>-1.1096710737340001</v>
      </c>
      <c r="AE671">
        <v>-0.60209999999995001</v>
      </c>
      <c r="AF671">
        <v>0.77898811485275499</v>
      </c>
      <c r="AG671">
        <v>-1.1096710737340001</v>
      </c>
      <c r="AH671">
        <v>23.476590502403901</v>
      </c>
      <c r="AI671">
        <v>92.704706593777402</v>
      </c>
      <c r="AJ671">
        <v>88.099538273862194</v>
      </c>
      <c r="AK671">
        <v>23.515707388733301</v>
      </c>
      <c r="AL671">
        <v>72.647584196659906</v>
      </c>
      <c r="AM671">
        <v>94.457343988321995</v>
      </c>
      <c r="AN671">
        <v>1.00000002761755</v>
      </c>
    </row>
    <row r="672" spans="1:40" x14ac:dyDescent="0.25">
      <c r="A672" t="str">
        <f>"20190304164111074"</f>
        <v>20190304164111074</v>
      </c>
      <c r="B672" t="str">
        <f>"1551688871061550"</f>
        <v>1551688871061550</v>
      </c>
      <c r="C672" t="s">
        <v>40</v>
      </c>
      <c r="D672">
        <v>4.4490189999999998</v>
      </c>
      <c r="E672">
        <v>0.55355019999999999</v>
      </c>
      <c r="F672" t="s">
        <v>42</v>
      </c>
      <c r="G672">
        <v>-349.03629999999998</v>
      </c>
      <c r="H672" s="1">
        <v>-1.156399E-6</v>
      </c>
      <c r="I672">
        <v>366.60180000000003</v>
      </c>
      <c r="J672">
        <v>-372.59289999999999</v>
      </c>
      <c r="K672">
        <v>1.1096710000000001</v>
      </c>
      <c r="L672">
        <v>367.18669999999997</v>
      </c>
      <c r="M672">
        <v>0.99992749999999997</v>
      </c>
      <c r="N672">
        <v>-9.3513929999999995E-3</v>
      </c>
      <c r="O672">
        <v>7.5907149999999996E-3</v>
      </c>
      <c r="P672">
        <v>0.95373300000000005</v>
      </c>
      <c r="Q672">
        <v>0.28943350000000001</v>
      </c>
      <c r="R672">
        <v>8.1376500000000004E-2</v>
      </c>
      <c r="S672">
        <v>3.197479</v>
      </c>
      <c r="T672">
        <v>-0.14931820000000001</v>
      </c>
      <c r="U672">
        <v>-7.8491210000000006E-2</v>
      </c>
      <c r="V672">
        <v>-7.4125720000000006E-2</v>
      </c>
      <c r="W672">
        <v>0.29834739999999998</v>
      </c>
      <c r="X672">
        <v>0.95157460000000005</v>
      </c>
      <c r="Y672">
        <v>3.208126E-2</v>
      </c>
      <c r="Z672">
        <v>-1.1819759999999999E-3</v>
      </c>
      <c r="AA672">
        <v>0.9994845</v>
      </c>
      <c r="AB672">
        <v>38</v>
      </c>
      <c r="AC672">
        <v>23.5566</v>
      </c>
      <c r="AD672">
        <v>-1.10967215639899</v>
      </c>
      <c r="AE672">
        <v>-0.58489999999994702</v>
      </c>
      <c r="AF672">
        <v>0.76201250636363504</v>
      </c>
      <c r="AG672">
        <v>-1.10967215639899</v>
      </c>
      <c r="AH672">
        <v>23.4993674827254</v>
      </c>
      <c r="AI672">
        <v>92.702158264369501</v>
      </c>
      <c r="AJ672">
        <v>88.142724170156797</v>
      </c>
      <c r="AK672">
        <v>23.537890887730601</v>
      </c>
      <c r="AL672">
        <v>72.641628968383003</v>
      </c>
      <c r="AM672">
        <v>94.454229307745194</v>
      </c>
      <c r="AN672">
        <v>1.00000000640871</v>
      </c>
    </row>
    <row r="673" spans="1:40" x14ac:dyDescent="0.25">
      <c r="A673" t="str">
        <f>"20190304164111090"</f>
        <v>20190304164111090</v>
      </c>
      <c r="B673" t="str">
        <f>"1551688871082044"</f>
        <v>1551688871082044</v>
      </c>
      <c r="C673" t="s">
        <v>40</v>
      </c>
      <c r="D673">
        <v>4.4532790000000002</v>
      </c>
      <c r="E673">
        <v>0.55322009999999999</v>
      </c>
      <c r="F673" t="s">
        <v>42</v>
      </c>
      <c r="G673">
        <v>-348.8766</v>
      </c>
      <c r="H673" s="1">
        <v>-1.214372E-6</v>
      </c>
      <c r="I673">
        <v>366.61450000000002</v>
      </c>
      <c r="J673">
        <v>-372.30799999999999</v>
      </c>
      <c r="K673">
        <v>1.109675</v>
      </c>
      <c r="L673">
        <v>367.18880000000001</v>
      </c>
      <c r="M673">
        <v>0.99992720000000002</v>
      </c>
      <c r="N673">
        <v>-9.3972929999999993E-3</v>
      </c>
      <c r="O673">
        <v>7.591146E-3</v>
      </c>
      <c r="P673">
        <v>0.9537428</v>
      </c>
      <c r="Q673">
        <v>0.289354</v>
      </c>
      <c r="R673">
        <v>8.1542729999999994E-2</v>
      </c>
      <c r="S673">
        <v>3.19754</v>
      </c>
      <c r="T673">
        <v>-0.14961060000000001</v>
      </c>
      <c r="U673">
        <v>-7.7148439999999999E-2</v>
      </c>
      <c r="V673">
        <v>-7.4290850000000005E-2</v>
      </c>
      <c r="W673">
        <v>0.29831190000000002</v>
      </c>
      <c r="X673">
        <v>0.9515728</v>
      </c>
      <c r="Y673">
        <v>3.1662099999999999E-2</v>
      </c>
      <c r="Z673">
        <v>-1.172752E-3</v>
      </c>
      <c r="AA673">
        <v>0.999498</v>
      </c>
      <c r="AB673">
        <v>38</v>
      </c>
      <c r="AC673">
        <v>23.4314</v>
      </c>
      <c r="AD673">
        <v>-1.109676214372</v>
      </c>
      <c r="AE673">
        <v>-0.57429999999999304</v>
      </c>
      <c r="AF673">
        <v>0.75048026560702497</v>
      </c>
      <c r="AG673">
        <v>-1.109676214372</v>
      </c>
      <c r="AH673">
        <v>23.373972681141499</v>
      </c>
      <c r="AI673">
        <v>92.716670774720598</v>
      </c>
      <c r="AJ673">
        <v>88.161006447666907</v>
      </c>
      <c r="AK673">
        <v>23.4123301025028</v>
      </c>
      <c r="AL673">
        <v>72.643759123212504</v>
      </c>
      <c r="AM673">
        <v>94.464120348434093</v>
      </c>
      <c r="AN673">
        <v>0.99999995688758503</v>
      </c>
    </row>
    <row r="674" spans="1:40" x14ac:dyDescent="0.25">
      <c r="A674" t="str">
        <f>"20190304164111101"</f>
        <v>20190304164111101</v>
      </c>
      <c r="B674" t="str">
        <f>"1551688871092311"</f>
        <v>1551688871092311</v>
      </c>
      <c r="C674" t="s">
        <v>40</v>
      </c>
      <c r="D674">
        <v>4.4456429999999996</v>
      </c>
      <c r="E674">
        <v>0.55305680000000002</v>
      </c>
      <c r="F674" t="s">
        <v>42</v>
      </c>
      <c r="G674">
        <v>-348.72879999999998</v>
      </c>
      <c r="H674" s="1">
        <v>-1.2622529999999999E-6</v>
      </c>
      <c r="I674">
        <v>366.64780000000002</v>
      </c>
      <c r="J674">
        <v>-372.1216</v>
      </c>
      <c r="K674">
        <v>1.1096729999999999</v>
      </c>
      <c r="L674">
        <v>367.1902</v>
      </c>
      <c r="M674">
        <v>0.9999268</v>
      </c>
      <c r="N674">
        <v>-9.4257850000000008E-3</v>
      </c>
      <c r="O674">
        <v>7.5915419999999997E-3</v>
      </c>
      <c r="P674">
        <v>0.95367069999999998</v>
      </c>
      <c r="Q674">
        <v>0.28952670000000003</v>
      </c>
      <c r="R674">
        <v>8.177355E-2</v>
      </c>
      <c r="S674">
        <v>3.1974179999999999</v>
      </c>
      <c r="T674">
        <v>-0.15047539999999901</v>
      </c>
      <c r="U674">
        <v>-7.3364260000000001E-2</v>
      </c>
      <c r="V674">
        <v>-7.4521470000000006E-2</v>
      </c>
      <c r="W674">
        <v>0.29851119999999998</v>
      </c>
      <c r="X674">
        <v>0.95149229999999996</v>
      </c>
      <c r="Y674">
        <v>3.0482180000000001E-2</v>
      </c>
      <c r="Z674">
        <v>-1.146069E-3</v>
      </c>
      <c r="AA674">
        <v>0.9995347</v>
      </c>
      <c r="AB674">
        <v>38</v>
      </c>
      <c r="AC674">
        <v>23.392800000000001</v>
      </c>
      <c r="AD674">
        <v>-1.10967426225299</v>
      </c>
      <c r="AE674">
        <v>-0.542399999999986</v>
      </c>
      <c r="AF674">
        <v>0.71836405989475904</v>
      </c>
      <c r="AG674">
        <v>-1.10967426225299</v>
      </c>
      <c r="AH674">
        <v>23.335525965121299</v>
      </c>
      <c r="AI674">
        <v>92.721248115307901</v>
      </c>
      <c r="AJ674">
        <v>88.236755642878805</v>
      </c>
      <c r="AK674">
        <v>23.372937255717499</v>
      </c>
      <c r="AL674">
        <v>72.631795573902394</v>
      </c>
      <c r="AM674">
        <v>94.478299285852202</v>
      </c>
      <c r="AN674">
        <v>0.99999999148784502</v>
      </c>
    </row>
    <row r="675" spans="1:40" x14ac:dyDescent="0.25">
      <c r="A675" t="str">
        <f>"20190304164111112"</f>
        <v>20190304164111112</v>
      </c>
      <c r="B675" t="str">
        <f>"1551688871102072"</f>
        <v>1551688871102072</v>
      </c>
      <c r="C675" t="s">
        <v>40</v>
      </c>
      <c r="D675">
        <v>4.448887</v>
      </c>
      <c r="E675">
        <v>0.55290490000000003</v>
      </c>
      <c r="F675" t="s">
        <v>42</v>
      </c>
      <c r="G675">
        <v>-348.4812</v>
      </c>
      <c r="H675" s="1">
        <v>-1.3542939999999999E-6</v>
      </c>
      <c r="I675">
        <v>366.65910000000002</v>
      </c>
      <c r="J675">
        <v>-371.93049999999999</v>
      </c>
      <c r="K675">
        <v>1.109672</v>
      </c>
      <c r="L675">
        <v>367.19170000000003</v>
      </c>
      <c r="M675">
        <v>0.9999266</v>
      </c>
      <c r="N675">
        <v>-9.4522889999999991E-3</v>
      </c>
      <c r="O675">
        <v>7.5918890000000001E-3</v>
      </c>
      <c r="P675">
        <v>0.95358100000000001</v>
      </c>
      <c r="Q675">
        <v>0.28979840000000001</v>
      </c>
      <c r="R675">
        <v>8.1855349999999993E-2</v>
      </c>
      <c r="S675">
        <v>3.1974490000000002</v>
      </c>
      <c r="T675">
        <v>-0.15008779999999999</v>
      </c>
      <c r="U675">
        <v>-7.1838379999999993E-2</v>
      </c>
      <c r="V675">
        <v>-7.4603619999999995E-2</v>
      </c>
      <c r="W675">
        <v>0.29880709999999999</v>
      </c>
      <c r="X675">
        <v>0.95139300000000004</v>
      </c>
      <c r="Y675">
        <v>3.0006390000000001E-2</v>
      </c>
      <c r="Z675">
        <v>-1.130107E-3</v>
      </c>
      <c r="AA675">
        <v>0.99954909999999997</v>
      </c>
      <c r="AB675">
        <v>38</v>
      </c>
      <c r="AC675">
        <v>23.449299999999901</v>
      </c>
      <c r="AD675">
        <v>-1.109673354294</v>
      </c>
      <c r="AE675">
        <v>-0.53260000000000196</v>
      </c>
      <c r="AF675">
        <v>0.70903008993828698</v>
      </c>
      <c r="AG675">
        <v>-1.109673354294</v>
      </c>
      <c r="AH675">
        <v>23.3922231394322</v>
      </c>
      <c r="AI675">
        <v>92.714699300164199</v>
      </c>
      <c r="AJ675">
        <v>88.263867551369003</v>
      </c>
      <c r="AK675">
        <v>23.4292595279205</v>
      </c>
      <c r="AL675">
        <v>72.614031337550202</v>
      </c>
      <c r="AM675">
        <v>94.483681919986907</v>
      </c>
      <c r="AN675">
        <v>1.0000000117882499</v>
      </c>
    </row>
    <row r="676" spans="1:40" x14ac:dyDescent="0.25">
      <c r="A676" t="str">
        <f>"20190304164111123"</f>
        <v>20190304164111123</v>
      </c>
      <c r="B676" t="str">
        <f>"1551688871111831"</f>
        <v>1551688871111831</v>
      </c>
      <c r="C676" t="s">
        <v>40</v>
      </c>
      <c r="D676">
        <v>4.4411500000000004</v>
      </c>
      <c r="E676">
        <v>0.55275549999999996</v>
      </c>
      <c r="F676" t="s">
        <v>42</v>
      </c>
      <c r="G676">
        <v>-348.18669999999997</v>
      </c>
      <c r="H676" s="1">
        <v>-1.465891E-6</v>
      </c>
      <c r="I676">
        <v>366.66480000000001</v>
      </c>
      <c r="J676">
        <v>-371.73970000000003</v>
      </c>
      <c r="K676">
        <v>1.1096729999999999</v>
      </c>
      <c r="L676">
        <v>367.19310000000002</v>
      </c>
      <c r="M676">
        <v>0.99992630000000005</v>
      </c>
      <c r="N676">
        <v>-9.4784399999999994E-3</v>
      </c>
      <c r="O676">
        <v>7.5922969999999996E-3</v>
      </c>
      <c r="P676">
        <v>0.9535998</v>
      </c>
      <c r="Q676">
        <v>0.28977069999999999</v>
      </c>
      <c r="R676">
        <v>8.1734860000000006E-2</v>
      </c>
      <c r="S676">
        <v>3.1975099999999999</v>
      </c>
      <c r="T676">
        <v>-0.14943670000000001</v>
      </c>
      <c r="U676">
        <v>-7.0953370000000002E-2</v>
      </c>
      <c r="V676">
        <v>-7.4482090000000001E-2</v>
      </c>
      <c r="W676">
        <v>0.29880430000000002</v>
      </c>
      <c r="X676">
        <v>0.95140340000000001</v>
      </c>
      <c r="Y676">
        <v>2.973058E-2</v>
      </c>
      <c r="Z676">
        <v>-1.117956E-3</v>
      </c>
      <c r="AA676">
        <v>0.99955729999999998</v>
      </c>
      <c r="AB676">
        <v>38</v>
      </c>
      <c r="AC676">
        <v>23.553000000000001</v>
      </c>
      <c r="AD676">
        <v>-1.1096744658909901</v>
      </c>
      <c r="AE676">
        <v>-0.52830000000000099</v>
      </c>
      <c r="AF676">
        <v>0.70554883334681995</v>
      </c>
      <c r="AG676">
        <v>-1.1096744658909901</v>
      </c>
      <c r="AH676">
        <v>23.496181126762899</v>
      </c>
      <c r="AI676">
        <v>92.7027317265851</v>
      </c>
      <c r="AJ676">
        <v>88.280025744902701</v>
      </c>
      <c r="AK676">
        <v>23.532949328933199</v>
      </c>
      <c r="AL676">
        <v>72.614199422472893</v>
      </c>
      <c r="AM676">
        <v>94.476358936176297</v>
      </c>
      <c r="AN676">
        <v>1.0000000104804001</v>
      </c>
    </row>
    <row r="677" spans="1:40" x14ac:dyDescent="0.25">
      <c r="A677" t="str">
        <f>"20190304164111134"</f>
        <v>20190304164111134</v>
      </c>
      <c r="B677" t="str">
        <f>"1551688871121591"</f>
        <v>1551688871121591</v>
      </c>
      <c r="C677" t="s">
        <v>40</v>
      </c>
      <c r="D677">
        <v>4.4134979999999997</v>
      </c>
      <c r="E677">
        <v>0.5526105</v>
      </c>
      <c r="F677" t="s">
        <v>42</v>
      </c>
      <c r="G677">
        <v>-348.08440000000002</v>
      </c>
      <c r="H677" s="1">
        <v>-1.5024E-6</v>
      </c>
      <c r="I677">
        <v>366.67520000000002</v>
      </c>
      <c r="J677">
        <v>-371.56119999999999</v>
      </c>
      <c r="K677">
        <v>1.1096760000000001</v>
      </c>
      <c r="L677">
        <v>367.19450000000001</v>
      </c>
      <c r="M677">
        <v>0.99992599999999998</v>
      </c>
      <c r="N677">
        <v>-9.5024719999999997E-3</v>
      </c>
      <c r="O677">
        <v>7.5926559999999997E-3</v>
      </c>
      <c r="P677">
        <v>0.95367089999999999</v>
      </c>
      <c r="Q677">
        <v>0.28954400000000002</v>
      </c>
      <c r="R677">
        <v>8.1708719999999999E-2</v>
      </c>
      <c r="S677">
        <v>3.19754</v>
      </c>
      <c r="T677">
        <v>-0.1499972</v>
      </c>
      <c r="U677">
        <v>-7.0007319999999998E-2</v>
      </c>
      <c r="V677">
        <v>-7.4454839999999994E-2</v>
      </c>
      <c r="W677">
        <v>0.29860179999999997</v>
      </c>
      <c r="X677">
        <v>0.95146909999999896</v>
      </c>
      <c r="Y677">
        <v>2.9435200000000002E-2</v>
      </c>
      <c r="Z677">
        <v>-1.11374E-3</v>
      </c>
      <c r="AA677">
        <v>0.99956610000000001</v>
      </c>
      <c r="AB677">
        <v>38</v>
      </c>
      <c r="AC677">
        <v>23.476799999999901</v>
      </c>
      <c r="AD677">
        <v>-1.1096775023999901</v>
      </c>
      <c r="AE677">
        <v>-0.51929999999998699</v>
      </c>
      <c r="AF677">
        <v>0.69599015084794003</v>
      </c>
      <c r="AG677">
        <v>-1.1096775023999901</v>
      </c>
      <c r="AH677">
        <v>23.419881830351098</v>
      </c>
      <c r="AI677">
        <v>92.711556282582194</v>
      </c>
      <c r="AJ677">
        <v>88.297789653376199</v>
      </c>
      <c r="AK677">
        <v>23.456484207933201</v>
      </c>
      <c r="AL677">
        <v>72.626356721363194</v>
      </c>
      <c r="AM677">
        <v>94.474420138871395</v>
      </c>
      <c r="AN677">
        <v>1.0000000032087299</v>
      </c>
    </row>
    <row r="678" spans="1:40" x14ac:dyDescent="0.25">
      <c r="A678" t="str">
        <f>"20190304164111145"</f>
        <v>20190304164111145</v>
      </c>
      <c r="B678" t="str">
        <f>"1551688871142088"</f>
        <v>1551688871142088</v>
      </c>
      <c r="C678" t="s">
        <v>40</v>
      </c>
      <c r="D678">
        <v>4.4118459999999997</v>
      </c>
      <c r="E678">
        <v>0.55230889999999999</v>
      </c>
      <c r="F678" t="s">
        <v>42</v>
      </c>
      <c r="G678">
        <v>-348.05489999999998</v>
      </c>
      <c r="H678" s="1">
        <v>-1.510777E-6</v>
      </c>
      <c r="I678">
        <v>366.68630000000002</v>
      </c>
      <c r="J678">
        <v>-371.36130000000003</v>
      </c>
      <c r="K678">
        <v>1.1096760000000001</v>
      </c>
      <c r="L678">
        <v>367.19600000000003</v>
      </c>
      <c r="M678">
        <v>0.99992590000000003</v>
      </c>
      <c r="N678">
        <v>-9.5291420000000009E-3</v>
      </c>
      <c r="O678">
        <v>7.5928829999999999E-3</v>
      </c>
      <c r="P678">
        <v>0.95365239999999996</v>
      </c>
      <c r="Q678">
        <v>0.28958279999999997</v>
      </c>
      <c r="R678">
        <v>8.1786629999999999E-2</v>
      </c>
      <c r="S678">
        <v>3.197479</v>
      </c>
      <c r="T678">
        <v>-0.1509453</v>
      </c>
      <c r="U678">
        <v>-6.9122310000000006E-2</v>
      </c>
      <c r="V678">
        <v>-7.4532669999999995E-2</v>
      </c>
      <c r="W678">
        <v>0.29866549999999997</v>
      </c>
      <c r="X678">
        <v>0.95144300000000004</v>
      </c>
      <c r="Y678">
        <v>2.9159129999999998E-2</v>
      </c>
      <c r="Z678">
        <v>-1.1127369999999999E-3</v>
      </c>
      <c r="AA678">
        <v>0.99957419999999997</v>
      </c>
      <c r="AB678">
        <v>38</v>
      </c>
      <c r="AC678">
        <v>23.3064</v>
      </c>
      <c r="AD678">
        <v>-1.1096775107770001</v>
      </c>
      <c r="AE678">
        <v>-0.50969999999995197</v>
      </c>
      <c r="AF678">
        <v>0.68510372825045196</v>
      </c>
      <c r="AG678">
        <v>-1.1096775107770001</v>
      </c>
      <c r="AH678">
        <v>23.249178154034801</v>
      </c>
      <c r="AI678">
        <v>92.731455629221699</v>
      </c>
      <c r="AJ678">
        <v>88.312103946052602</v>
      </c>
      <c r="AK678">
        <v>23.285726016906501</v>
      </c>
      <c r="AL678">
        <v>72.622532252787806</v>
      </c>
      <c r="AM678">
        <v>94.479200739114106</v>
      </c>
      <c r="AN678">
        <v>0.99999999101828896</v>
      </c>
    </row>
    <row r="679" spans="1:40" x14ac:dyDescent="0.25">
      <c r="A679" t="str">
        <f>"20190304164111157"</f>
        <v>20190304164111157</v>
      </c>
      <c r="B679" t="str">
        <f>"1551688871151847"</f>
        <v>1551688871151847</v>
      </c>
      <c r="C679" t="s">
        <v>40</v>
      </c>
      <c r="D679">
        <v>4.4353109999999996</v>
      </c>
      <c r="E679">
        <v>0.55230889999999999</v>
      </c>
      <c r="F679" t="s">
        <v>42</v>
      </c>
      <c r="G679">
        <v>-347.9239</v>
      </c>
      <c r="H679" s="1">
        <v>-1.554872E-6</v>
      </c>
      <c r="I679">
        <v>366.7097</v>
      </c>
      <c r="J679">
        <v>-371.15640000000002</v>
      </c>
      <c r="K679">
        <v>1.1096790000000001</v>
      </c>
      <c r="L679">
        <v>367.19760000000002</v>
      </c>
      <c r="M679">
        <v>0.99992559999999997</v>
      </c>
      <c r="N679">
        <v>-9.5559679999999998E-3</v>
      </c>
      <c r="O679">
        <v>7.5932279999999996E-3</v>
      </c>
      <c r="P679">
        <v>0.95371950000000005</v>
      </c>
      <c r="Q679">
        <v>0.28945690000000002</v>
      </c>
      <c r="R679">
        <v>8.1449869999999994E-2</v>
      </c>
      <c r="S679">
        <v>3.1974179999999999</v>
      </c>
      <c r="T679">
        <v>-0.15138599999999999</v>
      </c>
      <c r="U679">
        <v>-6.6345210000000002E-2</v>
      </c>
      <c r="V679">
        <v>-7.4194830000000003E-2</v>
      </c>
      <c r="W679">
        <v>0.29856539999999998</v>
      </c>
      <c r="X679">
        <v>0.95150080000000004</v>
      </c>
      <c r="Y679">
        <v>2.8292990000000001E-2</v>
      </c>
      <c r="Z679">
        <v>-1.0913850000000001E-3</v>
      </c>
      <c r="AA679">
        <v>0.99959909999999996</v>
      </c>
      <c r="AB679">
        <v>38</v>
      </c>
      <c r="AC679">
        <v>23.232500000000002</v>
      </c>
      <c r="AD679">
        <v>-1.1096805548719999</v>
      </c>
      <c r="AE679">
        <v>-0.48790000000002398</v>
      </c>
      <c r="AF679">
        <v>0.66279220519975202</v>
      </c>
      <c r="AG679">
        <v>-1.1096805548719999</v>
      </c>
      <c r="AH679">
        <v>23.1752761788286</v>
      </c>
      <c r="AI679">
        <v>92.740228976302106</v>
      </c>
      <c r="AJ679">
        <v>88.361838391058797</v>
      </c>
      <c r="AK679">
        <v>23.211292734488499</v>
      </c>
      <c r="AL679">
        <v>72.628541405344606</v>
      </c>
      <c r="AM679">
        <v>94.458709810169694</v>
      </c>
      <c r="AN679">
        <v>0.99999997163826404</v>
      </c>
    </row>
    <row r="680" spans="1:40" x14ac:dyDescent="0.25">
      <c r="A680" t="str">
        <f>"20190304164111169"</f>
        <v>20190304164111169</v>
      </c>
      <c r="B680" t="str">
        <f>"1551688871161607"</f>
        <v>1551688871161607</v>
      </c>
      <c r="C680" t="s">
        <v>40</v>
      </c>
      <c r="D680">
        <v>4.4100339999999996</v>
      </c>
      <c r="E680">
        <v>0.52972779999999997</v>
      </c>
      <c r="F680" t="s">
        <v>42</v>
      </c>
      <c r="G680">
        <v>-347.78120000000001</v>
      </c>
      <c r="H680" s="1">
        <v>-1.611518E-6</v>
      </c>
      <c r="I680">
        <v>366.70280000000002</v>
      </c>
      <c r="J680">
        <v>-370.96480000000003</v>
      </c>
      <c r="K680">
        <v>1.109686</v>
      </c>
      <c r="L680">
        <v>367.19909999999999</v>
      </c>
      <c r="M680">
        <v>0.99992539999999996</v>
      </c>
      <c r="N680">
        <v>-9.5815259999999999E-3</v>
      </c>
      <c r="O680">
        <v>7.5934610000000001E-3</v>
      </c>
      <c r="P680">
        <v>0.95377619999999996</v>
      </c>
      <c r="Q680">
        <v>0.289242</v>
      </c>
      <c r="R680">
        <v>8.1550639999999994E-2</v>
      </c>
      <c r="S680">
        <v>3.1974490000000002</v>
      </c>
      <c r="T680">
        <v>-0.15179110000000001</v>
      </c>
      <c r="U680">
        <v>-6.7687990000000003E-2</v>
      </c>
      <c r="V680">
        <v>-7.4294739999999998E-2</v>
      </c>
      <c r="W680">
        <v>0.29837609999999998</v>
      </c>
      <c r="X680">
        <v>0.95155239999999996</v>
      </c>
      <c r="Y680">
        <v>2.8711830000000001E-2</v>
      </c>
      <c r="Z680">
        <v>-1.106241E-3</v>
      </c>
      <c r="AA680">
        <v>0.99958709999999995</v>
      </c>
      <c r="AB680">
        <v>38</v>
      </c>
      <c r="AC680">
        <v>23.183599999999998</v>
      </c>
      <c r="AD680">
        <v>-1.1096876115180001</v>
      </c>
      <c r="AE680">
        <v>-0.49629999999996199</v>
      </c>
      <c r="AF680">
        <v>0.67080135624494097</v>
      </c>
      <c r="AG680">
        <v>-1.1096876115180001</v>
      </c>
      <c r="AH680">
        <v>23.126203084565901</v>
      </c>
      <c r="AI680">
        <v>92.746020087406606</v>
      </c>
      <c r="AJ680">
        <v>88.338537761666302</v>
      </c>
      <c r="AK680">
        <v>23.162526851863198</v>
      </c>
      <c r="AL680">
        <v>72.639905772966202</v>
      </c>
      <c r="AM680">
        <v>94.464448475527703</v>
      </c>
      <c r="AN680">
        <v>0.99999998769431797</v>
      </c>
    </row>
    <row r="681" spans="1:40" x14ac:dyDescent="0.25">
      <c r="A681" t="str">
        <f>"20190304164111180"</f>
        <v>20190304164111180</v>
      </c>
      <c r="B681" t="str">
        <f>"1551688871172343"</f>
        <v>1551688871172343</v>
      </c>
      <c r="C681" t="s">
        <v>40</v>
      </c>
      <c r="D681">
        <v>4.4227230000000004</v>
      </c>
      <c r="E681">
        <v>0.52788590000000002</v>
      </c>
      <c r="F681" t="s">
        <v>42</v>
      </c>
      <c r="G681">
        <v>-346.42790000000002</v>
      </c>
      <c r="H681" s="1">
        <v>-1.94434E-6</v>
      </c>
      <c r="I681">
        <v>368.06439999999998</v>
      </c>
      <c r="J681">
        <v>-370.77330000000001</v>
      </c>
      <c r="K681">
        <v>1.1096870000000001</v>
      </c>
      <c r="L681">
        <v>367.20049999999998</v>
      </c>
      <c r="M681">
        <v>0.99992510000000001</v>
      </c>
      <c r="N681">
        <v>-9.607338E-3</v>
      </c>
      <c r="O681">
        <v>7.5938109999999998E-3</v>
      </c>
      <c r="P681">
        <v>0.95378640000000003</v>
      </c>
      <c r="Q681">
        <v>0.28918450000000001</v>
      </c>
      <c r="R681">
        <v>8.1632380000000004E-2</v>
      </c>
      <c r="S681">
        <v>3.1793819999999999</v>
      </c>
      <c r="T681">
        <v>-0.14378850000000001</v>
      </c>
      <c r="U681">
        <v>0.1121216</v>
      </c>
      <c r="V681">
        <v>-7.4376300000000006E-2</v>
      </c>
      <c r="W681">
        <v>0.29834290000000002</v>
      </c>
      <c r="X681">
        <v>0.95155639999999997</v>
      </c>
      <c r="Y681">
        <v>-2.7623450000000001E-2</v>
      </c>
      <c r="Z681">
        <v>4.8671940000000001E-4</v>
      </c>
      <c r="AA681">
        <v>0.99961829999999996</v>
      </c>
      <c r="AB681">
        <v>38</v>
      </c>
      <c r="AC681">
        <v>24.345399999999898</v>
      </c>
      <c r="AD681">
        <v>-1.10968894434</v>
      </c>
      <c r="AE681">
        <v>0.863900000000001</v>
      </c>
      <c r="AF681">
        <v>-0.67758620098584599</v>
      </c>
      <c r="AG681">
        <v>-1.10968894434</v>
      </c>
      <c r="AH681">
        <v>24.300833867312001</v>
      </c>
      <c r="AI681">
        <v>92.613560684293404</v>
      </c>
      <c r="AJ681">
        <v>91.597178648614303</v>
      </c>
      <c r="AK681">
        <v>24.335592436997601</v>
      </c>
      <c r="AL681">
        <v>72.641898112704595</v>
      </c>
      <c r="AM681">
        <v>94.469310943861601</v>
      </c>
      <c r="AN681">
        <v>0.99999995118152796</v>
      </c>
    </row>
    <row r="682" spans="1:40" x14ac:dyDescent="0.25">
      <c r="A682" t="str">
        <f>"20190304164111191"</f>
        <v>20190304164111191</v>
      </c>
      <c r="B682" t="str">
        <f>"1551688871182103"</f>
        <v>1551688871182103</v>
      </c>
      <c r="C682" t="s">
        <v>40</v>
      </c>
      <c r="D682">
        <v>4.3741640000000004</v>
      </c>
      <c r="E682">
        <v>0.52651459999999894</v>
      </c>
      <c r="F682" t="s">
        <v>42</v>
      </c>
      <c r="G682">
        <v>-344.02620000000002</v>
      </c>
      <c r="H682" s="1">
        <v>-3.0458679999999999E-6</v>
      </c>
      <c r="I682">
        <v>368.25470000000001</v>
      </c>
      <c r="J682">
        <v>-370.5865</v>
      </c>
      <c r="K682">
        <v>1.1096889999999999</v>
      </c>
      <c r="L682">
        <v>367.20190000000002</v>
      </c>
      <c r="M682">
        <v>0.99992479999999995</v>
      </c>
      <c r="N682">
        <v>-9.6323769999999993E-3</v>
      </c>
      <c r="O682">
        <v>7.5940449999999998E-3</v>
      </c>
      <c r="P682">
        <v>0.9538451</v>
      </c>
      <c r="Q682">
        <v>0.28902559999999999</v>
      </c>
      <c r="R682">
        <v>8.1509139999999994E-2</v>
      </c>
      <c r="S682">
        <v>3.1746219999999998</v>
      </c>
      <c r="T682">
        <v>-0.13170970000000001</v>
      </c>
      <c r="U682">
        <v>0.12512210000000001</v>
      </c>
      <c r="V682">
        <v>-7.4252070000000003E-2</v>
      </c>
      <c r="W682">
        <v>0.29820859999999999</v>
      </c>
      <c r="X682">
        <v>0.95160820000000002</v>
      </c>
      <c r="Y682">
        <v>-3.1763230000000003E-2</v>
      </c>
      <c r="Z682">
        <v>5.697931E-4</v>
      </c>
      <c r="AA682">
        <v>0.99949529999999998</v>
      </c>
      <c r="AB682">
        <v>38</v>
      </c>
      <c r="AC682">
        <v>26.560299999999899</v>
      </c>
      <c r="AD682">
        <v>-1.109692045868</v>
      </c>
      <c r="AE682">
        <v>1.05279999999999</v>
      </c>
      <c r="AF682">
        <v>-0.84957949419154499</v>
      </c>
      <c r="AG682">
        <v>-1.109692045868</v>
      </c>
      <c r="AH682">
        <v>26.521307081118199</v>
      </c>
      <c r="AI682">
        <v>92.394718536764302</v>
      </c>
      <c r="AJ682">
        <v>91.834776812267194</v>
      </c>
      <c r="AK682">
        <v>26.558104808976601</v>
      </c>
      <c r="AL682">
        <v>72.6499599379475</v>
      </c>
      <c r="AM682">
        <v>94.461634169343895</v>
      </c>
      <c r="AN682">
        <v>0.999999952660241</v>
      </c>
    </row>
    <row r="683" spans="1:40" x14ac:dyDescent="0.25">
      <c r="A683" t="str">
        <f>"20190304164111203"</f>
        <v>20190304164111203</v>
      </c>
      <c r="B683" t="str">
        <f>"1551688871191864"</f>
        <v>1551688871191864</v>
      </c>
      <c r="C683" t="s">
        <v>40</v>
      </c>
      <c r="D683">
        <v>4.3892910000000001</v>
      </c>
      <c r="E683">
        <v>0.5256632</v>
      </c>
      <c r="F683" t="s">
        <v>42</v>
      </c>
      <c r="G683">
        <v>-343.25799999999998</v>
      </c>
      <c r="H683" s="1">
        <v>-3.3891529999999999E-6</v>
      </c>
      <c r="I683">
        <v>368.36669999999998</v>
      </c>
      <c r="J683">
        <v>-370.38830000000002</v>
      </c>
      <c r="K683">
        <v>1.109696</v>
      </c>
      <c r="L683">
        <v>367.20339999999999</v>
      </c>
      <c r="M683">
        <v>0.99992449999999999</v>
      </c>
      <c r="N683">
        <v>-9.6589759999999997E-3</v>
      </c>
      <c r="O683">
        <v>7.5943909999999998E-3</v>
      </c>
      <c r="P683">
        <v>0.95387250000000001</v>
      </c>
      <c r="Q683">
        <v>0.28893150000000001</v>
      </c>
      <c r="R683">
        <v>8.1521969999999999E-2</v>
      </c>
      <c r="S683">
        <v>3.1726380000000001</v>
      </c>
      <c r="T683">
        <v>-0.1288271</v>
      </c>
      <c r="U683">
        <v>0.13522339999999999</v>
      </c>
      <c r="V683">
        <v>-7.4264620000000003E-2</v>
      </c>
      <c r="W683">
        <v>0.29813990000000001</v>
      </c>
      <c r="X683">
        <v>0.95162880000000005</v>
      </c>
      <c r="Y683">
        <v>-3.4962020000000003E-2</v>
      </c>
      <c r="Z683">
        <v>6.4343850000000004E-4</v>
      </c>
      <c r="AA683">
        <v>0.99938850000000001</v>
      </c>
      <c r="AB683">
        <v>38</v>
      </c>
      <c r="AC683">
        <v>27.130299999999899</v>
      </c>
      <c r="AD683">
        <v>-1.109699389153</v>
      </c>
      <c r="AE683">
        <v>1.16329999999999</v>
      </c>
      <c r="AF683">
        <v>-0.95562288581467503</v>
      </c>
      <c r="AG683">
        <v>-1.109699389153</v>
      </c>
      <c r="AH683">
        <v>27.0931083488233</v>
      </c>
      <c r="AI683">
        <v>92.343995524766896</v>
      </c>
      <c r="AJ683">
        <v>92.020088217694806</v>
      </c>
      <c r="AK683">
        <v>27.1326586945559</v>
      </c>
      <c r="AL683">
        <v>72.654084651702107</v>
      </c>
      <c r="AM683">
        <v>94.462289016579305</v>
      </c>
      <c r="AN683">
        <v>1.00000000337259</v>
      </c>
    </row>
    <row r="684" spans="1:40" x14ac:dyDescent="0.25">
      <c r="A684" t="str">
        <f>"20190304164111214"</f>
        <v>20190304164111214</v>
      </c>
      <c r="B684" t="str">
        <f>"1551688871201624"</f>
        <v>1551688871201624</v>
      </c>
      <c r="C684" t="s">
        <v>40</v>
      </c>
      <c r="D684">
        <v>4.4001599999999996</v>
      </c>
      <c r="E684">
        <v>0.52502169999999904</v>
      </c>
      <c r="F684" t="s">
        <v>42</v>
      </c>
      <c r="G684">
        <v>-342.41210000000001</v>
      </c>
      <c r="H684" s="1">
        <v>-3.7738679999999999E-6</v>
      </c>
      <c r="I684">
        <v>368.45209999999997</v>
      </c>
      <c r="J684">
        <v>-370.19439999999997</v>
      </c>
      <c r="K684">
        <v>1.109699</v>
      </c>
      <c r="L684">
        <v>367.20490000000001</v>
      </c>
      <c r="M684">
        <v>0.99992440000000005</v>
      </c>
      <c r="N684">
        <v>-9.6855589999999998E-3</v>
      </c>
      <c r="O684">
        <v>7.594618E-3</v>
      </c>
      <c r="P684">
        <v>0.95396700000000001</v>
      </c>
      <c r="Q684">
        <v>0.28864089999999998</v>
      </c>
      <c r="R684">
        <v>8.1447259999999994E-2</v>
      </c>
      <c r="S684">
        <v>3.1711119999999999</v>
      </c>
      <c r="T684">
        <v>-0.12578490000000001</v>
      </c>
      <c r="U684">
        <v>0.14154050000000001</v>
      </c>
      <c r="V684">
        <v>-7.4188920000000005E-2</v>
      </c>
      <c r="W684">
        <v>0.29787540000000001</v>
      </c>
      <c r="X684">
        <v>0.95171760000000005</v>
      </c>
      <c r="Y684">
        <v>-3.6968550000000003E-2</v>
      </c>
      <c r="Z684">
        <v>6.8429440000000003E-4</v>
      </c>
      <c r="AA684">
        <v>0.99931619999999999</v>
      </c>
      <c r="AB684">
        <v>38</v>
      </c>
      <c r="AC684">
        <v>27.7822999999999</v>
      </c>
      <c r="AD684">
        <v>-1.1097027738680001</v>
      </c>
      <c r="AE684">
        <v>1.2471999999999599</v>
      </c>
      <c r="AF684">
        <v>-1.0345110384854199</v>
      </c>
      <c r="AG684">
        <v>-1.1097027738680001</v>
      </c>
      <c r="AH684">
        <v>27.746792197492098</v>
      </c>
      <c r="AI684">
        <v>92.288673308200998</v>
      </c>
      <c r="AJ684">
        <v>92.135226073230299</v>
      </c>
      <c r="AK684">
        <v>27.788237270217198</v>
      </c>
      <c r="AL684">
        <v>72.669961930086899</v>
      </c>
      <c r="AM684">
        <v>94.457344568590003</v>
      </c>
      <c r="AN684">
        <v>1.00000006996284</v>
      </c>
    </row>
    <row r="685" spans="1:40" x14ac:dyDescent="0.25">
      <c r="A685" t="str">
        <f>"20190304164111226"</f>
        <v>20190304164111226</v>
      </c>
      <c r="B685" t="str">
        <f>"1551688871212359"</f>
        <v>1551688871212359</v>
      </c>
      <c r="C685" t="s">
        <v>40</v>
      </c>
      <c r="D685">
        <v>4.3793150000000001</v>
      </c>
      <c r="E685">
        <v>0.52462830000000005</v>
      </c>
      <c r="F685" t="s">
        <v>42</v>
      </c>
      <c r="G685">
        <v>-342.2165</v>
      </c>
      <c r="H685" s="1">
        <v>-3.8596280000000002E-6</v>
      </c>
      <c r="I685">
        <v>368.4898</v>
      </c>
      <c r="J685">
        <v>-370.00360000000001</v>
      </c>
      <c r="K685">
        <v>1.1096999999999999</v>
      </c>
      <c r="L685">
        <v>367.20639999999997</v>
      </c>
      <c r="M685">
        <v>0.99992409999999998</v>
      </c>
      <c r="N685">
        <v>-9.7117220000000008E-3</v>
      </c>
      <c r="O685">
        <v>7.5948459999999997E-3</v>
      </c>
      <c r="P685">
        <v>0.95393720000000004</v>
      </c>
      <c r="Q685">
        <v>0.28873779999999999</v>
      </c>
      <c r="R685">
        <v>8.1454949999999998E-2</v>
      </c>
      <c r="S685">
        <v>3.1703489999999999</v>
      </c>
      <c r="T685">
        <v>-0.1257472</v>
      </c>
      <c r="U685">
        <v>0.14559939999999999</v>
      </c>
      <c r="V685">
        <v>-7.4196410000000004E-2</v>
      </c>
      <c r="W685">
        <v>0.29799690000000001</v>
      </c>
      <c r="X685">
        <v>0.95167889999999999</v>
      </c>
      <c r="Y685">
        <v>-3.825448E-2</v>
      </c>
      <c r="Z685">
        <v>7.1666549999999996E-4</v>
      </c>
      <c r="AA685">
        <v>0.99926780000000004</v>
      </c>
      <c r="AB685">
        <v>38</v>
      </c>
      <c r="AC685">
        <v>27.787099999999999</v>
      </c>
      <c r="AD685">
        <v>-1.109703859628</v>
      </c>
      <c r="AE685">
        <v>1.2834000000000201</v>
      </c>
      <c r="AF685">
        <v>-1.07061044554483</v>
      </c>
      <c r="AG685">
        <v>-1.109703859628</v>
      </c>
      <c r="AH685">
        <v>27.751879520932199</v>
      </c>
      <c r="AI685">
        <v>92.288144416969004</v>
      </c>
      <c r="AJ685">
        <v>92.209257808870206</v>
      </c>
      <c r="AK685">
        <v>27.794684137916001</v>
      </c>
      <c r="AL685">
        <v>72.662667949265099</v>
      </c>
      <c r="AM685">
        <v>94.457973306877193</v>
      </c>
      <c r="AN685">
        <v>0.99999999418585395</v>
      </c>
    </row>
    <row r="686" spans="1:40" x14ac:dyDescent="0.25">
      <c r="A686" t="str">
        <f>"20190304164111238"</f>
        <v>20190304164111238</v>
      </c>
      <c r="B686" t="str">
        <f>"1551688871231880"</f>
        <v>1551688871231880</v>
      </c>
      <c r="C686" t="s">
        <v>40</v>
      </c>
      <c r="D686">
        <v>4.3646820000000002</v>
      </c>
      <c r="E686">
        <v>0.52418520000000002</v>
      </c>
      <c r="F686" t="s">
        <v>42</v>
      </c>
      <c r="G686">
        <v>-341.74279999999999</v>
      </c>
      <c r="H686" s="1">
        <v>-4.0762869999999997E-6</v>
      </c>
      <c r="I686">
        <v>368.5308</v>
      </c>
      <c r="J686">
        <v>-369.7749</v>
      </c>
      <c r="K686">
        <v>1.1096999999999999</v>
      </c>
      <c r="L686">
        <v>367.2081</v>
      </c>
      <c r="M686">
        <v>0.99992369999999997</v>
      </c>
      <c r="N686">
        <v>-9.7430079999999992E-3</v>
      </c>
      <c r="O686">
        <v>7.5953469999999997E-3</v>
      </c>
      <c r="P686">
        <v>0.95399330000000004</v>
      </c>
      <c r="Q686">
        <v>0.28854269999999999</v>
      </c>
      <c r="R686">
        <v>8.1486870000000003E-2</v>
      </c>
      <c r="S686">
        <v>3.169861</v>
      </c>
      <c r="T686">
        <v>-0.1244695</v>
      </c>
      <c r="U686">
        <v>0.14855960000000001</v>
      </c>
      <c r="V686">
        <v>-7.4227150000000006E-2</v>
      </c>
      <c r="W686">
        <v>0.297832599999999</v>
      </c>
      <c r="X686">
        <v>0.95172789999999996</v>
      </c>
      <c r="Y686">
        <v>-3.9191829999999997E-2</v>
      </c>
      <c r="Z686">
        <v>7.3586609999999998E-4</v>
      </c>
      <c r="AA686">
        <v>0.99923150000000005</v>
      </c>
      <c r="AB686">
        <v>38</v>
      </c>
      <c r="AC686">
        <v>28.0321</v>
      </c>
      <c r="AD686">
        <v>-1.1097040762870001</v>
      </c>
      <c r="AE686">
        <v>1.32269999999999</v>
      </c>
      <c r="AF686">
        <v>-1.10800568851168</v>
      </c>
      <c r="AG686">
        <v>-1.1097040762870001</v>
      </c>
      <c r="AH686">
        <v>27.997560025972199</v>
      </c>
      <c r="AI686">
        <v>92.2679991507582</v>
      </c>
      <c r="AJ686">
        <v>92.266302422363694</v>
      </c>
      <c r="AK686">
        <v>28.041442315805</v>
      </c>
      <c r="AL686">
        <v>72.672528847601299</v>
      </c>
      <c r="AM686">
        <v>94.459584132632202</v>
      </c>
      <c r="AN686">
        <v>0.99999996152914505</v>
      </c>
    </row>
    <row r="687" spans="1:40" x14ac:dyDescent="0.25">
      <c r="A687" t="str">
        <f>"20190304164111251"</f>
        <v>20190304164111251</v>
      </c>
      <c r="B687" t="str">
        <f>"1551688871241639"</f>
        <v>1551688871241639</v>
      </c>
      <c r="C687" t="s">
        <v>40</v>
      </c>
      <c r="D687">
        <v>4.3450179999999996</v>
      </c>
      <c r="E687">
        <v>0.5240167</v>
      </c>
      <c r="F687" t="s">
        <v>42</v>
      </c>
      <c r="G687">
        <v>-341.40789999999998</v>
      </c>
      <c r="H687" s="1">
        <v>-4.2279980000000004E-6</v>
      </c>
      <c r="I687">
        <v>368.56790000000001</v>
      </c>
      <c r="J687">
        <v>-369.57049999999998</v>
      </c>
      <c r="K687">
        <v>1.109704</v>
      </c>
      <c r="L687">
        <v>367.2097</v>
      </c>
      <c r="M687">
        <v>0.99992340000000002</v>
      </c>
      <c r="N687">
        <v>-9.7716279999999992E-3</v>
      </c>
      <c r="O687">
        <v>7.5955629999999996E-3</v>
      </c>
      <c r="P687">
        <v>0.95392969999999999</v>
      </c>
      <c r="Q687">
        <v>0.28867369999999998</v>
      </c>
      <c r="R687">
        <v>8.1766259999999993E-2</v>
      </c>
      <c r="S687">
        <v>3.1691889999999998</v>
      </c>
      <c r="T687">
        <v>-0.1239774</v>
      </c>
      <c r="U687">
        <v>0.15191650000000001</v>
      </c>
      <c r="V687">
        <v>-7.4506959999999997E-2</v>
      </c>
      <c r="W687">
        <v>0.29799009999999998</v>
      </c>
      <c r="X687">
        <v>0.95165679999999997</v>
      </c>
      <c r="Y687">
        <v>-4.0256720000000003E-2</v>
      </c>
      <c r="Z687">
        <v>7.608863E-4</v>
      </c>
      <c r="AA687">
        <v>0.99918910000000005</v>
      </c>
      <c r="AB687">
        <v>38</v>
      </c>
      <c r="AC687">
        <v>28.162600000000001</v>
      </c>
      <c r="AD687">
        <v>-1.109708227998</v>
      </c>
      <c r="AE687">
        <v>1.3582000000000101</v>
      </c>
      <c r="AF687">
        <v>-1.1424700648915</v>
      </c>
      <c r="AG687">
        <v>-1.109708227998</v>
      </c>
      <c r="AH687">
        <v>28.128532033606401</v>
      </c>
      <c r="AI687">
        <v>92.257364313665306</v>
      </c>
      <c r="AJ687">
        <v>92.325850260620896</v>
      </c>
      <c r="AK687">
        <v>28.173587002121</v>
      </c>
      <c r="AL687">
        <v>72.663076670890504</v>
      </c>
      <c r="AM687">
        <v>94.476660060195798</v>
      </c>
      <c r="AN687">
        <v>1.00000002588634</v>
      </c>
    </row>
    <row r="688" spans="1:40" x14ac:dyDescent="0.25">
      <c r="A688" t="str">
        <f>"20190304164111267"</f>
        <v>20190304164111267</v>
      </c>
      <c r="B688" t="str">
        <f>"1551688871262136"</f>
        <v>1551688871262136</v>
      </c>
      <c r="C688" t="s">
        <v>40</v>
      </c>
      <c r="D688">
        <v>4.3553810000000004</v>
      </c>
      <c r="E688">
        <v>0.52383029999999997</v>
      </c>
      <c r="F688" t="s">
        <v>42</v>
      </c>
      <c r="G688">
        <v>-341.09829999999999</v>
      </c>
      <c r="H688" s="1">
        <v>-4.3701979999999996E-6</v>
      </c>
      <c r="I688">
        <v>368.59129999999999</v>
      </c>
      <c r="J688">
        <v>-369.2835</v>
      </c>
      <c r="K688">
        <v>1.10971</v>
      </c>
      <c r="L688">
        <v>367.21190000000001</v>
      </c>
      <c r="M688">
        <v>0.99992309999999995</v>
      </c>
      <c r="N688">
        <v>-9.8142049999999995E-3</v>
      </c>
      <c r="O688">
        <v>7.5958279999999998E-3</v>
      </c>
      <c r="P688">
        <v>0.9538335</v>
      </c>
      <c r="Q688">
        <v>0.28897640000000002</v>
      </c>
      <c r="R688">
        <v>8.1820729999999994E-2</v>
      </c>
      <c r="S688">
        <v>3.1691280000000002</v>
      </c>
      <c r="T688">
        <v>-0.1235173</v>
      </c>
      <c r="U688">
        <v>0.1537781</v>
      </c>
      <c r="V688">
        <v>-7.4562130000000004E-2</v>
      </c>
      <c r="W688">
        <v>0.2983324</v>
      </c>
      <c r="X688">
        <v>0.95154519999999998</v>
      </c>
      <c r="Y688">
        <v>-4.084256E-2</v>
      </c>
      <c r="Z688">
        <v>7.745308E-4</v>
      </c>
      <c r="AA688">
        <v>0.99916530000000003</v>
      </c>
      <c r="AB688">
        <v>38</v>
      </c>
      <c r="AC688">
        <v>28.185199999999998</v>
      </c>
      <c r="AD688">
        <v>-1.1097143701979999</v>
      </c>
      <c r="AE688">
        <v>1.37939999999997</v>
      </c>
      <c r="AF688">
        <v>-1.1634607275106901</v>
      </c>
      <c r="AG688">
        <v>-1.1097143701979999</v>
      </c>
      <c r="AH688">
        <v>28.151329845722401</v>
      </c>
      <c r="AI688">
        <v>92.255484901681299</v>
      </c>
      <c r="AJ688">
        <v>92.366619070120706</v>
      </c>
      <c r="AK688">
        <v>28.197206934917201</v>
      </c>
      <c r="AL688">
        <v>72.642529294632894</v>
      </c>
      <c r="AM688">
        <v>94.480484677163204</v>
      </c>
      <c r="AN688">
        <v>0.99999999988146804</v>
      </c>
    </row>
    <row r="689" spans="1:40" x14ac:dyDescent="0.25">
      <c r="A689" t="str">
        <f>"20190304164111280"</f>
        <v>20190304164111280</v>
      </c>
      <c r="B689" t="str">
        <f>"1551688871271896"</f>
        <v>1551688871271896</v>
      </c>
      <c r="C689" t="s">
        <v>40</v>
      </c>
      <c r="D689">
        <v>4.3313360000000003</v>
      </c>
      <c r="E689">
        <v>0.52372180000000002</v>
      </c>
      <c r="F689" t="s">
        <v>42</v>
      </c>
      <c r="G689">
        <v>-340.68490000000003</v>
      </c>
      <c r="H689" s="1">
        <v>-4.5616310000000003E-6</v>
      </c>
      <c r="I689">
        <v>368.6139</v>
      </c>
      <c r="J689">
        <v>-369.06099999999998</v>
      </c>
      <c r="K689">
        <v>1.109718</v>
      </c>
      <c r="L689">
        <v>367.21359999999999</v>
      </c>
      <c r="M689">
        <v>0.99992270000000005</v>
      </c>
      <c r="N689">
        <v>-9.8503029999999995E-3</v>
      </c>
      <c r="O689">
        <v>7.5961839999999997E-3</v>
      </c>
      <c r="P689">
        <v>0.95374800000000004</v>
      </c>
      <c r="Q689">
        <v>0.28908859999999997</v>
      </c>
      <c r="R689">
        <v>8.2417030000000002E-2</v>
      </c>
      <c r="S689">
        <v>3.1691280000000002</v>
      </c>
      <c r="T689">
        <v>-0.1229719</v>
      </c>
      <c r="U689">
        <v>0.155365</v>
      </c>
      <c r="V689">
        <v>-7.5158359999999994E-2</v>
      </c>
      <c r="W689">
        <v>0.29847800000000002</v>
      </c>
      <c r="X689">
        <v>0.95145259999999998</v>
      </c>
      <c r="Y689">
        <v>-4.1341099999999999E-2</v>
      </c>
      <c r="Z689">
        <v>7.8544509999999999E-4</v>
      </c>
      <c r="AA689">
        <v>0.99914480000000006</v>
      </c>
      <c r="AB689">
        <v>38</v>
      </c>
      <c r="AC689">
        <v>28.376099999999902</v>
      </c>
      <c r="AD689">
        <v>-1.109722561631</v>
      </c>
      <c r="AE689">
        <v>1.4003000000000101</v>
      </c>
      <c r="AF689">
        <v>-1.1828943419179001</v>
      </c>
      <c r="AG689">
        <v>-1.109722561631</v>
      </c>
      <c r="AH689">
        <v>28.342676463303299</v>
      </c>
      <c r="AI689">
        <v>92.240252063967006</v>
      </c>
      <c r="AJ689">
        <v>92.389878154455005</v>
      </c>
      <c r="AK689">
        <v>28.389047752459501</v>
      </c>
      <c r="AL689">
        <v>72.633788320988003</v>
      </c>
      <c r="AM689">
        <v>94.516602596451406</v>
      </c>
      <c r="AN689">
        <v>0.99999997280432396</v>
      </c>
    </row>
    <row r="690" spans="1:40" x14ac:dyDescent="0.25">
      <c r="A690" t="str">
        <f>"20190304164111296"</f>
        <v>20190304164111296</v>
      </c>
      <c r="B690" t="str">
        <f>"1551688871281656"</f>
        <v>1551688871281656</v>
      </c>
      <c r="C690" t="s">
        <v>40</v>
      </c>
      <c r="D690">
        <v>4.3386430000000002</v>
      </c>
      <c r="E690">
        <v>0.5236307</v>
      </c>
      <c r="F690" t="s">
        <v>42</v>
      </c>
      <c r="G690">
        <v>-340.35129999999998</v>
      </c>
      <c r="H690" s="1">
        <v>-4.7139739999999998E-6</v>
      </c>
      <c r="I690">
        <v>368.64409999999998</v>
      </c>
      <c r="J690">
        <v>-368.80079999999998</v>
      </c>
      <c r="K690">
        <v>1.109723</v>
      </c>
      <c r="L690">
        <v>367.21550000000002</v>
      </c>
      <c r="M690">
        <v>0.99992230000000004</v>
      </c>
      <c r="N690">
        <v>-9.8955060000000001E-3</v>
      </c>
      <c r="O690">
        <v>7.596256E-3</v>
      </c>
      <c r="P690">
        <v>0.95368200000000003</v>
      </c>
      <c r="Q690">
        <v>0.28914139999999999</v>
      </c>
      <c r="R690">
        <v>8.2995899999999997E-2</v>
      </c>
      <c r="S690">
        <v>3.1689759999999998</v>
      </c>
      <c r="T690">
        <v>-0.12249110000000001</v>
      </c>
      <c r="U690">
        <v>0.15789790000000001</v>
      </c>
      <c r="V690">
        <v>-7.573763E-2</v>
      </c>
      <c r="W690">
        <v>0.29857309999999998</v>
      </c>
      <c r="X690">
        <v>0.95137689999999997</v>
      </c>
      <c r="Y690">
        <v>-4.2139469999999998E-2</v>
      </c>
      <c r="Z690">
        <v>8.0412769999999999E-4</v>
      </c>
      <c r="AA690">
        <v>0.99911139999999998</v>
      </c>
      <c r="AB690">
        <v>38</v>
      </c>
      <c r="AC690">
        <v>28.4495</v>
      </c>
      <c r="AD690">
        <v>-1.1097277139740001</v>
      </c>
      <c r="AE690">
        <v>1.4285999999999599</v>
      </c>
      <c r="AF690">
        <v>-1.21060119019923</v>
      </c>
      <c r="AG690">
        <v>-1.1097277139740001</v>
      </c>
      <c r="AH690">
        <v>28.4164036714354</v>
      </c>
      <c r="AI690">
        <v>92.234374486521006</v>
      </c>
      <c r="AJ690">
        <v>92.439450900234604</v>
      </c>
      <c r="AK690">
        <v>28.463819990627499</v>
      </c>
      <c r="AL690">
        <v>72.628080462527606</v>
      </c>
      <c r="AM690">
        <v>94.551628449419297</v>
      </c>
      <c r="AN690">
        <v>1.0000000452476101</v>
      </c>
    </row>
    <row r="691" spans="1:40" x14ac:dyDescent="0.25">
      <c r="A691" t="str">
        <f>"20190304164111310"</f>
        <v>20190304164111310</v>
      </c>
      <c r="B691" t="str">
        <f>"1551688871302151"</f>
        <v>1551688871302151</v>
      </c>
      <c r="C691" t="s">
        <v>40</v>
      </c>
      <c r="D691">
        <v>4.3308419999999996</v>
      </c>
      <c r="E691">
        <v>0.52354100000000003</v>
      </c>
      <c r="F691" t="s">
        <v>42</v>
      </c>
      <c r="G691">
        <v>-340.15609999999998</v>
      </c>
      <c r="H691" s="1">
        <v>-4.8023050000000001E-6</v>
      </c>
      <c r="I691">
        <v>368.6662</v>
      </c>
      <c r="J691">
        <v>-368.54410000000001</v>
      </c>
      <c r="K691">
        <v>1.109728</v>
      </c>
      <c r="L691">
        <v>367.21749999999997</v>
      </c>
      <c r="M691">
        <v>0.99992179999999997</v>
      </c>
      <c r="N691">
        <v>-9.9417570000000007E-3</v>
      </c>
      <c r="O691">
        <v>7.5966790000000003E-3</v>
      </c>
      <c r="P691">
        <v>0.95361680000000004</v>
      </c>
      <c r="Q691">
        <v>0.2892478</v>
      </c>
      <c r="R691">
        <v>8.3372340000000003E-2</v>
      </c>
      <c r="S691">
        <v>3.1689759999999998</v>
      </c>
      <c r="T691">
        <v>-0.1227698</v>
      </c>
      <c r="U691">
        <v>0.16049189999999999</v>
      </c>
      <c r="V691">
        <v>-7.6114029999999999E-2</v>
      </c>
      <c r="W691">
        <v>0.29872330000000002</v>
      </c>
      <c r="X691">
        <v>0.95129969999999997</v>
      </c>
      <c r="Y691">
        <v>-4.2953860000000003E-2</v>
      </c>
      <c r="Z691">
        <v>8.2642969999999997E-4</v>
      </c>
      <c r="AA691">
        <v>0.99907670000000004</v>
      </c>
      <c r="AB691">
        <v>38</v>
      </c>
      <c r="AC691">
        <v>28.388000000000002</v>
      </c>
      <c r="AD691">
        <v>-1.1097328023049999</v>
      </c>
      <c r="AE691">
        <v>1.4487000000000301</v>
      </c>
      <c r="AF691">
        <v>-1.23111657877202</v>
      </c>
      <c r="AG691">
        <v>-1.1097328023049999</v>
      </c>
      <c r="AH691">
        <v>28.354968410943101</v>
      </c>
      <c r="AI691">
        <v>92.239142580652398</v>
      </c>
      <c r="AJ691">
        <v>92.486107864068899</v>
      </c>
      <c r="AK691">
        <v>28.403369316132501</v>
      </c>
      <c r="AL691">
        <v>72.619062973366198</v>
      </c>
      <c r="AM691">
        <v>94.574522950409104</v>
      </c>
      <c r="AN691">
        <v>1.0000000373729001</v>
      </c>
    </row>
    <row r="692" spans="1:40" x14ac:dyDescent="0.25">
      <c r="A692" t="str">
        <f>"20190304164111323"</f>
        <v>20190304164111323</v>
      </c>
      <c r="B692" t="str">
        <f>"1551688871311912"</f>
        <v>1551688871311912</v>
      </c>
      <c r="C692" t="s">
        <v>40</v>
      </c>
      <c r="D692">
        <v>4.3544049999999999</v>
      </c>
      <c r="E692">
        <v>0.52355260000000003</v>
      </c>
      <c r="F692" t="s">
        <v>42</v>
      </c>
      <c r="G692">
        <v>-339.99799999999999</v>
      </c>
      <c r="H692" s="1">
        <v>-4.8743180000000001E-6</v>
      </c>
      <c r="I692">
        <v>368.68150000000003</v>
      </c>
      <c r="J692">
        <v>-368.3331</v>
      </c>
      <c r="K692">
        <v>1.109737</v>
      </c>
      <c r="L692">
        <v>367.21910000000003</v>
      </c>
      <c r="M692">
        <v>0.99992139999999996</v>
      </c>
      <c r="N692">
        <v>-9.9807360000000005E-3</v>
      </c>
      <c r="O692">
        <v>7.5968399999999997E-3</v>
      </c>
      <c r="P692">
        <v>0.95350950000000001</v>
      </c>
      <c r="Q692">
        <v>0.28946650000000002</v>
      </c>
      <c r="R692">
        <v>8.3840680000000001E-2</v>
      </c>
      <c r="S692">
        <v>3.1690670000000001</v>
      </c>
      <c r="T692">
        <v>-0.1231978</v>
      </c>
      <c r="U692">
        <v>0.1625366</v>
      </c>
      <c r="V692">
        <v>-7.6583010000000007E-2</v>
      </c>
      <c r="W692">
        <v>0.29897760000000001</v>
      </c>
      <c r="X692">
        <v>0.95118210000000003</v>
      </c>
      <c r="Y692">
        <v>-4.3594290000000001E-2</v>
      </c>
      <c r="Z692">
        <v>8.4504440000000001E-4</v>
      </c>
      <c r="AA692">
        <v>0.99904890000000002</v>
      </c>
      <c r="AB692">
        <v>38</v>
      </c>
      <c r="AC692">
        <v>28.335099999999901</v>
      </c>
      <c r="AD692">
        <v>-1.1097418743180001</v>
      </c>
      <c r="AE692">
        <v>1.4623999999999999</v>
      </c>
      <c r="AF692">
        <v>-1.24518496349814</v>
      </c>
      <c r="AG692">
        <v>-1.1097418743180001</v>
      </c>
      <c r="AH692">
        <v>28.302095446158699</v>
      </c>
      <c r="AI692">
        <v>92.243283192466393</v>
      </c>
      <c r="AJ692">
        <v>92.519172617966902</v>
      </c>
      <c r="AK692">
        <v>28.351201372506502</v>
      </c>
      <c r="AL692">
        <v>72.603793786912803</v>
      </c>
      <c r="AM692">
        <v>94.603154945456694</v>
      </c>
      <c r="AN692">
        <v>0.99999997504141402</v>
      </c>
    </row>
    <row r="693" spans="1:40" x14ac:dyDescent="0.25">
      <c r="A693" t="str">
        <f>"20190304164111335"</f>
        <v>20190304164111335</v>
      </c>
      <c r="B693" t="str">
        <f>"1551688871322648"</f>
        <v>1551688871322648</v>
      </c>
      <c r="C693" t="s">
        <v>40</v>
      </c>
      <c r="D693">
        <v>4.3616989999999998</v>
      </c>
      <c r="E693">
        <v>0.52362390000000003</v>
      </c>
      <c r="F693" t="s">
        <v>42</v>
      </c>
      <c r="G693">
        <v>-339.59280000000001</v>
      </c>
      <c r="H693" s="1">
        <v>-3.6551559999999897E-7</v>
      </c>
      <c r="I693">
        <v>368.71109999999999</v>
      </c>
      <c r="J693">
        <v>-368.12</v>
      </c>
      <c r="K693">
        <v>1.109742</v>
      </c>
      <c r="L693">
        <v>367.22070000000002</v>
      </c>
      <c r="M693">
        <v>0.99992099999999995</v>
      </c>
      <c r="N693">
        <v>-1.00217E-2</v>
      </c>
      <c r="O693">
        <v>7.597169E-3</v>
      </c>
      <c r="P693">
        <v>0.95341540000000002</v>
      </c>
      <c r="Q693">
        <v>0.28967470000000001</v>
      </c>
      <c r="R693">
        <v>8.4188559999999996E-2</v>
      </c>
      <c r="S693">
        <v>3.1689759999999998</v>
      </c>
      <c r="T693">
        <v>-0.1223619</v>
      </c>
      <c r="U693">
        <v>0.16452030000000001</v>
      </c>
      <c r="V693">
        <v>-7.6931459999999993E-2</v>
      </c>
      <c r="W693">
        <v>0.2992243</v>
      </c>
      <c r="X693">
        <v>0.95107640000000004</v>
      </c>
      <c r="Y693">
        <v>-4.4218939999999998E-2</v>
      </c>
      <c r="Z693">
        <v>8.5769039999999996E-4</v>
      </c>
      <c r="AA693">
        <v>0.99902150000000001</v>
      </c>
      <c r="AB693">
        <v>38</v>
      </c>
      <c r="AC693">
        <v>28.527200000000001</v>
      </c>
      <c r="AD693">
        <v>-1.1097423655156</v>
      </c>
      <c r="AE693">
        <v>1.49039999999996</v>
      </c>
      <c r="AF693">
        <v>-1.27170092689131</v>
      </c>
      <c r="AG693">
        <v>-1.1097423655156</v>
      </c>
      <c r="AH693">
        <v>28.494696298193301</v>
      </c>
      <c r="AI693">
        <v>92.228074420956204</v>
      </c>
      <c r="AJ693">
        <v>92.555380028239796</v>
      </c>
      <c r="AK693">
        <v>28.5446399257644</v>
      </c>
      <c r="AL693">
        <v>72.588980799234704</v>
      </c>
      <c r="AM693">
        <v>94.624520189770706</v>
      </c>
      <c r="AN693">
        <v>0.99999997494258996</v>
      </c>
    </row>
    <row r="694" spans="1:40" x14ac:dyDescent="0.25">
      <c r="A694" t="str">
        <f>"20190304164111348"</f>
        <v>20190304164111348</v>
      </c>
      <c r="B694" t="str">
        <f>"1551688871342167"</f>
        <v>1551688871342167</v>
      </c>
      <c r="C694" t="s">
        <v>40</v>
      </c>
      <c r="D694">
        <v>4.3490630000000001</v>
      </c>
      <c r="E694">
        <v>0.52357229999999999</v>
      </c>
      <c r="F694" t="s">
        <v>42</v>
      </c>
      <c r="G694">
        <v>-339.40620000000001</v>
      </c>
      <c r="H694" s="1">
        <v>-4.2632929999999998E-7</v>
      </c>
      <c r="I694">
        <v>368.72120000000001</v>
      </c>
      <c r="J694">
        <v>-367.9246</v>
      </c>
      <c r="K694">
        <v>1.109747</v>
      </c>
      <c r="L694">
        <v>367.22219999999999</v>
      </c>
      <c r="M694">
        <v>0.9999207</v>
      </c>
      <c r="N694">
        <v>-1.00594E-2</v>
      </c>
      <c r="O694">
        <v>7.5972749999999997E-3</v>
      </c>
      <c r="P694">
        <v>0.95340000000000003</v>
      </c>
      <c r="Q694">
        <v>0.28972500000000001</v>
      </c>
      <c r="R694">
        <v>8.419314E-2</v>
      </c>
      <c r="S694">
        <v>3.1691280000000002</v>
      </c>
      <c r="T694">
        <v>-0.1224813</v>
      </c>
      <c r="U694">
        <v>0.16561890000000001</v>
      </c>
      <c r="V694">
        <v>-7.6935630000000005E-2</v>
      </c>
      <c r="W694">
        <v>0.29931029999999997</v>
      </c>
      <c r="X694">
        <v>0.95104900000000003</v>
      </c>
      <c r="Y694">
        <v>-4.4561330000000003E-2</v>
      </c>
      <c r="Z694">
        <v>8.6765710000000001E-4</v>
      </c>
      <c r="AA694">
        <v>0.99900630000000001</v>
      </c>
      <c r="AB694">
        <v>38</v>
      </c>
      <c r="AC694">
        <v>28.5183999999999</v>
      </c>
      <c r="AD694">
        <v>-1.1097474263292999</v>
      </c>
      <c r="AE694">
        <v>1.4990000000000201</v>
      </c>
      <c r="AF694">
        <v>-1.28035024841634</v>
      </c>
      <c r="AG694">
        <v>-1.1097474263292999</v>
      </c>
      <c r="AH694">
        <v>28.485949730613001</v>
      </c>
      <c r="AI694">
        <v>92.228736429823002</v>
      </c>
      <c r="AJ694">
        <v>92.573525758763495</v>
      </c>
      <c r="AK694">
        <v>28.536295627916999</v>
      </c>
      <c r="AL694">
        <v>72.583816663598199</v>
      </c>
      <c r="AM694">
        <v>94.624902433315597</v>
      </c>
      <c r="AN694">
        <v>0.99999997362529303</v>
      </c>
    </row>
    <row r="695" spans="1:40" x14ac:dyDescent="0.25">
      <c r="A695" t="str">
        <f>"20190304164111358"</f>
        <v>20190304164111358</v>
      </c>
      <c r="B695" t="str">
        <f>"1551688871351928"</f>
        <v>1551688871351928</v>
      </c>
      <c r="C695" t="s">
        <v>40</v>
      </c>
      <c r="D695">
        <v>4.3490970000000004</v>
      </c>
      <c r="E695">
        <v>0.52359630000000001</v>
      </c>
      <c r="F695" t="s">
        <v>42</v>
      </c>
      <c r="G695">
        <v>-339.37479999999999</v>
      </c>
      <c r="H695" s="1">
        <v>-4.3900780000000002E-7</v>
      </c>
      <c r="I695">
        <v>368.71370000000002</v>
      </c>
      <c r="J695">
        <v>-367.70960000000002</v>
      </c>
      <c r="K695">
        <v>1.109753</v>
      </c>
      <c r="L695">
        <v>367.22379999999998</v>
      </c>
      <c r="M695">
        <v>0.99992020000000004</v>
      </c>
      <c r="N695">
        <v>-1.010106E-2</v>
      </c>
      <c r="O695">
        <v>7.5975979999999997E-3</v>
      </c>
      <c r="P695">
        <v>0.95341609999999999</v>
      </c>
      <c r="Q695">
        <v>0.28967720000000002</v>
      </c>
      <c r="R695">
        <v>8.4173559999999994E-2</v>
      </c>
      <c r="S695">
        <v>3.1694640000000001</v>
      </c>
      <c r="T695">
        <v>-0.12319869999999999</v>
      </c>
      <c r="U695">
        <v>0.1655884</v>
      </c>
      <c r="V695">
        <v>-7.6915880000000006E-2</v>
      </c>
      <c r="W695">
        <v>0.29930210000000002</v>
      </c>
      <c r="X695">
        <v>0.95105320000000004</v>
      </c>
      <c r="Y695">
        <v>-4.4545469999999997E-2</v>
      </c>
      <c r="Z695">
        <v>8.7176409999999995E-4</v>
      </c>
      <c r="AA695">
        <v>0.99900699999999998</v>
      </c>
      <c r="AB695">
        <v>38</v>
      </c>
      <c r="AC695">
        <v>28.334800000000001</v>
      </c>
      <c r="AD695">
        <v>-1.1097534390078001</v>
      </c>
      <c r="AE695">
        <v>1.48990000000003</v>
      </c>
      <c r="AF695">
        <v>-1.2726228441334999</v>
      </c>
      <c r="AG695">
        <v>-1.1097534390078001</v>
      </c>
      <c r="AH695">
        <v>28.3020080394293</v>
      </c>
      <c r="AI695">
        <v>92.243217007084297</v>
      </c>
      <c r="AJ695">
        <v>92.574617102042694</v>
      </c>
      <c r="AK695">
        <v>28.352332896301899</v>
      </c>
      <c r="AL695">
        <v>72.584309436158506</v>
      </c>
      <c r="AM695">
        <v>94.623700001297294</v>
      </c>
      <c r="AN695">
        <v>0.99999999444541199</v>
      </c>
    </row>
    <row r="696" spans="1:40" x14ac:dyDescent="0.25">
      <c r="A696" t="str">
        <f>"20190304164111370"</f>
        <v>20190304164111370</v>
      </c>
      <c r="B696" t="str">
        <f>"1551688871361688"</f>
        <v>1551688871361688</v>
      </c>
      <c r="C696" t="s">
        <v>40</v>
      </c>
      <c r="D696">
        <v>4.3339359999999996</v>
      </c>
      <c r="E696">
        <v>0.52365200000000001</v>
      </c>
      <c r="F696" t="s">
        <v>42</v>
      </c>
      <c r="G696">
        <v>-339.36470000000003</v>
      </c>
      <c r="H696" s="1">
        <v>-4.4541810000000002E-7</v>
      </c>
      <c r="I696">
        <v>368.70249999999999</v>
      </c>
      <c r="J696">
        <v>-367.5231</v>
      </c>
      <c r="K696">
        <v>1.1097619999999999</v>
      </c>
      <c r="L696">
        <v>367.22519999999997</v>
      </c>
      <c r="M696">
        <v>0.99991969999999997</v>
      </c>
      <c r="N696">
        <v>-1.01374E-2</v>
      </c>
      <c r="O696">
        <v>7.597889E-3</v>
      </c>
      <c r="P696">
        <v>0.95340150000000001</v>
      </c>
      <c r="Q696">
        <v>0.28974030000000001</v>
      </c>
      <c r="R696">
        <v>8.4120139999999996E-2</v>
      </c>
      <c r="S696">
        <v>3.1696780000000002</v>
      </c>
      <c r="T696">
        <v>-0.12409829999999999</v>
      </c>
      <c r="U696">
        <v>0.16537479999999999</v>
      </c>
      <c r="V696">
        <v>-7.6862180000000002E-2</v>
      </c>
      <c r="W696">
        <v>0.29939939999999998</v>
      </c>
      <c r="X696">
        <v>0.95102690000000001</v>
      </c>
      <c r="Y696">
        <v>-4.4474050000000001E-2</v>
      </c>
      <c r="Z696">
        <v>8.7520380000000002E-4</v>
      </c>
      <c r="AA696">
        <v>0.99901010000000001</v>
      </c>
      <c r="AB696">
        <v>38</v>
      </c>
      <c r="AC696">
        <v>28.158399999999901</v>
      </c>
      <c r="AD696">
        <v>-1.1097624454181001</v>
      </c>
      <c r="AE696">
        <v>1.47730000000001</v>
      </c>
      <c r="AF696">
        <v>-1.26134812853575</v>
      </c>
      <c r="AG696">
        <v>-1.1097624454181001</v>
      </c>
      <c r="AH696">
        <v>28.1252461799935</v>
      </c>
      <c r="AI696">
        <v>92.257330917251394</v>
      </c>
      <c r="AJ696">
        <v>92.567854161146499</v>
      </c>
      <c r="AK696">
        <v>28.175380112287002</v>
      </c>
      <c r="AL696">
        <v>72.578466363644097</v>
      </c>
      <c r="AM696">
        <v>94.620613099513406</v>
      </c>
      <c r="AN696">
        <v>0.99999997997916101</v>
      </c>
    </row>
    <row r="697" spans="1:40" x14ac:dyDescent="0.25">
      <c r="A697" t="str">
        <f>"20190304164111381"</f>
        <v>20190304164111381</v>
      </c>
      <c r="B697" t="str">
        <f>"1551688871372423"</f>
        <v>1551688871372423</v>
      </c>
      <c r="C697" t="s">
        <v>40</v>
      </c>
      <c r="D697">
        <v>4.3580889999999997</v>
      </c>
      <c r="E697">
        <v>0.52366740000000001</v>
      </c>
      <c r="F697" t="s">
        <v>42</v>
      </c>
      <c r="G697">
        <v>-339.36020000000002</v>
      </c>
      <c r="H697" s="1">
        <v>-4.5000539999999998E-7</v>
      </c>
      <c r="I697">
        <v>368.69110000000001</v>
      </c>
      <c r="J697">
        <v>-367.32729999999998</v>
      </c>
      <c r="K697">
        <v>1.1097680000000001</v>
      </c>
      <c r="L697">
        <v>367.22669999999999</v>
      </c>
      <c r="M697">
        <v>0.99991949999999996</v>
      </c>
      <c r="N697">
        <v>-1.017564E-2</v>
      </c>
      <c r="O697">
        <v>7.597871E-3</v>
      </c>
      <c r="P697">
        <v>0.95345080000000004</v>
      </c>
      <c r="Q697">
        <v>0.28958519999999999</v>
      </c>
      <c r="R697">
        <v>8.4097050000000007E-2</v>
      </c>
      <c r="S697">
        <v>3.1700439999999999</v>
      </c>
      <c r="T697">
        <v>-0.1249154</v>
      </c>
      <c r="U697">
        <v>0.1650085</v>
      </c>
      <c r="V697">
        <v>-7.6838870000000004E-2</v>
      </c>
      <c r="W697">
        <v>0.29928120000000002</v>
      </c>
      <c r="X697">
        <v>0.95106599999999997</v>
      </c>
      <c r="Y697">
        <v>-4.4352610000000001E-2</v>
      </c>
      <c r="Z697">
        <v>8.7703970000000005E-4</v>
      </c>
      <c r="AA697">
        <v>0.9990156</v>
      </c>
      <c r="AB697">
        <v>38</v>
      </c>
      <c r="AC697">
        <v>27.967099999999899</v>
      </c>
      <c r="AD697">
        <v>-1.1097684500053999</v>
      </c>
      <c r="AE697">
        <v>1.4644000000000099</v>
      </c>
      <c r="AF697">
        <v>-1.2498936367917399</v>
      </c>
      <c r="AG697">
        <v>-1.1097684500053999</v>
      </c>
      <c r="AH697">
        <v>27.9335556879482</v>
      </c>
      <c r="AI697">
        <v>92.2728280438741</v>
      </c>
      <c r="AJ697">
        <v>92.562004455841503</v>
      </c>
      <c r="AK697">
        <v>27.983519319192599</v>
      </c>
      <c r="AL697">
        <v>72.585564410268404</v>
      </c>
      <c r="AM697">
        <v>94.619028788339094</v>
      </c>
      <c r="AN697">
        <v>0.99999999248615801</v>
      </c>
    </row>
    <row r="698" spans="1:40" x14ac:dyDescent="0.25">
      <c r="A698" t="str">
        <f>"20190304164111393"</f>
        <v>20190304164111393</v>
      </c>
      <c r="B698" t="str">
        <f>"1551688871382184"</f>
        <v>1551688871382184</v>
      </c>
      <c r="C698" t="s">
        <v>40</v>
      </c>
      <c r="D698">
        <v>4.3259629999999998</v>
      </c>
      <c r="E698">
        <v>0.52371880000000004</v>
      </c>
      <c r="F698" t="s">
        <v>42</v>
      </c>
      <c r="G698">
        <v>-339.3777</v>
      </c>
      <c r="H698" s="1">
        <v>-4.4757389999999999E-7</v>
      </c>
      <c r="I698">
        <v>368.67790000000002</v>
      </c>
      <c r="J698">
        <v>-367.13130000000001</v>
      </c>
      <c r="K698">
        <v>1.1097699999999999</v>
      </c>
      <c r="L698">
        <v>367.22809999999998</v>
      </c>
      <c r="M698">
        <v>0.99991909999999895</v>
      </c>
      <c r="N698">
        <v>-1.0213150000000001E-2</v>
      </c>
      <c r="O698">
        <v>7.5981540000000002E-3</v>
      </c>
      <c r="P698">
        <v>0.95343889999999998</v>
      </c>
      <c r="Q698">
        <v>0.28972500000000001</v>
      </c>
      <c r="R698">
        <v>8.3749379999999998E-2</v>
      </c>
      <c r="S698">
        <v>3.170166</v>
      </c>
      <c r="T698">
        <v>-0.12587419999999999</v>
      </c>
      <c r="U698">
        <v>0.1646118</v>
      </c>
      <c r="V698">
        <v>-7.6490710000000003E-2</v>
      </c>
      <c r="W698">
        <v>0.29945630000000001</v>
      </c>
      <c r="X698">
        <v>0.95103899999999997</v>
      </c>
      <c r="Y698">
        <v>-4.4225199999999902E-2</v>
      </c>
      <c r="Z698">
        <v>8.7935259999999903E-4</v>
      </c>
      <c r="AA698">
        <v>0.99902120000000005</v>
      </c>
      <c r="AB698">
        <v>38</v>
      </c>
      <c r="AC698">
        <v>27.753599999999999</v>
      </c>
      <c r="AD698">
        <v>-1.1097704475738901</v>
      </c>
      <c r="AE698">
        <v>1.44980000000003</v>
      </c>
      <c r="AF698">
        <v>-1.2368987212247999</v>
      </c>
      <c r="AG698">
        <v>-1.1097704475738901</v>
      </c>
      <c r="AH698">
        <v>27.719614224208001</v>
      </c>
      <c r="AI698">
        <v>92.290367956348803</v>
      </c>
      <c r="AJ698">
        <v>92.554945247548105</v>
      </c>
      <c r="AK698">
        <v>27.769381009158099</v>
      </c>
      <c r="AL698">
        <v>72.575050576633302</v>
      </c>
      <c r="AM698">
        <v>94.598319717725602</v>
      </c>
      <c r="AN698">
        <v>1.00000004192349</v>
      </c>
    </row>
    <row r="699" spans="1:40" x14ac:dyDescent="0.25">
      <c r="A699" t="str">
        <f>"20190304164111405"</f>
        <v>20190304164111405</v>
      </c>
      <c r="B699" t="str">
        <f>"1551688871391944"</f>
        <v>1551688871391944</v>
      </c>
      <c r="C699" t="s">
        <v>40</v>
      </c>
      <c r="D699">
        <v>4.3327489999999997</v>
      </c>
      <c r="E699">
        <v>0.52369370000000004</v>
      </c>
      <c r="F699" t="s">
        <v>42</v>
      </c>
      <c r="G699">
        <v>-339.30990000000003</v>
      </c>
      <c r="H699" s="1">
        <v>-4.76626E-7</v>
      </c>
      <c r="I699">
        <v>368.65539999999999</v>
      </c>
      <c r="J699">
        <v>-366.9246</v>
      </c>
      <c r="K699">
        <v>1.1097779999999999</v>
      </c>
      <c r="L699">
        <v>367.22969999999998</v>
      </c>
      <c r="M699">
        <v>0.99991859999999999</v>
      </c>
      <c r="N699">
        <v>-1.025276E-2</v>
      </c>
      <c r="O699">
        <v>7.5984850000000003E-3</v>
      </c>
      <c r="P699">
        <v>0.95345729999999995</v>
      </c>
      <c r="Q699">
        <v>0.28973270000000001</v>
      </c>
      <c r="R699">
        <v>8.3512500000000003E-2</v>
      </c>
      <c r="S699">
        <v>3.1706539999999999</v>
      </c>
      <c r="T699">
        <v>-0.1264739</v>
      </c>
      <c r="U699">
        <v>0.16265869999999999</v>
      </c>
      <c r="V699">
        <v>-7.6253730000000006E-2</v>
      </c>
      <c r="W699">
        <v>0.299502299999999</v>
      </c>
      <c r="X699">
        <v>0.95104350000000004</v>
      </c>
      <c r="Y699">
        <v>-4.3603389999999999E-2</v>
      </c>
      <c r="Z699">
        <v>8.6759990000000002E-4</v>
      </c>
      <c r="AA699">
        <v>0.99904850000000001</v>
      </c>
      <c r="AB699">
        <v>38</v>
      </c>
      <c r="AC699">
        <v>27.6146999999999</v>
      </c>
      <c r="AD699">
        <v>-1.1097784766259999</v>
      </c>
      <c r="AE699">
        <v>1.4257</v>
      </c>
      <c r="AF699">
        <v>-1.2138626665916901</v>
      </c>
      <c r="AG699">
        <v>-1.1097784766259999</v>
      </c>
      <c r="AH699">
        <v>27.580310662877402</v>
      </c>
      <c r="AI699">
        <v>92.302002473588502</v>
      </c>
      <c r="AJ699">
        <v>92.5200714347434</v>
      </c>
      <c r="AK699">
        <v>27.629307032594099</v>
      </c>
      <c r="AL699">
        <v>72.572287412255406</v>
      </c>
      <c r="AM699">
        <v>94.5841126296569</v>
      </c>
      <c r="AN699">
        <v>0.999999998968226</v>
      </c>
    </row>
    <row r="700" spans="1:40" x14ac:dyDescent="0.25">
      <c r="A700" t="str">
        <f>"20190304164111417"</f>
        <v>20190304164111417</v>
      </c>
      <c r="B700" t="str">
        <f>"1551688871401704"</f>
        <v>1551688871401704</v>
      </c>
      <c r="C700" t="s">
        <v>40</v>
      </c>
      <c r="D700">
        <v>4.3164369999999996</v>
      </c>
      <c r="E700">
        <v>0.52364900000000003</v>
      </c>
      <c r="F700" t="s">
        <v>42</v>
      </c>
      <c r="G700">
        <v>-339.15440000000001</v>
      </c>
      <c r="H700" s="1">
        <v>-5.3088849999999997E-7</v>
      </c>
      <c r="I700">
        <v>368.65030000000002</v>
      </c>
      <c r="J700">
        <v>-366.72840000000002</v>
      </c>
      <c r="K700">
        <v>1.109782</v>
      </c>
      <c r="L700">
        <v>367.2312</v>
      </c>
      <c r="M700">
        <v>0.99991830000000004</v>
      </c>
      <c r="N700">
        <v>-1.0290489999999999E-2</v>
      </c>
      <c r="O700">
        <v>7.59858699999999E-3</v>
      </c>
      <c r="P700">
        <v>0.95349969999999995</v>
      </c>
      <c r="Q700">
        <v>0.28965829999999998</v>
      </c>
      <c r="R700">
        <v>8.3286349999999995E-2</v>
      </c>
      <c r="S700">
        <v>3.1707459999999998</v>
      </c>
      <c r="T700">
        <v>-0.12671199999999999</v>
      </c>
      <c r="U700">
        <v>0.16220090000000001</v>
      </c>
      <c r="V700">
        <v>-7.6026570000000002E-2</v>
      </c>
      <c r="W700">
        <v>0.29946400000000001</v>
      </c>
      <c r="X700">
        <v>0.95107370000000002</v>
      </c>
      <c r="Y700">
        <v>-4.3457919999999997E-2</v>
      </c>
      <c r="Z700">
        <v>8.6610389999999999E-4</v>
      </c>
      <c r="AA700">
        <v>0.99905489999999997</v>
      </c>
      <c r="AB700">
        <v>38</v>
      </c>
      <c r="AC700">
        <v>27.574000000000002</v>
      </c>
      <c r="AD700">
        <v>-1.1097825308885001</v>
      </c>
      <c r="AE700">
        <v>1.41910000000001</v>
      </c>
      <c r="AF700">
        <v>-1.2075735921561199</v>
      </c>
      <c r="AG700">
        <v>-1.1097825308885001</v>
      </c>
      <c r="AH700">
        <v>27.5394954343728</v>
      </c>
      <c r="AI700">
        <v>92.305435390261806</v>
      </c>
      <c r="AJ700">
        <v>92.510742362903898</v>
      </c>
      <c r="AK700">
        <v>27.588288457716601</v>
      </c>
      <c r="AL700">
        <v>72.574586611275507</v>
      </c>
      <c r="AM700">
        <v>94.570369978782196</v>
      </c>
      <c r="AN700">
        <v>0.99999995473682601</v>
      </c>
    </row>
    <row r="701" spans="1:40" x14ac:dyDescent="0.25">
      <c r="A701" t="str">
        <f>"20190304164111428"</f>
        <v>20190304164111428</v>
      </c>
      <c r="B701" t="str">
        <f>"1551688871422199"</f>
        <v>1551688871422199</v>
      </c>
      <c r="C701" t="s">
        <v>40</v>
      </c>
      <c r="D701">
        <v>4.3551989999999998</v>
      </c>
      <c r="E701">
        <v>0.523675</v>
      </c>
      <c r="F701" t="s">
        <v>42</v>
      </c>
      <c r="G701">
        <v>-338.88330000000002</v>
      </c>
      <c r="H701" s="1">
        <v>-6.3241989999999995E-7</v>
      </c>
      <c r="I701">
        <v>368.65219999999999</v>
      </c>
      <c r="J701">
        <v>-366.5378</v>
      </c>
      <c r="K701">
        <v>1.109788</v>
      </c>
      <c r="L701">
        <v>367.23270000000002</v>
      </c>
      <c r="M701">
        <v>0.99991790000000003</v>
      </c>
      <c r="N701">
        <v>-1.032667E-2</v>
      </c>
      <c r="O701">
        <v>7.5987549999999996E-3</v>
      </c>
      <c r="P701">
        <v>0.9536057</v>
      </c>
      <c r="Q701">
        <v>0.28945700000000002</v>
      </c>
      <c r="R701">
        <v>8.2772369999999998E-2</v>
      </c>
      <c r="S701">
        <v>3.170563</v>
      </c>
      <c r="T701">
        <v>-0.12636410000000001</v>
      </c>
      <c r="U701">
        <v>0.16180420000000001</v>
      </c>
      <c r="V701">
        <v>-7.5511869999999995E-2</v>
      </c>
      <c r="W701">
        <v>0.29929850000000002</v>
      </c>
      <c r="X701">
        <v>0.95116690000000004</v>
      </c>
      <c r="Y701">
        <v>-4.3336270000000003E-2</v>
      </c>
      <c r="Z701">
        <v>8.6259610000000001E-4</v>
      </c>
      <c r="AA701">
        <v>0.99906019999999895</v>
      </c>
      <c r="AB701">
        <v>38</v>
      </c>
      <c r="AC701">
        <v>27.654499999999899</v>
      </c>
      <c r="AD701">
        <v>-1.10978863241989</v>
      </c>
      <c r="AE701">
        <v>1.41949999999997</v>
      </c>
      <c r="AF701">
        <v>-1.2073687524222401</v>
      </c>
      <c r="AG701">
        <v>-1.10978863241989</v>
      </c>
      <c r="AH701">
        <v>27.620124397245899</v>
      </c>
      <c r="AI701">
        <v>92.298738781514899</v>
      </c>
      <c r="AJ701">
        <v>92.502998201821001</v>
      </c>
      <c r="AK701">
        <v>27.668766539770299</v>
      </c>
      <c r="AL701">
        <v>72.584526665409101</v>
      </c>
      <c r="AM701">
        <v>94.539115381137407</v>
      </c>
      <c r="AN701">
        <v>1.00000005313437</v>
      </c>
    </row>
    <row r="702" spans="1:40" x14ac:dyDescent="0.25">
      <c r="A702" t="str">
        <f>"20190304164111437"</f>
        <v>20190304164111437</v>
      </c>
      <c r="B702" t="str">
        <f>"1551688871431959"</f>
        <v>1551688871431959</v>
      </c>
      <c r="C702" t="s">
        <v>40</v>
      </c>
      <c r="D702">
        <v>4.3416949999999996</v>
      </c>
      <c r="E702">
        <v>0.52377050000000003</v>
      </c>
      <c r="F702" t="s">
        <v>42</v>
      </c>
      <c r="G702">
        <v>-339.06220000000002</v>
      </c>
      <c r="H702" s="1">
        <v>-5.7011590000000003E-7</v>
      </c>
      <c r="I702">
        <v>368.62079999999997</v>
      </c>
      <c r="J702">
        <v>-366.351</v>
      </c>
      <c r="K702">
        <v>1.109791</v>
      </c>
      <c r="L702">
        <v>367.23410000000001</v>
      </c>
      <c r="M702">
        <v>0.99991739999999996</v>
      </c>
      <c r="N702">
        <v>-1.03617E-2</v>
      </c>
      <c r="O702">
        <v>7.5992280000000004E-3</v>
      </c>
      <c r="P702">
        <v>0.95360739999999999</v>
      </c>
      <c r="Q702">
        <v>0.28954159999999901</v>
      </c>
      <c r="R702">
        <v>8.2451499999999997E-2</v>
      </c>
      <c r="S702">
        <v>3.1709589999999999</v>
      </c>
      <c r="T702">
        <v>-0.12808039999999901</v>
      </c>
      <c r="U702">
        <v>0.16021729999999901</v>
      </c>
      <c r="V702">
        <v>-7.5190560000000004E-2</v>
      </c>
      <c r="W702">
        <v>0.29941630000000002</v>
      </c>
      <c r="X702">
        <v>0.95115519999999998</v>
      </c>
      <c r="Y702">
        <v>-4.2830269999999997E-2</v>
      </c>
      <c r="Z702">
        <v>8.5831340000000001E-4</v>
      </c>
      <c r="AA702">
        <v>0.99908200000000003</v>
      </c>
      <c r="AB702">
        <v>38</v>
      </c>
      <c r="AC702">
        <v>27.288799999999899</v>
      </c>
      <c r="AD702">
        <v>-1.10979157011589</v>
      </c>
      <c r="AE702">
        <v>1.3866999999999601</v>
      </c>
      <c r="AF702">
        <v>-1.1773328041128599</v>
      </c>
      <c r="AG702">
        <v>-1.10979157011589</v>
      </c>
      <c r="AH702">
        <v>27.253591269821602</v>
      </c>
      <c r="AI702">
        <v>92.329678707705</v>
      </c>
      <c r="AJ702">
        <v>92.473592762562205</v>
      </c>
      <c r="AK702">
        <v>27.301574807384998</v>
      </c>
      <c r="AL702">
        <v>72.577451468675804</v>
      </c>
      <c r="AM702">
        <v>94.519936593409795</v>
      </c>
      <c r="AN702">
        <v>0.99999997775292104</v>
      </c>
    </row>
    <row r="703" spans="1:40" x14ac:dyDescent="0.25">
      <c r="A703" t="str">
        <f>"20190304164111448"</f>
        <v>20190304164111448</v>
      </c>
      <c r="B703" t="str">
        <f>"1551688871441719"</f>
        <v>1551688871441719</v>
      </c>
      <c r="C703" t="s">
        <v>40</v>
      </c>
      <c r="D703">
        <v>4.4255680000000002</v>
      </c>
      <c r="E703">
        <v>0.52377050000000003</v>
      </c>
      <c r="F703" t="s">
        <v>42</v>
      </c>
      <c r="G703">
        <v>-338.9982</v>
      </c>
      <c r="H703" s="1">
        <v>-5.9653969999999898E-7</v>
      </c>
      <c r="I703">
        <v>368.60329999999999</v>
      </c>
      <c r="J703">
        <v>-366.178</v>
      </c>
      <c r="K703">
        <v>1.1097939999999999</v>
      </c>
      <c r="L703">
        <v>367.23540000000003</v>
      </c>
      <c r="M703">
        <v>0.99991719999999895</v>
      </c>
      <c r="N703">
        <v>-1.039287E-2</v>
      </c>
      <c r="O703">
        <v>7.5992419999999896E-3</v>
      </c>
      <c r="P703">
        <v>0.95358719999999997</v>
      </c>
      <c r="Q703">
        <v>0.28964869999999998</v>
      </c>
      <c r="R703">
        <v>8.2311209999999996E-2</v>
      </c>
      <c r="S703">
        <v>3.1712950000000002</v>
      </c>
      <c r="T703">
        <v>-0.1286696</v>
      </c>
      <c r="U703">
        <v>0.15875239999999999</v>
      </c>
      <c r="V703">
        <v>-7.5050210000000006E-2</v>
      </c>
      <c r="W703">
        <v>0.29955320000000002</v>
      </c>
      <c r="X703">
        <v>0.95112319999999995</v>
      </c>
      <c r="Y703">
        <v>-4.2364739999999998E-2</v>
      </c>
      <c r="Z703">
        <v>8.4987059999999995E-4</v>
      </c>
      <c r="AA703">
        <v>0.99910189999999999</v>
      </c>
      <c r="AB703">
        <v>38</v>
      </c>
      <c r="AC703">
        <v>27.1798</v>
      </c>
      <c r="AD703">
        <v>-1.10979459653969</v>
      </c>
      <c r="AE703">
        <v>1.3678999999999599</v>
      </c>
      <c r="AF703">
        <v>-1.1593754326237899</v>
      </c>
      <c r="AG703">
        <v>-1.10979459653969</v>
      </c>
      <c r="AH703">
        <v>27.144269562183499</v>
      </c>
      <c r="AI703">
        <v>92.339106146802493</v>
      </c>
      <c r="AJ703">
        <v>92.445708443932403</v>
      </c>
      <c r="AK703">
        <v>27.191674562350101</v>
      </c>
      <c r="AL703">
        <v>72.569230692468594</v>
      </c>
      <c r="AM703">
        <v>94.511685745629507</v>
      </c>
      <c r="AN703">
        <v>0.99999999761476199</v>
      </c>
    </row>
    <row r="704" spans="1:40" x14ac:dyDescent="0.25">
      <c r="A704" t="str">
        <f>"20190304164111460"</f>
        <v>20190304164111460</v>
      </c>
      <c r="B704" t="str">
        <f>"1551688871452456"</f>
        <v>1551688871452456</v>
      </c>
      <c r="C704" t="s">
        <v>40</v>
      </c>
      <c r="D704">
        <v>4.3752170000000001</v>
      </c>
      <c r="E704">
        <v>0.54361749999999998</v>
      </c>
      <c r="F704" t="s">
        <v>42</v>
      </c>
      <c r="G704">
        <v>-338.74450000000002</v>
      </c>
      <c r="H704" s="1">
        <v>-6.9985650000000003E-7</v>
      </c>
      <c r="I704">
        <v>368.60759999999999</v>
      </c>
      <c r="J704">
        <v>-365.97</v>
      </c>
      <c r="K704">
        <v>1.1097950000000001</v>
      </c>
      <c r="L704">
        <v>367.23700000000002</v>
      </c>
      <c r="M704">
        <v>0.9999169</v>
      </c>
      <c r="N704">
        <v>-1.0429590000000001E-2</v>
      </c>
      <c r="O704">
        <v>7.59940599999999E-3</v>
      </c>
      <c r="P704">
        <v>0.95343460000000002</v>
      </c>
      <c r="Q704">
        <v>0.29020759999999901</v>
      </c>
      <c r="R704">
        <v>8.2112019999999994E-2</v>
      </c>
      <c r="S704">
        <v>3.1712950000000002</v>
      </c>
      <c r="T704">
        <v>-0.1282915</v>
      </c>
      <c r="U704">
        <v>0.15863039999999901</v>
      </c>
      <c r="V704">
        <v>-7.4852370000000001E-2</v>
      </c>
      <c r="W704">
        <v>0.300145</v>
      </c>
      <c r="X704">
        <v>0.95095220000000003</v>
      </c>
      <c r="Y704">
        <v>-4.2326410000000002E-2</v>
      </c>
      <c r="Z704">
        <v>8.483322E-4</v>
      </c>
      <c r="AA704">
        <v>0.99910350000000003</v>
      </c>
      <c r="AB704">
        <v>38</v>
      </c>
      <c r="AC704">
        <v>27.2255</v>
      </c>
      <c r="AD704">
        <v>-1.1097956998565</v>
      </c>
      <c r="AE704">
        <v>1.37060000000002</v>
      </c>
      <c r="AF704">
        <v>-1.1617260920697601</v>
      </c>
      <c r="AG704">
        <v>-1.1097956998565</v>
      </c>
      <c r="AH704">
        <v>27.190064448293199</v>
      </c>
      <c r="AI704">
        <v>92.335171745662606</v>
      </c>
      <c r="AJ704">
        <v>92.446538624341102</v>
      </c>
      <c r="AK704">
        <v>27.237489948795801</v>
      </c>
      <c r="AL704">
        <v>72.533687499860704</v>
      </c>
      <c r="AM704">
        <v>94.500647228124194</v>
      </c>
      <c r="AN704">
        <v>0.99999999250222804</v>
      </c>
    </row>
    <row r="705" spans="1:40" x14ac:dyDescent="0.25">
      <c r="A705" t="str">
        <f>"20190304164111473"</f>
        <v>20190304164111473</v>
      </c>
      <c r="B705" t="str">
        <f>"1551688871462216"</f>
        <v>1551688871462216</v>
      </c>
      <c r="C705" t="s">
        <v>40</v>
      </c>
      <c r="D705">
        <v>4.3125530000000003</v>
      </c>
      <c r="E705">
        <v>0.54898210000000003</v>
      </c>
      <c r="F705" t="s">
        <v>42</v>
      </c>
      <c r="G705">
        <v>-336.78559999999999</v>
      </c>
      <c r="H705" s="1">
        <v>-1.78485899999999E-6</v>
      </c>
      <c r="I705">
        <v>367.2285</v>
      </c>
      <c r="J705">
        <v>-365.75069999999999</v>
      </c>
      <c r="K705">
        <v>1.1097919999999999</v>
      </c>
      <c r="L705">
        <v>367.23869999999999</v>
      </c>
      <c r="M705">
        <v>0.99991640000000004</v>
      </c>
      <c r="N705">
        <v>-1.046563E-2</v>
      </c>
      <c r="O705">
        <v>7.5996930000000002E-3</v>
      </c>
      <c r="P705">
        <v>0.95345500000000005</v>
      </c>
      <c r="Q705">
        <v>0.29013149999999999</v>
      </c>
      <c r="R705">
        <v>8.2143220000000003E-2</v>
      </c>
      <c r="S705">
        <v>3.183411</v>
      </c>
      <c r="T705">
        <v>-0.12105539999999899</v>
      </c>
      <c r="U705">
        <v>-9.1552729999999996E-4</v>
      </c>
      <c r="V705">
        <v>-7.4883340000000007E-2</v>
      </c>
      <c r="W705">
        <v>0.30010320000000001</v>
      </c>
      <c r="X705">
        <v>0.950963</v>
      </c>
      <c r="Y705">
        <v>7.8775470000000004E-3</v>
      </c>
      <c r="Z705">
        <v>-4.003365E-4</v>
      </c>
      <c r="AA705">
        <v>0.99996890000000005</v>
      </c>
      <c r="AB705">
        <v>38</v>
      </c>
      <c r="AC705">
        <v>28.9651</v>
      </c>
      <c r="AD705">
        <v>-1.109793784859</v>
      </c>
      <c r="AE705">
        <v>-1.0199999999997499E-2</v>
      </c>
      <c r="AF705">
        <v>0.22999997265355099</v>
      </c>
      <c r="AG705">
        <v>-1.109793784859</v>
      </c>
      <c r="AH705">
        <v>28.921728012556802</v>
      </c>
      <c r="AI705">
        <v>92.197424403531997</v>
      </c>
      <c r="AJ705">
        <v>89.544365055800796</v>
      </c>
      <c r="AK705">
        <v>28.9439267112229</v>
      </c>
      <c r="AL705">
        <v>72.536198996368796</v>
      </c>
      <c r="AM705">
        <v>94.502450781365198</v>
      </c>
      <c r="AN705">
        <v>1.0000000363143899</v>
      </c>
    </row>
    <row r="706" spans="1:40" x14ac:dyDescent="0.25">
      <c r="A706" t="str">
        <f>"20190304164111488"</f>
        <v>20190304164111488</v>
      </c>
      <c r="B706" t="str">
        <f>"1551688871481736"</f>
        <v>1551688871481736</v>
      </c>
      <c r="C706" t="s">
        <v>40</v>
      </c>
      <c r="D706">
        <v>4.3355610000000002</v>
      </c>
      <c r="E706">
        <v>0.55478329999999998</v>
      </c>
      <c r="F706" t="s">
        <v>42</v>
      </c>
      <c r="G706">
        <v>-334.19830000000002</v>
      </c>
      <c r="H706" s="1">
        <v>-2.9716800000000002E-6</v>
      </c>
      <c r="I706">
        <v>366.79500000000002</v>
      </c>
      <c r="J706">
        <v>-365.50659999999999</v>
      </c>
      <c r="K706">
        <v>1.1097950000000001</v>
      </c>
      <c r="L706">
        <v>367.2405</v>
      </c>
      <c r="M706">
        <v>0.99991600000000003</v>
      </c>
      <c r="N706">
        <v>-1.0504039999999999E-2</v>
      </c>
      <c r="O706">
        <v>7.6000249999999998E-3</v>
      </c>
      <c r="P706">
        <v>0.95345329999999995</v>
      </c>
      <c r="Q706">
        <v>0.2900954</v>
      </c>
      <c r="R706">
        <v>8.2288169999999994E-2</v>
      </c>
      <c r="S706">
        <v>3.1843870000000001</v>
      </c>
      <c r="T706">
        <v>-0.11200450000000001</v>
      </c>
      <c r="U706">
        <v>-4.4769290000000003E-2</v>
      </c>
      <c r="V706">
        <v>-7.5027510000000006E-2</v>
      </c>
      <c r="W706">
        <v>0.30010360000000003</v>
      </c>
      <c r="X706">
        <v>0.95095149999999995</v>
      </c>
      <c r="Y706">
        <v>2.163721E-2</v>
      </c>
      <c r="Z706">
        <v>-6.8149039999999903E-4</v>
      </c>
      <c r="AA706">
        <v>0.99976560000000003</v>
      </c>
      <c r="AB706">
        <v>38</v>
      </c>
      <c r="AC706">
        <v>31.3082999999999</v>
      </c>
      <c r="AD706">
        <v>-1.1097979716799999</v>
      </c>
      <c r="AE706">
        <v>-0.44549999999998102</v>
      </c>
      <c r="AF706">
        <v>0.68258660159112605</v>
      </c>
      <c r="AG706">
        <v>-1.1097979716799999</v>
      </c>
      <c r="AH706">
        <v>31.2647329377902</v>
      </c>
      <c r="AI706">
        <v>92.032479318271001</v>
      </c>
      <c r="AJ706">
        <v>88.7492898351598</v>
      </c>
      <c r="AK706">
        <v>31.291869577862599</v>
      </c>
      <c r="AL706">
        <v>72.536174796804602</v>
      </c>
      <c r="AM706">
        <v>94.511137759238295</v>
      </c>
      <c r="AN706">
        <v>1.0000000266710001</v>
      </c>
    </row>
    <row r="707" spans="1:40" x14ac:dyDescent="0.25">
      <c r="A707" t="str">
        <f>"20190304164111502"</f>
        <v>20190304164111502</v>
      </c>
      <c r="B707" t="str">
        <f>"1551688871492472"</f>
        <v>1551688871492472</v>
      </c>
      <c r="C707" t="s">
        <v>40</v>
      </c>
      <c r="D707">
        <v>4.2984549999999997</v>
      </c>
      <c r="E707">
        <v>0.55651899999999999</v>
      </c>
      <c r="F707" t="s">
        <v>42</v>
      </c>
      <c r="G707">
        <v>-336.38400000000001</v>
      </c>
      <c r="H707" s="1">
        <v>-2.099677E-6</v>
      </c>
      <c r="I707">
        <v>366.42500000000001</v>
      </c>
      <c r="J707">
        <v>-365.25490000000002</v>
      </c>
      <c r="K707">
        <v>1.1098059999999901</v>
      </c>
      <c r="L707">
        <v>367.24250000000001</v>
      </c>
      <c r="M707">
        <v>0.99991560000000002</v>
      </c>
      <c r="N707">
        <v>-1.0541439999999999E-2</v>
      </c>
      <c r="O707">
        <v>7.6001239999999998E-3</v>
      </c>
      <c r="P707">
        <v>0.95352079999999995</v>
      </c>
      <c r="Q707">
        <v>0.2899526</v>
      </c>
      <c r="R707">
        <v>8.2012119999999994E-2</v>
      </c>
      <c r="S707">
        <v>3.1911619999999998</v>
      </c>
      <c r="T707">
        <v>-0.1216077</v>
      </c>
      <c r="U707">
        <v>-8.9355470000000006E-2</v>
      </c>
      <c r="V707">
        <v>-7.4751269999999995E-2</v>
      </c>
      <c r="W707">
        <v>0.29999720000000002</v>
      </c>
      <c r="X707">
        <v>0.95100680000000004</v>
      </c>
      <c r="Y707">
        <v>3.5550900000000003E-2</v>
      </c>
      <c r="Z707">
        <v>-1.073896E-3</v>
      </c>
      <c r="AA707">
        <v>0.99936729999999996</v>
      </c>
      <c r="AB707">
        <v>38</v>
      </c>
      <c r="AC707">
        <v>28.870899999999999</v>
      </c>
      <c r="AD707">
        <v>-1.1098080996769999</v>
      </c>
      <c r="AE707">
        <v>-0.81749999999999501</v>
      </c>
      <c r="AF707">
        <v>1.03538226977105</v>
      </c>
      <c r="AG707">
        <v>-1.1098080996769999</v>
      </c>
      <c r="AH707">
        <v>28.821298608472301</v>
      </c>
      <c r="AI707">
        <v>92.203751813783001</v>
      </c>
      <c r="AJ707">
        <v>87.942579373814894</v>
      </c>
      <c r="AK707">
        <v>28.861236008552901</v>
      </c>
      <c r="AL707">
        <v>72.542565104873404</v>
      </c>
      <c r="AM707">
        <v>94.494336324195203</v>
      </c>
      <c r="AN707">
        <v>1.00000000301034</v>
      </c>
    </row>
    <row r="708" spans="1:40" x14ac:dyDescent="0.25">
      <c r="A708" t="str">
        <f>"20190304164111512"</f>
        <v>20190304164111512</v>
      </c>
      <c r="B708" t="str">
        <f>"1551688871502232"</f>
        <v>1551688871502232</v>
      </c>
      <c r="C708" t="s">
        <v>40</v>
      </c>
      <c r="D708">
        <v>4.209098</v>
      </c>
      <c r="E708">
        <v>0.55746790000000002</v>
      </c>
      <c r="F708" t="s">
        <v>42</v>
      </c>
      <c r="G708">
        <v>-336.54289999999997</v>
      </c>
      <c r="H708" s="1">
        <v>-2.0511250000000002E-6</v>
      </c>
      <c r="I708">
        <v>366.31450000000001</v>
      </c>
      <c r="J708">
        <v>-365.06290000000001</v>
      </c>
      <c r="K708">
        <v>1.109809</v>
      </c>
      <c r="L708">
        <v>367.2439</v>
      </c>
      <c r="M708">
        <v>0.99991540000000001</v>
      </c>
      <c r="N708">
        <v>-1.0567419999999999E-2</v>
      </c>
      <c r="O708">
        <v>7.6003429999999999E-3</v>
      </c>
      <c r="P708">
        <v>0.95353279999999996</v>
      </c>
      <c r="Q708">
        <v>0.289991099999999</v>
      </c>
      <c r="R708">
        <v>8.173706E-2</v>
      </c>
      <c r="S708">
        <v>3.1926269999999999</v>
      </c>
      <c r="T708">
        <v>-0.12340429999999999</v>
      </c>
      <c r="U708">
        <v>-0.1031799</v>
      </c>
      <c r="V708">
        <v>-7.4475360000000004E-2</v>
      </c>
      <c r="W708">
        <v>0.3000604</v>
      </c>
      <c r="X708">
        <v>0.95100850000000003</v>
      </c>
      <c r="Y708">
        <v>3.9856330000000002E-2</v>
      </c>
      <c r="Z708">
        <v>-1.1938649999999999E-3</v>
      </c>
      <c r="AA708">
        <v>0.99920469999999895</v>
      </c>
      <c r="AB708">
        <v>39</v>
      </c>
      <c r="AC708">
        <v>28.52</v>
      </c>
      <c r="AD708">
        <v>-1.1098110511249999</v>
      </c>
      <c r="AE708">
        <v>-0.92939999999998602</v>
      </c>
      <c r="AF708">
        <v>1.1444159138265</v>
      </c>
      <c r="AG708">
        <v>-1.1098110511249999</v>
      </c>
      <c r="AH708">
        <v>28.469048341776201</v>
      </c>
      <c r="AI708">
        <v>92.230635551126895</v>
      </c>
      <c r="AJ708">
        <v>87.698029228464804</v>
      </c>
      <c r="AK708">
        <v>28.513647291067699</v>
      </c>
      <c r="AL708">
        <v>72.538768987019594</v>
      </c>
      <c r="AM708">
        <v>94.477807162151905</v>
      </c>
      <c r="AN708">
        <v>0.99999999498376901</v>
      </c>
    </row>
    <row r="709" spans="1:40" x14ac:dyDescent="0.25">
      <c r="A709" t="str">
        <f>"20190304164111524"</f>
        <v>20190304164111524</v>
      </c>
      <c r="B709" t="str">
        <f>"1551688871511991"</f>
        <v>1551688871511991</v>
      </c>
      <c r="C709" t="s">
        <v>40</v>
      </c>
      <c r="D709">
        <v>4.2354989999999999</v>
      </c>
      <c r="E709">
        <v>0.55809679999999995</v>
      </c>
      <c r="F709" t="s">
        <v>42</v>
      </c>
      <c r="G709">
        <v>-334.83440000000002</v>
      </c>
      <c r="H709" s="1">
        <v>-2.8064439999999999E-6</v>
      </c>
      <c r="I709">
        <v>366.18819999999999</v>
      </c>
      <c r="J709">
        <v>-364.87900000000002</v>
      </c>
      <c r="K709">
        <v>1.1098079999999999</v>
      </c>
      <c r="L709">
        <v>367.24529999999999</v>
      </c>
      <c r="M709">
        <v>0.99991509999999995</v>
      </c>
      <c r="N709">
        <v>-1.059217E-2</v>
      </c>
      <c r="O709">
        <v>7.6003889999999999E-3</v>
      </c>
      <c r="P709">
        <v>0.95355210000000001</v>
      </c>
      <c r="Q709">
        <v>0.289937</v>
      </c>
      <c r="R709">
        <v>8.170405E-2</v>
      </c>
      <c r="S709">
        <v>3.191376</v>
      </c>
      <c r="T709">
        <v>-0.1171682</v>
      </c>
      <c r="U709">
        <v>-0.1114502</v>
      </c>
      <c r="V709">
        <v>-7.4442099999999997E-2</v>
      </c>
      <c r="W709">
        <v>0.30003000000000002</v>
      </c>
      <c r="X709">
        <v>0.95102070000000005</v>
      </c>
      <c r="Y709">
        <v>4.245678E-2</v>
      </c>
      <c r="Z709">
        <v>-1.202315E-3</v>
      </c>
      <c r="AA709">
        <v>0.99909760000000003</v>
      </c>
      <c r="AB709">
        <v>39</v>
      </c>
      <c r="AC709">
        <v>30.044599999999999</v>
      </c>
      <c r="AD709">
        <v>-1.109810806444</v>
      </c>
      <c r="AE709">
        <v>-1.0570999999999899</v>
      </c>
      <c r="AF709">
        <v>1.2836835168273599</v>
      </c>
      <c r="AG709">
        <v>-1.109810806444</v>
      </c>
      <c r="AH709">
        <v>29.994820762291901</v>
      </c>
      <c r="AI709">
        <v>92.117045780417499</v>
      </c>
      <c r="AJ709">
        <v>87.5494171528088</v>
      </c>
      <c r="AK709">
        <v>30.042782759915799</v>
      </c>
      <c r="AL709">
        <v>72.540594989278603</v>
      </c>
      <c r="AM709">
        <v>94.475758358754703</v>
      </c>
      <c r="AN709">
        <v>0.99999999949045004</v>
      </c>
    </row>
    <row r="710" spans="1:40" x14ac:dyDescent="0.25">
      <c r="A710" t="str">
        <f>"20190304164111535"</f>
        <v>20190304164111535</v>
      </c>
      <c r="B710" t="str">
        <f>"1551688871521752"</f>
        <v>1551688871521752</v>
      </c>
      <c r="C710" t="s">
        <v>40</v>
      </c>
      <c r="D710">
        <v>4.2104049999999997</v>
      </c>
      <c r="E710">
        <v>0.55852819999999903</v>
      </c>
      <c r="F710" t="s">
        <v>42</v>
      </c>
      <c r="G710">
        <v>-333.5675</v>
      </c>
      <c r="H710" s="1">
        <v>-3.3650520000000001E-6</v>
      </c>
      <c r="I710">
        <v>366.10289999999998</v>
      </c>
      <c r="J710">
        <v>-364.68540000000002</v>
      </c>
      <c r="K710">
        <v>1.1098129999999999</v>
      </c>
      <c r="L710">
        <v>367.24680000000001</v>
      </c>
      <c r="M710">
        <v>0.99991479999999999</v>
      </c>
      <c r="N710">
        <v>-1.061776E-2</v>
      </c>
      <c r="O710">
        <v>7.6005500000000002E-3</v>
      </c>
      <c r="P710">
        <v>0.95359930000000004</v>
      </c>
      <c r="Q710">
        <v>0.28984549999999998</v>
      </c>
      <c r="R710">
        <v>8.1476240000000005E-2</v>
      </c>
      <c r="S710">
        <v>3.1904910000000002</v>
      </c>
      <c r="T710">
        <v>-0.113084199999999</v>
      </c>
      <c r="U710">
        <v>-0.116394</v>
      </c>
      <c r="V710">
        <v>-7.4213829999999995E-2</v>
      </c>
      <c r="W710">
        <v>0.2999636</v>
      </c>
      <c r="X710">
        <v>0.95105949999999995</v>
      </c>
      <c r="Y710">
        <v>4.4013940000000001E-2</v>
      </c>
      <c r="Z710">
        <v>-1.2019299999999999E-3</v>
      </c>
      <c r="AA710">
        <v>0.99903019999999998</v>
      </c>
      <c r="AB710">
        <v>39</v>
      </c>
      <c r="AC710">
        <v>31.117899999999999</v>
      </c>
      <c r="AD710">
        <v>-1.1098163650520001</v>
      </c>
      <c r="AE710">
        <v>-1.1439000000000299</v>
      </c>
      <c r="AF710">
        <v>1.3786421852500901</v>
      </c>
      <c r="AG710">
        <v>-1.1098163650520001</v>
      </c>
      <c r="AH710">
        <v>31.068840570840401</v>
      </c>
      <c r="AI710">
        <v>92.043794870313505</v>
      </c>
      <c r="AJ710">
        <v>87.459235893723601</v>
      </c>
      <c r="AK710">
        <v>31.119209518485398</v>
      </c>
      <c r="AL710">
        <v>72.544583368838602</v>
      </c>
      <c r="AM710">
        <v>94.461908055801104</v>
      </c>
      <c r="AN710">
        <v>1.0000000132142299</v>
      </c>
    </row>
    <row r="711" spans="1:40" x14ac:dyDescent="0.25">
      <c r="A711" t="str">
        <f>"20190304164111547"</f>
        <v>20190304164111547</v>
      </c>
      <c r="B711" t="str">
        <f>"1551688871542248"</f>
        <v>1551688871542248</v>
      </c>
      <c r="C711" t="s">
        <v>40</v>
      </c>
      <c r="D711">
        <v>4.2587599999999997</v>
      </c>
      <c r="E711">
        <v>0.55920119999999995</v>
      </c>
      <c r="F711" t="s">
        <v>42</v>
      </c>
      <c r="G711">
        <v>-332.68060000000003</v>
      </c>
      <c r="H711" s="1">
        <v>-3.7576179999999999E-6</v>
      </c>
      <c r="I711">
        <v>366.03480000000002</v>
      </c>
      <c r="J711">
        <v>-364.49270000000001</v>
      </c>
      <c r="K711">
        <v>1.109815</v>
      </c>
      <c r="L711">
        <v>367.2482</v>
      </c>
      <c r="M711">
        <v>0.99991450000000004</v>
      </c>
      <c r="N711">
        <v>-1.0643059999999999E-2</v>
      </c>
      <c r="O711">
        <v>7.60077199999999E-3</v>
      </c>
      <c r="P711">
        <v>0.95364530000000003</v>
      </c>
      <c r="Q711">
        <v>0.2896823</v>
      </c>
      <c r="R711">
        <v>8.1517099999999995E-2</v>
      </c>
      <c r="S711">
        <v>3.18988</v>
      </c>
      <c r="T711">
        <v>-0.1106139</v>
      </c>
      <c r="U711">
        <v>-0.1207886</v>
      </c>
      <c r="V711">
        <v>-7.4254390000000003E-2</v>
      </c>
      <c r="W711">
        <v>0.2998248</v>
      </c>
      <c r="X711">
        <v>0.9511001</v>
      </c>
      <c r="Y711">
        <v>4.5395900000000003E-2</v>
      </c>
      <c r="Z711">
        <v>-1.210884E-3</v>
      </c>
      <c r="AA711">
        <v>0.99896839999999998</v>
      </c>
      <c r="AB711">
        <v>39</v>
      </c>
      <c r="AC711">
        <v>31.812099999999901</v>
      </c>
      <c r="AD711">
        <v>-1.1098187576180001</v>
      </c>
      <c r="AE711">
        <v>-1.2133999999999701</v>
      </c>
      <c r="AF711">
        <v>1.45340880744639</v>
      </c>
      <c r="AG711">
        <v>-1.1098187576180001</v>
      </c>
      <c r="AH711">
        <v>31.7633552523486</v>
      </c>
      <c r="AI711">
        <v>91.999023396928493</v>
      </c>
      <c r="AJ711">
        <v>87.380121066067701</v>
      </c>
      <c r="AK711">
        <v>31.815952472356098</v>
      </c>
      <c r="AL711">
        <v>72.552919715108203</v>
      </c>
      <c r="AM711">
        <v>94.464146961479898</v>
      </c>
      <c r="AN711">
        <v>1.00000001267466</v>
      </c>
    </row>
    <row r="712" spans="1:40" x14ac:dyDescent="0.25">
      <c r="A712" t="str">
        <f>"20190304164111557"</f>
        <v>20190304164111557</v>
      </c>
      <c r="B712" t="str">
        <f>"1551688871552009"</f>
        <v>1551688871552009</v>
      </c>
      <c r="C712" t="s">
        <v>40</v>
      </c>
      <c r="D712">
        <v>4.2555529999999999</v>
      </c>
      <c r="E712">
        <v>0.55941399999999997</v>
      </c>
      <c r="F712" t="s">
        <v>42</v>
      </c>
      <c r="G712">
        <v>-331.6576</v>
      </c>
      <c r="H712" s="1">
        <v>-4.2121069999999999E-6</v>
      </c>
      <c r="I712">
        <v>365.9468</v>
      </c>
      <c r="J712">
        <v>-364.28629999999998</v>
      </c>
      <c r="K712">
        <v>1.10982</v>
      </c>
      <c r="L712">
        <v>367.24979999999999</v>
      </c>
      <c r="M712">
        <v>0.99991430000000003</v>
      </c>
      <c r="N712">
        <v>-1.0669959999999999E-2</v>
      </c>
      <c r="O712">
        <v>7.6009850000000002E-3</v>
      </c>
      <c r="P712">
        <v>0.95364389999999999</v>
      </c>
      <c r="Q712">
        <v>0.28975580000000001</v>
      </c>
      <c r="R712">
        <v>8.1271449999999995E-2</v>
      </c>
      <c r="S712">
        <v>3.1893919999999998</v>
      </c>
      <c r="T712">
        <v>-0.1078004</v>
      </c>
      <c r="U712">
        <v>-0.12640380000000001</v>
      </c>
      <c r="V712">
        <v>-7.4008439999999995E-2</v>
      </c>
      <c r="W712">
        <v>0.29992400000000002</v>
      </c>
      <c r="X712">
        <v>0.95108800000000004</v>
      </c>
      <c r="Y712">
        <v>4.7158360000000003E-2</v>
      </c>
      <c r="Z712">
        <v>-1.2239079999999999E-3</v>
      </c>
      <c r="AA712">
        <v>0.99888670000000002</v>
      </c>
      <c r="AB712">
        <v>39</v>
      </c>
      <c r="AC712">
        <v>32.628699999999903</v>
      </c>
      <c r="AD712">
        <v>-1.1098242121070001</v>
      </c>
      <c r="AE712">
        <v>-1.3029999999999899</v>
      </c>
      <c r="AF712">
        <v>1.5491972381108801</v>
      </c>
      <c r="AG712">
        <v>-1.1098242121070001</v>
      </c>
      <c r="AH712">
        <v>32.580219500433898</v>
      </c>
      <c r="AI712">
        <v>91.948789276730807</v>
      </c>
      <c r="AJ712">
        <v>87.277622517954001</v>
      </c>
      <c r="AK712">
        <v>32.635906982353099</v>
      </c>
      <c r="AL712">
        <v>72.546961902327496</v>
      </c>
      <c r="AM712">
        <v>94.449476390061605</v>
      </c>
      <c r="AN712">
        <v>1.00000001935561</v>
      </c>
    </row>
    <row r="713" spans="1:40" x14ac:dyDescent="0.25">
      <c r="A713" t="str">
        <f>"20190304164111569"</f>
        <v>20190304164111569</v>
      </c>
      <c r="B713" t="str">
        <f>"1551688871561768"</f>
        <v>1551688871561768</v>
      </c>
      <c r="C713" t="s">
        <v>40</v>
      </c>
      <c r="D713">
        <v>4.2539170000000004</v>
      </c>
      <c r="E713">
        <v>0.55964459999999905</v>
      </c>
      <c r="F713" t="s">
        <v>42</v>
      </c>
      <c r="G713">
        <v>-330.59140000000002</v>
      </c>
      <c r="H713" s="1">
        <v>-4.6809560000000002E-6</v>
      </c>
      <c r="I713">
        <v>365.88209999999998</v>
      </c>
      <c r="J713">
        <v>-364.0967</v>
      </c>
      <c r="K713">
        <v>1.1098269999999999</v>
      </c>
      <c r="L713">
        <v>367.25130000000001</v>
      </c>
      <c r="M713">
        <v>0.99991390000000002</v>
      </c>
      <c r="N713">
        <v>-1.0695029999999999E-2</v>
      </c>
      <c r="O713">
        <v>7.6011469999999999E-3</v>
      </c>
      <c r="P713">
        <v>0.95362570000000002</v>
      </c>
      <c r="Q713">
        <v>0.28981580000000001</v>
      </c>
      <c r="R713">
        <v>8.1269469999999996E-2</v>
      </c>
      <c r="S713">
        <v>3.1887819999999998</v>
      </c>
      <c r="T713">
        <v>-0.1050302</v>
      </c>
      <c r="U713">
        <v>-0.12942500000000001</v>
      </c>
      <c r="V713">
        <v>-7.4006409999999995E-2</v>
      </c>
      <c r="W713">
        <v>0.30000719999999997</v>
      </c>
      <c r="X713">
        <v>0.95106190000000002</v>
      </c>
      <c r="Y713">
        <v>4.811199E-2</v>
      </c>
      <c r="Z713">
        <v>-1.21824E-3</v>
      </c>
      <c r="AA713">
        <v>0.99884119999999998</v>
      </c>
      <c r="AB713">
        <v>39</v>
      </c>
      <c r="AC713">
        <v>33.505299999999899</v>
      </c>
      <c r="AD713">
        <v>-1.109831680956</v>
      </c>
      <c r="AE713">
        <v>-1.3692000000000299</v>
      </c>
      <c r="AF713">
        <v>1.6220769403914099</v>
      </c>
      <c r="AG713">
        <v>-1.109831680956</v>
      </c>
      <c r="AH713">
        <v>33.457275622953098</v>
      </c>
      <c r="AI713">
        <v>91.897669270839899</v>
      </c>
      <c r="AJ713">
        <v>87.224357147382094</v>
      </c>
      <c r="AK713">
        <v>33.514954155881703</v>
      </c>
      <c r="AL713">
        <v>72.541964484929395</v>
      </c>
      <c r="AM713">
        <v>94.449476447459602</v>
      </c>
      <c r="AN713">
        <v>1.00000000320226</v>
      </c>
    </row>
    <row r="714" spans="1:40" x14ac:dyDescent="0.25">
      <c r="A714" t="str">
        <f>"20190304164111580"</f>
        <v>20190304164111580</v>
      </c>
      <c r="B714" t="str">
        <f>"1551688871572504"</f>
        <v>1551688871572504</v>
      </c>
      <c r="C714" t="s">
        <v>40</v>
      </c>
      <c r="D714">
        <v>4.2561609999999996</v>
      </c>
      <c r="E714">
        <v>0.55982509999999996</v>
      </c>
      <c r="F714" t="s">
        <v>42</v>
      </c>
      <c r="G714">
        <v>-329.9846</v>
      </c>
      <c r="H714" s="1">
        <v>-4.9478479999999999E-6</v>
      </c>
      <c r="I714">
        <v>365.84500000000003</v>
      </c>
      <c r="J714">
        <v>-363.90480000000002</v>
      </c>
      <c r="K714">
        <v>1.1098300000000001</v>
      </c>
      <c r="L714">
        <v>367.2527</v>
      </c>
      <c r="M714">
        <v>0.99991370000000002</v>
      </c>
      <c r="N714">
        <v>-1.0720550000000001E-2</v>
      </c>
      <c r="O714">
        <v>7.601366E-3</v>
      </c>
      <c r="P714">
        <v>0.95362939999999996</v>
      </c>
      <c r="Q714">
        <v>0.28986260000000003</v>
      </c>
      <c r="R714">
        <v>8.1060939999999998E-2</v>
      </c>
      <c r="S714">
        <v>3.1886290000000002</v>
      </c>
      <c r="T714">
        <v>-0.1037414</v>
      </c>
      <c r="U714">
        <v>-0.13143920000000001</v>
      </c>
      <c r="V714">
        <v>-7.3797860000000007E-2</v>
      </c>
      <c r="W714">
        <v>0.30007859999999997</v>
      </c>
      <c r="X714">
        <v>0.9510556</v>
      </c>
      <c r="Y714">
        <v>4.8744370000000002E-2</v>
      </c>
      <c r="Z714">
        <v>-1.2195960000000001E-3</v>
      </c>
      <c r="AA714">
        <v>0.99881050000000005</v>
      </c>
      <c r="AB714">
        <v>39</v>
      </c>
      <c r="AC714">
        <v>33.920200000000001</v>
      </c>
      <c r="AD714">
        <v>-1.1098349478480001</v>
      </c>
      <c r="AE714">
        <v>-1.40769999999997</v>
      </c>
      <c r="AF714">
        <v>1.66373596185317</v>
      </c>
      <c r="AG714">
        <v>-1.1098349478480001</v>
      </c>
      <c r="AH714">
        <v>33.872319763623501</v>
      </c>
      <c r="AI714">
        <v>91.874380983049093</v>
      </c>
      <c r="AJ714">
        <v>87.188013664129898</v>
      </c>
      <c r="AK714">
        <v>33.931309982542501</v>
      </c>
      <c r="AL714">
        <v>72.537676320594301</v>
      </c>
      <c r="AM714">
        <v>94.437017240136498</v>
      </c>
      <c r="AN714">
        <v>1.0000000223049399</v>
      </c>
    </row>
    <row r="715" spans="1:40" x14ac:dyDescent="0.25">
      <c r="A715" t="str">
        <f>"20190304164111592"</f>
        <v>20190304164111592</v>
      </c>
      <c r="B715" t="str">
        <f>"1551688871582264"</f>
        <v>1551688871582264</v>
      </c>
      <c r="C715" t="s">
        <v>40</v>
      </c>
      <c r="D715">
        <v>4.223471</v>
      </c>
      <c r="E715">
        <v>0.559957699999999</v>
      </c>
      <c r="F715" t="s">
        <v>42</v>
      </c>
      <c r="G715">
        <v>-329.34469999999999</v>
      </c>
      <c r="H715" s="1">
        <v>-1.2244760000000001E-6</v>
      </c>
      <c r="I715">
        <v>365.80009999999999</v>
      </c>
      <c r="J715">
        <v>-363.71820000000002</v>
      </c>
      <c r="K715">
        <v>1.1098349999999999</v>
      </c>
      <c r="L715">
        <v>367.25409999999999</v>
      </c>
      <c r="M715">
        <v>0.99991350000000001</v>
      </c>
      <c r="N715">
        <v>-1.074515E-2</v>
      </c>
      <c r="O715">
        <v>7.6015900000000001E-3</v>
      </c>
      <c r="P715">
        <v>0.95362119999999995</v>
      </c>
      <c r="Q715">
        <v>0.28989320000000002</v>
      </c>
      <c r="R715">
        <v>8.1048609999999993E-2</v>
      </c>
      <c r="S715">
        <v>3.1883849999999998</v>
      </c>
      <c r="T715">
        <v>-0.1023886</v>
      </c>
      <c r="U715">
        <v>-0.1340027</v>
      </c>
      <c r="V715">
        <v>-7.3785219999999999E-2</v>
      </c>
      <c r="W715">
        <v>0.30013230000000002</v>
      </c>
      <c r="X715">
        <v>0.95103959999999998</v>
      </c>
      <c r="Y715">
        <v>4.9549660000000002E-2</v>
      </c>
      <c r="Z715">
        <v>-1.2237820000000001E-3</v>
      </c>
      <c r="AA715">
        <v>0.99877090000000002</v>
      </c>
      <c r="AB715">
        <v>39</v>
      </c>
      <c r="AC715">
        <v>34.3735</v>
      </c>
      <c r="AD715">
        <v>-1.1098362244760001</v>
      </c>
      <c r="AE715">
        <v>-1.454</v>
      </c>
      <c r="AF715">
        <v>1.71348320022974</v>
      </c>
      <c r="AG715">
        <v>-1.1098362244760001</v>
      </c>
      <c r="AH715">
        <v>34.325733213986702</v>
      </c>
      <c r="AI715">
        <v>91.849568375954306</v>
      </c>
      <c r="AJ715">
        <v>87.142262599613503</v>
      </c>
      <c r="AK715">
        <v>34.386388612362602</v>
      </c>
      <c r="AL715">
        <v>72.534450253420701</v>
      </c>
      <c r="AM715">
        <v>94.436334643983002</v>
      </c>
      <c r="AN715">
        <v>0.99999998848094895</v>
      </c>
    </row>
    <row r="716" spans="1:40" x14ac:dyDescent="0.25">
      <c r="A716" t="str">
        <f>"20190304164111603"</f>
        <v>20190304164111603</v>
      </c>
      <c r="B716" t="str">
        <f>"1551688871592024"</f>
        <v>1551688871592024</v>
      </c>
      <c r="C716" t="s">
        <v>40</v>
      </c>
      <c r="D716">
        <v>4.1837759999999999</v>
      </c>
      <c r="E716">
        <v>0.56011119999999903</v>
      </c>
      <c r="F716" t="s">
        <v>42</v>
      </c>
      <c r="G716">
        <v>-328.69630000000001</v>
      </c>
      <c r="H716" s="1">
        <v>-1.453717E-6</v>
      </c>
      <c r="I716">
        <v>365.7679</v>
      </c>
      <c r="J716">
        <v>-363.52030000000002</v>
      </c>
      <c r="K716">
        <v>1.109831</v>
      </c>
      <c r="L716">
        <v>367.25560000000002</v>
      </c>
      <c r="M716">
        <v>0.9999131</v>
      </c>
      <c r="N716">
        <v>-1.0771269999999999E-2</v>
      </c>
      <c r="O716">
        <v>7.6015680000000004E-3</v>
      </c>
      <c r="P716">
        <v>0.95363929999999997</v>
      </c>
      <c r="Q716">
        <v>0.2898502</v>
      </c>
      <c r="R716">
        <v>8.0987489999999995E-2</v>
      </c>
      <c r="S716">
        <v>3.1880799999999998</v>
      </c>
      <c r="T716">
        <v>-0.1010293</v>
      </c>
      <c r="U716">
        <v>-0.1352844</v>
      </c>
      <c r="V716">
        <v>-7.372397E-2</v>
      </c>
      <c r="W716">
        <v>0.30011450000000001</v>
      </c>
      <c r="X716">
        <v>0.95104999999999995</v>
      </c>
      <c r="Y716">
        <v>4.9955029999999997E-2</v>
      </c>
      <c r="Z716">
        <v>-1.2191369999999999E-3</v>
      </c>
      <c r="AA716">
        <v>0.99875069999999999</v>
      </c>
      <c r="AB716">
        <v>39</v>
      </c>
      <c r="AC716">
        <v>34.823999999999998</v>
      </c>
      <c r="AD716">
        <v>-1.1098324537169999</v>
      </c>
      <c r="AE716">
        <v>-1.48770000000001</v>
      </c>
      <c r="AF716">
        <v>1.7506145443527601</v>
      </c>
      <c r="AG716">
        <v>-1.1098324537169999</v>
      </c>
      <c r="AH716">
        <v>34.776426801667498</v>
      </c>
      <c r="AI716">
        <v>91.825570185994707</v>
      </c>
      <c r="AJ716">
        <v>87.118213703760404</v>
      </c>
      <c r="AK716">
        <v>34.838143470196002</v>
      </c>
      <c r="AL716">
        <v>72.5355199682501</v>
      </c>
      <c r="AM716">
        <v>94.432618392842699</v>
      </c>
      <c r="AN716">
        <v>1.0000000196814001</v>
      </c>
    </row>
    <row r="717" spans="1:40" x14ac:dyDescent="0.25">
      <c r="A717" t="str">
        <f>"20190304164111613"</f>
        <v>20190304164111613</v>
      </c>
      <c r="B717" t="str">
        <f>"1551688871601784"</f>
        <v>1551688871601784</v>
      </c>
      <c r="C717" t="s">
        <v>40</v>
      </c>
      <c r="D717">
        <v>4.23752</v>
      </c>
      <c r="E717">
        <v>0.56017069999999902</v>
      </c>
      <c r="F717" t="s">
        <v>42</v>
      </c>
      <c r="G717">
        <v>-328.33190000000002</v>
      </c>
      <c r="H717" s="1">
        <v>-1.5834139999999999E-6</v>
      </c>
      <c r="I717">
        <v>365.74650000000003</v>
      </c>
      <c r="J717">
        <v>-363.32979999999998</v>
      </c>
      <c r="K717">
        <v>1.109834</v>
      </c>
      <c r="L717">
        <v>367.25700000000001</v>
      </c>
      <c r="M717">
        <v>0.99991280000000005</v>
      </c>
      <c r="N717">
        <v>-1.0797009999999999E-2</v>
      </c>
      <c r="O717">
        <v>7.6017849999999998E-3</v>
      </c>
      <c r="P717">
        <v>0.95363469999999995</v>
      </c>
      <c r="Q717">
        <v>0.28986430000000002</v>
      </c>
      <c r="R717">
        <v>8.0990370000000006E-2</v>
      </c>
      <c r="S717">
        <v>3.1880190000000002</v>
      </c>
      <c r="T717">
        <v>-0.100549</v>
      </c>
      <c r="U717">
        <v>-0.136718799999999</v>
      </c>
      <c r="V717">
        <v>-7.3726669999999994E-2</v>
      </c>
      <c r="W717">
        <v>0.30015330000000001</v>
      </c>
      <c r="X717">
        <v>0.95103749999999998</v>
      </c>
      <c r="Y717">
        <v>5.0404570000000003E-2</v>
      </c>
      <c r="Z717">
        <v>-1.224213E-3</v>
      </c>
      <c r="AA717">
        <v>0.99872819999999995</v>
      </c>
      <c r="AB717">
        <v>39</v>
      </c>
      <c r="AC717">
        <v>34.997899999999902</v>
      </c>
      <c r="AD717">
        <v>-1.1098355834139999</v>
      </c>
      <c r="AE717">
        <v>-1.51049999999992</v>
      </c>
      <c r="AF717">
        <v>1.7747369840659999</v>
      </c>
      <c r="AG717">
        <v>-1.1098355834139999</v>
      </c>
      <c r="AH717">
        <v>34.950324138028499</v>
      </c>
      <c r="AI717">
        <v>91.816457922439298</v>
      </c>
      <c r="AJ717">
        <v>87.093083440282399</v>
      </c>
      <c r="AK717">
        <v>35.012948800951897</v>
      </c>
      <c r="AL717">
        <v>72.533188658741594</v>
      </c>
      <c r="AM717">
        <v>94.432838112259603</v>
      </c>
      <c r="AN717">
        <v>0.99999997588821399</v>
      </c>
    </row>
    <row r="718" spans="1:40" x14ac:dyDescent="0.25">
      <c r="A718" t="str">
        <f>"20190304164111626"</f>
        <v>20190304164111626</v>
      </c>
      <c r="B718" t="str">
        <f>"1551688871612520"</f>
        <v>1551688871612520</v>
      </c>
      <c r="C718" t="s">
        <v>40</v>
      </c>
      <c r="D718">
        <v>4.1987420000000002</v>
      </c>
      <c r="E718">
        <v>0.56025150000000001</v>
      </c>
      <c r="F718" t="s">
        <v>42</v>
      </c>
      <c r="G718">
        <v>-327.73160000000001</v>
      </c>
      <c r="H718" s="1">
        <v>-1.793681E-6</v>
      </c>
      <c r="I718">
        <v>365.72410000000002</v>
      </c>
      <c r="J718">
        <v>-363.13200000000001</v>
      </c>
      <c r="K718">
        <v>1.109836</v>
      </c>
      <c r="L718">
        <v>367.2586</v>
      </c>
      <c r="M718">
        <v>0.99991260000000004</v>
      </c>
      <c r="N718">
        <v>-1.082433E-2</v>
      </c>
      <c r="O718">
        <v>7.6019929999999996E-3</v>
      </c>
      <c r="P718">
        <v>0.95367179999999996</v>
      </c>
      <c r="Q718">
        <v>0.28975109999999998</v>
      </c>
      <c r="R718">
        <v>8.0959970000000006E-2</v>
      </c>
      <c r="S718">
        <v>3.1876829999999998</v>
      </c>
      <c r="T718">
        <v>-9.9381330000000004E-2</v>
      </c>
      <c r="U718">
        <v>-0.1372681</v>
      </c>
      <c r="V718">
        <v>-7.3695670000000005E-2</v>
      </c>
      <c r="W718">
        <v>0.30006640000000001</v>
      </c>
      <c r="X718">
        <v>0.95106740000000001</v>
      </c>
      <c r="Y718">
        <v>5.0581670000000002E-2</v>
      </c>
      <c r="Z718">
        <v>-1.2165190000000001E-3</v>
      </c>
      <c r="AA718">
        <v>0.99871920000000003</v>
      </c>
      <c r="AB718">
        <v>39</v>
      </c>
      <c r="AC718">
        <v>35.400399999999898</v>
      </c>
      <c r="AD718">
        <v>-1.109837793681</v>
      </c>
      <c r="AE718">
        <v>-1.53449999999998</v>
      </c>
      <c r="AF718">
        <v>1.8018173345994</v>
      </c>
      <c r="AG718">
        <v>-1.109837793681</v>
      </c>
      <c r="AH718">
        <v>35.3530282334399</v>
      </c>
      <c r="AI718">
        <v>91.795766884546694</v>
      </c>
      <c r="AJ718">
        <v>87.082363670354795</v>
      </c>
      <c r="AK718">
        <v>35.416308262013203</v>
      </c>
      <c r="AL718">
        <v>72.538409556969199</v>
      </c>
      <c r="AM718">
        <v>94.430842904175805</v>
      </c>
      <c r="AN718">
        <v>1.0000000477642299</v>
      </c>
    </row>
    <row r="719" spans="1:40" x14ac:dyDescent="0.25">
      <c r="A719" t="str">
        <f>"20190304164111636"</f>
        <v>20190304164111636</v>
      </c>
      <c r="B719" t="str">
        <f>"1551688871622279"</f>
        <v>1551688871622279</v>
      </c>
      <c r="C719" t="s">
        <v>40</v>
      </c>
      <c r="D719">
        <v>4.1804290000000002</v>
      </c>
      <c r="E719">
        <v>0.56028859999999903</v>
      </c>
      <c r="F719" t="s">
        <v>42</v>
      </c>
      <c r="G719">
        <v>-327.5052</v>
      </c>
      <c r="H719" s="1">
        <v>-1.8722710000000001E-6</v>
      </c>
      <c r="I719">
        <v>365.71820000000002</v>
      </c>
      <c r="J719">
        <v>-362.93740000000003</v>
      </c>
      <c r="K719">
        <v>1.1098399999999999</v>
      </c>
      <c r="L719">
        <v>367.26</v>
      </c>
      <c r="M719">
        <v>0.99991229999999998</v>
      </c>
      <c r="N719">
        <v>-1.085261E-2</v>
      </c>
      <c r="O719">
        <v>7.6021359999999998E-3</v>
      </c>
      <c r="P719">
        <v>0.95364669999999896</v>
      </c>
      <c r="Q719">
        <v>0.28974569999999999</v>
      </c>
      <c r="R719">
        <v>8.1272159999999996E-2</v>
      </c>
      <c r="S719">
        <v>3.1876220000000002</v>
      </c>
      <c r="T719">
        <v>-9.9299789999999999E-2</v>
      </c>
      <c r="U719">
        <v>-0.13781740000000001</v>
      </c>
      <c r="V719">
        <v>-7.4007619999999996E-2</v>
      </c>
      <c r="W719">
        <v>0.30008770000000001</v>
      </c>
      <c r="X719">
        <v>0.9510364</v>
      </c>
      <c r="Y719">
        <v>5.0754349999999997E-2</v>
      </c>
      <c r="Z719">
        <v>-1.2198249999999999E-3</v>
      </c>
      <c r="AA719">
        <v>0.9987104</v>
      </c>
      <c r="AB719">
        <v>39</v>
      </c>
      <c r="AC719">
        <v>35.432200000000002</v>
      </c>
      <c r="AD719">
        <v>-1.109841872271</v>
      </c>
      <c r="AE719">
        <v>-1.5417999999999601</v>
      </c>
      <c r="AF719">
        <v>1.80935982498951</v>
      </c>
      <c r="AG719">
        <v>-1.109841872271</v>
      </c>
      <c r="AH719">
        <v>35.384802911456902</v>
      </c>
      <c r="AI719">
        <v>91.794146692135797</v>
      </c>
      <c r="AJ719">
        <v>87.072797881080604</v>
      </c>
      <c r="AK719">
        <v>35.448410529110902</v>
      </c>
      <c r="AL719">
        <v>72.537129243267898</v>
      </c>
      <c r="AM719">
        <v>94.449667729949695</v>
      </c>
      <c r="AN719">
        <v>0.99999999481715696</v>
      </c>
    </row>
    <row r="720" spans="1:40" x14ac:dyDescent="0.25">
      <c r="A720" t="str">
        <f>"20190304164111647"</f>
        <v>20190304164111647</v>
      </c>
      <c r="B720" t="str">
        <f>"1551688871641800"</f>
        <v>1551688871641800</v>
      </c>
      <c r="C720" t="s">
        <v>40</v>
      </c>
      <c r="D720">
        <v>4.1765800000000004</v>
      </c>
      <c r="E720">
        <v>0.56046149999999995</v>
      </c>
      <c r="F720" t="s">
        <v>42</v>
      </c>
      <c r="G720">
        <v>-327.21210000000002</v>
      </c>
      <c r="H720" s="1">
        <v>-1.9706869999999999E-6</v>
      </c>
      <c r="I720">
        <v>365.72320000000002</v>
      </c>
      <c r="J720">
        <v>-362.74759999999998</v>
      </c>
      <c r="K720">
        <v>1.109845</v>
      </c>
      <c r="L720">
        <v>367.26150000000001</v>
      </c>
      <c r="M720">
        <v>0.99991200000000002</v>
      </c>
      <c r="N720">
        <v>-1.0881429999999999E-2</v>
      </c>
      <c r="O720">
        <v>7.6021569999999896E-3</v>
      </c>
      <c r="P720">
        <v>0.95376030000000001</v>
      </c>
      <c r="Q720">
        <v>0.289400299999999</v>
      </c>
      <c r="R720">
        <v>8.1174120000000002E-2</v>
      </c>
      <c r="S720">
        <v>3.1875610000000001</v>
      </c>
      <c r="T720">
        <v>-9.9024420000000002E-2</v>
      </c>
      <c r="U720">
        <v>-0.1371155</v>
      </c>
      <c r="V720">
        <v>-7.3909210000000003E-2</v>
      </c>
      <c r="W720">
        <v>0.29977110000000001</v>
      </c>
      <c r="X720">
        <v>0.95114390000000004</v>
      </c>
      <c r="Y720">
        <v>5.053597E-2</v>
      </c>
      <c r="Z720">
        <v>-1.212936E-3</v>
      </c>
      <c r="AA720">
        <v>0.99872150000000004</v>
      </c>
      <c r="AB720">
        <v>39</v>
      </c>
      <c r="AC720">
        <v>35.5354999999999</v>
      </c>
      <c r="AD720">
        <v>-1.109846970687</v>
      </c>
      <c r="AE720">
        <v>-1.53829999999999</v>
      </c>
      <c r="AF720">
        <v>1.80665896552419</v>
      </c>
      <c r="AG720">
        <v>-1.109846970687</v>
      </c>
      <c r="AH720">
        <v>35.488225977780097</v>
      </c>
      <c r="AI720">
        <v>91.788950120513107</v>
      </c>
      <c r="AJ720">
        <v>87.085663083928097</v>
      </c>
      <c r="AK720">
        <v>35.551511359800699</v>
      </c>
      <c r="AL720">
        <v>72.556144637501603</v>
      </c>
      <c r="AM720">
        <v>94.443274365338894</v>
      </c>
      <c r="AN720">
        <v>1.00000000111262</v>
      </c>
    </row>
    <row r="721" spans="1:40" x14ac:dyDescent="0.25">
      <c r="A721" t="str">
        <f>"20190304164111659"</f>
        <v>20190304164111659</v>
      </c>
      <c r="B721" t="str">
        <f>"1551688871652536"</f>
        <v>1551688871652536</v>
      </c>
      <c r="C721" t="s">
        <v>40</v>
      </c>
      <c r="D721">
        <v>4.2284119999999996</v>
      </c>
      <c r="E721">
        <v>0.56056549999999905</v>
      </c>
      <c r="F721" t="s">
        <v>42</v>
      </c>
      <c r="G721">
        <v>-327.75749999999999</v>
      </c>
      <c r="H721" s="1">
        <v>-1.7805219999999999E-6</v>
      </c>
      <c r="I721">
        <v>365.74040000000002</v>
      </c>
      <c r="J721">
        <v>-362.54880000000003</v>
      </c>
      <c r="K721">
        <v>1.10985</v>
      </c>
      <c r="L721">
        <v>367.26299999999998</v>
      </c>
      <c r="M721">
        <v>0.99991180000000002</v>
      </c>
      <c r="N721">
        <v>-1.091279E-2</v>
      </c>
      <c r="O721">
        <v>7.6023409999999899E-3</v>
      </c>
      <c r="P721">
        <v>0.95372049999999997</v>
      </c>
      <c r="Q721">
        <v>0.28944920000000002</v>
      </c>
      <c r="R721">
        <v>8.1467429999999993E-2</v>
      </c>
      <c r="S721">
        <v>3.1879270000000002</v>
      </c>
      <c r="T721">
        <v>-0.10111729999999999</v>
      </c>
      <c r="U721">
        <v>-0.13858029999999999</v>
      </c>
      <c r="V721">
        <v>-7.4202539999999997E-2</v>
      </c>
      <c r="W721">
        <v>0.29984939999999999</v>
      </c>
      <c r="X721">
        <v>0.95109639999999995</v>
      </c>
      <c r="Y721">
        <v>5.0987650000000002E-2</v>
      </c>
      <c r="Z721">
        <v>-1.244553E-3</v>
      </c>
      <c r="AA721">
        <v>0.99869850000000004</v>
      </c>
      <c r="AB721">
        <v>39</v>
      </c>
      <c r="AC721">
        <v>34.7913</v>
      </c>
      <c r="AD721">
        <v>-1.1098517805220001</v>
      </c>
      <c r="AE721">
        <v>-1.5226000000000099</v>
      </c>
      <c r="AF721">
        <v>1.78525375662888</v>
      </c>
      <c r="AG721">
        <v>-1.1098517805220001</v>
      </c>
      <c r="AH721">
        <v>34.743430194938497</v>
      </c>
      <c r="AI721">
        <v>91.827237808276706</v>
      </c>
      <c r="AJ721">
        <v>87.058505049893995</v>
      </c>
      <c r="AK721">
        <v>34.806965447462503</v>
      </c>
      <c r="AL721">
        <v>72.551442409315698</v>
      </c>
      <c r="AM721">
        <v>94.461059629906202</v>
      </c>
      <c r="AN721">
        <v>1.0000000208578801</v>
      </c>
    </row>
    <row r="722" spans="1:40" x14ac:dyDescent="0.25">
      <c r="A722" t="str">
        <f>"20190304164111671"</f>
        <v>20190304164111671</v>
      </c>
      <c r="B722" t="str">
        <f>"1551688871662295"</f>
        <v>1551688871662295</v>
      </c>
      <c r="C722" t="s">
        <v>40</v>
      </c>
      <c r="D722">
        <v>4.1832940000000001</v>
      </c>
      <c r="E722">
        <v>0.56059919999999996</v>
      </c>
      <c r="F722" t="s">
        <v>42</v>
      </c>
      <c r="G722">
        <v>-327.95749999999998</v>
      </c>
      <c r="H722" s="1">
        <v>-1.705285E-6</v>
      </c>
      <c r="I722">
        <v>365.76740000000001</v>
      </c>
      <c r="J722">
        <v>-362.3476</v>
      </c>
      <c r="K722">
        <v>1.109855</v>
      </c>
      <c r="L722">
        <v>367.2645</v>
      </c>
      <c r="M722">
        <v>0.9999112</v>
      </c>
      <c r="N722">
        <v>-1.0946559999999999E-2</v>
      </c>
      <c r="O722">
        <v>7.6026309999999899E-3</v>
      </c>
      <c r="P722">
        <v>0.95373390000000002</v>
      </c>
      <c r="Q722">
        <v>0.28945120000000002</v>
      </c>
      <c r="R722">
        <v>8.1300269999999994E-2</v>
      </c>
      <c r="S722">
        <v>3.1883240000000002</v>
      </c>
      <c r="T722">
        <v>-0.1022961</v>
      </c>
      <c r="U722">
        <v>-0.1378479</v>
      </c>
      <c r="V722">
        <v>-7.4035279999999995E-2</v>
      </c>
      <c r="W722">
        <v>0.29988350000000003</v>
      </c>
      <c r="X722">
        <v>0.95109869999999996</v>
      </c>
      <c r="Y722">
        <v>5.0752949999999998E-2</v>
      </c>
      <c r="Z722">
        <v>-1.252214E-3</v>
      </c>
      <c r="AA722">
        <v>0.99871049999999995</v>
      </c>
      <c r="AB722">
        <v>39</v>
      </c>
      <c r="AC722">
        <v>34.390099999999997</v>
      </c>
      <c r="AD722">
        <v>-1.1098567052849999</v>
      </c>
      <c r="AE722">
        <v>-1.4970999999999799</v>
      </c>
      <c r="AF722">
        <v>1.7567014538363399</v>
      </c>
      <c r="AG722">
        <v>-1.1098567052849999</v>
      </c>
      <c r="AH722">
        <v>34.342023219117202</v>
      </c>
      <c r="AI722">
        <v>91.848610756496797</v>
      </c>
      <c r="AJ722">
        <v>87.071694745204297</v>
      </c>
      <c r="AK722">
        <v>34.404830194124898</v>
      </c>
      <c r="AL722">
        <v>72.549394660506806</v>
      </c>
      <c r="AM722">
        <v>94.451033685615997</v>
      </c>
      <c r="AN722">
        <v>1.0000000366993</v>
      </c>
    </row>
    <row r="723" spans="1:40" x14ac:dyDescent="0.25">
      <c r="A723" t="str">
        <f>"20190304164111684"</f>
        <v>20190304164111684</v>
      </c>
      <c r="B723" t="str">
        <f>"1551688871672057"</f>
        <v>1551688871672057</v>
      </c>
      <c r="C723" t="s">
        <v>40</v>
      </c>
      <c r="D723">
        <v>4.2004919999999997</v>
      </c>
      <c r="E723">
        <v>0.56071059999999995</v>
      </c>
      <c r="F723" t="s">
        <v>42</v>
      </c>
      <c r="G723">
        <v>-327.81790000000001</v>
      </c>
      <c r="H723" s="1">
        <v>-1.7533260000000001E-6</v>
      </c>
      <c r="I723">
        <v>365.7654</v>
      </c>
      <c r="J723">
        <v>-362.11509999999998</v>
      </c>
      <c r="K723">
        <v>1.1098619999999999</v>
      </c>
      <c r="L723">
        <v>367.2663</v>
      </c>
      <c r="M723">
        <v>0.99991079999999999</v>
      </c>
      <c r="N723">
        <v>-1.0987240000000001E-2</v>
      </c>
      <c r="O723">
        <v>7.6029419999999997E-3</v>
      </c>
      <c r="P723">
        <v>0.95369570000000004</v>
      </c>
      <c r="Q723">
        <v>0.28950740000000003</v>
      </c>
      <c r="R723">
        <v>8.1547250000000002E-2</v>
      </c>
      <c r="S723">
        <v>3.1884459999999999</v>
      </c>
      <c r="T723">
        <v>-0.1024829</v>
      </c>
      <c r="U723">
        <v>-0.13842769999999999</v>
      </c>
      <c r="V723">
        <v>-7.4281949999999999E-2</v>
      </c>
      <c r="W723">
        <v>0.29997760000000001</v>
      </c>
      <c r="X723">
        <v>0.9510497</v>
      </c>
      <c r="Y723">
        <v>5.0932619999999998E-2</v>
      </c>
      <c r="Z723">
        <v>-1.2587049999999999E-3</v>
      </c>
      <c r="AA723">
        <v>0.99870130000000001</v>
      </c>
      <c r="AB723">
        <v>39</v>
      </c>
      <c r="AC723">
        <v>34.297199999999897</v>
      </c>
      <c r="AD723">
        <v>-1.1098637533260001</v>
      </c>
      <c r="AE723">
        <v>-1.5008999999999999</v>
      </c>
      <c r="AF723">
        <v>1.75979266041973</v>
      </c>
      <c r="AG723">
        <v>-1.1098637533260001</v>
      </c>
      <c r="AH723">
        <v>34.249000281986298</v>
      </c>
      <c r="AI723">
        <v>91.853618283343494</v>
      </c>
      <c r="AJ723">
        <v>87.058597397792596</v>
      </c>
      <c r="AK723">
        <v>34.312136163085398</v>
      </c>
      <c r="AL723">
        <v>72.543741370112599</v>
      </c>
      <c r="AM723">
        <v>94.466032860913799</v>
      </c>
      <c r="AN723">
        <v>0.99999995023382504</v>
      </c>
    </row>
    <row r="724" spans="1:40" x14ac:dyDescent="0.25">
      <c r="A724" t="str">
        <f>"20190304164111698"</f>
        <v>20190304164111698</v>
      </c>
      <c r="B724" t="str">
        <f>"1551688871692553"</f>
        <v>1551688871692553</v>
      </c>
      <c r="C724" t="s">
        <v>40</v>
      </c>
      <c r="D724">
        <v>4.1896019999999998</v>
      </c>
      <c r="E724">
        <v>0.5608107</v>
      </c>
      <c r="F724" t="s">
        <v>42</v>
      </c>
      <c r="G724">
        <v>-327.91750000000002</v>
      </c>
      <c r="H724" s="1">
        <v>-1.7157440000000001E-6</v>
      </c>
      <c r="I724">
        <v>365.77910000000003</v>
      </c>
      <c r="J724">
        <v>-361.87569999999999</v>
      </c>
      <c r="K724">
        <v>1.1098709999999901</v>
      </c>
      <c r="L724">
        <v>367.2681</v>
      </c>
      <c r="M724">
        <v>0.99991019999999997</v>
      </c>
      <c r="N724">
        <v>-1.1033629999999999E-2</v>
      </c>
      <c r="O724">
        <v>7.6031609999999998E-3</v>
      </c>
      <c r="P724">
        <v>0.95379380000000002</v>
      </c>
      <c r="Q724">
        <v>0.28923300000000002</v>
      </c>
      <c r="R724">
        <v>8.1373139999999997E-2</v>
      </c>
      <c r="S724">
        <v>3.1889340000000002</v>
      </c>
      <c r="T724">
        <v>-0.1034949</v>
      </c>
      <c r="U724">
        <v>-0.13867189999999999</v>
      </c>
      <c r="V724">
        <v>-7.410659E-2</v>
      </c>
      <c r="W724">
        <v>0.29974879999999998</v>
      </c>
      <c r="X724">
        <v>0.95113559999999997</v>
      </c>
      <c r="Y724">
        <v>5.10018E-2</v>
      </c>
      <c r="Z724">
        <v>-1.271363E-3</v>
      </c>
      <c r="AA724">
        <v>0.99869779999999997</v>
      </c>
      <c r="AB724">
        <v>39</v>
      </c>
      <c r="AC724">
        <v>33.958199999999898</v>
      </c>
      <c r="AD724">
        <v>-1.10987271574399</v>
      </c>
      <c r="AE724">
        <v>-1.4889999999999699</v>
      </c>
      <c r="AF724">
        <v>1.7453015683745701</v>
      </c>
      <c r="AG724">
        <v>-1.10987271574399</v>
      </c>
      <c r="AH724">
        <v>33.909743292146501</v>
      </c>
      <c r="AI724">
        <v>91.872156842254</v>
      </c>
      <c r="AJ724">
        <v>87.053641708927003</v>
      </c>
      <c r="AK724">
        <v>33.972762400914597</v>
      </c>
      <c r="AL724">
        <v>72.557484435144701</v>
      </c>
      <c r="AM724">
        <v>94.455131470651395</v>
      </c>
      <c r="AN724">
        <v>1.0000000296851099</v>
      </c>
    </row>
    <row r="725" spans="1:40" x14ac:dyDescent="0.25">
      <c r="A725" t="str">
        <f>"20190304164111711"</f>
        <v>20190304164111711</v>
      </c>
      <c r="B725" t="str">
        <f>"1551688871702313"</f>
        <v>1551688871702313</v>
      </c>
      <c r="C725" t="s">
        <v>40</v>
      </c>
      <c r="D725">
        <v>4.4580349999999997</v>
      </c>
      <c r="E725">
        <v>0.56084560000000006</v>
      </c>
      <c r="F725" t="s">
        <v>42</v>
      </c>
      <c r="G725">
        <v>-327.8732</v>
      </c>
      <c r="H725" s="1">
        <v>-1.7325909999999999E-6</v>
      </c>
      <c r="I725">
        <v>365.77249999999998</v>
      </c>
      <c r="J725">
        <v>-361.65410000000003</v>
      </c>
      <c r="K725">
        <v>1.109882</v>
      </c>
      <c r="L725">
        <v>367.26979999999998</v>
      </c>
      <c r="M725">
        <v>0.99990979999999996</v>
      </c>
      <c r="N725">
        <v>-1.10784E-2</v>
      </c>
      <c r="O725">
        <v>7.6034469999999897E-3</v>
      </c>
      <c r="P725">
        <v>0.95366680000000004</v>
      </c>
      <c r="Q725">
        <v>0.28964590000000001</v>
      </c>
      <c r="R725">
        <v>8.1393670000000001E-2</v>
      </c>
      <c r="S725">
        <v>3.188904</v>
      </c>
      <c r="T725">
        <v>-0.10408829999999999</v>
      </c>
      <c r="U725">
        <v>-0.14025879999999999</v>
      </c>
      <c r="V725">
        <v>-7.4128139999999995E-2</v>
      </c>
      <c r="W725">
        <v>0.30020279999999999</v>
      </c>
      <c r="X725">
        <v>0.95099069999999997</v>
      </c>
      <c r="Y725">
        <v>5.1497759999999997E-2</v>
      </c>
      <c r="Z725">
        <v>-1.2891650000000001E-3</v>
      </c>
      <c r="AA725">
        <v>0.99867229999999996</v>
      </c>
      <c r="AB725">
        <v>39</v>
      </c>
      <c r="AC725">
        <v>33.780900000000003</v>
      </c>
      <c r="AD725">
        <v>-1.109883732591</v>
      </c>
      <c r="AE725">
        <v>-1.4972999999999901</v>
      </c>
      <c r="AF725">
        <v>1.7522359534249701</v>
      </c>
      <c r="AG725">
        <v>-1.109883732591</v>
      </c>
      <c r="AH725">
        <v>33.732196387984402</v>
      </c>
      <c r="AI725">
        <v>91.881976190016303</v>
      </c>
      <c r="AJ725">
        <v>87.0264144926348</v>
      </c>
      <c r="AK725">
        <v>33.795905756376598</v>
      </c>
      <c r="AL725">
        <v>72.530215959180396</v>
      </c>
      <c r="AM725">
        <v>94.457098070813103</v>
      </c>
      <c r="AN725">
        <v>1.00000000687709</v>
      </c>
    </row>
    <row r="726" spans="1:40" x14ac:dyDescent="0.25">
      <c r="A726" t="str">
        <f>"20190304164111725"</f>
        <v>20190304164111725</v>
      </c>
      <c r="B726" t="str">
        <f>"1551688871712072"</f>
        <v>1551688871712072</v>
      </c>
      <c r="C726" t="s">
        <v>40</v>
      </c>
      <c r="D726">
        <v>4.161041</v>
      </c>
      <c r="E726">
        <v>0.56090419999999996</v>
      </c>
      <c r="F726" t="s">
        <v>42</v>
      </c>
      <c r="G726">
        <v>-326.9126</v>
      </c>
      <c r="H726" s="1">
        <v>-2.0684399999999998E-6</v>
      </c>
      <c r="I726">
        <v>365.7389</v>
      </c>
      <c r="J726">
        <v>-361.40809999999999</v>
      </c>
      <c r="K726">
        <v>1.1098939999999999</v>
      </c>
      <c r="L726">
        <v>367.27170000000001</v>
      </c>
      <c r="M726">
        <v>0.99990919999999905</v>
      </c>
      <c r="N726">
        <v>-1.112982E-2</v>
      </c>
      <c r="O726">
        <v>7.6036350000000001E-3</v>
      </c>
      <c r="P726">
        <v>0.95358039999999999</v>
      </c>
      <c r="Q726">
        <v>0.29002169999999999</v>
      </c>
      <c r="R726">
        <v>8.1071859999999996E-2</v>
      </c>
      <c r="S726">
        <v>3.1886899999999998</v>
      </c>
      <c r="T726">
        <v>-0.1018685</v>
      </c>
      <c r="U726">
        <v>-0.14050289999999999</v>
      </c>
      <c r="V726">
        <v>-7.3806739999999996E-2</v>
      </c>
      <c r="W726">
        <v>0.30062620000000001</v>
      </c>
      <c r="X726">
        <v>0.95088200000000001</v>
      </c>
      <c r="Y726">
        <v>5.1578579999999999E-2</v>
      </c>
      <c r="Z726">
        <v>-1.2687219999999999E-3</v>
      </c>
      <c r="AA726">
        <v>0.99866809999999995</v>
      </c>
      <c r="AB726">
        <v>39</v>
      </c>
      <c r="AC726">
        <v>34.4954999999999</v>
      </c>
      <c r="AD726">
        <v>-1.1098960684399899</v>
      </c>
      <c r="AE726">
        <v>-1.5327999999999999</v>
      </c>
      <c r="AF726">
        <v>1.7932103702683799</v>
      </c>
      <c r="AG726">
        <v>-1.1098960684399899</v>
      </c>
      <c r="AH726">
        <v>34.447256307719798</v>
      </c>
      <c r="AI726">
        <v>91.842946996439693</v>
      </c>
      <c r="AJ726">
        <v>87.020060825790495</v>
      </c>
      <c r="AK726">
        <v>34.511750750208499</v>
      </c>
      <c r="AL726">
        <v>72.504783108300899</v>
      </c>
      <c r="AM726">
        <v>94.438355922995996</v>
      </c>
      <c r="AN726">
        <v>1.0000000624599299</v>
      </c>
    </row>
    <row r="727" spans="1:40" x14ac:dyDescent="0.25">
      <c r="A727" t="str">
        <f>"20190304164111735"</f>
        <v>20190304164111735</v>
      </c>
      <c r="B727" t="str">
        <f>"1551688871721832"</f>
        <v>1551688871721832</v>
      </c>
      <c r="C727" t="s">
        <v>40</v>
      </c>
      <c r="D727">
        <v>4.1151710000000001</v>
      </c>
      <c r="E727">
        <v>0.56095050000000002</v>
      </c>
      <c r="F727" t="s">
        <v>42</v>
      </c>
      <c r="G727">
        <v>-325.92250000000001</v>
      </c>
      <c r="H727" s="1">
        <v>-2.4279890000000002E-6</v>
      </c>
      <c r="I727">
        <v>365.6902</v>
      </c>
      <c r="J727">
        <v>-361.21800000000002</v>
      </c>
      <c r="K727">
        <v>1.109893</v>
      </c>
      <c r="L727">
        <v>367.2731</v>
      </c>
      <c r="M727">
        <v>0.99990869999999998</v>
      </c>
      <c r="N727">
        <v>-1.117189E-2</v>
      </c>
      <c r="O727">
        <v>7.603874E-3</v>
      </c>
      <c r="P727">
        <v>0.95351300000000005</v>
      </c>
      <c r="Q727">
        <v>0.29035349999999999</v>
      </c>
      <c r="R727">
        <v>8.0671430000000002E-2</v>
      </c>
      <c r="S727">
        <v>3.1884160000000001</v>
      </c>
      <c r="T727">
        <v>-9.9725010000000003E-2</v>
      </c>
      <c r="U727">
        <v>-0.14208979999999999</v>
      </c>
      <c r="V727">
        <v>-7.3406879999999994E-2</v>
      </c>
      <c r="W727">
        <v>0.30099730000000002</v>
      </c>
      <c r="X727">
        <v>0.95079550000000002</v>
      </c>
      <c r="Y727">
        <v>5.2079689999999998E-2</v>
      </c>
      <c r="Z727">
        <v>-1.2577840000000001E-3</v>
      </c>
      <c r="AA727">
        <v>0.99864209999999998</v>
      </c>
      <c r="AB727">
        <v>39</v>
      </c>
      <c r="AC727">
        <v>35.295499999999997</v>
      </c>
      <c r="AD727">
        <v>-1.1098954279889901</v>
      </c>
      <c r="AE727">
        <v>-1.58289999999999</v>
      </c>
      <c r="AF727">
        <v>1.8494283970502301</v>
      </c>
      <c r="AG727">
        <v>-1.1098954279889901</v>
      </c>
      <c r="AH727">
        <v>35.247658273562799</v>
      </c>
      <c r="AI727">
        <v>91.8010855692837</v>
      </c>
      <c r="AJ727">
        <v>86.996471105680101</v>
      </c>
      <c r="AK727">
        <v>35.313590401242799</v>
      </c>
      <c r="AL727">
        <v>72.482487134751096</v>
      </c>
      <c r="AM727">
        <v>94.414805729917404</v>
      </c>
      <c r="AN727">
        <v>1.00000001372943</v>
      </c>
    </row>
    <row r="728" spans="1:40" x14ac:dyDescent="0.25">
      <c r="A728" t="str">
        <f>"20190304164111748"</f>
        <v>20190304164111748</v>
      </c>
      <c r="B728" t="str">
        <f>"1551688871742328"</f>
        <v>1551688871742328</v>
      </c>
      <c r="C728" t="s">
        <v>40</v>
      </c>
      <c r="D728">
        <v>4.1431800000000001</v>
      </c>
      <c r="E728">
        <v>0.5610771</v>
      </c>
      <c r="F728" t="s">
        <v>42</v>
      </c>
      <c r="G728">
        <v>-324.9819</v>
      </c>
      <c r="H728" s="1">
        <v>-2.8401219999999999E-6</v>
      </c>
      <c r="I728">
        <v>365.64170000000001</v>
      </c>
      <c r="J728">
        <v>-361.0188</v>
      </c>
      <c r="K728">
        <v>1.1099019999999999</v>
      </c>
      <c r="L728">
        <v>367.27460000000002</v>
      </c>
      <c r="M728">
        <v>0.99990829999999997</v>
      </c>
      <c r="N728">
        <v>-1.12166E-2</v>
      </c>
      <c r="O728">
        <v>7.6041579999999998E-3</v>
      </c>
      <c r="P728">
        <v>0.95350460000000004</v>
      </c>
      <c r="Q728">
        <v>0.29041909999999999</v>
      </c>
      <c r="R728">
        <v>8.0536079999999996E-2</v>
      </c>
      <c r="S728">
        <v>3.1881710000000001</v>
      </c>
      <c r="T728">
        <v>-9.7651959999999996E-2</v>
      </c>
      <c r="U728">
        <v>-0.14352419999999999</v>
      </c>
      <c r="V728">
        <v>-7.3270970000000005E-2</v>
      </c>
      <c r="W728">
        <v>0.30110510000000001</v>
      </c>
      <c r="X728">
        <v>0.9507719</v>
      </c>
      <c r="Y728">
        <v>5.2532769999999999E-2</v>
      </c>
      <c r="Z728">
        <v>-1.2463120000000001E-3</v>
      </c>
      <c r="AA728">
        <v>0.99861840000000002</v>
      </c>
      <c r="AB728">
        <v>39</v>
      </c>
      <c r="AC728">
        <v>36.036900000000003</v>
      </c>
      <c r="AD728">
        <v>-1.109904840122</v>
      </c>
      <c r="AE728">
        <v>-1.6329</v>
      </c>
      <c r="AF728">
        <v>1.9050968263253401</v>
      </c>
      <c r="AG728">
        <v>-1.109904840122</v>
      </c>
      <c r="AH728">
        <v>35.989371301223301</v>
      </c>
      <c r="AI728">
        <v>91.763962116712094</v>
      </c>
      <c r="AJ728">
        <v>86.969876913716604</v>
      </c>
      <c r="AK728">
        <v>36.056845803940199</v>
      </c>
      <c r="AL728">
        <v>72.476011026622203</v>
      </c>
      <c r="AM728">
        <v>94.406773064110894</v>
      </c>
      <c r="AN728">
        <v>1.00000006106017</v>
      </c>
    </row>
    <row r="729" spans="1:40" x14ac:dyDescent="0.25">
      <c r="A729" t="str">
        <f>"20190304164111758"</f>
        <v>20190304164111758</v>
      </c>
      <c r="B729" t="str">
        <f>"1551688871752088"</f>
        <v>1551688871752088</v>
      </c>
      <c r="C729" t="s">
        <v>40</v>
      </c>
      <c r="D729">
        <v>4.1693239999999996</v>
      </c>
      <c r="E729">
        <v>0.56112620000000002</v>
      </c>
      <c r="F729" t="s">
        <v>42</v>
      </c>
      <c r="G729">
        <v>-324.1164</v>
      </c>
      <c r="H729" s="1">
        <v>-3.2192609999999998E-6</v>
      </c>
      <c r="I729">
        <v>365.59750000000003</v>
      </c>
      <c r="J729">
        <v>-360.81990000000002</v>
      </c>
      <c r="K729">
        <v>1.109909</v>
      </c>
      <c r="L729">
        <v>367.27609999999999</v>
      </c>
      <c r="M729">
        <v>0.99990769999999995</v>
      </c>
      <c r="N729">
        <v>-1.126186E-2</v>
      </c>
      <c r="O729">
        <v>7.6043769999999998E-3</v>
      </c>
      <c r="P729">
        <v>0.95350500000000005</v>
      </c>
      <c r="Q729">
        <v>0.29050860000000001</v>
      </c>
      <c r="R729">
        <v>8.0206150000000004E-2</v>
      </c>
      <c r="S729">
        <v>3.1877140000000002</v>
      </c>
      <c r="T729">
        <v>-9.5875859999999993E-2</v>
      </c>
      <c r="U729">
        <v>-0.14486689999999999</v>
      </c>
      <c r="V729">
        <v>-7.2940420000000006E-2</v>
      </c>
      <c r="W729">
        <v>0.30123830000000001</v>
      </c>
      <c r="X729">
        <v>0.95075509999999996</v>
      </c>
      <c r="Y729">
        <v>5.296004E-2</v>
      </c>
      <c r="Z729">
        <v>-1.237281E-3</v>
      </c>
      <c r="AA729">
        <v>0.99859589999999998</v>
      </c>
      <c r="AB729">
        <v>39</v>
      </c>
      <c r="AC729">
        <v>36.703499999999998</v>
      </c>
      <c r="AD729">
        <v>-1.109912219261</v>
      </c>
      <c r="AE729">
        <v>-1.6785999999999599</v>
      </c>
      <c r="AF729">
        <v>1.95589156123153</v>
      </c>
      <c r="AG729">
        <v>-1.109912219261</v>
      </c>
      <c r="AH729">
        <v>36.656222617097697</v>
      </c>
      <c r="AI729">
        <v>91.7318645116749</v>
      </c>
      <c r="AJ729">
        <v>86.945725602059795</v>
      </c>
      <c r="AK729">
        <v>36.725142252794498</v>
      </c>
      <c r="AL729">
        <v>72.468007235677703</v>
      </c>
      <c r="AM729">
        <v>94.387047627192104</v>
      </c>
      <c r="AN729">
        <v>1.00000003921633</v>
      </c>
    </row>
    <row r="730" spans="1:40" x14ac:dyDescent="0.25">
      <c r="A730" t="str">
        <f>"20190304164111770"</f>
        <v>20190304164111770</v>
      </c>
      <c r="B730" t="str">
        <f>"1551688871761848"</f>
        <v>1551688871761848</v>
      </c>
      <c r="C730" t="s">
        <v>40</v>
      </c>
      <c r="D730">
        <v>4.2044119999999996</v>
      </c>
      <c r="E730">
        <v>0.56114909999999996</v>
      </c>
      <c r="F730" t="s">
        <v>42</v>
      </c>
      <c r="G730">
        <v>-323.709</v>
      </c>
      <c r="H730" s="1">
        <v>-3.398349E-6</v>
      </c>
      <c r="I730">
        <v>365.57319999999999</v>
      </c>
      <c r="J730">
        <v>-360.6302</v>
      </c>
      <c r="K730">
        <v>1.1099220000000001</v>
      </c>
      <c r="L730">
        <v>367.27749999999997</v>
      </c>
      <c r="M730">
        <v>0.9999072</v>
      </c>
      <c r="N730">
        <v>-1.130681E-2</v>
      </c>
      <c r="O730">
        <v>7.6046569999999999E-3</v>
      </c>
      <c r="P730">
        <v>0.95347720000000002</v>
      </c>
      <c r="Q730">
        <v>0.290628</v>
      </c>
      <c r="R730">
        <v>8.0104910000000001E-2</v>
      </c>
      <c r="S730">
        <v>3.1876530000000001</v>
      </c>
      <c r="T730">
        <v>-9.5335959999999997E-2</v>
      </c>
      <c r="U730">
        <v>-0.14627079999999901</v>
      </c>
      <c r="V730">
        <v>-7.2839509999999996E-2</v>
      </c>
      <c r="W730">
        <v>0.30139969999999999</v>
      </c>
      <c r="X730">
        <v>0.95071170000000005</v>
      </c>
      <c r="Y730">
        <v>5.3400080000000003E-2</v>
      </c>
      <c r="Z730">
        <v>-1.241448E-3</v>
      </c>
      <c r="AA730">
        <v>0.99857240000000003</v>
      </c>
      <c r="AB730">
        <v>39</v>
      </c>
      <c r="AC730">
        <v>36.921199999999999</v>
      </c>
      <c r="AD730">
        <v>-1.1099253983489901</v>
      </c>
      <c r="AE730">
        <v>-1.7042999999999799</v>
      </c>
      <c r="AF730">
        <v>1.9832532088717101</v>
      </c>
      <c r="AG730">
        <v>-1.1099253983489901</v>
      </c>
      <c r="AH730">
        <v>36.873917811133303</v>
      </c>
      <c r="AI730">
        <v>91.721627332989698</v>
      </c>
      <c r="AJ730">
        <v>86.921329121586197</v>
      </c>
      <c r="AK730">
        <v>36.943890461382303</v>
      </c>
      <c r="AL730">
        <v>72.458309238919995</v>
      </c>
      <c r="AM730">
        <v>94.381201190664001</v>
      </c>
      <c r="AN730">
        <v>1.0000000549470001</v>
      </c>
    </row>
    <row r="731" spans="1:40" x14ac:dyDescent="0.25">
      <c r="A731" t="str">
        <f>"20190304164111781"</f>
        <v>20190304164111781</v>
      </c>
      <c r="B731" t="str">
        <f>"1551688871771608"</f>
        <v>1551688871771608</v>
      </c>
      <c r="C731" t="s">
        <v>40</v>
      </c>
      <c r="D731">
        <v>4.1887160000000003</v>
      </c>
      <c r="E731">
        <v>0.56118970000000001</v>
      </c>
      <c r="F731" t="s">
        <v>42</v>
      </c>
      <c r="G731">
        <v>-323.45370000000003</v>
      </c>
      <c r="H731" s="1">
        <v>-3.51048E-6</v>
      </c>
      <c r="I731">
        <v>365.55840000000001</v>
      </c>
      <c r="J731">
        <v>-360.43430000000001</v>
      </c>
      <c r="K731">
        <v>1.1099289999999999</v>
      </c>
      <c r="L731">
        <v>367.279</v>
      </c>
      <c r="M731">
        <v>0.99990670000000004</v>
      </c>
      <c r="N731">
        <v>-1.135386E-2</v>
      </c>
      <c r="O731">
        <v>7.6046849999999999E-3</v>
      </c>
      <c r="P731">
        <v>0.95341529999999997</v>
      </c>
      <c r="Q731">
        <v>0.29084209999999999</v>
      </c>
      <c r="R731">
        <v>8.0064910000000003E-2</v>
      </c>
      <c r="S731">
        <v>3.187805</v>
      </c>
      <c r="T731">
        <v>-9.5173480000000005E-2</v>
      </c>
      <c r="U731">
        <v>-0.1473999</v>
      </c>
      <c r="V731">
        <v>-7.2799740000000002E-2</v>
      </c>
      <c r="W731">
        <v>0.30165750000000002</v>
      </c>
      <c r="X731">
        <v>0.9506329</v>
      </c>
      <c r="Y731">
        <v>5.3750739999999998E-2</v>
      </c>
      <c r="Z731">
        <v>-1.24777E-3</v>
      </c>
      <c r="AA731">
        <v>0.99855360000000004</v>
      </c>
      <c r="AB731">
        <v>39</v>
      </c>
      <c r="AC731">
        <v>36.980599999999903</v>
      </c>
      <c r="AD731">
        <v>-1.10993251048</v>
      </c>
      <c r="AE731">
        <v>-1.7205999999999899</v>
      </c>
      <c r="AF731">
        <v>1.9999963869294599</v>
      </c>
      <c r="AG731">
        <v>-1.10993251048</v>
      </c>
      <c r="AH731">
        <v>36.9332461746747</v>
      </c>
      <c r="AI731">
        <v>91.718840515426805</v>
      </c>
      <c r="AJ731">
        <v>86.900366167608496</v>
      </c>
      <c r="AK731">
        <v>37.004008008926199</v>
      </c>
      <c r="AL731">
        <v>72.442815992366207</v>
      </c>
      <c r="AM731">
        <v>94.379179941138005</v>
      </c>
      <c r="AN731">
        <v>0.99999998000636303</v>
      </c>
    </row>
    <row r="732" spans="1:40" x14ac:dyDescent="0.25">
      <c r="A732" t="str">
        <f>"20190304164111793"</f>
        <v>20190304164111793</v>
      </c>
      <c r="B732" t="str">
        <f>"1551688871782344"</f>
        <v>1551688871782344</v>
      </c>
      <c r="C732" t="s">
        <v>40</v>
      </c>
      <c r="D732">
        <v>4.196453</v>
      </c>
      <c r="E732">
        <v>0.56122640000000001</v>
      </c>
      <c r="F732" t="s">
        <v>42</v>
      </c>
      <c r="G732">
        <v>-323.37200000000001</v>
      </c>
      <c r="H732" s="1">
        <v>-3.54431E-6</v>
      </c>
      <c r="I732">
        <v>365.56540000000001</v>
      </c>
      <c r="J732">
        <v>-360.24829999999997</v>
      </c>
      <c r="K732">
        <v>1.109937</v>
      </c>
      <c r="L732">
        <v>367.28039999999999</v>
      </c>
      <c r="M732">
        <v>0.99990619999999997</v>
      </c>
      <c r="N732">
        <v>-1.1399100000000001E-2</v>
      </c>
      <c r="O732">
        <v>7.60496099999999E-3</v>
      </c>
      <c r="P732">
        <v>0.95341889999999996</v>
      </c>
      <c r="Q732">
        <v>0.29083890000000001</v>
      </c>
      <c r="R732">
        <v>8.0032649999999997E-2</v>
      </c>
      <c r="S732">
        <v>3.1880799999999998</v>
      </c>
      <c r="T732">
        <v>-9.5475550000000006E-2</v>
      </c>
      <c r="U732">
        <v>-0.1473999</v>
      </c>
      <c r="V732">
        <v>-7.2767490000000004E-2</v>
      </c>
      <c r="W732">
        <v>0.30169790000000002</v>
      </c>
      <c r="X732">
        <v>0.95062259999999998</v>
      </c>
      <c r="Y732">
        <v>5.3746839999999997E-2</v>
      </c>
      <c r="Z732">
        <v>-1.251743E-3</v>
      </c>
      <c r="AA732">
        <v>0.99855380000000005</v>
      </c>
      <c r="AB732">
        <v>39</v>
      </c>
      <c r="AC732">
        <v>36.876299999999901</v>
      </c>
      <c r="AD732">
        <v>-1.1099405443100001</v>
      </c>
      <c r="AE732">
        <v>-1.7149999999999701</v>
      </c>
      <c r="AF732">
        <v>1.9936092041454301</v>
      </c>
      <c r="AG732">
        <v>-1.1099405443100001</v>
      </c>
      <c r="AH732">
        <v>36.828896943388102</v>
      </c>
      <c r="AI732">
        <v>91.723721990534898</v>
      </c>
      <c r="AJ732">
        <v>86.901508611931206</v>
      </c>
      <c r="AK732">
        <v>36.899513489170197</v>
      </c>
      <c r="AL732">
        <v>72.440389017735598</v>
      </c>
      <c r="AM732">
        <v>94.377294766037096</v>
      </c>
      <c r="AN732">
        <v>1.00000002904803</v>
      </c>
    </row>
    <row r="733" spans="1:40" x14ac:dyDescent="0.25">
      <c r="A733" t="str">
        <f>"20190304164111802"</f>
        <v>20190304164111802</v>
      </c>
      <c r="B733" t="str">
        <f>"1551688871792104"</f>
        <v>1551688871792104</v>
      </c>
      <c r="C733" t="s">
        <v>40</v>
      </c>
      <c r="D733">
        <v>4.2145960000000002</v>
      </c>
      <c r="E733">
        <v>0.56127309999999997</v>
      </c>
      <c r="F733" t="s">
        <v>42</v>
      </c>
      <c r="G733">
        <v>-323.52730000000003</v>
      </c>
      <c r="H733" s="1">
        <v>-3.4764179999999999E-6</v>
      </c>
      <c r="I733">
        <v>365.57249999999999</v>
      </c>
      <c r="J733">
        <v>-360.06599999999997</v>
      </c>
      <c r="K733">
        <v>1.109942</v>
      </c>
      <c r="L733">
        <v>367.28179999999998</v>
      </c>
      <c r="M733">
        <v>0.99990559999999995</v>
      </c>
      <c r="N733">
        <v>-1.1443500000000001E-2</v>
      </c>
      <c r="O733">
        <v>7.6051819999999899E-3</v>
      </c>
      <c r="P733">
        <v>0.95342099999999996</v>
      </c>
      <c r="Q733">
        <v>0.29085299999999997</v>
      </c>
      <c r="R733">
        <v>7.995708E-2</v>
      </c>
      <c r="S733">
        <v>3.1884160000000001</v>
      </c>
      <c r="T733">
        <v>-9.6373680000000003E-2</v>
      </c>
      <c r="U733">
        <v>-0.1482849</v>
      </c>
      <c r="V733">
        <v>-7.2691779999999998E-2</v>
      </c>
      <c r="W733">
        <v>0.30175429999999998</v>
      </c>
      <c r="X733">
        <v>0.95061050000000002</v>
      </c>
      <c r="Y733">
        <v>5.4018009999999998E-2</v>
      </c>
      <c r="Z733">
        <v>-1.2678419999999999E-3</v>
      </c>
      <c r="AA733">
        <v>0.99853910000000001</v>
      </c>
      <c r="AB733">
        <v>39</v>
      </c>
      <c r="AC733">
        <v>36.538699999999899</v>
      </c>
      <c r="AD733">
        <v>-1.1099454764179999</v>
      </c>
      <c r="AE733">
        <v>-1.7092999999999801</v>
      </c>
      <c r="AF733">
        <v>1.9853242084333</v>
      </c>
      <c r="AG733">
        <v>-1.1099454764179999</v>
      </c>
      <c r="AH733">
        <v>36.491043188075103</v>
      </c>
      <c r="AI733">
        <v>91.739653312592495</v>
      </c>
      <c r="AJ733">
        <v>86.885847774582103</v>
      </c>
      <c r="AK733">
        <v>36.561861606422198</v>
      </c>
      <c r="AL733">
        <v>72.436999724161893</v>
      </c>
      <c r="AM733">
        <v>94.372813582605005</v>
      </c>
      <c r="AN733">
        <v>1.00000003757915</v>
      </c>
    </row>
    <row r="734" spans="1:40" x14ac:dyDescent="0.25">
      <c r="A734" t="str">
        <f>"20190304164111813"</f>
        <v>20190304164111813</v>
      </c>
      <c r="B734" t="str">
        <f>"1551688871801864"</f>
        <v>1551688871801864</v>
      </c>
      <c r="C734" t="s">
        <v>40</v>
      </c>
      <c r="D734">
        <v>4.097213</v>
      </c>
      <c r="E734">
        <v>0.56131109999999995</v>
      </c>
      <c r="F734" t="s">
        <v>42</v>
      </c>
      <c r="G734">
        <v>-323.72570000000002</v>
      </c>
      <c r="H734" s="1">
        <v>-3.3886879999999999E-6</v>
      </c>
      <c r="I734">
        <v>365.58730000000003</v>
      </c>
      <c r="J734">
        <v>-359.87209999999999</v>
      </c>
      <c r="K734">
        <v>1.1099490000000001</v>
      </c>
      <c r="L734">
        <v>367.2833</v>
      </c>
      <c r="M734">
        <v>0.99990500000000004</v>
      </c>
      <c r="N734">
        <v>-1.1490800000000001E-2</v>
      </c>
      <c r="O734">
        <v>7.6054440000000003E-3</v>
      </c>
      <c r="P734">
        <v>0.95345179999999996</v>
      </c>
      <c r="Q734">
        <v>0.29074299999999997</v>
      </c>
      <c r="R734">
        <v>7.998951E-2</v>
      </c>
      <c r="S734">
        <v>3.1887509999999999</v>
      </c>
      <c r="T734">
        <v>-9.7394110000000006E-2</v>
      </c>
      <c r="U734">
        <v>-0.1486816</v>
      </c>
      <c r="V734">
        <v>-7.2723720000000006E-2</v>
      </c>
      <c r="W734">
        <v>0.3016894</v>
      </c>
      <c r="X734">
        <v>0.95062860000000005</v>
      </c>
      <c r="Y734">
        <v>5.4136589999999998E-2</v>
      </c>
      <c r="Z734">
        <v>-1.2822109999999999E-3</v>
      </c>
      <c r="AA734">
        <v>0.99853270000000005</v>
      </c>
      <c r="AB734">
        <v>39</v>
      </c>
      <c r="AC734">
        <v>36.1463999999999</v>
      </c>
      <c r="AD734">
        <v>-1.1099523886880001</v>
      </c>
      <c r="AE734">
        <v>-1.69599999999996</v>
      </c>
      <c r="AF734">
        <v>1.96902595779162</v>
      </c>
      <c r="AG734">
        <v>-1.1099523886880001</v>
      </c>
      <c r="AH734">
        <v>36.098491244937698</v>
      </c>
      <c r="AI734">
        <v>91.758556872213703</v>
      </c>
      <c r="AJ734">
        <v>86.877842090343407</v>
      </c>
      <c r="AK734">
        <v>36.169187545318998</v>
      </c>
      <c r="AL734">
        <v>72.440899022597705</v>
      </c>
      <c r="AM734">
        <v>94.374644521889607</v>
      </c>
      <c r="AN734">
        <v>0.99999998433047899</v>
      </c>
    </row>
    <row r="735" spans="1:40" x14ac:dyDescent="0.25">
      <c r="A735" t="str">
        <f>"20190304164111826"</f>
        <v>20190304164111826</v>
      </c>
      <c r="B735" t="str">
        <f>"1551688871811624"</f>
        <v>1551688871811624</v>
      </c>
      <c r="C735" t="s">
        <v>40</v>
      </c>
      <c r="D735">
        <v>4.1062089999999998</v>
      </c>
      <c r="E735">
        <v>0.56134839999999997</v>
      </c>
      <c r="F735" t="s">
        <v>42</v>
      </c>
      <c r="G735">
        <v>-323.57659999999998</v>
      </c>
      <c r="H735" s="1">
        <v>-3.452079E-6</v>
      </c>
      <c r="I735">
        <v>365.59050000000002</v>
      </c>
      <c r="J735">
        <v>-359.66050000000001</v>
      </c>
      <c r="K735">
        <v>1.109953</v>
      </c>
      <c r="L735">
        <v>367.28489999999999</v>
      </c>
      <c r="M735">
        <v>0.99990449999999997</v>
      </c>
      <c r="N735">
        <v>-1.1541940000000001E-2</v>
      </c>
      <c r="O735">
        <v>7.6056229999999997E-3</v>
      </c>
      <c r="P735">
        <v>0.95350069999999998</v>
      </c>
      <c r="Q735">
        <v>0.29062120000000002</v>
      </c>
      <c r="R735">
        <v>7.9848749999999996E-2</v>
      </c>
      <c r="S735">
        <v>3.18866</v>
      </c>
      <c r="T735">
        <v>-9.7512009999999996E-2</v>
      </c>
      <c r="U735">
        <v>-0.14871219999999999</v>
      </c>
      <c r="V735">
        <v>-7.2582240000000006E-2</v>
      </c>
      <c r="W735">
        <v>0.30161660000000001</v>
      </c>
      <c r="X735">
        <v>0.95066260000000002</v>
      </c>
      <c r="Y735">
        <v>5.4147519999999998E-2</v>
      </c>
      <c r="Z735">
        <v>-1.284753E-3</v>
      </c>
      <c r="AA735">
        <v>0.99853210000000003</v>
      </c>
      <c r="AB735">
        <v>39</v>
      </c>
      <c r="AC735">
        <v>36.0839</v>
      </c>
      <c r="AD735">
        <v>-1.109956452079</v>
      </c>
      <c r="AE735">
        <v>-1.6943999999999699</v>
      </c>
      <c r="AF735">
        <v>1.9669527533986899</v>
      </c>
      <c r="AG735">
        <v>-1.109956452079</v>
      </c>
      <c r="AH735">
        <v>36.035946024543797</v>
      </c>
      <c r="AI735">
        <v>91.761610049993493</v>
      </c>
      <c r="AJ735">
        <v>86.875720429006094</v>
      </c>
      <c r="AK735">
        <v>36.106651912680199</v>
      </c>
      <c r="AL735">
        <v>72.445275447606704</v>
      </c>
      <c r="AM735">
        <v>94.3660112827082</v>
      </c>
      <c r="AN735">
        <v>1.00000006699886</v>
      </c>
    </row>
    <row r="736" spans="1:40" x14ac:dyDescent="0.25">
      <c r="A736" t="str">
        <f>"20190304164111837"</f>
        <v>20190304164111837</v>
      </c>
      <c r="B736" t="str">
        <f>"1551688871832121"</f>
        <v>1551688871832121</v>
      </c>
      <c r="C736" t="s">
        <v>40</v>
      </c>
      <c r="D736">
        <v>4.1415419999999896</v>
      </c>
      <c r="E736">
        <v>0.5614285</v>
      </c>
      <c r="F736" t="s">
        <v>42</v>
      </c>
      <c r="G736">
        <v>-323.39249999999998</v>
      </c>
      <c r="H736" s="1">
        <v>-3.5317879999999999E-6</v>
      </c>
      <c r="I736">
        <v>365.58629999999999</v>
      </c>
      <c r="J736">
        <v>-359.46289999999999</v>
      </c>
      <c r="K736">
        <v>1.1099559999999999</v>
      </c>
      <c r="L736">
        <v>367.28640000000001</v>
      </c>
      <c r="M736">
        <v>0.99990400000000002</v>
      </c>
      <c r="N736">
        <v>-1.158873E-2</v>
      </c>
      <c r="O736">
        <v>7.6057069999999997E-3</v>
      </c>
      <c r="P736">
        <v>0.95354499999999998</v>
      </c>
      <c r="Q736">
        <v>0.29036919999999999</v>
      </c>
      <c r="R736">
        <v>8.0236909999999995E-2</v>
      </c>
      <c r="S736">
        <v>3.1885379999999999</v>
      </c>
      <c r="T736">
        <v>-9.7582820000000001E-2</v>
      </c>
      <c r="U736">
        <v>-0.1493225</v>
      </c>
      <c r="V736">
        <v>-7.2969809999999996E-2</v>
      </c>
      <c r="W736">
        <v>0.3014097</v>
      </c>
      <c r="X736">
        <v>0.9506985</v>
      </c>
      <c r="Y736">
        <v>5.4339899999999997E-2</v>
      </c>
      <c r="Z736">
        <v>-1.2905309999999999E-3</v>
      </c>
      <c r="AA736">
        <v>0.99852169999999896</v>
      </c>
      <c r="AB736">
        <v>39</v>
      </c>
      <c r="AC736">
        <v>36.070399999999999</v>
      </c>
      <c r="AD736">
        <v>-1.109959531788</v>
      </c>
      <c r="AE736">
        <v>-1.7001000000000199</v>
      </c>
      <c r="AF736">
        <v>1.97254641675693</v>
      </c>
      <c r="AG736">
        <v>-1.109959531788</v>
      </c>
      <c r="AH736">
        <v>36.022390594815803</v>
      </c>
      <c r="AI736">
        <v>91.762260543949296</v>
      </c>
      <c r="AJ736">
        <v>86.865676540507906</v>
      </c>
      <c r="AK736">
        <v>36.093428400387999</v>
      </c>
      <c r="AL736">
        <v>72.457707688904406</v>
      </c>
      <c r="AM736">
        <v>94.389068669817107</v>
      </c>
      <c r="AN736">
        <v>1.00000001916388</v>
      </c>
    </row>
    <row r="737" spans="1:40" x14ac:dyDescent="0.25">
      <c r="A737" t="str">
        <f>"20190304164111848"</f>
        <v>20190304164111848</v>
      </c>
      <c r="B737" t="str">
        <f>"1551688871841881"</f>
        <v>1551688871841881</v>
      </c>
      <c r="C737" t="s">
        <v>40</v>
      </c>
      <c r="D737">
        <v>4.1079879999999998</v>
      </c>
      <c r="E737">
        <v>0.56144740000000004</v>
      </c>
      <c r="F737" t="s">
        <v>42</v>
      </c>
      <c r="G737">
        <v>-323.16059999999999</v>
      </c>
      <c r="H737" s="1">
        <v>-3.6301819999999999E-6</v>
      </c>
      <c r="I737">
        <v>365.5924</v>
      </c>
      <c r="J737">
        <v>-359.27179999999998</v>
      </c>
      <c r="K737">
        <v>1.109961</v>
      </c>
      <c r="L737">
        <v>367.28789999999998</v>
      </c>
      <c r="M737">
        <v>0.99990349999999995</v>
      </c>
      <c r="N737">
        <v>-1.163233E-2</v>
      </c>
      <c r="O737">
        <v>7.6058089999999998E-3</v>
      </c>
      <c r="P737">
        <v>0.95359570000000005</v>
      </c>
      <c r="Q737">
        <v>0.29017300000000001</v>
      </c>
      <c r="R737">
        <v>8.0345079999999999E-2</v>
      </c>
      <c r="S737">
        <v>3.1883539999999999</v>
      </c>
      <c r="T737">
        <v>-9.7485180000000005E-2</v>
      </c>
      <c r="U737">
        <v>-0.14877319999999999</v>
      </c>
      <c r="V737">
        <v>-7.3077820000000002E-2</v>
      </c>
      <c r="W737">
        <v>0.30125560000000001</v>
      </c>
      <c r="X737">
        <v>0.950739</v>
      </c>
      <c r="Y737">
        <v>5.4171169999999998E-2</v>
      </c>
      <c r="Z737">
        <v>-1.2868269999999999E-3</v>
      </c>
      <c r="AA737">
        <v>0.9985309</v>
      </c>
      <c r="AB737">
        <v>39</v>
      </c>
      <c r="AC737">
        <v>36.111199999999997</v>
      </c>
      <c r="AD737">
        <v>-1.1099646301820001</v>
      </c>
      <c r="AE737">
        <v>-1.69549999999998</v>
      </c>
      <c r="AF737">
        <v>1.96826889568288</v>
      </c>
      <c r="AG737">
        <v>-1.1099646301820001</v>
      </c>
      <c r="AH737">
        <v>36.063261641537899</v>
      </c>
      <c r="AI737">
        <v>91.760290008248205</v>
      </c>
      <c r="AJ737">
        <v>86.8759973634603</v>
      </c>
      <c r="AK737">
        <v>36.133985998668699</v>
      </c>
      <c r="AL737">
        <v>72.466966571144894</v>
      </c>
      <c r="AM737">
        <v>94.395353423145906</v>
      </c>
      <c r="AN737">
        <v>0.99999997521415496</v>
      </c>
    </row>
    <row r="738" spans="1:40" x14ac:dyDescent="0.25">
      <c r="A738" t="str">
        <f>"20190304164111859"</f>
        <v>20190304164111859</v>
      </c>
      <c r="B738" t="str">
        <f>"1551688871851640"</f>
        <v>1551688871851640</v>
      </c>
      <c r="C738" t="s">
        <v>40</v>
      </c>
      <c r="D738">
        <v>4.0842599999999996</v>
      </c>
      <c r="E738">
        <v>0.56144850000000002</v>
      </c>
      <c r="F738" t="s">
        <v>42</v>
      </c>
      <c r="G738">
        <v>-323.14420000000001</v>
      </c>
      <c r="H738" s="1">
        <v>-3.635579E-6</v>
      </c>
      <c r="I738">
        <v>365.60169999999999</v>
      </c>
      <c r="J738">
        <v>-359.08370000000002</v>
      </c>
      <c r="K738">
        <v>1.109964</v>
      </c>
      <c r="L738">
        <v>367.28930000000003</v>
      </c>
      <c r="M738">
        <v>0.99990299999999999</v>
      </c>
      <c r="N738">
        <v>-1.167412E-2</v>
      </c>
      <c r="O738">
        <v>7.6058599999999999E-3</v>
      </c>
      <c r="P738">
        <v>0.95361300000000004</v>
      </c>
      <c r="Q738">
        <v>0.29006779999999999</v>
      </c>
      <c r="R738">
        <v>8.0517980000000003E-2</v>
      </c>
      <c r="S738">
        <v>3.1883240000000002</v>
      </c>
      <c r="T738">
        <v>-9.7956180000000004E-2</v>
      </c>
      <c r="U738">
        <v>-0.14880370000000001</v>
      </c>
      <c r="V738">
        <v>-7.3250770000000007E-2</v>
      </c>
      <c r="W738">
        <v>0.30119059999999998</v>
      </c>
      <c r="X738">
        <v>0.95074639999999999</v>
      </c>
      <c r="Y738">
        <v>5.4180859999999997E-2</v>
      </c>
      <c r="Z738">
        <v>-1.292978E-3</v>
      </c>
      <c r="AA738">
        <v>0.99853029999999998</v>
      </c>
      <c r="AB738">
        <v>39</v>
      </c>
      <c r="AC738">
        <v>35.939500000000002</v>
      </c>
      <c r="AD738">
        <v>-1.109967635579</v>
      </c>
      <c r="AE738">
        <v>-1.68760000000003</v>
      </c>
      <c r="AF738">
        <v>1.95905607475293</v>
      </c>
      <c r="AG738">
        <v>-1.109967635579</v>
      </c>
      <c r="AH738">
        <v>35.891464309338801</v>
      </c>
      <c r="AI738">
        <v>91.768714784095707</v>
      </c>
      <c r="AJ738">
        <v>86.875737017371904</v>
      </c>
      <c r="AK738">
        <v>35.962023568267099</v>
      </c>
      <c r="AL738">
        <v>72.470874185253294</v>
      </c>
      <c r="AM738">
        <v>94.405680645389893</v>
      </c>
      <c r="AN738">
        <v>1.0000000849734501</v>
      </c>
    </row>
    <row r="739" spans="1:40" x14ac:dyDescent="0.25">
      <c r="A739" t="str">
        <f>"20190304164111872"</f>
        <v>20190304164111872</v>
      </c>
      <c r="B739" t="str">
        <f>"1551688871862376"</f>
        <v>1551688871862376</v>
      </c>
      <c r="C739" t="s">
        <v>40</v>
      </c>
      <c r="D739">
        <v>4.21678</v>
      </c>
      <c r="E739">
        <v>0.561521099999999</v>
      </c>
      <c r="F739" t="s">
        <v>42</v>
      </c>
      <c r="G739">
        <v>-323.05709999999999</v>
      </c>
      <c r="H739" s="1">
        <v>-3.6710620000000001E-6</v>
      </c>
      <c r="I739">
        <v>365.6123</v>
      </c>
      <c r="J739">
        <v>-358.87270000000001</v>
      </c>
      <c r="K739">
        <v>1.1099699999999999</v>
      </c>
      <c r="L739">
        <v>367.29090000000002</v>
      </c>
      <c r="M739">
        <v>0.99990250000000003</v>
      </c>
      <c r="N739">
        <v>-1.171956E-2</v>
      </c>
      <c r="O739">
        <v>7.6061280000000002E-3</v>
      </c>
      <c r="P739">
        <v>0.9536017</v>
      </c>
      <c r="Q739">
        <v>0.29004930000000001</v>
      </c>
      <c r="R739">
        <v>8.0719239999999998E-2</v>
      </c>
      <c r="S739">
        <v>3.1883240000000002</v>
      </c>
      <c r="T739">
        <v>-9.8231079999999998E-2</v>
      </c>
      <c r="U739">
        <v>-0.14840699999999901</v>
      </c>
      <c r="V739">
        <v>-7.3451470000000005E-2</v>
      </c>
      <c r="W739">
        <v>0.3012147</v>
      </c>
      <c r="X739">
        <v>0.95072319999999999</v>
      </c>
      <c r="Y739">
        <v>5.4057019999999997E-2</v>
      </c>
      <c r="Z739">
        <v>-1.2942279999999999E-3</v>
      </c>
      <c r="AA739">
        <v>0.99853700000000001</v>
      </c>
      <c r="AB739">
        <v>39</v>
      </c>
      <c r="AC739">
        <v>35.815600000000003</v>
      </c>
      <c r="AD739">
        <v>-1.1099736710619901</v>
      </c>
      <c r="AE739">
        <v>-1.6786000000000101</v>
      </c>
      <c r="AF739">
        <v>1.9491201999335599</v>
      </c>
      <c r="AG739">
        <v>-1.1099736710619901</v>
      </c>
      <c r="AH739">
        <v>35.767517195867597</v>
      </c>
      <c r="AI739">
        <v>91.774858287766193</v>
      </c>
      <c r="AJ739">
        <v>86.880800755126401</v>
      </c>
      <c r="AK739">
        <v>35.8377789136118</v>
      </c>
      <c r="AL739">
        <v>72.4694247241856</v>
      </c>
      <c r="AM739">
        <v>94.417811439101797</v>
      </c>
      <c r="AN739">
        <v>1.00000000847974</v>
      </c>
    </row>
    <row r="740" spans="1:40" x14ac:dyDescent="0.25">
      <c r="A740" t="str">
        <f>"20190304164111885"</f>
        <v>20190304164111885</v>
      </c>
      <c r="B740" t="str">
        <f>"1551688871872136"</f>
        <v>1551688871872136</v>
      </c>
      <c r="C740" t="s">
        <v>40</v>
      </c>
      <c r="D740">
        <v>4.2809759999999999</v>
      </c>
      <c r="E740">
        <v>0.561521099999999</v>
      </c>
      <c r="F740" t="s">
        <v>42</v>
      </c>
      <c r="G740">
        <v>-322.91449999999998</v>
      </c>
      <c r="H740" s="1">
        <v>-3.729866E-6</v>
      </c>
      <c r="I740">
        <v>365.62569999999999</v>
      </c>
      <c r="J740">
        <v>-358.64850000000001</v>
      </c>
      <c r="K740">
        <v>1.1099760000000001</v>
      </c>
      <c r="L740">
        <v>367.29259999999999</v>
      </c>
      <c r="M740">
        <v>0.99990179999999995</v>
      </c>
      <c r="N740">
        <v>-1.176756E-2</v>
      </c>
      <c r="O740">
        <v>7.6063199999999997E-3</v>
      </c>
      <c r="P740">
        <v>0.95364070000000001</v>
      </c>
      <c r="Q740">
        <v>0.28991990000000001</v>
      </c>
      <c r="R740">
        <v>8.0720990000000006E-2</v>
      </c>
      <c r="S740">
        <v>3.1884459999999999</v>
      </c>
      <c r="T740">
        <v>-9.8422049999999997E-2</v>
      </c>
      <c r="U740">
        <v>-0.147644</v>
      </c>
      <c r="V740">
        <v>-7.3452580000000003E-2</v>
      </c>
      <c r="W740">
        <v>0.30113139999999999</v>
      </c>
      <c r="X740">
        <v>0.95074950000000003</v>
      </c>
      <c r="Y740">
        <v>5.381702E-2</v>
      </c>
      <c r="Z740">
        <v>-1.292086E-3</v>
      </c>
      <c r="AA740">
        <v>0.99855000000000005</v>
      </c>
      <c r="AB740">
        <v>39</v>
      </c>
      <c r="AC740">
        <v>35.734000000000002</v>
      </c>
      <c r="AD740">
        <v>-1.1099797298659999</v>
      </c>
      <c r="AE740">
        <v>-1.6668999999999901</v>
      </c>
      <c r="AF740">
        <v>1.9368101364502099</v>
      </c>
      <c r="AG740">
        <v>-1.1099797298659999</v>
      </c>
      <c r="AH740">
        <v>35.685928909031503</v>
      </c>
      <c r="AI740">
        <v>91.7789444663848</v>
      </c>
      <c r="AJ740">
        <v>86.893389586859101</v>
      </c>
      <c r="AK740">
        <v>35.755682214241503</v>
      </c>
      <c r="AL740">
        <v>72.474429820331594</v>
      </c>
      <c r="AM740">
        <v>94.417756211596298</v>
      </c>
      <c r="AN740">
        <v>1.0000000066624299</v>
      </c>
    </row>
    <row r="741" spans="1:40" x14ac:dyDescent="0.25">
      <c r="A741" t="str">
        <f>"20190304164111897"</f>
        <v>20190304164111897</v>
      </c>
      <c r="B741" t="str">
        <f>"1551688871881896"</f>
        <v>1551688871881896</v>
      </c>
      <c r="C741" t="s">
        <v>40</v>
      </c>
      <c r="D741">
        <v>4.2105689999999996</v>
      </c>
      <c r="E741">
        <v>0.57565769999999905</v>
      </c>
      <c r="F741" t="s">
        <v>42</v>
      </c>
      <c r="G741">
        <v>-322.81889999999999</v>
      </c>
      <c r="H741" s="1">
        <v>-3.770427E-6</v>
      </c>
      <c r="I741">
        <v>365.62819999999999</v>
      </c>
      <c r="J741">
        <v>-358.42110000000002</v>
      </c>
      <c r="K741">
        <v>1.1099829999999999</v>
      </c>
      <c r="L741">
        <v>367.29430000000002</v>
      </c>
      <c r="M741">
        <v>0.99990140000000005</v>
      </c>
      <c r="N741">
        <v>-1.1816480000000001E-2</v>
      </c>
      <c r="O741">
        <v>7.6063859999999997E-3</v>
      </c>
      <c r="P741">
        <v>0.95350760000000001</v>
      </c>
      <c r="Q741">
        <v>0.29031940000000001</v>
      </c>
      <c r="R741">
        <v>8.0860290000000001E-2</v>
      </c>
      <c r="S741">
        <v>3.1884459999999999</v>
      </c>
      <c r="T741">
        <v>-9.8775859999999993E-2</v>
      </c>
      <c r="U741">
        <v>-0.14810179999999901</v>
      </c>
      <c r="V741">
        <v>-7.3593149999999996E-2</v>
      </c>
      <c r="W741">
        <v>0.30157610000000001</v>
      </c>
      <c r="X741">
        <v>0.95059760000000004</v>
      </c>
      <c r="Y741">
        <v>5.3959769999999997E-2</v>
      </c>
      <c r="Z741">
        <v>-1.2999109999999999E-3</v>
      </c>
      <c r="AA741">
        <v>0.99854219999999905</v>
      </c>
      <c r="AB741">
        <v>39</v>
      </c>
      <c r="AC741">
        <v>35.602200000000003</v>
      </c>
      <c r="AD741">
        <v>-1.1099867704269999</v>
      </c>
      <c r="AE741">
        <v>-1.6661000000000199</v>
      </c>
      <c r="AF741">
        <v>1.93499796263838</v>
      </c>
      <c r="AG741">
        <v>-1.1099867704269999</v>
      </c>
      <c r="AH741">
        <v>35.554011813568202</v>
      </c>
      <c r="AI741">
        <v>91.785537446733599</v>
      </c>
      <c r="AJ741">
        <v>86.884797452681696</v>
      </c>
      <c r="AK741">
        <v>35.623925159719398</v>
      </c>
      <c r="AL741">
        <v>72.447707070750795</v>
      </c>
      <c r="AM741">
        <v>94.426881602043807</v>
      </c>
      <c r="AN741">
        <v>0.99999994647194401</v>
      </c>
    </row>
    <row r="742" spans="1:40" x14ac:dyDescent="0.25">
      <c r="A742" t="str">
        <f>"20190304164111910"</f>
        <v>20190304164111910</v>
      </c>
      <c r="B742" t="str">
        <f>"1551688871902609"</f>
        <v>1551688871902609</v>
      </c>
      <c r="C742" t="s">
        <v>40</v>
      </c>
      <c r="D742">
        <v>4.2393190000000001</v>
      </c>
      <c r="E742">
        <v>0.57835419999999904</v>
      </c>
      <c r="F742" t="s">
        <v>42</v>
      </c>
      <c r="G742">
        <v>-331.46069999999997</v>
      </c>
      <c r="H742" s="1">
        <v>-4.4405409999999997E-6</v>
      </c>
      <c r="I742">
        <v>365.1352</v>
      </c>
      <c r="J742">
        <v>-358.20150000000001</v>
      </c>
      <c r="K742">
        <v>1.109993</v>
      </c>
      <c r="L742">
        <v>367.29599999999999</v>
      </c>
      <c r="M742">
        <v>0.99990089999999998</v>
      </c>
      <c r="N742">
        <v>-1.1864420000000001E-2</v>
      </c>
      <c r="O742">
        <v>7.606575E-3</v>
      </c>
      <c r="P742">
        <v>0.95351580000000002</v>
      </c>
      <c r="Q742">
        <v>0.29025610000000002</v>
      </c>
      <c r="R742">
        <v>8.0989270000000002E-2</v>
      </c>
      <c r="S742">
        <v>3.208313</v>
      </c>
      <c r="T742">
        <v>-0.13208929999999999</v>
      </c>
      <c r="U742">
        <v>-0.25692749999999998</v>
      </c>
      <c r="V742">
        <v>-7.372186E-2</v>
      </c>
      <c r="W742">
        <v>0.30155880000000002</v>
      </c>
      <c r="X742">
        <v>0.95059320000000003</v>
      </c>
      <c r="Y742">
        <v>8.7308720000000006E-2</v>
      </c>
      <c r="Z742">
        <v>-2.5352090000000001E-3</v>
      </c>
      <c r="AA742">
        <v>0.99617809999999996</v>
      </c>
      <c r="AB742">
        <v>39</v>
      </c>
      <c r="AC742">
        <v>26.7408</v>
      </c>
      <c r="AD742">
        <v>-1.109997440541</v>
      </c>
      <c r="AE742">
        <v>-2.1607999999999898</v>
      </c>
      <c r="AF742">
        <v>2.3601174581838902</v>
      </c>
      <c r="AG742">
        <v>-1.109997440541</v>
      </c>
      <c r="AH742">
        <v>26.677919921553499</v>
      </c>
      <c r="AI742">
        <v>92.373292645310499</v>
      </c>
      <c r="AJ742">
        <v>84.9443719046985</v>
      </c>
      <c r="AK742">
        <v>26.8051051121844</v>
      </c>
      <c r="AL742">
        <v>72.448748150098993</v>
      </c>
      <c r="AM742">
        <v>94.434613540102504</v>
      </c>
      <c r="AN742">
        <v>1.00000002719276</v>
      </c>
    </row>
    <row r="743" spans="1:40" x14ac:dyDescent="0.25">
      <c r="A743" t="str">
        <f>"20190304164111923"</f>
        <v>20190304164111923</v>
      </c>
      <c r="B743" t="str">
        <f>"1551688871912368"</f>
        <v>1551688871912368</v>
      </c>
      <c r="C743" t="s">
        <v>40</v>
      </c>
      <c r="D743">
        <v>4.2604600000000001</v>
      </c>
      <c r="E743">
        <v>0.57914169999999998</v>
      </c>
      <c r="F743" t="s">
        <v>42</v>
      </c>
      <c r="G743">
        <v>-336.87560000000002</v>
      </c>
      <c r="H743" s="1">
        <v>-2.1501930000000002E-6</v>
      </c>
      <c r="I743">
        <v>365.47899999999998</v>
      </c>
      <c r="J743">
        <v>-357.99110000000002</v>
      </c>
      <c r="K743">
        <v>1.109999</v>
      </c>
      <c r="L743">
        <v>367.29759999999999</v>
      </c>
      <c r="M743">
        <v>0.99990020000000002</v>
      </c>
      <c r="N743">
        <v>-1.191065E-2</v>
      </c>
      <c r="O743">
        <v>7.6066550000000004E-3</v>
      </c>
      <c r="P743">
        <v>0.95354859999999997</v>
      </c>
      <c r="Q743">
        <v>0.29014309999999899</v>
      </c>
      <c r="R743">
        <v>8.1009429999999993E-2</v>
      </c>
      <c r="S743">
        <v>3.2205810000000001</v>
      </c>
      <c r="T743">
        <v>-0.16762769999999999</v>
      </c>
      <c r="U743">
        <v>-0.2743835</v>
      </c>
      <c r="V743">
        <v>-7.3741669999999995E-2</v>
      </c>
      <c r="W743">
        <v>0.30149019999999999</v>
      </c>
      <c r="X743">
        <v>0.95061340000000005</v>
      </c>
      <c r="Y743">
        <v>9.2307929999999996E-2</v>
      </c>
      <c r="Z743">
        <v>-3.2520769999999999E-3</v>
      </c>
      <c r="AA743">
        <v>0.99572519999999998</v>
      </c>
      <c r="AB743">
        <v>39</v>
      </c>
      <c r="AC743">
        <v>21.115500000000001</v>
      </c>
      <c r="AD743">
        <v>-1.1100011501930001</v>
      </c>
      <c r="AE743">
        <v>-1.81859999999994</v>
      </c>
      <c r="AF743">
        <v>1.9737629451596801</v>
      </c>
      <c r="AG743">
        <v>-1.1100011501930001</v>
      </c>
      <c r="AH743">
        <v>21.043331560342299</v>
      </c>
      <c r="AI743">
        <v>93.006289182215497</v>
      </c>
      <c r="AJ743">
        <v>84.641609238950494</v>
      </c>
      <c r="AK743">
        <v>21.164820950710101</v>
      </c>
      <c r="AL743">
        <v>72.452870106781802</v>
      </c>
      <c r="AM743">
        <v>94.435706539746405</v>
      </c>
      <c r="AN743">
        <v>1.00000000542499</v>
      </c>
    </row>
    <row r="744" spans="1:40" x14ac:dyDescent="0.25">
      <c r="A744" t="str">
        <f>"20190304164111937"</f>
        <v>20190304164111937</v>
      </c>
      <c r="B744" t="str">
        <f>"1551688871922128"</f>
        <v>1551688871922128</v>
      </c>
      <c r="C744" t="s">
        <v>40</v>
      </c>
      <c r="D744">
        <v>4.2336130000000001</v>
      </c>
      <c r="E744">
        <v>0.57977429999999996</v>
      </c>
      <c r="F744" t="s">
        <v>41</v>
      </c>
      <c r="G744">
        <v>-356.90780000000001</v>
      </c>
      <c r="H744">
        <v>1.051839</v>
      </c>
      <c r="I744">
        <v>367.20310000000001</v>
      </c>
      <c r="J744">
        <v>-357.72190000000001</v>
      </c>
      <c r="K744">
        <v>1.1100030000000001</v>
      </c>
      <c r="L744">
        <v>367.2996</v>
      </c>
      <c r="M744">
        <v>0.99989939999999999</v>
      </c>
      <c r="N744">
        <v>-1.1968879999999999E-2</v>
      </c>
      <c r="O744">
        <v>7.6067799999999996E-3</v>
      </c>
      <c r="P744">
        <v>0.9535363</v>
      </c>
      <c r="Q744">
        <v>0.29020430000000003</v>
      </c>
      <c r="R744">
        <v>8.0931580000000003E-2</v>
      </c>
      <c r="S744">
        <v>3.2226560000000002</v>
      </c>
      <c r="T744">
        <v>-0.173286</v>
      </c>
      <c r="U744">
        <v>-0.28005980000000003</v>
      </c>
      <c r="V744">
        <v>-7.3663119999999999E-2</v>
      </c>
      <c r="W744">
        <v>0.3016066</v>
      </c>
      <c r="X744">
        <v>0.95058260000000006</v>
      </c>
      <c r="Y744">
        <v>9.3981780000000001E-2</v>
      </c>
      <c r="Z744">
        <v>-3.4013670000000002E-3</v>
      </c>
      <c r="AA744">
        <v>0.99556809999999996</v>
      </c>
      <c r="AB744">
        <v>39</v>
      </c>
      <c r="AC744">
        <v>0.81409999999999605</v>
      </c>
      <c r="AD744">
        <v>-5.8164000000000098E-2</v>
      </c>
      <c r="AE744">
        <v>-9.6499999999991801E-2</v>
      </c>
      <c r="AF744">
        <v>0.10217600064909001</v>
      </c>
      <c r="AG744">
        <v>-5.8164000000000098E-2</v>
      </c>
      <c r="AH744">
        <v>0.80926866419643295</v>
      </c>
      <c r="AI744">
        <v>94.078641224393195</v>
      </c>
      <c r="AJ744">
        <v>82.8040702417549</v>
      </c>
      <c r="AK744">
        <v>0.81776448740142904</v>
      </c>
      <c r="AL744">
        <v>72.445875863653896</v>
      </c>
      <c r="AM744">
        <v>94.431143427239903</v>
      </c>
      <c r="AN744">
        <v>1.00000003791722</v>
      </c>
    </row>
    <row r="745" spans="1:40" x14ac:dyDescent="0.25">
      <c r="A745" t="str">
        <f>"20190304164111949"</f>
        <v>20190304164111949</v>
      </c>
      <c r="B745" t="str">
        <f>"1551688871941648"</f>
        <v>1551688871941648</v>
      </c>
      <c r="C745" t="s">
        <v>40</v>
      </c>
      <c r="D745">
        <v>4.2225359999999998</v>
      </c>
      <c r="E745">
        <v>0.58042039999999995</v>
      </c>
      <c r="F745" t="s">
        <v>42</v>
      </c>
      <c r="G745">
        <v>-337.35750000000002</v>
      </c>
      <c r="H745" s="1">
        <v>-1.9814519999999999E-6</v>
      </c>
      <c r="I745">
        <v>365.49680000000001</v>
      </c>
      <c r="J745">
        <v>-357.53660000000002</v>
      </c>
      <c r="K745">
        <v>1.1100080000000001</v>
      </c>
      <c r="L745">
        <v>367.30099999999999</v>
      </c>
      <c r="M745">
        <v>0.99989899999999998</v>
      </c>
      <c r="N745">
        <v>-1.200742E-2</v>
      </c>
      <c r="O745">
        <v>7.6069040000000003E-3</v>
      </c>
      <c r="P745">
        <v>0.95354749999999999</v>
      </c>
      <c r="Q745">
        <v>0.29012300000000002</v>
      </c>
      <c r="R745">
        <v>8.1092360000000002E-2</v>
      </c>
      <c r="S745">
        <v>3.2239070000000001</v>
      </c>
      <c r="T745">
        <v>-0.17572570000000001</v>
      </c>
      <c r="U745">
        <v>-0.2854004</v>
      </c>
      <c r="V745">
        <v>-7.3823769999999997E-2</v>
      </c>
      <c r="W745">
        <v>0.30156149999999998</v>
      </c>
      <c r="X745">
        <v>0.9505844</v>
      </c>
      <c r="Y745">
        <v>9.5577780000000001E-2</v>
      </c>
      <c r="Z745">
        <v>-3.495752E-3</v>
      </c>
      <c r="AA745">
        <v>0.99541579999999996</v>
      </c>
      <c r="AB745">
        <v>39</v>
      </c>
      <c r="AC745">
        <v>20.179099999999998</v>
      </c>
      <c r="AD745">
        <v>-1.1100099814519999</v>
      </c>
      <c r="AE745">
        <v>-1.80419999999998</v>
      </c>
      <c r="AF745">
        <v>1.9518002757150601</v>
      </c>
      <c r="AG745">
        <v>-1.1100099814519999</v>
      </c>
      <c r="AH745">
        <v>20.104439748237802</v>
      </c>
      <c r="AI745">
        <v>93.145457925418796</v>
      </c>
      <c r="AJ745">
        <v>84.454928539445305</v>
      </c>
      <c r="AK745">
        <v>20.2294375617744</v>
      </c>
      <c r="AL745">
        <v>72.448585304151806</v>
      </c>
      <c r="AM745">
        <v>94.440760205368406</v>
      </c>
      <c r="AN745">
        <v>0.99999999441131104</v>
      </c>
    </row>
    <row r="746" spans="1:40" x14ac:dyDescent="0.25">
      <c r="A746" t="str">
        <f>"20190304164111959"</f>
        <v>20190304164111959</v>
      </c>
      <c r="B746" t="str">
        <f>"1551688871952385"</f>
        <v>1551688871952385</v>
      </c>
      <c r="C746" t="s">
        <v>40</v>
      </c>
      <c r="D746">
        <v>4.2742420000000001</v>
      </c>
      <c r="E746">
        <v>0.58058569999999998</v>
      </c>
      <c r="F746" t="s">
        <v>42</v>
      </c>
      <c r="G746">
        <v>-337.71370000000002</v>
      </c>
      <c r="H746" s="1">
        <v>-1.853971E-6</v>
      </c>
      <c r="I746">
        <v>365.52030000000002</v>
      </c>
      <c r="J746">
        <v>-357.35050000000001</v>
      </c>
      <c r="K746">
        <v>1.110009</v>
      </c>
      <c r="L746">
        <v>367.30239999999998</v>
      </c>
      <c r="M746">
        <v>0.99989859999999997</v>
      </c>
      <c r="N746">
        <v>-1.2045230000000001E-2</v>
      </c>
      <c r="O746">
        <v>7.6068519999999999E-3</v>
      </c>
      <c r="P746">
        <v>0.95353600000000005</v>
      </c>
      <c r="Q746">
        <v>0.29017749999999998</v>
      </c>
      <c r="R746">
        <v>8.1034239999999993E-2</v>
      </c>
      <c r="S746">
        <v>3.2257389999999999</v>
      </c>
      <c r="T746">
        <v>-0.1806294</v>
      </c>
      <c r="U746">
        <v>-0.28976439999999998</v>
      </c>
      <c r="V746">
        <v>-7.3765819999999996E-2</v>
      </c>
      <c r="W746">
        <v>0.30165199999999998</v>
      </c>
      <c r="X746">
        <v>0.95056019999999997</v>
      </c>
      <c r="Y746">
        <v>9.6852450000000007E-2</v>
      </c>
      <c r="Z746">
        <v>-3.6226040000000002E-3</v>
      </c>
      <c r="AA746">
        <v>0.99529219999999896</v>
      </c>
      <c r="AB746">
        <v>39</v>
      </c>
      <c r="AC746">
        <v>19.636799999999901</v>
      </c>
      <c r="AD746">
        <v>-1.1100108539710001</v>
      </c>
      <c r="AE746">
        <v>-1.7820999999999501</v>
      </c>
      <c r="AF746">
        <v>1.92533171152437</v>
      </c>
      <c r="AG746">
        <v>-1.1100108539710001</v>
      </c>
      <c r="AH746">
        <v>19.5606827469304</v>
      </c>
      <c r="AI746">
        <v>93.232296131301197</v>
      </c>
      <c r="AJ746">
        <v>84.378560645473598</v>
      </c>
      <c r="AK746">
        <v>19.6865267587097</v>
      </c>
      <c r="AL746">
        <v>72.443147051679006</v>
      </c>
      <c r="AM746">
        <v>94.437400751850603</v>
      </c>
      <c r="AN746">
        <v>1.0000000095641499</v>
      </c>
    </row>
    <row r="747" spans="1:40" x14ac:dyDescent="0.25">
      <c r="A747" t="str">
        <f>"20190304164111970"</f>
        <v>20190304164111970</v>
      </c>
      <c r="B747" t="str">
        <f>"1551688871962145"</f>
        <v>1551688871962145</v>
      </c>
      <c r="C747" t="s">
        <v>40</v>
      </c>
      <c r="D747">
        <v>4.2547059999999997</v>
      </c>
      <c r="E747">
        <v>0.58079550000000002</v>
      </c>
      <c r="F747" t="s">
        <v>42</v>
      </c>
      <c r="G747">
        <v>-337.6533</v>
      </c>
      <c r="H747" s="1">
        <v>-1.8735069999999999E-6</v>
      </c>
      <c r="I747">
        <v>365.52409999999998</v>
      </c>
      <c r="J747">
        <v>-357.15289999999999</v>
      </c>
      <c r="K747">
        <v>1.1100099999999999</v>
      </c>
      <c r="L747">
        <v>367.3039</v>
      </c>
      <c r="M747">
        <v>0.99989810000000001</v>
      </c>
      <c r="N747">
        <v>-1.208412E-2</v>
      </c>
      <c r="O747">
        <v>7.6069129999999999E-3</v>
      </c>
      <c r="P747">
        <v>0.95357639999999999</v>
      </c>
      <c r="Q747">
        <v>0.29002749999999999</v>
      </c>
      <c r="R747">
        <v>8.1092949999999997E-2</v>
      </c>
      <c r="S747">
        <v>3.2262569999999999</v>
      </c>
      <c r="T747">
        <v>-0.18181149999999999</v>
      </c>
      <c r="U747">
        <v>-0.29125980000000001</v>
      </c>
      <c r="V747">
        <v>-7.3824310000000004E-2</v>
      </c>
      <c r="W747">
        <v>0.30153930000000001</v>
      </c>
      <c r="X747">
        <v>0.95059139999999998</v>
      </c>
      <c r="Y747">
        <v>9.7292680000000006E-2</v>
      </c>
      <c r="Z747">
        <v>-3.6591340000000001E-3</v>
      </c>
      <c r="AA747">
        <v>0.9952491</v>
      </c>
      <c r="AB747">
        <v>39</v>
      </c>
      <c r="AC747">
        <v>19.499599999999901</v>
      </c>
      <c r="AD747">
        <v>-1.1100118735069999</v>
      </c>
      <c r="AE747">
        <v>-1.77980000000002</v>
      </c>
      <c r="AF747">
        <v>1.9219146896869299</v>
      </c>
      <c r="AG747">
        <v>-1.1100118735069999</v>
      </c>
      <c r="AH747">
        <v>19.423076678000299</v>
      </c>
      <c r="AI747">
        <v>93.254984266074104</v>
      </c>
      <c r="AJ747">
        <v>84.348974294760495</v>
      </c>
      <c r="AK747">
        <v>19.5494703271787</v>
      </c>
      <c r="AL747">
        <v>72.449919363009698</v>
      </c>
      <c r="AM747">
        <v>94.440759987874003</v>
      </c>
      <c r="AN747">
        <v>0.999999993972713</v>
      </c>
    </row>
    <row r="748" spans="1:40" x14ac:dyDescent="0.25">
      <c r="A748" t="str">
        <f>"20190304164111980"</f>
        <v>20190304164111980</v>
      </c>
      <c r="B748" t="str">
        <f>"1551688871971906"</f>
        <v>1551688871971906</v>
      </c>
      <c r="C748" t="s">
        <v>40</v>
      </c>
      <c r="D748">
        <v>4.2521300000000002</v>
      </c>
      <c r="E748">
        <v>0.58098809999999901</v>
      </c>
      <c r="F748" t="s">
        <v>42</v>
      </c>
      <c r="G748">
        <v>-337.69970000000001</v>
      </c>
      <c r="H748" s="1">
        <v>-1.8536590000000001E-6</v>
      </c>
      <c r="I748">
        <v>365.53930000000003</v>
      </c>
      <c r="J748">
        <v>-356.97370000000001</v>
      </c>
      <c r="K748">
        <v>1.1100159999999999</v>
      </c>
      <c r="L748">
        <v>367.30529999999999</v>
      </c>
      <c r="M748">
        <v>0.99989779999999995</v>
      </c>
      <c r="N748">
        <v>-1.2119090000000001E-2</v>
      </c>
      <c r="O748">
        <v>7.6068769999999997E-3</v>
      </c>
      <c r="P748">
        <v>0.95360020000000001</v>
      </c>
      <c r="Q748">
        <v>0.28998079999999998</v>
      </c>
      <c r="R748">
        <v>8.0981250000000005E-2</v>
      </c>
      <c r="S748">
        <v>3.2268979999999998</v>
      </c>
      <c r="T748">
        <v>-0.18412880000000001</v>
      </c>
      <c r="U748">
        <v>-0.29269410000000001</v>
      </c>
      <c r="V748">
        <v>-7.3712219999999995E-2</v>
      </c>
      <c r="W748">
        <v>0.30152659999999998</v>
      </c>
      <c r="X748">
        <v>0.95060409999999995</v>
      </c>
      <c r="Y748">
        <v>9.7708310000000007E-2</v>
      </c>
      <c r="Z748">
        <v>-3.7144830000000002E-3</v>
      </c>
      <c r="AA748">
        <v>0.99520810000000004</v>
      </c>
      <c r="AB748">
        <v>39</v>
      </c>
      <c r="AC748">
        <v>19.274000000000001</v>
      </c>
      <c r="AD748">
        <v>-1.110017853659</v>
      </c>
      <c r="AE748">
        <v>-1.76599999999996</v>
      </c>
      <c r="AF748">
        <v>1.90630444120489</v>
      </c>
      <c r="AG748">
        <v>-1.110017853659</v>
      </c>
      <c r="AH748">
        <v>19.196865919443201</v>
      </c>
      <c r="AI748">
        <v>93.293160095433805</v>
      </c>
      <c r="AJ748">
        <v>84.328955065219802</v>
      </c>
      <c r="AK748">
        <v>19.323193250264801</v>
      </c>
      <c r="AL748">
        <v>72.450682077785402</v>
      </c>
      <c r="AM748">
        <v>94.433985335224094</v>
      </c>
      <c r="AN748">
        <v>0.99999996841084804</v>
      </c>
    </row>
    <row r="749" spans="1:40" x14ac:dyDescent="0.25">
      <c r="A749" t="str">
        <f>"20190304164111993"</f>
        <v>20190304164111993</v>
      </c>
      <c r="B749" t="str">
        <f>"1551688871982641"</f>
        <v>1551688871982641</v>
      </c>
      <c r="C749" t="s">
        <v>40</v>
      </c>
      <c r="D749">
        <v>4.2531840000000001</v>
      </c>
      <c r="E749">
        <v>0.58110980000000001</v>
      </c>
      <c r="F749" t="s">
        <v>42</v>
      </c>
      <c r="G749">
        <v>-337.63330000000002</v>
      </c>
      <c r="H749" s="1">
        <v>-1.8766430000000001E-6</v>
      </c>
      <c r="I749">
        <v>365.53800000000001</v>
      </c>
      <c r="J749">
        <v>-356.7792</v>
      </c>
      <c r="K749">
        <v>1.11002</v>
      </c>
      <c r="L749">
        <v>367.30680000000001</v>
      </c>
      <c r="M749">
        <v>0.99989720000000004</v>
      </c>
      <c r="N749">
        <v>-1.2155590000000001E-2</v>
      </c>
      <c r="O749">
        <v>7.6071899999999998E-3</v>
      </c>
      <c r="P749">
        <v>0.95357020000000003</v>
      </c>
      <c r="Q749">
        <v>0.29008899999999999</v>
      </c>
      <c r="R749">
        <v>8.0946149999999994E-2</v>
      </c>
      <c r="S749">
        <v>3.227325</v>
      </c>
      <c r="T749">
        <v>-0.18522720000000001</v>
      </c>
      <c r="U749">
        <v>-0.29489140000000003</v>
      </c>
      <c r="V749">
        <v>-7.3677469999999995E-2</v>
      </c>
      <c r="W749">
        <v>0.30166890000000002</v>
      </c>
      <c r="X749">
        <v>0.95056169999999995</v>
      </c>
      <c r="Y749">
        <v>9.8365209999999995E-2</v>
      </c>
      <c r="Z749">
        <v>-3.7574470000000001E-3</v>
      </c>
      <c r="AA749">
        <v>0.99514329999999995</v>
      </c>
      <c r="AB749">
        <v>39</v>
      </c>
      <c r="AC749">
        <v>19.145899999999902</v>
      </c>
      <c r="AD749">
        <v>-1.1100218766429999</v>
      </c>
      <c r="AE749">
        <v>-1.7687999999999899</v>
      </c>
      <c r="AF749">
        <v>1.90804676663372</v>
      </c>
      <c r="AG749">
        <v>-1.1100218766429999</v>
      </c>
      <c r="AH749">
        <v>19.068336738329599</v>
      </c>
      <c r="AI749">
        <v>93.315071753047405</v>
      </c>
      <c r="AJ749">
        <v>84.285797921891202</v>
      </c>
      <c r="AK749">
        <v>19.195683290693701</v>
      </c>
      <c r="AL749">
        <v>72.442131633323299</v>
      </c>
      <c r="AM749">
        <v>94.432100258791706</v>
      </c>
      <c r="AN749">
        <v>1.00000002015985</v>
      </c>
    </row>
    <row r="750" spans="1:40" x14ac:dyDescent="0.25">
      <c r="A750" t="str">
        <f>"20190304164112005"</f>
        <v>20190304164112005</v>
      </c>
      <c r="B750" t="str">
        <f>"1551688871992401"</f>
        <v>1551688871992401</v>
      </c>
      <c r="C750" t="s">
        <v>40</v>
      </c>
      <c r="D750">
        <v>4.218464</v>
      </c>
      <c r="E750">
        <v>0.5811788</v>
      </c>
      <c r="F750" t="s">
        <v>42</v>
      </c>
      <c r="G750">
        <v>-337.45839999999998</v>
      </c>
      <c r="H750" s="1">
        <v>-1.9366569999999999E-6</v>
      </c>
      <c r="I750">
        <v>365.53609999999998</v>
      </c>
      <c r="J750">
        <v>-356.5804</v>
      </c>
      <c r="K750">
        <v>1.1100270000000001</v>
      </c>
      <c r="L750">
        <v>367.30829999999997</v>
      </c>
      <c r="M750">
        <v>0.99989680000000003</v>
      </c>
      <c r="N750">
        <v>-1.219276E-2</v>
      </c>
      <c r="O750">
        <v>7.6070809999999999E-3</v>
      </c>
      <c r="P750">
        <v>0.95355710000000005</v>
      </c>
      <c r="Q750">
        <v>0.29012389999999999</v>
      </c>
      <c r="R750">
        <v>8.0976950000000006E-2</v>
      </c>
      <c r="S750">
        <v>3.2275999999999998</v>
      </c>
      <c r="T750">
        <v>-0.18543109999999999</v>
      </c>
      <c r="U750">
        <v>-0.29577639999999999</v>
      </c>
      <c r="V750">
        <v>-7.3708850000000006E-2</v>
      </c>
      <c r="W750">
        <v>0.30173889999999998</v>
      </c>
      <c r="X750">
        <v>0.95053699999999997</v>
      </c>
      <c r="Y750">
        <v>9.8627049999999994E-2</v>
      </c>
      <c r="Z750">
        <v>-3.7713629999999998E-3</v>
      </c>
      <c r="AA750">
        <v>0.99511729999999998</v>
      </c>
      <c r="AB750">
        <v>39</v>
      </c>
      <c r="AC750">
        <v>19.122</v>
      </c>
      <c r="AD750">
        <v>-1.110028936657</v>
      </c>
      <c r="AE750">
        <v>-1.77219999999999</v>
      </c>
      <c r="AF750">
        <v>1.91123651647533</v>
      </c>
      <c r="AG750">
        <v>-1.110028936657</v>
      </c>
      <c r="AH750">
        <v>19.044335610552899</v>
      </c>
      <c r="AI750">
        <v>93.319164918885406</v>
      </c>
      <c r="AJ750">
        <v>84.269143212320799</v>
      </c>
      <c r="AK750">
        <v>19.172159714270599</v>
      </c>
      <c r="AL750">
        <v>72.437924053494896</v>
      </c>
      <c r="AM750">
        <v>94.434095169177496</v>
      </c>
      <c r="AN750">
        <v>0.99999997335526503</v>
      </c>
    </row>
    <row r="751" spans="1:40" x14ac:dyDescent="0.25">
      <c r="A751" t="str">
        <f>"20190304164112015"</f>
        <v>20190304164112015</v>
      </c>
      <c r="B751" t="str">
        <f>"1551688872002162"</f>
        <v>1551688872002162</v>
      </c>
      <c r="C751" t="s">
        <v>40</v>
      </c>
      <c r="D751">
        <v>4.2524879999999996</v>
      </c>
      <c r="E751">
        <v>0.58129219999999904</v>
      </c>
      <c r="F751" t="s">
        <v>41</v>
      </c>
      <c r="G751">
        <v>-355.53480000000002</v>
      </c>
      <c r="H751">
        <v>1.0500320000000001</v>
      </c>
      <c r="I751">
        <v>367.21210000000002</v>
      </c>
      <c r="J751">
        <v>-356.38490000000002</v>
      </c>
      <c r="K751">
        <v>1.1100289999999999</v>
      </c>
      <c r="L751">
        <v>367.3098</v>
      </c>
      <c r="M751">
        <v>0.99989629999999996</v>
      </c>
      <c r="N751">
        <v>-1.2228910000000001E-2</v>
      </c>
      <c r="O751">
        <v>7.6072149999999996E-3</v>
      </c>
      <c r="P751">
        <v>0.95351680000000005</v>
      </c>
      <c r="Q751">
        <v>0.29026089999999999</v>
      </c>
      <c r="R751">
        <v>8.0960740000000003E-2</v>
      </c>
      <c r="S751">
        <v>3.2276609999999999</v>
      </c>
      <c r="T751">
        <v>-0.18556059999999999</v>
      </c>
      <c r="U751">
        <v>-0.29577639999999999</v>
      </c>
      <c r="V751">
        <v>-7.369241E-2</v>
      </c>
      <c r="W751">
        <v>0.30191030000000002</v>
      </c>
      <c r="X751">
        <v>0.95048390000000005</v>
      </c>
      <c r="Y751">
        <v>9.862514E-2</v>
      </c>
      <c r="Z751">
        <v>-3.7750290000000001E-3</v>
      </c>
      <c r="AA751">
        <v>0.99511749999999999</v>
      </c>
      <c r="AB751">
        <v>39</v>
      </c>
      <c r="AC751">
        <v>0.85009999999999697</v>
      </c>
      <c r="AD751">
        <v>-5.9997000000000002E-2</v>
      </c>
      <c r="AE751">
        <v>-9.7699999999974793E-2</v>
      </c>
      <c r="AF751">
        <v>0.103654971895799</v>
      </c>
      <c r="AG751">
        <v>-5.9997000000000002E-2</v>
      </c>
      <c r="AH751">
        <v>0.84517714678173705</v>
      </c>
      <c r="AI751">
        <v>94.030374655155697</v>
      </c>
      <c r="AJ751">
        <v>83.0079964541995</v>
      </c>
      <c r="AK751">
        <v>0.85362076043746604</v>
      </c>
      <c r="AL751">
        <v>72.427624047590797</v>
      </c>
      <c r="AM751">
        <v>94.433356806687797</v>
      </c>
      <c r="AN751">
        <v>1.00000002234845</v>
      </c>
    </row>
    <row r="752" spans="1:40" x14ac:dyDescent="0.25">
      <c r="A752" t="str">
        <f>"20190304164112027"</f>
        <v>20190304164112027</v>
      </c>
      <c r="B752" t="str">
        <f>"1551688872011921"</f>
        <v>1551688872011921</v>
      </c>
      <c r="C752" t="s">
        <v>40</v>
      </c>
      <c r="D752">
        <v>4.2304300000000001</v>
      </c>
      <c r="E752">
        <v>0.58141189999999998</v>
      </c>
      <c r="F752" t="s">
        <v>42</v>
      </c>
      <c r="G752">
        <v>-337.16559999999998</v>
      </c>
      <c r="H752" s="1">
        <v>-2.0350169999999998E-6</v>
      </c>
      <c r="I752">
        <v>365.54090000000002</v>
      </c>
      <c r="J752">
        <v>-356.18389999999999</v>
      </c>
      <c r="K752">
        <v>1.110034</v>
      </c>
      <c r="L752">
        <v>367.31130000000002</v>
      </c>
      <c r="M752">
        <v>0.99989589999999995</v>
      </c>
      <c r="N752">
        <v>-1.226555E-2</v>
      </c>
      <c r="O752">
        <v>7.6073460000000001E-3</v>
      </c>
      <c r="P752">
        <v>0.95359559999999999</v>
      </c>
      <c r="Q752">
        <v>0.29000209999999998</v>
      </c>
      <c r="R752">
        <v>8.0957699999999994E-2</v>
      </c>
      <c r="S752">
        <v>3.2282099999999998</v>
      </c>
      <c r="T752">
        <v>-0.18644759999999999</v>
      </c>
      <c r="U752">
        <v>-0.29708859999999998</v>
      </c>
      <c r="V752">
        <v>-7.3688799999999999E-2</v>
      </c>
      <c r="W752">
        <v>0.30168709999999999</v>
      </c>
      <c r="X752">
        <v>0.95055500000000004</v>
      </c>
      <c r="Y752">
        <v>9.9008410000000005E-2</v>
      </c>
      <c r="Z752">
        <v>-3.8049379999999999E-3</v>
      </c>
      <c r="AA752">
        <v>0.9950793</v>
      </c>
      <c r="AB752">
        <v>39</v>
      </c>
      <c r="AC752">
        <v>19.0183</v>
      </c>
      <c r="AD752">
        <v>-1.110036035017</v>
      </c>
      <c r="AE752">
        <v>-1.77039999999999</v>
      </c>
      <c r="AF752">
        <v>1.9085923316926301</v>
      </c>
      <c r="AG752">
        <v>-1.110036035017</v>
      </c>
      <c r="AH752">
        <v>18.940311378190302</v>
      </c>
      <c r="AI752">
        <v>93.337238244284606</v>
      </c>
      <c r="AJ752">
        <v>84.245797675719601</v>
      </c>
      <c r="AK752">
        <v>19.06856837286</v>
      </c>
      <c r="AL752">
        <v>72.4410371063112</v>
      </c>
      <c r="AM752">
        <v>94.432810223610005</v>
      </c>
      <c r="AN752">
        <v>0.99999997678842401</v>
      </c>
    </row>
    <row r="753" spans="1:40" x14ac:dyDescent="0.25">
      <c r="A753" t="str">
        <f>"20190304164112038"</f>
        <v>20190304164112038</v>
      </c>
      <c r="B753" t="str">
        <f>"1551688872032417"</f>
        <v>1551688872032417</v>
      </c>
      <c r="C753" t="s">
        <v>40</v>
      </c>
      <c r="D753">
        <v>4.2480779999999996</v>
      </c>
      <c r="E753">
        <v>0.58164700000000003</v>
      </c>
      <c r="F753" t="s">
        <v>41</v>
      </c>
      <c r="G753">
        <v>-355.18360000000001</v>
      </c>
      <c r="H753">
        <v>1.0517110000000001</v>
      </c>
      <c r="I753">
        <v>367.21890000000002</v>
      </c>
      <c r="J753">
        <v>-355.98739999999998</v>
      </c>
      <c r="K753">
        <v>1.1100399999999999</v>
      </c>
      <c r="L753">
        <v>367.31279999999998</v>
      </c>
      <c r="M753">
        <v>0.99989539999999999</v>
      </c>
      <c r="N753">
        <v>-1.2300719999999999E-2</v>
      </c>
      <c r="O753">
        <v>7.6074259999999996E-3</v>
      </c>
      <c r="P753">
        <v>0.95369660000000001</v>
      </c>
      <c r="Q753">
        <v>0.28962529999999997</v>
      </c>
      <c r="R753">
        <v>8.1118309999999999E-2</v>
      </c>
      <c r="S753">
        <v>3.2285159999999999</v>
      </c>
      <c r="T753">
        <v>-0.18823970000000001</v>
      </c>
      <c r="U753">
        <v>-0.29803469999999999</v>
      </c>
      <c r="V753">
        <v>-7.3848579999999997E-2</v>
      </c>
      <c r="W753">
        <v>0.30134470000000002</v>
      </c>
      <c r="X753">
        <v>0.95065120000000003</v>
      </c>
      <c r="Y753">
        <v>9.9284739999999996E-2</v>
      </c>
      <c r="Z753">
        <v>-3.847381E-3</v>
      </c>
      <c r="AA753">
        <v>0.99505160000000004</v>
      </c>
      <c r="AB753">
        <v>39</v>
      </c>
      <c r="AC753">
        <v>0.80379999999996699</v>
      </c>
      <c r="AD753">
        <v>-5.8328999999999798E-2</v>
      </c>
      <c r="AE753">
        <v>-9.3899999999962305E-2</v>
      </c>
      <c r="AF753">
        <v>9.9495712950676898E-2</v>
      </c>
      <c r="AG753">
        <v>-5.8328999999999798E-2</v>
      </c>
      <c r="AH753">
        <v>0.79891199028345905</v>
      </c>
      <c r="AI753">
        <v>94.143887563861696</v>
      </c>
      <c r="AJ753">
        <v>82.900991230724898</v>
      </c>
      <c r="AK753">
        <v>0.80719392797223199</v>
      </c>
      <c r="AL753">
        <v>72.46161267139</v>
      </c>
      <c r="AM753">
        <v>94.441935744979801</v>
      </c>
      <c r="AN753">
        <v>0.99999997252377204</v>
      </c>
    </row>
    <row r="754" spans="1:40" x14ac:dyDescent="0.25">
      <c r="A754" t="str">
        <f>"20190304164112049"</f>
        <v>20190304164112049</v>
      </c>
      <c r="B754" t="str">
        <f>"1551688872042177"</f>
        <v>1551688872042177</v>
      </c>
      <c r="C754" t="s">
        <v>40</v>
      </c>
      <c r="D754">
        <v>4.2237910000000003</v>
      </c>
      <c r="E754">
        <v>0.58177199999999996</v>
      </c>
      <c r="F754" t="s">
        <v>42</v>
      </c>
      <c r="G754">
        <v>-337.14679999999998</v>
      </c>
      <c r="H754" s="1">
        <v>-2.0350130000000001E-6</v>
      </c>
      <c r="I754">
        <v>365.565</v>
      </c>
      <c r="J754">
        <v>-355.80220000000003</v>
      </c>
      <c r="K754">
        <v>1.1100429999999999</v>
      </c>
      <c r="L754">
        <v>367.31420000000003</v>
      </c>
      <c r="M754">
        <v>0.99989499999999998</v>
      </c>
      <c r="N754">
        <v>-1.233365E-2</v>
      </c>
      <c r="O754">
        <v>7.6073989999999999E-3</v>
      </c>
      <c r="P754">
        <v>0.95375239999999994</v>
      </c>
      <c r="Q754">
        <v>0.2894446</v>
      </c>
      <c r="R754">
        <v>8.1106540000000005E-2</v>
      </c>
      <c r="S754">
        <v>3.2289430000000001</v>
      </c>
      <c r="T754">
        <v>-0.19024070000000001</v>
      </c>
      <c r="U754">
        <v>-0.29953000000000002</v>
      </c>
      <c r="V754">
        <v>-7.3836360000000004E-2</v>
      </c>
      <c r="W754">
        <v>0.30119600000000002</v>
      </c>
      <c r="X754">
        <v>0.95069930000000002</v>
      </c>
      <c r="Y754">
        <v>9.9724450000000006E-2</v>
      </c>
      <c r="Z754">
        <v>-3.8992380000000002E-3</v>
      </c>
      <c r="AA754">
        <v>0.99500750000000004</v>
      </c>
      <c r="AB754">
        <v>39</v>
      </c>
      <c r="AC754">
        <v>18.6554</v>
      </c>
      <c r="AD754">
        <v>-1.110045035013</v>
      </c>
      <c r="AE754">
        <v>-1.7492000000000301</v>
      </c>
      <c r="AF754">
        <v>1.8844653258634301</v>
      </c>
      <c r="AG754">
        <v>-1.110045035013</v>
      </c>
      <c r="AH754">
        <v>18.576354696303898</v>
      </c>
      <c r="AI754">
        <v>93.402268882541605</v>
      </c>
      <c r="AJ754">
        <v>84.207485585487504</v>
      </c>
      <c r="AK754">
        <v>18.7046615405634</v>
      </c>
      <c r="AL754">
        <v>72.470548160465299</v>
      </c>
      <c r="AM754">
        <v>94.440979861352801</v>
      </c>
      <c r="AN754">
        <v>0.99999999874726897</v>
      </c>
    </row>
    <row r="755" spans="1:40" x14ac:dyDescent="0.25">
      <c r="A755" t="str">
        <f>"20190304164112060"</f>
        <v>20190304164112060</v>
      </c>
      <c r="B755" t="str">
        <f>"1551688872051937"</f>
        <v>1551688872051937</v>
      </c>
      <c r="C755" t="s">
        <v>40</v>
      </c>
      <c r="D755">
        <v>4.2574949999999996</v>
      </c>
      <c r="E755">
        <v>0.58187699999999998</v>
      </c>
      <c r="F755" t="s">
        <v>42</v>
      </c>
      <c r="G755">
        <v>-337.06619999999998</v>
      </c>
      <c r="H755" s="1">
        <v>-2.061721E-6</v>
      </c>
      <c r="I755">
        <v>365.5677</v>
      </c>
      <c r="J755">
        <v>-355.60570000000001</v>
      </c>
      <c r="K755">
        <v>1.1100460000000001</v>
      </c>
      <c r="L755">
        <v>367.31569999999999</v>
      </c>
      <c r="M755">
        <v>0.99989459999999997</v>
      </c>
      <c r="N755">
        <v>-1.2368499999999999E-2</v>
      </c>
      <c r="O755">
        <v>7.607361E-3</v>
      </c>
      <c r="P755">
        <v>0.95373920000000001</v>
      </c>
      <c r="Q755">
        <v>0.2894332</v>
      </c>
      <c r="R755">
        <v>8.130279E-2</v>
      </c>
      <c r="S755">
        <v>3.229095</v>
      </c>
      <c r="T755">
        <v>-0.19131200000000001</v>
      </c>
      <c r="U755">
        <v>-0.30099490000000001</v>
      </c>
      <c r="V755">
        <v>-7.4032559999999997E-2</v>
      </c>
      <c r="W755">
        <v>0.30121789999999998</v>
      </c>
      <c r="X755">
        <v>0.9506772</v>
      </c>
      <c r="Y755">
        <v>0.1001644</v>
      </c>
      <c r="Z755">
        <v>-3.9352049999999998E-3</v>
      </c>
      <c r="AA755">
        <v>0.99496309999999999</v>
      </c>
      <c r="AB755">
        <v>39</v>
      </c>
      <c r="AC755">
        <v>18.5395</v>
      </c>
      <c r="AD755">
        <v>-1.11004806172099</v>
      </c>
      <c r="AE755">
        <v>-1.74799999999999</v>
      </c>
      <c r="AF755">
        <v>1.8823082750671201</v>
      </c>
      <c r="AG755">
        <v>-1.11004806172099</v>
      </c>
      <c r="AH755">
        <v>18.4600687975943</v>
      </c>
      <c r="AI755">
        <v>93.423479827396207</v>
      </c>
      <c r="AJ755">
        <v>84.177873148639605</v>
      </c>
      <c r="AK755">
        <v>18.588959926624</v>
      </c>
      <c r="AL755">
        <v>72.469233939485605</v>
      </c>
      <c r="AM755">
        <v>94.452836254890499</v>
      </c>
      <c r="AN755">
        <v>1.00000009091019</v>
      </c>
    </row>
    <row r="756" spans="1:40" x14ac:dyDescent="0.25">
      <c r="A756" t="str">
        <f>"20190304164112072"</f>
        <v>20190304164112072</v>
      </c>
      <c r="B756" t="str">
        <f>"1551688872061697"</f>
        <v>1551688872061697</v>
      </c>
      <c r="C756" t="s">
        <v>40</v>
      </c>
      <c r="D756">
        <v>4.2688490000000003</v>
      </c>
      <c r="E756">
        <v>0.58199389999999995</v>
      </c>
      <c r="F756" t="s">
        <v>42</v>
      </c>
      <c r="G756">
        <v>-336.94159999999999</v>
      </c>
      <c r="H756" s="1">
        <v>-2.10237E-6</v>
      </c>
      <c r="I756">
        <v>365.57429999999999</v>
      </c>
      <c r="J756">
        <v>-355.40499999999997</v>
      </c>
      <c r="K756">
        <v>1.11005</v>
      </c>
      <c r="L756">
        <v>367.31720000000001</v>
      </c>
      <c r="M756">
        <v>0.99989430000000001</v>
      </c>
      <c r="N756">
        <v>-1.240309E-2</v>
      </c>
      <c r="O756">
        <v>7.607323E-3</v>
      </c>
      <c r="P756">
        <v>0.95380929999999997</v>
      </c>
      <c r="Q756">
        <v>0.28924139999999998</v>
      </c>
      <c r="R756">
        <v>8.1162999999999999E-2</v>
      </c>
      <c r="S756">
        <v>3.229492</v>
      </c>
      <c r="T756">
        <v>-0.1920724</v>
      </c>
      <c r="U756">
        <v>-0.30130000000000001</v>
      </c>
      <c r="V756">
        <v>-7.3892260000000001E-2</v>
      </c>
      <c r="W756">
        <v>0.301060099999999</v>
      </c>
      <c r="X756">
        <v>0.95073799999999997</v>
      </c>
      <c r="Y756">
        <v>0.1002444</v>
      </c>
      <c r="Z756">
        <v>-3.9526450000000003E-3</v>
      </c>
      <c r="AA756">
        <v>0.99495500000000003</v>
      </c>
      <c r="AB756">
        <v>39</v>
      </c>
      <c r="AC756">
        <v>18.463399999999901</v>
      </c>
      <c r="AD756">
        <v>-1.1100521023700001</v>
      </c>
      <c r="AE756">
        <v>-1.7429000000000101</v>
      </c>
      <c r="AF756">
        <v>1.8765941140797999</v>
      </c>
      <c r="AG756">
        <v>-1.1100521023700001</v>
      </c>
      <c r="AH756">
        <v>18.383742387180099</v>
      </c>
      <c r="AI756">
        <v>93.437633081249402</v>
      </c>
      <c r="AJ756">
        <v>84.171492529272896</v>
      </c>
      <c r="AK756">
        <v>18.512585051720201</v>
      </c>
      <c r="AL756">
        <v>72.478713642847296</v>
      </c>
      <c r="AM756">
        <v>94.444148388741993</v>
      </c>
      <c r="AN756">
        <v>0.99999999727195799</v>
      </c>
    </row>
    <row r="757" spans="1:40" x14ac:dyDescent="0.25">
      <c r="A757" t="str">
        <f>"20190304164112085"</f>
        <v>20190304164112085</v>
      </c>
      <c r="B757" t="str">
        <f>"1551688872072433"</f>
        <v>1551688872072433</v>
      </c>
      <c r="C757" t="s">
        <v>40</v>
      </c>
      <c r="D757">
        <v>4.2371290000000004</v>
      </c>
      <c r="E757">
        <v>0.58207580000000003</v>
      </c>
      <c r="F757" t="s">
        <v>42</v>
      </c>
      <c r="G757">
        <v>-336.83319999999998</v>
      </c>
      <c r="H757" s="1">
        <v>-2.1383579999999998E-6</v>
      </c>
      <c r="I757">
        <v>365.57760000000002</v>
      </c>
      <c r="J757">
        <v>-355.1902</v>
      </c>
      <c r="K757">
        <v>1.1100540000000001</v>
      </c>
      <c r="L757">
        <v>367.31880000000001</v>
      </c>
      <c r="M757">
        <v>0.9998937</v>
      </c>
      <c r="N757">
        <v>-1.243991E-2</v>
      </c>
      <c r="O757">
        <v>7.6073900000000003E-3</v>
      </c>
      <c r="P757">
        <v>0.95375010000000005</v>
      </c>
      <c r="Q757">
        <v>0.28942020000000002</v>
      </c>
      <c r="R757">
        <v>8.1221660000000001E-2</v>
      </c>
      <c r="S757">
        <v>3.2295229999999999</v>
      </c>
      <c r="T757">
        <v>-0.1930307</v>
      </c>
      <c r="U757">
        <v>-0.30249019999999999</v>
      </c>
      <c r="V757">
        <v>-7.3951420000000004E-2</v>
      </c>
      <c r="W757">
        <v>0.30127280000000001</v>
      </c>
      <c r="X757">
        <v>0.95066600000000001</v>
      </c>
      <c r="Y757">
        <v>0.1006042</v>
      </c>
      <c r="Z757">
        <v>-3.9841640000000001E-3</v>
      </c>
      <c r="AA757">
        <v>0.99491850000000004</v>
      </c>
      <c r="AB757">
        <v>39</v>
      </c>
      <c r="AC757">
        <v>18.356999999999999</v>
      </c>
      <c r="AD757">
        <v>-1.1100561383580001</v>
      </c>
      <c r="AE757">
        <v>-1.7411999999999901</v>
      </c>
      <c r="AF757">
        <v>1.8740176981224801</v>
      </c>
      <c r="AG757">
        <v>-1.1100561383580001</v>
      </c>
      <c r="AH757">
        <v>18.276984636679799</v>
      </c>
      <c r="AI757">
        <v>93.4575176199358</v>
      </c>
      <c r="AJ757">
        <v>84.145676601489399</v>
      </c>
      <c r="AK757">
        <v>18.4063123512726</v>
      </c>
      <c r="AL757">
        <v>72.465933119179496</v>
      </c>
      <c r="AM757">
        <v>94.448027714945994</v>
      </c>
      <c r="AN757">
        <v>0.99999997804792795</v>
      </c>
    </row>
    <row r="758" spans="1:40" x14ac:dyDescent="0.25">
      <c r="A758" t="str">
        <f>"20190304164112096"</f>
        <v>20190304164112096</v>
      </c>
      <c r="B758" t="str">
        <f>"1551688872082192"</f>
        <v>1551688872082192</v>
      </c>
      <c r="C758" t="s">
        <v>40</v>
      </c>
      <c r="D758">
        <v>4.2591609999999998</v>
      </c>
      <c r="E758">
        <v>0.58215360000000005</v>
      </c>
      <c r="F758" t="s">
        <v>41</v>
      </c>
      <c r="G758">
        <v>-354.15429999999998</v>
      </c>
      <c r="H758">
        <v>1.0483039999999999</v>
      </c>
      <c r="I758">
        <v>367.22129999999999</v>
      </c>
      <c r="J758">
        <v>-354.97969999999998</v>
      </c>
      <c r="K758">
        <v>1.1100589999999999</v>
      </c>
      <c r="L758">
        <v>367.32049999999998</v>
      </c>
      <c r="M758">
        <v>0.99989320000000004</v>
      </c>
      <c r="N758">
        <v>-1.2475780000000001E-2</v>
      </c>
      <c r="O758">
        <v>7.6075209999999999E-3</v>
      </c>
      <c r="P758">
        <v>0.95373149999999995</v>
      </c>
      <c r="Q758">
        <v>0.28952489999999997</v>
      </c>
      <c r="R758">
        <v>8.1064220000000006E-2</v>
      </c>
      <c r="S758">
        <v>3.2298279999999999</v>
      </c>
      <c r="T758">
        <v>-0.1928551</v>
      </c>
      <c r="U758">
        <v>-0.30273440000000001</v>
      </c>
      <c r="V758">
        <v>-7.3793440000000002E-2</v>
      </c>
      <c r="W758">
        <v>0.3014115</v>
      </c>
      <c r="X758">
        <v>0.95063430000000004</v>
      </c>
      <c r="Y758">
        <v>0.1006703</v>
      </c>
      <c r="Z758">
        <v>-3.9846220000000002E-3</v>
      </c>
      <c r="AA758">
        <v>0.99491180000000001</v>
      </c>
      <c r="AB758">
        <v>39</v>
      </c>
      <c r="AC758">
        <v>0.82540000000000102</v>
      </c>
      <c r="AD758">
        <v>-6.1754999999999699E-2</v>
      </c>
      <c r="AE758">
        <v>-9.9199999999996097E-2</v>
      </c>
      <c r="AF758">
        <v>0.104898031117024</v>
      </c>
      <c r="AG758">
        <v>-6.1754999999999699E-2</v>
      </c>
      <c r="AH758">
        <v>0.82009603959516797</v>
      </c>
      <c r="AI758">
        <v>94.2716962977603</v>
      </c>
      <c r="AJ758">
        <v>82.710908405344398</v>
      </c>
      <c r="AK758">
        <v>0.82908069035342202</v>
      </c>
      <c r="AL758">
        <v>72.457598603794494</v>
      </c>
      <c r="AM758">
        <v>94.438710967588506</v>
      </c>
      <c r="AN758">
        <v>0.99999996822788595</v>
      </c>
    </row>
    <row r="759" spans="1:40" x14ac:dyDescent="0.25">
      <c r="A759" t="str">
        <f>"20190304164112109"</f>
        <v>20190304164112109</v>
      </c>
      <c r="B759" t="str">
        <f>"1551688872101713"</f>
        <v>1551688872101713</v>
      </c>
      <c r="C759" t="s">
        <v>40</v>
      </c>
      <c r="D759">
        <v>4.2433269999999998</v>
      </c>
      <c r="E759">
        <v>0.58232680000000003</v>
      </c>
      <c r="F759" t="s">
        <v>42</v>
      </c>
      <c r="G759">
        <v>-336.45510000000002</v>
      </c>
      <c r="H759" s="1">
        <v>-2.2661269999999999E-6</v>
      </c>
      <c r="I759">
        <v>365.58109999999999</v>
      </c>
      <c r="J759">
        <v>-354.76029999999997</v>
      </c>
      <c r="K759">
        <v>1.110063</v>
      </c>
      <c r="L759">
        <v>367.32209999999998</v>
      </c>
      <c r="M759">
        <v>0.99989280000000003</v>
      </c>
      <c r="N759">
        <v>-1.2512499999999999E-2</v>
      </c>
      <c r="O759">
        <v>7.607646E-3</v>
      </c>
      <c r="P759">
        <v>0.95373030000000003</v>
      </c>
      <c r="Q759">
        <v>0.28952529999999999</v>
      </c>
      <c r="R759">
        <v>8.1077930000000006E-2</v>
      </c>
      <c r="S759">
        <v>3.2301030000000002</v>
      </c>
      <c r="T759">
        <v>-0.19355849999999999</v>
      </c>
      <c r="U759">
        <v>-0.30328369999999999</v>
      </c>
      <c r="V759">
        <v>-7.380755E-2</v>
      </c>
      <c r="W759">
        <v>0.30144660000000001</v>
      </c>
      <c r="X759">
        <v>0.95062210000000003</v>
      </c>
      <c r="Y759">
        <v>0.1008284</v>
      </c>
      <c r="Z759">
        <v>-4.0041649999999996E-3</v>
      </c>
      <c r="AA759">
        <v>0.9948958</v>
      </c>
      <c r="AB759">
        <v>39</v>
      </c>
      <c r="AC759">
        <v>18.3051999999999</v>
      </c>
      <c r="AD759">
        <v>-1.1100652661270001</v>
      </c>
      <c r="AE759">
        <v>-1.7409999999999799</v>
      </c>
      <c r="AF759">
        <v>1.8733924243528299</v>
      </c>
      <c r="AG759">
        <v>-1.1100652661270001</v>
      </c>
      <c r="AH759">
        <v>18.225003336853199</v>
      </c>
      <c r="AI759">
        <v>93.467292848444501</v>
      </c>
      <c r="AJ759">
        <v>84.131040561869199</v>
      </c>
      <c r="AK759">
        <v>18.354634038819601</v>
      </c>
      <c r="AL759">
        <v>72.455489852321904</v>
      </c>
      <c r="AM759">
        <v>94.439613046338494</v>
      </c>
      <c r="AN759">
        <v>0.999999992048486</v>
      </c>
    </row>
    <row r="760" spans="1:40" x14ac:dyDescent="0.25">
      <c r="A760" t="str">
        <f>"20190304164112123"</f>
        <v>20190304164112123</v>
      </c>
      <c r="B760" t="str">
        <f>"1551688872112449"</f>
        <v>1551688872112449</v>
      </c>
      <c r="C760" t="s">
        <v>40</v>
      </c>
      <c r="D760">
        <v>4.2615879999999997</v>
      </c>
      <c r="E760">
        <v>0.58242479999999996</v>
      </c>
      <c r="F760" t="s">
        <v>42</v>
      </c>
      <c r="G760">
        <v>-336.0942</v>
      </c>
      <c r="H760" s="1">
        <v>-2.395009E-6</v>
      </c>
      <c r="I760">
        <v>365.5582</v>
      </c>
      <c r="J760">
        <v>-354.53489999999999</v>
      </c>
      <c r="K760">
        <v>1.1100680000000001</v>
      </c>
      <c r="L760">
        <v>367.32389999999998</v>
      </c>
      <c r="M760">
        <v>0.99989229999999996</v>
      </c>
      <c r="N760">
        <v>-1.254984E-2</v>
      </c>
      <c r="O760">
        <v>7.6077069999999896E-3</v>
      </c>
      <c r="P760">
        <v>0.95369179999999998</v>
      </c>
      <c r="Q760">
        <v>0.2895778</v>
      </c>
      <c r="R760">
        <v>8.1343159999999998E-2</v>
      </c>
      <c r="S760">
        <v>3.2298580000000001</v>
      </c>
      <c r="T760">
        <v>-0.1920782</v>
      </c>
      <c r="U760">
        <v>-0.30520629999999999</v>
      </c>
      <c r="V760">
        <v>-7.4072840000000001E-2</v>
      </c>
      <c r="W760">
        <v>0.30153429999999998</v>
      </c>
      <c r="X760">
        <v>0.95057369999999997</v>
      </c>
      <c r="Y760">
        <v>0.1014243</v>
      </c>
      <c r="Z760">
        <v>-4.0009009999999899E-3</v>
      </c>
      <c r="AA760">
        <v>0.99483520000000003</v>
      </c>
      <c r="AB760">
        <v>39</v>
      </c>
      <c r="AC760">
        <v>18.4407</v>
      </c>
      <c r="AD760">
        <v>-1.1100703950090001</v>
      </c>
      <c r="AE760">
        <v>-1.7656999999999801</v>
      </c>
      <c r="AF760">
        <v>1.89913211657543</v>
      </c>
      <c r="AG760">
        <v>-1.1100703950090001</v>
      </c>
      <c r="AH760">
        <v>18.360803589453099</v>
      </c>
      <c r="AI760">
        <v>93.441501025444097</v>
      </c>
      <c r="AJ760">
        <v>84.094665832787399</v>
      </c>
      <c r="AK760">
        <v>18.492108249968599</v>
      </c>
      <c r="AL760">
        <v>72.450220650601594</v>
      </c>
      <c r="AM760">
        <v>94.455732365933201</v>
      </c>
      <c r="AN760">
        <v>1.00000003941692</v>
      </c>
    </row>
    <row r="761" spans="1:40" x14ac:dyDescent="0.25">
      <c r="A761" t="str">
        <f>"20190304164112134"</f>
        <v>20190304164112134</v>
      </c>
      <c r="B761" t="str">
        <f>"1551688872122211"</f>
        <v>1551688872122211</v>
      </c>
      <c r="C761" t="s">
        <v>40</v>
      </c>
      <c r="D761">
        <v>4.2476029999999998</v>
      </c>
      <c r="E761">
        <v>0.58247329999999997</v>
      </c>
      <c r="F761" t="s">
        <v>41</v>
      </c>
      <c r="G761">
        <v>-353.46480000000003</v>
      </c>
      <c r="H761">
        <v>1.0466359999999999</v>
      </c>
      <c r="I761">
        <v>367.22230000000002</v>
      </c>
      <c r="J761">
        <v>-354.33049999999997</v>
      </c>
      <c r="K761">
        <v>1.1100730000000001</v>
      </c>
      <c r="L761">
        <v>367.3254</v>
      </c>
      <c r="M761">
        <v>0.99989189999999994</v>
      </c>
      <c r="N761">
        <v>-1.2585799999999999E-2</v>
      </c>
      <c r="O761">
        <v>7.6078359999999998E-3</v>
      </c>
      <c r="P761">
        <v>0.9536635</v>
      </c>
      <c r="Q761">
        <v>0.2896107</v>
      </c>
      <c r="R761">
        <v>8.1557450000000004E-2</v>
      </c>
      <c r="S761">
        <v>3.2299500000000001</v>
      </c>
      <c r="T761">
        <v>-0.1917112</v>
      </c>
      <c r="U761">
        <v>-0.30560300000000001</v>
      </c>
      <c r="V761">
        <v>-7.4287399999999906E-2</v>
      </c>
      <c r="W761">
        <v>0.3016007</v>
      </c>
      <c r="X761">
        <v>0.95053580000000004</v>
      </c>
      <c r="Y761">
        <v>0.1015433</v>
      </c>
      <c r="Z761">
        <v>-4.0000280000000001E-3</v>
      </c>
      <c r="AA761">
        <v>0.99482309999999996</v>
      </c>
      <c r="AB761">
        <v>39</v>
      </c>
      <c r="AC761">
        <v>0.86569999999994696</v>
      </c>
      <c r="AD761">
        <v>-6.3436999999999702E-2</v>
      </c>
      <c r="AE761">
        <v>-0.103099999999983</v>
      </c>
      <c r="AF761">
        <v>0.109105967361515</v>
      </c>
      <c r="AG761">
        <v>-6.3436999999999702E-2</v>
      </c>
      <c r="AH761">
        <v>0.86033537310187302</v>
      </c>
      <c r="AI761">
        <v>94.183696005738696</v>
      </c>
      <c r="AJ761">
        <v>82.772448378496193</v>
      </c>
      <c r="AK761">
        <v>0.86954316700968404</v>
      </c>
      <c r="AL761">
        <v>72.446228890268401</v>
      </c>
      <c r="AM761">
        <v>94.468764129189495</v>
      </c>
      <c r="AN761">
        <v>0.99999995356044302</v>
      </c>
    </row>
    <row r="762" spans="1:40" x14ac:dyDescent="0.25">
      <c r="A762" t="str">
        <f>"20190304164112149"</f>
        <v>20190304164112149</v>
      </c>
      <c r="B762" t="str">
        <f>"1551688872141729"</f>
        <v>1551688872141729</v>
      </c>
      <c r="C762" t="s">
        <v>40</v>
      </c>
      <c r="D762">
        <v>4.2478030000000002</v>
      </c>
      <c r="E762">
        <v>0.5825825</v>
      </c>
      <c r="F762" t="s">
        <v>42</v>
      </c>
      <c r="G762">
        <v>-335.60969999999998</v>
      </c>
      <c r="H762" s="1">
        <v>-2.586788E-6</v>
      </c>
      <c r="I762">
        <v>365.55149999999998</v>
      </c>
      <c r="J762">
        <v>-354.07440000000003</v>
      </c>
      <c r="K762">
        <v>1.1100730000000001</v>
      </c>
      <c r="L762">
        <v>367.32729999999998</v>
      </c>
      <c r="M762">
        <v>0.99989130000000004</v>
      </c>
      <c r="N762">
        <v>-1.2632869999999999E-2</v>
      </c>
      <c r="O762">
        <v>7.6080130000000003E-3</v>
      </c>
      <c r="P762">
        <v>0.95368779999999997</v>
      </c>
      <c r="Q762">
        <v>0.28953099999999998</v>
      </c>
      <c r="R762">
        <v>8.1557299999999999E-2</v>
      </c>
      <c r="S762">
        <v>3.2300719999999998</v>
      </c>
      <c r="T762">
        <v>-0.19153120000000001</v>
      </c>
      <c r="U762">
        <v>-0.30606080000000002</v>
      </c>
      <c r="V762">
        <v>-7.4286450000000004E-2</v>
      </c>
      <c r="W762">
        <v>0.301566099999999</v>
      </c>
      <c r="X762">
        <v>0.95054689999999997</v>
      </c>
      <c r="Y762">
        <v>0.1016797</v>
      </c>
      <c r="Z762">
        <v>-4.0035849999999996E-3</v>
      </c>
      <c r="AA762">
        <v>0.99480919999999895</v>
      </c>
      <c r="AB762">
        <v>39</v>
      </c>
      <c r="AC762">
        <v>18.464700000000001</v>
      </c>
      <c r="AD762">
        <v>-1.1100755867879999</v>
      </c>
      <c r="AE762">
        <v>-1.7758</v>
      </c>
      <c r="AF762">
        <v>1.90940163196612</v>
      </c>
      <c r="AG762">
        <v>-1.1100755867879999</v>
      </c>
      <c r="AH762">
        <v>18.3848154025798</v>
      </c>
      <c r="AI762">
        <v>93.4368841119596</v>
      </c>
      <c r="AJ762">
        <v>84.0706592492364</v>
      </c>
      <c r="AK762">
        <v>18.517006231771699</v>
      </c>
      <c r="AL762">
        <v>72.448308961650596</v>
      </c>
      <c r="AM762">
        <v>94.468655241424798</v>
      </c>
      <c r="AN762">
        <v>0.99999999921121097</v>
      </c>
    </row>
    <row r="763" spans="1:40" x14ac:dyDescent="0.25">
      <c r="A763" t="str">
        <f>"20190304164112160"</f>
        <v>20190304164112160</v>
      </c>
      <c r="B763" t="str">
        <f>"1551688872152464"</f>
        <v>1551688872152464</v>
      </c>
      <c r="C763" t="s">
        <v>40</v>
      </c>
      <c r="D763">
        <v>4.264157</v>
      </c>
      <c r="E763">
        <v>0.58264830000000001</v>
      </c>
      <c r="F763" t="s">
        <v>42</v>
      </c>
      <c r="G763">
        <v>-335.38959999999997</v>
      </c>
      <c r="H763" s="1">
        <v>-2.6810860000000001E-6</v>
      </c>
      <c r="I763">
        <v>365.5523</v>
      </c>
      <c r="J763">
        <v>-353.88350000000003</v>
      </c>
      <c r="K763">
        <v>1.110079</v>
      </c>
      <c r="L763">
        <v>367.3288</v>
      </c>
      <c r="M763">
        <v>0.99989090000000003</v>
      </c>
      <c r="N763">
        <v>-1.266952E-2</v>
      </c>
      <c r="O763">
        <v>7.6081359999999997E-3</v>
      </c>
      <c r="P763">
        <v>0.95375209999999999</v>
      </c>
      <c r="Q763">
        <v>0.28934539999999997</v>
      </c>
      <c r="R763">
        <v>8.1465099999999999E-2</v>
      </c>
      <c r="S763">
        <v>3.2301639999999998</v>
      </c>
      <c r="T763">
        <v>-0.1919053</v>
      </c>
      <c r="U763">
        <v>-0.30685420000000002</v>
      </c>
      <c r="V763">
        <v>-7.4194040000000003E-2</v>
      </c>
      <c r="W763">
        <v>0.30141649999999998</v>
      </c>
      <c r="X763">
        <v>0.95060160000000005</v>
      </c>
      <c r="Y763">
        <v>0.10191799999999999</v>
      </c>
      <c r="Z763">
        <v>-4.0203620000000004E-3</v>
      </c>
      <c r="AA763">
        <v>0.99478469999999997</v>
      </c>
      <c r="AB763">
        <v>39</v>
      </c>
      <c r="AC763">
        <v>18.4939</v>
      </c>
      <c r="AD763">
        <v>-1.1100816810859999</v>
      </c>
      <c r="AE763">
        <v>-1.77649999999999</v>
      </c>
      <c r="AF763">
        <v>1.91034410085662</v>
      </c>
      <c r="AG763">
        <v>-1.1100816810859999</v>
      </c>
      <c r="AH763">
        <v>18.4141100045481</v>
      </c>
      <c r="AI763">
        <v>93.431488409075399</v>
      </c>
      <c r="AJ763">
        <v>84.077123766955097</v>
      </c>
      <c r="AK763">
        <v>18.5461894517974</v>
      </c>
      <c r="AL763">
        <v>72.457299306631299</v>
      </c>
      <c r="AM763">
        <v>94.462863067147396</v>
      </c>
      <c r="AN763">
        <v>1.0000000319831599</v>
      </c>
    </row>
    <row r="764" spans="1:40" x14ac:dyDescent="0.25">
      <c r="A764" t="str">
        <f>"20190304164112171"</f>
        <v>20190304164112171</v>
      </c>
      <c r="B764" t="str">
        <f>"1551688872162226"</f>
        <v>1551688872162226</v>
      </c>
      <c r="C764" t="s">
        <v>40</v>
      </c>
      <c r="D764">
        <v>4.2509969999999999</v>
      </c>
      <c r="E764">
        <v>0.58270140000000004</v>
      </c>
      <c r="F764" t="s">
        <v>42</v>
      </c>
      <c r="G764">
        <v>-335.33749999999998</v>
      </c>
      <c r="H764" s="1">
        <v>-2.7013790000000001E-6</v>
      </c>
      <c r="I764">
        <v>365.56389999999999</v>
      </c>
      <c r="J764">
        <v>-353.69389999999999</v>
      </c>
      <c r="K764">
        <v>1.1100939999999999</v>
      </c>
      <c r="L764">
        <v>367.33019999999999</v>
      </c>
      <c r="M764">
        <v>0.99989039999999996</v>
      </c>
      <c r="N764">
        <v>-1.271136E-2</v>
      </c>
      <c r="O764">
        <v>7.6080469999999997E-3</v>
      </c>
      <c r="P764">
        <v>0.95372420000000002</v>
      </c>
      <c r="Q764">
        <v>0.28950049999999999</v>
      </c>
      <c r="R764">
        <v>8.1240099999999996E-2</v>
      </c>
      <c r="S764">
        <v>3.2303470000000001</v>
      </c>
      <c r="T764">
        <v>-0.19335340000000001</v>
      </c>
      <c r="U764">
        <v>-0.307403599999999</v>
      </c>
      <c r="V764">
        <v>-7.3969419999999994E-2</v>
      </c>
      <c r="W764">
        <v>0.30161110000000002</v>
      </c>
      <c r="X764">
        <v>0.9505574</v>
      </c>
      <c r="Y764">
        <v>0.1020766</v>
      </c>
      <c r="Z764">
        <v>-4.0538479999999997E-3</v>
      </c>
      <c r="AA764">
        <v>0.99476830000000005</v>
      </c>
      <c r="AB764">
        <v>39</v>
      </c>
      <c r="AC764">
        <v>18.356400000000001</v>
      </c>
      <c r="AD764">
        <v>-1.110096701379</v>
      </c>
      <c r="AE764">
        <v>-1.7663</v>
      </c>
      <c r="AF764">
        <v>1.8990350872639601</v>
      </c>
      <c r="AG764">
        <v>-1.110096701379</v>
      </c>
      <c r="AH764">
        <v>18.276203242079301</v>
      </c>
      <c r="AI764">
        <v>93.457307375903298</v>
      </c>
      <c r="AJ764">
        <v>84.067825552797899</v>
      </c>
      <c r="AK764">
        <v>18.4081029412284</v>
      </c>
      <c r="AL764">
        <v>72.445605671465302</v>
      </c>
      <c r="AM764">
        <v>94.449612295659094</v>
      </c>
      <c r="AN764">
        <v>1.0000000507165501</v>
      </c>
    </row>
    <row r="765" spans="1:40" x14ac:dyDescent="0.25">
      <c r="A765" t="str">
        <f>"20190304164112182"</f>
        <v>20190304164112182</v>
      </c>
      <c r="B765" t="str">
        <f>"1551688872171985"</f>
        <v>1551688872171985</v>
      </c>
      <c r="C765" t="s">
        <v>40</v>
      </c>
      <c r="D765">
        <v>4.2607619999999997</v>
      </c>
      <c r="E765">
        <v>0.58275319999999997</v>
      </c>
      <c r="F765" t="s">
        <v>42</v>
      </c>
      <c r="G765">
        <v>-335.1533</v>
      </c>
      <c r="H765" s="1">
        <v>-2.7809360000000001E-6</v>
      </c>
      <c r="I765">
        <v>365.56079999999997</v>
      </c>
      <c r="J765">
        <v>-353.50020000000001</v>
      </c>
      <c r="K765">
        <v>1.1101049999999999</v>
      </c>
      <c r="L765">
        <v>367.33170000000001</v>
      </c>
      <c r="M765">
        <v>0.9998899</v>
      </c>
      <c r="N765">
        <v>-1.275565E-2</v>
      </c>
      <c r="O765">
        <v>7.608119E-3</v>
      </c>
      <c r="P765">
        <v>0.95378969999999996</v>
      </c>
      <c r="Q765">
        <v>0.28930489999999998</v>
      </c>
      <c r="R765">
        <v>8.1168240000000003E-2</v>
      </c>
      <c r="S765">
        <v>3.2305299999999999</v>
      </c>
      <c r="T765">
        <v>-0.19342280000000001</v>
      </c>
      <c r="U765">
        <v>-0.30828860000000002</v>
      </c>
      <c r="V765">
        <v>-7.3897030000000002E-2</v>
      </c>
      <c r="W765">
        <v>0.3014579</v>
      </c>
      <c r="X765">
        <v>0.9506116</v>
      </c>
      <c r="Y765">
        <v>0.10234070000000001</v>
      </c>
      <c r="Z765">
        <v>-4.0663720000000004E-3</v>
      </c>
      <c r="AA765">
        <v>0.99474110000000004</v>
      </c>
      <c r="AB765">
        <v>39</v>
      </c>
      <c r="AC765">
        <v>18.346900000000002</v>
      </c>
      <c r="AD765">
        <v>-1.1101077809359901</v>
      </c>
      <c r="AE765">
        <v>-1.7709000000000299</v>
      </c>
      <c r="AF765">
        <v>1.9035408477619</v>
      </c>
      <c r="AG765">
        <v>-1.1101077809359901</v>
      </c>
      <c r="AH765">
        <v>18.266636951950801</v>
      </c>
      <c r="AI765">
        <v>93.459041070479799</v>
      </c>
      <c r="AJ765">
        <v>84.050759571505296</v>
      </c>
      <c r="AK765">
        <v>18.399071514040202</v>
      </c>
      <c r="AL765">
        <v>72.454811424478294</v>
      </c>
      <c r="AM765">
        <v>94.445022719432103</v>
      </c>
      <c r="AN765">
        <v>1.00000002528489</v>
      </c>
    </row>
    <row r="766" spans="1:40" x14ac:dyDescent="0.25">
      <c r="A766" t="str">
        <f>"20190304164112193"</f>
        <v>20190304164112193</v>
      </c>
      <c r="B766" t="str">
        <f>"1551688872181745"</f>
        <v>1551688872181745</v>
      </c>
      <c r="C766" t="s">
        <v>40</v>
      </c>
      <c r="D766">
        <v>4.2463309999999996</v>
      </c>
      <c r="E766">
        <v>0.58282829999999997</v>
      </c>
      <c r="F766" t="s">
        <v>41</v>
      </c>
      <c r="G766">
        <v>-352.4314</v>
      </c>
      <c r="H766">
        <v>1.0456319999999999</v>
      </c>
      <c r="I766">
        <v>367.2296</v>
      </c>
      <c r="J766">
        <v>-353.31259999999997</v>
      </c>
      <c r="K766">
        <v>1.110115</v>
      </c>
      <c r="L766">
        <v>367.3331</v>
      </c>
      <c r="M766">
        <v>0.99988900000000003</v>
      </c>
      <c r="N766">
        <v>-1.280762E-2</v>
      </c>
      <c r="O766">
        <v>7.6084389999999998E-3</v>
      </c>
      <c r="P766">
        <v>0.95382509999999998</v>
      </c>
      <c r="Q766">
        <v>0.28916029999999998</v>
      </c>
      <c r="R766">
        <v>8.1265470000000006E-2</v>
      </c>
      <c r="S766">
        <v>3.2307130000000002</v>
      </c>
      <c r="T766">
        <v>-0.1949284</v>
      </c>
      <c r="U766">
        <v>-0.30853269999999999</v>
      </c>
      <c r="V766">
        <v>-7.3993180000000006E-2</v>
      </c>
      <c r="W766">
        <v>0.3013633</v>
      </c>
      <c r="X766">
        <v>0.95063410000000004</v>
      </c>
      <c r="Y766">
        <v>0.1024066</v>
      </c>
      <c r="Z766">
        <v>-4.0981289999999998E-3</v>
      </c>
      <c r="AA766">
        <v>0.99473420000000001</v>
      </c>
      <c r="AB766">
        <v>39</v>
      </c>
      <c r="AC766">
        <v>0.881199999999978</v>
      </c>
      <c r="AD766">
        <v>-6.4482999999999999E-2</v>
      </c>
      <c r="AE766">
        <v>-0.103499999999996</v>
      </c>
      <c r="AF766">
        <v>0.10962309078013099</v>
      </c>
      <c r="AG766">
        <v>-6.4482999999999999E-2</v>
      </c>
      <c r="AH766">
        <v>0.875761257366237</v>
      </c>
      <c r="AI766">
        <v>94.178641891879394</v>
      </c>
      <c r="AJ766">
        <v>82.865132269974893</v>
      </c>
      <c r="AK766">
        <v>0.88494805453477399</v>
      </c>
      <c r="AL766">
        <v>72.4604957034298</v>
      </c>
      <c r="AM766">
        <v>94.450678150105702</v>
      </c>
      <c r="AN766">
        <v>1.0000000106781</v>
      </c>
    </row>
    <row r="767" spans="1:40" x14ac:dyDescent="0.25">
      <c r="A767" t="str">
        <f>"20190304164112205"</f>
        <v>20190304164112205</v>
      </c>
      <c r="B767" t="str">
        <f>"1551688872192482"</f>
        <v>1551688872192482</v>
      </c>
      <c r="C767" t="s">
        <v>40</v>
      </c>
      <c r="D767">
        <v>4.2466549999999996</v>
      </c>
      <c r="E767">
        <v>0.58289480000000005</v>
      </c>
      <c r="F767" t="s">
        <v>42</v>
      </c>
      <c r="G767">
        <v>-335.0299</v>
      </c>
      <c r="H767" s="1">
        <v>-2.8293300000000001E-6</v>
      </c>
      <c r="I767">
        <v>365.58629999999999</v>
      </c>
      <c r="J767">
        <v>-353.11340000000001</v>
      </c>
      <c r="K767">
        <v>1.1101259999999999</v>
      </c>
      <c r="L767">
        <v>367.3347</v>
      </c>
      <c r="M767">
        <v>0.99988829999999995</v>
      </c>
      <c r="N767">
        <v>-1.286468E-2</v>
      </c>
      <c r="O767">
        <v>7.6085459999999999E-3</v>
      </c>
      <c r="P767">
        <v>0.95388039999999996</v>
      </c>
      <c r="Q767">
        <v>0.28899000000000002</v>
      </c>
      <c r="R767">
        <v>8.1223649999999994E-2</v>
      </c>
      <c r="S767">
        <v>3.2309570000000001</v>
      </c>
      <c r="T767">
        <v>-0.19618189999999999</v>
      </c>
      <c r="U767">
        <v>-0.3086853</v>
      </c>
      <c r="V767">
        <v>-7.3951119999999995E-2</v>
      </c>
      <c r="W767">
        <v>0.30124780000000001</v>
      </c>
      <c r="X767">
        <v>0.95067389999999996</v>
      </c>
      <c r="Y767">
        <v>0.1024432</v>
      </c>
      <c r="Z767">
        <v>-4.124417E-3</v>
      </c>
      <c r="AA767">
        <v>0.99473029999999996</v>
      </c>
      <c r="AB767">
        <v>39</v>
      </c>
      <c r="AC767">
        <v>18.083500000000001</v>
      </c>
      <c r="AD767">
        <v>-1.11012882933</v>
      </c>
      <c r="AE767">
        <v>-1.7484</v>
      </c>
      <c r="AF767">
        <v>1.8789345105439901</v>
      </c>
      <c r="AG767">
        <v>-1.11012882933</v>
      </c>
      <c r="AH767">
        <v>18.0024565991244</v>
      </c>
      <c r="AI767">
        <v>93.509683161073596</v>
      </c>
      <c r="AJ767">
        <v>84.041555067401205</v>
      </c>
      <c r="AK767">
        <v>18.134255554501902</v>
      </c>
      <c r="AL767">
        <v>72.467434516618397</v>
      </c>
      <c r="AM767">
        <v>94.447972928804802</v>
      </c>
      <c r="AN767">
        <v>0.99999993464765002</v>
      </c>
    </row>
    <row r="768" spans="1:40" x14ac:dyDescent="0.25">
      <c r="A768" t="str">
        <f>"20190304164112216"</f>
        <v>20190304164112216</v>
      </c>
      <c r="B768" t="str">
        <f>"1551688872202241"</f>
        <v>1551688872202241</v>
      </c>
      <c r="C768" t="s">
        <v>40</v>
      </c>
      <c r="D768">
        <v>4.2594900000000004</v>
      </c>
      <c r="E768">
        <v>0.58297030000000005</v>
      </c>
      <c r="F768" t="s">
        <v>41</v>
      </c>
      <c r="G768">
        <v>-352.08589999999998</v>
      </c>
      <c r="H768">
        <v>1.0476570000000001</v>
      </c>
      <c r="I768">
        <v>367.23579999999998</v>
      </c>
      <c r="J768">
        <v>-352.9119</v>
      </c>
      <c r="K768">
        <v>1.110139</v>
      </c>
      <c r="L768">
        <v>367.33620000000002</v>
      </c>
      <c r="M768">
        <v>0.99988759999999999</v>
      </c>
      <c r="N768">
        <v>-1.2927620000000001E-2</v>
      </c>
      <c r="O768">
        <v>7.608493E-3</v>
      </c>
      <c r="P768">
        <v>0.95392880000000002</v>
      </c>
      <c r="Q768">
        <v>0.28887970000000002</v>
      </c>
      <c r="R768">
        <v>8.1047620000000001E-2</v>
      </c>
      <c r="S768">
        <v>3.2310180000000002</v>
      </c>
      <c r="T768">
        <v>-0.19680249999999999</v>
      </c>
      <c r="U768">
        <v>-0.3094788</v>
      </c>
      <c r="V768">
        <v>-7.3775110000000005E-2</v>
      </c>
      <c r="W768">
        <v>0.30119780000000002</v>
      </c>
      <c r="X768">
        <v>0.95070350000000003</v>
      </c>
      <c r="Y768">
        <v>0.1026813</v>
      </c>
      <c r="Z768">
        <v>-4.1470969999999998E-3</v>
      </c>
      <c r="AA768">
        <v>0.99470570000000003</v>
      </c>
      <c r="AB768">
        <v>39</v>
      </c>
      <c r="AC768">
        <v>0.82600000000002105</v>
      </c>
      <c r="AD768">
        <v>-6.2481999999999899E-2</v>
      </c>
      <c r="AE768">
        <v>-0.100400000000036</v>
      </c>
      <c r="AF768">
        <v>0.106084055219518</v>
      </c>
      <c r="AG768">
        <v>-6.2481999999999899E-2</v>
      </c>
      <c r="AH768">
        <v>0.82058508407137798</v>
      </c>
      <c r="AI768">
        <v>94.318483586054398</v>
      </c>
      <c r="AJ768">
        <v>82.633740314129795</v>
      </c>
      <c r="AK768">
        <v>0.82976967123187195</v>
      </c>
      <c r="AL768">
        <v>72.470440267961706</v>
      </c>
      <c r="AM768">
        <v>94.437291097934093</v>
      </c>
      <c r="AN768">
        <v>1.0000000132463001</v>
      </c>
    </row>
    <row r="769" spans="1:40" x14ac:dyDescent="0.25">
      <c r="A769" t="str">
        <f>"20190304164112228"</f>
        <v>20190304164112228</v>
      </c>
      <c r="B769" t="str">
        <f>"1551688872221761"</f>
        <v>1551688872221761</v>
      </c>
      <c r="C769" t="s">
        <v>40</v>
      </c>
      <c r="D769">
        <v>4.2798089999999904</v>
      </c>
      <c r="E769">
        <v>0.58309630000000001</v>
      </c>
      <c r="F769" t="s">
        <v>42</v>
      </c>
      <c r="G769">
        <v>-334.7527</v>
      </c>
      <c r="H769" s="1">
        <v>-2.9478599999999999E-6</v>
      </c>
      <c r="I769">
        <v>365.58859999999999</v>
      </c>
      <c r="J769">
        <v>-352.71769999999998</v>
      </c>
      <c r="K769">
        <v>1.110152</v>
      </c>
      <c r="L769">
        <v>367.33769999999998</v>
      </c>
      <c r="M769">
        <v>0.99988659999999996</v>
      </c>
      <c r="N769">
        <v>-1.2992119999999999E-2</v>
      </c>
      <c r="O769">
        <v>7.6087269999999896E-3</v>
      </c>
      <c r="P769">
        <v>0.95396259999999999</v>
      </c>
      <c r="Q769">
        <v>0.28870849999999998</v>
      </c>
      <c r="R769">
        <v>8.125773E-2</v>
      </c>
      <c r="S769">
        <v>3.2311399999999999</v>
      </c>
      <c r="T769">
        <v>-0.19753100000000001</v>
      </c>
      <c r="U769">
        <v>-0.31094359999999999</v>
      </c>
      <c r="V769">
        <v>-7.3984499999999995E-2</v>
      </c>
      <c r="W769">
        <v>0.30108869999999999</v>
      </c>
      <c r="X769">
        <v>0.95072179999999995</v>
      </c>
      <c r="Y769">
        <v>0.10312200000000001</v>
      </c>
      <c r="Z769">
        <v>-4.1792770000000003E-3</v>
      </c>
      <c r="AA769">
        <v>0.99465999999999999</v>
      </c>
      <c r="AB769">
        <v>39</v>
      </c>
      <c r="AC769">
        <v>17.9649999999999</v>
      </c>
      <c r="AD769">
        <v>-1.1101549478599999</v>
      </c>
      <c r="AE769">
        <v>-1.7490999999999901</v>
      </c>
      <c r="AF769">
        <v>1.8786451148282199</v>
      </c>
      <c r="AG769">
        <v>-1.1101549478599999</v>
      </c>
      <c r="AH769">
        <v>17.883520247575699</v>
      </c>
      <c r="AI769">
        <v>93.532801239232498</v>
      </c>
      <c r="AJ769">
        <v>84.003132733595393</v>
      </c>
      <c r="AK769">
        <v>18.016160743098901</v>
      </c>
      <c r="AL769">
        <v>72.476995775561306</v>
      </c>
      <c r="AM769">
        <v>94.4497492875917</v>
      </c>
      <c r="AN769">
        <v>1.00000002625158</v>
      </c>
    </row>
    <row r="770" spans="1:40" x14ac:dyDescent="0.25">
      <c r="A770" t="str">
        <f>"20190304164112239"</f>
        <v>20190304164112239</v>
      </c>
      <c r="B770" t="str">
        <f>"1551688872232497"</f>
        <v>1551688872232497</v>
      </c>
      <c r="C770" t="s">
        <v>40</v>
      </c>
      <c r="D770">
        <v>4.2654730000000001</v>
      </c>
      <c r="E770">
        <v>0.58316369999999995</v>
      </c>
      <c r="F770" t="s">
        <v>41</v>
      </c>
      <c r="G770">
        <v>-351.73989999999998</v>
      </c>
      <c r="H770">
        <v>1.0502929999999999</v>
      </c>
      <c r="I770">
        <v>367.24310000000003</v>
      </c>
      <c r="J770">
        <v>-352.52710000000002</v>
      </c>
      <c r="K770">
        <v>1.1101559999999999</v>
      </c>
      <c r="L770">
        <v>367.33909999999997</v>
      </c>
      <c r="M770">
        <v>0.99988580000000005</v>
      </c>
      <c r="N770">
        <v>-1.30586E-2</v>
      </c>
      <c r="O770">
        <v>7.608826E-3</v>
      </c>
      <c r="P770">
        <v>0.95391599999999999</v>
      </c>
      <c r="Q770">
        <v>0.28885300000000003</v>
      </c>
      <c r="R770">
        <v>8.1291589999999997E-2</v>
      </c>
      <c r="S770">
        <v>3.231201</v>
      </c>
      <c r="T770">
        <v>-0.1979861</v>
      </c>
      <c r="U770">
        <v>-0.31164550000000002</v>
      </c>
      <c r="V770">
        <v>-7.4018849999999997E-2</v>
      </c>
      <c r="W770">
        <v>0.30129610000000001</v>
      </c>
      <c r="X770">
        <v>0.95065339999999998</v>
      </c>
      <c r="Y770">
        <v>0.1033327</v>
      </c>
      <c r="Z770">
        <v>-4.1982310000000002E-3</v>
      </c>
      <c r="AA770">
        <v>0.99463800000000002</v>
      </c>
      <c r="AB770">
        <v>38</v>
      </c>
      <c r="AC770">
        <v>0.78720000000004098</v>
      </c>
      <c r="AD770">
        <v>-5.9863E-2</v>
      </c>
      <c r="AE770">
        <v>-9.5999999999946795E-2</v>
      </c>
      <c r="AF770">
        <v>0.101409550104887</v>
      </c>
      <c r="AG770">
        <v>-5.9863E-2</v>
      </c>
      <c r="AH770">
        <v>0.78199078192258298</v>
      </c>
      <c r="AI770">
        <v>94.341359815909101</v>
      </c>
      <c r="AJ770">
        <v>82.611047539048897</v>
      </c>
      <c r="AK770">
        <v>0.79080785190422098</v>
      </c>
      <c r="AL770">
        <v>72.464533624360897</v>
      </c>
      <c r="AM770">
        <v>94.452125964929394</v>
      </c>
      <c r="AN770">
        <v>1.0000000084810401</v>
      </c>
    </row>
    <row r="771" spans="1:40" x14ac:dyDescent="0.25">
      <c r="A771" t="str">
        <f>"20190304164112250"</f>
        <v>20190304164112250</v>
      </c>
      <c r="B771" t="str">
        <f>"1551688872242257"</f>
        <v>1551688872242257</v>
      </c>
      <c r="C771" t="s">
        <v>40</v>
      </c>
      <c r="D771">
        <v>4.2566369999999996</v>
      </c>
      <c r="E771">
        <v>0.58326420000000001</v>
      </c>
      <c r="F771" t="s">
        <v>42</v>
      </c>
      <c r="G771">
        <v>-334.36160000000001</v>
      </c>
      <c r="H771" s="1">
        <v>-3.116802E-6</v>
      </c>
      <c r="I771">
        <v>365.58199999999999</v>
      </c>
      <c r="J771">
        <v>-352.34379999999999</v>
      </c>
      <c r="K771">
        <v>1.110168</v>
      </c>
      <c r="L771">
        <v>367.34050000000002</v>
      </c>
      <c r="M771">
        <v>0.99988480000000002</v>
      </c>
      <c r="N771">
        <v>-1.313019E-2</v>
      </c>
      <c r="O771">
        <v>7.6088290000000001E-3</v>
      </c>
      <c r="P771">
        <v>0.95394429999999997</v>
      </c>
      <c r="Q771">
        <v>0.28883389999999998</v>
      </c>
      <c r="R771">
        <v>8.102579E-2</v>
      </c>
      <c r="S771">
        <v>3.2313540000000001</v>
      </c>
      <c r="T771">
        <v>-0.19747899999999999</v>
      </c>
      <c r="U771">
        <v>-0.31256099999999998</v>
      </c>
      <c r="V771">
        <v>-7.3752020000000001E-2</v>
      </c>
      <c r="W771">
        <v>0.30134519999999998</v>
      </c>
      <c r="X771">
        <v>0.95065860000000002</v>
      </c>
      <c r="Y771">
        <v>0.1036078</v>
      </c>
      <c r="Z771">
        <v>-4.2021239999999998E-3</v>
      </c>
      <c r="AA771">
        <v>0.99460939999999998</v>
      </c>
      <c r="AB771">
        <v>38</v>
      </c>
      <c r="AC771">
        <v>17.982199999999899</v>
      </c>
      <c r="AD771">
        <v>-1.1101711168019901</v>
      </c>
      <c r="AE771">
        <v>-1.7585000000000199</v>
      </c>
      <c r="AF771">
        <v>1.88815586696869</v>
      </c>
      <c r="AG771">
        <v>-1.1101711168019901</v>
      </c>
      <c r="AH771">
        <v>17.9007160750132</v>
      </c>
      <c r="AI771">
        <v>93.529309661849993</v>
      </c>
      <c r="AJ771">
        <v>83.978743262333197</v>
      </c>
      <c r="AK771">
        <v>18.034224366043201</v>
      </c>
      <c r="AL771">
        <v>72.461583701781706</v>
      </c>
      <c r="AM771">
        <v>94.436116539925195</v>
      </c>
      <c r="AN771">
        <v>1.00000003188553</v>
      </c>
    </row>
    <row r="772" spans="1:40" x14ac:dyDescent="0.25">
      <c r="A772" t="str">
        <f>"20190304164112260"</f>
        <v>20190304164112260</v>
      </c>
      <c r="B772" t="str">
        <f>"1551688872252017"</f>
        <v>1551688872252017</v>
      </c>
      <c r="C772" t="s">
        <v>40</v>
      </c>
      <c r="D772">
        <v>4.2783670000000003</v>
      </c>
      <c r="E772">
        <v>0.58334439999999999</v>
      </c>
      <c r="F772" t="s">
        <v>42</v>
      </c>
      <c r="G772">
        <v>-334.17070000000001</v>
      </c>
      <c r="H772" s="1">
        <v>-3.2007959999999998E-6</v>
      </c>
      <c r="I772">
        <v>365.57010000000002</v>
      </c>
      <c r="J772">
        <v>-352.14940000000001</v>
      </c>
      <c r="K772">
        <v>1.110182</v>
      </c>
      <c r="L772">
        <v>367.34199999999998</v>
      </c>
      <c r="M772">
        <v>0.99988390000000005</v>
      </c>
      <c r="N772">
        <v>-1.320903E-2</v>
      </c>
      <c r="O772">
        <v>7.6087809999999898E-3</v>
      </c>
      <c r="P772">
        <v>0.95397169999999998</v>
      </c>
      <c r="Q772">
        <v>0.28875119999999999</v>
      </c>
      <c r="R772">
        <v>8.1001160000000003E-2</v>
      </c>
      <c r="S772">
        <v>3.2313839999999998</v>
      </c>
      <c r="T772">
        <v>-0.1974012</v>
      </c>
      <c r="U772">
        <v>-0.31478879999999998</v>
      </c>
      <c r="V772">
        <v>-7.3727699999999993E-2</v>
      </c>
      <c r="W772">
        <v>0.30133779999999999</v>
      </c>
      <c r="X772">
        <v>0.95066280000000003</v>
      </c>
      <c r="Y772">
        <v>0.10428460000000001</v>
      </c>
      <c r="Z772">
        <v>-4.2291610000000004E-3</v>
      </c>
      <c r="AA772">
        <v>0.99453849999999999</v>
      </c>
      <c r="AB772">
        <v>38</v>
      </c>
      <c r="AC772">
        <v>17.9787</v>
      </c>
      <c r="AD772">
        <v>-1.110185200796</v>
      </c>
      <c r="AE772">
        <v>-1.7718999999999501</v>
      </c>
      <c r="AF772">
        <v>1.9014759081925099</v>
      </c>
      <c r="AG772">
        <v>-1.110185200796</v>
      </c>
      <c r="AH772">
        <v>17.8971099243239</v>
      </c>
      <c r="AI772">
        <v>93.529781492395401</v>
      </c>
      <c r="AJ772">
        <v>83.9353688628524</v>
      </c>
      <c r="AK772">
        <v>18.032045514939099</v>
      </c>
      <c r="AL772">
        <v>72.462027807532095</v>
      </c>
      <c r="AM772">
        <v>94.434640036293501</v>
      </c>
      <c r="AN772">
        <v>1.0000000013799799</v>
      </c>
    </row>
    <row r="773" spans="1:40" x14ac:dyDescent="0.25">
      <c r="A773" t="str">
        <f>"20190304164112273"</f>
        <v>20190304164112273</v>
      </c>
      <c r="B773" t="str">
        <f>"1551688872261777"</f>
        <v>1551688872261777</v>
      </c>
      <c r="C773" t="s">
        <v>40</v>
      </c>
      <c r="D773">
        <v>4.2690849999999996</v>
      </c>
      <c r="E773">
        <v>0.58344189999999996</v>
      </c>
      <c r="F773" t="s">
        <v>42</v>
      </c>
      <c r="G773">
        <v>-333.9984</v>
      </c>
      <c r="H773" s="1">
        <v>-3.274763E-6</v>
      </c>
      <c r="I773">
        <v>365.56990000000002</v>
      </c>
      <c r="J773">
        <v>-351.94130000000001</v>
      </c>
      <c r="K773">
        <v>1.110198</v>
      </c>
      <c r="L773">
        <v>367.34359999999998</v>
      </c>
      <c r="M773">
        <v>0.99988270000000001</v>
      </c>
      <c r="N773">
        <v>-1.330068E-2</v>
      </c>
      <c r="O773">
        <v>7.6090609999999899E-3</v>
      </c>
      <c r="P773">
        <v>0.95393289999999997</v>
      </c>
      <c r="Q773">
        <v>0.28884840000000001</v>
      </c>
      <c r="R773">
        <v>8.1111829999999996E-2</v>
      </c>
      <c r="S773">
        <v>3.2314150000000001</v>
      </c>
      <c r="T773">
        <v>-0.19764570000000001</v>
      </c>
      <c r="U773">
        <v>-0.31549070000000001</v>
      </c>
      <c r="V773">
        <v>-7.3838349999999997E-2</v>
      </c>
      <c r="W773">
        <v>0.3015216</v>
      </c>
      <c r="X773">
        <v>0.95059590000000005</v>
      </c>
      <c r="Y773">
        <v>0.104496699999999</v>
      </c>
      <c r="Z773">
        <v>-4.2455920000000003E-3</v>
      </c>
      <c r="AA773">
        <v>0.99451619999999996</v>
      </c>
      <c r="AB773">
        <v>38</v>
      </c>
      <c r="AC773">
        <v>17.942900000000002</v>
      </c>
      <c r="AD773">
        <v>-1.1102012747629999</v>
      </c>
      <c r="AE773">
        <v>-1.7736999999999601</v>
      </c>
      <c r="AF773">
        <v>1.90297446756722</v>
      </c>
      <c r="AG773">
        <v>-1.1102012747629999</v>
      </c>
      <c r="AH773">
        <v>17.861164997956799</v>
      </c>
      <c r="AI773">
        <v>93.536807615861704</v>
      </c>
      <c r="AJ773">
        <v>83.918502020385503</v>
      </c>
      <c r="AK773">
        <v>17.996529492625399</v>
      </c>
      <c r="AL773">
        <v>72.450982590247193</v>
      </c>
      <c r="AM773">
        <v>94.441580216218398</v>
      </c>
      <c r="AN773">
        <v>0.99999997114704497</v>
      </c>
    </row>
    <row r="774" spans="1:40" x14ac:dyDescent="0.25">
      <c r="A774" t="str">
        <f>"20190304164112295"</f>
        <v>20190304164112295</v>
      </c>
      <c r="B774" t="str">
        <f>"1551688872282273"</f>
        <v>1551688872282273</v>
      </c>
      <c r="C774" t="s">
        <v>40</v>
      </c>
      <c r="D774">
        <v>4.2625890000000002</v>
      </c>
      <c r="E774">
        <v>0.58359969999999906</v>
      </c>
      <c r="F774" t="s">
        <v>42</v>
      </c>
      <c r="G774">
        <v>-333.75699999999898</v>
      </c>
      <c r="H774" s="1">
        <v>-3.3792260000000001E-6</v>
      </c>
      <c r="I774">
        <v>365.565</v>
      </c>
      <c r="J774">
        <v>-351.5677</v>
      </c>
      <c r="K774">
        <v>1.11022</v>
      </c>
      <c r="L774">
        <v>367.34649999999999</v>
      </c>
      <c r="M774">
        <v>0.9998804</v>
      </c>
      <c r="N774">
        <v>-1.346747E-2</v>
      </c>
      <c r="O774">
        <v>7.609424E-3</v>
      </c>
      <c r="P774">
        <v>0.95394129999999999</v>
      </c>
      <c r="Q774">
        <v>0.28878860000000001</v>
      </c>
      <c r="R774">
        <v>8.1223710000000005E-2</v>
      </c>
      <c r="S774">
        <v>3.231506</v>
      </c>
      <c r="T774">
        <v>-0.1972903</v>
      </c>
      <c r="U774">
        <v>-0.31607059999999998</v>
      </c>
      <c r="V774">
        <v>-7.3950150000000006E-2</v>
      </c>
      <c r="W774">
        <v>0.30162070000000002</v>
      </c>
      <c r="X774">
        <v>0.95055579999999995</v>
      </c>
      <c r="Y774">
        <v>0.1046711</v>
      </c>
      <c r="Z774">
        <v>-4.2528970000000003E-3</v>
      </c>
      <c r="AA774">
        <v>0.99449779999999999</v>
      </c>
      <c r="AB774">
        <v>38</v>
      </c>
      <c r="AC774">
        <v>17.810700000000001</v>
      </c>
      <c r="AD774">
        <v>-1.1102233792259999</v>
      </c>
      <c r="AE774">
        <v>-1.7814999999999901</v>
      </c>
      <c r="AF774">
        <v>1.9096432471715199</v>
      </c>
      <c r="AG774">
        <v>-1.1102233792259999</v>
      </c>
      <c r="AH774">
        <v>17.728423525594099</v>
      </c>
      <c r="AI774">
        <v>93.562850366124493</v>
      </c>
      <c r="AJ774">
        <v>83.852005669275698</v>
      </c>
      <c r="AK774">
        <v>17.865506821416702</v>
      </c>
      <c r="AL774">
        <v>72.445027848357199</v>
      </c>
      <c r="AM774">
        <v>94.448465224605798</v>
      </c>
      <c r="AN774">
        <v>1.00000000013357</v>
      </c>
    </row>
    <row r="775" spans="1:40" x14ac:dyDescent="0.25">
      <c r="A775" t="str">
        <f>"20190304164112308"</f>
        <v>20190304164112308</v>
      </c>
      <c r="B775" t="str">
        <f>"1551688872292033"</f>
        <v>1551688872292033</v>
      </c>
      <c r="C775" t="s">
        <v>40</v>
      </c>
      <c r="D775">
        <v>4.265892</v>
      </c>
      <c r="E775">
        <v>0.5836789</v>
      </c>
      <c r="F775" t="s">
        <v>42</v>
      </c>
      <c r="G775">
        <v>-333.42020000000002</v>
      </c>
      <c r="H775" s="1">
        <v>-3.5230929999999998E-6</v>
      </c>
      <c r="I775">
        <v>365.5684</v>
      </c>
      <c r="J775">
        <v>-351.34179999999998</v>
      </c>
      <c r="K775">
        <v>1.1102350000000001</v>
      </c>
      <c r="L775">
        <v>367.34820000000002</v>
      </c>
      <c r="M775">
        <v>0.99987910000000002</v>
      </c>
      <c r="N775">
        <v>-1.356664E-2</v>
      </c>
      <c r="O775">
        <v>7.6095809999999998E-3</v>
      </c>
      <c r="P775">
        <v>0.95389040000000003</v>
      </c>
      <c r="Q775">
        <v>0.28889799999999999</v>
      </c>
      <c r="R775">
        <v>8.1432359999999995E-2</v>
      </c>
      <c r="S775">
        <v>3.2316590000000001</v>
      </c>
      <c r="T775">
        <v>-0.19770460000000001</v>
      </c>
      <c r="U775">
        <v>-0.31661990000000001</v>
      </c>
      <c r="V775">
        <v>-7.4158630000000003E-2</v>
      </c>
      <c r="W775">
        <v>0.30182389999999998</v>
      </c>
      <c r="X775">
        <v>0.95047499999999996</v>
      </c>
      <c r="Y775">
        <v>0.1048326</v>
      </c>
      <c r="Z775">
        <v>-4.2708379999999999E-3</v>
      </c>
      <c r="AA775">
        <v>0.9944807</v>
      </c>
      <c r="AB775">
        <v>38</v>
      </c>
      <c r="AC775">
        <v>17.921599999999899</v>
      </c>
      <c r="AD775">
        <v>-1.1102385230930001</v>
      </c>
      <c r="AE775">
        <v>-1.77980000000002</v>
      </c>
      <c r="AF775">
        <v>1.90888255874646</v>
      </c>
      <c r="AG775">
        <v>-1.1102385230930001</v>
      </c>
      <c r="AH775">
        <v>17.8397400485566</v>
      </c>
      <c r="AI775">
        <v>93.540991710650403</v>
      </c>
      <c r="AJ775">
        <v>83.892492325830702</v>
      </c>
      <c r="AK775">
        <v>17.975894614770102</v>
      </c>
      <c r="AL775">
        <v>72.432815276075502</v>
      </c>
      <c r="AM775">
        <v>94.461333467447702</v>
      </c>
      <c r="AN775">
        <v>0.99999994731984199</v>
      </c>
    </row>
    <row r="776" spans="1:40" x14ac:dyDescent="0.25">
      <c r="A776" t="str">
        <f>"20190304164112323"</f>
        <v>20190304164112323</v>
      </c>
      <c r="B776" t="str">
        <f>"1551688872312529"</f>
        <v>1551688872312529</v>
      </c>
      <c r="C776" t="s">
        <v>40</v>
      </c>
      <c r="D776">
        <v>4.2925409999999999</v>
      </c>
      <c r="E776">
        <v>0.5838411</v>
      </c>
      <c r="F776" t="s">
        <v>41</v>
      </c>
      <c r="G776">
        <v>-350.36329999999998</v>
      </c>
      <c r="H776">
        <v>1.0505530000000001</v>
      </c>
      <c r="I776">
        <v>367.2518</v>
      </c>
      <c r="J776">
        <v>-351.09160000000003</v>
      </c>
      <c r="K776">
        <v>1.11025</v>
      </c>
      <c r="L776">
        <v>367.3501</v>
      </c>
      <c r="M776">
        <v>0.99987760000000003</v>
      </c>
      <c r="N776">
        <v>-1.36734E-2</v>
      </c>
      <c r="O776">
        <v>7.6096810000000001E-3</v>
      </c>
      <c r="P776">
        <v>0.95399109999999998</v>
      </c>
      <c r="Q776">
        <v>0.2885566</v>
      </c>
      <c r="R776">
        <v>8.1462989999999999E-2</v>
      </c>
      <c r="S776">
        <v>3.2319339999999999</v>
      </c>
      <c r="T776">
        <v>-0.19740859999999999</v>
      </c>
      <c r="U776">
        <v>-0.3172913</v>
      </c>
      <c r="V776">
        <v>-7.4188519999999994E-2</v>
      </c>
      <c r="W776">
        <v>0.3015852</v>
      </c>
      <c r="X776">
        <v>0.95054850000000002</v>
      </c>
      <c r="Y776">
        <v>0.1050291</v>
      </c>
      <c r="Z776">
        <v>-4.2771700000000003E-3</v>
      </c>
      <c r="AA776">
        <v>0.99445989999999995</v>
      </c>
      <c r="AB776">
        <v>38</v>
      </c>
      <c r="AC776">
        <v>0.72830000000004602</v>
      </c>
      <c r="AD776">
        <v>-5.9696999999999799E-2</v>
      </c>
      <c r="AE776">
        <v>-9.8299999999994697E-2</v>
      </c>
      <c r="AF776">
        <v>0.103159108606588</v>
      </c>
      <c r="AG776">
        <v>-5.9696999999999799E-2</v>
      </c>
      <c r="AH776">
        <v>0.72276167908171596</v>
      </c>
      <c r="AI776">
        <v>94.674506405001694</v>
      </c>
      <c r="AJ776">
        <v>81.877088557274703</v>
      </c>
      <c r="AK776">
        <v>0.732523022332082</v>
      </c>
      <c r="AL776">
        <v>72.447161371287393</v>
      </c>
      <c r="AM776">
        <v>94.462780654675896</v>
      </c>
      <c r="AN776">
        <v>1.00000001010554</v>
      </c>
    </row>
    <row r="777" spans="1:40" x14ac:dyDescent="0.25">
      <c r="A777" t="str">
        <f>"20190304164112334"</f>
        <v>20190304164112334</v>
      </c>
      <c r="B777" t="str">
        <f>"1551688872322289"</f>
        <v>1551688872322289</v>
      </c>
      <c r="C777" t="s">
        <v>40</v>
      </c>
      <c r="D777">
        <v>4.2995679999999998</v>
      </c>
      <c r="E777">
        <v>0.58392819999999901</v>
      </c>
      <c r="F777" t="s">
        <v>41</v>
      </c>
      <c r="G777">
        <v>-350.02929999999998</v>
      </c>
      <c r="H777">
        <v>1.045078</v>
      </c>
      <c r="I777">
        <v>367.24489999999997</v>
      </c>
      <c r="J777">
        <v>-350.87740000000002</v>
      </c>
      <c r="K777">
        <v>1.1102590000000001</v>
      </c>
      <c r="L777">
        <v>367.35169999999999</v>
      </c>
      <c r="M777">
        <v>0.9998766</v>
      </c>
      <c r="N777">
        <v>-1.3758640000000001E-2</v>
      </c>
      <c r="O777">
        <v>7.60962599999999E-3</v>
      </c>
      <c r="P777">
        <v>0.95415749999999999</v>
      </c>
      <c r="Q777">
        <v>0.28794710000000001</v>
      </c>
      <c r="R777">
        <v>8.1671220000000003E-2</v>
      </c>
      <c r="S777">
        <v>3.2319339999999999</v>
      </c>
      <c r="T777">
        <v>-0.1986851</v>
      </c>
      <c r="U777">
        <v>-0.31845089999999998</v>
      </c>
      <c r="V777">
        <v>-7.4395950000000002E-2</v>
      </c>
      <c r="W777">
        <v>0.30105870000000001</v>
      </c>
      <c r="X777">
        <v>0.95069919999999997</v>
      </c>
      <c r="Y777">
        <v>0.1053785</v>
      </c>
      <c r="Z777">
        <v>-4.3177149999999997E-3</v>
      </c>
      <c r="AA777">
        <v>0.99442280000000005</v>
      </c>
      <c r="AB777">
        <v>38</v>
      </c>
      <c r="AC777">
        <v>0.84810000000004404</v>
      </c>
      <c r="AD777">
        <v>-6.5180999999999906E-2</v>
      </c>
      <c r="AE777">
        <v>-0.106800000000021</v>
      </c>
      <c r="AF777">
        <v>0.112596544126919</v>
      </c>
      <c r="AG777">
        <v>-6.5180999999999906E-2</v>
      </c>
      <c r="AH777">
        <v>0.84236469688438498</v>
      </c>
      <c r="AI777">
        <v>94.385797731488395</v>
      </c>
      <c r="AJ777">
        <v>82.386561520298599</v>
      </c>
      <c r="AK777">
        <v>0.85235252511355097</v>
      </c>
      <c r="AL777">
        <v>72.478798415741906</v>
      </c>
      <c r="AM777">
        <v>94.4745013996571</v>
      </c>
      <c r="AN777">
        <v>1.0000000335513599</v>
      </c>
    </row>
    <row r="778" spans="1:40" x14ac:dyDescent="0.25">
      <c r="A778" t="str">
        <f>"20190304164112350"</f>
        <v>20190304164112350</v>
      </c>
      <c r="B778" t="str">
        <f>"1551688872341809"</f>
        <v>1551688872341809</v>
      </c>
      <c r="C778" t="s">
        <v>40</v>
      </c>
      <c r="D778">
        <v>4.2954410000000003</v>
      </c>
      <c r="E778">
        <v>0.58407399999999998</v>
      </c>
      <c r="F778" t="s">
        <v>42</v>
      </c>
      <c r="G778">
        <v>-332.99200000000002</v>
      </c>
      <c r="H778" s="1">
        <v>-3.7031530000000002E-6</v>
      </c>
      <c r="I778">
        <v>365.58890000000002</v>
      </c>
      <c r="J778">
        <v>-350.62290000000002</v>
      </c>
      <c r="K778">
        <v>1.110268</v>
      </c>
      <c r="L778">
        <v>367.35359999999997</v>
      </c>
      <c r="M778">
        <v>0.99987519999999996</v>
      </c>
      <c r="N778">
        <v>-1.3855060000000001E-2</v>
      </c>
      <c r="O778">
        <v>7.6097880000000001E-3</v>
      </c>
      <c r="P778">
        <v>0.95423599999999997</v>
      </c>
      <c r="Q778">
        <v>0.28757270000000001</v>
      </c>
      <c r="R778">
        <v>8.2072569999999997E-2</v>
      </c>
      <c r="S778">
        <v>3.2319640000000001</v>
      </c>
      <c r="T778">
        <v>-0.2006279</v>
      </c>
      <c r="U778">
        <v>-0.31854250000000001</v>
      </c>
      <c r="V778">
        <v>-7.479595E-2</v>
      </c>
      <c r="W778">
        <v>0.30077769999999998</v>
      </c>
      <c r="X778">
        <v>0.95075670000000001</v>
      </c>
      <c r="Y778">
        <v>0.1054007</v>
      </c>
      <c r="Z778">
        <v>-4.358972E-3</v>
      </c>
      <c r="AA778">
        <v>0.99442030000000003</v>
      </c>
      <c r="AB778">
        <v>38</v>
      </c>
      <c r="AC778">
        <v>17.6309</v>
      </c>
      <c r="AD778">
        <v>-1.1102717031530001</v>
      </c>
      <c r="AE778">
        <v>-1.76469999999994</v>
      </c>
      <c r="AF778">
        <v>1.89140300292168</v>
      </c>
      <c r="AG778">
        <v>-1.1102717031530001</v>
      </c>
      <c r="AH778">
        <v>17.5480606681867</v>
      </c>
      <c r="AI778">
        <v>93.599504721879597</v>
      </c>
      <c r="AJ778">
        <v>83.848171899338993</v>
      </c>
      <c r="AK778">
        <v>17.684584863339101</v>
      </c>
      <c r="AL778">
        <v>72.495680085958298</v>
      </c>
      <c r="AM778">
        <v>94.498189744586696</v>
      </c>
      <c r="AN778">
        <v>0.99999998077429098</v>
      </c>
    </row>
    <row r="779" spans="1:40" x14ac:dyDescent="0.25">
      <c r="A779" t="str">
        <f>"20190304164112362"</f>
        <v>20190304164112362</v>
      </c>
      <c r="B779" t="str">
        <f>"1551688872352545"</f>
        <v>1551688872352545</v>
      </c>
      <c r="C779" t="s">
        <v>40</v>
      </c>
      <c r="D779">
        <v>4.29556</v>
      </c>
      <c r="E779">
        <v>0.58413329999999997</v>
      </c>
      <c r="F779" t="s">
        <v>41</v>
      </c>
      <c r="G779">
        <v>-349.67349999999999</v>
      </c>
      <c r="H779">
        <v>1.0509109999999999</v>
      </c>
      <c r="I779">
        <v>367.26</v>
      </c>
      <c r="J779">
        <v>-350.41789999999997</v>
      </c>
      <c r="K779">
        <v>1.110276</v>
      </c>
      <c r="L779">
        <v>367.35520000000002</v>
      </c>
      <c r="M779">
        <v>0.99987409999999999</v>
      </c>
      <c r="N779">
        <v>-1.3929459999999999E-2</v>
      </c>
      <c r="O779">
        <v>7.60992099999999E-3</v>
      </c>
      <c r="P779">
        <v>0.95425119999999997</v>
      </c>
      <c r="Q779">
        <v>0.28752879999999997</v>
      </c>
      <c r="R779">
        <v>8.2049919999999998E-2</v>
      </c>
      <c r="S779">
        <v>3.2321780000000002</v>
      </c>
      <c r="T779">
        <v>-0.20216629999999999</v>
      </c>
      <c r="U779">
        <v>-0.31826779999999999</v>
      </c>
      <c r="V779">
        <v>-7.4773069999999997E-2</v>
      </c>
      <c r="W779">
        <v>0.30080449999999997</v>
      </c>
      <c r="X779">
        <v>0.95075010000000004</v>
      </c>
      <c r="Y779">
        <v>0.1053072</v>
      </c>
      <c r="Z779">
        <v>-4.3871140000000001E-3</v>
      </c>
      <c r="AA779">
        <v>0.99443009999999998</v>
      </c>
      <c r="AB779">
        <v>38</v>
      </c>
      <c r="AC779">
        <v>0.74439999999998396</v>
      </c>
      <c r="AD779">
        <v>-5.93649999999998E-2</v>
      </c>
      <c r="AE779">
        <v>-9.5200000000033896E-2</v>
      </c>
      <c r="AF779">
        <v>0.10023539176499199</v>
      </c>
      <c r="AG779">
        <v>-5.93649999999998E-2</v>
      </c>
      <c r="AH779">
        <v>0.739029411094279</v>
      </c>
      <c r="AI779">
        <v>94.551120647302596</v>
      </c>
      <c r="AJ779">
        <v>82.276041540655598</v>
      </c>
      <c r="AK779">
        <v>0.748154935457649</v>
      </c>
      <c r="AL779">
        <v>72.494071354111597</v>
      </c>
      <c r="AM779">
        <v>94.496850486042504</v>
      </c>
      <c r="AN779">
        <v>1.0000000559337401</v>
      </c>
    </row>
    <row r="780" spans="1:40" x14ac:dyDescent="0.25">
      <c r="A780" t="str">
        <f>"20190304164112374"</f>
        <v>20190304164112374</v>
      </c>
      <c r="B780" t="str">
        <f>"1551688872362305"</f>
        <v>1551688872362305</v>
      </c>
      <c r="C780" t="s">
        <v>40</v>
      </c>
      <c r="D780">
        <v>4.3203940000000003</v>
      </c>
      <c r="E780">
        <v>0.58418429999999999</v>
      </c>
      <c r="F780" t="s">
        <v>41</v>
      </c>
      <c r="G780">
        <v>-349.34789999999998</v>
      </c>
      <c r="H780">
        <v>1.0432980000000001</v>
      </c>
      <c r="I780">
        <v>367.24939999999998</v>
      </c>
      <c r="J780">
        <v>-350.21210000000002</v>
      </c>
      <c r="K780">
        <v>1.1102860000000001</v>
      </c>
      <c r="L780">
        <v>367.35680000000002</v>
      </c>
      <c r="M780">
        <v>0.99987320000000002</v>
      </c>
      <c r="N780">
        <v>-1.3997300000000001E-2</v>
      </c>
      <c r="O780">
        <v>7.6099189999999997E-3</v>
      </c>
      <c r="P780">
        <v>0.95419810000000005</v>
      </c>
      <c r="Q780">
        <v>0.28771419999999998</v>
      </c>
      <c r="R780">
        <v>8.2019079999999994E-2</v>
      </c>
      <c r="S780">
        <v>3.2323</v>
      </c>
      <c r="T780">
        <v>-0.20261370000000001</v>
      </c>
      <c r="U780">
        <v>-0.3188782</v>
      </c>
      <c r="V780">
        <v>-7.4742879999999998E-2</v>
      </c>
      <c r="W780">
        <v>0.30105320000000002</v>
      </c>
      <c r="X780">
        <v>0.95067369999999995</v>
      </c>
      <c r="Y780">
        <v>0.1054879</v>
      </c>
      <c r="Z780">
        <v>-4.4052320000000002E-3</v>
      </c>
      <c r="AA780">
        <v>0.99441080000000004</v>
      </c>
      <c r="AB780">
        <v>38</v>
      </c>
      <c r="AC780">
        <v>0.86420000000003905</v>
      </c>
      <c r="AD780">
        <v>-6.6988000000000006E-2</v>
      </c>
      <c r="AE780">
        <v>-0.107400000000041</v>
      </c>
      <c r="AF780">
        <v>0.11330359587080301</v>
      </c>
      <c r="AG780">
        <v>-6.6988000000000006E-2</v>
      </c>
      <c r="AH780">
        <v>0.85827905959418505</v>
      </c>
      <c r="AI780">
        <v>94.424609189197298</v>
      </c>
      <c r="AJ780">
        <v>82.479723676146705</v>
      </c>
      <c r="AK780">
        <v>0.86831333118819098</v>
      </c>
      <c r="AL780">
        <v>72.479128368145695</v>
      </c>
      <c r="AM780">
        <v>94.4954020618095</v>
      </c>
      <c r="AN780">
        <v>1.0000000056063101</v>
      </c>
    </row>
    <row r="781" spans="1:40" x14ac:dyDescent="0.25">
      <c r="A781" t="str">
        <f>"20190304164112385"</f>
        <v>20190304164112385</v>
      </c>
      <c r="B781" t="str">
        <f>"1551688872372065"</f>
        <v>1551688872372065</v>
      </c>
      <c r="C781" t="s">
        <v>40</v>
      </c>
      <c r="D781">
        <v>4.307302</v>
      </c>
      <c r="E781">
        <v>0.58418429999999999</v>
      </c>
      <c r="F781" t="s">
        <v>42</v>
      </c>
      <c r="G781">
        <v>-332.43869999999998</v>
      </c>
      <c r="H781" s="1">
        <v>-3.9385109999999997E-6</v>
      </c>
      <c r="I781">
        <v>365.6001</v>
      </c>
      <c r="J781">
        <v>-350.02510000000001</v>
      </c>
      <c r="K781">
        <v>1.1102939999999999</v>
      </c>
      <c r="L781">
        <v>367.35820000000001</v>
      </c>
      <c r="M781">
        <v>0.99987230000000005</v>
      </c>
      <c r="N781">
        <v>-1.4057139999999999E-2</v>
      </c>
      <c r="O781">
        <v>7.6100309999999997E-3</v>
      </c>
      <c r="P781">
        <v>0.95409189999999999</v>
      </c>
      <c r="Q781">
        <v>0.28807179999999999</v>
      </c>
      <c r="R781">
        <v>8.199671E-2</v>
      </c>
      <c r="S781">
        <v>3.2323</v>
      </c>
      <c r="T781">
        <v>-0.20191809999999999</v>
      </c>
      <c r="U781">
        <v>-0.31945800000000002</v>
      </c>
      <c r="V781">
        <v>-7.4720869999999995E-2</v>
      </c>
      <c r="W781">
        <v>0.30146659999999997</v>
      </c>
      <c r="X781">
        <v>0.95054439999999996</v>
      </c>
      <c r="Y781">
        <v>0.1056657</v>
      </c>
      <c r="Z781">
        <v>-4.40179E-3</v>
      </c>
      <c r="AA781">
        <v>0.99439200000000005</v>
      </c>
      <c r="AB781">
        <v>38</v>
      </c>
      <c r="AC781">
        <v>17.586400000000001</v>
      </c>
      <c r="AD781">
        <v>-1.1102979385109999</v>
      </c>
      <c r="AE781">
        <v>-1.75810000000001</v>
      </c>
      <c r="AF781">
        <v>1.8844584282438599</v>
      </c>
      <c r="AG781">
        <v>-1.1102979385109999</v>
      </c>
      <c r="AH781">
        <v>17.503433738722801</v>
      </c>
      <c r="AI781">
        <v>93.608789620139305</v>
      </c>
      <c r="AJ781">
        <v>83.855078821677907</v>
      </c>
      <c r="AK781">
        <v>17.63956172148</v>
      </c>
      <c r="AL781">
        <v>72.454287951666501</v>
      </c>
      <c r="AM781">
        <v>94.4946925098875</v>
      </c>
      <c r="AN781">
        <v>0.99999998785023803</v>
      </c>
    </row>
    <row r="782" spans="1:40" x14ac:dyDescent="0.25">
      <c r="A782" t="str">
        <f>"20190304164112395"</f>
        <v>20190304164112395</v>
      </c>
      <c r="B782" t="str">
        <f>"1551688872381825"</f>
        <v>1551688872381825</v>
      </c>
      <c r="C782" t="s">
        <v>40</v>
      </c>
      <c r="D782">
        <v>4.2522669999999998</v>
      </c>
      <c r="E782">
        <v>0.58357510000000001</v>
      </c>
      <c r="F782" t="s">
        <v>41</v>
      </c>
      <c r="G782">
        <v>-349.00450000000001</v>
      </c>
      <c r="H782">
        <v>1.047005</v>
      </c>
      <c r="I782">
        <v>367.25709999999998</v>
      </c>
      <c r="J782">
        <v>-349.85</v>
      </c>
      <c r="K782">
        <v>1.1102989999999999</v>
      </c>
      <c r="L782">
        <v>367.35950000000003</v>
      </c>
      <c r="M782">
        <v>0.99987150000000002</v>
      </c>
      <c r="N782">
        <v>-1.4109180000000001E-2</v>
      </c>
      <c r="O782">
        <v>7.6101379999999998E-3</v>
      </c>
      <c r="P782">
        <v>0.95400499999999999</v>
      </c>
      <c r="Q782">
        <v>0.28834399999999999</v>
      </c>
      <c r="R782">
        <v>8.2050650000000003E-2</v>
      </c>
      <c r="S782">
        <v>3.2324220000000001</v>
      </c>
      <c r="T782">
        <v>-0.20066510000000001</v>
      </c>
      <c r="U782">
        <v>-0.31945800000000002</v>
      </c>
      <c r="V782">
        <v>-7.4775910000000001E-2</v>
      </c>
      <c r="W782">
        <v>0.30178700000000003</v>
      </c>
      <c r="X782">
        <v>0.95043840000000002</v>
      </c>
      <c r="Y782">
        <v>0.10566490000000001</v>
      </c>
      <c r="Z782">
        <v>-4.3806740000000002E-3</v>
      </c>
      <c r="AA782">
        <v>0.99439219999999895</v>
      </c>
      <c r="AB782">
        <v>38</v>
      </c>
      <c r="AC782">
        <v>0.84550000000001502</v>
      </c>
      <c r="AD782">
        <v>-6.3293999999999906E-2</v>
      </c>
      <c r="AE782">
        <v>-0.102400000000045</v>
      </c>
      <c r="AF782">
        <v>0.108234270115919</v>
      </c>
      <c r="AG782">
        <v>-6.3293999999999906E-2</v>
      </c>
      <c r="AH782">
        <v>0.84005653610167597</v>
      </c>
      <c r="AI782">
        <v>94.273612394359006</v>
      </c>
      <c r="AJ782">
        <v>82.658363093294497</v>
      </c>
      <c r="AK782">
        <v>0.84936197908234201</v>
      </c>
      <c r="AL782">
        <v>72.435033694016496</v>
      </c>
      <c r="AM782">
        <v>94.498489346121204</v>
      </c>
      <c r="AN782">
        <v>0.99999999113994398</v>
      </c>
    </row>
    <row r="783" spans="1:40" x14ac:dyDescent="0.25">
      <c r="A783" t="str">
        <f>"20190304164112407"</f>
        <v>20190304164112407</v>
      </c>
      <c r="B783" t="str">
        <f>"1551688872402322"</f>
        <v>1551688872402322</v>
      </c>
      <c r="C783" t="s">
        <v>40</v>
      </c>
      <c r="D783">
        <v>4.2019929999999999</v>
      </c>
      <c r="E783">
        <v>0.58280299999999996</v>
      </c>
      <c r="F783" t="s">
        <v>42</v>
      </c>
      <c r="G783">
        <v>-331.6583</v>
      </c>
      <c r="H783" s="1">
        <v>-4.2748129999999999E-6</v>
      </c>
      <c r="I783">
        <v>365.5915</v>
      </c>
      <c r="J783">
        <v>-349.64949999999999</v>
      </c>
      <c r="K783">
        <v>1.1103069999999999</v>
      </c>
      <c r="L783">
        <v>367.36110000000002</v>
      </c>
      <c r="M783">
        <v>0.9998707</v>
      </c>
      <c r="N783">
        <v>-1.416598E-2</v>
      </c>
      <c r="O783">
        <v>7.6102679999999999E-3</v>
      </c>
      <c r="P783">
        <v>0.95400079999999998</v>
      </c>
      <c r="Q783">
        <v>0.28840949999999999</v>
      </c>
      <c r="R783">
        <v>8.1868510000000005E-2</v>
      </c>
      <c r="S783">
        <v>3.2312620000000001</v>
      </c>
      <c r="T783">
        <v>-0.19721449999999999</v>
      </c>
      <c r="U783">
        <v>-0.31402590000000002</v>
      </c>
      <c r="V783">
        <v>-7.4593030000000005E-2</v>
      </c>
      <c r="W783">
        <v>0.30190660000000002</v>
      </c>
      <c r="X783">
        <v>0.9504148</v>
      </c>
      <c r="Y783">
        <v>0.10405540000000001</v>
      </c>
      <c r="Z783">
        <v>-4.260191E-3</v>
      </c>
      <c r="AA783">
        <v>0.99456239999999996</v>
      </c>
      <c r="AB783">
        <v>38</v>
      </c>
      <c r="AC783">
        <v>17.9911999999999</v>
      </c>
      <c r="AD783">
        <v>-1.110311274813</v>
      </c>
      <c r="AE783">
        <v>-1.76960000000002</v>
      </c>
      <c r="AF783">
        <v>1.8993158520675699</v>
      </c>
      <c r="AG783">
        <v>-1.110311274813</v>
      </c>
      <c r="AH783">
        <v>17.909652693085398</v>
      </c>
      <c r="AI783">
        <v>93.527787288656597</v>
      </c>
      <c r="AJ783">
        <v>83.946417938112205</v>
      </c>
      <c r="AK783">
        <v>18.0442747546094</v>
      </c>
      <c r="AL783">
        <v>72.427846079268093</v>
      </c>
      <c r="AM783">
        <v>94.487643326222994</v>
      </c>
      <c r="AN783">
        <v>1.0000000036535901</v>
      </c>
    </row>
    <row r="784" spans="1:40" x14ac:dyDescent="0.25">
      <c r="A784" t="str">
        <f>"20190304164112417"</f>
        <v>20190304164112417</v>
      </c>
      <c r="B784" t="str">
        <f>"1551688872412082"</f>
        <v>1551688872412082</v>
      </c>
      <c r="C784" t="s">
        <v>40</v>
      </c>
      <c r="D784">
        <v>4.1737890000000002</v>
      </c>
      <c r="E784">
        <v>0.58244039999999997</v>
      </c>
      <c r="F784" t="s">
        <v>42</v>
      </c>
      <c r="G784">
        <v>-331.0711</v>
      </c>
      <c r="H784" s="1">
        <v>-4.5277489999999997E-6</v>
      </c>
      <c r="I784">
        <v>365.58569999999997</v>
      </c>
      <c r="J784">
        <v>-349.46980000000002</v>
      </c>
      <c r="K784">
        <v>1.110311</v>
      </c>
      <c r="L784">
        <v>367.36239999999998</v>
      </c>
      <c r="M784">
        <v>0.99987009999999998</v>
      </c>
      <c r="N784">
        <v>-1.421386E-2</v>
      </c>
      <c r="O784">
        <v>7.6102230000000002E-3</v>
      </c>
      <c r="P784">
        <v>0.9540421</v>
      </c>
      <c r="Q784">
        <v>0.28829349999999998</v>
      </c>
      <c r="R784">
        <v>8.1796880000000002E-2</v>
      </c>
      <c r="S784">
        <v>3.2295229999999999</v>
      </c>
      <c r="T784">
        <v>-0.19300719999999999</v>
      </c>
      <c r="U784">
        <v>-0.30859379999999997</v>
      </c>
      <c r="V784">
        <v>-7.4521340000000005E-2</v>
      </c>
      <c r="W784">
        <v>0.30183660000000001</v>
      </c>
      <c r="X784">
        <v>0.95044269999999997</v>
      </c>
      <c r="Y784">
        <v>0.10246189999999999</v>
      </c>
      <c r="Z784">
        <v>-4.1283220000000002E-3</v>
      </c>
      <c r="AA784">
        <v>0.99472839999999996</v>
      </c>
      <c r="AB784">
        <v>38</v>
      </c>
      <c r="AC784">
        <v>18.398700000000002</v>
      </c>
      <c r="AD784">
        <v>-1.110315527749</v>
      </c>
      <c r="AE784">
        <v>-1.7766999999999999</v>
      </c>
      <c r="AF784">
        <v>1.90979002952042</v>
      </c>
      <c r="AG784">
        <v>-1.110315527749</v>
      </c>
      <c r="AH784">
        <v>18.3185481424463</v>
      </c>
      <c r="AI784">
        <v>93.449890198292096</v>
      </c>
      <c r="AJ784">
        <v>84.048161773545999</v>
      </c>
      <c r="AK784">
        <v>18.451268373072299</v>
      </c>
      <c r="AL784">
        <v>72.432053787433304</v>
      </c>
      <c r="AM784">
        <v>94.483216855426505</v>
      </c>
      <c r="AN784">
        <v>1.00000004459912</v>
      </c>
    </row>
    <row r="785" spans="1:40" x14ac:dyDescent="0.25">
      <c r="A785" t="str">
        <f>"20190304164112429"</f>
        <v>20190304164112429</v>
      </c>
      <c r="B785" t="str">
        <f>"1551688872421841"</f>
        <v>1551688872421841</v>
      </c>
      <c r="C785" t="s">
        <v>40</v>
      </c>
      <c r="D785">
        <v>4.1750429999999996</v>
      </c>
      <c r="E785">
        <v>0.58209500000000003</v>
      </c>
      <c r="F785" t="s">
        <v>42</v>
      </c>
      <c r="G785">
        <v>-330.73689999999999</v>
      </c>
      <c r="H785" s="1">
        <v>-4.6709480000000001E-6</v>
      </c>
      <c r="I785">
        <v>365.58670000000001</v>
      </c>
      <c r="J785">
        <v>-349.27850000000001</v>
      </c>
      <c r="K785">
        <v>1.1103149999999999</v>
      </c>
      <c r="L785">
        <v>367.3639</v>
      </c>
      <c r="M785">
        <v>0.99986940000000002</v>
      </c>
      <c r="N785">
        <v>-1.4260689999999999E-2</v>
      </c>
      <c r="O785">
        <v>7.61042199999999E-3</v>
      </c>
      <c r="P785">
        <v>0.95408990000000005</v>
      </c>
      <c r="Q785">
        <v>0.2881338</v>
      </c>
      <c r="R785">
        <v>8.1802589999999994E-2</v>
      </c>
      <c r="S785">
        <v>3.2286069999999998</v>
      </c>
      <c r="T785">
        <v>-0.191362</v>
      </c>
      <c r="U785">
        <v>-0.30603029999999998</v>
      </c>
      <c r="V785">
        <v>-7.4526899999999993E-2</v>
      </c>
      <c r="W785">
        <v>0.30172209999999899</v>
      </c>
      <c r="X785">
        <v>0.95047859999999995</v>
      </c>
      <c r="Y785">
        <v>0.1017111</v>
      </c>
      <c r="Z785">
        <v>-4.074065E-3</v>
      </c>
      <c r="AA785">
        <v>0.99480559999999996</v>
      </c>
      <c r="AB785">
        <v>38</v>
      </c>
      <c r="AC785">
        <v>18.541599999999999</v>
      </c>
      <c r="AD785">
        <v>-1.1103196709480001</v>
      </c>
      <c r="AE785">
        <v>-1.7771999999999899</v>
      </c>
      <c r="AF785">
        <v>1.9114802335744501</v>
      </c>
      <c r="AG785">
        <v>-1.1103196709480001</v>
      </c>
      <c r="AH785">
        <v>18.461935807457699</v>
      </c>
      <c r="AI785">
        <v>93.423424860620401</v>
      </c>
      <c r="AJ785">
        <v>84.088869813241502</v>
      </c>
      <c r="AK785">
        <v>18.593806501459799</v>
      </c>
      <c r="AL785">
        <v>72.438934646191498</v>
      </c>
      <c r="AM785">
        <v>94.483381326981799</v>
      </c>
      <c r="AN785">
        <v>1.00000002675498</v>
      </c>
    </row>
    <row r="786" spans="1:40" x14ac:dyDescent="0.25">
      <c r="A786" t="str">
        <f>"20190304164112439"</f>
        <v>20190304164112439</v>
      </c>
      <c r="B786" t="str">
        <f>"1551688872431601"</f>
        <v>1551688872431601</v>
      </c>
      <c r="C786" t="s">
        <v>40</v>
      </c>
      <c r="D786">
        <v>4.1935330000000004</v>
      </c>
      <c r="E786">
        <v>0.58176779999999995</v>
      </c>
      <c r="F786" t="s">
        <v>42</v>
      </c>
      <c r="G786">
        <v>-330.38560000000001</v>
      </c>
      <c r="H786" s="1">
        <v>-4.8215539999999997E-6</v>
      </c>
      <c r="I786">
        <v>365.5874</v>
      </c>
      <c r="J786">
        <v>-349.09769999999997</v>
      </c>
      <c r="K786">
        <v>1.1103149999999999</v>
      </c>
      <c r="L786">
        <v>367.36529999999999</v>
      </c>
      <c r="M786">
        <v>0.99986889999999995</v>
      </c>
      <c r="N786">
        <v>-1.4302759999999999E-2</v>
      </c>
      <c r="O786">
        <v>7.6102969999999898E-3</v>
      </c>
      <c r="P786">
        <v>0.95407220000000004</v>
      </c>
      <c r="Q786">
        <v>0.28823130000000002</v>
      </c>
      <c r="R786">
        <v>8.1663860000000005E-2</v>
      </c>
      <c r="S786">
        <v>3.2276609999999999</v>
      </c>
      <c r="T786">
        <v>-0.18968560000000001</v>
      </c>
      <c r="U786">
        <v>-0.30346679999999998</v>
      </c>
      <c r="V786">
        <v>-7.4387540000000002E-2</v>
      </c>
      <c r="W786">
        <v>0.3018594</v>
      </c>
      <c r="X786">
        <v>0.95044589999999995</v>
      </c>
      <c r="Y786">
        <v>0.1009602</v>
      </c>
      <c r="Z786">
        <v>-4.0193729999999997E-3</v>
      </c>
      <c r="AA786">
        <v>0.9948823</v>
      </c>
      <c r="AB786">
        <v>38</v>
      </c>
      <c r="AC786">
        <v>18.7120999999999</v>
      </c>
      <c r="AD786">
        <v>-1.110319821554</v>
      </c>
      <c r="AE786">
        <v>-1.7778999999999801</v>
      </c>
      <c r="AF786">
        <v>1.91359044696949</v>
      </c>
      <c r="AG786">
        <v>-1.110319821554</v>
      </c>
      <c r="AH786">
        <v>18.633008658081</v>
      </c>
      <c r="AI786">
        <v>93.392357136852496</v>
      </c>
      <c r="AJ786">
        <v>84.1363406907832</v>
      </c>
      <c r="AK786">
        <v>18.763892191040501</v>
      </c>
      <c r="AL786">
        <v>72.430682831997501</v>
      </c>
      <c r="AM786">
        <v>94.475185145335303</v>
      </c>
      <c r="AN786">
        <v>1.00000000615121</v>
      </c>
    </row>
    <row r="787" spans="1:40" x14ac:dyDescent="0.25">
      <c r="A787" t="str">
        <f>"20190304164112451"</f>
        <v>20190304164112451</v>
      </c>
      <c r="B787" t="str">
        <f>"1551688872442337"</f>
        <v>1551688872442337</v>
      </c>
      <c r="C787" t="s">
        <v>40</v>
      </c>
      <c r="D787">
        <v>4.2467370000000004</v>
      </c>
      <c r="E787">
        <v>0.58142930000000004</v>
      </c>
      <c r="F787" t="s">
        <v>42</v>
      </c>
      <c r="G787">
        <v>-329.9896</v>
      </c>
      <c r="H787" s="1">
        <v>-4.9930630000000001E-6</v>
      </c>
      <c r="I787">
        <v>365.57810000000001</v>
      </c>
      <c r="J787">
        <v>-348.91480000000001</v>
      </c>
      <c r="K787">
        <v>1.1103179999999999</v>
      </c>
      <c r="L787">
        <v>367.36669999999998</v>
      </c>
      <c r="M787">
        <v>0.99986819999999998</v>
      </c>
      <c r="N787">
        <v>-1.434087E-2</v>
      </c>
      <c r="O787">
        <v>7.6104980000000003E-3</v>
      </c>
      <c r="P787">
        <v>0.95412370000000002</v>
      </c>
      <c r="Q787">
        <v>0.28800140000000002</v>
      </c>
      <c r="R787">
        <v>8.1874069999999993E-2</v>
      </c>
      <c r="S787">
        <v>3.2268979999999998</v>
      </c>
      <c r="T787">
        <v>-0.18750610000000001</v>
      </c>
      <c r="U787">
        <v>-0.30178829999999901</v>
      </c>
      <c r="V787">
        <v>-7.4597629999999998E-2</v>
      </c>
      <c r="W787">
        <v>0.3016662</v>
      </c>
      <c r="X787">
        <v>0.95049079999999997</v>
      </c>
      <c r="Y787">
        <v>0.1004748</v>
      </c>
      <c r="Z787">
        <v>-3.9652659999999899E-3</v>
      </c>
      <c r="AA787">
        <v>0.99493169999999997</v>
      </c>
      <c r="AB787">
        <v>38</v>
      </c>
      <c r="AC787">
        <v>18.9252</v>
      </c>
      <c r="AD787">
        <v>-1.1103229930630001</v>
      </c>
      <c r="AE787">
        <v>-1.78859999999997</v>
      </c>
      <c r="AF787">
        <v>1.9260224170506199</v>
      </c>
      <c r="AG787">
        <v>-1.1103229930630001</v>
      </c>
      <c r="AH787">
        <v>18.8467410650128</v>
      </c>
      <c r="AI787">
        <v>93.354155166704601</v>
      </c>
      <c r="AJ787">
        <v>84.164976102374098</v>
      </c>
      <c r="AK787">
        <v>18.977408365515799</v>
      </c>
      <c r="AL787">
        <v>72.4422941011874</v>
      </c>
      <c r="AM787">
        <v>94.487561557187604</v>
      </c>
      <c r="AN787">
        <v>1.00000003175434</v>
      </c>
    </row>
    <row r="788" spans="1:40" x14ac:dyDescent="0.25">
      <c r="A788" t="str">
        <f>"20190304164112460"</f>
        <v>20190304164112460</v>
      </c>
      <c r="B788" t="str">
        <f>"1551688872452097"</f>
        <v>1551688872452097</v>
      </c>
      <c r="C788" t="s">
        <v>40</v>
      </c>
      <c r="D788">
        <v>4.1841039999999996</v>
      </c>
      <c r="E788">
        <v>0.58110839999999997</v>
      </c>
      <c r="F788" t="s">
        <v>42</v>
      </c>
      <c r="G788">
        <v>-329.7149</v>
      </c>
      <c r="H788" s="1">
        <v>-1.15464E-6</v>
      </c>
      <c r="I788">
        <v>365.58909999999997</v>
      </c>
      <c r="J788">
        <v>-348.72719999999998</v>
      </c>
      <c r="K788">
        <v>1.110322</v>
      </c>
      <c r="L788">
        <v>367.36810000000003</v>
      </c>
      <c r="M788">
        <v>0.99986770000000003</v>
      </c>
      <c r="N788">
        <v>-1.437883E-2</v>
      </c>
      <c r="O788">
        <v>7.6105799999999996E-3</v>
      </c>
      <c r="P788">
        <v>0.95412079999999999</v>
      </c>
      <c r="Q788">
        <v>0.287989099999999</v>
      </c>
      <c r="R788">
        <v>8.1950460000000003E-2</v>
      </c>
      <c r="S788">
        <v>3.2262270000000002</v>
      </c>
      <c r="T788">
        <v>-0.18657019999999999</v>
      </c>
      <c r="U788">
        <v>-0.29867549999999998</v>
      </c>
      <c r="V788">
        <v>-7.4673619999999996E-2</v>
      </c>
      <c r="W788">
        <v>0.30169020000000002</v>
      </c>
      <c r="X788">
        <v>0.95047720000000002</v>
      </c>
      <c r="Y788">
        <v>9.9546049999999997E-2</v>
      </c>
      <c r="Z788">
        <v>-3.9175140000000004E-3</v>
      </c>
      <c r="AA788">
        <v>0.99502520000000005</v>
      </c>
      <c r="AB788">
        <v>38</v>
      </c>
      <c r="AC788">
        <v>19.0122999999999</v>
      </c>
      <c r="AD788">
        <v>-1.1103231546400001</v>
      </c>
      <c r="AE788">
        <v>-1.7790000000000501</v>
      </c>
      <c r="AF788">
        <v>1.9171761036355699</v>
      </c>
      <c r="AG788">
        <v>-1.1103231546400001</v>
      </c>
      <c r="AH788">
        <v>18.934192387079801</v>
      </c>
      <c r="AI788">
        <v>93.339013963419404</v>
      </c>
      <c r="AJ788">
        <v>84.218238097460997</v>
      </c>
      <c r="AK788">
        <v>19.0633686181386</v>
      </c>
      <c r="AL788">
        <v>72.440851538382901</v>
      </c>
      <c r="AM788">
        <v>94.492178191683607</v>
      </c>
      <c r="AN788">
        <v>1.0000000170098899</v>
      </c>
    </row>
    <row r="789" spans="1:40" x14ac:dyDescent="0.25">
      <c r="A789" t="str">
        <f>"20190304164112473"</f>
        <v>20190304164112473</v>
      </c>
      <c r="B789" t="str">
        <f>"1551688872461858"</f>
        <v>1551688872461858</v>
      </c>
      <c r="C789" t="s">
        <v>40</v>
      </c>
      <c r="D789">
        <v>4.2427320000000002</v>
      </c>
      <c r="E789">
        <v>0.58079769999999997</v>
      </c>
      <c r="F789" t="s">
        <v>42</v>
      </c>
      <c r="G789">
        <v>-329.2921</v>
      </c>
      <c r="H789" s="1">
        <v>-1.2997879999999999E-6</v>
      </c>
      <c r="I789">
        <v>365.58440000000002</v>
      </c>
      <c r="J789">
        <v>-348.53559999999999</v>
      </c>
      <c r="K789">
        <v>1.1103149999999999</v>
      </c>
      <c r="L789">
        <v>367.36950000000002</v>
      </c>
      <c r="M789">
        <v>0.99986719999999896</v>
      </c>
      <c r="N789">
        <v>-1.44108E-2</v>
      </c>
      <c r="O789">
        <v>7.6099840000000002E-3</v>
      </c>
      <c r="P789">
        <v>0.95411619999999997</v>
      </c>
      <c r="Q789">
        <v>0.28804839999999998</v>
      </c>
      <c r="R789">
        <v>8.1796439999999998E-2</v>
      </c>
      <c r="S789">
        <v>3.225311</v>
      </c>
      <c r="T789">
        <v>-0.18426039999999999</v>
      </c>
      <c r="U789">
        <v>-0.29598999999999998</v>
      </c>
      <c r="V789">
        <v>-7.4520039999999996E-2</v>
      </c>
      <c r="W789">
        <v>0.30177929999999997</v>
      </c>
      <c r="X789">
        <v>0.950461</v>
      </c>
      <c r="Y789">
        <v>9.8756049999999998E-2</v>
      </c>
      <c r="Z789">
        <v>-3.8507340000000002E-3</v>
      </c>
      <c r="AA789">
        <v>0.99510430000000005</v>
      </c>
      <c r="AB789">
        <v>38</v>
      </c>
      <c r="AC789">
        <v>19.243499999999901</v>
      </c>
      <c r="AD789">
        <v>-1.1103162997879901</v>
      </c>
      <c r="AE789">
        <v>-1.7850999999999999</v>
      </c>
      <c r="AF789">
        <v>1.9251519138403499</v>
      </c>
      <c r="AG789">
        <v>-1.1103162997879901</v>
      </c>
      <c r="AH789">
        <v>19.166095418019999</v>
      </c>
      <c r="AI789">
        <v>93.298948354387804</v>
      </c>
      <c r="AJ789">
        <v>84.264123961628201</v>
      </c>
      <c r="AK789">
        <v>19.2945128404317</v>
      </c>
      <c r="AL789">
        <v>72.435497466890197</v>
      </c>
      <c r="AM789">
        <v>94.483053000367207</v>
      </c>
      <c r="AN789">
        <v>1.0000000473955399</v>
      </c>
    </row>
    <row r="790" spans="1:40" x14ac:dyDescent="0.25">
      <c r="A790" t="str">
        <f>"20190304164112485"</f>
        <v>20190304164112485</v>
      </c>
      <c r="B790" t="str">
        <f>"1551688872471617"</f>
        <v>1551688872471617</v>
      </c>
      <c r="C790" t="s">
        <v>40</v>
      </c>
      <c r="D790">
        <v>4.2372480000000001</v>
      </c>
      <c r="E790">
        <v>0.58051739999999996</v>
      </c>
      <c r="F790" t="s">
        <v>42</v>
      </c>
      <c r="G790">
        <v>-328.93189999999998</v>
      </c>
      <c r="H790" s="1">
        <v>-1.423638E-6</v>
      </c>
      <c r="I790">
        <v>365.5797</v>
      </c>
      <c r="J790">
        <v>-348.33879999999999</v>
      </c>
      <c r="K790">
        <v>1.1103149999999999</v>
      </c>
      <c r="L790">
        <v>367.37110000000001</v>
      </c>
      <c r="M790">
        <v>0.99986679999999994</v>
      </c>
      <c r="N790">
        <v>-1.444204E-2</v>
      </c>
      <c r="O790">
        <v>7.6082529999999997E-3</v>
      </c>
      <c r="P790">
        <v>0.95413110000000001</v>
      </c>
      <c r="Q790">
        <v>0.28800130000000002</v>
      </c>
      <c r="R790">
        <v>8.1788429999999995E-2</v>
      </c>
      <c r="S790">
        <v>3.22464</v>
      </c>
      <c r="T790">
        <v>-0.1826361</v>
      </c>
      <c r="U790">
        <v>-0.29440309999999997</v>
      </c>
      <c r="V790">
        <v>-7.4513200000000002E-2</v>
      </c>
      <c r="W790">
        <v>0.301763</v>
      </c>
      <c r="X790">
        <v>0.9504667</v>
      </c>
      <c r="Y790">
        <v>9.8291589999999998E-2</v>
      </c>
      <c r="Z790">
        <v>-3.8076310000000001E-3</v>
      </c>
      <c r="AA790">
        <v>0.99515039999999999</v>
      </c>
      <c r="AB790">
        <v>38</v>
      </c>
      <c r="AC790">
        <v>19.4069</v>
      </c>
      <c r="AD790">
        <v>-1.1103164236380001</v>
      </c>
      <c r="AE790">
        <v>-1.7914000000000101</v>
      </c>
      <c r="AF790">
        <v>1.93274320888006</v>
      </c>
      <c r="AG790">
        <v>-1.1103164236380001</v>
      </c>
      <c r="AH790">
        <v>19.3299697876807</v>
      </c>
      <c r="AI790">
        <v>93.271190690922793</v>
      </c>
      <c r="AJ790">
        <v>84.2901516128845</v>
      </c>
      <c r="AK790">
        <v>19.4580582501112</v>
      </c>
      <c r="AL790">
        <v>72.436476858086095</v>
      </c>
      <c r="AM790">
        <v>94.482616416712006</v>
      </c>
      <c r="AN790">
        <v>1.00000003647606</v>
      </c>
    </row>
    <row r="791" spans="1:40" x14ac:dyDescent="0.25">
      <c r="A791" t="str">
        <f>"20190304164112508"</f>
        <v>20190304164112508</v>
      </c>
      <c r="B791" t="str">
        <f>"1551688872492113"</f>
        <v>1551688872492113</v>
      </c>
      <c r="C791" t="s">
        <v>40</v>
      </c>
      <c r="D791">
        <v>4.1372910000000003</v>
      </c>
      <c r="E791">
        <v>0.57996259999999999</v>
      </c>
      <c r="F791" t="s">
        <v>42</v>
      </c>
      <c r="G791">
        <v>-328.57810000000001</v>
      </c>
      <c r="H791" s="1">
        <v>-1.544026E-6</v>
      </c>
      <c r="I791">
        <v>365.57960000000003</v>
      </c>
      <c r="J791">
        <v>-347.94119999999998</v>
      </c>
      <c r="K791">
        <v>1.1103130000000001</v>
      </c>
      <c r="L791">
        <v>367.3741</v>
      </c>
      <c r="M791">
        <v>0.99986620000000004</v>
      </c>
      <c r="N791">
        <v>-1.449279E-2</v>
      </c>
      <c r="O791">
        <v>7.5955119999999996E-3</v>
      </c>
      <c r="P791">
        <v>0.95416719999999999</v>
      </c>
      <c r="Q791">
        <v>0.28791830000000002</v>
      </c>
      <c r="R791">
        <v>8.1659529999999994E-2</v>
      </c>
      <c r="S791">
        <v>3.2239990000000001</v>
      </c>
      <c r="T791">
        <v>-0.18115000000000001</v>
      </c>
      <c r="U791">
        <v>-0.29226679999999999</v>
      </c>
      <c r="V791">
        <v>-7.4392559999999996E-2</v>
      </c>
      <c r="W791">
        <v>0.30172929999999998</v>
      </c>
      <c r="X791">
        <v>0.95048679999999997</v>
      </c>
      <c r="Y791">
        <v>9.7646910000000003E-2</v>
      </c>
      <c r="Z791">
        <v>-3.7611189999999998E-3</v>
      </c>
      <c r="AA791">
        <v>0.99521400000000004</v>
      </c>
      <c r="AB791">
        <v>38</v>
      </c>
      <c r="AC791">
        <v>19.3630999999999</v>
      </c>
      <c r="AD791">
        <v>-1.1103145440259901</v>
      </c>
      <c r="AE791">
        <v>-1.79449999999997</v>
      </c>
      <c r="AF791">
        <v>1.9352273262042301</v>
      </c>
      <c r="AG791">
        <v>-1.1103145440259901</v>
      </c>
      <c r="AH791">
        <v>19.2860357550671</v>
      </c>
      <c r="AI791">
        <v>93.278505079476005</v>
      </c>
      <c r="AJ791">
        <v>84.269924236899399</v>
      </c>
      <c r="AK791">
        <v>19.414661427294899</v>
      </c>
      <c r="AL791">
        <v>72.438501288200797</v>
      </c>
      <c r="AM791">
        <v>94.475294123287497</v>
      </c>
      <c r="AN791">
        <v>0.99999999021804098</v>
      </c>
    </row>
    <row r="792" spans="1:40" x14ac:dyDescent="0.25">
      <c r="A792" t="str">
        <f>"20190304164112520"</f>
        <v>20190304164112520</v>
      </c>
      <c r="B792" t="str">
        <f>"1551688872511633"</f>
        <v>1551688872511633</v>
      </c>
      <c r="C792" t="s">
        <v>40</v>
      </c>
      <c r="D792">
        <v>4.2186209999999997</v>
      </c>
      <c r="E792">
        <v>0.57946219999999904</v>
      </c>
      <c r="F792" t="s">
        <v>42</v>
      </c>
      <c r="G792">
        <v>-327.8784</v>
      </c>
      <c r="H792" s="1">
        <v>-1.7834130000000001E-6</v>
      </c>
      <c r="I792">
        <v>365.57479999999998</v>
      </c>
      <c r="J792">
        <v>-347.73039999999997</v>
      </c>
      <c r="K792">
        <v>1.1103080000000001</v>
      </c>
      <c r="L792">
        <v>367.37569999999999</v>
      </c>
      <c r="M792">
        <v>0.99986589999999997</v>
      </c>
      <c r="N792">
        <v>-1.451595E-2</v>
      </c>
      <c r="O792">
        <v>7.5836990000000002E-3</v>
      </c>
      <c r="P792">
        <v>0.95421350000000005</v>
      </c>
      <c r="Q792">
        <v>0.2877614</v>
      </c>
      <c r="R792">
        <v>8.1670720000000002E-2</v>
      </c>
      <c r="S792">
        <v>3.2226560000000002</v>
      </c>
      <c r="T792">
        <v>-0.17834749999999999</v>
      </c>
      <c r="U792">
        <v>-0.28900150000000002</v>
      </c>
      <c r="V792">
        <v>-7.4411249999999998E-2</v>
      </c>
      <c r="W792">
        <v>0.30159609999999998</v>
      </c>
      <c r="X792">
        <v>0.95052760000000003</v>
      </c>
      <c r="Y792">
        <v>9.6679340000000002E-2</v>
      </c>
      <c r="Z792">
        <v>-3.6803980000000001E-3</v>
      </c>
      <c r="AA792">
        <v>0.99530879999999999</v>
      </c>
      <c r="AB792">
        <v>38</v>
      </c>
      <c r="AC792">
        <v>19.851999999999901</v>
      </c>
      <c r="AD792">
        <v>-1.110309783413</v>
      </c>
      <c r="AE792">
        <v>-1.8009000000000099</v>
      </c>
      <c r="AF792">
        <v>1.9453799931951301</v>
      </c>
      <c r="AG792">
        <v>-1.110309783413</v>
      </c>
      <c r="AH792">
        <v>19.776412540679299</v>
      </c>
      <c r="AI792">
        <v>93.197988224191903</v>
      </c>
      <c r="AJ792">
        <v>84.381962921773706</v>
      </c>
      <c r="AK792">
        <v>19.902858691961899</v>
      </c>
      <c r="AL792">
        <v>72.446505802346607</v>
      </c>
      <c r="AM792">
        <v>94.476222541113899</v>
      </c>
      <c r="AN792">
        <v>0.99999998001176604</v>
      </c>
    </row>
    <row r="793" spans="1:40" x14ac:dyDescent="0.25">
      <c r="A793" t="str">
        <f>"20190304164112534"</f>
        <v>20190304164112534</v>
      </c>
      <c r="B793" t="str">
        <f>"1551688872522370"</f>
        <v>1551688872522370</v>
      </c>
      <c r="C793" t="s">
        <v>40</v>
      </c>
      <c r="D793">
        <v>4.1994680000000004</v>
      </c>
      <c r="E793">
        <v>0.57921480000000003</v>
      </c>
      <c r="F793" t="s">
        <v>42</v>
      </c>
      <c r="G793">
        <v>-327.45839999999998</v>
      </c>
      <c r="H793" s="1">
        <v>-1.9241080000000001E-6</v>
      </c>
      <c r="I793">
        <v>365.58330000000001</v>
      </c>
      <c r="J793">
        <v>-347.51249999999999</v>
      </c>
      <c r="K793">
        <v>1.110301</v>
      </c>
      <c r="L793">
        <v>367.37729999999999</v>
      </c>
      <c r="M793">
        <v>0.99986589999999997</v>
      </c>
      <c r="N793">
        <v>-1.4534419999999999E-2</v>
      </c>
      <c r="O793">
        <v>7.5637789999999996E-3</v>
      </c>
      <c r="P793">
        <v>0.95422289999999998</v>
      </c>
      <c r="Q793">
        <v>0.28770269999999998</v>
      </c>
      <c r="R793">
        <v>8.1768889999999997E-2</v>
      </c>
      <c r="S793">
        <v>3.2214659999999999</v>
      </c>
      <c r="T793">
        <v>-0.1764405</v>
      </c>
      <c r="U793">
        <v>-0.28482059999999998</v>
      </c>
      <c r="V793">
        <v>-7.4523290000000006E-2</v>
      </c>
      <c r="W793">
        <v>0.30155609999999999</v>
      </c>
      <c r="X793">
        <v>0.95053149999999997</v>
      </c>
      <c r="Y793">
        <v>9.5416500000000001E-2</v>
      </c>
      <c r="Z793">
        <v>-3.604945E-3</v>
      </c>
      <c r="AA793">
        <v>0.99543090000000001</v>
      </c>
      <c r="AB793">
        <v>38</v>
      </c>
      <c r="AC793">
        <v>20.054099999999998</v>
      </c>
      <c r="AD793">
        <v>-1.110302924108</v>
      </c>
      <c r="AE793">
        <v>-1.7939999999999801</v>
      </c>
      <c r="AF793">
        <v>1.9397506926754799</v>
      </c>
      <c r="AG793">
        <v>-1.110302924108</v>
      </c>
      <c r="AH793">
        <v>19.979198833050798</v>
      </c>
      <c r="AI793">
        <v>93.1659674197291</v>
      </c>
      <c r="AJ793">
        <v>84.454618340869104</v>
      </c>
      <c r="AK793">
        <v>20.103825291311999</v>
      </c>
      <c r="AL793">
        <v>72.448909317328102</v>
      </c>
      <c r="AM793">
        <v>94.482916557454104</v>
      </c>
      <c r="AN793">
        <v>0.99999996734594099</v>
      </c>
    </row>
    <row r="794" spans="1:40" x14ac:dyDescent="0.25">
      <c r="A794" t="str">
        <f>"20190304164112544"</f>
        <v>20190304164112544</v>
      </c>
      <c r="B794" t="str">
        <f>"1551688872532130"</f>
        <v>1551688872532130</v>
      </c>
      <c r="C794" t="s">
        <v>40</v>
      </c>
      <c r="D794">
        <v>4.1993799999999997</v>
      </c>
      <c r="E794">
        <v>0.57898340000000004</v>
      </c>
      <c r="F794" t="s">
        <v>42</v>
      </c>
      <c r="G794">
        <v>-327.14830000000001</v>
      </c>
      <c r="H794" s="1">
        <v>-2.027222E-6</v>
      </c>
      <c r="I794">
        <v>365.59230000000002</v>
      </c>
      <c r="J794">
        <v>-347.31779999999998</v>
      </c>
      <c r="K794">
        <v>1.110295</v>
      </c>
      <c r="L794">
        <v>367.37880000000001</v>
      </c>
      <c r="M794">
        <v>0.99986580000000003</v>
      </c>
      <c r="N794">
        <v>-1.454855E-2</v>
      </c>
      <c r="O794">
        <v>7.5419149999999997E-3</v>
      </c>
      <c r="P794">
        <v>0.95425550000000003</v>
      </c>
      <c r="Q794">
        <v>0.28762470000000001</v>
      </c>
      <c r="R794">
        <v>8.1661979999999995E-2</v>
      </c>
      <c r="S794">
        <v>3.221069</v>
      </c>
      <c r="T794">
        <v>-0.1756191</v>
      </c>
      <c r="U794">
        <v>-0.28231810000000002</v>
      </c>
      <c r="V794">
        <v>-7.4431940000000002E-2</v>
      </c>
      <c r="W794">
        <v>0.30149290000000001</v>
      </c>
      <c r="X794">
        <v>0.95055869999999998</v>
      </c>
      <c r="Y794">
        <v>9.4641009999999998E-2</v>
      </c>
      <c r="Z794">
        <v>-3.5643039999999999E-3</v>
      </c>
      <c r="AA794">
        <v>0.99550510000000003</v>
      </c>
      <c r="AB794">
        <v>38</v>
      </c>
      <c r="AC794">
        <v>20.1694999999999</v>
      </c>
      <c r="AD794">
        <v>-1.1102970272220001</v>
      </c>
      <c r="AE794">
        <v>-1.78649999999998</v>
      </c>
      <c r="AF794">
        <v>1.93277060780442</v>
      </c>
      <c r="AG794">
        <v>-1.1102970272220001</v>
      </c>
      <c r="AH794">
        <v>20.095030893398601</v>
      </c>
      <c r="AI794">
        <v>93.1480110262127</v>
      </c>
      <c r="AJ794">
        <v>84.5061044003603</v>
      </c>
      <c r="AK794">
        <v>20.218274612777801</v>
      </c>
      <c r="AL794">
        <v>72.452707077167901</v>
      </c>
      <c r="AM794">
        <v>94.477316195498204</v>
      </c>
      <c r="AN794">
        <v>0.99999996229413102</v>
      </c>
    </row>
    <row r="795" spans="1:40" x14ac:dyDescent="0.25">
      <c r="A795" t="str">
        <f>"20190304164112556"</f>
        <v>20190304164112556</v>
      </c>
      <c r="B795" t="str">
        <f>"1551688872541896"</f>
        <v>1551688872541896</v>
      </c>
      <c r="C795" t="s">
        <v>40</v>
      </c>
      <c r="D795">
        <v>4.20261</v>
      </c>
      <c r="E795">
        <v>0.57876740000000004</v>
      </c>
      <c r="F795" t="s">
        <v>42</v>
      </c>
      <c r="G795">
        <v>-326.87799999999999</v>
      </c>
      <c r="H795" s="1">
        <v>-2.1178209999999998E-6</v>
      </c>
      <c r="I795">
        <v>365.59750000000003</v>
      </c>
      <c r="J795">
        <v>-347.12079999999997</v>
      </c>
      <c r="K795">
        <v>1.110284</v>
      </c>
      <c r="L795">
        <v>367.3802</v>
      </c>
      <c r="M795">
        <v>0.99986580000000003</v>
      </c>
      <c r="N795">
        <v>-1.455761E-2</v>
      </c>
      <c r="O795">
        <v>7.5099030000000001E-3</v>
      </c>
      <c r="P795">
        <v>0.95431509999999997</v>
      </c>
      <c r="Q795">
        <v>0.28747470000000003</v>
      </c>
      <c r="R795">
        <v>8.1494479999999994E-2</v>
      </c>
      <c r="S795">
        <v>3.2205509999999999</v>
      </c>
      <c r="T795">
        <v>-0.17494079999999901</v>
      </c>
      <c r="U795">
        <v>-0.28063959999999999</v>
      </c>
      <c r="V795">
        <v>-7.4287580000000006E-2</v>
      </c>
      <c r="W795">
        <v>0.30135469999999998</v>
      </c>
      <c r="X795">
        <v>0.95061390000000001</v>
      </c>
      <c r="Y795">
        <v>9.4110390000000002E-2</v>
      </c>
      <c r="Z795">
        <v>-3.5341639999999998E-3</v>
      </c>
      <c r="AA795">
        <v>0.99555550000000004</v>
      </c>
      <c r="AB795">
        <v>38</v>
      </c>
      <c r="AC795">
        <v>20.2427999999999</v>
      </c>
      <c r="AD795">
        <v>-1.110286117821</v>
      </c>
      <c r="AE795">
        <v>-1.78269999999997</v>
      </c>
      <c r="AF795">
        <v>1.9289290587197101</v>
      </c>
      <c r="AG795">
        <v>-1.110286117821</v>
      </c>
      <c r="AH795">
        <v>20.168632313450299</v>
      </c>
      <c r="AI795">
        <v>93.136676291711495</v>
      </c>
      <c r="AJ795">
        <v>84.536845381480404</v>
      </c>
      <c r="AK795">
        <v>20.291062859597901</v>
      </c>
      <c r="AL795">
        <v>72.461013062248696</v>
      </c>
      <c r="AM795">
        <v>94.468409257100802</v>
      </c>
      <c r="AN795">
        <v>1.0000000433137699</v>
      </c>
    </row>
    <row r="796" spans="1:40" x14ac:dyDescent="0.25">
      <c r="A796" t="str">
        <f>"20190304164112567"</f>
        <v>20190304164112567</v>
      </c>
      <c r="B796" t="str">
        <f>"1551688872551655"</f>
        <v>1551688872551655</v>
      </c>
      <c r="C796" t="s">
        <v>40</v>
      </c>
      <c r="D796">
        <v>4.2111879999999999</v>
      </c>
      <c r="E796">
        <v>0.57855259999999997</v>
      </c>
      <c r="F796" t="s">
        <v>42</v>
      </c>
      <c r="G796">
        <v>-326.63760000000002</v>
      </c>
      <c r="H796" s="1">
        <v>-2.1979090000000002E-6</v>
      </c>
      <c r="I796">
        <v>365.60399999999998</v>
      </c>
      <c r="J796">
        <v>-346.94690000000003</v>
      </c>
      <c r="K796">
        <v>1.1102730000000001</v>
      </c>
      <c r="L796">
        <v>367.38150000000002</v>
      </c>
      <c r="M796">
        <v>0.99986609999999998</v>
      </c>
      <c r="N796">
        <v>-1.45626E-2</v>
      </c>
      <c r="O796">
        <v>7.4754180000000002E-3</v>
      </c>
      <c r="P796">
        <v>0.95436880000000002</v>
      </c>
      <c r="Q796">
        <v>0.28728949999999998</v>
      </c>
      <c r="R796">
        <v>8.1516790000000006E-2</v>
      </c>
      <c r="S796">
        <v>3.2200319999999998</v>
      </c>
      <c r="T796">
        <v>-0.17453969999999999</v>
      </c>
      <c r="U796">
        <v>-0.27920529999999999</v>
      </c>
      <c r="V796">
        <v>-7.4334999999999998E-2</v>
      </c>
      <c r="W796">
        <v>0.30117690000000003</v>
      </c>
      <c r="X796">
        <v>0.95066649999999997</v>
      </c>
      <c r="Y796">
        <v>9.3651349999999994E-2</v>
      </c>
      <c r="Z796">
        <v>-3.5109799999999999E-3</v>
      </c>
      <c r="AA796">
        <v>0.99559889999999995</v>
      </c>
      <c r="AB796">
        <v>38</v>
      </c>
      <c r="AC796">
        <v>20.3093</v>
      </c>
      <c r="AD796">
        <v>-1.110275197909</v>
      </c>
      <c r="AE796">
        <v>-1.7774999999999701</v>
      </c>
      <c r="AF796">
        <v>1.92358175634349</v>
      </c>
      <c r="AG796">
        <v>-1.110275197909</v>
      </c>
      <c r="AH796">
        <v>20.235427078173402</v>
      </c>
      <c r="AI796">
        <v>93.126483364948498</v>
      </c>
      <c r="AJ796">
        <v>84.569774746291102</v>
      </c>
      <c r="AK796">
        <v>20.356949349657</v>
      </c>
      <c r="AL796">
        <v>72.471695927291805</v>
      </c>
      <c r="AM796">
        <v>94.471003625401494</v>
      </c>
      <c r="AN796">
        <v>1.0000000057704299</v>
      </c>
    </row>
    <row r="797" spans="1:40" x14ac:dyDescent="0.25">
      <c r="A797" t="str">
        <f>"20190304164112578"</f>
        <v>20190304164112578</v>
      </c>
      <c r="B797" t="str">
        <f>"1551688872562391"</f>
        <v>1551688872562391</v>
      </c>
      <c r="C797" t="s">
        <v>40</v>
      </c>
      <c r="D797">
        <v>4.2102620000000002</v>
      </c>
      <c r="E797">
        <v>0.57834509999999995</v>
      </c>
      <c r="F797" t="s">
        <v>42</v>
      </c>
      <c r="G797">
        <v>-326.41359999999997</v>
      </c>
      <c r="H797" s="1">
        <v>-2.2723409999999999E-6</v>
      </c>
      <c r="I797">
        <v>365.61070000000001</v>
      </c>
      <c r="J797">
        <v>-346.75699999999898</v>
      </c>
      <c r="K797">
        <v>1.11026</v>
      </c>
      <c r="L797">
        <v>367.38279999999997</v>
      </c>
      <c r="M797">
        <v>0.99986649999999999</v>
      </c>
      <c r="N797">
        <v>-1.4564300000000001E-2</v>
      </c>
      <c r="O797">
        <v>7.4303650000000004E-3</v>
      </c>
      <c r="P797">
        <v>0.95437939999999999</v>
      </c>
      <c r="Q797">
        <v>0.28720600000000002</v>
      </c>
      <c r="R797">
        <v>8.1688170000000004E-2</v>
      </c>
      <c r="S797">
        <v>3.2195740000000002</v>
      </c>
      <c r="T797">
        <v>-0.17408860000000001</v>
      </c>
      <c r="U797">
        <v>-0.27764889999999998</v>
      </c>
      <c r="V797">
        <v>-7.4540529999999994E-2</v>
      </c>
      <c r="W797">
        <v>0.3010969</v>
      </c>
      <c r="X797">
        <v>0.95067570000000001</v>
      </c>
      <c r="Y797">
        <v>9.314269E-2</v>
      </c>
      <c r="Z797">
        <v>-3.4847200000000002E-3</v>
      </c>
      <c r="AA797">
        <v>0.9956467</v>
      </c>
      <c r="AB797">
        <v>38</v>
      </c>
      <c r="AC797">
        <v>20.3433999999999</v>
      </c>
      <c r="AD797">
        <v>-1.1102622723410001</v>
      </c>
      <c r="AE797">
        <v>-1.77209999999996</v>
      </c>
      <c r="AF797">
        <v>1.9175574481256299</v>
      </c>
      <c r="AG797">
        <v>-1.1102622723410001</v>
      </c>
      <c r="AH797">
        <v>20.2697498675569</v>
      </c>
      <c r="AI797">
        <v>93.121297638786601</v>
      </c>
      <c r="AJ797">
        <v>84.595792107615907</v>
      </c>
      <c r="AK797">
        <v>20.3904994684674</v>
      </c>
      <c r="AL797">
        <v>72.476501891693999</v>
      </c>
      <c r="AM797">
        <v>94.483272033966301</v>
      </c>
      <c r="AN797">
        <v>0.99999996018638904</v>
      </c>
    </row>
    <row r="798" spans="1:40" x14ac:dyDescent="0.25">
      <c r="A798" t="str">
        <f>"20190304164112588"</f>
        <v>20190304164112588</v>
      </c>
      <c r="B798" t="str">
        <f>"1551688872581911"</f>
        <v>1551688872581911</v>
      </c>
      <c r="C798" t="s">
        <v>40</v>
      </c>
      <c r="D798">
        <v>4.1975199999999999</v>
      </c>
      <c r="E798">
        <v>0.57794419999999902</v>
      </c>
      <c r="F798" t="s">
        <v>42</v>
      </c>
      <c r="G798">
        <v>-326.1404</v>
      </c>
      <c r="H798" s="1">
        <v>-2.3625670000000002E-6</v>
      </c>
      <c r="I798">
        <v>365.62099999999998</v>
      </c>
      <c r="J798">
        <v>-346.57240000000002</v>
      </c>
      <c r="K798">
        <v>1.1102449999999999</v>
      </c>
      <c r="L798">
        <v>367.38420000000002</v>
      </c>
      <c r="M798">
        <v>0.99986679999999994</v>
      </c>
      <c r="N798">
        <v>-1.456182E-2</v>
      </c>
      <c r="O798">
        <v>7.376563E-3</v>
      </c>
      <c r="P798">
        <v>0.95443429999999996</v>
      </c>
      <c r="Q798">
        <v>0.28702090000000002</v>
      </c>
      <c r="R798">
        <v>8.1696820000000003E-2</v>
      </c>
      <c r="S798">
        <v>3.2191160000000001</v>
      </c>
      <c r="T798">
        <v>-0.17335780000000001</v>
      </c>
      <c r="U798">
        <v>-0.27508539999999998</v>
      </c>
      <c r="V798">
        <v>-7.4590409999999996E-2</v>
      </c>
      <c r="W798">
        <v>0.30091319999999999</v>
      </c>
      <c r="X798">
        <v>0.95072999999999996</v>
      </c>
      <c r="Y798">
        <v>9.2317010000000005E-2</v>
      </c>
      <c r="Z798">
        <v>-3.442578E-3</v>
      </c>
      <c r="AA798">
        <v>0.99572369999999999</v>
      </c>
      <c r="AB798">
        <v>38</v>
      </c>
      <c r="AC798">
        <v>20.431999999999999</v>
      </c>
      <c r="AD798">
        <v>-1.110247362567</v>
      </c>
      <c r="AE798">
        <v>-1.7632000000000401</v>
      </c>
      <c r="AF798">
        <v>1.90829298408398</v>
      </c>
      <c r="AG798">
        <v>-1.110247362567</v>
      </c>
      <c r="AH798">
        <v>20.3587674895589</v>
      </c>
      <c r="AI798">
        <v>93.107886587322596</v>
      </c>
      <c r="AJ798">
        <v>84.645127581217494</v>
      </c>
      <c r="AK798">
        <v>20.478126013214901</v>
      </c>
      <c r="AL798">
        <v>72.487539865160002</v>
      </c>
      <c r="AM798">
        <v>94.4860046625992</v>
      </c>
      <c r="AN798">
        <v>1.0000000080491001</v>
      </c>
    </row>
    <row r="799" spans="1:40" x14ac:dyDescent="0.25">
      <c r="A799" t="str">
        <f>"20190304164112599"</f>
        <v>20190304164112599</v>
      </c>
      <c r="B799" t="str">
        <f>"1551688872591672"</f>
        <v>1551688872591672</v>
      </c>
      <c r="C799" t="s">
        <v>40</v>
      </c>
      <c r="D799">
        <v>4.2168659999999996</v>
      </c>
      <c r="E799">
        <v>0.57775690000000002</v>
      </c>
      <c r="F799" t="s">
        <v>42</v>
      </c>
      <c r="G799">
        <v>-325.78339999999997</v>
      </c>
      <c r="H799" s="1">
        <v>-2.4990620000000001E-6</v>
      </c>
      <c r="I799">
        <v>365.6259</v>
      </c>
      <c r="J799">
        <v>-346.39859999999999</v>
      </c>
      <c r="K799">
        <v>1.1102289999999999</v>
      </c>
      <c r="L799">
        <v>367.3854</v>
      </c>
      <c r="M799">
        <v>0.99986730000000001</v>
      </c>
      <c r="N799">
        <v>-1.45573E-2</v>
      </c>
      <c r="O799">
        <v>7.3209299999999998E-3</v>
      </c>
      <c r="P799">
        <v>0.95440239999999998</v>
      </c>
      <c r="Q799">
        <v>0.28716229999999998</v>
      </c>
      <c r="R799">
        <v>8.1571119999999997E-2</v>
      </c>
      <c r="S799">
        <v>3.2182010000000001</v>
      </c>
      <c r="T799">
        <v>-0.17186979999999999</v>
      </c>
      <c r="U799">
        <v>-0.27218629999999999</v>
      </c>
      <c r="V799">
        <v>-7.4508550000000007E-2</v>
      </c>
      <c r="W799">
        <v>0.30105189999999998</v>
      </c>
      <c r="X799">
        <v>0.95069250000000005</v>
      </c>
      <c r="Y799">
        <v>9.1399330000000001E-2</v>
      </c>
      <c r="Z799">
        <v>-3.3853310000000001E-3</v>
      </c>
      <c r="AA799">
        <v>0.99580849999999999</v>
      </c>
      <c r="AB799">
        <v>38</v>
      </c>
      <c r="AC799">
        <v>20.615200000000002</v>
      </c>
      <c r="AD799">
        <v>-1.1102314990619999</v>
      </c>
      <c r="AE799">
        <v>-1.7595000000000001</v>
      </c>
      <c r="AF799">
        <v>1.90490629912294</v>
      </c>
      <c r="AG799">
        <v>-1.1102314990619999</v>
      </c>
      <c r="AH799">
        <v>20.5426147824409</v>
      </c>
      <c r="AI799">
        <v>93.080367464826793</v>
      </c>
      <c r="AJ799">
        <v>84.702141627602003</v>
      </c>
      <c r="AK799">
        <v>20.6605978638012</v>
      </c>
      <c r="AL799">
        <v>72.479206375538595</v>
      </c>
      <c r="AM799">
        <v>94.481277550787397</v>
      </c>
      <c r="AN799">
        <v>1.0000000000364799</v>
      </c>
    </row>
    <row r="800" spans="1:40" x14ac:dyDescent="0.25">
      <c r="A800" t="str">
        <f>"20190304164112608"</f>
        <v>20190304164112608</v>
      </c>
      <c r="B800" t="str">
        <f>"1551688872601939"</f>
        <v>1551688872601939</v>
      </c>
      <c r="C800" t="s">
        <v>40</v>
      </c>
      <c r="D800">
        <v>4.1994030000000002</v>
      </c>
      <c r="E800">
        <v>0.57756439999999998</v>
      </c>
      <c r="F800" t="s">
        <v>42</v>
      </c>
      <c r="G800">
        <v>-325.45850000000002</v>
      </c>
      <c r="H800" s="1">
        <v>-2.639221E-6</v>
      </c>
      <c r="I800">
        <v>365.6216</v>
      </c>
      <c r="J800">
        <v>-346.2405</v>
      </c>
      <c r="K800">
        <v>1.1102099999999999</v>
      </c>
      <c r="L800">
        <v>367.38650000000001</v>
      </c>
      <c r="M800">
        <v>0.99986790000000003</v>
      </c>
      <c r="N800">
        <v>-1.454833E-2</v>
      </c>
      <c r="O800">
        <v>7.2604499999999999E-3</v>
      </c>
      <c r="P800">
        <v>0.95445020000000003</v>
      </c>
      <c r="Q800">
        <v>0.28703489999999998</v>
      </c>
      <c r="R800">
        <v>8.1463339999999995E-2</v>
      </c>
      <c r="S800">
        <v>3.2178339999999999</v>
      </c>
      <c r="T800">
        <v>-0.17060719999999999</v>
      </c>
      <c r="U800">
        <v>-0.27102659999999901</v>
      </c>
      <c r="V800">
        <v>-7.4448819999999999E-2</v>
      </c>
      <c r="W800">
        <v>0.30091869999999998</v>
      </c>
      <c r="X800">
        <v>0.95073940000000001</v>
      </c>
      <c r="Y800">
        <v>9.0995279999999998E-2</v>
      </c>
      <c r="Z800">
        <v>-3.3486520000000001E-3</v>
      </c>
      <c r="AA800">
        <v>0.99584569999999994</v>
      </c>
      <c r="AB800">
        <v>38</v>
      </c>
      <c r="AC800">
        <v>20.781999999999901</v>
      </c>
      <c r="AD800">
        <v>-1.1102126392209899</v>
      </c>
      <c r="AE800">
        <v>-1.7649000000000099</v>
      </c>
      <c r="AF800">
        <v>1.9103432240738201</v>
      </c>
      <c r="AG800">
        <v>-1.1102126392209899</v>
      </c>
      <c r="AH800">
        <v>20.709956022319499</v>
      </c>
      <c r="AI800">
        <v>93.055609059377304</v>
      </c>
      <c r="AJ800">
        <v>84.729793744675803</v>
      </c>
      <c r="AK800">
        <v>20.827488129499901</v>
      </c>
      <c r="AL800">
        <v>72.487210158621394</v>
      </c>
      <c r="AM800">
        <v>94.477479749695405</v>
      </c>
      <c r="AN800">
        <v>1.0000000487607199</v>
      </c>
    </row>
    <row r="801" spans="1:40" x14ac:dyDescent="0.25">
      <c r="A801" t="str">
        <f>"20190304164112619"</f>
        <v>20190304164112619</v>
      </c>
      <c r="B801" t="str">
        <f>"1551688872611699"</f>
        <v>1551688872611699</v>
      </c>
      <c r="C801" t="s">
        <v>40</v>
      </c>
      <c r="D801">
        <v>4.1091870000000004</v>
      </c>
      <c r="E801">
        <v>0.57735649999999905</v>
      </c>
      <c r="F801" t="s">
        <v>42</v>
      </c>
      <c r="G801">
        <v>-325.27780000000001</v>
      </c>
      <c r="H801" s="1">
        <v>-2.7153099999999999E-6</v>
      </c>
      <c r="I801">
        <v>365.62950000000001</v>
      </c>
      <c r="J801">
        <v>-346.05459999999999</v>
      </c>
      <c r="K801">
        <v>1.1101909999999999</v>
      </c>
      <c r="L801">
        <v>367.38780000000003</v>
      </c>
      <c r="M801">
        <v>0.9998686</v>
      </c>
      <c r="N801">
        <v>-1.453549E-2</v>
      </c>
      <c r="O801">
        <v>7.1850509999999996E-3</v>
      </c>
      <c r="P801">
        <v>0.95445389999999997</v>
      </c>
      <c r="Q801">
        <v>0.28707100000000002</v>
      </c>
      <c r="R801">
        <v>8.1288830000000006E-2</v>
      </c>
      <c r="S801">
        <v>3.2174070000000001</v>
      </c>
      <c r="T801">
        <v>-0.17039779999999999</v>
      </c>
      <c r="U801">
        <v>-0.26965329999999998</v>
      </c>
      <c r="V801">
        <v>-7.4334819999999996E-2</v>
      </c>
      <c r="W801">
        <v>0.30094549999999998</v>
      </c>
      <c r="X801">
        <v>0.95073980000000002</v>
      </c>
      <c r="Y801">
        <v>9.0510409999999999E-2</v>
      </c>
      <c r="Z801">
        <v>-3.3259100000000001E-3</v>
      </c>
      <c r="AA801">
        <v>0.99589000000000005</v>
      </c>
      <c r="AB801">
        <v>38</v>
      </c>
      <c r="AC801">
        <v>20.776799999999898</v>
      </c>
      <c r="AD801">
        <v>-1.1101937153100001</v>
      </c>
      <c r="AE801">
        <v>-1.75830000000001</v>
      </c>
      <c r="AF801">
        <v>1.9021602613729101</v>
      </c>
      <c r="AG801">
        <v>-1.1101937153100001</v>
      </c>
      <c r="AH801">
        <v>20.704931929179299</v>
      </c>
      <c r="AI801">
        <v>93.056400926639597</v>
      </c>
      <c r="AJ801">
        <v>84.750976118178997</v>
      </c>
      <c r="AK801">
        <v>20.821742240682099</v>
      </c>
      <c r="AL801">
        <v>72.485599353610297</v>
      </c>
      <c r="AM801">
        <v>94.470649536391605</v>
      </c>
      <c r="AN801">
        <v>1.0000000133693601</v>
      </c>
    </row>
    <row r="802" spans="1:40" x14ac:dyDescent="0.25">
      <c r="A802" t="str">
        <f>"20190304164112630"</f>
        <v>20190304164112630</v>
      </c>
      <c r="B802" t="str">
        <f>"1551688872622435"</f>
        <v>1551688872622435</v>
      </c>
      <c r="C802" t="s">
        <v>40</v>
      </c>
      <c r="D802">
        <v>4.2059470000000001</v>
      </c>
      <c r="E802">
        <v>0.57717959999999902</v>
      </c>
      <c r="F802" t="s">
        <v>42</v>
      </c>
      <c r="G802">
        <v>-324.89620000000002</v>
      </c>
      <c r="H802" s="1">
        <v>-2.880471E-6</v>
      </c>
      <c r="I802">
        <v>365.62150000000003</v>
      </c>
      <c r="J802">
        <v>-345.87299999999999</v>
      </c>
      <c r="K802">
        <v>1.1101730000000001</v>
      </c>
      <c r="L802">
        <v>367.38900000000001</v>
      </c>
      <c r="M802">
        <v>0.99986949999999997</v>
      </c>
      <c r="N802">
        <v>-1.451733E-2</v>
      </c>
      <c r="O802">
        <v>7.0992140000000004E-3</v>
      </c>
      <c r="P802">
        <v>0.95454660000000002</v>
      </c>
      <c r="Q802">
        <v>0.2868868</v>
      </c>
      <c r="R802">
        <v>8.0851270000000003E-2</v>
      </c>
      <c r="S802">
        <v>3.2168269999999999</v>
      </c>
      <c r="T802">
        <v>-0.1687882</v>
      </c>
      <c r="U802">
        <v>-0.26852419999999999</v>
      </c>
      <c r="V802">
        <v>-7.3967909999999998E-2</v>
      </c>
      <c r="W802">
        <v>0.30074770000000001</v>
      </c>
      <c r="X802">
        <v>0.95083099999999998</v>
      </c>
      <c r="Y802">
        <v>9.0096319999999994E-2</v>
      </c>
      <c r="Z802">
        <v>-3.2824899999999999E-3</v>
      </c>
      <c r="AA802">
        <v>0.99592760000000002</v>
      </c>
      <c r="AB802">
        <v>38</v>
      </c>
      <c r="AC802">
        <v>20.976800000000001</v>
      </c>
      <c r="AD802">
        <v>-1.11017588047099</v>
      </c>
      <c r="AE802">
        <v>-1.7674999999999801</v>
      </c>
      <c r="AF802">
        <v>1.91107483839895</v>
      </c>
      <c r="AG802">
        <v>-1.11017588047099</v>
      </c>
      <c r="AH802">
        <v>20.9055794441736</v>
      </c>
      <c r="AI802">
        <v>93.0271975219962</v>
      </c>
      <c r="AJ802">
        <v>84.776847208228801</v>
      </c>
      <c r="AK802">
        <v>21.0220824234944</v>
      </c>
      <c r="AL802">
        <v>72.497482948742501</v>
      </c>
      <c r="AM802">
        <v>94.448246623747295</v>
      </c>
      <c r="AN802">
        <v>1.00000001066302</v>
      </c>
    </row>
    <row r="803" spans="1:40" x14ac:dyDescent="0.25">
      <c r="A803" t="str">
        <f>"20190304164112640"</f>
        <v>20190304164112640</v>
      </c>
      <c r="B803" t="str">
        <f>"1551688872632195"</f>
        <v>1551688872632195</v>
      </c>
      <c r="C803" t="s">
        <v>40</v>
      </c>
      <c r="D803">
        <v>4.2145700000000001</v>
      </c>
      <c r="E803">
        <v>0.57700850000000004</v>
      </c>
      <c r="F803" t="s">
        <v>42</v>
      </c>
      <c r="G803">
        <v>-324.67590000000001</v>
      </c>
      <c r="H803" s="1">
        <v>-2.9750529999999999E-6</v>
      </c>
      <c r="I803">
        <v>365.62099999999998</v>
      </c>
      <c r="J803">
        <v>-345.68540000000002</v>
      </c>
      <c r="K803">
        <v>1.1101589999999999</v>
      </c>
      <c r="L803">
        <v>367.3904</v>
      </c>
      <c r="M803">
        <v>0.9998705</v>
      </c>
      <c r="N803">
        <v>-1.4497019999999999E-2</v>
      </c>
      <c r="O803">
        <v>7.0072470000000003E-3</v>
      </c>
      <c r="P803">
        <v>0.95454700000000003</v>
      </c>
      <c r="Q803">
        <v>0.2868964</v>
      </c>
      <c r="R803">
        <v>8.081294E-2</v>
      </c>
      <c r="S803">
        <v>3.2162480000000002</v>
      </c>
      <c r="T803">
        <v>-0.16844679999999901</v>
      </c>
      <c r="U803">
        <v>-0.26824949999999997</v>
      </c>
      <c r="V803">
        <v>-7.4006630000000004E-2</v>
      </c>
      <c r="W803">
        <v>0.30074040000000002</v>
      </c>
      <c r="X803">
        <v>0.95083030000000002</v>
      </c>
      <c r="Y803">
        <v>8.9936050000000003E-2</v>
      </c>
      <c r="Z803">
        <v>-3.2678690000000001E-3</v>
      </c>
      <c r="AA803">
        <v>0.9959422</v>
      </c>
      <c r="AB803">
        <v>38</v>
      </c>
      <c r="AC803">
        <v>21.009499999999999</v>
      </c>
      <c r="AD803">
        <v>-1.1101619750530001</v>
      </c>
      <c r="AE803">
        <v>-1.7694000000000101</v>
      </c>
      <c r="AF803">
        <v>1.91129169915749</v>
      </c>
      <c r="AG803">
        <v>-1.1101619750530001</v>
      </c>
      <c r="AH803">
        <v>20.938532055825899</v>
      </c>
      <c r="AI803">
        <v>93.022440924666995</v>
      </c>
      <c r="AJ803">
        <v>84.784433424343106</v>
      </c>
      <c r="AK803">
        <v>21.054871650593601</v>
      </c>
      <c r="AL803">
        <v>72.497921579415106</v>
      </c>
      <c r="AM803">
        <v>94.450569059118905</v>
      </c>
      <c r="AN803">
        <v>1.0000000144371</v>
      </c>
    </row>
    <row r="804" spans="1:40" x14ac:dyDescent="0.25">
      <c r="A804" t="str">
        <f>"20190304164112651"</f>
        <v>20190304164112651</v>
      </c>
      <c r="B804" t="str">
        <f>"1551688872641956"</f>
        <v>1551688872641956</v>
      </c>
      <c r="C804" t="s">
        <v>40</v>
      </c>
      <c r="D804">
        <v>4.1615609999999998</v>
      </c>
      <c r="E804">
        <v>0.57682019999999901</v>
      </c>
      <c r="F804" t="s">
        <v>42</v>
      </c>
      <c r="G804">
        <v>-324.3974</v>
      </c>
      <c r="H804" s="1">
        <v>-3.0937059999999999E-6</v>
      </c>
      <c r="I804">
        <v>365.62560000000002</v>
      </c>
      <c r="J804">
        <v>-345.5147</v>
      </c>
      <c r="K804">
        <v>1.110141</v>
      </c>
      <c r="L804">
        <v>367.39139999999998</v>
      </c>
      <c r="M804">
        <v>0.99987139999999997</v>
      </c>
      <c r="N804">
        <v>-1.44736E-2</v>
      </c>
      <c r="O804">
        <v>6.9129619999999999E-3</v>
      </c>
      <c r="P804">
        <v>0.95450290000000004</v>
      </c>
      <c r="Q804">
        <v>0.28709449999999997</v>
      </c>
      <c r="R804">
        <v>8.0628930000000001E-2</v>
      </c>
      <c r="S804">
        <v>3.2158199999999999</v>
      </c>
      <c r="T804">
        <v>-0.16770360000000001</v>
      </c>
      <c r="U804">
        <v>-0.266571</v>
      </c>
      <c r="V804">
        <v>-7.3903440000000001E-2</v>
      </c>
      <c r="W804">
        <v>0.30091820000000002</v>
      </c>
      <c r="X804">
        <v>0.95078209999999996</v>
      </c>
      <c r="Y804">
        <v>8.9339230000000006E-2</v>
      </c>
      <c r="Z804">
        <v>-3.2320080000000002E-3</v>
      </c>
      <c r="AA804">
        <v>0.99599599999999999</v>
      </c>
      <c r="AB804">
        <v>38</v>
      </c>
      <c r="AC804">
        <v>21.1173</v>
      </c>
      <c r="AD804">
        <v>-1.1101440937060001</v>
      </c>
      <c r="AE804">
        <v>-1.7657999999999501</v>
      </c>
      <c r="AF804">
        <v>1.9065238106892901</v>
      </c>
      <c r="AG804">
        <v>-1.1101440937060001</v>
      </c>
      <c r="AH804">
        <v>21.0468250818376</v>
      </c>
      <c r="AI804">
        <v>93.007058172347996</v>
      </c>
      <c r="AJ804">
        <v>84.823996132474804</v>
      </c>
      <c r="AK804">
        <v>21.162138336543102</v>
      </c>
      <c r="AL804">
        <v>72.487240069558297</v>
      </c>
      <c r="AM804">
        <v>94.444612762849104</v>
      </c>
      <c r="AN804">
        <v>1.0000000416077399</v>
      </c>
    </row>
    <row r="805" spans="1:40" x14ac:dyDescent="0.25">
      <c r="A805" t="str">
        <f>"20190304164112665"</f>
        <v>20190304164112665</v>
      </c>
      <c r="B805" t="str">
        <f>"1551688872651716"</f>
        <v>1551688872651716</v>
      </c>
      <c r="C805" t="s">
        <v>40</v>
      </c>
      <c r="D805">
        <v>4.2137279999999997</v>
      </c>
      <c r="E805">
        <v>0.57665369999999905</v>
      </c>
      <c r="F805" t="s">
        <v>42</v>
      </c>
      <c r="G805">
        <v>-323.98340000000002</v>
      </c>
      <c r="H805" s="1">
        <v>-3.2736159999999999E-6</v>
      </c>
      <c r="I805">
        <v>365.61259999999999</v>
      </c>
      <c r="J805">
        <v>-345.29050000000001</v>
      </c>
      <c r="K805">
        <v>1.1101190000000001</v>
      </c>
      <c r="L805">
        <v>367.3929</v>
      </c>
      <c r="M805">
        <v>0.99987269999999995</v>
      </c>
      <c r="N805">
        <v>-1.444195E-2</v>
      </c>
      <c r="O805">
        <v>6.7855399999999996E-3</v>
      </c>
      <c r="P805">
        <v>0.95453160000000004</v>
      </c>
      <c r="Q805">
        <v>0.28722389999999998</v>
      </c>
      <c r="R805">
        <v>7.9825099999999996E-2</v>
      </c>
      <c r="S805">
        <v>3.2153019999999999</v>
      </c>
      <c r="T805">
        <v>-0.16577910000000001</v>
      </c>
      <c r="U805">
        <v>-0.265625</v>
      </c>
      <c r="V805">
        <v>-7.3209120000000003E-2</v>
      </c>
      <c r="W805">
        <v>0.3010196</v>
      </c>
      <c r="X805">
        <v>0.95080370000000003</v>
      </c>
      <c r="Y805">
        <v>8.8938539999999996E-2</v>
      </c>
      <c r="Z805">
        <v>-3.1825640000000001E-3</v>
      </c>
      <c r="AA805">
        <v>0.99603209999999998</v>
      </c>
      <c r="AB805">
        <v>38</v>
      </c>
      <c r="AC805">
        <v>21.307099999999899</v>
      </c>
      <c r="AD805">
        <v>-1.1101222736159999</v>
      </c>
      <c r="AE805">
        <v>-1.78030000000001</v>
      </c>
      <c r="AF805">
        <v>1.9196793830312899</v>
      </c>
      <c r="AG805">
        <v>-1.1101222736159999</v>
      </c>
      <c r="AH805">
        <v>21.2372784803262</v>
      </c>
      <c r="AI805">
        <v>92.980133093647297</v>
      </c>
      <c r="AJ805">
        <v>84.834958596601894</v>
      </c>
      <c r="AK805">
        <v>21.352740752581202</v>
      </c>
      <c r="AL805">
        <v>72.481147510085606</v>
      </c>
      <c r="AM805">
        <v>94.402921139283507</v>
      </c>
      <c r="AN805">
        <v>1.00000002538451</v>
      </c>
    </row>
    <row r="806" spans="1:40" x14ac:dyDescent="0.25">
      <c r="A806" t="str">
        <f>"20190304164112675"</f>
        <v>20190304164112675</v>
      </c>
      <c r="B806" t="str">
        <f>"1551688872662451"</f>
        <v>1551688872662451</v>
      </c>
      <c r="C806" t="s">
        <v>40</v>
      </c>
      <c r="D806">
        <v>4.1547890000000001</v>
      </c>
      <c r="E806">
        <v>0.57647519999999997</v>
      </c>
      <c r="F806" t="s">
        <v>42</v>
      </c>
      <c r="G806">
        <v>-323.60509999999999</v>
      </c>
      <c r="H806" s="1">
        <v>-3.4391849999999998E-6</v>
      </c>
      <c r="I806">
        <v>365.5942</v>
      </c>
      <c r="J806">
        <v>-345.1173</v>
      </c>
      <c r="K806">
        <v>1.110107</v>
      </c>
      <c r="L806">
        <v>367.39400000000001</v>
      </c>
      <c r="M806">
        <v>0.99987380000000003</v>
      </c>
      <c r="N806">
        <v>-1.4415849999999999E-2</v>
      </c>
      <c r="O806">
        <v>6.6802249999999997E-3</v>
      </c>
      <c r="P806">
        <v>0.95452490000000001</v>
      </c>
      <c r="Q806">
        <v>0.28735509999999997</v>
      </c>
      <c r="R806">
        <v>7.9430360000000005E-2</v>
      </c>
      <c r="S806">
        <v>3.2147220000000001</v>
      </c>
      <c r="T806">
        <v>-0.16456809999999999</v>
      </c>
      <c r="U806">
        <v>-0.26663209999999998</v>
      </c>
      <c r="V806">
        <v>-7.2907269999999996E-2</v>
      </c>
      <c r="W806">
        <v>0.3011278</v>
      </c>
      <c r="X806">
        <v>0.95079259999999999</v>
      </c>
      <c r="Y806">
        <v>8.9160000000000003E-2</v>
      </c>
      <c r="Z806">
        <v>-3.1661720000000001E-3</v>
      </c>
      <c r="AA806">
        <v>0.99601229999999996</v>
      </c>
      <c r="AB806">
        <v>38</v>
      </c>
      <c r="AC806">
        <v>21.5122</v>
      </c>
      <c r="AD806">
        <v>-1.1101104391850001</v>
      </c>
      <c r="AE806">
        <v>-1.7998000000000001</v>
      </c>
      <c r="AF806">
        <v>1.93835523932182</v>
      </c>
      <c r="AG806">
        <v>-1.1101104391850001</v>
      </c>
      <c r="AH806">
        <v>21.4429909223308</v>
      </c>
      <c r="AI806">
        <v>92.951561700088305</v>
      </c>
      <c r="AJ806">
        <v>84.834743642840394</v>
      </c>
      <c r="AK806">
        <v>21.5590219146452</v>
      </c>
      <c r="AL806">
        <v>72.474645915811905</v>
      </c>
      <c r="AM806">
        <v>94.3848893022233</v>
      </c>
      <c r="AN806">
        <v>0.99999999508322601</v>
      </c>
    </row>
    <row r="807" spans="1:40" x14ac:dyDescent="0.25">
      <c r="A807" t="str">
        <f>"20190304164112685"</f>
        <v>20190304164112685</v>
      </c>
      <c r="B807" t="str">
        <f>"1551688872672211"</f>
        <v>1551688872672211</v>
      </c>
      <c r="C807" t="s">
        <v>40</v>
      </c>
      <c r="D807">
        <v>4.1350819999999997</v>
      </c>
      <c r="E807">
        <v>0.5762931</v>
      </c>
      <c r="F807" t="s">
        <v>42</v>
      </c>
      <c r="G807">
        <v>-323.23570000000001</v>
      </c>
      <c r="H807" s="1">
        <v>-3.6001360000000002E-6</v>
      </c>
      <c r="I807">
        <v>365.58019999999999</v>
      </c>
      <c r="J807">
        <v>-344.94549999999998</v>
      </c>
      <c r="K807">
        <v>1.1100950000000001</v>
      </c>
      <c r="L807">
        <v>367.39499999999998</v>
      </c>
      <c r="M807">
        <v>0.99987490000000001</v>
      </c>
      <c r="N807">
        <v>-1.4389320000000001E-2</v>
      </c>
      <c r="O807">
        <v>6.5733800000000002E-3</v>
      </c>
      <c r="P807">
        <v>0.95459989999999995</v>
      </c>
      <c r="Q807">
        <v>0.28726059999999998</v>
      </c>
      <c r="R807">
        <v>7.8870930000000006E-2</v>
      </c>
      <c r="S807">
        <v>3.214172</v>
      </c>
      <c r="T807">
        <v>-0.1630627</v>
      </c>
      <c r="U807">
        <v>-0.2664185</v>
      </c>
      <c r="V807">
        <v>-7.2442199999999998E-2</v>
      </c>
      <c r="W807">
        <v>0.30101050000000001</v>
      </c>
      <c r="X807">
        <v>0.95086530000000002</v>
      </c>
      <c r="Y807">
        <v>8.9004710000000001E-2</v>
      </c>
      <c r="Z807">
        <v>-3.1327600000000001E-3</v>
      </c>
      <c r="AA807">
        <v>0.99602630000000003</v>
      </c>
      <c r="AB807">
        <v>38</v>
      </c>
      <c r="AC807">
        <v>21.709799999999898</v>
      </c>
      <c r="AD807">
        <v>-1.110098600136</v>
      </c>
      <c r="AE807">
        <v>-1.81479999999999</v>
      </c>
      <c r="AF807">
        <v>1.9524128919710999</v>
      </c>
      <c r="AG807">
        <v>-1.110098600136</v>
      </c>
      <c r="AH807">
        <v>21.6412090044489</v>
      </c>
      <c r="AI807">
        <v>92.924590157614006</v>
      </c>
      <c r="AJ807">
        <v>84.844881547058506</v>
      </c>
      <c r="AK807">
        <v>21.7574392375803</v>
      </c>
      <c r="AL807">
        <v>72.481693911460098</v>
      </c>
      <c r="AM807">
        <v>94.356694633056406</v>
      </c>
      <c r="AN807">
        <v>1.00000000609759</v>
      </c>
    </row>
    <row r="808" spans="1:40" x14ac:dyDescent="0.25">
      <c r="A808" t="str">
        <f>"20190304164112697"</f>
        <v>20190304164112697</v>
      </c>
      <c r="B808" t="str">
        <f>"1551688872681971"</f>
        <v>1551688872681971</v>
      </c>
      <c r="C808" t="s">
        <v>40</v>
      </c>
      <c r="D808">
        <v>4.1469230000000001</v>
      </c>
      <c r="E808">
        <v>0.57612410000000003</v>
      </c>
      <c r="F808" t="s">
        <v>42</v>
      </c>
      <c r="G808">
        <v>-323.00970000000001</v>
      </c>
      <c r="H808" s="1">
        <v>-3.6978169999999998E-6</v>
      </c>
      <c r="I808">
        <v>365.57600000000002</v>
      </c>
      <c r="J808">
        <v>-344.75420000000003</v>
      </c>
      <c r="K808">
        <v>1.110082</v>
      </c>
      <c r="L808">
        <v>367.39609999999999</v>
      </c>
      <c r="M808">
        <v>0.99987630000000005</v>
      </c>
      <c r="N808">
        <v>-1.4358539999999999E-2</v>
      </c>
      <c r="O808">
        <v>6.4497670000000003E-3</v>
      </c>
      <c r="P808">
        <v>0.9546211</v>
      </c>
      <c r="Q808">
        <v>0.2873656</v>
      </c>
      <c r="R808">
        <v>7.8228149999999996E-2</v>
      </c>
      <c r="S808">
        <v>3.2136230000000001</v>
      </c>
      <c r="T808">
        <v>-0.16263079999999999</v>
      </c>
      <c r="U808">
        <v>-0.26647949999999998</v>
      </c>
      <c r="V808">
        <v>-7.1910760000000004E-2</v>
      </c>
      <c r="W808">
        <v>0.30108780000000002</v>
      </c>
      <c r="X808">
        <v>0.95088119999999998</v>
      </c>
      <c r="Y808">
        <v>8.8915330000000001E-2</v>
      </c>
      <c r="Z808">
        <v>-3.117814E-3</v>
      </c>
      <c r="AA808">
        <v>0.99603430000000004</v>
      </c>
      <c r="AB808">
        <v>38</v>
      </c>
      <c r="AC808">
        <v>21.744499999999999</v>
      </c>
      <c r="AD808">
        <v>-1.110085697817</v>
      </c>
      <c r="AE808">
        <v>-1.82010000000002</v>
      </c>
      <c r="AF808">
        <v>1.9552630983886199</v>
      </c>
      <c r="AG808">
        <v>-1.110085697817</v>
      </c>
      <c r="AH808">
        <v>21.676206885517001</v>
      </c>
      <c r="AI808">
        <v>92.919846181211696</v>
      </c>
      <c r="AJ808">
        <v>84.845687027720601</v>
      </c>
      <c r="AK808">
        <v>21.792505339775801</v>
      </c>
      <c r="AL808">
        <v>72.477050074690894</v>
      </c>
      <c r="AM808">
        <v>94.324783345683002</v>
      </c>
      <c r="AN808">
        <v>1.0000000386130199</v>
      </c>
    </row>
    <row r="809" spans="1:40" x14ac:dyDescent="0.25">
      <c r="A809" t="str">
        <f>"20190304164112709"</f>
        <v>20190304164112709</v>
      </c>
      <c r="B809" t="str">
        <f>"1551688872701998"</f>
        <v>1551688872701998</v>
      </c>
      <c r="C809" t="s">
        <v>40</v>
      </c>
      <c r="D809">
        <v>4.2183570000000001</v>
      </c>
      <c r="E809">
        <v>0.57582670000000002</v>
      </c>
      <c r="F809" t="s">
        <v>42</v>
      </c>
      <c r="G809">
        <v>-322.61540000000002</v>
      </c>
      <c r="H809" s="1">
        <v>-3.8708600000000002E-6</v>
      </c>
      <c r="I809">
        <v>365.55419999999998</v>
      </c>
      <c r="J809">
        <v>-344.54669999999999</v>
      </c>
      <c r="K809">
        <v>1.1100650000000001</v>
      </c>
      <c r="L809">
        <v>367.3974</v>
      </c>
      <c r="M809">
        <v>0.99987749999999997</v>
      </c>
      <c r="N809">
        <v>-1.43248E-2</v>
      </c>
      <c r="O809">
        <v>6.3126019999999996E-3</v>
      </c>
      <c r="P809">
        <v>0.95467860000000004</v>
      </c>
      <c r="Q809">
        <v>0.28732439999999998</v>
      </c>
      <c r="R809">
        <v>7.7674980000000005E-2</v>
      </c>
      <c r="S809">
        <v>3.2130130000000001</v>
      </c>
      <c r="T809">
        <v>-0.1611062</v>
      </c>
      <c r="U809">
        <v>-0.26730350000000003</v>
      </c>
      <c r="V809">
        <v>-7.1481699999999995E-2</v>
      </c>
      <c r="W809">
        <v>0.30101689999999998</v>
      </c>
      <c r="X809">
        <v>0.950936</v>
      </c>
      <c r="Y809">
        <v>8.9050370000000004E-2</v>
      </c>
      <c r="Z809">
        <v>-3.092362E-3</v>
      </c>
      <c r="AA809">
        <v>0.99602230000000003</v>
      </c>
      <c r="AB809">
        <v>38</v>
      </c>
      <c r="AC809">
        <v>21.931299999999901</v>
      </c>
      <c r="AD809">
        <v>-1.1100688708599999</v>
      </c>
      <c r="AE809">
        <v>-1.8432000000000199</v>
      </c>
      <c r="AF809">
        <v>1.9765926188755001</v>
      </c>
      <c r="AG809">
        <v>-1.1100688708599999</v>
      </c>
      <c r="AH809">
        <v>21.863605705528801</v>
      </c>
      <c r="AI809">
        <v>92.894765947764995</v>
      </c>
      <c r="AJ809">
        <v>84.834183244891506</v>
      </c>
      <c r="AK809">
        <v>21.980819496230801</v>
      </c>
      <c r="AL809">
        <v>72.481310029877307</v>
      </c>
      <c r="AM809">
        <v>94.298829472391205</v>
      </c>
      <c r="AN809">
        <v>1.00000004180824</v>
      </c>
    </row>
    <row r="810" spans="1:40" x14ac:dyDescent="0.25">
      <c r="A810" t="str">
        <f>"20190304164112736"</f>
        <v>20190304164112736</v>
      </c>
      <c r="B810" t="str">
        <f>"1551688872722494"</f>
        <v>1551688872722494</v>
      </c>
      <c r="C810" t="s">
        <v>40</v>
      </c>
      <c r="D810">
        <v>4.1916449999999896</v>
      </c>
      <c r="E810">
        <v>0.57556339999999995</v>
      </c>
      <c r="F810" t="s">
        <v>42</v>
      </c>
      <c r="G810">
        <v>-322.21899999999999</v>
      </c>
      <c r="H810" s="1">
        <v>-4.04306E-6</v>
      </c>
      <c r="I810">
        <v>365.5421</v>
      </c>
      <c r="J810">
        <v>-344.31229999999999</v>
      </c>
      <c r="K810">
        <v>1.1100509999999999</v>
      </c>
      <c r="L810">
        <v>367.39870000000002</v>
      </c>
      <c r="M810">
        <v>0.99987910000000002</v>
      </c>
      <c r="N810">
        <v>-1.428654E-2</v>
      </c>
      <c r="O810">
        <v>6.1547329999999999E-3</v>
      </c>
      <c r="P810">
        <v>0.95469360000000003</v>
      </c>
      <c r="Q810">
        <v>0.28739239999999999</v>
      </c>
      <c r="R810">
        <v>7.7241149999999995E-2</v>
      </c>
      <c r="S810">
        <v>3.212189</v>
      </c>
      <c r="T810">
        <v>-0.15970000000000001</v>
      </c>
      <c r="U810">
        <v>-0.2669067</v>
      </c>
      <c r="V810">
        <v>-7.119209E-2</v>
      </c>
      <c r="W810">
        <v>0.30104910000000001</v>
      </c>
      <c r="X810">
        <v>0.95094749999999995</v>
      </c>
      <c r="Y810">
        <v>8.8794869999999998E-2</v>
      </c>
      <c r="Z810">
        <v>-3.055622E-3</v>
      </c>
      <c r="AA810">
        <v>0.99604519999999996</v>
      </c>
      <c r="AB810">
        <v>38</v>
      </c>
      <c r="AC810">
        <v>22.093299999999999</v>
      </c>
      <c r="AD810">
        <v>-1.11005504306</v>
      </c>
      <c r="AE810">
        <v>-1.85660000000001</v>
      </c>
      <c r="AF810">
        <v>1.9875746949055799</v>
      </c>
      <c r="AG810">
        <v>-1.11005504306</v>
      </c>
      <c r="AH810">
        <v>22.026239048993801</v>
      </c>
      <c r="AI810">
        <v>92.873435735085494</v>
      </c>
      <c r="AJ810">
        <v>84.843783894706704</v>
      </c>
      <c r="AK810">
        <v>22.143574282619099</v>
      </c>
      <c r="AL810">
        <v>72.479374807064502</v>
      </c>
      <c r="AM810">
        <v>94.281425961826599</v>
      </c>
      <c r="AN810">
        <v>1.00000001102281</v>
      </c>
    </row>
    <row r="811" spans="1:40" x14ac:dyDescent="0.25">
      <c r="A811" t="str">
        <f>"20190304164112746"</f>
        <v>20190304164112746</v>
      </c>
      <c r="B811" t="str">
        <f>"1551688872732253"</f>
        <v>1551688872732253</v>
      </c>
      <c r="C811" t="s">
        <v>40</v>
      </c>
      <c r="D811">
        <v>4.1823360000000003</v>
      </c>
      <c r="E811">
        <v>0.57543319999999998</v>
      </c>
      <c r="F811" t="s">
        <v>42</v>
      </c>
      <c r="G811">
        <v>-321.73500000000001</v>
      </c>
      <c r="H811" s="1">
        <v>-4.2536680000000004E-6</v>
      </c>
      <c r="I811">
        <v>365.52519999999998</v>
      </c>
      <c r="J811">
        <v>-343.92200000000003</v>
      </c>
      <c r="K811">
        <v>1.1100350000000001</v>
      </c>
      <c r="L811">
        <v>367.4008</v>
      </c>
      <c r="M811">
        <v>0.99988160000000004</v>
      </c>
      <c r="N811">
        <v>-1.42252E-2</v>
      </c>
      <c r="O811">
        <v>5.8874469999999996E-3</v>
      </c>
      <c r="P811">
        <v>0.95472369999999995</v>
      </c>
      <c r="Q811">
        <v>0.28741860000000002</v>
      </c>
      <c r="R811">
        <v>7.6770199999999997E-2</v>
      </c>
      <c r="S811">
        <v>3.2114560000000001</v>
      </c>
      <c r="T811">
        <v>-0.157896799999999</v>
      </c>
      <c r="U811">
        <v>-0.26647949999999998</v>
      </c>
      <c r="V811">
        <v>-7.0969240000000003E-2</v>
      </c>
      <c r="W811">
        <v>0.30101919999999999</v>
      </c>
      <c r="X811">
        <v>0.95097359999999997</v>
      </c>
      <c r="Y811">
        <v>8.8419449999999997E-2</v>
      </c>
      <c r="Z811">
        <v>-3.0043470000000001E-3</v>
      </c>
      <c r="AA811">
        <v>0.99607880000000004</v>
      </c>
      <c r="AB811">
        <v>38</v>
      </c>
      <c r="AC811">
        <v>22.186999999999902</v>
      </c>
      <c r="AD811">
        <v>-1.1100392536679999</v>
      </c>
      <c r="AE811">
        <v>-1.8756000000000199</v>
      </c>
      <c r="AF811">
        <v>2.0012317227923102</v>
      </c>
      <c r="AG811">
        <v>-1.1100392536679999</v>
      </c>
      <c r="AH811">
        <v>22.120594443814401</v>
      </c>
      <c r="AI811">
        <v>92.861099360634896</v>
      </c>
      <c r="AJ811">
        <v>84.8305713381244</v>
      </c>
      <c r="AK811">
        <v>22.238655851932801</v>
      </c>
      <c r="AL811">
        <v>72.481170900344196</v>
      </c>
      <c r="AM811">
        <v>94.267956864815304</v>
      </c>
      <c r="AN811">
        <v>0.999999989845888</v>
      </c>
    </row>
    <row r="812" spans="1:40" x14ac:dyDescent="0.25">
      <c r="A812" t="str">
        <f>"20190304164112757"</f>
        <v>20190304164112757</v>
      </c>
      <c r="B812" t="str">
        <f>"1551688872742013"</f>
        <v>1551688872742013</v>
      </c>
      <c r="C812" t="s">
        <v>40</v>
      </c>
      <c r="D812">
        <v>4.1199149999999998</v>
      </c>
      <c r="E812">
        <v>0.57527950000000005</v>
      </c>
      <c r="F812" t="s">
        <v>42</v>
      </c>
      <c r="G812">
        <v>-321.23</v>
      </c>
      <c r="H812" s="1">
        <v>-4.4728489999999996E-6</v>
      </c>
      <c r="I812">
        <v>365.51089999999999</v>
      </c>
      <c r="J812">
        <v>-343.73039999999997</v>
      </c>
      <c r="K812">
        <v>1.1100219999999901</v>
      </c>
      <c r="L812">
        <v>367.40190000000001</v>
      </c>
      <c r="M812">
        <v>0.99988270000000001</v>
      </c>
      <c r="N812">
        <v>-1.419656E-2</v>
      </c>
      <c r="O812">
        <v>5.7551540000000002E-3</v>
      </c>
      <c r="P812">
        <v>0.95475940000000004</v>
      </c>
      <c r="Q812">
        <v>0.28747099999999998</v>
      </c>
      <c r="R812">
        <v>7.6125479999999995E-2</v>
      </c>
      <c r="S812">
        <v>3.2110599999999998</v>
      </c>
      <c r="T812">
        <v>-0.15707699999999999</v>
      </c>
      <c r="U812">
        <v>-0.26742549999999998</v>
      </c>
      <c r="V812">
        <v>-7.0447620000000002E-2</v>
      </c>
      <c r="W812">
        <v>0.3010446</v>
      </c>
      <c r="X812">
        <v>0.95100430000000002</v>
      </c>
      <c r="Y812">
        <v>8.8590409999999994E-2</v>
      </c>
      <c r="Z812">
        <v>-2.991582E-3</v>
      </c>
      <c r="AA812">
        <v>0.99606360000000005</v>
      </c>
      <c r="AB812">
        <v>38</v>
      </c>
      <c r="AC812">
        <v>22.5003999999999</v>
      </c>
      <c r="AD812">
        <v>-1.1100264728489999</v>
      </c>
      <c r="AE812">
        <v>-1.89100000000002</v>
      </c>
      <c r="AF812">
        <v>2.0156038048701599</v>
      </c>
      <c r="AG812">
        <v>-1.1100264728489999</v>
      </c>
      <c r="AH812">
        <v>22.434923882952599</v>
      </c>
      <c r="AI812">
        <v>92.821203995273805</v>
      </c>
      <c r="AJ812">
        <v>84.866201950909399</v>
      </c>
      <c r="AK812">
        <v>22.552619074123299</v>
      </c>
      <c r="AL812">
        <v>72.479644049734702</v>
      </c>
      <c r="AM812">
        <v>94.236565989487602</v>
      </c>
      <c r="AN812">
        <v>0.99999994848565599</v>
      </c>
    </row>
    <row r="813" spans="1:40" x14ac:dyDescent="0.25">
      <c r="A813" t="str">
        <f>"20190304164112769"</f>
        <v>20190304164112769</v>
      </c>
      <c r="B813" t="str">
        <f>"1551688872762510"</f>
        <v>1551688872762510</v>
      </c>
      <c r="C813" t="s">
        <v>40</v>
      </c>
      <c r="D813">
        <v>4.1666980000000002</v>
      </c>
      <c r="E813">
        <v>0.57501569999999902</v>
      </c>
      <c r="F813" t="s">
        <v>42</v>
      </c>
      <c r="G813">
        <v>-320.81830000000002</v>
      </c>
      <c r="H813" s="1">
        <v>-4.6547310000000003E-6</v>
      </c>
      <c r="I813">
        <v>365.4812</v>
      </c>
      <c r="J813">
        <v>-343.54050000000001</v>
      </c>
      <c r="K813">
        <v>1.110017</v>
      </c>
      <c r="L813">
        <v>367.40280000000001</v>
      </c>
      <c r="M813">
        <v>0.99988390000000005</v>
      </c>
      <c r="N813">
        <v>-1.416822E-2</v>
      </c>
      <c r="O813">
        <v>5.6239979999999998E-3</v>
      </c>
      <c r="P813">
        <v>0.95473929999999996</v>
      </c>
      <c r="Q813">
        <v>0.2875624</v>
      </c>
      <c r="R813">
        <v>7.6031390000000004E-2</v>
      </c>
      <c r="S813">
        <v>3.2104189999999999</v>
      </c>
      <c r="T813">
        <v>-0.1555356</v>
      </c>
      <c r="U813">
        <v>-0.26910400000000001</v>
      </c>
      <c r="V813">
        <v>-7.0476029999999995E-2</v>
      </c>
      <c r="W813">
        <v>0.30110959999999998</v>
      </c>
      <c r="X813">
        <v>0.95098170000000004</v>
      </c>
      <c r="Y813">
        <v>8.8995270000000001E-2</v>
      </c>
      <c r="Z813">
        <v>-2.9751539999999998E-3</v>
      </c>
      <c r="AA813">
        <v>0.99602760000000001</v>
      </c>
      <c r="AB813">
        <v>38</v>
      </c>
      <c r="AC813">
        <v>22.722199999999901</v>
      </c>
      <c r="AD813">
        <v>-1.110021654731</v>
      </c>
      <c r="AE813">
        <v>-1.92160000000001</v>
      </c>
      <c r="AF813">
        <v>2.0445274039959398</v>
      </c>
      <c r="AG813">
        <v>-1.110021654731</v>
      </c>
      <c r="AH813">
        <v>22.657344555131999</v>
      </c>
      <c r="AI813">
        <v>92.793442723231294</v>
      </c>
      <c r="AJ813">
        <v>84.8437742545551</v>
      </c>
      <c r="AK813">
        <v>22.776468178135801</v>
      </c>
      <c r="AL813">
        <v>72.475740047028907</v>
      </c>
      <c r="AM813">
        <v>94.238368635496002</v>
      </c>
      <c r="AN813">
        <v>1.0000000278757999</v>
      </c>
    </row>
    <row r="814" spans="1:40" x14ac:dyDescent="0.25">
      <c r="A814" t="str">
        <f>"20190304164112779"</f>
        <v>20190304164112779</v>
      </c>
      <c r="B814" t="str">
        <f>"1551688872772270"</f>
        <v>1551688872772270</v>
      </c>
      <c r="C814" t="s">
        <v>40</v>
      </c>
      <c r="D814">
        <v>4.1530379999999996</v>
      </c>
      <c r="E814">
        <v>0.57490839999999999</v>
      </c>
      <c r="F814" t="s">
        <v>42</v>
      </c>
      <c r="G814">
        <v>-320.4135</v>
      </c>
      <c r="H814" s="1">
        <v>-4.8290090000000003E-6</v>
      </c>
      <c r="I814">
        <v>365.4778</v>
      </c>
      <c r="J814">
        <v>-343.36110000000002</v>
      </c>
      <c r="K814">
        <v>1.1100159999999999</v>
      </c>
      <c r="L814">
        <v>367.40370000000001</v>
      </c>
      <c r="M814">
        <v>0.99988489999999997</v>
      </c>
      <c r="N814">
        <v>-1.414146E-2</v>
      </c>
      <c r="O814">
        <v>5.5002860000000001E-3</v>
      </c>
      <c r="P814">
        <v>0.95478039999999997</v>
      </c>
      <c r="Q814">
        <v>0.28750520000000002</v>
      </c>
      <c r="R814">
        <v>7.5731640000000003E-2</v>
      </c>
      <c r="S814">
        <v>3.2099000000000002</v>
      </c>
      <c r="T814">
        <v>-0.15406429999999999</v>
      </c>
      <c r="U814">
        <v>-0.26718140000000001</v>
      </c>
      <c r="V814">
        <v>-7.0292010000000002E-2</v>
      </c>
      <c r="W814">
        <v>0.30102770000000001</v>
      </c>
      <c r="X814">
        <v>0.95102120000000001</v>
      </c>
      <c r="Y814">
        <v>8.829642E-2</v>
      </c>
      <c r="Z814">
        <v>-2.9257739999999999E-3</v>
      </c>
      <c r="AA814">
        <v>0.99608989999999997</v>
      </c>
      <c r="AB814">
        <v>38</v>
      </c>
      <c r="AC814">
        <v>22.947600000000001</v>
      </c>
      <c r="AD814">
        <v>-1.1100208290089999</v>
      </c>
      <c r="AE814">
        <v>-1.9259000000000099</v>
      </c>
      <c r="AF814">
        <v>2.0473448737390401</v>
      </c>
      <c r="AG814">
        <v>-1.1100208290089999</v>
      </c>
      <c r="AH814">
        <v>22.883489356688099</v>
      </c>
      <c r="AI814">
        <v>92.766066914120103</v>
      </c>
      <c r="AJ814">
        <v>84.887461273015901</v>
      </c>
      <c r="AK814">
        <v>23.001692381442702</v>
      </c>
      <c r="AL814">
        <v>72.480660071527495</v>
      </c>
      <c r="AM814">
        <v>94.227167056623202</v>
      </c>
      <c r="AN814">
        <v>0.99999998284328495</v>
      </c>
    </row>
    <row r="815" spans="1:40" x14ac:dyDescent="0.25">
      <c r="A815" t="str">
        <f>"20190304164112790"</f>
        <v>20190304164112790</v>
      </c>
      <c r="B815" t="str">
        <f>"1551688872782030"</f>
        <v>1551688872782030</v>
      </c>
      <c r="C815" t="s">
        <v>40</v>
      </c>
      <c r="D815">
        <v>4.2238980000000002</v>
      </c>
      <c r="E815">
        <v>0.57490839999999999</v>
      </c>
      <c r="F815" t="s">
        <v>42</v>
      </c>
      <c r="G815">
        <v>-320.13409999999999</v>
      </c>
      <c r="H815" s="1">
        <v>-4.95081E-6</v>
      </c>
      <c r="I815">
        <v>365.46699999999998</v>
      </c>
      <c r="J815">
        <v>-343.18630000000002</v>
      </c>
      <c r="K815">
        <v>1.110012</v>
      </c>
      <c r="L815">
        <v>367.40460000000002</v>
      </c>
      <c r="M815">
        <v>0.99988589999999999</v>
      </c>
      <c r="N815">
        <v>-1.4115569999999999E-2</v>
      </c>
      <c r="O815">
        <v>5.3781760000000001E-3</v>
      </c>
      <c r="P815">
        <v>0.95478220000000003</v>
      </c>
      <c r="Q815">
        <v>0.28748950000000001</v>
      </c>
      <c r="R815">
        <v>7.5768890000000005E-2</v>
      </c>
      <c r="S815">
        <v>3.2095030000000002</v>
      </c>
      <c r="T815">
        <v>-0.1533813</v>
      </c>
      <c r="U815">
        <v>-0.26760859999999997</v>
      </c>
      <c r="V815">
        <v>-7.0443499999999895E-2</v>
      </c>
      <c r="W815">
        <v>0.30098780000000003</v>
      </c>
      <c r="X815">
        <v>0.9510227</v>
      </c>
      <c r="Y815">
        <v>8.8317740000000006E-2</v>
      </c>
      <c r="Z815">
        <v>-2.9110780000000001E-3</v>
      </c>
      <c r="AA815">
        <v>0.99608810000000003</v>
      </c>
      <c r="AB815">
        <v>38</v>
      </c>
      <c r="AC815">
        <v>23.052199999999999</v>
      </c>
      <c r="AD815">
        <v>-1.11001695081</v>
      </c>
      <c r="AE815">
        <v>-1.93760000000003</v>
      </c>
      <c r="AF815">
        <v>2.0568275159302098</v>
      </c>
      <c r="AG815">
        <v>-1.11001695081</v>
      </c>
      <c r="AH815">
        <v>22.988516446347202</v>
      </c>
      <c r="AI815">
        <v>92.753438623452993</v>
      </c>
      <c r="AJ815">
        <v>84.887248492611505</v>
      </c>
      <c r="AK815">
        <v>23.1070241585833</v>
      </c>
      <c r="AL815">
        <v>72.483058735560903</v>
      </c>
      <c r="AM815">
        <v>94.236237459523807</v>
      </c>
      <c r="AN815">
        <v>1.0000000591781799</v>
      </c>
    </row>
    <row r="816" spans="1:40" x14ac:dyDescent="0.25">
      <c r="A816" t="str">
        <f>"20190304164112801"</f>
        <v>20190304164112801</v>
      </c>
      <c r="B816" t="str">
        <f>"1551688872791790"</f>
        <v>1551688872791790</v>
      </c>
      <c r="C816" t="s">
        <v>40</v>
      </c>
      <c r="D816">
        <v>4.181012</v>
      </c>
      <c r="E816">
        <v>0.5473751</v>
      </c>
      <c r="F816" t="s">
        <v>43</v>
      </c>
      <c r="G816">
        <v>-318.90640000000002</v>
      </c>
      <c r="H816">
        <v>-0.05</v>
      </c>
      <c r="I816">
        <v>365.38119999999998</v>
      </c>
      <c r="J816">
        <v>-343.00279999999998</v>
      </c>
      <c r="K816">
        <v>1.1100049999999999</v>
      </c>
      <c r="L816">
        <v>367.40550000000002</v>
      </c>
      <c r="M816">
        <v>0.99988699999999997</v>
      </c>
      <c r="N816">
        <v>-1.4088440000000001E-2</v>
      </c>
      <c r="O816">
        <v>5.2496940000000001E-3</v>
      </c>
      <c r="P816">
        <v>0.95469789999999999</v>
      </c>
      <c r="Q816">
        <v>0.28766829999999999</v>
      </c>
      <c r="R816">
        <v>7.6151189999999994E-2</v>
      </c>
      <c r="S816">
        <v>3.2094420000000001</v>
      </c>
      <c r="T816">
        <v>-0.153336</v>
      </c>
      <c r="U816">
        <v>-0.26745609999999997</v>
      </c>
      <c r="V816">
        <v>-7.094644E-2</v>
      </c>
      <c r="W816">
        <v>0.30114049999999998</v>
      </c>
      <c r="X816">
        <v>0.95093689999999997</v>
      </c>
      <c r="Y816">
        <v>8.8144730000000004E-2</v>
      </c>
      <c r="Z816">
        <v>-2.8997089999999999E-3</v>
      </c>
      <c r="AA816">
        <v>0.99610350000000003</v>
      </c>
      <c r="AB816">
        <v>37</v>
      </c>
      <c r="AC816">
        <v>24.0963999999999</v>
      </c>
      <c r="AD816">
        <v>-1.160005</v>
      </c>
      <c r="AE816">
        <v>-2.02430000000003</v>
      </c>
      <c r="AF816">
        <v>2.1458452824749799</v>
      </c>
      <c r="AG816">
        <v>-1.160005</v>
      </c>
      <c r="AH816">
        <v>24.030140856044099</v>
      </c>
      <c r="AI816">
        <v>92.752752352425603</v>
      </c>
      <c r="AJ816">
        <v>84.897132222625103</v>
      </c>
      <c r="AK816">
        <v>24.1536318829626</v>
      </c>
      <c r="AL816">
        <v>72.473882799868306</v>
      </c>
      <c r="AM816">
        <v>94.2667548343275</v>
      </c>
      <c r="AN816">
        <v>0.99999999293526598</v>
      </c>
    </row>
    <row r="817" spans="1:40" x14ac:dyDescent="0.25">
      <c r="A817" t="str">
        <f>"20190304164112811"</f>
        <v>20190304164112811</v>
      </c>
      <c r="B817" t="str">
        <f>"1551688872802057"</f>
        <v>1551688872802057</v>
      </c>
      <c r="C817" t="s">
        <v>40</v>
      </c>
      <c r="D817">
        <v>4.1303229999999997</v>
      </c>
      <c r="E817">
        <v>0.54398800000000003</v>
      </c>
      <c r="F817" t="s">
        <v>43</v>
      </c>
      <c r="G817">
        <v>-303.72629999999998</v>
      </c>
      <c r="H817">
        <v>-0.05</v>
      </c>
      <c r="I817">
        <v>366.74509999999998</v>
      </c>
      <c r="J817">
        <v>-342.82569999999998</v>
      </c>
      <c r="K817">
        <v>1.110007</v>
      </c>
      <c r="L817">
        <v>367.40629999999999</v>
      </c>
      <c r="M817">
        <v>0.99988790000000005</v>
      </c>
      <c r="N817">
        <v>-1.4063569999999999E-2</v>
      </c>
      <c r="O817">
        <v>5.1230290000000003E-3</v>
      </c>
      <c r="P817">
        <v>0.95472009999999996</v>
      </c>
      <c r="Q817">
        <v>0.28748770000000001</v>
      </c>
      <c r="R817">
        <v>7.6552699999999904E-2</v>
      </c>
      <c r="S817">
        <v>3.1748959999999999</v>
      </c>
      <c r="T817">
        <v>-9.3768359999999995E-2</v>
      </c>
      <c r="U817">
        <v>-5.3375239999999997E-2</v>
      </c>
      <c r="V817">
        <v>-7.1465890000000004E-2</v>
      </c>
      <c r="W817">
        <v>0.30093730000000002</v>
      </c>
      <c r="X817">
        <v>0.95096239999999999</v>
      </c>
      <c r="Y817">
        <v>2.191715E-2</v>
      </c>
      <c r="Z817">
        <v>-5.5696999999999995E-4</v>
      </c>
      <c r="AA817">
        <v>0.99975959999999997</v>
      </c>
      <c r="AB817">
        <v>37</v>
      </c>
      <c r="AC817">
        <v>39.099400000000003</v>
      </c>
      <c r="AD817">
        <v>-1.160007</v>
      </c>
      <c r="AE817">
        <v>-0.661200000000007</v>
      </c>
      <c r="AF817">
        <v>0.86076108440691901</v>
      </c>
      <c r="AG817">
        <v>-1.160007</v>
      </c>
      <c r="AH817">
        <v>39.061127374002702</v>
      </c>
      <c r="AI817">
        <v>91.7006129712844</v>
      </c>
      <c r="AJ817">
        <v>88.737619724164801</v>
      </c>
      <c r="AK817">
        <v>39.0878267189741</v>
      </c>
      <c r="AL817">
        <v>72.486092844242705</v>
      </c>
      <c r="AM817">
        <v>94.297763371743201</v>
      </c>
      <c r="AN817">
        <v>1.0000000590892599</v>
      </c>
    </row>
    <row r="818" spans="1:40" x14ac:dyDescent="0.25">
      <c r="A818" t="str">
        <f>"20190304164112824"</f>
        <v>20190304164112824</v>
      </c>
      <c r="B818" t="str">
        <f>"1551688872811817"</f>
        <v>1551688872811817</v>
      </c>
      <c r="C818" t="s">
        <v>40</v>
      </c>
      <c r="D818">
        <v>4.1361220000000003</v>
      </c>
      <c r="E818">
        <v>0.54236629999999997</v>
      </c>
      <c r="F818" t="s">
        <v>43</v>
      </c>
      <c r="G818">
        <v>-304.6207</v>
      </c>
      <c r="H818">
        <v>-0.05</v>
      </c>
      <c r="I818">
        <v>367.10239999999999</v>
      </c>
      <c r="J818">
        <v>-342.62470000000002</v>
      </c>
      <c r="K818">
        <v>1.109999</v>
      </c>
      <c r="L818">
        <v>367.40719999999999</v>
      </c>
      <c r="M818">
        <v>0.99988920000000003</v>
      </c>
      <c r="N818">
        <v>-1.4035799999999999E-2</v>
      </c>
      <c r="O818">
        <v>4.9778330000000001E-3</v>
      </c>
      <c r="P818">
        <v>0.9546829</v>
      </c>
      <c r="Q818">
        <v>0.28748289999999999</v>
      </c>
      <c r="R818">
        <v>7.7035140000000002E-2</v>
      </c>
      <c r="S818">
        <v>3.1733090000000002</v>
      </c>
      <c r="T818">
        <v>-9.6350309999999995E-2</v>
      </c>
      <c r="U818">
        <v>-2.523804E-2</v>
      </c>
      <c r="V818">
        <v>-7.2083289999999994E-2</v>
      </c>
      <c r="W818">
        <v>0.30090679999999997</v>
      </c>
      <c r="X818">
        <v>0.95092540000000003</v>
      </c>
      <c r="Y818">
        <v>1.292167E-2</v>
      </c>
      <c r="Z818">
        <v>-3.6808190000000001E-4</v>
      </c>
      <c r="AA818">
        <v>0.99991640000000004</v>
      </c>
      <c r="AB818">
        <v>37</v>
      </c>
      <c r="AC818">
        <v>38.003999999999998</v>
      </c>
      <c r="AD818">
        <v>-1.159999</v>
      </c>
      <c r="AE818">
        <v>-0.30480000000000002</v>
      </c>
      <c r="AF818">
        <v>0.49353263278562898</v>
      </c>
      <c r="AG818">
        <v>-1.159999</v>
      </c>
      <c r="AH818">
        <v>37.966642006161102</v>
      </c>
      <c r="AI818">
        <v>91.749872115940704</v>
      </c>
      <c r="AJ818">
        <v>89.255247690105605</v>
      </c>
      <c r="AK818">
        <v>37.987564772746701</v>
      </c>
      <c r="AL818">
        <v>72.487924408784593</v>
      </c>
      <c r="AM818">
        <v>94.334919227473307</v>
      </c>
      <c r="AN818">
        <v>1.00000000967431</v>
      </c>
    </row>
    <row r="819" spans="1:40" x14ac:dyDescent="0.25">
      <c r="A819" t="str">
        <f>"20190304164112836"</f>
        <v>20190304164112836</v>
      </c>
      <c r="B819" t="str">
        <f>"1551688872822553"</f>
        <v>1551688872822553</v>
      </c>
      <c r="C819" t="s">
        <v>40</v>
      </c>
      <c r="D819">
        <v>4.1308150000000001</v>
      </c>
      <c r="E819">
        <v>0.54145659999999995</v>
      </c>
      <c r="F819" t="s">
        <v>43</v>
      </c>
      <c r="G819">
        <v>-303.53160000000003</v>
      </c>
      <c r="H819">
        <v>-0.05</v>
      </c>
      <c r="I819">
        <v>367.274</v>
      </c>
      <c r="J819">
        <v>-342.41669999999999</v>
      </c>
      <c r="K819">
        <v>1.1099920000000001</v>
      </c>
      <c r="L819">
        <v>367.40809999999999</v>
      </c>
      <c r="M819">
        <v>0.99989039999999996</v>
      </c>
      <c r="N819">
        <v>-1.4008899999999999E-2</v>
      </c>
      <c r="O819">
        <v>4.8220540000000001E-3</v>
      </c>
      <c r="P819">
        <v>0.95465710000000004</v>
      </c>
      <c r="Q819">
        <v>0.2874874</v>
      </c>
      <c r="R819">
        <v>7.7338459999999998E-2</v>
      </c>
      <c r="S819">
        <v>3.1716310000000001</v>
      </c>
      <c r="T819">
        <v>-9.4110849999999996E-2</v>
      </c>
      <c r="U819">
        <v>-1.0803220000000001E-2</v>
      </c>
      <c r="V819">
        <v>-7.2530860000000003E-2</v>
      </c>
      <c r="W819">
        <v>0.30088730000000002</v>
      </c>
      <c r="X819">
        <v>0.95089760000000001</v>
      </c>
      <c r="Y819">
        <v>8.2227240000000007E-3</v>
      </c>
      <c r="Z819">
        <v>-2.5508969999999998E-4</v>
      </c>
      <c r="AA819">
        <v>0.99996609999999997</v>
      </c>
      <c r="AB819">
        <v>37</v>
      </c>
      <c r="AC819">
        <v>38.885099999999902</v>
      </c>
      <c r="AD819">
        <v>-1.1599919999999999</v>
      </c>
      <c r="AE819">
        <v>-0.13409999999998901</v>
      </c>
      <c r="AF819">
        <v>0.321336909036954</v>
      </c>
      <c r="AG819">
        <v>-1.1599919999999999</v>
      </c>
      <c r="AH819">
        <v>38.849429243536903</v>
      </c>
      <c r="AI819">
        <v>91.710208746324099</v>
      </c>
      <c r="AJ819">
        <v>89.526097829589602</v>
      </c>
      <c r="AK819">
        <v>38.868071619231998</v>
      </c>
      <c r="AL819">
        <v>72.489097048823496</v>
      </c>
      <c r="AM819">
        <v>94.361858507865804</v>
      </c>
      <c r="AN819">
        <v>1.00000006931969</v>
      </c>
    </row>
    <row r="820" spans="1:40" x14ac:dyDescent="0.25">
      <c r="A820" t="str">
        <f>"20190304164112846"</f>
        <v>20190304164112846</v>
      </c>
      <c r="B820" t="str">
        <f>"1551688872832312"</f>
        <v>1551688872832312</v>
      </c>
      <c r="C820" t="s">
        <v>40</v>
      </c>
      <c r="D820">
        <v>4.1209730000000002</v>
      </c>
      <c r="E820">
        <v>0.54081590000000002</v>
      </c>
      <c r="F820" t="s">
        <v>43</v>
      </c>
      <c r="G820">
        <v>-303.60919999999999</v>
      </c>
      <c r="H820">
        <v>-0.05</v>
      </c>
      <c r="I820">
        <v>367.37369999999999</v>
      </c>
      <c r="J820">
        <v>-342.2355</v>
      </c>
      <c r="K820">
        <v>1.1099870000000001</v>
      </c>
      <c r="L820">
        <v>367.40879999999999</v>
      </c>
      <c r="M820">
        <v>0.99989119999999998</v>
      </c>
      <c r="N820">
        <v>-1.3986490000000001E-2</v>
      </c>
      <c r="O820">
        <v>4.6840110000000001E-3</v>
      </c>
      <c r="P820">
        <v>0.95452210000000004</v>
      </c>
      <c r="Q820">
        <v>0.28783259999999899</v>
      </c>
      <c r="R820">
        <v>7.7717919999999996E-2</v>
      </c>
      <c r="S820">
        <v>3.1712950000000002</v>
      </c>
      <c r="T820">
        <v>-9.4792840000000003E-2</v>
      </c>
      <c r="U820">
        <v>-2.8076170000000001E-3</v>
      </c>
      <c r="V820">
        <v>-7.3038119999999998E-2</v>
      </c>
      <c r="W820">
        <v>0.30121009999999998</v>
      </c>
      <c r="X820">
        <v>0.9507565</v>
      </c>
      <c r="Y820">
        <v>5.5655390000000004E-3</v>
      </c>
      <c r="Z820">
        <v>-1.9656599999999999E-4</v>
      </c>
      <c r="AA820">
        <v>0.99998450000000005</v>
      </c>
      <c r="AB820">
        <v>37</v>
      </c>
      <c r="AC820">
        <v>38.626300000000001</v>
      </c>
      <c r="AD820">
        <v>-1.1599870000000001</v>
      </c>
      <c r="AE820">
        <v>-3.5099999999999902E-2</v>
      </c>
      <c r="AF820">
        <v>0.215848664967946</v>
      </c>
      <c r="AG820">
        <v>-1.1599870000000001</v>
      </c>
      <c r="AH820">
        <v>38.590908120334703</v>
      </c>
      <c r="AI820">
        <v>91.721683116398694</v>
      </c>
      <c r="AJ820">
        <v>89.679533621940394</v>
      </c>
      <c r="AK820">
        <v>38.608941322424997</v>
      </c>
      <c r="AL820">
        <v>72.4697010911338</v>
      </c>
      <c r="AM820">
        <v>94.392894426002698</v>
      </c>
      <c r="AN820">
        <v>1.0000000068036901</v>
      </c>
    </row>
    <row r="821" spans="1:40" x14ac:dyDescent="0.25">
      <c r="A821" t="str">
        <f>"20190304164112858"</f>
        <v>20190304164112858</v>
      </c>
      <c r="B821" t="str">
        <f>"1551688872851833"</f>
        <v>1551688872851833</v>
      </c>
      <c r="C821" t="s">
        <v>40</v>
      </c>
      <c r="D821">
        <v>4.1428039999999999</v>
      </c>
      <c r="E821">
        <v>0.53993179999999996</v>
      </c>
      <c r="F821" t="s">
        <v>43</v>
      </c>
      <c r="G821">
        <v>-304.25279999999998</v>
      </c>
      <c r="H821">
        <v>-0.05</v>
      </c>
      <c r="I821">
        <v>367.45190000000002</v>
      </c>
      <c r="J821">
        <v>-342.0446</v>
      </c>
      <c r="K821">
        <v>1.1099810000000001</v>
      </c>
      <c r="L821">
        <v>367.40960000000001</v>
      </c>
      <c r="M821">
        <v>0.99989240000000001</v>
      </c>
      <c r="N821">
        <v>-1.3964020000000001E-2</v>
      </c>
      <c r="O821">
        <v>4.5350449999999997E-3</v>
      </c>
      <c r="P821">
        <v>0.9545013</v>
      </c>
      <c r="Q821">
        <v>0.28781180000000001</v>
      </c>
      <c r="R821">
        <v>7.8049439999999998E-2</v>
      </c>
      <c r="S821">
        <v>3.171875</v>
      </c>
      <c r="T821">
        <v>-9.686852E-2</v>
      </c>
      <c r="U821">
        <v>3.6010740000000001E-3</v>
      </c>
      <c r="V821">
        <v>-7.3506520000000006E-2</v>
      </c>
      <c r="W821">
        <v>0.30116920000000003</v>
      </c>
      <c r="X821">
        <v>0.95073339999999995</v>
      </c>
      <c r="Y821">
        <v>3.3972519999999999E-3</v>
      </c>
      <c r="Z821">
        <v>-1.5073650000000001E-4</v>
      </c>
      <c r="AA821">
        <v>0.99999420000000006</v>
      </c>
      <c r="AB821">
        <v>37</v>
      </c>
      <c r="AC821">
        <v>37.791800000000002</v>
      </c>
      <c r="AD821">
        <v>-1.1599809999999999</v>
      </c>
      <c r="AE821">
        <v>4.2300000000011502E-2</v>
      </c>
      <c r="AF821">
        <v>0.12898311148817099</v>
      </c>
      <c r="AG821">
        <v>-1.1599809999999999</v>
      </c>
      <c r="AH821">
        <v>37.756032449114301</v>
      </c>
      <c r="AI821">
        <v>91.759738096696495</v>
      </c>
      <c r="AJ821">
        <v>89.804265472607497</v>
      </c>
      <c r="AK821">
        <v>37.774067544573299</v>
      </c>
      <c r="AL821">
        <v>72.472159326815898</v>
      </c>
      <c r="AM821">
        <v>94.421062109473496</v>
      </c>
      <c r="AN821">
        <v>1.0000000466933501</v>
      </c>
    </row>
    <row r="822" spans="1:40" x14ac:dyDescent="0.25">
      <c r="A822" t="str">
        <f>"20190304164112869"</f>
        <v>20190304164112869</v>
      </c>
      <c r="B822" t="str">
        <f>"1551688872862568"</f>
        <v>1551688872862568</v>
      </c>
      <c r="C822" t="s">
        <v>40</v>
      </c>
      <c r="D822">
        <v>4.142404</v>
      </c>
      <c r="E822">
        <v>0.53972249999999999</v>
      </c>
      <c r="F822" t="s">
        <v>43</v>
      </c>
      <c r="G822">
        <v>-303.83999999999997</v>
      </c>
      <c r="H822">
        <v>-0.05</v>
      </c>
      <c r="I822">
        <v>367.55630000000002</v>
      </c>
      <c r="J822">
        <v>-341.85770000000002</v>
      </c>
      <c r="K822">
        <v>1.109974</v>
      </c>
      <c r="L822">
        <v>367.41030000000001</v>
      </c>
      <c r="M822">
        <v>0.99989329999999998</v>
      </c>
      <c r="N822">
        <v>-1.394346E-2</v>
      </c>
      <c r="O822">
        <v>4.3831900000000003E-3</v>
      </c>
      <c r="P822">
        <v>0.95448759999999999</v>
      </c>
      <c r="Q822">
        <v>0.2878117</v>
      </c>
      <c r="R822">
        <v>7.8220570000000003E-2</v>
      </c>
      <c r="S822">
        <v>3.1710210000000001</v>
      </c>
      <c r="T822">
        <v>-9.6279500000000004E-2</v>
      </c>
      <c r="U822">
        <v>1.217651E-2</v>
      </c>
      <c r="V822">
        <v>-7.3817060000000004E-2</v>
      </c>
      <c r="W822">
        <v>0.301151</v>
      </c>
      <c r="X822">
        <v>0.95071510000000004</v>
      </c>
      <c r="Y822">
        <v>5.4275730000000004E-4</v>
      </c>
      <c r="Z822" s="1">
        <v>-8.3962979999999994E-5</v>
      </c>
      <c r="AA822">
        <v>0.99999979999999999</v>
      </c>
      <c r="AB822">
        <v>37</v>
      </c>
      <c r="AC822">
        <v>38.017699999999998</v>
      </c>
      <c r="AD822">
        <v>-1.1599740000000001</v>
      </c>
      <c r="AE822">
        <v>0.14600000000001501</v>
      </c>
      <c r="AF822">
        <v>2.06371744235396E-2</v>
      </c>
      <c r="AG822">
        <v>-1.1599740000000001</v>
      </c>
      <c r="AH822">
        <v>37.982615460215598</v>
      </c>
      <c r="AI822">
        <v>91.749246419738697</v>
      </c>
      <c r="AJ822">
        <v>89.9688693665545</v>
      </c>
      <c r="AK822">
        <v>38.000329508732598</v>
      </c>
      <c r="AL822">
        <v>72.473252799425794</v>
      </c>
      <c r="AM822">
        <v>94.4397501899779</v>
      </c>
      <c r="AN822">
        <v>1.00000004225802</v>
      </c>
    </row>
    <row r="823" spans="1:40" x14ac:dyDescent="0.25">
      <c r="A823" t="str">
        <f>"20190304164112879"</f>
        <v>20190304164112879</v>
      </c>
      <c r="B823" t="str">
        <f>"1551688872872329"</f>
        <v>1551688872872329</v>
      </c>
      <c r="C823" t="s">
        <v>40</v>
      </c>
      <c r="D823">
        <v>4.124403</v>
      </c>
      <c r="E823">
        <v>0.53982699999999995</v>
      </c>
      <c r="F823" t="s">
        <v>43</v>
      </c>
      <c r="G823">
        <v>-303.29090000000002</v>
      </c>
      <c r="H823">
        <v>-0.05</v>
      </c>
      <c r="I823">
        <v>367.58510000000001</v>
      </c>
      <c r="J823">
        <v>-341.6848</v>
      </c>
      <c r="K823">
        <v>1.109969</v>
      </c>
      <c r="L823">
        <v>367.411</v>
      </c>
      <c r="M823">
        <v>0.99989410000000001</v>
      </c>
      <c r="N823">
        <v>-1.3925E-2</v>
      </c>
      <c r="O823">
        <v>4.2403809999999997E-3</v>
      </c>
      <c r="P823">
        <v>0.95451620000000004</v>
      </c>
      <c r="Q823">
        <v>0.2876359</v>
      </c>
      <c r="R823">
        <v>7.8515100000000004E-2</v>
      </c>
      <c r="S823">
        <v>3.1706240000000001</v>
      </c>
      <c r="T823">
        <v>-9.5362779999999994E-2</v>
      </c>
      <c r="U823">
        <v>1.4373779999999999E-2</v>
      </c>
      <c r="V823">
        <v>-7.4242440000000007E-2</v>
      </c>
      <c r="W823">
        <v>0.30096000000000001</v>
      </c>
      <c r="X823">
        <v>0.95074239999999999</v>
      </c>
      <c r="Y823">
        <v>-2.9294610000000002E-4</v>
      </c>
      <c r="Z823" s="1">
        <v>-6.2019940000000002E-5</v>
      </c>
      <c r="AA823">
        <v>0.99999990000000005</v>
      </c>
      <c r="AB823">
        <v>37</v>
      </c>
      <c r="AC823">
        <v>38.393899999999903</v>
      </c>
      <c r="AD823">
        <v>-1.159969</v>
      </c>
      <c r="AE823">
        <v>0.174100000000009</v>
      </c>
      <c r="AF823">
        <v>-1.1267606972910399E-2</v>
      </c>
      <c r="AG823">
        <v>-1.159969</v>
      </c>
      <c r="AH823">
        <v>38.359280035948899</v>
      </c>
      <c r="AI823">
        <v>91.7320731281646</v>
      </c>
      <c r="AJ823">
        <v>90.016829990176703</v>
      </c>
      <c r="AK823">
        <v>38.3768161774303</v>
      </c>
      <c r="AL823">
        <v>72.484727687235804</v>
      </c>
      <c r="AM823">
        <v>94.465103932622895</v>
      </c>
      <c r="AN823">
        <v>0.99999998632745601</v>
      </c>
    </row>
    <row r="824" spans="1:40" x14ac:dyDescent="0.25">
      <c r="A824" t="str">
        <f>"20190304164112889"</f>
        <v>20190304164112889</v>
      </c>
      <c r="B824" t="str">
        <f>"1551688872882089"</f>
        <v>1551688872882089</v>
      </c>
      <c r="C824" t="s">
        <v>40</v>
      </c>
      <c r="D824">
        <v>4.1245979999999998</v>
      </c>
      <c r="E824">
        <v>0.53958989999999996</v>
      </c>
      <c r="F824" t="s">
        <v>43</v>
      </c>
      <c r="G824">
        <v>-303.2491</v>
      </c>
      <c r="H824">
        <v>-0.05</v>
      </c>
      <c r="I824">
        <v>367.58300000000003</v>
      </c>
      <c r="J824">
        <v>-341.51229999999998</v>
      </c>
      <c r="K824">
        <v>1.1099589999999999</v>
      </c>
      <c r="L824">
        <v>367.41160000000002</v>
      </c>
      <c r="M824">
        <v>0.99989499999999998</v>
      </c>
      <c r="N824">
        <v>-1.390635E-2</v>
      </c>
      <c r="O824">
        <v>4.0874129999999998E-3</v>
      </c>
      <c r="P824">
        <v>0.95446850000000005</v>
      </c>
      <c r="Q824">
        <v>0.28777229999999998</v>
      </c>
      <c r="R824">
        <v>7.8595709999999999E-2</v>
      </c>
      <c r="S824">
        <v>3.1705930000000002</v>
      </c>
      <c r="T824">
        <v>-9.5686549999999995E-2</v>
      </c>
      <c r="U824">
        <v>1.4190670000000001E-2</v>
      </c>
      <c r="V824">
        <v>-7.4462089999999995E-2</v>
      </c>
      <c r="W824">
        <v>0.30107919999999999</v>
      </c>
      <c r="X824">
        <v>0.95068750000000002</v>
      </c>
      <c r="Y824">
        <v>-3.8814909999999999E-4</v>
      </c>
      <c r="Z824" s="1">
        <v>-5.7934040000000001E-5</v>
      </c>
      <c r="AA824">
        <v>0.99999990000000005</v>
      </c>
      <c r="AB824">
        <v>37</v>
      </c>
      <c r="AC824">
        <v>38.263199999999898</v>
      </c>
      <c r="AD824">
        <v>-1.159959</v>
      </c>
      <c r="AE824">
        <v>0.17140000000000499</v>
      </c>
      <c r="AF824">
        <v>-1.49721908307325E-2</v>
      </c>
      <c r="AG824">
        <v>-1.159959</v>
      </c>
      <c r="AH824">
        <v>38.228449135086301</v>
      </c>
      <c r="AI824">
        <v>91.737982216526802</v>
      </c>
      <c r="AJ824">
        <v>90.022439918966398</v>
      </c>
      <c r="AK824">
        <v>38.2460462312389</v>
      </c>
      <c r="AL824">
        <v>72.477566188894102</v>
      </c>
      <c r="AM824">
        <v>94.478518067883599</v>
      </c>
      <c r="AN824">
        <v>1.00000000508802</v>
      </c>
    </row>
    <row r="825" spans="1:40" x14ac:dyDescent="0.25">
      <c r="A825" t="str">
        <f>"20190304164112901"</f>
        <v>20190304164112901</v>
      </c>
      <c r="B825" t="str">
        <f>"1551688872891848"</f>
        <v>1551688872891848</v>
      </c>
      <c r="C825" t="s">
        <v>40</v>
      </c>
      <c r="D825">
        <v>4.1425999999999998</v>
      </c>
      <c r="E825">
        <v>0.53972469999999995</v>
      </c>
      <c r="F825" t="s">
        <v>43</v>
      </c>
      <c r="G825">
        <v>-301.25659999999999</v>
      </c>
      <c r="H825">
        <v>-0.05</v>
      </c>
      <c r="I825">
        <v>367.60649999999998</v>
      </c>
      <c r="J825">
        <v>-341.32709999999997</v>
      </c>
      <c r="K825">
        <v>1.10995</v>
      </c>
      <c r="L825">
        <v>367.41219999999998</v>
      </c>
      <c r="M825">
        <v>0.9998958</v>
      </c>
      <c r="N825">
        <v>-1.3886300000000001E-2</v>
      </c>
      <c r="O825">
        <v>3.9210269999999997E-3</v>
      </c>
      <c r="P825">
        <v>0.95446039999999999</v>
      </c>
      <c r="Q825">
        <v>0.28773159999999998</v>
      </c>
      <c r="R825">
        <v>7.8838930000000002E-2</v>
      </c>
      <c r="S825">
        <v>3.1693730000000002</v>
      </c>
      <c r="T825">
        <v>-9.1324810000000006E-2</v>
      </c>
      <c r="U825">
        <v>1.5350340000000001E-2</v>
      </c>
      <c r="V825">
        <v>-7.4856530000000004E-2</v>
      </c>
      <c r="W825">
        <v>0.30102190000000001</v>
      </c>
      <c r="X825">
        <v>0.95067469999999998</v>
      </c>
      <c r="Y825">
        <v>-9.2175440000000003E-4</v>
      </c>
      <c r="Z825" s="1">
        <v>-3.8834320000000003E-5</v>
      </c>
      <c r="AA825">
        <v>0.99999959999999999</v>
      </c>
      <c r="AB825">
        <v>37</v>
      </c>
      <c r="AC825">
        <v>40.070499999999903</v>
      </c>
      <c r="AD825">
        <v>-1.15995</v>
      </c>
      <c r="AE825">
        <v>0.194299999999998</v>
      </c>
      <c r="AF825">
        <v>-3.7134711403524798E-2</v>
      </c>
      <c r="AG825">
        <v>-1.15995</v>
      </c>
      <c r="AH825">
        <v>40.037404440392599</v>
      </c>
      <c r="AI825">
        <v>91.659488834235702</v>
      </c>
      <c r="AJ825">
        <v>90.0531418471423</v>
      </c>
      <c r="AK825">
        <v>40.054220967494302</v>
      </c>
      <c r="AL825">
        <v>72.481009490356698</v>
      </c>
      <c r="AM825">
        <v>94.502204730449193</v>
      </c>
      <c r="AN825">
        <v>1.00000003479167</v>
      </c>
    </row>
    <row r="826" spans="1:40" x14ac:dyDescent="0.25">
      <c r="A826" t="str">
        <f>"20190304164112913"</f>
        <v>20190304164112913</v>
      </c>
      <c r="B826" t="str">
        <f>"1551688872902117"</f>
        <v>1551688872902117</v>
      </c>
      <c r="C826" t="s">
        <v>40</v>
      </c>
      <c r="D826">
        <v>4.1176879999999896</v>
      </c>
      <c r="E826">
        <v>0.53973499999999996</v>
      </c>
      <c r="F826" t="s">
        <v>43</v>
      </c>
      <c r="G826">
        <v>-301.47640000000001</v>
      </c>
      <c r="H826">
        <v>-0.05</v>
      </c>
      <c r="I826">
        <v>367.59629999999999</v>
      </c>
      <c r="J826">
        <v>-341.13400000000001</v>
      </c>
      <c r="K826">
        <v>1.1099349999999999</v>
      </c>
      <c r="L826">
        <v>367.41269999999997</v>
      </c>
      <c r="M826">
        <v>0.99989689999999998</v>
      </c>
      <c r="N826">
        <v>-1.3865489999999999E-2</v>
      </c>
      <c r="O826">
        <v>3.731641E-3</v>
      </c>
      <c r="P826">
        <v>0.95435979999999998</v>
      </c>
      <c r="Q826">
        <v>0.28801009999999999</v>
      </c>
      <c r="R826">
        <v>7.904303E-2</v>
      </c>
      <c r="S826">
        <v>3.1697389999999999</v>
      </c>
      <c r="T826">
        <v>-9.2262739999999996E-2</v>
      </c>
      <c r="U826">
        <v>1.464844E-2</v>
      </c>
      <c r="V826">
        <v>-7.5231759999999995E-2</v>
      </c>
      <c r="W826">
        <v>0.30128149999999998</v>
      </c>
      <c r="X826">
        <v>0.95056280000000004</v>
      </c>
      <c r="Y826">
        <v>-8.8917520000000004E-4</v>
      </c>
      <c r="Z826" s="1">
        <v>-3.7751869999999998E-5</v>
      </c>
      <c r="AA826">
        <v>0.99999959999999999</v>
      </c>
      <c r="AB826">
        <v>37</v>
      </c>
      <c r="AC826">
        <v>39.657600000000002</v>
      </c>
      <c r="AD826">
        <v>-1.1599349999999999</v>
      </c>
      <c r="AE826">
        <v>0.183600000000012</v>
      </c>
      <c r="AF826">
        <v>-3.5566141064339599E-2</v>
      </c>
      <c r="AG826">
        <v>-1.1599349999999999</v>
      </c>
      <c r="AH826">
        <v>39.624111755393798</v>
      </c>
      <c r="AI826">
        <v>91.676766399728393</v>
      </c>
      <c r="AJ826">
        <v>90.051428010345703</v>
      </c>
      <c r="AK826">
        <v>39.641101732400898</v>
      </c>
      <c r="AL826">
        <v>72.465410724089907</v>
      </c>
      <c r="AM826">
        <v>94.525209685029196</v>
      </c>
      <c r="AN826">
        <v>0.99999999834939302</v>
      </c>
    </row>
    <row r="827" spans="1:40" x14ac:dyDescent="0.25">
      <c r="A827" t="str">
        <f>"20190304164112926"</f>
        <v>20190304164112926</v>
      </c>
      <c r="B827" t="str">
        <f>"1551688872921636"</f>
        <v>1551688872921636</v>
      </c>
      <c r="C827" t="s">
        <v>40</v>
      </c>
      <c r="D827">
        <v>4.1379630000000001</v>
      </c>
      <c r="E827">
        <v>0.53979960000000005</v>
      </c>
      <c r="F827" t="s">
        <v>43</v>
      </c>
      <c r="G827">
        <v>-300.23099999999999</v>
      </c>
      <c r="H827">
        <v>-0.05</v>
      </c>
      <c r="I827">
        <v>367.59699999999998</v>
      </c>
      <c r="J827">
        <v>-340.91829999999999</v>
      </c>
      <c r="K827">
        <v>1.1099190000000001</v>
      </c>
      <c r="L827">
        <v>367.41340000000002</v>
      </c>
      <c r="M827">
        <v>0.99989819999999996</v>
      </c>
      <c r="N827">
        <v>-1.3841880000000001E-2</v>
      </c>
      <c r="O827">
        <v>3.5122450000000002E-3</v>
      </c>
      <c r="P827">
        <v>0.95435760000000003</v>
      </c>
      <c r="Q827">
        <v>0.2879758</v>
      </c>
      <c r="R827">
        <v>7.9195080000000001E-2</v>
      </c>
      <c r="S827">
        <v>3.169403</v>
      </c>
      <c r="T827">
        <v>-8.9878440000000004E-2</v>
      </c>
      <c r="U827">
        <v>1.428223E-2</v>
      </c>
      <c r="V827">
        <v>-7.558165E-2</v>
      </c>
      <c r="W827">
        <v>0.30122739999999998</v>
      </c>
      <c r="X827">
        <v>0.95055219999999896</v>
      </c>
      <c r="Y827">
        <v>-9.9344020000000002E-4</v>
      </c>
      <c r="Z827" s="1">
        <v>-3.0005470000000001E-5</v>
      </c>
      <c r="AA827">
        <v>0.99999950000000004</v>
      </c>
      <c r="AB827">
        <v>37</v>
      </c>
      <c r="AC827">
        <v>40.687299999999901</v>
      </c>
      <c r="AD827">
        <v>-1.1599189999999999</v>
      </c>
      <c r="AE827">
        <v>0.18359999999995499</v>
      </c>
      <c r="AF827">
        <v>-4.0648399118002297E-2</v>
      </c>
      <c r="AG827">
        <v>-1.1599189999999999</v>
      </c>
      <c r="AH827">
        <v>40.654653982925502</v>
      </c>
      <c r="AI827">
        <v>91.634263228211495</v>
      </c>
      <c r="AJ827">
        <v>90.057286945261197</v>
      </c>
      <c r="AK827">
        <v>40.671217769453598</v>
      </c>
      <c r="AL827">
        <v>72.468661627804394</v>
      </c>
      <c r="AM827">
        <v>94.546218122981003</v>
      </c>
      <c r="AN827">
        <v>1.00000000862616</v>
      </c>
    </row>
    <row r="828" spans="1:40" x14ac:dyDescent="0.25">
      <c r="A828" t="str">
        <f>"20190304164112939"</f>
        <v>20190304164112939</v>
      </c>
      <c r="B828" t="str">
        <f>"1551688872932372"</f>
        <v>1551688872932372</v>
      </c>
      <c r="C828" t="s">
        <v>40</v>
      </c>
      <c r="D828">
        <v>4.1521530000000002</v>
      </c>
      <c r="E828">
        <v>0.53994509999999996</v>
      </c>
      <c r="F828" t="s">
        <v>43</v>
      </c>
      <c r="G828">
        <v>-299.78469999999999</v>
      </c>
      <c r="H828">
        <v>-0.05</v>
      </c>
      <c r="I828">
        <v>367.5872</v>
      </c>
      <c r="J828">
        <v>-340.69130000000001</v>
      </c>
      <c r="K828">
        <v>1.1098969999999999</v>
      </c>
      <c r="L828">
        <v>367.41390000000001</v>
      </c>
      <c r="M828">
        <v>0.99989939999999999</v>
      </c>
      <c r="N828">
        <v>-1.3816200000000001E-2</v>
      </c>
      <c r="O828">
        <v>3.2657419999999999E-3</v>
      </c>
      <c r="P828">
        <v>0.95431940000000004</v>
      </c>
      <c r="Q828">
        <v>0.28810449999999999</v>
      </c>
      <c r="R828">
        <v>7.9188670000000003E-2</v>
      </c>
      <c r="S828">
        <v>3.1693730000000002</v>
      </c>
      <c r="T828">
        <v>-8.9372399999999894E-2</v>
      </c>
      <c r="U828">
        <v>1.339722E-2</v>
      </c>
      <c r="V828">
        <v>-7.5795609999999999E-2</v>
      </c>
      <c r="W828">
        <v>0.30133520000000003</v>
      </c>
      <c r="X828">
        <v>0.95050100000000004</v>
      </c>
      <c r="Y828">
        <v>-9.607719E-4</v>
      </c>
      <c r="Z828" s="1">
        <v>-2.6770310000000001E-5</v>
      </c>
      <c r="AA828">
        <v>0.99999950000000004</v>
      </c>
      <c r="AB828">
        <v>37</v>
      </c>
      <c r="AC828">
        <v>40.906599999999997</v>
      </c>
      <c r="AD828">
        <v>-1.159897</v>
      </c>
      <c r="AE828">
        <v>0.173299999999983</v>
      </c>
      <c r="AF828">
        <v>-3.9664056995961802E-2</v>
      </c>
      <c r="AG828">
        <v>-1.159897</v>
      </c>
      <c r="AH828">
        <v>40.874085953809001</v>
      </c>
      <c r="AI828">
        <v>91.625463661249199</v>
      </c>
      <c r="AJ828">
        <v>90.055599588293205</v>
      </c>
      <c r="AK828">
        <v>40.890559263079197</v>
      </c>
      <c r="AL828">
        <v>72.462184269328901</v>
      </c>
      <c r="AM828">
        <v>94.559278131566401</v>
      </c>
      <c r="AN828">
        <v>1.0000000141276499</v>
      </c>
    </row>
    <row r="829" spans="1:40" x14ac:dyDescent="0.25">
      <c r="A829" t="str">
        <f>"20190304164112952"</f>
        <v>20190304164112952</v>
      </c>
      <c r="B829" t="str">
        <f>"1551688872942132"</f>
        <v>1551688872942132</v>
      </c>
      <c r="C829" t="s">
        <v>40</v>
      </c>
      <c r="D829">
        <v>4.1520679999999999</v>
      </c>
      <c r="E829">
        <v>0.5400895</v>
      </c>
      <c r="F829" t="s">
        <v>43</v>
      </c>
      <c r="G829">
        <v>-299.7989</v>
      </c>
      <c r="H829">
        <v>-0.05</v>
      </c>
      <c r="I829">
        <v>367.56670000000003</v>
      </c>
      <c r="J829">
        <v>-340.47019999999998</v>
      </c>
      <c r="K829">
        <v>1.1098709999999901</v>
      </c>
      <c r="L829">
        <v>367.4144</v>
      </c>
      <c r="M829">
        <v>0.99990049999999997</v>
      </c>
      <c r="N829">
        <v>-1.3790719999999999E-2</v>
      </c>
      <c r="O829">
        <v>3.0076489999999998E-3</v>
      </c>
      <c r="P829">
        <v>0.95426679999999997</v>
      </c>
      <c r="Q829">
        <v>0.28816209999999998</v>
      </c>
      <c r="R829">
        <v>7.9610620000000007E-2</v>
      </c>
      <c r="S829">
        <v>3.1697389999999999</v>
      </c>
      <c r="T829">
        <v>-8.9908479999999999E-2</v>
      </c>
      <c r="U829">
        <v>1.184082E-2</v>
      </c>
      <c r="V829">
        <v>-7.6448199999999994E-2</v>
      </c>
      <c r="W829">
        <v>0.30137239999999998</v>
      </c>
      <c r="X829">
        <v>0.95043690000000003</v>
      </c>
      <c r="Y829">
        <v>-7.2751049999999996E-4</v>
      </c>
      <c r="Z829" s="1">
        <v>-2.848404E-5</v>
      </c>
      <c r="AA829">
        <v>0.99999979999999999</v>
      </c>
      <c r="AB829">
        <v>37</v>
      </c>
      <c r="AC829">
        <v>40.671299999999903</v>
      </c>
      <c r="AD829">
        <v>-1.1598710000000001</v>
      </c>
      <c r="AE829">
        <v>0.152300000000025</v>
      </c>
      <c r="AF829">
        <v>-2.9938349033622701E-2</v>
      </c>
      <c r="AG829">
        <v>-1.1598710000000001</v>
      </c>
      <c r="AH829">
        <v>40.6385238405989</v>
      </c>
      <c r="AI829">
        <v>91.634844297760907</v>
      </c>
      <c r="AJ829">
        <v>90.042209720550503</v>
      </c>
      <c r="AK829">
        <v>40.655083531882099</v>
      </c>
      <c r="AL829">
        <v>72.459948258139406</v>
      </c>
      <c r="AM829">
        <v>94.598674065922907</v>
      </c>
      <c r="AN829">
        <v>0.99999997582330402</v>
      </c>
    </row>
    <row r="830" spans="1:40" x14ac:dyDescent="0.25">
      <c r="A830" t="str">
        <f>"20190304164112964"</f>
        <v>20190304164112964</v>
      </c>
      <c r="B830" t="str">
        <f>"1551688872951893"</f>
        <v>1551688872951893</v>
      </c>
      <c r="C830" t="s">
        <v>40</v>
      </c>
      <c r="D830">
        <v>4.1490169999999997</v>
      </c>
      <c r="E830">
        <v>0.54020869999999999</v>
      </c>
      <c r="F830" t="s">
        <v>43</v>
      </c>
      <c r="G830">
        <v>-299.92099999999999</v>
      </c>
      <c r="H830">
        <v>-0.05</v>
      </c>
      <c r="I830">
        <v>367.56900000000002</v>
      </c>
      <c r="J830">
        <v>-340.28469999999999</v>
      </c>
      <c r="K830">
        <v>1.1098509999999999</v>
      </c>
      <c r="L830">
        <v>367.41480000000001</v>
      </c>
      <c r="M830">
        <v>0.99990140000000005</v>
      </c>
      <c r="N830">
        <v>-1.3769419999999999E-2</v>
      </c>
      <c r="O830">
        <v>2.7844409999999999E-3</v>
      </c>
      <c r="P830">
        <v>0.95426599999999995</v>
      </c>
      <c r="Q830">
        <v>0.28810249999999998</v>
      </c>
      <c r="R830">
        <v>7.9835669999999997E-2</v>
      </c>
      <c r="S830">
        <v>3.170166</v>
      </c>
      <c r="T830">
        <v>-9.0679529999999994E-2</v>
      </c>
      <c r="U830">
        <v>1.208496E-2</v>
      </c>
      <c r="V830">
        <v>-7.6872540000000003E-2</v>
      </c>
      <c r="W830">
        <v>0.30129610000000001</v>
      </c>
      <c r="X830">
        <v>0.95042689999999996</v>
      </c>
      <c r="Y830">
        <v>-1.027048E-3</v>
      </c>
      <c r="Z830" s="1">
        <v>-1.9532420000000001E-5</v>
      </c>
      <c r="AA830">
        <v>0.99999950000000004</v>
      </c>
      <c r="AB830">
        <v>37</v>
      </c>
      <c r="AC830">
        <v>40.363700000000001</v>
      </c>
      <c r="AD830">
        <v>-1.159851</v>
      </c>
      <c r="AE830">
        <v>0.154200000000003</v>
      </c>
      <c r="AF830">
        <v>-4.1763929974480002E-2</v>
      </c>
      <c r="AG830">
        <v>-1.159851</v>
      </c>
      <c r="AH830">
        <v>40.330672335546701</v>
      </c>
      <c r="AI830">
        <v>91.647287692277501</v>
      </c>
      <c r="AJ830">
        <v>90.0593319161202</v>
      </c>
      <c r="AK830">
        <v>40.3473683107743</v>
      </c>
      <c r="AL830">
        <v>72.464533647559506</v>
      </c>
      <c r="AM830">
        <v>94.624137914282997</v>
      </c>
      <c r="AN830">
        <v>1.00000000976243</v>
      </c>
    </row>
    <row r="831" spans="1:40" x14ac:dyDescent="0.25">
      <c r="A831" t="str">
        <f>"20190304164112976"</f>
        <v>20190304164112976</v>
      </c>
      <c r="B831" t="str">
        <f>"1551688872961651"</f>
        <v>1551688872961651</v>
      </c>
      <c r="C831" t="s">
        <v>40</v>
      </c>
      <c r="D831">
        <v>4.1320870000000003</v>
      </c>
      <c r="E831">
        <v>0.5403249</v>
      </c>
      <c r="F831" t="s">
        <v>43</v>
      </c>
      <c r="G831">
        <v>-300.3519</v>
      </c>
      <c r="H831">
        <v>-0.05</v>
      </c>
      <c r="I831">
        <v>367.5609</v>
      </c>
      <c r="J831">
        <v>-340.08699999999999</v>
      </c>
      <c r="K831">
        <v>1.109826</v>
      </c>
      <c r="L831">
        <v>367.4151</v>
      </c>
      <c r="M831">
        <v>0.99990239999999997</v>
      </c>
      <c r="N831">
        <v>-1.3747530000000001E-2</v>
      </c>
      <c r="O831">
        <v>2.5305589999999999E-3</v>
      </c>
      <c r="P831">
        <v>0.95420830000000001</v>
      </c>
      <c r="Q831">
        <v>0.28818690000000002</v>
      </c>
      <c r="R831">
        <v>8.0219949999999998E-2</v>
      </c>
      <c r="S831">
        <v>3.170563</v>
      </c>
      <c r="T831">
        <v>-9.2089409999999997E-2</v>
      </c>
      <c r="U831">
        <v>1.159668E-2</v>
      </c>
      <c r="V831">
        <v>-7.7483969999999999E-2</v>
      </c>
      <c r="W831">
        <v>0.3013633</v>
      </c>
      <c r="X831">
        <v>0.95035590000000003</v>
      </c>
      <c r="Y831">
        <v>-1.1263880000000001E-3</v>
      </c>
      <c r="Z831" s="1">
        <v>-1.4597990000000001E-5</v>
      </c>
      <c r="AA831">
        <v>0.99999930000000004</v>
      </c>
      <c r="AB831">
        <v>37</v>
      </c>
      <c r="AC831">
        <v>39.735099999999903</v>
      </c>
      <c r="AD831">
        <v>-1.159826</v>
      </c>
      <c r="AE831">
        <v>0.14580000000000801</v>
      </c>
      <c r="AF831">
        <v>-4.5199516125985897E-2</v>
      </c>
      <c r="AG831">
        <v>-1.159826</v>
      </c>
      <c r="AH831">
        <v>39.7015167003361</v>
      </c>
      <c r="AI831">
        <v>91.673341534875604</v>
      </c>
      <c r="AJ831">
        <v>90.065230263385303</v>
      </c>
      <c r="AK831">
        <v>39.718480178043102</v>
      </c>
      <c r="AL831">
        <v>72.460494974575596</v>
      </c>
      <c r="AM831">
        <v>94.661102719898295</v>
      </c>
      <c r="AN831">
        <v>0.99999997042932998</v>
      </c>
    </row>
    <row r="832" spans="1:40" x14ac:dyDescent="0.25">
      <c r="A832" t="str">
        <f>"20190304164112988"</f>
        <v>20190304164112988</v>
      </c>
      <c r="B832" t="str">
        <f>"1551688872982148"</f>
        <v>1551688872982148</v>
      </c>
      <c r="C832" t="s">
        <v>40</v>
      </c>
      <c r="D832">
        <v>4.1289860000000003</v>
      </c>
      <c r="E832">
        <v>0.5406377</v>
      </c>
      <c r="F832" t="s">
        <v>43</v>
      </c>
      <c r="G832">
        <v>-300.15069999999997</v>
      </c>
      <c r="H832">
        <v>-0.05</v>
      </c>
      <c r="I832">
        <v>367.56459999999998</v>
      </c>
      <c r="J832">
        <v>-339.8904</v>
      </c>
      <c r="K832">
        <v>1.1097999999999999</v>
      </c>
      <c r="L832">
        <v>367.41539999999998</v>
      </c>
      <c r="M832">
        <v>0.99990330000000005</v>
      </c>
      <c r="N832">
        <v>-1.372656E-2</v>
      </c>
      <c r="O832">
        <v>2.2686920000000001E-3</v>
      </c>
      <c r="P832">
        <v>0.95419949999999998</v>
      </c>
      <c r="Q832">
        <v>0.28819800000000001</v>
      </c>
      <c r="R832">
        <v>8.0283489999999999E-2</v>
      </c>
      <c r="S832">
        <v>3.1707459999999998</v>
      </c>
      <c r="T832">
        <v>-9.2084289999999999E-2</v>
      </c>
      <c r="U832">
        <v>1.1871339999999999E-2</v>
      </c>
      <c r="V832">
        <v>-7.7782290000000004E-2</v>
      </c>
      <c r="W832">
        <v>0.30135790000000001</v>
      </c>
      <c r="X832">
        <v>0.95033330000000005</v>
      </c>
      <c r="Y832">
        <v>-1.474445E-3</v>
      </c>
      <c r="Z832" s="1">
        <v>-3.2045969999999999E-6</v>
      </c>
      <c r="AA832">
        <v>0.99999890000000002</v>
      </c>
      <c r="AB832">
        <v>37</v>
      </c>
      <c r="AC832">
        <v>39.739699999999999</v>
      </c>
      <c r="AD832">
        <v>-1.1597999999999999</v>
      </c>
      <c r="AE832">
        <v>0.14920000000000699</v>
      </c>
      <c r="AF832">
        <v>-5.8983750269258298E-2</v>
      </c>
      <c r="AG832">
        <v>-1.1597999999999999</v>
      </c>
      <c r="AH832">
        <v>39.706116642364996</v>
      </c>
      <c r="AI832">
        <v>91.673109541722496</v>
      </c>
      <c r="AJ832">
        <v>90.085113270955802</v>
      </c>
      <c r="AK832">
        <v>39.723095472783697</v>
      </c>
      <c r="AL832">
        <v>72.460820441634397</v>
      </c>
      <c r="AM832">
        <v>94.679079619200905</v>
      </c>
      <c r="AN832">
        <v>1.00000002480947</v>
      </c>
    </row>
    <row r="833" spans="1:40" x14ac:dyDescent="0.25">
      <c r="A833" t="str">
        <f>"20190304164112998"</f>
        <v>20190304164112998</v>
      </c>
      <c r="B833" t="str">
        <f>"1551688872991908"</f>
        <v>1551688872991908</v>
      </c>
      <c r="C833" t="s">
        <v>40</v>
      </c>
      <c r="D833">
        <v>4.1514199999999999</v>
      </c>
      <c r="E833">
        <v>0.54072679999999995</v>
      </c>
      <c r="F833" t="s">
        <v>43</v>
      </c>
      <c r="G833">
        <v>-300.71719999999999</v>
      </c>
      <c r="H833">
        <v>-0.05</v>
      </c>
      <c r="I833">
        <v>367.53410000000002</v>
      </c>
      <c r="J833">
        <v>-339.7088</v>
      </c>
      <c r="K833">
        <v>1.10978</v>
      </c>
      <c r="L833">
        <v>367.41559999999998</v>
      </c>
      <c r="M833">
        <v>0.99990400000000002</v>
      </c>
      <c r="N833">
        <v>-1.370795E-2</v>
      </c>
      <c r="O833">
        <v>2.0175729999999999E-3</v>
      </c>
      <c r="P833">
        <v>0.95414949999999998</v>
      </c>
      <c r="Q833">
        <v>0.2883211</v>
      </c>
      <c r="R833">
        <v>8.0433699999999997E-2</v>
      </c>
      <c r="S833">
        <v>3.1715390000000001</v>
      </c>
      <c r="T833">
        <v>-9.3899609999999994E-2</v>
      </c>
      <c r="U833">
        <v>9.6130369999999996E-3</v>
      </c>
      <c r="V833">
        <v>-7.8158770000000002E-2</v>
      </c>
      <c r="W833">
        <v>0.30146659999999997</v>
      </c>
      <c r="X833">
        <v>0.95026790000000005</v>
      </c>
      <c r="Y833">
        <v>-1.0128649999999999E-3</v>
      </c>
      <c r="Z833" s="1">
        <v>-1.0130769999999999E-5</v>
      </c>
      <c r="AA833">
        <v>0.99999950000000004</v>
      </c>
      <c r="AB833">
        <v>37</v>
      </c>
      <c r="AC833">
        <v>38.991599999999998</v>
      </c>
      <c r="AD833">
        <v>-1.15978</v>
      </c>
      <c r="AE833">
        <v>0.11850000000004</v>
      </c>
      <c r="AF833">
        <v>-3.9788764796516003E-2</v>
      </c>
      <c r="AG833">
        <v>-1.15978</v>
      </c>
      <c r="AH833">
        <v>38.957293492204499</v>
      </c>
      <c r="AI833">
        <v>91.705222248283405</v>
      </c>
      <c r="AJ833">
        <v>90.058518631501997</v>
      </c>
      <c r="AK833">
        <v>38.974573622195798</v>
      </c>
      <c r="AL833">
        <v>72.454288045083004</v>
      </c>
      <c r="AM833">
        <v>94.701948029816194</v>
      </c>
      <c r="AN833">
        <v>0.99999999300694098</v>
      </c>
    </row>
    <row r="834" spans="1:40" x14ac:dyDescent="0.25">
      <c r="A834" t="str">
        <f>"20190304164113009"</f>
        <v>20190304164113009</v>
      </c>
      <c r="B834" t="str">
        <f>"1551688873002175"</f>
        <v>1551688873002175</v>
      </c>
      <c r="C834" t="s">
        <v>40</v>
      </c>
      <c r="D834">
        <v>4.1454550000000001</v>
      </c>
      <c r="E834">
        <v>0.54083530000000002</v>
      </c>
      <c r="F834" t="s">
        <v>43</v>
      </c>
      <c r="G834">
        <v>-300.86070000000001</v>
      </c>
      <c r="H834">
        <v>-0.05</v>
      </c>
      <c r="I834">
        <v>367.53699999999998</v>
      </c>
      <c r="J834">
        <v>-339.52820000000003</v>
      </c>
      <c r="K834">
        <v>1.1097600000000001</v>
      </c>
      <c r="L834">
        <v>367.41570000000002</v>
      </c>
      <c r="M834">
        <v>0.99990480000000004</v>
      </c>
      <c r="N834">
        <v>-1.3690549999999999E-2</v>
      </c>
      <c r="O834">
        <v>1.7566939999999901E-3</v>
      </c>
      <c r="P834">
        <v>0.95414279999999996</v>
      </c>
      <c r="Q834">
        <v>0.2883889</v>
      </c>
      <c r="R834">
        <v>8.0271259999999997E-2</v>
      </c>
      <c r="S834">
        <v>3.1719360000000001</v>
      </c>
      <c r="T834">
        <v>-9.4695570000000007E-2</v>
      </c>
      <c r="U834">
        <v>9.9182130000000004E-3</v>
      </c>
      <c r="V834">
        <v>-7.8232560000000007E-2</v>
      </c>
      <c r="W834">
        <v>0.30152109999999999</v>
      </c>
      <c r="X834">
        <v>0.95024450000000005</v>
      </c>
      <c r="Y834">
        <v>-1.369334E-3</v>
      </c>
      <c r="Z834" s="1">
        <v>1.4280440000000001E-6</v>
      </c>
      <c r="AA834">
        <v>0.99999899999999997</v>
      </c>
      <c r="AB834">
        <v>37</v>
      </c>
      <c r="AC834">
        <v>38.667499999999997</v>
      </c>
      <c r="AD834">
        <v>-1.1597599999999999</v>
      </c>
      <c r="AE834">
        <v>0.12129999999996199</v>
      </c>
      <c r="AF834">
        <v>-5.3318520857983297E-2</v>
      </c>
      <c r="AG834">
        <v>-1.1597599999999999</v>
      </c>
      <c r="AH834">
        <v>38.632900048186599</v>
      </c>
      <c r="AI834">
        <v>91.719501754136601</v>
      </c>
      <c r="AJ834">
        <v>90.079075717111394</v>
      </c>
      <c r="AK834">
        <v>38.650340907363798</v>
      </c>
      <c r="AL834">
        <v>72.451012407078906</v>
      </c>
      <c r="AM834">
        <v>94.706482600460106</v>
      </c>
      <c r="AN834">
        <v>0.99999995848480605</v>
      </c>
    </row>
    <row r="835" spans="1:40" x14ac:dyDescent="0.25">
      <c r="A835" t="str">
        <f>"20190304164113020"</f>
        <v>20190304164113020</v>
      </c>
      <c r="B835" t="str">
        <f>"1551688873011935"</f>
        <v>1551688873011935</v>
      </c>
      <c r="C835" t="s">
        <v>40</v>
      </c>
      <c r="D835">
        <v>4.1291760000000002</v>
      </c>
      <c r="E835">
        <v>0.54088459999999905</v>
      </c>
      <c r="F835" t="s">
        <v>43</v>
      </c>
      <c r="G835">
        <v>-300.86509999999998</v>
      </c>
      <c r="H835">
        <v>-0.05</v>
      </c>
      <c r="I835">
        <v>367.5213</v>
      </c>
      <c r="J835">
        <v>-339.34100000000001</v>
      </c>
      <c r="K835">
        <v>1.1097399999999999</v>
      </c>
      <c r="L835">
        <v>367.41579999999999</v>
      </c>
      <c r="M835">
        <v>0.99990559999999995</v>
      </c>
      <c r="N835">
        <v>-1.3673009999999999E-2</v>
      </c>
      <c r="O835">
        <v>1.4809139999999901E-3</v>
      </c>
      <c r="P835">
        <v>0.95417750000000001</v>
      </c>
      <c r="Q835">
        <v>0.28831410000000002</v>
      </c>
      <c r="R835">
        <v>8.012801E-2</v>
      </c>
      <c r="S835">
        <v>3.1722410000000001</v>
      </c>
      <c r="T835">
        <v>-9.5156069999999995E-2</v>
      </c>
      <c r="U835">
        <v>8.6669920000000001E-3</v>
      </c>
      <c r="V835">
        <v>-7.8339969999999995E-2</v>
      </c>
      <c r="W835">
        <v>0.3014329</v>
      </c>
      <c r="X835">
        <v>0.95026370000000004</v>
      </c>
      <c r="Y835">
        <v>-1.250454E-3</v>
      </c>
      <c r="Z835" s="1">
        <v>3.137201E-6</v>
      </c>
      <c r="AA835">
        <v>0.99999919999999998</v>
      </c>
      <c r="AB835">
        <v>37</v>
      </c>
      <c r="AC835">
        <v>38.475900000000003</v>
      </c>
      <c r="AD835">
        <v>-1.15974</v>
      </c>
      <c r="AE835">
        <v>0.10550000000000601</v>
      </c>
      <c r="AF835">
        <v>-4.8471030942095997E-2</v>
      </c>
      <c r="AG835">
        <v>-1.15974</v>
      </c>
      <c r="AH835">
        <v>38.441089076247501</v>
      </c>
      <c r="AI835">
        <v>91.728046917798295</v>
      </c>
      <c r="AJ835">
        <v>90.072245196391194</v>
      </c>
      <c r="AK835">
        <v>38.458609903068997</v>
      </c>
      <c r="AL835">
        <v>72.456313636833201</v>
      </c>
      <c r="AM835">
        <v>94.712820519172496</v>
      </c>
      <c r="AN835">
        <v>1.0000000218198499</v>
      </c>
    </row>
    <row r="836" spans="1:40" x14ac:dyDescent="0.25">
      <c r="A836" t="str">
        <f>"20190304164113031"</f>
        <v>20190304164113031</v>
      </c>
      <c r="B836" t="str">
        <f>"1551688873021694"</f>
        <v>1551688873021694</v>
      </c>
      <c r="C836" t="s">
        <v>40</v>
      </c>
      <c r="D836">
        <v>4.1160699999999997</v>
      </c>
      <c r="E836">
        <v>0.54093340000000001</v>
      </c>
      <c r="F836" t="s">
        <v>43</v>
      </c>
      <c r="G836">
        <v>-300.9083</v>
      </c>
      <c r="H836">
        <v>-0.05</v>
      </c>
      <c r="I836">
        <v>367.51519999999999</v>
      </c>
      <c r="J836">
        <v>-339.16199999999998</v>
      </c>
      <c r="K836">
        <v>1.109723</v>
      </c>
      <c r="L836">
        <v>367.41579999999999</v>
      </c>
      <c r="M836">
        <v>0.99990599999999996</v>
      </c>
      <c r="N836">
        <v>-1.3657570000000001E-2</v>
      </c>
      <c r="O836">
        <v>1.2053509999999999E-3</v>
      </c>
      <c r="P836">
        <v>0.95427770000000001</v>
      </c>
      <c r="Q836">
        <v>0.28808230000000001</v>
      </c>
      <c r="R836">
        <v>7.9766539999999997E-2</v>
      </c>
      <c r="S836">
        <v>3.1723020000000002</v>
      </c>
      <c r="T836">
        <v>-9.5726850000000002E-2</v>
      </c>
      <c r="U836">
        <v>8.2092290000000002E-3</v>
      </c>
      <c r="V836">
        <v>-7.8231620000000002E-2</v>
      </c>
      <c r="W836">
        <v>0.30119010000000002</v>
      </c>
      <c r="X836">
        <v>0.95034960000000002</v>
      </c>
      <c r="Y836">
        <v>-1.3815639999999901E-3</v>
      </c>
      <c r="Z836" s="1">
        <v>1.0374870000000001E-5</v>
      </c>
      <c r="AA836">
        <v>0.99999899999999997</v>
      </c>
      <c r="AB836">
        <v>37</v>
      </c>
      <c r="AC836">
        <v>38.253699999999903</v>
      </c>
      <c r="AD836">
        <v>-1.1597230000000001</v>
      </c>
      <c r="AE836">
        <v>9.9400000000002806E-2</v>
      </c>
      <c r="AF836">
        <v>-5.3237560883074998E-2</v>
      </c>
      <c r="AG836">
        <v>-1.1597230000000001</v>
      </c>
      <c r="AH836">
        <v>38.2186655813085</v>
      </c>
      <c r="AI836">
        <v>91.738071820219901</v>
      </c>
      <c r="AJ836">
        <v>90.079811409709805</v>
      </c>
      <c r="AK836">
        <v>38.236294152160099</v>
      </c>
      <c r="AL836">
        <v>72.470902915972005</v>
      </c>
      <c r="AM836">
        <v>94.705908153877203</v>
      </c>
      <c r="AN836">
        <v>1.00000001246299</v>
      </c>
    </row>
    <row r="837" spans="1:40" x14ac:dyDescent="0.25">
      <c r="A837" t="str">
        <f>"20190304164113042"</f>
        <v>20190304164113042</v>
      </c>
      <c r="B837" t="str">
        <f>"1551688873032431"</f>
        <v>1551688873032431</v>
      </c>
      <c r="C837" t="s">
        <v>40</v>
      </c>
      <c r="D837">
        <v>4.1340370000000002</v>
      </c>
      <c r="E837">
        <v>0.54094549999999997</v>
      </c>
      <c r="F837" t="s">
        <v>43</v>
      </c>
      <c r="G837">
        <v>-301.21929999999998</v>
      </c>
      <c r="H837">
        <v>-0.05</v>
      </c>
      <c r="I837">
        <v>367.49680000000001</v>
      </c>
      <c r="J837">
        <v>-338.98399999999998</v>
      </c>
      <c r="K837">
        <v>1.1097090000000001</v>
      </c>
      <c r="L837">
        <v>367.41570000000002</v>
      </c>
      <c r="M837">
        <v>0.99990670000000004</v>
      </c>
      <c r="N837">
        <v>-1.3642390000000001E-2</v>
      </c>
      <c r="O837">
        <v>9.2925579999999998E-4</v>
      </c>
      <c r="P837">
        <v>0.95438440000000002</v>
      </c>
      <c r="Q837">
        <v>0.2878925</v>
      </c>
      <c r="R837">
        <v>7.9174759999999997E-2</v>
      </c>
      <c r="S837">
        <v>3.1724549999999998</v>
      </c>
      <c r="T837">
        <v>-9.6966269999999993E-2</v>
      </c>
      <c r="U837">
        <v>6.7749019999999898E-3</v>
      </c>
      <c r="V837">
        <v>-7.7893749999999998E-2</v>
      </c>
      <c r="W837">
        <v>0.30098909999999901</v>
      </c>
      <c r="X837">
        <v>0.95044099999999998</v>
      </c>
      <c r="Y837">
        <v>-1.2055119999999999E-3</v>
      </c>
      <c r="Z837" s="1">
        <v>1.0925280000000001E-5</v>
      </c>
      <c r="AA837">
        <v>0.99999930000000004</v>
      </c>
      <c r="AB837">
        <v>37</v>
      </c>
      <c r="AC837">
        <v>37.764699999999998</v>
      </c>
      <c r="AD837">
        <v>-1.1597090000000001</v>
      </c>
      <c r="AE837">
        <v>8.1099999999992095E-2</v>
      </c>
      <c r="AF837">
        <v>-4.5960297348923602E-2</v>
      </c>
      <c r="AG837">
        <v>-1.1597090000000001</v>
      </c>
      <c r="AH837">
        <v>37.729179439042902</v>
      </c>
      <c r="AI837">
        <v>91.760586060693797</v>
      </c>
      <c r="AJ837">
        <v>90.069795574668206</v>
      </c>
      <c r="AK837">
        <v>37.747026617431899</v>
      </c>
      <c r="AL837">
        <v>72.482979279404901</v>
      </c>
      <c r="AM837">
        <v>94.685226177103303</v>
      </c>
      <c r="AN837">
        <v>0.99999998454443595</v>
      </c>
    </row>
    <row r="838" spans="1:40" x14ac:dyDescent="0.25">
      <c r="A838" t="str">
        <f>"20190304164113052"</f>
        <v>20190304164113052</v>
      </c>
      <c r="B838" t="str">
        <f>"1551688873042191"</f>
        <v>1551688873042191</v>
      </c>
      <c r="C838" t="s">
        <v>40</v>
      </c>
      <c r="D838">
        <v>4.1098420000000004</v>
      </c>
      <c r="E838">
        <v>0.54093480000000005</v>
      </c>
      <c r="F838" t="s">
        <v>43</v>
      </c>
      <c r="G838">
        <v>-301.42320000000001</v>
      </c>
      <c r="H838">
        <v>-0.05</v>
      </c>
      <c r="I838">
        <v>367.47609999999997</v>
      </c>
      <c r="J838">
        <v>-338.79590000000002</v>
      </c>
      <c r="K838">
        <v>1.1096969999999999</v>
      </c>
      <c r="L838">
        <v>367.41559999999998</v>
      </c>
      <c r="M838">
        <v>0.99990699999999999</v>
      </c>
      <c r="N838">
        <v>-1.3627780000000001E-2</v>
      </c>
      <c r="O838">
        <v>6.2684769999999995E-4</v>
      </c>
      <c r="P838">
        <v>0.9544087</v>
      </c>
      <c r="Q838">
        <v>0.28796880000000002</v>
      </c>
      <c r="R838">
        <v>7.8601999999999894E-2</v>
      </c>
      <c r="S838">
        <v>3.172485</v>
      </c>
      <c r="T838">
        <v>-9.7952010000000006E-2</v>
      </c>
      <c r="U838">
        <v>5.0964360000000002E-3</v>
      </c>
      <c r="V838">
        <v>-7.7600240000000001E-2</v>
      </c>
      <c r="W838">
        <v>0.30105320000000002</v>
      </c>
      <c r="X838">
        <v>0.95044470000000003</v>
      </c>
      <c r="Y838">
        <v>-9.7896229999999999E-4</v>
      </c>
      <c r="Z838" s="1">
        <v>1.09747E-5</v>
      </c>
      <c r="AA838">
        <v>0.99999950000000004</v>
      </c>
      <c r="AB838">
        <v>37</v>
      </c>
      <c r="AC838">
        <v>37.372700000000002</v>
      </c>
      <c r="AD838">
        <v>-1.159697</v>
      </c>
      <c r="AE838">
        <v>6.0499999999990402E-2</v>
      </c>
      <c r="AF838">
        <v>-3.7035161788694197E-2</v>
      </c>
      <c r="AG838">
        <v>-1.159697</v>
      </c>
      <c r="AH838">
        <v>37.336779181873702</v>
      </c>
      <c r="AI838">
        <v>91.779059600235797</v>
      </c>
      <c r="AJ838">
        <v>90.056832908853806</v>
      </c>
      <c r="AK838">
        <v>37.354803552033502</v>
      </c>
      <c r="AL838">
        <v>72.479127852845807</v>
      </c>
      <c r="AM838">
        <v>94.667631926079295</v>
      </c>
      <c r="AN838">
        <v>0.999999977118193</v>
      </c>
    </row>
    <row r="839" spans="1:40" x14ac:dyDescent="0.25">
      <c r="A839" t="str">
        <f>"20190304164113064"</f>
        <v>20190304164113064</v>
      </c>
      <c r="B839" t="str">
        <f>"1551688873051951"</f>
        <v>1551688873051951</v>
      </c>
      <c r="C839" t="s">
        <v>40</v>
      </c>
      <c r="D839">
        <v>4.1266280000000002</v>
      </c>
      <c r="E839">
        <v>0.54096750000000005</v>
      </c>
      <c r="F839" t="s">
        <v>43</v>
      </c>
      <c r="G839">
        <v>-300.96019999999999</v>
      </c>
      <c r="H839">
        <v>-0.05</v>
      </c>
      <c r="I839">
        <v>367.45749999999998</v>
      </c>
      <c r="J839">
        <v>-338.61329999999998</v>
      </c>
      <c r="K839">
        <v>1.109686</v>
      </c>
      <c r="L839">
        <v>367.41550000000001</v>
      </c>
      <c r="M839">
        <v>0.99990730000000005</v>
      </c>
      <c r="N839">
        <v>-1.361393E-2</v>
      </c>
      <c r="O839">
        <v>3.3178100000000001E-4</v>
      </c>
      <c r="P839">
        <v>0.95446439999999999</v>
      </c>
      <c r="Q839">
        <v>0.2880278</v>
      </c>
      <c r="R839">
        <v>7.7703120000000001E-2</v>
      </c>
      <c r="S839">
        <v>3.1723330000000001</v>
      </c>
      <c r="T839">
        <v>-9.7234849999999998E-2</v>
      </c>
      <c r="U839">
        <v>3.5095209999999998E-3</v>
      </c>
      <c r="V839">
        <v>-7.697495E-2</v>
      </c>
      <c r="W839">
        <v>0.30110100000000001</v>
      </c>
      <c r="X839">
        <v>0.95048049999999995</v>
      </c>
      <c r="Y839">
        <v>-7.7400129999999996E-4</v>
      </c>
      <c r="Z839" s="1">
        <v>1.1479230000000001E-5</v>
      </c>
      <c r="AA839">
        <v>0.99999970000000005</v>
      </c>
      <c r="AB839">
        <v>37</v>
      </c>
      <c r="AC839">
        <v>37.653100000000002</v>
      </c>
      <c r="AD839">
        <v>-1.159686</v>
      </c>
      <c r="AE839">
        <v>4.1999999999973101E-2</v>
      </c>
      <c r="AF839">
        <v>-2.9478294202213401E-2</v>
      </c>
      <c r="AG839">
        <v>-1.159686</v>
      </c>
      <c r="AH839">
        <v>37.617428324724798</v>
      </c>
      <c r="AI839">
        <v>91.765778744164507</v>
      </c>
      <c r="AJ839">
        <v>90.0448989092164</v>
      </c>
      <c r="AK839">
        <v>37.635311269527598</v>
      </c>
      <c r="AL839">
        <v>72.476257497415801</v>
      </c>
      <c r="AM839">
        <v>94.630011469060193</v>
      </c>
      <c r="AN839">
        <v>1.0000000680043699</v>
      </c>
    </row>
    <row r="840" spans="1:40" x14ac:dyDescent="0.25">
      <c r="A840" t="str">
        <f>"20190304164113076"</f>
        <v>20190304164113076</v>
      </c>
      <c r="B840" t="str">
        <f>"1551688873061711"</f>
        <v>1551688873061711</v>
      </c>
      <c r="C840" t="s">
        <v>40</v>
      </c>
      <c r="D840">
        <v>4.1902160000000004</v>
      </c>
      <c r="E840">
        <v>0.54105570000000003</v>
      </c>
      <c r="F840" t="s">
        <v>43</v>
      </c>
      <c r="G840">
        <v>-300.67950000000002</v>
      </c>
      <c r="H840">
        <v>-0.05</v>
      </c>
      <c r="I840">
        <v>367.42529999999999</v>
      </c>
      <c r="J840">
        <v>-338.41449999999998</v>
      </c>
      <c r="K840">
        <v>1.10968</v>
      </c>
      <c r="L840">
        <v>367.4153</v>
      </c>
      <c r="M840">
        <v>0.99990760000000001</v>
      </c>
      <c r="N840">
        <v>-1.360011E-2</v>
      </c>
      <c r="O840" s="1">
        <v>4.5487649999999996E-6</v>
      </c>
      <c r="P840">
        <v>0.95442899999999997</v>
      </c>
      <c r="Q840">
        <v>0.28834490000000002</v>
      </c>
      <c r="R840">
        <v>7.6960230000000004E-2</v>
      </c>
      <c r="S840">
        <v>3.1723629999999998</v>
      </c>
      <c r="T840">
        <v>-9.6983079999999999E-2</v>
      </c>
      <c r="U840">
        <v>8.2397459999999998E-4</v>
      </c>
      <c r="V840">
        <v>-7.6536660000000006E-2</v>
      </c>
      <c r="W840">
        <v>0.30140519999999998</v>
      </c>
      <c r="X840">
        <v>0.95041940000000003</v>
      </c>
      <c r="Y840">
        <v>-2.5501460000000001E-4</v>
      </c>
      <c r="Z840" s="1">
        <v>5.5547530000000003E-6</v>
      </c>
      <c r="AA840">
        <v>0.99999990000000005</v>
      </c>
      <c r="AB840">
        <v>37</v>
      </c>
      <c r="AC840">
        <v>37.7349999999999</v>
      </c>
      <c r="AD840">
        <v>-1.1596799999999901</v>
      </c>
      <c r="AE840">
        <v>9.9999999999908998E-3</v>
      </c>
      <c r="AF840">
        <v>-9.8190626929812001E-3</v>
      </c>
      <c r="AG840">
        <v>-1.1596799999999901</v>
      </c>
      <c r="AH840">
        <v>37.699394145218498</v>
      </c>
      <c r="AI840">
        <v>91.761933390741106</v>
      </c>
      <c r="AJ840">
        <v>90.014923073728795</v>
      </c>
      <c r="AK840">
        <v>37.7172278015356</v>
      </c>
      <c r="AL840">
        <v>72.457977664692095</v>
      </c>
      <c r="AM840">
        <v>94.604056844487801</v>
      </c>
      <c r="AN840">
        <v>0.99999999540367701</v>
      </c>
    </row>
    <row r="841" spans="1:40" x14ac:dyDescent="0.25">
      <c r="A841" t="str">
        <f>"20190304164113088"</f>
        <v>20190304164113088</v>
      </c>
      <c r="B841" t="str">
        <f>"1551688873082207"</f>
        <v>1551688873082207</v>
      </c>
      <c r="C841" t="s">
        <v>40</v>
      </c>
      <c r="D841">
        <v>4.1018039999999996</v>
      </c>
      <c r="E841">
        <v>0.54118129999999998</v>
      </c>
      <c r="F841" t="s">
        <v>43</v>
      </c>
      <c r="G841">
        <v>-300.09280000000001</v>
      </c>
      <c r="H841">
        <v>-0.05</v>
      </c>
      <c r="I841">
        <v>367.392</v>
      </c>
      <c r="J841">
        <v>-338.22289999999998</v>
      </c>
      <c r="K841">
        <v>1.109675</v>
      </c>
      <c r="L841">
        <v>367.41500000000002</v>
      </c>
      <c r="M841">
        <v>0.99990769999999995</v>
      </c>
      <c r="N841">
        <v>-1.3587399999999999E-2</v>
      </c>
      <c r="O841">
        <v>-3.130098E-4</v>
      </c>
      <c r="P841">
        <v>0.9545032</v>
      </c>
      <c r="Q841">
        <v>0.28829500000000002</v>
      </c>
      <c r="R841">
        <v>7.6221750000000005E-2</v>
      </c>
      <c r="S841">
        <v>3.1723940000000002</v>
      </c>
      <c r="T841">
        <v>-9.6002100000000007E-2</v>
      </c>
      <c r="U841">
        <v>-1.922607E-3</v>
      </c>
      <c r="V841">
        <v>-7.6094949999999995E-2</v>
      </c>
      <c r="W841">
        <v>0.30134519999999998</v>
      </c>
      <c r="X841">
        <v>0.95047389999999998</v>
      </c>
      <c r="Y841">
        <v>2.9285360000000002E-4</v>
      </c>
      <c r="Z841" s="1">
        <v>-1.203025E-6</v>
      </c>
      <c r="AA841">
        <v>0.99999990000000005</v>
      </c>
      <c r="AB841">
        <v>37</v>
      </c>
      <c r="AC841">
        <v>38.130099999999899</v>
      </c>
      <c r="AD841">
        <v>-1.159675</v>
      </c>
      <c r="AE841">
        <v>-2.3000000000024501E-2</v>
      </c>
      <c r="AF841">
        <v>1.1053578334219501E-2</v>
      </c>
      <c r="AG841">
        <v>-1.159675</v>
      </c>
      <c r="AH841">
        <v>38.094867999813196</v>
      </c>
      <c r="AI841">
        <v>91.743646073107996</v>
      </c>
      <c r="AJ841">
        <v>89.983375100044995</v>
      </c>
      <c r="AK841">
        <v>38.112516791867797</v>
      </c>
      <c r="AL841">
        <v>72.461583174749904</v>
      </c>
      <c r="AM841">
        <v>94.577337701689103</v>
      </c>
      <c r="AN841">
        <v>1.0000000027798699</v>
      </c>
    </row>
    <row r="842" spans="1:40" x14ac:dyDescent="0.25">
      <c r="A842" t="str">
        <f>"20190304164113098"</f>
        <v>20190304164113098</v>
      </c>
      <c r="B842" t="str">
        <f>"1551688873091967"</f>
        <v>1551688873091967</v>
      </c>
      <c r="C842" t="s">
        <v>40</v>
      </c>
      <c r="D842">
        <v>4.0898070000000004</v>
      </c>
      <c r="E842">
        <v>0.54123350000000003</v>
      </c>
      <c r="F842" t="s">
        <v>43</v>
      </c>
      <c r="G842">
        <v>-299.524</v>
      </c>
      <c r="H842">
        <v>-0.05</v>
      </c>
      <c r="I842">
        <v>367.35239999999999</v>
      </c>
      <c r="J842">
        <v>-338.0412</v>
      </c>
      <c r="K842">
        <v>1.109666</v>
      </c>
      <c r="L842">
        <v>367.41460000000001</v>
      </c>
      <c r="M842">
        <v>0.99990769999999995</v>
      </c>
      <c r="N842">
        <v>-1.357592E-2</v>
      </c>
      <c r="O842">
        <v>-6.1606819999999996E-4</v>
      </c>
      <c r="P842">
        <v>0.95450060000000003</v>
      </c>
      <c r="Q842">
        <v>0.28853469999999998</v>
      </c>
      <c r="R842">
        <v>7.5342210000000007E-2</v>
      </c>
      <c r="S842">
        <v>3.1721499999999998</v>
      </c>
      <c r="T842">
        <v>-9.505856E-2</v>
      </c>
      <c r="U842">
        <v>-5.1269530000000001E-3</v>
      </c>
      <c r="V842">
        <v>-7.5499559999999993E-2</v>
      </c>
      <c r="W842">
        <v>0.30157390000000001</v>
      </c>
      <c r="X842">
        <v>0.95044890000000004</v>
      </c>
      <c r="Y842">
        <v>9.9954360000000008E-4</v>
      </c>
      <c r="Z842" s="1">
        <v>-1.166622E-5</v>
      </c>
      <c r="AA842">
        <v>0.99999950000000004</v>
      </c>
      <c r="AB842">
        <v>37</v>
      </c>
      <c r="AC842">
        <v>38.517200000000003</v>
      </c>
      <c r="AD842">
        <v>-1.1596660000000001</v>
      </c>
      <c r="AE842">
        <v>-6.22000000000184E-2</v>
      </c>
      <c r="AF842">
        <v>3.8433741033362702E-2</v>
      </c>
      <c r="AG842">
        <v>-1.1596660000000001</v>
      </c>
      <c r="AH842">
        <v>38.482347768764903</v>
      </c>
      <c r="AI842">
        <v>91.726085754424901</v>
      </c>
      <c r="AJ842">
        <v>89.942776609338694</v>
      </c>
      <c r="AK842">
        <v>38.499836261732</v>
      </c>
      <c r="AL842">
        <v>72.447841263701704</v>
      </c>
      <c r="AM842">
        <v>94.541792602847593</v>
      </c>
      <c r="AN842">
        <v>1.0000000561163001</v>
      </c>
    </row>
    <row r="843" spans="1:40" x14ac:dyDescent="0.25">
      <c r="A843" t="str">
        <f>"20190304164113110"</f>
        <v>20190304164113110</v>
      </c>
      <c r="B843" t="str">
        <f>"1551688873102234"</f>
        <v>1551688873102234</v>
      </c>
      <c r="C843" t="s">
        <v>40</v>
      </c>
      <c r="D843">
        <v>4.1198319999999997</v>
      </c>
      <c r="E843">
        <v>0.54124519999999998</v>
      </c>
      <c r="F843" t="s">
        <v>43</v>
      </c>
      <c r="G843">
        <v>-298.7312</v>
      </c>
      <c r="H843">
        <v>-0.05</v>
      </c>
      <c r="I843">
        <v>367.3141</v>
      </c>
      <c r="J843">
        <v>-337.85469999999998</v>
      </c>
      <c r="K843">
        <v>1.109661</v>
      </c>
      <c r="L843">
        <v>367.41419999999999</v>
      </c>
      <c r="M843">
        <v>0.99990769999999995</v>
      </c>
      <c r="N843">
        <v>-1.3564990000000001E-2</v>
      </c>
      <c r="O843">
        <v>-9.2888870000000002E-4</v>
      </c>
      <c r="P843">
        <v>0.95455970000000001</v>
      </c>
      <c r="Q843">
        <v>0.28856310000000002</v>
      </c>
      <c r="R843">
        <v>7.4482660000000006E-2</v>
      </c>
      <c r="S843">
        <v>3.1719360000000001</v>
      </c>
      <c r="T843">
        <v>-9.3573809999999993E-2</v>
      </c>
      <c r="U843">
        <v>-8.1176759999999903E-3</v>
      </c>
      <c r="V843">
        <v>-7.4933929999999996E-2</v>
      </c>
      <c r="W843">
        <v>0.30159249999999999</v>
      </c>
      <c r="X843">
        <v>0.95048770000000005</v>
      </c>
      <c r="Y843">
        <v>1.629321E-3</v>
      </c>
      <c r="Z843" s="1">
        <v>-2.028529E-5</v>
      </c>
      <c r="AA843">
        <v>0.99999870000000002</v>
      </c>
      <c r="AB843">
        <v>37</v>
      </c>
      <c r="AC843">
        <v>39.1234999999999</v>
      </c>
      <c r="AD843">
        <v>-1.1596610000000001</v>
      </c>
      <c r="AE843">
        <v>-0.100099999999997</v>
      </c>
      <c r="AF843">
        <v>6.3699275578751893E-2</v>
      </c>
      <c r="AG843">
        <v>-1.1596610000000001</v>
      </c>
      <c r="AH843">
        <v>39.089232888924499</v>
      </c>
      <c r="AI843">
        <v>91.699294284636807</v>
      </c>
      <c r="AJ843">
        <v>89.906631669431206</v>
      </c>
      <c r="AK843">
        <v>39.106482826728403</v>
      </c>
      <c r="AL843">
        <v>72.446722482739702</v>
      </c>
      <c r="AM843">
        <v>94.507723769311795</v>
      </c>
      <c r="AN843">
        <v>0.99999999888639202</v>
      </c>
    </row>
    <row r="844" spans="1:40" x14ac:dyDescent="0.25">
      <c r="A844" t="str">
        <f>"20190304164113121"</f>
        <v>20190304164113121</v>
      </c>
      <c r="B844" t="str">
        <f>"1551688873111994"</f>
        <v>1551688873111994</v>
      </c>
      <c r="C844" t="s">
        <v>40</v>
      </c>
      <c r="D844">
        <v>4.1312550000000003</v>
      </c>
      <c r="E844">
        <v>0.54125630000000002</v>
      </c>
      <c r="F844" t="s">
        <v>43</v>
      </c>
      <c r="G844">
        <v>-298.42380000000003</v>
      </c>
      <c r="H844">
        <v>-0.05</v>
      </c>
      <c r="I844">
        <v>367.27269999999999</v>
      </c>
      <c r="J844">
        <v>-337.6592</v>
      </c>
      <c r="K844">
        <v>1.1096539999999999</v>
      </c>
      <c r="L844">
        <v>367.41379999999998</v>
      </c>
      <c r="M844">
        <v>0.9999074</v>
      </c>
      <c r="N844">
        <v>-1.3553880000000001E-2</v>
      </c>
      <c r="O844">
        <v>-1.2570820000000001E-3</v>
      </c>
      <c r="P844">
        <v>0.95452990000000004</v>
      </c>
      <c r="Q844">
        <v>0.28882930000000001</v>
      </c>
      <c r="R844">
        <v>7.3824349999999997E-2</v>
      </c>
      <c r="S844">
        <v>3.1719059999999999</v>
      </c>
      <c r="T844">
        <v>-9.3285560000000003E-2</v>
      </c>
      <c r="U844">
        <v>-1.138306E-2</v>
      </c>
      <c r="V844">
        <v>-7.4584490000000003E-2</v>
      </c>
      <c r="W844">
        <v>0.30184840000000002</v>
      </c>
      <c r="X844">
        <v>0.950434</v>
      </c>
      <c r="Y844">
        <v>2.330183E-3</v>
      </c>
      <c r="Z844" s="1">
        <v>-3.012955E-5</v>
      </c>
      <c r="AA844">
        <v>0.99999729999999998</v>
      </c>
      <c r="AB844">
        <v>37</v>
      </c>
      <c r="AC844">
        <v>39.235399999999899</v>
      </c>
      <c r="AD844">
        <v>-1.159654</v>
      </c>
      <c r="AE844">
        <v>-0.14109999999999401</v>
      </c>
      <c r="AF844">
        <v>9.1693144826090603E-2</v>
      </c>
      <c r="AG844">
        <v>-1.159654</v>
      </c>
      <c r="AH844">
        <v>39.201301510790302</v>
      </c>
      <c r="AI844">
        <v>91.694426574691903</v>
      </c>
      <c r="AJ844">
        <v>89.8659835152055</v>
      </c>
      <c r="AK844">
        <v>39.218557408099699</v>
      </c>
      <c r="AL844">
        <v>72.431344637282706</v>
      </c>
      <c r="AM844">
        <v>94.487041367931099</v>
      </c>
      <c r="AN844">
        <v>1.00000004554355</v>
      </c>
    </row>
    <row r="845" spans="1:40" x14ac:dyDescent="0.25">
      <c r="A845" t="str">
        <f>"20190304164113135"</f>
        <v>20190304164113135</v>
      </c>
      <c r="B845" t="str">
        <f>"1551688873121754"</f>
        <v>1551688873121754</v>
      </c>
      <c r="C845" t="s">
        <v>40</v>
      </c>
      <c r="D845">
        <v>4.1892990000000001</v>
      </c>
      <c r="E845">
        <v>0.54125630000000002</v>
      </c>
      <c r="F845" t="s">
        <v>43</v>
      </c>
      <c r="G845">
        <v>-297.65769999999998</v>
      </c>
      <c r="H845">
        <v>-0.05</v>
      </c>
      <c r="I845">
        <v>367.23939999999999</v>
      </c>
      <c r="J845">
        <v>-337.44970000000001</v>
      </c>
      <c r="K845">
        <v>1.1096459999999999</v>
      </c>
      <c r="L845">
        <v>367.41320000000002</v>
      </c>
      <c r="M845">
        <v>0.99990699999999999</v>
      </c>
      <c r="N845">
        <v>-1.354318E-2</v>
      </c>
      <c r="O845">
        <v>-1.6083779999999999E-3</v>
      </c>
      <c r="P845">
        <v>0.95462789999999997</v>
      </c>
      <c r="Q845">
        <v>0.28870610000000002</v>
      </c>
      <c r="R845">
        <v>7.303859E-2</v>
      </c>
      <c r="S845">
        <v>3.1718139999999999</v>
      </c>
      <c r="T845">
        <v>-9.1951729999999995E-2</v>
      </c>
      <c r="U845">
        <v>-1.382446E-2</v>
      </c>
      <c r="V845">
        <v>-7.4130920000000003E-2</v>
      </c>
      <c r="W845">
        <v>0.30171619999999999</v>
      </c>
      <c r="X845">
        <v>0.95051140000000001</v>
      </c>
      <c r="Y845">
        <v>2.7484749999999998E-3</v>
      </c>
      <c r="Z845" s="1">
        <v>-3.3612989999999997E-5</v>
      </c>
      <c r="AA845">
        <v>0.9999962</v>
      </c>
      <c r="AB845">
        <v>37</v>
      </c>
      <c r="AC845">
        <v>39.792000000000002</v>
      </c>
      <c r="AD845">
        <v>-1.159646</v>
      </c>
      <c r="AE845">
        <v>-0.17380000000002799</v>
      </c>
      <c r="AF845">
        <v>0.109700161793544</v>
      </c>
      <c r="AG845">
        <v>-1.159646</v>
      </c>
      <c r="AH845">
        <v>39.758462005347702</v>
      </c>
      <c r="AI845">
        <v>91.670681748240796</v>
      </c>
      <c r="AJ845">
        <v>89.841911884524606</v>
      </c>
      <c r="AK845">
        <v>39.775521542796803</v>
      </c>
      <c r="AL845">
        <v>72.439288550438505</v>
      </c>
      <c r="AM845">
        <v>94.459503083477401</v>
      </c>
      <c r="AN845">
        <v>0.99999999008622298</v>
      </c>
    </row>
    <row r="846" spans="1:40" x14ac:dyDescent="0.25">
      <c r="A846" t="str">
        <f>"20190304164113147"</f>
        <v>20190304164113147</v>
      </c>
      <c r="B846" t="str">
        <f>"1551688873132490"</f>
        <v>1551688873132490</v>
      </c>
      <c r="C846" t="s">
        <v>40</v>
      </c>
      <c r="D846">
        <v>4.165</v>
      </c>
      <c r="E846">
        <v>0.54220480000000004</v>
      </c>
      <c r="F846" t="s">
        <v>43</v>
      </c>
      <c r="G846">
        <v>-297.62299999999999</v>
      </c>
      <c r="H846">
        <v>-0.05</v>
      </c>
      <c r="I846">
        <v>367.2097</v>
      </c>
      <c r="J846">
        <v>-337.24290000000002</v>
      </c>
      <c r="K846">
        <v>1.10964</v>
      </c>
      <c r="L846">
        <v>367.41250000000002</v>
      </c>
      <c r="M846">
        <v>0.99990650000000003</v>
      </c>
      <c r="N846">
        <v>-1.3533069999999999E-2</v>
      </c>
      <c r="O846">
        <v>-1.95334E-3</v>
      </c>
      <c r="P846">
        <v>0.95468350000000002</v>
      </c>
      <c r="Q846">
        <v>0.28872209999999998</v>
      </c>
      <c r="R846">
        <v>7.2243020000000005E-2</v>
      </c>
      <c r="S846">
        <v>3.1717529999999998</v>
      </c>
      <c r="T846">
        <v>-9.2352989999999996E-2</v>
      </c>
      <c r="U846">
        <v>-1.620483E-2</v>
      </c>
      <c r="V846">
        <v>-7.3662560000000002E-2</v>
      </c>
      <c r="W846">
        <v>0.3017225</v>
      </c>
      <c r="X846">
        <v>0.9505458</v>
      </c>
      <c r="Y846">
        <v>3.153819E-3</v>
      </c>
      <c r="Z846" s="1">
        <v>-3.682277E-5</v>
      </c>
      <c r="AA846">
        <v>0.99999510000000003</v>
      </c>
      <c r="AB846">
        <v>37</v>
      </c>
      <c r="AC846">
        <v>39.619900000000001</v>
      </c>
      <c r="AD846">
        <v>-1.15964</v>
      </c>
      <c r="AE846">
        <v>-0.20280000000002399</v>
      </c>
      <c r="AF846">
        <v>0.12529405416050399</v>
      </c>
      <c r="AG846">
        <v>-1.15964</v>
      </c>
      <c r="AH846">
        <v>39.586308585981399</v>
      </c>
      <c r="AI846">
        <v>91.677932391798294</v>
      </c>
      <c r="AJ846">
        <v>89.818654560474698</v>
      </c>
      <c r="AK846">
        <v>39.603488369008097</v>
      </c>
      <c r="AL846">
        <v>72.438909738488803</v>
      </c>
      <c r="AM846">
        <v>94.431280740459897</v>
      </c>
      <c r="AN846">
        <v>0.99999997882482095</v>
      </c>
    </row>
    <row r="847" spans="1:40" x14ac:dyDescent="0.25">
      <c r="A847" t="str">
        <f>"20190304164113159"</f>
        <v>20190304164113159</v>
      </c>
      <c r="B847" t="str">
        <f>"1551688873152010"</f>
        <v>1551688873152010</v>
      </c>
      <c r="C847" t="s">
        <v>40</v>
      </c>
      <c r="D847">
        <v>4.1447989999999999</v>
      </c>
      <c r="E847">
        <v>0.56962040000000003</v>
      </c>
      <c r="F847" t="s">
        <v>43</v>
      </c>
      <c r="G847">
        <v>-296.73910000000001</v>
      </c>
      <c r="H847">
        <v>-0.05</v>
      </c>
      <c r="I847">
        <v>367.07229999999998</v>
      </c>
      <c r="J847">
        <v>-337.0326</v>
      </c>
      <c r="K847">
        <v>1.109634</v>
      </c>
      <c r="L847">
        <v>367.41180000000003</v>
      </c>
      <c r="M847">
        <v>0.99990599999999996</v>
      </c>
      <c r="N847">
        <v>-1.3523449999999999E-2</v>
      </c>
      <c r="O847">
        <v>-2.3012549999999999E-3</v>
      </c>
      <c r="P847">
        <v>0.95476159999999999</v>
      </c>
      <c r="Q847">
        <v>0.28862589999999999</v>
      </c>
      <c r="R847">
        <v>7.1594759999999993E-2</v>
      </c>
      <c r="S847">
        <v>3.171875</v>
      </c>
      <c r="T847">
        <v>-9.0812089999999998E-2</v>
      </c>
      <c r="U847">
        <v>-2.6641850000000002E-2</v>
      </c>
      <c r="V847">
        <v>-7.3345110000000005E-2</v>
      </c>
      <c r="W847">
        <v>0.30161789999999999</v>
      </c>
      <c r="X847">
        <v>0.95060350000000005</v>
      </c>
      <c r="Y847">
        <v>6.0942840000000002E-3</v>
      </c>
      <c r="Z847" s="1">
        <v>-9.3691940000000006E-5</v>
      </c>
      <c r="AA847">
        <v>0.99998140000000002</v>
      </c>
      <c r="AB847">
        <v>37</v>
      </c>
      <c r="AC847">
        <v>40.293500000000002</v>
      </c>
      <c r="AD847">
        <v>-1.1596340000000001</v>
      </c>
      <c r="AE847">
        <v>-0.33950000000004299</v>
      </c>
      <c r="AF847">
        <v>0.24656080669702801</v>
      </c>
      <c r="AG847">
        <v>-1.1596340000000001</v>
      </c>
      <c r="AH847">
        <v>40.260830167399</v>
      </c>
      <c r="AI847">
        <v>91.649805137764503</v>
      </c>
      <c r="AJ847">
        <v>89.649120076380399</v>
      </c>
      <c r="AK847">
        <v>40.278281852798798</v>
      </c>
      <c r="AL847">
        <v>72.445194995497701</v>
      </c>
      <c r="AM847">
        <v>94.411992876991803</v>
      </c>
      <c r="AN847">
        <v>0.99999993848678403</v>
      </c>
    </row>
    <row r="848" spans="1:40" x14ac:dyDescent="0.25">
      <c r="A848" t="str">
        <f>"20190304164113170"</f>
        <v>20190304164113170</v>
      </c>
      <c r="B848" t="str">
        <f>"1551688873161770"</f>
        <v>1551688873161770</v>
      </c>
      <c r="C848" t="s">
        <v>40</v>
      </c>
      <c r="D848">
        <v>4.1726470000000004</v>
      </c>
      <c r="E848">
        <v>0.57048169999999898</v>
      </c>
      <c r="F848" t="s">
        <v>43</v>
      </c>
      <c r="G848">
        <v>-299.85000000000002</v>
      </c>
      <c r="H848">
        <v>-0.05</v>
      </c>
      <c r="I848">
        <v>364.54750000000001</v>
      </c>
      <c r="J848">
        <v>-336.84620000000001</v>
      </c>
      <c r="K848">
        <v>1.109631</v>
      </c>
      <c r="L848">
        <v>367.41109999999998</v>
      </c>
      <c r="M848">
        <v>0.9999053</v>
      </c>
      <c r="N848">
        <v>-1.3515620000000001E-2</v>
      </c>
      <c r="O848">
        <v>-2.6049179999999999E-3</v>
      </c>
      <c r="P848">
        <v>0.95489449999999998</v>
      </c>
      <c r="Q848">
        <v>0.28830729999999999</v>
      </c>
      <c r="R848">
        <v>7.1101830000000005E-2</v>
      </c>
      <c r="S848">
        <v>3.190674</v>
      </c>
      <c r="T848">
        <v>-9.9509479999999997E-2</v>
      </c>
      <c r="U848">
        <v>-0.2457886</v>
      </c>
      <c r="V848">
        <v>-7.3143109999999997E-2</v>
      </c>
      <c r="W848">
        <v>0.30129289999999997</v>
      </c>
      <c r="X848">
        <v>0.95072219999999996</v>
      </c>
      <c r="Y848">
        <v>7.4157109999999998E-2</v>
      </c>
      <c r="Z848">
        <v>-1.610532E-3</v>
      </c>
      <c r="AA848">
        <v>0.9972453</v>
      </c>
      <c r="AB848">
        <v>37</v>
      </c>
      <c r="AC848">
        <v>36.996199999999902</v>
      </c>
      <c r="AD848">
        <v>-1.1596309999999901</v>
      </c>
      <c r="AE848">
        <v>-2.86359999999996</v>
      </c>
      <c r="AF848">
        <v>2.7645095048273101</v>
      </c>
      <c r="AG848">
        <v>-1.1596309999999901</v>
      </c>
      <c r="AH848">
        <v>36.967430980850303</v>
      </c>
      <c r="AI848">
        <v>91.791721852382295</v>
      </c>
      <c r="AJ848">
        <v>85.723250407658199</v>
      </c>
      <c r="AK848">
        <v>37.088788200511097</v>
      </c>
      <c r="AL848">
        <v>72.464726003195096</v>
      </c>
      <c r="AM848">
        <v>94.399342393032995</v>
      </c>
      <c r="AN848">
        <v>1.0000000138518601</v>
      </c>
    </row>
    <row r="849" spans="1:40" x14ac:dyDescent="0.25">
      <c r="A849" t="str">
        <f>"20190304164113181"</f>
        <v>20190304164113181</v>
      </c>
      <c r="B849" t="str">
        <f>"1551688873172506"</f>
        <v>1551688873172506</v>
      </c>
      <c r="C849" t="s">
        <v>40</v>
      </c>
      <c r="D849">
        <v>4.1503050000000004</v>
      </c>
      <c r="E849">
        <v>0.57086769999999998</v>
      </c>
      <c r="F849" t="s">
        <v>43</v>
      </c>
      <c r="G849">
        <v>-302.97620000000001</v>
      </c>
      <c r="H849">
        <v>-0.05</v>
      </c>
      <c r="I849">
        <v>364.7244</v>
      </c>
      <c r="J849">
        <v>-336.66239999999999</v>
      </c>
      <c r="K849">
        <v>1.1096299999999999</v>
      </c>
      <c r="L849">
        <v>367.41039999999998</v>
      </c>
      <c r="M849">
        <v>0.99990460000000003</v>
      </c>
      <c r="N849">
        <v>-1.350807E-2</v>
      </c>
      <c r="O849">
        <v>-2.9029709999999999E-3</v>
      </c>
      <c r="P849">
        <v>0.95497270000000001</v>
      </c>
      <c r="Q849">
        <v>0.28815390000000002</v>
      </c>
      <c r="R849">
        <v>7.0673120000000006E-2</v>
      </c>
      <c r="S849">
        <v>3.1935730000000002</v>
      </c>
      <c r="T849">
        <v>-0.10934049999999999</v>
      </c>
      <c r="U849">
        <v>-0.25332640000000001</v>
      </c>
      <c r="V849">
        <v>-7.3000540000000003E-2</v>
      </c>
      <c r="W849">
        <v>0.30113279999999998</v>
      </c>
      <c r="X849">
        <v>0.95078379999999996</v>
      </c>
      <c r="Y849">
        <v>7.6119660000000006E-2</v>
      </c>
      <c r="Z849">
        <v>-1.7557569999999999E-3</v>
      </c>
      <c r="AA849">
        <v>0.99709709999999996</v>
      </c>
      <c r="AB849">
        <v>37</v>
      </c>
      <c r="AC849">
        <v>33.6861999999999</v>
      </c>
      <c r="AD849">
        <v>-1.1596299999999999</v>
      </c>
      <c r="AE849">
        <v>-2.6859999999999702</v>
      </c>
      <c r="AF849">
        <v>2.5851455409650601</v>
      </c>
      <c r="AG849">
        <v>-1.1596299999999999</v>
      </c>
      <c r="AH849">
        <v>33.6542263109082</v>
      </c>
      <c r="AI849">
        <v>91.9676786008759</v>
      </c>
      <c r="AJ849">
        <v>85.607457143189507</v>
      </c>
      <c r="AK849">
        <v>33.773283343357299</v>
      </c>
      <c r="AL849">
        <v>72.474344463099698</v>
      </c>
      <c r="AM849">
        <v>94.390517432594095</v>
      </c>
      <c r="AN849">
        <v>0.99999993820928301</v>
      </c>
    </row>
    <row r="850" spans="1:40" x14ac:dyDescent="0.25">
      <c r="A850" t="str">
        <f>"20190304164113192"</f>
        <v>20190304164113192</v>
      </c>
      <c r="B850" t="str">
        <f>"1551688873182266"</f>
        <v>1551688873182266</v>
      </c>
      <c r="C850" t="s">
        <v>40</v>
      </c>
      <c r="D850">
        <v>4.1767560000000001</v>
      </c>
      <c r="E850">
        <v>0.57115680000000002</v>
      </c>
      <c r="F850" t="s">
        <v>43</v>
      </c>
      <c r="G850">
        <v>-304.11829999999998</v>
      </c>
      <c r="H850">
        <v>-0.05</v>
      </c>
      <c r="I850">
        <v>364.79070000000002</v>
      </c>
      <c r="J850">
        <v>-336.49059999999997</v>
      </c>
      <c r="K850">
        <v>1.1096349999999999</v>
      </c>
      <c r="L850">
        <v>367.40960000000001</v>
      </c>
      <c r="M850">
        <v>0.99990389999999996</v>
      </c>
      <c r="N850">
        <v>-1.3503650000000001E-2</v>
      </c>
      <c r="O850">
        <v>-3.172139E-3</v>
      </c>
      <c r="P850">
        <v>0.95502019999999999</v>
      </c>
      <c r="Q850">
        <v>0.288024</v>
      </c>
      <c r="R850">
        <v>7.0559469999999999E-2</v>
      </c>
      <c r="S850">
        <v>3.1948240000000001</v>
      </c>
      <c r="T850">
        <v>-0.11384</v>
      </c>
      <c r="U850">
        <v>-0.2571716</v>
      </c>
      <c r="V850">
        <v>-7.3147530000000002E-2</v>
      </c>
      <c r="W850">
        <v>0.30099819999999999</v>
      </c>
      <c r="X850">
        <v>0.95081519999999997</v>
      </c>
      <c r="Y850">
        <v>7.7007899999999893E-2</v>
      </c>
      <c r="Z850">
        <v>-1.8203340000000001E-3</v>
      </c>
      <c r="AA850">
        <v>0.99702880000000005</v>
      </c>
      <c r="AB850">
        <v>37</v>
      </c>
      <c r="AC850">
        <v>32.372300000000003</v>
      </c>
      <c r="AD850">
        <v>-1.159635</v>
      </c>
      <c r="AE850">
        <v>-2.6188999999999898</v>
      </c>
      <c r="AF850">
        <v>2.51298433049045</v>
      </c>
      <c r="AG850">
        <v>-1.159635</v>
      </c>
      <c r="AH850">
        <v>32.339217398940399</v>
      </c>
      <c r="AI850">
        <v>92.047492138742001</v>
      </c>
      <c r="AJ850">
        <v>85.556644709963194</v>
      </c>
      <c r="AK850">
        <v>32.457430975886602</v>
      </c>
      <c r="AL850">
        <v>72.482433012403604</v>
      </c>
      <c r="AM850">
        <v>94.3991785594513</v>
      </c>
      <c r="AN850">
        <v>1.0000000110496901</v>
      </c>
    </row>
    <row r="851" spans="1:40" x14ac:dyDescent="0.25">
      <c r="A851" t="str">
        <f>"20190304164113203"</f>
        <v>20190304164113203</v>
      </c>
      <c r="B851" t="str">
        <f>"1551688873192025"</f>
        <v>1551688873192025</v>
      </c>
      <c r="C851" t="s">
        <v>40</v>
      </c>
      <c r="D851">
        <v>4.1831889999999996</v>
      </c>
      <c r="E851">
        <v>0.57126969999999899</v>
      </c>
      <c r="F851" t="s">
        <v>43</v>
      </c>
      <c r="G851">
        <v>-304.80669999999998</v>
      </c>
      <c r="H851">
        <v>-0.05</v>
      </c>
      <c r="I851">
        <v>364.8381</v>
      </c>
      <c r="J851">
        <v>-336.31450000000001</v>
      </c>
      <c r="K851">
        <v>1.1096410000000001</v>
      </c>
      <c r="L851">
        <v>367.40879999999999</v>
      </c>
      <c r="M851">
        <v>0.99990299999999999</v>
      </c>
      <c r="N851">
        <v>-1.349935E-2</v>
      </c>
      <c r="O851">
        <v>-3.4466639999999999E-3</v>
      </c>
      <c r="P851">
        <v>0.95504770000000005</v>
      </c>
      <c r="Q851">
        <v>0.28793390000000002</v>
      </c>
      <c r="R851">
        <v>7.0556450000000007E-2</v>
      </c>
      <c r="S851">
        <v>3.1957399999999998</v>
      </c>
      <c r="T851">
        <v>-0.11696429999999999</v>
      </c>
      <c r="U851">
        <v>-0.25936890000000001</v>
      </c>
      <c r="V851">
        <v>-7.3410509999999998E-2</v>
      </c>
      <c r="W851">
        <v>0.30090409999999901</v>
      </c>
      <c r="X851">
        <v>0.95082469999999997</v>
      </c>
      <c r="Y851">
        <v>7.7389020000000003E-2</v>
      </c>
      <c r="Z851">
        <v>-1.857448E-3</v>
      </c>
      <c r="AA851">
        <v>0.99699930000000003</v>
      </c>
      <c r="AB851">
        <v>37</v>
      </c>
      <c r="AC851">
        <v>31.5078</v>
      </c>
      <c r="AD851">
        <v>-1.1596409999999999</v>
      </c>
      <c r="AE851">
        <v>-2.57069999999998</v>
      </c>
      <c r="AF851">
        <v>2.4587694148747801</v>
      </c>
      <c r="AG851">
        <v>-1.1596409999999999</v>
      </c>
      <c r="AH851">
        <v>31.474121064752001</v>
      </c>
      <c r="AI851">
        <v>92.103663126079397</v>
      </c>
      <c r="AJ851">
        <v>85.533105636802603</v>
      </c>
      <c r="AK851">
        <v>31.5913059413989</v>
      </c>
      <c r="AL851">
        <v>72.488086364766602</v>
      </c>
      <c r="AM851">
        <v>94.414888130592999</v>
      </c>
      <c r="AN851">
        <v>0.99999999525268002</v>
      </c>
    </row>
    <row r="852" spans="1:40" x14ac:dyDescent="0.25">
      <c r="A852" t="str">
        <f>"20190304164113213"</f>
        <v>20190304164113213</v>
      </c>
      <c r="B852" t="str">
        <f>"1551688873202293"</f>
        <v>1551688873202293</v>
      </c>
      <c r="C852" t="s">
        <v>40</v>
      </c>
      <c r="D852">
        <v>4.1853949999999998</v>
      </c>
      <c r="E852">
        <v>0.57130780000000003</v>
      </c>
      <c r="F852" t="s">
        <v>43</v>
      </c>
      <c r="G852">
        <v>-305.0881</v>
      </c>
      <c r="H852">
        <v>-0.05</v>
      </c>
      <c r="I852">
        <v>364.87119999999999</v>
      </c>
      <c r="J852">
        <v>-336.14100000000002</v>
      </c>
      <c r="K852">
        <v>1.1096490000000001</v>
      </c>
      <c r="L852">
        <v>367.40789999999998</v>
      </c>
      <c r="M852">
        <v>0.99990210000000002</v>
      </c>
      <c r="N852">
        <v>-1.349733E-2</v>
      </c>
      <c r="O852">
        <v>-3.7050450000000001E-3</v>
      </c>
      <c r="P852">
        <v>0.95513389999999998</v>
      </c>
      <c r="Q852">
        <v>0.2876611</v>
      </c>
      <c r="R852">
        <v>7.0501250000000001E-2</v>
      </c>
      <c r="S852">
        <v>3.1961979999999999</v>
      </c>
      <c r="T852">
        <v>-0.1186957</v>
      </c>
      <c r="U852">
        <v>-0.2597351</v>
      </c>
      <c r="V852">
        <v>-7.3608530000000005E-2</v>
      </c>
      <c r="W852">
        <v>0.30062889999999998</v>
      </c>
      <c r="X852">
        <v>0.95089639999999997</v>
      </c>
      <c r="Y852">
        <v>7.7231830000000001E-2</v>
      </c>
      <c r="Z852">
        <v>-1.8661540000000001E-3</v>
      </c>
      <c r="AA852">
        <v>0.99701139999999999</v>
      </c>
      <c r="AB852">
        <v>37</v>
      </c>
      <c r="AC852">
        <v>31.052899999999902</v>
      </c>
      <c r="AD852">
        <v>-1.1596489999999999</v>
      </c>
      <c r="AE852">
        <v>-2.53669999999999</v>
      </c>
      <c r="AF852">
        <v>2.4182695632743201</v>
      </c>
      <c r="AG852">
        <v>-1.1596489999999999</v>
      </c>
      <c r="AH852">
        <v>31.019113860877699</v>
      </c>
      <c r="AI852">
        <v>92.134533730683103</v>
      </c>
      <c r="AJ852">
        <v>85.542201807945403</v>
      </c>
      <c r="AK852">
        <v>31.134839620559401</v>
      </c>
      <c r="AL852">
        <v>72.5046190085408</v>
      </c>
      <c r="AM852">
        <v>94.426417265973697</v>
      </c>
      <c r="AN852">
        <v>0.99999995736846403</v>
      </c>
    </row>
    <row r="853" spans="1:40" x14ac:dyDescent="0.25">
      <c r="A853" t="str">
        <f>"20190304164113224"</f>
        <v>20190304164113224</v>
      </c>
      <c r="B853" t="str">
        <f>"1551688873212053"</f>
        <v>1551688873212053</v>
      </c>
      <c r="C853" t="s">
        <v>40</v>
      </c>
      <c r="D853">
        <v>4.1648579999999997</v>
      </c>
      <c r="E853">
        <v>0.57132539999999998</v>
      </c>
      <c r="F853" t="s">
        <v>43</v>
      </c>
      <c r="G853">
        <v>-305.0215</v>
      </c>
      <c r="H853">
        <v>-0.05</v>
      </c>
      <c r="I853">
        <v>364.8759</v>
      </c>
      <c r="J853">
        <v>-335.95769999999999</v>
      </c>
      <c r="K853">
        <v>1.109658</v>
      </c>
      <c r="L853">
        <v>367.40699999999998</v>
      </c>
      <c r="M853">
        <v>0.99990109999999999</v>
      </c>
      <c r="N853">
        <v>-1.3495450000000001E-2</v>
      </c>
      <c r="O853">
        <v>-3.9747309999999996E-3</v>
      </c>
      <c r="P853">
        <v>0.95519310000000002</v>
      </c>
      <c r="Q853">
        <v>0.28753000000000001</v>
      </c>
      <c r="R853">
        <v>7.023306E-2</v>
      </c>
      <c r="S853">
        <v>3.1959529999999998</v>
      </c>
      <c r="T853">
        <v>-0.1190951</v>
      </c>
      <c r="U853">
        <v>-0.2600403</v>
      </c>
      <c r="V853">
        <v>-7.3605879999999999E-2</v>
      </c>
      <c r="W853">
        <v>0.30049530000000002</v>
      </c>
      <c r="X853">
        <v>0.95093890000000003</v>
      </c>
      <c r="Y853">
        <v>7.706346E-2</v>
      </c>
      <c r="Z853">
        <v>-1.859856E-3</v>
      </c>
      <c r="AA853">
        <v>0.99702449999999998</v>
      </c>
      <c r="AB853">
        <v>37</v>
      </c>
      <c r="AC853">
        <v>30.9361999999999</v>
      </c>
      <c r="AD853">
        <v>-1.1596580000000001</v>
      </c>
      <c r="AE853">
        <v>-2.5310999999999799</v>
      </c>
      <c r="AF853">
        <v>2.4047491492017201</v>
      </c>
      <c r="AG853">
        <v>-1.1596580000000001</v>
      </c>
      <c r="AH853">
        <v>30.902882174240499</v>
      </c>
      <c r="AI853">
        <v>92.142595178981097</v>
      </c>
      <c r="AJ853">
        <v>85.550419057608806</v>
      </c>
      <c r="AK853">
        <v>31.017990776685501</v>
      </c>
      <c r="AL853">
        <v>72.512645973044897</v>
      </c>
      <c r="AM853">
        <v>94.4260615073986</v>
      </c>
      <c r="AN853">
        <v>1.0000000212129301</v>
      </c>
    </row>
    <row r="854" spans="1:40" x14ac:dyDescent="0.25">
      <c r="A854" t="str">
        <f>"20190304164113235"</f>
        <v>20190304164113235</v>
      </c>
      <c r="B854" t="str">
        <f>"1551688873221813"</f>
        <v>1551688873221813</v>
      </c>
      <c r="C854" t="s">
        <v>40</v>
      </c>
      <c r="D854">
        <v>4.1438839999999999</v>
      </c>
      <c r="E854">
        <v>0.57126690000000002</v>
      </c>
      <c r="F854" t="s">
        <v>43</v>
      </c>
      <c r="G854">
        <v>-304.74130000000002</v>
      </c>
      <c r="H854">
        <v>-0.05</v>
      </c>
      <c r="I854">
        <v>364.85820000000001</v>
      </c>
      <c r="J854">
        <v>-335.77050000000003</v>
      </c>
      <c r="K854">
        <v>1.109672</v>
      </c>
      <c r="L854">
        <v>367.40600000000001</v>
      </c>
      <c r="M854">
        <v>0.99990009999999996</v>
      </c>
      <c r="N854">
        <v>-1.3494539999999999E-2</v>
      </c>
      <c r="O854">
        <v>-4.2385340000000004E-3</v>
      </c>
      <c r="P854">
        <v>0.95526549999999999</v>
      </c>
      <c r="Q854">
        <v>0.28732590000000002</v>
      </c>
      <c r="R854">
        <v>7.0085110000000006E-2</v>
      </c>
      <c r="S854">
        <v>3.1956479999999998</v>
      </c>
      <c r="T854">
        <v>-0.1187153</v>
      </c>
      <c r="U854">
        <v>-0.26092530000000003</v>
      </c>
      <c r="V854">
        <v>-7.3719750000000001E-2</v>
      </c>
      <c r="W854">
        <v>0.30028830000000001</v>
      </c>
      <c r="X854">
        <v>0.95099540000000005</v>
      </c>
      <c r="Y854">
        <v>7.7082849999999994E-2</v>
      </c>
      <c r="Z854">
        <v>-1.8500980000000001E-3</v>
      </c>
      <c r="AA854">
        <v>0.99702299999999999</v>
      </c>
      <c r="AB854">
        <v>37</v>
      </c>
      <c r="AC854">
        <v>31.029199999999999</v>
      </c>
      <c r="AD854">
        <v>-1.159672</v>
      </c>
      <c r="AE854">
        <v>-2.5477999999999899</v>
      </c>
      <c r="AF854">
        <v>2.4128991045041901</v>
      </c>
      <c r="AG854">
        <v>-1.159672</v>
      </c>
      <c r="AH854">
        <v>30.996715380320399</v>
      </c>
      <c r="AI854">
        <v>92.136136382614794</v>
      </c>
      <c r="AJ854">
        <v>85.548860647432804</v>
      </c>
      <c r="AK854">
        <v>31.1121083439341</v>
      </c>
      <c r="AL854">
        <v>72.525079330568104</v>
      </c>
      <c r="AM854">
        <v>94.432619142053895</v>
      </c>
      <c r="AN854">
        <v>0.99999995773905503</v>
      </c>
    </row>
    <row r="855" spans="1:40" x14ac:dyDescent="0.25">
      <c r="A855" t="str">
        <f>"20190304164113246"</f>
        <v>20190304164113246</v>
      </c>
      <c r="B855" t="str">
        <f>"1551688873232549"</f>
        <v>1551688873232549</v>
      </c>
      <c r="C855" t="s">
        <v>40</v>
      </c>
      <c r="D855">
        <v>4.192914</v>
      </c>
      <c r="E855">
        <v>0.57122729999999999</v>
      </c>
      <c r="F855" t="s">
        <v>43</v>
      </c>
      <c r="G855">
        <v>-304.91430000000003</v>
      </c>
      <c r="H855">
        <v>-0.05</v>
      </c>
      <c r="I855">
        <v>364.89280000000002</v>
      </c>
      <c r="J855">
        <v>-335.60210000000001</v>
      </c>
      <c r="K855">
        <v>1.1096839999999999</v>
      </c>
      <c r="L855">
        <v>367.4051</v>
      </c>
      <c r="M855">
        <v>0.99989899999999998</v>
      </c>
      <c r="N855">
        <v>-1.349389E-2</v>
      </c>
      <c r="O855">
        <v>-4.4695610000000004E-3</v>
      </c>
      <c r="P855">
        <v>0.95528290000000005</v>
      </c>
      <c r="Q855">
        <v>0.28734860000000001</v>
      </c>
      <c r="R855">
        <v>6.9754990000000003E-2</v>
      </c>
      <c r="S855">
        <v>3.1956790000000002</v>
      </c>
      <c r="T855">
        <v>-0.1201035</v>
      </c>
      <c r="U855">
        <v>-0.26028440000000003</v>
      </c>
      <c r="V855">
        <v>-7.3619509999999999E-2</v>
      </c>
      <c r="W855">
        <v>0.30030780000000001</v>
      </c>
      <c r="X855">
        <v>0.95099710000000004</v>
      </c>
      <c r="Y855">
        <v>7.6652139999999994E-2</v>
      </c>
      <c r="Z855">
        <v>-1.8483880000000001E-3</v>
      </c>
      <c r="AA855">
        <v>0.99705619999999995</v>
      </c>
      <c r="AB855">
        <v>37</v>
      </c>
      <c r="AC855">
        <v>30.6877999999999</v>
      </c>
      <c r="AD855">
        <v>-1.1596839999999999</v>
      </c>
      <c r="AE855">
        <v>-2.5122999999999802</v>
      </c>
      <c r="AF855">
        <v>2.3717369784520002</v>
      </c>
      <c r="AG855">
        <v>-1.1596839999999999</v>
      </c>
      <c r="AH855">
        <v>30.655237111812401</v>
      </c>
      <c r="AI855">
        <v>92.160010563247894</v>
      </c>
      <c r="AJ855">
        <v>85.575948429884207</v>
      </c>
      <c r="AK855">
        <v>30.768710822136399</v>
      </c>
      <c r="AL855">
        <v>72.523909585510296</v>
      </c>
      <c r="AM855">
        <v>94.426608004241302</v>
      </c>
      <c r="AN855">
        <v>1.0000000456009399</v>
      </c>
    </row>
    <row r="856" spans="1:40" x14ac:dyDescent="0.25">
      <c r="A856" t="str">
        <f>"20190304164113256"</f>
        <v>20190304164113256</v>
      </c>
      <c r="B856" t="str">
        <f>"1551688873252069"</f>
        <v>1551688873252069</v>
      </c>
      <c r="C856" t="s">
        <v>40</v>
      </c>
      <c r="D856">
        <v>4.1750239999999996</v>
      </c>
      <c r="E856">
        <v>0.57110260000000002</v>
      </c>
      <c r="F856" t="s">
        <v>43</v>
      </c>
      <c r="G856">
        <v>-304.10820000000001</v>
      </c>
      <c r="H856">
        <v>-0.05</v>
      </c>
      <c r="I856">
        <v>364.83449999999999</v>
      </c>
      <c r="J856">
        <v>-335.4117</v>
      </c>
      <c r="K856">
        <v>1.109701</v>
      </c>
      <c r="L856">
        <v>367.404</v>
      </c>
      <c r="M856">
        <v>0.99989790000000001</v>
      </c>
      <c r="N856">
        <v>-1.3493450000000001E-2</v>
      </c>
      <c r="O856">
        <v>-4.7192409999999999E-3</v>
      </c>
      <c r="P856">
        <v>0.95535559999999997</v>
      </c>
      <c r="Q856">
        <v>0.28717029999999999</v>
      </c>
      <c r="R856">
        <v>6.9491800000000006E-2</v>
      </c>
      <c r="S856">
        <v>3.194855</v>
      </c>
      <c r="T856">
        <v>-0.1176426</v>
      </c>
      <c r="U856">
        <v>-0.26077270000000002</v>
      </c>
      <c r="V856">
        <v>-7.3606669999999999E-2</v>
      </c>
      <c r="W856">
        <v>0.30012729999999999</v>
      </c>
      <c r="X856">
        <v>0.95105499999999998</v>
      </c>
      <c r="Y856">
        <v>7.6577930000000002E-2</v>
      </c>
      <c r="Z856">
        <v>-1.8149990000000001E-3</v>
      </c>
      <c r="AA856">
        <v>0.997062</v>
      </c>
      <c r="AB856">
        <v>37</v>
      </c>
      <c r="AC856">
        <v>31.3034999999999</v>
      </c>
      <c r="AD856">
        <v>-1.1597010000000001</v>
      </c>
      <c r="AE856">
        <v>-2.5695000000000001</v>
      </c>
      <c r="AF856">
        <v>2.41843214473433</v>
      </c>
      <c r="AG856">
        <v>-1.1597010000000001</v>
      </c>
      <c r="AH856">
        <v>31.272644694282501</v>
      </c>
      <c r="AI856">
        <v>92.117441840321206</v>
      </c>
      <c r="AJ856">
        <v>85.577901666272894</v>
      </c>
      <c r="AK856">
        <v>31.387450145287701</v>
      </c>
      <c r="AL856">
        <v>72.534750344644706</v>
      </c>
      <c r="AM856">
        <v>94.425570652422294</v>
      </c>
      <c r="AN856">
        <v>0.99999997554938902</v>
      </c>
    </row>
    <row r="857" spans="1:40" x14ac:dyDescent="0.25">
      <c r="A857" t="str">
        <f>"20190304164113269"</f>
        <v>20190304164113269</v>
      </c>
      <c r="B857" t="str">
        <f>"1551688873261829"</f>
        <v>1551688873261829</v>
      </c>
      <c r="C857" t="s">
        <v>40</v>
      </c>
      <c r="D857">
        <v>4.1917530000000003</v>
      </c>
      <c r="E857">
        <v>0.57114149999999997</v>
      </c>
      <c r="F857" t="s">
        <v>43</v>
      </c>
      <c r="G857">
        <v>-302.8426</v>
      </c>
      <c r="H857">
        <v>-0.05</v>
      </c>
      <c r="I857">
        <v>364.74160000000001</v>
      </c>
      <c r="J857">
        <v>-335.21190000000001</v>
      </c>
      <c r="K857">
        <v>1.109726</v>
      </c>
      <c r="L857">
        <v>367.40280000000001</v>
      </c>
      <c r="M857">
        <v>0.99989669999999997</v>
      </c>
      <c r="N857">
        <v>-1.3493120000000001E-2</v>
      </c>
      <c r="O857">
        <v>-4.9661339999999997E-3</v>
      </c>
      <c r="P857">
        <v>0.95536500000000002</v>
      </c>
      <c r="Q857">
        <v>0.28725659999999997</v>
      </c>
      <c r="R857">
        <v>6.9004750000000004E-2</v>
      </c>
      <c r="S857">
        <v>3.19339</v>
      </c>
      <c r="T857">
        <v>-0.1137085</v>
      </c>
      <c r="U857">
        <v>-0.26104739999999999</v>
      </c>
      <c r="V857">
        <v>-7.3369320000000002E-2</v>
      </c>
      <c r="W857">
        <v>0.30020960000000002</v>
      </c>
      <c r="X857">
        <v>0.95104739999999999</v>
      </c>
      <c r="Y857">
        <v>7.6458029999999996E-2</v>
      </c>
      <c r="Z857">
        <v>-1.7658979999999999E-3</v>
      </c>
      <c r="AA857">
        <v>0.99707129999999999</v>
      </c>
      <c r="AB857">
        <v>37</v>
      </c>
      <c r="AC857">
        <v>32.369300000000003</v>
      </c>
      <c r="AD857">
        <v>-1.159726</v>
      </c>
      <c r="AE857">
        <v>-2.6612</v>
      </c>
      <c r="AF857">
        <v>2.49721825718769</v>
      </c>
      <c r="AG857">
        <v>-1.159726</v>
      </c>
      <c r="AH857">
        <v>32.340882424145299</v>
      </c>
      <c r="AI857">
        <v>92.047624768737407</v>
      </c>
      <c r="AJ857">
        <v>85.584637468705296</v>
      </c>
      <c r="AK857">
        <v>32.457876384500302</v>
      </c>
      <c r="AL857">
        <v>72.529807546937107</v>
      </c>
      <c r="AM857">
        <v>94.411391614295198</v>
      </c>
      <c r="AN857">
        <v>1.0000000090480901</v>
      </c>
    </row>
    <row r="858" spans="1:40" x14ac:dyDescent="0.25">
      <c r="A858" t="str">
        <f>"20190304164113280"</f>
        <v>20190304164113280</v>
      </c>
      <c r="B858" t="str">
        <f>"1551688873271589"</f>
        <v>1551688873271589</v>
      </c>
      <c r="C858" t="s">
        <v>40</v>
      </c>
      <c r="D858">
        <v>4.1800560000000004</v>
      </c>
      <c r="E858">
        <v>0.57122830000000002</v>
      </c>
      <c r="F858" t="s">
        <v>43</v>
      </c>
      <c r="G858">
        <v>-302.59050000000002</v>
      </c>
      <c r="H858">
        <v>-0.05</v>
      </c>
      <c r="I858">
        <v>364.71640000000002</v>
      </c>
      <c r="J858">
        <v>-335.01839999999999</v>
      </c>
      <c r="K858">
        <v>1.109745</v>
      </c>
      <c r="L858">
        <v>367.40170000000001</v>
      </c>
      <c r="M858">
        <v>0.9998956</v>
      </c>
      <c r="N858">
        <v>-1.349288E-2</v>
      </c>
      <c r="O858">
        <v>-5.1956160000000001E-3</v>
      </c>
      <c r="P858">
        <v>0.95539339999999995</v>
      </c>
      <c r="Q858">
        <v>0.28730450000000002</v>
      </c>
      <c r="R858">
        <v>6.8408780000000002E-2</v>
      </c>
      <c r="S858">
        <v>3.193298</v>
      </c>
      <c r="T858">
        <v>-0.1135253</v>
      </c>
      <c r="U858">
        <v>-0.26296999999999998</v>
      </c>
      <c r="V858">
        <v>-7.3006349999999998E-2</v>
      </c>
      <c r="W858">
        <v>0.30025380000000002</v>
      </c>
      <c r="X858">
        <v>0.95106139999999995</v>
      </c>
      <c r="Y858">
        <v>7.6827729999999997E-2</v>
      </c>
      <c r="Z858">
        <v>-1.768007E-3</v>
      </c>
      <c r="AA858">
        <v>0.99704280000000001</v>
      </c>
      <c r="AB858">
        <v>37</v>
      </c>
      <c r="AC858">
        <v>32.427899999999902</v>
      </c>
      <c r="AD858">
        <v>-1.159745</v>
      </c>
      <c r="AE858">
        <v>-2.6852999999999798</v>
      </c>
      <c r="AF858">
        <v>2.5135724283071701</v>
      </c>
      <c r="AG858">
        <v>-1.159745</v>
      </c>
      <c r="AH858">
        <v>32.400255992779002</v>
      </c>
      <c r="AI858">
        <v>92.0438520590276</v>
      </c>
      <c r="AJ858">
        <v>85.563948328233494</v>
      </c>
      <c r="AK858">
        <v>32.518297052812997</v>
      </c>
      <c r="AL858">
        <v>72.527152951523803</v>
      </c>
      <c r="AM858">
        <v>94.389588885256302</v>
      </c>
      <c r="AN858">
        <v>1.0000000290623601</v>
      </c>
    </row>
    <row r="859" spans="1:40" x14ac:dyDescent="0.25">
      <c r="A859" t="str">
        <f>"20190304164113293"</f>
        <v>20190304164113293</v>
      </c>
      <c r="B859" t="str">
        <f>"1551688873282325"</f>
        <v>1551688873282325</v>
      </c>
      <c r="C859" t="s">
        <v>40</v>
      </c>
      <c r="D859">
        <v>4.1779109999999999</v>
      </c>
      <c r="E859">
        <v>0.57128190000000001</v>
      </c>
      <c r="F859" t="s">
        <v>43</v>
      </c>
      <c r="G859">
        <v>-302.33609999999999</v>
      </c>
      <c r="H859">
        <v>-0.05</v>
      </c>
      <c r="I859">
        <v>364.68520000000001</v>
      </c>
      <c r="J859">
        <v>-334.83030000000002</v>
      </c>
      <c r="K859">
        <v>1.109766</v>
      </c>
      <c r="L859">
        <v>367.40050000000002</v>
      </c>
      <c r="M859">
        <v>0.99989439999999996</v>
      </c>
      <c r="N859">
        <v>-1.3492789999999999E-2</v>
      </c>
      <c r="O859">
        <v>-5.3938179999999999E-3</v>
      </c>
      <c r="P859">
        <v>0.9554397</v>
      </c>
      <c r="Q859">
        <v>0.287300099999999</v>
      </c>
      <c r="R859">
        <v>6.7777030000000002E-2</v>
      </c>
      <c r="S859">
        <v>3.193146</v>
      </c>
      <c r="T859">
        <v>-0.1133102</v>
      </c>
      <c r="U859">
        <v>-0.26541140000000002</v>
      </c>
      <c r="V859">
        <v>-7.2580259999999994E-2</v>
      </c>
      <c r="W859">
        <v>0.30024509999999899</v>
      </c>
      <c r="X859">
        <v>0.95109670000000002</v>
      </c>
      <c r="Y859">
        <v>7.7390879999999995E-2</v>
      </c>
      <c r="Z859">
        <v>-1.775235E-3</v>
      </c>
      <c r="AA859">
        <v>0.99699930000000003</v>
      </c>
      <c r="AB859">
        <v>37</v>
      </c>
      <c r="AC859">
        <v>32.494199999999999</v>
      </c>
      <c r="AD859">
        <v>-1.1597660000000001</v>
      </c>
      <c r="AE859">
        <v>-2.7153000000000098</v>
      </c>
      <c r="AF859">
        <v>2.53676760026012</v>
      </c>
      <c r="AG859">
        <v>-1.1597660000000001</v>
      </c>
      <c r="AH859">
        <v>32.467301698973003</v>
      </c>
      <c r="AI859">
        <v>92.039584525006205</v>
      </c>
      <c r="AJ859">
        <v>85.532385499591001</v>
      </c>
      <c r="AK859">
        <v>32.586898082582501</v>
      </c>
      <c r="AL859">
        <v>72.527674534123605</v>
      </c>
      <c r="AM859">
        <v>94.3639076575123</v>
      </c>
      <c r="AN859">
        <v>0.99999997348328296</v>
      </c>
    </row>
    <row r="860" spans="1:40" x14ac:dyDescent="0.25">
      <c r="A860" t="str">
        <f>"20190304164113306"</f>
        <v>20190304164113306</v>
      </c>
      <c r="B860" t="str">
        <f>"1551688873292085"</f>
        <v>1551688873292085</v>
      </c>
      <c r="C860" t="s">
        <v>40</v>
      </c>
      <c r="D860">
        <v>4.1728319999999997</v>
      </c>
      <c r="E860">
        <v>0.57127819999999996</v>
      </c>
      <c r="F860" t="s">
        <v>43</v>
      </c>
      <c r="G860">
        <v>-302.06670000000003</v>
      </c>
      <c r="H860">
        <v>-0.05</v>
      </c>
      <c r="I860">
        <v>364.65030000000002</v>
      </c>
      <c r="J860">
        <v>-334.61410000000001</v>
      </c>
      <c r="K860">
        <v>1.1097950000000001</v>
      </c>
      <c r="L860">
        <v>367.399</v>
      </c>
      <c r="M860">
        <v>0.99989340000000004</v>
      </c>
      <c r="N860">
        <v>-1.349274E-2</v>
      </c>
      <c r="O860">
        <v>-5.6092199999999998E-3</v>
      </c>
      <c r="P860">
        <v>0.95551850000000005</v>
      </c>
      <c r="Q860">
        <v>0.28716069999999999</v>
      </c>
      <c r="R860">
        <v>6.7255800000000004E-2</v>
      </c>
      <c r="S860">
        <v>3.1929319999999999</v>
      </c>
      <c r="T860">
        <v>-0.11302329999999999</v>
      </c>
      <c r="U860">
        <v>-0.2680054</v>
      </c>
      <c r="V860">
        <v>-7.2284349999999997E-2</v>
      </c>
      <c r="W860">
        <v>0.30010179999999997</v>
      </c>
      <c r="X860">
        <v>0.95116449999999997</v>
      </c>
      <c r="Y860">
        <v>7.7985799999999994E-2</v>
      </c>
      <c r="Z860">
        <v>-1.7821250000000001E-3</v>
      </c>
      <c r="AA860">
        <v>0.99695290000000003</v>
      </c>
      <c r="AB860">
        <v>37</v>
      </c>
      <c r="AC860">
        <v>32.547399999999897</v>
      </c>
      <c r="AD860">
        <v>-1.1597949999999999</v>
      </c>
      <c r="AE860">
        <v>-2.7486999999999799</v>
      </c>
      <c r="AF860">
        <v>2.5628434203921802</v>
      </c>
      <c r="AG860">
        <v>-1.1597949999999999</v>
      </c>
      <c r="AH860">
        <v>32.521304746195398</v>
      </c>
      <c r="AI860">
        <v>92.036144797138306</v>
      </c>
      <c r="AJ860">
        <v>85.4941147147523</v>
      </c>
      <c r="AK860">
        <v>32.642741202821497</v>
      </c>
      <c r="AL860">
        <v>72.536282645247795</v>
      </c>
      <c r="AM860">
        <v>94.345875684702605</v>
      </c>
      <c r="AN860">
        <v>1.0000000118392001</v>
      </c>
    </row>
    <row r="861" spans="1:40" x14ac:dyDescent="0.25">
      <c r="A861" t="str">
        <f>"20190304164113318"</f>
        <v>20190304164113318</v>
      </c>
      <c r="B861" t="str">
        <f>"1551688873312114"</f>
        <v>1551688873312114</v>
      </c>
      <c r="C861" t="s">
        <v>40</v>
      </c>
      <c r="D861">
        <v>4.1504139999999996</v>
      </c>
      <c r="E861">
        <v>0.57122709999999999</v>
      </c>
      <c r="F861" t="s">
        <v>43</v>
      </c>
      <c r="G861">
        <v>-301.6995</v>
      </c>
      <c r="H861">
        <v>-0.05</v>
      </c>
      <c r="I861">
        <v>364.61860000000001</v>
      </c>
      <c r="J861">
        <v>-334.38850000000002</v>
      </c>
      <c r="K861">
        <v>1.109826</v>
      </c>
      <c r="L861">
        <v>367.39760000000001</v>
      </c>
      <c r="M861">
        <v>0.99989209999999995</v>
      </c>
      <c r="N861">
        <v>-1.349275E-2</v>
      </c>
      <c r="O861">
        <v>-5.8059449999999999E-3</v>
      </c>
      <c r="P861">
        <v>0.95553180000000004</v>
      </c>
      <c r="Q861">
        <v>0.28723949999999998</v>
      </c>
      <c r="R861">
        <v>6.6726450000000007E-2</v>
      </c>
      <c r="S861">
        <v>3.1924739999999998</v>
      </c>
      <c r="T861">
        <v>-0.1124917</v>
      </c>
      <c r="U861">
        <v>-0.26968379999999997</v>
      </c>
      <c r="V861">
        <v>-7.1966039999999995E-2</v>
      </c>
      <c r="W861">
        <v>0.30017460000000001</v>
      </c>
      <c r="X861">
        <v>0.9511657</v>
      </c>
      <c r="Y861">
        <v>7.8322290000000003E-2</v>
      </c>
      <c r="Z861">
        <v>-1.7806569999999999E-3</v>
      </c>
      <c r="AA861">
        <v>0.99692650000000005</v>
      </c>
      <c r="AB861">
        <v>37</v>
      </c>
      <c r="AC861">
        <v>32.689</v>
      </c>
      <c r="AD861">
        <v>-1.159826</v>
      </c>
      <c r="AE861">
        <v>-2.7789999999999901</v>
      </c>
      <c r="AF861">
        <v>2.5859133536872601</v>
      </c>
      <c r="AG861">
        <v>-1.159826</v>
      </c>
      <c r="AH861">
        <v>32.663760605311097</v>
      </c>
      <c r="AI861">
        <v>92.027268509971904</v>
      </c>
      <c r="AJ861">
        <v>85.473468406031699</v>
      </c>
      <c r="AK861">
        <v>32.786481987308797</v>
      </c>
      <c r="AL861">
        <v>72.531910511011304</v>
      </c>
      <c r="AM861">
        <v>94.326805665626594</v>
      </c>
      <c r="AN861">
        <v>1.00000004512746</v>
      </c>
    </row>
    <row r="862" spans="1:40" x14ac:dyDescent="0.25">
      <c r="A862" t="str">
        <f>"20190304164113335"</f>
        <v>20190304164113335</v>
      </c>
      <c r="B862" t="str">
        <f>"1551688873321874"</f>
        <v>1551688873321874</v>
      </c>
      <c r="C862" t="s">
        <v>40</v>
      </c>
      <c r="D862">
        <v>4.2036730000000002</v>
      </c>
      <c r="E862">
        <v>0.57125700000000001</v>
      </c>
      <c r="F862" t="s">
        <v>43</v>
      </c>
      <c r="G862">
        <v>-301.1454</v>
      </c>
      <c r="H862">
        <v>-0.05</v>
      </c>
      <c r="I862">
        <v>364.57209999999998</v>
      </c>
      <c r="J862">
        <v>-334.14780000000002</v>
      </c>
      <c r="K862">
        <v>1.1098669999999999</v>
      </c>
      <c r="L862">
        <v>367.39600000000002</v>
      </c>
      <c r="M862">
        <v>0.99989099999999997</v>
      </c>
      <c r="N862">
        <v>-1.3492809999999999E-2</v>
      </c>
      <c r="O862">
        <v>-5.9855480000000003E-3</v>
      </c>
      <c r="P862">
        <v>0.95566589999999996</v>
      </c>
      <c r="Q862">
        <v>0.28699789999999997</v>
      </c>
      <c r="R862">
        <v>6.583878E-2</v>
      </c>
      <c r="S862">
        <v>3.1920169999999999</v>
      </c>
      <c r="T862">
        <v>-0.1113667</v>
      </c>
      <c r="U862">
        <v>-0.27130130000000002</v>
      </c>
      <c r="V862">
        <v>-7.1277439999999997E-2</v>
      </c>
      <c r="W862">
        <v>0.29992760000000002</v>
      </c>
      <c r="X862">
        <v>0.95129540000000001</v>
      </c>
      <c r="Y862">
        <v>7.8657580000000005E-2</v>
      </c>
      <c r="Z862">
        <v>-1.773356E-3</v>
      </c>
      <c r="AA862">
        <v>0.99690009999999996</v>
      </c>
      <c r="AB862">
        <v>37</v>
      </c>
      <c r="AC862">
        <v>33.002400000000002</v>
      </c>
      <c r="AD862">
        <v>-1.159867</v>
      </c>
      <c r="AE862">
        <v>-2.8238999999999801</v>
      </c>
      <c r="AF862">
        <v>2.6230775739726999</v>
      </c>
      <c r="AG862">
        <v>-1.159867</v>
      </c>
      <c r="AH862">
        <v>32.978275254464101</v>
      </c>
      <c r="AI862">
        <v>92.007962383486202</v>
      </c>
      <c r="AJ862">
        <v>85.452293078033307</v>
      </c>
      <c r="AK862">
        <v>33.1027561718955</v>
      </c>
      <c r="AL862">
        <v>72.546745125322602</v>
      </c>
      <c r="AM862">
        <v>94.284977912551895</v>
      </c>
      <c r="AN862">
        <v>0.99999998837793602</v>
      </c>
    </row>
    <row r="863" spans="1:40" x14ac:dyDescent="0.25">
      <c r="A863" t="str">
        <f>"20190304164113349"</f>
        <v>20190304164113349</v>
      </c>
      <c r="B863" t="str">
        <f>"1551688873342369"</f>
        <v>1551688873342369</v>
      </c>
      <c r="C863" t="s">
        <v>40</v>
      </c>
      <c r="D863">
        <v>4.2101639999999998</v>
      </c>
      <c r="E863">
        <v>0.57128210000000001</v>
      </c>
      <c r="F863" t="s">
        <v>43</v>
      </c>
      <c r="G863">
        <v>-301.12869999999998</v>
      </c>
      <c r="H863">
        <v>-0.05</v>
      </c>
      <c r="I863">
        <v>364.55079999999998</v>
      </c>
      <c r="J863">
        <v>-333.8981</v>
      </c>
      <c r="K863">
        <v>1.1099060000000001</v>
      </c>
      <c r="L863">
        <v>367.39440000000002</v>
      </c>
      <c r="M863">
        <v>0.99989019999999995</v>
      </c>
      <c r="N863">
        <v>-1.3492860000000001E-2</v>
      </c>
      <c r="O863">
        <v>-6.1453200000000001E-3</v>
      </c>
      <c r="P863">
        <v>0.95571059999999997</v>
      </c>
      <c r="Q863">
        <v>0.28695140000000002</v>
      </c>
      <c r="R863">
        <v>6.5397200000000003E-2</v>
      </c>
      <c r="S863">
        <v>3.1917420000000001</v>
      </c>
      <c r="T863">
        <v>-0.1121166</v>
      </c>
      <c r="U863">
        <v>-0.2750244</v>
      </c>
      <c r="V863">
        <v>-7.101739E-2</v>
      </c>
      <c r="W863">
        <v>0.2998748</v>
      </c>
      <c r="X863">
        <v>0.9513315</v>
      </c>
      <c r="Y863">
        <v>7.9658359999999998E-2</v>
      </c>
      <c r="Z863">
        <v>-1.8020950000000001E-3</v>
      </c>
      <c r="AA863">
        <v>0.99682059999999995</v>
      </c>
      <c r="AB863">
        <v>37</v>
      </c>
      <c r="AC863">
        <v>32.769399999999997</v>
      </c>
      <c r="AD863">
        <v>-1.1599059999999899</v>
      </c>
      <c r="AE863">
        <v>-2.8436000000000301</v>
      </c>
      <c r="AF863">
        <v>2.63886806750474</v>
      </c>
      <c r="AG863">
        <v>-1.1599059999999899</v>
      </c>
      <c r="AH863">
        <v>32.745538008691597</v>
      </c>
      <c r="AI863">
        <v>92.022121625042203</v>
      </c>
      <c r="AJ863">
        <v>85.392655656825994</v>
      </c>
      <c r="AK863">
        <v>32.872165521687201</v>
      </c>
      <c r="AL863">
        <v>72.549916414871404</v>
      </c>
      <c r="AM863">
        <v>94.269241015134199</v>
      </c>
      <c r="AN863">
        <v>0.99999999412485097</v>
      </c>
    </row>
    <row r="864" spans="1:40" x14ac:dyDescent="0.25">
      <c r="A864" t="str">
        <f>"20190304164113361"</f>
        <v>20190304164113361</v>
      </c>
      <c r="B864" t="str">
        <f>"1551688873352129"</f>
        <v>1551688873352129</v>
      </c>
      <c r="C864" t="s">
        <v>40</v>
      </c>
      <c r="D864">
        <v>4.2014120000000004</v>
      </c>
      <c r="E864">
        <v>0.57131519999999902</v>
      </c>
      <c r="F864" t="s">
        <v>43</v>
      </c>
      <c r="G864">
        <v>-300.89999999999998</v>
      </c>
      <c r="H864">
        <v>-0.05</v>
      </c>
      <c r="I864">
        <v>364.53519999999997</v>
      </c>
      <c r="J864">
        <v>-333.68699999999899</v>
      </c>
      <c r="K864">
        <v>1.109939</v>
      </c>
      <c r="L864">
        <v>367.3929</v>
      </c>
      <c r="M864">
        <v>0.99988940000000004</v>
      </c>
      <c r="N864">
        <v>-1.3492870000000001E-2</v>
      </c>
      <c r="O864">
        <v>-6.2609600000000003E-3</v>
      </c>
      <c r="P864">
        <v>0.95573710000000001</v>
      </c>
      <c r="Q864">
        <v>0.28691620000000001</v>
      </c>
      <c r="R864">
        <v>6.51616E-2</v>
      </c>
      <c r="S864">
        <v>3.1916500000000001</v>
      </c>
      <c r="T864">
        <v>-0.1121887</v>
      </c>
      <c r="U864">
        <v>-0.27655030000000003</v>
      </c>
      <c r="V864">
        <v>-7.0916270000000003E-2</v>
      </c>
      <c r="W864">
        <v>0.29983389999999999</v>
      </c>
      <c r="X864">
        <v>0.95135190000000003</v>
      </c>
      <c r="Y864">
        <v>8.0018210000000006E-2</v>
      </c>
      <c r="Z864">
        <v>-1.80912E-3</v>
      </c>
      <c r="AA864">
        <v>0.99679180000000001</v>
      </c>
      <c r="AB864">
        <v>37</v>
      </c>
      <c r="AC864">
        <v>32.7869999999999</v>
      </c>
      <c r="AD864">
        <v>-1.1599389999999901</v>
      </c>
      <c r="AE864">
        <v>-2.8577000000000199</v>
      </c>
      <c r="AF864">
        <v>2.6490566296354099</v>
      </c>
      <c r="AG864">
        <v>-1.1599389999999901</v>
      </c>
      <c r="AH864">
        <v>32.763553010301003</v>
      </c>
      <c r="AI864">
        <v>92.021024951676097</v>
      </c>
      <c r="AJ864">
        <v>85.377475973531403</v>
      </c>
      <c r="AK864">
        <v>32.890931354547199</v>
      </c>
      <c r="AL864">
        <v>72.552372253572599</v>
      </c>
      <c r="AM864">
        <v>94.263093491112798</v>
      </c>
      <c r="AN864">
        <v>0.99999996128676505</v>
      </c>
    </row>
    <row r="865" spans="1:40" x14ac:dyDescent="0.25">
      <c r="A865" t="str">
        <f>"20190304164113372"</f>
        <v>20190304164113372</v>
      </c>
      <c r="B865" t="str">
        <f>"1551688873361890"</f>
        <v>1551688873361890</v>
      </c>
      <c r="C865" t="s">
        <v>40</v>
      </c>
      <c r="D865">
        <v>4.2037630000000004</v>
      </c>
      <c r="E865">
        <v>0.57132320000000003</v>
      </c>
      <c r="F865" t="s">
        <v>43</v>
      </c>
      <c r="G865">
        <v>-300.98110000000003</v>
      </c>
      <c r="H865">
        <v>-0.05</v>
      </c>
      <c r="I865">
        <v>364.5421</v>
      </c>
      <c r="J865">
        <v>-333.5059</v>
      </c>
      <c r="K865">
        <v>1.1099600000000001</v>
      </c>
      <c r="L865">
        <v>367.39170000000001</v>
      </c>
      <c r="M865">
        <v>0.99988900000000003</v>
      </c>
      <c r="N865">
        <v>-1.3492830000000001E-2</v>
      </c>
      <c r="O865">
        <v>-6.3328129999999996E-3</v>
      </c>
      <c r="P865">
        <v>0.9557774</v>
      </c>
      <c r="Q865">
        <v>0.28680209999999901</v>
      </c>
      <c r="R865">
        <v>6.5071879999999999E-2</v>
      </c>
      <c r="S865">
        <v>3.1919249999999999</v>
      </c>
      <c r="T865">
        <v>-0.1132041</v>
      </c>
      <c r="U865">
        <v>-0.2782288</v>
      </c>
      <c r="V865">
        <v>-7.0917240000000006E-2</v>
      </c>
      <c r="W865">
        <v>0.29971520000000001</v>
      </c>
      <c r="X865">
        <v>0.95138929999999999</v>
      </c>
      <c r="Y865">
        <v>8.0458050000000003E-2</v>
      </c>
      <c r="Z865">
        <v>-1.8288919999999999E-3</v>
      </c>
      <c r="AA865">
        <v>0.99675630000000004</v>
      </c>
      <c r="AB865">
        <v>37</v>
      </c>
      <c r="AC865">
        <v>32.5247999999999</v>
      </c>
      <c r="AD865">
        <v>-1.1599600000000001</v>
      </c>
      <c r="AE865">
        <v>-2.8496000000000001</v>
      </c>
      <c r="AF865">
        <v>2.6402180958411599</v>
      </c>
      <c r="AG865">
        <v>-1.1599600000000001</v>
      </c>
      <c r="AH865">
        <v>32.501171603947</v>
      </c>
      <c r="AI865">
        <v>92.0373014008008</v>
      </c>
      <c r="AJ865">
        <v>85.355800908715906</v>
      </c>
      <c r="AK865">
        <v>32.628858613571197</v>
      </c>
      <c r="AL865">
        <v>72.559502321476103</v>
      </c>
      <c r="AM865">
        <v>94.262984616524307</v>
      </c>
      <c r="AN865">
        <v>1.00000002809737</v>
      </c>
    </row>
    <row r="866" spans="1:40" x14ac:dyDescent="0.25">
      <c r="A866" t="str">
        <f>"20190304164113383"</f>
        <v>20190304164113383</v>
      </c>
      <c r="B866" t="str">
        <f>"1551688873371649"</f>
        <v>1551688873371649</v>
      </c>
      <c r="C866" t="s">
        <v>40</v>
      </c>
      <c r="D866">
        <v>4.1882950000000001</v>
      </c>
      <c r="E866">
        <v>0.57132669999999997</v>
      </c>
      <c r="F866" t="s">
        <v>43</v>
      </c>
      <c r="G866">
        <v>-301.08080000000001</v>
      </c>
      <c r="H866">
        <v>-0.05</v>
      </c>
      <c r="I866">
        <v>364.5575</v>
      </c>
      <c r="J866">
        <v>-333.32690000000002</v>
      </c>
      <c r="K866">
        <v>1.1099859999999999</v>
      </c>
      <c r="L866">
        <v>367.39049999999997</v>
      </c>
      <c r="M866">
        <v>0.99988860000000002</v>
      </c>
      <c r="N866">
        <v>-1.3492779999999999E-2</v>
      </c>
      <c r="O866">
        <v>-6.3997899999999998E-3</v>
      </c>
      <c r="P866">
        <v>0.95577400000000001</v>
      </c>
      <c r="Q866">
        <v>0.28681699999999999</v>
      </c>
      <c r="R866">
        <v>6.5055859999999993E-2</v>
      </c>
      <c r="S866">
        <v>3.1921390000000001</v>
      </c>
      <c r="T866">
        <v>-0.1141942</v>
      </c>
      <c r="U866">
        <v>-0.2790222</v>
      </c>
      <c r="V866">
        <v>-7.0985510000000002E-2</v>
      </c>
      <c r="W866">
        <v>0.29972520000000002</v>
      </c>
      <c r="X866">
        <v>0.95138100000000003</v>
      </c>
      <c r="Y866">
        <v>8.0630250000000001E-2</v>
      </c>
      <c r="Z866">
        <v>-1.8420369999999999E-3</v>
      </c>
      <c r="AA866">
        <v>0.99674240000000003</v>
      </c>
      <c r="AB866">
        <v>37</v>
      </c>
      <c r="AC866">
        <v>32.246099999999998</v>
      </c>
      <c r="AD866">
        <v>-1.159986</v>
      </c>
      <c r="AE866">
        <v>-2.83299999999997</v>
      </c>
      <c r="AF866">
        <v>2.6231864056037302</v>
      </c>
      <c r="AG866">
        <v>-1.159986</v>
      </c>
      <c r="AH866">
        <v>32.222194013979703</v>
      </c>
      <c r="AI866">
        <v>92.054942196039704</v>
      </c>
      <c r="AJ866">
        <v>85.345854073117806</v>
      </c>
      <c r="AK866">
        <v>32.349597547933797</v>
      </c>
      <c r="AL866">
        <v>72.558900755865494</v>
      </c>
      <c r="AM866">
        <v>94.267110408631197</v>
      </c>
      <c r="AN866">
        <v>0.999999972652999</v>
      </c>
    </row>
    <row r="867" spans="1:40" x14ac:dyDescent="0.25">
      <c r="A867" t="str">
        <f>"20190304164113393"</f>
        <v>20190304164113393</v>
      </c>
      <c r="B867" t="str">
        <f>"1551688873382386"</f>
        <v>1551688873382386</v>
      </c>
      <c r="C867" t="s">
        <v>40</v>
      </c>
      <c r="D867">
        <v>4.1903499999999996</v>
      </c>
      <c r="E867">
        <v>0.57133420000000001</v>
      </c>
      <c r="F867" t="s">
        <v>43</v>
      </c>
      <c r="G867">
        <v>-301.01929999999999</v>
      </c>
      <c r="H867">
        <v>-0.05</v>
      </c>
      <c r="I867">
        <v>364.56200000000001</v>
      </c>
      <c r="J867">
        <v>-333.15530000000001</v>
      </c>
      <c r="K867">
        <v>1.110012</v>
      </c>
      <c r="L867">
        <v>367.38929999999999</v>
      </c>
      <c r="M867">
        <v>0.99988829999999995</v>
      </c>
      <c r="N867">
        <v>-1.349267E-2</v>
      </c>
      <c r="O867">
        <v>-6.4426170000000003E-3</v>
      </c>
      <c r="P867">
        <v>0.95580209999999999</v>
      </c>
      <c r="Q867">
        <v>0.2866783</v>
      </c>
      <c r="R867">
        <v>6.5255850000000004E-2</v>
      </c>
      <c r="S867">
        <v>3.1922299999999999</v>
      </c>
      <c r="T867">
        <v>-0.1146153</v>
      </c>
      <c r="U867">
        <v>-0.27948000000000001</v>
      </c>
      <c r="V867">
        <v>-7.1246069999999995E-2</v>
      </c>
      <c r="W867">
        <v>0.29958230000000002</v>
      </c>
      <c r="X867">
        <v>0.95140650000000004</v>
      </c>
      <c r="Y867">
        <v>8.0726450000000005E-2</v>
      </c>
      <c r="Z867">
        <v>-1.847872E-3</v>
      </c>
      <c r="AA867">
        <v>0.99673460000000003</v>
      </c>
      <c r="AB867">
        <v>37</v>
      </c>
      <c r="AC867">
        <v>32.136000000000003</v>
      </c>
      <c r="AD867">
        <v>-1.160012</v>
      </c>
      <c r="AE867">
        <v>-2.8273000000000299</v>
      </c>
      <c r="AF867">
        <v>2.6167990655192002</v>
      </c>
      <c r="AG867">
        <v>-1.160012</v>
      </c>
      <c r="AH867">
        <v>32.112029504479999</v>
      </c>
      <c r="AI867">
        <v>92.062018647110506</v>
      </c>
      <c r="AJ867">
        <v>85.341279147154196</v>
      </c>
      <c r="AK867">
        <v>32.239350242925802</v>
      </c>
      <c r="AL867">
        <v>72.567482138732004</v>
      </c>
      <c r="AM867">
        <v>94.282600769403501</v>
      </c>
      <c r="AN867">
        <v>0.99999994260298997</v>
      </c>
    </row>
    <row r="868" spans="1:40" x14ac:dyDescent="0.25">
      <c r="A868" t="str">
        <f>"20190304164113403"</f>
        <v>20190304164113403</v>
      </c>
      <c r="B868" t="str">
        <f>"1551688873392145"</f>
        <v>1551688873392145</v>
      </c>
      <c r="C868" t="s">
        <v>40</v>
      </c>
      <c r="D868">
        <v>4.1985710000000003</v>
      </c>
      <c r="E868">
        <v>0.57133129999999999</v>
      </c>
      <c r="F868" t="s">
        <v>43</v>
      </c>
      <c r="G868">
        <v>-300.92680000000001</v>
      </c>
      <c r="H868">
        <v>-0.05</v>
      </c>
      <c r="I868">
        <v>364.5693</v>
      </c>
      <c r="J868">
        <v>-332.98910000000001</v>
      </c>
      <c r="K868">
        <v>1.110036</v>
      </c>
      <c r="L868">
        <v>367.38819999999998</v>
      </c>
      <c r="M868">
        <v>0.99988790000000005</v>
      </c>
      <c r="N868">
        <v>-1.3492550000000001E-2</v>
      </c>
      <c r="O868">
        <v>-6.4804619999999898E-3</v>
      </c>
      <c r="P868">
        <v>0.95574349999999997</v>
      </c>
      <c r="Q868">
        <v>0.28680519999999998</v>
      </c>
      <c r="R868">
        <v>6.5554979999999999E-2</v>
      </c>
      <c r="S868">
        <v>3.1922299999999999</v>
      </c>
      <c r="T868">
        <v>-0.1148989</v>
      </c>
      <c r="U868">
        <v>-0.2793274</v>
      </c>
      <c r="V868">
        <v>-7.1598869999999995E-2</v>
      </c>
      <c r="W868">
        <v>0.29970419999999998</v>
      </c>
      <c r="X868">
        <v>0.95134169999999996</v>
      </c>
      <c r="Y868">
        <v>8.0641229999999994E-2</v>
      </c>
      <c r="Z868">
        <v>-1.847918E-3</v>
      </c>
      <c r="AA868">
        <v>0.99674149999999995</v>
      </c>
      <c r="AB868">
        <v>37</v>
      </c>
      <c r="AC868">
        <v>32.062299999999901</v>
      </c>
      <c r="AD868">
        <v>-1.1600360000000001</v>
      </c>
      <c r="AE868">
        <v>-2.8188999999999802</v>
      </c>
      <c r="AF868">
        <v>2.6076560020663</v>
      </c>
      <c r="AG868">
        <v>-1.1600360000000001</v>
      </c>
      <c r="AH868">
        <v>32.038278304190101</v>
      </c>
      <c r="AI868">
        <v>92.066820304431801</v>
      </c>
      <c r="AJ868">
        <v>85.346845323362302</v>
      </c>
      <c r="AK868">
        <v>32.165149308578499</v>
      </c>
      <c r="AL868">
        <v>72.560162760363198</v>
      </c>
      <c r="AM868">
        <v>94.304020136120002</v>
      </c>
      <c r="AN868">
        <v>1.0000000179209001</v>
      </c>
    </row>
    <row r="869" spans="1:40" x14ac:dyDescent="0.25">
      <c r="A869" t="str">
        <f>"20190304164113414"</f>
        <v>20190304164113414</v>
      </c>
      <c r="B869" t="str">
        <f>"1551688873401906"</f>
        <v>1551688873401906</v>
      </c>
      <c r="C869" t="s">
        <v>40</v>
      </c>
      <c r="D869">
        <v>4.1993169999999997</v>
      </c>
      <c r="E869">
        <v>0.57132869999999902</v>
      </c>
      <c r="F869" t="s">
        <v>43</v>
      </c>
      <c r="G869">
        <v>-300.54520000000002</v>
      </c>
      <c r="H869">
        <v>-0.05</v>
      </c>
      <c r="I869">
        <v>364.55579999999998</v>
      </c>
      <c r="J869">
        <v>-332.80799999999999</v>
      </c>
      <c r="K869">
        <v>1.1100570000000001</v>
      </c>
      <c r="L869">
        <v>367.387</v>
      </c>
      <c r="M869">
        <v>0.99988790000000005</v>
      </c>
      <c r="N869">
        <v>-1.349235E-2</v>
      </c>
      <c r="O869">
        <v>-6.5065160000000004E-3</v>
      </c>
      <c r="P869">
        <v>0.95572319999999999</v>
      </c>
      <c r="Q869">
        <v>0.28677049999999998</v>
      </c>
      <c r="R869">
        <v>6.6001509999999999E-2</v>
      </c>
      <c r="S869">
        <v>3.192291</v>
      </c>
      <c r="T869">
        <v>-0.11414059999999999</v>
      </c>
      <c r="U869">
        <v>-0.2786865</v>
      </c>
      <c r="V869">
        <v>-7.2087449999999997E-2</v>
      </c>
      <c r="W869">
        <v>0.299664599999999</v>
      </c>
      <c r="X869">
        <v>0.95131730000000003</v>
      </c>
      <c r="Y869">
        <v>8.0415990000000007E-2</v>
      </c>
      <c r="Z869">
        <v>-1.8337550000000001E-3</v>
      </c>
      <c r="AA869">
        <v>0.99675970000000003</v>
      </c>
      <c r="AB869">
        <v>37</v>
      </c>
      <c r="AC869">
        <v>32.262799999999999</v>
      </c>
      <c r="AD869">
        <v>-1.1600569999999999</v>
      </c>
      <c r="AE869">
        <v>-2.83119999999996</v>
      </c>
      <c r="AF869">
        <v>2.6178438803574098</v>
      </c>
      <c r="AG869">
        <v>-1.1600569999999999</v>
      </c>
      <c r="AH869">
        <v>32.2391773630182</v>
      </c>
      <c r="AI869">
        <v>92.054020778158105</v>
      </c>
      <c r="AJ869">
        <v>85.357727546105394</v>
      </c>
      <c r="AK869">
        <v>32.366084036678302</v>
      </c>
      <c r="AL869">
        <v>72.5625413613067</v>
      </c>
      <c r="AM869">
        <v>94.333389355735903</v>
      </c>
      <c r="AN869">
        <v>1.0000000391099699</v>
      </c>
    </row>
    <row r="870" spans="1:40" x14ac:dyDescent="0.25">
      <c r="A870" t="str">
        <f>"20190304164113425"</f>
        <v>20190304164113425</v>
      </c>
      <c r="B870" t="str">
        <f>"1551688873411666"</f>
        <v>1551688873411666</v>
      </c>
      <c r="C870" t="s">
        <v>40</v>
      </c>
      <c r="D870">
        <v>4.2045529999999998</v>
      </c>
      <c r="E870">
        <v>0.57133230000000002</v>
      </c>
      <c r="F870" t="s">
        <v>43</v>
      </c>
      <c r="G870">
        <v>-300.3861</v>
      </c>
      <c r="H870">
        <v>-0.05</v>
      </c>
      <c r="I870">
        <v>364.56909999999999</v>
      </c>
      <c r="J870">
        <v>-332.64550000000003</v>
      </c>
      <c r="K870">
        <v>1.1100749999999999</v>
      </c>
      <c r="L870">
        <v>367.38589999999999</v>
      </c>
      <c r="M870">
        <v>0.99988770000000005</v>
      </c>
      <c r="N870">
        <v>-1.349216E-2</v>
      </c>
      <c r="O870">
        <v>-6.5265509999999898E-3</v>
      </c>
      <c r="P870">
        <v>0.95562460000000005</v>
      </c>
      <c r="Q870">
        <v>0.28694019999999998</v>
      </c>
      <c r="R870">
        <v>6.6684930000000003E-2</v>
      </c>
      <c r="S870">
        <v>3.1924130000000002</v>
      </c>
      <c r="T870">
        <v>-0.1142247</v>
      </c>
      <c r="U870">
        <v>-0.27746579999999998</v>
      </c>
      <c r="V870">
        <v>-7.280383E-2</v>
      </c>
      <c r="W870">
        <v>0.29982979999999998</v>
      </c>
      <c r="X870">
        <v>0.95121060000000002</v>
      </c>
      <c r="Y870">
        <v>8.0014719999999998E-2</v>
      </c>
      <c r="Z870">
        <v>-1.8242759999999999E-3</v>
      </c>
      <c r="AA870">
        <v>0.99679200000000001</v>
      </c>
      <c r="AB870">
        <v>37</v>
      </c>
      <c r="AC870">
        <v>32.259399999999999</v>
      </c>
      <c r="AD870">
        <v>-1.160075</v>
      </c>
      <c r="AE870">
        <v>-2.8168000000000002</v>
      </c>
      <c r="AF870">
        <v>2.6028377424860301</v>
      </c>
      <c r="AG870">
        <v>-1.160075</v>
      </c>
      <c r="AH870">
        <v>32.235727243365602</v>
      </c>
      <c r="AI870">
        <v>92.054347703549396</v>
      </c>
      <c r="AJ870">
        <v>85.383731019654206</v>
      </c>
      <c r="AK870">
        <v>32.361437687902601</v>
      </c>
      <c r="AL870">
        <v>72.552618401801396</v>
      </c>
      <c r="AM870">
        <v>94.376775589042396</v>
      </c>
      <c r="AN870">
        <v>0.99999995609153303</v>
      </c>
    </row>
    <row r="871" spans="1:40" x14ac:dyDescent="0.25">
      <c r="A871" t="str">
        <f>"20190304164113435"</f>
        <v>20190304164113435</v>
      </c>
      <c r="B871" t="str">
        <f>"1551688873422402"</f>
        <v>1551688873422402</v>
      </c>
      <c r="C871" t="s">
        <v>40</v>
      </c>
      <c r="D871">
        <v>4.2097769999999999</v>
      </c>
      <c r="E871">
        <v>0.57133869999999998</v>
      </c>
      <c r="F871" t="s">
        <v>43</v>
      </c>
      <c r="G871">
        <v>-299.9787</v>
      </c>
      <c r="H871">
        <v>-0.05</v>
      </c>
      <c r="I871">
        <v>364.565</v>
      </c>
      <c r="J871">
        <v>-332.48</v>
      </c>
      <c r="K871">
        <v>1.1100989999999999</v>
      </c>
      <c r="L871">
        <v>367.38479999999998</v>
      </c>
      <c r="M871">
        <v>0.99988759999999999</v>
      </c>
      <c r="N871">
        <v>-1.3491960000000001E-2</v>
      </c>
      <c r="O871">
        <v>-6.5381629999999996E-3</v>
      </c>
      <c r="P871">
        <v>0.95552859999999995</v>
      </c>
      <c r="Q871">
        <v>0.28710960000000002</v>
      </c>
      <c r="R871">
        <v>6.7330319999999999E-2</v>
      </c>
      <c r="S871">
        <v>3.192596</v>
      </c>
      <c r="T871">
        <v>-0.1133764</v>
      </c>
      <c r="U871">
        <v>-0.27569579999999999</v>
      </c>
      <c r="V871">
        <v>-7.3472930000000006E-2</v>
      </c>
      <c r="W871">
        <v>0.2999945</v>
      </c>
      <c r="X871">
        <v>0.95110729999999999</v>
      </c>
      <c r="Y871">
        <v>7.9451049999999995E-2</v>
      </c>
      <c r="Z871">
        <v>-1.8012879999999901E-3</v>
      </c>
      <c r="AA871">
        <v>0.99683710000000003</v>
      </c>
      <c r="AB871">
        <v>37</v>
      </c>
      <c r="AC871">
        <v>32.501300000000001</v>
      </c>
      <c r="AD871">
        <v>-1.160099</v>
      </c>
      <c r="AE871">
        <v>-2.8197999999999799</v>
      </c>
      <c r="AF871">
        <v>2.60392881055279</v>
      </c>
      <c r="AG871">
        <v>-1.160099</v>
      </c>
      <c r="AH871">
        <v>32.477973552290003</v>
      </c>
      <c r="AI871">
        <v>92.039172511443397</v>
      </c>
      <c r="AJ871">
        <v>85.416103117886294</v>
      </c>
      <c r="AK871">
        <v>32.602837928675399</v>
      </c>
      <c r="AL871">
        <v>72.542727827507406</v>
      </c>
      <c r="AM871">
        <v>94.417319494325298</v>
      </c>
      <c r="AN871">
        <v>1.00000003379316</v>
      </c>
    </row>
    <row r="872" spans="1:40" x14ac:dyDescent="0.25">
      <c r="A872" t="str">
        <f>"20190304164113445"</f>
        <v>20190304164113445</v>
      </c>
      <c r="B872" t="str">
        <f>"1551688873432162"</f>
        <v>1551688873432162</v>
      </c>
      <c r="C872" t="s">
        <v>40</v>
      </c>
      <c r="D872">
        <v>4.1726150000000004</v>
      </c>
      <c r="E872">
        <v>0.57127790000000001</v>
      </c>
      <c r="F872" t="s">
        <v>43</v>
      </c>
      <c r="G872">
        <v>-299.82490000000001</v>
      </c>
      <c r="H872">
        <v>-0.05</v>
      </c>
      <c r="I872">
        <v>364.58249999999998</v>
      </c>
      <c r="J872">
        <v>-332.31119999999999</v>
      </c>
      <c r="K872">
        <v>1.1101179999999999</v>
      </c>
      <c r="L872">
        <v>367.38369999999998</v>
      </c>
      <c r="M872">
        <v>0.99988759999999999</v>
      </c>
      <c r="N872">
        <v>-1.349172E-2</v>
      </c>
      <c r="O872">
        <v>-6.5477640000000002E-3</v>
      </c>
      <c r="P872">
        <v>0.95553460000000001</v>
      </c>
      <c r="Q872">
        <v>0.28688780000000003</v>
      </c>
      <c r="R872">
        <v>6.8183499999999994E-2</v>
      </c>
      <c r="S872">
        <v>3.1930540000000001</v>
      </c>
      <c r="T872">
        <v>-0.1134357</v>
      </c>
      <c r="U872">
        <v>-0.27401730000000002</v>
      </c>
      <c r="V872">
        <v>-7.4347789999999997E-2</v>
      </c>
      <c r="W872">
        <v>0.29977019999999999</v>
      </c>
      <c r="X872">
        <v>0.95111000000000001</v>
      </c>
      <c r="Y872">
        <v>7.8909480000000004E-2</v>
      </c>
      <c r="Z872">
        <v>-1.7882690000000001E-3</v>
      </c>
      <c r="AA872">
        <v>0.99688019999999999</v>
      </c>
      <c r="AB872">
        <v>37</v>
      </c>
      <c r="AC872">
        <v>32.4862999999999</v>
      </c>
      <c r="AD872">
        <v>-1.160118</v>
      </c>
      <c r="AE872">
        <v>-2.8011999999999899</v>
      </c>
      <c r="AF872">
        <v>2.5851355365003901</v>
      </c>
      <c r="AG872">
        <v>-1.160118</v>
      </c>
      <c r="AH872">
        <v>32.462853206442396</v>
      </c>
      <c r="AI872">
        <v>92.040242540259896</v>
      </c>
      <c r="AJ872">
        <v>85.446936090595898</v>
      </c>
      <c r="AK872">
        <v>32.586279901501896</v>
      </c>
      <c r="AL872">
        <v>72.556198658523599</v>
      </c>
      <c r="AM872">
        <v>94.469693059015</v>
      </c>
      <c r="AN872">
        <v>0.99999999939296202</v>
      </c>
    </row>
    <row r="873" spans="1:40" x14ac:dyDescent="0.25">
      <c r="A873" t="str">
        <f>"20190304164113455"</f>
        <v>20190304164113455</v>
      </c>
      <c r="B873" t="str">
        <f>"1551688873441921"</f>
        <v>1551688873441921</v>
      </c>
      <c r="C873" t="s">
        <v>40</v>
      </c>
      <c r="D873">
        <v>4.1585669999999997</v>
      </c>
      <c r="E873">
        <v>0.57122269999999997</v>
      </c>
      <c r="F873" t="s">
        <v>43</v>
      </c>
      <c r="G873">
        <v>-299.67079999999999</v>
      </c>
      <c r="H873">
        <v>-0.05</v>
      </c>
      <c r="I873">
        <v>364.60849999999999</v>
      </c>
      <c r="J873">
        <v>-332.13040000000001</v>
      </c>
      <c r="K873">
        <v>1.110136</v>
      </c>
      <c r="L873">
        <v>367.38249999999999</v>
      </c>
      <c r="M873">
        <v>0.99988759999999999</v>
      </c>
      <c r="N873">
        <v>-1.3491339999999999E-2</v>
      </c>
      <c r="O873">
        <v>-6.5520300000000004E-3</v>
      </c>
      <c r="P873">
        <v>0.95534350000000001</v>
      </c>
      <c r="Q873">
        <v>0.28726499999999999</v>
      </c>
      <c r="R873">
        <v>6.926657E-2</v>
      </c>
      <c r="S873">
        <v>3.1930540000000001</v>
      </c>
      <c r="T873">
        <v>-0.1134889</v>
      </c>
      <c r="U873">
        <v>-0.27148440000000001</v>
      </c>
      <c r="V873">
        <v>-7.5445570000000003E-2</v>
      </c>
      <c r="W873">
        <v>0.3001414</v>
      </c>
      <c r="X873">
        <v>0.95090649999999999</v>
      </c>
      <c r="Y873">
        <v>7.8120780000000001E-2</v>
      </c>
      <c r="Z873">
        <v>-1.769409E-3</v>
      </c>
      <c r="AA873">
        <v>0.99694229999999995</v>
      </c>
      <c r="AB873">
        <v>37</v>
      </c>
      <c r="AC873">
        <v>32.459600000000002</v>
      </c>
      <c r="AD873">
        <v>-1.1601360000000001</v>
      </c>
      <c r="AE873">
        <v>-2.774</v>
      </c>
      <c r="AF873">
        <v>2.55800089888228</v>
      </c>
      <c r="AG873">
        <v>-1.1601360000000001</v>
      </c>
      <c r="AH873">
        <v>32.435946422368303</v>
      </c>
      <c r="AI873">
        <v>92.042089023015905</v>
      </c>
      <c r="AJ873">
        <v>85.490807061266196</v>
      </c>
      <c r="AK873">
        <v>32.557332575810399</v>
      </c>
      <c r="AL873">
        <v>72.533904462353107</v>
      </c>
      <c r="AM873">
        <v>94.536383375305306</v>
      </c>
      <c r="AN873">
        <v>1.0000000328844101</v>
      </c>
    </row>
    <row r="874" spans="1:40" x14ac:dyDescent="0.25">
      <c r="A874" t="str">
        <f>"20190304164113468"</f>
        <v>20190304164113468</v>
      </c>
      <c r="B874" t="str">
        <f>"1551688873462417"</f>
        <v>1551688873462417</v>
      </c>
      <c r="C874" t="s">
        <v>40</v>
      </c>
      <c r="D874">
        <v>4.2492890000000001</v>
      </c>
      <c r="E874">
        <v>0.57121149999999998</v>
      </c>
      <c r="F874" t="s">
        <v>43</v>
      </c>
      <c r="G874">
        <v>-298.91770000000002</v>
      </c>
      <c r="H874">
        <v>-0.05</v>
      </c>
      <c r="I874">
        <v>364.59840000000003</v>
      </c>
      <c r="J874">
        <v>-331.93699999999899</v>
      </c>
      <c r="K874">
        <v>1.1101570000000001</v>
      </c>
      <c r="L874">
        <v>367.38119999999998</v>
      </c>
      <c r="M874">
        <v>0.99988770000000005</v>
      </c>
      <c r="N874">
        <v>-1.34908999999999E-2</v>
      </c>
      <c r="O874">
        <v>-6.5539269999999898E-3</v>
      </c>
      <c r="P874">
        <v>0.95524849999999994</v>
      </c>
      <c r="Q874">
        <v>0.28732770000000002</v>
      </c>
      <c r="R874">
        <v>7.0310709999999998E-2</v>
      </c>
      <c r="S874">
        <v>3.193146</v>
      </c>
      <c r="T874">
        <v>-0.1115379</v>
      </c>
      <c r="U874">
        <v>-0.26766970000000001</v>
      </c>
      <c r="V874">
        <v>-7.6501440000000004E-2</v>
      </c>
      <c r="W874">
        <v>0.30020010000000003</v>
      </c>
      <c r="X874">
        <v>0.95080359999999997</v>
      </c>
      <c r="Y874">
        <v>7.6936740000000003E-2</v>
      </c>
      <c r="Z874">
        <v>-1.7208939999999999E-3</v>
      </c>
      <c r="AA874">
        <v>0.99703450000000005</v>
      </c>
      <c r="AB874">
        <v>37</v>
      </c>
      <c r="AC874">
        <v>33.019299999999902</v>
      </c>
      <c r="AD874">
        <v>-1.1601569999999899</v>
      </c>
      <c r="AE874">
        <v>-2.7827999999999502</v>
      </c>
      <c r="AF874">
        <v>2.5631725159431098</v>
      </c>
      <c r="AG874">
        <v>-1.1601569999999899</v>
      </c>
      <c r="AH874">
        <v>32.996383257499303</v>
      </c>
      <c r="AI874">
        <v>92.007654055275196</v>
      </c>
      <c r="AJ874">
        <v>85.558160519711294</v>
      </c>
      <c r="AK874">
        <v>33.116115800119402</v>
      </c>
      <c r="AL874">
        <v>72.530378520258907</v>
      </c>
      <c r="AM874">
        <v>94.600095721318695</v>
      </c>
      <c r="AN874">
        <v>1.0000000280675201</v>
      </c>
    </row>
    <row r="875" spans="1:40" x14ac:dyDescent="0.25">
      <c r="A875" t="str">
        <f>"20190304164113479"</f>
        <v>20190304164113479</v>
      </c>
      <c r="B875" t="str">
        <f>"1551688873472178"</f>
        <v>1551688873472178</v>
      </c>
      <c r="C875" t="s">
        <v>40</v>
      </c>
      <c r="D875">
        <v>4.2354510000000003</v>
      </c>
      <c r="E875">
        <v>0.57121809999999995</v>
      </c>
      <c r="F875" t="s">
        <v>43</v>
      </c>
      <c r="G875">
        <v>-298.93049999999999</v>
      </c>
      <c r="H875">
        <v>-0.05</v>
      </c>
      <c r="I875">
        <v>364.6499</v>
      </c>
      <c r="J875">
        <v>-331.75189999999998</v>
      </c>
      <c r="K875">
        <v>1.1101700000000001</v>
      </c>
      <c r="L875">
        <v>367.37990000000002</v>
      </c>
      <c r="M875">
        <v>0.99988759999999999</v>
      </c>
      <c r="N875">
        <v>-1.3490419999999999E-2</v>
      </c>
      <c r="O875">
        <v>-6.5534819999999898E-3</v>
      </c>
      <c r="P875">
        <v>0.95508749999999998</v>
      </c>
      <c r="Q875">
        <v>0.2876341</v>
      </c>
      <c r="R875">
        <v>7.1236220000000003E-2</v>
      </c>
      <c r="S875">
        <v>3.1937869999999999</v>
      </c>
      <c r="T875">
        <v>-0.1122594</v>
      </c>
      <c r="U875">
        <v>-0.26428220000000002</v>
      </c>
      <c r="V875">
        <v>-7.7433989999999994E-2</v>
      </c>
      <c r="W875">
        <v>0.30050159999999998</v>
      </c>
      <c r="X875">
        <v>0.95063279999999994</v>
      </c>
      <c r="Y875">
        <v>7.5870519999999997E-2</v>
      </c>
      <c r="Z875">
        <v>-1.7019730000000001E-3</v>
      </c>
      <c r="AA875">
        <v>0.99711620000000001</v>
      </c>
      <c r="AB875">
        <v>37</v>
      </c>
      <c r="AC875">
        <v>32.821399999999898</v>
      </c>
      <c r="AD875">
        <v>-1.1601699999999999</v>
      </c>
      <c r="AE875">
        <v>-2.7300000000000102</v>
      </c>
      <c r="AF875">
        <v>2.5117105844071599</v>
      </c>
      <c r="AG875">
        <v>-1.1601699999999999</v>
      </c>
      <c r="AH875">
        <v>32.797888978938602</v>
      </c>
      <c r="AI875">
        <v>92.019987104379894</v>
      </c>
      <c r="AJ875">
        <v>85.620752596166994</v>
      </c>
      <c r="AK875">
        <v>32.9143768885803</v>
      </c>
      <c r="AL875">
        <v>72.512266727847503</v>
      </c>
      <c r="AM875">
        <v>94.656758528379498</v>
      </c>
      <c r="AN875">
        <v>0.99999997742285995</v>
      </c>
    </row>
    <row r="876" spans="1:40" x14ac:dyDescent="0.25">
      <c r="A876" t="str">
        <f>"20190304164113489"</f>
        <v>20190304164113489</v>
      </c>
      <c r="B876" t="str">
        <f>"1551688873481937"</f>
        <v>1551688873481937</v>
      </c>
      <c r="C876" t="s">
        <v>40</v>
      </c>
      <c r="D876">
        <v>4.2378130000000001</v>
      </c>
      <c r="E876">
        <v>0.57123020000000002</v>
      </c>
      <c r="F876" t="s">
        <v>43</v>
      </c>
      <c r="G876">
        <v>-298.54239999999999</v>
      </c>
      <c r="H876">
        <v>-0.05</v>
      </c>
      <c r="I876">
        <v>364.6585</v>
      </c>
      <c r="J876">
        <v>-331.57139999999998</v>
      </c>
      <c r="K876">
        <v>1.1101760000000001</v>
      </c>
      <c r="L876">
        <v>367.37880000000001</v>
      </c>
      <c r="M876">
        <v>0.99988759999999999</v>
      </c>
      <c r="N876">
        <v>-1.348835E-2</v>
      </c>
      <c r="O876">
        <v>-6.5515169999999998E-3</v>
      </c>
      <c r="P876">
        <v>0.95498899999999998</v>
      </c>
      <c r="Q876">
        <v>0.28770990000000002</v>
      </c>
      <c r="R876">
        <v>7.2244509999999998E-2</v>
      </c>
      <c r="S876">
        <v>3.1941830000000002</v>
      </c>
      <c r="T876">
        <v>-0.1115881</v>
      </c>
      <c r="U876">
        <v>-0.26174930000000002</v>
      </c>
      <c r="V876">
        <v>-7.8447050000000004E-2</v>
      </c>
      <c r="W876">
        <v>0.30057209999999901</v>
      </c>
      <c r="X876">
        <v>0.95052749999999997</v>
      </c>
      <c r="Y876">
        <v>7.5078210000000006E-2</v>
      </c>
      <c r="Z876">
        <v>-1.676061E-3</v>
      </c>
      <c r="AA876">
        <v>0.99717619999999896</v>
      </c>
      <c r="AB876">
        <v>37</v>
      </c>
      <c r="AC876">
        <v>33.029000000000003</v>
      </c>
      <c r="AD876">
        <v>-1.1601760000000001</v>
      </c>
      <c r="AE876">
        <v>-2.7202999999999999</v>
      </c>
      <c r="AF876">
        <v>2.5007671297547698</v>
      </c>
      <c r="AG876">
        <v>-1.1601760000000001</v>
      </c>
      <c r="AH876">
        <v>33.0056655858182</v>
      </c>
      <c r="AI876">
        <v>92.0074153264584</v>
      </c>
      <c r="AJ876">
        <v>85.667102758875998</v>
      </c>
      <c r="AK876">
        <v>33.120594882204401</v>
      </c>
      <c r="AL876">
        <v>72.508032491621194</v>
      </c>
      <c r="AM876">
        <v>94.717929407029004</v>
      </c>
      <c r="AN876">
        <v>1.0000000276041801</v>
      </c>
    </row>
    <row r="877" spans="1:40" x14ac:dyDescent="0.25">
      <c r="A877" t="str">
        <f>"20190304164113501"</f>
        <v>20190304164113501</v>
      </c>
      <c r="B877" t="str">
        <f>"1551688873491698"</f>
        <v>1551688873491698</v>
      </c>
      <c r="C877" t="s">
        <v>40</v>
      </c>
      <c r="D877">
        <v>4.2325210000000002</v>
      </c>
      <c r="E877">
        <v>0.57119690000000001</v>
      </c>
      <c r="F877" t="s">
        <v>43</v>
      </c>
      <c r="G877">
        <v>-298.41329999999999</v>
      </c>
      <c r="H877">
        <v>-0.05</v>
      </c>
      <c r="I877">
        <v>364.69869999999997</v>
      </c>
      <c r="J877">
        <v>-331.37630000000001</v>
      </c>
      <c r="K877">
        <v>1.1101890000000001</v>
      </c>
      <c r="L877">
        <v>367.3775</v>
      </c>
      <c r="M877">
        <v>0.99988770000000005</v>
      </c>
      <c r="N877">
        <v>-1.3485479999999999E-2</v>
      </c>
      <c r="O877">
        <v>-6.5491890000000004E-3</v>
      </c>
      <c r="P877">
        <v>0.95496619999999999</v>
      </c>
      <c r="Q877">
        <v>0.2876204</v>
      </c>
      <c r="R877">
        <v>7.2899710000000006E-2</v>
      </c>
      <c r="S877">
        <v>3.1946110000000001</v>
      </c>
      <c r="T877">
        <v>-0.11177670000000001</v>
      </c>
      <c r="U877">
        <v>-0.25820920000000003</v>
      </c>
      <c r="V877">
        <v>-7.9107159999999996E-2</v>
      </c>
      <c r="W877">
        <v>0.30047800000000002</v>
      </c>
      <c r="X877">
        <v>0.95050250000000003</v>
      </c>
      <c r="Y877">
        <v>7.3972650000000001E-2</v>
      </c>
      <c r="Z877">
        <v>-1.6509210000000001E-3</v>
      </c>
      <c r="AA877">
        <v>0.99725889999999995</v>
      </c>
      <c r="AB877">
        <v>37</v>
      </c>
      <c r="AC877">
        <v>32.963000000000001</v>
      </c>
      <c r="AD877">
        <v>-1.1601889999999999</v>
      </c>
      <c r="AE877">
        <v>-2.6788000000000198</v>
      </c>
      <c r="AF877">
        <v>2.45981476205997</v>
      </c>
      <c r="AG877">
        <v>-1.1601889999999999</v>
      </c>
      <c r="AH877">
        <v>32.939300755054298</v>
      </c>
      <c r="AI877">
        <v>92.011642953038006</v>
      </c>
      <c r="AJ877">
        <v>85.729238717804407</v>
      </c>
      <c r="AK877">
        <v>33.051388191894297</v>
      </c>
      <c r="AL877">
        <v>72.513684597858997</v>
      </c>
      <c r="AM877">
        <v>94.757572551262797</v>
      </c>
      <c r="AN877">
        <v>0.99999998687675695</v>
      </c>
    </row>
    <row r="878" spans="1:40" x14ac:dyDescent="0.25">
      <c r="A878" t="str">
        <f>"20190304164113513"</f>
        <v>20190304164113513</v>
      </c>
      <c r="B878" t="str">
        <f>"1551688873502434"</f>
        <v>1551688873502434</v>
      </c>
      <c r="C878" t="s">
        <v>40</v>
      </c>
      <c r="D878">
        <v>4.2362109999999999</v>
      </c>
      <c r="E878">
        <v>0.57124629999999998</v>
      </c>
      <c r="F878" t="s">
        <v>43</v>
      </c>
      <c r="G878">
        <v>-298.52730000000003</v>
      </c>
      <c r="H878">
        <v>-0.05</v>
      </c>
      <c r="I878">
        <v>364.75279999999998</v>
      </c>
      <c r="J878">
        <v>-331.1936</v>
      </c>
      <c r="K878">
        <v>1.110196</v>
      </c>
      <c r="L878">
        <v>367.37630000000001</v>
      </c>
      <c r="M878">
        <v>0.99988770000000005</v>
      </c>
      <c r="N878">
        <v>-1.3480860000000001E-2</v>
      </c>
      <c r="O878">
        <v>-6.5461829999999997E-3</v>
      </c>
      <c r="P878">
        <v>0.95493110000000003</v>
      </c>
      <c r="Q878">
        <v>0.28760360000000001</v>
      </c>
      <c r="R878">
        <v>7.3423329999999995E-2</v>
      </c>
      <c r="S878">
        <v>3.1949160000000001</v>
      </c>
      <c r="T878">
        <v>-0.1128408</v>
      </c>
      <c r="U878">
        <v>-0.25527949999999999</v>
      </c>
      <c r="V878">
        <v>-7.9632599999999998E-2</v>
      </c>
      <c r="W878">
        <v>0.30045480000000002</v>
      </c>
      <c r="X878">
        <v>0.95046600000000003</v>
      </c>
      <c r="Y878">
        <v>7.3059170000000007E-2</v>
      </c>
      <c r="Z878">
        <v>-1.638551E-3</v>
      </c>
      <c r="AA878">
        <v>0.9973263</v>
      </c>
      <c r="AB878">
        <v>37</v>
      </c>
      <c r="AC878">
        <v>32.6662999999999</v>
      </c>
      <c r="AD878">
        <v>-1.160196</v>
      </c>
      <c r="AE878">
        <v>-2.6235000000000301</v>
      </c>
      <c r="AF878">
        <v>2.4065685054828601</v>
      </c>
      <c r="AG878">
        <v>-1.160196</v>
      </c>
      <c r="AH878">
        <v>32.641863905415697</v>
      </c>
      <c r="AI878">
        <v>92.030112584548306</v>
      </c>
      <c r="AJ878">
        <v>85.7834148318952</v>
      </c>
      <c r="AK878">
        <v>32.7510138156008</v>
      </c>
      <c r="AL878">
        <v>72.515078990669295</v>
      </c>
      <c r="AM878">
        <v>94.789209524172605</v>
      </c>
      <c r="AN878">
        <v>1.00000002749089</v>
      </c>
    </row>
    <row r="879" spans="1:40" x14ac:dyDescent="0.25">
      <c r="A879" t="str">
        <f>"20190304164113526"</f>
        <v>20190304164113526</v>
      </c>
      <c r="B879" t="str">
        <f>"1551688873512194"</f>
        <v>1551688873512194</v>
      </c>
      <c r="C879" t="s">
        <v>40</v>
      </c>
      <c r="D879">
        <v>4.2464069999999996</v>
      </c>
      <c r="E879">
        <v>0.57127499999999998</v>
      </c>
      <c r="F879" t="s">
        <v>43</v>
      </c>
      <c r="G879">
        <v>-298.61020000000002</v>
      </c>
      <c r="H879">
        <v>-0.05</v>
      </c>
      <c r="I879">
        <v>364.79079999999999</v>
      </c>
      <c r="J879">
        <v>-330.97059999999999</v>
      </c>
      <c r="K879">
        <v>1.110204</v>
      </c>
      <c r="L879">
        <v>367.37479999999999</v>
      </c>
      <c r="M879">
        <v>0.99988770000000005</v>
      </c>
      <c r="N879">
        <v>-1.3474959999999999E-2</v>
      </c>
      <c r="O879">
        <v>-6.5427990000000002E-3</v>
      </c>
      <c r="P879">
        <v>0.95493229999999996</v>
      </c>
      <c r="Q879">
        <v>0.28754859999999999</v>
      </c>
      <c r="R879">
        <v>7.3619989999999996E-2</v>
      </c>
      <c r="S879">
        <v>3.1953130000000001</v>
      </c>
      <c r="T879">
        <v>-0.1137755</v>
      </c>
      <c r="U879">
        <v>-0.25353999999999999</v>
      </c>
      <c r="V879">
        <v>-7.9831840000000001E-2</v>
      </c>
      <c r="W879">
        <v>0.30039290000000002</v>
      </c>
      <c r="X879">
        <v>0.9504688</v>
      </c>
      <c r="Y879">
        <v>7.2512839999999995E-2</v>
      </c>
      <c r="Z879">
        <v>-1.6336089999999901E-3</v>
      </c>
      <c r="AA879">
        <v>0.99736610000000003</v>
      </c>
      <c r="AB879">
        <v>37</v>
      </c>
      <c r="AC879">
        <v>32.360399999999899</v>
      </c>
      <c r="AD879">
        <v>-1.160204</v>
      </c>
      <c r="AE879">
        <v>-2.5840000000000001</v>
      </c>
      <c r="AF879">
        <v>2.3691717844007498</v>
      </c>
      <c r="AG879">
        <v>-1.160204</v>
      </c>
      <c r="AH879">
        <v>32.335314621559903</v>
      </c>
      <c r="AI879">
        <v>92.049424990574295</v>
      </c>
      <c r="AJ879">
        <v>85.809491264867304</v>
      </c>
      <c r="AK879">
        <v>32.442743717831299</v>
      </c>
      <c r="AL879">
        <v>72.518796481077302</v>
      </c>
      <c r="AM879">
        <v>94.801122058847795</v>
      </c>
      <c r="AN879">
        <v>0.999999978410817</v>
      </c>
    </row>
    <row r="880" spans="1:40" x14ac:dyDescent="0.25">
      <c r="A880" t="str">
        <f>"20190304164113538"</f>
        <v>20190304164113538</v>
      </c>
      <c r="B880" t="str">
        <f>"1551688873531715"</f>
        <v>1551688873531715</v>
      </c>
      <c r="C880" t="s">
        <v>40</v>
      </c>
      <c r="D880">
        <v>4.2457900000000004</v>
      </c>
      <c r="E880">
        <v>0.571279599999999</v>
      </c>
      <c r="F880" t="s">
        <v>43</v>
      </c>
      <c r="G880">
        <v>-298.72719999999998</v>
      </c>
      <c r="H880">
        <v>-0.05</v>
      </c>
      <c r="I880">
        <v>364.82650000000001</v>
      </c>
      <c r="J880">
        <v>-330.76710000000003</v>
      </c>
      <c r="K880">
        <v>1.110206</v>
      </c>
      <c r="L880">
        <v>367.3734</v>
      </c>
      <c r="M880">
        <v>0.999888</v>
      </c>
      <c r="N880">
        <v>-1.3469139999999999E-2</v>
      </c>
      <c r="O880">
        <v>-6.5404E-3</v>
      </c>
      <c r="P880">
        <v>0.95495379999999996</v>
      </c>
      <c r="Q880">
        <v>0.28752899999999998</v>
      </c>
      <c r="R880">
        <v>7.3421699999999895E-2</v>
      </c>
      <c r="S880">
        <v>3.1956790000000002</v>
      </c>
      <c r="T880">
        <v>-0.11498899999999999</v>
      </c>
      <c r="U880">
        <v>-0.2525635</v>
      </c>
      <c r="V880">
        <v>-7.9635360000000002E-2</v>
      </c>
      <c r="W880">
        <v>0.300367</v>
      </c>
      <c r="X880">
        <v>0.95049349999999999</v>
      </c>
      <c r="Y880">
        <v>7.2202520000000006E-2</v>
      </c>
      <c r="Z880">
        <v>-1.6368929999999999E-3</v>
      </c>
      <c r="AA880">
        <v>0.99738870000000002</v>
      </c>
      <c r="AB880">
        <v>37</v>
      </c>
      <c r="AC880">
        <v>32.039900000000003</v>
      </c>
      <c r="AD880">
        <v>-1.1602059999999901</v>
      </c>
      <c r="AE880">
        <v>-2.5468999999999902</v>
      </c>
      <c r="AF880">
        <v>2.33423120581819</v>
      </c>
      <c r="AG880">
        <v>-1.1602059999999901</v>
      </c>
      <c r="AH880">
        <v>32.014158635828103</v>
      </c>
      <c r="AI880">
        <v>92.070023536808705</v>
      </c>
      <c r="AJ880">
        <v>85.829802966900004</v>
      </c>
      <c r="AK880">
        <v>32.120103773876799</v>
      </c>
      <c r="AL880">
        <v>72.520352848694102</v>
      </c>
      <c r="AM880">
        <v>94.789236818822403</v>
      </c>
      <c r="AN880">
        <v>1.00000000939678</v>
      </c>
    </row>
    <row r="881" spans="1:40" x14ac:dyDescent="0.25">
      <c r="A881" t="str">
        <f>"20190304164113551"</f>
        <v>20190304164113551</v>
      </c>
      <c r="B881" t="str">
        <f>"1551688873542450"</f>
        <v>1551688873542450</v>
      </c>
      <c r="C881" t="s">
        <v>40</v>
      </c>
      <c r="D881">
        <v>4.2359369999999998</v>
      </c>
      <c r="E881">
        <v>0.57129229999999998</v>
      </c>
      <c r="F881" t="s">
        <v>43</v>
      </c>
      <c r="G881">
        <v>-299.01249999999999</v>
      </c>
      <c r="H881">
        <v>-0.05</v>
      </c>
      <c r="I881">
        <v>364.86799999999999</v>
      </c>
      <c r="J881">
        <v>-330.57089999999999</v>
      </c>
      <c r="K881">
        <v>1.110209</v>
      </c>
      <c r="L881">
        <v>367.37220000000002</v>
      </c>
      <c r="M881">
        <v>0.999888</v>
      </c>
      <c r="N881">
        <v>-1.346349E-2</v>
      </c>
      <c r="O881">
        <v>-6.5382620000000004E-3</v>
      </c>
      <c r="P881">
        <v>0.95495399999999997</v>
      </c>
      <c r="Q881">
        <v>0.2876322</v>
      </c>
      <c r="R881">
        <v>7.3011699999999999E-2</v>
      </c>
      <c r="S881">
        <v>3.1960449999999998</v>
      </c>
      <c r="T881">
        <v>-0.1167728</v>
      </c>
      <c r="U881">
        <v>-0.25216670000000002</v>
      </c>
      <c r="V881">
        <v>-7.9227160000000005E-2</v>
      </c>
      <c r="W881">
        <v>0.30046390000000001</v>
      </c>
      <c r="X881">
        <v>0.95049700000000004</v>
      </c>
      <c r="Y881">
        <v>7.2071129999999997E-2</v>
      </c>
      <c r="Z881">
        <v>-1.6497629999999901E-3</v>
      </c>
      <c r="AA881">
        <v>0.99739809999999995</v>
      </c>
      <c r="AB881">
        <v>37</v>
      </c>
      <c r="AC881">
        <v>31.558399999999999</v>
      </c>
      <c r="AD881">
        <v>-1.160209</v>
      </c>
      <c r="AE881">
        <v>-2.50419999999996</v>
      </c>
      <c r="AF881">
        <v>2.2947085948177199</v>
      </c>
      <c r="AG881">
        <v>-1.160209</v>
      </c>
      <c r="AH881">
        <v>31.5317488414798</v>
      </c>
      <c r="AI881">
        <v>92.101691420480506</v>
      </c>
      <c r="AJ881">
        <v>85.837663609290004</v>
      </c>
      <c r="AK881">
        <v>31.636418214788101</v>
      </c>
      <c r="AL881">
        <v>72.5145322516981</v>
      </c>
      <c r="AM881">
        <v>94.764783696084294</v>
      </c>
      <c r="AN881">
        <v>1.0000000225469301</v>
      </c>
    </row>
    <row r="882" spans="1:40" x14ac:dyDescent="0.25">
      <c r="A882" t="str">
        <f>"20190304164113564"</f>
        <v>20190304164113564</v>
      </c>
      <c r="B882" t="str">
        <f>"1551688873552210"</f>
        <v>1551688873552210</v>
      </c>
      <c r="C882" t="s">
        <v>40</v>
      </c>
      <c r="D882">
        <v>4.2397689999999999</v>
      </c>
      <c r="E882">
        <v>0.57129059999999998</v>
      </c>
      <c r="F882" t="s">
        <v>43</v>
      </c>
      <c r="G882">
        <v>-298.92680000000001</v>
      </c>
      <c r="H882">
        <v>-0.05</v>
      </c>
      <c r="I882">
        <v>364.86529999999999</v>
      </c>
      <c r="J882">
        <v>-330.34989999999999</v>
      </c>
      <c r="K882">
        <v>1.110215</v>
      </c>
      <c r="L882">
        <v>367.3707</v>
      </c>
      <c r="M882">
        <v>0.999888</v>
      </c>
      <c r="N882">
        <v>-1.3457139999999999E-2</v>
      </c>
      <c r="O882">
        <v>-6.5364769999999997E-3</v>
      </c>
      <c r="P882">
        <v>0.95505399999999996</v>
      </c>
      <c r="Q882">
        <v>0.287354</v>
      </c>
      <c r="R882">
        <v>7.2796349999999996E-2</v>
      </c>
      <c r="S882">
        <v>3.1961979999999999</v>
      </c>
      <c r="T882">
        <v>-0.1171865</v>
      </c>
      <c r="U882">
        <v>-0.25320429999999999</v>
      </c>
      <c r="V882">
        <v>-7.9013840000000002E-2</v>
      </c>
      <c r="W882">
        <v>0.30018010000000001</v>
      </c>
      <c r="X882">
        <v>0.95060440000000002</v>
      </c>
      <c r="Y882">
        <v>7.2390300000000005E-2</v>
      </c>
      <c r="Z882">
        <v>-1.661275E-3</v>
      </c>
      <c r="AA882">
        <v>0.99737500000000001</v>
      </c>
      <c r="AB882">
        <v>37</v>
      </c>
      <c r="AC882">
        <v>31.423099999999899</v>
      </c>
      <c r="AD882">
        <v>-1.160215</v>
      </c>
      <c r="AE882">
        <v>-2.5053999999999998</v>
      </c>
      <c r="AF882">
        <v>2.2968200940444099</v>
      </c>
      <c r="AG882">
        <v>-1.160215</v>
      </c>
      <c r="AH882">
        <v>31.396275625362001</v>
      </c>
      <c r="AI882">
        <v>92.110704469047704</v>
      </c>
      <c r="AJ882">
        <v>85.815934056406405</v>
      </c>
      <c r="AK882">
        <v>31.501549240225099</v>
      </c>
      <c r="AL882">
        <v>72.531579377292402</v>
      </c>
      <c r="AM882">
        <v>94.751478866426297</v>
      </c>
      <c r="AN882">
        <v>1.0000000023234501</v>
      </c>
    </row>
    <row r="883" spans="1:40" x14ac:dyDescent="0.25">
      <c r="A883" t="str">
        <f>"20190304164113578"</f>
        <v>20190304164113578</v>
      </c>
      <c r="B883" t="str">
        <f>"1551688873571729"</f>
        <v>1551688873571729</v>
      </c>
      <c r="C883" t="s">
        <v>40</v>
      </c>
      <c r="D883">
        <v>4.2746940000000002</v>
      </c>
      <c r="E883">
        <v>0.57124629999999998</v>
      </c>
      <c r="F883" t="s">
        <v>43</v>
      </c>
      <c r="G883">
        <v>-298.99009999999998</v>
      </c>
      <c r="H883">
        <v>-0.05</v>
      </c>
      <c r="I883">
        <v>364.87549999999999</v>
      </c>
      <c r="J883">
        <v>-330.10899999999998</v>
      </c>
      <c r="K883">
        <v>1.1102110000000001</v>
      </c>
      <c r="L883">
        <v>367.36919999999998</v>
      </c>
      <c r="M883">
        <v>0.99988840000000001</v>
      </c>
      <c r="N883">
        <v>-1.345033E-2</v>
      </c>
      <c r="O883">
        <v>-6.5355359999999998E-3</v>
      </c>
      <c r="P883">
        <v>0.95506150000000001</v>
      </c>
      <c r="Q883">
        <v>0.2876032</v>
      </c>
      <c r="R883">
        <v>7.1708019999999997E-2</v>
      </c>
      <c r="S883">
        <v>3.1961360000000001</v>
      </c>
      <c r="T883">
        <v>-0.1182469</v>
      </c>
      <c r="U883">
        <v>-0.254303</v>
      </c>
      <c r="V883">
        <v>-7.7926930000000005E-2</v>
      </c>
      <c r="W883">
        <v>0.30042249999999998</v>
      </c>
      <c r="X883">
        <v>0.95061759999999995</v>
      </c>
      <c r="Y883">
        <v>7.2732119999999997E-2</v>
      </c>
      <c r="Z883">
        <v>-1.679449E-3</v>
      </c>
      <c r="AA883">
        <v>0.99735010000000002</v>
      </c>
      <c r="AB883">
        <v>37</v>
      </c>
      <c r="AC883">
        <v>31.1189</v>
      </c>
      <c r="AD883">
        <v>-1.1602110000000001</v>
      </c>
      <c r="AE883">
        <v>-2.4936999999999898</v>
      </c>
      <c r="AF883">
        <v>2.2870908370455001</v>
      </c>
      <c r="AG883">
        <v>-1.1602110000000001</v>
      </c>
      <c r="AH883">
        <v>31.0915917980366</v>
      </c>
      <c r="AI883">
        <v>92.131299347663997</v>
      </c>
      <c r="AJ883">
        <v>85.792912048893896</v>
      </c>
      <c r="AK883">
        <v>31.197178632003801</v>
      </c>
      <c r="AL883">
        <v>72.517019747168106</v>
      </c>
      <c r="AM883">
        <v>94.686346144935399</v>
      </c>
      <c r="AN883">
        <v>1.0000000531776101</v>
      </c>
    </row>
    <row r="884" spans="1:40" x14ac:dyDescent="0.25">
      <c r="A884" t="str">
        <f>"20190304164113590"</f>
        <v>20190304164113590</v>
      </c>
      <c r="B884" t="str">
        <f>"1551688873582466"</f>
        <v>1551688873582466</v>
      </c>
      <c r="C884" t="s">
        <v>40</v>
      </c>
      <c r="D884">
        <v>4.226483</v>
      </c>
      <c r="E884">
        <v>0.57124629999999998</v>
      </c>
      <c r="F884" t="s">
        <v>43</v>
      </c>
      <c r="G884">
        <v>-298.41149999999999</v>
      </c>
      <c r="H884">
        <v>-0.05</v>
      </c>
      <c r="I884">
        <v>364.80149999999998</v>
      </c>
      <c r="J884">
        <v>-329.92290000000003</v>
      </c>
      <c r="K884">
        <v>1.110215</v>
      </c>
      <c r="L884">
        <v>367.36799999999999</v>
      </c>
      <c r="M884">
        <v>0.99988840000000001</v>
      </c>
      <c r="N884">
        <v>-1.3445199999999999E-2</v>
      </c>
      <c r="O884">
        <v>-6.5349869999999999E-3</v>
      </c>
      <c r="P884">
        <v>0.9551347</v>
      </c>
      <c r="Q884">
        <v>0.28750120000000001</v>
      </c>
      <c r="R884">
        <v>7.1140259999999997E-2</v>
      </c>
      <c r="S884">
        <v>3.1958310000000001</v>
      </c>
      <c r="T884">
        <v>-0.1169755</v>
      </c>
      <c r="U884">
        <v>-0.25888060000000002</v>
      </c>
      <c r="V884">
        <v>-7.7360760000000001E-2</v>
      </c>
      <c r="W884">
        <v>0.30031560000000002</v>
      </c>
      <c r="X884">
        <v>0.95069760000000003</v>
      </c>
      <c r="Y884">
        <v>7.4159459999999996E-2</v>
      </c>
      <c r="Z884">
        <v>-1.7031539999999999E-3</v>
      </c>
      <c r="AA884">
        <v>0.99724500000000005</v>
      </c>
      <c r="AB884">
        <v>37</v>
      </c>
      <c r="AC884">
        <v>31.511399999999998</v>
      </c>
      <c r="AD884">
        <v>-1.160215</v>
      </c>
      <c r="AE884">
        <v>-2.5665000000000702</v>
      </c>
      <c r="AF884">
        <v>2.3573254072310901</v>
      </c>
      <c r="AG884">
        <v>-1.160215</v>
      </c>
      <c r="AH884">
        <v>31.485099651395199</v>
      </c>
      <c r="AI884">
        <v>92.104489726436398</v>
      </c>
      <c r="AJ884">
        <v>85.718188391051996</v>
      </c>
      <c r="AK884">
        <v>31.5945340522706</v>
      </c>
      <c r="AL884">
        <v>72.523440891208907</v>
      </c>
      <c r="AM884">
        <v>94.652058216351406</v>
      </c>
      <c r="AN884">
        <v>1.0000000367184401</v>
      </c>
    </row>
    <row r="885" spans="1:40" x14ac:dyDescent="0.25">
      <c r="A885" t="str">
        <f>"20190304164113601"</f>
        <v>20190304164113601</v>
      </c>
      <c r="B885" t="str">
        <f>"1551688873592227"</f>
        <v>1551688873592227</v>
      </c>
      <c r="C885" t="s">
        <v>40</v>
      </c>
      <c r="D885">
        <v>4.2038449999999896</v>
      </c>
      <c r="E885">
        <v>0.55356939999999999</v>
      </c>
      <c r="F885" t="s">
        <v>43</v>
      </c>
      <c r="G885">
        <v>-298.19040000000001</v>
      </c>
      <c r="H885">
        <v>-0.05</v>
      </c>
      <c r="I885">
        <v>364.76569999999998</v>
      </c>
      <c r="J885">
        <v>-329.7439</v>
      </c>
      <c r="K885">
        <v>1.11022</v>
      </c>
      <c r="L885">
        <v>367.36680000000001</v>
      </c>
      <c r="M885">
        <v>0.99988829999999995</v>
      </c>
      <c r="N885">
        <v>-1.3440300000000001E-2</v>
      </c>
      <c r="O885">
        <v>-6.5345639999999997E-3</v>
      </c>
      <c r="P885">
        <v>0.95518420000000004</v>
      </c>
      <c r="Q885">
        <v>0.287435099999999</v>
      </c>
      <c r="R885">
        <v>7.0740189999999994E-2</v>
      </c>
      <c r="S885">
        <v>3.1956180000000001</v>
      </c>
      <c r="T885">
        <v>-0.1168396</v>
      </c>
      <c r="U885">
        <v>-0.26205440000000002</v>
      </c>
      <c r="V885">
        <v>-7.6962260000000005E-2</v>
      </c>
      <c r="W885">
        <v>0.300245599999999</v>
      </c>
      <c r="X885">
        <v>0.95075200000000004</v>
      </c>
      <c r="Y885">
        <v>7.5148359999999997E-2</v>
      </c>
      <c r="Z885">
        <v>-1.7264019999999999E-3</v>
      </c>
      <c r="AA885">
        <v>0.99717089999999997</v>
      </c>
      <c r="AB885">
        <v>37</v>
      </c>
      <c r="AC885">
        <v>31.5534999999999</v>
      </c>
      <c r="AD885">
        <v>-1.16022</v>
      </c>
      <c r="AE885">
        <v>-2.6011000000000299</v>
      </c>
      <c r="AF885">
        <v>2.3916257403916901</v>
      </c>
      <c r="AG885">
        <v>-1.16022</v>
      </c>
      <c r="AH885">
        <v>31.527486456597799</v>
      </c>
      <c r="AI885">
        <v>92.101516604323294</v>
      </c>
      <c r="AJ885">
        <v>85.661940303437405</v>
      </c>
      <c r="AK885">
        <v>31.6393487038128</v>
      </c>
      <c r="AL885">
        <v>72.527644755928094</v>
      </c>
      <c r="AM885">
        <v>94.627935286756198</v>
      </c>
      <c r="AN885">
        <v>0.99999998764383302</v>
      </c>
    </row>
    <row r="886" spans="1:40" x14ac:dyDescent="0.25">
      <c r="A886" t="str">
        <f>"20190304164113611"</f>
        <v>20190304164113611</v>
      </c>
      <c r="B886" t="str">
        <f>"1551688873601987"</f>
        <v>1551688873601987</v>
      </c>
      <c r="C886" t="s">
        <v>40</v>
      </c>
      <c r="D886">
        <v>4.1792509999999998</v>
      </c>
      <c r="E886">
        <v>0.55120690000000006</v>
      </c>
      <c r="F886" t="s">
        <v>43</v>
      </c>
      <c r="G886">
        <v>-290.36930000000001</v>
      </c>
      <c r="H886">
        <v>-0.05</v>
      </c>
      <c r="I886">
        <v>365.82150000000001</v>
      </c>
      <c r="J886">
        <v>-329.57589999999999</v>
      </c>
      <c r="K886">
        <v>1.11022</v>
      </c>
      <c r="L886">
        <v>367.3657</v>
      </c>
      <c r="M886">
        <v>0.99988849999999996</v>
      </c>
      <c r="N886">
        <v>-1.3435920000000001E-2</v>
      </c>
      <c r="O886">
        <v>-6.5345129999999996E-3</v>
      </c>
      <c r="P886">
        <v>0.95521590000000001</v>
      </c>
      <c r="Q886">
        <v>0.28750759999999997</v>
      </c>
      <c r="R886">
        <v>7.0013989999999998E-2</v>
      </c>
      <c r="S886">
        <v>3.1781920000000001</v>
      </c>
      <c r="T886">
        <v>-9.3649270000000007E-2</v>
      </c>
      <c r="U886">
        <v>-0.1247253</v>
      </c>
      <c r="V886">
        <v>-7.6237410000000005E-2</v>
      </c>
      <c r="W886">
        <v>0.30031419999999998</v>
      </c>
      <c r="X886">
        <v>0.95078870000000004</v>
      </c>
      <c r="Y886">
        <v>3.2663240000000003E-2</v>
      </c>
      <c r="Z886">
        <v>-5.9587140000000002E-4</v>
      </c>
      <c r="AA886">
        <v>0.99946619999999997</v>
      </c>
      <c r="AB886">
        <v>37</v>
      </c>
      <c r="AC886">
        <v>39.206599999999902</v>
      </c>
      <c r="AD886">
        <v>-1.16022</v>
      </c>
      <c r="AE886">
        <v>-1.54419999999998</v>
      </c>
      <c r="AF886">
        <v>1.28682274674524</v>
      </c>
      <c r="AG886">
        <v>-1.16022</v>
      </c>
      <c r="AH886">
        <v>39.181595556534901</v>
      </c>
      <c r="AI886">
        <v>91.6951963841137</v>
      </c>
      <c r="AJ886">
        <v>88.118937744448104</v>
      </c>
      <c r="AK886">
        <v>39.219885945599302</v>
      </c>
      <c r="AL886">
        <v>72.523523544145803</v>
      </c>
      <c r="AM886">
        <v>94.584358698353299</v>
      </c>
      <c r="AN886">
        <v>0.99999995672641795</v>
      </c>
    </row>
    <row r="887" spans="1:40" x14ac:dyDescent="0.25">
      <c r="A887" t="str">
        <f>"20190304164113623"</f>
        <v>20190304164113623</v>
      </c>
      <c r="B887" t="str">
        <f>"1551688873611746"</f>
        <v>1551688873611746</v>
      </c>
      <c r="C887" t="s">
        <v>40</v>
      </c>
      <c r="D887">
        <v>4.2267590000000004</v>
      </c>
      <c r="E887">
        <v>0.55049459999999995</v>
      </c>
      <c r="F887" t="s">
        <v>43</v>
      </c>
      <c r="G887">
        <v>-292.03019999999998</v>
      </c>
      <c r="H887">
        <v>-0.05</v>
      </c>
      <c r="I887">
        <v>366.08760000000001</v>
      </c>
      <c r="J887">
        <v>-329.39</v>
      </c>
      <c r="K887">
        <v>1.110222</v>
      </c>
      <c r="L887">
        <v>367.36450000000002</v>
      </c>
      <c r="M887">
        <v>0.99988840000000001</v>
      </c>
      <c r="N887">
        <v>-1.34311E-2</v>
      </c>
      <c r="O887">
        <v>-6.5343390000000001E-3</v>
      </c>
      <c r="P887">
        <v>0.95532379999999995</v>
      </c>
      <c r="Q887">
        <v>0.28722239999999999</v>
      </c>
      <c r="R887">
        <v>6.9711239999999994E-2</v>
      </c>
      <c r="S887">
        <v>3.178131</v>
      </c>
      <c r="T887">
        <v>-9.8209260000000007E-2</v>
      </c>
      <c r="U887">
        <v>-0.1081848</v>
      </c>
      <c r="V887">
        <v>-7.593635E-2</v>
      </c>
      <c r="W887">
        <v>0.3000255</v>
      </c>
      <c r="X887">
        <v>0.95090399999999997</v>
      </c>
      <c r="Y887">
        <v>2.7470999999999999E-2</v>
      </c>
      <c r="Z887">
        <v>-4.9475729999999996E-4</v>
      </c>
      <c r="AA887">
        <v>0.99962249999999997</v>
      </c>
      <c r="AB887">
        <v>37</v>
      </c>
      <c r="AC887">
        <v>37.3598</v>
      </c>
      <c r="AD887">
        <v>-1.1602219999999901</v>
      </c>
      <c r="AE887">
        <v>-1.2769000000000099</v>
      </c>
      <c r="AF887">
        <v>1.03173522173912</v>
      </c>
      <c r="AG887">
        <v>-1.1602219999999901</v>
      </c>
      <c r="AH887">
        <v>37.331385014375002</v>
      </c>
      <c r="AI887">
        <v>91.779443344124601</v>
      </c>
      <c r="AJ887">
        <v>88.416907652672805</v>
      </c>
      <c r="AK887">
        <v>37.363657472851401</v>
      </c>
      <c r="AL887">
        <v>72.540865705807803</v>
      </c>
      <c r="AM887">
        <v>94.565780529710395</v>
      </c>
      <c r="AN887">
        <v>1.00000002355878</v>
      </c>
    </row>
    <row r="888" spans="1:40" x14ac:dyDescent="0.25">
      <c r="A888" t="str">
        <f>"20190304164113636"</f>
        <v>20190304164113636</v>
      </c>
      <c r="B888" t="str">
        <f>"1551688873622482"</f>
        <v>1551688873622482</v>
      </c>
      <c r="C888" t="s">
        <v>40</v>
      </c>
      <c r="D888">
        <v>4.2173489999999996</v>
      </c>
      <c r="E888">
        <v>0.54990790000000001</v>
      </c>
      <c r="F888" t="s">
        <v>43</v>
      </c>
      <c r="G888">
        <v>-291.51240000000001</v>
      </c>
      <c r="H888">
        <v>-0.05</v>
      </c>
      <c r="I888">
        <v>366.1311</v>
      </c>
      <c r="J888">
        <v>-329.209</v>
      </c>
      <c r="K888">
        <v>1.110222</v>
      </c>
      <c r="L888">
        <v>367.36329999999998</v>
      </c>
      <c r="M888">
        <v>0.99988860000000002</v>
      </c>
      <c r="N888">
        <v>-1.342667E-2</v>
      </c>
      <c r="O888">
        <v>-6.5344130000000002E-3</v>
      </c>
      <c r="P888">
        <v>0.95539399999999997</v>
      </c>
      <c r="Q888">
        <v>0.28703390000000001</v>
      </c>
      <c r="R888">
        <v>6.9526660000000004E-2</v>
      </c>
      <c r="S888">
        <v>3.1770939999999999</v>
      </c>
      <c r="T888">
        <v>-9.7316860000000005E-2</v>
      </c>
      <c r="U888">
        <v>-0.10345459999999999</v>
      </c>
      <c r="V888">
        <v>-7.5752520000000004E-2</v>
      </c>
      <c r="W888">
        <v>0.29983340000000003</v>
      </c>
      <c r="X888">
        <v>0.95097920000000002</v>
      </c>
      <c r="Y888">
        <v>2.5996600000000002E-2</v>
      </c>
      <c r="Z888">
        <v>-4.6024569999999999E-4</v>
      </c>
      <c r="AA888">
        <v>0.99966189999999999</v>
      </c>
      <c r="AB888">
        <v>37</v>
      </c>
      <c r="AC888">
        <v>37.696599999999897</v>
      </c>
      <c r="AD888">
        <v>-1.1602219999999901</v>
      </c>
      <c r="AE888">
        <v>-1.23219999999997</v>
      </c>
      <c r="AF888">
        <v>0.98489437826594295</v>
      </c>
      <c r="AG888">
        <v>-1.1602219999999901</v>
      </c>
      <c r="AH888">
        <v>37.668203273124398</v>
      </c>
      <c r="AI888">
        <v>91.763612764447103</v>
      </c>
      <c r="AJ888">
        <v>88.502253037960799</v>
      </c>
      <c r="AK888">
        <v>37.698934598354903</v>
      </c>
      <c r="AL888">
        <v>72.552402537894096</v>
      </c>
      <c r="AM888">
        <v>94.554415395308993</v>
      </c>
      <c r="AN888">
        <v>0.99999997543727404</v>
      </c>
    </row>
    <row r="889" spans="1:40" x14ac:dyDescent="0.25">
      <c r="A889" t="str">
        <f>"20190304164113647"</f>
        <v>20190304164113647</v>
      </c>
      <c r="B889" t="str">
        <f>"1551688873642003"</f>
        <v>1551688873642003</v>
      </c>
      <c r="C889" t="s">
        <v>40</v>
      </c>
      <c r="D889">
        <v>4.2029740000000002</v>
      </c>
      <c r="E889">
        <v>0.5486953</v>
      </c>
      <c r="F889" t="s">
        <v>43</v>
      </c>
      <c r="G889">
        <v>-292.07310000000001</v>
      </c>
      <c r="H889">
        <v>-0.05</v>
      </c>
      <c r="I889">
        <v>366.20400000000001</v>
      </c>
      <c r="J889">
        <v>-328.99759999999998</v>
      </c>
      <c r="K889">
        <v>1.110222</v>
      </c>
      <c r="L889">
        <v>367.36189999999999</v>
      </c>
      <c r="M889">
        <v>0.99988860000000002</v>
      </c>
      <c r="N889">
        <v>-1.342164E-2</v>
      </c>
      <c r="O889">
        <v>-6.5342439999999998E-3</v>
      </c>
      <c r="P889">
        <v>0.95546390000000003</v>
      </c>
      <c r="Q889">
        <v>0.2868368</v>
      </c>
      <c r="R889">
        <v>6.9378449999999994E-2</v>
      </c>
      <c r="S889">
        <v>3.1770939999999999</v>
      </c>
      <c r="T889">
        <v>-9.9260689999999999E-2</v>
      </c>
      <c r="U889">
        <v>-9.9182129999999993E-2</v>
      </c>
      <c r="V889">
        <v>-7.5605610000000004E-2</v>
      </c>
      <c r="W889">
        <v>0.29963240000000002</v>
      </c>
      <c r="X889">
        <v>0.95105430000000002</v>
      </c>
      <c r="Y889">
        <v>2.4654209999999999E-2</v>
      </c>
      <c r="Z889">
        <v>-4.341309E-4</v>
      </c>
      <c r="AA889">
        <v>0.99969600000000003</v>
      </c>
      <c r="AB889">
        <v>37</v>
      </c>
      <c r="AC889">
        <v>36.924499999999902</v>
      </c>
      <c r="AD889">
        <v>-1.1602219999999901</v>
      </c>
      <c r="AE889">
        <v>-1.1578999999999799</v>
      </c>
      <c r="AF889">
        <v>0.91567668769830002</v>
      </c>
      <c r="AG889">
        <v>-1.1602219999999901</v>
      </c>
      <c r="AH889">
        <v>36.894887405025202</v>
      </c>
      <c r="AI889">
        <v>91.800614814442</v>
      </c>
      <c r="AJ889">
        <v>88.578295116372999</v>
      </c>
      <c r="AK889">
        <v>36.924480978277302</v>
      </c>
      <c r="AL889">
        <v>72.564475023775202</v>
      </c>
      <c r="AM889">
        <v>94.545262439877305</v>
      </c>
      <c r="AN889">
        <v>1.00000003247086</v>
      </c>
    </row>
    <row r="890" spans="1:40" x14ac:dyDescent="0.25">
      <c r="A890" t="str">
        <f>"20190304164113657"</f>
        <v>20190304164113657</v>
      </c>
      <c r="B890" t="str">
        <f>"1551688873642003"</f>
        <v>1551688873642003</v>
      </c>
      <c r="C890" t="s">
        <v>40</v>
      </c>
      <c r="D890">
        <v>4.2029740000000002</v>
      </c>
      <c r="E890">
        <v>0.5486953</v>
      </c>
      <c r="F890" t="s">
        <v>43</v>
      </c>
      <c r="G890">
        <v>-292.48320000000001</v>
      </c>
      <c r="H890">
        <v>-0.05</v>
      </c>
      <c r="I890">
        <v>366.32530000000003</v>
      </c>
      <c r="J890">
        <v>-328.82690000000002</v>
      </c>
      <c r="K890">
        <v>1.110222</v>
      </c>
      <c r="L890">
        <v>367.36079999999998</v>
      </c>
      <c r="M890">
        <v>0.99988869999999996</v>
      </c>
      <c r="N890">
        <v>-1.3417750000000001E-2</v>
      </c>
      <c r="O890">
        <v>-6.5343270000000004E-3</v>
      </c>
      <c r="P890">
        <v>0.95549039999999996</v>
      </c>
      <c r="Q890">
        <v>0.28670899999999999</v>
      </c>
      <c r="R890">
        <v>6.9543209999999994E-2</v>
      </c>
      <c r="S890">
        <v>3.1766969999999999</v>
      </c>
      <c r="T890">
        <v>-0.1009375</v>
      </c>
      <c r="U890">
        <v>-9.017944E-2</v>
      </c>
      <c r="V890">
        <v>-7.5770770000000001E-2</v>
      </c>
      <c r="W890">
        <v>0.29950130000000003</v>
      </c>
      <c r="X890">
        <v>0.95108239999999999</v>
      </c>
      <c r="Y890">
        <v>2.1828920000000002E-2</v>
      </c>
      <c r="Z890">
        <v>-3.7330680000000001E-4</v>
      </c>
      <c r="AA890">
        <v>0.99976160000000003</v>
      </c>
      <c r="AB890">
        <v>37</v>
      </c>
      <c r="AC890">
        <v>36.343699999999998</v>
      </c>
      <c r="AD890">
        <v>-1.1602219999999901</v>
      </c>
      <c r="AE890">
        <v>-1.0354999999999499</v>
      </c>
      <c r="AF890">
        <v>0.79716316249187202</v>
      </c>
      <c r="AG890">
        <v>-1.1602219999999901</v>
      </c>
      <c r="AH890">
        <v>36.312713989517498</v>
      </c>
      <c r="AI890">
        <v>91.829585665830805</v>
      </c>
      <c r="AJ890">
        <v>88.742403285855701</v>
      </c>
      <c r="AK890">
        <v>36.339988738047502</v>
      </c>
      <c r="AL890">
        <v>72.572347212370204</v>
      </c>
      <c r="AM890">
        <v>94.555015780833799</v>
      </c>
      <c r="AN890">
        <v>0.99999998493892095</v>
      </c>
    </row>
    <row r="891" spans="1:40" x14ac:dyDescent="0.25">
      <c r="A891" t="str">
        <f>"20190304164113668"</f>
        <v>20190304164113668</v>
      </c>
      <c r="B891" t="str">
        <f>"1551688873662498"</f>
        <v>1551688873662498</v>
      </c>
      <c r="C891" t="s">
        <v>40</v>
      </c>
      <c r="D891">
        <v>4.2270349999999999</v>
      </c>
      <c r="E891">
        <v>0.54823739999999999</v>
      </c>
      <c r="F891" t="s">
        <v>43</v>
      </c>
      <c r="G891">
        <v>-292.50049999999999</v>
      </c>
      <c r="H891">
        <v>-0.05</v>
      </c>
      <c r="I891">
        <v>366.34109999999998</v>
      </c>
      <c r="J891">
        <v>-328.64170000000001</v>
      </c>
      <c r="K891">
        <v>1.110217</v>
      </c>
      <c r="L891">
        <v>367.3596</v>
      </c>
      <c r="M891">
        <v>0.99988869999999996</v>
      </c>
      <c r="N891">
        <v>-1.341377E-2</v>
      </c>
      <c r="O891">
        <v>-6.5342899999999999E-3</v>
      </c>
      <c r="P891">
        <v>0.95549519999999999</v>
      </c>
      <c r="Q891">
        <v>0.28667759999999998</v>
      </c>
      <c r="R891">
        <v>6.9606039999999994E-2</v>
      </c>
      <c r="S891">
        <v>3.1767270000000001</v>
      </c>
      <c r="T891">
        <v>-0.1014611</v>
      </c>
      <c r="U891">
        <v>-8.9172360000000006E-2</v>
      </c>
      <c r="V891">
        <v>-7.5834230000000002E-2</v>
      </c>
      <c r="W891">
        <v>0.29946630000000002</v>
      </c>
      <c r="X891">
        <v>0.95108839999999994</v>
      </c>
      <c r="Y891">
        <v>2.1512110000000001E-2</v>
      </c>
      <c r="Z891">
        <v>-3.6677530000000001E-4</v>
      </c>
      <c r="AA891">
        <v>0.99976849999999995</v>
      </c>
      <c r="AB891">
        <v>37</v>
      </c>
      <c r="AC891">
        <v>36.141199999999998</v>
      </c>
      <c r="AD891">
        <v>-1.1602170000000001</v>
      </c>
      <c r="AE891">
        <v>-1.01850000000001</v>
      </c>
      <c r="AF891">
        <v>0.78149518796088102</v>
      </c>
      <c r="AG891">
        <v>-1.1602170000000001</v>
      </c>
      <c r="AH891">
        <v>36.1099001757675</v>
      </c>
      <c r="AI891">
        <v>91.8398591388207</v>
      </c>
      <c r="AJ891">
        <v>88.760190781134199</v>
      </c>
      <c r="AK891">
        <v>36.136985609203599</v>
      </c>
      <c r="AL891">
        <v>72.574449664984598</v>
      </c>
      <c r="AM891">
        <v>94.558786013204099</v>
      </c>
      <c r="AN891">
        <v>1.0000000199449699</v>
      </c>
    </row>
    <row r="892" spans="1:40" x14ac:dyDescent="0.25">
      <c r="A892" t="str">
        <f>"20190304164113679"</f>
        <v>20190304164113679</v>
      </c>
      <c r="B892" t="str">
        <f>"1551688873672258"</f>
        <v>1551688873672258</v>
      </c>
      <c r="C892" t="s">
        <v>40</v>
      </c>
      <c r="D892">
        <v>4.2390319999999999</v>
      </c>
      <c r="E892">
        <v>0.54816039999999999</v>
      </c>
      <c r="F892" t="s">
        <v>43</v>
      </c>
      <c r="G892">
        <v>-293.06610000000001</v>
      </c>
      <c r="H892">
        <v>-0.05</v>
      </c>
      <c r="I892">
        <v>366.40719999999999</v>
      </c>
      <c r="J892">
        <v>-328.46620000000001</v>
      </c>
      <c r="K892">
        <v>1.1102190000000001</v>
      </c>
      <c r="L892">
        <v>367.35849999999999</v>
      </c>
      <c r="M892">
        <v>0.99988880000000002</v>
      </c>
      <c r="N892">
        <v>-1.3410139999999999E-2</v>
      </c>
      <c r="O892">
        <v>-6.5342580000000003E-3</v>
      </c>
      <c r="P892">
        <v>0.95553730000000003</v>
      </c>
      <c r="Q892">
        <v>0.28649010000000003</v>
      </c>
      <c r="R892">
        <v>6.9799719999999996E-2</v>
      </c>
      <c r="S892">
        <v>3.1770019999999999</v>
      </c>
      <c r="T892">
        <v>-0.1036108</v>
      </c>
      <c r="U892">
        <v>-8.5052489999999994E-2</v>
      </c>
      <c r="V892">
        <v>-7.6028559999999995E-2</v>
      </c>
      <c r="W892">
        <v>0.29927569999999998</v>
      </c>
      <c r="X892">
        <v>0.95113289999999995</v>
      </c>
      <c r="Y892">
        <v>2.021469E-2</v>
      </c>
      <c r="Z892">
        <v>-3.3970639999999998E-4</v>
      </c>
      <c r="AA892">
        <v>0.99979560000000001</v>
      </c>
      <c r="AB892">
        <v>37</v>
      </c>
      <c r="AC892">
        <v>35.400100000000002</v>
      </c>
      <c r="AD892">
        <v>-1.1602189999999999</v>
      </c>
      <c r="AE892">
        <v>-0.95130000000000303</v>
      </c>
      <c r="AF892">
        <v>0.71917356206953997</v>
      </c>
      <c r="AG892">
        <v>-1.1602189999999999</v>
      </c>
      <c r="AH892">
        <v>35.367597505801598</v>
      </c>
      <c r="AI892">
        <v>91.878501853924902</v>
      </c>
      <c r="AJ892">
        <v>88.835093845705501</v>
      </c>
      <c r="AK892">
        <v>35.393929876077998</v>
      </c>
      <c r="AL892">
        <v>72.585895528390097</v>
      </c>
      <c r="AM892">
        <v>94.570205832400902</v>
      </c>
      <c r="AN892">
        <v>1.0000000400042801</v>
      </c>
    </row>
    <row r="893" spans="1:40" x14ac:dyDescent="0.25">
      <c r="A893" t="str">
        <f>"20190304164113690"</f>
        <v>20190304164113690</v>
      </c>
      <c r="B893" t="str">
        <f>"1551688873682018"</f>
        <v>1551688873682018</v>
      </c>
      <c r="C893" t="s">
        <v>40</v>
      </c>
      <c r="D893">
        <v>4.2376719999999999</v>
      </c>
      <c r="E893">
        <v>0.54813889999999998</v>
      </c>
      <c r="F893" t="s">
        <v>43</v>
      </c>
      <c r="G893">
        <v>-292.834</v>
      </c>
      <c r="H893">
        <v>-0.05</v>
      </c>
      <c r="I893">
        <v>366.41989999999998</v>
      </c>
      <c r="J893">
        <v>-328.28699999999998</v>
      </c>
      <c r="K893">
        <v>1.110217</v>
      </c>
      <c r="L893">
        <v>367.35730000000001</v>
      </c>
      <c r="M893">
        <v>0.99988889999999997</v>
      </c>
      <c r="N893">
        <v>-1.3406639999999999E-2</v>
      </c>
      <c r="O893">
        <v>-6.5342269999999897E-3</v>
      </c>
      <c r="P893">
        <v>0.95543990000000001</v>
      </c>
      <c r="Q893">
        <v>0.28672579999999998</v>
      </c>
      <c r="R893">
        <v>7.0166560000000003E-2</v>
      </c>
      <c r="S893">
        <v>3.176758</v>
      </c>
      <c r="T893">
        <v>-0.1034384</v>
      </c>
      <c r="U893">
        <v>-8.3679199999999995E-2</v>
      </c>
      <c r="V893">
        <v>-7.6395119999999997E-2</v>
      </c>
      <c r="W893">
        <v>0.2995063</v>
      </c>
      <c r="X893">
        <v>0.95103090000000001</v>
      </c>
      <c r="Y893">
        <v>1.9785230000000001E-2</v>
      </c>
      <c r="Z893">
        <v>-3.2959489999999998E-4</v>
      </c>
      <c r="AA893">
        <v>0.99980420000000003</v>
      </c>
      <c r="AB893">
        <v>37</v>
      </c>
      <c r="AC893">
        <v>35.452999999999903</v>
      </c>
      <c r="AD893">
        <v>-1.1602170000000001</v>
      </c>
      <c r="AE893">
        <v>-0.93740000000002499</v>
      </c>
      <c r="AF893">
        <v>0.70494680054052405</v>
      </c>
      <c r="AG893">
        <v>-1.1602170000000001</v>
      </c>
      <c r="AH893">
        <v>35.420461409687697</v>
      </c>
      <c r="AI893">
        <v>91.875713306977801</v>
      </c>
      <c r="AJ893">
        <v>88.859835721220904</v>
      </c>
      <c r="AK893">
        <v>35.446468652798998</v>
      </c>
      <c r="AL893">
        <v>72.572047318457606</v>
      </c>
      <c r="AM893">
        <v>94.592636769928205</v>
      </c>
      <c r="AN893">
        <v>1.0000000054271501</v>
      </c>
    </row>
    <row r="894" spans="1:40" x14ac:dyDescent="0.25">
      <c r="A894" t="str">
        <f>"20190304164113700"</f>
        <v>20190304164113700</v>
      </c>
      <c r="B894" t="str">
        <f>"1551688873691778"</f>
        <v>1551688873691778</v>
      </c>
      <c r="C894" t="s">
        <v>40</v>
      </c>
      <c r="D894">
        <v>4.2376889999999996</v>
      </c>
      <c r="E894">
        <v>0.54810429999999999</v>
      </c>
      <c r="F894" t="s">
        <v>43</v>
      </c>
      <c r="G894">
        <v>-291.81990000000002</v>
      </c>
      <c r="H894">
        <v>-0.05</v>
      </c>
      <c r="I894">
        <v>366.41329999999999</v>
      </c>
      <c r="J894">
        <v>-328.10939999999999</v>
      </c>
      <c r="K894">
        <v>1.110217</v>
      </c>
      <c r="L894">
        <v>367.35610000000003</v>
      </c>
      <c r="M894">
        <v>0.99988880000000002</v>
      </c>
      <c r="N894">
        <v>-1.340324E-2</v>
      </c>
      <c r="O894">
        <v>-6.5341979999999997E-3</v>
      </c>
      <c r="P894">
        <v>0.95545659999999999</v>
      </c>
      <c r="Q894">
        <v>0.28662720000000003</v>
      </c>
      <c r="R894">
        <v>7.0340559999999996E-2</v>
      </c>
      <c r="S894">
        <v>3.1762700000000001</v>
      </c>
      <c r="T894">
        <v>-0.1010544</v>
      </c>
      <c r="U894">
        <v>-8.221436E-2</v>
      </c>
      <c r="V894">
        <v>-7.6569559999999995E-2</v>
      </c>
      <c r="W894">
        <v>0.29940440000000001</v>
      </c>
      <c r="X894">
        <v>0.95104900000000003</v>
      </c>
      <c r="Y894">
        <v>1.9329329999999999E-2</v>
      </c>
      <c r="Z894">
        <v>-3.1673090000000002E-4</v>
      </c>
      <c r="AA894">
        <v>0.99981310000000001</v>
      </c>
      <c r="AB894">
        <v>37</v>
      </c>
      <c r="AC894">
        <v>36.289499999999897</v>
      </c>
      <c r="AD894">
        <v>-1.1602170000000001</v>
      </c>
      <c r="AE894">
        <v>-0.94280000000003295</v>
      </c>
      <c r="AF894">
        <v>0.70491573699781296</v>
      </c>
      <c r="AG894">
        <v>-1.1602170000000001</v>
      </c>
      <c r="AH894">
        <v>36.257850023147597</v>
      </c>
      <c r="AI894">
        <v>91.832439471094204</v>
      </c>
      <c r="AJ894">
        <v>88.8862105986355</v>
      </c>
      <c r="AK894">
        <v>36.283256441290099</v>
      </c>
      <c r="AL894">
        <v>72.578167304228998</v>
      </c>
      <c r="AM894">
        <v>94.6029913177548</v>
      </c>
      <c r="AN894">
        <v>1.00000004632947</v>
      </c>
    </row>
    <row r="895" spans="1:40" x14ac:dyDescent="0.25">
      <c r="A895" t="str">
        <f>"20190304164113712"</f>
        <v>20190304164113712</v>
      </c>
      <c r="B895" t="str">
        <f>"1551688873702514"</f>
        <v>1551688873702514</v>
      </c>
      <c r="C895" t="s">
        <v>40</v>
      </c>
      <c r="D895">
        <v>4.24125</v>
      </c>
      <c r="E895">
        <v>0.54815130000000001</v>
      </c>
      <c r="F895" t="s">
        <v>43</v>
      </c>
      <c r="G895">
        <v>-292.0548</v>
      </c>
      <c r="H895">
        <v>-0.05</v>
      </c>
      <c r="I895">
        <v>366.43599999999998</v>
      </c>
      <c r="J895">
        <v>-327.93</v>
      </c>
      <c r="K895">
        <v>1.110217</v>
      </c>
      <c r="L895">
        <v>367.35489999999999</v>
      </c>
      <c r="M895">
        <v>0.99988880000000002</v>
      </c>
      <c r="N895">
        <v>-1.34E-2</v>
      </c>
      <c r="O895">
        <v>-6.5342899999999999E-3</v>
      </c>
      <c r="P895">
        <v>0.95544030000000002</v>
      </c>
      <c r="Q895">
        <v>0.28660150000000001</v>
      </c>
      <c r="R895">
        <v>7.0666800000000002E-2</v>
      </c>
      <c r="S895">
        <v>3.1765140000000001</v>
      </c>
      <c r="T895">
        <v>-0.1022184</v>
      </c>
      <c r="U895">
        <v>-8.1054689999999999E-2</v>
      </c>
      <c r="V895">
        <v>-7.6896350000000002E-2</v>
      </c>
      <c r="W895">
        <v>0.29937580000000003</v>
      </c>
      <c r="X895">
        <v>0.95103159999999998</v>
      </c>
      <c r="Y895">
        <v>1.8962529999999998E-2</v>
      </c>
      <c r="Z895">
        <v>-3.094576E-4</v>
      </c>
      <c r="AA895">
        <v>0.99982020000000005</v>
      </c>
      <c r="AB895">
        <v>37</v>
      </c>
      <c r="AC895">
        <v>35.8752</v>
      </c>
      <c r="AD895">
        <v>-1.1602170000000001</v>
      </c>
      <c r="AE895">
        <v>-0.91890000000000704</v>
      </c>
      <c r="AF895">
        <v>0.68372571499785495</v>
      </c>
      <c r="AG895">
        <v>-1.1602170000000001</v>
      </c>
      <c r="AH895">
        <v>35.8429753151702</v>
      </c>
      <c r="AI895">
        <v>91.8536479079538</v>
      </c>
      <c r="AJ895">
        <v>88.907182037315295</v>
      </c>
      <c r="AK895">
        <v>35.8682654136542</v>
      </c>
      <c r="AL895">
        <v>72.5798841099665</v>
      </c>
      <c r="AM895">
        <v>94.622635601500306</v>
      </c>
      <c r="AN895">
        <v>1.0000000112337599</v>
      </c>
    </row>
    <row r="896" spans="1:40" x14ac:dyDescent="0.25">
      <c r="A896" t="str">
        <f>"20190304164113724"</f>
        <v>20190304164113724</v>
      </c>
      <c r="B896" t="str">
        <f>"1551688873712275"</f>
        <v>1551688873712275</v>
      </c>
      <c r="C896" t="s">
        <v>40</v>
      </c>
      <c r="D896">
        <v>4.2548139999999997</v>
      </c>
      <c r="E896">
        <v>0.54813909999999999</v>
      </c>
      <c r="F896" t="s">
        <v>43</v>
      </c>
      <c r="G896">
        <v>-291.78539999999998</v>
      </c>
      <c r="H896">
        <v>-0.05</v>
      </c>
      <c r="I896">
        <v>366.44200000000001</v>
      </c>
      <c r="J896">
        <v>-327.72910000000002</v>
      </c>
      <c r="K896">
        <v>1.1102190000000001</v>
      </c>
      <c r="L896">
        <v>367.35359999999997</v>
      </c>
      <c r="M896">
        <v>0.99988900000000003</v>
      </c>
      <c r="N896">
        <v>-1.3396450000000001E-2</v>
      </c>
      <c r="O896">
        <v>-6.5346170000000004E-3</v>
      </c>
      <c r="P896">
        <v>0.95538449999999997</v>
      </c>
      <c r="Q896">
        <v>0.28678969999999998</v>
      </c>
      <c r="R896">
        <v>7.0657150000000002E-2</v>
      </c>
      <c r="S896">
        <v>3.1764220000000001</v>
      </c>
      <c r="T896">
        <v>-0.101961</v>
      </c>
      <c r="U896">
        <v>-8.0230709999999997E-2</v>
      </c>
      <c r="V896">
        <v>-7.6886239999999995E-2</v>
      </c>
      <c r="W896">
        <v>0.29955959999999998</v>
      </c>
      <c r="X896">
        <v>0.95097449999999994</v>
      </c>
      <c r="Y896">
        <v>1.8703979999999999E-2</v>
      </c>
      <c r="Z896">
        <v>-3.0327819999999999E-4</v>
      </c>
      <c r="AA896">
        <v>0.99982499999999996</v>
      </c>
      <c r="AB896">
        <v>37</v>
      </c>
      <c r="AC896">
        <v>35.9437</v>
      </c>
      <c r="AD896">
        <v>-1.1602189999999999</v>
      </c>
      <c r="AE896">
        <v>-0.91160000000002095</v>
      </c>
      <c r="AF896">
        <v>0.67597730039693005</v>
      </c>
      <c r="AG896">
        <v>-1.1602189999999999</v>
      </c>
      <c r="AH896">
        <v>35.911497069316702</v>
      </c>
      <c r="AI896">
        <v>91.850125491260002</v>
      </c>
      <c r="AJ896">
        <v>88.921624657052206</v>
      </c>
      <c r="AK896">
        <v>35.9365924260795</v>
      </c>
      <c r="AL896">
        <v>72.568845920644407</v>
      </c>
      <c r="AM896">
        <v>94.622306791926704</v>
      </c>
      <c r="AN896">
        <v>0.99999997375187299</v>
      </c>
    </row>
    <row r="897" spans="1:40" x14ac:dyDescent="0.25">
      <c r="A897" t="str">
        <f>"20190304164113735"</f>
        <v>20190304164113735</v>
      </c>
      <c r="B897" t="str">
        <f>"1551688873722034"</f>
        <v>1551688873722034</v>
      </c>
      <c r="C897" t="s">
        <v>40</v>
      </c>
      <c r="D897">
        <v>4.2623470000000001</v>
      </c>
      <c r="E897">
        <v>0.54814200000000002</v>
      </c>
      <c r="F897" t="s">
        <v>43</v>
      </c>
      <c r="G897">
        <v>-291.29669999999999</v>
      </c>
      <c r="H897">
        <v>-0.05</v>
      </c>
      <c r="I897">
        <v>366.43509999999998</v>
      </c>
      <c r="J897">
        <v>-327.53899999999999</v>
      </c>
      <c r="K897">
        <v>1.1102240000000001</v>
      </c>
      <c r="L897">
        <v>367.35239999999999</v>
      </c>
      <c r="M897">
        <v>0.99988900000000003</v>
      </c>
      <c r="N897">
        <v>-1.339329E-2</v>
      </c>
      <c r="O897">
        <v>-6.5345910000000002E-3</v>
      </c>
      <c r="P897">
        <v>0.95533270000000003</v>
      </c>
      <c r="Q897">
        <v>0.28695199999999998</v>
      </c>
      <c r="R897">
        <v>7.0698399999999995E-2</v>
      </c>
      <c r="S897">
        <v>3.1764220000000001</v>
      </c>
      <c r="T897">
        <v>-0.1011558</v>
      </c>
      <c r="U897">
        <v>-8.0078129999999997E-2</v>
      </c>
      <c r="V897">
        <v>-7.6928010000000005E-2</v>
      </c>
      <c r="W897">
        <v>0.2997184</v>
      </c>
      <c r="X897">
        <v>0.95092109999999996</v>
      </c>
      <c r="Y897">
        <v>1.8656200000000001E-2</v>
      </c>
      <c r="Z897">
        <v>-3.0143379999999999E-4</v>
      </c>
      <c r="AA897">
        <v>0.99982590000000005</v>
      </c>
      <c r="AB897">
        <v>37</v>
      </c>
      <c r="AC897">
        <v>36.2423</v>
      </c>
      <c r="AD897">
        <v>-1.1602239999999999</v>
      </c>
      <c r="AE897">
        <v>-0.917300000000011</v>
      </c>
      <c r="AF897">
        <v>0.67973440433007803</v>
      </c>
      <c r="AG897">
        <v>-1.1602239999999999</v>
      </c>
      <c r="AH897">
        <v>36.210434968445099</v>
      </c>
      <c r="AI897">
        <v>91.834871810103294</v>
      </c>
      <c r="AJ897">
        <v>88.924582403542502</v>
      </c>
      <c r="AK897">
        <v>36.235393735884799</v>
      </c>
      <c r="AL897">
        <v>72.559309422325398</v>
      </c>
      <c r="AM897">
        <v>94.625065647241698</v>
      </c>
      <c r="AN897">
        <v>0.99999998822316405</v>
      </c>
    </row>
    <row r="898" spans="1:40" x14ac:dyDescent="0.25">
      <c r="A898" t="str">
        <f>"20190304164113749"</f>
        <v>20190304164113749</v>
      </c>
      <c r="B898" t="str">
        <f>"1551688873742530"</f>
        <v>1551688873742530</v>
      </c>
      <c r="C898" t="s">
        <v>40</v>
      </c>
      <c r="D898">
        <v>4.2578430000000003</v>
      </c>
      <c r="E898">
        <v>0.54815859999999905</v>
      </c>
      <c r="F898" t="s">
        <v>43</v>
      </c>
      <c r="G898">
        <v>-291.32389999999998</v>
      </c>
      <c r="H898">
        <v>-0.05</v>
      </c>
      <c r="I898">
        <v>366.4436</v>
      </c>
      <c r="J898">
        <v>-327.33139999999997</v>
      </c>
      <c r="K898">
        <v>1.1102270000000001</v>
      </c>
      <c r="L898">
        <v>367.351</v>
      </c>
      <c r="M898">
        <v>0.99988909999999998</v>
      </c>
      <c r="N898">
        <v>-1.3390000000000001E-2</v>
      </c>
      <c r="O898">
        <v>-6.5345639999999997E-3</v>
      </c>
      <c r="P898">
        <v>0.95528449999999998</v>
      </c>
      <c r="Q898">
        <v>0.28711490000000001</v>
      </c>
      <c r="R898">
        <v>7.0686639999999995E-2</v>
      </c>
      <c r="S898">
        <v>3.1767270000000001</v>
      </c>
      <c r="T898">
        <v>-0.1017729</v>
      </c>
      <c r="U898">
        <v>-7.9711909999999997E-2</v>
      </c>
      <c r="V898">
        <v>-7.6915380000000005E-2</v>
      </c>
      <c r="W898">
        <v>0.29987709999999901</v>
      </c>
      <c r="X898">
        <v>0.9508721</v>
      </c>
      <c r="Y898">
        <v>1.8538590000000001E-2</v>
      </c>
      <c r="Z898">
        <v>-2.9924520000000003E-4</v>
      </c>
      <c r="AA898">
        <v>0.9998281</v>
      </c>
      <c r="AB898">
        <v>37</v>
      </c>
      <c r="AC898">
        <v>36.007499999999901</v>
      </c>
      <c r="AD898">
        <v>-1.1602269999999999</v>
      </c>
      <c r="AE898">
        <v>-0.90739999999999499</v>
      </c>
      <c r="AF898">
        <v>0.67136963400425997</v>
      </c>
      <c r="AG898">
        <v>-1.1602269999999999</v>
      </c>
      <c r="AH898">
        <v>35.975333560934097</v>
      </c>
      <c r="AI898">
        <v>91.846863117933097</v>
      </c>
      <c r="AJ898">
        <v>88.930873515864207</v>
      </c>
      <c r="AK898">
        <v>36.000298452894299</v>
      </c>
      <c r="AL898">
        <v>72.549778395147897</v>
      </c>
      <c r="AM898">
        <v>94.624546864634596</v>
      </c>
      <c r="AN898">
        <v>1.00000000067168</v>
      </c>
    </row>
    <row r="899" spans="1:40" x14ac:dyDescent="0.25">
      <c r="A899" t="str">
        <f>"20190304164113762"</f>
        <v>20190304164113762</v>
      </c>
      <c r="B899" t="str">
        <f>"1551688873752289"</f>
        <v>1551688873752289</v>
      </c>
      <c r="C899" t="s">
        <v>40</v>
      </c>
      <c r="D899">
        <v>4.2736419999999997</v>
      </c>
      <c r="E899">
        <v>0.54818350000000005</v>
      </c>
      <c r="F899" t="s">
        <v>43</v>
      </c>
      <c r="G899">
        <v>-290.94889999999998</v>
      </c>
      <c r="H899">
        <v>-0.05</v>
      </c>
      <c r="I899">
        <v>366.4357</v>
      </c>
      <c r="J899">
        <v>-327.11770000000001</v>
      </c>
      <c r="K899">
        <v>1.1102289999999999</v>
      </c>
      <c r="L899">
        <v>367.34960000000001</v>
      </c>
      <c r="M899">
        <v>0.99988900000000003</v>
      </c>
      <c r="N899">
        <v>-1.3386749999999999E-2</v>
      </c>
      <c r="O899">
        <v>-6.5345389999999998E-3</v>
      </c>
      <c r="P899">
        <v>0.95518530000000001</v>
      </c>
      <c r="Q899">
        <v>0.28748079999999998</v>
      </c>
      <c r="R899">
        <v>7.0539589999999999E-2</v>
      </c>
      <c r="S899">
        <v>3.1768489999999998</v>
      </c>
      <c r="T899">
        <v>-0.10130889999999999</v>
      </c>
      <c r="U899">
        <v>-7.9925540000000003E-2</v>
      </c>
      <c r="V899">
        <v>-7.6767950000000001E-2</v>
      </c>
      <c r="W899">
        <v>0.30023830000000001</v>
      </c>
      <c r="X899">
        <v>0.95077</v>
      </c>
      <c r="Y899">
        <v>1.8604889999999999E-2</v>
      </c>
      <c r="Z899">
        <v>-3.0029219999999998E-4</v>
      </c>
      <c r="AA899">
        <v>0.99982680000000002</v>
      </c>
      <c r="AB899">
        <v>37</v>
      </c>
      <c r="AC899">
        <v>36.168799999999997</v>
      </c>
      <c r="AD899">
        <v>-1.160229</v>
      </c>
      <c r="AE899">
        <v>-0.91390000000001204</v>
      </c>
      <c r="AF899">
        <v>0.67681685406354997</v>
      </c>
      <c r="AG899">
        <v>-1.160229</v>
      </c>
      <c r="AH899">
        <v>36.136838684882299</v>
      </c>
      <c r="AI899">
        <v>91.8386155295902</v>
      </c>
      <c r="AJ899">
        <v>88.927016937247402</v>
      </c>
      <c r="AK899">
        <v>36.161793685097997</v>
      </c>
      <c r="AL899">
        <v>72.528082998137606</v>
      </c>
      <c r="AM899">
        <v>94.616214480554305</v>
      </c>
      <c r="AN899">
        <v>0.99999997391704498</v>
      </c>
    </row>
    <row r="900" spans="1:40" x14ac:dyDescent="0.25">
      <c r="A900" t="str">
        <f>"20190304164113773"</f>
        <v>20190304164113773</v>
      </c>
      <c r="B900" t="str">
        <f>"1551688873762050"</f>
        <v>1551688873762050</v>
      </c>
      <c r="C900" t="s">
        <v>40</v>
      </c>
      <c r="D900">
        <v>4.2948040000000001</v>
      </c>
      <c r="E900">
        <v>0.54820190000000002</v>
      </c>
      <c r="F900" t="s">
        <v>43</v>
      </c>
      <c r="G900">
        <v>-290.64760000000001</v>
      </c>
      <c r="H900">
        <v>-0.05</v>
      </c>
      <c r="I900">
        <v>366.42970000000003</v>
      </c>
      <c r="J900">
        <v>-326.93239999999997</v>
      </c>
      <c r="K900">
        <v>1.110231</v>
      </c>
      <c r="L900">
        <v>367.34840000000003</v>
      </c>
      <c r="M900">
        <v>0.99988909999999998</v>
      </c>
      <c r="N900">
        <v>-1.3384129999999999E-2</v>
      </c>
      <c r="O900">
        <v>-6.5345179999999996E-3</v>
      </c>
      <c r="P900">
        <v>0.95519410000000005</v>
      </c>
      <c r="Q900">
        <v>0.2875124</v>
      </c>
      <c r="R900">
        <v>7.0289660000000004E-2</v>
      </c>
      <c r="S900">
        <v>3.1770939999999999</v>
      </c>
      <c r="T900">
        <v>-0.1010731</v>
      </c>
      <c r="U900">
        <v>-8.0139160000000001E-2</v>
      </c>
      <c r="V900">
        <v>-7.6517849999999998E-2</v>
      </c>
      <c r="W900">
        <v>0.30026779999999997</v>
      </c>
      <c r="X900">
        <v>0.95078090000000004</v>
      </c>
      <c r="Y900">
        <v>1.8670160000000002E-2</v>
      </c>
      <c r="Z900">
        <v>-3.0151370000000002E-4</v>
      </c>
      <c r="AA900">
        <v>0.99982570000000004</v>
      </c>
      <c r="AB900">
        <v>37</v>
      </c>
      <c r="AC900">
        <v>36.284799999999898</v>
      </c>
      <c r="AD900">
        <v>-1.160231</v>
      </c>
      <c r="AE900">
        <v>-0.91870000000000096</v>
      </c>
      <c r="AF900">
        <v>0.68085977440151402</v>
      </c>
      <c r="AG900">
        <v>-1.160231</v>
      </c>
      <c r="AH900">
        <v>36.252986077512801</v>
      </c>
      <c r="AI900">
        <v>91.832730381214304</v>
      </c>
      <c r="AJ900">
        <v>88.924066397096496</v>
      </c>
      <c r="AK900">
        <v>36.277936897542801</v>
      </c>
      <c r="AL900">
        <v>72.526311959851895</v>
      </c>
      <c r="AM900">
        <v>94.601187611700794</v>
      </c>
      <c r="AN900">
        <v>1.0000000264451301</v>
      </c>
    </row>
    <row r="901" spans="1:40" x14ac:dyDescent="0.25">
      <c r="A901" t="str">
        <f>"20190304164113784"</f>
        <v>20190304164113784</v>
      </c>
      <c r="B901" t="str">
        <f>"1551688873771810"</f>
        <v>1551688873771810</v>
      </c>
      <c r="C901" t="s">
        <v>40</v>
      </c>
      <c r="D901">
        <v>4.292281</v>
      </c>
      <c r="E901">
        <v>0.54822249999999995</v>
      </c>
      <c r="F901" t="s">
        <v>43</v>
      </c>
      <c r="G901">
        <v>-290.71420000000001</v>
      </c>
      <c r="H901">
        <v>-0.05</v>
      </c>
      <c r="I901">
        <v>366.42829999999998</v>
      </c>
      <c r="J901">
        <v>-326.75259999999997</v>
      </c>
      <c r="K901">
        <v>1.110233</v>
      </c>
      <c r="L901">
        <v>367.34719999999999</v>
      </c>
      <c r="M901">
        <v>0.99988909999999998</v>
      </c>
      <c r="N901">
        <v>-1.338162E-2</v>
      </c>
      <c r="O901">
        <v>-6.534499E-3</v>
      </c>
      <c r="P901">
        <v>0.95527819999999997</v>
      </c>
      <c r="Q901">
        <v>0.2873212</v>
      </c>
      <c r="R901">
        <v>6.9930580000000006E-2</v>
      </c>
      <c r="S901">
        <v>3.1773069999999999</v>
      </c>
      <c r="T901">
        <v>-0.1017835</v>
      </c>
      <c r="U901">
        <v>-8.0718990000000004E-2</v>
      </c>
      <c r="V901">
        <v>-7.6159989999999997E-2</v>
      </c>
      <c r="W901">
        <v>0.3000755</v>
      </c>
      <c r="X901">
        <v>0.95087029999999995</v>
      </c>
      <c r="Y901">
        <v>1.8850559999999999E-2</v>
      </c>
      <c r="Z901">
        <v>-3.0619019999999998E-4</v>
      </c>
      <c r="AA901">
        <v>0.99982230000000005</v>
      </c>
      <c r="AB901">
        <v>37</v>
      </c>
      <c r="AC901">
        <v>36.038399999999903</v>
      </c>
      <c r="AD901">
        <v>-1.1602330000000001</v>
      </c>
      <c r="AE901">
        <v>-0.91890000000000704</v>
      </c>
      <c r="AF901">
        <v>0.68265929878648202</v>
      </c>
      <c r="AG901">
        <v>-1.1602330000000001</v>
      </c>
      <c r="AH901">
        <v>36.006340053705898</v>
      </c>
      <c r="AI901">
        <v>91.845273031746501</v>
      </c>
      <c r="AJ901">
        <v>88.913835423308399</v>
      </c>
      <c r="AK901">
        <v>36.031495783489397</v>
      </c>
      <c r="AL901">
        <v>72.537861910945693</v>
      </c>
      <c r="AM901">
        <v>94.5793316988199</v>
      </c>
      <c r="AN901">
        <v>0.99999998859956996</v>
      </c>
    </row>
    <row r="902" spans="1:40" x14ac:dyDescent="0.25">
      <c r="A902" t="str">
        <f>"20190304164113795"</f>
        <v>20190304164113795</v>
      </c>
      <c r="B902" t="str">
        <f>"1551688873782546"</f>
        <v>1551688873782546</v>
      </c>
      <c r="C902" t="s">
        <v>40</v>
      </c>
      <c r="D902">
        <v>4.2530780000000004</v>
      </c>
      <c r="E902">
        <v>0.54818</v>
      </c>
      <c r="F902" t="s">
        <v>43</v>
      </c>
      <c r="G902">
        <v>-290.7484</v>
      </c>
      <c r="H902">
        <v>-0.05</v>
      </c>
      <c r="I902">
        <v>366.42140000000001</v>
      </c>
      <c r="J902">
        <v>-326.56439999999998</v>
      </c>
      <c r="K902">
        <v>1.1102350000000001</v>
      </c>
      <c r="L902">
        <v>367.346</v>
      </c>
      <c r="M902">
        <v>0.99988909999999998</v>
      </c>
      <c r="N902">
        <v>-1.337912E-2</v>
      </c>
      <c r="O902">
        <v>-6.5344799999999996E-3</v>
      </c>
      <c r="P902">
        <v>0.95524849999999994</v>
      </c>
      <c r="Q902">
        <v>0.28743279999999999</v>
      </c>
      <c r="R902">
        <v>6.9878419999999997E-2</v>
      </c>
      <c r="S902">
        <v>3.177216</v>
      </c>
      <c r="T902">
        <v>-0.1023854</v>
      </c>
      <c r="U902">
        <v>-8.169556E-2</v>
      </c>
      <c r="V902">
        <v>-7.6107839999999996E-2</v>
      </c>
      <c r="W902">
        <v>0.30018420000000001</v>
      </c>
      <c r="X902">
        <v>0.95084020000000002</v>
      </c>
      <c r="Y902">
        <v>1.9158080000000001E-2</v>
      </c>
      <c r="Z902">
        <v>-3.1371170000000001E-4</v>
      </c>
      <c r="AA902">
        <v>0.99981640000000005</v>
      </c>
      <c r="AB902">
        <v>37</v>
      </c>
      <c r="AC902">
        <v>35.815999999999903</v>
      </c>
      <c r="AD902">
        <v>-1.1602349999999999</v>
      </c>
      <c r="AE902">
        <v>-0.92459999999999798</v>
      </c>
      <c r="AF902">
        <v>0.68979697563302</v>
      </c>
      <c r="AG902">
        <v>-1.1602349999999999</v>
      </c>
      <c r="AH902">
        <v>35.783751339789703</v>
      </c>
      <c r="AI902">
        <v>91.856735274488898</v>
      </c>
      <c r="AJ902">
        <v>88.895656280397503</v>
      </c>
      <c r="AK902">
        <v>35.809200285271999</v>
      </c>
      <c r="AL902">
        <v>72.531333454430893</v>
      </c>
      <c r="AM902">
        <v>94.576353607719597</v>
      </c>
      <c r="AN902">
        <v>1.00000002158757</v>
      </c>
    </row>
    <row r="903" spans="1:40" x14ac:dyDescent="0.25">
      <c r="A903" t="str">
        <f>"20190304164113805"</f>
        <v>20190304164113805</v>
      </c>
      <c r="B903" t="str">
        <f>"1551688873802066"</f>
        <v>1551688873802066</v>
      </c>
      <c r="C903" t="s">
        <v>40</v>
      </c>
      <c r="D903">
        <v>4.3058589999999999</v>
      </c>
      <c r="E903">
        <v>0.54811940000000003</v>
      </c>
      <c r="F903" t="s">
        <v>43</v>
      </c>
      <c r="G903">
        <v>-290.29390000000001</v>
      </c>
      <c r="H903">
        <v>-0.05</v>
      </c>
      <c r="I903">
        <v>366.41019999999997</v>
      </c>
      <c r="J903">
        <v>-326.39839999999998</v>
      </c>
      <c r="K903">
        <v>1.1102339999999999</v>
      </c>
      <c r="L903">
        <v>367.3449</v>
      </c>
      <c r="M903">
        <v>0.99988929999999998</v>
      </c>
      <c r="N903">
        <v>-1.337698E-2</v>
      </c>
      <c r="O903">
        <v>-6.5344640000000002E-3</v>
      </c>
      <c r="P903">
        <v>0.9552119</v>
      </c>
      <c r="Q903">
        <v>0.28758979999999901</v>
      </c>
      <c r="R903">
        <v>6.9735329999999998E-2</v>
      </c>
      <c r="S903">
        <v>3.1771240000000001</v>
      </c>
      <c r="T903">
        <v>-0.101631</v>
      </c>
      <c r="U903">
        <v>-8.1970210000000002E-2</v>
      </c>
      <c r="V903">
        <v>-7.5964770000000001E-2</v>
      </c>
      <c r="W903">
        <v>0.3003383</v>
      </c>
      <c r="X903">
        <v>0.95080290000000001</v>
      </c>
      <c r="Y903">
        <v>1.92453E-2</v>
      </c>
      <c r="Z903">
        <v>-3.1493580000000002E-4</v>
      </c>
      <c r="AA903">
        <v>0.99981469999999995</v>
      </c>
      <c r="AB903">
        <v>37</v>
      </c>
      <c r="AC903">
        <v>36.104499999999902</v>
      </c>
      <c r="AD903">
        <v>-1.160234</v>
      </c>
      <c r="AE903">
        <v>-0.93470000000001996</v>
      </c>
      <c r="AF903">
        <v>0.69801505607110803</v>
      </c>
      <c r="AG903">
        <v>-1.160234</v>
      </c>
      <c r="AH903">
        <v>36.0726105981039</v>
      </c>
      <c r="AI903">
        <v>91.841873149626906</v>
      </c>
      <c r="AJ903">
        <v>88.891449063484401</v>
      </c>
      <c r="AK903">
        <v>36.0980138417018</v>
      </c>
      <c r="AL903">
        <v>72.522075723868298</v>
      </c>
      <c r="AM903">
        <v>94.567965704015606</v>
      </c>
      <c r="AN903">
        <v>0.99999994768822498</v>
      </c>
    </row>
    <row r="904" spans="1:40" x14ac:dyDescent="0.25">
      <c r="A904" t="str">
        <f>"20190304164113817"</f>
        <v>20190304164113817</v>
      </c>
      <c r="B904" t="str">
        <f>"1551688873802066"</f>
        <v>1551688873802066</v>
      </c>
      <c r="C904" t="s">
        <v>40</v>
      </c>
      <c r="D904">
        <v>4.3058589999999999</v>
      </c>
      <c r="E904">
        <v>0.54811940000000003</v>
      </c>
      <c r="F904" t="s">
        <v>43</v>
      </c>
      <c r="G904">
        <v>-290.52159999999998</v>
      </c>
      <c r="H904">
        <v>-0.05</v>
      </c>
      <c r="I904">
        <v>366.42079999999999</v>
      </c>
      <c r="J904">
        <v>-326.20859999999999</v>
      </c>
      <c r="K904">
        <v>1.1102339999999999</v>
      </c>
      <c r="L904">
        <v>367.34359999999998</v>
      </c>
      <c r="M904">
        <v>0.99988940000000004</v>
      </c>
      <c r="N904">
        <v>-1.337464E-2</v>
      </c>
      <c r="O904">
        <v>-6.5346839999999998E-3</v>
      </c>
      <c r="P904">
        <v>0.95519149999999997</v>
      </c>
      <c r="Q904">
        <v>0.28768759999999999</v>
      </c>
      <c r="R904">
        <v>6.9611389999999995E-2</v>
      </c>
      <c r="S904">
        <v>3.1775820000000001</v>
      </c>
      <c r="T904">
        <v>-0.10276100000000001</v>
      </c>
      <c r="U904">
        <v>-8.184814E-2</v>
      </c>
      <c r="V904">
        <v>-7.5840900000000003E-2</v>
      </c>
      <c r="W904">
        <v>0.30043340000000002</v>
      </c>
      <c r="X904">
        <v>0.95078280000000004</v>
      </c>
      <c r="Y904">
        <v>1.9202790000000001E-2</v>
      </c>
      <c r="Z904">
        <v>-3.1500579999999999E-4</v>
      </c>
      <c r="AA904">
        <v>0.99981560000000003</v>
      </c>
      <c r="AB904">
        <v>37</v>
      </c>
      <c r="AC904">
        <v>35.686999999999998</v>
      </c>
      <c r="AD904">
        <v>-1.160234</v>
      </c>
      <c r="AE904">
        <v>-0.92279999999999496</v>
      </c>
      <c r="AF904">
        <v>0.68882861229814296</v>
      </c>
      <c r="AG904">
        <v>-1.160234</v>
      </c>
      <c r="AH904">
        <v>35.654607245659797</v>
      </c>
      <c r="AI904">
        <v>91.863452660928303</v>
      </c>
      <c r="AJ904">
        <v>88.893212793790198</v>
      </c>
      <c r="AK904">
        <v>35.6801295630233</v>
      </c>
      <c r="AL904">
        <v>72.516364040591299</v>
      </c>
      <c r="AM904">
        <v>94.560644520356007</v>
      </c>
      <c r="AN904">
        <v>1.0000000013621</v>
      </c>
    </row>
    <row r="905" spans="1:40" x14ac:dyDescent="0.25">
      <c r="A905" t="str">
        <f>"20190304164113829"</f>
        <v>20190304164113829</v>
      </c>
      <c r="B905" t="str">
        <f>"1551688873822562"</f>
        <v>1551688873822562</v>
      </c>
      <c r="C905" t="s">
        <v>40</v>
      </c>
      <c r="D905">
        <v>4.3105539999999998</v>
      </c>
      <c r="E905">
        <v>0.54809330000000001</v>
      </c>
      <c r="F905" t="s">
        <v>43</v>
      </c>
      <c r="G905">
        <v>-290.21289999999999</v>
      </c>
      <c r="H905">
        <v>-0.05</v>
      </c>
      <c r="I905">
        <v>366.4119</v>
      </c>
      <c r="J905">
        <v>-326.01870000000002</v>
      </c>
      <c r="K905">
        <v>1.1102339999999999</v>
      </c>
      <c r="L905">
        <v>367.3424</v>
      </c>
      <c r="M905">
        <v>0.99988929999999998</v>
      </c>
      <c r="N905">
        <v>-1.337239E-2</v>
      </c>
      <c r="O905">
        <v>-6.5344299999999999E-3</v>
      </c>
      <c r="P905">
        <v>0.95512549999999996</v>
      </c>
      <c r="Q905">
        <v>0.28795989999999999</v>
      </c>
      <c r="R905">
        <v>6.9388969999999994E-2</v>
      </c>
      <c r="S905">
        <v>3.1775820000000001</v>
      </c>
      <c r="T905">
        <v>-0.10242179999999999</v>
      </c>
      <c r="U905">
        <v>-8.2244869999999998E-2</v>
      </c>
      <c r="V905">
        <v>-7.5617900000000002E-2</v>
      </c>
      <c r="W905">
        <v>0.30070269999999999</v>
      </c>
      <c r="X905">
        <v>0.95071539999999999</v>
      </c>
      <c r="Y905">
        <v>1.9327770000000001E-2</v>
      </c>
      <c r="Z905">
        <v>-3.1749639999999998E-4</v>
      </c>
      <c r="AA905">
        <v>0.99981310000000001</v>
      </c>
      <c r="AB905">
        <v>37</v>
      </c>
      <c r="AC905">
        <v>35.805799999999998</v>
      </c>
      <c r="AD905">
        <v>-1.160234</v>
      </c>
      <c r="AE905">
        <v>-0.930499999999994</v>
      </c>
      <c r="AF905">
        <v>0.69575868479561898</v>
      </c>
      <c r="AG905">
        <v>-1.160234</v>
      </c>
      <c r="AH905">
        <v>35.773579767661502</v>
      </c>
      <c r="AI905">
        <v>91.857255050799907</v>
      </c>
      <c r="AJ905">
        <v>88.885797528497307</v>
      </c>
      <c r="AK905">
        <v>35.7991512814964</v>
      </c>
      <c r="AL905">
        <v>72.500185776547397</v>
      </c>
      <c r="AM905">
        <v>94.547611902790294</v>
      </c>
      <c r="AN905">
        <v>0.99999997619242897</v>
      </c>
    </row>
    <row r="906" spans="1:40" x14ac:dyDescent="0.25">
      <c r="A906" t="str">
        <f>"20190304164113840"</f>
        <v>20190304164113840</v>
      </c>
      <c r="B906" t="str">
        <f>"1551688873832323"</f>
        <v>1551688873832323</v>
      </c>
      <c r="C906" t="s">
        <v>40</v>
      </c>
      <c r="D906">
        <v>4.3298489999999896</v>
      </c>
      <c r="E906">
        <v>0.54808210000000002</v>
      </c>
      <c r="F906" t="s">
        <v>43</v>
      </c>
      <c r="G906">
        <v>-290.1583</v>
      </c>
      <c r="H906">
        <v>-0.05</v>
      </c>
      <c r="I906">
        <v>366.41129999999998</v>
      </c>
      <c r="J906">
        <v>-325.83760000000001</v>
      </c>
      <c r="K906">
        <v>1.1102339999999999</v>
      </c>
      <c r="L906">
        <v>367.34120000000001</v>
      </c>
      <c r="M906">
        <v>0.99988929999999998</v>
      </c>
      <c r="N906">
        <v>-1.337029E-2</v>
      </c>
      <c r="O906">
        <v>-6.5342949999999999E-3</v>
      </c>
      <c r="P906">
        <v>0.9551269</v>
      </c>
      <c r="Q906">
        <v>0.28798279999999998</v>
      </c>
      <c r="R906">
        <v>6.9271490000000005E-2</v>
      </c>
      <c r="S906">
        <v>3.1779790000000001</v>
      </c>
      <c r="T906">
        <v>-0.10282089999999899</v>
      </c>
      <c r="U906">
        <v>-8.2519529999999994E-2</v>
      </c>
      <c r="V906">
        <v>-7.5499960000000005E-2</v>
      </c>
      <c r="W906">
        <v>0.30072399999999999</v>
      </c>
      <c r="X906">
        <v>0.95071799999999995</v>
      </c>
      <c r="Y906">
        <v>1.941089E-2</v>
      </c>
      <c r="Z906">
        <v>-3.197454E-4</v>
      </c>
      <c r="AA906">
        <v>0.99981149999999996</v>
      </c>
      <c r="AB906">
        <v>36</v>
      </c>
      <c r="AC906">
        <v>35.679299999999998</v>
      </c>
      <c r="AD906">
        <v>-1.160234</v>
      </c>
      <c r="AE906">
        <v>-0.92990000000003203</v>
      </c>
      <c r="AF906">
        <v>0.69598477269329195</v>
      </c>
      <c r="AG906">
        <v>-1.160234</v>
      </c>
      <c r="AH906">
        <v>35.6469457786581</v>
      </c>
      <c r="AI906">
        <v>91.8638454741169</v>
      </c>
      <c r="AJ906">
        <v>88.881477127713893</v>
      </c>
      <c r="AK906">
        <v>35.672612479115799</v>
      </c>
      <c r="AL906">
        <v>72.498905527458007</v>
      </c>
      <c r="AM906">
        <v>94.540536383416907</v>
      </c>
      <c r="AN906">
        <v>0.99999994182999896</v>
      </c>
    </row>
    <row r="907" spans="1:40" x14ac:dyDescent="0.25">
      <c r="A907" t="str">
        <f>"20190304164113849"</f>
        <v>20190304164113849</v>
      </c>
      <c r="B907" t="str">
        <f>"1551688873842082"</f>
        <v>1551688873842082</v>
      </c>
      <c r="C907" t="s">
        <v>40</v>
      </c>
      <c r="D907">
        <v>4.3340040000000002</v>
      </c>
      <c r="E907">
        <v>0.54807600000000001</v>
      </c>
      <c r="F907" t="s">
        <v>43</v>
      </c>
      <c r="G907">
        <v>-290.21879999999999</v>
      </c>
      <c r="H907">
        <v>-0.05</v>
      </c>
      <c r="I907">
        <v>366.41359999999997</v>
      </c>
      <c r="J907">
        <v>-325.67489999999998</v>
      </c>
      <c r="K907">
        <v>1.110233</v>
      </c>
      <c r="L907">
        <v>367.34010000000001</v>
      </c>
      <c r="M907">
        <v>0.99988940000000004</v>
      </c>
      <c r="N907">
        <v>-1.336851E-2</v>
      </c>
      <c r="O907">
        <v>-6.5342819999999998E-3</v>
      </c>
      <c r="P907">
        <v>0.95518979999999998</v>
      </c>
      <c r="Q907">
        <v>0.28783330000000001</v>
      </c>
      <c r="R907">
        <v>6.9025139999999999E-2</v>
      </c>
      <c r="S907">
        <v>3.1781920000000001</v>
      </c>
      <c r="T907">
        <v>-0.1035254</v>
      </c>
      <c r="U907">
        <v>-8.2763669999999998E-2</v>
      </c>
      <c r="V907">
        <v>-7.5253899999999999E-2</v>
      </c>
      <c r="W907">
        <v>0.3005739</v>
      </c>
      <c r="X907">
        <v>0.95078499999999999</v>
      </c>
      <c r="Y907">
        <v>1.9485720000000002E-2</v>
      </c>
      <c r="Z907">
        <v>-3.2213089999999999E-4</v>
      </c>
      <c r="AA907">
        <v>0.99981010000000003</v>
      </c>
      <c r="AB907">
        <v>36</v>
      </c>
      <c r="AC907">
        <v>35.4560999999999</v>
      </c>
      <c r="AD907">
        <v>-1.1602330000000001</v>
      </c>
      <c r="AE907">
        <v>-0.92650000000003196</v>
      </c>
      <c r="AF907">
        <v>0.69403671411684897</v>
      </c>
      <c r="AG907">
        <v>-1.1602330000000001</v>
      </c>
      <c r="AH907">
        <v>35.423491873419998</v>
      </c>
      <c r="AI907">
        <v>91.875590259263404</v>
      </c>
      <c r="AJ907">
        <v>88.877572893191399</v>
      </c>
      <c r="AK907">
        <v>35.4492821377399</v>
      </c>
      <c r="AL907">
        <v>72.507923274230606</v>
      </c>
      <c r="AM907">
        <v>94.525482414061301</v>
      </c>
      <c r="AN907">
        <v>0.99999996752570897</v>
      </c>
    </row>
    <row r="908" spans="1:40" x14ac:dyDescent="0.25">
      <c r="A908" t="str">
        <f>"20190304164113859"</f>
        <v>20190304164113859</v>
      </c>
      <c r="B908" t="str">
        <f>"1551688873851842"</f>
        <v>1551688873851842</v>
      </c>
      <c r="C908" t="s">
        <v>40</v>
      </c>
      <c r="D908">
        <v>4.3167359999999997</v>
      </c>
      <c r="E908">
        <v>0.54806869999999996</v>
      </c>
      <c r="F908" t="s">
        <v>43</v>
      </c>
      <c r="G908">
        <v>-290.5754</v>
      </c>
      <c r="H908">
        <v>-0.05</v>
      </c>
      <c r="I908">
        <v>366.42309999999998</v>
      </c>
      <c r="J908">
        <v>-325.50970000000001</v>
      </c>
      <c r="K908">
        <v>1.1102350000000001</v>
      </c>
      <c r="L908">
        <v>367.33909999999997</v>
      </c>
      <c r="M908">
        <v>0.99988940000000004</v>
      </c>
      <c r="N908">
        <v>-1.336671E-2</v>
      </c>
      <c r="O908">
        <v>-6.5342689999999997E-3</v>
      </c>
      <c r="P908">
        <v>0.95530020000000004</v>
      </c>
      <c r="Q908">
        <v>0.28752230000000001</v>
      </c>
      <c r="R908">
        <v>6.8795549999999997E-2</v>
      </c>
      <c r="S908">
        <v>3.1784059999999998</v>
      </c>
      <c r="T908">
        <v>-0.1050639</v>
      </c>
      <c r="U908">
        <v>-8.3038329999999994E-2</v>
      </c>
      <c r="V908">
        <v>-7.5024960000000002E-2</v>
      </c>
      <c r="W908">
        <v>0.30026239999999998</v>
      </c>
      <c r="X908">
        <v>0.95090160000000001</v>
      </c>
      <c r="Y908">
        <v>1.9569949999999999E-2</v>
      </c>
      <c r="Z908">
        <v>-3.2560199999999998E-4</v>
      </c>
      <c r="AA908">
        <v>0.99980840000000004</v>
      </c>
      <c r="AB908">
        <v>36</v>
      </c>
      <c r="AC908">
        <v>34.9343</v>
      </c>
      <c r="AD908">
        <v>-1.1602349999999999</v>
      </c>
      <c r="AE908">
        <v>-0.91599999999999604</v>
      </c>
      <c r="AF908">
        <v>0.686932765125846</v>
      </c>
      <c r="AG908">
        <v>-1.1602349999999999</v>
      </c>
      <c r="AH908">
        <v>34.901069471908599</v>
      </c>
      <c r="AI908">
        <v>91.903644764680294</v>
      </c>
      <c r="AJ908">
        <v>88.872433777714207</v>
      </c>
      <c r="AK908">
        <v>34.927105121410001</v>
      </c>
      <c r="AL908">
        <v>72.526636806791501</v>
      </c>
      <c r="AM908">
        <v>94.511220813281795</v>
      </c>
      <c r="AN908">
        <v>1.00000005317965</v>
      </c>
    </row>
    <row r="909" spans="1:40" x14ac:dyDescent="0.25">
      <c r="A909" t="str">
        <f>"20190304164113870"</f>
        <v>20190304164113870</v>
      </c>
      <c r="B909" t="str">
        <f>"1551688873862578"</f>
        <v>1551688873862578</v>
      </c>
      <c r="C909" t="s">
        <v>40</v>
      </c>
      <c r="D909">
        <v>4.33786</v>
      </c>
      <c r="E909">
        <v>0.54806790000000005</v>
      </c>
      <c r="F909" t="s">
        <v>43</v>
      </c>
      <c r="G909">
        <v>-291.01740000000001</v>
      </c>
      <c r="H909">
        <v>-0.05</v>
      </c>
      <c r="I909">
        <v>366.43729999999999</v>
      </c>
      <c r="J909">
        <v>-325.35759999999999</v>
      </c>
      <c r="K909">
        <v>1.1102289999999999</v>
      </c>
      <c r="L909">
        <v>367.3381</v>
      </c>
      <c r="M909">
        <v>0.99988940000000004</v>
      </c>
      <c r="N909">
        <v>-1.336361E-2</v>
      </c>
      <c r="O909">
        <v>-6.5340090000000003E-3</v>
      </c>
      <c r="P909">
        <v>0.95532479999999997</v>
      </c>
      <c r="Q909">
        <v>0.28743540000000001</v>
      </c>
      <c r="R909">
        <v>6.8812890000000002E-2</v>
      </c>
      <c r="S909">
        <v>3.178528</v>
      </c>
      <c r="T909">
        <v>-0.1069175</v>
      </c>
      <c r="U909">
        <v>-8.3099370000000006E-2</v>
      </c>
      <c r="V909">
        <v>-7.5042600000000001E-2</v>
      </c>
      <c r="W909">
        <v>0.30017280000000002</v>
      </c>
      <c r="X909">
        <v>0.95092840000000001</v>
      </c>
      <c r="Y909">
        <v>1.9588000000000001E-2</v>
      </c>
      <c r="Z909">
        <v>-3.2787130000000003E-4</v>
      </c>
      <c r="AA909">
        <v>0.99980809999999998</v>
      </c>
      <c r="AB909">
        <v>36</v>
      </c>
      <c r="AC909">
        <v>34.340199999999903</v>
      </c>
      <c r="AD909">
        <v>-1.160229</v>
      </c>
      <c r="AE909">
        <v>-0.90080000000000304</v>
      </c>
      <c r="AF909">
        <v>0.67561087360774896</v>
      </c>
      <c r="AG909">
        <v>-1.160229</v>
      </c>
      <c r="AH909">
        <v>34.306219023452599</v>
      </c>
      <c r="AI909">
        <v>91.936617531977106</v>
      </c>
      <c r="AJ909">
        <v>88.871789151027897</v>
      </c>
      <c r="AK909">
        <v>34.332480904678</v>
      </c>
      <c r="AL909">
        <v>72.532017126941895</v>
      </c>
      <c r="AM909">
        <v>94.512150475351504</v>
      </c>
      <c r="AN909">
        <v>0.99999996180057904</v>
      </c>
    </row>
    <row r="910" spans="1:40" x14ac:dyDescent="0.25">
      <c r="A910" t="str">
        <f>"20190304164113880"</f>
        <v>20190304164113880</v>
      </c>
      <c r="B910" t="str">
        <f>"1551688873872339"</f>
        <v>1551688873872339</v>
      </c>
      <c r="C910" t="s">
        <v>40</v>
      </c>
      <c r="D910">
        <v>4.3289339999999896</v>
      </c>
      <c r="E910">
        <v>0.54805499999999996</v>
      </c>
      <c r="F910" t="s">
        <v>43</v>
      </c>
      <c r="G910">
        <v>-291.1798</v>
      </c>
      <c r="H910">
        <v>-0.05</v>
      </c>
      <c r="I910">
        <v>366.44490000000002</v>
      </c>
      <c r="J910">
        <v>-325.18630000000002</v>
      </c>
      <c r="K910">
        <v>1.1102270000000001</v>
      </c>
      <c r="L910">
        <v>367.33690000000001</v>
      </c>
      <c r="M910">
        <v>0.99988940000000004</v>
      </c>
      <c r="N910">
        <v>-1.3359799999999899E-2</v>
      </c>
      <c r="O910">
        <v>-6.5339819999999998E-3</v>
      </c>
      <c r="P910">
        <v>0.9553623</v>
      </c>
      <c r="Q910">
        <v>0.28733779999999998</v>
      </c>
      <c r="R910">
        <v>6.8703819999999999E-2</v>
      </c>
      <c r="S910">
        <v>3.178741</v>
      </c>
      <c r="T910">
        <v>-0.10790810000000001</v>
      </c>
      <c r="U910">
        <v>-8.306885E-2</v>
      </c>
      <c r="V910">
        <v>-7.4933990000000006E-2</v>
      </c>
      <c r="W910">
        <v>0.30007230000000001</v>
      </c>
      <c r="X910">
        <v>0.9509687</v>
      </c>
      <c r="Y910">
        <v>1.9576489999999998E-2</v>
      </c>
      <c r="Z910">
        <v>-3.2854539999999999E-4</v>
      </c>
      <c r="AA910">
        <v>0.99980829999999998</v>
      </c>
      <c r="AB910">
        <v>36</v>
      </c>
      <c r="AC910">
        <v>34.006500000000003</v>
      </c>
      <c r="AD910">
        <v>-1.1602269999999999</v>
      </c>
      <c r="AE910">
        <v>-0.89199999999999502</v>
      </c>
      <c r="AF910">
        <v>0.66898508371477805</v>
      </c>
      <c r="AG910">
        <v>-1.1602269999999999</v>
      </c>
      <c r="AH910">
        <v>33.972085630562198</v>
      </c>
      <c r="AI910">
        <v>91.955647151904301</v>
      </c>
      <c r="AJ910">
        <v>88.871865894547497</v>
      </c>
      <c r="AK910">
        <v>33.998474522013602</v>
      </c>
      <c r="AL910">
        <v>72.538053928124498</v>
      </c>
      <c r="AM910">
        <v>94.505456744800497</v>
      </c>
      <c r="AN910">
        <v>0.99999997823214903</v>
      </c>
    </row>
    <row r="911" spans="1:40" x14ac:dyDescent="0.25">
      <c r="A911" t="str">
        <f>"20190304164113890"</f>
        <v>20190304164113890</v>
      </c>
      <c r="B911" t="str">
        <f>"1551688873882097"</f>
        <v>1551688873882097</v>
      </c>
      <c r="C911" t="s">
        <v>40</v>
      </c>
      <c r="D911">
        <v>4.3139250000000002</v>
      </c>
      <c r="E911">
        <v>0.54797850000000004</v>
      </c>
      <c r="F911" t="s">
        <v>43</v>
      </c>
      <c r="G911">
        <v>-291.2799</v>
      </c>
      <c r="H911">
        <v>-0.05</v>
      </c>
      <c r="I911">
        <v>366.45420000000001</v>
      </c>
      <c r="J911">
        <v>-325.01389999999998</v>
      </c>
      <c r="K911">
        <v>1.1102259999999999</v>
      </c>
      <c r="L911">
        <v>367.33580000000001</v>
      </c>
      <c r="M911">
        <v>0.99988960000000005</v>
      </c>
      <c r="N911">
        <v>-1.335455E-2</v>
      </c>
      <c r="O911">
        <v>-6.5339459999999997E-3</v>
      </c>
      <c r="P911">
        <v>0.95534419999999998</v>
      </c>
      <c r="Q911">
        <v>0.287437</v>
      </c>
      <c r="R911">
        <v>6.8540260000000006E-2</v>
      </c>
      <c r="S911">
        <v>3.178833</v>
      </c>
      <c r="T911">
        <v>-0.108775</v>
      </c>
      <c r="U911">
        <v>-8.2763669999999998E-2</v>
      </c>
      <c r="V911">
        <v>-7.4770229999999993E-2</v>
      </c>
      <c r="W911">
        <v>0.3001664</v>
      </c>
      <c r="X911">
        <v>0.95095189999999996</v>
      </c>
      <c r="Y911">
        <v>1.9479750000000001E-2</v>
      </c>
      <c r="Z911">
        <v>-3.2704369999999997E-4</v>
      </c>
      <c r="AA911">
        <v>0.99981019999999998</v>
      </c>
      <c r="AB911">
        <v>36</v>
      </c>
      <c r="AC911">
        <v>33.733999999999902</v>
      </c>
      <c r="AD911">
        <v>-1.160226</v>
      </c>
      <c r="AE911">
        <v>-0.88159999999999095</v>
      </c>
      <c r="AF911">
        <v>0.660364798056019</v>
      </c>
      <c r="AG911">
        <v>-1.160226</v>
      </c>
      <c r="AH911">
        <v>33.699204892486598</v>
      </c>
      <c r="AI911">
        <v>91.971472670083003</v>
      </c>
      <c r="AJ911">
        <v>88.8773837806812</v>
      </c>
      <c r="AK911">
        <v>33.725637376087903</v>
      </c>
      <c r="AL911">
        <v>72.532401975324106</v>
      </c>
      <c r="AM911">
        <v>94.495730067843894</v>
      </c>
      <c r="AN911">
        <v>0.99999998554841096</v>
      </c>
    </row>
    <row r="912" spans="1:40" x14ac:dyDescent="0.25">
      <c r="A912" t="str">
        <f>"20190304164113902"</f>
        <v>20190304164113902</v>
      </c>
      <c r="B912" t="str">
        <f>"1551688873891858"</f>
        <v>1551688873891858</v>
      </c>
      <c r="C912" t="s">
        <v>40</v>
      </c>
      <c r="D912">
        <v>4.4913449999999999</v>
      </c>
      <c r="E912">
        <v>0.54797850000000004</v>
      </c>
      <c r="F912" t="s">
        <v>43</v>
      </c>
      <c r="G912">
        <v>-290.97340000000003</v>
      </c>
      <c r="H912">
        <v>-0.05</v>
      </c>
      <c r="I912">
        <v>366.44819999999999</v>
      </c>
      <c r="J912">
        <v>-324.82990000000001</v>
      </c>
      <c r="K912">
        <v>1.110225</v>
      </c>
      <c r="L912">
        <v>367.33460000000002</v>
      </c>
      <c r="M912">
        <v>0.99988960000000005</v>
      </c>
      <c r="N912">
        <v>-1.334861E-2</v>
      </c>
      <c r="O912">
        <v>-6.5337869999999897E-3</v>
      </c>
      <c r="P912">
        <v>0.95537380000000005</v>
      </c>
      <c r="Q912">
        <v>0.28733989999999998</v>
      </c>
      <c r="R912">
        <v>6.8535349999999995E-2</v>
      </c>
      <c r="S912">
        <v>3.1787719999999999</v>
      </c>
      <c r="T912">
        <v>-0.1083442</v>
      </c>
      <c r="U912">
        <v>-8.2885739999999999E-2</v>
      </c>
      <c r="V912">
        <v>-7.4765499999999999E-2</v>
      </c>
      <c r="W912">
        <v>0.30006359999999999</v>
      </c>
      <c r="X912">
        <v>0.95098470000000002</v>
      </c>
      <c r="Y912">
        <v>1.9518839999999999E-2</v>
      </c>
      <c r="Z912">
        <v>-3.2744499999999999E-4</v>
      </c>
      <c r="AA912">
        <v>0.99980939999999996</v>
      </c>
      <c r="AB912">
        <v>36</v>
      </c>
      <c r="AC912">
        <v>33.856499999999897</v>
      </c>
      <c r="AD912">
        <v>-1.1602250000000001</v>
      </c>
      <c r="AE912">
        <v>-0.88640000000003705</v>
      </c>
      <c r="AF912">
        <v>0.66437054119878403</v>
      </c>
      <c r="AG912">
        <v>-1.1602250000000001</v>
      </c>
      <c r="AH912">
        <v>33.8218774866939</v>
      </c>
      <c r="AI912">
        <v>91.964324198263995</v>
      </c>
      <c r="AJ912">
        <v>88.874671187584497</v>
      </c>
      <c r="AK912">
        <v>33.848292526973502</v>
      </c>
      <c r="AL912">
        <v>72.538576366525604</v>
      </c>
      <c r="AM912">
        <v>94.495292416642798</v>
      </c>
      <c r="AN912">
        <v>0.99999997183464895</v>
      </c>
    </row>
    <row r="913" spans="1:40" x14ac:dyDescent="0.25">
      <c r="A913" t="str">
        <f>"20190304164113913"</f>
        <v>20190304164113913</v>
      </c>
      <c r="B913" t="str">
        <f>"1551688873902594"</f>
        <v>1551688873902594</v>
      </c>
      <c r="C913" t="s">
        <v>40</v>
      </c>
      <c r="D913">
        <v>4.5623370000000003</v>
      </c>
      <c r="E913">
        <v>0.52507649999999995</v>
      </c>
      <c r="F913" t="s">
        <v>43</v>
      </c>
      <c r="G913">
        <v>-290.89859999999999</v>
      </c>
      <c r="H913">
        <v>-0.05</v>
      </c>
      <c r="I913">
        <v>366.4495</v>
      </c>
      <c r="J913">
        <v>-324.64330000000001</v>
      </c>
      <c r="K913">
        <v>1.110223</v>
      </c>
      <c r="L913">
        <v>367.33339999999998</v>
      </c>
      <c r="M913">
        <v>0.99988969999999999</v>
      </c>
      <c r="N913">
        <v>-1.333987E-2</v>
      </c>
      <c r="O913">
        <v>-6.5336090000000001E-3</v>
      </c>
      <c r="P913">
        <v>0.95534770000000002</v>
      </c>
      <c r="Q913">
        <v>0.28741949999999999</v>
      </c>
      <c r="R913">
        <v>6.8562369999999997E-2</v>
      </c>
      <c r="S913">
        <v>3.178833</v>
      </c>
      <c r="T913">
        <v>-0.10869479999999999</v>
      </c>
      <c r="U913">
        <v>-8.2916260000000006E-2</v>
      </c>
      <c r="V913">
        <v>-7.4792300000000006E-2</v>
      </c>
      <c r="W913">
        <v>0.30013499999999999</v>
      </c>
      <c r="X913">
        <v>0.95096009999999997</v>
      </c>
      <c r="Y913">
        <v>1.9528029999999998E-2</v>
      </c>
      <c r="Z913">
        <v>-3.2787819999999999E-4</v>
      </c>
      <c r="AA913">
        <v>0.99980930000000001</v>
      </c>
      <c r="AB913">
        <v>36</v>
      </c>
      <c r="AC913">
        <v>33.744700000000002</v>
      </c>
      <c r="AD913">
        <v>-1.160223</v>
      </c>
      <c r="AE913">
        <v>-0.88389999999998203</v>
      </c>
      <c r="AF913">
        <v>0.66260408208803201</v>
      </c>
      <c r="AG913">
        <v>-1.160223</v>
      </c>
      <c r="AH913">
        <v>33.709932385928902</v>
      </c>
      <c r="AI913">
        <v>91.970838366773606</v>
      </c>
      <c r="AJ913">
        <v>88.873936358689903</v>
      </c>
      <c r="AK913">
        <v>33.736400268007699</v>
      </c>
      <c r="AL913">
        <v>72.534288449387901</v>
      </c>
      <c r="AM913">
        <v>94.497013015914007</v>
      </c>
      <c r="AN913">
        <v>1.00000000907814</v>
      </c>
    </row>
    <row r="914" spans="1:40" x14ac:dyDescent="0.25">
      <c r="A914" t="str">
        <f>"20190304164113925"</f>
        <v>20190304164113925</v>
      </c>
      <c r="B914" t="str">
        <f>"1551688873912354"</f>
        <v>1551688873912354</v>
      </c>
      <c r="C914" t="s">
        <v>40</v>
      </c>
      <c r="D914">
        <v>4.4086919999999896</v>
      </c>
      <c r="E914">
        <v>0.51380379999999903</v>
      </c>
      <c r="F914" t="s">
        <v>43</v>
      </c>
      <c r="G914">
        <v>-278.92250000000001</v>
      </c>
      <c r="H914">
        <v>-0.05</v>
      </c>
      <c r="I914">
        <v>368.73820000000001</v>
      </c>
      <c r="J914">
        <v>-324.46800000000002</v>
      </c>
      <c r="K914">
        <v>1.110223</v>
      </c>
      <c r="L914">
        <v>367.3322</v>
      </c>
      <c r="M914">
        <v>0.9998899</v>
      </c>
      <c r="N914">
        <v>-1.3331290000000001E-2</v>
      </c>
      <c r="O914">
        <v>-6.5336709999999996E-3</v>
      </c>
      <c r="P914">
        <v>0.95530660000000001</v>
      </c>
      <c r="Q914">
        <v>0.28754610000000003</v>
      </c>
      <c r="R914">
        <v>6.8604739999999997E-2</v>
      </c>
      <c r="S914">
        <v>3.1573790000000002</v>
      </c>
      <c r="T914">
        <v>-8.0122470000000001E-2</v>
      </c>
      <c r="U914">
        <v>9.7015379999999998E-2</v>
      </c>
      <c r="V914">
        <v>-7.4833860000000002E-2</v>
      </c>
      <c r="W914">
        <v>0.30025289999999999</v>
      </c>
      <c r="X914">
        <v>0.95091959999999998</v>
      </c>
      <c r="Y914">
        <v>-3.7223819999999998E-2</v>
      </c>
      <c r="Z914">
        <v>7.9902509999999903E-4</v>
      </c>
      <c r="AA914">
        <v>0.99930660000000004</v>
      </c>
      <c r="AB914">
        <v>36</v>
      </c>
      <c r="AC914">
        <v>45.545499999999997</v>
      </c>
      <c r="AD914">
        <v>-1.160223</v>
      </c>
      <c r="AE914">
        <v>1.4059999999999999</v>
      </c>
      <c r="AF914">
        <v>-1.7024719917176601</v>
      </c>
      <c r="AG914">
        <v>-1.160223</v>
      </c>
      <c r="AH914">
        <v>45.505838926057798</v>
      </c>
      <c r="AI914">
        <v>91.459483901262004</v>
      </c>
      <c r="AJ914">
        <v>92.142559951072499</v>
      </c>
      <c r="AK914">
        <v>45.5524522353805</v>
      </c>
      <c r="AL914">
        <v>72.527206453914602</v>
      </c>
      <c r="AM914">
        <v>94.4996924709002</v>
      </c>
      <c r="AN914">
        <v>0.99999999811253404</v>
      </c>
    </row>
    <row r="915" spans="1:40" x14ac:dyDescent="0.25">
      <c r="A915" t="str">
        <f>"20190304164113936"</f>
        <v>20190304164113936</v>
      </c>
      <c r="B915" t="str">
        <f>"1551688873922114"</f>
        <v>1551688873922114</v>
      </c>
      <c r="C915" t="s">
        <v>40</v>
      </c>
      <c r="D915">
        <v>4.3987550000000004</v>
      </c>
      <c r="E915">
        <v>0.50624609999999903</v>
      </c>
      <c r="F915" t="s">
        <v>42</v>
      </c>
      <c r="G915">
        <v>-277.58519999999999</v>
      </c>
      <c r="H915" s="1">
        <v>-1.151112E-6</v>
      </c>
      <c r="I915">
        <v>370.11559999999997</v>
      </c>
      <c r="J915">
        <v>-324.26060000000001</v>
      </c>
      <c r="K915">
        <v>1.110223</v>
      </c>
      <c r="L915">
        <v>367.33089999999999</v>
      </c>
      <c r="M915">
        <v>0.9998901</v>
      </c>
      <c r="N915">
        <v>-1.3319630000000001E-2</v>
      </c>
      <c r="O915">
        <v>-6.5335929999999999E-3</v>
      </c>
      <c r="P915">
        <v>0.95526699999999998</v>
      </c>
      <c r="Q915">
        <v>0.28769270000000002</v>
      </c>
      <c r="R915">
        <v>6.8542809999999996E-2</v>
      </c>
      <c r="S915">
        <v>3.149384</v>
      </c>
      <c r="T915">
        <v>-7.4580069999999998E-2</v>
      </c>
      <c r="U915">
        <v>0.18698119999999999</v>
      </c>
      <c r="V915">
        <v>-7.4772019999999995E-2</v>
      </c>
      <c r="W915">
        <v>0.30038789999999999</v>
      </c>
      <c r="X915">
        <v>0.9508818</v>
      </c>
      <c r="Y915">
        <v>-6.5758709999999998E-2</v>
      </c>
      <c r="Z915">
        <v>1.283885E-3</v>
      </c>
      <c r="AA915">
        <v>0.99783469999999996</v>
      </c>
      <c r="AB915">
        <v>36</v>
      </c>
      <c r="AC915">
        <v>46.675400000000003</v>
      </c>
      <c r="AD915">
        <v>-1.1102241511119999</v>
      </c>
      <c r="AE915">
        <v>2.78469999999998</v>
      </c>
      <c r="AF915">
        <v>-3.0878847692385598</v>
      </c>
      <c r="AG915">
        <v>-1.1102241511119999</v>
      </c>
      <c r="AH915">
        <v>46.629919308424299</v>
      </c>
      <c r="AI915">
        <v>91.360933150321301</v>
      </c>
      <c r="AJ915">
        <v>93.788658224188197</v>
      </c>
      <c r="AK915">
        <v>46.745235101815197</v>
      </c>
      <c r="AL915">
        <v>72.519096706664698</v>
      </c>
      <c r="AM915">
        <v>94.496167333311803</v>
      </c>
      <c r="AN915">
        <v>0.99999997150626396</v>
      </c>
    </row>
    <row r="916" spans="1:40" x14ac:dyDescent="0.25">
      <c r="A916" t="str">
        <f>"20190304164113950"</f>
        <v>20190304164113950</v>
      </c>
      <c r="B916" t="str">
        <f>"1551688873942610"</f>
        <v>1551688873942610</v>
      </c>
      <c r="C916" t="s">
        <v>40</v>
      </c>
      <c r="D916">
        <v>4.4001349999999997</v>
      </c>
      <c r="E916">
        <v>0.49807610000000002</v>
      </c>
      <c r="F916" t="s">
        <v>42</v>
      </c>
      <c r="G916">
        <v>-277.54669999999999</v>
      </c>
      <c r="H916" s="1">
        <v>-1.402325E-6</v>
      </c>
      <c r="I916">
        <v>370.99759999999998</v>
      </c>
      <c r="J916">
        <v>-324.05869999999999</v>
      </c>
      <c r="K916">
        <v>1.110222</v>
      </c>
      <c r="L916">
        <v>367.3295</v>
      </c>
      <c r="M916">
        <v>0.99989019999999995</v>
      </c>
      <c r="N916">
        <v>-1.330659E-2</v>
      </c>
      <c r="O916">
        <v>-6.5335059999999997E-3</v>
      </c>
      <c r="P916">
        <v>0.9552465</v>
      </c>
      <c r="Q916">
        <v>0.2877712</v>
      </c>
      <c r="R916">
        <v>6.849806E-2</v>
      </c>
      <c r="S916">
        <v>3.1452939999999998</v>
      </c>
      <c r="T916">
        <v>-7.4752449999999998E-2</v>
      </c>
      <c r="U916">
        <v>0.2468872</v>
      </c>
      <c r="V916">
        <v>-7.4727329999999995E-2</v>
      </c>
      <c r="W916">
        <v>0.30045339999999998</v>
      </c>
      <c r="X916">
        <v>0.95086470000000001</v>
      </c>
      <c r="Y916">
        <v>-8.4728300000000006E-2</v>
      </c>
      <c r="Z916">
        <v>1.63812299999999E-3</v>
      </c>
      <c r="AA916">
        <v>0.99640269999999997</v>
      </c>
      <c r="AB916">
        <v>36</v>
      </c>
      <c r="AC916">
        <v>46.512</v>
      </c>
      <c r="AD916">
        <v>-1.1102234023249999</v>
      </c>
      <c r="AE916">
        <v>3.6680999999999799</v>
      </c>
      <c r="AF916">
        <v>-3.96968722674508</v>
      </c>
      <c r="AG916">
        <v>-1.1102234023249999</v>
      </c>
      <c r="AH916">
        <v>46.460731646943302</v>
      </c>
      <c r="AI916">
        <v>91.363909142729497</v>
      </c>
      <c r="AJ916">
        <v>94.883592070033103</v>
      </c>
      <c r="AK916">
        <v>46.643226709250399</v>
      </c>
      <c r="AL916">
        <v>72.515163470810407</v>
      </c>
      <c r="AM916">
        <v>94.493571535563007</v>
      </c>
      <c r="AN916">
        <v>1.0000000485632801</v>
      </c>
    </row>
    <row r="917" spans="1:40" x14ac:dyDescent="0.25">
      <c r="A917" t="str">
        <f>"20190304164113963"</f>
        <v>20190304164113963</v>
      </c>
      <c r="B917" t="str">
        <f>"1551688873952370"</f>
        <v>1551688873952370</v>
      </c>
      <c r="C917" t="s">
        <v>40</v>
      </c>
      <c r="D917">
        <v>4.386692</v>
      </c>
      <c r="E917">
        <v>0.49577759999999998</v>
      </c>
      <c r="F917" t="s">
        <v>42</v>
      </c>
      <c r="G917">
        <v>-278.7824</v>
      </c>
      <c r="H917" s="1">
        <v>-1.0941649999999999E-6</v>
      </c>
      <c r="I917">
        <v>371.83179999999999</v>
      </c>
      <c r="J917">
        <v>-323.8449</v>
      </c>
      <c r="K917">
        <v>1.1102190000000001</v>
      </c>
      <c r="L917">
        <v>367.32810000000001</v>
      </c>
      <c r="M917">
        <v>0.99989039999999996</v>
      </c>
      <c r="N917">
        <v>-1.3291570000000001E-2</v>
      </c>
      <c r="O917">
        <v>-6.5332869999999996E-3</v>
      </c>
      <c r="P917">
        <v>0.9552195</v>
      </c>
      <c r="Q917">
        <v>0.28790640000000001</v>
      </c>
      <c r="R917">
        <v>6.8305989999999997E-2</v>
      </c>
      <c r="S917">
        <v>3.1413570000000002</v>
      </c>
      <c r="T917">
        <v>-7.7029349999999996E-2</v>
      </c>
      <c r="U917">
        <v>0.31237789999999999</v>
      </c>
      <c r="V917">
        <v>-7.4534390000000006E-2</v>
      </c>
      <c r="W917">
        <v>0.3005739</v>
      </c>
      <c r="X917">
        <v>0.95084170000000001</v>
      </c>
      <c r="Y917">
        <v>-0.1054031</v>
      </c>
      <c r="Z917">
        <v>2.0645099999999999E-3</v>
      </c>
      <c r="AA917">
        <v>0.99442739999999996</v>
      </c>
      <c r="AB917">
        <v>36</v>
      </c>
      <c r="AC917">
        <v>45.0625</v>
      </c>
      <c r="AD917">
        <v>-1.110220094165</v>
      </c>
      <c r="AE917">
        <v>4.5036999999999798</v>
      </c>
      <c r="AF917">
        <v>-4.7951542299642496</v>
      </c>
      <c r="AG917">
        <v>-1.110220094165</v>
      </c>
      <c r="AH917">
        <v>45.005063705059399</v>
      </c>
      <c r="AI917">
        <v>91.405180211438505</v>
      </c>
      <c r="AJ917">
        <v>96.081748438303705</v>
      </c>
      <c r="AK917">
        <v>45.273412195714698</v>
      </c>
      <c r="AL917">
        <v>72.507923708142499</v>
      </c>
      <c r="AM917">
        <v>94.4821248005927</v>
      </c>
      <c r="AN917">
        <v>0.99999999155638597</v>
      </c>
    </row>
    <row r="918" spans="1:40" x14ac:dyDescent="0.25">
      <c r="A918" t="str">
        <f>"20190304164113975"</f>
        <v>20190304164113975</v>
      </c>
      <c r="B918" t="str">
        <f>"1551688873962130"</f>
        <v>1551688873962130</v>
      </c>
      <c r="C918" t="s">
        <v>40</v>
      </c>
      <c r="D918">
        <v>4.3991249999999997</v>
      </c>
      <c r="E918">
        <v>0.49408980000000002</v>
      </c>
      <c r="F918" t="s">
        <v>42</v>
      </c>
      <c r="G918">
        <v>-278.36419999999998</v>
      </c>
      <c r="H918" s="1">
        <v>-1.348381E-6</v>
      </c>
      <c r="I918">
        <v>372.11290000000002</v>
      </c>
      <c r="J918">
        <v>-323.63209999999998</v>
      </c>
      <c r="K918">
        <v>1.1102160000000001</v>
      </c>
      <c r="L918">
        <v>367.32670000000002</v>
      </c>
      <c r="M918">
        <v>0.99989059999999996</v>
      </c>
      <c r="N918">
        <v>-1.327498E-2</v>
      </c>
      <c r="O918">
        <v>-6.5331769999999898E-3</v>
      </c>
      <c r="P918">
        <v>0.95510479999999998</v>
      </c>
      <c r="Q918">
        <v>0.28823330000000003</v>
      </c>
      <c r="R918">
        <v>6.8531800000000004E-2</v>
      </c>
      <c r="S918">
        <v>3.1401059999999998</v>
      </c>
      <c r="T918">
        <v>-7.6652289999999998E-2</v>
      </c>
      <c r="U918">
        <v>0.3303528</v>
      </c>
      <c r="V918">
        <v>-7.4759770000000003E-2</v>
      </c>
      <c r="W918">
        <v>0.30088369999999998</v>
      </c>
      <c r="X918">
        <v>0.95072599999999996</v>
      </c>
      <c r="Y918">
        <v>-0.1110715</v>
      </c>
      <c r="Z918">
        <v>2.1637539999999999E-3</v>
      </c>
      <c r="AA918">
        <v>0.99381010000000003</v>
      </c>
      <c r="AB918">
        <v>36</v>
      </c>
      <c r="AC918">
        <v>45.267899999999997</v>
      </c>
      <c r="AD918">
        <v>-1.1102173483810001</v>
      </c>
      <c r="AE918">
        <v>4.7862</v>
      </c>
      <c r="AF918">
        <v>-5.0788459348705404</v>
      </c>
      <c r="AG918">
        <v>-1.1102173483810001</v>
      </c>
      <c r="AH918">
        <v>45.208769476282498</v>
      </c>
      <c r="AI918">
        <v>91.3979716156515</v>
      </c>
      <c r="AJ918">
        <v>96.409849928574801</v>
      </c>
      <c r="AK918">
        <v>45.506703859436499</v>
      </c>
      <c r="AL918">
        <v>72.489311642252602</v>
      </c>
      <c r="AM918">
        <v>94.496167407554594</v>
      </c>
      <c r="AN918">
        <v>0.99999997560607101</v>
      </c>
    </row>
    <row r="919" spans="1:40" x14ac:dyDescent="0.25">
      <c r="A919" t="str">
        <f>"20190304164113988"</f>
        <v>20190304164113988</v>
      </c>
      <c r="B919" t="str">
        <f>"1551688873982626"</f>
        <v>1551688873982626</v>
      </c>
      <c r="C919" t="s">
        <v>40</v>
      </c>
      <c r="D919">
        <v>4.3737700000000004</v>
      </c>
      <c r="E919">
        <v>0.49171559999999997</v>
      </c>
      <c r="F919" t="s">
        <v>42</v>
      </c>
      <c r="G919">
        <v>-278.1986</v>
      </c>
      <c r="H919" s="1">
        <v>-1.4726089999999999E-6</v>
      </c>
      <c r="I919">
        <v>372.31290000000001</v>
      </c>
      <c r="J919">
        <v>-323.43329999999997</v>
      </c>
      <c r="K919">
        <v>1.110214</v>
      </c>
      <c r="L919">
        <v>367.3254</v>
      </c>
      <c r="M919">
        <v>0.99989090000000003</v>
      </c>
      <c r="N919">
        <v>-1.3258300000000001E-2</v>
      </c>
      <c r="O919">
        <v>-6.5331850000000004E-3</v>
      </c>
      <c r="P919">
        <v>0.95510030000000001</v>
      </c>
      <c r="Q919">
        <v>0.28827570000000002</v>
      </c>
      <c r="R919">
        <v>6.8417829999999999E-2</v>
      </c>
      <c r="S919">
        <v>3.1394350000000002</v>
      </c>
      <c r="T919">
        <v>-7.6715350000000002E-2</v>
      </c>
      <c r="U919">
        <v>0.3445435</v>
      </c>
      <c r="V919">
        <v>-7.4645320000000001E-2</v>
      </c>
      <c r="W919">
        <v>0.30091000000000001</v>
      </c>
      <c r="X919">
        <v>0.95072670000000004</v>
      </c>
      <c r="Y919">
        <v>-0.1155312</v>
      </c>
      <c r="Z919">
        <v>2.2483109999999998E-3</v>
      </c>
      <c r="AA919">
        <v>0.99330130000000005</v>
      </c>
      <c r="AB919">
        <v>36</v>
      </c>
      <c r="AC919">
        <v>45.234699999999897</v>
      </c>
      <c r="AD919">
        <v>-1.1102154726090001</v>
      </c>
      <c r="AE919">
        <v>4.9875000000000096</v>
      </c>
      <c r="AF919">
        <v>-5.2798038884120801</v>
      </c>
      <c r="AG919">
        <v>-1.1102154726090001</v>
      </c>
      <c r="AH919">
        <v>45.1742620680713</v>
      </c>
      <c r="AI919">
        <v>91.398319555981899</v>
      </c>
      <c r="AJ919">
        <v>96.666278683393799</v>
      </c>
      <c r="AK919">
        <v>45.495305921495898</v>
      </c>
      <c r="AL919">
        <v>72.487732067176097</v>
      </c>
      <c r="AM919">
        <v>94.489309075455907</v>
      </c>
      <c r="AN919">
        <v>1.0000000049953901</v>
      </c>
    </row>
    <row r="920" spans="1:40" x14ac:dyDescent="0.25">
      <c r="A920" t="str">
        <f>"20190304164113999"</f>
        <v>20190304164113999</v>
      </c>
      <c r="B920" t="str">
        <f>"1551688873992388"</f>
        <v>1551688873992388</v>
      </c>
      <c r="C920" t="s">
        <v>40</v>
      </c>
      <c r="D920">
        <v>4.3632119999999999</v>
      </c>
      <c r="E920">
        <v>0.49091010000000002</v>
      </c>
      <c r="F920" t="s">
        <v>42</v>
      </c>
      <c r="G920">
        <v>-277.49779999999998</v>
      </c>
      <c r="H920" s="1">
        <v>-1.860368E-6</v>
      </c>
      <c r="I920">
        <v>372.64030000000002</v>
      </c>
      <c r="J920">
        <v>-323.24900000000002</v>
      </c>
      <c r="K920">
        <v>1.110214</v>
      </c>
      <c r="L920">
        <v>367.32420000000002</v>
      </c>
      <c r="M920">
        <v>0.99989099999999997</v>
      </c>
      <c r="N920">
        <v>-1.324174E-2</v>
      </c>
      <c r="O920">
        <v>-6.5330750000000002E-3</v>
      </c>
      <c r="P920">
        <v>0.95508269999999995</v>
      </c>
      <c r="Q920">
        <v>0.28837000000000002</v>
      </c>
      <c r="R920">
        <v>6.826364E-2</v>
      </c>
      <c r="S920">
        <v>3.1379090000000001</v>
      </c>
      <c r="T920">
        <v>-7.5840000000000005E-2</v>
      </c>
      <c r="U920">
        <v>0.36306759999999999</v>
      </c>
      <c r="V920">
        <v>-7.4491070000000006E-2</v>
      </c>
      <c r="W920">
        <v>0.30098819999999998</v>
      </c>
      <c r="X920">
        <v>0.95071410000000001</v>
      </c>
      <c r="Y920">
        <v>-0.12137000000000001</v>
      </c>
      <c r="Z920">
        <v>2.3392199999999999E-3</v>
      </c>
      <c r="AA920">
        <v>0.99260459999999995</v>
      </c>
      <c r="AB920">
        <v>36</v>
      </c>
      <c r="AC920">
        <v>45.751199999999997</v>
      </c>
      <c r="AD920">
        <v>-1.1102158603679999</v>
      </c>
      <c r="AE920">
        <v>5.3160999999999996</v>
      </c>
      <c r="AF920">
        <v>-5.6116483162404096</v>
      </c>
      <c r="AG920">
        <v>-1.1102158603679999</v>
      </c>
      <c r="AH920">
        <v>45.688944090232603</v>
      </c>
      <c r="AI920">
        <v>91.381603572466602</v>
      </c>
      <c r="AJ920">
        <v>97.002163668925604</v>
      </c>
      <c r="AK920">
        <v>46.045659818946802</v>
      </c>
      <c r="AL920">
        <v>72.483034681385007</v>
      </c>
      <c r="AM920">
        <v>94.480129130763999</v>
      </c>
      <c r="AN920">
        <v>1.0000000579938899</v>
      </c>
    </row>
    <row r="921" spans="1:40" x14ac:dyDescent="0.25">
      <c r="A921" t="str">
        <f>"20190304164114009"</f>
        <v>20190304164114009</v>
      </c>
      <c r="B921" t="str">
        <f>"1551688874002146"</f>
        <v>1551688874002146</v>
      </c>
      <c r="C921" t="s">
        <v>40</v>
      </c>
      <c r="D921">
        <v>4.3718199999999996</v>
      </c>
      <c r="E921">
        <v>0.49023349999999999</v>
      </c>
      <c r="F921" t="s">
        <v>42</v>
      </c>
      <c r="G921">
        <v>-277.12979999999999</v>
      </c>
      <c r="H921" s="1">
        <v>-2.0464489999999999E-6</v>
      </c>
      <c r="I921">
        <v>372.74619999999999</v>
      </c>
      <c r="J921">
        <v>-323.07580000000002</v>
      </c>
      <c r="K921">
        <v>1.110215</v>
      </c>
      <c r="L921">
        <v>367.32310000000001</v>
      </c>
      <c r="M921">
        <v>0.99989130000000004</v>
      </c>
      <c r="N921">
        <v>-1.3225310000000001E-2</v>
      </c>
      <c r="O921">
        <v>-6.5330859999999996E-3</v>
      </c>
      <c r="P921">
        <v>0.95508000000000004</v>
      </c>
      <c r="Q921">
        <v>0.28836339999999999</v>
      </c>
      <c r="R921">
        <v>6.8329349999999997E-2</v>
      </c>
      <c r="S921">
        <v>3.137543</v>
      </c>
      <c r="T921">
        <v>-7.5529100000000002E-2</v>
      </c>
      <c r="U921">
        <v>0.36886600000000003</v>
      </c>
      <c r="V921">
        <v>-7.4556899999999995E-2</v>
      </c>
      <c r="W921">
        <v>0.30096590000000001</v>
      </c>
      <c r="X921">
        <v>0.95071600000000001</v>
      </c>
      <c r="Y921">
        <v>-0.12319239999999999</v>
      </c>
      <c r="Z921">
        <v>2.365753E-3</v>
      </c>
      <c r="AA921">
        <v>0.99238000000000004</v>
      </c>
      <c r="AB921">
        <v>36</v>
      </c>
      <c r="AC921">
        <v>45.945999999999998</v>
      </c>
      <c r="AD921">
        <v>-1.110217046449</v>
      </c>
      <c r="AE921">
        <v>5.4230999999999696</v>
      </c>
      <c r="AF921">
        <v>-5.7198858258180696</v>
      </c>
      <c r="AG921">
        <v>-1.110217046449</v>
      </c>
      <c r="AH921">
        <v>45.883164665199097</v>
      </c>
      <c r="AI921">
        <v>91.375450842829395</v>
      </c>
      <c r="AJ921">
        <v>97.105945986750797</v>
      </c>
      <c r="AK921">
        <v>46.251642948595801</v>
      </c>
      <c r="AL921">
        <v>72.484374511612401</v>
      </c>
      <c r="AM921">
        <v>94.484063291109294</v>
      </c>
      <c r="AN921">
        <v>1.0000000584782001</v>
      </c>
    </row>
    <row r="922" spans="1:40" x14ac:dyDescent="0.25">
      <c r="A922" t="str">
        <f>"20190304164114021"</f>
        <v>20190304164114021</v>
      </c>
      <c r="B922" t="str">
        <f>"1551688874011907"</f>
        <v>1551688874011907</v>
      </c>
      <c r="C922" t="s">
        <v>40</v>
      </c>
      <c r="D922">
        <v>4.3832570000000004</v>
      </c>
      <c r="E922">
        <v>0.48966500000000002</v>
      </c>
      <c r="F922" t="s">
        <v>42</v>
      </c>
      <c r="G922">
        <v>-277.09300000000002</v>
      </c>
      <c r="H922" s="1">
        <v>-2.0803199999999999E-6</v>
      </c>
      <c r="I922">
        <v>372.81420000000003</v>
      </c>
      <c r="J922">
        <v>-322.88249999999999</v>
      </c>
      <c r="K922">
        <v>1.1102129999999999</v>
      </c>
      <c r="L922">
        <v>367.3218</v>
      </c>
      <c r="M922">
        <v>0.99989150000000004</v>
      </c>
      <c r="N922">
        <v>-1.320666E-2</v>
      </c>
      <c r="O922">
        <v>-6.5329619999999998E-3</v>
      </c>
      <c r="P922">
        <v>0.9550845</v>
      </c>
      <c r="Q922">
        <v>0.28835229999999901</v>
      </c>
      <c r="R922">
        <v>6.831197E-2</v>
      </c>
      <c r="S922">
        <v>3.137146</v>
      </c>
      <c r="T922">
        <v>-7.5743679999999994E-2</v>
      </c>
      <c r="U922">
        <v>0.37463380000000002</v>
      </c>
      <c r="V922">
        <v>-7.4539480000000005E-2</v>
      </c>
      <c r="W922">
        <v>0.30093730000000002</v>
      </c>
      <c r="X922">
        <v>0.95072639999999997</v>
      </c>
      <c r="Y922">
        <v>-0.1250049</v>
      </c>
      <c r="Z922">
        <v>2.403302E-3</v>
      </c>
      <c r="AA922">
        <v>0.99215319999999996</v>
      </c>
      <c r="AB922">
        <v>36</v>
      </c>
      <c r="AC922">
        <v>45.789499999999897</v>
      </c>
      <c r="AD922">
        <v>-1.1102150803199999</v>
      </c>
      <c r="AE922">
        <v>5.4924000000000301</v>
      </c>
      <c r="AF922">
        <v>-5.7880955154378704</v>
      </c>
      <c r="AG922">
        <v>-1.1102150803199999</v>
      </c>
      <c r="AH922">
        <v>45.726138089387803</v>
      </c>
      <c r="AI922">
        <v>91.3798424480417</v>
      </c>
      <c r="AJ922">
        <v>97.214233390515304</v>
      </c>
      <c r="AK922">
        <v>46.104385168768601</v>
      </c>
      <c r="AL922">
        <v>72.486092501510598</v>
      </c>
      <c r="AM922">
        <v>94.482971034316606</v>
      </c>
      <c r="AN922">
        <v>1.0000000401334499</v>
      </c>
    </row>
    <row r="923" spans="1:40" x14ac:dyDescent="0.25">
      <c r="A923" t="str">
        <f>"20190304164114032"</f>
        <v>20190304164114032</v>
      </c>
      <c r="B923" t="str">
        <f>"1551688874022642"</f>
        <v>1551688874022642</v>
      </c>
      <c r="C923" t="s">
        <v>40</v>
      </c>
      <c r="D923">
        <v>4.3776869999999999</v>
      </c>
      <c r="E923">
        <v>0.48917660000000002</v>
      </c>
      <c r="F923" t="s">
        <v>42</v>
      </c>
      <c r="G923">
        <v>-277.19619999999998</v>
      </c>
      <c r="H923" s="1">
        <v>-2.0436179999999999E-6</v>
      </c>
      <c r="I923">
        <v>372.84269999999998</v>
      </c>
      <c r="J923">
        <v>-322.71109999999999</v>
      </c>
      <c r="K923">
        <v>1.110209</v>
      </c>
      <c r="L923">
        <v>367.32069999999999</v>
      </c>
      <c r="M923">
        <v>0.9998918</v>
      </c>
      <c r="N923">
        <v>-1.319038E-2</v>
      </c>
      <c r="O923">
        <v>-6.5328560000000001E-3</v>
      </c>
      <c r="P923">
        <v>0.95502279999999995</v>
      </c>
      <c r="Q923">
        <v>0.28855219999999998</v>
      </c>
      <c r="R923">
        <v>6.8332089999999998E-2</v>
      </c>
      <c r="S923">
        <v>3.1369929999999999</v>
      </c>
      <c r="T923">
        <v>-7.6231359999999998E-2</v>
      </c>
      <c r="U923">
        <v>0.37908940000000002</v>
      </c>
      <c r="V923">
        <v>-7.4558970000000002E-2</v>
      </c>
      <c r="W923">
        <v>0.30112100000000003</v>
      </c>
      <c r="X923">
        <v>0.95066669999999998</v>
      </c>
      <c r="Y923">
        <v>-0.12639829999999999</v>
      </c>
      <c r="Z923">
        <v>2.439185E-3</v>
      </c>
      <c r="AA923">
        <v>0.99197659999999999</v>
      </c>
      <c r="AB923">
        <v>36</v>
      </c>
      <c r="AC923">
        <v>45.514899999999997</v>
      </c>
      <c r="AD923">
        <v>-1.1102110436179999</v>
      </c>
      <c r="AE923">
        <v>5.5219999999999896</v>
      </c>
      <c r="AF923">
        <v>-5.8158401340516503</v>
      </c>
      <c r="AG923">
        <v>-1.1102110436179999</v>
      </c>
      <c r="AH923">
        <v>45.451200631926802</v>
      </c>
      <c r="AI923">
        <v>91.387941772897506</v>
      </c>
      <c r="AJ923">
        <v>97.291822963663193</v>
      </c>
      <c r="AK923">
        <v>45.8352288519418</v>
      </c>
      <c r="AL923">
        <v>72.475055223688003</v>
      </c>
      <c r="AM923">
        <v>94.484418873058004</v>
      </c>
      <c r="AN923">
        <v>1.00000003556867</v>
      </c>
    </row>
    <row r="924" spans="1:40" x14ac:dyDescent="0.25">
      <c r="A924" t="str">
        <f>"20190304164114043"</f>
        <v>20190304164114043</v>
      </c>
      <c r="B924" t="str">
        <f>"1551688874032403"</f>
        <v>1551688874032403</v>
      </c>
      <c r="C924" t="s">
        <v>40</v>
      </c>
      <c r="D924">
        <v>4.3776060000000001</v>
      </c>
      <c r="E924">
        <v>0.48875279999999999</v>
      </c>
      <c r="F924" t="s">
        <v>42</v>
      </c>
      <c r="G924">
        <v>-277.21899999999999</v>
      </c>
      <c r="H924" s="1">
        <v>-2.0421459999999999E-6</v>
      </c>
      <c r="I924">
        <v>372.87380000000002</v>
      </c>
      <c r="J924">
        <v>-322.54649999999998</v>
      </c>
      <c r="K924">
        <v>1.1102080000000001</v>
      </c>
      <c r="L924">
        <v>367.31959999999998</v>
      </c>
      <c r="M924">
        <v>0.99989189999999994</v>
      </c>
      <c r="N924">
        <v>-1.317484E-2</v>
      </c>
      <c r="O924">
        <v>-6.5326359999999997E-3</v>
      </c>
      <c r="P924">
        <v>0.95499049999999996</v>
      </c>
      <c r="Q924">
        <v>0.2886339</v>
      </c>
      <c r="R924">
        <v>6.8438520000000003E-2</v>
      </c>
      <c r="S924">
        <v>3.1370239999999998</v>
      </c>
      <c r="T924">
        <v>-7.6557280000000005E-2</v>
      </c>
      <c r="U924">
        <v>0.38293460000000001</v>
      </c>
      <c r="V924">
        <v>-7.4665229999999999E-2</v>
      </c>
      <c r="W924">
        <v>0.30118739999999999</v>
      </c>
      <c r="X924">
        <v>0.95063730000000002</v>
      </c>
      <c r="Y924">
        <v>-0.12759409999999999</v>
      </c>
      <c r="Z924">
        <v>2.4678859999999999E-3</v>
      </c>
      <c r="AA924">
        <v>0.99182340000000002</v>
      </c>
      <c r="AB924">
        <v>36</v>
      </c>
      <c r="AC924">
        <v>45.327499999999901</v>
      </c>
      <c r="AD924">
        <v>-1.1102100421459999</v>
      </c>
      <c r="AE924">
        <v>5.55420000000003</v>
      </c>
      <c r="AF924">
        <v>-5.8467595663746801</v>
      </c>
      <c r="AG924">
        <v>-1.1102100421459999</v>
      </c>
      <c r="AH924">
        <v>45.2634935410669</v>
      </c>
      <c r="AI924">
        <v>91.393480185862501</v>
      </c>
      <c r="AJ924">
        <v>97.3602342761084</v>
      </c>
      <c r="AK924">
        <v>45.6530504052783</v>
      </c>
      <c r="AL924">
        <v>72.471065127211901</v>
      </c>
      <c r="AM924">
        <v>94.490922172416106</v>
      </c>
      <c r="AN924">
        <v>1.0000000113205001</v>
      </c>
    </row>
    <row r="925" spans="1:40" x14ac:dyDescent="0.25">
      <c r="A925" t="str">
        <f>"20190304164114053"</f>
        <v>20190304164114053</v>
      </c>
      <c r="B925" t="str">
        <f>"1551688874042163"</f>
        <v>1551688874042163</v>
      </c>
      <c r="C925" t="s">
        <v>40</v>
      </c>
      <c r="D925">
        <v>4.393338</v>
      </c>
      <c r="E925">
        <v>0.48839179999999999</v>
      </c>
      <c r="F925" t="s">
        <v>42</v>
      </c>
      <c r="G925">
        <v>-277.36900000000003</v>
      </c>
      <c r="H925" s="1">
        <v>-1.9815250000000001E-6</v>
      </c>
      <c r="I925">
        <v>372.8879</v>
      </c>
      <c r="J925">
        <v>-322.36</v>
      </c>
      <c r="K925">
        <v>1.1102069999999999</v>
      </c>
      <c r="L925">
        <v>367.3184</v>
      </c>
      <c r="M925">
        <v>0.99989220000000001</v>
      </c>
      <c r="N925">
        <v>-1.315825E-2</v>
      </c>
      <c r="O925">
        <v>-6.5328819999999899E-3</v>
      </c>
      <c r="P925">
        <v>0.95493779999999995</v>
      </c>
      <c r="Q925">
        <v>0.28878969999999998</v>
      </c>
      <c r="R925">
        <v>6.8515930000000003E-2</v>
      </c>
      <c r="S925">
        <v>3.1370239999999998</v>
      </c>
      <c r="T925">
        <v>-7.7090259999999994E-2</v>
      </c>
      <c r="U925">
        <v>0.38665769999999999</v>
      </c>
      <c r="V925">
        <v>-7.4742450000000002E-2</v>
      </c>
      <c r="W925">
        <v>0.3013265</v>
      </c>
      <c r="X925">
        <v>0.95058719999999997</v>
      </c>
      <c r="Y925">
        <v>-0.1287528</v>
      </c>
      <c r="Z925">
        <v>2.500614E-3</v>
      </c>
      <c r="AA925">
        <v>0.99167360000000004</v>
      </c>
      <c r="AB925">
        <v>36</v>
      </c>
      <c r="AC925">
        <v>44.9909999999999</v>
      </c>
      <c r="AD925">
        <v>-1.110208981525</v>
      </c>
      <c r="AE925">
        <v>5.5694999999999997</v>
      </c>
      <c r="AF925">
        <v>-5.8598131508835101</v>
      </c>
      <c r="AG925">
        <v>-1.110208981525</v>
      </c>
      <c r="AH925">
        <v>44.926707969248099</v>
      </c>
      <c r="AI925">
        <v>91.403695177551</v>
      </c>
      <c r="AJ925">
        <v>97.431166909970699</v>
      </c>
      <c r="AK925">
        <v>45.320845789769002</v>
      </c>
      <c r="AL925">
        <v>72.462707855852202</v>
      </c>
      <c r="AM925">
        <v>94.495783691601304</v>
      </c>
      <c r="AN925">
        <v>1.0000000591190401</v>
      </c>
    </row>
    <row r="926" spans="1:40" x14ac:dyDescent="0.25">
      <c r="A926" t="str">
        <f>"20190304164114065"</f>
        <v>20190304164114065</v>
      </c>
      <c r="B926" t="str">
        <f>"1551688874051922"</f>
        <v>1551688874051922</v>
      </c>
      <c r="C926" t="s">
        <v>40</v>
      </c>
      <c r="D926">
        <v>4.3846449999999999</v>
      </c>
      <c r="E926">
        <v>0.488064</v>
      </c>
      <c r="F926" t="s">
        <v>42</v>
      </c>
      <c r="G926">
        <v>-277.14510000000001</v>
      </c>
      <c r="H926" s="1">
        <v>-2.0896439999999998E-6</v>
      </c>
      <c r="I926">
        <v>372.93329999999997</v>
      </c>
      <c r="J926">
        <v>-322.18950000000001</v>
      </c>
      <c r="K926">
        <v>1.110204</v>
      </c>
      <c r="L926">
        <v>367.31720000000001</v>
      </c>
      <c r="M926">
        <v>0.99989220000000001</v>
      </c>
      <c r="N926">
        <v>-1.3142839999999999E-2</v>
      </c>
      <c r="O926">
        <v>-6.5327809999999997E-3</v>
      </c>
      <c r="P926">
        <v>0.9549668</v>
      </c>
      <c r="Q926">
        <v>0.28866029999999998</v>
      </c>
      <c r="R926">
        <v>6.8655220000000003E-2</v>
      </c>
      <c r="S926">
        <v>3.1369020000000001</v>
      </c>
      <c r="T926">
        <v>-7.7023510000000003E-2</v>
      </c>
      <c r="U926">
        <v>0.38955689999999998</v>
      </c>
      <c r="V926">
        <v>-7.4882000000000004E-2</v>
      </c>
      <c r="W926">
        <v>0.30118279999999997</v>
      </c>
      <c r="X926">
        <v>0.95062170000000001</v>
      </c>
      <c r="Y926">
        <v>-0.12965969999999999</v>
      </c>
      <c r="Z926">
        <v>2.5153089999999999E-3</v>
      </c>
      <c r="AA926">
        <v>0.99155530000000003</v>
      </c>
      <c r="AB926">
        <v>36</v>
      </c>
      <c r="AC926">
        <v>45.044400000000003</v>
      </c>
      <c r="AD926">
        <v>-1.110206089644</v>
      </c>
      <c r="AE926">
        <v>5.6160999999999497</v>
      </c>
      <c r="AF926">
        <v>-5.9067375347048996</v>
      </c>
      <c r="AG926">
        <v>-1.110206089644</v>
      </c>
      <c r="AH926">
        <v>44.979841009352199</v>
      </c>
      <c r="AI926">
        <v>91.401873723242602</v>
      </c>
      <c r="AJ926">
        <v>97.481254038040404</v>
      </c>
      <c r="AK926">
        <v>45.379601178194299</v>
      </c>
      <c r="AL926">
        <v>72.471341402643006</v>
      </c>
      <c r="AM926">
        <v>94.503980371674103</v>
      </c>
      <c r="AN926">
        <v>1.0000000047253601</v>
      </c>
    </row>
    <row r="927" spans="1:40" x14ac:dyDescent="0.25">
      <c r="A927" t="str">
        <f>"20190304164114076"</f>
        <v>20190304164114076</v>
      </c>
      <c r="B927" t="str">
        <f>"1551688874062658"</f>
        <v>1551688874062658</v>
      </c>
      <c r="C927" t="s">
        <v>40</v>
      </c>
      <c r="D927">
        <v>4.3793839999999999</v>
      </c>
      <c r="E927">
        <v>0.48776580000000003</v>
      </c>
      <c r="F927" t="s">
        <v>42</v>
      </c>
      <c r="G927">
        <v>-277.67250000000001</v>
      </c>
      <c r="H927" s="1">
        <v>-1.8523879999999999E-6</v>
      </c>
      <c r="I927">
        <v>372.89190000000002</v>
      </c>
      <c r="J927">
        <v>-321.99939999999998</v>
      </c>
      <c r="K927">
        <v>1.110196</v>
      </c>
      <c r="L927">
        <v>367.31599999999997</v>
      </c>
      <c r="M927">
        <v>0.99989260000000002</v>
      </c>
      <c r="N927">
        <v>-1.312487E-2</v>
      </c>
      <c r="O927">
        <v>-6.5321930000000004E-3</v>
      </c>
      <c r="P927">
        <v>0.95507920000000002</v>
      </c>
      <c r="Q927">
        <v>0.28830090000000003</v>
      </c>
      <c r="R927">
        <v>6.8605109999999997E-2</v>
      </c>
      <c r="S927">
        <v>3.1368710000000002</v>
      </c>
      <c r="T927">
        <v>-7.8230140000000004E-2</v>
      </c>
      <c r="U927">
        <v>0.39282230000000001</v>
      </c>
      <c r="V927">
        <v>-7.4831460000000002E-2</v>
      </c>
      <c r="W927">
        <v>0.30080810000000002</v>
      </c>
      <c r="X927">
        <v>0.95074429999999999</v>
      </c>
      <c r="Y927">
        <v>-0.1306746</v>
      </c>
      <c r="Z927">
        <v>2.5608440000000001E-3</v>
      </c>
      <c r="AA927">
        <v>0.99142200000000003</v>
      </c>
      <c r="AB927">
        <v>36</v>
      </c>
      <c r="AC927">
        <v>44.326899999999902</v>
      </c>
      <c r="AD927">
        <v>-1.1101978523880001</v>
      </c>
      <c r="AE927">
        <v>5.5759000000000398</v>
      </c>
      <c r="AF927">
        <v>-5.8617380910079602</v>
      </c>
      <c r="AG927">
        <v>-1.1101978523880001</v>
      </c>
      <c r="AH927">
        <v>44.262195538489898</v>
      </c>
      <c r="AI927">
        <v>91.424377826565802</v>
      </c>
      <c r="AJ927">
        <v>97.543905767558698</v>
      </c>
      <c r="AK927">
        <v>44.662450297834397</v>
      </c>
      <c r="AL927">
        <v>72.493853920606597</v>
      </c>
      <c r="AM927">
        <v>94.500374981045894</v>
      </c>
      <c r="AN927">
        <v>0.99999999220691504</v>
      </c>
    </row>
    <row r="928" spans="1:40" x14ac:dyDescent="0.25">
      <c r="A928" t="str">
        <f>"20190304164114088"</f>
        <v>20190304164114088</v>
      </c>
      <c r="B928" t="str">
        <f>"1551688874082178"</f>
        <v>1551688874082178</v>
      </c>
      <c r="C928" t="s">
        <v>40</v>
      </c>
      <c r="D928">
        <v>4.3808550000000004</v>
      </c>
      <c r="E928">
        <v>0.48730010000000001</v>
      </c>
      <c r="F928" t="s">
        <v>42</v>
      </c>
      <c r="G928">
        <v>-278.34719999999999</v>
      </c>
      <c r="H928" s="1">
        <v>-1.5421930000000001E-6</v>
      </c>
      <c r="I928">
        <v>372.81389999999999</v>
      </c>
      <c r="J928">
        <v>-321.81959999999998</v>
      </c>
      <c r="K928">
        <v>1.1101920000000001</v>
      </c>
      <c r="L928">
        <v>367.31479999999999</v>
      </c>
      <c r="M928">
        <v>0.99989280000000003</v>
      </c>
      <c r="N928">
        <v>-1.3107529999999999E-2</v>
      </c>
      <c r="O928">
        <v>-6.531841E-3</v>
      </c>
      <c r="P928">
        <v>0.95513190000000003</v>
      </c>
      <c r="Q928">
        <v>0.28808030000000001</v>
      </c>
      <c r="R928">
        <v>6.8794010000000003E-2</v>
      </c>
      <c r="S928">
        <v>3.136841</v>
      </c>
      <c r="T928">
        <v>-7.9778429999999997E-2</v>
      </c>
      <c r="U928">
        <v>0.3950806</v>
      </c>
      <c r="V928">
        <v>-7.5020470000000006E-2</v>
      </c>
      <c r="W928">
        <v>0.3005717</v>
      </c>
      <c r="X928">
        <v>0.95080419999999999</v>
      </c>
      <c r="Y928">
        <v>-0.13137570000000001</v>
      </c>
      <c r="Z928">
        <v>2.6086120000000002E-3</v>
      </c>
      <c r="AA928">
        <v>0.99132920000000002</v>
      </c>
      <c r="AB928">
        <v>36</v>
      </c>
      <c r="AC928">
        <v>43.472399999999901</v>
      </c>
      <c r="AD928">
        <v>-1.110193542193</v>
      </c>
      <c r="AE928">
        <v>5.4990999999999897</v>
      </c>
      <c r="AF928">
        <v>-5.7792520832983403</v>
      </c>
      <c r="AG928">
        <v>-1.110193542193</v>
      </c>
      <c r="AH928">
        <v>43.407686186026403</v>
      </c>
      <c r="AI928">
        <v>91.452266248816699</v>
      </c>
      <c r="AJ928">
        <v>97.583698108657202</v>
      </c>
      <c r="AK928">
        <v>43.804788600882198</v>
      </c>
      <c r="AL928">
        <v>72.5080564243749</v>
      </c>
      <c r="AM928">
        <v>94.511412138303299</v>
      </c>
      <c r="AN928">
        <v>1.0000000222487699</v>
      </c>
    </row>
    <row r="929" spans="1:40" x14ac:dyDescent="0.25">
      <c r="A929" t="str">
        <f>"20190304164114097"</f>
        <v>20190304164114097</v>
      </c>
      <c r="B929" t="str">
        <f>"1551688874091938"</f>
        <v>1551688874091938</v>
      </c>
      <c r="C929" t="s">
        <v>40</v>
      </c>
      <c r="D929">
        <v>4.3804379999999998</v>
      </c>
      <c r="E929">
        <v>0.4870873</v>
      </c>
      <c r="F929" t="s">
        <v>42</v>
      </c>
      <c r="G929">
        <v>-278.8603</v>
      </c>
      <c r="H929" s="1">
        <v>-1.31466E-6</v>
      </c>
      <c r="I929">
        <v>372.786</v>
      </c>
      <c r="J929">
        <v>-321.64679999999998</v>
      </c>
      <c r="K929">
        <v>1.1101890000000001</v>
      </c>
      <c r="L929">
        <v>367.31369999999998</v>
      </c>
      <c r="M929">
        <v>0.99989289999999997</v>
      </c>
      <c r="N929">
        <v>-1.309053E-2</v>
      </c>
      <c r="O929">
        <v>-6.5320819999999998E-3</v>
      </c>
      <c r="P929">
        <v>0.95516860000000003</v>
      </c>
      <c r="Q929">
        <v>0.28793990000000003</v>
      </c>
      <c r="R929">
        <v>6.8872290000000003E-2</v>
      </c>
      <c r="S929">
        <v>3.1365970000000001</v>
      </c>
      <c r="T929">
        <v>-8.1058619999999998E-2</v>
      </c>
      <c r="U929">
        <v>0.39947510000000003</v>
      </c>
      <c r="V929">
        <v>-7.5099150000000003E-2</v>
      </c>
      <c r="W929">
        <v>0.30041570000000001</v>
      </c>
      <c r="X929">
        <v>0.95084729999999995</v>
      </c>
      <c r="Y929">
        <v>-0.1327499</v>
      </c>
      <c r="Z929">
        <v>2.663735E-3</v>
      </c>
      <c r="AA929">
        <v>0.99114599999999997</v>
      </c>
      <c r="AB929">
        <v>36</v>
      </c>
      <c r="AC929">
        <v>42.786499999999897</v>
      </c>
      <c r="AD929">
        <v>-1.1101903146599901</v>
      </c>
      <c r="AE929">
        <v>5.4723000000000104</v>
      </c>
      <c r="AF929">
        <v>-5.7478846059026498</v>
      </c>
      <c r="AG929">
        <v>-1.1101903146599901</v>
      </c>
      <c r="AH929">
        <v>42.721538762268302</v>
      </c>
      <c r="AI929">
        <v>91.475304195041801</v>
      </c>
      <c r="AJ929">
        <v>97.662731519010094</v>
      </c>
      <c r="AK929">
        <v>43.120767319164599</v>
      </c>
      <c r="AL929">
        <v>72.517427836538602</v>
      </c>
      <c r="AM929">
        <v>94.515920196334406</v>
      </c>
      <c r="AN929">
        <v>1.0000000315272499</v>
      </c>
    </row>
    <row r="930" spans="1:40" x14ac:dyDescent="0.25">
      <c r="A930" t="str">
        <f>"20190304164114108"</f>
        <v>20190304164114108</v>
      </c>
      <c r="B930" t="str">
        <f>"1551688874101698"</f>
        <v>1551688874101698</v>
      </c>
      <c r="C930" t="s">
        <v>40</v>
      </c>
      <c r="D930">
        <v>4.3831049999999996</v>
      </c>
      <c r="E930">
        <v>0.48686760000000001</v>
      </c>
      <c r="F930" t="s">
        <v>42</v>
      </c>
      <c r="G930">
        <v>-278.95740000000001</v>
      </c>
      <c r="H930" s="1">
        <v>-1.269028E-6</v>
      </c>
      <c r="I930">
        <v>372.77109999999999</v>
      </c>
      <c r="J930">
        <v>-321.47309999999999</v>
      </c>
      <c r="K930">
        <v>1.1101859999999999</v>
      </c>
      <c r="L930">
        <v>367.31259999999997</v>
      </c>
      <c r="M930">
        <v>0.99989329999999998</v>
      </c>
      <c r="N930">
        <v>-1.307378E-2</v>
      </c>
      <c r="O930">
        <v>-6.5324469999999898E-3</v>
      </c>
      <c r="P930">
        <v>0.9551518</v>
      </c>
      <c r="Q930">
        <v>0.28796310000000003</v>
      </c>
      <c r="R930">
        <v>6.9011939999999994E-2</v>
      </c>
      <c r="S930">
        <v>3.1364749999999999</v>
      </c>
      <c r="T930">
        <v>-8.1567760000000003E-2</v>
      </c>
      <c r="U930">
        <v>0.40097050000000001</v>
      </c>
      <c r="V930">
        <v>-7.5239520000000004E-2</v>
      </c>
      <c r="W930">
        <v>0.30042249999999998</v>
      </c>
      <c r="X930">
        <v>0.95083399999999996</v>
      </c>
      <c r="Y930">
        <v>-0.13321920000000001</v>
      </c>
      <c r="Z930">
        <v>2.6837160000000001E-3</v>
      </c>
      <c r="AA930">
        <v>0.99108300000000005</v>
      </c>
      <c r="AB930">
        <v>36</v>
      </c>
      <c r="AC930">
        <v>42.515699999999903</v>
      </c>
      <c r="AD930">
        <v>-1.1101872690279999</v>
      </c>
      <c r="AE930">
        <v>5.4585000000000097</v>
      </c>
      <c r="AF930">
        <v>-5.7322935539487796</v>
      </c>
      <c r="AG930">
        <v>-1.1101872690279999</v>
      </c>
      <c r="AH930">
        <v>42.450656366038899</v>
      </c>
      <c r="AI930">
        <v>91.484613493595006</v>
      </c>
      <c r="AJ930">
        <v>97.6903763555502</v>
      </c>
      <c r="AK930">
        <v>42.850320081283797</v>
      </c>
      <c r="AL930">
        <v>72.517018421437896</v>
      </c>
      <c r="AM930">
        <v>94.524389044396699</v>
      </c>
      <c r="AN930">
        <v>0.99999997971603904</v>
      </c>
    </row>
    <row r="931" spans="1:40" x14ac:dyDescent="0.25">
      <c r="A931" t="str">
        <f>"20190304164114119"</f>
        <v>20190304164114119</v>
      </c>
      <c r="B931" t="str">
        <f>"1551688874112434"</f>
        <v>1551688874112434</v>
      </c>
      <c r="C931" t="s">
        <v>40</v>
      </c>
      <c r="D931">
        <v>4.4170669999999896</v>
      </c>
      <c r="E931">
        <v>0.48671520000000001</v>
      </c>
      <c r="F931" t="s">
        <v>42</v>
      </c>
      <c r="G931">
        <v>-278.77499999999998</v>
      </c>
      <c r="H931" s="1">
        <v>-1.355201E-6</v>
      </c>
      <c r="I931">
        <v>372.80090000000001</v>
      </c>
      <c r="J931">
        <v>-321.29129999999998</v>
      </c>
      <c r="K931">
        <v>1.1101840000000001</v>
      </c>
      <c r="L931">
        <v>367.31139999999999</v>
      </c>
      <c r="M931">
        <v>0.99989349999999999</v>
      </c>
      <c r="N931">
        <v>-1.3056450000000001E-2</v>
      </c>
      <c r="O931">
        <v>-6.5326910000000002E-3</v>
      </c>
      <c r="P931">
        <v>0.95521990000000001</v>
      </c>
      <c r="Q931">
        <v>0.28771859999999999</v>
      </c>
      <c r="R931">
        <v>6.9088880000000005E-2</v>
      </c>
      <c r="S931">
        <v>3.1362920000000001</v>
      </c>
      <c r="T931">
        <v>-8.1546190000000005E-2</v>
      </c>
      <c r="U931">
        <v>0.40313719999999997</v>
      </c>
      <c r="V931">
        <v>-7.5317179999999997E-2</v>
      </c>
      <c r="W931">
        <v>0.30016229999999999</v>
      </c>
      <c r="X931">
        <v>0.95091000000000003</v>
      </c>
      <c r="Y931">
        <v>-0.13389999999999999</v>
      </c>
      <c r="Z931">
        <v>2.695519E-3</v>
      </c>
      <c r="AA931">
        <v>0.99099119999999996</v>
      </c>
      <c r="AB931">
        <v>36</v>
      </c>
      <c r="AC931">
        <v>42.516300000000001</v>
      </c>
      <c r="AD931">
        <v>-1.1101853552009999</v>
      </c>
      <c r="AE931">
        <v>5.48950000000002</v>
      </c>
      <c r="AF931">
        <v>-5.7632871664278502</v>
      </c>
      <c r="AG931">
        <v>-1.1101853552009999</v>
      </c>
      <c r="AH931">
        <v>42.451058308235801</v>
      </c>
      <c r="AI931">
        <v>91.484453091065106</v>
      </c>
      <c r="AJ931">
        <v>97.731383105977798</v>
      </c>
      <c r="AK931">
        <v>42.854875358293199</v>
      </c>
      <c r="AL931">
        <v>72.532647711752702</v>
      </c>
      <c r="AM931">
        <v>94.528679095094404</v>
      </c>
      <c r="AN931">
        <v>0.99999995602222003</v>
      </c>
    </row>
    <row r="932" spans="1:40" x14ac:dyDescent="0.25">
      <c r="A932" t="str">
        <f>"20190304164114130"</f>
        <v>20190304164114130</v>
      </c>
      <c r="B932" t="str">
        <f>"1551688874122194"</f>
        <v>1551688874122194</v>
      </c>
      <c r="C932" t="s">
        <v>40</v>
      </c>
      <c r="D932">
        <v>4.3834819999999999</v>
      </c>
      <c r="E932">
        <v>0.48654380000000003</v>
      </c>
      <c r="F932" t="s">
        <v>42</v>
      </c>
      <c r="G932">
        <v>-279.25200000000001</v>
      </c>
      <c r="H932" s="1">
        <v>-1.1352580000000001E-6</v>
      </c>
      <c r="I932">
        <v>372.74329999999998</v>
      </c>
      <c r="J932">
        <v>-321.1284</v>
      </c>
      <c r="K932">
        <v>1.110096</v>
      </c>
      <c r="L932">
        <v>367.31029999999998</v>
      </c>
      <c r="M932">
        <v>0.99989749999999999</v>
      </c>
      <c r="N932">
        <v>-1.274082E-2</v>
      </c>
      <c r="O932">
        <v>-6.5326910000000002E-3</v>
      </c>
      <c r="P932">
        <v>0.95507629999999999</v>
      </c>
      <c r="Q932">
        <v>0.288163</v>
      </c>
      <c r="R932">
        <v>6.9219269999999999E-2</v>
      </c>
      <c r="S932">
        <v>3.1362920000000001</v>
      </c>
      <c r="T932">
        <v>-8.2823750000000002E-2</v>
      </c>
      <c r="U932">
        <v>0.40524290000000002</v>
      </c>
      <c r="V932">
        <v>-7.5446460000000007E-2</v>
      </c>
      <c r="W932">
        <v>0.30030519999999999</v>
      </c>
      <c r="X932">
        <v>0.95085469999999905</v>
      </c>
      <c r="Y932">
        <v>-0.1345529</v>
      </c>
      <c r="Z932">
        <v>2.7188630000000002E-3</v>
      </c>
      <c r="AA932">
        <v>0.99090270000000003</v>
      </c>
      <c r="AB932">
        <v>36</v>
      </c>
      <c r="AC932">
        <v>41.876399999999897</v>
      </c>
      <c r="AD932">
        <v>-1.110097135258</v>
      </c>
      <c r="AE932">
        <v>5.4329999999999901</v>
      </c>
      <c r="AF932">
        <v>-5.7025308797176804</v>
      </c>
      <c r="AG932">
        <v>-1.110097135258</v>
      </c>
      <c r="AH932">
        <v>41.8111160912228</v>
      </c>
      <c r="AI932">
        <v>91.506917615133403</v>
      </c>
      <c r="AJ932">
        <v>97.766531591520106</v>
      </c>
      <c r="AK932">
        <v>42.212801409969799</v>
      </c>
      <c r="AL932">
        <v>72.524065319362293</v>
      </c>
      <c r="AM932">
        <v>94.536682766998496</v>
      </c>
      <c r="AN932">
        <v>1.0000000209928299</v>
      </c>
    </row>
    <row r="933" spans="1:40" x14ac:dyDescent="0.25">
      <c r="A933" t="str">
        <f>"20190304164114140"</f>
        <v>20190304164114140</v>
      </c>
      <c r="B933" t="str">
        <f>"1551688874131954"</f>
        <v>1551688874131954</v>
      </c>
      <c r="C933" t="s">
        <v>40</v>
      </c>
      <c r="D933">
        <v>4.3802979999999998</v>
      </c>
      <c r="E933">
        <v>0.48638330000000002</v>
      </c>
      <c r="F933" t="s">
        <v>42</v>
      </c>
      <c r="G933">
        <v>-278.32569999999998</v>
      </c>
      <c r="H933" s="1">
        <v>-1.5656310000000001E-6</v>
      </c>
      <c r="I933">
        <v>372.86739999999998</v>
      </c>
      <c r="J933">
        <v>-320.95359999999999</v>
      </c>
      <c r="K933">
        <v>1.1099829999999999</v>
      </c>
      <c r="L933">
        <v>367.30919999999998</v>
      </c>
      <c r="M933">
        <v>0.99990279999999998</v>
      </c>
      <c r="N933">
        <v>-1.232346E-2</v>
      </c>
      <c r="O933">
        <v>-6.5329480000000002E-3</v>
      </c>
      <c r="P933">
        <v>0.95493159999999999</v>
      </c>
      <c r="Q933">
        <v>0.2886184</v>
      </c>
      <c r="R933">
        <v>6.9321019999999997E-2</v>
      </c>
      <c r="S933">
        <v>3.136139</v>
      </c>
      <c r="T933">
        <v>-8.1336259999999994E-2</v>
      </c>
      <c r="U933">
        <v>0.40716550000000001</v>
      </c>
      <c r="V933">
        <v>-7.5547539999999996E-2</v>
      </c>
      <c r="W933">
        <v>0.30036160000000001</v>
      </c>
      <c r="X933">
        <v>0.95082889999999998</v>
      </c>
      <c r="Y933">
        <v>-0.1351591</v>
      </c>
      <c r="Z933">
        <v>2.6701559999999999E-3</v>
      </c>
      <c r="AA933">
        <v>0.99082029999999999</v>
      </c>
      <c r="AB933">
        <v>36</v>
      </c>
      <c r="AC933">
        <v>42.627899999999997</v>
      </c>
      <c r="AD933">
        <v>-1.1099845656309999</v>
      </c>
      <c r="AE933">
        <v>5.5581999999999896</v>
      </c>
      <c r="AF933">
        <v>-5.8326997437419701</v>
      </c>
      <c r="AG933">
        <v>-1.1099845656309999</v>
      </c>
      <c r="AH933">
        <v>42.562300101261201</v>
      </c>
      <c r="AI933">
        <v>91.480054553792897</v>
      </c>
      <c r="AJ933">
        <v>97.803157866522199</v>
      </c>
      <c r="AK933">
        <v>42.974432421457301</v>
      </c>
      <c r="AL933">
        <v>72.520678124727496</v>
      </c>
      <c r="AM933">
        <v>94.542858148665701</v>
      </c>
      <c r="AN933">
        <v>1.0000000593149001</v>
      </c>
    </row>
    <row r="934" spans="1:40" x14ac:dyDescent="0.25">
      <c r="A934" t="str">
        <f>"20190304164114152"</f>
        <v>20190304164114152</v>
      </c>
      <c r="B934" t="str">
        <f>"1551688874141715"</f>
        <v>1551688874141715</v>
      </c>
      <c r="C934" t="s">
        <v>40</v>
      </c>
      <c r="D934">
        <v>4.3850369999999996</v>
      </c>
      <c r="E934">
        <v>0.48622320000000002</v>
      </c>
      <c r="F934" t="s">
        <v>42</v>
      </c>
      <c r="G934">
        <v>-277.45370000000003</v>
      </c>
      <c r="H934" s="1">
        <v>-1.9700740000000001E-6</v>
      </c>
      <c r="I934">
        <v>372.98140000000001</v>
      </c>
      <c r="J934">
        <v>-320.7636</v>
      </c>
      <c r="K934">
        <v>1.109839</v>
      </c>
      <c r="L934">
        <v>367.30799999999999</v>
      </c>
      <c r="M934">
        <v>0.9999074</v>
      </c>
      <c r="N934">
        <v>-1.194656E-2</v>
      </c>
      <c r="O934">
        <v>-6.5331740000000001E-3</v>
      </c>
      <c r="P934">
        <v>0.95481819999999895</v>
      </c>
      <c r="Q934">
        <v>0.28896949999999999</v>
      </c>
      <c r="R934">
        <v>6.9419320000000007E-2</v>
      </c>
      <c r="S934">
        <v>3.1360779999999999</v>
      </c>
      <c r="T934">
        <v>-8.0023049999999998E-2</v>
      </c>
      <c r="U934">
        <v>0.40893550000000001</v>
      </c>
      <c r="V934">
        <v>-7.5644779999999995E-2</v>
      </c>
      <c r="W934">
        <v>0.30035289999999998</v>
      </c>
      <c r="X934">
        <v>0.9508238</v>
      </c>
      <c r="Y934">
        <v>-0.1357138</v>
      </c>
      <c r="Z934">
        <v>2.626504E-3</v>
      </c>
      <c r="AA934">
        <v>0.99074459999999998</v>
      </c>
      <c r="AB934">
        <v>36</v>
      </c>
      <c r="AC934">
        <v>43.309899999999899</v>
      </c>
      <c r="AD934">
        <v>-1.109840970074</v>
      </c>
      <c r="AE934">
        <v>5.6733999999999503</v>
      </c>
      <c r="AF934">
        <v>-5.95240735581178</v>
      </c>
      <c r="AG934">
        <v>-1.109840970074</v>
      </c>
      <c r="AH934">
        <v>43.243989661545598</v>
      </c>
      <c r="AI934">
        <v>91.4564257256622</v>
      </c>
      <c r="AJ934">
        <v>97.837345027543805</v>
      </c>
      <c r="AK934">
        <v>43.665839533395399</v>
      </c>
      <c r="AL934">
        <v>72.521198719257399</v>
      </c>
      <c r="AM934">
        <v>94.548705200696403</v>
      </c>
      <c r="AN934">
        <v>0.99999994796304703</v>
      </c>
    </row>
    <row r="935" spans="1:40" x14ac:dyDescent="0.25">
      <c r="A935" t="str">
        <f>"20190304164114165"</f>
        <v>20190304164114165</v>
      </c>
      <c r="B935" t="str">
        <f>"1551688874152450"</f>
        <v>1551688874152450</v>
      </c>
      <c r="C935" t="s">
        <v>40</v>
      </c>
      <c r="D935">
        <v>4.3743270000000001</v>
      </c>
      <c r="E935">
        <v>0.4860737</v>
      </c>
      <c r="F935" t="s">
        <v>42</v>
      </c>
      <c r="G935">
        <v>-276.8877</v>
      </c>
      <c r="H935" s="1">
        <v>-2.229417E-6</v>
      </c>
      <c r="I935">
        <v>373.04349999999999</v>
      </c>
      <c r="J935">
        <v>-320.55930000000001</v>
      </c>
      <c r="K935">
        <v>1.109677</v>
      </c>
      <c r="L935">
        <v>367.30669999999998</v>
      </c>
      <c r="M935">
        <v>0.99991110000000005</v>
      </c>
      <c r="N935">
        <v>-1.163017E-2</v>
      </c>
      <c r="O935">
        <v>-6.5332239999999998E-3</v>
      </c>
      <c r="P935">
        <v>0.9546424</v>
      </c>
      <c r="Q935">
        <v>0.28948960000000001</v>
      </c>
      <c r="R935">
        <v>6.9671179999999999E-2</v>
      </c>
      <c r="S935">
        <v>3.1361690000000002</v>
      </c>
      <c r="T935">
        <v>-7.9329250000000004E-2</v>
      </c>
      <c r="U935">
        <v>0.40997309999999998</v>
      </c>
      <c r="V935">
        <v>-7.5895489999999996E-2</v>
      </c>
      <c r="W935">
        <v>0.30057020000000001</v>
      </c>
      <c r="X935">
        <v>0.9507352</v>
      </c>
      <c r="Y935">
        <v>-0.13603370000000001</v>
      </c>
      <c r="Z935">
        <v>2.5964320000000001E-3</v>
      </c>
      <c r="AA935">
        <v>0.99070080000000005</v>
      </c>
      <c r="AB935">
        <v>37</v>
      </c>
      <c r="AC935">
        <v>43.671599999999998</v>
      </c>
      <c r="AD935">
        <v>-1.1096792294169999</v>
      </c>
      <c r="AE935">
        <v>5.7368000000000103</v>
      </c>
      <c r="AF935">
        <v>-6.0181934426162504</v>
      </c>
      <c r="AG935">
        <v>-1.1096792294169999</v>
      </c>
      <c r="AH935">
        <v>43.605509229854398</v>
      </c>
      <c r="AI935">
        <v>91.444073943160603</v>
      </c>
      <c r="AJ935">
        <v>97.858007334090203</v>
      </c>
      <c r="AK935">
        <v>44.032834061639299</v>
      </c>
      <c r="AL935">
        <v>72.508146052258198</v>
      </c>
      <c r="AM935">
        <v>94.564140925970804</v>
      </c>
      <c r="AN935">
        <v>0.99999999552470997</v>
      </c>
    </row>
    <row r="936" spans="1:40" x14ac:dyDescent="0.25">
      <c r="A936" t="str">
        <f>"20190304164114177"</f>
        <v>20190304164114177</v>
      </c>
      <c r="B936" t="str">
        <f>"1551688874171970"</f>
        <v>1551688874171970</v>
      </c>
      <c r="C936" t="s">
        <v>40</v>
      </c>
      <c r="D936">
        <v>4.3572410000000001</v>
      </c>
      <c r="E936">
        <v>0.48580250000000003</v>
      </c>
      <c r="F936" t="s">
        <v>42</v>
      </c>
      <c r="G936">
        <v>-275.89139999999998</v>
      </c>
      <c r="H936" s="1">
        <v>-2.6893400000000001E-6</v>
      </c>
      <c r="I936">
        <v>373.16570000000002</v>
      </c>
      <c r="J936">
        <v>-320.34379999999999</v>
      </c>
      <c r="K936">
        <v>1.1095109999999999</v>
      </c>
      <c r="L936">
        <v>367.30529999999999</v>
      </c>
      <c r="M936">
        <v>0.99991149999999995</v>
      </c>
      <c r="N936">
        <v>-1.159192E-2</v>
      </c>
      <c r="O936">
        <v>-6.5334809999999998E-3</v>
      </c>
      <c r="P936">
        <v>0.9547118</v>
      </c>
      <c r="Q936">
        <v>0.28916819999999999</v>
      </c>
      <c r="R936">
        <v>7.0051730000000006E-2</v>
      </c>
      <c r="S936">
        <v>3.1362000000000001</v>
      </c>
      <c r="T936">
        <v>-7.7912090000000003E-2</v>
      </c>
      <c r="U936">
        <v>0.41137699999999999</v>
      </c>
      <c r="V936">
        <v>-7.6276670000000005E-2</v>
      </c>
      <c r="W936">
        <v>0.30021330000000002</v>
      </c>
      <c r="X936">
        <v>0.95081749999999998</v>
      </c>
      <c r="Y936">
        <v>-0.13647049999999999</v>
      </c>
      <c r="Z936">
        <v>2.5684330000000002E-3</v>
      </c>
      <c r="AA936">
        <v>0.99064079999999999</v>
      </c>
      <c r="AB936">
        <v>37</v>
      </c>
      <c r="AC936">
        <v>44.452399999999997</v>
      </c>
      <c r="AD936">
        <v>-1.1095136893399999</v>
      </c>
      <c r="AE936">
        <v>5.8604000000000198</v>
      </c>
      <c r="AF936">
        <v>-6.1469592992254398</v>
      </c>
      <c r="AG936">
        <v>-1.1095136893399999</v>
      </c>
      <c r="AH936">
        <v>44.385980484816599</v>
      </c>
      <c r="AI936">
        <v>91.418389433294394</v>
      </c>
      <c r="AJ936">
        <v>97.884669525244803</v>
      </c>
      <c r="AK936">
        <v>44.823335360632001</v>
      </c>
      <c r="AL936">
        <v>72.529585806700595</v>
      </c>
      <c r="AM936">
        <v>94.5865710987337</v>
      </c>
      <c r="AN936">
        <v>1.00000003709471</v>
      </c>
    </row>
    <row r="937" spans="1:40" x14ac:dyDescent="0.25">
      <c r="A937" t="str">
        <f>"20190304164114190"</f>
        <v>20190304164114190</v>
      </c>
      <c r="B937" t="str">
        <f>"1551688874182706"</f>
        <v>1551688874182706</v>
      </c>
      <c r="C937" t="s">
        <v>40</v>
      </c>
      <c r="D937">
        <v>4.354419</v>
      </c>
      <c r="E937">
        <v>0.48569859999999998</v>
      </c>
      <c r="F937" t="s">
        <v>42</v>
      </c>
      <c r="G937">
        <v>-276.7466</v>
      </c>
      <c r="H937" s="1">
        <v>-2.296879E-6</v>
      </c>
      <c r="I937">
        <v>373.06950000000001</v>
      </c>
      <c r="J937">
        <v>-320.14510000000001</v>
      </c>
      <c r="K937">
        <v>1.109305</v>
      </c>
      <c r="L937">
        <v>367.30399999999997</v>
      </c>
      <c r="M937">
        <v>0.99990979999999996</v>
      </c>
      <c r="N937">
        <v>-1.1739019999999999E-2</v>
      </c>
      <c r="O937">
        <v>-6.5335030000000004E-3</v>
      </c>
      <c r="P937">
        <v>0.95480379999999998</v>
      </c>
      <c r="Q937">
        <v>0.28885050000000001</v>
      </c>
      <c r="R937">
        <v>7.0108069999999995E-2</v>
      </c>
      <c r="S937">
        <v>3.1360779999999999</v>
      </c>
      <c r="T937">
        <v>-7.9810259999999994E-2</v>
      </c>
      <c r="U937">
        <v>0.41464230000000002</v>
      </c>
      <c r="V937">
        <v>-7.6334159999999998E-2</v>
      </c>
      <c r="W937">
        <v>0.30003629999999998</v>
      </c>
      <c r="X937">
        <v>0.95086870000000001</v>
      </c>
      <c r="Y937">
        <v>-0.137486</v>
      </c>
      <c r="Z937">
        <v>2.641465E-3</v>
      </c>
      <c r="AA937">
        <v>0.99050020000000005</v>
      </c>
      <c r="AB937">
        <v>37</v>
      </c>
      <c r="AC937">
        <v>43.398499999999999</v>
      </c>
      <c r="AD937">
        <v>-1.1093072968790001</v>
      </c>
      <c r="AE937">
        <v>5.7654999999999701</v>
      </c>
      <c r="AF937">
        <v>-6.0450595639139797</v>
      </c>
      <c r="AG937">
        <v>-1.1093072968790001</v>
      </c>
      <c r="AH937">
        <v>43.332081535081002</v>
      </c>
      <c r="AI937">
        <v>91.452400681055295</v>
      </c>
      <c r="AJ937">
        <v>97.941815028386202</v>
      </c>
      <c r="AK937">
        <v>43.765769706165202</v>
      </c>
      <c r="AL937">
        <v>72.540216331000806</v>
      </c>
      <c r="AM937">
        <v>94.589767152368594</v>
      </c>
      <c r="AN937">
        <v>0.99999998497014198</v>
      </c>
    </row>
    <row r="938" spans="1:40" x14ac:dyDescent="0.25">
      <c r="A938" t="str">
        <f>"20190304164114205"</f>
        <v>20190304164114205</v>
      </c>
      <c r="B938" t="str">
        <f>"1551688874192466"</f>
        <v>1551688874192466</v>
      </c>
      <c r="C938" t="s">
        <v>40</v>
      </c>
      <c r="D938">
        <v>4.3607589999999998</v>
      </c>
      <c r="E938">
        <v>0.48558519999999999</v>
      </c>
      <c r="F938" t="s">
        <v>42</v>
      </c>
      <c r="G938">
        <v>-277.0086</v>
      </c>
      <c r="H938" s="1">
        <v>-2.1720219999999999E-6</v>
      </c>
      <c r="I938">
        <v>373.02280000000002</v>
      </c>
      <c r="J938">
        <v>-319.91000000000003</v>
      </c>
      <c r="K938">
        <v>1.1090139999999999</v>
      </c>
      <c r="L938">
        <v>367.30239999999998</v>
      </c>
      <c r="M938">
        <v>0.99990590000000001</v>
      </c>
      <c r="N938">
        <v>-1.205783E-2</v>
      </c>
      <c r="O938">
        <v>-6.5337260000000001E-3</v>
      </c>
      <c r="P938">
        <v>0.95490120000000001</v>
      </c>
      <c r="Q938">
        <v>0.28858030000000001</v>
      </c>
      <c r="R938">
        <v>6.9893640000000007E-2</v>
      </c>
      <c r="S938">
        <v>3.135834</v>
      </c>
      <c r="T938">
        <v>-8.0641749999999998E-2</v>
      </c>
      <c r="U938">
        <v>0.41574100000000003</v>
      </c>
      <c r="V938">
        <v>-7.6120209999999994E-2</v>
      </c>
      <c r="W938">
        <v>0.30007089999999997</v>
      </c>
      <c r="X938">
        <v>0.95087500000000003</v>
      </c>
      <c r="Y938">
        <v>-0.1378355</v>
      </c>
      <c r="Z938">
        <v>2.6879959999999998E-3</v>
      </c>
      <c r="AA938">
        <v>0.99045150000000004</v>
      </c>
      <c r="AB938">
        <v>37</v>
      </c>
      <c r="AC938">
        <v>42.901400000000002</v>
      </c>
      <c r="AD938">
        <v>-1.109016172022</v>
      </c>
      <c r="AE938">
        <v>5.7204000000000397</v>
      </c>
      <c r="AF938">
        <v>-5.9966670515811096</v>
      </c>
      <c r="AG938">
        <v>-1.109016172022</v>
      </c>
      <c r="AH938">
        <v>42.834981838489298</v>
      </c>
      <c r="AI938">
        <v>91.468764564816993</v>
      </c>
      <c r="AJ938">
        <v>97.969308129252795</v>
      </c>
      <c r="AK938">
        <v>43.2669111643185</v>
      </c>
      <c r="AL938">
        <v>72.5381392839911</v>
      </c>
      <c r="AM938">
        <v>94.576927453689194</v>
      </c>
      <c r="AN938">
        <v>1.00000004851112</v>
      </c>
    </row>
    <row r="939" spans="1:40" x14ac:dyDescent="0.25">
      <c r="A939" t="str">
        <f>"20190304164114214"</f>
        <v>20190304164114214</v>
      </c>
      <c r="B939" t="str">
        <f>"1551688874202226"</f>
        <v>1551688874202226</v>
      </c>
      <c r="C939" t="s">
        <v>40</v>
      </c>
      <c r="D939">
        <v>4.3665900000000004</v>
      </c>
      <c r="E939">
        <v>0.48548789999999997</v>
      </c>
      <c r="F939" t="s">
        <v>42</v>
      </c>
      <c r="G939">
        <v>-277.17959999999999</v>
      </c>
      <c r="H939" s="1">
        <v>-2.0851760000000001E-6</v>
      </c>
      <c r="I939">
        <v>372.97199999999998</v>
      </c>
      <c r="J939">
        <v>-319.72699999999998</v>
      </c>
      <c r="K939">
        <v>1.108697</v>
      </c>
      <c r="L939">
        <v>367.30119999999999</v>
      </c>
      <c r="M939">
        <v>0.99990140000000005</v>
      </c>
      <c r="N939">
        <v>-1.2438630000000001E-2</v>
      </c>
      <c r="O939">
        <v>-6.5340260000000001E-3</v>
      </c>
      <c r="P939">
        <v>0.95504639999999996</v>
      </c>
      <c r="Q939">
        <v>0.28815800000000003</v>
      </c>
      <c r="R939">
        <v>6.9652740000000005E-2</v>
      </c>
      <c r="S939">
        <v>3.135834</v>
      </c>
      <c r="T939">
        <v>-8.1386570000000005E-2</v>
      </c>
      <c r="U939">
        <v>0.41607670000000002</v>
      </c>
      <c r="V939">
        <v>-7.5880900000000001E-2</v>
      </c>
      <c r="W939">
        <v>0.30001220000000001</v>
      </c>
      <c r="X939">
        <v>0.9509126</v>
      </c>
      <c r="Y939">
        <v>-0.13793830000000001</v>
      </c>
      <c r="Z939">
        <v>2.7316929999999999E-3</v>
      </c>
      <c r="AA939">
        <v>0.99043700000000001</v>
      </c>
      <c r="AB939">
        <v>37</v>
      </c>
      <c r="AC939">
        <v>42.547400000000003</v>
      </c>
      <c r="AD939">
        <v>-1.1086990851759999</v>
      </c>
      <c r="AE939">
        <v>5.6707999999999803</v>
      </c>
      <c r="AF939">
        <v>-5.9447400914539701</v>
      </c>
      <c r="AG939">
        <v>-1.1086990851759999</v>
      </c>
      <c r="AH939">
        <v>42.481093622996497</v>
      </c>
      <c r="AI939">
        <v>91.480582812941506</v>
      </c>
      <c r="AJ939">
        <v>97.966153844551499</v>
      </c>
      <c r="AK939">
        <v>42.909351705918397</v>
      </c>
      <c r="AL939">
        <v>72.541664150572799</v>
      </c>
      <c r="AM939">
        <v>94.562419512602602</v>
      </c>
      <c r="AN939">
        <v>1.0000000019862001</v>
      </c>
    </row>
    <row r="940" spans="1:40" x14ac:dyDescent="0.25">
      <c r="A940" t="str">
        <f>"20190304164114226"</f>
        <v>20190304164114226</v>
      </c>
      <c r="B940" t="str">
        <f>"1551688874211986"</f>
        <v>1551688874211986</v>
      </c>
      <c r="C940" t="s">
        <v>40</v>
      </c>
      <c r="D940">
        <v>4.3401870000000002</v>
      </c>
      <c r="E940">
        <v>0.48535840000000002</v>
      </c>
      <c r="F940" t="s">
        <v>42</v>
      </c>
      <c r="G940">
        <v>-277.8365</v>
      </c>
      <c r="H940" s="1">
        <v>-1.7765599999999901E-6</v>
      </c>
      <c r="I940">
        <v>372.87130000000002</v>
      </c>
      <c r="J940">
        <v>-319.54239999999999</v>
      </c>
      <c r="K940">
        <v>1.1083289999999999</v>
      </c>
      <c r="L940">
        <v>367.3</v>
      </c>
      <c r="M940">
        <v>0.9998956</v>
      </c>
      <c r="N940">
        <v>-1.290152E-2</v>
      </c>
      <c r="O940">
        <v>-6.5337329999999999E-3</v>
      </c>
      <c r="P940">
        <v>0.95519120000000002</v>
      </c>
      <c r="Q940">
        <v>0.287695599999999</v>
      </c>
      <c r="R940">
        <v>6.9581820000000003E-2</v>
      </c>
      <c r="S940">
        <v>3.1358030000000001</v>
      </c>
      <c r="T940">
        <v>-8.2993869999999997E-2</v>
      </c>
      <c r="U940">
        <v>0.41696169999999999</v>
      </c>
      <c r="V940">
        <v>-7.5810219999999998E-2</v>
      </c>
      <c r="W940">
        <v>0.29999219999999999</v>
      </c>
      <c r="X940">
        <v>0.95092460000000001</v>
      </c>
      <c r="Y940">
        <v>-0.13821069999999999</v>
      </c>
      <c r="Z940">
        <v>2.8046310000000001E-3</v>
      </c>
      <c r="AA940">
        <v>0.99039889999999997</v>
      </c>
      <c r="AB940">
        <v>37</v>
      </c>
      <c r="AC940">
        <v>41.7058999999999</v>
      </c>
      <c r="AD940">
        <v>-1.1083307765599999</v>
      </c>
      <c r="AE940">
        <v>5.5712999999999999</v>
      </c>
      <c r="AF940">
        <v>-5.8396471023892502</v>
      </c>
      <c r="AG940">
        <v>-1.1083307765599999</v>
      </c>
      <c r="AH940">
        <v>41.639713742833301</v>
      </c>
      <c r="AI940">
        <v>91.509921487271001</v>
      </c>
      <c r="AJ940">
        <v>97.983222970337195</v>
      </c>
      <c r="AK940">
        <v>42.061807331304898</v>
      </c>
      <c r="AL940">
        <v>72.542866302161798</v>
      </c>
      <c r="AM940">
        <v>94.558130440697894</v>
      </c>
      <c r="AN940">
        <v>1.00000005220122</v>
      </c>
    </row>
    <row r="941" spans="1:40" x14ac:dyDescent="0.25">
      <c r="A941" t="str">
        <f>"20190304164114238"</f>
        <v>20190304164114238</v>
      </c>
      <c r="B941" t="str">
        <f>"1551688874232482"</f>
        <v>1551688874232482</v>
      </c>
      <c r="C941" t="s">
        <v>40</v>
      </c>
      <c r="D941">
        <v>4.3365280000000004</v>
      </c>
      <c r="E941">
        <v>0.4851492</v>
      </c>
      <c r="F941" t="s">
        <v>42</v>
      </c>
      <c r="G941">
        <v>-278.44349999999997</v>
      </c>
      <c r="H941" s="1">
        <v>-1.49081E-6</v>
      </c>
      <c r="I941">
        <v>372.77609999999999</v>
      </c>
      <c r="J941">
        <v>-319.34989999999999</v>
      </c>
      <c r="K941">
        <v>1.10788</v>
      </c>
      <c r="L941">
        <v>367.29880000000003</v>
      </c>
      <c r="M941">
        <v>0.99988770000000005</v>
      </c>
      <c r="N941">
        <v>-1.349795E-2</v>
      </c>
      <c r="O941">
        <v>-6.5324140000000003E-3</v>
      </c>
      <c r="P941">
        <v>0.95543840000000002</v>
      </c>
      <c r="Q941">
        <v>0.2869429</v>
      </c>
      <c r="R941">
        <v>6.9292850000000003E-2</v>
      </c>
      <c r="S941">
        <v>3.135742</v>
      </c>
      <c r="T941">
        <v>-8.4562659999999998E-2</v>
      </c>
      <c r="U941">
        <v>0.41781620000000003</v>
      </c>
      <c r="V941">
        <v>-7.5521840000000007E-2</v>
      </c>
      <c r="W941">
        <v>0.29980980000000002</v>
      </c>
      <c r="X941">
        <v>0.95100499999999999</v>
      </c>
      <c r="Y941">
        <v>-0.13847370000000001</v>
      </c>
      <c r="Z941">
        <v>2.8851480000000001E-3</v>
      </c>
      <c r="AA941">
        <v>0.99036190000000002</v>
      </c>
      <c r="AB941">
        <v>37</v>
      </c>
      <c r="AC941">
        <v>40.906399999999998</v>
      </c>
      <c r="AD941">
        <v>-1.1078814908100001</v>
      </c>
      <c r="AE941">
        <v>5.4772999999999499</v>
      </c>
      <c r="AF941">
        <v>-5.7402885814427798</v>
      </c>
      <c r="AG941">
        <v>-1.1078814908100001</v>
      </c>
      <c r="AH941">
        <v>40.840314779144101</v>
      </c>
      <c r="AI941">
        <v>91.538772387454998</v>
      </c>
      <c r="AJ941">
        <v>98.000765813013203</v>
      </c>
      <c r="AK941">
        <v>41.256631293108498</v>
      </c>
      <c r="AL941">
        <v>72.553820137668595</v>
      </c>
      <c r="AM941">
        <v>94.540481799326102</v>
      </c>
      <c r="AN941">
        <v>0.99999998725901196</v>
      </c>
    </row>
    <row r="942" spans="1:40" x14ac:dyDescent="0.25">
      <c r="A942" t="str">
        <f>"20190304164114249"</f>
        <v>20190304164114249</v>
      </c>
      <c r="B942" t="str">
        <f>"1551688874242242"</f>
        <v>1551688874242242</v>
      </c>
      <c r="C942" t="s">
        <v>40</v>
      </c>
      <c r="D942">
        <v>4.3106849999999897</v>
      </c>
      <c r="E942">
        <v>0.48505199999999998</v>
      </c>
      <c r="F942" t="s">
        <v>42</v>
      </c>
      <c r="G942">
        <v>-279.48079999999999</v>
      </c>
      <c r="H942" s="1">
        <v>-1.004811E-6</v>
      </c>
      <c r="I942">
        <v>372.62189999999998</v>
      </c>
      <c r="J942">
        <v>-319.17290000000003</v>
      </c>
      <c r="K942">
        <v>1.1074120000000001</v>
      </c>
      <c r="L942">
        <v>367.29759999999999</v>
      </c>
      <c r="M942">
        <v>0.99987749999999997</v>
      </c>
      <c r="N942">
        <v>-1.422638E-2</v>
      </c>
      <c r="O942">
        <v>-6.5310100000000003E-3</v>
      </c>
      <c r="P942">
        <v>0.95571779999999995</v>
      </c>
      <c r="Q942">
        <v>0.28603879999999998</v>
      </c>
      <c r="R942">
        <v>6.9177150000000007E-2</v>
      </c>
      <c r="S942">
        <v>3.1357119999999998</v>
      </c>
      <c r="T942">
        <v>-8.7134719999999999E-2</v>
      </c>
      <c r="U942">
        <v>0.41867070000000001</v>
      </c>
      <c r="V942">
        <v>-7.540637E-2</v>
      </c>
      <c r="W942">
        <v>0.29960239999999999</v>
      </c>
      <c r="X942">
        <v>0.95107949999999997</v>
      </c>
      <c r="Y942">
        <v>-0.13873339999999901</v>
      </c>
      <c r="Z942">
        <v>2.9983789999999998E-3</v>
      </c>
      <c r="AA942">
        <v>0.99032520000000002</v>
      </c>
      <c r="AB942">
        <v>37</v>
      </c>
      <c r="AC942">
        <v>39.692100000000003</v>
      </c>
      <c r="AD942">
        <v>-1.107413004811</v>
      </c>
      <c r="AE942">
        <v>5.3242999999999903</v>
      </c>
      <c r="AF942">
        <v>-5.57917600529992</v>
      </c>
      <c r="AG942">
        <v>-1.107413004811</v>
      </c>
      <c r="AH942">
        <v>39.626176338986497</v>
      </c>
      <c r="AI942">
        <v>91.585173460264798</v>
      </c>
      <c r="AJ942">
        <v>98.014292095319007</v>
      </c>
      <c r="AK942">
        <v>40.032329681268799</v>
      </c>
      <c r="AL942">
        <v>72.566275487933694</v>
      </c>
      <c r="AM942">
        <v>94.533214895164903</v>
      </c>
      <c r="AN942">
        <v>0.99999996702129201</v>
      </c>
    </row>
    <row r="943" spans="1:40" x14ac:dyDescent="0.25">
      <c r="A943" t="str">
        <f>"20190304164114259"</f>
        <v>20190304164114259</v>
      </c>
      <c r="B943" t="str">
        <f>"1551688874252003"</f>
        <v>1551688874252003</v>
      </c>
      <c r="C943" t="s">
        <v>40</v>
      </c>
      <c r="D943">
        <v>4.3114619999999997</v>
      </c>
      <c r="E943">
        <v>0.48494369999999998</v>
      </c>
      <c r="F943" t="s">
        <v>43</v>
      </c>
      <c r="G943">
        <v>-278.98970000000003</v>
      </c>
      <c r="H943">
        <v>-0.05</v>
      </c>
      <c r="I943">
        <v>372.66149999999999</v>
      </c>
      <c r="J943">
        <v>-318.99290000000002</v>
      </c>
      <c r="K943">
        <v>1.1069089999999999</v>
      </c>
      <c r="L943">
        <v>367.29640000000001</v>
      </c>
      <c r="M943">
        <v>0.99986540000000002</v>
      </c>
      <c r="N943">
        <v>-1.5056E-2</v>
      </c>
      <c r="O943">
        <v>-6.5296719999999898E-3</v>
      </c>
      <c r="P943">
        <v>0.95600379999999996</v>
      </c>
      <c r="Q943">
        <v>0.28508070000000002</v>
      </c>
      <c r="R943">
        <v>6.9180270000000002E-2</v>
      </c>
      <c r="S943">
        <v>3.135742</v>
      </c>
      <c r="T943">
        <v>-9.0319990000000003E-2</v>
      </c>
      <c r="U943">
        <v>0.41857909999999998</v>
      </c>
      <c r="V943">
        <v>-7.5409989999999996E-2</v>
      </c>
      <c r="W943">
        <v>0.29943809999999998</v>
      </c>
      <c r="X943">
        <v>0.95113099999999995</v>
      </c>
      <c r="Y943">
        <v>-0.13869589999999901</v>
      </c>
      <c r="Z943">
        <v>3.1266919999999999E-3</v>
      </c>
      <c r="AA943">
        <v>0.99033009999999999</v>
      </c>
      <c r="AB943">
        <v>37</v>
      </c>
      <c r="AC943">
        <v>40.0031999999999</v>
      </c>
      <c r="AD943">
        <v>-1.156909</v>
      </c>
      <c r="AE943">
        <v>5.3650999999999804</v>
      </c>
      <c r="AF943">
        <v>-5.6216041903959599</v>
      </c>
      <c r="AG943">
        <v>-1.156909</v>
      </c>
      <c r="AH943">
        <v>39.934500036025398</v>
      </c>
      <c r="AI943">
        <v>91.643211622968494</v>
      </c>
      <c r="AJ943">
        <v>98.012910114047301</v>
      </c>
      <c r="AK943">
        <v>40.344828234050901</v>
      </c>
      <c r="AL943">
        <v>72.5761429507195</v>
      </c>
      <c r="AM943">
        <v>94.533187167716704</v>
      </c>
      <c r="AN943">
        <v>1.0000000107422</v>
      </c>
    </row>
    <row r="944" spans="1:40" x14ac:dyDescent="0.25">
      <c r="A944" t="str">
        <f>"20190304164114272"</f>
        <v>20190304164114272</v>
      </c>
      <c r="B944" t="str">
        <f>"1551688874261762"</f>
        <v>1551688874261762</v>
      </c>
      <c r="C944" t="s">
        <v>40</v>
      </c>
      <c r="D944">
        <v>4.296252</v>
      </c>
      <c r="E944">
        <v>0.4848517</v>
      </c>
      <c r="F944" t="s">
        <v>43</v>
      </c>
      <c r="G944">
        <v>-280.18560000000002</v>
      </c>
      <c r="H944">
        <v>-0.05</v>
      </c>
      <c r="I944">
        <v>372.47840000000002</v>
      </c>
      <c r="J944">
        <v>-318.79649999999998</v>
      </c>
      <c r="K944">
        <v>1.106282</v>
      </c>
      <c r="L944">
        <v>367.29509999999999</v>
      </c>
      <c r="M944">
        <v>0.99984879999999998</v>
      </c>
      <c r="N944">
        <v>-1.6115540000000001E-2</v>
      </c>
      <c r="O944">
        <v>-6.5283590000000001E-3</v>
      </c>
      <c r="P944">
        <v>0.9562813</v>
      </c>
      <c r="Q944">
        <v>0.28415089999999998</v>
      </c>
      <c r="R944">
        <v>6.9167989999999999E-2</v>
      </c>
      <c r="S944">
        <v>3.1356199999999999</v>
      </c>
      <c r="T944">
        <v>-9.3477959999999999E-2</v>
      </c>
      <c r="U944">
        <v>0.4187012</v>
      </c>
      <c r="V944">
        <v>-7.5397969999999995E-2</v>
      </c>
      <c r="W944">
        <v>0.29952050000000002</v>
      </c>
      <c r="X944">
        <v>0.95110600000000001</v>
      </c>
      <c r="Y944">
        <v>-0.138730399999999</v>
      </c>
      <c r="Z944">
        <v>3.2705590000000001E-3</v>
      </c>
      <c r="AA944">
        <v>0.99032480000000001</v>
      </c>
      <c r="AB944">
        <v>37</v>
      </c>
      <c r="AC944">
        <v>38.610899999999901</v>
      </c>
      <c r="AD944">
        <v>-1.156282</v>
      </c>
      <c r="AE944">
        <v>5.1833000000000302</v>
      </c>
      <c r="AF944">
        <v>-5.4305040799174797</v>
      </c>
      <c r="AG944">
        <v>-1.156282</v>
      </c>
      <c r="AH944">
        <v>38.5422803725913</v>
      </c>
      <c r="AI944">
        <v>91.701581271940796</v>
      </c>
      <c r="AJ944">
        <v>98.020028601447393</v>
      </c>
      <c r="AK944">
        <v>38.940143026765597</v>
      </c>
      <c r="AL944">
        <v>72.571194536184194</v>
      </c>
      <c r="AM944">
        <v>94.532586250152406</v>
      </c>
      <c r="AN944">
        <v>1.00000000351818</v>
      </c>
    </row>
    <row r="945" spans="1:40" x14ac:dyDescent="0.25">
      <c r="A945" t="str">
        <f>"20190304164114287"</f>
        <v>20190304164114287</v>
      </c>
      <c r="B945" t="str">
        <f>"1551688874272499"</f>
        <v>1551688874272499</v>
      </c>
      <c r="C945" t="s">
        <v>40</v>
      </c>
      <c r="D945">
        <v>4.3124010000000004</v>
      </c>
      <c r="E945">
        <v>0.48476160000000001</v>
      </c>
      <c r="F945" t="s">
        <v>43</v>
      </c>
      <c r="G945">
        <v>-281.18389999999999</v>
      </c>
      <c r="H945">
        <v>-0.05</v>
      </c>
      <c r="I945">
        <v>372.32499999999999</v>
      </c>
      <c r="J945">
        <v>-318.56450000000001</v>
      </c>
      <c r="K945">
        <v>1.1054679999999999</v>
      </c>
      <c r="L945">
        <v>367.29360000000003</v>
      </c>
      <c r="M945">
        <v>0.99982870000000001</v>
      </c>
      <c r="N945">
        <v>-1.732711E-2</v>
      </c>
      <c r="O945">
        <v>-6.5278350000000001E-3</v>
      </c>
      <c r="P945">
        <v>0.95663149999999997</v>
      </c>
      <c r="Q945">
        <v>0.2830067</v>
      </c>
      <c r="R945">
        <v>6.9018659999999996E-2</v>
      </c>
      <c r="S945">
        <v>3.1354980000000001</v>
      </c>
      <c r="T945">
        <v>-9.6391080000000004E-2</v>
      </c>
      <c r="U945">
        <v>0.4193115</v>
      </c>
      <c r="V945">
        <v>-7.5250659999999997E-2</v>
      </c>
      <c r="W945">
        <v>0.29953459999999898</v>
      </c>
      <c r="X945">
        <v>0.95111319999999999</v>
      </c>
      <c r="Y945">
        <v>-0.13891679999999901</v>
      </c>
      <c r="Z945">
        <v>3.4218709999999999E-3</v>
      </c>
      <c r="AA945">
        <v>0.99029820000000002</v>
      </c>
      <c r="AB945">
        <v>36</v>
      </c>
      <c r="AC945">
        <v>37.380600000000001</v>
      </c>
      <c r="AD945">
        <v>-1.1554679999999999</v>
      </c>
      <c r="AE945">
        <v>5.0313999999999597</v>
      </c>
      <c r="AF945">
        <v>-5.2703975906025597</v>
      </c>
      <c r="AG945">
        <v>-1.1554679999999999</v>
      </c>
      <c r="AH945">
        <v>37.311937676538498</v>
      </c>
      <c r="AI945">
        <v>91.756332669432098</v>
      </c>
      <c r="AJ945">
        <v>98.039971337490201</v>
      </c>
      <c r="AK945">
        <v>37.700038332075302</v>
      </c>
      <c r="AL945">
        <v>72.570347345316605</v>
      </c>
      <c r="AM945">
        <v>94.523733326366695</v>
      </c>
      <c r="AN945">
        <v>0.99999997882091696</v>
      </c>
    </row>
    <row r="946" spans="1:40" x14ac:dyDescent="0.25">
      <c r="A946" t="str">
        <f>"20190304164114298"</f>
        <v>20190304164114298</v>
      </c>
      <c r="B946" t="str">
        <f>"1551688874292018"</f>
        <v>1551688874292018</v>
      </c>
      <c r="C946" t="s">
        <v>40</v>
      </c>
      <c r="D946">
        <v>4.3029099999999998</v>
      </c>
      <c r="E946">
        <v>0.48461009999999999</v>
      </c>
      <c r="F946" t="s">
        <v>43</v>
      </c>
      <c r="G946">
        <v>-282.3843</v>
      </c>
      <c r="H946">
        <v>-0.05</v>
      </c>
      <c r="I946">
        <v>372.12729999999999</v>
      </c>
      <c r="J946">
        <v>-318.35700000000003</v>
      </c>
      <c r="K946">
        <v>1.104635</v>
      </c>
      <c r="L946">
        <v>367.29219999999998</v>
      </c>
      <c r="M946">
        <v>0.99981169999999997</v>
      </c>
      <c r="N946">
        <v>-1.8278550000000001E-2</v>
      </c>
      <c r="O946">
        <v>-6.5276809999999996E-3</v>
      </c>
      <c r="P946">
        <v>0.95695520000000001</v>
      </c>
      <c r="Q946">
        <v>0.28192109999999998</v>
      </c>
      <c r="R946">
        <v>6.8974489999999999E-2</v>
      </c>
      <c r="S946">
        <v>3.135345</v>
      </c>
      <c r="T946">
        <v>-0.1001321</v>
      </c>
      <c r="U946">
        <v>0.41888429999999999</v>
      </c>
      <c r="V946">
        <v>-7.520918E-2</v>
      </c>
      <c r="W946">
        <v>0.29936030000000002</v>
      </c>
      <c r="X946">
        <v>0.9511714</v>
      </c>
      <c r="Y946">
        <v>-0.13878199999999999</v>
      </c>
      <c r="Z946">
        <v>3.5690840000000001E-3</v>
      </c>
      <c r="AA946">
        <v>0.99031650000000004</v>
      </c>
      <c r="AB946">
        <v>36</v>
      </c>
      <c r="AC946">
        <v>35.972700000000003</v>
      </c>
      <c r="AD946">
        <v>-1.1546350000000001</v>
      </c>
      <c r="AE946">
        <v>4.8351000000000104</v>
      </c>
      <c r="AF946">
        <v>-5.0647291296725996</v>
      </c>
      <c r="AG946">
        <v>-1.1546350000000001</v>
      </c>
      <c r="AH946">
        <v>35.904032282467298</v>
      </c>
      <c r="AI946">
        <v>91.823890928025406</v>
      </c>
      <c r="AJ946">
        <v>98.029334117029293</v>
      </c>
      <c r="AK946">
        <v>36.277874762458602</v>
      </c>
      <c r="AL946">
        <v>72.580815058782093</v>
      </c>
      <c r="AM946">
        <v>94.520974577637602</v>
      </c>
      <c r="AN946">
        <v>1.0000000210751601</v>
      </c>
    </row>
    <row r="947" spans="1:40" x14ac:dyDescent="0.25">
      <c r="A947" t="str">
        <f>"20190304164114310"</f>
        <v>20190304164114310</v>
      </c>
      <c r="B947" t="str">
        <f>"1551688874301778"</f>
        <v>1551688874301778</v>
      </c>
      <c r="C947" t="s">
        <v>40</v>
      </c>
      <c r="D947">
        <v>4.2814069999999997</v>
      </c>
      <c r="E947">
        <v>0.48453819999999997</v>
      </c>
      <c r="F947" t="s">
        <v>43</v>
      </c>
      <c r="G947">
        <v>-283.40629999999999</v>
      </c>
      <c r="H947">
        <v>-0.05</v>
      </c>
      <c r="I947">
        <v>371.97379999999998</v>
      </c>
      <c r="J947">
        <v>-318.17219999999998</v>
      </c>
      <c r="K947">
        <v>1.1037809999999999</v>
      </c>
      <c r="L947">
        <v>367.291</v>
      </c>
      <c r="M947">
        <v>0.99979870000000004</v>
      </c>
      <c r="N947">
        <v>-1.8977979999999998E-2</v>
      </c>
      <c r="O947">
        <v>-6.5279639999999998E-3</v>
      </c>
      <c r="P947">
        <v>0.95714960000000004</v>
      </c>
      <c r="Q947">
        <v>0.28127000000000002</v>
      </c>
      <c r="R947">
        <v>6.8935969999999999E-2</v>
      </c>
      <c r="S947">
        <v>3.1351619999999998</v>
      </c>
      <c r="T947">
        <v>-0.1035734</v>
      </c>
      <c r="U947">
        <v>0.4199524</v>
      </c>
      <c r="V947">
        <v>-7.5172450000000002E-2</v>
      </c>
      <c r="W947">
        <v>0.29937809999999998</v>
      </c>
      <c r="X947">
        <v>0.95116869999999998</v>
      </c>
      <c r="Y947">
        <v>-0.13911319999999999</v>
      </c>
      <c r="Z947">
        <v>3.704981E-3</v>
      </c>
      <c r="AA947">
        <v>0.99026950000000002</v>
      </c>
      <c r="AB947">
        <v>36</v>
      </c>
      <c r="AC947">
        <v>34.765899999999903</v>
      </c>
      <c r="AD947">
        <v>-1.1537809999999999</v>
      </c>
      <c r="AE947">
        <v>4.6827999999999799</v>
      </c>
      <c r="AF947">
        <v>-4.9043862141084302</v>
      </c>
      <c r="AG947">
        <v>-1.1537809999999999</v>
      </c>
      <c r="AH947">
        <v>34.697050411401101</v>
      </c>
      <c r="AI947">
        <v>91.885822766304599</v>
      </c>
      <c r="AJ947">
        <v>98.045390917019802</v>
      </c>
      <c r="AK947">
        <v>35.060940118376799</v>
      </c>
      <c r="AL947">
        <v>72.579746151344693</v>
      </c>
      <c r="AM947">
        <v>94.518788584083595</v>
      </c>
      <c r="AN947">
        <v>1.0000000199291501</v>
      </c>
    </row>
    <row r="948" spans="1:40" x14ac:dyDescent="0.25">
      <c r="A948" t="str">
        <f>"20190304164114322"</f>
        <v>20190304164114322</v>
      </c>
      <c r="B948" t="str">
        <f>"1551688874312515"</f>
        <v>1551688874312515</v>
      </c>
      <c r="C948" t="s">
        <v>40</v>
      </c>
      <c r="D948">
        <v>4.2841050000000003</v>
      </c>
      <c r="E948">
        <v>0.48444720000000002</v>
      </c>
      <c r="F948" t="s">
        <v>43</v>
      </c>
      <c r="G948">
        <v>-283.91759999999999</v>
      </c>
      <c r="H948">
        <v>-0.05</v>
      </c>
      <c r="I948">
        <v>371.8852</v>
      </c>
      <c r="J948">
        <v>-317.98140000000001</v>
      </c>
      <c r="K948">
        <v>1.1028629999999999</v>
      </c>
      <c r="L948">
        <v>367.28980000000001</v>
      </c>
      <c r="M948">
        <v>0.99978579999999995</v>
      </c>
      <c r="N948">
        <v>-1.9648760000000001E-2</v>
      </c>
      <c r="O948">
        <v>-6.5283299999999997E-3</v>
      </c>
      <c r="P948">
        <v>0.95732399999999995</v>
      </c>
      <c r="Q948">
        <v>0.28066720000000001</v>
      </c>
      <c r="R948">
        <v>6.8971539999999998E-2</v>
      </c>
      <c r="S948">
        <v>3.13504</v>
      </c>
      <c r="T948">
        <v>-0.1055961</v>
      </c>
      <c r="U948">
        <v>0.42047119999999999</v>
      </c>
      <c r="V948">
        <v>-7.5209590000000007E-2</v>
      </c>
      <c r="W948">
        <v>0.29941679999999998</v>
      </c>
      <c r="X948">
        <v>0.95115360000000004</v>
      </c>
      <c r="Y948">
        <v>-0.13927419999999999</v>
      </c>
      <c r="Z948">
        <v>3.800753E-3</v>
      </c>
      <c r="AA948">
        <v>0.99024659999999998</v>
      </c>
      <c r="AB948">
        <v>36</v>
      </c>
      <c r="AC948">
        <v>34.063800000000001</v>
      </c>
      <c r="AD948">
        <v>-1.152863</v>
      </c>
      <c r="AE948">
        <v>4.5953999999999802</v>
      </c>
      <c r="AF948">
        <v>-4.8123110170905496</v>
      </c>
      <c r="AG948">
        <v>-1.152863</v>
      </c>
      <c r="AH948">
        <v>33.994825001527602</v>
      </c>
      <c r="AI948">
        <v>91.9231623046566</v>
      </c>
      <c r="AJ948">
        <v>98.057260700968399</v>
      </c>
      <c r="AK948">
        <v>34.353101130850803</v>
      </c>
      <c r="AL948">
        <v>72.577422502665499</v>
      </c>
      <c r="AM948">
        <v>94.521083377136506</v>
      </c>
      <c r="AN948">
        <v>1.00000003667158</v>
      </c>
    </row>
    <row r="949" spans="1:40" x14ac:dyDescent="0.25">
      <c r="A949" t="str">
        <f>"20190304164114333"</f>
        <v>20190304164114333</v>
      </c>
      <c r="B949" t="str">
        <f>"1551688874322276"</f>
        <v>1551688874322276</v>
      </c>
      <c r="C949" t="s">
        <v>40</v>
      </c>
      <c r="D949">
        <v>4.2778309999999999</v>
      </c>
      <c r="E949">
        <v>0.48437380000000002</v>
      </c>
      <c r="F949" t="s">
        <v>43</v>
      </c>
      <c r="G949">
        <v>-284.34930000000003</v>
      </c>
      <c r="H949">
        <v>-0.05</v>
      </c>
      <c r="I949">
        <v>371.80829999999997</v>
      </c>
      <c r="J949">
        <v>-317.78550000000001</v>
      </c>
      <c r="K949">
        <v>1.1017999999999999</v>
      </c>
      <c r="L949">
        <v>367.2885</v>
      </c>
      <c r="M949">
        <v>0.99977479999999996</v>
      </c>
      <c r="N949">
        <v>-2.0195620000000001E-2</v>
      </c>
      <c r="O949">
        <v>-6.5288630000000002E-3</v>
      </c>
      <c r="P949">
        <v>0.95749759999999995</v>
      </c>
      <c r="Q949">
        <v>0.28003630000000002</v>
      </c>
      <c r="R949">
        <v>6.9124270000000002E-2</v>
      </c>
      <c r="S949">
        <v>3.134827</v>
      </c>
      <c r="T949">
        <v>-0.1074575</v>
      </c>
      <c r="U949">
        <v>0.42117310000000002</v>
      </c>
      <c r="V949">
        <v>-7.5364180000000003E-2</v>
      </c>
      <c r="W949">
        <v>0.29930980000000001</v>
      </c>
      <c r="X949">
        <v>0.95117499999999999</v>
      </c>
      <c r="Y949">
        <v>-0.13949629999999999</v>
      </c>
      <c r="Z949">
        <v>3.8866999999999999E-3</v>
      </c>
      <c r="AA949">
        <v>0.99021490000000001</v>
      </c>
      <c r="AB949">
        <v>37</v>
      </c>
      <c r="AC949">
        <v>33.4361999999999</v>
      </c>
      <c r="AD949">
        <v>-1.1517999999999999</v>
      </c>
      <c r="AE949">
        <v>4.5197999999999698</v>
      </c>
      <c r="AF949">
        <v>-4.7325334593944</v>
      </c>
      <c r="AG949">
        <v>-1.1517999999999999</v>
      </c>
      <c r="AH949">
        <v>33.367087584454701</v>
      </c>
      <c r="AI949">
        <v>91.957435794926397</v>
      </c>
      <c r="AJ949">
        <v>98.072553845151006</v>
      </c>
      <c r="AK949">
        <v>33.720706547356897</v>
      </c>
      <c r="AL949">
        <v>72.583847131661699</v>
      </c>
      <c r="AM949">
        <v>94.530236118771001</v>
      </c>
      <c r="AN949">
        <v>0.99999999831405595</v>
      </c>
    </row>
    <row r="950" spans="1:40" x14ac:dyDescent="0.25">
      <c r="A950" t="str">
        <f>"20190304164114345"</f>
        <v>20190304164114345</v>
      </c>
      <c r="B950" t="str">
        <f>"1551688874332034"</f>
        <v>1551688874332034</v>
      </c>
      <c r="C950" t="s">
        <v>40</v>
      </c>
      <c r="D950">
        <v>4.2592280000000002</v>
      </c>
      <c r="E950">
        <v>0.48427569999999998</v>
      </c>
      <c r="F950" t="s">
        <v>43</v>
      </c>
      <c r="G950">
        <v>-284.74790000000002</v>
      </c>
      <c r="H950">
        <v>-0.05</v>
      </c>
      <c r="I950">
        <v>371.73410000000001</v>
      </c>
      <c r="J950">
        <v>-317.59960000000001</v>
      </c>
      <c r="K950">
        <v>1.1007640000000001</v>
      </c>
      <c r="L950">
        <v>367.28730000000002</v>
      </c>
      <c r="M950">
        <v>0.99976480000000001</v>
      </c>
      <c r="N950">
        <v>-2.068323E-2</v>
      </c>
      <c r="O950">
        <v>-6.5292930000000002E-3</v>
      </c>
      <c r="P950">
        <v>0.95768900000000001</v>
      </c>
      <c r="Q950">
        <v>0.27932620000000002</v>
      </c>
      <c r="R950">
        <v>6.9344829999999996E-2</v>
      </c>
      <c r="S950">
        <v>3.1347049999999999</v>
      </c>
      <c r="T950">
        <v>-0.1092862</v>
      </c>
      <c r="U950">
        <v>0.42181400000000002</v>
      </c>
      <c r="V950">
        <v>-7.5586520000000004E-2</v>
      </c>
      <c r="W950">
        <v>0.29906779999999999</v>
      </c>
      <c r="X950">
        <v>0.95123349999999995</v>
      </c>
      <c r="Y950">
        <v>-0.13969579999999901</v>
      </c>
      <c r="Z950">
        <v>3.9676299999999998E-3</v>
      </c>
      <c r="AA950">
        <v>0.99018649999999997</v>
      </c>
      <c r="AB950">
        <v>37</v>
      </c>
      <c r="AC950">
        <v>32.851699999999902</v>
      </c>
      <c r="AD950">
        <v>-1.1507639999999999</v>
      </c>
      <c r="AE950">
        <v>4.4467999999999899</v>
      </c>
      <c r="AF950">
        <v>-4.6556395865534999</v>
      </c>
      <c r="AG950">
        <v>-1.1507639999999999</v>
      </c>
      <c r="AH950">
        <v>32.782457304859697</v>
      </c>
      <c r="AI950">
        <v>91.990474669543303</v>
      </c>
      <c r="AJ950">
        <v>98.082877247274197</v>
      </c>
      <c r="AK950">
        <v>33.131386096698797</v>
      </c>
      <c r="AL950">
        <v>72.598378739384898</v>
      </c>
      <c r="AM950">
        <v>94.543267124525798</v>
      </c>
      <c r="AN950">
        <v>1.0000000212623901</v>
      </c>
    </row>
    <row r="951" spans="1:40" x14ac:dyDescent="0.25">
      <c r="A951" t="str">
        <f>"20190304164114360"</f>
        <v>20190304164114360</v>
      </c>
      <c r="B951" t="str">
        <f>"1551688874352530"</f>
        <v>1551688874352530</v>
      </c>
      <c r="C951" t="s">
        <v>40</v>
      </c>
      <c r="D951">
        <v>4.2653249999999998</v>
      </c>
      <c r="E951">
        <v>0.48412270000000002</v>
      </c>
      <c r="F951" t="s">
        <v>43</v>
      </c>
      <c r="G951">
        <v>-285.16969999999998</v>
      </c>
      <c r="H951">
        <v>-0.05</v>
      </c>
      <c r="I951">
        <v>371.6703</v>
      </c>
      <c r="J951">
        <v>-317.34840000000003</v>
      </c>
      <c r="K951">
        <v>1.099267</v>
      </c>
      <c r="L951">
        <v>367.28570000000002</v>
      </c>
      <c r="M951">
        <v>0.999753</v>
      </c>
      <c r="N951">
        <v>-2.125121E-2</v>
      </c>
      <c r="O951">
        <v>-6.5296190000000004E-3</v>
      </c>
      <c r="P951">
        <v>0.95786930000000003</v>
      </c>
      <c r="Q951">
        <v>0.27855340000000001</v>
      </c>
      <c r="R951">
        <v>6.9962129999999997E-2</v>
      </c>
      <c r="S951">
        <v>3.1343079999999999</v>
      </c>
      <c r="T951">
        <v>-0.111219899999999</v>
      </c>
      <c r="U951">
        <v>0.4236145</v>
      </c>
      <c r="V951">
        <v>-7.6205490000000001E-2</v>
      </c>
      <c r="W951">
        <v>0.29883890000000002</v>
      </c>
      <c r="X951">
        <v>0.95125599999999999</v>
      </c>
      <c r="Y951">
        <v>-0.14026559999999999</v>
      </c>
      <c r="Z951">
        <v>4.0671559999999997E-3</v>
      </c>
      <c r="AA951">
        <v>0.99010560000000003</v>
      </c>
      <c r="AB951">
        <v>37</v>
      </c>
      <c r="AC951">
        <v>32.178699999999999</v>
      </c>
      <c r="AD951">
        <v>-1.149267</v>
      </c>
      <c r="AE951">
        <v>4.3845999999999696</v>
      </c>
      <c r="AF951">
        <v>-4.5889217631556498</v>
      </c>
      <c r="AG951">
        <v>-1.149267</v>
      </c>
      <c r="AH951">
        <v>32.109166488800497</v>
      </c>
      <c r="AI951">
        <v>92.029281670223</v>
      </c>
      <c r="AJ951">
        <v>98.133421356002401</v>
      </c>
      <c r="AK951">
        <v>32.4557789952908</v>
      </c>
      <c r="AL951">
        <v>72.6121213674855</v>
      </c>
      <c r="AM951">
        <v>94.580205914889106</v>
      </c>
      <c r="AN951">
        <v>0.99999997119767403</v>
      </c>
    </row>
    <row r="952" spans="1:40" x14ac:dyDescent="0.25">
      <c r="A952" t="str">
        <f>"20190304164114374"</f>
        <v>20190304164114374</v>
      </c>
      <c r="B952" t="str">
        <f>"1551688874362290"</f>
        <v>1551688874362290</v>
      </c>
      <c r="C952" t="s">
        <v>40</v>
      </c>
      <c r="D952">
        <v>4.2663209999999996</v>
      </c>
      <c r="E952">
        <v>0.48405500000000001</v>
      </c>
      <c r="F952" t="s">
        <v>43</v>
      </c>
      <c r="G952">
        <v>-285.55610000000001</v>
      </c>
      <c r="H952">
        <v>-0.05</v>
      </c>
      <c r="I952">
        <v>371.61750000000001</v>
      </c>
      <c r="J952">
        <v>-317.14800000000002</v>
      </c>
      <c r="K952">
        <v>1.0979810000000001</v>
      </c>
      <c r="L952">
        <v>367.28440000000001</v>
      </c>
      <c r="M952">
        <v>0.99974540000000001</v>
      </c>
      <c r="N952">
        <v>-2.1597419999999999E-2</v>
      </c>
      <c r="O952">
        <v>-6.5296199999999999E-3</v>
      </c>
      <c r="P952">
        <v>0.95795319999999995</v>
      </c>
      <c r="Q952">
        <v>0.27824500000000002</v>
      </c>
      <c r="R952">
        <v>7.0036929999999997E-2</v>
      </c>
      <c r="S952">
        <v>3.133667</v>
      </c>
      <c r="T952">
        <v>-0.1132793</v>
      </c>
      <c r="U952">
        <v>0.4269714</v>
      </c>
      <c r="V952">
        <v>-7.6280219999999996E-2</v>
      </c>
      <c r="W952">
        <v>0.29886160000000001</v>
      </c>
      <c r="X952">
        <v>0.9512429</v>
      </c>
      <c r="Y952">
        <v>-0.1413276</v>
      </c>
      <c r="Z952">
        <v>4.1705570000000001E-3</v>
      </c>
      <c r="AA952">
        <v>0.98995409999999995</v>
      </c>
      <c r="AB952">
        <v>37</v>
      </c>
      <c r="AC952">
        <v>31.5918999999999</v>
      </c>
      <c r="AD952">
        <v>-1.1479809999999999</v>
      </c>
      <c r="AE952">
        <v>4.3331</v>
      </c>
      <c r="AF952">
        <v>-4.53346319673346</v>
      </c>
      <c r="AG952">
        <v>-1.1479809999999999</v>
      </c>
      <c r="AH952">
        <v>31.522071745554999</v>
      </c>
      <c r="AI952">
        <v>92.064471828158602</v>
      </c>
      <c r="AJ952">
        <v>98.184086047762506</v>
      </c>
      <c r="AK952">
        <v>31.867085779286601</v>
      </c>
      <c r="AL952">
        <v>72.610758830575605</v>
      </c>
      <c r="AM952">
        <v>94.584741168948298</v>
      </c>
      <c r="AN952">
        <v>0.999999991359109</v>
      </c>
    </row>
    <row r="953" spans="1:40" x14ac:dyDescent="0.25">
      <c r="A953" t="str">
        <f>"20190304164114385"</f>
        <v>20190304164114385</v>
      </c>
      <c r="B953" t="str">
        <f>"1551688874372049"</f>
        <v>1551688874372049</v>
      </c>
      <c r="C953" t="s">
        <v>40</v>
      </c>
      <c r="D953">
        <v>4.261215</v>
      </c>
      <c r="E953">
        <v>0.48398809999999898</v>
      </c>
      <c r="F953" t="s">
        <v>43</v>
      </c>
      <c r="G953">
        <v>-285.62310000000002</v>
      </c>
      <c r="H953">
        <v>-0.05</v>
      </c>
      <c r="I953">
        <v>371.58850000000001</v>
      </c>
      <c r="J953">
        <v>-316.95269999999999</v>
      </c>
      <c r="K953">
        <v>1.0967</v>
      </c>
      <c r="L953">
        <v>367.28309999999999</v>
      </c>
      <c r="M953">
        <v>0.99973920000000005</v>
      </c>
      <c r="N953">
        <v>-2.1888870000000001E-2</v>
      </c>
      <c r="O953">
        <v>-6.5296800000000004E-3</v>
      </c>
      <c r="P953">
        <v>0.9580031</v>
      </c>
      <c r="Q953">
        <v>0.27800859999999999</v>
      </c>
      <c r="R953">
        <v>7.0296670000000006E-2</v>
      </c>
      <c r="S953">
        <v>3.1335449999999998</v>
      </c>
      <c r="T953">
        <v>-0.11410820000000001</v>
      </c>
      <c r="U953">
        <v>0.42782589999999998</v>
      </c>
      <c r="V953">
        <v>-7.6540869999999997E-2</v>
      </c>
      <c r="W953">
        <v>0.2989039</v>
      </c>
      <c r="X953">
        <v>0.95120870000000002</v>
      </c>
      <c r="Y953">
        <v>-0.1415951</v>
      </c>
      <c r="Z953">
        <v>4.2175659999999998E-3</v>
      </c>
      <c r="AA953">
        <v>0.98991569999999995</v>
      </c>
      <c r="AB953">
        <v>37</v>
      </c>
      <c r="AC953">
        <v>31.3295999999999</v>
      </c>
      <c r="AD953">
        <v>-1.1467000000000001</v>
      </c>
      <c r="AE953">
        <v>4.3054000000000201</v>
      </c>
      <c r="AF953">
        <v>-4.50400749746409</v>
      </c>
      <c r="AG953">
        <v>-1.1467000000000001</v>
      </c>
      <c r="AH953">
        <v>31.259711411966201</v>
      </c>
      <c r="AI953">
        <v>92.079385056434305</v>
      </c>
      <c r="AJ953">
        <v>98.198948254992004</v>
      </c>
      <c r="AK953">
        <v>31.603331501387999</v>
      </c>
      <c r="AL953">
        <v>72.608219617531105</v>
      </c>
      <c r="AM953">
        <v>94.600504821874594</v>
      </c>
      <c r="AN953">
        <v>1.0000000185856199</v>
      </c>
    </row>
    <row r="954" spans="1:40" x14ac:dyDescent="0.25">
      <c r="A954" t="str">
        <f>"20190304164114397"</f>
        <v>20190304164114397</v>
      </c>
      <c r="B954" t="str">
        <f>"1551688874381810"</f>
        <v>1551688874381810</v>
      </c>
      <c r="C954" t="s">
        <v>40</v>
      </c>
      <c r="D954">
        <v>4.2593509999999997</v>
      </c>
      <c r="E954">
        <v>0.4839483</v>
      </c>
      <c r="F954" t="s">
        <v>43</v>
      </c>
      <c r="G954">
        <v>-285.6995</v>
      </c>
      <c r="H954">
        <v>-0.05</v>
      </c>
      <c r="I954">
        <v>371.5643</v>
      </c>
      <c r="J954">
        <v>-316.75279999999998</v>
      </c>
      <c r="K954">
        <v>1.0953170000000001</v>
      </c>
      <c r="L954">
        <v>367.28179999999998</v>
      </c>
      <c r="M954">
        <v>0.99973480000000003</v>
      </c>
      <c r="N954">
        <v>-2.2084360000000001E-2</v>
      </c>
      <c r="O954">
        <v>-6.5292049999999997E-3</v>
      </c>
      <c r="P954">
        <v>0.95802940000000003</v>
      </c>
      <c r="Q954">
        <v>0.27785599999999999</v>
      </c>
      <c r="R954">
        <v>7.0538160000000003E-2</v>
      </c>
      <c r="S954">
        <v>3.1334230000000001</v>
      </c>
      <c r="T954">
        <v>-0.11496720000000001</v>
      </c>
      <c r="U954">
        <v>0.42922969999999999</v>
      </c>
      <c r="V954">
        <v>-7.6781760000000004E-2</v>
      </c>
      <c r="W954">
        <v>0.29893809999999998</v>
      </c>
      <c r="X954">
        <v>0.95117859999999999</v>
      </c>
      <c r="Y954">
        <v>-0.142032399999999</v>
      </c>
      <c r="Z954">
        <v>4.2642089999999997E-3</v>
      </c>
      <c r="AA954">
        <v>0.98985279999999998</v>
      </c>
      <c r="AB954">
        <v>37</v>
      </c>
      <c r="AC954">
        <v>31.053299999999901</v>
      </c>
      <c r="AD954">
        <v>-1.1453169999999999</v>
      </c>
      <c r="AE954">
        <v>4.2825000000000202</v>
      </c>
      <c r="AF954">
        <v>-4.4792320966240204</v>
      </c>
      <c r="AG954">
        <v>-1.1453169999999999</v>
      </c>
      <c r="AH954">
        <v>30.983309519793298</v>
      </c>
      <c r="AI954">
        <v>92.095246990518703</v>
      </c>
      <c r="AJ954">
        <v>98.226210688312705</v>
      </c>
      <c r="AK954">
        <v>31.326358550033099</v>
      </c>
      <c r="AL954">
        <v>72.606167277007998</v>
      </c>
      <c r="AM954">
        <v>94.615066530472703</v>
      </c>
      <c r="AN954">
        <v>1.00000007769913</v>
      </c>
    </row>
    <row r="955" spans="1:40" x14ac:dyDescent="0.25">
      <c r="A955" t="str">
        <f>"20190304164114409"</f>
        <v>20190304164114409</v>
      </c>
      <c r="B955" t="str">
        <f>"1551688874402306"</f>
        <v>1551688874402306</v>
      </c>
      <c r="C955" t="s">
        <v>40</v>
      </c>
      <c r="D955">
        <v>4.2337069999999999</v>
      </c>
      <c r="E955">
        <v>0.48383569999999998</v>
      </c>
      <c r="F955" t="s">
        <v>43</v>
      </c>
      <c r="G955">
        <v>-285.5702</v>
      </c>
      <c r="H955">
        <v>-0.05</v>
      </c>
      <c r="I955">
        <v>371.57010000000002</v>
      </c>
      <c r="J955">
        <v>-316.56299999999999</v>
      </c>
      <c r="K955">
        <v>1.0939509999999999</v>
      </c>
      <c r="L955">
        <v>367.28050000000002</v>
      </c>
      <c r="M955">
        <v>0.99973279999999998</v>
      </c>
      <c r="N955">
        <v>-2.2184410000000002E-2</v>
      </c>
      <c r="O955">
        <v>-6.5294749999999999E-3</v>
      </c>
      <c r="P955">
        <v>0.95797840000000001</v>
      </c>
      <c r="Q955">
        <v>0.27798270000000003</v>
      </c>
      <c r="R955">
        <v>7.0737679999999997E-2</v>
      </c>
      <c r="S955">
        <v>3.1330870000000002</v>
      </c>
      <c r="T955">
        <v>-0.11507630000000001</v>
      </c>
      <c r="U955">
        <v>0.43087769999999997</v>
      </c>
      <c r="V955">
        <v>-7.6981209999999994E-2</v>
      </c>
      <c r="W955">
        <v>0.299158799999999</v>
      </c>
      <c r="X955">
        <v>0.95109299999999997</v>
      </c>
      <c r="Y955">
        <v>-0.14255689999999999</v>
      </c>
      <c r="Z955">
        <v>4.2890890000000003E-3</v>
      </c>
      <c r="AA955">
        <v>0.98977729999999997</v>
      </c>
      <c r="AB955">
        <v>37</v>
      </c>
      <c r="AC955">
        <v>30.9927999999999</v>
      </c>
      <c r="AD955">
        <v>-1.1439509999999999</v>
      </c>
      <c r="AE955">
        <v>4.2896000000000001</v>
      </c>
      <c r="AF955">
        <v>-4.4859283994799304</v>
      </c>
      <c r="AG955">
        <v>-1.1439509999999999</v>
      </c>
      <c r="AH955">
        <v>30.9227870220612</v>
      </c>
      <c r="AI955">
        <v>92.096694128669895</v>
      </c>
      <c r="AJ955">
        <v>98.254242149278596</v>
      </c>
      <c r="AK955">
        <v>31.267410105530299</v>
      </c>
      <c r="AL955">
        <v>72.592914184050599</v>
      </c>
      <c r="AM955">
        <v>94.627417372621196</v>
      </c>
      <c r="AN955">
        <v>0.99999999447975196</v>
      </c>
    </row>
    <row r="956" spans="1:40" x14ac:dyDescent="0.25">
      <c r="A956" t="str">
        <f>"20190304164114418"</f>
        <v>20190304164114418</v>
      </c>
      <c r="B956" t="str">
        <f>"1551688874412067"</f>
        <v>1551688874412067</v>
      </c>
      <c r="C956" t="s">
        <v>40</v>
      </c>
      <c r="D956">
        <v>4.2426959999999996</v>
      </c>
      <c r="E956">
        <v>0.4837727</v>
      </c>
      <c r="F956" t="s">
        <v>43</v>
      </c>
      <c r="G956">
        <v>-285.32339999999999</v>
      </c>
      <c r="H956">
        <v>-0.05</v>
      </c>
      <c r="I956">
        <v>371.59100000000001</v>
      </c>
      <c r="J956">
        <v>-316.39330000000001</v>
      </c>
      <c r="K956">
        <v>1.092706</v>
      </c>
      <c r="L956">
        <v>367.27940000000001</v>
      </c>
      <c r="M956">
        <v>0.9997317</v>
      </c>
      <c r="N956">
        <v>-2.2223719999999999E-2</v>
      </c>
      <c r="O956">
        <v>-6.5295509999999998E-3</v>
      </c>
      <c r="P956">
        <v>0.95789579999999996</v>
      </c>
      <c r="Q956">
        <v>0.27831400000000001</v>
      </c>
      <c r="R956">
        <v>7.0548699999999895E-2</v>
      </c>
      <c r="S956">
        <v>3.1329349999999998</v>
      </c>
      <c r="T956">
        <v>-0.1147234</v>
      </c>
      <c r="U956">
        <v>0.43228149999999999</v>
      </c>
      <c r="V956">
        <v>-7.6791429999999994E-2</v>
      </c>
      <c r="W956">
        <v>0.2995255</v>
      </c>
      <c r="X956">
        <v>0.95099290000000003</v>
      </c>
      <c r="Y956">
        <v>-0.14299890000000001</v>
      </c>
      <c r="Z956">
        <v>4.2960289999999998E-3</v>
      </c>
      <c r="AA956">
        <v>0.98971350000000002</v>
      </c>
      <c r="AB956">
        <v>37</v>
      </c>
      <c r="AC956">
        <v>31.069900000000001</v>
      </c>
      <c r="AD956">
        <v>-1.142706</v>
      </c>
      <c r="AE956">
        <v>4.3115999999999897</v>
      </c>
      <c r="AF956">
        <v>-4.50844746951873</v>
      </c>
      <c r="AG956">
        <v>-1.142706</v>
      </c>
      <c r="AH956">
        <v>30.999937379087999</v>
      </c>
      <c r="AI956">
        <v>92.089097970703804</v>
      </c>
      <c r="AJ956">
        <v>98.274744709036696</v>
      </c>
      <c r="AK956">
        <v>31.3468976630101</v>
      </c>
      <c r="AL956">
        <v>72.570893711441997</v>
      </c>
      <c r="AM956">
        <v>94.616542646787295</v>
      </c>
      <c r="AN956">
        <v>0.99999997236105198</v>
      </c>
    </row>
    <row r="957" spans="1:40" x14ac:dyDescent="0.25">
      <c r="A957" t="str">
        <f>"20190304164114429"</f>
        <v>20190304164114429</v>
      </c>
      <c r="B957" t="str">
        <f>"1551688874421826"</f>
        <v>1551688874421826</v>
      </c>
      <c r="C957" t="s">
        <v>40</v>
      </c>
      <c r="D957">
        <v>4.2419640000000003</v>
      </c>
      <c r="E957">
        <v>0.48371429999999999</v>
      </c>
      <c r="F957" t="s">
        <v>43</v>
      </c>
      <c r="G957">
        <v>-284.83600000000001</v>
      </c>
      <c r="H957">
        <v>-0.05</v>
      </c>
      <c r="I957">
        <v>371.6327</v>
      </c>
      <c r="J957">
        <v>-316.23239999999998</v>
      </c>
      <c r="K957">
        <v>1.091491</v>
      </c>
      <c r="L957">
        <v>367.27839999999998</v>
      </c>
      <c r="M957">
        <v>0.99973199999999995</v>
      </c>
      <c r="N957">
        <v>-2.2214850000000001E-2</v>
      </c>
      <c r="O957">
        <v>-6.5291009999999998E-3</v>
      </c>
      <c r="P957">
        <v>0.95783229999999997</v>
      </c>
      <c r="Q957">
        <v>0.27852759999999999</v>
      </c>
      <c r="R957">
        <v>7.0568290000000006E-2</v>
      </c>
      <c r="S957">
        <v>3.1329959999999999</v>
      </c>
      <c r="T957">
        <v>-0.1134474</v>
      </c>
      <c r="U957">
        <v>0.43218990000000002</v>
      </c>
      <c r="V957">
        <v>-7.6810320000000001E-2</v>
      </c>
      <c r="W957">
        <v>0.29972929999999998</v>
      </c>
      <c r="X957">
        <v>0.95092719999999997</v>
      </c>
      <c r="Y957">
        <v>-0.14297019999999999</v>
      </c>
      <c r="Z957">
        <v>4.2629390000000003E-3</v>
      </c>
      <c r="AA957">
        <v>0.98971779999999998</v>
      </c>
      <c r="AB957">
        <v>37</v>
      </c>
      <c r="AC957">
        <v>31.3963999999999</v>
      </c>
      <c r="AD957">
        <v>-1.141491</v>
      </c>
      <c r="AE957">
        <v>4.3543000000000198</v>
      </c>
      <c r="AF957">
        <v>-4.55334269457666</v>
      </c>
      <c r="AG957">
        <v>-1.141491</v>
      </c>
      <c r="AH957">
        <v>31.3266657855788</v>
      </c>
      <c r="AI957">
        <v>92.065156642515404</v>
      </c>
      <c r="AJ957">
        <v>98.270048007567695</v>
      </c>
      <c r="AK957">
        <v>31.676425313451801</v>
      </c>
      <c r="AL957">
        <v>72.558655178978199</v>
      </c>
      <c r="AM957">
        <v>94.617991021494603</v>
      </c>
      <c r="AN957">
        <v>1.00000000911841</v>
      </c>
    </row>
    <row r="958" spans="1:40" x14ac:dyDescent="0.25">
      <c r="A958" t="str">
        <f>"20190304164114440"</f>
        <v>20190304164114440</v>
      </c>
      <c r="B958" t="str">
        <f>"1551688874432562"</f>
        <v>1551688874432562</v>
      </c>
      <c r="C958" t="s">
        <v>40</v>
      </c>
      <c r="D958">
        <v>4.3028719999999998</v>
      </c>
      <c r="E958">
        <v>0.48371429999999999</v>
      </c>
      <c r="F958" t="s">
        <v>43</v>
      </c>
      <c r="G958">
        <v>-284.36919999999998</v>
      </c>
      <c r="H958">
        <v>-0.05</v>
      </c>
      <c r="I958">
        <v>371.68810000000002</v>
      </c>
      <c r="J958">
        <v>-316.04989999999998</v>
      </c>
      <c r="K958">
        <v>1.0901050000000001</v>
      </c>
      <c r="L958">
        <v>367.27719999999999</v>
      </c>
      <c r="M958">
        <v>0.99973259999999997</v>
      </c>
      <c r="N958">
        <v>-2.2186299999999999E-2</v>
      </c>
      <c r="O958">
        <v>-6.528318E-3</v>
      </c>
      <c r="P958">
        <v>0.95776030000000001</v>
      </c>
      <c r="Q958">
        <v>0.2788562</v>
      </c>
      <c r="R958">
        <v>7.0246249999999996E-2</v>
      </c>
      <c r="S958">
        <v>3.1327509999999998</v>
      </c>
      <c r="T958">
        <v>-0.1122301</v>
      </c>
      <c r="U958">
        <v>0.43356319999999998</v>
      </c>
      <c r="V958">
        <v>-7.6486699999999894E-2</v>
      </c>
      <c r="W958">
        <v>0.30002899999999999</v>
      </c>
      <c r="X958">
        <v>0.9508588</v>
      </c>
      <c r="Y958">
        <v>-0.1434079</v>
      </c>
      <c r="Z958">
        <v>4.2437689999999997E-3</v>
      </c>
      <c r="AA958">
        <v>0.98965460000000005</v>
      </c>
      <c r="AB958">
        <v>36</v>
      </c>
      <c r="AC958">
        <v>31.680700000000002</v>
      </c>
      <c r="AD958">
        <v>-1.1401049999999999</v>
      </c>
      <c r="AE958">
        <v>4.4109000000000202</v>
      </c>
      <c r="AF958">
        <v>-4.6118194062665303</v>
      </c>
      <c r="AG958">
        <v>-1.1401049999999999</v>
      </c>
      <c r="AH958">
        <v>31.611061039702498</v>
      </c>
      <c r="AI958">
        <v>92.043952145802294</v>
      </c>
      <c r="AJ958">
        <v>98.300469109678403</v>
      </c>
      <c r="AK958">
        <v>31.966042884643102</v>
      </c>
      <c r="AL958">
        <v>72.5406557249987</v>
      </c>
      <c r="AM958">
        <v>94.598947343820399</v>
      </c>
      <c r="AN958">
        <v>1.00000003682766</v>
      </c>
    </row>
    <row r="959" spans="1:40" x14ac:dyDescent="0.25">
      <c r="A959" t="str">
        <f>"20190304164114451"</f>
        <v>20190304164114451</v>
      </c>
      <c r="B959" t="str">
        <f>"1551688874442322"</f>
        <v>1551688874442322</v>
      </c>
      <c r="C959" t="s">
        <v>40</v>
      </c>
      <c r="D959">
        <v>4.4614940000000001</v>
      </c>
      <c r="E959">
        <v>0.4988959</v>
      </c>
      <c r="F959" t="s">
        <v>43</v>
      </c>
      <c r="G959">
        <v>-283.88549999999998</v>
      </c>
      <c r="H959">
        <v>-0.05</v>
      </c>
      <c r="I959">
        <v>371.72219999999999</v>
      </c>
      <c r="J959">
        <v>-315.88420000000002</v>
      </c>
      <c r="K959">
        <v>1.0888230000000001</v>
      </c>
      <c r="L959">
        <v>367.27609999999999</v>
      </c>
      <c r="M959">
        <v>0.9997336</v>
      </c>
      <c r="N959">
        <v>-2.2138649999999999E-2</v>
      </c>
      <c r="O959">
        <v>-6.5272050000000003E-3</v>
      </c>
      <c r="P959">
        <v>0.95776090000000003</v>
      </c>
      <c r="Q959">
        <v>0.27890959999999998</v>
      </c>
      <c r="R959">
        <v>7.0026430000000001E-2</v>
      </c>
      <c r="S959">
        <v>3.1328740000000002</v>
      </c>
      <c r="T959">
        <v>-0.1110486</v>
      </c>
      <c r="U959">
        <v>0.43295289999999997</v>
      </c>
      <c r="V959">
        <v>-7.6265689999999997E-2</v>
      </c>
      <c r="W959">
        <v>0.3000372</v>
      </c>
      <c r="X959">
        <v>0.95087390000000005</v>
      </c>
      <c r="Y959">
        <v>-0.14321510000000001</v>
      </c>
      <c r="Z959">
        <v>4.2056389999999997E-3</v>
      </c>
      <c r="AA959">
        <v>0.98968270000000003</v>
      </c>
      <c r="AB959">
        <v>36</v>
      </c>
      <c r="AC959">
        <v>31.998699999999999</v>
      </c>
      <c r="AD959">
        <v>-1.1388229999999999</v>
      </c>
      <c r="AE959">
        <v>4.4461000000000004</v>
      </c>
      <c r="AF959">
        <v>-4.6491413380851103</v>
      </c>
      <c r="AG959">
        <v>-1.1388229999999999</v>
      </c>
      <c r="AH959">
        <v>31.929313848746801</v>
      </c>
      <c r="AI959">
        <v>92.021404914612503</v>
      </c>
      <c r="AJ959">
        <v>98.284463774589497</v>
      </c>
      <c r="AK959">
        <v>32.286104067517897</v>
      </c>
      <c r="AL959">
        <v>72.540162099616296</v>
      </c>
      <c r="AM959">
        <v>94.585642831672104</v>
      </c>
      <c r="AN959">
        <v>0.99999997527811202</v>
      </c>
    </row>
    <row r="960" spans="1:40" x14ac:dyDescent="0.25">
      <c r="A960" t="str">
        <f>"20190304164114462"</f>
        <v>20190304164114462</v>
      </c>
      <c r="B960" t="str">
        <f>"1551688874452083"</f>
        <v>1551688874452083</v>
      </c>
      <c r="C960" t="s">
        <v>40</v>
      </c>
      <c r="D960">
        <v>4.3010739999999998</v>
      </c>
      <c r="E960">
        <v>0.50996220000000003</v>
      </c>
      <c r="F960" t="s">
        <v>43</v>
      </c>
      <c r="G960">
        <v>-284.93509999999998</v>
      </c>
      <c r="H960">
        <v>-0.05</v>
      </c>
      <c r="I960">
        <v>370.3476</v>
      </c>
      <c r="J960">
        <v>-315.69810000000001</v>
      </c>
      <c r="K960">
        <v>1.0873790000000001</v>
      </c>
      <c r="L960">
        <v>367.27480000000003</v>
      </c>
      <c r="M960">
        <v>0.99973489999999998</v>
      </c>
      <c r="N960">
        <v>-2.2080260000000001E-2</v>
      </c>
      <c r="O960">
        <v>-6.5260939999999996E-3</v>
      </c>
      <c r="P960">
        <v>0.95772290000000004</v>
      </c>
      <c r="Q960">
        <v>0.27910699999999999</v>
      </c>
      <c r="R960">
        <v>6.9757600000000003E-2</v>
      </c>
      <c r="S960">
        <v>3.1432190000000002</v>
      </c>
      <c r="T960">
        <v>-0.1156602</v>
      </c>
      <c r="U960">
        <v>0.31195070000000003</v>
      </c>
      <c r="V960">
        <v>-7.5995090000000001E-2</v>
      </c>
      <c r="W960">
        <v>0.30017870000000002</v>
      </c>
      <c r="X960">
        <v>0.950851</v>
      </c>
      <c r="Y960">
        <v>-0.1051402</v>
      </c>
      <c r="Z960">
        <v>3.1891490000000001E-3</v>
      </c>
      <c r="AA960">
        <v>0.99445229999999996</v>
      </c>
      <c r="AB960">
        <v>36</v>
      </c>
      <c r="AC960">
        <v>30.763000000000002</v>
      </c>
      <c r="AD960">
        <v>-1.1373789999999999</v>
      </c>
      <c r="AE960">
        <v>3.0727999999999698</v>
      </c>
      <c r="AF960">
        <v>-3.2691211355318699</v>
      </c>
      <c r="AG960">
        <v>-1.1373789999999999</v>
      </c>
      <c r="AH960">
        <v>30.700734469787601</v>
      </c>
      <c r="AI960">
        <v>92.109766564630704</v>
      </c>
      <c r="AJ960">
        <v>96.078150373892598</v>
      </c>
      <c r="AK960">
        <v>30.895240425878299</v>
      </c>
      <c r="AL960">
        <v>72.531664598117999</v>
      </c>
      <c r="AM960">
        <v>94.569551017265596</v>
      </c>
      <c r="AN960">
        <v>1.0000000649193901</v>
      </c>
    </row>
    <row r="961" spans="1:40" x14ac:dyDescent="0.25">
      <c r="A961" t="str">
        <f>"20190304164114474"</f>
        <v>20190304164114474</v>
      </c>
      <c r="B961" t="str">
        <f>"1551688874461843"</f>
        <v>1551688874461843</v>
      </c>
      <c r="C961" t="s">
        <v>40</v>
      </c>
      <c r="D961">
        <v>4.2136290000000001</v>
      </c>
      <c r="E961">
        <v>0.51859489999999997</v>
      </c>
      <c r="F961" t="s">
        <v>43</v>
      </c>
      <c r="G961">
        <v>-283.14679999999998</v>
      </c>
      <c r="H961">
        <v>-0.05</v>
      </c>
      <c r="I961">
        <v>369.57409999999999</v>
      </c>
      <c r="J961">
        <v>-315.50049999999999</v>
      </c>
      <c r="K961">
        <v>1.0858449999999999</v>
      </c>
      <c r="L961">
        <v>367.27359999999999</v>
      </c>
      <c r="M961">
        <v>0.9997374</v>
      </c>
      <c r="N961">
        <v>-2.196992E-2</v>
      </c>
      <c r="O961">
        <v>-6.5253660000000003E-3</v>
      </c>
      <c r="P961">
        <v>0.95770770000000005</v>
      </c>
      <c r="Q961">
        <v>0.27918969999999999</v>
      </c>
      <c r="R961">
        <v>6.9638320000000004E-2</v>
      </c>
      <c r="S961">
        <v>3.148285</v>
      </c>
      <c r="T961">
        <v>-0.1100047</v>
      </c>
      <c r="U961">
        <v>0.22238160000000001</v>
      </c>
      <c r="V961">
        <v>-7.5875040000000005E-2</v>
      </c>
      <c r="W961">
        <v>0.30015589999999998</v>
      </c>
      <c r="X961">
        <v>0.95086769999999998</v>
      </c>
      <c r="Y961">
        <v>-7.689269E-2</v>
      </c>
      <c r="Z961">
        <v>2.2720000000000001E-3</v>
      </c>
      <c r="AA961">
        <v>0.99703679999999995</v>
      </c>
      <c r="AB961">
        <v>36</v>
      </c>
      <c r="AC961">
        <v>32.353700000000003</v>
      </c>
      <c r="AD961">
        <v>-1.135845</v>
      </c>
      <c r="AE961">
        <v>2.3004999999999902</v>
      </c>
      <c r="AF961">
        <v>-2.5085454354836401</v>
      </c>
      <c r="AG961">
        <v>-1.135845</v>
      </c>
      <c r="AH961">
        <v>32.298387801987602</v>
      </c>
      <c r="AI961">
        <v>92.008061597175896</v>
      </c>
      <c r="AJ961">
        <v>94.441122678239907</v>
      </c>
      <c r="AK961">
        <v>32.4155641424531</v>
      </c>
      <c r="AL961">
        <v>72.533032643192001</v>
      </c>
      <c r="AM961">
        <v>94.562283172856894</v>
      </c>
      <c r="AN961">
        <v>0.99999998445155003</v>
      </c>
    </row>
    <row r="962" spans="1:40" x14ac:dyDescent="0.25">
      <c r="A962" t="str">
        <f>"20190304164114486"</f>
        <v>20190304164114486</v>
      </c>
      <c r="B962" t="str">
        <f>"1551688874472578"</f>
        <v>1551688874472578</v>
      </c>
      <c r="C962" t="s">
        <v>40</v>
      </c>
      <c r="D962">
        <v>4.211074</v>
      </c>
      <c r="E962">
        <v>0.5246478</v>
      </c>
      <c r="F962" t="s">
        <v>43</v>
      </c>
      <c r="G962">
        <v>-283.57350000000002</v>
      </c>
      <c r="H962">
        <v>-0.05</v>
      </c>
      <c r="I962">
        <v>368.82369999999997</v>
      </c>
      <c r="J962">
        <v>-315.33920000000001</v>
      </c>
      <c r="K962">
        <v>1.0846020000000001</v>
      </c>
      <c r="L962">
        <v>367.27249999999998</v>
      </c>
      <c r="M962">
        <v>0.99973970000000001</v>
      </c>
      <c r="N962">
        <v>-2.1866770000000001E-2</v>
      </c>
      <c r="O962">
        <v>-6.5249569999999996E-3</v>
      </c>
      <c r="P962">
        <v>0.95771119999999998</v>
      </c>
      <c r="Q962">
        <v>0.2792077</v>
      </c>
      <c r="R962">
        <v>6.9517770000000007E-2</v>
      </c>
      <c r="S962">
        <v>3.1540219999999999</v>
      </c>
      <c r="T962">
        <v>-0.11220860000000001</v>
      </c>
      <c r="U962">
        <v>0.1531372</v>
      </c>
      <c r="V962">
        <v>-7.5754169999999996E-2</v>
      </c>
      <c r="W962">
        <v>0.30007590000000001</v>
      </c>
      <c r="X962">
        <v>0.95090260000000004</v>
      </c>
      <c r="Y962">
        <v>-5.4956989999999997E-2</v>
      </c>
      <c r="Z962">
        <v>1.6676410000000001E-3</v>
      </c>
      <c r="AA962">
        <v>0.99848740000000002</v>
      </c>
      <c r="AB962">
        <v>36</v>
      </c>
      <c r="AC962">
        <v>31.765699999999899</v>
      </c>
      <c r="AD962">
        <v>-1.1346020000000001</v>
      </c>
      <c r="AE962">
        <v>1.5511999999999899</v>
      </c>
      <c r="AF962">
        <v>-1.75625110884431</v>
      </c>
      <c r="AG962">
        <v>-1.1346020000000001</v>
      </c>
      <c r="AH962">
        <v>31.714535523666498</v>
      </c>
      <c r="AI962">
        <v>92.045777154447805</v>
      </c>
      <c r="AJ962">
        <v>93.169622507905999</v>
      </c>
      <c r="AK962">
        <v>31.783384073091199</v>
      </c>
      <c r="AL962">
        <v>72.537838043321898</v>
      </c>
      <c r="AM962">
        <v>94.554879525039297</v>
      </c>
      <c r="AN962">
        <v>0.99999999735997902</v>
      </c>
    </row>
    <row r="963" spans="1:40" x14ac:dyDescent="0.25">
      <c r="A963" t="str">
        <f>"20190304164114496"</f>
        <v>20190304164114496</v>
      </c>
      <c r="B963" t="str">
        <f>"1551688874482339"</f>
        <v>1551688874482339</v>
      </c>
      <c r="C963" t="s">
        <v>40</v>
      </c>
      <c r="D963">
        <v>4.3088629999999997</v>
      </c>
      <c r="E963">
        <v>0.52899269999999998</v>
      </c>
      <c r="F963" t="s">
        <v>43</v>
      </c>
      <c r="G963">
        <v>-283.83620000000002</v>
      </c>
      <c r="H963">
        <v>-0.05</v>
      </c>
      <c r="I963">
        <v>368.31700000000001</v>
      </c>
      <c r="J963">
        <v>-315.13889999999998</v>
      </c>
      <c r="K963">
        <v>1.083073</v>
      </c>
      <c r="L963">
        <v>367.27120000000002</v>
      </c>
      <c r="M963">
        <v>0.99974350000000001</v>
      </c>
      <c r="N963">
        <v>-2.1684889999999998E-2</v>
      </c>
      <c r="O963">
        <v>-6.5246480000000001E-3</v>
      </c>
      <c r="P963">
        <v>0.95769939999999998</v>
      </c>
      <c r="Q963">
        <v>0.27929929999999997</v>
      </c>
      <c r="R963">
        <v>6.9308670000000003E-2</v>
      </c>
      <c r="S963">
        <v>3.15802</v>
      </c>
      <c r="T963">
        <v>-0.1137378</v>
      </c>
      <c r="U963">
        <v>0.1047058</v>
      </c>
      <c r="V963">
        <v>-7.5544449999999999E-2</v>
      </c>
      <c r="W963">
        <v>0.29999399999999998</v>
      </c>
      <c r="X963">
        <v>0.95094509999999999</v>
      </c>
      <c r="Y963">
        <v>-3.9617399999999997E-2</v>
      </c>
      <c r="Z963">
        <v>1.2363459999999999E-3</v>
      </c>
      <c r="AA963">
        <v>0.99921420000000005</v>
      </c>
      <c r="AB963">
        <v>36</v>
      </c>
      <c r="AC963">
        <v>31.302699999999898</v>
      </c>
      <c r="AD963">
        <v>-1.133073</v>
      </c>
      <c r="AE963">
        <v>1.0457999999999199</v>
      </c>
      <c r="AF963">
        <v>-1.2484309526438699</v>
      </c>
      <c r="AG963">
        <v>-1.133073</v>
      </c>
      <c r="AH963">
        <v>31.254303196821901</v>
      </c>
      <c r="AI963">
        <v>92.074601348680602</v>
      </c>
      <c r="AJ963">
        <v>92.287423190297503</v>
      </c>
      <c r="AK963">
        <v>31.2997428517507</v>
      </c>
      <c r="AL963">
        <v>72.542756773801798</v>
      </c>
      <c r="AM963">
        <v>94.542120351563298</v>
      </c>
      <c r="AN963">
        <v>0.99999997358790504</v>
      </c>
    </row>
    <row r="964" spans="1:40" x14ac:dyDescent="0.25">
      <c r="A964" t="str">
        <f>"20190304164114507"</f>
        <v>20190304164114507</v>
      </c>
      <c r="B964" t="str">
        <f>"1551688874501859"</f>
        <v>1551688874501859</v>
      </c>
      <c r="C964" t="s">
        <v>40</v>
      </c>
      <c r="D964">
        <v>4.1626070000000004</v>
      </c>
      <c r="E964">
        <v>0.53431419999999996</v>
      </c>
      <c r="F964" t="s">
        <v>43</v>
      </c>
      <c r="G964">
        <v>-281.97519999999997</v>
      </c>
      <c r="H964">
        <v>-0.05</v>
      </c>
      <c r="I964">
        <v>367.99299999999999</v>
      </c>
      <c r="J964">
        <v>-314.96969999999999</v>
      </c>
      <c r="K964">
        <v>1.0818080000000001</v>
      </c>
      <c r="L964">
        <v>367.27010000000001</v>
      </c>
      <c r="M964">
        <v>0.99974739999999995</v>
      </c>
      <c r="N964">
        <v>-2.1503000000000001E-2</v>
      </c>
      <c r="O964">
        <v>-6.5249510000000002E-3</v>
      </c>
      <c r="P964">
        <v>0.95766289999999998</v>
      </c>
      <c r="Q964">
        <v>0.27948539999999999</v>
      </c>
      <c r="R964">
        <v>6.9062289999999998E-2</v>
      </c>
      <c r="S964">
        <v>3.159027</v>
      </c>
      <c r="T964">
        <v>-0.1079315</v>
      </c>
      <c r="U964">
        <v>6.8756100000000001E-2</v>
      </c>
      <c r="V964">
        <v>-7.5298379999999998E-2</v>
      </c>
      <c r="W964">
        <v>0.3000063</v>
      </c>
      <c r="X964">
        <v>0.95096080000000005</v>
      </c>
      <c r="Y964">
        <v>-2.8256880000000002E-2</v>
      </c>
      <c r="Z964">
        <v>8.6908890000000005E-4</v>
      </c>
      <c r="AA964">
        <v>0.9996003</v>
      </c>
      <c r="AB964">
        <v>36</v>
      </c>
      <c r="AC964">
        <v>32.994500000000002</v>
      </c>
      <c r="AD964">
        <v>-1.1318079999999999</v>
      </c>
      <c r="AE964">
        <v>0.72290000000003796</v>
      </c>
      <c r="AF964">
        <v>-0.93711973761854805</v>
      </c>
      <c r="AG964">
        <v>-1.1318079999999999</v>
      </c>
      <c r="AH964">
        <v>32.950325571961898</v>
      </c>
      <c r="AI964">
        <v>91.966480013004798</v>
      </c>
      <c r="AJ964">
        <v>91.629074533636498</v>
      </c>
      <c r="AK964">
        <v>32.983073508237297</v>
      </c>
      <c r="AL964">
        <v>72.542019106938298</v>
      </c>
      <c r="AM964">
        <v>94.527312532343004</v>
      </c>
      <c r="AN964">
        <v>1.0000000346034701</v>
      </c>
    </row>
    <row r="965" spans="1:40" x14ac:dyDescent="0.25">
      <c r="A965" t="str">
        <f>"20190304164114517"</f>
        <v>20190304164114517</v>
      </c>
      <c r="B965" t="str">
        <f>"1551688874512595"</f>
        <v>1551688874512595</v>
      </c>
      <c r="C965" t="s">
        <v>40</v>
      </c>
      <c r="D965">
        <v>4.1416110000000002</v>
      </c>
      <c r="E965">
        <v>0.53610159999999996</v>
      </c>
      <c r="F965" t="s">
        <v>43</v>
      </c>
      <c r="G965">
        <v>-280.23250000000002</v>
      </c>
      <c r="H965">
        <v>-0.05</v>
      </c>
      <c r="I965">
        <v>367.54809999999998</v>
      </c>
      <c r="J965">
        <v>-314.80759999999998</v>
      </c>
      <c r="K965">
        <v>1.0806150000000001</v>
      </c>
      <c r="L965">
        <v>367.26909999999998</v>
      </c>
      <c r="M965">
        <v>0.99975190000000003</v>
      </c>
      <c r="N965">
        <v>-2.130081E-2</v>
      </c>
      <c r="O965">
        <v>-6.5254120000000004E-3</v>
      </c>
      <c r="P965">
        <v>0.95765330000000004</v>
      </c>
      <c r="Q965">
        <v>0.27960459999999998</v>
      </c>
      <c r="R965">
        <v>6.8714220000000006E-2</v>
      </c>
      <c r="S965">
        <v>3.1608890000000001</v>
      </c>
      <c r="T965">
        <v>-0.1029881</v>
      </c>
      <c r="U965">
        <v>2.529907E-2</v>
      </c>
      <c r="V965">
        <v>-7.4950580000000003E-2</v>
      </c>
      <c r="W965">
        <v>0.29993309999999901</v>
      </c>
      <c r="X965">
        <v>0.95101139999999995</v>
      </c>
      <c r="Y965">
        <v>-1.4516889999999999E-2</v>
      </c>
      <c r="Z965">
        <v>4.6468110000000003E-4</v>
      </c>
      <c r="AA965">
        <v>0.99989450000000002</v>
      </c>
      <c r="AB965">
        <v>36</v>
      </c>
      <c r="AC965">
        <v>34.5750999999999</v>
      </c>
      <c r="AD965">
        <v>-1.1306149999999999</v>
      </c>
      <c r="AE965">
        <v>0.27899999999999597</v>
      </c>
      <c r="AF965">
        <v>-0.50412298475845796</v>
      </c>
      <c r="AG965">
        <v>-1.1306149999999999</v>
      </c>
      <c r="AH965">
        <v>34.535615746948203</v>
      </c>
      <c r="AI965">
        <v>91.874860071988294</v>
      </c>
      <c r="AJ965">
        <v>90.836298050473403</v>
      </c>
      <c r="AK965">
        <v>34.557794855616002</v>
      </c>
      <c r="AL965">
        <v>72.546416232240304</v>
      </c>
      <c r="AM965">
        <v>94.506248617251302</v>
      </c>
      <c r="AN965">
        <v>1.0000000684239501</v>
      </c>
    </row>
    <row r="966" spans="1:40" x14ac:dyDescent="0.25">
      <c r="A966" t="str">
        <f>"20190304164114529"</f>
        <v>20190304164114529</v>
      </c>
      <c r="B966" t="str">
        <f>"1551688874522355"</f>
        <v>1551688874522355</v>
      </c>
      <c r="C966" t="s">
        <v>40</v>
      </c>
      <c r="D966">
        <v>4.1479569999999999</v>
      </c>
      <c r="E966">
        <v>0.53747880000000003</v>
      </c>
      <c r="F966" t="s">
        <v>43</v>
      </c>
      <c r="G966">
        <v>-280.12430000000001</v>
      </c>
      <c r="H966">
        <v>-0.05</v>
      </c>
      <c r="I966">
        <v>367.38690000000003</v>
      </c>
      <c r="J966">
        <v>-314.62259999999998</v>
      </c>
      <c r="K966">
        <v>1.07929599999999</v>
      </c>
      <c r="L966">
        <v>367.2679</v>
      </c>
      <c r="M966">
        <v>0.99975740000000002</v>
      </c>
      <c r="N966">
        <v>-2.1042459999999999E-2</v>
      </c>
      <c r="O966">
        <v>-6.5261399999999997E-3</v>
      </c>
      <c r="P966">
        <v>0.95758030000000005</v>
      </c>
      <c r="Q966">
        <v>0.27991969999999999</v>
      </c>
      <c r="R966">
        <v>6.8448170000000003E-2</v>
      </c>
      <c r="S966">
        <v>3.1619869999999999</v>
      </c>
      <c r="T966">
        <v>-0.10307529999999999</v>
      </c>
      <c r="U966">
        <v>1.074219E-2</v>
      </c>
      <c r="V966">
        <v>-7.4684979999999998E-2</v>
      </c>
      <c r="W966">
        <v>0.30000080000000001</v>
      </c>
      <c r="X966">
        <v>0.95101089999999999</v>
      </c>
      <c r="Y966">
        <v>-9.9156420000000006E-3</v>
      </c>
      <c r="Z966">
        <v>3.4131E-4</v>
      </c>
      <c r="AA966">
        <v>0.99995080000000003</v>
      </c>
      <c r="AB966">
        <v>36</v>
      </c>
      <c r="AC966">
        <v>34.498299999999901</v>
      </c>
      <c r="AD966">
        <v>-1.1292960000000001</v>
      </c>
      <c r="AE966">
        <v>0.119000000000028</v>
      </c>
      <c r="AF966">
        <v>-0.34381961281106399</v>
      </c>
      <c r="AG966">
        <v>-1.1292960000000001</v>
      </c>
      <c r="AH966">
        <v>34.459862549072298</v>
      </c>
      <c r="AI966">
        <v>91.876894587197398</v>
      </c>
      <c r="AJ966">
        <v>90.571643576851699</v>
      </c>
      <c r="AK966">
        <v>34.480076106104001</v>
      </c>
      <c r="AL966">
        <v>72.542349350392399</v>
      </c>
      <c r="AM966">
        <v>94.490347739765099</v>
      </c>
      <c r="AN966">
        <v>1.00000002907852</v>
      </c>
    </row>
    <row r="967" spans="1:40" x14ac:dyDescent="0.25">
      <c r="A967" t="str">
        <f>"20190304164114538"</f>
        <v>20190304164114538</v>
      </c>
      <c r="B967" t="str">
        <f>"1551688874532114"</f>
        <v>1551688874532114</v>
      </c>
      <c r="C967" t="s">
        <v>40</v>
      </c>
      <c r="D967">
        <v>4.1447609999999999</v>
      </c>
      <c r="E967">
        <v>0.53859829999999997</v>
      </c>
      <c r="F967" t="s">
        <v>43</v>
      </c>
      <c r="G967">
        <v>-280.01089999999999</v>
      </c>
      <c r="H967">
        <v>-0.05</v>
      </c>
      <c r="I967">
        <v>367.26049999999998</v>
      </c>
      <c r="J967">
        <v>-314.44479999999999</v>
      </c>
      <c r="K967">
        <v>1.078057</v>
      </c>
      <c r="L967">
        <v>367.26670000000001</v>
      </c>
      <c r="M967">
        <v>0.99976290000000001</v>
      </c>
      <c r="N967">
        <v>-2.0775149999999999E-2</v>
      </c>
      <c r="O967">
        <v>-6.5265719999999996E-3</v>
      </c>
      <c r="P967">
        <v>0.95761620000000003</v>
      </c>
      <c r="Q967">
        <v>0.27980850000000002</v>
      </c>
      <c r="R967">
        <v>6.8399639999999998E-2</v>
      </c>
      <c r="S967">
        <v>3.1630859999999998</v>
      </c>
      <c r="T967">
        <v>-0.1032038</v>
      </c>
      <c r="U967">
        <v>-6.7138669999999997E-4</v>
      </c>
      <c r="V967">
        <v>-7.4637259999999997E-2</v>
      </c>
      <c r="W967">
        <v>0.29963600000000001</v>
      </c>
      <c r="X967">
        <v>0.95112960000000002</v>
      </c>
      <c r="Y967">
        <v>-6.3097739999999998E-3</v>
      </c>
      <c r="Z967">
        <v>2.4578319999999997E-4</v>
      </c>
      <c r="AA967">
        <v>0.99998010000000004</v>
      </c>
      <c r="AB967">
        <v>36</v>
      </c>
      <c r="AC967">
        <v>34.433899999999902</v>
      </c>
      <c r="AD967">
        <v>-1.1280569999999901</v>
      </c>
      <c r="AE967">
        <v>-6.2000000000352797E-3</v>
      </c>
      <c r="AF967">
        <v>-0.218349629728051</v>
      </c>
      <c r="AG967">
        <v>-1.1280569999999901</v>
      </c>
      <c r="AH967">
        <v>34.396291909304701</v>
      </c>
      <c r="AI967">
        <v>91.878354998432897</v>
      </c>
      <c r="AJ967">
        <v>90.363712002150606</v>
      </c>
      <c r="AK967">
        <v>34.415477423190801</v>
      </c>
      <c r="AL967">
        <v>72.564257963000998</v>
      </c>
      <c r="AM967">
        <v>94.486932605545704</v>
      </c>
      <c r="AN967">
        <v>0.99999998453623296</v>
      </c>
    </row>
    <row r="968" spans="1:40" x14ac:dyDescent="0.25">
      <c r="A968" t="str">
        <f>"20190304164114550"</f>
        <v>20190304164114550</v>
      </c>
      <c r="B968" t="str">
        <f>"1551688874541875"</f>
        <v>1551688874541875</v>
      </c>
      <c r="C968" t="s">
        <v>40</v>
      </c>
      <c r="D968">
        <v>4.1545639999999997</v>
      </c>
      <c r="E968">
        <v>0.53952309999999903</v>
      </c>
      <c r="F968" t="s">
        <v>43</v>
      </c>
      <c r="G968">
        <v>-280.22649999999999</v>
      </c>
      <c r="H968">
        <v>-0.05</v>
      </c>
      <c r="I968">
        <v>367.1653</v>
      </c>
      <c r="J968">
        <v>-314.27159999999998</v>
      </c>
      <c r="K968">
        <v>1.076916</v>
      </c>
      <c r="L968">
        <v>367.26560000000001</v>
      </c>
      <c r="M968">
        <v>0.99976869999999995</v>
      </c>
      <c r="N968">
        <v>-2.04931E-2</v>
      </c>
      <c r="O968">
        <v>-6.5270099999999998E-3</v>
      </c>
      <c r="P968">
        <v>0.95755199999999996</v>
      </c>
      <c r="Q968">
        <v>0.28012579999999998</v>
      </c>
      <c r="R968">
        <v>6.799914E-2</v>
      </c>
      <c r="S968">
        <v>3.1639710000000001</v>
      </c>
      <c r="T968">
        <v>-0.10430490000000001</v>
      </c>
      <c r="U968">
        <v>-9.3688959999999998E-3</v>
      </c>
      <c r="V968">
        <v>-7.4236969999999999E-2</v>
      </c>
      <c r="W968">
        <v>0.2996838</v>
      </c>
      <c r="X968">
        <v>0.95114589999999999</v>
      </c>
      <c r="Y968">
        <v>-3.563662E-3</v>
      </c>
      <c r="Z968">
        <v>1.76611899999999E-4</v>
      </c>
      <c r="AA968">
        <v>0.99999360000000004</v>
      </c>
      <c r="AB968">
        <v>36</v>
      </c>
      <c r="AC968">
        <v>34.045099999999898</v>
      </c>
      <c r="AD968">
        <v>-1.126916</v>
      </c>
      <c r="AE968">
        <v>-0.100300000000004</v>
      </c>
      <c r="AF968">
        <v>-0.121828038420975</v>
      </c>
      <c r="AG968">
        <v>-1.126916</v>
      </c>
      <c r="AH968">
        <v>34.007768830205698</v>
      </c>
      <c r="AI968">
        <v>91.897904553798895</v>
      </c>
      <c r="AJ968">
        <v>90.205253176212807</v>
      </c>
      <c r="AK968">
        <v>34.026653120028001</v>
      </c>
      <c r="AL968">
        <v>72.561387862158298</v>
      </c>
      <c r="AM968">
        <v>94.4628898680769</v>
      </c>
      <c r="AN968">
        <v>1.0000000153920101</v>
      </c>
    </row>
    <row r="969" spans="1:40" x14ac:dyDescent="0.25">
      <c r="A969" t="str">
        <f>"20190304164114563"</f>
        <v>20190304164114563</v>
      </c>
      <c r="B969" t="str">
        <f>"1551688874552610"</f>
        <v>1551688874552610</v>
      </c>
      <c r="C969" t="s">
        <v>40</v>
      </c>
      <c r="D969">
        <v>4.1238510000000002</v>
      </c>
      <c r="E969">
        <v>0.54013730000000004</v>
      </c>
      <c r="F969" t="s">
        <v>43</v>
      </c>
      <c r="G969">
        <v>-279.61779999999999</v>
      </c>
      <c r="H969">
        <v>-0.05</v>
      </c>
      <c r="I969">
        <v>367.0677</v>
      </c>
      <c r="J969">
        <v>-314.07369999999997</v>
      </c>
      <c r="K969">
        <v>1.075639</v>
      </c>
      <c r="L969">
        <v>367.26429999999999</v>
      </c>
      <c r="M969">
        <v>0.99977550000000004</v>
      </c>
      <c r="N969">
        <v>-2.0163170000000001E-2</v>
      </c>
      <c r="O969">
        <v>-6.5276040000000002E-3</v>
      </c>
      <c r="P969">
        <v>0.9574859</v>
      </c>
      <c r="Q969">
        <v>0.28037329999999999</v>
      </c>
      <c r="R969">
        <v>6.7910650000000003E-2</v>
      </c>
      <c r="S969">
        <v>3.1643979999999998</v>
      </c>
      <c r="T969">
        <v>-0.1029036</v>
      </c>
      <c r="U969">
        <v>-1.8066410000000001E-2</v>
      </c>
      <c r="V969">
        <v>-7.4148370000000005E-2</v>
      </c>
      <c r="W969">
        <v>0.29961589999999999</v>
      </c>
      <c r="X969">
        <v>0.95117419999999997</v>
      </c>
      <c r="Y969">
        <v>-8.1856889999999997E-4</v>
      </c>
      <c r="Z969">
        <v>1.0215760000000001E-4</v>
      </c>
      <c r="AA969">
        <v>0.99999959999999999</v>
      </c>
      <c r="AB969">
        <v>36</v>
      </c>
      <c r="AC969">
        <v>34.4558999999999</v>
      </c>
      <c r="AD969">
        <v>-1.1256389999999901</v>
      </c>
      <c r="AE969">
        <v>-0.19659999999998901</v>
      </c>
      <c r="AF969">
        <v>-2.8334131779070099E-2</v>
      </c>
      <c r="AG969">
        <v>-1.1256389999999901</v>
      </c>
      <c r="AH969">
        <v>34.419715544998397</v>
      </c>
      <c r="AI969">
        <v>91.873094052441601</v>
      </c>
      <c r="AJ969">
        <v>90.047165578642804</v>
      </c>
      <c r="AK969">
        <v>34.438128348967403</v>
      </c>
      <c r="AL969">
        <v>72.565465588062693</v>
      </c>
      <c r="AM969">
        <v>94.4574529074726</v>
      </c>
      <c r="AN969">
        <v>1.0000000135260501</v>
      </c>
    </row>
    <row r="970" spans="1:40" x14ac:dyDescent="0.25">
      <c r="A970" t="str">
        <f>"20190304164114574"</f>
        <v>20190304164114574</v>
      </c>
      <c r="B970" t="str">
        <f>"1551688874562370"</f>
        <v>1551688874562370</v>
      </c>
      <c r="C970" t="s">
        <v>40</v>
      </c>
      <c r="D970">
        <v>4.1144449999999999</v>
      </c>
      <c r="E970">
        <v>0.54057310000000003</v>
      </c>
      <c r="F970" t="s">
        <v>43</v>
      </c>
      <c r="G970">
        <v>-278.89389999999997</v>
      </c>
      <c r="H970">
        <v>-0.05</v>
      </c>
      <c r="I970">
        <v>367.00639999999999</v>
      </c>
      <c r="J970">
        <v>-313.88479999999998</v>
      </c>
      <c r="K970">
        <v>1.0745209999999901</v>
      </c>
      <c r="L970">
        <v>367.26299999999998</v>
      </c>
      <c r="M970">
        <v>0.99978210000000001</v>
      </c>
      <c r="N970">
        <v>-1.9835129999999999E-2</v>
      </c>
      <c r="O970">
        <v>-6.527677E-3</v>
      </c>
      <c r="P970">
        <v>0.95744059999999998</v>
      </c>
      <c r="Q970">
        <v>0.28059990000000001</v>
      </c>
      <c r="R970">
        <v>6.7610989999999996E-2</v>
      </c>
      <c r="S970">
        <v>3.16452</v>
      </c>
      <c r="T970">
        <v>-0.1012541</v>
      </c>
      <c r="U970">
        <v>-2.319336E-2</v>
      </c>
      <c r="V970">
        <v>-7.3848869999999997E-2</v>
      </c>
      <c r="W970">
        <v>0.29952960000000001</v>
      </c>
      <c r="X970">
        <v>0.95122470000000003</v>
      </c>
      <c r="Y970">
        <v>7.9986770000000003E-4</v>
      </c>
      <c r="Z970" s="1">
        <v>5.8598080000000003E-5</v>
      </c>
      <c r="AA970">
        <v>0.99999970000000005</v>
      </c>
      <c r="AB970">
        <v>36</v>
      </c>
      <c r="AC970">
        <v>34.990900000000003</v>
      </c>
      <c r="AD970">
        <v>-1.1245210000000001</v>
      </c>
      <c r="AE970">
        <v>-0.25660000000004801</v>
      </c>
      <c r="AF970">
        <v>2.81112934726497E-2</v>
      </c>
      <c r="AG970">
        <v>-1.1245210000000001</v>
      </c>
      <c r="AH970">
        <v>34.955728482177697</v>
      </c>
      <c r="AI970">
        <v>91.842561340820495</v>
      </c>
      <c r="AJ970">
        <v>89.953922913486494</v>
      </c>
      <c r="AK970">
        <v>34.973822945797501</v>
      </c>
      <c r="AL970">
        <v>72.570648591979193</v>
      </c>
      <c r="AM970">
        <v>94.439285742313203</v>
      </c>
      <c r="AN970">
        <v>1.0000000333832599</v>
      </c>
    </row>
    <row r="971" spans="1:40" x14ac:dyDescent="0.25">
      <c r="A971" t="str">
        <f>"20190304164114585"</f>
        <v>20190304164114585</v>
      </c>
      <c r="B971" t="str">
        <f>"1551688874572132"</f>
        <v>1551688874572132</v>
      </c>
      <c r="C971" t="s">
        <v>40</v>
      </c>
      <c r="D971">
        <v>4.1153149999999998</v>
      </c>
      <c r="E971">
        <v>0.54093400000000003</v>
      </c>
      <c r="F971" t="s">
        <v>42</v>
      </c>
      <c r="G971">
        <v>-279.7285</v>
      </c>
      <c r="H971" s="1">
        <v>-7.8412899999999904E-7</v>
      </c>
      <c r="I971">
        <v>366.96420000000001</v>
      </c>
      <c r="J971">
        <v>-313.70409999999998</v>
      </c>
      <c r="K971">
        <v>1.07348</v>
      </c>
      <c r="L971">
        <v>367.26190000000003</v>
      </c>
      <c r="M971">
        <v>0.99978820000000002</v>
      </c>
      <c r="N971">
        <v>-1.9520820000000001E-2</v>
      </c>
      <c r="O971">
        <v>-6.5274599999999997E-3</v>
      </c>
      <c r="P971">
        <v>0.95739969999999996</v>
      </c>
      <c r="Q971">
        <v>0.28080260000000001</v>
      </c>
      <c r="R971">
        <v>6.7348359999999996E-2</v>
      </c>
      <c r="S971">
        <v>3.1644589999999999</v>
      </c>
      <c r="T971">
        <v>-9.9550130000000001E-2</v>
      </c>
      <c r="U971">
        <v>-2.767944E-2</v>
      </c>
      <c r="V971">
        <v>-7.3585410000000004E-2</v>
      </c>
      <c r="W971">
        <v>0.2994327</v>
      </c>
      <c r="X971">
        <v>0.9512756</v>
      </c>
      <c r="Y971">
        <v>2.2166870000000002E-3</v>
      </c>
      <c r="Z971" s="1">
        <v>2.136341E-5</v>
      </c>
      <c r="AA971">
        <v>0.99999760000000004</v>
      </c>
      <c r="AB971">
        <v>36</v>
      </c>
      <c r="AC971">
        <v>33.975599999999901</v>
      </c>
      <c r="AD971">
        <v>-1.0734807841289999</v>
      </c>
      <c r="AE971">
        <v>-0.29770000000002</v>
      </c>
      <c r="AF971">
        <v>7.5801365609176496E-2</v>
      </c>
      <c r="AG971">
        <v>-1.0734807841289999</v>
      </c>
      <c r="AH971">
        <v>33.942937396680797</v>
      </c>
      <c r="AI971">
        <v>91.811430474423702</v>
      </c>
      <c r="AJ971">
        <v>89.872047281587299</v>
      </c>
      <c r="AK971">
        <v>33.959992726087499</v>
      </c>
      <c r="AL971">
        <v>72.576467227408401</v>
      </c>
      <c r="AM971">
        <v>94.423275560956199</v>
      </c>
      <c r="AN971">
        <v>1.00000001077475</v>
      </c>
    </row>
    <row r="972" spans="1:40" x14ac:dyDescent="0.25">
      <c r="A972" t="str">
        <f>"20190304164114607"</f>
        <v>20190304164114607</v>
      </c>
      <c r="B972" t="str">
        <f>"1551688874602386"</f>
        <v>1551688874602386</v>
      </c>
      <c r="C972" t="s">
        <v>40</v>
      </c>
      <c r="D972">
        <v>4.1639939999999998</v>
      </c>
      <c r="E972">
        <v>0.54204269999999999</v>
      </c>
      <c r="F972" t="s">
        <v>42</v>
      </c>
      <c r="G972">
        <v>-278.89370000000002</v>
      </c>
      <c r="H972" s="1">
        <v>-1.081918E-6</v>
      </c>
      <c r="I972">
        <v>366.91269999999997</v>
      </c>
      <c r="J972">
        <v>-313.36509999999998</v>
      </c>
      <c r="K972">
        <v>1.0716939999999999</v>
      </c>
      <c r="L972">
        <v>367.25959999999998</v>
      </c>
      <c r="M972">
        <v>0.99979949999999995</v>
      </c>
      <c r="N972">
        <v>-1.8932919999999999E-2</v>
      </c>
      <c r="O972">
        <v>-6.5253890000000004E-3</v>
      </c>
      <c r="P972">
        <v>0.95733279999999998</v>
      </c>
      <c r="Q972">
        <v>0.2811401</v>
      </c>
      <c r="R972">
        <v>6.6891660000000006E-2</v>
      </c>
      <c r="S972">
        <v>3.1643370000000002</v>
      </c>
      <c r="T972">
        <v>-9.7581390000000004E-2</v>
      </c>
      <c r="U972">
        <v>-3.1738280000000001E-2</v>
      </c>
      <c r="V972">
        <v>-7.3127199999999906E-2</v>
      </c>
      <c r="W972">
        <v>0.2992088</v>
      </c>
      <c r="X972">
        <v>0.95138140000000004</v>
      </c>
      <c r="Y972">
        <v>3.5008209999999999E-3</v>
      </c>
      <c r="Z972" s="1">
        <v>-9.4912040000000008E-6</v>
      </c>
      <c r="AA972">
        <v>0.99999389999999999</v>
      </c>
      <c r="AB972">
        <v>36</v>
      </c>
      <c r="AC972">
        <v>34.471399999999903</v>
      </c>
      <c r="AD972">
        <v>-1.071695081918</v>
      </c>
      <c r="AE972">
        <v>-0.34690000000000498</v>
      </c>
      <c r="AF972">
        <v>0.12179529026828199</v>
      </c>
      <c r="AG972">
        <v>-1.071695081918</v>
      </c>
      <c r="AH972">
        <v>34.439645591894703</v>
      </c>
      <c r="AI972">
        <v>91.782347414926903</v>
      </c>
      <c r="AJ972">
        <v>89.797375179532196</v>
      </c>
      <c r="AK972">
        <v>34.4565313538181</v>
      </c>
      <c r="AL972">
        <v>72.589912528768593</v>
      </c>
      <c r="AM972">
        <v>94.395353567997702</v>
      </c>
      <c r="AN972">
        <v>1.0000000308216099</v>
      </c>
    </row>
    <row r="973" spans="1:40" x14ac:dyDescent="0.25">
      <c r="A973" t="str">
        <f>"20190304164114618"</f>
        <v>20190304164114618</v>
      </c>
      <c r="B973" t="str">
        <f>"1551688874612146"</f>
        <v>1551688874612146</v>
      </c>
      <c r="C973" t="s">
        <v>40</v>
      </c>
      <c r="D973">
        <v>4.108765</v>
      </c>
      <c r="E973">
        <v>0.5424736</v>
      </c>
      <c r="F973" t="s">
        <v>42</v>
      </c>
      <c r="G973">
        <v>-277.51620000000003</v>
      </c>
      <c r="H973" s="1">
        <v>-1.5860409999999901E-6</v>
      </c>
      <c r="I973">
        <v>366.77969999999999</v>
      </c>
      <c r="J973">
        <v>-313.18389999999999</v>
      </c>
      <c r="K973">
        <v>1.0708169999999999</v>
      </c>
      <c r="L973">
        <v>367.25850000000003</v>
      </c>
      <c r="M973">
        <v>0.99980530000000001</v>
      </c>
      <c r="N973">
        <v>-1.862457E-2</v>
      </c>
      <c r="O973">
        <v>-6.5199489999999997E-3</v>
      </c>
      <c r="P973">
        <v>0.95721860000000003</v>
      </c>
      <c r="Q973">
        <v>0.28161950000000002</v>
      </c>
      <c r="R973">
        <v>6.6505720000000004E-2</v>
      </c>
      <c r="S973">
        <v>3.1644589999999999</v>
      </c>
      <c r="T973">
        <v>-9.4600680000000006E-2</v>
      </c>
      <c r="U973">
        <v>-4.2358399999999997E-2</v>
      </c>
      <c r="V973">
        <v>-7.2736729999999999E-2</v>
      </c>
      <c r="W973">
        <v>0.29939260000000001</v>
      </c>
      <c r="X973">
        <v>0.95135349999999996</v>
      </c>
      <c r="Y973">
        <v>6.8591290000000003E-3</v>
      </c>
      <c r="Z973" s="1">
        <v>-9.2975500000000005E-5</v>
      </c>
      <c r="AA973">
        <v>0.99997650000000005</v>
      </c>
      <c r="AB973">
        <v>36</v>
      </c>
      <c r="AC973">
        <v>35.667699999999897</v>
      </c>
      <c r="AD973">
        <v>-1.070818586041</v>
      </c>
      <c r="AE973">
        <v>-0.47880000000003498</v>
      </c>
      <c r="AF973">
        <v>0.24597622888675799</v>
      </c>
      <c r="AG973">
        <v>-1.070818586041</v>
      </c>
      <c r="AH973">
        <v>35.637948310445601</v>
      </c>
      <c r="AI973">
        <v>91.721015786990904</v>
      </c>
      <c r="AJ973">
        <v>89.6045458099385</v>
      </c>
      <c r="AK973">
        <v>35.654880683118002</v>
      </c>
      <c r="AL973">
        <v>72.578875450634499</v>
      </c>
      <c r="AM973">
        <v>94.372103093454101</v>
      </c>
      <c r="AN973">
        <v>1.0000000213940501</v>
      </c>
    </row>
    <row r="974" spans="1:40" x14ac:dyDescent="0.25">
      <c r="A974" t="str">
        <f>"20190304164114628"</f>
        <v>20190304164114628</v>
      </c>
      <c r="B974" t="str">
        <f>"1551688874621906"</f>
        <v>1551688874621906</v>
      </c>
      <c r="C974" t="s">
        <v>40</v>
      </c>
      <c r="D974">
        <v>4.1511889999999996</v>
      </c>
      <c r="E974">
        <v>0.54282359999999996</v>
      </c>
      <c r="F974" t="s">
        <v>42</v>
      </c>
      <c r="G974">
        <v>-276.34719999999999</v>
      </c>
      <c r="H974" s="1">
        <v>-2.0647069999999999E-6</v>
      </c>
      <c r="I974">
        <v>366.71089999999998</v>
      </c>
      <c r="J974">
        <v>-313.00790000000001</v>
      </c>
      <c r="K974">
        <v>1.0700270000000001</v>
      </c>
      <c r="L974">
        <v>367.25729999999999</v>
      </c>
      <c r="M974">
        <v>0.99981059999999999</v>
      </c>
      <c r="N974">
        <v>-1.8331739999999999E-2</v>
      </c>
      <c r="O974">
        <v>-6.5102519999999898E-3</v>
      </c>
      <c r="P974">
        <v>0.95708669999999996</v>
      </c>
      <c r="Q974">
        <v>0.28206429999999999</v>
      </c>
      <c r="R974">
        <v>6.6519229999999999E-2</v>
      </c>
      <c r="S974">
        <v>3.1643979999999998</v>
      </c>
      <c r="T974">
        <v>-9.1986780000000004E-2</v>
      </c>
      <c r="U974">
        <v>-4.7027590000000001E-2</v>
      </c>
      <c r="V974">
        <v>-7.274282E-2</v>
      </c>
      <c r="W974">
        <v>0.29955549999999997</v>
      </c>
      <c r="X974">
        <v>0.95130170000000003</v>
      </c>
      <c r="Y974">
        <v>8.3435079999999995E-3</v>
      </c>
      <c r="Z974">
        <v>-1.278959E-4</v>
      </c>
      <c r="AA974">
        <v>0.9999652</v>
      </c>
      <c r="AB974">
        <v>36</v>
      </c>
      <c r="AC974">
        <v>36.660699999999999</v>
      </c>
      <c r="AD974">
        <v>-1.0700290647069901</v>
      </c>
      <c r="AE974">
        <v>-0.54640000000000499</v>
      </c>
      <c r="AF974">
        <v>0.30741603897257203</v>
      </c>
      <c r="AG974">
        <v>-1.0700290647069901</v>
      </c>
      <c r="AH974">
        <v>36.632280445646799</v>
      </c>
      <c r="AI974">
        <v>91.673075335572193</v>
      </c>
      <c r="AJ974">
        <v>89.519188324822807</v>
      </c>
      <c r="AK974">
        <v>36.649194226733698</v>
      </c>
      <c r="AL974">
        <v>72.569092071472696</v>
      </c>
      <c r="AM974">
        <v>94.372704900235604</v>
      </c>
      <c r="AN974">
        <v>0.99999996993234497</v>
      </c>
    </row>
    <row r="975" spans="1:40" x14ac:dyDescent="0.25">
      <c r="A975" t="str">
        <f>"20190304164114639"</f>
        <v>20190304164114639</v>
      </c>
      <c r="B975" t="str">
        <f>"1551688874632644"</f>
        <v>1551688874632644</v>
      </c>
      <c r="C975" t="s">
        <v>40</v>
      </c>
      <c r="D975">
        <v>4.1065880000000003</v>
      </c>
      <c r="E975">
        <v>0.54313840000000002</v>
      </c>
      <c r="F975" t="s">
        <v>42</v>
      </c>
      <c r="G975">
        <v>-275.15730000000002</v>
      </c>
      <c r="H975" s="1">
        <v>-2.5848039999999999E-6</v>
      </c>
      <c r="I975">
        <v>366.65679999999998</v>
      </c>
      <c r="J975">
        <v>-312.8297</v>
      </c>
      <c r="K975">
        <v>1.0692569999999999</v>
      </c>
      <c r="L975">
        <v>367.25619999999998</v>
      </c>
      <c r="M975">
        <v>0.99981620000000004</v>
      </c>
      <c r="N975">
        <v>-1.8039360000000001E-2</v>
      </c>
      <c r="O975">
        <v>-6.497839E-3</v>
      </c>
      <c r="P975">
        <v>0.95703499999999997</v>
      </c>
      <c r="Q975">
        <v>0.28229530000000003</v>
      </c>
      <c r="R975">
        <v>6.6284200000000001E-2</v>
      </c>
      <c r="S975">
        <v>3.1643680000000001</v>
      </c>
      <c r="T975">
        <v>-8.9455720000000002E-2</v>
      </c>
      <c r="U975">
        <v>-5.0201419999999997E-2</v>
      </c>
      <c r="V975">
        <v>-7.2499499999999995E-2</v>
      </c>
      <c r="W975">
        <v>0.29950640000000001</v>
      </c>
      <c r="X975">
        <v>0.95133579999999995</v>
      </c>
      <c r="Y975">
        <v>9.3584059999999997E-3</v>
      </c>
      <c r="Z975">
        <v>-1.502668E-4</v>
      </c>
      <c r="AA975">
        <v>0.99995619999999996</v>
      </c>
      <c r="AB975">
        <v>36</v>
      </c>
      <c r="AC975">
        <v>37.672399999999897</v>
      </c>
      <c r="AD975">
        <v>-1.0692595848040001</v>
      </c>
      <c r="AE975">
        <v>-0.59940000000000204</v>
      </c>
      <c r="AF975">
        <v>0.35427299152809399</v>
      </c>
      <c r="AG975">
        <v>-1.0692595848040001</v>
      </c>
      <c r="AH975">
        <v>37.645180570070103</v>
      </c>
      <c r="AI975">
        <v>91.626898388460205</v>
      </c>
      <c r="AJ975">
        <v>89.460814167973297</v>
      </c>
      <c r="AK975">
        <v>37.662029227929303</v>
      </c>
      <c r="AL975">
        <v>72.572041804661893</v>
      </c>
      <c r="AM975">
        <v>94.357979318986395</v>
      </c>
      <c r="AN975">
        <v>1.00000003275142</v>
      </c>
    </row>
    <row r="976" spans="1:40" x14ac:dyDescent="0.25">
      <c r="A976" t="str">
        <f>"20190304164114651"</f>
        <v>20190304164114651</v>
      </c>
      <c r="B976" t="str">
        <f>"1551688874642403"</f>
        <v>1551688874642403</v>
      </c>
      <c r="C976" t="s">
        <v>40</v>
      </c>
      <c r="D976">
        <v>4.1305820000000004</v>
      </c>
      <c r="E976">
        <v>0.54345429999999995</v>
      </c>
      <c r="F976" t="s">
        <v>42</v>
      </c>
      <c r="G976">
        <v>-274.34730000000002</v>
      </c>
      <c r="H976" s="1">
        <v>-2.9414910000000001E-6</v>
      </c>
      <c r="I976">
        <v>366.60480000000001</v>
      </c>
      <c r="J976">
        <v>-312.6542</v>
      </c>
      <c r="K976">
        <v>1.0685770000000001</v>
      </c>
      <c r="L976">
        <v>367.255</v>
      </c>
      <c r="M976">
        <v>0.99982130000000002</v>
      </c>
      <c r="N976">
        <v>-1.7761490000000001E-2</v>
      </c>
      <c r="O976">
        <v>-6.4835739999999998E-3</v>
      </c>
      <c r="P976">
        <v>0.95693499999999998</v>
      </c>
      <c r="Q976">
        <v>0.28256189999999998</v>
      </c>
      <c r="R976">
        <v>6.658944E-2</v>
      </c>
      <c r="S976">
        <v>3.1643370000000002</v>
      </c>
      <c r="T976">
        <v>-8.7923050000000003E-2</v>
      </c>
      <c r="U976">
        <v>-5.3558349999999998E-2</v>
      </c>
      <c r="V976">
        <v>-7.2794349999999994E-2</v>
      </c>
      <c r="W976">
        <v>0.29950589999999999</v>
      </c>
      <c r="X976">
        <v>0.95131339999999998</v>
      </c>
      <c r="Y976">
        <v>1.043289E-2</v>
      </c>
      <c r="Z976">
        <v>-1.726528E-4</v>
      </c>
      <c r="AA976">
        <v>0.99994559999999999</v>
      </c>
      <c r="AB976">
        <v>36</v>
      </c>
      <c r="AC976">
        <v>38.306899999999899</v>
      </c>
      <c r="AD976">
        <v>-1.068579941491</v>
      </c>
      <c r="AE976">
        <v>-0.65019999999998301</v>
      </c>
      <c r="AF976">
        <v>0.40146922961920301</v>
      </c>
      <c r="AG976">
        <v>-1.068579941491</v>
      </c>
      <c r="AH976">
        <v>38.280531683845403</v>
      </c>
      <c r="AI976">
        <v>91.598876995092198</v>
      </c>
      <c r="AJ976">
        <v>89.399129318055401</v>
      </c>
      <c r="AK976">
        <v>38.297547527636503</v>
      </c>
      <c r="AL976">
        <v>72.572071120865502</v>
      </c>
      <c r="AM976">
        <v>94.375736829113507</v>
      </c>
      <c r="AN976">
        <v>0.99999999327314604</v>
      </c>
    </row>
    <row r="977" spans="1:40" x14ac:dyDescent="0.25">
      <c r="A977" t="str">
        <f>"20190304164114660"</f>
        <v>20190304164114660</v>
      </c>
      <c r="B977" t="str">
        <f>"1551688874652163"</f>
        <v>1551688874652163</v>
      </c>
      <c r="C977" t="s">
        <v>40</v>
      </c>
      <c r="D977">
        <v>4.1120989999999997</v>
      </c>
      <c r="E977">
        <v>0.54373819999999995</v>
      </c>
      <c r="F977" t="s">
        <v>42</v>
      </c>
      <c r="G977">
        <v>-273.71879999999999</v>
      </c>
      <c r="H977" s="1">
        <v>-3.2173469999999999E-6</v>
      </c>
      <c r="I977">
        <v>366.56970000000001</v>
      </c>
      <c r="J977">
        <v>-312.4821</v>
      </c>
      <c r="K977">
        <v>1.067925</v>
      </c>
      <c r="L977">
        <v>367.25389999999999</v>
      </c>
      <c r="M977">
        <v>0.99982610000000005</v>
      </c>
      <c r="N977">
        <v>-1.7491219999999998E-2</v>
      </c>
      <c r="O977">
        <v>-6.4689429999999996E-3</v>
      </c>
      <c r="P977">
        <v>0.95688899999999999</v>
      </c>
      <c r="Q977">
        <v>0.28263870000000002</v>
      </c>
      <c r="R977">
        <v>6.6925079999999998E-2</v>
      </c>
      <c r="S977">
        <v>3.16452</v>
      </c>
      <c r="T977">
        <v>-8.684981E-2</v>
      </c>
      <c r="U977">
        <v>-5.569458E-2</v>
      </c>
      <c r="V977">
        <v>-7.3118989999999995E-2</v>
      </c>
      <c r="W977">
        <v>0.29932389999999998</v>
      </c>
      <c r="X977">
        <v>0.95134580000000002</v>
      </c>
      <c r="Y977">
        <v>1.112113E-2</v>
      </c>
      <c r="Z977">
        <v>-1.8552989999999999E-4</v>
      </c>
      <c r="AA977">
        <v>0.99993810000000005</v>
      </c>
      <c r="AB977">
        <v>36</v>
      </c>
      <c r="AC977">
        <v>38.763300000000001</v>
      </c>
      <c r="AD977">
        <v>-1.0679282173469999</v>
      </c>
      <c r="AE977">
        <v>-0.68419999999997505</v>
      </c>
      <c r="AF977">
        <v>0.43306114465236301</v>
      </c>
      <c r="AG977">
        <v>-1.0679282173469999</v>
      </c>
      <c r="AH977">
        <v>38.737522722089203</v>
      </c>
      <c r="AI977">
        <v>91.5790494844032</v>
      </c>
      <c r="AJ977">
        <v>89.359495896600905</v>
      </c>
      <c r="AK977">
        <v>38.754660097552097</v>
      </c>
      <c r="AL977">
        <v>72.583000608718194</v>
      </c>
      <c r="AM977">
        <v>94.395025848853095</v>
      </c>
      <c r="AN977">
        <v>1.0000000074937301</v>
      </c>
    </row>
    <row r="978" spans="1:40" x14ac:dyDescent="0.25">
      <c r="A978" t="str">
        <f>"20190304164114672"</f>
        <v>20190304164114672</v>
      </c>
      <c r="B978" t="str">
        <f>"1551688874661922"</f>
        <v>1551688874661922</v>
      </c>
      <c r="C978" t="s">
        <v>40</v>
      </c>
      <c r="D978">
        <v>4.1323489999999996</v>
      </c>
      <c r="E978">
        <v>0.54389529999999997</v>
      </c>
      <c r="F978" t="s">
        <v>42</v>
      </c>
      <c r="G978">
        <v>-273.21539999999999</v>
      </c>
      <c r="H978" s="1">
        <v>-3.4382949999999998E-6</v>
      </c>
      <c r="I978">
        <v>366.54160000000002</v>
      </c>
      <c r="J978">
        <v>-312.30439999999999</v>
      </c>
      <c r="K978">
        <v>1.0673250000000001</v>
      </c>
      <c r="L978">
        <v>367.25279999999998</v>
      </c>
      <c r="M978">
        <v>0.99983080000000002</v>
      </c>
      <c r="N978">
        <v>-1.7225710000000002E-2</v>
      </c>
      <c r="O978">
        <v>-6.452513E-3</v>
      </c>
      <c r="P978">
        <v>0.95680149999999997</v>
      </c>
      <c r="Q978">
        <v>0.28288010000000002</v>
      </c>
      <c r="R978">
        <v>6.7155510000000002E-2</v>
      </c>
      <c r="S978">
        <v>3.1645509999999999</v>
      </c>
      <c r="T978">
        <v>-8.6065530000000001E-2</v>
      </c>
      <c r="U978">
        <v>-5.7403559999999999E-2</v>
      </c>
      <c r="V978">
        <v>-7.3336150000000003E-2</v>
      </c>
      <c r="W978">
        <v>0.29931029999999997</v>
      </c>
      <c r="X978">
        <v>0.95133330000000005</v>
      </c>
      <c r="Y978">
        <v>1.167706E-2</v>
      </c>
      <c r="Z978">
        <v>-1.950714E-4</v>
      </c>
      <c r="AA978">
        <v>0.99993180000000004</v>
      </c>
      <c r="AB978">
        <v>36</v>
      </c>
      <c r="AC978">
        <v>39.088999999999999</v>
      </c>
      <c r="AD978">
        <v>-1.0673284382949999</v>
      </c>
      <c r="AE978">
        <v>-0.71119999999996197</v>
      </c>
      <c r="AF978">
        <v>0.45858368730725302</v>
      </c>
      <c r="AG978">
        <v>-1.0673284382949999</v>
      </c>
      <c r="AH978">
        <v>39.063660761745602</v>
      </c>
      <c r="AI978">
        <v>91.564983733307002</v>
      </c>
      <c r="AJ978">
        <v>89.3274131913779</v>
      </c>
      <c r="AK978">
        <v>39.080929890449099</v>
      </c>
      <c r="AL978">
        <v>72.583816187499394</v>
      </c>
      <c r="AM978">
        <v>94.408085192031095</v>
      </c>
      <c r="AN978">
        <v>0.99999994713589901</v>
      </c>
    </row>
    <row r="979" spans="1:40" x14ac:dyDescent="0.25">
      <c r="A979" t="str">
        <f>"20190304164114684"</f>
        <v>20190304164114684</v>
      </c>
      <c r="B979" t="str">
        <f>"1551688874672659"</f>
        <v>1551688874672659</v>
      </c>
      <c r="C979" t="s">
        <v>40</v>
      </c>
      <c r="D979">
        <v>4.1481050000000002</v>
      </c>
      <c r="E979">
        <v>0.54400939999999998</v>
      </c>
      <c r="F979" t="s">
        <v>42</v>
      </c>
      <c r="G979">
        <v>-272.59989999999999</v>
      </c>
      <c r="H979" s="1">
        <v>-3.704904E-6</v>
      </c>
      <c r="I979">
        <v>366.52719999999999</v>
      </c>
      <c r="J979">
        <v>-312.1155</v>
      </c>
      <c r="K979">
        <v>1.0667070000000001</v>
      </c>
      <c r="L979">
        <v>367.2516</v>
      </c>
      <c r="M979">
        <v>0.99983580000000005</v>
      </c>
      <c r="N979">
        <v>-1.6946900000000001E-2</v>
      </c>
      <c r="O979">
        <v>-6.4348189999999996E-3</v>
      </c>
      <c r="P979">
        <v>0.95661960000000001</v>
      </c>
      <c r="Q979">
        <v>0.28334500000000001</v>
      </c>
      <c r="R979">
        <v>6.778605E-2</v>
      </c>
      <c r="S979">
        <v>3.164612</v>
      </c>
      <c r="T979">
        <v>-8.5070129999999994E-2</v>
      </c>
      <c r="U979">
        <v>-5.7830810000000003E-2</v>
      </c>
      <c r="V979">
        <v>-7.3951039999999996E-2</v>
      </c>
      <c r="W979">
        <v>0.29950589999999999</v>
      </c>
      <c r="X979">
        <v>0.95122419999999996</v>
      </c>
      <c r="Y979">
        <v>1.182947E-2</v>
      </c>
      <c r="Z979">
        <v>-1.953519E-4</v>
      </c>
      <c r="AA979">
        <v>0.99992999999999999</v>
      </c>
      <c r="AB979">
        <v>36</v>
      </c>
      <c r="AC979">
        <v>39.515599999999999</v>
      </c>
      <c r="AD979">
        <v>-1.0667107049040001</v>
      </c>
      <c r="AE979">
        <v>-0.72440000000000204</v>
      </c>
      <c r="AF979">
        <v>0.46973058866956902</v>
      </c>
      <c r="AG979">
        <v>-1.0667107049040001</v>
      </c>
      <c r="AH979">
        <v>39.490676022739599</v>
      </c>
      <c r="AI979">
        <v>91.547171368849206</v>
      </c>
      <c r="AJ979">
        <v>89.318514804676497</v>
      </c>
      <c r="AK979">
        <v>39.507872776028698</v>
      </c>
      <c r="AL979">
        <v>72.572071413779994</v>
      </c>
      <c r="AM979">
        <v>94.445405225500394</v>
      </c>
      <c r="AN979">
        <v>1.00000000955876</v>
      </c>
    </row>
    <row r="980" spans="1:40" x14ac:dyDescent="0.25">
      <c r="A980" t="str">
        <f>"20190304164114695"</f>
        <v>20190304164114695</v>
      </c>
      <c r="B980" t="str">
        <f>"1551688874682419"</f>
        <v>1551688874682419</v>
      </c>
      <c r="C980" t="s">
        <v>40</v>
      </c>
      <c r="D980">
        <v>4.1511269999999998</v>
      </c>
      <c r="E980">
        <v>0.54422959999999998</v>
      </c>
      <c r="F980" t="s">
        <v>42</v>
      </c>
      <c r="G980">
        <v>-271.6028</v>
      </c>
      <c r="H980" s="1">
        <v>-4.1340310000000004E-6</v>
      </c>
      <c r="I980">
        <v>366.51949999999999</v>
      </c>
      <c r="J980">
        <v>-311.9348</v>
      </c>
      <c r="K980">
        <v>1.0661769999999999</v>
      </c>
      <c r="L980">
        <v>367.25049999999999</v>
      </c>
      <c r="M980">
        <v>0.99984010000000001</v>
      </c>
      <c r="N980">
        <v>-1.6692390000000001E-2</v>
      </c>
      <c r="O980">
        <v>-6.4164390000000003E-3</v>
      </c>
      <c r="P980">
        <v>0.95643860000000003</v>
      </c>
      <c r="Q980">
        <v>0.28383449999999999</v>
      </c>
      <c r="R980">
        <v>6.8290840000000005E-2</v>
      </c>
      <c r="S980">
        <v>3.1647639999999999</v>
      </c>
      <c r="T980">
        <v>-8.3328959999999994E-2</v>
      </c>
      <c r="U980">
        <v>-5.7189940000000002E-2</v>
      </c>
      <c r="V980">
        <v>-7.4438560000000001E-2</v>
      </c>
      <c r="W980">
        <v>0.29974970000000001</v>
      </c>
      <c r="X980">
        <v>0.95110930000000005</v>
      </c>
      <c r="Y980">
        <v>1.164493E-2</v>
      </c>
      <c r="Z980">
        <v>-1.887007E-4</v>
      </c>
      <c r="AA980">
        <v>0.99993220000000005</v>
      </c>
      <c r="AB980">
        <v>36</v>
      </c>
      <c r="AC980">
        <v>40.332000000000001</v>
      </c>
      <c r="AD980">
        <v>-1.0661811340309999</v>
      </c>
      <c r="AE980">
        <v>-0.73099999999999399</v>
      </c>
      <c r="AF980">
        <v>0.471831458041997</v>
      </c>
      <c r="AG980">
        <v>-1.0661811340309999</v>
      </c>
      <c r="AH980">
        <v>40.307702189200697</v>
      </c>
      <c r="AI980">
        <v>91.515076601064806</v>
      </c>
      <c r="AJ980">
        <v>89.329341166802294</v>
      </c>
      <c r="AK980">
        <v>40.324561038015702</v>
      </c>
      <c r="AL980">
        <v>72.557428790724302</v>
      </c>
      <c r="AM980">
        <v>94.475131161317194</v>
      </c>
      <c r="AN980">
        <v>0.999999941205725</v>
      </c>
    </row>
    <row r="981" spans="1:40" x14ac:dyDescent="0.25">
      <c r="A981" t="str">
        <f>"20190304164114707"</f>
        <v>20190304164114707</v>
      </c>
      <c r="B981" t="str">
        <f>"1551688874701939"</f>
        <v>1551688874701939</v>
      </c>
      <c r="C981" t="s">
        <v>40</v>
      </c>
      <c r="D981">
        <v>4.1219020000000004</v>
      </c>
      <c r="E981">
        <v>0.54458249999999997</v>
      </c>
      <c r="F981" t="s">
        <v>42</v>
      </c>
      <c r="G981">
        <v>-270.67169999999999</v>
      </c>
      <c r="H981" s="1">
        <v>-4.5362790000000001E-6</v>
      </c>
      <c r="I981">
        <v>366.50360000000001</v>
      </c>
      <c r="J981">
        <v>-311.74619999999999</v>
      </c>
      <c r="K981">
        <v>1.0656600000000001</v>
      </c>
      <c r="L981">
        <v>367.24930000000001</v>
      </c>
      <c r="M981">
        <v>0.99984459999999997</v>
      </c>
      <c r="N981">
        <v>-1.6433880000000001E-2</v>
      </c>
      <c r="O981">
        <v>-6.3961640000000002E-3</v>
      </c>
      <c r="P981">
        <v>0.95630919999999997</v>
      </c>
      <c r="Q981">
        <v>0.2840995</v>
      </c>
      <c r="R981">
        <v>6.8995970000000004E-2</v>
      </c>
      <c r="S981">
        <v>3.165009</v>
      </c>
      <c r="T981">
        <v>-8.1779240000000003E-2</v>
      </c>
      <c r="U981">
        <v>-5.7281489999999997E-2</v>
      </c>
      <c r="V981">
        <v>-7.5124739999999995E-2</v>
      </c>
      <c r="W981">
        <v>0.29976659999999999</v>
      </c>
      <c r="X981">
        <v>0.95105010000000001</v>
      </c>
      <c r="Y981">
        <v>1.1692950000000001E-2</v>
      </c>
      <c r="Z981">
        <v>-1.8703249999999999E-4</v>
      </c>
      <c r="AA981">
        <v>0.99993160000000003</v>
      </c>
      <c r="AB981">
        <v>36</v>
      </c>
      <c r="AC981">
        <v>41.0745</v>
      </c>
      <c r="AD981">
        <v>-1.065664536279</v>
      </c>
      <c r="AE981">
        <v>-0.74569999999999903</v>
      </c>
      <c r="AF981">
        <v>0.48260530013557401</v>
      </c>
      <c r="AG981">
        <v>-1.065664536279</v>
      </c>
      <c r="AH981">
        <v>41.050806563750797</v>
      </c>
      <c r="AI981">
        <v>91.486941647587599</v>
      </c>
      <c r="AJ981">
        <v>89.326445071565303</v>
      </c>
      <c r="AK981">
        <v>41.067472144193196</v>
      </c>
      <c r="AL981">
        <v>72.556415180986605</v>
      </c>
      <c r="AM981">
        <v>94.5164933192614</v>
      </c>
      <c r="AN981">
        <v>1.00000001687281</v>
      </c>
    </row>
    <row r="982" spans="1:40" x14ac:dyDescent="0.25">
      <c r="A982" t="str">
        <f>"20190304164114718"</f>
        <v>20190304164114718</v>
      </c>
      <c r="B982" t="str">
        <f>"1551688874712206"</f>
        <v>1551688874712206</v>
      </c>
      <c r="C982" t="s">
        <v>40</v>
      </c>
      <c r="D982">
        <v>4.128647</v>
      </c>
      <c r="E982">
        <v>0.54465779999999997</v>
      </c>
      <c r="F982" t="s">
        <v>42</v>
      </c>
      <c r="G982">
        <v>-270.48520000000002</v>
      </c>
      <c r="H982" s="1">
        <v>-4.6181540000000001E-6</v>
      </c>
      <c r="I982">
        <v>366.49299999999999</v>
      </c>
      <c r="J982">
        <v>-311.56900000000002</v>
      </c>
      <c r="K982">
        <v>1.065202</v>
      </c>
      <c r="L982">
        <v>367.2482</v>
      </c>
      <c r="M982">
        <v>0.99984850000000003</v>
      </c>
      <c r="N982">
        <v>-1.6199330000000001E-2</v>
      </c>
      <c r="O982">
        <v>-6.375538E-3</v>
      </c>
      <c r="P982">
        <v>0.95614250000000001</v>
      </c>
      <c r="Q982">
        <v>0.28450900000000001</v>
      </c>
      <c r="R982">
        <v>6.9615220000000005E-2</v>
      </c>
      <c r="S982">
        <v>3.1655579999999999</v>
      </c>
      <c r="T982">
        <v>-8.1758020000000001E-2</v>
      </c>
      <c r="U982">
        <v>-5.8013919999999997E-2</v>
      </c>
      <c r="V982">
        <v>-7.5723769999999996E-2</v>
      </c>
      <c r="W982">
        <v>0.29994989999999999</v>
      </c>
      <c r="X982">
        <v>0.95094480000000003</v>
      </c>
      <c r="Y982">
        <v>1.194166E-2</v>
      </c>
      <c r="Z982">
        <v>-1.895907E-4</v>
      </c>
      <c r="AA982">
        <v>0.9999287</v>
      </c>
      <c r="AB982">
        <v>36</v>
      </c>
      <c r="AC982">
        <v>41.083799999999997</v>
      </c>
      <c r="AD982">
        <v>-1.0652066181540001</v>
      </c>
      <c r="AE982">
        <v>-0.75519999999994503</v>
      </c>
      <c r="AF982">
        <v>0.492887727750634</v>
      </c>
      <c r="AG982">
        <v>-1.0652066181540001</v>
      </c>
      <c r="AH982">
        <v>41.060187120633003</v>
      </c>
      <c r="AI982">
        <v>91.485959215100493</v>
      </c>
      <c r="AJ982">
        <v>89.312252763023906</v>
      </c>
      <c r="AK982">
        <v>41.076959111318402</v>
      </c>
      <c r="AL982">
        <v>72.545406373345699</v>
      </c>
      <c r="AM982">
        <v>94.552858146461503</v>
      </c>
      <c r="AN982">
        <v>1.00000002225003</v>
      </c>
    </row>
    <row r="983" spans="1:40" x14ac:dyDescent="0.25">
      <c r="A983" t="str">
        <f>"20190304164114728"</f>
        <v>20190304164114728</v>
      </c>
      <c r="B983" t="str">
        <f>"1551688874721965"</f>
        <v>1551688874721965</v>
      </c>
      <c r="C983" t="s">
        <v>40</v>
      </c>
      <c r="D983">
        <v>4.1373430000000004</v>
      </c>
      <c r="E983">
        <v>0.54483119999999996</v>
      </c>
      <c r="F983" t="s">
        <v>42</v>
      </c>
      <c r="G983">
        <v>-269.69439999999997</v>
      </c>
      <c r="H983" s="1">
        <v>-9.189927E-7</v>
      </c>
      <c r="I983">
        <v>366.5009</v>
      </c>
      <c r="J983">
        <v>-311.39710000000002</v>
      </c>
      <c r="K983">
        <v>1.0648</v>
      </c>
      <c r="L983">
        <v>367.24709999999999</v>
      </c>
      <c r="M983">
        <v>0.99985219999999997</v>
      </c>
      <c r="N983">
        <v>-1.5982659999999999E-2</v>
      </c>
      <c r="O983">
        <v>-6.3549649999999997E-3</v>
      </c>
      <c r="P983">
        <v>0.95608289999999996</v>
      </c>
      <c r="Q983">
        <v>0.28455049999999998</v>
      </c>
      <c r="R983">
        <v>7.0260899999999904E-2</v>
      </c>
      <c r="S983">
        <v>3.16568</v>
      </c>
      <c r="T983">
        <v>-8.0528260000000004E-2</v>
      </c>
      <c r="U983">
        <v>-5.6488040000000003E-2</v>
      </c>
      <c r="V983">
        <v>-7.6350029999999999E-2</v>
      </c>
      <c r="W983">
        <v>0.2997843</v>
      </c>
      <c r="X983">
        <v>0.95094690000000004</v>
      </c>
      <c r="Y983">
        <v>1.148016E-2</v>
      </c>
      <c r="Z983">
        <v>-1.77708E-4</v>
      </c>
      <c r="AA983">
        <v>0.99993410000000005</v>
      </c>
      <c r="AB983">
        <v>36</v>
      </c>
      <c r="AC983">
        <v>41.7027</v>
      </c>
      <c r="AD983">
        <v>-1.0648009189926999</v>
      </c>
      <c r="AE983">
        <v>-0.74619999999998698</v>
      </c>
      <c r="AF983">
        <v>0.48081854216702702</v>
      </c>
      <c r="AG983">
        <v>-1.0648009189926999</v>
      </c>
      <c r="AH983">
        <v>41.6794365142554</v>
      </c>
      <c r="AI983">
        <v>91.463342109407904</v>
      </c>
      <c r="AJ983">
        <v>89.339058934224994</v>
      </c>
      <c r="AK983">
        <v>41.695808129995797</v>
      </c>
      <c r="AL983">
        <v>72.555351495181696</v>
      </c>
      <c r="AM983">
        <v>94.590341395614701</v>
      </c>
      <c r="AN983">
        <v>0.99999998011354996</v>
      </c>
    </row>
    <row r="984" spans="1:40" x14ac:dyDescent="0.25">
      <c r="A984" t="str">
        <f>"20190304164114739"</f>
        <v>20190304164114739</v>
      </c>
      <c r="B984" t="str">
        <f>"1551688874731725"</f>
        <v>1551688874731725</v>
      </c>
      <c r="C984" t="s">
        <v>40</v>
      </c>
      <c r="D984">
        <v>4.1315869999999997</v>
      </c>
      <c r="E984">
        <v>0.54500749999999998</v>
      </c>
      <c r="F984" t="s">
        <v>42</v>
      </c>
      <c r="G984">
        <v>-269.49239999999998</v>
      </c>
      <c r="H984" s="1">
        <v>-9.8534190000000007E-7</v>
      </c>
      <c r="I984">
        <v>366.50990000000002</v>
      </c>
      <c r="J984">
        <v>-311.21870000000001</v>
      </c>
      <c r="K984">
        <v>1.0644100000000001</v>
      </c>
      <c r="L984">
        <v>367.24599999999998</v>
      </c>
      <c r="M984">
        <v>0.99985570000000001</v>
      </c>
      <c r="N984">
        <v>-1.576352E-2</v>
      </c>
      <c r="O984">
        <v>-6.3330869999999899E-3</v>
      </c>
      <c r="P984">
        <v>0.9559761</v>
      </c>
      <c r="Q984">
        <v>0.28478109999999901</v>
      </c>
      <c r="R984">
        <v>7.0778149999999998E-2</v>
      </c>
      <c r="S984">
        <v>3.1658940000000002</v>
      </c>
      <c r="T984">
        <v>-8.0445409999999995E-2</v>
      </c>
      <c r="U984">
        <v>-5.569458E-2</v>
      </c>
      <c r="V984">
        <v>-7.6845570000000002E-2</v>
      </c>
      <c r="W984">
        <v>0.29980479999999998</v>
      </c>
      <c r="X984">
        <v>0.95090059999999998</v>
      </c>
      <c r="Y984">
        <v>1.12505E-2</v>
      </c>
      <c r="Z984">
        <v>-1.705566E-4</v>
      </c>
      <c r="AA984">
        <v>0.99993670000000001</v>
      </c>
      <c r="AB984">
        <v>36</v>
      </c>
      <c r="AC984">
        <v>41.726300000000002</v>
      </c>
      <c r="AD984">
        <v>-1.0644109853418999</v>
      </c>
      <c r="AE984">
        <v>-0.73609999999996401</v>
      </c>
      <c r="AF984">
        <v>0.47148939468402501</v>
      </c>
      <c r="AG984">
        <v>-1.0644109853418999</v>
      </c>
      <c r="AH984">
        <v>41.702996538851501</v>
      </c>
      <c r="AI984">
        <v>91.461984252607806</v>
      </c>
      <c r="AJ984">
        <v>89.352247950712893</v>
      </c>
      <c r="AK984">
        <v>41.719242482510097</v>
      </c>
      <c r="AL984">
        <v>72.554121657128604</v>
      </c>
      <c r="AM984">
        <v>94.620229830564597</v>
      </c>
      <c r="AN984">
        <v>1.00000005540601</v>
      </c>
    </row>
    <row r="985" spans="1:40" x14ac:dyDescent="0.25">
      <c r="A985" t="str">
        <f>"20190304164114752"</f>
        <v>20190304164114752</v>
      </c>
      <c r="B985" t="str">
        <f>"1551688874742461"</f>
        <v>1551688874742461</v>
      </c>
      <c r="C985" t="s">
        <v>40</v>
      </c>
      <c r="D985">
        <v>4.0843049999999996</v>
      </c>
      <c r="E985">
        <v>0.54511790000000004</v>
      </c>
      <c r="F985" t="s">
        <v>42</v>
      </c>
      <c r="G985">
        <v>-269.14640000000003</v>
      </c>
      <c r="H985" s="1">
        <v>-1.103183E-6</v>
      </c>
      <c r="I985">
        <v>366.5095</v>
      </c>
      <c r="J985">
        <v>-311.03609999999998</v>
      </c>
      <c r="K985">
        <v>1.0640510000000001</v>
      </c>
      <c r="L985">
        <v>367.24489999999997</v>
      </c>
      <c r="M985">
        <v>0.99985919999999895</v>
      </c>
      <c r="N985">
        <v>-1.555487E-2</v>
      </c>
      <c r="O985">
        <v>-6.3110730000000004E-3</v>
      </c>
      <c r="P985">
        <v>0.95589360000000001</v>
      </c>
      <c r="Q985">
        <v>0.2849333</v>
      </c>
      <c r="R985">
        <v>7.1278720000000004E-2</v>
      </c>
      <c r="S985">
        <v>3.1661069999999998</v>
      </c>
      <c r="T985">
        <v>-8.0101130000000006E-2</v>
      </c>
      <c r="U985">
        <v>-5.5419919999999998E-2</v>
      </c>
      <c r="V985">
        <v>-7.7325149999999995E-2</v>
      </c>
      <c r="W985">
        <v>0.299757</v>
      </c>
      <c r="X985">
        <v>0.95087670000000002</v>
      </c>
      <c r="Y985">
        <v>1.118474E-2</v>
      </c>
      <c r="Z985">
        <v>-1.6700959999999999E-4</v>
      </c>
      <c r="AA985">
        <v>0.99993739999999998</v>
      </c>
      <c r="AB985">
        <v>36</v>
      </c>
      <c r="AC985">
        <v>41.889699999999898</v>
      </c>
      <c r="AD985">
        <v>-1.0640521031829999</v>
      </c>
      <c r="AE985">
        <v>-0.73539999999996997</v>
      </c>
      <c r="AF985">
        <v>0.47068083329980098</v>
      </c>
      <c r="AG985">
        <v>-1.0640521031829999</v>
      </c>
      <c r="AH985">
        <v>41.866502290896797</v>
      </c>
      <c r="AI985">
        <v>91.455787318572504</v>
      </c>
      <c r="AJ985">
        <v>89.355883876721606</v>
      </c>
      <c r="AK985">
        <v>41.882666598472397</v>
      </c>
      <c r="AL985">
        <v>72.556990858200294</v>
      </c>
      <c r="AM985">
        <v>94.649054230094094</v>
      </c>
      <c r="AN985">
        <v>0.99999996823720505</v>
      </c>
    </row>
    <row r="986" spans="1:40" x14ac:dyDescent="0.25">
      <c r="A986" t="str">
        <f>"20190304164114763"</f>
        <v>20190304164114763</v>
      </c>
      <c r="B986" t="str">
        <f>"1551688874752222"</f>
        <v>1551688874752222</v>
      </c>
      <c r="C986" t="s">
        <v>40</v>
      </c>
      <c r="D986">
        <v>4.1240809999999897</v>
      </c>
      <c r="E986">
        <v>0.54523529999999998</v>
      </c>
      <c r="F986" t="s">
        <v>42</v>
      </c>
      <c r="G986">
        <v>-268.5933</v>
      </c>
      <c r="H986" s="1">
        <v>-1.2909389999999901E-6</v>
      </c>
      <c r="I986">
        <v>366.51130000000001</v>
      </c>
      <c r="J986">
        <v>-310.84359999999998</v>
      </c>
      <c r="K986">
        <v>1.063687</v>
      </c>
      <c r="L986">
        <v>367.24369999999999</v>
      </c>
      <c r="M986">
        <v>0.99986260000000005</v>
      </c>
      <c r="N986">
        <v>-1.5340339999999999E-2</v>
      </c>
      <c r="O986">
        <v>-6.2876039999999996E-3</v>
      </c>
      <c r="P986">
        <v>0.95577210000000001</v>
      </c>
      <c r="Q986">
        <v>0.28525590000000001</v>
      </c>
      <c r="R986">
        <v>7.1614259999999999E-2</v>
      </c>
      <c r="S986">
        <v>3.1661679999999999</v>
      </c>
      <c r="T986">
        <v>-7.9376459999999996E-2</v>
      </c>
      <c r="U986">
        <v>-5.4718019999999999E-2</v>
      </c>
      <c r="V986">
        <v>-7.7638209999999999E-2</v>
      </c>
      <c r="W986">
        <v>0.299873</v>
      </c>
      <c r="X986">
        <v>0.95081470000000001</v>
      </c>
      <c r="Y986">
        <v>1.09865E-2</v>
      </c>
      <c r="Z986">
        <v>-1.608422E-4</v>
      </c>
      <c r="AA986">
        <v>0.99993960000000004</v>
      </c>
      <c r="AB986">
        <v>36</v>
      </c>
      <c r="AC986">
        <v>42.250299999999903</v>
      </c>
      <c r="AD986">
        <v>-1.063688290939</v>
      </c>
      <c r="AE986">
        <v>-0.73239999999998395</v>
      </c>
      <c r="AF986">
        <v>0.466405580668245</v>
      </c>
      <c r="AG986">
        <v>-1.063688290939</v>
      </c>
      <c r="AH986">
        <v>42.227313542919198</v>
      </c>
      <c r="AI986">
        <v>91.442863508671607</v>
      </c>
      <c r="AJ986">
        <v>89.367187195653003</v>
      </c>
      <c r="AK986">
        <v>42.243283205711698</v>
      </c>
      <c r="AL986">
        <v>72.550025542503505</v>
      </c>
      <c r="AM986">
        <v>94.668096497532005</v>
      </c>
      <c r="AN986">
        <v>1.00000005075854</v>
      </c>
    </row>
    <row r="987" spans="1:40" x14ac:dyDescent="0.25">
      <c r="A987" t="str">
        <f>"20190304164114775"</f>
        <v>20190304164114775</v>
      </c>
      <c r="B987" t="str">
        <f>"1551688874761981"</f>
        <v>1551688874761981</v>
      </c>
      <c r="C987" t="s">
        <v>40</v>
      </c>
      <c r="D987">
        <v>4.1219010000000003</v>
      </c>
      <c r="E987">
        <v>0.54536560000000001</v>
      </c>
      <c r="F987" t="s">
        <v>42</v>
      </c>
      <c r="G987">
        <v>-267.779</v>
      </c>
      <c r="H987" s="1">
        <v>-1.5707690000000001E-6</v>
      </c>
      <c r="I987">
        <v>366.50099999999998</v>
      </c>
      <c r="J987">
        <v>-310.64150000000001</v>
      </c>
      <c r="K987">
        <v>1.0633549999999901</v>
      </c>
      <c r="L987">
        <v>367.24239999999998</v>
      </c>
      <c r="M987">
        <v>0.99986589999999997</v>
      </c>
      <c r="N987">
        <v>-1.5133270000000001E-2</v>
      </c>
      <c r="O987">
        <v>-6.2631419999999898E-3</v>
      </c>
      <c r="P987">
        <v>0.95570549999999999</v>
      </c>
      <c r="Q987">
        <v>0.28540369999999998</v>
      </c>
      <c r="R987">
        <v>7.1914499999999895E-2</v>
      </c>
      <c r="S987">
        <v>3.166229</v>
      </c>
      <c r="T987">
        <v>-7.8205230000000001E-2</v>
      </c>
      <c r="U987">
        <v>-5.4595949999999997E-2</v>
      </c>
      <c r="V987">
        <v>-7.7915150000000002E-2</v>
      </c>
      <c r="W987">
        <v>0.29982300000000001</v>
      </c>
      <c r="X987">
        <v>0.95080779999999998</v>
      </c>
      <c r="Y987">
        <v>1.0972269999999999E-2</v>
      </c>
      <c r="Z987">
        <v>-1.5864610000000001E-4</v>
      </c>
      <c r="AA987">
        <v>0.99993980000000005</v>
      </c>
      <c r="AB987">
        <v>36</v>
      </c>
      <c r="AC987">
        <v>42.862499999999997</v>
      </c>
      <c r="AD987">
        <v>-1.06335657076899</v>
      </c>
      <c r="AE987">
        <v>-0.74139999999999795</v>
      </c>
      <c r="AF987">
        <v>0.47261000633244399</v>
      </c>
      <c r="AG987">
        <v>-1.06335657076899</v>
      </c>
      <c r="AH987">
        <v>42.839944573142098</v>
      </c>
      <c r="AI987">
        <v>91.421795279975697</v>
      </c>
      <c r="AJ987">
        <v>89.367938951893606</v>
      </c>
      <c r="AK987">
        <v>42.855745687650398</v>
      </c>
      <c r="AL987">
        <v>72.553028263219502</v>
      </c>
      <c r="AM987">
        <v>94.684707732175994</v>
      </c>
      <c r="AN987">
        <v>1.00000003723468</v>
      </c>
    </row>
    <row r="988" spans="1:40" x14ac:dyDescent="0.25">
      <c r="A988" t="str">
        <f>"20190304164114788"</f>
        <v>20190304164114788</v>
      </c>
      <c r="B988" t="str">
        <f>"1551688874782477"</f>
        <v>1551688874782477</v>
      </c>
      <c r="C988" t="s">
        <v>40</v>
      </c>
      <c r="D988">
        <v>4.1161409999999998</v>
      </c>
      <c r="E988">
        <v>0.54555509999999996</v>
      </c>
      <c r="F988" t="s">
        <v>42</v>
      </c>
      <c r="G988">
        <v>-267.44779999999997</v>
      </c>
      <c r="H988" s="1">
        <v>-1.685286E-6</v>
      </c>
      <c r="I988">
        <v>366.49430000000001</v>
      </c>
      <c r="J988">
        <v>-310.44549999999998</v>
      </c>
      <c r="K988">
        <v>1.063051</v>
      </c>
      <c r="L988">
        <v>367.24119999999999</v>
      </c>
      <c r="M988">
        <v>0.99986889999999995</v>
      </c>
      <c r="N988">
        <v>-1.494175E-2</v>
      </c>
      <c r="O988">
        <v>-6.2398870000000004E-3</v>
      </c>
      <c r="P988">
        <v>0.95557119999999995</v>
      </c>
      <c r="Q988">
        <v>0.2858463</v>
      </c>
      <c r="R988">
        <v>7.1939690000000001E-2</v>
      </c>
      <c r="S988">
        <v>3.1664119999999998</v>
      </c>
      <c r="T988">
        <v>-7.7951670000000001E-2</v>
      </c>
      <c r="U988">
        <v>-5.4840090000000001E-2</v>
      </c>
      <c r="V988">
        <v>-7.791758E-2</v>
      </c>
      <c r="W988">
        <v>0.3000814</v>
      </c>
      <c r="X988">
        <v>0.95072599999999996</v>
      </c>
      <c r="Y988">
        <v>1.1071630000000001E-2</v>
      </c>
      <c r="Z988">
        <v>-1.586487E-4</v>
      </c>
      <c r="AA988">
        <v>0.99993869999999896</v>
      </c>
      <c r="AB988">
        <v>36</v>
      </c>
      <c r="AC988">
        <v>42.997700000000002</v>
      </c>
      <c r="AD988">
        <v>-1.0630526852860001</v>
      </c>
      <c r="AE988">
        <v>-0.74689999999998202</v>
      </c>
      <c r="AF988">
        <v>0.47826246307511999</v>
      </c>
      <c r="AG988">
        <v>-1.0630526852860001</v>
      </c>
      <c r="AH988">
        <v>42.975263092488198</v>
      </c>
      <c r="AI988">
        <v>91.416913831077295</v>
      </c>
      <c r="AJ988">
        <v>89.362393910262298</v>
      </c>
      <c r="AK988">
        <v>42.991069466388801</v>
      </c>
      <c r="AL988">
        <v>72.537507045553696</v>
      </c>
      <c r="AM988">
        <v>94.6852544755005</v>
      </c>
      <c r="AN988">
        <v>0.99999996148750703</v>
      </c>
    </row>
    <row r="989" spans="1:40" x14ac:dyDescent="0.25">
      <c r="A989" t="str">
        <f>"20190304164114800"</f>
        <v>20190304164114800</v>
      </c>
      <c r="B989" t="str">
        <f>"1551688874792237"</f>
        <v>1551688874792237</v>
      </c>
      <c r="C989" t="s">
        <v>40</v>
      </c>
      <c r="D989">
        <v>4.1085149999999997</v>
      </c>
      <c r="E989">
        <v>0.54560330000000001</v>
      </c>
      <c r="F989" t="s">
        <v>42</v>
      </c>
      <c r="G989">
        <v>-267.03930000000003</v>
      </c>
      <c r="H989" s="1">
        <v>-1.830557E-6</v>
      </c>
      <c r="I989">
        <v>366.47070000000002</v>
      </c>
      <c r="J989">
        <v>-310.24810000000002</v>
      </c>
      <c r="K989">
        <v>1.062773</v>
      </c>
      <c r="L989">
        <v>367.24</v>
      </c>
      <c r="M989">
        <v>0.99987190000000004</v>
      </c>
      <c r="N989">
        <v>-1.4758459999999999E-2</v>
      </c>
      <c r="O989">
        <v>-6.2173039999999999E-3</v>
      </c>
      <c r="P989">
        <v>0.9555728</v>
      </c>
      <c r="Q989">
        <v>0.28586440000000002</v>
      </c>
      <c r="R989">
        <v>7.1849819999999995E-2</v>
      </c>
      <c r="S989">
        <v>3.1668699999999999</v>
      </c>
      <c r="T989">
        <v>-7.7559230000000007E-2</v>
      </c>
      <c r="U989">
        <v>-5.621338E-2</v>
      </c>
      <c r="V989">
        <v>-7.7806890000000004E-2</v>
      </c>
      <c r="W989">
        <v>0.29992489999999999</v>
      </c>
      <c r="X989">
        <v>0.95078450000000003</v>
      </c>
      <c r="Y989">
        <v>1.152507E-2</v>
      </c>
      <c r="Z989">
        <v>-1.656975E-4</v>
      </c>
      <c r="AA989">
        <v>0.99993350000000003</v>
      </c>
      <c r="AB989">
        <v>36</v>
      </c>
      <c r="AC989">
        <v>43.208799999999997</v>
      </c>
      <c r="AD989">
        <v>-1.0627748305569999</v>
      </c>
      <c r="AE989">
        <v>-0.76929999999998699</v>
      </c>
      <c r="AF989">
        <v>0.50031107922520801</v>
      </c>
      <c r="AG989">
        <v>-1.0627748305569999</v>
      </c>
      <c r="AH989">
        <v>43.186629594304797</v>
      </c>
      <c r="AI989">
        <v>91.409606214001698</v>
      </c>
      <c r="AJ989">
        <v>89.336266079179197</v>
      </c>
      <c r="AK989">
        <v>43.202601510003298</v>
      </c>
      <c r="AL989">
        <v>72.546907708005705</v>
      </c>
      <c r="AM989">
        <v>94.678341565182905</v>
      </c>
      <c r="AN989">
        <v>1.0000000116058601</v>
      </c>
    </row>
    <row r="990" spans="1:40" x14ac:dyDescent="0.25">
      <c r="A990" t="str">
        <f>"20190304164114812"</f>
        <v>20190304164114812</v>
      </c>
      <c r="B990" t="str">
        <f>"1551688874801998"</f>
        <v>1551688874801998</v>
      </c>
      <c r="C990" t="s">
        <v>40</v>
      </c>
      <c r="D990">
        <v>4.1247369999999997</v>
      </c>
      <c r="E990">
        <v>0.54566110000000001</v>
      </c>
      <c r="F990" t="s">
        <v>42</v>
      </c>
      <c r="G990">
        <v>-267.04559999999998</v>
      </c>
      <c r="H990" s="1">
        <v>-1.830656E-6</v>
      </c>
      <c r="I990">
        <v>366.46230000000003</v>
      </c>
      <c r="J990">
        <v>-310.05669999999998</v>
      </c>
      <c r="K990">
        <v>1.062532</v>
      </c>
      <c r="L990">
        <v>367.2389</v>
      </c>
      <c r="M990">
        <v>0.99987420000000005</v>
      </c>
      <c r="N990">
        <v>-1.459539E-2</v>
      </c>
      <c r="O990">
        <v>-6.1951269999999999E-3</v>
      </c>
      <c r="P990">
        <v>0.95549309999999998</v>
      </c>
      <c r="Q990">
        <v>0.28609089999999998</v>
      </c>
      <c r="R990">
        <v>7.2005810000000003E-2</v>
      </c>
      <c r="S990">
        <v>3.1670229999999999</v>
      </c>
      <c r="T990">
        <v>-7.7908039999999998E-2</v>
      </c>
      <c r="U990">
        <v>-5.7006840000000003E-2</v>
      </c>
      <c r="V990">
        <v>-7.7942010000000006E-2</v>
      </c>
      <c r="W990">
        <v>0.29999490000000001</v>
      </c>
      <c r="X990">
        <v>0.95075129999999997</v>
      </c>
      <c r="Y990">
        <v>1.179672E-2</v>
      </c>
      <c r="Z990">
        <v>-1.6923919999999899E-4</v>
      </c>
      <c r="AA990">
        <v>0.9999304</v>
      </c>
      <c r="AB990">
        <v>36</v>
      </c>
      <c r="AC990">
        <v>43.011099999999999</v>
      </c>
      <c r="AD990">
        <v>-1.0625338306559999</v>
      </c>
      <c r="AE990">
        <v>-0.77659999999997298</v>
      </c>
      <c r="AF990">
        <v>0.50978644955221297</v>
      </c>
      <c r="AG990">
        <v>-1.0625338306559999</v>
      </c>
      <c r="AH990">
        <v>42.988859683249203</v>
      </c>
      <c r="AI990">
        <v>91.415762933720004</v>
      </c>
      <c r="AJ990">
        <v>89.320585770768801</v>
      </c>
      <c r="AK990">
        <v>43.005010373577697</v>
      </c>
      <c r="AL990">
        <v>72.542702575709797</v>
      </c>
      <c r="AM990">
        <v>94.686592770035105</v>
      </c>
      <c r="AN990">
        <v>0.99999996570026894</v>
      </c>
    </row>
    <row r="991" spans="1:40" x14ac:dyDescent="0.25">
      <c r="A991" t="str">
        <f>"20190304164114824"</f>
        <v>20190304164114824</v>
      </c>
      <c r="B991" t="str">
        <f>"1551688874812263"</f>
        <v>1551688874812263</v>
      </c>
      <c r="C991" t="s">
        <v>40</v>
      </c>
      <c r="D991">
        <v>4.1155489999999997</v>
      </c>
      <c r="E991">
        <v>0.54579359999999999</v>
      </c>
      <c r="F991" t="s">
        <v>42</v>
      </c>
      <c r="G991">
        <v>-266.66230000000002</v>
      </c>
      <c r="H991" s="1">
        <v>-1.975065E-6</v>
      </c>
      <c r="I991">
        <v>366.45440000000002</v>
      </c>
      <c r="J991">
        <v>-309.85730000000001</v>
      </c>
      <c r="K991">
        <v>1.062298</v>
      </c>
      <c r="L991">
        <v>367.23759999999999</v>
      </c>
      <c r="M991">
        <v>0.99987689999999996</v>
      </c>
      <c r="N991">
        <v>-1.4431609999999999E-2</v>
      </c>
      <c r="O991">
        <v>-6.1726000000000003E-3</v>
      </c>
      <c r="P991">
        <v>0.95540899999999995</v>
      </c>
      <c r="Q991">
        <v>0.28639870000000001</v>
      </c>
      <c r="R991">
        <v>7.1899009999999999E-2</v>
      </c>
      <c r="S991">
        <v>3.1672359999999999</v>
      </c>
      <c r="T991">
        <v>-7.7551250000000002E-2</v>
      </c>
      <c r="U991">
        <v>-5.725098E-2</v>
      </c>
      <c r="V991">
        <v>-7.7813460000000001E-2</v>
      </c>
      <c r="W991">
        <v>0.30014600000000002</v>
      </c>
      <c r="X991">
        <v>0.95071419999999995</v>
      </c>
      <c r="Y991">
        <v>1.189512E-2</v>
      </c>
      <c r="Z991">
        <v>-1.6943270000000001E-4</v>
      </c>
      <c r="AA991">
        <v>0.99992919999999996</v>
      </c>
      <c r="AB991">
        <v>36</v>
      </c>
      <c r="AC991">
        <v>43.194999999999901</v>
      </c>
      <c r="AD991">
        <v>-1.062299975065</v>
      </c>
      <c r="AE991">
        <v>-0.78319999999996504</v>
      </c>
      <c r="AF991">
        <v>0.51621975653376495</v>
      </c>
      <c r="AG991">
        <v>-1.062299975065</v>
      </c>
      <c r="AH991">
        <v>43.172908486653803</v>
      </c>
      <c r="AI991">
        <v>91.409418091549497</v>
      </c>
      <c r="AJ991">
        <v>89.314945299000399</v>
      </c>
      <c r="AK991">
        <v>43.189061014000302</v>
      </c>
      <c r="AL991">
        <v>72.533627984097905</v>
      </c>
      <c r="AM991">
        <v>94.679079279961002</v>
      </c>
      <c r="AN991">
        <v>1.0000000229774</v>
      </c>
    </row>
    <row r="992" spans="1:40" x14ac:dyDescent="0.25">
      <c r="A992" t="str">
        <f>"20190304164114836"</f>
        <v>20190304164114836</v>
      </c>
      <c r="B992" t="str">
        <f>"1551688874832759"</f>
        <v>1551688874832759</v>
      </c>
      <c r="C992" t="s">
        <v>40</v>
      </c>
      <c r="D992">
        <v>4.1721459999999997</v>
      </c>
      <c r="E992">
        <v>0.56029669999999998</v>
      </c>
      <c r="F992" t="s">
        <v>42</v>
      </c>
      <c r="G992">
        <v>-265.88330000000002</v>
      </c>
      <c r="H992" s="1">
        <v>-2.3168500000000001E-6</v>
      </c>
      <c r="I992">
        <v>366.41140000000001</v>
      </c>
      <c r="J992">
        <v>-309.65120000000002</v>
      </c>
      <c r="K992">
        <v>1.0620860000000001</v>
      </c>
      <c r="L992">
        <v>367.23630000000003</v>
      </c>
      <c r="M992">
        <v>0.99987919999999997</v>
      </c>
      <c r="N992">
        <v>-1.4275660000000001E-2</v>
      </c>
      <c r="O992">
        <v>-6.1493090000000004E-3</v>
      </c>
      <c r="P992">
        <v>0.95542969999999905</v>
      </c>
      <c r="Q992">
        <v>0.28632059999999998</v>
      </c>
      <c r="R992">
        <v>7.1934949999999998E-2</v>
      </c>
      <c r="S992">
        <v>3.1674190000000002</v>
      </c>
      <c r="T992">
        <v>-7.6516749999999994E-2</v>
      </c>
      <c r="U992">
        <v>-5.9509279999999998E-2</v>
      </c>
      <c r="V992">
        <v>-7.7827889999999997E-2</v>
      </c>
      <c r="W992">
        <v>0.2999194</v>
      </c>
      <c r="X992">
        <v>0.95078450000000003</v>
      </c>
      <c r="Y992">
        <v>1.262986E-2</v>
      </c>
      <c r="Z992">
        <v>-1.819647E-4</v>
      </c>
      <c r="AA992">
        <v>0.99992020000000004</v>
      </c>
      <c r="AB992">
        <v>36</v>
      </c>
      <c r="AC992">
        <v>43.767899999999997</v>
      </c>
      <c r="AD992">
        <v>-1.0620883168499999</v>
      </c>
      <c r="AE992">
        <v>-0.82490000000001296</v>
      </c>
      <c r="AF992">
        <v>0.55538770514986902</v>
      </c>
      <c r="AG992">
        <v>-1.0620883168499999</v>
      </c>
      <c r="AH992">
        <v>43.7463941623691</v>
      </c>
      <c r="AI992">
        <v>91.390659194267201</v>
      </c>
      <c r="AJ992">
        <v>89.272633490615306</v>
      </c>
      <c r="AK992">
        <v>43.762809431127501</v>
      </c>
      <c r="AL992">
        <v>72.547237764632101</v>
      </c>
      <c r="AM992">
        <v>94.679598637711095</v>
      </c>
      <c r="AN992">
        <v>0.99999999619923097</v>
      </c>
    </row>
    <row r="993" spans="1:40" x14ac:dyDescent="0.25">
      <c r="A993" t="str">
        <f>"20190304164114847"</f>
        <v>20190304164114847</v>
      </c>
      <c r="B993" t="str">
        <f>"1551688874842520"</f>
        <v>1551688874842520</v>
      </c>
      <c r="C993" t="s">
        <v>40</v>
      </c>
      <c r="D993">
        <v>4.2178449999999996</v>
      </c>
      <c r="E993">
        <v>0.56029669999999998</v>
      </c>
      <c r="F993" t="s">
        <v>42</v>
      </c>
      <c r="G993">
        <v>-260.8603</v>
      </c>
      <c r="H993" s="1">
        <v>-4.8067190000000004E-6</v>
      </c>
      <c r="I993">
        <v>364.52289999999999</v>
      </c>
      <c r="J993">
        <v>-309.48099999999999</v>
      </c>
      <c r="K993">
        <v>1.061928</v>
      </c>
      <c r="L993">
        <v>367.23540000000003</v>
      </c>
      <c r="M993">
        <v>0.99988109999999997</v>
      </c>
      <c r="N993">
        <v>-1.415425E-2</v>
      </c>
      <c r="O993">
        <v>-6.130328E-3</v>
      </c>
      <c r="P993">
        <v>0.95542530000000003</v>
      </c>
      <c r="Q993">
        <v>0.28639500000000001</v>
      </c>
      <c r="R993">
        <v>7.169913E-2</v>
      </c>
      <c r="S993">
        <v>3.17395</v>
      </c>
      <c r="T993">
        <v>-6.9091199999999894E-2</v>
      </c>
      <c r="U993">
        <v>-0.1765137</v>
      </c>
      <c r="V993">
        <v>-7.7574160000000003E-2</v>
      </c>
      <c r="W993">
        <v>0.29987809999999998</v>
      </c>
      <c r="X993">
        <v>0.95081830000000001</v>
      </c>
      <c r="Y993">
        <v>4.9385819999999997E-2</v>
      </c>
      <c r="Z993">
        <v>-8.4029389999999997E-4</v>
      </c>
      <c r="AA993">
        <v>0.99877939999999998</v>
      </c>
      <c r="AB993">
        <v>36</v>
      </c>
      <c r="AC993">
        <v>48.620699999999999</v>
      </c>
      <c r="AD993">
        <v>-1.0619328067189999</v>
      </c>
      <c r="AE993">
        <v>-2.7125000000000301</v>
      </c>
      <c r="AF993">
        <v>2.4132107226196702</v>
      </c>
      <c r="AG993">
        <v>-1.0619328067189999</v>
      </c>
      <c r="AH993">
        <v>48.613298016216902</v>
      </c>
      <c r="AI993">
        <v>91.249859651811803</v>
      </c>
      <c r="AJ993">
        <v>87.158115386868801</v>
      </c>
      <c r="AK993">
        <v>48.684741257310499</v>
      </c>
      <c r="AL993">
        <v>72.549718906489105</v>
      </c>
      <c r="AM993">
        <v>94.664244826220198</v>
      </c>
      <c r="AN993">
        <v>1.0000000323870999</v>
      </c>
    </row>
    <row r="994" spans="1:40" x14ac:dyDescent="0.25">
      <c r="A994" t="str">
        <f>"20190304164114858"</f>
        <v>20190304164114858</v>
      </c>
      <c r="B994" t="str">
        <f>"1551688874852279"</f>
        <v>1551688874852279</v>
      </c>
      <c r="C994" t="s">
        <v>40</v>
      </c>
      <c r="D994">
        <v>4.2359429999999998</v>
      </c>
      <c r="E994">
        <v>0.57817489999999905</v>
      </c>
      <c r="F994" t="s">
        <v>42</v>
      </c>
      <c r="G994">
        <v>-260.49930000000001</v>
      </c>
      <c r="H994" s="1">
        <v>-4.9659810000000001E-6</v>
      </c>
      <c r="I994">
        <v>364.49799999999999</v>
      </c>
      <c r="J994">
        <v>-309.3098</v>
      </c>
      <c r="K994">
        <v>1.061779</v>
      </c>
      <c r="L994">
        <v>367.23430000000002</v>
      </c>
      <c r="M994">
        <v>0.99988290000000002</v>
      </c>
      <c r="N994">
        <v>-1.403777E-2</v>
      </c>
      <c r="O994">
        <v>-6.1111510000000004E-3</v>
      </c>
      <c r="P994">
        <v>0.95544980000000002</v>
      </c>
      <c r="Q994">
        <v>0.28626950000000001</v>
      </c>
      <c r="R994">
        <v>7.1872399999999906E-2</v>
      </c>
      <c r="S994">
        <v>3.1738590000000002</v>
      </c>
      <c r="T994">
        <v>-6.8809750000000003E-2</v>
      </c>
      <c r="U994">
        <v>-0.1773682</v>
      </c>
      <c r="V994">
        <v>-7.7729809999999996E-2</v>
      </c>
      <c r="W994">
        <v>0.29964239999999998</v>
      </c>
      <c r="X994">
        <v>0.9508799</v>
      </c>
      <c r="Y994">
        <v>4.967473E-2</v>
      </c>
      <c r="Z994">
        <v>-8.4037179999999997E-4</v>
      </c>
      <c r="AA994">
        <v>0.99876509999999996</v>
      </c>
      <c r="AB994">
        <v>36</v>
      </c>
      <c r="AC994">
        <v>48.810499999999898</v>
      </c>
      <c r="AD994">
        <v>-1.061783965981</v>
      </c>
      <c r="AE994">
        <v>-2.7362999999999702</v>
      </c>
      <c r="AF994">
        <v>2.43678172100004</v>
      </c>
      <c r="AG994">
        <v>-1.061783965981</v>
      </c>
      <c r="AH994">
        <v>48.803290532776202</v>
      </c>
      <c r="AI994">
        <v>91.2448030998017</v>
      </c>
      <c r="AJ994">
        <v>87.141556347157703</v>
      </c>
      <c r="AK994">
        <v>48.875622320056202</v>
      </c>
      <c r="AL994">
        <v>72.563874567247495</v>
      </c>
      <c r="AM994">
        <v>94.673260642374103</v>
      </c>
      <c r="AN994">
        <v>1.0000000377322</v>
      </c>
    </row>
    <row r="995" spans="1:40" x14ac:dyDescent="0.25">
      <c r="A995" t="str">
        <f>"20190304164114868"</f>
        <v>20190304164114868</v>
      </c>
      <c r="B995" t="str">
        <f>"1551688874862039"</f>
        <v>1551688874862039</v>
      </c>
      <c r="C995" t="s">
        <v>40</v>
      </c>
      <c r="D995">
        <v>4.2016859999999996</v>
      </c>
      <c r="E995">
        <v>0.57926519999999904</v>
      </c>
      <c r="F995" t="s">
        <v>43</v>
      </c>
      <c r="G995">
        <v>-284.0634</v>
      </c>
      <c r="H995">
        <v>-0.05</v>
      </c>
      <c r="I995">
        <v>364.7749</v>
      </c>
      <c r="J995">
        <v>-309.1438</v>
      </c>
      <c r="K995">
        <v>1.0616479999999999</v>
      </c>
      <c r="L995">
        <v>367.23329999999999</v>
      </c>
      <c r="M995">
        <v>0.99988449999999995</v>
      </c>
      <c r="N995">
        <v>-1.393263E-2</v>
      </c>
      <c r="O995">
        <v>-6.0923030000000003E-3</v>
      </c>
      <c r="P995">
        <v>0.9553682</v>
      </c>
      <c r="Q995">
        <v>0.28662860000000001</v>
      </c>
      <c r="R995">
        <v>7.1526140000000002E-2</v>
      </c>
      <c r="S995">
        <v>3.2056879999999999</v>
      </c>
      <c r="T995">
        <v>-0.14116979999999901</v>
      </c>
      <c r="U995">
        <v>-0.31228640000000002</v>
      </c>
      <c r="V995">
        <v>-7.7365000000000003E-2</v>
      </c>
      <c r="W995">
        <v>0.29990070000000002</v>
      </c>
      <c r="X995">
        <v>0.95082809999999995</v>
      </c>
      <c r="Y995">
        <v>9.0779139999999994E-2</v>
      </c>
      <c r="Z995">
        <v>-2.4446340000000002E-3</v>
      </c>
      <c r="AA995">
        <v>0.99586799999999998</v>
      </c>
      <c r="AB995">
        <v>36</v>
      </c>
      <c r="AC995">
        <v>25.080400000000001</v>
      </c>
      <c r="AD995">
        <v>-1.111648</v>
      </c>
      <c r="AE995">
        <v>-2.4583999999999802</v>
      </c>
      <c r="AF995">
        <v>2.3010645952322899</v>
      </c>
      <c r="AG995">
        <v>-1.111648</v>
      </c>
      <c r="AH995">
        <v>25.0461767362229</v>
      </c>
      <c r="AI995">
        <v>92.530700578757802</v>
      </c>
      <c r="AJ995">
        <v>84.750806985997201</v>
      </c>
      <c r="AK995">
        <v>25.176211562692401</v>
      </c>
      <c r="AL995">
        <v>72.548359603347095</v>
      </c>
      <c r="AM995">
        <v>94.651676345992499</v>
      </c>
      <c r="AN995">
        <v>0.99999992441754704</v>
      </c>
    </row>
    <row r="996" spans="1:40" x14ac:dyDescent="0.25">
      <c r="A996" t="str">
        <f>"20190304164114878"</f>
        <v>20190304164114878</v>
      </c>
      <c r="B996" t="str">
        <f>"1551688874871799"</f>
        <v>1551688874871799</v>
      </c>
      <c r="C996" t="s">
        <v>40</v>
      </c>
      <c r="D996">
        <v>4.1817780000000004</v>
      </c>
      <c r="E996">
        <v>0.57973200000000003</v>
      </c>
      <c r="F996" t="s">
        <v>43</v>
      </c>
      <c r="G996">
        <v>-285.7971</v>
      </c>
      <c r="H996">
        <v>-0.05</v>
      </c>
      <c r="I996">
        <v>364.89879999999999</v>
      </c>
      <c r="J996">
        <v>-308.97489999999999</v>
      </c>
      <c r="K996">
        <v>1.0615209999999999</v>
      </c>
      <c r="L996">
        <v>367.23230000000001</v>
      </c>
      <c r="M996">
        <v>0.99988600000000005</v>
      </c>
      <c r="N996">
        <v>-1.3829569999999999E-2</v>
      </c>
      <c r="O996">
        <v>-6.0727610000000003E-3</v>
      </c>
      <c r="P996">
        <v>0.95534730000000001</v>
      </c>
      <c r="Q996">
        <v>0.28671469999999999</v>
      </c>
      <c r="R996">
        <v>7.1460689999999993E-2</v>
      </c>
      <c r="S996">
        <v>3.210083</v>
      </c>
      <c r="T996">
        <v>-0.15284719999999999</v>
      </c>
      <c r="U996">
        <v>-0.32098389999999999</v>
      </c>
      <c r="V996">
        <v>-7.7280539999999995E-2</v>
      </c>
      <c r="W996">
        <v>0.2998885</v>
      </c>
      <c r="X996">
        <v>0.95083890000000004</v>
      </c>
      <c r="Y996">
        <v>9.3319250000000006E-2</v>
      </c>
      <c r="Z996">
        <v>-2.6578040000000002E-3</v>
      </c>
      <c r="AA996">
        <v>0.99563270000000004</v>
      </c>
      <c r="AB996">
        <v>36</v>
      </c>
      <c r="AC996">
        <v>23.177799999999898</v>
      </c>
      <c r="AD996">
        <v>-1.111521</v>
      </c>
      <c r="AE996">
        <v>-2.3335000000000101</v>
      </c>
      <c r="AF996">
        <v>2.18770945408744</v>
      </c>
      <c r="AG996">
        <v>-1.111521</v>
      </c>
      <c r="AH996">
        <v>23.138863791682599</v>
      </c>
      <c r="AI996">
        <v>92.738009984230402</v>
      </c>
      <c r="AJ996">
        <v>84.598913156306494</v>
      </c>
      <c r="AK996">
        <v>23.268617689046</v>
      </c>
      <c r="AL996">
        <v>72.549093771793807</v>
      </c>
      <c r="AM996">
        <v>94.646567775446897</v>
      </c>
      <c r="AN996">
        <v>1.00000000402407</v>
      </c>
    </row>
    <row r="997" spans="1:40" x14ac:dyDescent="0.25">
      <c r="A997" t="str">
        <f>"20190304164114889"</f>
        <v>20190304164114889</v>
      </c>
      <c r="B997" t="str">
        <f>"1551688874882535"</f>
        <v>1551688874882535</v>
      </c>
      <c r="C997" t="s">
        <v>40</v>
      </c>
      <c r="D997">
        <v>4.3423590000000001</v>
      </c>
      <c r="E997">
        <v>0.58061680000000004</v>
      </c>
      <c r="F997" t="s">
        <v>43</v>
      </c>
      <c r="G997">
        <v>-286.28190000000001</v>
      </c>
      <c r="H997">
        <v>-0.05</v>
      </c>
      <c r="I997">
        <v>364.94400000000002</v>
      </c>
      <c r="J997">
        <v>-308.80340000000001</v>
      </c>
      <c r="K997">
        <v>1.061407</v>
      </c>
      <c r="L997">
        <v>367.23129999999998</v>
      </c>
      <c r="M997">
        <v>0.99988750000000004</v>
      </c>
      <c r="N997">
        <v>-1.373311E-2</v>
      </c>
      <c r="O997">
        <v>-6.05303E-3</v>
      </c>
      <c r="P997">
        <v>0.95530300000000001</v>
      </c>
      <c r="Q997">
        <v>0.2868676</v>
      </c>
      <c r="R997">
        <v>7.1440229999999993E-2</v>
      </c>
      <c r="S997">
        <v>3.2117</v>
      </c>
      <c r="T997">
        <v>-0.1573117</v>
      </c>
      <c r="U997">
        <v>-0.32385249999999999</v>
      </c>
      <c r="V997">
        <v>-7.7241370000000004E-2</v>
      </c>
      <c r="W997">
        <v>0.29994900000000002</v>
      </c>
      <c r="X997">
        <v>0.95082299999999997</v>
      </c>
      <c r="Y997">
        <v>9.4161930000000005E-2</v>
      </c>
      <c r="Z997">
        <v>-2.734949E-3</v>
      </c>
      <c r="AA997">
        <v>0.99555309999999997</v>
      </c>
      <c r="AB997">
        <v>36</v>
      </c>
      <c r="AC997">
        <v>22.5215</v>
      </c>
      <c r="AD997">
        <v>-1.111407</v>
      </c>
      <c r="AE997">
        <v>-2.2872999999999601</v>
      </c>
      <c r="AF997">
        <v>2.1457497489018502</v>
      </c>
      <c r="AG997">
        <v>-1.111407</v>
      </c>
      <c r="AH997">
        <v>22.480745409759201</v>
      </c>
      <c r="AI997">
        <v>92.817509910910402</v>
      </c>
      <c r="AJ997">
        <v>84.547730556585094</v>
      </c>
      <c r="AK997">
        <v>22.610249482988198</v>
      </c>
      <c r="AL997">
        <v>72.545460110264898</v>
      </c>
      <c r="AM997">
        <v>94.644300268541301</v>
      </c>
      <c r="AN997">
        <v>1.0000000045847299</v>
      </c>
    </row>
    <row r="998" spans="1:40" x14ac:dyDescent="0.25">
      <c r="A998" t="str">
        <f>"20190304164114899"</f>
        <v>20190304164114899</v>
      </c>
      <c r="B998" t="str">
        <f>"1551688874892295"</f>
        <v>1551688874892295</v>
      </c>
      <c r="C998" t="s">
        <v>40</v>
      </c>
      <c r="D998">
        <v>4.2026329999999996</v>
      </c>
      <c r="E998">
        <v>0.58074919999999997</v>
      </c>
      <c r="F998" t="s">
        <v>43</v>
      </c>
      <c r="G998">
        <v>-287.07429999999999</v>
      </c>
      <c r="H998">
        <v>-0.05</v>
      </c>
      <c r="I998">
        <v>365.00310000000002</v>
      </c>
      <c r="J998">
        <v>-308.6413</v>
      </c>
      <c r="K998">
        <v>1.061304</v>
      </c>
      <c r="L998">
        <v>367.2303</v>
      </c>
      <c r="M998">
        <v>0.99988880000000002</v>
      </c>
      <c r="N998">
        <v>-1.364455E-2</v>
      </c>
      <c r="O998">
        <v>-6.0341919999999999E-3</v>
      </c>
      <c r="P998">
        <v>0.95533789999999996</v>
      </c>
      <c r="Q998">
        <v>0.28674500000000003</v>
      </c>
      <c r="R998">
        <v>7.1462590000000006E-2</v>
      </c>
      <c r="S998">
        <v>3.2144469999999998</v>
      </c>
      <c r="T998">
        <v>-0.16441349999999999</v>
      </c>
      <c r="U998">
        <v>-0.32962039999999998</v>
      </c>
      <c r="V998">
        <v>-7.7245270000000005E-2</v>
      </c>
      <c r="W998">
        <v>0.29974250000000002</v>
      </c>
      <c r="X998">
        <v>0.95088779999999995</v>
      </c>
      <c r="Y998">
        <v>9.5850179999999993E-2</v>
      </c>
      <c r="Z998">
        <v>-2.8739680000000002E-3</v>
      </c>
      <c r="AA998">
        <v>0.99539160000000004</v>
      </c>
      <c r="AB998">
        <v>36</v>
      </c>
      <c r="AC998">
        <v>21.567</v>
      </c>
      <c r="AD998">
        <v>-1.1113040000000001</v>
      </c>
      <c r="AE998">
        <v>-2.2271999999999799</v>
      </c>
      <c r="AF998">
        <v>2.0915132738884101</v>
      </c>
      <c r="AG998">
        <v>-1.1113040000000001</v>
      </c>
      <c r="AH998">
        <v>21.523503138662601</v>
      </c>
      <c r="AI998">
        <v>92.941845373716703</v>
      </c>
      <c r="AJ998">
        <v>84.449796681851893</v>
      </c>
      <c r="AK998">
        <v>21.653420323710701</v>
      </c>
      <c r="AL998">
        <v>72.557862317606293</v>
      </c>
      <c r="AM998">
        <v>94.644218612660296</v>
      </c>
      <c r="AN998">
        <v>1.0000000031162299</v>
      </c>
    </row>
    <row r="999" spans="1:40" x14ac:dyDescent="0.25">
      <c r="A999" t="str">
        <f>"20190304164114910"</f>
        <v>20190304164114910</v>
      </c>
      <c r="B999" t="str">
        <f>"1551688874902055"</f>
        <v>1551688874902055</v>
      </c>
      <c r="C999" t="s">
        <v>40</v>
      </c>
      <c r="D999">
        <v>4.2033310000000004</v>
      </c>
      <c r="E999">
        <v>0.58070519999999903</v>
      </c>
      <c r="F999" t="s">
        <v>43</v>
      </c>
      <c r="G999">
        <v>-286.95580000000001</v>
      </c>
      <c r="H999">
        <v>-0.05</v>
      </c>
      <c r="I999">
        <v>365.00080000000003</v>
      </c>
      <c r="J999">
        <v>-308.47879999999998</v>
      </c>
      <c r="K999">
        <v>1.0612109999999999</v>
      </c>
      <c r="L999">
        <v>367.2294</v>
      </c>
      <c r="M999">
        <v>0.99988999999999995</v>
      </c>
      <c r="N999">
        <v>-1.356334E-2</v>
      </c>
      <c r="O999">
        <v>-6.0150519999999999E-3</v>
      </c>
      <c r="P999">
        <v>0.95535610000000004</v>
      </c>
      <c r="Q999">
        <v>0.28663260000000002</v>
      </c>
      <c r="R999">
        <v>7.1671650000000003E-2</v>
      </c>
      <c r="S999">
        <v>3.2144170000000001</v>
      </c>
      <c r="T999">
        <v>-0.1647274</v>
      </c>
      <c r="U999">
        <v>-0.33047490000000002</v>
      </c>
      <c r="V999">
        <v>-7.7436439999999995E-2</v>
      </c>
      <c r="W999">
        <v>0.29955320000000002</v>
      </c>
      <c r="X999">
        <v>0.95093190000000005</v>
      </c>
      <c r="Y999">
        <v>9.613128E-2</v>
      </c>
      <c r="Z999">
        <v>-2.8834580000000002E-3</v>
      </c>
      <c r="AA999">
        <v>0.99536449999999999</v>
      </c>
      <c r="AB999">
        <v>36</v>
      </c>
      <c r="AC999">
        <v>21.5229999999999</v>
      </c>
      <c r="AD999">
        <v>-1.1112109999999999</v>
      </c>
      <c r="AE999">
        <v>-2.2285999999999699</v>
      </c>
      <c r="AF999">
        <v>2.0935645004102401</v>
      </c>
      <c r="AG999">
        <v>-1.1112109999999999</v>
      </c>
      <c r="AH999">
        <v>21.479369871626499</v>
      </c>
      <c r="AI999">
        <v>92.947549291750093</v>
      </c>
      <c r="AJ999">
        <v>84.433044042480702</v>
      </c>
      <c r="AK999">
        <v>21.609746233726</v>
      </c>
      <c r="AL999">
        <v>72.569230738144995</v>
      </c>
      <c r="AM999">
        <v>94.655446905896397</v>
      </c>
      <c r="AN999">
        <v>1.00000000015386</v>
      </c>
    </row>
    <row r="1000" spans="1:40" x14ac:dyDescent="0.25">
      <c r="A1000" t="str">
        <f>"20190304164114920"</f>
        <v>20190304164114920</v>
      </c>
      <c r="B1000" t="str">
        <f>"1551688874912323"</f>
        <v>1551688874912323</v>
      </c>
      <c r="C1000" t="s">
        <v>40</v>
      </c>
      <c r="D1000">
        <v>4.2114779999999996</v>
      </c>
      <c r="E1000">
        <v>0.58067209999999903</v>
      </c>
      <c r="F1000" t="s">
        <v>43</v>
      </c>
      <c r="G1000">
        <v>-287.13650000000001</v>
      </c>
      <c r="H1000">
        <v>-0.05</v>
      </c>
      <c r="I1000">
        <v>365.04239999999999</v>
      </c>
      <c r="J1000">
        <v>-308.3141</v>
      </c>
      <c r="K1000">
        <v>1.061121</v>
      </c>
      <c r="L1000">
        <v>367.22840000000002</v>
      </c>
      <c r="M1000">
        <v>0.99989119999999998</v>
      </c>
      <c r="N1000">
        <v>-1.3482890000000001E-2</v>
      </c>
      <c r="O1000">
        <v>-5.9958009999999898E-3</v>
      </c>
      <c r="P1000">
        <v>0.95540409999999998</v>
      </c>
      <c r="Q1000">
        <v>0.28642570000000001</v>
      </c>
      <c r="R1000">
        <v>7.1856329999999996E-2</v>
      </c>
      <c r="S1000">
        <v>3.2151489999999998</v>
      </c>
      <c r="T1000">
        <v>-0.16740060000000001</v>
      </c>
      <c r="U1000">
        <v>-0.32946779999999998</v>
      </c>
      <c r="V1000">
        <v>-7.7602820000000003E-2</v>
      </c>
      <c r="W1000">
        <v>0.2992707</v>
      </c>
      <c r="X1000">
        <v>0.9510073</v>
      </c>
      <c r="Y1000">
        <v>9.5815200000000003E-2</v>
      </c>
      <c r="Z1000">
        <v>-2.9038480000000001E-3</v>
      </c>
      <c r="AA1000">
        <v>0.99539489999999997</v>
      </c>
      <c r="AB1000">
        <v>36</v>
      </c>
      <c r="AC1000">
        <v>21.177599999999899</v>
      </c>
      <c r="AD1000">
        <v>-1.11112099999999</v>
      </c>
      <c r="AE1000">
        <v>-2.1860000000000301</v>
      </c>
      <c r="AF1000">
        <v>2.0533796093391099</v>
      </c>
      <c r="AG1000">
        <v>-1.11112099999999</v>
      </c>
      <c r="AH1000">
        <v>21.132767017043001</v>
      </c>
      <c r="AI1000">
        <v>92.995650429856099</v>
      </c>
      <c r="AJ1000">
        <v>84.450238463405697</v>
      </c>
      <c r="AK1000">
        <v>21.261345194820301</v>
      </c>
      <c r="AL1000">
        <v>72.586195356448698</v>
      </c>
      <c r="AM1000">
        <v>94.665037233646103</v>
      </c>
      <c r="AN1000">
        <v>1.0000000171018599</v>
      </c>
    </row>
    <row r="1001" spans="1:40" x14ac:dyDescent="0.25">
      <c r="A1001" t="str">
        <f>"20190304164114929"</f>
        <v>20190304164114929</v>
      </c>
      <c r="B1001" t="str">
        <f>"1551688874922083"</f>
        <v>1551688874922083</v>
      </c>
      <c r="C1001" t="s">
        <v>40</v>
      </c>
      <c r="D1001">
        <v>4.197883</v>
      </c>
      <c r="E1001">
        <v>0.580627</v>
      </c>
      <c r="F1001" t="s">
        <v>43</v>
      </c>
      <c r="G1001">
        <v>-287.1635</v>
      </c>
      <c r="H1001">
        <v>-0.05</v>
      </c>
      <c r="I1001">
        <v>365.06819999999999</v>
      </c>
      <c r="J1001">
        <v>-308.15559999999999</v>
      </c>
      <c r="K1001">
        <v>1.061048</v>
      </c>
      <c r="L1001">
        <v>367.22750000000002</v>
      </c>
      <c r="M1001">
        <v>0.99989220000000001</v>
      </c>
      <c r="N1001">
        <v>-1.3413990000000001E-2</v>
      </c>
      <c r="O1001">
        <v>-5.9773409999999997E-3</v>
      </c>
      <c r="P1001">
        <v>0.95539620000000003</v>
      </c>
      <c r="Q1001">
        <v>0.28647260000000002</v>
      </c>
      <c r="R1001">
        <v>7.1777069999999998E-2</v>
      </c>
      <c r="S1001">
        <v>3.215363</v>
      </c>
      <c r="T1001">
        <v>-0.16891529999999999</v>
      </c>
      <c r="U1001">
        <v>-0.32839970000000002</v>
      </c>
      <c r="V1001">
        <v>-7.7506259999999993E-2</v>
      </c>
      <c r="W1001">
        <v>0.29925159999999901</v>
      </c>
      <c r="X1001">
        <v>0.95102120000000001</v>
      </c>
      <c r="Y1001">
        <v>9.5497830000000006E-2</v>
      </c>
      <c r="Z1001">
        <v>-2.9099410000000001E-3</v>
      </c>
      <c r="AA1001">
        <v>0.99542540000000002</v>
      </c>
      <c r="AB1001">
        <v>36</v>
      </c>
      <c r="AC1001">
        <v>20.992099999999901</v>
      </c>
      <c r="AD1001">
        <v>-1.111048</v>
      </c>
      <c r="AE1001">
        <v>-2.1593000000000302</v>
      </c>
      <c r="AF1001">
        <v>2.0281512913109401</v>
      </c>
      <c r="AG1001">
        <v>-1.111048</v>
      </c>
      <c r="AH1001">
        <v>20.946570444112801</v>
      </c>
      <c r="AI1001">
        <v>93.022130538641207</v>
      </c>
      <c r="AJ1001">
        <v>84.4695769385077</v>
      </c>
      <c r="AK1001">
        <v>21.0738377778925</v>
      </c>
      <c r="AL1001">
        <v>72.5873425286551</v>
      </c>
      <c r="AM1001">
        <v>94.659190372081497</v>
      </c>
      <c r="AN1001">
        <v>1.0000000316455899</v>
      </c>
    </row>
    <row r="1002" spans="1:40" x14ac:dyDescent="0.25">
      <c r="A1002" t="str">
        <f>"20190304164114940"</f>
        <v>20190304164114940</v>
      </c>
      <c r="B1002" t="str">
        <f>"1551688874931843"</f>
        <v>1551688874931843</v>
      </c>
      <c r="C1002" t="s">
        <v>40</v>
      </c>
      <c r="D1002">
        <v>4.1968059999999996</v>
      </c>
      <c r="E1002">
        <v>0.58066459999999998</v>
      </c>
      <c r="F1002" t="s">
        <v>43</v>
      </c>
      <c r="G1002">
        <v>-286.928</v>
      </c>
      <c r="H1002">
        <v>-0.05</v>
      </c>
      <c r="I1002">
        <v>365.0575</v>
      </c>
      <c r="J1002">
        <v>-307.97879999999998</v>
      </c>
      <c r="K1002">
        <v>1.060962</v>
      </c>
      <c r="L1002">
        <v>367.22640000000001</v>
      </c>
      <c r="M1002">
        <v>0.99989340000000004</v>
      </c>
      <c r="N1002">
        <v>-1.333906E-2</v>
      </c>
      <c r="O1002">
        <v>-5.956579E-3</v>
      </c>
      <c r="P1002">
        <v>0.95545279999999999</v>
      </c>
      <c r="Q1002">
        <v>0.28623890000000002</v>
      </c>
      <c r="R1002">
        <v>7.1952950000000002E-2</v>
      </c>
      <c r="S1002">
        <v>3.2152400000000001</v>
      </c>
      <c r="T1002">
        <v>-0.16828489999999999</v>
      </c>
      <c r="U1002">
        <v>-0.32867429999999997</v>
      </c>
      <c r="V1002">
        <v>-7.7662300000000004E-2</v>
      </c>
      <c r="W1002">
        <v>0.29894769999999998</v>
      </c>
      <c r="X1002">
        <v>0.95110399999999995</v>
      </c>
      <c r="Y1002">
        <v>9.5607529999999996E-2</v>
      </c>
      <c r="Z1002">
        <v>-2.9022269999999998E-3</v>
      </c>
      <c r="AA1002">
        <v>0.99541489999999999</v>
      </c>
      <c r="AB1002">
        <v>36</v>
      </c>
      <c r="AC1002">
        <v>21.050799999999899</v>
      </c>
      <c r="AD1002">
        <v>-1.110962</v>
      </c>
      <c r="AE1002">
        <v>-2.1688999999999998</v>
      </c>
      <c r="AF1002">
        <v>2.0378433746572502</v>
      </c>
      <c r="AG1002">
        <v>-1.110962</v>
      </c>
      <c r="AH1002">
        <v>21.005456346018001</v>
      </c>
      <c r="AI1002">
        <v>93.013386344095395</v>
      </c>
      <c r="AJ1002">
        <v>84.4587936146213</v>
      </c>
      <c r="AK1002">
        <v>21.1332969148107</v>
      </c>
      <c r="AL1002">
        <v>72.605589296313198</v>
      </c>
      <c r="AM1002">
        <v>94.668124466658199</v>
      </c>
      <c r="AN1002">
        <v>0.99999998949628999</v>
      </c>
    </row>
    <row r="1003" spans="1:40" x14ac:dyDescent="0.25">
      <c r="A1003" t="str">
        <f>"20190304164114952"</f>
        <v>20190304164114952</v>
      </c>
      <c r="B1003" t="str">
        <f>"1551688874942579"</f>
        <v>1551688874942579</v>
      </c>
      <c r="C1003" t="s">
        <v>40</v>
      </c>
      <c r="D1003">
        <v>4.205273</v>
      </c>
      <c r="E1003">
        <v>0.58060619999999996</v>
      </c>
      <c r="F1003" t="s">
        <v>43</v>
      </c>
      <c r="G1003">
        <v>-286.87029999999999</v>
      </c>
      <c r="H1003">
        <v>-0.05</v>
      </c>
      <c r="I1003">
        <v>365.0677</v>
      </c>
      <c r="J1003">
        <v>-307.80149999999998</v>
      </c>
      <c r="K1003">
        <v>1.060894</v>
      </c>
      <c r="L1003">
        <v>367.22539999999998</v>
      </c>
      <c r="M1003">
        <v>0.99989439999999996</v>
      </c>
      <c r="N1003">
        <v>-1.327325E-2</v>
      </c>
      <c r="O1003">
        <v>-5.9362319999999996E-3</v>
      </c>
      <c r="P1003">
        <v>0.95550469999999998</v>
      </c>
      <c r="Q1003">
        <v>0.28611609999999998</v>
      </c>
      <c r="R1003">
        <v>7.1755550000000001E-2</v>
      </c>
      <c r="S1003">
        <v>3.215363</v>
      </c>
      <c r="T1003">
        <v>-0.16922779999999901</v>
      </c>
      <c r="U1003">
        <v>-0.32882689999999998</v>
      </c>
      <c r="V1003">
        <v>-7.7446119999999993E-2</v>
      </c>
      <c r="W1003">
        <v>0.2987629</v>
      </c>
      <c r="X1003">
        <v>0.95117969999999996</v>
      </c>
      <c r="Y1003">
        <v>9.5669219999999999E-2</v>
      </c>
      <c r="Z1003">
        <v>-2.9136380000000001E-3</v>
      </c>
      <c r="AA1003">
        <v>0.99540890000000004</v>
      </c>
      <c r="AB1003">
        <v>36</v>
      </c>
      <c r="AC1003">
        <v>20.931199999999901</v>
      </c>
      <c r="AD1003">
        <v>-1.110894</v>
      </c>
      <c r="AE1003">
        <v>-2.15769999999997</v>
      </c>
      <c r="AF1003">
        <v>2.02774687195032</v>
      </c>
      <c r="AG1003">
        <v>-1.110894</v>
      </c>
      <c r="AH1003">
        <v>20.885429252596801</v>
      </c>
      <c r="AI1003">
        <v>93.030465160612593</v>
      </c>
      <c r="AJ1003">
        <v>84.454586771856498</v>
      </c>
      <c r="AK1003">
        <v>21.013019723998799</v>
      </c>
      <c r="AL1003">
        <v>72.616684761724997</v>
      </c>
      <c r="AM1003">
        <v>94.654818654546204</v>
      </c>
      <c r="AN1003">
        <v>0.999999996805777</v>
      </c>
    </row>
    <row r="1004" spans="1:40" x14ac:dyDescent="0.25">
      <c r="A1004" t="str">
        <f>"20190304164114965"</f>
        <v>20190304164114965</v>
      </c>
      <c r="B1004" t="str">
        <f>"1551688874952339"</f>
        <v>1551688874952339</v>
      </c>
      <c r="C1004" t="s">
        <v>40</v>
      </c>
      <c r="D1004">
        <v>4.229984</v>
      </c>
      <c r="E1004">
        <v>0.58047869999999901</v>
      </c>
      <c r="F1004" t="s">
        <v>43</v>
      </c>
      <c r="G1004">
        <v>-286.82069999999999</v>
      </c>
      <c r="H1004">
        <v>-0.05</v>
      </c>
      <c r="I1004">
        <v>365.07819999999998</v>
      </c>
      <c r="J1004">
        <v>-307.6053</v>
      </c>
      <c r="K1004">
        <v>1.060821</v>
      </c>
      <c r="L1004">
        <v>367.2242</v>
      </c>
      <c r="M1004">
        <v>0.99989550000000005</v>
      </c>
      <c r="N1004">
        <v>-1.3203009999999999E-2</v>
      </c>
      <c r="O1004">
        <v>-5.9133559999999998E-3</v>
      </c>
      <c r="P1004">
        <v>0.9555652</v>
      </c>
      <c r="Q1004">
        <v>0.28592119999999999</v>
      </c>
      <c r="R1004">
        <v>7.1725449999999996E-2</v>
      </c>
      <c r="S1004">
        <v>3.2154240000000001</v>
      </c>
      <c r="T1004">
        <v>-0.1702505</v>
      </c>
      <c r="U1004">
        <v>-0.329071</v>
      </c>
      <c r="V1004">
        <v>-7.7395140000000001E-2</v>
      </c>
      <c r="W1004">
        <v>0.29850209999999999</v>
      </c>
      <c r="X1004">
        <v>0.95126569999999999</v>
      </c>
      <c r="Y1004">
        <v>9.5763180000000003E-2</v>
      </c>
      <c r="Z1004">
        <v>-2.927079E-3</v>
      </c>
      <c r="AA1004">
        <v>0.99539979999999995</v>
      </c>
      <c r="AB1004">
        <v>36</v>
      </c>
      <c r="AC1004">
        <v>20.784600000000001</v>
      </c>
      <c r="AD1004">
        <v>-1.1108209999999901</v>
      </c>
      <c r="AE1004">
        <v>-2.1460000000000101</v>
      </c>
      <c r="AF1004">
        <v>2.0173436652869099</v>
      </c>
      <c r="AG1004">
        <v>-1.1108209999999901</v>
      </c>
      <c r="AH1004">
        <v>20.738317523016601</v>
      </c>
      <c r="AI1004">
        <v>93.051666891243102</v>
      </c>
      <c r="AJ1004">
        <v>84.443968137943799</v>
      </c>
      <c r="AK1004">
        <v>20.865795274644402</v>
      </c>
      <c r="AL1004">
        <v>72.632341517966907</v>
      </c>
      <c r="AM1004">
        <v>94.651349304351598</v>
      </c>
      <c r="AN1004">
        <v>0.99999997169825905</v>
      </c>
    </row>
    <row r="1005" spans="1:40" x14ac:dyDescent="0.25">
      <c r="A1005" t="str">
        <f>"20190304164114988"</f>
        <v>20190304164114988</v>
      </c>
      <c r="B1005" t="str">
        <f>"1551688874982594"</f>
        <v>1551688874982594</v>
      </c>
      <c r="C1005" t="s">
        <v>40</v>
      </c>
      <c r="D1005">
        <v>4.2258849999999999</v>
      </c>
      <c r="E1005">
        <v>0.58026040000000001</v>
      </c>
      <c r="F1005" t="s">
        <v>43</v>
      </c>
      <c r="G1005">
        <v>-286.82650000000001</v>
      </c>
      <c r="H1005">
        <v>-0.05</v>
      </c>
      <c r="I1005">
        <v>365.10489999999999</v>
      </c>
      <c r="J1005">
        <v>-307.21820000000002</v>
      </c>
      <c r="K1005">
        <v>1.060702</v>
      </c>
      <c r="L1005">
        <v>367.22199999999998</v>
      </c>
      <c r="M1005">
        <v>0.99989729999999999</v>
      </c>
      <c r="N1005">
        <v>-1.30829E-2</v>
      </c>
      <c r="O1005">
        <v>-5.8684640000000003E-3</v>
      </c>
      <c r="P1005">
        <v>0.95569099999999996</v>
      </c>
      <c r="Q1005">
        <v>0.28554570000000001</v>
      </c>
      <c r="R1005">
        <v>7.1544090000000005E-2</v>
      </c>
      <c r="S1005">
        <v>3.215576</v>
      </c>
      <c r="T1005">
        <v>-0.171902799999999</v>
      </c>
      <c r="U1005">
        <v>-0.3279724</v>
      </c>
      <c r="V1005">
        <v>-7.7171600000000007E-2</v>
      </c>
      <c r="W1005">
        <v>0.29801369999999999</v>
      </c>
      <c r="X1005">
        <v>0.95143699999999998</v>
      </c>
      <c r="Y1005">
        <v>9.5464560000000004E-2</v>
      </c>
      <c r="Z1005">
        <v>-2.9338849999999998E-3</v>
      </c>
      <c r="AA1005">
        <v>0.99542850000000005</v>
      </c>
      <c r="AB1005">
        <v>36</v>
      </c>
      <c r="AC1005">
        <v>20.3917</v>
      </c>
      <c r="AD1005">
        <v>-1.1107020000000001</v>
      </c>
      <c r="AE1005">
        <v>-2.11709999999999</v>
      </c>
      <c r="AF1005">
        <v>1.9915398589950899</v>
      </c>
      <c r="AG1005">
        <v>-1.1107020000000001</v>
      </c>
      <c r="AH1005">
        <v>20.3440608786231</v>
      </c>
      <c r="AI1005">
        <v>93.110173801730397</v>
      </c>
      <c r="AJ1005">
        <v>84.408962173066001</v>
      </c>
      <c r="AK1005">
        <v>20.4714606947304</v>
      </c>
      <c r="AL1005">
        <v>72.661659543963793</v>
      </c>
      <c r="AM1005">
        <v>94.637142134651498</v>
      </c>
      <c r="AN1005">
        <v>0.99999999310162502</v>
      </c>
    </row>
    <row r="1006" spans="1:40" x14ac:dyDescent="0.25">
      <c r="A1006" t="str">
        <f>"20190304164115000"</f>
        <v>20190304164115000</v>
      </c>
      <c r="B1006" t="str">
        <f>"1551688874992355"</f>
        <v>1551688874992355</v>
      </c>
      <c r="C1006" t="s">
        <v>40</v>
      </c>
      <c r="D1006">
        <v>4.2442539999999997</v>
      </c>
      <c r="E1006">
        <v>0.58019169999999998</v>
      </c>
      <c r="F1006" t="s">
        <v>43</v>
      </c>
      <c r="G1006">
        <v>-286.78809999999999</v>
      </c>
      <c r="H1006">
        <v>-0.05</v>
      </c>
      <c r="I1006">
        <v>365.14729999999997</v>
      </c>
      <c r="J1006">
        <v>-307.0249</v>
      </c>
      <c r="K1006">
        <v>1.0606500000000001</v>
      </c>
      <c r="L1006">
        <v>367.22089999999997</v>
      </c>
      <c r="M1006">
        <v>0.99989810000000001</v>
      </c>
      <c r="N1006">
        <v>-1.302816E-2</v>
      </c>
      <c r="O1006">
        <v>-5.8461729999999996E-3</v>
      </c>
      <c r="P1006">
        <v>0.95570319999999997</v>
      </c>
      <c r="Q1006">
        <v>0.28552110000000003</v>
      </c>
      <c r="R1006">
        <v>7.1479169999999995E-2</v>
      </c>
      <c r="S1006">
        <v>3.2157589999999998</v>
      </c>
      <c r="T1006">
        <v>-0.17482829999999999</v>
      </c>
      <c r="U1006">
        <v>-0.32656859999999999</v>
      </c>
      <c r="V1006">
        <v>-7.7085520000000005E-2</v>
      </c>
      <c r="W1006">
        <v>0.29793730000000002</v>
      </c>
      <c r="X1006">
        <v>0.95146790000000003</v>
      </c>
      <c r="Y1006">
        <v>9.5046870000000006E-2</v>
      </c>
      <c r="Z1006">
        <v>-2.9556439999999999E-3</v>
      </c>
      <c r="AA1006">
        <v>0.99546840000000003</v>
      </c>
      <c r="AB1006">
        <v>36</v>
      </c>
      <c r="AC1006">
        <v>20.236799999999999</v>
      </c>
      <c r="AD1006">
        <v>-1.1106499999999999</v>
      </c>
      <c r="AE1006">
        <v>-2.0735999999999901</v>
      </c>
      <c r="AF1006">
        <v>1.94943578705735</v>
      </c>
      <c r="AG1006">
        <v>-1.1106499999999999</v>
      </c>
      <c r="AH1006">
        <v>20.188399928527598</v>
      </c>
      <c r="AI1006">
        <v>93.134361391491893</v>
      </c>
      <c r="AJ1006">
        <v>84.484495205272196</v>
      </c>
      <c r="AK1006">
        <v>20.312689014124398</v>
      </c>
      <c r="AL1006">
        <v>72.6662451706555</v>
      </c>
      <c r="AM1006">
        <v>94.631842443513705</v>
      </c>
      <c r="AN1006">
        <v>0.999999988427685</v>
      </c>
    </row>
    <row r="1007" spans="1:40" x14ac:dyDescent="0.25">
      <c r="A1007" t="str">
        <f>"20190304164115010"</f>
        <v>20190304164115010</v>
      </c>
      <c r="B1007" t="str">
        <f>"1551688875002115"</f>
        <v>1551688875002115</v>
      </c>
      <c r="C1007" t="s">
        <v>40</v>
      </c>
      <c r="D1007">
        <v>4.2287239999999997</v>
      </c>
      <c r="E1007">
        <v>0.58011650000000003</v>
      </c>
      <c r="F1007" t="s">
        <v>43</v>
      </c>
      <c r="G1007">
        <v>-286.6309</v>
      </c>
      <c r="H1007">
        <v>-0.05</v>
      </c>
      <c r="I1007">
        <v>365.15190000000001</v>
      </c>
      <c r="J1007">
        <v>-306.87009999999998</v>
      </c>
      <c r="K1007">
        <v>1.0606169999999999</v>
      </c>
      <c r="L1007">
        <v>367.22</v>
      </c>
      <c r="M1007">
        <v>0.99989859999999997</v>
      </c>
      <c r="N1007">
        <v>-1.2990130000000001E-2</v>
      </c>
      <c r="O1007">
        <v>-5.8278059999999996E-3</v>
      </c>
      <c r="P1007">
        <v>0.95569839999999995</v>
      </c>
      <c r="Q1007">
        <v>0.28548109999999999</v>
      </c>
      <c r="R1007">
        <v>7.1699869999999999E-2</v>
      </c>
      <c r="S1007">
        <v>3.2157290000000001</v>
      </c>
      <c r="T1007">
        <v>-0.175127</v>
      </c>
      <c r="U1007">
        <v>-0.32623289999999999</v>
      </c>
      <c r="V1007">
        <v>-7.7288419999999997E-2</v>
      </c>
      <c r="W1007">
        <v>0.29786079999999998</v>
      </c>
      <c r="X1007">
        <v>0.95147539999999997</v>
      </c>
      <c r="Y1007">
        <v>9.4962950000000004E-2</v>
      </c>
      <c r="Z1007">
        <v>-2.955428E-3</v>
      </c>
      <c r="AA1007">
        <v>0.99547640000000004</v>
      </c>
      <c r="AB1007">
        <v>36</v>
      </c>
      <c r="AC1007">
        <v>20.239199999999901</v>
      </c>
      <c r="AD1007">
        <v>-1.110617</v>
      </c>
      <c r="AE1007">
        <v>-2.06810000000001</v>
      </c>
      <c r="AF1007">
        <v>1.94431054507833</v>
      </c>
      <c r="AG1007">
        <v>-1.110617</v>
      </c>
      <c r="AH1007">
        <v>20.190739324027302</v>
      </c>
      <c r="AI1007">
        <v>93.133985217793395</v>
      </c>
      <c r="AJ1007">
        <v>84.499540369862999</v>
      </c>
      <c r="AK1007">
        <v>20.314521113410802</v>
      </c>
      <c r="AL1007">
        <v>72.670836911372803</v>
      </c>
      <c r="AM1007">
        <v>94.643944406205094</v>
      </c>
      <c r="AN1007">
        <v>0.99999999642394799</v>
      </c>
    </row>
    <row r="1008" spans="1:40" x14ac:dyDescent="0.25">
      <c r="A1008" t="str">
        <f>"20190304164115021"</f>
        <v>20190304164115021</v>
      </c>
      <c r="B1008" t="str">
        <f>"1551688875012383"</f>
        <v>1551688875012383</v>
      </c>
      <c r="C1008" t="s">
        <v>40</v>
      </c>
      <c r="D1008">
        <v>4.2548170000000001</v>
      </c>
      <c r="E1008">
        <v>0.58007880000000001</v>
      </c>
      <c r="F1008" t="s">
        <v>43</v>
      </c>
      <c r="G1008">
        <v>-286.30720000000002</v>
      </c>
      <c r="H1008">
        <v>-0.05</v>
      </c>
      <c r="I1008">
        <v>365.14299999999997</v>
      </c>
      <c r="J1008">
        <v>-306.68610000000001</v>
      </c>
      <c r="K1008">
        <v>1.0605739999999999</v>
      </c>
      <c r="L1008">
        <v>367.21899999999999</v>
      </c>
      <c r="M1008">
        <v>0.99989939999999999</v>
      </c>
      <c r="N1008">
        <v>-1.294637E-2</v>
      </c>
      <c r="O1008">
        <v>-5.8061839999999998E-3</v>
      </c>
      <c r="P1008">
        <v>0.95565719999999998</v>
      </c>
      <c r="Q1008">
        <v>0.28564889999999998</v>
      </c>
      <c r="R1008">
        <v>7.1584110000000006E-2</v>
      </c>
      <c r="S1008">
        <v>3.2153019999999999</v>
      </c>
      <c r="T1008">
        <v>-0.1736605</v>
      </c>
      <c r="U1008">
        <v>-0.324768099999999</v>
      </c>
      <c r="V1008">
        <v>-7.7152780000000004E-2</v>
      </c>
      <c r="W1008">
        <v>0.29798639999999998</v>
      </c>
      <c r="X1008">
        <v>0.95144709999999999</v>
      </c>
      <c r="Y1008">
        <v>9.4552140000000007E-2</v>
      </c>
      <c r="Z1008">
        <v>-2.9216670000000002E-3</v>
      </c>
      <c r="AA1008">
        <v>0.99551559999999994</v>
      </c>
      <c r="AB1008">
        <v>36</v>
      </c>
      <c r="AC1008">
        <v>20.378899999999899</v>
      </c>
      <c r="AD1008">
        <v>-1.110574</v>
      </c>
      <c r="AE1008">
        <v>-2.0759999999999601</v>
      </c>
      <c r="AF1008">
        <v>1.9518941673377801</v>
      </c>
      <c r="AG1008">
        <v>-1.110574</v>
      </c>
      <c r="AH1008">
        <v>20.330851792419299</v>
      </c>
      <c r="AI1008">
        <v>93.112395339799207</v>
      </c>
      <c r="AJ1008">
        <v>84.516039850712104</v>
      </c>
      <c r="AK1008">
        <v>20.454505617474201</v>
      </c>
      <c r="AL1008">
        <v>72.663298561221197</v>
      </c>
      <c r="AM1008">
        <v>94.635967196411301</v>
      </c>
      <c r="AN1008">
        <v>1.0000000150725401</v>
      </c>
    </row>
    <row r="1009" spans="1:40" x14ac:dyDescent="0.25">
      <c r="A1009" t="str">
        <f>"20190304164115031"</f>
        <v>20190304164115031</v>
      </c>
      <c r="B1009" t="str">
        <f>"1551688875022143"</f>
        <v>1551688875022143</v>
      </c>
      <c r="C1009" t="s">
        <v>40</v>
      </c>
      <c r="D1009">
        <v>4.2642110000000004</v>
      </c>
      <c r="E1009">
        <v>0.5800556</v>
      </c>
      <c r="F1009" t="s">
        <v>43</v>
      </c>
      <c r="G1009">
        <v>-286.11500000000001</v>
      </c>
      <c r="H1009">
        <v>-0.05</v>
      </c>
      <c r="I1009">
        <v>365.13929999999999</v>
      </c>
      <c r="J1009">
        <v>-306.52480000000003</v>
      </c>
      <c r="K1009">
        <v>1.0605439999999999</v>
      </c>
      <c r="L1009">
        <v>367.21800000000002</v>
      </c>
      <c r="M1009">
        <v>0.99989989999999995</v>
      </c>
      <c r="N1009">
        <v>-1.2913920000000001E-2</v>
      </c>
      <c r="O1009">
        <v>-5.7865429999999999E-3</v>
      </c>
      <c r="P1009">
        <v>0.95569490000000001</v>
      </c>
      <c r="Q1009">
        <v>0.28549400000000003</v>
      </c>
      <c r="R1009">
        <v>7.1697179999999999E-2</v>
      </c>
      <c r="S1009">
        <v>3.2154240000000001</v>
      </c>
      <c r="T1009">
        <v>-0.17359089999999999</v>
      </c>
      <c r="U1009">
        <v>-0.32507320000000001</v>
      </c>
      <c r="V1009">
        <v>-7.7246839999999997E-2</v>
      </c>
      <c r="W1009">
        <v>0.29780119999999999</v>
      </c>
      <c r="X1009">
        <v>0.95149740000000005</v>
      </c>
      <c r="Y1009">
        <v>9.4661439999999999E-2</v>
      </c>
      <c r="Z1009">
        <v>-2.9234059999999999E-3</v>
      </c>
      <c r="AA1009">
        <v>0.99550519999999998</v>
      </c>
      <c r="AB1009">
        <v>36</v>
      </c>
      <c r="AC1009">
        <v>20.409800000000001</v>
      </c>
      <c r="AD1009">
        <v>-1.110544</v>
      </c>
      <c r="AE1009">
        <v>-2.07870000000002</v>
      </c>
      <c r="AF1009">
        <v>1.95482493527285</v>
      </c>
      <c r="AG1009">
        <v>-1.110544</v>
      </c>
      <c r="AH1009">
        <v>20.361821454315301</v>
      </c>
      <c r="AI1009">
        <v>93.107587607514702</v>
      </c>
      <c r="AJ1009">
        <v>84.516158407871103</v>
      </c>
      <c r="AK1009">
        <v>20.485566173306399</v>
      </c>
      <c r="AL1009">
        <v>72.674413525789305</v>
      </c>
      <c r="AM1009">
        <v>94.641350104878001</v>
      </c>
      <c r="AN1009">
        <v>0.99999996560909199</v>
      </c>
    </row>
    <row r="1010" spans="1:40" x14ac:dyDescent="0.25">
      <c r="A1010" t="str">
        <f>"20190304164115042"</f>
        <v>20190304164115042</v>
      </c>
      <c r="B1010" t="str">
        <f>"1551688875031903"</f>
        <v>1551688875031903</v>
      </c>
      <c r="C1010" t="s">
        <v>40</v>
      </c>
      <c r="D1010">
        <v>4.218858</v>
      </c>
      <c r="E1010">
        <v>0.57997670000000001</v>
      </c>
      <c r="F1010" t="s">
        <v>43</v>
      </c>
      <c r="G1010">
        <v>-286.09960000000001</v>
      </c>
      <c r="H1010">
        <v>-0.05</v>
      </c>
      <c r="I1010">
        <v>365.15589999999997</v>
      </c>
      <c r="J1010">
        <v>-306.34629999999999</v>
      </c>
      <c r="K1010">
        <v>1.0605089999999999</v>
      </c>
      <c r="L1010">
        <v>367.21699999999998</v>
      </c>
      <c r="M1010">
        <v>0.99990049999999997</v>
      </c>
      <c r="N1010">
        <v>-1.287868E-2</v>
      </c>
      <c r="O1010">
        <v>-5.7647380000000002E-3</v>
      </c>
      <c r="P1010">
        <v>0.95567380000000002</v>
      </c>
      <c r="Q1010">
        <v>0.28563880000000003</v>
      </c>
      <c r="R1010">
        <v>7.140117E-2</v>
      </c>
      <c r="S1010">
        <v>3.215668</v>
      </c>
      <c r="T1010">
        <v>-0.1748401</v>
      </c>
      <c r="U1010">
        <v>-0.32464599999999999</v>
      </c>
      <c r="V1010">
        <v>-7.6930079999999998E-2</v>
      </c>
      <c r="W1010">
        <v>0.29791230000000002</v>
      </c>
      <c r="X1010">
        <v>0.95148829999999995</v>
      </c>
      <c r="Y1010">
        <v>9.4542870000000001E-2</v>
      </c>
      <c r="Z1010">
        <v>-2.9343630000000002E-3</v>
      </c>
      <c r="AA1010">
        <v>0.99551650000000003</v>
      </c>
      <c r="AB1010">
        <v>36</v>
      </c>
      <c r="AC1010">
        <v>20.246699999999901</v>
      </c>
      <c r="AD1010">
        <v>-1.110509</v>
      </c>
      <c r="AE1010">
        <v>-2.0611000000000099</v>
      </c>
      <c r="AF1010">
        <v>1.9385669825871701</v>
      </c>
      <c r="AG1010">
        <v>-1.110509</v>
      </c>
      <c r="AH1010">
        <v>20.198105458085699</v>
      </c>
      <c r="AI1010">
        <v>93.132635650544998</v>
      </c>
      <c r="AJ1010">
        <v>84.517677620387204</v>
      </c>
      <c r="AK1010">
        <v>20.321287761384902</v>
      </c>
      <c r="AL1010">
        <v>72.667745561325106</v>
      </c>
      <c r="AM1010">
        <v>94.622444349460096</v>
      </c>
      <c r="AN1010">
        <v>0.99999998036849203</v>
      </c>
    </row>
    <row r="1011" spans="1:40" x14ac:dyDescent="0.25">
      <c r="A1011" t="str">
        <f>"20190304164115053"</f>
        <v>20190304164115053</v>
      </c>
      <c r="B1011" t="str">
        <f>"1551688875041933"</f>
        <v>1551688875041933</v>
      </c>
      <c r="C1011" t="s">
        <v>40</v>
      </c>
      <c r="D1011">
        <v>4.222531</v>
      </c>
      <c r="E1011">
        <v>0.57991400000000004</v>
      </c>
      <c r="F1011" t="s">
        <v>43</v>
      </c>
      <c r="G1011">
        <v>-285.81740000000002</v>
      </c>
      <c r="H1011">
        <v>-0.05</v>
      </c>
      <c r="I1011">
        <v>365.1447</v>
      </c>
      <c r="J1011">
        <v>-306.16890000000001</v>
      </c>
      <c r="K1011">
        <v>1.060484</v>
      </c>
      <c r="L1011">
        <v>367.21600000000001</v>
      </c>
      <c r="M1011">
        <v>0.99990100000000004</v>
      </c>
      <c r="N1011">
        <v>-1.284862E-2</v>
      </c>
      <c r="O1011">
        <v>-5.7430819999999896E-3</v>
      </c>
      <c r="P1011">
        <v>0.95571890000000004</v>
      </c>
      <c r="Q1011">
        <v>0.28547689999999998</v>
      </c>
      <c r="R1011">
        <v>7.1445259999999997E-2</v>
      </c>
      <c r="S1011">
        <v>3.2154240000000001</v>
      </c>
      <c r="T1011">
        <v>-0.17393800000000001</v>
      </c>
      <c r="U1011">
        <v>-0.32458500000000001</v>
      </c>
      <c r="V1011">
        <v>-7.695391E-2</v>
      </c>
      <c r="W1011">
        <v>0.29772199999999999</v>
      </c>
      <c r="X1011">
        <v>0.951546</v>
      </c>
      <c r="Y1011">
        <v>9.4554830000000006E-2</v>
      </c>
      <c r="Z1011">
        <v>-2.9226310000000002E-3</v>
      </c>
      <c r="AA1011">
        <v>0.99551529999999999</v>
      </c>
      <c r="AB1011">
        <v>36</v>
      </c>
      <c r="AC1011">
        <v>20.351499999999898</v>
      </c>
      <c r="AD1011">
        <v>-1.110484</v>
      </c>
      <c r="AE1011">
        <v>-2.0712999999999999</v>
      </c>
      <c r="AF1011">
        <v>1.9486335497647</v>
      </c>
      <c r="AG1011">
        <v>-1.110484</v>
      </c>
      <c r="AH1011">
        <v>20.303230605544499</v>
      </c>
      <c r="AI1011">
        <v>93.116378003841206</v>
      </c>
      <c r="AJ1011">
        <v>84.517742210635106</v>
      </c>
      <c r="AK1011">
        <v>20.426735432942898</v>
      </c>
      <c r="AL1011">
        <v>72.679168328518699</v>
      </c>
      <c r="AM1011">
        <v>94.623590830991205</v>
      </c>
      <c r="AN1011">
        <v>1.00000004183214</v>
      </c>
    </row>
    <row r="1012" spans="1:40" x14ac:dyDescent="0.25">
      <c r="A1012" t="str">
        <f>"20190304164115064"</f>
        <v>20190304164115064</v>
      </c>
      <c r="B1012" t="str">
        <f>"1551688875052669"</f>
        <v>1551688875052669</v>
      </c>
      <c r="C1012" t="s">
        <v>40</v>
      </c>
      <c r="D1012">
        <v>4.2659440000000002</v>
      </c>
      <c r="E1012">
        <v>0.57988509999999904</v>
      </c>
      <c r="F1012" t="s">
        <v>43</v>
      </c>
      <c r="G1012">
        <v>-285.60829999999999</v>
      </c>
      <c r="H1012">
        <v>-0.05</v>
      </c>
      <c r="I1012">
        <v>365.1447</v>
      </c>
      <c r="J1012">
        <v>-306.0009</v>
      </c>
      <c r="K1012">
        <v>1.06046</v>
      </c>
      <c r="L1012">
        <v>367.21510000000001</v>
      </c>
      <c r="M1012">
        <v>0.9999015</v>
      </c>
      <c r="N1012">
        <v>-1.282086E-2</v>
      </c>
      <c r="O1012">
        <v>-5.722754E-3</v>
      </c>
      <c r="P1012">
        <v>0.95574380000000003</v>
      </c>
      <c r="Q1012">
        <v>0.28542030000000002</v>
      </c>
      <c r="R1012">
        <v>7.1337949999999997E-2</v>
      </c>
      <c r="S1012">
        <v>3.2150880000000002</v>
      </c>
      <c r="T1012">
        <v>-0.17364760000000001</v>
      </c>
      <c r="U1012">
        <v>-0.32388309999999998</v>
      </c>
      <c r="V1012">
        <v>-7.6828030000000005E-2</v>
      </c>
      <c r="W1012">
        <v>0.297639599999999</v>
      </c>
      <c r="X1012">
        <v>0.95158189999999998</v>
      </c>
      <c r="Y1012">
        <v>9.4371150000000001E-2</v>
      </c>
      <c r="Z1012">
        <v>-2.9123790000000001E-3</v>
      </c>
      <c r="AA1012">
        <v>0.9955328</v>
      </c>
      <c r="AB1012">
        <v>36</v>
      </c>
      <c r="AC1012">
        <v>20.392600000000002</v>
      </c>
      <c r="AD1012">
        <v>-1.11046</v>
      </c>
      <c r="AE1012">
        <v>-2.0703999999999998</v>
      </c>
      <c r="AF1012">
        <v>1.94793749202291</v>
      </c>
      <c r="AG1012">
        <v>-1.11046</v>
      </c>
      <c r="AH1012">
        <v>20.344404707323001</v>
      </c>
      <c r="AI1012">
        <v>93.110083579096298</v>
      </c>
      <c r="AJ1012">
        <v>84.5307125932042</v>
      </c>
      <c r="AK1012">
        <v>20.467593526835898</v>
      </c>
      <c r="AL1012">
        <v>72.684112860749806</v>
      </c>
      <c r="AM1012">
        <v>94.615886949176002</v>
      </c>
      <c r="AN1012">
        <v>0.99999999504472503</v>
      </c>
    </row>
    <row r="1013" spans="1:40" x14ac:dyDescent="0.25">
      <c r="A1013" t="str">
        <f>"20190304164115075"</f>
        <v>20190304164115075</v>
      </c>
      <c r="B1013" t="str">
        <f>"1551688875062429"</f>
        <v>1551688875062429</v>
      </c>
      <c r="C1013" t="s">
        <v>40</v>
      </c>
      <c r="D1013">
        <v>4.2862070000000001</v>
      </c>
      <c r="E1013">
        <v>0.57986280000000001</v>
      </c>
      <c r="F1013" t="s">
        <v>43</v>
      </c>
      <c r="G1013">
        <v>-285.51920000000001</v>
      </c>
      <c r="H1013">
        <v>-0.05</v>
      </c>
      <c r="I1013">
        <v>365.15159999999997</v>
      </c>
      <c r="J1013">
        <v>-305.8211</v>
      </c>
      <c r="K1013">
        <v>1.0604389999999999</v>
      </c>
      <c r="L1013">
        <v>367.21409999999997</v>
      </c>
      <c r="M1013">
        <v>0.99990199999999996</v>
      </c>
      <c r="N1013">
        <v>-1.2794450000000001E-2</v>
      </c>
      <c r="O1013">
        <v>-5.7007710000000003E-3</v>
      </c>
      <c r="P1013">
        <v>0.95560420000000001</v>
      </c>
      <c r="Q1013">
        <v>0.28587820000000003</v>
      </c>
      <c r="R1013">
        <v>7.1376770000000006E-2</v>
      </c>
      <c r="S1013">
        <v>3.2151489999999998</v>
      </c>
      <c r="T1013">
        <v>-0.17431549999999901</v>
      </c>
      <c r="U1013">
        <v>-0.32391360000000002</v>
      </c>
      <c r="V1013">
        <v>-7.6844880000000004E-2</v>
      </c>
      <c r="W1013">
        <v>0.29807020000000001</v>
      </c>
      <c r="X1013">
        <v>0.95144580000000001</v>
      </c>
      <c r="Y1013">
        <v>9.4399380000000005E-2</v>
      </c>
      <c r="Z1013">
        <v>-2.9213609999999999E-3</v>
      </c>
      <c r="AA1013">
        <v>0.99553009999999997</v>
      </c>
      <c r="AB1013">
        <v>36</v>
      </c>
      <c r="AC1013">
        <v>20.3018999999999</v>
      </c>
      <c r="AD1013">
        <v>-1.110439</v>
      </c>
      <c r="AE1013">
        <v>-2.0625</v>
      </c>
      <c r="AF1013">
        <v>1.94097307112793</v>
      </c>
      <c r="AG1013">
        <v>-1.110439</v>
      </c>
      <c r="AH1013">
        <v>20.2533561324801</v>
      </c>
      <c r="AI1013">
        <v>93.123952686995395</v>
      </c>
      <c r="AJ1013">
        <v>84.525797677642203</v>
      </c>
      <c r="AK1013">
        <v>20.376429664311502</v>
      </c>
      <c r="AL1013">
        <v>72.658269134429801</v>
      </c>
      <c r="AM1013">
        <v>94.617552504117896</v>
      </c>
      <c r="AN1013">
        <v>1.0000000450239399</v>
      </c>
    </row>
    <row r="1014" spans="1:40" x14ac:dyDescent="0.25">
      <c r="A1014" t="str">
        <f>"20190304164115086"</f>
        <v>20190304164115086</v>
      </c>
      <c r="B1014" t="str">
        <f>"1551688875072190"</f>
        <v>1551688875072190</v>
      </c>
      <c r="C1014" t="s">
        <v>40</v>
      </c>
      <c r="D1014">
        <v>4.265218</v>
      </c>
      <c r="E1014">
        <v>0.579848699999999</v>
      </c>
      <c r="F1014" t="s">
        <v>43</v>
      </c>
      <c r="G1014">
        <v>-285.16860000000003</v>
      </c>
      <c r="H1014">
        <v>-0.05</v>
      </c>
      <c r="I1014">
        <v>365.13760000000002</v>
      </c>
      <c r="J1014">
        <v>-305.63249999999999</v>
      </c>
      <c r="K1014">
        <v>1.0604180000000001</v>
      </c>
      <c r="L1014">
        <v>367.21300000000002</v>
      </c>
      <c r="M1014">
        <v>0.99990230000000002</v>
      </c>
      <c r="N1014">
        <v>-1.276821E-2</v>
      </c>
      <c r="O1014">
        <v>-5.6777160000000002E-3</v>
      </c>
      <c r="P1014">
        <v>0.95558920000000003</v>
      </c>
      <c r="Q1014">
        <v>0.28601979999999999</v>
      </c>
      <c r="R1014">
        <v>7.1007470000000003E-2</v>
      </c>
      <c r="S1014">
        <v>3.2152400000000001</v>
      </c>
      <c r="T1014">
        <v>-0.17287669999999999</v>
      </c>
      <c r="U1014">
        <v>-0.32327270000000002</v>
      </c>
      <c r="V1014">
        <v>-7.6453610000000005E-2</v>
      </c>
      <c r="W1014">
        <v>0.29818670000000003</v>
      </c>
      <c r="X1014">
        <v>0.95144079999999998</v>
      </c>
      <c r="Y1014">
        <v>9.4225870000000003E-2</v>
      </c>
      <c r="Z1014">
        <v>-2.8966130000000001E-3</v>
      </c>
      <c r="AA1014">
        <v>0.99554659999999995</v>
      </c>
      <c r="AB1014">
        <v>36</v>
      </c>
      <c r="AC1014">
        <v>20.463899999999899</v>
      </c>
      <c r="AD1014">
        <v>-1.1104179999999999</v>
      </c>
      <c r="AE1014">
        <v>-2.0754000000000001</v>
      </c>
      <c r="AF1014">
        <v>1.9534756034940299</v>
      </c>
      <c r="AG1014">
        <v>-1.1104179999999999</v>
      </c>
      <c r="AH1014">
        <v>20.415854234143399</v>
      </c>
      <c r="AI1014">
        <v>93.099122184346001</v>
      </c>
      <c r="AJ1014">
        <v>84.534336300102495</v>
      </c>
      <c r="AK1014">
        <v>20.5391382287076</v>
      </c>
      <c r="AL1014">
        <v>72.651275894175697</v>
      </c>
      <c r="AM1014">
        <v>94.594166316028705</v>
      </c>
      <c r="AN1014">
        <v>1.0000000292217801</v>
      </c>
    </row>
    <row r="1015" spans="1:40" x14ac:dyDescent="0.25">
      <c r="A1015" t="str">
        <f>"20190304164115097"</f>
        <v>20190304164115097</v>
      </c>
      <c r="B1015" t="str">
        <f>"1551688875091709"</f>
        <v>1551688875091709</v>
      </c>
      <c r="C1015" t="s">
        <v>40</v>
      </c>
      <c r="D1015">
        <v>4.2529729999999999</v>
      </c>
      <c r="E1015">
        <v>0.57983560000000001</v>
      </c>
      <c r="F1015" t="s">
        <v>43</v>
      </c>
      <c r="G1015">
        <v>-285.01920000000001</v>
      </c>
      <c r="H1015">
        <v>-0.05</v>
      </c>
      <c r="I1015">
        <v>365.13760000000002</v>
      </c>
      <c r="J1015">
        <v>-305.45209999999997</v>
      </c>
      <c r="K1015">
        <v>1.0604</v>
      </c>
      <c r="L1015">
        <v>367.21199999999999</v>
      </c>
      <c r="M1015">
        <v>0.99990279999999998</v>
      </c>
      <c r="N1015">
        <v>-1.2745100000000001E-2</v>
      </c>
      <c r="O1015">
        <v>-5.6561110000000001E-3</v>
      </c>
      <c r="P1015">
        <v>0.95556030000000003</v>
      </c>
      <c r="Q1015">
        <v>0.2861745</v>
      </c>
      <c r="R1015">
        <v>7.0771990000000007E-2</v>
      </c>
      <c r="S1015">
        <v>3.215363</v>
      </c>
      <c r="T1015">
        <v>-0.173208</v>
      </c>
      <c r="U1015">
        <v>-0.32373049999999998</v>
      </c>
      <c r="V1015">
        <v>-7.6197589999999996E-2</v>
      </c>
      <c r="W1015">
        <v>0.29831960000000002</v>
      </c>
      <c r="X1015">
        <v>0.95141969999999998</v>
      </c>
      <c r="Y1015">
        <v>9.4383170000000002E-2</v>
      </c>
      <c r="Z1015">
        <v>-2.9056569999999999E-3</v>
      </c>
      <c r="AA1015">
        <v>0.99553170000000002</v>
      </c>
      <c r="AB1015">
        <v>36</v>
      </c>
      <c r="AC1015">
        <v>20.432899999999901</v>
      </c>
      <c r="AD1015">
        <v>-1.1104000000000001</v>
      </c>
      <c r="AE1015">
        <v>-2.0743999999999598</v>
      </c>
      <c r="AF1015">
        <v>1.9530776102985099</v>
      </c>
      <c r="AG1015">
        <v>-1.1104000000000001</v>
      </c>
      <c r="AH1015">
        <v>20.384720253197301</v>
      </c>
      <c r="AI1015">
        <v>93.103758857810604</v>
      </c>
      <c r="AJ1015">
        <v>84.527147622209895</v>
      </c>
      <c r="AK1015">
        <v>20.5081525280305</v>
      </c>
      <c r="AL1015">
        <v>72.643298584840693</v>
      </c>
      <c r="AM1015">
        <v>94.578948486688802</v>
      </c>
      <c r="AN1015">
        <v>1.0000000510070199</v>
      </c>
    </row>
    <row r="1016" spans="1:40" x14ac:dyDescent="0.25">
      <c r="A1016" t="str">
        <f>"20190304164115109"</f>
        <v>20190304164115109</v>
      </c>
      <c r="B1016" t="str">
        <f>"1551688875102445"</f>
        <v>1551688875102445</v>
      </c>
      <c r="C1016" t="s">
        <v>40</v>
      </c>
      <c r="D1016">
        <v>4.2749670000000002</v>
      </c>
      <c r="E1016">
        <v>0.57981930000000004</v>
      </c>
      <c r="F1016" t="s">
        <v>43</v>
      </c>
      <c r="G1016">
        <v>-284.9425</v>
      </c>
      <c r="H1016">
        <v>-0.05</v>
      </c>
      <c r="I1016">
        <v>365.14580000000001</v>
      </c>
      <c r="J1016">
        <v>-305.27539999999999</v>
      </c>
      <c r="K1016">
        <v>1.060381</v>
      </c>
      <c r="L1016">
        <v>367.21100000000001</v>
      </c>
      <c r="M1016">
        <v>0.99990330000000005</v>
      </c>
      <c r="N1016">
        <v>-1.2724259999999999E-2</v>
      </c>
      <c r="O1016">
        <v>-5.6350000000000003E-3</v>
      </c>
      <c r="P1016">
        <v>0.95555159999999995</v>
      </c>
      <c r="Q1016">
        <v>0.28625460000000003</v>
      </c>
      <c r="R1016">
        <v>7.0567820000000003E-2</v>
      </c>
      <c r="S1016">
        <v>3.2156370000000001</v>
      </c>
      <c r="T1016">
        <v>-0.17409649999999999</v>
      </c>
      <c r="U1016">
        <v>-0.32394410000000001</v>
      </c>
      <c r="V1016">
        <v>-7.5973349999999995E-2</v>
      </c>
      <c r="W1016">
        <v>0.29837920000000001</v>
      </c>
      <c r="X1016">
        <v>0.95141889999999996</v>
      </c>
      <c r="Y1016">
        <v>9.4459609999999999E-2</v>
      </c>
      <c r="Z1016">
        <v>-2.9192070000000001E-3</v>
      </c>
      <c r="AA1016">
        <v>0.99552439999999998</v>
      </c>
      <c r="AB1016">
        <v>36</v>
      </c>
      <c r="AC1016">
        <v>20.332899999999899</v>
      </c>
      <c r="AD1016">
        <v>-1.1103809999999901</v>
      </c>
      <c r="AE1016">
        <v>-2.0651999999999999</v>
      </c>
      <c r="AF1016">
        <v>1.9448412567364499</v>
      </c>
      <c r="AG1016">
        <v>-1.1103809999999901</v>
      </c>
      <c r="AH1016">
        <v>20.284340005270099</v>
      </c>
      <c r="AI1016">
        <v>93.119014648640402</v>
      </c>
      <c r="AJ1016">
        <v>84.523281853848104</v>
      </c>
      <c r="AK1016">
        <v>20.407591796399299</v>
      </c>
      <c r="AL1016">
        <v>72.639720080225899</v>
      </c>
      <c r="AM1016">
        <v>94.565534086952397</v>
      </c>
      <c r="AN1016">
        <v>1.0000000100900299</v>
      </c>
    </row>
    <row r="1017" spans="1:40" x14ac:dyDescent="0.25">
      <c r="A1017" t="str">
        <f>"20190304164115120"</f>
        <v>20190304164115120</v>
      </c>
      <c r="B1017" t="str">
        <f>"1551688875112316"</f>
        <v>1551688875112316</v>
      </c>
      <c r="C1017" t="s">
        <v>40</v>
      </c>
      <c r="D1017">
        <v>4.2807700000000004</v>
      </c>
      <c r="E1017">
        <v>0.57981139999999998</v>
      </c>
      <c r="F1017" t="s">
        <v>43</v>
      </c>
      <c r="G1017">
        <v>-284.82350000000002</v>
      </c>
      <c r="H1017">
        <v>-0.05</v>
      </c>
      <c r="I1017">
        <v>365.15120000000002</v>
      </c>
      <c r="J1017">
        <v>-305.09410000000003</v>
      </c>
      <c r="K1017">
        <v>1.060362</v>
      </c>
      <c r="L1017">
        <v>367.21</v>
      </c>
      <c r="M1017">
        <v>0.99990369999999995</v>
      </c>
      <c r="N1017">
        <v>-1.270394E-2</v>
      </c>
      <c r="O1017">
        <v>-5.6129409999999998E-3</v>
      </c>
      <c r="P1017">
        <v>0.95554919999999999</v>
      </c>
      <c r="Q1017">
        <v>0.28636070000000002</v>
      </c>
      <c r="R1017">
        <v>7.0169179999999998E-2</v>
      </c>
      <c r="S1017">
        <v>3.2157900000000001</v>
      </c>
      <c r="T1017">
        <v>-0.174593</v>
      </c>
      <c r="U1017">
        <v>-0.32388309999999998</v>
      </c>
      <c r="V1017">
        <v>-7.5553369999999995E-2</v>
      </c>
      <c r="W1017">
        <v>0.29846610000000001</v>
      </c>
      <c r="X1017">
        <v>0.95142510000000002</v>
      </c>
      <c r="Y1017">
        <v>9.4457360000000004E-2</v>
      </c>
      <c r="Z1017">
        <v>-2.925258E-3</v>
      </c>
      <c r="AA1017">
        <v>0.99552459999999998</v>
      </c>
      <c r="AB1017">
        <v>36</v>
      </c>
      <c r="AC1017">
        <v>20.270600000000002</v>
      </c>
      <c r="AD1017">
        <v>-1.1103620000000001</v>
      </c>
      <c r="AE1017">
        <v>-2.0587999999999602</v>
      </c>
      <c r="AF1017">
        <v>1.93922146112754</v>
      </c>
      <c r="AG1017">
        <v>-1.1103620000000001</v>
      </c>
      <c r="AH1017">
        <v>20.2217812216102</v>
      </c>
      <c r="AI1017">
        <v>93.128585619460097</v>
      </c>
      <c r="AJ1017">
        <v>84.522219825886495</v>
      </c>
      <c r="AK1017">
        <v>20.3448745245826</v>
      </c>
      <c r="AL1017">
        <v>72.634503598202002</v>
      </c>
      <c r="AM1017">
        <v>94.540372210099903</v>
      </c>
      <c r="AN1017">
        <v>1.00000002273878</v>
      </c>
    </row>
    <row r="1018" spans="1:40" x14ac:dyDescent="0.25">
      <c r="A1018" t="str">
        <f>"20190304164115130"</f>
        <v>20190304164115130</v>
      </c>
      <c r="B1018" t="str">
        <f>"1551688875122076"</f>
        <v>1551688875122076</v>
      </c>
      <c r="C1018" t="s">
        <v>40</v>
      </c>
      <c r="D1018">
        <v>4.2035109999999998</v>
      </c>
      <c r="E1018">
        <v>0.57977060000000002</v>
      </c>
      <c r="F1018" t="s">
        <v>43</v>
      </c>
      <c r="G1018">
        <v>-284.65170000000001</v>
      </c>
      <c r="H1018">
        <v>-0.05</v>
      </c>
      <c r="I1018">
        <v>365.14389999999997</v>
      </c>
      <c r="J1018">
        <v>-304.92020000000002</v>
      </c>
      <c r="K1018">
        <v>1.060349</v>
      </c>
      <c r="L1018">
        <v>367.209</v>
      </c>
      <c r="M1018">
        <v>0.99990389999999996</v>
      </c>
      <c r="N1018">
        <v>-1.268649E-2</v>
      </c>
      <c r="O1018">
        <v>-5.5913789999999996E-3</v>
      </c>
      <c r="P1018">
        <v>0.95557360000000002</v>
      </c>
      <c r="Q1018">
        <v>0.28635969999999999</v>
      </c>
      <c r="R1018">
        <v>6.9837529999999995E-2</v>
      </c>
      <c r="S1018">
        <v>3.2157589999999998</v>
      </c>
      <c r="T1018">
        <v>-0.17466960000000001</v>
      </c>
      <c r="U1018">
        <v>-0.32501219999999997</v>
      </c>
      <c r="V1018">
        <v>-7.5201290000000004E-2</v>
      </c>
      <c r="W1018">
        <v>0.29844880000000001</v>
      </c>
      <c r="X1018">
        <v>0.95145840000000004</v>
      </c>
      <c r="Y1018">
        <v>9.4825039999999999E-2</v>
      </c>
      <c r="Z1018">
        <v>-2.938501E-3</v>
      </c>
      <c r="AA1018">
        <v>0.99548959999999997</v>
      </c>
      <c r="AB1018">
        <v>36</v>
      </c>
      <c r="AC1018">
        <v>20.2685</v>
      </c>
      <c r="AD1018">
        <v>-1.110349</v>
      </c>
      <c r="AE1018">
        <v>-2.0651000000000201</v>
      </c>
      <c r="AF1018">
        <v>1.9459498024655799</v>
      </c>
      <c r="AG1018">
        <v>-1.110349</v>
      </c>
      <c r="AH1018">
        <v>20.219673643665899</v>
      </c>
      <c r="AI1018">
        <v>93.128772634207195</v>
      </c>
      <c r="AJ1018">
        <v>84.502760836367202</v>
      </c>
      <c r="AK1018">
        <v>20.343421486855998</v>
      </c>
      <c r="AL1018">
        <v>72.635541806096199</v>
      </c>
      <c r="AM1018">
        <v>94.519144334679496</v>
      </c>
      <c r="AN1018">
        <v>1.00000000358483</v>
      </c>
    </row>
    <row r="1019" spans="1:40" x14ac:dyDescent="0.25">
      <c r="A1019" t="str">
        <f>"20190304164115142"</f>
        <v>20190304164115142</v>
      </c>
      <c r="B1019" t="str">
        <f>"1551688875131835"</f>
        <v>1551688875131835</v>
      </c>
      <c r="C1019" t="s">
        <v>40</v>
      </c>
      <c r="D1019">
        <v>4.2925209999999998</v>
      </c>
      <c r="E1019">
        <v>0.57974209999999904</v>
      </c>
      <c r="F1019" t="s">
        <v>43</v>
      </c>
      <c r="G1019">
        <v>-284.39620000000002</v>
      </c>
      <c r="H1019">
        <v>-0.05</v>
      </c>
      <c r="I1019">
        <v>365.1302</v>
      </c>
      <c r="J1019">
        <v>-304.73480000000001</v>
      </c>
      <c r="K1019">
        <v>1.0603359999999999</v>
      </c>
      <c r="L1019">
        <v>367.20800000000003</v>
      </c>
      <c r="M1019">
        <v>0.99990429999999997</v>
      </c>
      <c r="N1019">
        <v>-1.266842E-2</v>
      </c>
      <c r="O1019">
        <v>-5.5686219999999996E-3</v>
      </c>
      <c r="P1019">
        <v>0.9556268</v>
      </c>
      <c r="Q1019">
        <v>0.28623189999999998</v>
      </c>
      <c r="R1019">
        <v>6.9634020000000005E-2</v>
      </c>
      <c r="S1019">
        <v>3.2153930000000002</v>
      </c>
      <c r="T1019">
        <v>-0.1739522</v>
      </c>
      <c r="U1019">
        <v>-0.32568360000000002</v>
      </c>
      <c r="V1019">
        <v>-7.4976169999999995E-2</v>
      </c>
      <c r="W1019">
        <v>0.29830459999999998</v>
      </c>
      <c r="X1019">
        <v>0.95152139999999996</v>
      </c>
      <c r="Y1019">
        <v>9.5065579999999997E-2</v>
      </c>
      <c r="Z1019">
        <v>-2.9374409999999998E-3</v>
      </c>
      <c r="AA1019">
        <v>0.99546659999999998</v>
      </c>
      <c r="AB1019">
        <v>36</v>
      </c>
      <c r="AC1019">
        <v>20.3385999999999</v>
      </c>
      <c r="AD1019">
        <v>-1.110336</v>
      </c>
      <c r="AE1019">
        <v>-2.0778000000000199</v>
      </c>
      <c r="AF1019">
        <v>1.9587233431817099</v>
      </c>
      <c r="AG1019">
        <v>-1.110336</v>
      </c>
      <c r="AH1019">
        <v>20.290009362324099</v>
      </c>
      <c r="AI1019">
        <v>93.1178237440906</v>
      </c>
      <c r="AJ1019">
        <v>84.485961433108699</v>
      </c>
      <c r="AK1019">
        <v>20.414551748476399</v>
      </c>
      <c r="AL1019">
        <v>72.644198420695503</v>
      </c>
      <c r="AM1019">
        <v>94.505374675753302</v>
      </c>
      <c r="AN1019">
        <v>1.00000001755349</v>
      </c>
    </row>
    <row r="1020" spans="1:40" x14ac:dyDescent="0.25">
      <c r="A1020" t="str">
        <f>"20190304164115153"</f>
        <v>20190304164115153</v>
      </c>
      <c r="B1020" t="str">
        <f>"1551688875142571"</f>
        <v>1551688875142571</v>
      </c>
      <c r="C1020" t="s">
        <v>40</v>
      </c>
      <c r="D1020">
        <v>4.2579219999999998</v>
      </c>
      <c r="E1020">
        <v>0.57973479999999999</v>
      </c>
      <c r="F1020" t="s">
        <v>43</v>
      </c>
      <c r="G1020">
        <v>-284.30919999999998</v>
      </c>
      <c r="H1020">
        <v>-0.05</v>
      </c>
      <c r="I1020">
        <v>365.13510000000002</v>
      </c>
      <c r="J1020">
        <v>-304.56240000000003</v>
      </c>
      <c r="K1020">
        <v>1.060319</v>
      </c>
      <c r="L1020">
        <v>367.20710000000003</v>
      </c>
      <c r="M1020">
        <v>0.99990460000000003</v>
      </c>
      <c r="N1020">
        <v>-1.2653569999999999E-2</v>
      </c>
      <c r="O1020">
        <v>-5.5475510000000004E-3</v>
      </c>
      <c r="P1020">
        <v>0.95550259999999998</v>
      </c>
      <c r="Q1020">
        <v>0.28670709999999999</v>
      </c>
      <c r="R1020">
        <v>6.9383169999999994E-2</v>
      </c>
      <c r="S1020">
        <v>3.2154539999999998</v>
      </c>
      <c r="T1020">
        <v>-0.174792899999999</v>
      </c>
      <c r="U1020">
        <v>-0.32632450000000002</v>
      </c>
      <c r="V1020">
        <v>-7.4704469999999995E-2</v>
      </c>
      <c r="W1020">
        <v>0.29876419999999998</v>
      </c>
      <c r="X1020">
        <v>0.95139859999999998</v>
      </c>
      <c r="Y1020">
        <v>9.5279269999999999E-2</v>
      </c>
      <c r="Z1020">
        <v>-2.955535E-3</v>
      </c>
      <c r="AA1020">
        <v>0.99544619999999995</v>
      </c>
      <c r="AB1020">
        <v>36</v>
      </c>
      <c r="AC1020">
        <v>20.2532</v>
      </c>
      <c r="AD1020">
        <v>-1.1103190000000001</v>
      </c>
      <c r="AE1020">
        <v>-2.0720000000000001</v>
      </c>
      <c r="AF1020">
        <v>1.95379227471702</v>
      </c>
      <c r="AG1020">
        <v>-1.1103190000000001</v>
      </c>
      <c r="AH1020">
        <v>20.204289896647101</v>
      </c>
      <c r="AI1020">
        <v>93.130927925993305</v>
      </c>
      <c r="AJ1020">
        <v>84.476566219061397</v>
      </c>
      <c r="AK1020">
        <v>20.328881985054199</v>
      </c>
      <c r="AL1020">
        <v>72.616607676694102</v>
      </c>
      <c r="AM1020">
        <v>94.489691927725403</v>
      </c>
      <c r="AN1020">
        <v>1.00000005056078</v>
      </c>
    </row>
    <row r="1021" spans="1:40" x14ac:dyDescent="0.25">
      <c r="A1021" t="str">
        <f>"20190304164115168"</f>
        <v>20190304164115168</v>
      </c>
      <c r="B1021" t="str">
        <f>"1551688875162091"</f>
        <v>1551688875162091</v>
      </c>
      <c r="C1021" t="s">
        <v>40</v>
      </c>
      <c r="D1021">
        <v>4.2635839999999998</v>
      </c>
      <c r="E1021">
        <v>0.57971159999999999</v>
      </c>
      <c r="F1021" t="s">
        <v>43</v>
      </c>
      <c r="G1021">
        <v>-283.95260000000002</v>
      </c>
      <c r="H1021">
        <v>-0.05</v>
      </c>
      <c r="I1021">
        <v>365.11099999999999</v>
      </c>
      <c r="J1021">
        <v>-304.37119999999999</v>
      </c>
      <c r="K1021">
        <v>1.060306</v>
      </c>
      <c r="L1021">
        <v>367.20609999999999</v>
      </c>
      <c r="M1021">
        <v>0.99990500000000004</v>
      </c>
      <c r="N1021">
        <v>-1.263764E-2</v>
      </c>
      <c r="O1021">
        <v>-5.5243280000000002E-3</v>
      </c>
      <c r="P1021">
        <v>0.95550820000000003</v>
      </c>
      <c r="Q1021">
        <v>0.28675420000000001</v>
      </c>
      <c r="R1021">
        <v>6.9111229999999996E-2</v>
      </c>
      <c r="S1021">
        <v>3.2153930000000002</v>
      </c>
      <c r="T1021">
        <v>-0.1732244</v>
      </c>
      <c r="U1021">
        <v>-0.32702639999999999</v>
      </c>
      <c r="V1021">
        <v>-7.4409719999999999E-2</v>
      </c>
      <c r="W1021">
        <v>0.29879609999999901</v>
      </c>
      <c r="X1021">
        <v>0.95141160000000002</v>
      </c>
      <c r="Y1021">
        <v>9.5521620000000002E-2</v>
      </c>
      <c r="Z1021">
        <v>-2.9432630000000002E-3</v>
      </c>
      <c r="AA1021">
        <v>0.99542299999999995</v>
      </c>
      <c r="AB1021">
        <v>36</v>
      </c>
      <c r="AC1021">
        <v>20.418599999999898</v>
      </c>
      <c r="AD1021">
        <v>-1.110306</v>
      </c>
      <c r="AE1021">
        <v>-2.0951</v>
      </c>
      <c r="AF1021">
        <v>1.9764766737152799</v>
      </c>
      <c r="AG1021">
        <v>-1.110306</v>
      </c>
      <c r="AH1021">
        <v>20.370258482364498</v>
      </c>
      <c r="AI1021">
        <v>93.105335368561597</v>
      </c>
      <c r="AJ1021">
        <v>84.458077514051098</v>
      </c>
      <c r="AK1021">
        <v>20.496015956612599</v>
      </c>
      <c r="AL1021">
        <v>72.614691088336599</v>
      </c>
      <c r="AM1021">
        <v>94.471988778015302</v>
      </c>
      <c r="AN1021">
        <v>0.99999997421012299</v>
      </c>
    </row>
    <row r="1022" spans="1:40" x14ac:dyDescent="0.25">
      <c r="A1022" t="str">
        <f>"20190304164115188"</f>
        <v>20190304164115188</v>
      </c>
      <c r="B1022" t="str">
        <f>"1551688875171851"</f>
        <v>1551688875171851</v>
      </c>
      <c r="C1022" t="s">
        <v>40</v>
      </c>
      <c r="D1022">
        <v>4.2446260000000002</v>
      </c>
      <c r="E1022">
        <v>0.57971159999999999</v>
      </c>
      <c r="F1022" t="s">
        <v>43</v>
      </c>
      <c r="G1022">
        <v>-283.61219999999997</v>
      </c>
      <c r="H1022">
        <v>-0.05</v>
      </c>
      <c r="I1022">
        <v>365.08980000000003</v>
      </c>
      <c r="J1022">
        <v>-304.0052</v>
      </c>
      <c r="K1022">
        <v>1.0602819999999999</v>
      </c>
      <c r="L1022">
        <v>367.20409999999998</v>
      </c>
      <c r="M1022">
        <v>0.9999055</v>
      </c>
      <c r="N1022">
        <v>-1.2610909999999999E-2</v>
      </c>
      <c r="O1022">
        <v>-5.4796990000000002E-3</v>
      </c>
      <c r="P1022">
        <v>0.95556839999999998</v>
      </c>
      <c r="Q1022">
        <v>0.28663929999999999</v>
      </c>
      <c r="R1022">
        <v>6.8753439999999999E-2</v>
      </c>
      <c r="S1022">
        <v>3.2149960000000002</v>
      </c>
      <c r="T1022">
        <v>-0.17195669999999999</v>
      </c>
      <c r="U1022">
        <v>-0.32775880000000002</v>
      </c>
      <c r="V1022">
        <v>-7.4009790000000006E-2</v>
      </c>
      <c r="W1022">
        <v>0.2986569</v>
      </c>
      <c r="X1022">
        <v>0.95148650000000001</v>
      </c>
      <c r="Y1022">
        <v>9.5804520000000004E-2</v>
      </c>
      <c r="Z1022">
        <v>-2.9366589999999999E-3</v>
      </c>
      <c r="AA1022">
        <v>0.99539580000000005</v>
      </c>
      <c r="AB1022">
        <v>36</v>
      </c>
      <c r="AC1022">
        <v>20.393000000000001</v>
      </c>
      <c r="AD1022">
        <v>-1.110282</v>
      </c>
      <c r="AE1022">
        <v>-2.1142999999999499</v>
      </c>
      <c r="AF1022">
        <v>1.9966563621762601</v>
      </c>
      <c r="AG1022">
        <v>-1.110282</v>
      </c>
      <c r="AH1022">
        <v>20.344616679879898</v>
      </c>
      <c r="AI1022">
        <v>93.108840309675301</v>
      </c>
      <c r="AJ1022">
        <v>84.394841649070003</v>
      </c>
      <c r="AK1022">
        <v>20.472488627409</v>
      </c>
      <c r="AL1022">
        <v>72.623048297465601</v>
      </c>
      <c r="AM1022">
        <v>94.447701150571703</v>
      </c>
      <c r="AN1022">
        <v>0.99999997630785098</v>
      </c>
    </row>
    <row r="1023" spans="1:40" x14ac:dyDescent="0.25">
      <c r="A1023" t="str">
        <f>"20190304164115200"</f>
        <v>20190304164115200</v>
      </c>
      <c r="B1023" t="str">
        <f>"1551688875192349"</f>
        <v>1551688875192349</v>
      </c>
      <c r="C1023" t="s">
        <v>40</v>
      </c>
      <c r="D1023">
        <v>4.2131669999999897</v>
      </c>
      <c r="E1023">
        <v>0.56573009999999901</v>
      </c>
      <c r="F1023" t="s">
        <v>43</v>
      </c>
      <c r="G1023">
        <v>-283.31650000000002</v>
      </c>
      <c r="H1023">
        <v>-0.05</v>
      </c>
      <c r="I1023">
        <v>365.08969999999999</v>
      </c>
      <c r="J1023">
        <v>-303.79910000000001</v>
      </c>
      <c r="K1023">
        <v>1.060271</v>
      </c>
      <c r="L1023">
        <v>367.20299999999997</v>
      </c>
      <c r="M1023">
        <v>0.99990579999999996</v>
      </c>
      <c r="N1023">
        <v>-1.259733E-2</v>
      </c>
      <c r="O1023">
        <v>-5.4546999999999998E-3</v>
      </c>
      <c r="P1023">
        <v>0.95561810000000003</v>
      </c>
      <c r="Q1023">
        <v>0.2865105</v>
      </c>
      <c r="R1023">
        <v>6.8600540000000002E-2</v>
      </c>
      <c r="S1023">
        <v>3.2148439999999998</v>
      </c>
      <c r="T1023">
        <v>-0.17252870000000001</v>
      </c>
      <c r="U1023">
        <v>-0.32855220000000002</v>
      </c>
      <c r="V1023">
        <v>-7.383352E-2</v>
      </c>
      <c r="W1023">
        <v>0.29851620000000001</v>
      </c>
      <c r="X1023">
        <v>0.95154430000000001</v>
      </c>
      <c r="Y1023">
        <v>9.6075880000000002E-2</v>
      </c>
      <c r="Z1023">
        <v>-2.9535289999999999E-3</v>
      </c>
      <c r="AA1023">
        <v>0.99536959999999997</v>
      </c>
      <c r="AB1023">
        <v>36</v>
      </c>
      <c r="AC1023">
        <v>20.482599999999898</v>
      </c>
      <c r="AD1023">
        <v>-1.110271</v>
      </c>
      <c r="AE1023">
        <v>-2.1133000000000299</v>
      </c>
      <c r="AF1023">
        <v>1.99573107491593</v>
      </c>
      <c r="AG1023">
        <v>-1.110271</v>
      </c>
      <c r="AH1023">
        <v>20.4344146893587</v>
      </c>
      <c r="AI1023">
        <v>93.095317448799406</v>
      </c>
      <c r="AJ1023">
        <v>84.421887281290395</v>
      </c>
      <c r="AK1023">
        <v>20.5616377731324</v>
      </c>
      <c r="AL1023">
        <v>72.631494353778194</v>
      </c>
      <c r="AM1023">
        <v>94.436881910100794</v>
      </c>
      <c r="AN1023">
        <v>0.99999993260025699</v>
      </c>
    </row>
    <row r="1024" spans="1:40" x14ac:dyDescent="0.25">
      <c r="A1024" t="str">
        <f>"20190304164115212"</f>
        <v>20190304164115212</v>
      </c>
      <c r="B1024" t="str">
        <f>"1551688875202107"</f>
        <v>1551688875202107</v>
      </c>
      <c r="C1024" t="s">
        <v>40</v>
      </c>
      <c r="D1024">
        <v>4.1251810000000004</v>
      </c>
      <c r="E1024">
        <v>0.56481979999999998</v>
      </c>
      <c r="F1024" t="s">
        <v>42</v>
      </c>
      <c r="G1024">
        <v>-275.92360000000002</v>
      </c>
      <c r="H1024" s="1">
        <v>-2.5321459999999999E-6</v>
      </c>
      <c r="I1024">
        <v>365.26089999999999</v>
      </c>
      <c r="J1024">
        <v>-303.60759999999999</v>
      </c>
      <c r="K1024">
        <v>1.0602609999999999</v>
      </c>
      <c r="L1024">
        <v>367.202</v>
      </c>
      <c r="M1024">
        <v>0.99990610000000002</v>
      </c>
      <c r="N1024">
        <v>-1.2586E-2</v>
      </c>
      <c r="O1024">
        <v>-5.4315040000000002E-3</v>
      </c>
      <c r="P1024">
        <v>0.95566059999999997</v>
      </c>
      <c r="Q1024">
        <v>0.28639789999999998</v>
      </c>
      <c r="R1024">
        <v>6.8477629999999998E-2</v>
      </c>
      <c r="S1024">
        <v>3.191681</v>
      </c>
      <c r="T1024">
        <v>-0.1213984</v>
      </c>
      <c r="U1024">
        <v>-0.2223511</v>
      </c>
      <c r="V1024">
        <v>-7.368856E-2</v>
      </c>
      <c r="W1024">
        <v>0.29839339999999998</v>
      </c>
      <c r="X1024">
        <v>0.9515941</v>
      </c>
      <c r="Y1024">
        <v>6.4017909999999997E-2</v>
      </c>
      <c r="Z1024">
        <v>-1.4811500000000001E-3</v>
      </c>
      <c r="AA1024">
        <v>0.99794760000000005</v>
      </c>
      <c r="AB1024">
        <v>36</v>
      </c>
      <c r="AC1024">
        <v>27.683999999999902</v>
      </c>
      <c r="AD1024">
        <v>-1.0602635321459899</v>
      </c>
      <c r="AE1024">
        <v>-1.9411</v>
      </c>
      <c r="AF1024">
        <v>1.7880837795078499</v>
      </c>
      <c r="AG1024">
        <v>-1.0602635321459899</v>
      </c>
      <c r="AH1024">
        <v>27.6537714799728</v>
      </c>
      <c r="AI1024">
        <v>92.191110749764107</v>
      </c>
      <c r="AJ1024">
        <v>86.300423802494095</v>
      </c>
      <c r="AK1024">
        <v>27.731795459845301</v>
      </c>
      <c r="AL1024">
        <v>72.638867074675403</v>
      </c>
      <c r="AM1024">
        <v>94.427974681341993</v>
      </c>
      <c r="AN1024">
        <v>0.999999978096621</v>
      </c>
    </row>
    <row r="1025" spans="1:40" x14ac:dyDescent="0.25">
      <c r="A1025" t="str">
        <f>"20190304164115224"</f>
        <v>20190304164115224</v>
      </c>
      <c r="B1025" t="str">
        <f>"1551688875211867"</f>
        <v>1551688875211867</v>
      </c>
      <c r="C1025" t="s">
        <v>40</v>
      </c>
      <c r="D1025">
        <v>4.1261330000000003</v>
      </c>
      <c r="E1025">
        <v>0.56412929999999994</v>
      </c>
      <c r="F1025" t="s">
        <v>42</v>
      </c>
      <c r="G1025">
        <v>-273.69150000000002</v>
      </c>
      <c r="H1025" s="1">
        <v>-3.4767609999999999E-6</v>
      </c>
      <c r="I1025">
        <v>365.17329999999998</v>
      </c>
      <c r="J1025">
        <v>-303.4187</v>
      </c>
      <c r="K1025">
        <v>1.0602499999999999</v>
      </c>
      <c r="L1025">
        <v>367.20100000000002</v>
      </c>
      <c r="M1025">
        <v>0.99990639999999997</v>
      </c>
      <c r="N1025">
        <v>-1.257569E-2</v>
      </c>
      <c r="O1025">
        <v>-5.4084279999999998E-3</v>
      </c>
      <c r="P1025">
        <v>0.9556597</v>
      </c>
      <c r="Q1025">
        <v>0.28641440000000001</v>
      </c>
      <c r="R1025">
        <v>6.8419610000000006E-2</v>
      </c>
      <c r="S1025">
        <v>3.1885680000000001</v>
      </c>
      <c r="T1025">
        <v>-0.1130065</v>
      </c>
      <c r="U1025">
        <v>-0.21621699999999999</v>
      </c>
      <c r="V1025">
        <v>-7.360854E-2</v>
      </c>
      <c r="W1025">
        <v>0.29839969999999999</v>
      </c>
      <c r="X1025">
        <v>0.95159830000000001</v>
      </c>
      <c r="Y1025">
        <v>6.2205940000000001E-2</v>
      </c>
      <c r="Z1025">
        <v>-1.3690239999999999E-3</v>
      </c>
      <c r="AA1025">
        <v>0.99806240000000002</v>
      </c>
      <c r="AB1025">
        <v>36</v>
      </c>
      <c r="AC1025">
        <v>29.7271999999999</v>
      </c>
      <c r="AD1025">
        <v>-1.0602534767609999</v>
      </c>
      <c r="AE1025">
        <v>-2.0276999999999799</v>
      </c>
      <c r="AF1025">
        <v>1.864519402632</v>
      </c>
      <c r="AG1025">
        <v>-1.0602534767609999</v>
      </c>
      <c r="AH1025">
        <v>29.700126978532101</v>
      </c>
      <c r="AI1025">
        <v>92.0404983750757</v>
      </c>
      <c r="AJ1025">
        <v>86.407790367401901</v>
      </c>
      <c r="AK1025">
        <v>29.777476598575401</v>
      </c>
      <c r="AL1025">
        <v>72.638488581396999</v>
      </c>
      <c r="AM1025">
        <v>94.4231658952326</v>
      </c>
      <c r="AN1025">
        <v>0.99999996134195501</v>
      </c>
    </row>
    <row r="1026" spans="1:40" x14ac:dyDescent="0.25">
      <c r="A1026" t="str">
        <f>"20190304164115235"</f>
        <v>20190304164115235</v>
      </c>
      <c r="B1026" t="str">
        <f>"1551688875222603"</f>
        <v>1551688875222603</v>
      </c>
      <c r="C1026" t="s">
        <v>40</v>
      </c>
      <c r="D1026">
        <v>4.1179990000000002</v>
      </c>
      <c r="E1026">
        <v>0.56369159999999996</v>
      </c>
      <c r="F1026" t="s">
        <v>42</v>
      </c>
      <c r="G1026">
        <v>-271.8329</v>
      </c>
      <c r="H1026" s="1">
        <v>-4.2856750000000003E-6</v>
      </c>
      <c r="I1026">
        <v>365.10809999999998</v>
      </c>
      <c r="J1026">
        <v>-303.23770000000002</v>
      </c>
      <c r="K1026">
        <v>1.060244</v>
      </c>
      <c r="L1026">
        <v>367.2</v>
      </c>
      <c r="M1026">
        <v>0.99990650000000003</v>
      </c>
      <c r="N1026">
        <v>-1.2568559999999999E-2</v>
      </c>
      <c r="O1026">
        <v>-5.3844030000000003E-3</v>
      </c>
      <c r="P1026">
        <v>0.9556926</v>
      </c>
      <c r="Q1026">
        <v>0.28635480000000002</v>
      </c>
      <c r="R1026">
        <v>6.8211640000000004E-2</v>
      </c>
      <c r="S1026">
        <v>3.18634</v>
      </c>
      <c r="T1026">
        <v>-0.1069568</v>
      </c>
      <c r="U1026">
        <v>-0.21112059999999999</v>
      </c>
      <c r="V1026">
        <v>-7.3378699999999894E-2</v>
      </c>
      <c r="W1026">
        <v>0.29833379999999998</v>
      </c>
      <c r="X1026">
        <v>0.95163679999999995</v>
      </c>
      <c r="Y1026">
        <v>6.0693410000000003E-2</v>
      </c>
      <c r="Z1026">
        <v>-1.2863620000000001E-3</v>
      </c>
      <c r="AA1026">
        <v>0.99815569999999998</v>
      </c>
      <c r="AB1026">
        <v>36</v>
      </c>
      <c r="AC1026">
        <v>31.404800000000002</v>
      </c>
      <c r="AD1026">
        <v>-1.060248285675</v>
      </c>
      <c r="AE1026">
        <v>-2.0918999999999999</v>
      </c>
      <c r="AF1026">
        <v>1.92058083145992</v>
      </c>
      <c r="AG1026">
        <v>-1.060248285675</v>
      </c>
      <c r="AH1026">
        <v>31.380000734427199</v>
      </c>
      <c r="AI1026">
        <v>91.931527074338405</v>
      </c>
      <c r="AJ1026">
        <v>86.497639285611697</v>
      </c>
      <c r="AK1026">
        <v>31.456592365513799</v>
      </c>
      <c r="AL1026">
        <v>72.642446052079507</v>
      </c>
      <c r="AM1026">
        <v>94.409231586307001</v>
      </c>
      <c r="AN1026">
        <v>1.00000004447518</v>
      </c>
    </row>
    <row r="1027" spans="1:40" x14ac:dyDescent="0.25">
      <c r="A1027" t="str">
        <f>"20190304164115247"</f>
        <v>20190304164115247</v>
      </c>
      <c r="B1027" t="str">
        <f>"1551688875232365"</f>
        <v>1551688875232365</v>
      </c>
      <c r="C1027" t="s">
        <v>40</v>
      </c>
      <c r="D1027">
        <v>4.1545569999999996</v>
      </c>
      <c r="E1027">
        <v>0.5635675</v>
      </c>
      <c r="F1027" t="s">
        <v>42</v>
      </c>
      <c r="G1027">
        <v>-270.63209999999998</v>
      </c>
      <c r="H1027" s="1">
        <v>-4.808101E-6</v>
      </c>
      <c r="I1027">
        <v>365.0668</v>
      </c>
      <c r="J1027">
        <v>-303.0668</v>
      </c>
      <c r="K1027">
        <v>1.0602450000000001</v>
      </c>
      <c r="L1027">
        <v>367.19909999999999</v>
      </c>
      <c r="M1027">
        <v>0.99990670000000004</v>
      </c>
      <c r="N1027">
        <v>-1.256294E-2</v>
      </c>
      <c r="O1027">
        <v>-5.3609819999999898E-3</v>
      </c>
      <c r="P1027">
        <v>0.95565800000000001</v>
      </c>
      <c r="Q1027">
        <v>0.2864816</v>
      </c>
      <c r="R1027">
        <v>6.8162899999999901E-2</v>
      </c>
      <c r="S1027">
        <v>3.1849980000000002</v>
      </c>
      <c r="T1027">
        <v>-0.103567699999999</v>
      </c>
      <c r="U1027">
        <v>-0.208374</v>
      </c>
      <c r="V1027">
        <v>-7.3308659999999998E-2</v>
      </c>
      <c r="W1027">
        <v>0.29845480000000002</v>
      </c>
      <c r="X1027">
        <v>0.95160420000000001</v>
      </c>
      <c r="Y1027">
        <v>5.9890449999999998E-2</v>
      </c>
      <c r="Z1027">
        <v>-1.2423860000000001E-3</v>
      </c>
      <c r="AA1027">
        <v>0.99820419999999999</v>
      </c>
      <c r="AB1027">
        <v>36</v>
      </c>
      <c r="AC1027">
        <v>32.434699999999999</v>
      </c>
      <c r="AD1027">
        <v>-1.0602498081009999</v>
      </c>
      <c r="AE1027">
        <v>-2.1322999999999799</v>
      </c>
      <c r="AF1027">
        <v>1.95629237630075</v>
      </c>
      <c r="AG1027">
        <v>-1.0602498081009999</v>
      </c>
      <c r="AH1027">
        <v>32.4111818852327</v>
      </c>
      <c r="AI1027">
        <v>91.870217097935594</v>
      </c>
      <c r="AJ1027">
        <v>86.545899602117402</v>
      </c>
      <c r="AK1027">
        <v>32.487473289173899</v>
      </c>
      <c r="AL1027">
        <v>72.635181378793206</v>
      </c>
      <c r="AM1027">
        <v>94.4051898592502</v>
      </c>
      <c r="AN1027">
        <v>0.99999999036583698</v>
      </c>
    </row>
    <row r="1028" spans="1:40" x14ac:dyDescent="0.25">
      <c r="A1028" t="str">
        <f>"20190304164115256"</f>
        <v>20190304164115256</v>
      </c>
      <c r="B1028" t="str">
        <f>"1551688875242124"</f>
        <v>1551688875242124</v>
      </c>
      <c r="C1028" t="s">
        <v>40</v>
      </c>
      <c r="D1028">
        <v>4.1230379999999904</v>
      </c>
      <c r="E1028">
        <v>0.56340769999999996</v>
      </c>
      <c r="F1028" t="s">
        <v>42</v>
      </c>
      <c r="G1028">
        <v>-268.82080000000002</v>
      </c>
      <c r="H1028" s="1">
        <v>-1.6256989999999999E-6</v>
      </c>
      <c r="I1028">
        <v>364.96210000000002</v>
      </c>
      <c r="J1028">
        <v>-302.88650000000001</v>
      </c>
      <c r="K1028">
        <v>1.0602419999999999</v>
      </c>
      <c r="L1028">
        <v>367.19819999999999</v>
      </c>
      <c r="M1028">
        <v>0.99990679999999998</v>
      </c>
      <c r="N1028">
        <v>-1.255879E-2</v>
      </c>
      <c r="O1028">
        <v>-5.3348249999999996E-3</v>
      </c>
      <c r="P1028">
        <v>0.955708</v>
      </c>
      <c r="Q1028">
        <v>0.2863387</v>
      </c>
      <c r="R1028">
        <v>6.8060700000000002E-2</v>
      </c>
      <c r="S1028">
        <v>3.1835629999999999</v>
      </c>
      <c r="T1028">
        <v>-9.8561999999999997E-2</v>
      </c>
      <c r="U1028">
        <v>-0.20794679999999999</v>
      </c>
      <c r="V1028">
        <v>-7.3182839999999999E-2</v>
      </c>
      <c r="W1028">
        <v>0.29830830000000003</v>
      </c>
      <c r="X1028">
        <v>0.9516599</v>
      </c>
      <c r="Y1028">
        <v>5.9815889999999997E-2</v>
      </c>
      <c r="Z1028">
        <v>-1.2028640000000001E-3</v>
      </c>
      <c r="AA1028">
        <v>0.99820869999999995</v>
      </c>
      <c r="AB1028">
        <v>36</v>
      </c>
      <c r="AC1028">
        <v>34.0656999999999</v>
      </c>
      <c r="AD1028">
        <v>-1.060243625699</v>
      </c>
      <c r="AE1028">
        <v>-2.23609999999996</v>
      </c>
      <c r="AF1028">
        <v>2.0523397594805601</v>
      </c>
      <c r="AG1028">
        <v>-1.060243625699</v>
      </c>
      <c r="AH1028">
        <v>34.044309019679901</v>
      </c>
      <c r="AI1028">
        <v>91.780558358783097</v>
      </c>
      <c r="AJ1028">
        <v>86.550135094323906</v>
      </c>
      <c r="AK1028">
        <v>34.122590635261503</v>
      </c>
      <c r="AL1028">
        <v>72.643977209897997</v>
      </c>
      <c r="AM1028">
        <v>94.397402512861305</v>
      </c>
      <c r="AN1028">
        <v>1.00000006759368</v>
      </c>
    </row>
    <row r="1029" spans="1:40" x14ac:dyDescent="0.25">
      <c r="A1029" t="str">
        <f>"20190304164115268"</f>
        <v>20190304164115268</v>
      </c>
      <c r="B1029" t="str">
        <f>"1551688875262631"</f>
        <v>1551688875262631</v>
      </c>
      <c r="C1029" t="s">
        <v>40</v>
      </c>
      <c r="D1029">
        <v>4.1597200000000001</v>
      </c>
      <c r="E1029">
        <v>0.5631062</v>
      </c>
      <c r="F1029" t="s">
        <v>42</v>
      </c>
      <c r="G1029">
        <v>-268.08019999999999</v>
      </c>
      <c r="H1029" s="1">
        <v>-1.88494E-6</v>
      </c>
      <c r="I1029">
        <v>364.93509999999998</v>
      </c>
      <c r="J1029">
        <v>-302.70510000000002</v>
      </c>
      <c r="K1029">
        <v>1.0602389999999999</v>
      </c>
      <c r="L1029">
        <v>367.19720000000001</v>
      </c>
      <c r="M1029">
        <v>0.99990710000000005</v>
      </c>
      <c r="N1029">
        <v>-1.255556E-2</v>
      </c>
      <c r="O1029">
        <v>-5.3093910000000001E-3</v>
      </c>
      <c r="P1029">
        <v>0.95572469999999998</v>
      </c>
      <c r="Q1029">
        <v>0.2863058</v>
      </c>
      <c r="R1029">
        <v>6.7968280000000006E-2</v>
      </c>
      <c r="S1029">
        <v>3.1828310000000002</v>
      </c>
      <c r="T1029">
        <v>-9.6952800000000006E-2</v>
      </c>
      <c r="U1029">
        <v>-0.2069397</v>
      </c>
      <c r="V1029">
        <v>-7.3067519999999997E-2</v>
      </c>
      <c r="W1029">
        <v>0.29827229999999999</v>
      </c>
      <c r="X1029">
        <v>0.95167999999999997</v>
      </c>
      <c r="Y1029">
        <v>5.9542940000000003E-2</v>
      </c>
      <c r="Z1029">
        <v>-1.185111E-3</v>
      </c>
      <c r="AA1029">
        <v>0.99822500000000003</v>
      </c>
      <c r="AB1029">
        <v>36</v>
      </c>
      <c r="AC1029">
        <v>34.624899999999997</v>
      </c>
      <c r="AD1029">
        <v>-1.06024088494</v>
      </c>
      <c r="AE1029">
        <v>-2.26210000000003</v>
      </c>
      <c r="AF1029">
        <v>2.0762779812030199</v>
      </c>
      <c r="AG1029">
        <v>-1.06024088494</v>
      </c>
      <c r="AH1029">
        <v>34.604115208261902</v>
      </c>
      <c r="AI1029">
        <v>91.751796781917605</v>
      </c>
      <c r="AJ1029">
        <v>86.566318380052905</v>
      </c>
      <c r="AK1029">
        <v>34.6825580131568</v>
      </c>
      <c r="AL1029">
        <v>72.646137474015802</v>
      </c>
      <c r="AM1029">
        <v>94.390407925321398</v>
      </c>
      <c r="AN1029">
        <v>1.00000002491312</v>
      </c>
    </row>
    <row r="1030" spans="1:40" x14ac:dyDescent="0.25">
      <c r="A1030" t="str">
        <f>"20190304164115288"</f>
        <v>20190304164115288</v>
      </c>
      <c r="B1030" t="str">
        <f>"1551688875282139"</f>
        <v>1551688875282139</v>
      </c>
      <c r="C1030" t="s">
        <v>40</v>
      </c>
      <c r="D1030">
        <v>4.2423010000000003</v>
      </c>
      <c r="E1030">
        <v>0.56324339999999995</v>
      </c>
      <c r="F1030" t="s">
        <v>42</v>
      </c>
      <c r="G1030">
        <v>-266.65789999999998</v>
      </c>
      <c r="H1030" s="1">
        <v>-2.3853120000000002E-6</v>
      </c>
      <c r="I1030">
        <v>364.87360000000001</v>
      </c>
      <c r="J1030">
        <v>-302.3784</v>
      </c>
      <c r="K1030">
        <v>1.060235</v>
      </c>
      <c r="L1030">
        <v>367.19549999999998</v>
      </c>
      <c r="M1030">
        <v>0.9999074</v>
      </c>
      <c r="N1030">
        <v>-1.2551349999999999E-2</v>
      </c>
      <c r="O1030">
        <v>-5.2637999999999999E-3</v>
      </c>
      <c r="P1030">
        <v>0.95572820000000003</v>
      </c>
      <c r="Q1030">
        <v>0.2863445</v>
      </c>
      <c r="R1030">
        <v>6.7753110000000005E-2</v>
      </c>
      <c r="S1030">
        <v>3.1815799999999999</v>
      </c>
      <c r="T1030">
        <v>-9.3578220000000004E-2</v>
      </c>
      <c r="U1030">
        <v>-0.20507810000000001</v>
      </c>
      <c r="V1030">
        <v>-7.2810310000000003E-2</v>
      </c>
      <c r="W1030">
        <v>0.29830640000000003</v>
      </c>
      <c r="X1030">
        <v>0.95168900000000001</v>
      </c>
      <c r="Y1030">
        <v>5.9034700000000002E-2</v>
      </c>
      <c r="Z1030">
        <v>-1.149464E-3</v>
      </c>
      <c r="AA1030">
        <v>0.99825529999999996</v>
      </c>
      <c r="AB1030">
        <v>36</v>
      </c>
      <c r="AC1030">
        <v>35.720500000000001</v>
      </c>
      <c r="AD1030">
        <v>-1.060237385312</v>
      </c>
      <c r="AE1030">
        <v>-2.3218999999999701</v>
      </c>
      <c r="AF1030">
        <v>2.1319571213213702</v>
      </c>
      <c r="AG1030">
        <v>-1.060237385312</v>
      </c>
      <c r="AH1030">
        <v>35.700908210884698</v>
      </c>
      <c r="AI1030">
        <v>91.698033709231197</v>
      </c>
      <c r="AJ1030">
        <v>86.582516880331198</v>
      </c>
      <c r="AK1030">
        <v>35.780220675149302</v>
      </c>
      <c r="AL1030">
        <v>72.644090074500198</v>
      </c>
      <c r="AM1030">
        <v>94.374971845138205</v>
      </c>
      <c r="AN1030">
        <v>1.00000000112212</v>
      </c>
    </row>
    <row r="1031" spans="1:40" x14ac:dyDescent="0.25">
      <c r="A1031" t="str">
        <f>"20190304164115300"</f>
        <v>20190304164115300</v>
      </c>
      <c r="B1031" t="str">
        <f>"1551688875291899"</f>
        <v>1551688875291899</v>
      </c>
      <c r="C1031" t="s">
        <v>40</v>
      </c>
      <c r="D1031">
        <v>4.2468719999999998</v>
      </c>
      <c r="E1031">
        <v>0.56339090000000003</v>
      </c>
      <c r="F1031" t="s">
        <v>42</v>
      </c>
      <c r="G1031">
        <v>-268.03160000000003</v>
      </c>
      <c r="H1031" s="1">
        <v>-1.8929689999999999E-6</v>
      </c>
      <c r="I1031">
        <v>364.96699999999998</v>
      </c>
      <c r="J1031">
        <v>-302.1841</v>
      </c>
      <c r="K1031">
        <v>1.06023</v>
      </c>
      <c r="L1031">
        <v>367.19450000000001</v>
      </c>
      <c r="M1031">
        <v>0.99990769999999995</v>
      </c>
      <c r="N1031">
        <v>-1.2549370000000001E-2</v>
      </c>
      <c r="O1031">
        <v>-5.2369620000000004E-3</v>
      </c>
      <c r="P1031">
        <v>0.95576810000000001</v>
      </c>
      <c r="Q1031">
        <v>0.28625889999999998</v>
      </c>
      <c r="R1031">
        <v>6.7553429999999998E-2</v>
      </c>
      <c r="S1031">
        <v>3.1830440000000002</v>
      </c>
      <c r="T1031">
        <v>-9.8255750000000003E-2</v>
      </c>
      <c r="U1031">
        <v>-0.20651249999999999</v>
      </c>
      <c r="V1031">
        <v>-7.2585460000000004E-2</v>
      </c>
      <c r="W1031">
        <v>0.29821999999999999</v>
      </c>
      <c r="X1031">
        <v>0.9517333</v>
      </c>
      <c r="Y1031">
        <v>5.9476670000000002E-2</v>
      </c>
      <c r="Z1031">
        <v>-1.1947310000000001E-3</v>
      </c>
      <c r="AA1031">
        <v>0.99822900000000003</v>
      </c>
      <c r="AB1031">
        <v>36</v>
      </c>
      <c r="AC1031">
        <v>34.152499999999897</v>
      </c>
      <c r="AD1031">
        <v>-1.060231892969</v>
      </c>
      <c r="AE1031">
        <v>-2.22750000000002</v>
      </c>
      <c r="AF1031">
        <v>2.0466359925321802</v>
      </c>
      <c r="AG1031">
        <v>-1.060231892969</v>
      </c>
      <c r="AH1031">
        <v>34.1309440588822</v>
      </c>
      <c r="AI1031">
        <v>91.776056040411802</v>
      </c>
      <c r="AJ1031">
        <v>86.568411404259905</v>
      </c>
      <c r="AK1031">
        <v>34.208685343101699</v>
      </c>
      <c r="AL1031">
        <v>72.649277297765806</v>
      </c>
      <c r="AM1031">
        <v>94.361311207642601</v>
      </c>
      <c r="AN1031">
        <v>1.00000004586614</v>
      </c>
    </row>
    <row r="1032" spans="1:40" x14ac:dyDescent="0.25">
      <c r="A1032" t="str">
        <f>"20190304164115312"</f>
        <v>20190304164115312</v>
      </c>
      <c r="B1032" t="str">
        <f>"1551688875302636"</f>
        <v>1551688875302636</v>
      </c>
      <c r="C1032" t="s">
        <v>40</v>
      </c>
      <c r="D1032">
        <v>4.2595419999999997</v>
      </c>
      <c r="E1032">
        <v>0.56346640000000003</v>
      </c>
      <c r="F1032" t="s">
        <v>42</v>
      </c>
      <c r="G1032">
        <v>-268.24790000000002</v>
      </c>
      <c r="H1032" s="1">
        <v>-1.816904E-6</v>
      </c>
      <c r="I1032">
        <v>364.97629999999998</v>
      </c>
      <c r="J1032">
        <v>-302.00150000000002</v>
      </c>
      <c r="K1032">
        <v>1.060225</v>
      </c>
      <c r="L1032">
        <v>367.19349999999997</v>
      </c>
      <c r="M1032">
        <v>0.99990769999999995</v>
      </c>
      <c r="N1032">
        <v>-1.254999E-2</v>
      </c>
      <c r="O1032">
        <v>-5.2136220000000002E-3</v>
      </c>
      <c r="P1032">
        <v>0.95575710000000003</v>
      </c>
      <c r="Q1032">
        <v>0.28632170000000001</v>
      </c>
      <c r="R1032">
        <v>6.7442370000000001E-2</v>
      </c>
      <c r="S1032">
        <v>3.183319</v>
      </c>
      <c r="T1032">
        <v>-9.9452970000000002E-2</v>
      </c>
      <c r="U1032">
        <v>-0.2080688</v>
      </c>
      <c r="V1032">
        <v>-7.2451020000000005E-2</v>
      </c>
      <c r="W1032">
        <v>0.29828280000000001</v>
      </c>
      <c r="X1032">
        <v>0.95172380000000001</v>
      </c>
      <c r="Y1032">
        <v>5.997926E-2</v>
      </c>
      <c r="Z1032">
        <v>-1.215315E-3</v>
      </c>
      <c r="AA1032">
        <v>0.9981989</v>
      </c>
      <c r="AB1032">
        <v>36</v>
      </c>
      <c r="AC1032">
        <v>33.753599999999999</v>
      </c>
      <c r="AD1032">
        <v>-1.0602268169039999</v>
      </c>
      <c r="AE1032">
        <v>-2.2171999999999898</v>
      </c>
      <c r="AF1032">
        <v>2.0391742170424001</v>
      </c>
      <c r="AG1032">
        <v>-1.0602268169039999</v>
      </c>
      <c r="AH1032">
        <v>33.731563913586498</v>
      </c>
      <c r="AI1032">
        <v>91.797009497980895</v>
      </c>
      <c r="AJ1032">
        <v>86.540508481819302</v>
      </c>
      <c r="AK1032">
        <v>33.809772499191801</v>
      </c>
      <c r="AL1032">
        <v>72.645506467059107</v>
      </c>
      <c r="AM1032">
        <v>94.353307721882402</v>
      </c>
      <c r="AN1032">
        <v>0.99999998528066003</v>
      </c>
    </row>
    <row r="1033" spans="1:40" x14ac:dyDescent="0.25">
      <c r="A1033" t="str">
        <f>"20190304164115325"</f>
        <v>20190304164115325</v>
      </c>
      <c r="B1033" t="str">
        <f>"1551688875312396"</f>
        <v>1551688875312396</v>
      </c>
      <c r="C1033" t="s">
        <v>40</v>
      </c>
      <c r="D1033">
        <v>4.2456779999999998</v>
      </c>
      <c r="E1033">
        <v>0.56348909999999997</v>
      </c>
      <c r="F1033" t="s">
        <v>42</v>
      </c>
      <c r="G1033">
        <v>-268.46030000000002</v>
      </c>
      <c r="H1033" s="1">
        <v>-1.7408079999999999E-6</v>
      </c>
      <c r="I1033">
        <v>364.99059999999997</v>
      </c>
      <c r="J1033">
        <v>-301.80610000000001</v>
      </c>
      <c r="K1033">
        <v>1.060222</v>
      </c>
      <c r="L1033">
        <v>367.19260000000003</v>
      </c>
      <c r="M1033">
        <v>0.99990789999999996</v>
      </c>
      <c r="N1033">
        <v>-1.2551400000000001E-2</v>
      </c>
      <c r="O1033">
        <v>-5.1892190000000001E-3</v>
      </c>
      <c r="P1033">
        <v>0.95574099999999995</v>
      </c>
      <c r="Q1033">
        <v>0.28638590000000003</v>
      </c>
      <c r="R1033">
        <v>6.7399529999999999E-2</v>
      </c>
      <c r="S1033">
        <v>3.1838069999999998</v>
      </c>
      <c r="T1033">
        <v>-0.1006392</v>
      </c>
      <c r="U1033">
        <v>-0.2091064</v>
      </c>
      <c r="V1033">
        <v>-7.2383649999999994E-2</v>
      </c>
      <c r="W1033">
        <v>0.29834830000000001</v>
      </c>
      <c r="X1033">
        <v>0.95170840000000001</v>
      </c>
      <c r="Y1033">
        <v>6.0316540000000002E-2</v>
      </c>
      <c r="Z1033">
        <v>-1.2323670000000001E-3</v>
      </c>
      <c r="AA1033">
        <v>0.99817849999999997</v>
      </c>
      <c r="AB1033">
        <v>36</v>
      </c>
      <c r="AC1033">
        <v>33.345799999999997</v>
      </c>
      <c r="AD1033">
        <v>-1.060223740808</v>
      </c>
      <c r="AE1033">
        <v>-2.2020000000000501</v>
      </c>
      <c r="AF1033">
        <v>2.026877984195</v>
      </c>
      <c r="AG1033">
        <v>-1.060223740808</v>
      </c>
      <c r="AH1033">
        <v>33.323237960646303</v>
      </c>
      <c r="AI1033">
        <v>91.818968329502198</v>
      </c>
      <c r="AJ1033">
        <v>86.519286155145807</v>
      </c>
      <c r="AK1033">
        <v>33.401654104628498</v>
      </c>
      <c r="AL1033">
        <v>72.641574643575495</v>
      </c>
      <c r="AM1033">
        <v>94.349345360433105</v>
      </c>
      <c r="AN1033">
        <v>0.99999998976538595</v>
      </c>
    </row>
    <row r="1034" spans="1:40" x14ac:dyDescent="0.25">
      <c r="A1034" t="str">
        <f>"20190304164115336"</f>
        <v>20190304164115336</v>
      </c>
      <c r="B1034" t="str">
        <f>"1551688875322154"</f>
        <v>1551688875322154</v>
      </c>
      <c r="C1034" t="s">
        <v>40</v>
      </c>
      <c r="D1034">
        <v>4.2562119999999997</v>
      </c>
      <c r="E1034">
        <v>0.56352170000000001</v>
      </c>
      <c r="F1034" t="s">
        <v>42</v>
      </c>
      <c r="G1034">
        <v>-268.50700000000001</v>
      </c>
      <c r="H1034" s="1">
        <v>-1.7208370000000001E-6</v>
      </c>
      <c r="I1034">
        <v>365.00599999999997</v>
      </c>
      <c r="J1034">
        <v>-301.6123</v>
      </c>
      <c r="K1034">
        <v>1.0602129999999901</v>
      </c>
      <c r="L1034">
        <v>367.19159999999999</v>
      </c>
      <c r="M1034">
        <v>0.99990800000000002</v>
      </c>
      <c r="N1034">
        <v>-1.255475E-2</v>
      </c>
      <c r="O1034">
        <v>-5.1654270000000002E-3</v>
      </c>
      <c r="P1034">
        <v>0.95573359999999996</v>
      </c>
      <c r="Q1034">
        <v>0.28640199999999999</v>
      </c>
      <c r="R1034">
        <v>6.7432599999999995E-2</v>
      </c>
      <c r="S1034">
        <v>3.184021</v>
      </c>
      <c r="T1034">
        <v>-0.1013771</v>
      </c>
      <c r="U1034">
        <v>-0.20907590000000001</v>
      </c>
      <c r="V1034">
        <v>-7.239226E-2</v>
      </c>
      <c r="W1034">
        <v>0.29836829999999998</v>
      </c>
      <c r="X1034">
        <v>0.95170149999999998</v>
      </c>
      <c r="Y1034">
        <v>6.0325879999999998E-2</v>
      </c>
      <c r="Z1034">
        <v>-1.238875E-3</v>
      </c>
      <c r="AA1034">
        <v>0.99817789999999995</v>
      </c>
      <c r="AB1034">
        <v>36</v>
      </c>
      <c r="AC1034">
        <v>33.1053</v>
      </c>
      <c r="AD1034">
        <v>-1.0602147208370001</v>
      </c>
      <c r="AE1034">
        <v>-2.18560000000002</v>
      </c>
      <c r="AF1034">
        <v>2.0124992441457299</v>
      </c>
      <c r="AG1034">
        <v>-1.0602147208370001</v>
      </c>
      <c r="AH1034">
        <v>33.0823655540404</v>
      </c>
      <c r="AI1034">
        <v>91.832186737019498</v>
      </c>
      <c r="AJ1034">
        <v>86.5188163515773</v>
      </c>
      <c r="AK1034">
        <v>33.160475254632999</v>
      </c>
      <c r="AL1034">
        <v>72.640374469273695</v>
      </c>
      <c r="AM1034">
        <v>94.349892143626604</v>
      </c>
      <c r="AN1034">
        <v>1.00000001342752</v>
      </c>
    </row>
    <row r="1035" spans="1:40" x14ac:dyDescent="0.25">
      <c r="A1035" t="str">
        <f>"20190304164115348"</f>
        <v>20190304164115348</v>
      </c>
      <c r="B1035" t="str">
        <f>"1551688875342651"</f>
        <v>1551688875342651</v>
      </c>
      <c r="C1035" t="s">
        <v>40</v>
      </c>
      <c r="D1035">
        <v>4.2228979999999998</v>
      </c>
      <c r="E1035">
        <v>0.56357709999999905</v>
      </c>
      <c r="F1035" t="s">
        <v>42</v>
      </c>
      <c r="G1035">
        <v>-268.63170000000002</v>
      </c>
      <c r="H1035" s="1">
        <v>-1.6746860000000001E-6</v>
      </c>
      <c r="I1035">
        <v>365.01990000000001</v>
      </c>
      <c r="J1035">
        <v>-301.42950000000002</v>
      </c>
      <c r="K1035">
        <v>1.060209</v>
      </c>
      <c r="L1035">
        <v>367.19069999999999</v>
      </c>
      <c r="M1035">
        <v>0.99990809999999997</v>
      </c>
      <c r="N1035">
        <v>-1.2558389999999999E-2</v>
      </c>
      <c r="O1035">
        <v>-5.1434180000000003E-3</v>
      </c>
      <c r="P1035">
        <v>0.95569459999999995</v>
      </c>
      <c r="Q1035">
        <v>0.28651549999999998</v>
      </c>
      <c r="R1035">
        <v>6.7506220000000006E-2</v>
      </c>
      <c r="S1035">
        <v>3.184418</v>
      </c>
      <c r="T1035">
        <v>-0.1023681</v>
      </c>
      <c r="U1035">
        <v>-0.20968629999999999</v>
      </c>
      <c r="V1035">
        <v>-7.2443489999999999E-2</v>
      </c>
      <c r="W1035">
        <v>0.29848479999999999</v>
      </c>
      <c r="X1035">
        <v>0.95166110000000004</v>
      </c>
      <c r="Y1035">
        <v>6.0529369999999999E-2</v>
      </c>
      <c r="Z1035">
        <v>-1.2516459999999999E-3</v>
      </c>
      <c r="AA1035">
        <v>0.99816559999999999</v>
      </c>
      <c r="AB1035">
        <v>36</v>
      </c>
      <c r="AC1035">
        <v>32.797799999999903</v>
      </c>
      <c r="AD1035">
        <v>-1.0602106746860001</v>
      </c>
      <c r="AE1035">
        <v>-2.1707999999999799</v>
      </c>
      <c r="AF1035">
        <v>1.99998444851526</v>
      </c>
      <c r="AG1035">
        <v>-1.0602106746860001</v>
      </c>
      <c r="AH1035">
        <v>32.774434088470997</v>
      </c>
      <c r="AI1035">
        <v>91.849360772931504</v>
      </c>
      <c r="AJ1035">
        <v>86.507987042353506</v>
      </c>
      <c r="AK1035">
        <v>32.852511536997397</v>
      </c>
      <c r="AL1035">
        <v>72.633381343994799</v>
      </c>
      <c r="AM1035">
        <v>94.353142696455393</v>
      </c>
      <c r="AN1035">
        <v>1.00000004216381</v>
      </c>
    </row>
    <row r="1036" spans="1:40" x14ac:dyDescent="0.25">
      <c r="A1036" t="str">
        <f>"20190304164115358"</f>
        <v>20190304164115358</v>
      </c>
      <c r="B1036" t="str">
        <f>"1551688875352411"</f>
        <v>1551688875352411</v>
      </c>
      <c r="C1036" t="s">
        <v>40</v>
      </c>
      <c r="D1036">
        <v>4.2723579999999997</v>
      </c>
      <c r="E1036">
        <v>0.56360719999999997</v>
      </c>
      <c r="F1036" t="s">
        <v>42</v>
      </c>
      <c r="G1036">
        <v>-268.84210000000002</v>
      </c>
      <c r="H1036" s="1">
        <v>-1.596343E-6</v>
      </c>
      <c r="I1036">
        <v>365.04520000000002</v>
      </c>
      <c r="J1036">
        <v>-301.25080000000003</v>
      </c>
      <c r="K1036">
        <v>1.060209</v>
      </c>
      <c r="L1036">
        <v>367.18979999999999</v>
      </c>
      <c r="M1036">
        <v>0.99990809999999997</v>
      </c>
      <c r="N1036">
        <v>-1.256238E-2</v>
      </c>
      <c r="O1036">
        <v>-5.1223609999999998E-3</v>
      </c>
      <c r="P1036">
        <v>0.95571150000000005</v>
      </c>
      <c r="Q1036">
        <v>0.28643629999999998</v>
      </c>
      <c r="R1036">
        <v>6.7602689999999993E-2</v>
      </c>
      <c r="S1036">
        <v>3.1849370000000001</v>
      </c>
      <c r="T1036">
        <v>-0.1036199</v>
      </c>
      <c r="U1036">
        <v>-0.20968629999999999</v>
      </c>
      <c r="V1036">
        <v>-7.2519239999999999E-2</v>
      </c>
      <c r="W1036">
        <v>0.2984097</v>
      </c>
      <c r="X1036">
        <v>0.95167880000000005</v>
      </c>
      <c r="Y1036">
        <v>6.053886E-2</v>
      </c>
      <c r="Z1036">
        <v>-1.262148E-3</v>
      </c>
      <c r="AA1036">
        <v>0.99816510000000003</v>
      </c>
      <c r="AB1036">
        <v>36</v>
      </c>
      <c r="AC1036">
        <v>32.408700000000003</v>
      </c>
      <c r="AD1036">
        <v>-1.060210596343</v>
      </c>
      <c r="AE1036">
        <v>-2.1445999999999601</v>
      </c>
      <c r="AF1036">
        <v>1.9764437702955699</v>
      </c>
      <c r="AG1036">
        <v>-1.060210596343</v>
      </c>
      <c r="AH1036">
        <v>32.384754281223003</v>
      </c>
      <c r="AI1036">
        <v>91.871597083206098</v>
      </c>
      <c r="AJ1036">
        <v>86.507566409773602</v>
      </c>
      <c r="AK1036">
        <v>32.462327186154198</v>
      </c>
      <c r="AL1036">
        <v>72.637888317173406</v>
      </c>
      <c r="AM1036">
        <v>94.357596269001306</v>
      </c>
      <c r="AN1036">
        <v>0.99999996379685296</v>
      </c>
    </row>
    <row r="1037" spans="1:40" x14ac:dyDescent="0.25">
      <c r="A1037" t="str">
        <f>"20190304164115369"</f>
        <v>20190304164115369</v>
      </c>
      <c r="B1037" t="str">
        <f>"1551688875362171"</f>
        <v>1551688875362171</v>
      </c>
      <c r="C1037" t="s">
        <v>40</v>
      </c>
      <c r="D1037">
        <v>4.2702540000000004</v>
      </c>
      <c r="E1037">
        <v>0.56361479999999997</v>
      </c>
      <c r="F1037" t="s">
        <v>42</v>
      </c>
      <c r="G1037">
        <v>-268.97750000000002</v>
      </c>
      <c r="H1037" s="1">
        <v>-1.5453700000000001E-6</v>
      </c>
      <c r="I1037">
        <v>365.06360000000001</v>
      </c>
      <c r="J1037">
        <v>-301.07560000000001</v>
      </c>
      <c r="K1037">
        <v>1.060209</v>
      </c>
      <c r="L1037">
        <v>367.18889999999999</v>
      </c>
      <c r="M1037">
        <v>0.99990800000000002</v>
      </c>
      <c r="N1037">
        <v>-1.256638E-2</v>
      </c>
      <c r="O1037">
        <v>-5.1023659999999997E-3</v>
      </c>
      <c r="P1037">
        <v>0.95568229999999998</v>
      </c>
      <c r="Q1037">
        <v>0.28646749999999999</v>
      </c>
      <c r="R1037">
        <v>6.7879300000000004E-2</v>
      </c>
      <c r="S1037">
        <v>3.185181</v>
      </c>
      <c r="T1037">
        <v>-0.1046364</v>
      </c>
      <c r="U1037">
        <v>-0.20983889999999999</v>
      </c>
      <c r="V1037">
        <v>-7.2776170000000001E-2</v>
      </c>
      <c r="W1037">
        <v>0.2984443</v>
      </c>
      <c r="X1037">
        <v>0.95164839999999995</v>
      </c>
      <c r="Y1037">
        <v>6.0600639999999997E-2</v>
      </c>
      <c r="Z1037">
        <v>-1.2720450000000001E-3</v>
      </c>
      <c r="AA1037">
        <v>0.99816130000000003</v>
      </c>
      <c r="AB1037">
        <v>36</v>
      </c>
      <c r="AC1037">
        <v>32.098099999999903</v>
      </c>
      <c r="AD1037">
        <v>-1.0602105453699999</v>
      </c>
      <c r="AE1037">
        <v>-2.1252999999999802</v>
      </c>
      <c r="AF1037">
        <v>1.9593548104187899</v>
      </c>
      <c r="AG1037">
        <v>-1.0602105453699999</v>
      </c>
      <c r="AH1037">
        <v>32.073687304082902</v>
      </c>
      <c r="AI1037">
        <v>91.889728808792498</v>
      </c>
      <c r="AJ1037">
        <v>86.504192941997701</v>
      </c>
      <c r="AK1037">
        <v>32.150964759299399</v>
      </c>
      <c r="AL1037">
        <v>72.635812317327193</v>
      </c>
      <c r="AM1037">
        <v>94.373114262749297</v>
      </c>
      <c r="AN1037">
        <v>1.00000002417245</v>
      </c>
    </row>
    <row r="1038" spans="1:40" x14ac:dyDescent="0.25">
      <c r="A1038" t="str">
        <f>"20190304164115382"</f>
        <v>20190304164115382</v>
      </c>
      <c r="B1038" t="str">
        <f>"1551688875371931"</f>
        <v>1551688875371931</v>
      </c>
      <c r="C1038" t="s">
        <v>40</v>
      </c>
      <c r="D1038">
        <v>4.252745</v>
      </c>
      <c r="E1038">
        <v>0.56361729999999999</v>
      </c>
      <c r="F1038" t="s">
        <v>42</v>
      </c>
      <c r="G1038">
        <v>-269.04160000000002</v>
      </c>
      <c r="H1038" s="1">
        <v>-1.516862E-6</v>
      </c>
      <c r="I1038">
        <v>365.08890000000002</v>
      </c>
      <c r="J1038">
        <v>-300.87970000000001</v>
      </c>
      <c r="K1038">
        <v>1.060206</v>
      </c>
      <c r="L1038">
        <v>367.18790000000001</v>
      </c>
      <c r="M1038">
        <v>0.99990800000000002</v>
      </c>
      <c r="N1038">
        <v>-1.257087E-2</v>
      </c>
      <c r="O1038">
        <v>-5.0807029999999998E-3</v>
      </c>
      <c r="P1038">
        <v>0.95565900000000004</v>
      </c>
      <c r="Q1038">
        <v>0.28653139999999999</v>
      </c>
      <c r="R1038">
        <v>6.7938799999999994E-2</v>
      </c>
      <c r="S1038">
        <v>3.1855470000000001</v>
      </c>
      <c r="T1038">
        <v>-0.10543</v>
      </c>
      <c r="U1038">
        <v>-0.20883180000000001</v>
      </c>
      <c r="V1038">
        <v>-7.281493E-2</v>
      </c>
      <c r="W1038">
        <v>0.29851260000000002</v>
      </c>
      <c r="X1038">
        <v>0.95162400000000003</v>
      </c>
      <c r="Y1038">
        <v>6.0300199999999998E-2</v>
      </c>
      <c r="Z1038">
        <v>-1.2719700000000001E-3</v>
      </c>
      <c r="AA1038">
        <v>0.9981795</v>
      </c>
      <c r="AB1038">
        <v>36</v>
      </c>
      <c r="AC1038">
        <v>31.838100000000001</v>
      </c>
      <c r="AD1038">
        <v>-1.060207516862</v>
      </c>
      <c r="AE1038">
        <v>-2.0989999999999802</v>
      </c>
      <c r="AF1038">
        <v>1.93506369724433</v>
      </c>
      <c r="AG1038">
        <v>-1.060207516862</v>
      </c>
      <c r="AH1038">
        <v>31.813229618917699</v>
      </c>
      <c r="AI1038">
        <v>91.905213845482393</v>
      </c>
      <c r="AJ1038">
        <v>86.519229436092502</v>
      </c>
      <c r="AK1038">
        <v>31.889654909973402</v>
      </c>
      <c r="AL1038">
        <v>72.631711893295403</v>
      </c>
      <c r="AM1038">
        <v>94.375546058074505</v>
      </c>
      <c r="AN1038">
        <v>1.0000000118828301</v>
      </c>
    </row>
    <row r="1039" spans="1:40" x14ac:dyDescent="0.25">
      <c r="A1039" t="str">
        <f>"20190304164115394"</f>
        <v>20190304164115394</v>
      </c>
      <c r="B1039" t="str">
        <f>"1551688875382667"</f>
        <v>1551688875382667</v>
      </c>
      <c r="C1039" t="s">
        <v>40</v>
      </c>
      <c r="D1039">
        <v>4.2762060000000002</v>
      </c>
      <c r="E1039">
        <v>0.56362860000000004</v>
      </c>
      <c r="F1039" t="s">
        <v>42</v>
      </c>
      <c r="G1039">
        <v>-268.97179999999997</v>
      </c>
      <c r="H1039" s="1">
        <v>-1.539029E-6</v>
      </c>
      <c r="I1039">
        <v>365.09480000000002</v>
      </c>
      <c r="J1039">
        <v>-300.68299999999999</v>
      </c>
      <c r="K1039">
        <v>1.0602039999999999</v>
      </c>
      <c r="L1039">
        <v>367.18700000000001</v>
      </c>
      <c r="M1039">
        <v>0.99990829999999997</v>
      </c>
      <c r="N1039">
        <v>-1.257523E-2</v>
      </c>
      <c r="O1039">
        <v>-5.0588009999999999E-3</v>
      </c>
      <c r="P1039">
        <v>0.95567069999999998</v>
      </c>
      <c r="Q1039">
        <v>0.28644059999999999</v>
      </c>
      <c r="R1039">
        <v>6.8158179999999999E-2</v>
      </c>
      <c r="S1039">
        <v>3.185791</v>
      </c>
      <c r="T1039">
        <v>-0.10585459999999999</v>
      </c>
      <c r="U1039">
        <v>-0.20898439999999999</v>
      </c>
      <c r="V1039">
        <v>-7.3013480000000006E-2</v>
      </c>
      <c r="W1039">
        <v>0.29842610000000003</v>
      </c>
      <c r="X1039">
        <v>0.95163589999999998</v>
      </c>
      <c r="Y1039">
        <v>6.0364330000000001E-2</v>
      </c>
      <c r="Z1039">
        <v>-1.2773140000000001E-3</v>
      </c>
      <c r="AA1039">
        <v>0.99817560000000005</v>
      </c>
      <c r="AB1039">
        <v>36</v>
      </c>
      <c r="AC1039">
        <v>31.711200000000002</v>
      </c>
      <c r="AD1039">
        <v>-1.0602055390289999</v>
      </c>
      <c r="AE1039">
        <v>-2.0921999999999299</v>
      </c>
      <c r="AF1039">
        <v>1.92959241121645</v>
      </c>
      <c r="AG1039">
        <v>-1.0602055390289999</v>
      </c>
      <c r="AH1039">
        <v>31.686114548802699</v>
      </c>
      <c r="AI1039">
        <v>91.912839483527193</v>
      </c>
      <c r="AJ1039">
        <v>86.5151568657366</v>
      </c>
      <c r="AK1039">
        <v>31.762512776199902</v>
      </c>
      <c r="AL1039">
        <v>72.636904380729305</v>
      </c>
      <c r="AM1039">
        <v>94.387376019032303</v>
      </c>
      <c r="AN1039">
        <v>0.99999999579586496</v>
      </c>
    </row>
    <row r="1040" spans="1:40" x14ac:dyDescent="0.25">
      <c r="A1040" t="str">
        <f>"20190304164115406"</f>
        <v>20190304164115406</v>
      </c>
      <c r="B1040" t="str">
        <f>"1551688875392427"</f>
        <v>1551688875392427</v>
      </c>
      <c r="C1040" t="s">
        <v>40</v>
      </c>
      <c r="D1040">
        <v>4.2746040000000001</v>
      </c>
      <c r="E1040">
        <v>0.56363869999999905</v>
      </c>
      <c r="F1040" t="s">
        <v>42</v>
      </c>
      <c r="G1040">
        <v>-269.04689999999999</v>
      </c>
      <c r="H1040" s="1">
        <v>-1.507877E-6</v>
      </c>
      <c r="I1040">
        <v>365.1157</v>
      </c>
      <c r="J1040">
        <v>-300.50240000000002</v>
      </c>
      <c r="K1040">
        <v>1.060198</v>
      </c>
      <c r="L1040">
        <v>367.18610000000001</v>
      </c>
      <c r="M1040">
        <v>0.99990829999999997</v>
      </c>
      <c r="N1040">
        <v>-1.2579160000000001E-2</v>
      </c>
      <c r="O1040">
        <v>-5.0386830000000004E-3</v>
      </c>
      <c r="P1040">
        <v>0.95571119999999998</v>
      </c>
      <c r="Q1040">
        <v>0.2862345</v>
      </c>
      <c r="R1040">
        <v>6.8457260000000006E-2</v>
      </c>
      <c r="S1040">
        <v>3.186035</v>
      </c>
      <c r="T1040">
        <v>-0.1067719</v>
      </c>
      <c r="U1040">
        <v>-0.20858760000000001</v>
      </c>
      <c r="V1040">
        <v>-7.329331E-2</v>
      </c>
      <c r="W1040">
        <v>0.2982245</v>
      </c>
      <c r="X1040">
        <v>0.95167760000000001</v>
      </c>
      <c r="Y1040">
        <v>6.0255070000000001E-2</v>
      </c>
      <c r="Z1040">
        <v>-1.2825180000000001E-3</v>
      </c>
      <c r="AA1040">
        <v>0.99818220000000002</v>
      </c>
      <c r="AB1040">
        <v>36</v>
      </c>
      <c r="AC1040">
        <v>31.455500000000001</v>
      </c>
      <c r="AD1040">
        <v>-1.0601995078769999</v>
      </c>
      <c r="AE1040">
        <v>-2.0703999999999998</v>
      </c>
      <c r="AF1040">
        <v>1.9097068105464601</v>
      </c>
      <c r="AG1040">
        <v>-1.0601995078769999</v>
      </c>
      <c r="AH1040">
        <v>31.429982799061701</v>
      </c>
      <c r="AI1040">
        <v>91.928420997648999</v>
      </c>
      <c r="AJ1040">
        <v>86.522944781093202</v>
      </c>
      <c r="AK1040">
        <v>31.505790290803098</v>
      </c>
      <c r="AL1040">
        <v>72.649006497667898</v>
      </c>
      <c r="AM1040">
        <v>94.403932740530493</v>
      </c>
      <c r="AN1040">
        <v>1.00000000801638</v>
      </c>
    </row>
    <row r="1041" spans="1:40" x14ac:dyDescent="0.25">
      <c r="A1041" t="str">
        <f>"20190304164115417"</f>
        <v>20190304164115417</v>
      </c>
      <c r="B1041" t="str">
        <f>"1551688875411947"</f>
        <v>1551688875411947</v>
      </c>
      <c r="C1041" t="s">
        <v>40</v>
      </c>
      <c r="D1041">
        <v>4.3007710000000001</v>
      </c>
      <c r="E1041">
        <v>0.56372919999999904</v>
      </c>
      <c r="F1041" t="s">
        <v>42</v>
      </c>
      <c r="G1041">
        <v>-269.21280000000002</v>
      </c>
      <c r="H1041" s="1">
        <v>-1.4424210000000001E-6</v>
      </c>
      <c r="I1041">
        <v>365.14960000000002</v>
      </c>
      <c r="J1041">
        <v>-300.3039</v>
      </c>
      <c r="K1041">
        <v>1.0601959999999999</v>
      </c>
      <c r="L1041">
        <v>367.18509999999998</v>
      </c>
      <c r="M1041">
        <v>0.99990829999999997</v>
      </c>
      <c r="N1041">
        <v>-1.258335E-2</v>
      </c>
      <c r="O1041">
        <v>-5.0165390000000004E-3</v>
      </c>
      <c r="P1041">
        <v>0.95575960000000004</v>
      </c>
      <c r="Q1041">
        <v>0.28599039999999998</v>
      </c>
      <c r="R1041">
        <v>6.8796289999999996E-2</v>
      </c>
      <c r="S1041">
        <v>3.1862180000000002</v>
      </c>
      <c r="T1041">
        <v>-0.10795970000000001</v>
      </c>
      <c r="U1041">
        <v>-0.20736689999999999</v>
      </c>
      <c r="V1041">
        <v>-7.3611280000000001E-2</v>
      </c>
      <c r="W1041">
        <v>0.297985099999999</v>
      </c>
      <c r="X1041">
        <v>0.95172800000000002</v>
      </c>
      <c r="Y1041">
        <v>5.9892050000000002E-2</v>
      </c>
      <c r="Z1041">
        <v>-1.284002E-3</v>
      </c>
      <c r="AA1041">
        <v>0.99820410000000004</v>
      </c>
      <c r="AB1041">
        <v>36</v>
      </c>
      <c r="AC1041">
        <v>31.091099999999901</v>
      </c>
      <c r="AD1041">
        <v>-1.0601974424209999</v>
      </c>
      <c r="AE1041">
        <v>-2.0354999999999501</v>
      </c>
      <c r="AF1041">
        <v>1.8773187158825599</v>
      </c>
      <c r="AG1041">
        <v>-1.0601974424209999</v>
      </c>
      <c r="AH1041">
        <v>31.064952839259998</v>
      </c>
      <c r="AI1041">
        <v>91.951098455701398</v>
      </c>
      <c r="AJ1041">
        <v>86.541704555439594</v>
      </c>
      <c r="AK1041">
        <v>31.1396794955145</v>
      </c>
      <c r="AL1041">
        <v>72.663375662344706</v>
      </c>
      <c r="AM1041">
        <v>94.422729476861093</v>
      </c>
      <c r="AN1041">
        <v>0.99999996317462303</v>
      </c>
    </row>
    <row r="1042" spans="1:40" x14ac:dyDescent="0.25">
      <c r="A1042" t="str">
        <f>"20190304164115432"</f>
        <v>20190304164115432</v>
      </c>
      <c r="B1042" t="str">
        <f>"1551688875422684"</f>
        <v>1551688875422684</v>
      </c>
      <c r="C1042" t="s">
        <v>40</v>
      </c>
      <c r="D1042">
        <v>4.2939210000000001</v>
      </c>
      <c r="E1042">
        <v>0.5637818</v>
      </c>
      <c r="F1042" t="s">
        <v>42</v>
      </c>
      <c r="G1042">
        <v>-269.49689999999998</v>
      </c>
      <c r="H1042" s="1">
        <v>-1.3374000000000001E-6</v>
      </c>
      <c r="I1042">
        <v>365.18090000000001</v>
      </c>
      <c r="J1042">
        <v>-300.07440000000003</v>
      </c>
      <c r="K1042">
        <v>1.0601940000000001</v>
      </c>
      <c r="L1042">
        <v>367.18400000000003</v>
      </c>
      <c r="M1042">
        <v>0.99990829999999997</v>
      </c>
      <c r="N1042">
        <v>-1.258798E-2</v>
      </c>
      <c r="O1042">
        <v>-4.9904709999999998E-3</v>
      </c>
      <c r="P1042">
        <v>0.95577469999999998</v>
      </c>
      <c r="Q1042">
        <v>0.28578340000000002</v>
      </c>
      <c r="R1042">
        <v>6.9444699999999998E-2</v>
      </c>
      <c r="S1042">
        <v>3.1866460000000001</v>
      </c>
      <c r="T1042">
        <v>-0.1096656</v>
      </c>
      <c r="U1042">
        <v>-0.20730589999999999</v>
      </c>
      <c r="V1042">
        <v>-7.423428E-2</v>
      </c>
      <c r="W1042">
        <v>0.29778250000000001</v>
      </c>
      <c r="X1042">
        <v>0.95174309999999995</v>
      </c>
      <c r="Y1042">
        <v>5.9889129999999999E-2</v>
      </c>
      <c r="Z1042">
        <v>-1.297875E-3</v>
      </c>
      <c r="AA1042">
        <v>0.99820419999999999</v>
      </c>
      <c r="AB1042">
        <v>36</v>
      </c>
      <c r="AC1042">
        <v>30.577500000000001</v>
      </c>
      <c r="AD1042">
        <v>-1.0601953373999999</v>
      </c>
      <c r="AE1042">
        <v>-2.0031000000000101</v>
      </c>
      <c r="AF1042">
        <v>1.8482544003522601</v>
      </c>
      <c r="AG1042">
        <v>-1.0601953373999999</v>
      </c>
      <c r="AH1042">
        <v>30.550546202255799</v>
      </c>
      <c r="AI1042">
        <v>91.983912953324406</v>
      </c>
      <c r="AJ1042">
        <v>86.537925606845306</v>
      </c>
      <c r="AK1042">
        <v>30.6247601090692</v>
      </c>
      <c r="AL1042">
        <v>72.675537153266504</v>
      </c>
      <c r="AM1042">
        <v>94.459939834303995</v>
      </c>
      <c r="AN1042">
        <v>1.00000003701548</v>
      </c>
    </row>
    <row r="1043" spans="1:40" x14ac:dyDescent="0.25">
      <c r="A1043" t="str">
        <f>"20190304164115443"</f>
        <v>20190304164115443</v>
      </c>
      <c r="B1043" t="str">
        <f>"1551688875432444"</f>
        <v>1551688875432444</v>
      </c>
      <c r="C1043" t="s">
        <v>40</v>
      </c>
      <c r="D1043">
        <v>4.3159780000000003</v>
      </c>
      <c r="E1043">
        <v>0.56382030000000005</v>
      </c>
      <c r="F1043" t="s">
        <v>42</v>
      </c>
      <c r="G1043">
        <v>-269.54270000000002</v>
      </c>
      <c r="H1043" s="1">
        <v>-1.3148990000000001E-6</v>
      </c>
      <c r="I1043">
        <v>365.20690000000002</v>
      </c>
      <c r="J1043">
        <v>-299.89819999999997</v>
      </c>
      <c r="K1043">
        <v>1.0602</v>
      </c>
      <c r="L1043">
        <v>367.18310000000002</v>
      </c>
      <c r="M1043">
        <v>0.99990840000000003</v>
      </c>
      <c r="N1043">
        <v>-1.259097E-2</v>
      </c>
      <c r="O1043">
        <v>-4.9701140000000003E-3</v>
      </c>
      <c r="P1043">
        <v>0.95580480000000001</v>
      </c>
      <c r="Q1043">
        <v>0.2856475</v>
      </c>
      <c r="R1043">
        <v>6.9588940000000002E-2</v>
      </c>
      <c r="S1043">
        <v>3.1869200000000002</v>
      </c>
      <c r="T1043">
        <v>-0.1106639</v>
      </c>
      <c r="U1043">
        <v>-0.20635990000000001</v>
      </c>
      <c r="V1043">
        <v>-7.4358659999999993E-2</v>
      </c>
      <c r="W1043">
        <v>0.29765009999999997</v>
      </c>
      <c r="X1043">
        <v>0.95177480000000003</v>
      </c>
      <c r="Y1043">
        <v>5.9608300000000003E-2</v>
      </c>
      <c r="Z1043">
        <v>-1.299524E-3</v>
      </c>
      <c r="AA1043">
        <v>0.99822100000000002</v>
      </c>
      <c r="AB1043">
        <v>36</v>
      </c>
      <c r="AC1043">
        <v>30.3554999999999</v>
      </c>
      <c r="AD1043">
        <v>-1.0602013148989999</v>
      </c>
      <c r="AE1043">
        <v>-1.9762</v>
      </c>
      <c r="AF1043">
        <v>1.8230788612454001</v>
      </c>
      <c r="AG1043">
        <v>-1.0602013148989999</v>
      </c>
      <c r="AH1043">
        <v>30.328108511825199</v>
      </c>
      <c r="AI1043">
        <v>91.998509576335806</v>
      </c>
      <c r="AJ1043">
        <v>86.559983849929694</v>
      </c>
      <c r="AK1043">
        <v>30.401345517385899</v>
      </c>
      <c r="AL1043">
        <v>72.683483338433803</v>
      </c>
      <c r="AM1043">
        <v>94.467234077866394</v>
      </c>
      <c r="AN1043">
        <v>1.00000003113102</v>
      </c>
    </row>
    <row r="1044" spans="1:40" x14ac:dyDescent="0.25">
      <c r="A1044" t="str">
        <f>"20190304164115454"</f>
        <v>20190304164115454</v>
      </c>
      <c r="B1044" t="str">
        <f>"1551688875442204"</f>
        <v>1551688875442204</v>
      </c>
      <c r="C1044" t="s">
        <v>40</v>
      </c>
      <c r="D1044">
        <v>4.3124589999999996</v>
      </c>
      <c r="E1044">
        <v>0.56386080000000005</v>
      </c>
      <c r="F1044" t="s">
        <v>42</v>
      </c>
      <c r="G1044">
        <v>-269.71190000000001</v>
      </c>
      <c r="H1044" s="1">
        <v>-1.250472E-6</v>
      </c>
      <c r="I1044">
        <v>365.23270000000002</v>
      </c>
      <c r="J1044">
        <v>-299.70949999999999</v>
      </c>
      <c r="K1044">
        <v>1.0601959999999999</v>
      </c>
      <c r="L1044">
        <v>367.1823</v>
      </c>
      <c r="M1044">
        <v>0.99990860000000004</v>
      </c>
      <c r="N1044">
        <v>-1.258978E-2</v>
      </c>
      <c r="O1044">
        <v>-4.9476989999999998E-3</v>
      </c>
      <c r="P1044">
        <v>0.955843</v>
      </c>
      <c r="Q1044">
        <v>0.2855164</v>
      </c>
      <c r="R1044">
        <v>6.9604170000000007E-2</v>
      </c>
      <c r="S1044">
        <v>3.187195</v>
      </c>
      <c r="T1044">
        <v>-0.11194030000000001</v>
      </c>
      <c r="U1044">
        <v>-0.20593259999999999</v>
      </c>
      <c r="V1044">
        <v>-7.4352790000000002E-2</v>
      </c>
      <c r="W1044">
        <v>0.29751809999999901</v>
      </c>
      <c r="X1044">
        <v>0.95181649999999995</v>
      </c>
      <c r="Y1044">
        <v>5.9491040000000002E-2</v>
      </c>
      <c r="Z1044">
        <v>-1.3070480000000001E-3</v>
      </c>
      <c r="AA1044">
        <v>0.998228</v>
      </c>
      <c r="AB1044">
        <v>36</v>
      </c>
      <c r="AC1044">
        <v>29.997599999999899</v>
      </c>
      <c r="AD1044">
        <v>-1.0601972504720001</v>
      </c>
      <c r="AE1044">
        <v>-1.94959999999997</v>
      </c>
      <c r="AF1044">
        <v>1.79890770771999</v>
      </c>
      <c r="AG1044">
        <v>-1.0601972504720001</v>
      </c>
      <c r="AH1044">
        <v>29.969601731769501</v>
      </c>
      <c r="AI1044">
        <v>92.022399535658707</v>
      </c>
      <c r="AJ1044">
        <v>86.564975979155093</v>
      </c>
      <c r="AK1044">
        <v>30.042255493083101</v>
      </c>
      <c r="AL1044">
        <v>72.691404785399399</v>
      </c>
      <c r="AM1044">
        <v>94.466687947537807</v>
      </c>
      <c r="AN1044">
        <v>1.00000000344032</v>
      </c>
    </row>
    <row r="1045" spans="1:40" x14ac:dyDescent="0.25">
      <c r="A1045" t="str">
        <f>"20190304164115466"</f>
        <v>20190304164115466</v>
      </c>
      <c r="B1045" t="str">
        <f>"1551688875451963"</f>
        <v>1551688875451963</v>
      </c>
      <c r="C1045" t="s">
        <v>40</v>
      </c>
      <c r="D1045">
        <v>4.301901</v>
      </c>
      <c r="E1045">
        <v>0.56388850000000001</v>
      </c>
      <c r="F1045" t="s">
        <v>42</v>
      </c>
      <c r="G1045">
        <v>-269.81920000000002</v>
      </c>
      <c r="H1045" s="1">
        <v>-1.209477E-6</v>
      </c>
      <c r="I1045">
        <v>365.24959999999999</v>
      </c>
      <c r="J1045">
        <v>-299.53179999999998</v>
      </c>
      <c r="K1045">
        <v>1.060187</v>
      </c>
      <c r="L1045">
        <v>367.1814</v>
      </c>
      <c r="M1045">
        <v>0.99990880000000004</v>
      </c>
      <c r="N1045">
        <v>-1.258721E-2</v>
      </c>
      <c r="O1045">
        <v>-4.9268280000000003E-3</v>
      </c>
      <c r="P1045">
        <v>0.95588019999999996</v>
      </c>
      <c r="Q1045">
        <v>0.28535339999999998</v>
      </c>
      <c r="R1045">
        <v>6.9765499999999994E-2</v>
      </c>
      <c r="S1045">
        <v>3.1873469999999999</v>
      </c>
      <c r="T1045">
        <v>-0.11305369999999999</v>
      </c>
      <c r="U1045">
        <v>-0.2060852</v>
      </c>
      <c r="V1045">
        <v>-7.4493859999999995E-2</v>
      </c>
      <c r="W1045">
        <v>0.29735319999999998</v>
      </c>
      <c r="X1045">
        <v>0.95185699999999995</v>
      </c>
      <c r="Y1045">
        <v>5.9555520000000001E-2</v>
      </c>
      <c r="Z1045">
        <v>-1.31759E-3</v>
      </c>
      <c r="AA1045">
        <v>0.99822409999999995</v>
      </c>
      <c r="AB1045">
        <v>36</v>
      </c>
      <c r="AC1045">
        <v>29.712599999999899</v>
      </c>
      <c r="AD1045">
        <v>-1.0601882094769901</v>
      </c>
      <c r="AE1045">
        <v>-1.9318</v>
      </c>
      <c r="AF1045">
        <v>1.78311546199478</v>
      </c>
      <c r="AG1045">
        <v>-1.0601882094769901</v>
      </c>
      <c r="AH1045">
        <v>29.684124022650401</v>
      </c>
      <c r="AI1045">
        <v>92.041810019943696</v>
      </c>
      <c r="AJ1045">
        <v>86.562392315106493</v>
      </c>
      <c r="AK1045">
        <v>29.756523970087802</v>
      </c>
      <c r="AL1045">
        <v>72.701300751943407</v>
      </c>
      <c r="AM1045">
        <v>94.474938593417804</v>
      </c>
      <c r="AN1045">
        <v>1.0000000045884601</v>
      </c>
    </row>
    <row r="1046" spans="1:40" x14ac:dyDescent="0.25">
      <c r="A1046" t="str">
        <f>"20190304164115477"</f>
        <v>20190304164115477</v>
      </c>
      <c r="B1046" t="str">
        <f>"1551688875461723"</f>
        <v>1551688875461723</v>
      </c>
      <c r="C1046" t="s">
        <v>40</v>
      </c>
      <c r="D1046">
        <v>4.2902769999999997</v>
      </c>
      <c r="E1046">
        <v>0.56388209999999905</v>
      </c>
      <c r="F1046" t="s">
        <v>42</v>
      </c>
      <c r="G1046">
        <v>-270.04469999999998</v>
      </c>
      <c r="H1046" s="1">
        <v>-5.0219299999999997E-6</v>
      </c>
      <c r="I1046">
        <v>365.28199999999998</v>
      </c>
      <c r="J1046">
        <v>-299.3433</v>
      </c>
      <c r="K1046">
        <v>1.0601830000000001</v>
      </c>
      <c r="L1046">
        <v>367.18049999999999</v>
      </c>
      <c r="M1046">
        <v>0.99990889999999999</v>
      </c>
      <c r="N1046">
        <v>-1.2581749999999999E-2</v>
      </c>
      <c r="O1046">
        <v>-4.9052280000000002E-3</v>
      </c>
      <c r="P1046">
        <v>0.95591499999999996</v>
      </c>
      <c r="Q1046">
        <v>0.28520659999999998</v>
      </c>
      <c r="R1046">
        <v>6.9885740000000002E-2</v>
      </c>
      <c r="S1046">
        <v>3.1876829999999998</v>
      </c>
      <c r="T1046">
        <v>-0.114611</v>
      </c>
      <c r="U1046">
        <v>-0.20532230000000001</v>
      </c>
      <c r="V1046">
        <v>-7.4592859999999997E-2</v>
      </c>
      <c r="W1046">
        <v>0.29720159999999901</v>
      </c>
      <c r="X1046">
        <v>0.95189659999999998</v>
      </c>
      <c r="Y1046">
        <v>5.9331429999999998E-2</v>
      </c>
      <c r="Z1046">
        <v>-1.3245010000000001E-3</v>
      </c>
      <c r="AA1046">
        <v>0.99823740000000005</v>
      </c>
      <c r="AB1046">
        <v>36</v>
      </c>
      <c r="AC1046">
        <v>29.2986</v>
      </c>
      <c r="AD1046">
        <v>-1.0601880219299999</v>
      </c>
      <c r="AE1046">
        <v>-1.8985000000000101</v>
      </c>
      <c r="AF1046">
        <v>1.7524643979896</v>
      </c>
      <c r="AG1046">
        <v>-1.0601880219299999</v>
      </c>
      <c r="AH1046">
        <v>29.2693957002089</v>
      </c>
      <c r="AI1046">
        <v>92.070740004311105</v>
      </c>
      <c r="AJ1046">
        <v>86.573585300250599</v>
      </c>
      <c r="AK1046">
        <v>29.340972287289201</v>
      </c>
      <c r="AL1046">
        <v>72.710398193745803</v>
      </c>
      <c r="AM1046">
        <v>94.480675793238504</v>
      </c>
      <c r="AN1046">
        <v>1.0000000114485399</v>
      </c>
    </row>
    <row r="1047" spans="1:40" x14ac:dyDescent="0.25">
      <c r="A1047" t="str">
        <f>"20190304164115489"</f>
        <v>20190304164115489</v>
      </c>
      <c r="B1047" t="str">
        <f>"1551688875482220"</f>
        <v>1551688875482220</v>
      </c>
      <c r="C1047" t="s">
        <v>40</v>
      </c>
      <c r="D1047">
        <v>4.3062680000000002</v>
      </c>
      <c r="E1047">
        <v>0.56392500000000001</v>
      </c>
      <c r="F1047" t="s">
        <v>42</v>
      </c>
      <c r="G1047">
        <v>-270.27800000000002</v>
      </c>
      <c r="H1047" s="1">
        <v>-4.9167020000000003E-6</v>
      </c>
      <c r="I1047">
        <v>365.31099999999998</v>
      </c>
      <c r="J1047">
        <v>-299.1583</v>
      </c>
      <c r="K1047">
        <v>1.0601769999999999</v>
      </c>
      <c r="L1047">
        <v>367.17959999999999</v>
      </c>
      <c r="M1047">
        <v>0.99990900000000005</v>
      </c>
      <c r="N1047">
        <v>-1.257541E-2</v>
      </c>
      <c r="O1047">
        <v>-4.8838650000000003E-3</v>
      </c>
      <c r="P1047">
        <v>0.95588450000000003</v>
      </c>
      <c r="Q1047">
        <v>0.28530749999999999</v>
      </c>
      <c r="R1047">
        <v>6.988962E-2</v>
      </c>
      <c r="S1047">
        <v>3.1880489999999999</v>
      </c>
      <c r="T1047">
        <v>-0.1162871</v>
      </c>
      <c r="U1047">
        <v>-0.2050476</v>
      </c>
      <c r="V1047">
        <v>-7.4576020000000007E-2</v>
      </c>
      <c r="W1047">
        <v>0.29729680000000003</v>
      </c>
      <c r="X1047">
        <v>0.95186820000000005</v>
      </c>
      <c r="Y1047">
        <v>5.9258570000000003E-2</v>
      </c>
      <c r="Z1047">
        <v>-1.335901E-3</v>
      </c>
      <c r="AA1047">
        <v>0.99824179999999996</v>
      </c>
      <c r="AB1047">
        <v>36</v>
      </c>
      <c r="AC1047">
        <v>28.880299999999899</v>
      </c>
      <c r="AD1047">
        <v>-1.0601819167019999</v>
      </c>
      <c r="AE1047">
        <v>-1.86860000000001</v>
      </c>
      <c r="AF1047">
        <v>1.7252038975963999</v>
      </c>
      <c r="AG1047">
        <v>-1.0601819167019999</v>
      </c>
      <c r="AH1047">
        <v>28.850365875563199</v>
      </c>
      <c r="AI1047">
        <v>92.100786519907402</v>
      </c>
      <c r="AJ1047">
        <v>86.577882775345401</v>
      </c>
      <c r="AK1047">
        <v>28.921340310204201</v>
      </c>
      <c r="AL1047">
        <v>72.704685572276304</v>
      </c>
      <c r="AM1047">
        <v>94.479801470313205</v>
      </c>
      <c r="AN1047">
        <v>1.0000000201102599</v>
      </c>
    </row>
    <row r="1048" spans="1:40" x14ac:dyDescent="0.25">
      <c r="A1048" t="str">
        <f>"20190304164115500"</f>
        <v>20190304164115500</v>
      </c>
      <c r="B1048" t="str">
        <f>"1551688875491979"</f>
        <v>1551688875491979</v>
      </c>
      <c r="C1048" t="s">
        <v>40</v>
      </c>
      <c r="D1048">
        <v>4.3120229999999999</v>
      </c>
      <c r="E1048">
        <v>0.56393059999999995</v>
      </c>
      <c r="F1048" t="s">
        <v>42</v>
      </c>
      <c r="G1048">
        <v>-270.62329999999997</v>
      </c>
      <c r="H1048" s="1">
        <v>-4.7629240000000004E-6</v>
      </c>
      <c r="I1048">
        <v>365.34300000000002</v>
      </c>
      <c r="J1048">
        <v>-298.97370000000001</v>
      </c>
      <c r="K1048">
        <v>1.060171</v>
      </c>
      <c r="L1048">
        <v>367.17869999999999</v>
      </c>
      <c r="M1048">
        <v>0.99990919999999905</v>
      </c>
      <c r="N1048">
        <v>-1.256851E-2</v>
      </c>
      <c r="O1048">
        <v>-4.8629789999999999E-3</v>
      </c>
      <c r="P1048">
        <v>0.95588649999999997</v>
      </c>
      <c r="Q1048">
        <v>0.2852615</v>
      </c>
      <c r="R1048">
        <v>7.0050000000000001E-2</v>
      </c>
      <c r="S1048">
        <v>3.1887819999999998</v>
      </c>
      <c r="T1048">
        <v>-0.118474499999999</v>
      </c>
      <c r="U1048">
        <v>-0.20523069999999999</v>
      </c>
      <c r="V1048">
        <v>-7.4715740000000003E-2</v>
      </c>
      <c r="W1048">
        <v>0.29724440000000002</v>
      </c>
      <c r="X1048">
        <v>0.95187359999999999</v>
      </c>
      <c r="Y1048">
        <v>5.9320129999999999E-2</v>
      </c>
      <c r="Z1048">
        <v>-1.3544410000000001E-3</v>
      </c>
      <c r="AA1048">
        <v>0.99823810000000002</v>
      </c>
      <c r="AB1048">
        <v>36</v>
      </c>
      <c r="AC1048">
        <v>28.3504</v>
      </c>
      <c r="AD1048">
        <v>-1.0601757629240001</v>
      </c>
      <c r="AE1048">
        <v>-1.8356999999999699</v>
      </c>
      <c r="AF1048">
        <v>1.6954389664699201</v>
      </c>
      <c r="AG1048">
        <v>-1.0601757629240001</v>
      </c>
      <c r="AH1048">
        <v>28.3195551347163</v>
      </c>
      <c r="AI1048">
        <v>92.140105259703304</v>
      </c>
      <c r="AJ1048">
        <v>86.573897869964398</v>
      </c>
      <c r="AK1048">
        <v>28.390063208199301</v>
      </c>
      <c r="AL1048">
        <v>72.707829890134605</v>
      </c>
      <c r="AM1048">
        <v>94.488134871127201</v>
      </c>
      <c r="AN1048">
        <v>1.00000001275603</v>
      </c>
    </row>
    <row r="1049" spans="1:40" x14ac:dyDescent="0.25">
      <c r="A1049" t="str">
        <f>"20190304164115510"</f>
        <v>20190304164115510</v>
      </c>
      <c r="B1049" t="str">
        <f>"1551688875502716"</f>
        <v>1551688875502716</v>
      </c>
      <c r="C1049" t="s">
        <v>40</v>
      </c>
      <c r="D1049">
        <v>4.3357070000000002</v>
      </c>
      <c r="E1049">
        <v>0.56392769999999903</v>
      </c>
      <c r="F1049" t="s">
        <v>42</v>
      </c>
      <c r="G1049">
        <v>-270.73759999999999</v>
      </c>
      <c r="H1049" s="1">
        <v>-4.7104489999999997E-6</v>
      </c>
      <c r="I1049">
        <v>365.36219999999997</v>
      </c>
      <c r="J1049">
        <v>-298.81189999999998</v>
      </c>
      <c r="K1049">
        <v>1.0601670000000001</v>
      </c>
      <c r="L1049">
        <v>367.17790000000002</v>
      </c>
      <c r="M1049">
        <v>0.99990939999999995</v>
      </c>
      <c r="N1049">
        <v>-1.256238E-2</v>
      </c>
      <c r="O1049">
        <v>-4.8448320000000003E-3</v>
      </c>
      <c r="P1049">
        <v>0.95582929999999999</v>
      </c>
      <c r="Q1049">
        <v>0.28543239999999998</v>
      </c>
      <c r="R1049">
        <v>7.0133890000000004E-2</v>
      </c>
      <c r="S1049">
        <v>3.189209</v>
      </c>
      <c r="T1049">
        <v>-0.1197447</v>
      </c>
      <c r="U1049">
        <v>-0.20516970000000001</v>
      </c>
      <c r="V1049">
        <v>-7.4781169999999994E-2</v>
      </c>
      <c r="W1049">
        <v>0.29740879999999997</v>
      </c>
      <c r="X1049">
        <v>0.95181709999999997</v>
      </c>
      <c r="Y1049">
        <v>5.9309679999999997E-2</v>
      </c>
      <c r="Z1049">
        <v>-1.364156E-3</v>
      </c>
      <c r="AA1049">
        <v>0.99823870000000003</v>
      </c>
      <c r="AB1049">
        <v>36</v>
      </c>
      <c r="AC1049">
        <v>28.074299999999901</v>
      </c>
      <c r="AD1049">
        <v>-1.060171710449</v>
      </c>
      <c r="AE1049">
        <v>-1.8157000000000401</v>
      </c>
      <c r="AF1049">
        <v>1.67727078492191</v>
      </c>
      <c r="AG1049">
        <v>-1.060171710449</v>
      </c>
      <c r="AH1049">
        <v>28.042943871628001</v>
      </c>
      <c r="AI1049">
        <v>92.161194136036698</v>
      </c>
      <c r="AJ1049">
        <v>86.577171484950796</v>
      </c>
      <c r="AK1049">
        <v>28.113055727346101</v>
      </c>
      <c r="AL1049">
        <v>72.697964158672903</v>
      </c>
      <c r="AM1049">
        <v>94.492314694719795</v>
      </c>
      <c r="AN1049">
        <v>1.0000000047782001</v>
      </c>
    </row>
    <row r="1050" spans="1:40" x14ac:dyDescent="0.25">
      <c r="A1050" t="str">
        <f>"20190304164115521"</f>
        <v>20190304164115521</v>
      </c>
      <c r="B1050" t="str">
        <f>"1551688875512475"</f>
        <v>1551688875512475</v>
      </c>
      <c r="C1050" t="s">
        <v>40</v>
      </c>
      <c r="D1050">
        <v>4.3291709999999997</v>
      </c>
      <c r="E1050">
        <v>0.56392769999999903</v>
      </c>
      <c r="F1050" t="s">
        <v>42</v>
      </c>
      <c r="G1050">
        <v>-270.51639999999998</v>
      </c>
      <c r="H1050" s="1">
        <v>-4.8061810000000004E-6</v>
      </c>
      <c r="I1050">
        <v>365.35759999999999</v>
      </c>
      <c r="J1050">
        <v>-298.63979999999998</v>
      </c>
      <c r="K1050">
        <v>1.060162</v>
      </c>
      <c r="L1050">
        <v>367.1771</v>
      </c>
      <c r="M1050">
        <v>0.99990959999999995</v>
      </c>
      <c r="N1050">
        <v>-1.255586E-2</v>
      </c>
      <c r="O1050">
        <v>-4.8254910000000003E-3</v>
      </c>
      <c r="P1050">
        <v>0.95586629999999995</v>
      </c>
      <c r="Q1050">
        <v>0.28529549999999998</v>
      </c>
      <c r="R1050">
        <v>7.0186529999999997E-2</v>
      </c>
      <c r="S1050">
        <v>3.1893919999999998</v>
      </c>
      <c r="T1050">
        <v>-0.1194992</v>
      </c>
      <c r="U1050">
        <v>-0.20516970000000001</v>
      </c>
      <c r="V1050">
        <v>-7.4815060000000003E-2</v>
      </c>
      <c r="W1050">
        <v>0.29726629999999998</v>
      </c>
      <c r="X1050">
        <v>0.95185889999999995</v>
      </c>
      <c r="Y1050">
        <v>5.9325509999999998E-2</v>
      </c>
      <c r="Z1050">
        <v>-1.3628479999999901E-3</v>
      </c>
      <c r="AA1050">
        <v>0.99823779999999995</v>
      </c>
      <c r="AB1050">
        <v>36</v>
      </c>
      <c r="AC1050">
        <v>28.1234</v>
      </c>
      <c r="AD1050">
        <v>-1.0601668061809999</v>
      </c>
      <c r="AE1050">
        <v>-1.8194999999999999</v>
      </c>
      <c r="AF1050">
        <v>1.68137952661304</v>
      </c>
      <c r="AG1050">
        <v>-1.0601668061809999</v>
      </c>
      <c r="AH1050">
        <v>28.0920989967635</v>
      </c>
      <c r="AI1050">
        <v>92.157400771534299</v>
      </c>
      <c r="AJ1050">
        <v>86.574796272812804</v>
      </c>
      <c r="AK1050">
        <v>28.162333298457401</v>
      </c>
      <c r="AL1050">
        <v>72.706514695010199</v>
      </c>
      <c r="AM1050">
        <v>94.494145666797905</v>
      </c>
      <c r="AN1050">
        <v>0.99999995591385005</v>
      </c>
    </row>
    <row r="1051" spans="1:40" x14ac:dyDescent="0.25">
      <c r="A1051" t="str">
        <f>"20190304164115532"</f>
        <v>20190304164115532</v>
      </c>
      <c r="B1051" t="str">
        <f>"1551688875522235"</f>
        <v>1551688875522235</v>
      </c>
      <c r="C1051" t="s">
        <v>40</v>
      </c>
      <c r="D1051">
        <v>4.2831060000000001</v>
      </c>
      <c r="E1051">
        <v>0.55634030000000001</v>
      </c>
      <c r="F1051" t="s">
        <v>42</v>
      </c>
      <c r="G1051">
        <v>-270.4051</v>
      </c>
      <c r="H1051" s="1">
        <v>-4.8538619999999996E-6</v>
      </c>
      <c r="I1051">
        <v>365.358</v>
      </c>
      <c r="J1051">
        <v>-298.46370000000002</v>
      </c>
      <c r="K1051">
        <v>1.060168</v>
      </c>
      <c r="L1051">
        <v>367.17630000000003</v>
      </c>
      <c r="M1051">
        <v>0.99990970000000001</v>
      </c>
      <c r="N1051">
        <v>-1.254942E-2</v>
      </c>
      <c r="O1051">
        <v>-4.8062629999999999E-3</v>
      </c>
      <c r="P1051">
        <v>0.95589749999999996</v>
      </c>
      <c r="Q1051">
        <v>0.28521649999999998</v>
      </c>
      <c r="R1051">
        <v>7.0083010000000001E-2</v>
      </c>
      <c r="S1051">
        <v>3.1893310000000001</v>
      </c>
      <c r="T1051">
        <v>-0.11975379999999999</v>
      </c>
      <c r="U1051">
        <v>-0.20547489999999999</v>
      </c>
      <c r="V1051">
        <v>-7.4692759999999997E-2</v>
      </c>
      <c r="W1051">
        <v>0.29718159999999999</v>
      </c>
      <c r="X1051">
        <v>0.95189500000000005</v>
      </c>
      <c r="Y1051">
        <v>5.9440739999999999E-2</v>
      </c>
      <c r="Z1051">
        <v>-1.3679860000000001E-3</v>
      </c>
      <c r="AA1051">
        <v>0.99823090000000003</v>
      </c>
      <c r="AB1051">
        <v>36</v>
      </c>
      <c r="AC1051">
        <v>28.058599999999998</v>
      </c>
      <c r="AD1051">
        <v>-1.0601728538619899</v>
      </c>
      <c r="AE1051">
        <v>-1.81830000000002</v>
      </c>
      <c r="AF1051">
        <v>1.6810214914631201</v>
      </c>
      <c r="AG1051">
        <v>-1.0601728538619899</v>
      </c>
      <c r="AH1051">
        <v>28.027170162555301</v>
      </c>
      <c r="AI1051">
        <v>92.162390039086802</v>
      </c>
      <c r="AJ1051">
        <v>86.567609574620505</v>
      </c>
      <c r="AK1051">
        <v>28.0975455699542</v>
      </c>
      <c r="AL1051">
        <v>72.711598155037507</v>
      </c>
      <c r="AM1051">
        <v>94.486659654840906</v>
      </c>
      <c r="AN1051">
        <v>1.0000000013999799</v>
      </c>
    </row>
    <row r="1052" spans="1:40" x14ac:dyDescent="0.25">
      <c r="A1052" t="str">
        <f>"20190304164115544"</f>
        <v>20190304164115544</v>
      </c>
      <c r="B1052" t="str">
        <f>"1551688875531995"</f>
        <v>1551688875531995</v>
      </c>
      <c r="C1052" t="s">
        <v>40</v>
      </c>
      <c r="D1052">
        <v>4.2891750000000002</v>
      </c>
      <c r="E1052">
        <v>0.555706699999999</v>
      </c>
      <c r="F1052" t="s">
        <v>42</v>
      </c>
      <c r="G1052">
        <v>-264.99299999999999</v>
      </c>
      <c r="H1052" s="1">
        <v>-2.8374300000000001E-6</v>
      </c>
      <c r="I1052">
        <v>365.62990000000002</v>
      </c>
      <c r="J1052">
        <v>-298.27980000000002</v>
      </c>
      <c r="K1052">
        <v>1.060165</v>
      </c>
      <c r="L1052">
        <v>367.17540000000002</v>
      </c>
      <c r="M1052">
        <v>0.99990990000000002</v>
      </c>
      <c r="N1052">
        <v>-1.254274E-2</v>
      </c>
      <c r="O1052">
        <v>-4.7864359999999998E-3</v>
      </c>
      <c r="P1052">
        <v>0.95587169999999999</v>
      </c>
      <c r="Q1052">
        <v>0.2853733</v>
      </c>
      <c r="R1052">
        <v>6.9796990000000003E-2</v>
      </c>
      <c r="S1052">
        <v>3.1791990000000001</v>
      </c>
      <c r="T1052">
        <v>-0.1006997</v>
      </c>
      <c r="U1052">
        <v>-0.14688109999999999</v>
      </c>
      <c r="V1052">
        <v>-7.4388190000000007E-2</v>
      </c>
      <c r="W1052">
        <v>0.29733179999999998</v>
      </c>
      <c r="X1052">
        <v>0.95187189999999999</v>
      </c>
      <c r="Y1052">
        <v>4.1341169999999997E-2</v>
      </c>
      <c r="Z1052">
        <v>-8.2223649999999904E-4</v>
      </c>
      <c r="AA1052">
        <v>0.9991447</v>
      </c>
      <c r="AB1052">
        <v>36</v>
      </c>
      <c r="AC1052">
        <v>33.286799999999999</v>
      </c>
      <c r="AD1052">
        <v>-1.0601678374299901</v>
      </c>
      <c r="AE1052">
        <v>-1.5455000000000001</v>
      </c>
      <c r="AF1052">
        <v>1.38474297613793</v>
      </c>
      <c r="AG1052">
        <v>-1.0601678374299901</v>
      </c>
      <c r="AH1052">
        <v>33.260150452534603</v>
      </c>
      <c r="AI1052">
        <v>91.824106596163404</v>
      </c>
      <c r="AJ1052">
        <v>87.615941807023603</v>
      </c>
      <c r="AK1052">
        <v>33.305841485822299</v>
      </c>
      <c r="AL1052">
        <v>72.702584135196005</v>
      </c>
      <c r="AM1052">
        <v>94.468546927820398</v>
      </c>
      <c r="AN1052">
        <v>0.99999995805616204</v>
      </c>
    </row>
    <row r="1053" spans="1:40" x14ac:dyDescent="0.25">
      <c r="A1053" t="str">
        <f>"20190304164115555"</f>
        <v>20190304164115555</v>
      </c>
      <c r="B1053" t="str">
        <f>"1551688875541755"</f>
        <v>1551688875541755</v>
      </c>
      <c r="C1053" t="s">
        <v>40</v>
      </c>
      <c r="D1053">
        <v>4.2626089999999897</v>
      </c>
      <c r="E1053">
        <v>0.55557509999999999</v>
      </c>
      <c r="F1053" t="s">
        <v>42</v>
      </c>
      <c r="G1053">
        <v>-263.51280000000003</v>
      </c>
      <c r="H1053" s="1">
        <v>-3.4755290000000002E-6</v>
      </c>
      <c r="I1053">
        <v>365.61250000000001</v>
      </c>
      <c r="J1053">
        <v>-298.08800000000002</v>
      </c>
      <c r="K1053">
        <v>1.0601689999999999</v>
      </c>
      <c r="L1053">
        <v>367.17450000000002</v>
      </c>
      <c r="M1053">
        <v>0.99991019999999997</v>
      </c>
      <c r="N1053">
        <v>-1.2535900000000001E-2</v>
      </c>
      <c r="O1053">
        <v>-4.7658889999999997E-3</v>
      </c>
      <c r="P1053">
        <v>0.95589210000000002</v>
      </c>
      <c r="Q1053">
        <v>0.28533019999999998</v>
      </c>
      <c r="R1053">
        <v>6.9693939999999996E-2</v>
      </c>
      <c r="S1053">
        <v>3.177826</v>
      </c>
      <c r="T1053">
        <v>-9.6902849999999999E-2</v>
      </c>
      <c r="U1053">
        <v>-0.142852799999999</v>
      </c>
      <c r="V1053">
        <v>-7.4265460000000005E-2</v>
      </c>
      <c r="W1053">
        <v>0.29728259999999901</v>
      </c>
      <c r="X1053">
        <v>0.95189690000000005</v>
      </c>
      <c r="Y1053">
        <v>4.0120169999999997E-2</v>
      </c>
      <c r="Z1053">
        <v>-7.7743429999999904E-4</v>
      </c>
      <c r="AA1053">
        <v>0.99919460000000004</v>
      </c>
      <c r="AB1053">
        <v>36</v>
      </c>
      <c r="AC1053">
        <v>34.575199999999903</v>
      </c>
      <c r="AD1053">
        <v>-1.0601724755290001</v>
      </c>
      <c r="AE1053">
        <v>-1.56200000000001</v>
      </c>
      <c r="AF1053">
        <v>1.3958780238473401</v>
      </c>
      <c r="AG1053">
        <v>-1.0601724755290001</v>
      </c>
      <c r="AH1053">
        <v>34.549834328090597</v>
      </c>
      <c r="AI1053">
        <v>91.756155603193903</v>
      </c>
      <c r="AJ1053">
        <v>87.686401474362597</v>
      </c>
      <c r="AK1053">
        <v>34.594269658916602</v>
      </c>
      <c r="AL1053">
        <v>72.705537438997297</v>
      </c>
      <c r="AM1053">
        <v>94.461087549629696</v>
      </c>
      <c r="AN1053">
        <v>1.0000000055206899</v>
      </c>
    </row>
    <row r="1054" spans="1:40" x14ac:dyDescent="0.25">
      <c r="A1054" t="str">
        <f>"20190304164115568"</f>
        <v>20190304164115568</v>
      </c>
      <c r="B1054" t="str">
        <f>"1551688875552491"</f>
        <v>1551688875552491</v>
      </c>
      <c r="C1054" t="s">
        <v>40</v>
      </c>
      <c r="D1054">
        <v>4.2839199999999904</v>
      </c>
      <c r="E1054">
        <v>0.55513100000000004</v>
      </c>
      <c r="F1054" t="s">
        <v>42</v>
      </c>
      <c r="G1054">
        <v>-262.28379999999999</v>
      </c>
      <c r="H1054" s="1">
        <v>-4.0096300000000001E-6</v>
      </c>
      <c r="I1054">
        <v>365.57380000000001</v>
      </c>
      <c r="J1054">
        <v>-297.90649999999999</v>
      </c>
      <c r="K1054">
        <v>1.060168</v>
      </c>
      <c r="L1054">
        <v>367.1737</v>
      </c>
      <c r="M1054">
        <v>0.99991019999999997</v>
      </c>
      <c r="N1054">
        <v>-1.25296E-2</v>
      </c>
      <c r="O1054">
        <v>-4.746653E-3</v>
      </c>
      <c r="P1054">
        <v>0.95588490000000004</v>
      </c>
      <c r="Q1054">
        <v>0.285358</v>
      </c>
      <c r="R1054">
        <v>6.9675829999999994E-2</v>
      </c>
      <c r="S1054">
        <v>3.1768489999999998</v>
      </c>
      <c r="T1054">
        <v>-9.4067339999999999E-2</v>
      </c>
      <c r="U1054">
        <v>-0.14202879999999901</v>
      </c>
      <c r="V1054">
        <v>-7.4229080000000003E-2</v>
      </c>
      <c r="W1054">
        <v>0.29730410000000002</v>
      </c>
      <c r="X1054">
        <v>0.95189299999999999</v>
      </c>
      <c r="Y1054">
        <v>3.989587E-2</v>
      </c>
      <c r="Z1054">
        <v>-7.5938759999999905E-4</v>
      </c>
      <c r="AA1054">
        <v>0.99920359999999997</v>
      </c>
      <c r="AB1054">
        <v>36</v>
      </c>
      <c r="AC1054">
        <v>35.622700000000002</v>
      </c>
      <c r="AD1054">
        <v>-1.06017200963</v>
      </c>
      <c r="AE1054">
        <v>-1.5998999999999901</v>
      </c>
      <c r="AF1054">
        <v>1.4295164876817399</v>
      </c>
      <c r="AG1054">
        <v>-1.06017200963</v>
      </c>
      <c r="AH1054">
        <v>35.598426448115099</v>
      </c>
      <c r="AI1054">
        <v>91.704473064235401</v>
      </c>
      <c r="AJ1054">
        <v>87.700424249005906</v>
      </c>
      <c r="AK1054">
        <v>35.642887757032497</v>
      </c>
      <c r="AL1054">
        <v>72.704246858032207</v>
      </c>
      <c r="AM1054">
        <v>94.458929231781497</v>
      </c>
      <c r="AN1054">
        <v>0.99999998382172794</v>
      </c>
    </row>
    <row r="1055" spans="1:40" x14ac:dyDescent="0.25">
      <c r="A1055" t="str">
        <f>"20190304164115579"</f>
        <v>20190304164115579</v>
      </c>
      <c r="B1055" t="str">
        <f>"1551688875572012"</f>
        <v>1551688875572012</v>
      </c>
      <c r="C1055" t="s">
        <v>40</v>
      </c>
      <c r="D1055">
        <v>4.2915939999999999</v>
      </c>
      <c r="E1055">
        <v>0.55507519999999999</v>
      </c>
      <c r="F1055" t="s">
        <v>42</v>
      </c>
      <c r="G1055">
        <v>-263.78070000000002</v>
      </c>
      <c r="H1055" s="1">
        <v>-3.3468639999999999E-6</v>
      </c>
      <c r="I1055">
        <v>365.68979999999999</v>
      </c>
      <c r="J1055">
        <v>-297.70589999999999</v>
      </c>
      <c r="K1055">
        <v>1.0601670000000001</v>
      </c>
      <c r="L1055">
        <v>367.1728</v>
      </c>
      <c r="M1055">
        <v>0.99991059999999998</v>
      </c>
      <c r="N1055">
        <v>-1.252283E-2</v>
      </c>
      <c r="O1055">
        <v>-4.7260999999999996E-3</v>
      </c>
      <c r="P1055">
        <v>0.95594760000000001</v>
      </c>
      <c r="Q1055">
        <v>0.28517019999999998</v>
      </c>
      <c r="R1055">
        <v>6.9588899999999995E-2</v>
      </c>
      <c r="S1055">
        <v>3.1779790000000001</v>
      </c>
      <c r="T1055">
        <v>-9.8728780000000002E-2</v>
      </c>
      <c r="U1055">
        <v>-0.13818359999999999</v>
      </c>
      <c r="V1055">
        <v>-7.4123010000000003E-2</v>
      </c>
      <c r="W1055">
        <v>0.2971106</v>
      </c>
      <c r="X1055">
        <v>0.95196170000000002</v>
      </c>
      <c r="Y1055">
        <v>3.869272E-2</v>
      </c>
      <c r="Z1055">
        <v>-7.5550979999999997E-4</v>
      </c>
      <c r="AA1055">
        <v>0.99925090000000005</v>
      </c>
      <c r="AB1055">
        <v>36</v>
      </c>
      <c r="AC1055">
        <v>33.925199999999897</v>
      </c>
      <c r="AD1055">
        <v>-1.060170346864</v>
      </c>
      <c r="AE1055">
        <v>-1.4830000000000001</v>
      </c>
      <c r="AF1055">
        <v>1.32134906543521</v>
      </c>
      <c r="AG1055">
        <v>-1.060170346864</v>
      </c>
      <c r="AH1055">
        <v>33.898788779478302</v>
      </c>
      <c r="AI1055">
        <v>91.789959091070202</v>
      </c>
      <c r="AJ1055">
        <v>87.767784059891596</v>
      </c>
      <c r="AK1055">
        <v>33.941093164964201</v>
      </c>
      <c r="AL1055">
        <v>72.715858632619799</v>
      </c>
      <c r="AM1055">
        <v>94.452263227082597</v>
      </c>
      <c r="AN1055">
        <v>1.00000000375535</v>
      </c>
    </row>
    <row r="1056" spans="1:40" x14ac:dyDescent="0.25">
      <c r="A1056" t="str">
        <f>"20190304164115590"</f>
        <v>20190304164115590</v>
      </c>
      <c r="B1056" t="str">
        <f>"1551688875581773"</f>
        <v>1551688875581773</v>
      </c>
      <c r="C1056" t="s">
        <v>40</v>
      </c>
      <c r="D1056">
        <v>4.2984749999999998</v>
      </c>
      <c r="E1056">
        <v>0.55505869999999902</v>
      </c>
      <c r="F1056" t="s">
        <v>42</v>
      </c>
      <c r="G1056">
        <v>-263.55079999999998</v>
      </c>
      <c r="H1056" s="1">
        <v>-3.444823E-6</v>
      </c>
      <c r="I1056">
        <v>365.69369999999998</v>
      </c>
      <c r="J1056">
        <v>-297.53039999999999</v>
      </c>
      <c r="K1056">
        <v>1.0601670000000001</v>
      </c>
      <c r="L1056">
        <v>367.17189999999999</v>
      </c>
      <c r="M1056">
        <v>0.99991070000000004</v>
      </c>
      <c r="N1056">
        <v>-1.2517199999999999E-2</v>
      </c>
      <c r="O1056">
        <v>-4.7078240000000002E-3</v>
      </c>
      <c r="P1056">
        <v>0.9559936</v>
      </c>
      <c r="Q1056">
        <v>0.28498610000000002</v>
      </c>
      <c r="R1056">
        <v>6.9712419999999997E-2</v>
      </c>
      <c r="S1056">
        <v>3.177673</v>
      </c>
      <c r="T1056">
        <v>-9.8634239999999998E-2</v>
      </c>
      <c r="U1056">
        <v>-0.137603799999999</v>
      </c>
      <c r="V1056">
        <v>-7.4229719999999999E-2</v>
      </c>
      <c r="W1056">
        <v>0.29692160000000001</v>
      </c>
      <c r="X1056">
        <v>0.95201239999999998</v>
      </c>
      <c r="Y1056">
        <v>3.8533299999999999E-2</v>
      </c>
      <c r="Z1056">
        <v>-7.5185149999999995E-4</v>
      </c>
      <c r="AA1056">
        <v>0.99925699999999995</v>
      </c>
      <c r="AB1056">
        <v>36</v>
      </c>
      <c r="AC1056">
        <v>33.979599999999998</v>
      </c>
      <c r="AD1056">
        <v>-1.060170444823</v>
      </c>
      <c r="AE1056">
        <v>-1.47820000000001</v>
      </c>
      <c r="AF1056">
        <v>1.3169215870389199</v>
      </c>
      <c r="AG1056">
        <v>-1.060170444823</v>
      </c>
      <c r="AH1056">
        <v>33.953193636534998</v>
      </c>
      <c r="AI1056">
        <v>91.787106351007495</v>
      </c>
      <c r="AJ1056">
        <v>87.778817317323501</v>
      </c>
      <c r="AK1056">
        <v>33.9952585217193</v>
      </c>
      <c r="AL1056">
        <v>72.727200114537894</v>
      </c>
      <c r="AM1056">
        <v>94.458410539136693</v>
      </c>
      <c r="AN1056">
        <v>1.0000000488157901</v>
      </c>
    </row>
    <row r="1057" spans="1:40" x14ac:dyDescent="0.25">
      <c r="A1057" t="str">
        <f>"20190304164115604"</f>
        <v>20190304164115604</v>
      </c>
      <c r="B1057" t="str">
        <f>"1551688875592507"</f>
        <v>1551688875592507</v>
      </c>
      <c r="C1057" t="s">
        <v>40</v>
      </c>
      <c r="D1057">
        <v>4.2971599999999999</v>
      </c>
      <c r="E1057">
        <v>0.55507200000000001</v>
      </c>
      <c r="F1057" t="s">
        <v>42</v>
      </c>
      <c r="G1057">
        <v>-263.76670000000001</v>
      </c>
      <c r="H1057" s="1">
        <v>-3.3491369999999998E-6</v>
      </c>
      <c r="I1057">
        <v>365.71089999999998</v>
      </c>
      <c r="J1057">
        <v>-297.32330000000002</v>
      </c>
      <c r="K1057">
        <v>1.060163</v>
      </c>
      <c r="L1057">
        <v>367.17099999999999</v>
      </c>
      <c r="M1057">
        <v>0.99991079999999999</v>
      </c>
      <c r="N1057">
        <v>-1.2510719999999999E-2</v>
      </c>
      <c r="O1057">
        <v>-4.6858489999999997E-3</v>
      </c>
      <c r="P1057">
        <v>0.95601780000000003</v>
      </c>
      <c r="Q1057">
        <v>0.28491060000000001</v>
      </c>
      <c r="R1057">
        <v>6.9684419999999997E-2</v>
      </c>
      <c r="S1057">
        <v>3.1778870000000001</v>
      </c>
      <c r="T1057">
        <v>-9.9784609999999996E-2</v>
      </c>
      <c r="U1057">
        <v>-0.1375122</v>
      </c>
      <c r="V1057">
        <v>-7.4180360000000001E-2</v>
      </c>
      <c r="W1057">
        <v>0.29684060000000001</v>
      </c>
      <c r="X1057">
        <v>0.95204140000000004</v>
      </c>
      <c r="Y1057">
        <v>3.8523139999999997E-2</v>
      </c>
      <c r="Z1057">
        <v>-7.5712259999999895E-4</v>
      </c>
      <c r="AA1057">
        <v>0.99925739999999996</v>
      </c>
      <c r="AB1057">
        <v>36</v>
      </c>
      <c r="AC1057">
        <v>33.556600000000003</v>
      </c>
      <c r="AD1057">
        <v>-1.0601663491369999</v>
      </c>
      <c r="AE1057">
        <v>-1.4601000000000099</v>
      </c>
      <c r="AF1057">
        <v>1.3015338464854</v>
      </c>
      <c r="AG1057">
        <v>-1.0601663491369999</v>
      </c>
      <c r="AH1057">
        <v>33.529669765982</v>
      </c>
      <c r="AI1057">
        <v>91.809655782601496</v>
      </c>
      <c r="AJ1057">
        <v>87.777044161407105</v>
      </c>
      <c r="AK1057">
        <v>33.571665101052098</v>
      </c>
      <c r="AL1057">
        <v>72.732058386579297</v>
      </c>
      <c r="AM1057">
        <v>94.455322632570898</v>
      </c>
      <c r="AN1057">
        <v>0.99999994746602305</v>
      </c>
    </row>
    <row r="1058" spans="1:40" x14ac:dyDescent="0.25">
      <c r="A1058" t="str">
        <f>"20190304164115615"</f>
        <v>20190304164115615</v>
      </c>
      <c r="B1058" t="str">
        <f>"1551688875602267"</f>
        <v>1551688875602267</v>
      </c>
      <c r="C1058" t="s">
        <v>40</v>
      </c>
      <c r="D1058">
        <v>4.3190609999999996</v>
      </c>
      <c r="E1058">
        <v>0.5550467</v>
      </c>
      <c r="F1058" t="s">
        <v>42</v>
      </c>
      <c r="G1058">
        <v>-263.77969999999999</v>
      </c>
      <c r="H1058" s="1">
        <v>-3.3427650000000001E-6</v>
      </c>
      <c r="I1058">
        <v>365.71530000000001</v>
      </c>
      <c r="J1058">
        <v>-297.11880000000002</v>
      </c>
      <c r="K1058">
        <v>1.060162</v>
      </c>
      <c r="L1058">
        <v>367.17</v>
      </c>
      <c r="M1058">
        <v>0.99991110000000005</v>
      </c>
      <c r="N1058">
        <v>-1.250475E-2</v>
      </c>
      <c r="O1058">
        <v>-4.6643530000000004E-3</v>
      </c>
      <c r="P1058">
        <v>0.95602659999999995</v>
      </c>
      <c r="Q1058">
        <v>0.28484189999999998</v>
      </c>
      <c r="R1058">
        <v>6.9848030000000005E-2</v>
      </c>
      <c r="S1058">
        <v>3.1779790000000001</v>
      </c>
      <c r="T1058">
        <v>-0.10044169999999999</v>
      </c>
      <c r="U1058">
        <v>-0.1379089</v>
      </c>
      <c r="V1058">
        <v>-7.4323810000000004E-2</v>
      </c>
      <c r="W1058">
        <v>0.29676590000000003</v>
      </c>
      <c r="X1058">
        <v>0.9520535</v>
      </c>
      <c r="Y1058">
        <v>3.8667510000000002E-2</v>
      </c>
      <c r="Z1058">
        <v>-7.6357009999999904E-4</v>
      </c>
      <c r="AA1058">
        <v>0.99925180000000002</v>
      </c>
      <c r="AB1058">
        <v>36</v>
      </c>
      <c r="AC1058">
        <v>33.339100000000002</v>
      </c>
      <c r="AD1058">
        <v>-1.060165342765</v>
      </c>
      <c r="AE1058">
        <v>-1.4547000000000001</v>
      </c>
      <c r="AF1058">
        <v>1.2978568021969601</v>
      </c>
      <c r="AG1058">
        <v>-1.060165342765</v>
      </c>
      <c r="AH1058">
        <v>33.311901868478699</v>
      </c>
      <c r="AI1058">
        <v>91.821466131622202</v>
      </c>
      <c r="AJ1058">
        <v>87.768841714505996</v>
      </c>
      <c r="AK1058">
        <v>33.354028076503198</v>
      </c>
      <c r="AL1058">
        <v>72.736540345210997</v>
      </c>
      <c r="AM1058">
        <v>94.463847043719298</v>
      </c>
      <c r="AN1058">
        <v>0.99999994749898602</v>
      </c>
    </row>
    <row r="1059" spans="1:40" x14ac:dyDescent="0.25">
      <c r="A1059" t="str">
        <f>"20190304164115628"</f>
        <v>20190304164115628</v>
      </c>
      <c r="B1059" t="str">
        <f>"1551688875622764"</f>
        <v>1551688875622764</v>
      </c>
      <c r="C1059" t="s">
        <v>40</v>
      </c>
      <c r="D1059">
        <v>4.3061759999999998</v>
      </c>
      <c r="E1059">
        <v>0.55497249999999998</v>
      </c>
      <c r="F1059" t="s">
        <v>42</v>
      </c>
      <c r="G1059">
        <v>-264.15899999999999</v>
      </c>
      <c r="H1059" s="1">
        <v>-3.1744539999999998E-6</v>
      </c>
      <c r="I1059">
        <v>365.74689999999998</v>
      </c>
      <c r="J1059">
        <v>-296.9366</v>
      </c>
      <c r="K1059">
        <v>1.0601590000000001</v>
      </c>
      <c r="L1059">
        <v>367.16930000000002</v>
      </c>
      <c r="M1059">
        <v>0.9999112</v>
      </c>
      <c r="N1059">
        <v>-1.2499659999999999E-2</v>
      </c>
      <c r="O1059">
        <v>-4.6450099999999998E-3</v>
      </c>
      <c r="P1059">
        <v>0.95593209999999995</v>
      </c>
      <c r="Q1059">
        <v>0.28512320000000002</v>
      </c>
      <c r="R1059">
        <v>6.9993150000000004E-2</v>
      </c>
      <c r="S1059">
        <v>3.1784669999999999</v>
      </c>
      <c r="T1059">
        <v>-0.10223640000000001</v>
      </c>
      <c r="U1059">
        <v>-0.13723750000000001</v>
      </c>
      <c r="V1059">
        <v>-7.4450630000000004E-2</v>
      </c>
      <c r="W1059">
        <v>0.2970409</v>
      </c>
      <c r="X1059">
        <v>0.95195790000000002</v>
      </c>
      <c r="Y1059">
        <v>3.8468879999999997E-2</v>
      </c>
      <c r="Z1059">
        <v>-7.6759859999999997E-4</v>
      </c>
      <c r="AA1059">
        <v>0.99925949999999997</v>
      </c>
      <c r="AB1059">
        <v>36</v>
      </c>
      <c r="AC1059">
        <v>32.7776</v>
      </c>
      <c r="AD1059">
        <v>-1.060162174454</v>
      </c>
      <c r="AE1059">
        <v>-1.4224000000000301</v>
      </c>
      <c r="AF1059">
        <v>1.26879565002271</v>
      </c>
      <c r="AG1059">
        <v>-1.060162174454</v>
      </c>
      <c r="AH1059">
        <v>32.749657545270402</v>
      </c>
      <c r="AI1059">
        <v>91.852725512222406</v>
      </c>
      <c r="AJ1059">
        <v>87.781341780752399</v>
      </c>
      <c r="AK1059">
        <v>32.791368613861501</v>
      </c>
      <c r="AL1059">
        <v>72.720041217809893</v>
      </c>
      <c r="AM1059">
        <v>94.471880141222201</v>
      </c>
      <c r="AN1059">
        <v>1.0000000179763</v>
      </c>
    </row>
    <row r="1060" spans="1:40" x14ac:dyDescent="0.25">
      <c r="A1060" t="str">
        <f>"20190304164115639"</f>
        <v>20190304164115639</v>
      </c>
      <c r="B1060" t="str">
        <f>"1551688875632523"</f>
        <v>1551688875632523</v>
      </c>
      <c r="C1060" t="s">
        <v>40</v>
      </c>
      <c r="D1060">
        <v>4.2892640000000002</v>
      </c>
      <c r="E1060">
        <v>0.55492730000000001</v>
      </c>
      <c r="F1060" t="s">
        <v>42</v>
      </c>
      <c r="G1060">
        <v>-263.39870000000002</v>
      </c>
      <c r="H1060" s="1">
        <v>-3.504312E-6</v>
      </c>
      <c r="I1060">
        <v>365.72620000000001</v>
      </c>
      <c r="J1060">
        <v>-296.7441</v>
      </c>
      <c r="K1060">
        <v>1.060157</v>
      </c>
      <c r="L1060">
        <v>367.16840000000002</v>
      </c>
      <c r="M1060">
        <v>0.9999112</v>
      </c>
      <c r="N1060">
        <v>-1.249453E-2</v>
      </c>
      <c r="O1060">
        <v>-4.6239979999999998E-3</v>
      </c>
      <c r="P1060">
        <v>0.95590810000000004</v>
      </c>
      <c r="Q1060">
        <v>0.2851844</v>
      </c>
      <c r="R1060">
        <v>7.0070359999999998E-2</v>
      </c>
      <c r="S1060">
        <v>3.1783139999999999</v>
      </c>
      <c r="T1060">
        <v>-0.1004689</v>
      </c>
      <c r="U1060">
        <v>-0.13674929999999999</v>
      </c>
      <c r="V1060">
        <v>-7.4507359999999995E-2</v>
      </c>
      <c r="W1060">
        <v>0.2970969</v>
      </c>
      <c r="X1060">
        <v>0.95193589999999995</v>
      </c>
      <c r="Y1060">
        <v>3.8339560000000002E-2</v>
      </c>
      <c r="Z1060">
        <v>-7.5694379999999999E-4</v>
      </c>
      <c r="AA1060">
        <v>0.9992645</v>
      </c>
      <c r="AB1060">
        <v>36</v>
      </c>
      <c r="AC1060">
        <v>33.345399999999898</v>
      </c>
      <c r="AD1060">
        <v>-1.0601605043119999</v>
      </c>
      <c r="AE1060">
        <v>-1.4422000000000099</v>
      </c>
      <c r="AF1060">
        <v>1.2866853005402199</v>
      </c>
      <c r="AG1060">
        <v>-1.0601605043119999</v>
      </c>
      <c r="AH1060">
        <v>33.318097180032801</v>
      </c>
      <c r="AI1060">
        <v>91.821143507464896</v>
      </c>
      <c r="AJ1060">
        <v>87.788438487632106</v>
      </c>
      <c r="AK1060">
        <v>33.359782658998903</v>
      </c>
      <c r="AL1060">
        <v>72.716679500922595</v>
      </c>
      <c r="AM1060">
        <v>94.475376800950997</v>
      </c>
      <c r="AN1060">
        <v>0.99999993619629202</v>
      </c>
    </row>
    <row r="1061" spans="1:40" x14ac:dyDescent="0.25">
      <c r="A1061" t="str">
        <f>"20190304164115649"</f>
        <v>20190304164115649</v>
      </c>
      <c r="B1061" t="str">
        <f>"1551688875642283"</f>
        <v>1551688875642283</v>
      </c>
      <c r="C1061" t="s">
        <v>40</v>
      </c>
      <c r="D1061">
        <v>4.3197530000000004</v>
      </c>
      <c r="E1061">
        <v>0.554953699999999</v>
      </c>
      <c r="F1061" t="s">
        <v>42</v>
      </c>
      <c r="G1061">
        <v>-263.4871</v>
      </c>
      <c r="H1061" s="1">
        <v>-3.4627829999999999E-6</v>
      </c>
      <c r="I1061">
        <v>365.74650000000003</v>
      </c>
      <c r="J1061">
        <v>-296.58620000000002</v>
      </c>
      <c r="K1061">
        <v>1.0601560000000001</v>
      </c>
      <c r="L1061">
        <v>367.16770000000002</v>
      </c>
      <c r="M1061">
        <v>0.99991129999999995</v>
      </c>
      <c r="N1061">
        <v>-1.2490619999999999E-2</v>
      </c>
      <c r="O1061">
        <v>-4.6081280000000004E-3</v>
      </c>
      <c r="P1061">
        <v>0.95591660000000001</v>
      </c>
      <c r="Q1061">
        <v>0.28515030000000002</v>
      </c>
      <c r="R1061">
        <v>7.0090230000000003E-2</v>
      </c>
      <c r="S1061">
        <v>3.178528</v>
      </c>
      <c r="T1061">
        <v>-0.1013242</v>
      </c>
      <c r="U1061">
        <v>-0.13589479999999901</v>
      </c>
      <c r="V1061">
        <v>-7.4511430000000003E-2</v>
      </c>
      <c r="W1061">
        <v>0.29705999999999999</v>
      </c>
      <c r="X1061">
        <v>0.95194719999999999</v>
      </c>
      <c r="Y1061">
        <v>3.808421E-2</v>
      </c>
      <c r="Z1061">
        <v>-7.5537619999999897E-4</v>
      </c>
      <c r="AA1061">
        <v>0.99927429999999995</v>
      </c>
      <c r="AB1061">
        <v>36</v>
      </c>
      <c r="AC1061">
        <v>33.0991</v>
      </c>
      <c r="AD1061">
        <v>-1.06015946278299</v>
      </c>
      <c r="AE1061">
        <v>-1.42119999999999</v>
      </c>
      <c r="AF1061">
        <v>1.26735031132909</v>
      </c>
      <c r="AG1061">
        <v>-1.06015946278299</v>
      </c>
      <c r="AH1061">
        <v>33.071432163956601</v>
      </c>
      <c r="AI1061">
        <v>91.834736441516696</v>
      </c>
      <c r="AJ1061">
        <v>87.805407719628207</v>
      </c>
      <c r="AK1061">
        <v>33.112682468705799</v>
      </c>
      <c r="AL1061">
        <v>72.718895425456907</v>
      </c>
      <c r="AM1061">
        <v>94.475567365720096</v>
      </c>
      <c r="AN1061">
        <v>1.0000000341942401</v>
      </c>
    </row>
    <row r="1062" spans="1:40" x14ac:dyDescent="0.25">
      <c r="A1062" t="str">
        <f>"20190304164115659"</f>
        <v>20190304164115659</v>
      </c>
      <c r="B1062" t="str">
        <f>"1551688875652044"</f>
        <v>1551688875652044</v>
      </c>
      <c r="C1062" t="s">
        <v>40</v>
      </c>
      <c r="D1062">
        <v>4.3191389999999998</v>
      </c>
      <c r="E1062">
        <v>0.5549963</v>
      </c>
      <c r="F1062" t="s">
        <v>42</v>
      </c>
      <c r="G1062">
        <v>-263.41759999999999</v>
      </c>
      <c r="H1062" s="1">
        <v>-3.4923279999999999E-6</v>
      </c>
      <c r="I1062">
        <v>365.74799999999999</v>
      </c>
      <c r="J1062">
        <v>-296.41199999999998</v>
      </c>
      <c r="K1062">
        <v>1.0601529999999999</v>
      </c>
      <c r="L1062">
        <v>367.1669</v>
      </c>
      <c r="M1062">
        <v>0.99991160000000001</v>
      </c>
      <c r="N1062">
        <v>-1.248642E-2</v>
      </c>
      <c r="O1062">
        <v>-4.5909480000000001E-3</v>
      </c>
      <c r="P1062">
        <v>0.95582540000000005</v>
      </c>
      <c r="Q1062">
        <v>0.28536539999999999</v>
      </c>
      <c r="R1062">
        <v>7.0459209999999994E-2</v>
      </c>
      <c r="S1062">
        <v>3.1786500000000002</v>
      </c>
      <c r="T1062">
        <v>-0.1015983</v>
      </c>
      <c r="U1062">
        <v>-0.13604740000000001</v>
      </c>
      <c r="V1062">
        <v>-7.4863079999999999E-2</v>
      </c>
      <c r="W1062">
        <v>0.29726989999999998</v>
      </c>
      <c r="X1062">
        <v>0.95185410000000004</v>
      </c>
      <c r="Y1062">
        <v>3.8147470000000003E-2</v>
      </c>
      <c r="Z1062">
        <v>-7.5824179999999896E-4</v>
      </c>
      <c r="AA1062">
        <v>0.99927180000000004</v>
      </c>
      <c r="AB1062">
        <v>36</v>
      </c>
      <c r="AC1062">
        <v>32.994399999999999</v>
      </c>
      <c r="AD1062">
        <v>-1.060156492328</v>
      </c>
      <c r="AE1062">
        <v>-1.4188999999999501</v>
      </c>
      <c r="AF1062">
        <v>1.2660929390548801</v>
      </c>
      <c r="AG1062">
        <v>-1.060156492328</v>
      </c>
      <c r="AH1062">
        <v>32.966594055234602</v>
      </c>
      <c r="AI1062">
        <v>91.840556085269</v>
      </c>
      <c r="AJ1062">
        <v>87.800617569059995</v>
      </c>
      <c r="AK1062">
        <v>33.007927028536301</v>
      </c>
      <c r="AL1062">
        <v>72.706300359466994</v>
      </c>
      <c r="AM1062">
        <v>94.497040987687797</v>
      </c>
      <c r="AN1062">
        <v>1.00000005093995</v>
      </c>
    </row>
    <row r="1063" spans="1:40" x14ac:dyDescent="0.25">
      <c r="A1063" t="str">
        <f>"20190304164115669"</f>
        <v>20190304164115669</v>
      </c>
      <c r="B1063" t="str">
        <f>"1551688875661803"</f>
        <v>1551688875661803</v>
      </c>
      <c r="C1063" t="s">
        <v>40</v>
      </c>
      <c r="D1063">
        <v>4.2820010000000002</v>
      </c>
      <c r="E1063">
        <v>0.55499359999999998</v>
      </c>
      <c r="F1063" t="s">
        <v>42</v>
      </c>
      <c r="G1063">
        <v>-263.08330000000001</v>
      </c>
      <c r="H1063" s="1">
        <v>-3.6357810000000001E-6</v>
      </c>
      <c r="I1063">
        <v>365.74779999999998</v>
      </c>
      <c r="J1063">
        <v>-296.25920000000002</v>
      </c>
      <c r="K1063">
        <v>1.0601480000000001</v>
      </c>
      <c r="L1063">
        <v>367.1662</v>
      </c>
      <c r="M1063">
        <v>0.99991169999999996</v>
      </c>
      <c r="N1063">
        <v>-1.2483009999999999E-2</v>
      </c>
      <c r="O1063">
        <v>-4.5770000000000003E-3</v>
      </c>
      <c r="P1063">
        <v>0.95580969999999998</v>
      </c>
      <c r="Q1063">
        <v>0.28537040000000002</v>
      </c>
      <c r="R1063">
        <v>7.0654179999999997E-2</v>
      </c>
      <c r="S1063">
        <v>3.178833</v>
      </c>
      <c r="T1063">
        <v>-0.1011155</v>
      </c>
      <c r="U1063">
        <v>-0.13534549999999901</v>
      </c>
      <c r="V1063">
        <v>-7.5043700000000005E-2</v>
      </c>
      <c r="W1063">
        <v>0.29727130000000002</v>
      </c>
      <c r="X1063">
        <v>0.9518394</v>
      </c>
      <c r="Y1063">
        <v>3.7939059999999997E-2</v>
      </c>
      <c r="Z1063">
        <v>-7.5159330000000005E-4</v>
      </c>
      <c r="AA1063">
        <v>0.99927980000000005</v>
      </c>
      <c r="AB1063">
        <v>36</v>
      </c>
      <c r="AC1063">
        <v>33.175899999999999</v>
      </c>
      <c r="AD1063">
        <v>-1.0601516357809999</v>
      </c>
      <c r="AE1063">
        <v>-1.4184000000000101</v>
      </c>
      <c r="AF1063">
        <v>1.2652375850173601</v>
      </c>
      <c r="AG1063">
        <v>-1.0601516357809999</v>
      </c>
      <c r="AH1063">
        <v>33.148257305325401</v>
      </c>
      <c r="AI1063">
        <v>91.830484263343294</v>
      </c>
      <c r="AJ1063">
        <v>87.814135463150393</v>
      </c>
      <c r="AK1063">
        <v>33.1893312680061</v>
      </c>
      <c r="AL1063">
        <v>72.706215671611503</v>
      </c>
      <c r="AM1063">
        <v>94.507915535172302</v>
      </c>
      <c r="AN1063">
        <v>1.0000000130528699</v>
      </c>
    </row>
    <row r="1064" spans="1:40" x14ac:dyDescent="0.25">
      <c r="A1064" t="str">
        <f>"20190304164115680"</f>
        <v>20190304164115680</v>
      </c>
      <c r="B1064" t="str">
        <f>"1551688875672540"</f>
        <v>1551688875672540</v>
      </c>
      <c r="C1064" t="s">
        <v>40</v>
      </c>
      <c r="D1064">
        <v>4.320049</v>
      </c>
      <c r="E1064">
        <v>0.55504039999999999</v>
      </c>
      <c r="F1064" t="s">
        <v>42</v>
      </c>
      <c r="G1064">
        <v>-262.89760000000001</v>
      </c>
      <c r="H1064" s="1">
        <v>-3.714802E-6</v>
      </c>
      <c r="I1064">
        <v>365.75150000000002</v>
      </c>
      <c r="J1064">
        <v>-296.08760000000001</v>
      </c>
      <c r="K1064">
        <v>1.0601449999999999</v>
      </c>
      <c r="L1064">
        <v>367.16539999999998</v>
      </c>
      <c r="M1064">
        <v>0.99991180000000002</v>
      </c>
      <c r="N1064">
        <v>-1.2479250000000001E-2</v>
      </c>
      <c r="O1064">
        <v>-4.5616240000000002E-3</v>
      </c>
      <c r="P1064">
        <v>0.95578090000000004</v>
      </c>
      <c r="Q1064">
        <v>0.2854257</v>
      </c>
      <c r="R1064">
        <v>7.0820149999999998E-2</v>
      </c>
      <c r="S1064">
        <v>3.1788639999999999</v>
      </c>
      <c r="T1064">
        <v>-0.1010165</v>
      </c>
      <c r="U1064">
        <v>-0.1347961</v>
      </c>
      <c r="V1064">
        <v>-7.519402E-2</v>
      </c>
      <c r="W1064">
        <v>0.29732320000000001</v>
      </c>
      <c r="X1064">
        <v>0.95181130000000003</v>
      </c>
      <c r="Y1064">
        <v>3.7781799999999997E-2</v>
      </c>
      <c r="Z1064">
        <v>-7.4787129999999999E-4</v>
      </c>
      <c r="AA1064">
        <v>0.9992858</v>
      </c>
      <c r="AB1064">
        <v>36</v>
      </c>
      <c r="AC1064">
        <v>33.19</v>
      </c>
      <c r="AD1064">
        <v>-1.0601487148019999</v>
      </c>
      <c r="AE1064">
        <v>-1.41389999999995</v>
      </c>
      <c r="AF1064">
        <v>1.26118877362807</v>
      </c>
      <c r="AG1064">
        <v>-1.0601487148019999</v>
      </c>
      <c r="AH1064">
        <v>33.162331261932003</v>
      </c>
      <c r="AI1064">
        <v>91.829712523540806</v>
      </c>
      <c r="AJ1064">
        <v>87.822047380756899</v>
      </c>
      <c r="AK1064">
        <v>33.203233685084598</v>
      </c>
      <c r="AL1064">
        <v>72.703100759101005</v>
      </c>
      <c r="AM1064">
        <v>94.517040808362296</v>
      </c>
      <c r="AN1064">
        <v>0.99999998835484505</v>
      </c>
    </row>
    <row r="1065" spans="1:40" x14ac:dyDescent="0.25">
      <c r="A1065" t="str">
        <f>"20190304164115691"</f>
        <v>20190304164115691</v>
      </c>
      <c r="B1065" t="str">
        <f>"1551688875682300"</f>
        <v>1551688875682300</v>
      </c>
      <c r="C1065" t="s">
        <v>40</v>
      </c>
      <c r="D1065">
        <v>4.3214940000000004</v>
      </c>
      <c r="E1065">
        <v>0.55506469999999997</v>
      </c>
      <c r="F1065" t="s">
        <v>42</v>
      </c>
      <c r="G1065">
        <v>-262.68740000000003</v>
      </c>
      <c r="H1065" s="1">
        <v>-3.8050309999999998E-6</v>
      </c>
      <c r="I1065">
        <v>365.75099999999998</v>
      </c>
      <c r="J1065">
        <v>-295.92070000000001</v>
      </c>
      <c r="K1065">
        <v>1.060141</v>
      </c>
      <c r="L1065">
        <v>367.16469999999998</v>
      </c>
      <c r="M1065">
        <v>0.99991200000000002</v>
      </c>
      <c r="N1065">
        <v>-1.24759E-2</v>
      </c>
      <c r="O1065">
        <v>-4.5497189999999998E-3</v>
      </c>
      <c r="P1065">
        <v>0.955758</v>
      </c>
      <c r="Q1065">
        <v>0.28544039999999998</v>
      </c>
      <c r="R1065">
        <v>7.1067119999999998E-2</v>
      </c>
      <c r="S1065">
        <v>3.178925</v>
      </c>
      <c r="T1065">
        <v>-0.1009014</v>
      </c>
      <c r="U1065">
        <v>-0.13461300000000001</v>
      </c>
      <c r="V1065">
        <v>-7.5427460000000002E-2</v>
      </c>
      <c r="W1065">
        <v>0.29733500000000002</v>
      </c>
      <c r="X1065">
        <v>0.95178910000000005</v>
      </c>
      <c r="Y1065">
        <v>3.773551E-2</v>
      </c>
      <c r="Z1065">
        <v>-7.4647179999999904E-4</v>
      </c>
      <c r="AA1065">
        <v>0.9992875</v>
      </c>
      <c r="AB1065">
        <v>36</v>
      </c>
      <c r="AC1065">
        <v>33.2332999999999</v>
      </c>
      <c r="AD1065">
        <v>-1.0601448050309901</v>
      </c>
      <c r="AE1065">
        <v>-1.4137</v>
      </c>
      <c r="AF1065">
        <v>1.2611903599354599</v>
      </c>
      <c r="AG1065">
        <v>-1.0601448050309901</v>
      </c>
      <c r="AH1065">
        <v>33.205658881039298</v>
      </c>
      <c r="AI1065">
        <v>91.827323387257906</v>
      </c>
      <c r="AJ1065">
        <v>87.824883766141795</v>
      </c>
      <c r="AK1065">
        <v>33.2465079347526</v>
      </c>
      <c r="AL1065">
        <v>72.702391913920493</v>
      </c>
      <c r="AM1065">
        <v>94.531110912273206</v>
      </c>
      <c r="AN1065">
        <v>0.99999994741292897</v>
      </c>
    </row>
    <row r="1066" spans="1:40" x14ac:dyDescent="0.25">
      <c r="A1066" t="str">
        <f>"20190304164115701"</f>
        <v>20190304164115701</v>
      </c>
      <c r="B1066" t="str">
        <f>"1551688875692059"</f>
        <v>1551688875692059</v>
      </c>
      <c r="C1066" t="s">
        <v>40</v>
      </c>
      <c r="D1066">
        <v>4.2994760000000003</v>
      </c>
      <c r="E1066">
        <v>0.55511499999999903</v>
      </c>
      <c r="F1066" t="s">
        <v>42</v>
      </c>
      <c r="G1066">
        <v>-262.50119999999998</v>
      </c>
      <c r="H1066" s="1">
        <v>-3.884462E-6</v>
      </c>
      <c r="I1066">
        <v>365.75360000000001</v>
      </c>
      <c r="J1066">
        <v>-295.74790000000002</v>
      </c>
      <c r="K1066">
        <v>1.0601449999999999</v>
      </c>
      <c r="L1066">
        <v>367.16390000000001</v>
      </c>
      <c r="M1066">
        <v>0.99991200000000002</v>
      </c>
      <c r="N1066">
        <v>-1.2472489999999999E-2</v>
      </c>
      <c r="O1066">
        <v>-4.5376970000000003E-3</v>
      </c>
      <c r="P1066">
        <v>0.95575569999999999</v>
      </c>
      <c r="Q1066">
        <v>0.28539690000000001</v>
      </c>
      <c r="R1066">
        <v>7.1272299999999997E-2</v>
      </c>
      <c r="S1066">
        <v>3.1789550000000002</v>
      </c>
      <c r="T1066">
        <v>-0.1008438</v>
      </c>
      <c r="U1066">
        <v>-0.13421629999999901</v>
      </c>
      <c r="V1066">
        <v>-7.5619220000000001E-2</v>
      </c>
      <c r="W1066">
        <v>0.29728860000000001</v>
      </c>
      <c r="X1066">
        <v>0.95178839999999998</v>
      </c>
      <c r="Y1066">
        <v>3.7622740000000002E-2</v>
      </c>
      <c r="Z1066">
        <v>-7.4386889999999897E-4</v>
      </c>
      <c r="AA1066">
        <v>0.9992917</v>
      </c>
      <c r="AB1066">
        <v>36</v>
      </c>
      <c r="AC1066">
        <v>33.246699999999997</v>
      </c>
      <c r="AD1066">
        <v>-1.060148884462</v>
      </c>
      <c r="AE1066">
        <v>-1.4103000000000001</v>
      </c>
      <c r="AF1066">
        <v>1.25813332830369</v>
      </c>
      <c r="AG1066">
        <v>-1.060148884462</v>
      </c>
      <c r="AH1066">
        <v>33.219041133231201</v>
      </c>
      <c r="AI1066">
        <v>91.826602194598806</v>
      </c>
      <c r="AJ1066">
        <v>87.831024326460394</v>
      </c>
      <c r="AK1066">
        <v>33.2597581010494</v>
      </c>
      <c r="AL1066">
        <v>72.705176720887593</v>
      </c>
      <c r="AM1066">
        <v>94.542585577194302</v>
      </c>
      <c r="AN1066">
        <v>0.99999996824896298</v>
      </c>
    </row>
    <row r="1067" spans="1:40" x14ac:dyDescent="0.25">
      <c r="A1067" t="str">
        <f>"20190304164115711"</f>
        <v>20190304164115711</v>
      </c>
      <c r="B1067" t="str">
        <f>"1551688875701820"</f>
        <v>1551688875701820</v>
      </c>
      <c r="C1067" t="s">
        <v>40</v>
      </c>
      <c r="D1067">
        <v>4.30037</v>
      </c>
      <c r="E1067">
        <v>0.55511509999999997</v>
      </c>
      <c r="F1067" t="s">
        <v>42</v>
      </c>
      <c r="G1067">
        <v>-262.30520000000001</v>
      </c>
      <c r="H1067" s="1">
        <v>-3.9683650000000001E-6</v>
      </c>
      <c r="I1067">
        <v>365.75450000000001</v>
      </c>
      <c r="J1067">
        <v>-295.58300000000003</v>
      </c>
      <c r="K1067">
        <v>1.060141</v>
      </c>
      <c r="L1067">
        <v>367.16320000000002</v>
      </c>
      <c r="M1067">
        <v>0.99991209999999997</v>
      </c>
      <c r="N1067">
        <v>-1.2469579999999999E-2</v>
      </c>
      <c r="O1067">
        <v>-4.5301009999999999E-3</v>
      </c>
      <c r="P1067">
        <v>0.95574000000000003</v>
      </c>
      <c r="Q1067">
        <v>0.28541169999999999</v>
      </c>
      <c r="R1067">
        <v>7.1425199999999994E-2</v>
      </c>
      <c r="S1067">
        <v>3.1789860000000001</v>
      </c>
      <c r="T1067">
        <v>-0.1007754</v>
      </c>
      <c r="U1067">
        <v>-0.13397220000000001</v>
      </c>
      <c r="V1067">
        <v>-7.5762789999999997E-2</v>
      </c>
      <c r="W1067">
        <v>0.29730079999999998</v>
      </c>
      <c r="X1067">
        <v>0.95177319999999999</v>
      </c>
      <c r="Y1067">
        <v>3.7553400000000001E-2</v>
      </c>
      <c r="Z1067">
        <v>-7.4210509999999999E-4</v>
      </c>
      <c r="AA1067">
        <v>0.99929429999999997</v>
      </c>
      <c r="AB1067">
        <v>36</v>
      </c>
      <c r="AC1067">
        <v>33.2777999999999</v>
      </c>
      <c r="AD1067">
        <v>-1.0601449683649999</v>
      </c>
      <c r="AE1067">
        <v>-1.4087000000000101</v>
      </c>
      <c r="AF1067">
        <v>1.2566489570983801</v>
      </c>
      <c r="AG1067">
        <v>-1.0601449683649999</v>
      </c>
      <c r="AH1067">
        <v>33.250155464852497</v>
      </c>
      <c r="AI1067">
        <v>91.824892861583706</v>
      </c>
      <c r="AJ1067">
        <v>87.835606218356205</v>
      </c>
      <c r="AK1067">
        <v>33.290778188444101</v>
      </c>
      <c r="AL1067">
        <v>72.704445090190802</v>
      </c>
      <c r="AM1067">
        <v>94.551246270537305</v>
      </c>
      <c r="AN1067">
        <v>0.99999999513373194</v>
      </c>
    </row>
    <row r="1068" spans="1:40" x14ac:dyDescent="0.25">
      <c r="A1068" t="str">
        <f>"20190304164115723"</f>
        <v>20190304164115723</v>
      </c>
      <c r="B1068" t="str">
        <f>"1551688875712556"</f>
        <v>1551688875712556</v>
      </c>
      <c r="C1068" t="s">
        <v>40</v>
      </c>
      <c r="D1068">
        <v>4.3192830000000004</v>
      </c>
      <c r="E1068">
        <v>0.55512240000000002</v>
      </c>
      <c r="F1068" t="s">
        <v>42</v>
      </c>
      <c r="G1068">
        <v>-262.21129999999999</v>
      </c>
      <c r="H1068" s="1">
        <v>-4.0074489999999998E-6</v>
      </c>
      <c r="I1068">
        <v>365.76130000000001</v>
      </c>
      <c r="J1068">
        <v>-295.4085</v>
      </c>
      <c r="K1068">
        <v>1.060136</v>
      </c>
      <c r="L1068">
        <v>367.16239999999999</v>
      </c>
      <c r="M1068">
        <v>0.99991209999999997</v>
      </c>
      <c r="N1068">
        <v>-1.246653E-2</v>
      </c>
      <c r="O1068">
        <v>-4.5226270000000004E-3</v>
      </c>
      <c r="P1068">
        <v>0.95573229999999998</v>
      </c>
      <c r="Q1068">
        <v>0.28543010000000002</v>
      </c>
      <c r="R1068">
        <v>7.1454630000000005E-2</v>
      </c>
      <c r="S1068">
        <v>3.1790769999999999</v>
      </c>
      <c r="T1068">
        <v>-0.1009922</v>
      </c>
      <c r="U1068">
        <v>-0.13354489999999999</v>
      </c>
      <c r="V1068">
        <v>-7.5781899999999999E-2</v>
      </c>
      <c r="W1068">
        <v>0.29731729999999901</v>
      </c>
      <c r="X1068">
        <v>0.95176660000000002</v>
      </c>
      <c r="Y1068">
        <v>3.7425600000000003E-2</v>
      </c>
      <c r="Z1068">
        <v>-7.4031089999999997E-4</v>
      </c>
      <c r="AA1068">
        <v>0.99929920000000005</v>
      </c>
      <c r="AB1068">
        <v>36</v>
      </c>
      <c r="AC1068">
        <v>33.197200000000002</v>
      </c>
      <c r="AD1068">
        <v>-1.0601400074489999</v>
      </c>
      <c r="AE1068">
        <v>-1.40109999999998</v>
      </c>
      <c r="AF1068">
        <v>1.2496632874643401</v>
      </c>
      <c r="AG1068">
        <v>-1.0601400074489999</v>
      </c>
      <c r="AH1068">
        <v>33.169430878409003</v>
      </c>
      <c r="AI1068">
        <v>91.829330714184906</v>
      </c>
      <c r="AJ1068">
        <v>87.842393367759698</v>
      </c>
      <c r="AK1068">
        <v>33.209888587060703</v>
      </c>
      <c r="AL1068">
        <v>72.703456219673498</v>
      </c>
      <c r="AM1068">
        <v>94.552420863479199</v>
      </c>
      <c r="AN1068">
        <v>1.0000000670612199</v>
      </c>
    </row>
    <row r="1069" spans="1:40" x14ac:dyDescent="0.25">
      <c r="A1069" t="str">
        <f>"20190304164115734"</f>
        <v>20190304164115734</v>
      </c>
      <c r="B1069" t="str">
        <f>"1551688875722315"</f>
        <v>1551688875722315</v>
      </c>
      <c r="C1069" t="s">
        <v>40</v>
      </c>
      <c r="D1069">
        <v>4.2906339999999998</v>
      </c>
      <c r="E1069">
        <v>0.55517019999999995</v>
      </c>
      <c r="F1069" t="s">
        <v>42</v>
      </c>
      <c r="G1069">
        <v>-262.14249999999998</v>
      </c>
      <c r="H1069" s="1">
        <v>-4.0356279999999999E-6</v>
      </c>
      <c r="I1069">
        <v>365.7688</v>
      </c>
      <c r="J1069">
        <v>-295.2355</v>
      </c>
      <c r="K1069">
        <v>1.0601339999999999</v>
      </c>
      <c r="L1069">
        <v>367.16160000000002</v>
      </c>
      <c r="M1069">
        <v>0.99991209999999997</v>
      </c>
      <c r="N1069">
        <v>-1.2463719999999999E-2</v>
      </c>
      <c r="O1069">
        <v>-4.5180159999999997E-3</v>
      </c>
      <c r="P1069">
        <v>0.95575180000000004</v>
      </c>
      <c r="Q1069">
        <v>0.28533849999999999</v>
      </c>
      <c r="R1069">
        <v>7.1557270000000006E-2</v>
      </c>
      <c r="S1069">
        <v>3.17923</v>
      </c>
      <c r="T1069">
        <v>-0.1013175</v>
      </c>
      <c r="U1069">
        <v>-0.13317870000000001</v>
      </c>
      <c r="V1069">
        <v>-7.5877699999999895E-2</v>
      </c>
      <c r="W1069">
        <v>0.29722349999999997</v>
      </c>
      <c r="X1069">
        <v>0.95178819999999997</v>
      </c>
      <c r="Y1069">
        <v>3.7313230000000003E-2</v>
      </c>
      <c r="Z1069">
        <v>-7.3927429999999896E-4</v>
      </c>
      <c r="AA1069">
        <v>0.99930330000000001</v>
      </c>
      <c r="AB1069">
        <v>36</v>
      </c>
      <c r="AC1069">
        <v>33.093000000000004</v>
      </c>
      <c r="AD1069">
        <v>-1.0601380356279999</v>
      </c>
      <c r="AE1069">
        <v>-1.39280000000002</v>
      </c>
      <c r="AF1069">
        <v>1.2419871281209101</v>
      </c>
      <c r="AG1069">
        <v>-1.0601380356279999</v>
      </c>
      <c r="AH1069">
        <v>33.065082380870301</v>
      </c>
      <c r="AI1069">
        <v>91.835104260776404</v>
      </c>
      <c r="AJ1069">
        <v>87.848873279936598</v>
      </c>
      <c r="AK1069">
        <v>33.105378679826998</v>
      </c>
      <c r="AL1069">
        <v>72.7090839334804</v>
      </c>
      <c r="AM1069">
        <v>94.558048581616006</v>
      </c>
      <c r="AN1069">
        <v>1.0000000059843801</v>
      </c>
    </row>
    <row r="1070" spans="1:40" x14ac:dyDescent="0.25">
      <c r="A1070" t="str">
        <f>"20190304164115745"</f>
        <v>20190304164115745</v>
      </c>
      <c r="B1070" t="str">
        <f>"1551688875732075"</f>
        <v>1551688875732075</v>
      </c>
      <c r="C1070" t="s">
        <v>40</v>
      </c>
      <c r="D1070">
        <v>4.3024329999999997</v>
      </c>
      <c r="E1070">
        <v>0.55520609999999904</v>
      </c>
      <c r="F1070" t="s">
        <v>42</v>
      </c>
      <c r="G1070">
        <v>-262.02550000000002</v>
      </c>
      <c r="H1070" s="1">
        <v>-4.0860009999999997E-6</v>
      </c>
      <c r="I1070">
        <v>365.76780000000002</v>
      </c>
      <c r="J1070">
        <v>-295.04649999999998</v>
      </c>
      <c r="K1070">
        <v>1.0601309999999999</v>
      </c>
      <c r="L1070">
        <v>367.16079999999999</v>
      </c>
      <c r="M1070">
        <v>0.99991229999999998</v>
      </c>
      <c r="N1070">
        <v>-1.2460769999999999E-2</v>
      </c>
      <c r="O1070">
        <v>-4.5138849999999996E-3</v>
      </c>
      <c r="P1070">
        <v>0.95578929999999995</v>
      </c>
      <c r="Q1070">
        <v>0.2851689</v>
      </c>
      <c r="R1070">
        <v>7.1732400000000002E-2</v>
      </c>
      <c r="S1070">
        <v>3.1791689999999999</v>
      </c>
      <c r="T1070">
        <v>-0.1014861</v>
      </c>
      <c r="U1070">
        <v>-0.13342290000000001</v>
      </c>
      <c r="V1070">
        <v>-7.6046230000000006E-2</v>
      </c>
      <c r="W1070">
        <v>0.2970527</v>
      </c>
      <c r="X1070">
        <v>0.95182809999999995</v>
      </c>
      <c r="Y1070">
        <v>3.7394650000000001E-2</v>
      </c>
      <c r="Z1070">
        <v>-7.4184969999999996E-4</v>
      </c>
      <c r="AA1070">
        <v>0.99930030000000003</v>
      </c>
      <c r="AB1070">
        <v>36</v>
      </c>
      <c r="AC1070">
        <v>33.020999999999901</v>
      </c>
      <c r="AD1070">
        <v>-1.0601350860009999</v>
      </c>
      <c r="AE1070">
        <v>-1.39299999999997</v>
      </c>
      <c r="AF1070">
        <v>1.24264271047023</v>
      </c>
      <c r="AG1070">
        <v>-1.0601350860009999</v>
      </c>
      <c r="AH1070">
        <v>32.993005631697102</v>
      </c>
      <c r="AI1070">
        <v>91.839098342739504</v>
      </c>
      <c r="AJ1070">
        <v>87.843041467911505</v>
      </c>
      <c r="AK1070">
        <v>33.033414415098697</v>
      </c>
      <c r="AL1070">
        <v>72.719333450603699</v>
      </c>
      <c r="AM1070">
        <v>94.567938862289594</v>
      </c>
      <c r="AN1070">
        <v>1.00000003381205</v>
      </c>
    </row>
    <row r="1071" spans="1:40" x14ac:dyDescent="0.25">
      <c r="A1071" t="str">
        <f>"20190304164115756"</f>
        <v>20190304164115756</v>
      </c>
      <c r="B1071" t="str">
        <f>"1551688875752571"</f>
        <v>1551688875752571</v>
      </c>
      <c r="C1071" t="s">
        <v>40</v>
      </c>
      <c r="D1071">
        <v>4.2760889999999998</v>
      </c>
      <c r="E1071">
        <v>0.55513480000000004</v>
      </c>
      <c r="F1071" t="s">
        <v>42</v>
      </c>
      <c r="G1071">
        <v>-261.86020000000002</v>
      </c>
      <c r="H1071" s="1">
        <v>-4.1571929999999998E-6</v>
      </c>
      <c r="I1071">
        <v>365.76639999999998</v>
      </c>
      <c r="J1071">
        <v>-294.85899999999998</v>
      </c>
      <c r="K1071">
        <v>1.060127</v>
      </c>
      <c r="L1071">
        <v>367.15989999999999</v>
      </c>
      <c r="M1071">
        <v>0.99991229999999998</v>
      </c>
      <c r="N1071">
        <v>-1.245812E-2</v>
      </c>
      <c r="O1071">
        <v>-4.5114179999999997E-3</v>
      </c>
      <c r="P1071">
        <v>0.95575319999999997</v>
      </c>
      <c r="Q1071">
        <v>0.28522199999999998</v>
      </c>
      <c r="R1071">
        <v>7.2003769999999995E-2</v>
      </c>
      <c r="S1071">
        <v>3.1790769999999999</v>
      </c>
      <c r="T1071">
        <v>-0.1015552</v>
      </c>
      <c r="U1071">
        <v>-0.13357539999999901</v>
      </c>
      <c r="V1071">
        <v>-7.6312759999999993E-2</v>
      </c>
      <c r="W1071">
        <v>0.29710330000000001</v>
      </c>
      <c r="X1071">
        <v>0.9517909</v>
      </c>
      <c r="Y1071">
        <v>3.7446130000000001E-2</v>
      </c>
      <c r="Z1071">
        <v>-7.4329979999999995E-4</v>
      </c>
      <c r="AA1071">
        <v>0.99929840000000003</v>
      </c>
      <c r="AB1071">
        <v>36</v>
      </c>
      <c r="AC1071">
        <v>32.998800000000003</v>
      </c>
      <c r="AD1071">
        <v>-1.0601311571930001</v>
      </c>
      <c r="AE1071">
        <v>-1.39350000000001</v>
      </c>
      <c r="AF1071">
        <v>1.24332194312858</v>
      </c>
      <c r="AG1071">
        <v>-1.0601311571930001</v>
      </c>
      <c r="AH1071">
        <v>32.970782626552698</v>
      </c>
      <c r="AI1071">
        <v>91.8403270835244</v>
      </c>
      <c r="AJ1071">
        <v>87.84041032895</v>
      </c>
      <c r="AK1071">
        <v>33.011244062169297</v>
      </c>
      <c r="AL1071">
        <v>72.716295941071294</v>
      </c>
      <c r="AM1071">
        <v>94.584059049159507</v>
      </c>
      <c r="AN1071">
        <v>0.99999996276625802</v>
      </c>
    </row>
    <row r="1072" spans="1:40" x14ac:dyDescent="0.25">
      <c r="A1072" t="str">
        <f>"20190304164115769"</f>
        <v>20190304164115769</v>
      </c>
      <c r="B1072" t="str">
        <f>"1551688875762333"</f>
        <v>1551688875762333</v>
      </c>
      <c r="C1072" t="s">
        <v>40</v>
      </c>
      <c r="D1072">
        <v>4.2622030000000004</v>
      </c>
      <c r="E1072">
        <v>0.55507039999999996</v>
      </c>
      <c r="F1072" t="s">
        <v>42</v>
      </c>
      <c r="G1072">
        <v>-261.27659999999997</v>
      </c>
      <c r="H1072" s="1">
        <v>-4.4080869999999996E-6</v>
      </c>
      <c r="I1072">
        <v>365.76319999999998</v>
      </c>
      <c r="J1072">
        <v>-294.67180000000002</v>
      </c>
      <c r="K1072">
        <v>1.060122</v>
      </c>
      <c r="L1072">
        <v>367.15910000000002</v>
      </c>
      <c r="M1072">
        <v>0.99991229999999998</v>
      </c>
      <c r="N1072">
        <v>-1.245564E-2</v>
      </c>
      <c r="O1072">
        <v>-4.5096579999999997E-3</v>
      </c>
      <c r="P1072">
        <v>0.95564819999999995</v>
      </c>
      <c r="Q1072">
        <v>0.28553620000000002</v>
      </c>
      <c r="R1072">
        <v>7.2148589999999999E-2</v>
      </c>
      <c r="S1072">
        <v>3.178833</v>
      </c>
      <c r="T1072">
        <v>-0.10034940000000001</v>
      </c>
      <c r="U1072">
        <v>-0.13220209999999999</v>
      </c>
      <c r="V1072">
        <v>-7.6452939999999997E-2</v>
      </c>
      <c r="W1072">
        <v>0.29741420000000002</v>
      </c>
      <c r="X1072">
        <v>0.95168260000000005</v>
      </c>
      <c r="Y1072">
        <v>3.7020940000000002E-2</v>
      </c>
      <c r="Z1072">
        <v>-7.2857059999999999E-4</v>
      </c>
      <c r="AA1072">
        <v>0.99931420000000004</v>
      </c>
      <c r="AB1072">
        <v>36</v>
      </c>
      <c r="AC1072">
        <v>33.395200000000003</v>
      </c>
      <c r="AD1072">
        <v>-1.0601264080869901</v>
      </c>
      <c r="AE1072">
        <v>-1.3959000000000299</v>
      </c>
      <c r="AF1072">
        <v>1.24402173536837</v>
      </c>
      <c r="AG1072">
        <v>-1.0601264080869901</v>
      </c>
      <c r="AH1072">
        <v>33.3675887799835</v>
      </c>
      <c r="AI1072">
        <v>91.818477708754699</v>
      </c>
      <c r="AJ1072">
        <v>87.864868253129899</v>
      </c>
      <c r="AK1072">
        <v>33.407595529598801</v>
      </c>
      <c r="AL1072">
        <v>72.697640275826998</v>
      </c>
      <c r="AM1072">
        <v>94.592963963589796</v>
      </c>
      <c r="AN1072">
        <v>1.0000000147695201</v>
      </c>
    </row>
    <row r="1073" spans="1:40" x14ac:dyDescent="0.25">
      <c r="A1073" t="str">
        <f>"20190304164115779"</f>
        <v>20190304164115779</v>
      </c>
      <c r="B1073" t="str">
        <f>"1551688875772092"</f>
        <v>1551688875772092</v>
      </c>
      <c r="C1073" t="s">
        <v>40</v>
      </c>
      <c r="D1073">
        <v>4.2591700000000001</v>
      </c>
      <c r="E1073">
        <v>0.55500760000000005</v>
      </c>
      <c r="F1073" t="s">
        <v>42</v>
      </c>
      <c r="G1073">
        <v>-260.4649</v>
      </c>
      <c r="H1073" s="1">
        <v>-4.760102E-6</v>
      </c>
      <c r="I1073">
        <v>365.74189999999999</v>
      </c>
      <c r="J1073">
        <v>-294.4896</v>
      </c>
      <c r="K1073">
        <v>1.0601210000000001</v>
      </c>
      <c r="L1073">
        <v>367.1583</v>
      </c>
      <c r="M1073">
        <v>0.99991229999999998</v>
      </c>
      <c r="N1073">
        <v>-1.245335E-2</v>
      </c>
      <c r="O1073">
        <v>-4.509084E-3</v>
      </c>
      <c r="P1073">
        <v>0.955592</v>
      </c>
      <c r="Q1073">
        <v>0.28567310000000001</v>
      </c>
      <c r="R1073">
        <v>7.2351589999999993E-2</v>
      </c>
      <c r="S1073">
        <v>3.1786189999999999</v>
      </c>
      <c r="T1073">
        <v>-9.8510269999999997E-2</v>
      </c>
      <c r="U1073">
        <v>-0.131683299999999</v>
      </c>
      <c r="V1073">
        <v>-7.6653789999999999E-2</v>
      </c>
      <c r="W1073">
        <v>0.29754849999999999</v>
      </c>
      <c r="X1073">
        <v>0.95162449999999998</v>
      </c>
      <c r="Y1073">
        <v>3.686234E-2</v>
      </c>
      <c r="Z1073">
        <v>-7.1702080000000002E-4</v>
      </c>
      <c r="AA1073">
        <v>0.99932010000000004</v>
      </c>
      <c r="AB1073">
        <v>36</v>
      </c>
      <c r="AC1073">
        <v>34.024700000000003</v>
      </c>
      <c r="AD1073">
        <v>-1.06012576010199</v>
      </c>
      <c r="AE1073">
        <v>-1.4164000000000101</v>
      </c>
      <c r="AF1073">
        <v>1.2617307131696001</v>
      </c>
      <c r="AG1073">
        <v>-1.06012576010199</v>
      </c>
      <c r="AH1073">
        <v>33.997793526135602</v>
      </c>
      <c r="AI1073">
        <v>91.784801442234397</v>
      </c>
      <c r="AJ1073">
        <v>87.874606696154402</v>
      </c>
      <c r="AK1073">
        <v>34.0377113752605</v>
      </c>
      <c r="AL1073">
        <v>72.689581221110899</v>
      </c>
      <c r="AM1073">
        <v>94.6052582810416</v>
      </c>
      <c r="AN1073">
        <v>1.00000005118693</v>
      </c>
    </row>
    <row r="1074" spans="1:40" x14ac:dyDescent="0.25">
      <c r="A1074" t="str">
        <f>"20190304164115793"</f>
        <v>20190304164115793</v>
      </c>
      <c r="B1074" t="str">
        <f>"1551688875781852"</f>
        <v>1551688875781852</v>
      </c>
      <c r="C1074" t="s">
        <v>40</v>
      </c>
      <c r="D1074">
        <v>4.2546390000000001</v>
      </c>
      <c r="E1074">
        <v>0.554948</v>
      </c>
      <c r="F1074" t="s">
        <v>42</v>
      </c>
      <c r="G1074">
        <v>-259.95319999999998</v>
      </c>
      <c r="H1074" s="1">
        <v>-1.033389E-6</v>
      </c>
      <c r="I1074">
        <v>365.74</v>
      </c>
      <c r="J1074">
        <v>-294.28489999999999</v>
      </c>
      <c r="K1074">
        <v>1.0601210000000001</v>
      </c>
      <c r="L1074">
        <v>367.15730000000002</v>
      </c>
      <c r="M1074">
        <v>0.99991240000000003</v>
      </c>
      <c r="N1074">
        <v>-1.2451E-2</v>
      </c>
      <c r="O1074">
        <v>-4.5095700000000001E-3</v>
      </c>
      <c r="P1074">
        <v>0.95554130000000004</v>
      </c>
      <c r="Q1074">
        <v>0.285850299999999</v>
      </c>
      <c r="R1074">
        <v>7.2322739999999996E-2</v>
      </c>
      <c r="S1074">
        <v>3.1784059999999998</v>
      </c>
      <c r="T1074">
        <v>-9.7563620000000004E-2</v>
      </c>
      <c r="U1074">
        <v>-0.13052369999999999</v>
      </c>
      <c r="V1074">
        <v>-7.6623549999999999E-2</v>
      </c>
      <c r="W1074">
        <v>0.29772340000000003</v>
      </c>
      <c r="X1074">
        <v>0.95157219999999998</v>
      </c>
      <c r="Y1074">
        <v>3.6501260000000001E-2</v>
      </c>
      <c r="Z1074">
        <v>-7.0505820000000001E-4</v>
      </c>
      <c r="AA1074">
        <v>0.99933340000000004</v>
      </c>
      <c r="AB1074">
        <v>36</v>
      </c>
      <c r="AC1074">
        <v>34.331699999999998</v>
      </c>
      <c r="AD1074">
        <v>-1.06012203338899</v>
      </c>
      <c r="AE1074">
        <v>-1.41730000000001</v>
      </c>
      <c r="AF1074">
        <v>1.2612518344658199</v>
      </c>
      <c r="AG1074">
        <v>-1.06012203338899</v>
      </c>
      <c r="AH1074">
        <v>34.305088482639803</v>
      </c>
      <c r="AI1074">
        <v>91.768840288693696</v>
      </c>
      <c r="AJ1074">
        <v>87.894426856316798</v>
      </c>
      <c r="AK1074">
        <v>34.344631468649702</v>
      </c>
      <c r="AL1074">
        <v>72.679083942025301</v>
      </c>
      <c r="AM1074">
        <v>94.6037012376826</v>
      </c>
      <c r="AN1074">
        <v>1.0000000215675</v>
      </c>
    </row>
    <row r="1075" spans="1:40" x14ac:dyDescent="0.25">
      <c r="A1075" t="str">
        <f>"20190304164115807"</f>
        <v>20190304164115807</v>
      </c>
      <c r="B1075" t="str">
        <f>"1551688875792587"</f>
        <v>1551688875792587</v>
      </c>
      <c r="C1075" t="s">
        <v>40</v>
      </c>
      <c r="D1075">
        <v>4.2885910000000003</v>
      </c>
      <c r="E1075">
        <v>0.55494699999999997</v>
      </c>
      <c r="F1075" t="s">
        <v>42</v>
      </c>
      <c r="G1075">
        <v>-259.43020000000001</v>
      </c>
      <c r="H1075" s="1">
        <v>-1.2123419999999999E-6</v>
      </c>
      <c r="I1075">
        <v>365.73630000000003</v>
      </c>
      <c r="J1075">
        <v>-294.07260000000002</v>
      </c>
      <c r="K1075">
        <v>1.060119</v>
      </c>
      <c r="L1075">
        <v>367.15640000000002</v>
      </c>
      <c r="M1075">
        <v>0.99991229999999998</v>
      </c>
      <c r="N1075">
        <v>-1.244868E-2</v>
      </c>
      <c r="O1075">
        <v>-4.5106490000000003E-3</v>
      </c>
      <c r="P1075">
        <v>0.95551509999999995</v>
      </c>
      <c r="Q1075">
        <v>0.28595999999999999</v>
      </c>
      <c r="R1075">
        <v>7.2232889999999994E-2</v>
      </c>
      <c r="S1075">
        <v>3.1783139999999999</v>
      </c>
      <c r="T1075">
        <v>-9.6669790000000005E-2</v>
      </c>
      <c r="U1075">
        <v>-0.12957759999999999</v>
      </c>
      <c r="V1075">
        <v>-7.6533740000000003E-2</v>
      </c>
      <c r="W1075">
        <v>0.29783080000000001</v>
      </c>
      <c r="X1075">
        <v>0.9515458</v>
      </c>
      <c r="Y1075">
        <v>3.620495E-2</v>
      </c>
      <c r="Z1075">
        <v>-6.9478929999999904E-4</v>
      </c>
      <c r="AA1075">
        <v>0.99934420000000002</v>
      </c>
      <c r="AB1075">
        <v>36</v>
      </c>
      <c r="AC1075">
        <v>34.642400000000002</v>
      </c>
      <c r="AD1075">
        <v>-1.0601202123419999</v>
      </c>
      <c r="AE1075">
        <v>-1.4200999999999899</v>
      </c>
      <c r="AF1075">
        <v>1.26263329327797</v>
      </c>
      <c r="AG1075">
        <v>-1.0601202123419999</v>
      </c>
      <c r="AH1075">
        <v>34.616091017880002</v>
      </c>
      <c r="AI1075">
        <v>91.752973992899001</v>
      </c>
      <c r="AJ1075">
        <v>87.911043705827694</v>
      </c>
      <c r="AK1075">
        <v>34.655329388942</v>
      </c>
      <c r="AL1075">
        <v>72.672637644559799</v>
      </c>
      <c r="AM1075">
        <v>94.598455451704396</v>
      </c>
      <c r="AN1075">
        <v>1.00000000414233</v>
      </c>
    </row>
    <row r="1076" spans="1:40" x14ac:dyDescent="0.25">
      <c r="A1076" t="str">
        <f>"20190304164115819"</f>
        <v>20190304164115819</v>
      </c>
      <c r="B1076" t="str">
        <f>"1551688875813084"</f>
        <v>1551688875813084</v>
      </c>
      <c r="C1076" t="s">
        <v>40</v>
      </c>
      <c r="D1076">
        <v>4.3008790000000001</v>
      </c>
      <c r="E1076">
        <v>0.55496099999999904</v>
      </c>
      <c r="F1076" t="s">
        <v>42</v>
      </c>
      <c r="G1076">
        <v>-259.08539999999999</v>
      </c>
      <c r="H1076" s="1">
        <v>-1.3306889999999999E-6</v>
      </c>
      <c r="I1076">
        <v>365.73259999999999</v>
      </c>
      <c r="J1076">
        <v>-293.8449</v>
      </c>
      <c r="K1076">
        <v>1.0601179999999999</v>
      </c>
      <c r="L1076">
        <v>367.15539999999999</v>
      </c>
      <c r="M1076">
        <v>0.99991240000000003</v>
      </c>
      <c r="N1076">
        <v>-1.244638E-2</v>
      </c>
      <c r="O1076">
        <v>-4.5132760000000001E-3</v>
      </c>
      <c r="P1076">
        <v>0.95548049999999995</v>
      </c>
      <c r="Q1076">
        <v>0.28611609999999998</v>
      </c>
      <c r="R1076">
        <v>7.2076080000000001E-2</v>
      </c>
      <c r="S1076">
        <v>3.178223</v>
      </c>
      <c r="T1076">
        <v>-9.63006E-2</v>
      </c>
      <c r="U1076">
        <v>-0.12933349999999999</v>
      </c>
      <c r="V1076">
        <v>-7.6378829999999995E-2</v>
      </c>
      <c r="W1076">
        <v>0.29798419999999998</v>
      </c>
      <c r="X1076">
        <v>0.95151019999999997</v>
      </c>
      <c r="Y1076">
        <v>3.6127050000000001E-2</v>
      </c>
      <c r="Z1076">
        <v>-6.9146089999999995E-4</v>
      </c>
      <c r="AA1076">
        <v>0.99934699999999999</v>
      </c>
      <c r="AB1076">
        <v>36</v>
      </c>
      <c r="AC1076">
        <v>34.759500000000003</v>
      </c>
      <c r="AD1076">
        <v>-1.060119330689</v>
      </c>
      <c r="AE1076">
        <v>-1.4227999999999901</v>
      </c>
      <c r="AF1076">
        <v>1.26471970699393</v>
      </c>
      <c r="AG1076">
        <v>-1.060119330689</v>
      </c>
      <c r="AH1076">
        <v>34.733314053922399</v>
      </c>
      <c r="AI1076">
        <v>91.747064027533895</v>
      </c>
      <c r="AJ1076">
        <v>87.914650424020905</v>
      </c>
      <c r="AK1076">
        <v>34.772495942928202</v>
      </c>
      <c r="AL1076">
        <v>72.663430071461605</v>
      </c>
      <c r="AM1076">
        <v>94.589358599430199</v>
      </c>
      <c r="AN1076">
        <v>0.99999998491292397</v>
      </c>
    </row>
    <row r="1077" spans="1:40" x14ac:dyDescent="0.25">
      <c r="A1077" t="str">
        <f>"20190304164115832"</f>
        <v>20190304164115832</v>
      </c>
      <c r="B1077" t="str">
        <f>"1551688875821867"</f>
        <v>1551688875821867</v>
      </c>
      <c r="C1077" t="s">
        <v>40</v>
      </c>
      <c r="D1077">
        <v>4.2569309999999998</v>
      </c>
      <c r="E1077">
        <v>0.55493930000000002</v>
      </c>
      <c r="F1077" t="s">
        <v>42</v>
      </c>
      <c r="G1077">
        <v>-258.29329999999999</v>
      </c>
      <c r="H1077" s="1">
        <v>-1.6088350000000001E-6</v>
      </c>
      <c r="I1077">
        <v>365.70030000000003</v>
      </c>
      <c r="J1077">
        <v>-293.64179999999999</v>
      </c>
      <c r="K1077">
        <v>1.0601160000000001</v>
      </c>
      <c r="L1077">
        <v>367.15440000000001</v>
      </c>
      <c r="M1077">
        <v>0.99991240000000003</v>
      </c>
      <c r="N1077">
        <v>-1.2444530000000001E-2</v>
      </c>
      <c r="O1077">
        <v>-4.5188980000000004E-3</v>
      </c>
      <c r="P1077">
        <v>0.95548759999999999</v>
      </c>
      <c r="Q1077">
        <v>0.28608260000000002</v>
      </c>
      <c r="R1077">
        <v>7.21136E-2</v>
      </c>
      <c r="S1077">
        <v>3.1779790000000001</v>
      </c>
      <c r="T1077">
        <v>-9.4764470000000003E-2</v>
      </c>
      <c r="U1077">
        <v>-0.13006589999999901</v>
      </c>
      <c r="V1077">
        <v>-7.6419600000000004E-2</v>
      </c>
      <c r="W1077">
        <v>0.2979501</v>
      </c>
      <c r="X1077">
        <v>0.95151759999999996</v>
      </c>
      <c r="Y1077">
        <v>3.6354940000000002E-2</v>
      </c>
      <c r="Z1077">
        <v>-6.8962210000000001E-4</v>
      </c>
      <c r="AA1077">
        <v>0.99933870000000002</v>
      </c>
      <c r="AB1077">
        <v>36</v>
      </c>
      <c r="AC1077">
        <v>35.348500000000001</v>
      </c>
      <c r="AD1077">
        <v>-1.0601176088349999</v>
      </c>
      <c r="AE1077">
        <v>-1.45409999999998</v>
      </c>
      <c r="AF1077">
        <v>1.29317536972346</v>
      </c>
      <c r="AG1077">
        <v>-1.0601176088349999</v>
      </c>
      <c r="AH1077">
        <v>35.322993666358698</v>
      </c>
      <c r="AI1077">
        <v>91.717901120113495</v>
      </c>
      <c r="AJ1077">
        <v>87.903336964768002</v>
      </c>
      <c r="AK1077">
        <v>35.362551285718098</v>
      </c>
      <c r="AL1077">
        <v>72.665476745534207</v>
      </c>
      <c r="AM1077">
        <v>94.5917623067498</v>
      </c>
      <c r="AN1077">
        <v>0.99999998023196401</v>
      </c>
    </row>
    <row r="1078" spans="1:40" x14ac:dyDescent="0.25">
      <c r="A1078" t="str">
        <f>"20190304164115846"</f>
        <v>20190304164115846</v>
      </c>
      <c r="B1078" t="str">
        <f>"1551688875842364"</f>
        <v>1551688875842364</v>
      </c>
      <c r="C1078" t="s">
        <v>40</v>
      </c>
      <c r="D1078">
        <v>4.2788059999999897</v>
      </c>
      <c r="E1078">
        <v>0.55493479999999995</v>
      </c>
      <c r="F1078" t="s">
        <v>42</v>
      </c>
      <c r="G1078">
        <v>-257.91950000000003</v>
      </c>
      <c r="H1078" s="1">
        <v>-1.73745E-6</v>
      </c>
      <c r="I1078">
        <v>365.69499999999999</v>
      </c>
      <c r="J1078">
        <v>-293.42840000000001</v>
      </c>
      <c r="K1078">
        <v>1.0601130000000001</v>
      </c>
      <c r="L1078">
        <v>367.15339999999998</v>
      </c>
      <c r="M1078">
        <v>0.99991240000000003</v>
      </c>
      <c r="N1078">
        <v>-1.2442689999999999E-2</v>
      </c>
      <c r="O1078">
        <v>-4.5270390000000001E-3</v>
      </c>
      <c r="P1078">
        <v>0.95544589999999996</v>
      </c>
      <c r="Q1078">
        <v>0.28621020000000003</v>
      </c>
      <c r="R1078">
        <v>7.2160959999999996E-2</v>
      </c>
      <c r="S1078">
        <v>3.1777950000000001</v>
      </c>
      <c r="T1078">
        <v>-9.4305990000000006E-2</v>
      </c>
      <c r="U1078">
        <v>-0.12982179999999999</v>
      </c>
      <c r="V1078">
        <v>-7.6472739999999997E-2</v>
      </c>
      <c r="W1078">
        <v>0.29807519999999998</v>
      </c>
      <c r="X1078">
        <v>0.95147420000000005</v>
      </c>
      <c r="Y1078">
        <v>3.6272730000000003E-2</v>
      </c>
      <c r="Z1078">
        <v>-6.8576399999999995E-4</v>
      </c>
      <c r="AA1078">
        <v>0.9993417</v>
      </c>
      <c r="AB1078">
        <v>36</v>
      </c>
      <c r="AC1078">
        <v>35.508899999999898</v>
      </c>
      <c r="AD1078">
        <v>-1.06011473745</v>
      </c>
      <c r="AE1078">
        <v>-1.4583999999999799</v>
      </c>
      <c r="AF1078">
        <v>1.2964688264862501</v>
      </c>
      <c r="AG1078">
        <v>-1.06011473745</v>
      </c>
      <c r="AH1078">
        <v>35.483565045222399</v>
      </c>
      <c r="AI1078">
        <v>91.710131763527897</v>
      </c>
      <c r="AJ1078">
        <v>87.907505525675404</v>
      </c>
      <c r="AK1078">
        <v>35.523063817654297</v>
      </c>
      <c r="AL1078">
        <v>72.657968727029697</v>
      </c>
      <c r="AM1078">
        <v>94.5951503119569</v>
      </c>
      <c r="AN1078">
        <v>1.00000002904189</v>
      </c>
    </row>
    <row r="1079" spans="1:40" x14ac:dyDescent="0.25">
      <c r="A1079" t="str">
        <f>"20190304164115857"</f>
        <v>20190304164115857</v>
      </c>
      <c r="B1079" t="str">
        <f>"1551688875852124"</f>
        <v>1551688875852124</v>
      </c>
      <c r="C1079" t="s">
        <v>40</v>
      </c>
      <c r="D1079">
        <v>4.2691160000000004</v>
      </c>
      <c r="E1079">
        <v>0.55497189999999996</v>
      </c>
      <c r="F1079" t="s">
        <v>42</v>
      </c>
      <c r="G1079">
        <v>-257.20580000000001</v>
      </c>
      <c r="H1079" s="1">
        <v>-1.985483E-6</v>
      </c>
      <c r="I1079">
        <v>365.67559999999997</v>
      </c>
      <c r="J1079">
        <v>-293.2475</v>
      </c>
      <c r="K1079">
        <v>1.0601100000000001</v>
      </c>
      <c r="L1079">
        <v>367.15260000000001</v>
      </c>
      <c r="M1079">
        <v>0.99991240000000003</v>
      </c>
      <c r="N1079">
        <v>-1.2441260000000001E-2</v>
      </c>
      <c r="O1079">
        <v>-4.5371049999999996E-3</v>
      </c>
      <c r="P1079">
        <v>0.95549890000000004</v>
      </c>
      <c r="Q1079">
        <v>0.28610780000000002</v>
      </c>
      <c r="R1079">
        <v>7.1862490000000001E-2</v>
      </c>
      <c r="S1079">
        <v>3.1775820000000001</v>
      </c>
      <c r="T1079">
        <v>-9.2997070000000001E-2</v>
      </c>
      <c r="U1079">
        <v>-0.1296387</v>
      </c>
      <c r="V1079">
        <v>-7.6180819999999996E-2</v>
      </c>
      <c r="W1079">
        <v>0.29797319999999999</v>
      </c>
      <c r="X1079">
        <v>0.95152950000000003</v>
      </c>
      <c r="Y1079">
        <v>3.6208459999999998E-2</v>
      </c>
      <c r="Z1079">
        <v>-6.7864819999999997E-4</v>
      </c>
      <c r="AA1079">
        <v>0.99934409999999896</v>
      </c>
      <c r="AB1079">
        <v>36</v>
      </c>
      <c r="AC1079">
        <v>36.041699999999899</v>
      </c>
      <c r="AD1079">
        <v>-1.0601119854829999</v>
      </c>
      <c r="AE1079">
        <v>-1.4770000000000301</v>
      </c>
      <c r="AF1079">
        <v>1.3123137267580101</v>
      </c>
      <c r="AG1079">
        <v>-1.0601119854829999</v>
      </c>
      <c r="AH1079">
        <v>36.016922888595701</v>
      </c>
      <c r="AI1079">
        <v>91.684823758111307</v>
      </c>
      <c r="AJ1079">
        <v>87.913292289142404</v>
      </c>
      <c r="AK1079">
        <v>36.056410513281101</v>
      </c>
      <c r="AL1079">
        <v>72.664090003611804</v>
      </c>
      <c r="AM1079">
        <v>94.577418991146601</v>
      </c>
      <c r="AN1079">
        <v>0.99999996731217999</v>
      </c>
    </row>
    <row r="1080" spans="1:40" x14ac:dyDescent="0.25">
      <c r="A1080" t="str">
        <f>"20190304164115868"</f>
        <v>20190304164115868</v>
      </c>
      <c r="B1080" t="str">
        <f>"1551688875861884"</f>
        <v>1551688875861884</v>
      </c>
      <c r="C1080" t="s">
        <v>40</v>
      </c>
      <c r="D1080">
        <v>4.2656809999999998</v>
      </c>
      <c r="E1080">
        <v>0.55500890000000003</v>
      </c>
      <c r="F1080" t="s">
        <v>42</v>
      </c>
      <c r="G1080">
        <v>-257.3603</v>
      </c>
      <c r="H1080" s="1">
        <v>-1.933055E-6</v>
      </c>
      <c r="I1080">
        <v>365.67500000000001</v>
      </c>
      <c r="J1080">
        <v>-293.06970000000001</v>
      </c>
      <c r="K1080">
        <v>1.0601069999999999</v>
      </c>
      <c r="L1080">
        <v>367.15190000000001</v>
      </c>
      <c r="M1080">
        <v>0.99991240000000003</v>
      </c>
      <c r="N1080">
        <v>-1.243993E-2</v>
      </c>
      <c r="O1080">
        <v>-4.5490849999999996E-3</v>
      </c>
      <c r="P1080">
        <v>0.95546980000000004</v>
      </c>
      <c r="Q1080">
        <v>0.28626109999999999</v>
      </c>
      <c r="R1080">
        <v>7.1638960000000002E-2</v>
      </c>
      <c r="S1080">
        <v>3.177673</v>
      </c>
      <c r="T1080">
        <v>-9.3868489999999999E-2</v>
      </c>
      <c r="U1080">
        <v>-0.1308289</v>
      </c>
      <c r="V1080">
        <v>-7.5965599999999994E-2</v>
      </c>
      <c r="W1080">
        <v>0.29812569999999999</v>
      </c>
      <c r="X1080">
        <v>0.95149899999999998</v>
      </c>
      <c r="Y1080">
        <v>3.6568429999999999E-2</v>
      </c>
      <c r="Z1080">
        <v>-6.8967200000000001E-4</v>
      </c>
      <c r="AA1080">
        <v>0.99933090000000002</v>
      </c>
      <c r="AB1080">
        <v>36</v>
      </c>
      <c r="AC1080">
        <v>35.709400000000002</v>
      </c>
      <c r="AD1080">
        <v>-1.060108933055</v>
      </c>
      <c r="AE1080">
        <v>-1.4769000000000001</v>
      </c>
      <c r="AF1080">
        <v>1.31327162774316</v>
      </c>
      <c r="AG1080">
        <v>-1.060108933055</v>
      </c>
      <c r="AH1080">
        <v>35.684353721644399</v>
      </c>
      <c r="AI1080">
        <v>91.7004890463583</v>
      </c>
      <c r="AJ1080">
        <v>87.892326180048002</v>
      </c>
      <c r="AK1080">
        <v>35.724244062675602</v>
      </c>
      <c r="AL1080">
        <v>72.654937421790507</v>
      </c>
      <c r="AM1080">
        <v>94.564687650946595</v>
      </c>
      <c r="AN1080">
        <v>1.00000002619242</v>
      </c>
    </row>
    <row r="1081" spans="1:40" x14ac:dyDescent="0.25">
      <c r="A1081" t="str">
        <f>"20190304164115878"</f>
        <v>20190304164115878</v>
      </c>
      <c r="B1081" t="str">
        <f>"1551688875872620"</f>
        <v>1551688875872620</v>
      </c>
      <c r="C1081" t="s">
        <v>40</v>
      </c>
      <c r="D1081">
        <v>4.2176869999999997</v>
      </c>
      <c r="E1081">
        <v>0.55495569999999905</v>
      </c>
      <c r="F1081" t="s">
        <v>42</v>
      </c>
      <c r="G1081">
        <v>-257.06349999999998</v>
      </c>
      <c r="H1081" s="1">
        <v>-2.0366370000000001E-6</v>
      </c>
      <c r="I1081">
        <v>365.6653</v>
      </c>
      <c r="J1081">
        <v>-292.89620000000002</v>
      </c>
      <c r="K1081">
        <v>1.0601020000000001</v>
      </c>
      <c r="L1081">
        <v>367.15100000000001</v>
      </c>
      <c r="M1081">
        <v>0.99991229999999998</v>
      </c>
      <c r="N1081">
        <v>-1.2438690000000001E-2</v>
      </c>
      <c r="O1081">
        <v>-4.5623809999999999E-3</v>
      </c>
      <c r="P1081">
        <v>0.9555669</v>
      </c>
      <c r="Q1081">
        <v>0.28599659999999999</v>
      </c>
      <c r="R1081">
        <v>7.1402740000000006E-2</v>
      </c>
      <c r="S1081">
        <v>3.1777039999999999</v>
      </c>
      <c r="T1081">
        <v>-9.3559030000000001E-2</v>
      </c>
      <c r="U1081">
        <v>-0.13119510000000001</v>
      </c>
      <c r="V1081">
        <v>-7.5739379999999995E-2</v>
      </c>
      <c r="W1081">
        <v>0.29786180000000001</v>
      </c>
      <c r="X1081">
        <v>0.95159970000000005</v>
      </c>
      <c r="Y1081">
        <v>3.6669779999999999E-2</v>
      </c>
      <c r="Z1081">
        <v>-6.901985E-4</v>
      </c>
      <c r="AA1081">
        <v>0.99932719999999997</v>
      </c>
      <c r="AB1081">
        <v>36</v>
      </c>
      <c r="AC1081">
        <v>35.832700000000003</v>
      </c>
      <c r="AD1081">
        <v>-1.060104036637</v>
      </c>
      <c r="AE1081">
        <v>-1.4857</v>
      </c>
      <c r="AF1081">
        <v>1.32103520126914</v>
      </c>
      <c r="AG1081">
        <v>-1.060104036637</v>
      </c>
      <c r="AH1081">
        <v>35.807818434788601</v>
      </c>
      <c r="AI1081">
        <v>91.694615789096005</v>
      </c>
      <c r="AJ1081">
        <v>87.887181240027104</v>
      </c>
      <c r="AK1081">
        <v>35.847856499800201</v>
      </c>
      <c r="AL1081">
        <v>72.670777800973198</v>
      </c>
      <c r="AM1081">
        <v>94.550671947784807</v>
      </c>
      <c r="AN1081">
        <v>1.00000004731105</v>
      </c>
    </row>
    <row r="1082" spans="1:40" x14ac:dyDescent="0.25">
      <c r="A1082" t="str">
        <f>"20190304164115890"</f>
        <v>20190304164115890</v>
      </c>
      <c r="B1082" t="str">
        <f>"1551688875882381"</f>
        <v>1551688875882381</v>
      </c>
      <c r="C1082" t="s">
        <v>40</v>
      </c>
      <c r="D1082">
        <v>4.2089650000000001</v>
      </c>
      <c r="E1082">
        <v>0.55490459999999997</v>
      </c>
      <c r="F1082" t="s">
        <v>42</v>
      </c>
      <c r="G1082">
        <v>-257.10539999999997</v>
      </c>
      <c r="H1082" s="1">
        <v>-2.0195420000000002E-6</v>
      </c>
      <c r="I1082">
        <v>365.67590000000001</v>
      </c>
      <c r="J1082">
        <v>-292.71820000000002</v>
      </c>
      <c r="K1082">
        <v>1.0600989999999999</v>
      </c>
      <c r="L1082">
        <v>367.15010000000001</v>
      </c>
      <c r="M1082">
        <v>0.99991220000000003</v>
      </c>
      <c r="N1082">
        <v>-1.2437520000000001E-2</v>
      </c>
      <c r="O1082">
        <v>-4.5775850000000003E-3</v>
      </c>
      <c r="P1082">
        <v>0.95564910000000003</v>
      </c>
      <c r="Q1082">
        <v>0.2858444</v>
      </c>
      <c r="R1082">
        <v>7.0908390000000002E-2</v>
      </c>
      <c r="S1082">
        <v>3.1774290000000001</v>
      </c>
      <c r="T1082">
        <v>-9.4113589999999997E-2</v>
      </c>
      <c r="U1082">
        <v>-0.13095090000000001</v>
      </c>
      <c r="V1082">
        <v>-7.5256190000000001E-2</v>
      </c>
      <c r="W1082">
        <v>0.29771110000000001</v>
      </c>
      <c r="X1082">
        <v>0.95168509999999995</v>
      </c>
      <c r="Y1082">
        <v>3.6581330000000002E-2</v>
      </c>
      <c r="Z1082">
        <v>-6.9048850000000001E-4</v>
      </c>
      <c r="AA1082">
        <v>0.99933050000000001</v>
      </c>
      <c r="AB1082">
        <v>36</v>
      </c>
      <c r="AC1082">
        <v>35.6128</v>
      </c>
      <c r="AD1082">
        <v>-1.060101019542</v>
      </c>
      <c r="AE1082">
        <v>-1.47419999999999</v>
      </c>
      <c r="AF1082">
        <v>1.3099925295455499</v>
      </c>
      <c r="AG1082">
        <v>-1.060101019542</v>
      </c>
      <c r="AH1082">
        <v>35.587695338659202</v>
      </c>
      <c r="AI1082">
        <v>91.705091746694805</v>
      </c>
      <c r="AJ1082">
        <v>87.891878940155294</v>
      </c>
      <c r="AK1082">
        <v>35.627572947315997</v>
      </c>
      <c r="AL1082">
        <v>72.679821079603897</v>
      </c>
      <c r="AM1082">
        <v>94.521356996589404</v>
      </c>
      <c r="AN1082">
        <v>0.99999996137926705</v>
      </c>
    </row>
    <row r="1083" spans="1:40" x14ac:dyDescent="0.25">
      <c r="A1083" t="str">
        <f>"20190304164115900"</f>
        <v>20190304164115900</v>
      </c>
      <c r="B1083" t="str">
        <f>"1551688875892141"</f>
        <v>1551688875892141</v>
      </c>
      <c r="C1083" t="s">
        <v>40</v>
      </c>
      <c r="D1083">
        <v>4.2227680000000003</v>
      </c>
      <c r="E1083">
        <v>0.55487140000000001</v>
      </c>
      <c r="F1083" t="s">
        <v>42</v>
      </c>
      <c r="G1083">
        <v>-256.82139999999998</v>
      </c>
      <c r="H1083" s="1">
        <v>-2.1198640000000001E-6</v>
      </c>
      <c r="I1083">
        <v>365.66230000000002</v>
      </c>
      <c r="J1083">
        <v>-292.54180000000002</v>
      </c>
      <c r="K1083">
        <v>1.060092</v>
      </c>
      <c r="L1083">
        <v>367.14929999999998</v>
      </c>
      <c r="M1083">
        <v>0.99991209999999997</v>
      </c>
      <c r="N1083">
        <v>-1.24363999999999E-2</v>
      </c>
      <c r="O1083">
        <v>-4.5933839999999998E-3</v>
      </c>
      <c r="P1083">
        <v>0.95571950000000006</v>
      </c>
      <c r="Q1083">
        <v>0.28571980000000002</v>
      </c>
      <c r="R1083">
        <v>7.0459629999999995E-2</v>
      </c>
      <c r="S1083">
        <v>3.1770320000000001</v>
      </c>
      <c r="T1083">
        <v>-9.3823550000000006E-2</v>
      </c>
      <c r="U1083">
        <v>-0.131683299999999</v>
      </c>
      <c r="V1083">
        <v>-7.4819940000000001E-2</v>
      </c>
      <c r="W1083">
        <v>0.29758679999999998</v>
      </c>
      <c r="X1083">
        <v>0.9517584</v>
      </c>
      <c r="Y1083">
        <v>3.6800640000000003E-2</v>
      </c>
      <c r="Z1083">
        <v>-6.9359259999999905E-4</v>
      </c>
      <c r="AA1083">
        <v>0.99932240000000006</v>
      </c>
      <c r="AB1083">
        <v>36</v>
      </c>
      <c r="AC1083">
        <v>35.720399999999998</v>
      </c>
      <c r="AD1083">
        <v>-1.0600941198639999</v>
      </c>
      <c r="AE1083">
        <v>-1.4869999999999599</v>
      </c>
      <c r="AF1083">
        <v>1.3217319929842199</v>
      </c>
      <c r="AG1083">
        <v>-1.0600941198639999</v>
      </c>
      <c r="AH1083">
        <v>35.695469339797398</v>
      </c>
      <c r="AI1083">
        <v>91.699921955689604</v>
      </c>
      <c r="AJ1083">
        <v>87.879420431015305</v>
      </c>
      <c r="AK1083">
        <v>35.735658751346101</v>
      </c>
      <c r="AL1083">
        <v>72.6872815678515</v>
      </c>
      <c r="AM1083">
        <v>94.494910248733206</v>
      </c>
      <c r="AN1083">
        <v>0.99999998946320101</v>
      </c>
    </row>
    <row r="1084" spans="1:40" x14ac:dyDescent="0.25">
      <c r="A1084" t="str">
        <f>"20190304164115912"</f>
        <v>20190304164115912</v>
      </c>
      <c r="B1084" t="str">
        <f>"1551688875902876"</f>
        <v>1551688875902876</v>
      </c>
      <c r="C1084" t="s">
        <v>40</v>
      </c>
      <c r="D1084">
        <v>4.2541019999999996</v>
      </c>
      <c r="E1084">
        <v>0.55489239999999995</v>
      </c>
      <c r="F1084" t="s">
        <v>42</v>
      </c>
      <c r="G1084">
        <v>-256.52379999999999</v>
      </c>
      <c r="H1084" s="1">
        <v>-2.2248319999999999E-6</v>
      </c>
      <c r="I1084">
        <v>365.64830000000001</v>
      </c>
      <c r="J1084">
        <v>-292.36720000000003</v>
      </c>
      <c r="K1084">
        <v>1.0600879999999999</v>
      </c>
      <c r="L1084">
        <v>367.14850000000001</v>
      </c>
      <c r="M1084">
        <v>0.99991209999999997</v>
      </c>
      <c r="N1084">
        <v>-1.2435409999999999E-2</v>
      </c>
      <c r="O1084">
        <v>-4.6116660000000004E-3</v>
      </c>
      <c r="P1084">
        <v>0.95586689999999996</v>
      </c>
      <c r="Q1084">
        <v>0.28540009999999999</v>
      </c>
      <c r="R1084">
        <v>6.9751859999999999E-2</v>
      </c>
      <c r="S1084">
        <v>3.1766969999999999</v>
      </c>
      <c r="T1084">
        <v>-9.3497399999999994E-2</v>
      </c>
      <c r="U1084">
        <v>-0.13238529999999901</v>
      </c>
      <c r="V1084">
        <v>-7.4127349999999995E-2</v>
      </c>
      <c r="W1084">
        <v>0.29726859999999999</v>
      </c>
      <c r="X1084">
        <v>0.95191199999999998</v>
      </c>
      <c r="Y1084">
        <v>3.7007159999999997E-2</v>
      </c>
      <c r="Z1084">
        <v>-6.9620719999999997E-4</v>
      </c>
      <c r="AA1084">
        <v>0.99931479999999995</v>
      </c>
      <c r="AB1084">
        <v>36</v>
      </c>
      <c r="AC1084">
        <v>35.843400000000003</v>
      </c>
      <c r="AD1084">
        <v>-1.0600902248320001</v>
      </c>
      <c r="AE1084">
        <v>-1.5002</v>
      </c>
      <c r="AF1084">
        <v>1.33370890588663</v>
      </c>
      <c r="AG1084">
        <v>-1.0600902248320001</v>
      </c>
      <c r="AH1084">
        <v>35.818661365273698</v>
      </c>
      <c r="AI1084">
        <v>91.694059566138407</v>
      </c>
      <c r="AJ1084">
        <v>87.867575104551605</v>
      </c>
      <c r="AK1084">
        <v>35.859156051566202</v>
      </c>
      <c r="AL1084">
        <v>72.706376929457605</v>
      </c>
      <c r="AM1084">
        <v>94.452754399242494</v>
      </c>
      <c r="AN1084">
        <v>0.99999997015399</v>
      </c>
    </row>
    <row r="1085" spans="1:40" x14ac:dyDescent="0.25">
      <c r="A1085" t="str">
        <f>"20190304164115924"</f>
        <v>20190304164115924</v>
      </c>
      <c r="B1085" t="str">
        <f>"1551688875912637"</f>
        <v>1551688875912637</v>
      </c>
      <c r="C1085" t="s">
        <v>40</v>
      </c>
      <c r="D1085">
        <v>4.2238150000000001</v>
      </c>
      <c r="E1085">
        <v>0.55491020000000002</v>
      </c>
      <c r="F1085" t="s">
        <v>42</v>
      </c>
      <c r="G1085">
        <v>-256.82810000000001</v>
      </c>
      <c r="H1085" s="1">
        <v>-2.1229110000000001E-6</v>
      </c>
      <c r="I1085">
        <v>365.64210000000003</v>
      </c>
      <c r="J1085">
        <v>-292.18200000000002</v>
      </c>
      <c r="K1085">
        <v>1.060084</v>
      </c>
      <c r="L1085">
        <v>367.14760000000001</v>
      </c>
      <c r="M1085">
        <v>0.99991200000000002</v>
      </c>
      <c r="N1085">
        <v>-1.243473E-2</v>
      </c>
      <c r="O1085">
        <v>-4.6315009999999997E-3</v>
      </c>
      <c r="P1085">
        <v>0.95592169999999999</v>
      </c>
      <c r="Q1085">
        <v>0.28538229999999998</v>
      </c>
      <c r="R1085">
        <v>6.9071960000000002E-2</v>
      </c>
      <c r="S1085">
        <v>3.1766049999999999</v>
      </c>
      <c r="T1085">
        <v>-9.475422E-2</v>
      </c>
      <c r="U1085">
        <v>-0.1346436</v>
      </c>
      <c r="V1085">
        <v>-7.3464600000000005E-2</v>
      </c>
      <c r="W1085">
        <v>0.2972513</v>
      </c>
      <c r="X1085">
        <v>0.95196879999999995</v>
      </c>
      <c r="Y1085">
        <v>3.7696779999999999E-2</v>
      </c>
      <c r="Z1085">
        <v>-7.1591619999999999E-4</v>
      </c>
      <c r="AA1085">
        <v>0.99928899999999998</v>
      </c>
      <c r="AB1085">
        <v>36</v>
      </c>
      <c r="AC1085">
        <v>35.353900000000003</v>
      </c>
      <c r="AD1085">
        <v>-1.0600861229109999</v>
      </c>
      <c r="AE1085">
        <v>-1.5054999999999801</v>
      </c>
      <c r="AF1085">
        <v>1.3405264884873</v>
      </c>
      <c r="AG1085">
        <v>-1.0600861229109999</v>
      </c>
      <c r="AH1085">
        <v>35.328787427403903</v>
      </c>
      <c r="AI1085">
        <v>91.717483319587501</v>
      </c>
      <c r="AJ1085">
        <v>87.826993614508595</v>
      </c>
      <c r="AK1085">
        <v>35.370100578667</v>
      </c>
      <c r="AL1085">
        <v>72.707415419050605</v>
      </c>
      <c r="AM1085">
        <v>94.412839381937999</v>
      </c>
      <c r="AN1085">
        <v>0.99999998948914504</v>
      </c>
    </row>
    <row r="1086" spans="1:40" x14ac:dyDescent="0.25">
      <c r="A1086" t="str">
        <f>"20190304164115935"</f>
        <v>20190304164115935</v>
      </c>
      <c r="B1086" t="str">
        <f>"1551688875922395"</f>
        <v>1551688875922395</v>
      </c>
      <c r="C1086" t="s">
        <v>40</v>
      </c>
      <c r="D1086">
        <v>4.1983949999999997</v>
      </c>
      <c r="E1086">
        <v>0.55489270000000002</v>
      </c>
      <c r="F1086" t="s">
        <v>42</v>
      </c>
      <c r="G1086">
        <v>-256.74299999999999</v>
      </c>
      <c r="H1086" s="1">
        <v>-2.157687E-6</v>
      </c>
      <c r="I1086">
        <v>365.62029999999999</v>
      </c>
      <c r="J1086">
        <v>-291.9991</v>
      </c>
      <c r="K1086">
        <v>1.060082</v>
      </c>
      <c r="L1086">
        <v>367.14679999999998</v>
      </c>
      <c r="M1086">
        <v>0.99991180000000002</v>
      </c>
      <c r="N1086">
        <v>-1.2436050000000001E-2</v>
      </c>
      <c r="O1086">
        <v>-4.6546809999999999E-3</v>
      </c>
      <c r="P1086">
        <v>0.95598519999999998</v>
      </c>
      <c r="Q1086">
        <v>0.285329</v>
      </c>
      <c r="R1086">
        <v>6.840897E-2</v>
      </c>
      <c r="S1086">
        <v>3.1766359999999998</v>
      </c>
      <c r="T1086">
        <v>-9.5022319999999993E-2</v>
      </c>
      <c r="U1086">
        <v>-0.13690189999999999</v>
      </c>
      <c r="V1086">
        <v>-7.2822100000000001E-2</v>
      </c>
      <c r="W1086">
        <v>0.29720069999999998</v>
      </c>
      <c r="X1086">
        <v>0.95203400000000005</v>
      </c>
      <c r="Y1086">
        <v>3.8381770000000003E-2</v>
      </c>
      <c r="Z1086">
        <v>-7.3123429999999998E-4</v>
      </c>
      <c r="AA1086">
        <v>0.99926289999999995</v>
      </c>
      <c r="AB1086">
        <v>36</v>
      </c>
      <c r="AC1086">
        <v>35.256100000000004</v>
      </c>
      <c r="AD1086">
        <v>-1.0600841576869999</v>
      </c>
      <c r="AE1086">
        <v>-1.52649999999999</v>
      </c>
      <c r="AF1086">
        <v>1.3611365760168801</v>
      </c>
      <c r="AG1086">
        <v>-1.0600841576869999</v>
      </c>
      <c r="AH1086">
        <v>35.231031470465297</v>
      </c>
      <c r="AI1086">
        <v>91.722197358639207</v>
      </c>
      <c r="AJ1086">
        <v>87.787501232348802</v>
      </c>
      <c r="AK1086">
        <v>35.2732483572589</v>
      </c>
      <c r="AL1086">
        <v>72.710452455155902</v>
      </c>
      <c r="AM1086">
        <v>94.374098010896503</v>
      </c>
      <c r="AN1086">
        <v>1.0000000257424499</v>
      </c>
    </row>
    <row r="1087" spans="1:40" x14ac:dyDescent="0.25">
      <c r="A1087" t="str">
        <f>"20190304164115946"</f>
        <v>20190304164115946</v>
      </c>
      <c r="B1087" t="str">
        <f>"1551688875941916"</f>
        <v>1551688875941916</v>
      </c>
      <c r="C1087" t="s">
        <v>40</v>
      </c>
      <c r="D1087">
        <v>4.2499099999999999</v>
      </c>
      <c r="E1087">
        <v>0.55494889999999997</v>
      </c>
      <c r="F1087" t="s">
        <v>42</v>
      </c>
      <c r="G1087">
        <v>-256.55549999999999</v>
      </c>
      <c r="H1087" s="1">
        <v>-2.2279420000000002E-6</v>
      </c>
      <c r="I1087">
        <v>365.596</v>
      </c>
      <c r="J1087">
        <v>-291.81830000000002</v>
      </c>
      <c r="K1087">
        <v>1.0600810000000001</v>
      </c>
      <c r="L1087">
        <v>367.14589999999998</v>
      </c>
      <c r="M1087">
        <v>0.99991180000000002</v>
      </c>
      <c r="N1087">
        <v>-1.243814E-2</v>
      </c>
      <c r="O1087">
        <v>-4.6789359999999999E-3</v>
      </c>
      <c r="P1087">
        <v>0.95598519999999998</v>
      </c>
      <c r="Q1087">
        <v>0.28541369999999999</v>
      </c>
      <c r="R1087">
        <v>6.8052970000000004E-2</v>
      </c>
      <c r="S1087">
        <v>3.176453</v>
      </c>
      <c r="T1087">
        <v>-9.5004439999999996E-2</v>
      </c>
      <c r="U1087">
        <v>-0.13897709999999999</v>
      </c>
      <c r="V1087">
        <v>-7.2486830000000002E-2</v>
      </c>
      <c r="W1087">
        <v>0.29728769999999999</v>
      </c>
      <c r="X1087">
        <v>0.9520324</v>
      </c>
      <c r="Y1087">
        <v>3.9011200000000003E-2</v>
      </c>
      <c r="Z1087">
        <v>-7.4412459999999997E-4</v>
      </c>
      <c r="AA1087">
        <v>0.99923850000000003</v>
      </c>
      <c r="AB1087">
        <v>36</v>
      </c>
      <c r="AC1087">
        <v>35.262799999999999</v>
      </c>
      <c r="AD1087">
        <v>-1.0600832279420001</v>
      </c>
      <c r="AE1087">
        <v>-1.5498999999999701</v>
      </c>
      <c r="AF1087">
        <v>1.3836298614509701</v>
      </c>
      <c r="AG1087">
        <v>-1.0600832279420001</v>
      </c>
      <c r="AH1087">
        <v>35.237881699293901</v>
      </c>
      <c r="AI1087">
        <v>91.721819039932498</v>
      </c>
      <c r="AJ1087">
        <v>87.751412872498804</v>
      </c>
      <c r="AK1087">
        <v>35.280965331139903</v>
      </c>
      <c r="AL1087">
        <v>72.7052313644284</v>
      </c>
      <c r="AM1087">
        <v>94.354044748209702</v>
      </c>
      <c r="AN1087">
        <v>1.0000000038722401</v>
      </c>
    </row>
    <row r="1088" spans="1:40" x14ac:dyDescent="0.25">
      <c r="A1088" t="str">
        <f>"20190304164115957"</f>
        <v>20190304164115957</v>
      </c>
      <c r="B1088" t="str">
        <f>"1551688875952652"</f>
        <v>1551688875952652</v>
      </c>
      <c r="C1088" t="s">
        <v>40</v>
      </c>
      <c r="D1088">
        <v>4.2348710000000001</v>
      </c>
      <c r="E1088">
        <v>0.55501029999999996</v>
      </c>
      <c r="F1088" t="s">
        <v>42</v>
      </c>
      <c r="G1088">
        <v>-256.49189999999999</v>
      </c>
      <c r="H1088" s="1">
        <v>-2.2526989999999998E-6</v>
      </c>
      <c r="I1088">
        <v>365.58440000000002</v>
      </c>
      <c r="J1088">
        <v>-291.63279999999997</v>
      </c>
      <c r="K1088">
        <v>1.0600810000000001</v>
      </c>
      <c r="L1088">
        <v>367.14499999999998</v>
      </c>
      <c r="M1088">
        <v>0.99991169999999996</v>
      </c>
      <c r="N1088">
        <v>-1.2441499999999999E-2</v>
      </c>
      <c r="O1088">
        <v>-4.7055760000000004E-3</v>
      </c>
      <c r="P1088">
        <v>0.95600209999999997</v>
      </c>
      <c r="Q1088">
        <v>0.28550789999999998</v>
      </c>
      <c r="R1088">
        <v>6.7421850000000005E-2</v>
      </c>
      <c r="S1088">
        <v>3.1765750000000001</v>
      </c>
      <c r="T1088">
        <v>-9.5323089999999999E-2</v>
      </c>
      <c r="U1088">
        <v>-0.14041139999999999</v>
      </c>
      <c r="V1088">
        <v>-7.1879399999999996E-2</v>
      </c>
      <c r="W1088">
        <v>0.29738560000000003</v>
      </c>
      <c r="X1088">
        <v>0.95204789999999995</v>
      </c>
      <c r="Y1088">
        <v>3.943282E-2</v>
      </c>
      <c r="Z1088">
        <v>-7.5415110000000003E-4</v>
      </c>
      <c r="AA1088">
        <v>0.9992219</v>
      </c>
      <c r="AB1088">
        <v>36</v>
      </c>
      <c r="AC1088">
        <v>35.140899999999903</v>
      </c>
      <c r="AD1088">
        <v>-1.0600832526989901</v>
      </c>
      <c r="AE1088">
        <v>-1.56059999999996</v>
      </c>
      <c r="AF1088">
        <v>1.39394574149032</v>
      </c>
      <c r="AG1088">
        <v>-1.0600832526989901</v>
      </c>
      <c r="AH1088">
        <v>35.115961409194597</v>
      </c>
      <c r="AI1088">
        <v>91.727764229859204</v>
      </c>
      <c r="AJ1088">
        <v>87.726808708232895</v>
      </c>
      <c r="AK1088">
        <v>35.159601916473903</v>
      </c>
      <c r="AL1088">
        <v>72.699356750236504</v>
      </c>
      <c r="AM1088">
        <v>94.317626958465496</v>
      </c>
      <c r="AN1088">
        <v>1.0000000235630599</v>
      </c>
    </row>
    <row r="1089" spans="1:40" x14ac:dyDescent="0.25">
      <c r="A1089" t="str">
        <f>"20190304164115969"</f>
        <v>20190304164115969</v>
      </c>
      <c r="B1089" t="str">
        <f>"1551688875962412"</f>
        <v>1551688875962412</v>
      </c>
      <c r="C1089" t="s">
        <v>40</v>
      </c>
      <c r="D1089">
        <v>4.3407229999999997</v>
      </c>
      <c r="E1089">
        <v>0.55501029999999996</v>
      </c>
      <c r="F1089" t="s">
        <v>42</v>
      </c>
      <c r="G1089">
        <v>-256.16379999999998</v>
      </c>
      <c r="H1089" s="1">
        <v>-2.3744230000000001E-6</v>
      </c>
      <c r="I1089">
        <v>365.54640000000001</v>
      </c>
      <c r="J1089">
        <v>-291.45600000000002</v>
      </c>
      <c r="K1089">
        <v>1.060079</v>
      </c>
      <c r="L1089">
        <v>367.14409999999998</v>
      </c>
      <c r="M1089">
        <v>0.99991149999999995</v>
      </c>
      <c r="N1089">
        <v>-1.244514E-2</v>
      </c>
      <c r="O1089">
        <v>-4.7305410000000004E-3</v>
      </c>
      <c r="P1089">
        <v>0.95609319999999998</v>
      </c>
      <c r="Q1089">
        <v>0.28528130000000002</v>
      </c>
      <c r="R1089">
        <v>6.7087339999999995E-2</v>
      </c>
      <c r="S1089">
        <v>3.1764830000000002</v>
      </c>
      <c r="T1089">
        <v>-9.4937320000000006E-2</v>
      </c>
      <c r="U1089">
        <v>-0.14315799999999901</v>
      </c>
      <c r="V1089">
        <v>-7.1568129999999994E-2</v>
      </c>
      <c r="W1089">
        <v>0.29716429999999999</v>
      </c>
      <c r="X1089">
        <v>0.9521404</v>
      </c>
      <c r="Y1089">
        <v>4.0271029999999999E-2</v>
      </c>
      <c r="Z1089">
        <v>-7.697289E-4</v>
      </c>
      <c r="AA1089">
        <v>0.99918850000000003</v>
      </c>
      <c r="AB1089">
        <v>36</v>
      </c>
      <c r="AC1089">
        <v>35.292199999999902</v>
      </c>
      <c r="AD1089">
        <v>-1.060081374423</v>
      </c>
      <c r="AE1089">
        <v>-1.5976999999999699</v>
      </c>
      <c r="AF1089">
        <v>1.4294309646552701</v>
      </c>
      <c r="AG1089">
        <v>-1.060081374423</v>
      </c>
      <c r="AH1089">
        <v>35.267608936174597</v>
      </c>
      <c r="AI1089">
        <v>91.720278900612897</v>
      </c>
      <c r="AJ1089">
        <v>87.679015945985597</v>
      </c>
      <c r="AK1089">
        <v>35.312480590834397</v>
      </c>
      <c r="AL1089">
        <v>72.712635886326098</v>
      </c>
      <c r="AM1089">
        <v>94.298583865877404</v>
      </c>
      <c r="AN1089">
        <v>0.99999997986917299</v>
      </c>
    </row>
    <row r="1090" spans="1:40" x14ac:dyDescent="0.25">
      <c r="A1090" t="str">
        <f>"20190304164115979"</f>
        <v>20190304164115979</v>
      </c>
      <c r="B1090" t="str">
        <f>"1551688875972172"</f>
        <v>1551688875972172</v>
      </c>
      <c r="C1090" t="s">
        <v>40</v>
      </c>
      <c r="D1090">
        <v>4.3542579999999997</v>
      </c>
      <c r="E1090">
        <v>0.57454380000000005</v>
      </c>
      <c r="F1090" t="s">
        <v>42</v>
      </c>
      <c r="G1090">
        <v>-256.25990000000002</v>
      </c>
      <c r="H1090" s="1">
        <v>-2.3422210000000002E-6</v>
      </c>
      <c r="I1090">
        <v>365.54469999999998</v>
      </c>
      <c r="J1090">
        <v>-291.27999999999997</v>
      </c>
      <c r="K1090">
        <v>1.0600769999999999</v>
      </c>
      <c r="L1090">
        <v>367.14330000000001</v>
      </c>
      <c r="M1090">
        <v>0.9999112</v>
      </c>
      <c r="N1090">
        <v>-1.2449E-2</v>
      </c>
      <c r="O1090">
        <v>-4.7555030000000003E-3</v>
      </c>
      <c r="P1090">
        <v>0.95610799999999996</v>
      </c>
      <c r="Q1090">
        <v>0.2853388</v>
      </c>
      <c r="R1090">
        <v>6.6630099999999998E-2</v>
      </c>
      <c r="S1090">
        <v>3.176453</v>
      </c>
      <c r="T1090">
        <v>-9.5672129999999994E-2</v>
      </c>
      <c r="U1090">
        <v>-0.14434810000000001</v>
      </c>
      <c r="V1090">
        <v>-7.1133580000000002E-2</v>
      </c>
      <c r="W1090">
        <v>0.29722530000000003</v>
      </c>
      <c r="X1090">
        <v>0.9521539</v>
      </c>
      <c r="Y1090">
        <v>4.061961E-2</v>
      </c>
      <c r="Z1090">
        <v>-7.8036429999999996E-4</v>
      </c>
      <c r="AA1090">
        <v>0.99917440000000002</v>
      </c>
      <c r="AB1090">
        <v>36</v>
      </c>
      <c r="AC1090">
        <v>35.0200999999999</v>
      </c>
      <c r="AD1090">
        <v>-1.060079342221</v>
      </c>
      <c r="AE1090">
        <v>-1.59860000000003</v>
      </c>
      <c r="AF1090">
        <v>1.4307225661812299</v>
      </c>
      <c r="AG1090">
        <v>-1.060079342221</v>
      </c>
      <c r="AH1090">
        <v>34.995306849121199</v>
      </c>
      <c r="AI1090">
        <v>91.733628304429601</v>
      </c>
      <c r="AJ1090">
        <v>87.658864972778403</v>
      </c>
      <c r="AK1090">
        <v>35.040579857321603</v>
      </c>
      <c r="AL1090">
        <v>72.708975050008405</v>
      </c>
      <c r="AM1090">
        <v>94.272520157032005</v>
      </c>
      <c r="AN1090">
        <v>0.999999957224457</v>
      </c>
    </row>
    <row r="1091" spans="1:40" x14ac:dyDescent="0.25">
      <c r="A1091" t="str">
        <f>"20190304164115992"</f>
        <v>20190304164115992</v>
      </c>
      <c r="B1091" t="str">
        <f>"1551688875981931"</f>
        <v>1551688875981931</v>
      </c>
      <c r="C1091" t="s">
        <v>40</v>
      </c>
      <c r="D1091">
        <v>4.346184</v>
      </c>
      <c r="E1091">
        <v>0.57694440000000002</v>
      </c>
      <c r="F1091" t="s">
        <v>42</v>
      </c>
      <c r="G1091">
        <v>-272.49419999999998</v>
      </c>
      <c r="H1091" s="1">
        <v>-3.9453049999999997E-6</v>
      </c>
      <c r="I1091">
        <v>365.42759999999998</v>
      </c>
      <c r="J1091">
        <v>-291.07940000000002</v>
      </c>
      <c r="K1091">
        <v>1.060079</v>
      </c>
      <c r="L1091">
        <v>367.14229999999998</v>
      </c>
      <c r="M1091">
        <v>0.99991099999999999</v>
      </c>
      <c r="N1091">
        <v>-1.245548E-2</v>
      </c>
      <c r="O1091">
        <v>-4.7814149999999998E-3</v>
      </c>
      <c r="P1091">
        <v>0.95609730000000004</v>
      </c>
      <c r="Q1091">
        <v>0.28541159999999999</v>
      </c>
      <c r="R1091">
        <v>6.6471249999999996E-2</v>
      </c>
      <c r="S1091">
        <v>3.21225</v>
      </c>
      <c r="T1091">
        <v>-0.1812658</v>
      </c>
      <c r="U1091">
        <v>-0.2933655</v>
      </c>
      <c r="V1091">
        <v>-7.0999610000000005E-2</v>
      </c>
      <c r="W1091">
        <v>0.29730450000000003</v>
      </c>
      <c r="X1091">
        <v>0.95213919999999996</v>
      </c>
      <c r="Y1091">
        <v>8.6024260000000005E-2</v>
      </c>
      <c r="Z1091">
        <v>-2.7479650000000002E-3</v>
      </c>
      <c r="AA1091">
        <v>0.99628930000000004</v>
      </c>
      <c r="AB1091">
        <v>36</v>
      </c>
      <c r="AC1091">
        <v>18.5852</v>
      </c>
      <c r="AD1091">
        <v>-1.060082945305</v>
      </c>
      <c r="AE1091">
        <v>-1.7146999999999899</v>
      </c>
      <c r="AF1091">
        <v>1.6205819548536999</v>
      </c>
      <c r="AG1091">
        <v>-1.060082945305</v>
      </c>
      <c r="AH1091">
        <v>18.533398146534498</v>
      </c>
      <c r="AI1091">
        <v>93.261249848039299</v>
      </c>
      <c r="AJ1091">
        <v>85.002700713076507</v>
      </c>
      <c r="AK1091">
        <v>18.634293884698</v>
      </c>
      <c r="AL1091">
        <v>72.704222844291493</v>
      </c>
      <c r="AM1091">
        <v>94.264568781039699</v>
      </c>
      <c r="AN1091">
        <v>0.99999998325852002</v>
      </c>
    </row>
    <row r="1092" spans="1:40" x14ac:dyDescent="0.25">
      <c r="A1092" t="str">
        <f>"20190304164116006"</f>
        <v>20190304164116006</v>
      </c>
      <c r="B1092" t="str">
        <f>"1551688875992668"</f>
        <v>1551688875992668</v>
      </c>
      <c r="C1092" t="s">
        <v>40</v>
      </c>
      <c r="D1092">
        <v>4.4328949999999896</v>
      </c>
      <c r="E1092">
        <v>0.57843449999999996</v>
      </c>
      <c r="F1092" t="s">
        <v>42</v>
      </c>
      <c r="G1092">
        <v>-273.64030000000002</v>
      </c>
      <c r="H1092" s="1">
        <v>-3.4488969999999998E-6</v>
      </c>
      <c r="I1092">
        <v>365.45420000000001</v>
      </c>
      <c r="J1092">
        <v>-290.87549999999999</v>
      </c>
      <c r="K1092">
        <v>1.060079</v>
      </c>
      <c r="L1092">
        <v>367.1413</v>
      </c>
      <c r="M1092">
        <v>0.99991090000000005</v>
      </c>
      <c r="N1092">
        <v>-1.246295E-2</v>
      </c>
      <c r="O1092">
        <v>-4.8066100000000002E-3</v>
      </c>
      <c r="P1092">
        <v>0.95609060000000001</v>
      </c>
      <c r="Q1092">
        <v>0.2854776</v>
      </c>
      <c r="R1092">
        <v>6.628291E-2</v>
      </c>
      <c r="S1092">
        <v>3.2178040000000001</v>
      </c>
      <c r="T1092">
        <v>-0.19560159999999999</v>
      </c>
      <c r="U1092">
        <v>-0.31146239999999997</v>
      </c>
      <c r="V1092">
        <v>-7.0834930000000004E-2</v>
      </c>
      <c r="W1092">
        <v>0.29737740000000001</v>
      </c>
      <c r="X1092">
        <v>0.95212870000000005</v>
      </c>
      <c r="Y1092">
        <v>9.1361399999999995E-2</v>
      </c>
      <c r="Z1092">
        <v>-3.1076020000000001E-3</v>
      </c>
      <c r="AA1092">
        <v>0.99581299999999995</v>
      </c>
      <c r="AB1092">
        <v>36</v>
      </c>
      <c r="AC1092">
        <v>17.235199999999899</v>
      </c>
      <c r="AD1092">
        <v>-1.060082448897</v>
      </c>
      <c r="AE1092">
        <v>-1.6870999999999801</v>
      </c>
      <c r="AF1092">
        <v>1.59824228940464</v>
      </c>
      <c r="AG1092">
        <v>-1.060082448897</v>
      </c>
      <c r="AH1092">
        <v>17.178738824185299</v>
      </c>
      <c r="AI1092">
        <v>93.516040610193997</v>
      </c>
      <c r="AJ1092">
        <v>84.684726623849599</v>
      </c>
      <c r="AK1092">
        <v>17.2854627014631</v>
      </c>
      <c r="AL1092">
        <v>72.699848120690604</v>
      </c>
      <c r="AM1092">
        <v>94.254760443315803</v>
      </c>
      <c r="AN1092">
        <v>0.99999998335127704</v>
      </c>
    </row>
    <row r="1093" spans="1:40" x14ac:dyDescent="0.25">
      <c r="A1093" t="str">
        <f>"20190304164116017"</f>
        <v>20190304164116017</v>
      </c>
      <c r="B1093" t="str">
        <f>"1551688876002428"</f>
        <v>1551688876002428</v>
      </c>
      <c r="C1093" t="s">
        <v>40</v>
      </c>
      <c r="D1093">
        <v>4.2979649999999996</v>
      </c>
      <c r="E1093">
        <v>0.57970149999999998</v>
      </c>
      <c r="F1093" t="s">
        <v>41</v>
      </c>
      <c r="G1093">
        <v>-289.87389999999999</v>
      </c>
      <c r="H1093">
        <v>0.9977684</v>
      </c>
      <c r="I1093">
        <v>367.04050000000001</v>
      </c>
      <c r="J1093">
        <v>-290.68669999999997</v>
      </c>
      <c r="K1093">
        <v>1.060082</v>
      </c>
      <c r="L1093">
        <v>367.1404</v>
      </c>
      <c r="M1093">
        <v>0.99991070000000004</v>
      </c>
      <c r="N1093">
        <v>-1.247117E-2</v>
      </c>
      <c r="O1093">
        <v>-4.8288209999999996E-3</v>
      </c>
      <c r="P1093">
        <v>0.956071</v>
      </c>
      <c r="Q1093">
        <v>0.28557480000000002</v>
      </c>
      <c r="R1093">
        <v>6.614834E-2</v>
      </c>
      <c r="S1093">
        <v>3.2200929999999999</v>
      </c>
      <c r="T1093">
        <v>-0.20058719999999999</v>
      </c>
      <c r="U1093">
        <v>-0.32312010000000002</v>
      </c>
      <c r="V1093">
        <v>-7.0722649999999998E-2</v>
      </c>
      <c r="W1093">
        <v>0.29748210000000003</v>
      </c>
      <c r="X1093">
        <v>0.95210439999999996</v>
      </c>
      <c r="Y1093">
        <v>9.4824510000000001E-2</v>
      </c>
      <c r="Z1093">
        <v>-3.2969570000000001E-3</v>
      </c>
      <c r="AA1093">
        <v>0.9954885</v>
      </c>
      <c r="AB1093">
        <v>36</v>
      </c>
      <c r="AC1093">
        <v>0.81279999999998098</v>
      </c>
      <c r="AD1093">
        <v>-6.2313599999999802E-2</v>
      </c>
      <c r="AE1093">
        <v>-9.9899999999990996E-2</v>
      </c>
      <c r="AF1093">
        <v>9.5421165755111004E-2</v>
      </c>
      <c r="AG1093">
        <v>-6.2313599999999802E-2</v>
      </c>
      <c r="AH1093">
        <v>0.80859112867504501</v>
      </c>
      <c r="AI1093">
        <v>94.376506151609902</v>
      </c>
      <c r="AJ1093">
        <v>83.269700006772297</v>
      </c>
      <c r="AK1093">
        <v>0.81658300067476697</v>
      </c>
      <c r="AL1093">
        <v>72.693565922148906</v>
      </c>
      <c r="AM1093">
        <v>94.248148980669399</v>
      </c>
      <c r="AN1093">
        <v>1.00000004077139</v>
      </c>
    </row>
    <row r="1094" spans="1:40" x14ac:dyDescent="0.25">
      <c r="A1094" t="str">
        <f>"20190304164116030"</f>
        <v>20190304164116030</v>
      </c>
      <c r="B1094" t="str">
        <f>"1551688876022455"</f>
        <v>1551688876022455</v>
      </c>
      <c r="C1094" t="s">
        <v>40</v>
      </c>
      <c r="D1094">
        <v>4.2973480000000004</v>
      </c>
      <c r="E1094">
        <v>0.58100549999999995</v>
      </c>
      <c r="F1094" t="s">
        <v>42</v>
      </c>
      <c r="G1094">
        <v>-273.78919999999999</v>
      </c>
      <c r="H1094" s="1">
        <v>-3.39604E-6</v>
      </c>
      <c r="I1094">
        <v>365.392</v>
      </c>
      <c r="J1094">
        <v>-290.47649999999999</v>
      </c>
      <c r="K1094">
        <v>1.060084</v>
      </c>
      <c r="L1094">
        <v>367.13929999999999</v>
      </c>
      <c r="M1094">
        <v>0.99991039999999998</v>
      </c>
      <c r="N1094">
        <v>-1.248063E-2</v>
      </c>
      <c r="O1094">
        <v>-4.8524709999999997E-3</v>
      </c>
      <c r="P1094">
        <v>0.95604999999999996</v>
      </c>
      <c r="Q1094">
        <v>0.28562959999999998</v>
      </c>
      <c r="R1094">
        <v>6.6214549999999997E-2</v>
      </c>
      <c r="S1094">
        <v>3.221222</v>
      </c>
      <c r="T1094">
        <v>-0.2020864</v>
      </c>
      <c r="U1094">
        <v>-0.33328249999999998</v>
      </c>
      <c r="V1094">
        <v>-7.0811990000000005E-2</v>
      </c>
      <c r="W1094">
        <v>0.2975449</v>
      </c>
      <c r="X1094">
        <v>0.95207810000000004</v>
      </c>
      <c r="Y1094">
        <v>9.7864370000000006E-2</v>
      </c>
      <c r="Z1094">
        <v>-3.428782E-3</v>
      </c>
      <c r="AA1094">
        <v>0.99519380000000002</v>
      </c>
      <c r="AB1094">
        <v>36</v>
      </c>
      <c r="AC1094">
        <v>16.687299999999901</v>
      </c>
      <c r="AD1094">
        <v>-1.0600873960399999</v>
      </c>
      <c r="AE1094">
        <v>-1.7472999999999901</v>
      </c>
      <c r="AF1094">
        <v>1.6596732960179601</v>
      </c>
      <c r="AG1094">
        <v>-1.0600873960399999</v>
      </c>
      <c r="AH1094">
        <v>16.6292014020746</v>
      </c>
      <c r="AI1094">
        <v>93.629602955495201</v>
      </c>
      <c r="AJ1094">
        <v>84.300483289861702</v>
      </c>
      <c r="AK1094">
        <v>16.745406534554999</v>
      </c>
      <c r="AL1094">
        <v>72.689796481870204</v>
      </c>
      <c r="AM1094">
        <v>94.253612814981295</v>
      </c>
      <c r="AN1094">
        <v>1.0000000069716899</v>
      </c>
    </row>
    <row r="1095" spans="1:40" x14ac:dyDescent="0.25">
      <c r="A1095" t="str">
        <f>"20190304164116041"</f>
        <v>20190304164116041</v>
      </c>
      <c r="B1095" t="str">
        <f>"1551688876032216"</f>
        <v>1551688876032216</v>
      </c>
      <c r="C1095" t="s">
        <v>40</v>
      </c>
      <c r="D1095">
        <v>4.2980939999999999</v>
      </c>
      <c r="E1095">
        <v>0.58130899999999996</v>
      </c>
      <c r="F1095" t="s">
        <v>41</v>
      </c>
      <c r="G1095">
        <v>-289.54419999999999</v>
      </c>
      <c r="H1095">
        <v>1.0021880000000001</v>
      </c>
      <c r="I1095">
        <v>367.03980000000001</v>
      </c>
      <c r="J1095">
        <v>-290.2842</v>
      </c>
      <c r="K1095">
        <v>1.0600810000000001</v>
      </c>
      <c r="L1095">
        <v>367.13839999999999</v>
      </c>
      <c r="M1095">
        <v>0.99991019999999997</v>
      </c>
      <c r="N1095">
        <v>-1.2489439999999999E-2</v>
      </c>
      <c r="O1095">
        <v>-4.8738560000000002E-3</v>
      </c>
      <c r="P1095">
        <v>0.95605560000000001</v>
      </c>
      <c r="Q1095">
        <v>0.28552090000000002</v>
      </c>
      <c r="R1095">
        <v>6.6600980000000004E-2</v>
      </c>
      <c r="S1095">
        <v>3.2214969999999998</v>
      </c>
      <c r="T1095">
        <v>-0.20013919999999999</v>
      </c>
      <c r="U1095">
        <v>-0.3435974</v>
      </c>
      <c r="V1095">
        <v>-7.1218820000000002E-2</v>
      </c>
      <c r="W1095">
        <v>0.29744470000000001</v>
      </c>
      <c r="X1095">
        <v>0.95207909999999996</v>
      </c>
      <c r="Y1095">
        <v>0.1009825</v>
      </c>
      <c r="Z1095">
        <v>-3.5171379999999999E-3</v>
      </c>
      <c r="AA1095">
        <v>0.99488200000000004</v>
      </c>
      <c r="AB1095">
        <v>36</v>
      </c>
      <c r="AC1095">
        <v>0.74000000000000898</v>
      </c>
      <c r="AD1095">
        <v>-5.7893000000000097E-2</v>
      </c>
      <c r="AE1095">
        <v>-9.8599999999976207E-2</v>
      </c>
      <c r="AF1095">
        <v>9.4424050816244803E-2</v>
      </c>
      <c r="AG1095">
        <v>-5.7893000000000097E-2</v>
      </c>
      <c r="AH1095">
        <v>0.73604541003036705</v>
      </c>
      <c r="AI1095">
        <v>94.460882272377305</v>
      </c>
      <c r="AJ1095">
        <v>82.689702557122104</v>
      </c>
      <c r="AK1095">
        <v>0.74433214793418701</v>
      </c>
      <c r="AL1095">
        <v>72.695810392625802</v>
      </c>
      <c r="AM1095">
        <v>94.277955786799694</v>
      </c>
      <c r="AN1095">
        <v>1.0000000412685399</v>
      </c>
    </row>
    <row r="1096" spans="1:40" x14ac:dyDescent="0.25">
      <c r="A1096" t="str">
        <f>"20190304164116053"</f>
        <v>20190304164116053</v>
      </c>
      <c r="B1096" t="str">
        <f>"1551688876041976"</f>
        <v>1551688876041976</v>
      </c>
      <c r="C1096" t="s">
        <v>40</v>
      </c>
      <c r="D1096">
        <v>4.2847289999999996</v>
      </c>
      <c r="E1096">
        <v>0.58148259999999996</v>
      </c>
      <c r="F1096" t="s">
        <v>41</v>
      </c>
      <c r="G1096">
        <v>-289.23559999999998</v>
      </c>
      <c r="H1096">
        <v>0.99422730000000004</v>
      </c>
      <c r="I1096">
        <v>367.02620000000002</v>
      </c>
      <c r="J1096">
        <v>-290.0917</v>
      </c>
      <c r="K1096">
        <v>1.060082</v>
      </c>
      <c r="L1096">
        <v>367.13740000000001</v>
      </c>
      <c r="M1096">
        <v>0.99990999999999997</v>
      </c>
      <c r="N1096">
        <v>-1.2497899999999999E-2</v>
      </c>
      <c r="O1096">
        <v>-4.8945280000000004E-3</v>
      </c>
      <c r="P1096">
        <v>0.95596000000000003</v>
      </c>
      <c r="Q1096">
        <v>0.28577629999999998</v>
      </c>
      <c r="R1096">
        <v>6.6876359999999996E-2</v>
      </c>
      <c r="S1096">
        <v>3.2223510000000002</v>
      </c>
      <c r="T1096">
        <v>-0.202374</v>
      </c>
      <c r="U1096">
        <v>-0.34460449999999998</v>
      </c>
      <c r="V1096">
        <v>-7.1513229999999997E-2</v>
      </c>
      <c r="W1096">
        <v>0.29770740000000001</v>
      </c>
      <c r="X1096">
        <v>0.95197489999999996</v>
      </c>
      <c r="Y1096">
        <v>0.1012364</v>
      </c>
      <c r="Z1096">
        <v>-3.5567979999999999E-3</v>
      </c>
      <c r="AA1096">
        <v>0.99485610000000002</v>
      </c>
      <c r="AB1096">
        <v>36</v>
      </c>
      <c r="AC1096">
        <v>0.85610000000002595</v>
      </c>
      <c r="AD1096">
        <v>-6.5854699999999794E-2</v>
      </c>
      <c r="AE1096">
        <v>-0.111199999999996</v>
      </c>
      <c r="AF1096">
        <v>0.106389043325779</v>
      </c>
      <c r="AG1096">
        <v>-6.5854699999999794E-2</v>
      </c>
      <c r="AH1096">
        <v>0.85167802909583501</v>
      </c>
      <c r="AI1096">
        <v>94.387545537889295</v>
      </c>
      <c r="AJ1096">
        <v>82.879667479668797</v>
      </c>
      <c r="AK1096">
        <v>0.86081992036455002</v>
      </c>
      <c r="AL1096">
        <v>72.680044264760497</v>
      </c>
      <c r="AM1096">
        <v>94.296042700895597</v>
      </c>
      <c r="AN1096">
        <v>1.0000000241549001</v>
      </c>
    </row>
    <row r="1097" spans="1:40" x14ac:dyDescent="0.25">
      <c r="A1097" t="str">
        <f>"20190304164116066"</f>
        <v>20190304164116066</v>
      </c>
      <c r="B1097" t="str">
        <f>"1551688876052712"</f>
        <v>1551688876052712</v>
      </c>
      <c r="C1097" t="s">
        <v>40</v>
      </c>
      <c r="D1097">
        <v>4.300135</v>
      </c>
      <c r="E1097">
        <v>0.58170230000000001</v>
      </c>
      <c r="F1097" t="s">
        <v>42</v>
      </c>
      <c r="G1097">
        <v>-273.1814</v>
      </c>
      <c r="H1097" s="1">
        <v>-3.668165E-6</v>
      </c>
      <c r="I1097">
        <v>365.3279</v>
      </c>
      <c r="J1097">
        <v>-289.91340000000002</v>
      </c>
      <c r="K1097">
        <v>1.060084</v>
      </c>
      <c r="L1097">
        <v>367.13650000000001</v>
      </c>
      <c r="M1097">
        <v>0.99990990000000002</v>
      </c>
      <c r="N1097">
        <v>-1.2505580000000001E-2</v>
      </c>
      <c r="O1097">
        <v>-4.9136459999999998E-3</v>
      </c>
      <c r="P1097">
        <v>0.95599990000000001</v>
      </c>
      <c r="Q1097">
        <v>0.28564099999999998</v>
      </c>
      <c r="R1097">
        <v>6.6888600000000006E-2</v>
      </c>
      <c r="S1097">
        <v>3.2227480000000002</v>
      </c>
      <c r="T1097">
        <v>-0.20202929999999999</v>
      </c>
      <c r="U1097">
        <v>-0.34484860000000001</v>
      </c>
      <c r="V1097">
        <v>-7.154481E-2</v>
      </c>
      <c r="W1097">
        <v>0.2975795</v>
      </c>
      <c r="X1097">
        <v>0.95201250000000004</v>
      </c>
      <c r="Y1097">
        <v>0.1012796</v>
      </c>
      <c r="Z1097">
        <v>-3.5526680000000001E-3</v>
      </c>
      <c r="AA1097">
        <v>0.99485159999999995</v>
      </c>
      <c r="AB1097">
        <v>36</v>
      </c>
      <c r="AC1097">
        <v>16.731999999999999</v>
      </c>
      <c r="AD1097">
        <v>-1.060087668165</v>
      </c>
      <c r="AE1097">
        <v>-1.80860000000001</v>
      </c>
      <c r="AF1097">
        <v>1.7195339623378301</v>
      </c>
      <c r="AG1097">
        <v>-1.060087668165</v>
      </c>
      <c r="AH1097">
        <v>16.674525343482401</v>
      </c>
      <c r="AI1097">
        <v>93.618561290562397</v>
      </c>
      <c r="AJ1097">
        <v>84.112275691397201</v>
      </c>
      <c r="AK1097">
        <v>16.796439454308999</v>
      </c>
      <c r="AL1097">
        <v>72.687720031282296</v>
      </c>
      <c r="AM1097">
        <v>94.2977635996522</v>
      </c>
      <c r="AN1097">
        <v>1.0000000094072099</v>
      </c>
    </row>
    <row r="1098" spans="1:40" x14ac:dyDescent="0.25">
      <c r="A1098" t="str">
        <f>"20190304164116078"</f>
        <v>20190304164116078</v>
      </c>
      <c r="B1098" t="str">
        <f>"1551688876072232"</f>
        <v>1551688876072232</v>
      </c>
      <c r="C1098" t="s">
        <v>40</v>
      </c>
      <c r="D1098">
        <v>4.285882</v>
      </c>
      <c r="E1098">
        <v>0.58197239999999995</v>
      </c>
      <c r="F1098" t="s">
        <v>41</v>
      </c>
      <c r="G1098">
        <v>-288.9128</v>
      </c>
      <c r="H1098">
        <v>0.99737330000000002</v>
      </c>
      <c r="I1098">
        <v>367.02890000000002</v>
      </c>
      <c r="J1098">
        <v>-289.70870000000002</v>
      </c>
      <c r="K1098">
        <v>1.060092</v>
      </c>
      <c r="L1098">
        <v>367.13549999999998</v>
      </c>
      <c r="M1098">
        <v>0.99990959999999995</v>
      </c>
      <c r="N1098">
        <v>-1.2514010000000001E-2</v>
      </c>
      <c r="O1098">
        <v>-4.9355110000000001E-3</v>
      </c>
      <c r="P1098">
        <v>0.95586910000000003</v>
      </c>
      <c r="Q1098">
        <v>0.28599390000000002</v>
      </c>
      <c r="R1098">
        <v>6.7245659999999999E-2</v>
      </c>
      <c r="S1098">
        <v>3.2227169999999998</v>
      </c>
      <c r="T1098">
        <v>-0.20191880000000001</v>
      </c>
      <c r="U1098">
        <v>-0.34664919999999999</v>
      </c>
      <c r="V1098">
        <v>-7.1921760000000001E-2</v>
      </c>
      <c r="W1098">
        <v>0.29793910000000001</v>
      </c>
      <c r="X1098">
        <v>0.95187160000000004</v>
      </c>
      <c r="Y1098">
        <v>0.10180740000000001</v>
      </c>
      <c r="Z1098">
        <v>-3.5702300000000002E-3</v>
      </c>
      <c r="AA1098">
        <v>0.99479770000000001</v>
      </c>
      <c r="AB1098">
        <v>36</v>
      </c>
      <c r="AC1098">
        <v>0.79590000000001704</v>
      </c>
      <c r="AD1098">
        <v>-6.2718700000000002E-2</v>
      </c>
      <c r="AE1098">
        <v>-0.10659999999995701</v>
      </c>
      <c r="AF1098">
        <v>0.10204769345277701</v>
      </c>
      <c r="AG1098">
        <v>-6.2718700000000002E-2</v>
      </c>
      <c r="AH1098">
        <v>0.79158750384185395</v>
      </c>
      <c r="AI1098">
        <v>94.493141211764794</v>
      </c>
      <c r="AJ1098">
        <v>82.654215550121293</v>
      </c>
      <c r="AK1098">
        <v>0.80059861560416101</v>
      </c>
      <c r="AL1098">
        <v>72.666137247035806</v>
      </c>
      <c r="AM1098">
        <v>94.320958918563093</v>
      </c>
      <c r="AN1098">
        <v>0.99999999487843305</v>
      </c>
    </row>
    <row r="1099" spans="1:40" x14ac:dyDescent="0.25">
      <c r="A1099" t="str">
        <f>"20190304164116090"</f>
        <v>20190304164116090</v>
      </c>
      <c r="B1099" t="str">
        <f>"1551688876081991"</f>
        <v>1551688876081991</v>
      </c>
      <c r="C1099" t="s">
        <v>40</v>
      </c>
      <c r="D1099">
        <v>4.300961</v>
      </c>
      <c r="E1099">
        <v>0.58211930000000001</v>
      </c>
      <c r="F1099" t="s">
        <v>42</v>
      </c>
      <c r="G1099">
        <v>-272.68189999999998</v>
      </c>
      <c r="H1099" s="1">
        <v>-3.8873689999999996E-6</v>
      </c>
      <c r="I1099">
        <v>365.30009999999999</v>
      </c>
      <c r="J1099">
        <v>-289.50170000000003</v>
      </c>
      <c r="K1099">
        <v>1.060093</v>
      </c>
      <c r="L1099">
        <v>367.13440000000003</v>
      </c>
      <c r="M1099">
        <v>0.99990939999999995</v>
      </c>
      <c r="N1099">
        <v>-1.2523889999999999E-2</v>
      </c>
      <c r="O1099">
        <v>-4.9571459999999999E-3</v>
      </c>
      <c r="P1099">
        <v>0.95574720000000002</v>
      </c>
      <c r="Q1099">
        <v>0.28640729999999998</v>
      </c>
      <c r="R1099">
        <v>6.7219210000000001E-2</v>
      </c>
      <c r="S1099">
        <v>3.2230219999999998</v>
      </c>
      <c r="T1099">
        <v>-0.20066639999999999</v>
      </c>
      <c r="U1099">
        <v>-0.347412099999999</v>
      </c>
      <c r="V1099">
        <v>-7.1915939999999998E-2</v>
      </c>
      <c r="W1099">
        <v>0.29836010000000002</v>
      </c>
      <c r="X1099">
        <v>0.95174009999999998</v>
      </c>
      <c r="Y1099">
        <v>0.1020108</v>
      </c>
      <c r="Z1099">
        <v>-3.5592330000000002E-3</v>
      </c>
      <c r="AA1099">
        <v>0.99477689999999996</v>
      </c>
      <c r="AB1099">
        <v>36</v>
      </c>
      <c r="AC1099">
        <v>16.819800000000001</v>
      </c>
      <c r="AD1099">
        <v>-1.060096887369</v>
      </c>
      <c r="AE1099">
        <v>-1.83430000000004</v>
      </c>
      <c r="AF1099">
        <v>1.7440461592468099</v>
      </c>
      <c r="AG1099">
        <v>-1.060096887369</v>
      </c>
      <c r="AH1099">
        <v>16.762881222024799</v>
      </c>
      <c r="AI1099">
        <v>93.599231617776098</v>
      </c>
      <c r="AJ1099">
        <v>84.060194881471801</v>
      </c>
      <c r="AK1099">
        <v>16.886671942094001</v>
      </c>
      <c r="AL1099">
        <v>72.640865307591199</v>
      </c>
      <c r="AM1099">
        <v>94.321205294185006</v>
      </c>
      <c r="AN1099">
        <v>0.99999993482304905</v>
      </c>
    </row>
    <row r="1100" spans="1:40" x14ac:dyDescent="0.25">
      <c r="A1100" t="str">
        <f>"20190304164116102"</f>
        <v>20190304164116102</v>
      </c>
      <c r="B1100" t="str">
        <f>"1551688876092728"</f>
        <v>1551688876092728</v>
      </c>
      <c r="C1100" t="s">
        <v>40</v>
      </c>
      <c r="D1100">
        <v>4.2988580000000001</v>
      </c>
      <c r="E1100">
        <v>0.58220479999999997</v>
      </c>
      <c r="F1100" t="s">
        <v>42</v>
      </c>
      <c r="G1100">
        <v>-272.4006</v>
      </c>
      <c r="H1100" s="1">
        <v>-4.010454E-6</v>
      </c>
      <c r="I1100">
        <v>365.28649999999999</v>
      </c>
      <c r="J1100">
        <v>-289.32400000000001</v>
      </c>
      <c r="K1100">
        <v>1.060101</v>
      </c>
      <c r="L1100">
        <v>367.13350000000003</v>
      </c>
      <c r="M1100">
        <v>0.99990919999999905</v>
      </c>
      <c r="N1100">
        <v>-1.253288E-2</v>
      </c>
      <c r="O1100">
        <v>-4.9756749999999997E-3</v>
      </c>
      <c r="P1100">
        <v>0.95573090000000005</v>
      </c>
      <c r="Q1100">
        <v>0.286491099999999</v>
      </c>
      <c r="R1100">
        <v>6.7095180000000004E-2</v>
      </c>
      <c r="S1100">
        <v>3.2232970000000001</v>
      </c>
      <c r="T1100">
        <v>-0.1998115</v>
      </c>
      <c r="U1100">
        <v>-0.34829710000000003</v>
      </c>
      <c r="V1100">
        <v>-7.1809399999999995E-2</v>
      </c>
      <c r="W1100">
        <v>0.2984521</v>
      </c>
      <c r="X1100">
        <v>0.95171930000000005</v>
      </c>
      <c r="Y1100">
        <v>0.1022545</v>
      </c>
      <c r="Z1100">
        <v>-3.5554610000000002E-3</v>
      </c>
      <c r="AA1100">
        <v>0.99475190000000002</v>
      </c>
      <c r="AB1100">
        <v>36</v>
      </c>
      <c r="AC1100">
        <v>16.923400000000001</v>
      </c>
      <c r="AD1100">
        <v>-1.060105010454</v>
      </c>
      <c r="AE1100">
        <v>-1.84700000000003</v>
      </c>
      <c r="AF1100">
        <v>1.7559560276108599</v>
      </c>
      <c r="AG1100">
        <v>-1.060105010454</v>
      </c>
      <c r="AH1100">
        <v>16.866975311884001</v>
      </c>
      <c r="AI1100">
        <v>93.577080732176199</v>
      </c>
      <c r="AJ1100">
        <v>84.056566540719899</v>
      </c>
      <c r="AK1100">
        <v>16.991234810213101</v>
      </c>
      <c r="AL1100">
        <v>72.635342489780399</v>
      </c>
      <c r="AM1100">
        <v>94.314921776104399</v>
      </c>
      <c r="AN1100">
        <v>0.99999993595762804</v>
      </c>
    </row>
    <row r="1101" spans="1:40" x14ac:dyDescent="0.25">
      <c r="A1101" t="str">
        <f>"20190304164116113"</f>
        <v>20190304164116113</v>
      </c>
      <c r="B1101" t="str">
        <f>"1551688876102488"</f>
        <v>1551688876102488</v>
      </c>
      <c r="C1101" t="s">
        <v>40</v>
      </c>
      <c r="D1101">
        <v>4.297574</v>
      </c>
      <c r="E1101">
        <v>0.58232010000000001</v>
      </c>
      <c r="F1101" t="s">
        <v>41</v>
      </c>
      <c r="G1101">
        <v>-288.27390000000003</v>
      </c>
      <c r="H1101">
        <v>0.99489159999999999</v>
      </c>
      <c r="I1101">
        <v>367.01960000000003</v>
      </c>
      <c r="J1101">
        <v>-289.14249999999998</v>
      </c>
      <c r="K1101">
        <v>1.0601039999999999</v>
      </c>
      <c r="L1101">
        <v>367.13260000000002</v>
      </c>
      <c r="M1101">
        <v>0.99990889999999999</v>
      </c>
      <c r="N1101">
        <v>-1.254339E-2</v>
      </c>
      <c r="O1101">
        <v>-4.9943299999999999E-3</v>
      </c>
      <c r="P1101">
        <v>0.95573509999999995</v>
      </c>
      <c r="Q1101">
        <v>0.28643970000000002</v>
      </c>
      <c r="R1101">
        <v>6.7252699999999999E-2</v>
      </c>
      <c r="S1101">
        <v>3.2235109999999998</v>
      </c>
      <c r="T1101">
        <v>-0.20026179999999999</v>
      </c>
      <c r="U1101">
        <v>-0.34936519999999999</v>
      </c>
      <c r="V1101">
        <v>-7.1985080000000007E-2</v>
      </c>
      <c r="W1101">
        <v>0.29841109999999998</v>
      </c>
      <c r="X1101">
        <v>0.95171890000000003</v>
      </c>
      <c r="Y1101">
        <v>0.10255309999999999</v>
      </c>
      <c r="Z1101">
        <v>-3.5724379999999998E-3</v>
      </c>
      <c r="AA1101">
        <v>0.99472110000000002</v>
      </c>
      <c r="AB1101">
        <v>36</v>
      </c>
      <c r="AC1101">
        <v>0.86859999999995796</v>
      </c>
      <c r="AD1101">
        <v>-6.5212400000000198E-2</v>
      </c>
      <c r="AE1101">
        <v>-0.112999999999999</v>
      </c>
      <c r="AF1101">
        <v>0.1080612088194</v>
      </c>
      <c r="AG1101">
        <v>-6.5212400000000198E-2</v>
      </c>
      <c r="AH1101">
        <v>0.86436254964885195</v>
      </c>
      <c r="AI1101">
        <v>94.281341162974996</v>
      </c>
      <c r="AJ1101">
        <v>82.873946554239396</v>
      </c>
      <c r="AK1101">
        <v>0.87352876266367696</v>
      </c>
      <c r="AL1101">
        <v>72.637804035338903</v>
      </c>
      <c r="AM1101">
        <v>94.325439926973502</v>
      </c>
      <c r="AN1101">
        <v>0.99999995048151202</v>
      </c>
    </row>
    <row r="1102" spans="1:40" x14ac:dyDescent="0.25">
      <c r="A1102" t="str">
        <f>"20190304164116125"</f>
        <v>20190304164116125</v>
      </c>
      <c r="B1102" t="str">
        <f>"1551688876112247"</f>
        <v>1551688876112247</v>
      </c>
      <c r="C1102" t="s">
        <v>40</v>
      </c>
      <c r="D1102">
        <v>4.3129280000000003</v>
      </c>
      <c r="E1102">
        <v>0.58241140000000002</v>
      </c>
      <c r="F1102" t="s">
        <v>42</v>
      </c>
      <c r="G1102">
        <v>-272.1114</v>
      </c>
      <c r="H1102" s="1">
        <v>-4.1347590000000001E-6</v>
      </c>
      <c r="I1102">
        <v>365.28519999999997</v>
      </c>
      <c r="J1102">
        <v>-288.95569999999998</v>
      </c>
      <c r="K1102">
        <v>1.0601080000000001</v>
      </c>
      <c r="L1102">
        <v>367.13159999999999</v>
      </c>
      <c r="M1102">
        <v>0.99990860000000004</v>
      </c>
      <c r="N1102">
        <v>-1.255421E-2</v>
      </c>
      <c r="O1102">
        <v>-5.0134639999999996E-3</v>
      </c>
      <c r="P1102">
        <v>0.95568640000000005</v>
      </c>
      <c r="Q1102">
        <v>0.28664420000000002</v>
      </c>
      <c r="R1102">
        <v>6.7069680000000007E-2</v>
      </c>
      <c r="S1102">
        <v>3.2236630000000002</v>
      </c>
      <c r="T1102">
        <v>-0.2006578</v>
      </c>
      <c r="U1102">
        <v>-0.34967039999999999</v>
      </c>
      <c r="V1102">
        <v>-7.1820309999999998E-2</v>
      </c>
      <c r="W1102">
        <v>0.29862499999999997</v>
      </c>
      <c r="X1102">
        <v>0.95166430000000002</v>
      </c>
      <c r="Y1102">
        <v>0.1026212</v>
      </c>
      <c r="Z1102">
        <v>-3.5801489999999999E-3</v>
      </c>
      <c r="AA1102">
        <v>0.99471410000000005</v>
      </c>
      <c r="AB1102">
        <v>36</v>
      </c>
      <c r="AC1102">
        <v>16.844299999999901</v>
      </c>
      <c r="AD1102">
        <v>-1.0601121347589999</v>
      </c>
      <c r="AE1102">
        <v>-1.84640000000001</v>
      </c>
      <c r="AF1102">
        <v>1.7550527297523</v>
      </c>
      <c r="AG1102">
        <v>-1.0601121347589999</v>
      </c>
      <c r="AH1102">
        <v>16.787640607003599</v>
      </c>
      <c r="AI1102">
        <v>93.593803025704005</v>
      </c>
      <c r="AJ1102">
        <v>84.031731233026505</v>
      </c>
      <c r="AK1102">
        <v>16.912389688402701</v>
      </c>
      <c r="AL1102">
        <v>72.624963741104594</v>
      </c>
      <c r="AM1102">
        <v>94.315823335376905</v>
      </c>
      <c r="AN1102">
        <v>0.99999999372399295</v>
      </c>
    </row>
    <row r="1103" spans="1:40" x14ac:dyDescent="0.25">
      <c r="A1103" t="str">
        <f>"20190304164116136"</f>
        <v>20190304164116136</v>
      </c>
      <c r="B1103" t="str">
        <f>"1551688876122008"</f>
        <v>1551688876122008</v>
      </c>
      <c r="C1103" t="s">
        <v>40</v>
      </c>
      <c r="D1103">
        <v>4.298845</v>
      </c>
      <c r="E1103">
        <v>0.58252700000000002</v>
      </c>
      <c r="F1103" t="s">
        <v>41</v>
      </c>
      <c r="G1103">
        <v>-287.95159999999998</v>
      </c>
      <c r="H1103">
        <v>0.99783739999999999</v>
      </c>
      <c r="I1103">
        <v>367.02199999999999</v>
      </c>
      <c r="J1103">
        <v>-288.77620000000002</v>
      </c>
      <c r="K1103">
        <v>1.0601100000000001</v>
      </c>
      <c r="L1103">
        <v>367.13069999999999</v>
      </c>
      <c r="M1103">
        <v>0.99990840000000003</v>
      </c>
      <c r="N1103">
        <v>-1.256464E-2</v>
      </c>
      <c r="O1103">
        <v>-5.0310540000000001E-3</v>
      </c>
      <c r="P1103">
        <v>0.95564000000000004</v>
      </c>
      <c r="Q1103">
        <v>0.28685129999999998</v>
      </c>
      <c r="R1103">
        <v>6.6847909999999996E-2</v>
      </c>
      <c r="S1103">
        <v>3.2237849999999999</v>
      </c>
      <c r="T1103">
        <v>-0.20007179999999999</v>
      </c>
      <c r="U1103">
        <v>-0.3510742</v>
      </c>
      <c r="V1103">
        <v>-7.1615090000000006E-2</v>
      </c>
      <c r="W1103">
        <v>0.29884159999999999</v>
      </c>
      <c r="X1103">
        <v>0.95161180000000001</v>
      </c>
      <c r="Y1103">
        <v>0.10302799999999999</v>
      </c>
      <c r="Z1103">
        <v>-3.58648E-3</v>
      </c>
      <c r="AA1103">
        <v>0.994672</v>
      </c>
      <c r="AB1103">
        <v>36</v>
      </c>
      <c r="AC1103">
        <v>0.82460000000003197</v>
      </c>
      <c r="AD1103">
        <v>-6.2272600000000101E-2</v>
      </c>
      <c r="AE1103">
        <v>-0.10869999999999801</v>
      </c>
      <c r="AF1103">
        <v>0.10396688814183</v>
      </c>
      <c r="AG1103">
        <v>-6.2272600000000101E-2</v>
      </c>
      <c r="AH1103">
        <v>0.82053684420667605</v>
      </c>
      <c r="AI1103">
        <v>94.305706776846094</v>
      </c>
      <c r="AJ1103">
        <v>82.7787647982138</v>
      </c>
      <c r="AK1103">
        <v>0.82943818530455105</v>
      </c>
      <c r="AL1103">
        <v>72.611960144874402</v>
      </c>
      <c r="AM1103">
        <v>94.303774190976597</v>
      </c>
      <c r="AN1103">
        <v>1.0000000204527499</v>
      </c>
    </row>
    <row r="1104" spans="1:40" x14ac:dyDescent="0.25">
      <c r="A1104" t="str">
        <f>"20190304164116148"</f>
        <v>20190304164116148</v>
      </c>
      <c r="B1104" t="str">
        <f>"1551688876142504"</f>
        <v>1551688876142504</v>
      </c>
      <c r="C1104" t="s">
        <v>40</v>
      </c>
      <c r="D1104">
        <v>4.3299329999999996</v>
      </c>
      <c r="E1104">
        <v>0.58266909999999905</v>
      </c>
      <c r="F1104" t="s">
        <v>42</v>
      </c>
      <c r="G1104">
        <v>-271.6035</v>
      </c>
      <c r="H1104" s="1">
        <v>-4.3589249999999999E-6</v>
      </c>
      <c r="I1104">
        <v>365.24970000000002</v>
      </c>
      <c r="J1104">
        <v>-288.5949</v>
      </c>
      <c r="K1104">
        <v>1.0601130000000001</v>
      </c>
      <c r="L1104">
        <v>367.12979999999999</v>
      </c>
      <c r="M1104">
        <v>0.99990820000000002</v>
      </c>
      <c r="N1104">
        <v>-1.257482E-2</v>
      </c>
      <c r="O1104">
        <v>-5.0488800000000004E-3</v>
      </c>
      <c r="P1104">
        <v>0.95570730000000004</v>
      </c>
      <c r="Q1104">
        <v>0.28665649999999998</v>
      </c>
      <c r="R1104">
        <v>6.6721150000000007E-2</v>
      </c>
      <c r="S1104">
        <v>3.2236630000000002</v>
      </c>
      <c r="T1104">
        <v>-0.19900419999999999</v>
      </c>
      <c r="U1104">
        <v>-0.35308840000000002</v>
      </c>
      <c r="V1104">
        <v>-7.1505990000000005E-2</v>
      </c>
      <c r="W1104">
        <v>0.2986569</v>
      </c>
      <c r="X1104">
        <v>0.95167800000000002</v>
      </c>
      <c r="Y1104">
        <v>0.10362929999999999</v>
      </c>
      <c r="Z1104">
        <v>-3.5931880000000002E-3</v>
      </c>
      <c r="AA1104">
        <v>0.99460950000000004</v>
      </c>
      <c r="AB1104">
        <v>36</v>
      </c>
      <c r="AC1104">
        <v>16.991399999999999</v>
      </c>
      <c r="AD1104">
        <v>-1.0601173589249999</v>
      </c>
      <c r="AE1104">
        <v>-1.8800999999999699</v>
      </c>
      <c r="AF1104">
        <v>1.7874080470823801</v>
      </c>
      <c r="AG1104">
        <v>-1.0601173589249999</v>
      </c>
      <c r="AH1104">
        <v>16.935549128517501</v>
      </c>
      <c r="AI1104">
        <v>93.562146621813795</v>
      </c>
      <c r="AJ1104">
        <v>83.975205420177502</v>
      </c>
      <c r="AK1104">
        <v>17.062576025498</v>
      </c>
      <c r="AL1104">
        <v>72.623049315821603</v>
      </c>
      <c r="AM1104">
        <v>94.296944502964394</v>
      </c>
      <c r="AN1104">
        <v>1.00000003310374</v>
      </c>
    </row>
    <row r="1105" spans="1:40" x14ac:dyDescent="0.25">
      <c r="A1105" t="str">
        <f>"20190304164116158"</f>
        <v>20190304164116158</v>
      </c>
      <c r="B1105" t="str">
        <f>"1551688876152264"</f>
        <v>1551688876152264</v>
      </c>
      <c r="C1105" t="s">
        <v>40</v>
      </c>
      <c r="D1105">
        <v>4.3357989999999997</v>
      </c>
      <c r="E1105">
        <v>0.58271430000000002</v>
      </c>
      <c r="F1105" t="s">
        <v>41</v>
      </c>
      <c r="G1105">
        <v>-287.62950000000001</v>
      </c>
      <c r="H1105">
        <v>1.0002799999999901</v>
      </c>
      <c r="I1105">
        <v>367.02359999999999</v>
      </c>
      <c r="J1105">
        <v>-288.41699999999997</v>
      </c>
      <c r="K1105">
        <v>1.060119</v>
      </c>
      <c r="L1105">
        <v>367.12880000000001</v>
      </c>
      <c r="M1105">
        <v>0.99990800000000002</v>
      </c>
      <c r="N1105">
        <v>-1.258448E-2</v>
      </c>
      <c r="O1105">
        <v>-5.0662260000000001E-3</v>
      </c>
      <c r="P1105">
        <v>0.95572480000000004</v>
      </c>
      <c r="Q1105">
        <v>0.28668709999999997</v>
      </c>
      <c r="R1105">
        <v>6.6338510000000003E-2</v>
      </c>
      <c r="S1105">
        <v>3.2236940000000001</v>
      </c>
      <c r="T1105">
        <v>-0.19977300000000001</v>
      </c>
      <c r="U1105">
        <v>-0.35440060000000001</v>
      </c>
      <c r="V1105">
        <v>-7.1140179999999997E-2</v>
      </c>
      <c r="W1105">
        <v>0.2986974</v>
      </c>
      <c r="X1105">
        <v>0.95169269999999995</v>
      </c>
      <c r="Y1105">
        <v>0.10400860000000001</v>
      </c>
      <c r="Z1105">
        <v>-3.6180040000000002E-3</v>
      </c>
      <c r="AA1105">
        <v>0.99456979999999995</v>
      </c>
      <c r="AB1105">
        <v>36</v>
      </c>
      <c r="AC1105">
        <v>0.78750000000002196</v>
      </c>
      <c r="AD1105">
        <v>-5.9839000000000198E-2</v>
      </c>
      <c r="AE1105">
        <v>-0.105200000000024</v>
      </c>
      <c r="AF1105">
        <v>0.10063779832054</v>
      </c>
      <c r="AG1105">
        <v>-5.9839000000000198E-2</v>
      </c>
      <c r="AH1105">
        <v>0.78357794142372095</v>
      </c>
      <c r="AI1105">
        <v>94.331552719797799</v>
      </c>
      <c r="AJ1105">
        <v>82.681357560993405</v>
      </c>
      <c r="AK1105">
        <v>0.79227713753309903</v>
      </c>
      <c r="AL1105">
        <v>72.620617770020502</v>
      </c>
      <c r="AM1105">
        <v>94.274978130547296</v>
      </c>
      <c r="AN1105">
        <v>1.00000002860524</v>
      </c>
    </row>
    <row r="1106" spans="1:40" x14ac:dyDescent="0.25">
      <c r="A1106" t="str">
        <f>"20190304164116170"</f>
        <v>20190304164116170</v>
      </c>
      <c r="B1106" t="str">
        <f>"1551688876162023"</f>
        <v>1551688876162023</v>
      </c>
      <c r="C1106" t="s">
        <v>40</v>
      </c>
      <c r="D1106">
        <v>4.3470040000000001</v>
      </c>
      <c r="E1106">
        <v>0.58279289999999995</v>
      </c>
      <c r="F1106" t="s">
        <v>42</v>
      </c>
      <c r="G1106">
        <v>-271.30790000000002</v>
      </c>
      <c r="H1106" s="1">
        <v>-4.4877609999999996E-6</v>
      </c>
      <c r="I1106">
        <v>365.23840000000001</v>
      </c>
      <c r="J1106">
        <v>-288.22949999999997</v>
      </c>
      <c r="K1106">
        <v>1.0601119999999999</v>
      </c>
      <c r="L1106">
        <v>367.12790000000001</v>
      </c>
      <c r="M1106">
        <v>0.99990789999999996</v>
      </c>
      <c r="N1106">
        <v>-1.2594030000000001E-2</v>
      </c>
      <c r="O1106">
        <v>-5.084997E-3</v>
      </c>
      <c r="P1106">
        <v>0.95573390000000003</v>
      </c>
      <c r="Q1106">
        <v>0.28674189999999999</v>
      </c>
      <c r="R1106">
        <v>6.5969139999999996E-2</v>
      </c>
      <c r="S1106">
        <v>3.223633</v>
      </c>
      <c r="T1106">
        <v>-0.1997437</v>
      </c>
      <c r="U1106">
        <v>-0.35617070000000001</v>
      </c>
      <c r="V1106">
        <v>-7.0788829999999997E-2</v>
      </c>
      <c r="W1106">
        <v>0.29876059999999999</v>
      </c>
      <c r="X1106">
        <v>0.95169899999999996</v>
      </c>
      <c r="Y1106">
        <v>0.104530399999999</v>
      </c>
      <c r="Z1106">
        <v>-3.6365910000000002E-3</v>
      </c>
      <c r="AA1106">
        <v>0.99451509999999999</v>
      </c>
      <c r="AB1106">
        <v>36</v>
      </c>
      <c r="AC1106">
        <v>16.921599999999899</v>
      </c>
      <c r="AD1106">
        <v>-1.0601164877609901</v>
      </c>
      <c r="AE1106">
        <v>-1.88949999999999</v>
      </c>
      <c r="AF1106">
        <v>1.7964584490569899</v>
      </c>
      <c r="AG1106">
        <v>-1.0601164877609901</v>
      </c>
      <c r="AH1106">
        <v>16.865610055895299</v>
      </c>
      <c r="AI1106">
        <v>93.5765126647768</v>
      </c>
      <c r="AJ1106">
        <v>83.920003640838004</v>
      </c>
      <c r="AK1106">
        <v>16.9941140541167</v>
      </c>
      <c r="AL1106">
        <v>72.616822378411797</v>
      </c>
      <c r="AM1106">
        <v>94.253914334607103</v>
      </c>
      <c r="AN1106">
        <v>0.999999970583064</v>
      </c>
    </row>
    <row r="1107" spans="1:40" x14ac:dyDescent="0.25">
      <c r="A1107" t="str">
        <f>"20190304164116181"</f>
        <v>20190304164116181</v>
      </c>
      <c r="B1107" t="str">
        <f>"1551688876172759"</f>
        <v>1551688876172759</v>
      </c>
      <c r="C1107" t="s">
        <v>40</v>
      </c>
      <c r="D1107">
        <v>4.3223120000000002</v>
      </c>
      <c r="E1107">
        <v>0.58289650000000004</v>
      </c>
      <c r="F1107" t="s">
        <v>42</v>
      </c>
      <c r="G1107">
        <v>-271.13850000000002</v>
      </c>
      <c r="H1107" s="1">
        <v>-4.5614699999999999E-6</v>
      </c>
      <c r="I1107">
        <v>365.23250000000002</v>
      </c>
      <c r="J1107">
        <v>-288.053</v>
      </c>
      <c r="K1107">
        <v>1.0601130000000001</v>
      </c>
      <c r="L1107">
        <v>367.12689999999998</v>
      </c>
      <c r="M1107">
        <v>0.99990769999999995</v>
      </c>
      <c r="N1107">
        <v>-1.2602810000000001E-2</v>
      </c>
      <c r="O1107">
        <v>-5.1029250000000003E-3</v>
      </c>
      <c r="P1107">
        <v>0.95566329999999999</v>
      </c>
      <c r="Q1107">
        <v>0.28700379999999998</v>
      </c>
      <c r="R1107">
        <v>6.5854250000000003E-2</v>
      </c>
      <c r="S1107">
        <v>3.2235719999999999</v>
      </c>
      <c r="T1107">
        <v>-0.19995009999999999</v>
      </c>
      <c r="U1107">
        <v>-0.35748289999999999</v>
      </c>
      <c r="V1107">
        <v>-7.0690909999999996E-2</v>
      </c>
      <c r="W1107">
        <v>0.29903000000000002</v>
      </c>
      <c r="X1107">
        <v>0.95162170000000001</v>
      </c>
      <c r="Y1107">
        <v>0.1049132</v>
      </c>
      <c r="Z1107">
        <v>-3.6534699999999998E-3</v>
      </c>
      <c r="AA1107">
        <v>0.99447459999999999</v>
      </c>
      <c r="AB1107">
        <v>36</v>
      </c>
      <c r="AC1107">
        <v>16.914499999999901</v>
      </c>
      <c r="AD1107">
        <v>-1.06011756146999</v>
      </c>
      <c r="AE1107">
        <v>-1.8943999999999599</v>
      </c>
      <c r="AF1107">
        <v>1.80106781680645</v>
      </c>
      <c r="AG1107">
        <v>-1.06011756146999</v>
      </c>
      <c r="AH1107">
        <v>16.858544730641199</v>
      </c>
      <c r="AI1107">
        <v>93.577891566518801</v>
      </c>
      <c r="AJ1107">
        <v>83.901985491246606</v>
      </c>
      <c r="AK1107">
        <v>16.987590322347199</v>
      </c>
      <c r="AL1107">
        <v>72.600648051969003</v>
      </c>
      <c r="AM1107">
        <v>94.248395386864303</v>
      </c>
      <c r="AN1107">
        <v>1.0000000027837499</v>
      </c>
    </row>
    <row r="1108" spans="1:40" x14ac:dyDescent="0.25">
      <c r="A1108" t="str">
        <f>"20190304164116193"</f>
        <v>20190304164116193</v>
      </c>
      <c r="B1108" t="str">
        <f>"1551688876182520"</f>
        <v>1551688876182520</v>
      </c>
      <c r="C1108" t="s">
        <v>40</v>
      </c>
      <c r="D1108">
        <v>4.3488530000000001</v>
      </c>
      <c r="E1108">
        <v>0.58295769999999902</v>
      </c>
      <c r="F1108" t="s">
        <v>42</v>
      </c>
      <c r="G1108">
        <v>-270.89859999999999</v>
      </c>
      <c r="H1108" s="1">
        <v>-4.6671709999999998E-6</v>
      </c>
      <c r="I1108">
        <v>365.21679999999998</v>
      </c>
      <c r="J1108">
        <v>-287.87459999999999</v>
      </c>
      <c r="K1108">
        <v>1.0601160000000001</v>
      </c>
      <c r="L1108">
        <v>367.12599999999998</v>
      </c>
      <c r="M1108">
        <v>0.9999074</v>
      </c>
      <c r="N1108">
        <v>-1.2610919999999999E-2</v>
      </c>
      <c r="O1108">
        <v>-5.1219200000000003E-3</v>
      </c>
      <c r="P1108">
        <v>0.95559479999999997</v>
      </c>
      <c r="Q1108">
        <v>0.28723179999999998</v>
      </c>
      <c r="R1108">
        <v>6.5851729999999997E-2</v>
      </c>
      <c r="S1108">
        <v>3.2237550000000001</v>
      </c>
      <c r="T1108">
        <v>-0.19922229999999999</v>
      </c>
      <c r="U1108">
        <v>-0.35894779999999998</v>
      </c>
      <c r="V1108">
        <v>-7.0706790000000005E-2</v>
      </c>
      <c r="W1108">
        <v>0.299264799999999</v>
      </c>
      <c r="X1108">
        <v>0.95154669999999997</v>
      </c>
      <c r="Y1108">
        <v>0.1053351</v>
      </c>
      <c r="Z1108">
        <v>-3.6578100000000001E-3</v>
      </c>
      <c r="AA1108">
        <v>0.99443009999999998</v>
      </c>
      <c r="AB1108">
        <v>36</v>
      </c>
      <c r="AC1108">
        <v>16.975999999999999</v>
      </c>
      <c r="AD1108">
        <v>-1.060120667171</v>
      </c>
      <c r="AE1108">
        <v>-1.90919999999999</v>
      </c>
      <c r="AF1108">
        <v>1.8152277611618901</v>
      </c>
      <c r="AG1108">
        <v>-1.060120667171</v>
      </c>
      <c r="AH1108">
        <v>16.9203952360232</v>
      </c>
      <c r="AI1108">
        <v>93.564689237783497</v>
      </c>
      <c r="AJ1108">
        <v>83.876702040523497</v>
      </c>
      <c r="AK1108">
        <v>17.050474556360399</v>
      </c>
      <c r="AL1108">
        <v>72.586549267933904</v>
      </c>
      <c r="AM1108">
        <v>94.249679953103396</v>
      </c>
      <c r="AN1108">
        <v>0.99999999647601601</v>
      </c>
    </row>
    <row r="1109" spans="1:40" x14ac:dyDescent="0.25">
      <c r="A1109" t="str">
        <f>"20190304164116206"</f>
        <v>20190304164116206</v>
      </c>
      <c r="B1109" t="str">
        <f>"1551688876192280"</f>
        <v>1551688876192280</v>
      </c>
      <c r="C1109" t="s">
        <v>40</v>
      </c>
      <c r="D1109">
        <v>4.3404800000000003</v>
      </c>
      <c r="E1109">
        <v>0.5830187</v>
      </c>
      <c r="F1109" t="s">
        <v>42</v>
      </c>
      <c r="G1109">
        <v>-270.67599999999999</v>
      </c>
      <c r="H1109" s="1">
        <v>-4.7647889999999996E-6</v>
      </c>
      <c r="I1109">
        <v>365.20490000000001</v>
      </c>
      <c r="J1109">
        <v>-287.65449999999998</v>
      </c>
      <c r="K1109">
        <v>1.060119</v>
      </c>
      <c r="L1109">
        <v>367.12479999999999</v>
      </c>
      <c r="M1109">
        <v>0.99990710000000005</v>
      </c>
      <c r="N1109">
        <v>-1.2620569999999999E-2</v>
      </c>
      <c r="O1109">
        <v>-5.145335E-3</v>
      </c>
      <c r="P1109">
        <v>0.95558710000000002</v>
      </c>
      <c r="Q1109">
        <v>0.28724189999999999</v>
      </c>
      <c r="R1109">
        <v>6.5919489999999997E-2</v>
      </c>
      <c r="S1109">
        <v>3.2239689999999999</v>
      </c>
      <c r="T1109">
        <v>-0.19872390000000001</v>
      </c>
      <c r="U1109">
        <v>-0.36010740000000002</v>
      </c>
      <c r="V1109">
        <v>-7.0797529999999997E-2</v>
      </c>
      <c r="W1109">
        <v>0.29928389999999999</v>
      </c>
      <c r="X1109">
        <v>0.95153399999999999</v>
      </c>
      <c r="Y1109">
        <v>0.10565819999999999</v>
      </c>
      <c r="Z1109">
        <v>-3.6616420000000001E-3</v>
      </c>
      <c r="AA1109">
        <v>0.99439580000000005</v>
      </c>
      <c r="AB1109">
        <v>36</v>
      </c>
      <c r="AC1109">
        <v>16.978499999999901</v>
      </c>
      <c r="AD1109">
        <v>-1.0601237647890001</v>
      </c>
      <c r="AE1109">
        <v>-1.91989999999998</v>
      </c>
      <c r="AF1109">
        <v>1.8254804907746001</v>
      </c>
      <c r="AG1109">
        <v>-1.0601237647890001</v>
      </c>
      <c r="AH1109">
        <v>16.923010572614899</v>
      </c>
      <c r="AI1109">
        <v>93.5639273814229</v>
      </c>
      <c r="AJ1109">
        <v>83.843325828320204</v>
      </c>
      <c r="AK1109">
        <v>17.054164542999601</v>
      </c>
      <c r="AL1109">
        <v>72.585403279906899</v>
      </c>
      <c r="AM1109">
        <v>94.255170251878894</v>
      </c>
      <c r="AN1109">
        <v>1.00000004810465</v>
      </c>
    </row>
    <row r="1110" spans="1:40" x14ac:dyDescent="0.25">
      <c r="A1110" t="str">
        <f>"20190304164116218"</f>
        <v>20190304164116218</v>
      </c>
      <c r="B1110" t="str">
        <f>"1551688876212776"</f>
        <v>1551688876212776</v>
      </c>
      <c r="C1110" t="s">
        <v>40</v>
      </c>
      <c r="D1110">
        <v>4.3510809999999998</v>
      </c>
      <c r="E1110">
        <v>0.58314730000000004</v>
      </c>
      <c r="F1110" t="s">
        <v>41</v>
      </c>
      <c r="G1110">
        <v>-286.67020000000002</v>
      </c>
      <c r="H1110">
        <v>0.999637</v>
      </c>
      <c r="I1110">
        <v>367.01440000000002</v>
      </c>
      <c r="J1110">
        <v>-287.45650000000001</v>
      </c>
      <c r="K1110">
        <v>1.060119</v>
      </c>
      <c r="L1110">
        <v>367.12380000000002</v>
      </c>
      <c r="M1110">
        <v>0.99990699999999999</v>
      </c>
      <c r="N1110">
        <v>-1.262863E-2</v>
      </c>
      <c r="O1110">
        <v>-5.1660070000000002E-3</v>
      </c>
      <c r="P1110">
        <v>0.9555922</v>
      </c>
      <c r="Q1110">
        <v>0.28725129999999999</v>
      </c>
      <c r="R1110">
        <v>6.580503E-2</v>
      </c>
      <c r="S1110">
        <v>3.2239070000000001</v>
      </c>
      <c r="T1110">
        <v>-0.19837189999999999</v>
      </c>
      <c r="U1110">
        <v>-0.36047360000000001</v>
      </c>
      <c r="V1110">
        <v>-7.0702760000000003E-2</v>
      </c>
      <c r="W1110">
        <v>0.29930109999999999</v>
      </c>
      <c r="X1110">
        <v>0.95153560000000004</v>
      </c>
      <c r="Y1110">
        <v>0.10575180000000001</v>
      </c>
      <c r="Z1110">
        <v>-3.6594290000000001E-3</v>
      </c>
      <c r="AA1110">
        <v>0.99438579999999999</v>
      </c>
      <c r="AB1110">
        <v>36</v>
      </c>
      <c r="AC1110">
        <v>0.78629999999998201</v>
      </c>
      <c r="AD1110">
        <v>-6.0481999999999897E-2</v>
      </c>
      <c r="AE1110">
        <v>-0.109399999999993</v>
      </c>
      <c r="AF1110">
        <v>0.10472831164084</v>
      </c>
      <c r="AG1110">
        <v>-6.0481999999999897E-2</v>
      </c>
      <c r="AH1110">
        <v>0.78231393584395403</v>
      </c>
      <c r="AI1110">
        <v>94.381902949287195</v>
      </c>
      <c r="AJ1110">
        <v>82.375151072575093</v>
      </c>
      <c r="AK1110">
        <v>0.79160671156755602</v>
      </c>
      <c r="AL1110">
        <v>72.584369825312194</v>
      </c>
      <c r="AM1110">
        <v>94.249488015498699</v>
      </c>
      <c r="AN1110">
        <v>1.0000000134000899</v>
      </c>
    </row>
    <row r="1111" spans="1:40" x14ac:dyDescent="0.25">
      <c r="A1111" t="str">
        <f>"20190304164116238"</f>
        <v>20190304164116238</v>
      </c>
      <c r="B1111" t="str">
        <f>"1551688876232296"</f>
        <v>1551688876232296</v>
      </c>
      <c r="C1111" t="s">
        <v>40</v>
      </c>
      <c r="D1111">
        <v>4.3527559999999896</v>
      </c>
      <c r="E1111">
        <v>0.58327459999999998</v>
      </c>
      <c r="F1111" t="s">
        <v>42</v>
      </c>
      <c r="G1111">
        <v>-270.23360000000002</v>
      </c>
      <c r="H1111" s="1">
        <v>-4.9574409999999998E-6</v>
      </c>
      <c r="I1111">
        <v>365.18860000000001</v>
      </c>
      <c r="J1111">
        <v>-287.1481</v>
      </c>
      <c r="K1111">
        <v>1.0601240000000001</v>
      </c>
      <c r="L1111">
        <v>367.12220000000002</v>
      </c>
      <c r="M1111">
        <v>0.99990670000000004</v>
      </c>
      <c r="N1111">
        <v>-1.2640230000000001E-2</v>
      </c>
      <c r="O1111">
        <v>-5.198144E-3</v>
      </c>
      <c r="P1111">
        <v>0.95554240000000001</v>
      </c>
      <c r="Q1111">
        <v>0.28743730000000001</v>
      </c>
      <c r="R1111">
        <v>6.5716650000000001E-2</v>
      </c>
      <c r="S1111">
        <v>3.2239990000000001</v>
      </c>
      <c r="T1111">
        <v>-0.1984465</v>
      </c>
      <c r="U1111">
        <v>-0.3622437</v>
      </c>
      <c r="V1111">
        <v>-7.0645120000000006E-2</v>
      </c>
      <c r="W1111">
        <v>0.29949730000000002</v>
      </c>
      <c r="X1111">
        <v>0.95147809999999999</v>
      </c>
      <c r="Y1111">
        <v>0.1062546</v>
      </c>
      <c r="Z1111">
        <v>-3.6780879999999999E-3</v>
      </c>
      <c r="AA1111">
        <v>0.99433210000000005</v>
      </c>
      <c r="AB1111">
        <v>36</v>
      </c>
      <c r="AC1111">
        <v>16.914499999999901</v>
      </c>
      <c r="AD1111">
        <v>-1.060128957441</v>
      </c>
      <c r="AE1111">
        <v>-1.93360000000001</v>
      </c>
      <c r="AF1111">
        <v>1.8385138709781399</v>
      </c>
      <c r="AG1111">
        <v>-1.060128957441</v>
      </c>
      <c r="AH1111">
        <v>16.858951497437801</v>
      </c>
      <c r="AI1111">
        <v>93.576999175667595</v>
      </c>
      <c r="AJ1111">
        <v>83.776335454782696</v>
      </c>
      <c r="AK1111">
        <v>16.992005539463101</v>
      </c>
      <c r="AL1111">
        <v>72.572587157460404</v>
      </c>
      <c r="AM1111">
        <v>94.246291980295695</v>
      </c>
      <c r="AN1111">
        <v>0.99999997023335596</v>
      </c>
    </row>
    <row r="1112" spans="1:40" x14ac:dyDescent="0.25">
      <c r="A1112" t="str">
        <f>"20190304164116249"</f>
        <v>20190304164116249</v>
      </c>
      <c r="B1112" t="str">
        <f>"1551688876242056"</f>
        <v>1551688876242056</v>
      </c>
      <c r="C1112" t="s">
        <v>40</v>
      </c>
      <c r="D1112">
        <v>4.3625210000000001</v>
      </c>
      <c r="E1112">
        <v>0.58330590000000004</v>
      </c>
      <c r="F1112" t="s">
        <v>42</v>
      </c>
      <c r="G1112">
        <v>-269.93369999999999</v>
      </c>
      <c r="H1112" s="1">
        <v>-1.1876299999999901E-6</v>
      </c>
      <c r="I1112">
        <v>365.18520000000001</v>
      </c>
      <c r="J1112">
        <v>-286.96190000000001</v>
      </c>
      <c r="K1112">
        <v>1.0601259999999999</v>
      </c>
      <c r="L1112">
        <v>367.12119999999999</v>
      </c>
      <c r="M1112">
        <v>0.99990650000000003</v>
      </c>
      <c r="N1112">
        <v>-1.2646620000000001E-2</v>
      </c>
      <c r="O1112">
        <v>-5.2172590000000001E-3</v>
      </c>
      <c r="P1112">
        <v>0.9554861</v>
      </c>
      <c r="Q1112">
        <v>0.2876069</v>
      </c>
      <c r="R1112">
        <v>6.5794270000000002E-2</v>
      </c>
      <c r="S1112">
        <v>3.2242739999999999</v>
      </c>
      <c r="T1112">
        <v>-0.1985624</v>
      </c>
      <c r="U1112">
        <v>-0.36279299999999998</v>
      </c>
      <c r="V1112">
        <v>-7.0740399999999995E-2</v>
      </c>
      <c r="W1112">
        <v>0.29967240000000001</v>
      </c>
      <c r="X1112">
        <v>0.95141589999999998</v>
      </c>
      <c r="Y1112">
        <v>0.106393</v>
      </c>
      <c r="Z1112">
        <v>-3.6840950000000001E-3</v>
      </c>
      <c r="AA1112">
        <v>0.99431740000000002</v>
      </c>
      <c r="AB1112">
        <v>36</v>
      </c>
      <c r="AC1112">
        <v>17.028199999999998</v>
      </c>
      <c r="AD1112">
        <v>-1.06012718763</v>
      </c>
      <c r="AE1112">
        <v>-1.93599999999997</v>
      </c>
      <c r="AF1112">
        <v>1.84008495184714</v>
      </c>
      <c r="AG1112">
        <v>-1.06012718763</v>
      </c>
      <c r="AH1112">
        <v>16.973122141250201</v>
      </c>
      <c r="AI1112">
        <v>93.553238337001403</v>
      </c>
      <c r="AJ1112">
        <v>83.812632123051202</v>
      </c>
      <c r="AK1112">
        <v>17.105456951095</v>
      </c>
      <c r="AL1112">
        <v>72.562071919338294</v>
      </c>
      <c r="AM1112">
        <v>94.252274980192993</v>
      </c>
      <c r="AN1112">
        <v>0.99999998314336402</v>
      </c>
    </row>
    <row r="1113" spans="1:40" x14ac:dyDescent="0.25">
      <c r="A1113" t="str">
        <f>"20190304164116260"</f>
        <v>20190304164116260</v>
      </c>
      <c r="B1113" t="str">
        <f>"1551688876251816"</f>
        <v>1551688876251816</v>
      </c>
      <c r="C1113" t="s">
        <v>40</v>
      </c>
      <c r="D1113">
        <v>4.3775259999999996</v>
      </c>
      <c r="E1113">
        <v>0.58335230000000005</v>
      </c>
      <c r="F1113" t="s">
        <v>42</v>
      </c>
      <c r="G1113">
        <v>-269.73230000000001</v>
      </c>
      <c r="H1113" s="1">
        <v>-1.2560379999999999E-6</v>
      </c>
      <c r="I1113">
        <v>365.18560000000002</v>
      </c>
      <c r="J1113">
        <v>-286.79300000000001</v>
      </c>
      <c r="K1113">
        <v>1.060125</v>
      </c>
      <c r="L1113">
        <v>367.12029999999999</v>
      </c>
      <c r="M1113">
        <v>0.99990639999999997</v>
      </c>
      <c r="N1113">
        <v>-1.2652190000000001E-2</v>
      </c>
      <c r="O1113">
        <v>-5.2344619999999996E-3</v>
      </c>
      <c r="P1113">
        <v>0.95548010000000005</v>
      </c>
      <c r="Q1113">
        <v>0.28765629999999998</v>
      </c>
      <c r="R1113">
        <v>6.5665089999999995E-2</v>
      </c>
      <c r="S1113">
        <v>3.2244259999999998</v>
      </c>
      <c r="T1113">
        <v>-0.1983963</v>
      </c>
      <c r="U1113">
        <v>-0.36221310000000001</v>
      </c>
      <c r="V1113">
        <v>-7.0627519999999999E-2</v>
      </c>
      <c r="W1113">
        <v>0.29972700000000002</v>
      </c>
      <c r="X1113">
        <v>0.95140709999999995</v>
      </c>
      <c r="Y1113">
        <v>0.106194899999999</v>
      </c>
      <c r="Z1113">
        <v>-3.6736849999999999E-3</v>
      </c>
      <c r="AA1113">
        <v>0.99433859999999996</v>
      </c>
      <c r="AB1113">
        <v>36</v>
      </c>
      <c r="AC1113">
        <v>17.060699999999901</v>
      </c>
      <c r="AD1113">
        <v>-1.060126256038</v>
      </c>
      <c r="AE1113">
        <v>-1.9346999999999599</v>
      </c>
      <c r="AF1113">
        <v>1.8383546500187999</v>
      </c>
      <c r="AG1113">
        <v>-1.060126256038</v>
      </c>
      <c r="AH1113">
        <v>17.0057653018976</v>
      </c>
      <c r="AI1113">
        <v>93.546549369825101</v>
      </c>
      <c r="AJ1113">
        <v>83.830179458629203</v>
      </c>
      <c r="AK1113">
        <v>17.137662296859801</v>
      </c>
      <c r="AL1113">
        <v>72.558793065112496</v>
      </c>
      <c r="AM1113">
        <v>94.245553606772106</v>
      </c>
      <c r="AN1113">
        <v>0.99999999552037999</v>
      </c>
    </row>
    <row r="1114" spans="1:40" x14ac:dyDescent="0.25">
      <c r="A1114" t="str">
        <f>"20190304164116274"</f>
        <v>20190304164116274</v>
      </c>
      <c r="B1114" t="str">
        <f>"1551688876262552"</f>
        <v>1551688876262552</v>
      </c>
      <c r="C1114" t="s">
        <v>40</v>
      </c>
      <c r="D1114">
        <v>4.3455320000000004</v>
      </c>
      <c r="E1114">
        <v>0.58334569999999997</v>
      </c>
      <c r="F1114" t="s">
        <v>42</v>
      </c>
      <c r="G1114">
        <v>-269.59980000000002</v>
      </c>
      <c r="H1114" s="1">
        <v>-1.3009220000000001E-6</v>
      </c>
      <c r="I1114">
        <v>365.18650000000002</v>
      </c>
      <c r="J1114">
        <v>-286.57819999999998</v>
      </c>
      <c r="K1114">
        <v>1.0601259999999999</v>
      </c>
      <c r="L1114">
        <v>367.1191</v>
      </c>
      <c r="M1114">
        <v>0.99990619999999997</v>
      </c>
      <c r="N1114">
        <v>-1.2658600000000001E-2</v>
      </c>
      <c r="O1114">
        <v>-5.2564369999999897E-3</v>
      </c>
      <c r="P1114">
        <v>0.95552369999999998</v>
      </c>
      <c r="Q1114">
        <v>0.2874949</v>
      </c>
      <c r="R1114">
        <v>6.5739270000000002E-2</v>
      </c>
      <c r="S1114">
        <v>3.224548</v>
      </c>
      <c r="T1114">
        <v>-0.19882379999999999</v>
      </c>
      <c r="U1114">
        <v>-0.36267090000000002</v>
      </c>
      <c r="V1114">
        <v>-7.0722759999999996E-2</v>
      </c>
      <c r="W1114">
        <v>0.29957230000000001</v>
      </c>
      <c r="X1114">
        <v>0.95144870000000004</v>
      </c>
      <c r="Y1114">
        <v>0.1063071</v>
      </c>
      <c r="Z1114">
        <v>-3.6833289999999999E-3</v>
      </c>
      <c r="AA1114">
        <v>0.9943265</v>
      </c>
      <c r="AB1114">
        <v>36</v>
      </c>
      <c r="AC1114">
        <v>16.978399999999901</v>
      </c>
      <c r="AD1114">
        <v>-1.060127300922</v>
      </c>
      <c r="AE1114">
        <v>-1.9325999999999799</v>
      </c>
      <c r="AF1114">
        <v>1.8362527948499501</v>
      </c>
      <c r="AG1114">
        <v>-1.060127300922</v>
      </c>
      <c r="AH1114">
        <v>16.923189881643498</v>
      </c>
      <c r="AI1114">
        <v>93.563660050911295</v>
      </c>
      <c r="AJ1114">
        <v>83.807341382803997</v>
      </c>
      <c r="AK1114">
        <v>17.055499112922998</v>
      </c>
      <c r="AL1114">
        <v>72.568082815159698</v>
      </c>
      <c r="AM1114">
        <v>94.251072492228204</v>
      </c>
      <c r="AN1114">
        <v>0.99999995022049704</v>
      </c>
    </row>
    <row r="1115" spans="1:40" x14ac:dyDescent="0.25">
      <c r="A1115" t="str">
        <f>"20190304164116286"</f>
        <v>20190304164116286</v>
      </c>
      <c r="B1115" t="str">
        <f>"1551688876272312"</f>
        <v>1551688876272312</v>
      </c>
      <c r="C1115" t="s">
        <v>40</v>
      </c>
      <c r="D1115">
        <v>4.4037499999999996</v>
      </c>
      <c r="E1115">
        <v>0.58334569999999997</v>
      </c>
      <c r="F1115" t="s">
        <v>42</v>
      </c>
      <c r="G1115">
        <v>-269.42770000000002</v>
      </c>
      <c r="H1115" s="1">
        <v>-1.358394E-6</v>
      </c>
      <c r="I1115">
        <v>365.19060000000002</v>
      </c>
      <c r="J1115">
        <v>-286.37470000000002</v>
      </c>
      <c r="K1115">
        <v>1.060127</v>
      </c>
      <c r="L1115">
        <v>367.11799999999999</v>
      </c>
      <c r="M1115">
        <v>0.99990590000000001</v>
      </c>
      <c r="N1115">
        <v>-1.266434E-2</v>
      </c>
      <c r="O1115">
        <v>-5.277215E-3</v>
      </c>
      <c r="P1115">
        <v>0.95556370000000002</v>
      </c>
      <c r="Q1115">
        <v>0.2873464</v>
      </c>
      <c r="R1115">
        <v>6.5806050000000005E-2</v>
      </c>
      <c r="S1115">
        <v>3.224548</v>
      </c>
      <c r="T1115">
        <v>-0.199319</v>
      </c>
      <c r="U1115">
        <v>-0.36257929999999999</v>
      </c>
      <c r="V1115">
        <v>-7.0809579999999997E-2</v>
      </c>
      <c r="W1115">
        <v>0.29942950000000002</v>
      </c>
      <c r="X1115">
        <v>0.95148719999999998</v>
      </c>
      <c r="Y1115">
        <v>0.1062577</v>
      </c>
      <c r="Z1115">
        <v>-3.6881290000000001E-3</v>
      </c>
      <c r="AA1115">
        <v>0.99433179999999999</v>
      </c>
      <c r="AB1115">
        <v>36</v>
      </c>
      <c r="AC1115">
        <v>16.946999999999999</v>
      </c>
      <c r="AD1115">
        <v>-1.060128358394</v>
      </c>
      <c r="AE1115">
        <v>-1.92740000000003</v>
      </c>
      <c r="AF1115">
        <v>1.83086000360557</v>
      </c>
      <c r="AG1115">
        <v>-1.060128358394</v>
      </c>
      <c r="AH1115">
        <v>16.891679776452801</v>
      </c>
      <c r="AI1115">
        <v>93.570338753686698</v>
      </c>
      <c r="AJ1115">
        <v>83.813958540540696</v>
      </c>
      <c r="AK1115">
        <v>17.023653137893199</v>
      </c>
      <c r="AL1115">
        <v>72.576658422513304</v>
      </c>
      <c r="AM1115">
        <v>94.256100398476704</v>
      </c>
      <c r="AN1115">
        <v>0.999999956926932</v>
      </c>
    </row>
    <row r="1116" spans="1:40" x14ac:dyDescent="0.25">
      <c r="A1116" t="str">
        <f>"20190304164116298"</f>
        <v>20190304164116298</v>
      </c>
      <c r="B1116" t="str">
        <f>"1551688876292809"</f>
        <v>1551688876292809</v>
      </c>
      <c r="C1116" t="s">
        <v>40</v>
      </c>
      <c r="D1116">
        <v>4.2655570000000003</v>
      </c>
      <c r="E1116">
        <v>0.58187310000000003</v>
      </c>
      <c r="F1116" t="s">
        <v>41</v>
      </c>
      <c r="G1116">
        <v>-285.39190000000002</v>
      </c>
      <c r="H1116">
        <v>0.99927820000000001</v>
      </c>
      <c r="I1116">
        <v>367.00749999999999</v>
      </c>
      <c r="J1116">
        <v>-286.18310000000002</v>
      </c>
      <c r="K1116">
        <v>1.0601290000000001</v>
      </c>
      <c r="L1116">
        <v>367.11700000000002</v>
      </c>
      <c r="M1116">
        <v>0.99990590000000001</v>
      </c>
      <c r="N1116">
        <v>-1.266932E-2</v>
      </c>
      <c r="O1116">
        <v>-5.2970329999999996E-3</v>
      </c>
      <c r="P1116">
        <v>0.95558589999999999</v>
      </c>
      <c r="Q1116">
        <v>0.28725780000000001</v>
      </c>
      <c r="R1116">
        <v>6.5870609999999996E-2</v>
      </c>
      <c r="S1116">
        <v>3.2245180000000002</v>
      </c>
      <c r="T1116">
        <v>-0.19981550000000001</v>
      </c>
      <c r="U1116">
        <v>-0.36203000000000002</v>
      </c>
      <c r="V1116">
        <v>-7.089318E-2</v>
      </c>
      <c r="W1116">
        <v>0.29934620000000001</v>
      </c>
      <c r="X1116">
        <v>0.9515072</v>
      </c>
      <c r="Y1116">
        <v>0.1060711</v>
      </c>
      <c r="Z1116">
        <v>-3.6878800000000002E-3</v>
      </c>
      <c r="AA1116">
        <v>0.99435169999999995</v>
      </c>
      <c r="AB1116">
        <v>36</v>
      </c>
      <c r="AC1116">
        <v>0.79120000000000301</v>
      </c>
      <c r="AD1116">
        <v>-6.0850800000000198E-2</v>
      </c>
      <c r="AE1116">
        <v>-0.109499999999968</v>
      </c>
      <c r="AF1116">
        <v>0.104699449781908</v>
      </c>
      <c r="AG1116">
        <v>-6.0850800000000198E-2</v>
      </c>
      <c r="AH1116">
        <v>0.78720013504112296</v>
      </c>
      <c r="AI1116">
        <v>94.381756755002002</v>
      </c>
      <c r="AJ1116">
        <v>82.423991433208698</v>
      </c>
      <c r="AK1116">
        <v>0.79646019816060898</v>
      </c>
      <c r="AL1116">
        <v>72.581660857395704</v>
      </c>
      <c r="AM1116">
        <v>94.261017550980498</v>
      </c>
      <c r="AN1116">
        <v>0.999999971038395</v>
      </c>
    </row>
    <row r="1117" spans="1:40" x14ac:dyDescent="0.25">
      <c r="A1117" t="str">
        <f>"20190304164116310"</f>
        <v>20190304164116310</v>
      </c>
      <c r="B1117" t="str">
        <f>"1551688876302568"</f>
        <v>1551688876302568</v>
      </c>
      <c r="C1117" t="s">
        <v>40</v>
      </c>
      <c r="D1117">
        <v>4.2442900000000003</v>
      </c>
      <c r="E1117">
        <v>0.58129809999999904</v>
      </c>
      <c r="F1117" t="s">
        <v>42</v>
      </c>
      <c r="G1117">
        <v>-268.47890000000001</v>
      </c>
      <c r="H1117" s="1">
        <v>-1.6825519999999999E-6</v>
      </c>
      <c r="I1117">
        <v>365.18579999999997</v>
      </c>
      <c r="J1117">
        <v>-285.9905</v>
      </c>
      <c r="K1117">
        <v>1.0601240000000001</v>
      </c>
      <c r="L1117">
        <v>367.11590000000001</v>
      </c>
      <c r="M1117">
        <v>0.9999055</v>
      </c>
      <c r="N1117">
        <v>-1.2673830000000001E-2</v>
      </c>
      <c r="O1117">
        <v>-5.3168479999999999E-3</v>
      </c>
      <c r="P1117">
        <v>0.95556359999999996</v>
      </c>
      <c r="Q1117">
        <v>0.28730229999999901</v>
      </c>
      <c r="R1117">
        <v>6.5996630000000001E-2</v>
      </c>
      <c r="S1117">
        <v>3.2216490000000002</v>
      </c>
      <c r="T1117">
        <v>-0.192912</v>
      </c>
      <c r="U1117">
        <v>-0.3514099</v>
      </c>
      <c r="V1117">
        <v>-7.1038149999999994E-2</v>
      </c>
      <c r="W1117">
        <v>0.2993944</v>
      </c>
      <c r="X1117">
        <v>0.95148120000000003</v>
      </c>
      <c r="Y1117">
        <v>0.1029317</v>
      </c>
      <c r="Z1117">
        <v>-3.4748779999999998E-3</v>
      </c>
      <c r="AA1117">
        <v>0.99468239999999997</v>
      </c>
      <c r="AB1117">
        <v>36</v>
      </c>
      <c r="AC1117">
        <v>17.511599999999898</v>
      </c>
      <c r="AD1117">
        <v>-1.060125682552</v>
      </c>
      <c r="AE1117">
        <v>-1.9301000000000299</v>
      </c>
      <c r="AF1117">
        <v>1.83033123210146</v>
      </c>
      <c r="AG1117">
        <v>-1.060125682552</v>
      </c>
      <c r="AH1117">
        <v>17.458399836295101</v>
      </c>
      <c r="AI1117">
        <v>93.456007556365705</v>
      </c>
      <c r="AJ1117">
        <v>84.014998602093399</v>
      </c>
      <c r="AK1117">
        <v>17.586065612466001</v>
      </c>
      <c r="AL1117">
        <v>72.578766071664106</v>
      </c>
      <c r="AM1117">
        <v>94.269814989454602</v>
      </c>
      <c r="AN1117">
        <v>0.99999994973010997</v>
      </c>
    </row>
    <row r="1118" spans="1:40" x14ac:dyDescent="0.25">
      <c r="A1118" t="str">
        <f>"20190304164116323"</f>
        <v>20190304164116323</v>
      </c>
      <c r="B1118" t="str">
        <f>"1551688876312328"</f>
        <v>1551688876312328</v>
      </c>
      <c r="C1118" t="s">
        <v>40</v>
      </c>
      <c r="D1118">
        <v>4.2669230000000002</v>
      </c>
      <c r="E1118">
        <v>0.58073079999999999</v>
      </c>
      <c r="F1118" t="s">
        <v>42</v>
      </c>
      <c r="G1118">
        <v>-268.01990000000001</v>
      </c>
      <c r="H1118" s="1">
        <v>-1.8407710000000001E-6</v>
      </c>
      <c r="I1118">
        <v>365.1782</v>
      </c>
      <c r="J1118">
        <v>-285.80279999999999</v>
      </c>
      <c r="K1118">
        <v>1.060128</v>
      </c>
      <c r="L1118">
        <v>367.11489999999998</v>
      </c>
      <c r="M1118">
        <v>0.9999055</v>
      </c>
      <c r="N1118">
        <v>-1.2678089999999999E-2</v>
      </c>
      <c r="O1118">
        <v>-5.3363050000000004E-3</v>
      </c>
      <c r="P1118">
        <v>0.95541589999999998</v>
      </c>
      <c r="Q1118">
        <v>0.28779700000000003</v>
      </c>
      <c r="R1118">
        <v>6.5981159999999997E-2</v>
      </c>
      <c r="S1118">
        <v>3.2205810000000001</v>
      </c>
      <c r="T1118">
        <v>-0.1899884</v>
      </c>
      <c r="U1118">
        <v>-0.3472595</v>
      </c>
      <c r="V1118">
        <v>-7.1040590000000001E-2</v>
      </c>
      <c r="W1118">
        <v>0.29989169999999998</v>
      </c>
      <c r="X1118">
        <v>0.95132450000000002</v>
      </c>
      <c r="Y1118">
        <v>0.10168919999999999</v>
      </c>
      <c r="Z1118">
        <v>-3.3891799999999999E-3</v>
      </c>
      <c r="AA1118">
        <v>0.99481050000000004</v>
      </c>
      <c r="AB1118">
        <v>36</v>
      </c>
      <c r="AC1118">
        <v>17.782899999999898</v>
      </c>
      <c r="AD1118">
        <v>-1.060129840771</v>
      </c>
      <c r="AE1118">
        <v>-1.9366999999999699</v>
      </c>
      <c r="AF1118">
        <v>1.8353236107386299</v>
      </c>
      <c r="AG1118">
        <v>-1.060129840771</v>
      </c>
      <c r="AH1118">
        <v>17.730706780757401</v>
      </c>
      <c r="AI1118">
        <v>93.403534333390795</v>
      </c>
      <c r="AJ1118">
        <v>84.090301786471898</v>
      </c>
      <c r="AK1118">
        <v>17.856938454859101</v>
      </c>
      <c r="AL1118">
        <v>72.548902420622298</v>
      </c>
      <c r="AM1118">
        <v>94.270661841834098</v>
      </c>
      <c r="AN1118">
        <v>1.00000005072834</v>
      </c>
    </row>
    <row r="1119" spans="1:40" x14ac:dyDescent="0.25">
      <c r="A1119" t="str">
        <f>"20190304164116333"</f>
        <v>20190304164116333</v>
      </c>
      <c r="B1119" t="str">
        <f>"1551688876322089"</f>
        <v>1551688876322089</v>
      </c>
      <c r="C1119" t="s">
        <v>40</v>
      </c>
      <c r="D1119">
        <v>4.263503</v>
      </c>
      <c r="E1119">
        <v>0.58022929999999995</v>
      </c>
      <c r="F1119" t="s">
        <v>41</v>
      </c>
      <c r="G1119">
        <v>-284.75279999999998</v>
      </c>
      <c r="H1119">
        <v>0.99943360000000003</v>
      </c>
      <c r="I1119">
        <v>367.00299999999999</v>
      </c>
      <c r="J1119">
        <v>-285.61610000000002</v>
      </c>
      <c r="K1119">
        <v>1.06013</v>
      </c>
      <c r="L1119">
        <v>367.1139</v>
      </c>
      <c r="M1119">
        <v>0.9999053</v>
      </c>
      <c r="N1119">
        <v>-1.2684020000000001E-2</v>
      </c>
      <c r="O1119">
        <v>-5.3556530000000001E-3</v>
      </c>
      <c r="P1119">
        <v>0.95535729999999996</v>
      </c>
      <c r="Q1119">
        <v>0.28803689999999998</v>
      </c>
      <c r="R1119">
        <v>6.5783439999999999E-2</v>
      </c>
      <c r="S1119">
        <v>3.2197879999999999</v>
      </c>
      <c r="T1119">
        <v>-0.18626180000000001</v>
      </c>
      <c r="U1119">
        <v>-0.34301759999999998</v>
      </c>
      <c r="V1119">
        <v>-7.0861129999999994E-2</v>
      </c>
      <c r="W1119">
        <v>0.30013590000000001</v>
      </c>
      <c r="X1119">
        <v>0.95126080000000002</v>
      </c>
      <c r="Y1119">
        <v>0.1004099</v>
      </c>
      <c r="Z1119">
        <v>-3.2920219999999999E-3</v>
      </c>
      <c r="AA1119">
        <v>0.99494070000000001</v>
      </c>
      <c r="AB1119">
        <v>36</v>
      </c>
      <c r="AC1119">
        <v>0.86330000000003704</v>
      </c>
      <c r="AD1119">
        <v>-6.0696400000000102E-2</v>
      </c>
      <c r="AE1119">
        <v>-0.110899999999958</v>
      </c>
      <c r="AF1119">
        <v>0.105760202640479</v>
      </c>
      <c r="AG1119">
        <v>-6.0696400000000102E-2</v>
      </c>
      <c r="AH1119">
        <v>0.85970097860280503</v>
      </c>
      <c r="AI1119">
        <v>94.008364039524693</v>
      </c>
      <c r="AJ1119">
        <v>82.986724964226894</v>
      </c>
      <c r="AK1119">
        <v>0.86830584821601597</v>
      </c>
      <c r="AL1119">
        <v>72.534233937276994</v>
      </c>
      <c r="AM1119">
        <v>94.260197433890596</v>
      </c>
      <c r="AN1119">
        <v>0.99999998391516298</v>
      </c>
    </row>
    <row r="1120" spans="1:40" x14ac:dyDescent="0.25">
      <c r="A1120" t="str">
        <f>"20190304164116349"</f>
        <v>20190304164116349</v>
      </c>
      <c r="B1120" t="str">
        <f>"1551688876342584"</f>
        <v>1551688876342584</v>
      </c>
      <c r="C1120" t="s">
        <v>40</v>
      </c>
      <c r="D1120">
        <v>4.2320070000000003</v>
      </c>
      <c r="E1120">
        <v>0.57935619999999999</v>
      </c>
      <c r="F1120" t="s">
        <v>42</v>
      </c>
      <c r="G1120">
        <v>-266.97140000000002</v>
      </c>
      <c r="H1120" s="1">
        <v>-2.207015E-6</v>
      </c>
      <c r="I1120">
        <v>365.14269999999999</v>
      </c>
      <c r="J1120">
        <v>-285.37529999999998</v>
      </c>
      <c r="K1120">
        <v>1.060135</v>
      </c>
      <c r="L1120">
        <v>367.11259999999999</v>
      </c>
      <c r="M1120">
        <v>0.99990500000000004</v>
      </c>
      <c r="N1120">
        <v>-1.269259E-2</v>
      </c>
      <c r="O1120">
        <v>-5.3788400000000002E-3</v>
      </c>
      <c r="P1120">
        <v>0.9553024</v>
      </c>
      <c r="Q1120">
        <v>0.288166799999999</v>
      </c>
      <c r="R1120">
        <v>6.6007759999999999E-2</v>
      </c>
      <c r="S1120">
        <v>3.2188110000000001</v>
      </c>
      <c r="T1120">
        <v>-0.18301999999999999</v>
      </c>
      <c r="U1120">
        <v>-0.34030149999999998</v>
      </c>
      <c r="V1120">
        <v>-7.1106459999999996E-2</v>
      </c>
      <c r="W1120">
        <v>0.30027369999999998</v>
      </c>
      <c r="X1120">
        <v>0.95119900000000002</v>
      </c>
      <c r="Y1120">
        <v>9.9596050000000005E-2</v>
      </c>
      <c r="Z1120">
        <v>-3.2191559999999999E-3</v>
      </c>
      <c r="AA1120">
        <v>0.99502279999999999</v>
      </c>
      <c r="AB1120">
        <v>36</v>
      </c>
      <c r="AC1120">
        <v>18.403899999999901</v>
      </c>
      <c r="AD1120">
        <v>-1.0601372070149999</v>
      </c>
      <c r="AE1120">
        <v>-1.96989999999999</v>
      </c>
      <c r="AF1120">
        <v>1.8647543267204001</v>
      </c>
      <c r="AG1120">
        <v>-1.0601372070149999</v>
      </c>
      <c r="AH1120">
        <v>18.354017645857098</v>
      </c>
      <c r="AI1120">
        <v>93.288866264009997</v>
      </c>
      <c r="AJ1120">
        <v>84.198698567093899</v>
      </c>
      <c r="AK1120">
        <v>18.4789383715936</v>
      </c>
      <c r="AL1120">
        <v>72.525956733461598</v>
      </c>
      <c r="AM1120">
        <v>94.275168894304301</v>
      </c>
      <c r="AN1120">
        <v>0.99999998058321005</v>
      </c>
    </row>
    <row r="1121" spans="1:40" x14ac:dyDescent="0.25">
      <c r="A1121" t="str">
        <f>"20190304164116359"</f>
        <v>20190304164116359</v>
      </c>
      <c r="B1121" t="str">
        <f>"1551688876352343"</f>
        <v>1551688876352343</v>
      </c>
      <c r="C1121" t="s">
        <v>40</v>
      </c>
      <c r="D1121">
        <v>4.2442869999999999</v>
      </c>
      <c r="E1121">
        <v>0.57896729999999996</v>
      </c>
      <c r="F1121" t="s">
        <v>42</v>
      </c>
      <c r="G1121">
        <v>-266.2423</v>
      </c>
      <c r="H1121" s="1">
        <v>-2.4585479999999999E-6</v>
      </c>
      <c r="I1121">
        <v>365.12990000000002</v>
      </c>
      <c r="J1121">
        <v>-285.20060000000001</v>
      </c>
      <c r="K1121">
        <v>1.060136</v>
      </c>
      <c r="L1121">
        <v>367.11160000000001</v>
      </c>
      <c r="M1121">
        <v>0.99990489999999999</v>
      </c>
      <c r="N1121">
        <v>-1.2699530000000001E-2</v>
      </c>
      <c r="O1121">
        <v>-5.3947500000000002E-3</v>
      </c>
      <c r="P1121">
        <v>0.95533990000000002</v>
      </c>
      <c r="Q1121">
        <v>0.28802159999999999</v>
      </c>
      <c r="R1121">
        <v>6.6101599999999996E-2</v>
      </c>
      <c r="S1121">
        <v>3.2171630000000002</v>
      </c>
      <c r="T1121">
        <v>-0.1782589</v>
      </c>
      <c r="U1121">
        <v>-0.333374</v>
      </c>
      <c r="V1121">
        <v>-7.1215849999999997E-2</v>
      </c>
      <c r="W1121">
        <v>0.3001354</v>
      </c>
      <c r="X1121">
        <v>0.95123449999999998</v>
      </c>
      <c r="Y1121">
        <v>9.7526360000000006E-2</v>
      </c>
      <c r="Z1121">
        <v>-3.0845949999999999E-3</v>
      </c>
      <c r="AA1121">
        <v>0.99522820000000001</v>
      </c>
      <c r="AB1121">
        <v>36</v>
      </c>
      <c r="AC1121">
        <v>18.958300000000001</v>
      </c>
      <c r="AD1121">
        <v>-1.060138458548</v>
      </c>
      <c r="AE1121">
        <v>-1.98169999999998</v>
      </c>
      <c r="AF1121">
        <v>1.8735922502458</v>
      </c>
      <c r="AG1121">
        <v>-1.060138458548</v>
      </c>
      <c r="AH1121">
        <v>18.910222768787602</v>
      </c>
      <c r="AI1121">
        <v>93.193135818450699</v>
      </c>
      <c r="AJ1121">
        <v>84.341699696530299</v>
      </c>
      <c r="AK1121">
        <v>19.032361036840602</v>
      </c>
      <c r="AL1121">
        <v>72.534264526681596</v>
      </c>
      <c r="AM1121">
        <v>94.281562163897107</v>
      </c>
      <c r="AN1121">
        <v>1.00000001480731</v>
      </c>
    </row>
    <row r="1122" spans="1:40" x14ac:dyDescent="0.25">
      <c r="A1122" t="str">
        <f>"20190304164116371"</f>
        <v>20190304164116371</v>
      </c>
      <c r="B1122" t="str">
        <f>"1551688876362104"</f>
        <v>1551688876362104</v>
      </c>
      <c r="C1122" t="s">
        <v>40</v>
      </c>
      <c r="D1122">
        <v>4.224113</v>
      </c>
      <c r="E1122">
        <v>0.57858909999999997</v>
      </c>
      <c r="F1122" t="s">
        <v>42</v>
      </c>
      <c r="G1122">
        <v>-265.90249999999997</v>
      </c>
      <c r="H1122" s="1">
        <v>-2.5744950000000002E-6</v>
      </c>
      <c r="I1122">
        <v>365.12880000000001</v>
      </c>
      <c r="J1122">
        <v>-285.01859999999999</v>
      </c>
      <c r="K1122">
        <v>1.0601389999999999</v>
      </c>
      <c r="L1122">
        <v>367.11070000000001</v>
      </c>
      <c r="M1122">
        <v>0.99990480000000004</v>
      </c>
      <c r="N1122">
        <v>-1.270691E-2</v>
      </c>
      <c r="O1122">
        <v>-5.4092400000000001E-3</v>
      </c>
      <c r="P1122">
        <v>0.95531619999999995</v>
      </c>
      <c r="Q1122">
        <v>0.2881243</v>
      </c>
      <c r="R1122">
        <v>6.5995960000000006E-2</v>
      </c>
      <c r="S1122">
        <v>3.2164000000000001</v>
      </c>
      <c r="T1122">
        <v>-0.17669170000000001</v>
      </c>
      <c r="U1122">
        <v>-0.33047490000000002</v>
      </c>
      <c r="V1122">
        <v>-7.1122560000000001E-2</v>
      </c>
      <c r="W1122">
        <v>0.30024509999999899</v>
      </c>
      <c r="X1122">
        <v>0.95120689999999997</v>
      </c>
      <c r="Y1122">
        <v>9.6652760000000004E-2</v>
      </c>
      <c r="Z1122">
        <v>-3.0345139999999999E-3</v>
      </c>
      <c r="AA1122">
        <v>0.99531349999999996</v>
      </c>
      <c r="AB1122">
        <v>36</v>
      </c>
      <c r="AC1122">
        <v>19.116099999999999</v>
      </c>
      <c r="AD1122">
        <v>-1.060141574495</v>
      </c>
      <c r="AE1122">
        <v>-1.98189999999999</v>
      </c>
      <c r="AF1122">
        <v>1.8727604964974001</v>
      </c>
      <c r="AG1122">
        <v>-1.060141574495</v>
      </c>
      <c r="AH1122">
        <v>19.068518370953601</v>
      </c>
      <c r="AI1122">
        <v>93.166959161048297</v>
      </c>
      <c r="AJ1122">
        <v>84.390845829426098</v>
      </c>
      <c r="AK1122">
        <v>19.189568126943598</v>
      </c>
      <c r="AL1122">
        <v>72.527675961186702</v>
      </c>
      <c r="AM1122">
        <v>94.276097909923195</v>
      </c>
      <c r="AN1122">
        <v>1.00000005261128</v>
      </c>
    </row>
    <row r="1123" spans="1:40" x14ac:dyDescent="0.25">
      <c r="A1123" t="str">
        <f>"20190304164116382"</f>
        <v>20190304164116382</v>
      </c>
      <c r="B1123" t="str">
        <f>"1551688876372840"</f>
        <v>1551688876372840</v>
      </c>
      <c r="C1123" t="s">
        <v>40</v>
      </c>
      <c r="D1123">
        <v>4.2017129999999998</v>
      </c>
      <c r="E1123">
        <v>0.57825380000000004</v>
      </c>
      <c r="F1123" t="s">
        <v>42</v>
      </c>
      <c r="G1123">
        <v>-265.53339999999997</v>
      </c>
      <c r="H1123" s="1">
        <v>-2.7012110000000002E-6</v>
      </c>
      <c r="I1123">
        <v>365.12459999999999</v>
      </c>
      <c r="J1123">
        <v>-284.84629999999999</v>
      </c>
      <c r="K1123">
        <v>1.0601400000000001</v>
      </c>
      <c r="L1123">
        <v>367.10969999999998</v>
      </c>
      <c r="M1123">
        <v>0.99990440000000003</v>
      </c>
      <c r="N1123">
        <v>-1.271391E-2</v>
      </c>
      <c r="O1123">
        <v>-5.4226530000000004E-3</v>
      </c>
      <c r="P1123">
        <v>0.9552754</v>
      </c>
      <c r="Q1123">
        <v>0.28823559999999998</v>
      </c>
      <c r="R1123">
        <v>6.6099169999999999E-2</v>
      </c>
      <c r="S1123">
        <v>3.2157290000000001</v>
      </c>
      <c r="T1123">
        <v>-0.17495849999999999</v>
      </c>
      <c r="U1123">
        <v>-0.32775880000000002</v>
      </c>
      <c r="V1123">
        <v>-7.1237729999999999E-2</v>
      </c>
      <c r="W1123">
        <v>0.30036239999999997</v>
      </c>
      <c r="X1123">
        <v>0.95116120000000004</v>
      </c>
      <c r="Y1123">
        <v>9.5832970000000003E-2</v>
      </c>
      <c r="Z1123">
        <v>-2.984413E-3</v>
      </c>
      <c r="AA1123">
        <v>0.99539299999999997</v>
      </c>
      <c r="AB1123">
        <v>36</v>
      </c>
      <c r="AC1123">
        <v>19.312899999999999</v>
      </c>
      <c r="AD1123">
        <v>-1.0601427012109901</v>
      </c>
      <c r="AE1123">
        <v>-1.9850999999999801</v>
      </c>
      <c r="AF1123">
        <v>1.8747451830086499</v>
      </c>
      <c r="AG1123">
        <v>-1.0601427012109901</v>
      </c>
      <c r="AH1123">
        <v>19.265935418538401</v>
      </c>
      <c r="AI1123">
        <v>93.134849534103495</v>
      </c>
      <c r="AJ1123">
        <v>84.442114542643793</v>
      </c>
      <c r="AK1123">
        <v>19.3859443824498</v>
      </c>
      <c r="AL1123">
        <v>72.520629124307305</v>
      </c>
      <c r="AM1123">
        <v>94.283201541419402</v>
      </c>
      <c r="AN1123">
        <v>1.00000000694737</v>
      </c>
    </row>
    <row r="1124" spans="1:40" x14ac:dyDescent="0.25">
      <c r="A1124" t="str">
        <f>"20190304164116394"</f>
        <v>20190304164116394</v>
      </c>
      <c r="B1124" t="str">
        <f>"1551688876382601"</f>
        <v>1551688876382601</v>
      </c>
      <c r="C1124" t="s">
        <v>40</v>
      </c>
      <c r="D1124">
        <v>4.2114469999999997</v>
      </c>
      <c r="E1124">
        <v>0.57793099999999997</v>
      </c>
      <c r="F1124" t="s">
        <v>42</v>
      </c>
      <c r="G1124">
        <v>-265.1825</v>
      </c>
      <c r="H1124" s="1">
        <v>-2.846064E-6</v>
      </c>
      <c r="I1124">
        <v>365.12290000000002</v>
      </c>
      <c r="J1124">
        <v>-284.65230000000003</v>
      </c>
      <c r="K1124">
        <v>1.0601480000000001</v>
      </c>
      <c r="L1124">
        <v>367.10860000000002</v>
      </c>
      <c r="M1124">
        <v>0.99990440000000003</v>
      </c>
      <c r="N1124">
        <v>-1.272127E-2</v>
      </c>
      <c r="O1124">
        <v>-5.4464810000000004E-3</v>
      </c>
      <c r="P1124">
        <v>0.95526549999999999</v>
      </c>
      <c r="Q1124">
        <v>0.28832550000000001</v>
      </c>
      <c r="R1124">
        <v>6.5854209999999996E-2</v>
      </c>
      <c r="S1124">
        <v>3.2152400000000001</v>
      </c>
      <c r="T1124">
        <v>-0.1733439</v>
      </c>
      <c r="U1124">
        <v>-0.32485960000000003</v>
      </c>
      <c r="V1124">
        <v>-7.1018230000000002E-2</v>
      </c>
      <c r="W1124">
        <v>0.30045840000000001</v>
      </c>
      <c r="X1124">
        <v>0.95114730000000003</v>
      </c>
      <c r="Y1124">
        <v>9.4940369999999996E-2</v>
      </c>
      <c r="Z1124">
        <v>-2.9333300000000001E-3</v>
      </c>
      <c r="AA1124">
        <v>0.99547859999999999</v>
      </c>
      <c r="AB1124">
        <v>36</v>
      </c>
      <c r="AC1124">
        <v>19.469799999999999</v>
      </c>
      <c r="AD1124">
        <v>-1.0601508460639999</v>
      </c>
      <c r="AE1124">
        <v>-1.9857</v>
      </c>
      <c r="AF1124">
        <v>1.87412067524047</v>
      </c>
      <c r="AG1124">
        <v>-1.0601508460639999</v>
      </c>
      <c r="AH1124">
        <v>19.423331436442702</v>
      </c>
      <c r="AI1124">
        <v>93.109764839472604</v>
      </c>
      <c r="AJ1124">
        <v>84.488699193628705</v>
      </c>
      <c r="AK1124">
        <v>19.5423144026412</v>
      </c>
      <c r="AL1124">
        <v>72.514862467049198</v>
      </c>
      <c r="AM1124">
        <v>94.270115062153906</v>
      </c>
      <c r="AN1124">
        <v>1.0000000127100901</v>
      </c>
    </row>
    <row r="1125" spans="1:40" x14ac:dyDescent="0.25">
      <c r="A1125" t="str">
        <f>"20190304164116407"</f>
        <v>20190304164116407</v>
      </c>
      <c r="B1125" t="str">
        <f>"1551688876392360"</f>
        <v>1551688876392360</v>
      </c>
      <c r="C1125" t="s">
        <v>40</v>
      </c>
      <c r="D1125">
        <v>4.2525389999999996</v>
      </c>
      <c r="E1125">
        <v>0.57762630000000004</v>
      </c>
      <c r="F1125" t="s">
        <v>42</v>
      </c>
      <c r="G1125">
        <v>-264.83249999999998</v>
      </c>
      <c r="H1125" s="1">
        <v>-2.99739E-6</v>
      </c>
      <c r="I1125">
        <v>365.1164</v>
      </c>
      <c r="J1125">
        <v>-284.46069999999997</v>
      </c>
      <c r="K1125">
        <v>1.0601480000000001</v>
      </c>
      <c r="L1125">
        <v>367.10750000000002</v>
      </c>
      <c r="M1125">
        <v>0.99990409999999996</v>
      </c>
      <c r="N1125">
        <v>-1.272831E-2</v>
      </c>
      <c r="O1125">
        <v>-5.4679500000000001E-3</v>
      </c>
      <c r="P1125">
        <v>0.95519259999999995</v>
      </c>
      <c r="Q1125">
        <v>0.2885549</v>
      </c>
      <c r="R1125">
        <v>6.5905019999999995E-2</v>
      </c>
      <c r="S1125">
        <v>3.214661</v>
      </c>
      <c r="T1125">
        <v>-0.1719493</v>
      </c>
      <c r="U1125">
        <v>-0.32312010000000002</v>
      </c>
      <c r="V1125">
        <v>-7.1090719999999996E-2</v>
      </c>
      <c r="W1125">
        <v>0.3006935</v>
      </c>
      <c r="X1125">
        <v>0.95106760000000001</v>
      </c>
      <c r="Y1125">
        <v>9.4406920000000005E-2</v>
      </c>
      <c r="Z1125">
        <v>-2.8975020000000002E-3</v>
      </c>
      <c r="AA1125">
        <v>0.99552949999999996</v>
      </c>
      <c r="AB1125">
        <v>36</v>
      </c>
      <c r="AC1125">
        <v>19.6282</v>
      </c>
      <c r="AD1125">
        <v>-1.0601509973899901</v>
      </c>
      <c r="AE1125">
        <v>-1.9911000000000101</v>
      </c>
      <c r="AF1125">
        <v>1.8783118198953599</v>
      </c>
      <c r="AG1125">
        <v>-1.0601509973899901</v>
      </c>
      <c r="AH1125">
        <v>19.5822500656509</v>
      </c>
      <c r="AI1125">
        <v>93.084744081382198</v>
      </c>
      <c r="AJ1125">
        <v>84.521002440169397</v>
      </c>
      <c r="AK1125">
        <v>19.700672401309301</v>
      </c>
      <c r="AL1125">
        <v>72.500739369416294</v>
      </c>
      <c r="AM1125">
        <v>94.274814398364995</v>
      </c>
      <c r="AN1125">
        <v>1.0000000255910599</v>
      </c>
    </row>
    <row r="1126" spans="1:40" x14ac:dyDescent="0.25">
      <c r="A1126" t="str">
        <f>"20190304164116418"</f>
        <v>20190304164116418</v>
      </c>
      <c r="B1126" t="str">
        <f>"1551688876402120"</f>
        <v>1551688876402120</v>
      </c>
      <c r="C1126" t="s">
        <v>40</v>
      </c>
      <c r="D1126">
        <v>4.2069190000000001</v>
      </c>
      <c r="E1126">
        <v>0.57731880000000002</v>
      </c>
      <c r="F1126" t="s">
        <v>42</v>
      </c>
      <c r="G1126">
        <v>-264.44569999999999</v>
      </c>
      <c r="H1126" s="1">
        <v>-3.1642990000000001E-6</v>
      </c>
      <c r="I1126">
        <v>365.11070000000001</v>
      </c>
      <c r="J1126">
        <v>-284.26620000000003</v>
      </c>
      <c r="K1126">
        <v>1.060147</v>
      </c>
      <c r="L1126">
        <v>367.10640000000001</v>
      </c>
      <c r="M1126">
        <v>0.99990400000000002</v>
      </c>
      <c r="N1126">
        <v>-1.2735069999999999E-2</v>
      </c>
      <c r="O1126">
        <v>-5.4869619999999997E-3</v>
      </c>
      <c r="P1126">
        <v>0.95504020000000001</v>
      </c>
      <c r="Q1126">
        <v>0.28912320000000002</v>
      </c>
      <c r="R1126">
        <v>6.5620890000000001E-2</v>
      </c>
      <c r="S1126">
        <v>3.214264</v>
      </c>
      <c r="T1126">
        <v>-0.1702523</v>
      </c>
      <c r="U1126">
        <v>-0.32067869999999998</v>
      </c>
      <c r="V1126">
        <v>-7.0822880000000005E-2</v>
      </c>
      <c r="W1126">
        <v>0.30126609999999998</v>
      </c>
      <c r="X1126">
        <v>0.95090629999999998</v>
      </c>
      <c r="Y1126">
        <v>9.365561E-2</v>
      </c>
      <c r="Z1126">
        <v>-2.850857E-3</v>
      </c>
      <c r="AA1126">
        <v>0.99560059999999995</v>
      </c>
      <c r="AB1126">
        <v>36</v>
      </c>
      <c r="AC1126">
        <v>19.820499999999999</v>
      </c>
      <c r="AD1126">
        <v>-1.0601501642990001</v>
      </c>
      <c r="AE1126">
        <v>-1.9957</v>
      </c>
      <c r="AF1126">
        <v>1.8815778037381901</v>
      </c>
      <c r="AG1126">
        <v>-1.0601501642990001</v>
      </c>
      <c r="AH1126">
        <v>19.7751455250208</v>
      </c>
      <c r="AI1126">
        <v>93.054931403847903</v>
      </c>
      <c r="AJ1126">
        <v>84.564748493399193</v>
      </c>
      <c r="AK1126">
        <v>19.892728167301101</v>
      </c>
      <c r="AL1126">
        <v>72.466335511979906</v>
      </c>
      <c r="AM1126">
        <v>94.259487805152702</v>
      </c>
      <c r="AN1126">
        <v>0.99999996736019603</v>
      </c>
    </row>
    <row r="1127" spans="1:40" x14ac:dyDescent="0.25">
      <c r="A1127" t="str">
        <f>"20190304164116430"</f>
        <v>20190304164116430</v>
      </c>
      <c r="B1127" t="str">
        <f>"1551688876422616"</f>
        <v>1551688876422616</v>
      </c>
      <c r="C1127" t="s">
        <v>40</v>
      </c>
      <c r="D1127">
        <v>4.2320289999999998</v>
      </c>
      <c r="E1127">
        <v>0.57676470000000002</v>
      </c>
      <c r="F1127" t="s">
        <v>42</v>
      </c>
      <c r="G1127">
        <v>-263.90269999999998</v>
      </c>
      <c r="H1127" s="1">
        <v>-3.4021969999999999E-6</v>
      </c>
      <c r="I1127">
        <v>365.08280000000002</v>
      </c>
      <c r="J1127">
        <v>-284.08260000000001</v>
      </c>
      <c r="K1127">
        <v>1.06014599999999</v>
      </c>
      <c r="L1127">
        <v>367.10539999999997</v>
      </c>
      <c r="M1127">
        <v>0.99990389999999996</v>
      </c>
      <c r="N1127">
        <v>-1.274106E-2</v>
      </c>
      <c r="O1127">
        <v>-5.5008619999999996E-3</v>
      </c>
      <c r="P1127">
        <v>0.95496859999999995</v>
      </c>
      <c r="Q1127">
        <v>0.28936250000000002</v>
      </c>
      <c r="R1127">
        <v>6.5609630000000002E-2</v>
      </c>
      <c r="S1127">
        <v>3.2138369999999998</v>
      </c>
      <c r="T1127">
        <v>-0.16731579999999999</v>
      </c>
      <c r="U1127">
        <v>-0.3193665</v>
      </c>
      <c r="V1127">
        <v>-7.0823010000000006E-2</v>
      </c>
      <c r="W1127">
        <v>0.30151109999999998</v>
      </c>
      <c r="X1127">
        <v>0.95082869999999997</v>
      </c>
      <c r="Y1127">
        <v>9.3257729999999997E-2</v>
      </c>
      <c r="Z1127">
        <v>-2.800463E-3</v>
      </c>
      <c r="AA1127">
        <v>0.99563809999999997</v>
      </c>
      <c r="AB1127">
        <v>36</v>
      </c>
      <c r="AC1127">
        <v>20.1799</v>
      </c>
      <c r="AD1127">
        <v>-1.0601494021969899</v>
      </c>
      <c r="AE1127">
        <v>-2.02259999999995</v>
      </c>
      <c r="AF1127">
        <v>1.90634453406035</v>
      </c>
      <c r="AG1127">
        <v>-1.0601494021969899</v>
      </c>
      <c r="AH1127">
        <v>20.135701416268098</v>
      </c>
      <c r="AI1127">
        <v>93.000461058813499</v>
      </c>
      <c r="AJ1127">
        <v>84.591651094920806</v>
      </c>
      <c r="AK1127">
        <v>20.2535068016041</v>
      </c>
      <c r="AL1127">
        <v>72.451614617154206</v>
      </c>
      <c r="AM1127">
        <v>94.259841945646798</v>
      </c>
      <c r="AN1127">
        <v>1.0000000294561699</v>
      </c>
    </row>
    <row r="1128" spans="1:40" x14ac:dyDescent="0.25">
      <c r="A1128" t="str">
        <f>"20190304164116443"</f>
        <v>20190304164116443</v>
      </c>
      <c r="B1128" t="str">
        <f>"1551688876432376"</f>
        <v>1551688876432376</v>
      </c>
      <c r="C1128" t="s">
        <v>40</v>
      </c>
      <c r="D1128">
        <v>4.1981299999999999</v>
      </c>
      <c r="E1128">
        <v>0.57648500000000003</v>
      </c>
      <c r="F1128" t="s">
        <v>42</v>
      </c>
      <c r="G1128">
        <v>-263.34879999999998</v>
      </c>
      <c r="H1128" s="1">
        <v>-3.6425740000000002E-6</v>
      </c>
      <c r="I1128">
        <v>365.06729999999999</v>
      </c>
      <c r="J1128">
        <v>-283.8861</v>
      </c>
      <c r="K1128">
        <v>1.0601419999999999</v>
      </c>
      <c r="L1128">
        <v>367.10430000000002</v>
      </c>
      <c r="M1128">
        <v>0.99990369999999995</v>
      </c>
      <c r="N1128">
        <v>-1.274728E-2</v>
      </c>
      <c r="O1128">
        <v>-5.5145309999999996E-3</v>
      </c>
      <c r="P1128">
        <v>0.955067</v>
      </c>
      <c r="Q1128">
        <v>0.28899970000000003</v>
      </c>
      <c r="R1128">
        <v>6.5776420000000002E-2</v>
      </c>
      <c r="S1128">
        <v>3.212952</v>
      </c>
      <c r="T1128">
        <v>-0.1642824</v>
      </c>
      <c r="U1128">
        <v>-0.31582640000000001</v>
      </c>
      <c r="V1128">
        <v>-7.1001399999999895E-2</v>
      </c>
      <c r="W1128">
        <v>0.30115599999999998</v>
      </c>
      <c r="X1128">
        <v>0.95092790000000005</v>
      </c>
      <c r="Y1128">
        <v>9.2191140000000005E-2</v>
      </c>
      <c r="Z1128">
        <v>-2.7282579999999999E-3</v>
      </c>
      <c r="AA1128">
        <v>0.9957376</v>
      </c>
      <c r="AB1128">
        <v>36</v>
      </c>
      <c r="AC1128">
        <v>20.537299999999998</v>
      </c>
      <c r="AD1128">
        <v>-1.0601456425739999</v>
      </c>
      <c r="AE1128">
        <v>-2.0370000000000301</v>
      </c>
      <c r="AF1128">
        <v>1.9186435029638</v>
      </c>
      <c r="AG1128">
        <v>-1.0601456425739999</v>
      </c>
      <c r="AH1128">
        <v>20.494143447897098</v>
      </c>
      <c r="AI1128">
        <v>92.948355982052902</v>
      </c>
      <c r="AJ1128">
        <v>84.651609061394495</v>
      </c>
      <c r="AK1128">
        <v>20.611041151235298</v>
      </c>
      <c r="AL1128">
        <v>72.472951664328207</v>
      </c>
      <c r="AM1128">
        <v>94.270088200077396</v>
      </c>
      <c r="AN1128">
        <v>1.0000000030681799</v>
      </c>
    </row>
    <row r="1129" spans="1:40" x14ac:dyDescent="0.25">
      <c r="A1129" t="str">
        <f>"20190304164116454"</f>
        <v>20190304164116454</v>
      </c>
      <c r="B1129" t="str">
        <f>"1551688876442135"</f>
        <v>1551688876442135</v>
      </c>
      <c r="C1129" t="s">
        <v>40</v>
      </c>
      <c r="D1129">
        <v>4.2313939999999999</v>
      </c>
      <c r="E1129">
        <v>0.57624709999999901</v>
      </c>
      <c r="F1129" t="s">
        <v>42</v>
      </c>
      <c r="G1129">
        <v>-263.10210000000001</v>
      </c>
      <c r="H1129" s="1">
        <v>-3.7470069999999999E-6</v>
      </c>
      <c r="I1129">
        <v>365.07510000000002</v>
      </c>
      <c r="J1129">
        <v>-283.68729999999999</v>
      </c>
      <c r="K1129">
        <v>1.060147</v>
      </c>
      <c r="L1129">
        <v>367.10320000000002</v>
      </c>
      <c r="M1129">
        <v>0.99990349999999995</v>
      </c>
      <c r="N1129">
        <v>-1.275303E-2</v>
      </c>
      <c r="O1129">
        <v>-5.5392870000000004E-3</v>
      </c>
      <c r="P1129">
        <v>0.95508789999999999</v>
      </c>
      <c r="Q1129">
        <v>0.28892230000000002</v>
      </c>
      <c r="R1129">
        <v>6.5813559999999993E-2</v>
      </c>
      <c r="S1129">
        <v>3.2122799999999998</v>
      </c>
      <c r="T1129">
        <v>-0.16385150000000001</v>
      </c>
      <c r="U1129">
        <v>-0.3136292</v>
      </c>
      <c r="V1129">
        <v>-7.1065680000000006E-2</v>
      </c>
      <c r="W1129">
        <v>0.3010833</v>
      </c>
      <c r="X1129">
        <v>0.95094619999999996</v>
      </c>
      <c r="Y1129">
        <v>9.1513819999999996E-2</v>
      </c>
      <c r="Z1129">
        <v>-2.701115E-3</v>
      </c>
      <c r="AA1129">
        <v>0.99580009999999997</v>
      </c>
      <c r="AB1129">
        <v>36</v>
      </c>
      <c r="AC1129">
        <v>20.585199999999901</v>
      </c>
      <c r="AD1129">
        <v>-1.060150747007</v>
      </c>
      <c r="AE1129">
        <v>-2.02809999999999</v>
      </c>
      <c r="AF1129">
        <v>1.90901765383407</v>
      </c>
      <c r="AG1129">
        <v>-1.060150747007</v>
      </c>
      <c r="AH1129">
        <v>20.542158774319802</v>
      </c>
      <c r="AI1129">
        <v>92.941677393373894</v>
      </c>
      <c r="AJ1129">
        <v>84.690655360613107</v>
      </c>
      <c r="AK1129">
        <v>20.657893288484001</v>
      </c>
      <c r="AL1129">
        <v>72.477321198019794</v>
      </c>
      <c r="AM1129">
        <v>94.273857796150295</v>
      </c>
      <c r="AN1129">
        <v>1.00000007985359</v>
      </c>
    </row>
    <row r="1130" spans="1:40" x14ac:dyDescent="0.25">
      <c r="A1130" t="str">
        <f>"20190304164116466"</f>
        <v>20190304164116466</v>
      </c>
      <c r="B1130" t="str">
        <f>"1551688876451897"</f>
        <v>1551688876451897</v>
      </c>
      <c r="C1130" t="s">
        <v>40</v>
      </c>
      <c r="D1130">
        <v>4.2749160000000002</v>
      </c>
      <c r="E1130">
        <v>0.57603289999999996</v>
      </c>
      <c r="F1130" t="s">
        <v>42</v>
      </c>
      <c r="G1130">
        <v>-262.7842</v>
      </c>
      <c r="H1130" s="1">
        <v>-3.8839869999999999E-6</v>
      </c>
      <c r="I1130">
        <v>365.07170000000002</v>
      </c>
      <c r="J1130">
        <v>-283.51780000000002</v>
      </c>
      <c r="K1130">
        <v>1.060149</v>
      </c>
      <c r="L1130">
        <v>367.10219999999998</v>
      </c>
      <c r="M1130">
        <v>0.99990310000000004</v>
      </c>
      <c r="N1130">
        <v>-1.275776E-2</v>
      </c>
      <c r="O1130">
        <v>-5.5589469999999998E-3</v>
      </c>
      <c r="P1130">
        <v>0.95513119999999996</v>
      </c>
      <c r="Q1130">
        <v>0.28876180000000001</v>
      </c>
      <c r="R1130">
        <v>6.5886199999999895E-2</v>
      </c>
      <c r="S1130">
        <v>3.2118530000000001</v>
      </c>
      <c r="T1130">
        <v>-0.1628965</v>
      </c>
      <c r="U1130">
        <v>-0.31213380000000002</v>
      </c>
      <c r="V1130">
        <v>-7.1159589999999995E-2</v>
      </c>
      <c r="W1130">
        <v>0.30092729999999901</v>
      </c>
      <c r="X1130">
        <v>0.95098850000000001</v>
      </c>
      <c r="Y1130">
        <v>9.1049950000000004E-2</v>
      </c>
      <c r="Z1130">
        <v>-2.6743119999999999E-3</v>
      </c>
      <c r="AA1130">
        <v>0.99584280000000003</v>
      </c>
      <c r="AB1130">
        <v>36</v>
      </c>
      <c r="AC1130">
        <v>20.733599999999999</v>
      </c>
      <c r="AD1130">
        <v>-1.060152883987</v>
      </c>
      <c r="AE1130">
        <v>-2.03049999999996</v>
      </c>
      <c r="AF1130">
        <v>1.9102553445842601</v>
      </c>
      <c r="AG1130">
        <v>-1.060152883987</v>
      </c>
      <c r="AH1130">
        <v>20.690985407509601</v>
      </c>
      <c r="AI1130">
        <v>92.920724033132899</v>
      </c>
      <c r="AJ1130">
        <v>84.725230272494898</v>
      </c>
      <c r="AK1130">
        <v>20.806005785655099</v>
      </c>
      <c r="AL1130">
        <v>72.486693074384903</v>
      </c>
      <c r="AM1130">
        <v>94.279294888894995</v>
      </c>
      <c r="AN1130">
        <v>1.0000000271332501</v>
      </c>
    </row>
    <row r="1131" spans="1:40" x14ac:dyDescent="0.25">
      <c r="A1131" t="str">
        <f>"20190304164116476"</f>
        <v>20190304164116476</v>
      </c>
      <c r="B1131" t="str">
        <f>"1551688876462632"</f>
        <v>1551688876462632</v>
      </c>
      <c r="C1131" t="s">
        <v>40</v>
      </c>
      <c r="D1131">
        <v>4.2178170000000001</v>
      </c>
      <c r="E1131">
        <v>0.57580509999999996</v>
      </c>
      <c r="F1131" t="s">
        <v>42</v>
      </c>
      <c r="G1131">
        <v>-262.58510000000001</v>
      </c>
      <c r="H1131" s="1">
        <v>-3.9683749999999999E-6</v>
      </c>
      <c r="I1131">
        <v>365.07760000000002</v>
      </c>
      <c r="J1131">
        <v>-283.34050000000002</v>
      </c>
      <c r="K1131">
        <v>1.060155</v>
      </c>
      <c r="L1131">
        <v>367.10120000000001</v>
      </c>
      <c r="M1131">
        <v>0.99990310000000004</v>
      </c>
      <c r="N1131">
        <v>-1.276238E-2</v>
      </c>
      <c r="O1131">
        <v>-5.57663E-3</v>
      </c>
      <c r="P1131">
        <v>0.95519419999999999</v>
      </c>
      <c r="Q1131">
        <v>0.28856880000000001</v>
      </c>
      <c r="R1131">
        <v>6.5821329999999997E-2</v>
      </c>
      <c r="S1131">
        <v>3.2115480000000001</v>
      </c>
      <c r="T1131">
        <v>-0.16265060000000001</v>
      </c>
      <c r="U1131">
        <v>-0.31060789999999999</v>
      </c>
      <c r="V1131">
        <v>-7.111141E-2</v>
      </c>
      <c r="W1131">
        <v>0.30073949999999999</v>
      </c>
      <c r="X1131">
        <v>0.95105150000000005</v>
      </c>
      <c r="Y1131">
        <v>9.0573819999999999E-2</v>
      </c>
      <c r="Z1131">
        <v>-2.6559890000000001E-3</v>
      </c>
      <c r="AA1131">
        <v>0.99588620000000005</v>
      </c>
      <c r="AB1131">
        <v>36</v>
      </c>
      <c r="AC1131">
        <v>20.755400000000002</v>
      </c>
      <c r="AD1131">
        <v>-1.0601589683749999</v>
      </c>
      <c r="AE1131">
        <v>-2.0235999999999801</v>
      </c>
      <c r="AF1131">
        <v>1.9028959545267701</v>
      </c>
      <c r="AG1131">
        <v>-1.0601589683749999</v>
      </c>
      <c r="AH1131">
        <v>20.712831371671701</v>
      </c>
      <c r="AI1131">
        <v>92.917785976403394</v>
      </c>
      <c r="AJ1131">
        <v>84.750948764329195</v>
      </c>
      <c r="AK1131">
        <v>20.827057725067402</v>
      </c>
      <c r="AL1131">
        <v>72.497975705334895</v>
      </c>
      <c r="AM1131">
        <v>94.2761260310685</v>
      </c>
      <c r="AN1131">
        <v>1.00000001757234</v>
      </c>
    </row>
    <row r="1132" spans="1:40" x14ac:dyDescent="0.25">
      <c r="A1132" t="str">
        <f>"20190304164116488"</f>
        <v>20190304164116488</v>
      </c>
      <c r="B1132" t="str">
        <f>"1551688876472392"</f>
        <v>1551688876472392</v>
      </c>
      <c r="C1132" t="s">
        <v>40</v>
      </c>
      <c r="D1132">
        <v>4.2589969999999999</v>
      </c>
      <c r="E1132">
        <v>0.57560719999999899</v>
      </c>
      <c r="F1132" t="s">
        <v>42</v>
      </c>
      <c r="G1132">
        <v>-262.4479</v>
      </c>
      <c r="H1132" s="1">
        <v>-4.0245509999999997E-6</v>
      </c>
      <c r="I1132">
        <v>365.0926</v>
      </c>
      <c r="J1132">
        <v>-283.1773</v>
      </c>
      <c r="K1132">
        <v>1.0601510000000001</v>
      </c>
      <c r="L1132">
        <v>367.1003</v>
      </c>
      <c r="M1132">
        <v>0.99990290000000004</v>
      </c>
      <c r="N1132">
        <v>-1.2766400000000001E-2</v>
      </c>
      <c r="O1132">
        <v>-5.5906259999999996E-3</v>
      </c>
      <c r="P1132">
        <v>0.95514080000000001</v>
      </c>
      <c r="Q1132">
        <v>0.28875820000000002</v>
      </c>
      <c r="R1132">
        <v>6.5762119999999993E-2</v>
      </c>
      <c r="S1132">
        <v>3.2112430000000001</v>
      </c>
      <c r="T1132">
        <v>-0.16294839999999999</v>
      </c>
      <c r="U1132">
        <v>-0.30871579999999998</v>
      </c>
      <c r="V1132">
        <v>-7.1064249999999995E-2</v>
      </c>
      <c r="W1132">
        <v>0.30093229999999999</v>
      </c>
      <c r="X1132">
        <v>0.95099400000000001</v>
      </c>
      <c r="Y1132">
        <v>8.9987990000000004E-2</v>
      </c>
      <c r="Z1132">
        <v>-2.6409929999999999E-3</v>
      </c>
      <c r="AA1132">
        <v>0.99593940000000003</v>
      </c>
      <c r="AB1132">
        <v>36</v>
      </c>
      <c r="AC1132">
        <v>20.729399999999998</v>
      </c>
      <c r="AD1132">
        <v>-1.0601550245510001</v>
      </c>
      <c r="AE1132">
        <v>-2.0076999999999998</v>
      </c>
      <c r="AF1132">
        <v>1.8868794655609999</v>
      </c>
      <c r="AG1132">
        <v>-1.0601550245510001</v>
      </c>
      <c r="AH1132">
        <v>20.6866966732983</v>
      </c>
      <c r="AI1132">
        <v>92.921629211439395</v>
      </c>
      <c r="AJ1132">
        <v>84.788346078428603</v>
      </c>
      <c r="AK1132">
        <v>20.799607257029798</v>
      </c>
      <c r="AL1132">
        <v>72.486391862310199</v>
      </c>
      <c r="AM1132">
        <v>94.273558097636297</v>
      </c>
      <c r="AN1132">
        <v>0.99999998242367605</v>
      </c>
    </row>
    <row r="1133" spans="1:40" x14ac:dyDescent="0.25">
      <c r="A1133" t="str">
        <f>"20190304164116498"</f>
        <v>20190304164116498</v>
      </c>
      <c r="B1133" t="str">
        <f>"1551688876482153"</f>
        <v>1551688876482153</v>
      </c>
      <c r="C1133" t="s">
        <v>40</v>
      </c>
      <c r="D1133">
        <v>4.1979439999999997</v>
      </c>
      <c r="E1133">
        <v>0.57537099999999997</v>
      </c>
      <c r="F1133" t="s">
        <v>42</v>
      </c>
      <c r="G1133">
        <v>-262.16390000000001</v>
      </c>
      <c r="H1133" s="1">
        <v>-4.146889E-6</v>
      </c>
      <c r="I1133">
        <v>365.08980000000003</v>
      </c>
      <c r="J1133">
        <v>-282.9828</v>
      </c>
      <c r="K1133">
        <v>1.0601499999999999</v>
      </c>
      <c r="L1133">
        <v>367.0992</v>
      </c>
      <c r="M1133">
        <v>0.99990290000000004</v>
      </c>
      <c r="N1133">
        <v>-1.27709E-2</v>
      </c>
      <c r="O1133">
        <v>-5.6041700000000003E-3</v>
      </c>
      <c r="P1133">
        <v>0.95517359999999896</v>
      </c>
      <c r="Q1133">
        <v>0.28864790000000001</v>
      </c>
      <c r="R1133">
        <v>6.5772819999999996E-2</v>
      </c>
      <c r="S1133">
        <v>3.2109990000000002</v>
      </c>
      <c r="T1133">
        <v>-0.16199949999999999</v>
      </c>
      <c r="U1133">
        <v>-0.30722050000000001</v>
      </c>
      <c r="V1133">
        <v>-7.1086209999999997E-2</v>
      </c>
      <c r="W1133">
        <v>0.30082730000000002</v>
      </c>
      <c r="X1133">
        <v>0.95102560000000003</v>
      </c>
      <c r="Y1133">
        <v>8.9524270000000003E-2</v>
      </c>
      <c r="Z1133">
        <v>-2.6146630000000001E-3</v>
      </c>
      <c r="AA1133">
        <v>0.99598120000000001</v>
      </c>
      <c r="AB1133">
        <v>36</v>
      </c>
      <c r="AC1133">
        <v>20.8188999999999</v>
      </c>
      <c r="AD1133">
        <v>-1.0601541468889999</v>
      </c>
      <c r="AE1133">
        <v>-2.0093999999999701</v>
      </c>
      <c r="AF1133">
        <v>1.8878360873581199</v>
      </c>
      <c r="AG1133">
        <v>-1.0601541468889999</v>
      </c>
      <c r="AH1133">
        <v>20.776456386878099</v>
      </c>
      <c r="AI1133">
        <v>92.909117587192995</v>
      </c>
      <c r="AJ1133">
        <v>84.808122082690005</v>
      </c>
      <c r="AK1133">
        <v>20.888968186670802</v>
      </c>
      <c r="AL1133">
        <v>72.492700603923296</v>
      </c>
      <c r="AM1133">
        <v>94.274732285372707</v>
      </c>
      <c r="AN1133">
        <v>1.0000000027664</v>
      </c>
    </row>
    <row r="1134" spans="1:40" x14ac:dyDescent="0.25">
      <c r="A1134" t="str">
        <f>"20190304164116509"</f>
        <v>20190304164116509</v>
      </c>
      <c r="B1134" t="str">
        <f>"1551688876502648"</f>
        <v>1551688876502648</v>
      </c>
      <c r="C1134" t="s">
        <v>40</v>
      </c>
      <c r="D1134">
        <v>4.2267080000000004</v>
      </c>
      <c r="E1134">
        <v>0.57499400000000001</v>
      </c>
      <c r="F1134" t="s">
        <v>42</v>
      </c>
      <c r="G1134">
        <v>-261.89150000000001</v>
      </c>
      <c r="H1134" s="1">
        <v>-4.2631190000000002E-6</v>
      </c>
      <c r="I1134">
        <v>365.09339999999997</v>
      </c>
      <c r="J1134">
        <v>-282.81459999999998</v>
      </c>
      <c r="K1134">
        <v>1.060154</v>
      </c>
      <c r="L1134">
        <v>367.09820000000002</v>
      </c>
      <c r="M1134">
        <v>0.99990270000000003</v>
      </c>
      <c r="N1134">
        <v>-1.277446E-2</v>
      </c>
      <c r="O1134">
        <v>-5.622284E-3</v>
      </c>
      <c r="P1134">
        <v>0.95512909999999995</v>
      </c>
      <c r="Q1134">
        <v>0.28879149999999998</v>
      </c>
      <c r="R1134">
        <v>6.5787869999999998E-2</v>
      </c>
      <c r="S1134">
        <v>3.2106020000000002</v>
      </c>
      <c r="T1134">
        <v>-0.16138029999999901</v>
      </c>
      <c r="U1134">
        <v>-0.3053284</v>
      </c>
      <c r="V1134">
        <v>-7.1119070000000006E-2</v>
      </c>
      <c r="W1134">
        <v>0.3009732</v>
      </c>
      <c r="X1134">
        <v>0.95097699999999996</v>
      </c>
      <c r="Y1134">
        <v>8.8938030000000001E-2</v>
      </c>
      <c r="Z1134">
        <v>-2.588478E-3</v>
      </c>
      <c r="AA1134">
        <v>0.99603379999999997</v>
      </c>
      <c r="AB1134">
        <v>36</v>
      </c>
      <c r="AC1134">
        <v>20.923099999999899</v>
      </c>
      <c r="AD1134">
        <v>-1.0601582631190001</v>
      </c>
      <c r="AE1134">
        <v>-2.0048000000000399</v>
      </c>
      <c r="AF1134">
        <v>1.8823344172358401</v>
      </c>
      <c r="AG1134">
        <v>-1.0601582631190001</v>
      </c>
      <c r="AH1134">
        <v>20.880920277620199</v>
      </c>
      <c r="AI1134">
        <v>92.894786046045795</v>
      </c>
      <c r="AJ1134">
        <v>84.848929474827798</v>
      </c>
      <c r="AK1134">
        <v>20.992378379819201</v>
      </c>
      <c r="AL1134">
        <v>72.483935254676098</v>
      </c>
      <c r="AM1134">
        <v>94.276918725922002</v>
      </c>
      <c r="AN1134">
        <v>1.0000000218824501</v>
      </c>
    </row>
    <row r="1135" spans="1:40" x14ac:dyDescent="0.25">
      <c r="A1135" t="str">
        <f>"20190304164116520"</f>
        <v>20190304164116520</v>
      </c>
      <c r="B1135" t="str">
        <f>"1551688876512410"</f>
        <v>1551688876512410</v>
      </c>
      <c r="C1135" t="s">
        <v>40</v>
      </c>
      <c r="D1135">
        <v>4.2663549999999999</v>
      </c>
      <c r="E1135">
        <v>0.57481349999999998</v>
      </c>
      <c r="F1135" t="s">
        <v>42</v>
      </c>
      <c r="G1135">
        <v>-261.4853</v>
      </c>
      <c r="H1135" s="1">
        <v>-4.4380690000000001E-6</v>
      </c>
      <c r="I1135">
        <v>365.08949999999999</v>
      </c>
      <c r="J1135">
        <v>-282.64170000000001</v>
      </c>
      <c r="K1135">
        <v>1.0601579999999999</v>
      </c>
      <c r="L1135">
        <v>367.09730000000002</v>
      </c>
      <c r="M1135">
        <v>0.99990239999999997</v>
      </c>
      <c r="N1135">
        <v>-1.277797E-2</v>
      </c>
      <c r="O1135">
        <v>-5.6432299999999999E-3</v>
      </c>
      <c r="P1135">
        <v>0.95510949999999994</v>
      </c>
      <c r="Q1135">
        <v>0.28882930000000001</v>
      </c>
      <c r="R1135">
        <v>6.5907460000000001E-2</v>
      </c>
      <c r="S1135">
        <v>3.2100219999999999</v>
      </c>
      <c r="T1135">
        <v>-0.1595519</v>
      </c>
      <c r="U1135">
        <v>-0.3023071</v>
      </c>
      <c r="V1135">
        <v>-7.1261409999999997E-2</v>
      </c>
      <c r="W1135">
        <v>0.3010137</v>
      </c>
      <c r="X1135">
        <v>0.95095350000000001</v>
      </c>
      <c r="Y1135">
        <v>8.8009039999999997E-2</v>
      </c>
      <c r="Z1135">
        <v>-2.5372770000000001E-3</v>
      </c>
      <c r="AA1135">
        <v>0.99611649999999996</v>
      </c>
      <c r="AB1135">
        <v>36</v>
      </c>
      <c r="AC1135">
        <v>21.156400000000001</v>
      </c>
      <c r="AD1135">
        <v>-1.060162438069</v>
      </c>
      <c r="AE1135">
        <v>-2.0078000000000298</v>
      </c>
      <c r="AF1135">
        <v>1.8836799831815001</v>
      </c>
      <c r="AG1135">
        <v>-1.060162438069</v>
      </c>
      <c r="AH1135">
        <v>21.114846586056501</v>
      </c>
      <c r="AI1135">
        <v>92.863018046178397</v>
      </c>
      <c r="AJ1135">
        <v>84.902072567519696</v>
      </c>
      <c r="AK1135">
        <v>21.225195900788101</v>
      </c>
      <c r="AL1135">
        <v>72.481501495108304</v>
      </c>
      <c r="AM1135">
        <v>94.285552339166301</v>
      </c>
      <c r="AN1135">
        <v>0.99999999765256398</v>
      </c>
    </row>
    <row r="1136" spans="1:40" x14ac:dyDescent="0.25">
      <c r="A1136" t="str">
        <f>"20190304164116529"</f>
        <v>20190304164116529</v>
      </c>
      <c r="B1136" t="str">
        <f>"1551688876522168"</f>
        <v>1551688876522168</v>
      </c>
      <c r="C1136" t="s">
        <v>40</v>
      </c>
      <c r="D1136">
        <v>4.2445909999999998</v>
      </c>
      <c r="E1136">
        <v>0.57464179999999998</v>
      </c>
      <c r="F1136" t="s">
        <v>42</v>
      </c>
      <c r="G1136">
        <v>-261.24439999999998</v>
      </c>
      <c r="H1136" s="1">
        <v>-4.5410009999999996E-6</v>
      </c>
      <c r="I1136">
        <v>365.0917</v>
      </c>
      <c r="J1136">
        <v>-282.49059999999997</v>
      </c>
      <c r="K1136">
        <v>1.0601579999999999</v>
      </c>
      <c r="L1136">
        <v>367.09640000000002</v>
      </c>
      <c r="M1136">
        <v>0.99990230000000002</v>
      </c>
      <c r="N1136">
        <v>-1.2780710000000001E-2</v>
      </c>
      <c r="O1136">
        <v>-5.6583909999999996E-3</v>
      </c>
      <c r="P1136">
        <v>0.95509489999999997</v>
      </c>
      <c r="Q1136">
        <v>0.28880980000000001</v>
      </c>
      <c r="R1136">
        <v>6.6200490000000001E-2</v>
      </c>
      <c r="S1136">
        <v>3.2098390000000001</v>
      </c>
      <c r="T1136">
        <v>-0.15903639999999999</v>
      </c>
      <c r="U1136">
        <v>-0.30084229999999901</v>
      </c>
      <c r="V1136">
        <v>-7.1568339999999994E-2</v>
      </c>
      <c r="W1136">
        <v>0.3009964</v>
      </c>
      <c r="X1136">
        <v>0.95093589999999995</v>
      </c>
      <c r="Y1136">
        <v>8.7550069999999994E-2</v>
      </c>
      <c r="Z1136">
        <v>-2.5165769999999999E-3</v>
      </c>
      <c r="AA1136">
        <v>0.99615690000000001</v>
      </c>
      <c r="AB1136">
        <v>36</v>
      </c>
      <c r="AC1136">
        <v>21.246199999999899</v>
      </c>
      <c r="AD1136">
        <v>-1.0601625410009901</v>
      </c>
      <c r="AE1136">
        <v>-2.0047000000000099</v>
      </c>
      <c r="AF1136">
        <v>1.8797995583917799</v>
      </c>
      <c r="AG1136">
        <v>-1.0601625410009901</v>
      </c>
      <c r="AH1136">
        <v>21.204871965608</v>
      </c>
      <c r="AI1136">
        <v>92.851024532831801</v>
      </c>
      <c r="AJ1136">
        <v>84.934005538435997</v>
      </c>
      <c r="AK1136">
        <v>21.314412637248498</v>
      </c>
      <c r="AL1136">
        <v>72.482540472159002</v>
      </c>
      <c r="AM1136">
        <v>94.304020788520305</v>
      </c>
      <c r="AN1136">
        <v>0.99999997300606203</v>
      </c>
    </row>
    <row r="1137" spans="1:40" x14ac:dyDescent="0.25">
      <c r="A1137" t="str">
        <f>"20190304164116540"</f>
        <v>20190304164116540</v>
      </c>
      <c r="B1137" t="str">
        <f>"1551688876531929"</f>
        <v>1551688876531929</v>
      </c>
      <c r="C1137" t="s">
        <v>40</v>
      </c>
      <c r="D1137">
        <v>4.210026</v>
      </c>
      <c r="E1137">
        <v>0.57446090000000005</v>
      </c>
      <c r="F1137" t="s">
        <v>42</v>
      </c>
      <c r="G1137">
        <v>-261.05509999999998</v>
      </c>
      <c r="H1137" s="1">
        <v>-4.6205500000000002E-6</v>
      </c>
      <c r="I1137">
        <v>365.10109999999997</v>
      </c>
      <c r="J1137">
        <v>-282.31610000000001</v>
      </c>
      <c r="K1137">
        <v>1.0601560000000001</v>
      </c>
      <c r="L1137">
        <v>367.09539999999998</v>
      </c>
      <c r="M1137">
        <v>0.99990219999999996</v>
      </c>
      <c r="N1137">
        <v>-1.278382E-2</v>
      </c>
      <c r="O1137">
        <v>-5.6753539999999996E-3</v>
      </c>
      <c r="P1137">
        <v>0.95501329999999995</v>
      </c>
      <c r="Q1137">
        <v>0.2890644</v>
      </c>
      <c r="R1137">
        <v>6.6267090000000001E-2</v>
      </c>
      <c r="S1137">
        <v>3.209778</v>
      </c>
      <c r="T1137">
        <v>-0.158749799999999</v>
      </c>
      <c r="U1137">
        <v>-0.29876710000000001</v>
      </c>
      <c r="V1137">
        <v>-7.1650210000000006E-2</v>
      </c>
      <c r="W1137">
        <v>0.3012533</v>
      </c>
      <c r="X1137">
        <v>0.95084840000000004</v>
      </c>
      <c r="Y1137">
        <v>8.6897849999999999E-2</v>
      </c>
      <c r="Z1137">
        <v>-2.492532E-3</v>
      </c>
      <c r="AA1137">
        <v>0.99621409999999999</v>
      </c>
      <c r="AB1137">
        <v>36</v>
      </c>
      <c r="AC1137">
        <v>21.260999999999999</v>
      </c>
      <c r="AD1137">
        <v>-1.0601606205499901</v>
      </c>
      <c r="AE1137">
        <v>-1.9943</v>
      </c>
      <c r="AF1137">
        <v>1.8689877441234199</v>
      </c>
      <c r="AG1137">
        <v>-1.0601606205499901</v>
      </c>
      <c r="AH1137">
        <v>21.219675790708699</v>
      </c>
      <c r="AI1137">
        <v>92.849176147911095</v>
      </c>
      <c r="AJ1137">
        <v>84.966488666173007</v>
      </c>
      <c r="AK1137">
        <v>21.328190180881201</v>
      </c>
      <c r="AL1137">
        <v>72.467105067749301</v>
      </c>
      <c r="AM1137">
        <v>94.309320831061498</v>
      </c>
      <c r="AN1137">
        <v>0.99999999156824704</v>
      </c>
    </row>
    <row r="1138" spans="1:40" x14ac:dyDescent="0.25">
      <c r="A1138" t="str">
        <f>"20190304164116552"</f>
        <v>20190304164116552</v>
      </c>
      <c r="B1138" t="str">
        <f>"1551688876542664"</f>
        <v>1551688876542664</v>
      </c>
      <c r="C1138" t="s">
        <v>40</v>
      </c>
      <c r="D1138">
        <v>4.251398</v>
      </c>
      <c r="E1138">
        <v>0.57431049999999995</v>
      </c>
      <c r="F1138" t="s">
        <v>42</v>
      </c>
      <c r="G1138">
        <v>-260.65609999999998</v>
      </c>
      <c r="H1138" s="1">
        <v>-4.7937759999999999E-6</v>
      </c>
      <c r="I1138">
        <v>365.08969999999999</v>
      </c>
      <c r="J1138">
        <v>-282.1472</v>
      </c>
      <c r="K1138">
        <v>1.0601590000000001</v>
      </c>
      <c r="L1138">
        <v>367.09440000000001</v>
      </c>
      <c r="M1138">
        <v>0.99990219999999996</v>
      </c>
      <c r="N1138">
        <v>-1.278837E-2</v>
      </c>
      <c r="O1138">
        <v>-5.6875769999999897E-3</v>
      </c>
      <c r="P1138">
        <v>0.95499820000000002</v>
      </c>
      <c r="Q1138">
        <v>0.28909030000000002</v>
      </c>
      <c r="R1138">
        <v>6.6373970000000004E-2</v>
      </c>
      <c r="S1138">
        <v>3.209473</v>
      </c>
      <c r="T1138">
        <v>-0.15708900000000001</v>
      </c>
      <c r="U1138">
        <v>-0.29718020000000001</v>
      </c>
      <c r="V1138">
        <v>-7.1766910000000003E-2</v>
      </c>
      <c r="W1138">
        <v>0.30128379999999999</v>
      </c>
      <c r="X1138">
        <v>0.95082990000000001</v>
      </c>
      <c r="Y1138">
        <v>8.6409130000000001E-2</v>
      </c>
      <c r="Z1138">
        <v>-2.4579839999999999E-3</v>
      </c>
      <c r="AA1138">
        <v>0.9962567</v>
      </c>
      <c r="AB1138">
        <v>36</v>
      </c>
      <c r="AC1138">
        <v>21.491099999999999</v>
      </c>
      <c r="AD1138">
        <v>-1.060163793776</v>
      </c>
      <c r="AE1138">
        <v>-2.0047000000000099</v>
      </c>
      <c r="AF1138">
        <v>1.8778948973133101</v>
      </c>
      <c r="AG1138">
        <v>-1.060163793776</v>
      </c>
      <c r="AH1138">
        <v>21.450406195997299</v>
      </c>
      <c r="AI1138">
        <v>92.818717711485107</v>
      </c>
      <c r="AJ1138">
        <v>84.9967460977104</v>
      </c>
      <c r="AK1138">
        <v>21.558533402999998</v>
      </c>
      <c r="AL1138">
        <v>72.465271794005602</v>
      </c>
      <c r="AM1138">
        <v>94.316396780557696</v>
      </c>
      <c r="AN1138">
        <v>0.99999995812369802</v>
      </c>
    </row>
    <row r="1139" spans="1:40" x14ac:dyDescent="0.25">
      <c r="A1139" t="str">
        <f>"20190304164116563"</f>
        <v>20190304164116563</v>
      </c>
      <c r="B1139" t="str">
        <f>"1551688876552425"</f>
        <v>1551688876552425</v>
      </c>
      <c r="C1139" t="s">
        <v>40</v>
      </c>
      <c r="D1139">
        <v>4.250769</v>
      </c>
      <c r="E1139">
        <v>0.5741503</v>
      </c>
      <c r="F1139" t="s">
        <v>42</v>
      </c>
      <c r="G1139">
        <v>-260.38159999999999</v>
      </c>
      <c r="H1139" s="1">
        <v>-4.912047E-6</v>
      </c>
      <c r="I1139">
        <v>365.08670000000001</v>
      </c>
      <c r="J1139">
        <v>-281.96679999999998</v>
      </c>
      <c r="K1139">
        <v>1.06016</v>
      </c>
      <c r="L1139">
        <v>367.0933</v>
      </c>
      <c r="M1139">
        <v>0.99990199999999996</v>
      </c>
      <c r="N1139">
        <v>-1.2794109999999999E-2</v>
      </c>
      <c r="O1139">
        <v>-5.7007580000000002E-3</v>
      </c>
      <c r="P1139">
        <v>0.95494290000000004</v>
      </c>
      <c r="Q1139">
        <v>0.2892557</v>
      </c>
      <c r="R1139">
        <v>6.6450170000000003E-2</v>
      </c>
      <c r="S1139">
        <v>3.2092900000000002</v>
      </c>
      <c r="T1139">
        <v>-0.1563184</v>
      </c>
      <c r="U1139">
        <v>-0.29602050000000002</v>
      </c>
      <c r="V1139">
        <v>-7.1854440000000006E-2</v>
      </c>
      <c r="W1139">
        <v>0.3014539</v>
      </c>
      <c r="X1139">
        <v>0.95076939999999999</v>
      </c>
      <c r="Y1139">
        <v>8.6045839999999998E-2</v>
      </c>
      <c r="Z1139">
        <v>-2.4377890000000001E-3</v>
      </c>
      <c r="AA1139">
        <v>0.99628819999999996</v>
      </c>
      <c r="AB1139">
        <v>36</v>
      </c>
      <c r="AC1139">
        <v>21.585199999999901</v>
      </c>
      <c r="AD1139">
        <v>-1.060164912047</v>
      </c>
      <c r="AE1139">
        <v>-2.0065999999999899</v>
      </c>
      <c r="AF1139">
        <v>1.8790113884223201</v>
      </c>
      <c r="AG1139">
        <v>-1.060164912047</v>
      </c>
      <c r="AH1139">
        <v>21.544761733775601</v>
      </c>
      <c r="AI1139">
        <v>92.8064764061277</v>
      </c>
      <c r="AJ1139">
        <v>85.015600634916694</v>
      </c>
      <c r="AK1139">
        <v>21.652514671596901</v>
      </c>
      <c r="AL1139">
        <v>72.455051026518703</v>
      </c>
      <c r="AM1139">
        <v>94.321915266463193</v>
      </c>
      <c r="AN1139">
        <v>0.99999998317464101</v>
      </c>
    </row>
    <row r="1140" spans="1:40" x14ac:dyDescent="0.25">
      <c r="A1140" t="str">
        <f>"20190304164116574"</f>
        <v>20190304164116574</v>
      </c>
      <c r="B1140" t="str">
        <f>"1551688876562185"</f>
        <v>1551688876562185</v>
      </c>
      <c r="C1140" t="s">
        <v>40</v>
      </c>
      <c r="D1140">
        <v>4.2615170000000004</v>
      </c>
      <c r="E1140">
        <v>0.57399979999999995</v>
      </c>
      <c r="F1140" t="s">
        <v>42</v>
      </c>
      <c r="G1140">
        <v>-260.0478</v>
      </c>
      <c r="H1140" s="1">
        <v>-5.0561819999999999E-6</v>
      </c>
      <c r="I1140">
        <v>365.08150000000001</v>
      </c>
      <c r="J1140">
        <v>-281.77940000000001</v>
      </c>
      <c r="K1140">
        <v>1.0601670000000001</v>
      </c>
      <c r="L1140">
        <v>367.09219999999999</v>
      </c>
      <c r="M1140">
        <v>0.99990179999999995</v>
      </c>
      <c r="N1140">
        <v>-1.280799E-2</v>
      </c>
      <c r="O1140">
        <v>-5.7204719999999999E-3</v>
      </c>
      <c r="P1140">
        <v>0.95495030000000003</v>
      </c>
      <c r="Q1140">
        <v>0.28922330000000002</v>
      </c>
      <c r="R1140">
        <v>6.6485820000000001E-2</v>
      </c>
      <c r="S1140">
        <v>3.209015</v>
      </c>
      <c r="T1140">
        <v>-0.1552113</v>
      </c>
      <c r="U1140">
        <v>-0.29452509999999998</v>
      </c>
      <c r="V1140">
        <v>-7.1910210000000002E-2</v>
      </c>
      <c r="W1140">
        <v>0.3014347</v>
      </c>
      <c r="X1140">
        <v>0.95077129999999999</v>
      </c>
      <c r="Y1140">
        <v>8.5575830000000006E-2</v>
      </c>
      <c r="Z1140">
        <v>-2.410765E-3</v>
      </c>
      <c r="AA1140">
        <v>0.99632880000000001</v>
      </c>
      <c r="AB1140">
        <v>36</v>
      </c>
      <c r="AC1140">
        <v>21.7316</v>
      </c>
      <c r="AD1140">
        <v>-1.0601720561820001</v>
      </c>
      <c r="AE1140">
        <v>-2.0106999999999799</v>
      </c>
      <c r="AF1140">
        <v>1.8819010829546301</v>
      </c>
      <c r="AG1140">
        <v>-1.0601720561820001</v>
      </c>
      <c r="AH1140">
        <v>21.691560655605802</v>
      </c>
      <c r="AI1140">
        <v>92.787642033727593</v>
      </c>
      <c r="AJ1140">
        <v>85.041588767903207</v>
      </c>
      <c r="AK1140">
        <v>21.7988375871412</v>
      </c>
      <c r="AL1140">
        <v>72.456205273561295</v>
      </c>
      <c r="AM1140">
        <v>94.325248396192805</v>
      </c>
      <c r="AN1140">
        <v>1.00000001078501</v>
      </c>
    </row>
    <row r="1141" spans="1:40" x14ac:dyDescent="0.25">
      <c r="A1141" t="str">
        <f>"20190304164116585"</f>
        <v>20190304164116585</v>
      </c>
      <c r="B1141" t="str">
        <f>"1551688876571944"</f>
        <v>1551688876571944</v>
      </c>
      <c r="C1141" t="s">
        <v>40</v>
      </c>
      <c r="D1141">
        <v>4.2936719999999999</v>
      </c>
      <c r="E1141">
        <v>0.57385369999999902</v>
      </c>
      <c r="F1141" t="s">
        <v>42</v>
      </c>
      <c r="G1141">
        <v>-259.79480000000001</v>
      </c>
      <c r="H1141" s="1">
        <v>-1.262562E-6</v>
      </c>
      <c r="I1141">
        <v>365.08120000000002</v>
      </c>
      <c r="J1141">
        <v>-281.61540000000002</v>
      </c>
      <c r="K1141">
        <v>1.0601739999999999</v>
      </c>
      <c r="L1141">
        <v>367.09129999999999</v>
      </c>
      <c r="M1141">
        <v>0.9999015</v>
      </c>
      <c r="N1141">
        <v>-1.282237E-2</v>
      </c>
      <c r="O1141">
        <v>-5.738529E-3</v>
      </c>
      <c r="P1141">
        <v>0.95496720000000002</v>
      </c>
      <c r="Q1141">
        <v>0.28916350000000002</v>
      </c>
      <c r="R1141">
        <v>6.6502969999999995E-2</v>
      </c>
      <c r="S1141">
        <v>3.2088619999999999</v>
      </c>
      <c r="T1141">
        <v>-0.1547415</v>
      </c>
      <c r="U1141">
        <v>-0.293518099999999</v>
      </c>
      <c r="V1141">
        <v>-7.194623E-2</v>
      </c>
      <c r="W1141">
        <v>0.30138789999999999</v>
      </c>
      <c r="X1141">
        <v>0.95078339999999995</v>
      </c>
      <c r="Y1141">
        <v>8.5253129999999996E-2</v>
      </c>
      <c r="Z1141">
        <v>-2.3956870000000001E-3</v>
      </c>
      <c r="AA1141">
        <v>0.99635640000000003</v>
      </c>
      <c r="AB1141">
        <v>36</v>
      </c>
      <c r="AC1141">
        <v>21.820599999999999</v>
      </c>
      <c r="AD1141">
        <v>-1.060175262562</v>
      </c>
      <c r="AE1141">
        <v>-2.01009999999996</v>
      </c>
      <c r="AF1141">
        <v>1.88043687568285</v>
      </c>
      <c r="AG1141">
        <v>-1.060175262562</v>
      </c>
      <c r="AH1141">
        <v>21.780793570177099</v>
      </c>
      <c r="AI1141">
        <v>92.776348377525906</v>
      </c>
      <c r="AJ1141">
        <v>85.065625214355293</v>
      </c>
      <c r="AK1141">
        <v>21.8875074637896</v>
      </c>
      <c r="AL1141">
        <v>72.459017305450701</v>
      </c>
      <c r="AM1141">
        <v>94.327351833079405</v>
      </c>
      <c r="AN1141">
        <v>0.99999999999659095</v>
      </c>
    </row>
    <row r="1142" spans="1:40" x14ac:dyDescent="0.25">
      <c r="A1142" t="str">
        <f>"20190304164116596"</f>
        <v>20190304164116596</v>
      </c>
      <c r="B1142" t="str">
        <f>"1551688876582680"</f>
        <v>1551688876582680</v>
      </c>
      <c r="C1142" t="s">
        <v>40</v>
      </c>
      <c r="D1142">
        <v>4.2791769999999998</v>
      </c>
      <c r="E1142">
        <v>0.57371380000000005</v>
      </c>
      <c r="F1142" t="s">
        <v>42</v>
      </c>
      <c r="G1142">
        <v>-259.61369999999999</v>
      </c>
      <c r="H1142" s="1">
        <v>-1.3218420000000001E-6</v>
      </c>
      <c r="I1142">
        <v>365.09010000000001</v>
      </c>
      <c r="J1142">
        <v>-281.43220000000002</v>
      </c>
      <c r="K1142">
        <v>1.060181</v>
      </c>
      <c r="L1142">
        <v>367.09019999999998</v>
      </c>
      <c r="M1142">
        <v>0.99990109999999999</v>
      </c>
      <c r="N1142">
        <v>-1.2844370000000001E-2</v>
      </c>
      <c r="O1142">
        <v>-5.7602130000000001E-3</v>
      </c>
      <c r="P1142">
        <v>0.95501709999999995</v>
      </c>
      <c r="Q1142">
        <v>0.28896630000000001</v>
      </c>
      <c r="R1142">
        <v>6.6640439999999995E-2</v>
      </c>
      <c r="S1142">
        <v>3.2086489999999999</v>
      </c>
      <c r="T1142">
        <v>-0.15461179999999999</v>
      </c>
      <c r="U1142">
        <v>-0.29183959999999998</v>
      </c>
      <c r="V1142">
        <v>-7.2106829999999997E-2</v>
      </c>
      <c r="W1142">
        <v>0.30121239999999999</v>
      </c>
      <c r="X1142">
        <v>0.95082679999999997</v>
      </c>
      <c r="Y1142">
        <v>8.4721539999999998E-2</v>
      </c>
      <c r="Z1142">
        <v>-2.3784539999999999E-3</v>
      </c>
      <c r="AA1142">
        <v>0.9964018</v>
      </c>
      <c r="AB1142">
        <v>36</v>
      </c>
      <c r="AC1142">
        <v>21.8185</v>
      </c>
      <c r="AD1142">
        <v>-1.0601823218419999</v>
      </c>
      <c r="AE1142">
        <v>-2.00009999999997</v>
      </c>
      <c r="AF1142">
        <v>1.86999883018683</v>
      </c>
      <c r="AG1142">
        <v>-1.0601823218419999</v>
      </c>
      <c r="AH1142">
        <v>21.778667178703198</v>
      </c>
      <c r="AI1142">
        <v>92.776749048753999</v>
      </c>
      <c r="AJ1142">
        <v>85.0924043601497</v>
      </c>
      <c r="AK1142">
        <v>21.8844973956719</v>
      </c>
      <c r="AL1142">
        <v>72.469561940887402</v>
      </c>
      <c r="AM1142">
        <v>94.3367774274206</v>
      </c>
      <c r="AN1142">
        <v>0.99999995422232302</v>
      </c>
    </row>
    <row r="1143" spans="1:40" x14ac:dyDescent="0.25">
      <c r="A1143" t="str">
        <f>"20190304164116607"</f>
        <v>20190304164116607</v>
      </c>
      <c r="B1143" t="str">
        <f>"1551688876602200"</f>
        <v>1551688876602200</v>
      </c>
      <c r="C1143" t="s">
        <v>40</v>
      </c>
      <c r="D1143">
        <v>4.2923749999999998</v>
      </c>
      <c r="E1143">
        <v>0.57343420000000001</v>
      </c>
      <c r="F1143" t="s">
        <v>42</v>
      </c>
      <c r="G1143">
        <v>-259.45310000000001</v>
      </c>
      <c r="H1143" s="1">
        <v>-1.3740709999999999E-6</v>
      </c>
      <c r="I1143">
        <v>365.0992</v>
      </c>
      <c r="J1143">
        <v>-281.27010000000001</v>
      </c>
      <c r="K1143">
        <v>1.060249</v>
      </c>
      <c r="L1143">
        <v>367.08929999999998</v>
      </c>
      <c r="M1143">
        <v>0.99989760000000005</v>
      </c>
      <c r="N1143">
        <v>-1.3092350000000001E-2</v>
      </c>
      <c r="O1143">
        <v>-5.7787250000000002E-3</v>
      </c>
      <c r="P1143">
        <v>0.95510539999999999</v>
      </c>
      <c r="Q1143">
        <v>0.28870699999999999</v>
      </c>
      <c r="R1143">
        <v>6.6498329999999994E-2</v>
      </c>
      <c r="S1143">
        <v>3.2083740000000001</v>
      </c>
      <c r="T1143">
        <v>-0.15475820000000001</v>
      </c>
      <c r="U1143">
        <v>-0.29061890000000001</v>
      </c>
      <c r="V1143">
        <v>-7.1984060000000002E-2</v>
      </c>
      <c r="W1143">
        <v>0.30118919999999999</v>
      </c>
      <c r="X1143">
        <v>0.95084349999999995</v>
      </c>
      <c r="Y1143">
        <v>8.4334560000000003E-2</v>
      </c>
      <c r="Z1143">
        <v>-2.3797549999999999E-3</v>
      </c>
      <c r="AA1143">
        <v>0.99643459999999995</v>
      </c>
      <c r="AB1143">
        <v>36</v>
      </c>
      <c r="AC1143">
        <v>21.817</v>
      </c>
      <c r="AD1143">
        <v>-1.0602503740710001</v>
      </c>
      <c r="AE1143">
        <v>-1.99009999999998</v>
      </c>
      <c r="AF1143">
        <v>1.8596258593522601</v>
      </c>
      <c r="AG1143">
        <v>-1.0602503740710001</v>
      </c>
      <c r="AH1143">
        <v>21.777130005102901</v>
      </c>
      <c r="AI1143">
        <v>92.777233557609904</v>
      </c>
      <c r="AJ1143">
        <v>85.119152334188598</v>
      </c>
      <c r="AK1143">
        <v>21.8820869766035</v>
      </c>
      <c r="AL1143">
        <v>72.470956773022806</v>
      </c>
      <c r="AM1143">
        <v>94.329345923491601</v>
      </c>
      <c r="AN1143">
        <v>1.00000000029148</v>
      </c>
    </row>
    <row r="1144" spans="1:40" x14ac:dyDescent="0.25">
      <c r="A1144" t="str">
        <f>"20190304164116619"</f>
        <v>20190304164116619</v>
      </c>
      <c r="B1144" t="str">
        <f>"1551688876611959"</f>
        <v>1551688876611959</v>
      </c>
      <c r="C1144" t="s">
        <v>40</v>
      </c>
      <c r="D1144">
        <v>4.2976850000000004</v>
      </c>
      <c r="E1144">
        <v>0.57332349999999999</v>
      </c>
      <c r="F1144" t="s">
        <v>42</v>
      </c>
      <c r="G1144">
        <v>-259.32670000000002</v>
      </c>
      <c r="H1144" s="1">
        <v>-1.4118110000000001E-6</v>
      </c>
      <c r="I1144">
        <v>365.11900000000003</v>
      </c>
      <c r="J1144">
        <v>-281.08</v>
      </c>
      <c r="K1144">
        <v>1.0604129999999901</v>
      </c>
      <c r="L1144">
        <v>367.08819999999997</v>
      </c>
      <c r="M1144">
        <v>0.99988960000000005</v>
      </c>
      <c r="N1144">
        <v>-1.368982E-2</v>
      </c>
      <c r="O1144">
        <v>-5.7992719999999899E-3</v>
      </c>
      <c r="P1144">
        <v>0.95533360000000001</v>
      </c>
      <c r="Q1144">
        <v>0.28799350000000001</v>
      </c>
      <c r="R1144">
        <v>6.6315869999999999E-2</v>
      </c>
      <c r="S1144">
        <v>3.2078859999999998</v>
      </c>
      <c r="T1144">
        <v>-0.154997</v>
      </c>
      <c r="U1144">
        <v>-0.28802489999999997</v>
      </c>
      <c r="V1144">
        <v>-7.1823769999999995E-2</v>
      </c>
      <c r="W1144">
        <v>0.3010468</v>
      </c>
      <c r="X1144">
        <v>0.95090070000000004</v>
      </c>
      <c r="Y1144">
        <v>8.3527889999999994E-2</v>
      </c>
      <c r="Z1144">
        <v>-2.3857980000000002E-3</v>
      </c>
      <c r="AA1144">
        <v>0.99650260000000002</v>
      </c>
      <c r="AB1144">
        <v>36</v>
      </c>
      <c r="AC1144">
        <v>21.7532999999999</v>
      </c>
      <c r="AD1144">
        <v>-1.0604144118109999</v>
      </c>
      <c r="AE1144">
        <v>-1.9691999999999401</v>
      </c>
      <c r="AF1144">
        <v>1.8386680589492399</v>
      </c>
      <c r="AG1144">
        <v>-1.0604144118109999</v>
      </c>
      <c r="AH1144">
        <v>21.7131775212444</v>
      </c>
      <c r="AI1144">
        <v>92.785998433029505</v>
      </c>
      <c r="AJ1144">
        <v>85.159750695139394</v>
      </c>
      <c r="AK1144">
        <v>21.816673830463898</v>
      </c>
      <c r="AL1144">
        <v>72.479512536416493</v>
      </c>
      <c r="AM1144">
        <v>94.319483249558999</v>
      </c>
      <c r="AN1144">
        <v>0.99999998549387104</v>
      </c>
    </row>
    <row r="1145" spans="1:40" x14ac:dyDescent="0.25">
      <c r="A1145" t="str">
        <f>"20190304164116631"</f>
        <v>20190304164116631</v>
      </c>
      <c r="B1145" t="str">
        <f>"1551688876622228"</f>
        <v>1551688876622228</v>
      </c>
      <c r="C1145" t="s">
        <v>40</v>
      </c>
      <c r="D1145">
        <v>4.293793</v>
      </c>
      <c r="E1145">
        <v>0.57320360000000004</v>
      </c>
      <c r="F1145" t="s">
        <v>42</v>
      </c>
      <c r="G1145">
        <v>-259.41649999999998</v>
      </c>
      <c r="H1145" s="1">
        <v>-1.3747059999999999E-6</v>
      </c>
      <c r="I1145">
        <v>365.14370000000002</v>
      </c>
      <c r="J1145">
        <v>-280.88569999999999</v>
      </c>
      <c r="K1145">
        <v>1.060746</v>
      </c>
      <c r="L1145">
        <v>367.08699999999999</v>
      </c>
      <c r="M1145">
        <v>0.99987890000000001</v>
      </c>
      <c r="N1145">
        <v>-1.442416E-2</v>
      </c>
      <c r="O1145">
        <v>-5.8196769999999997E-3</v>
      </c>
      <c r="P1145">
        <v>0.95554410000000001</v>
      </c>
      <c r="Q1145">
        <v>0.28732659999999999</v>
      </c>
      <c r="R1145">
        <v>6.6172999999999996E-2</v>
      </c>
      <c r="S1145">
        <v>3.2075809999999998</v>
      </c>
      <c r="T1145">
        <v>-0.15700829999999999</v>
      </c>
      <c r="U1145">
        <v>-0.28790280000000001</v>
      </c>
      <c r="V1145">
        <v>-7.1703249999999996E-2</v>
      </c>
      <c r="W1145">
        <v>0.3010814</v>
      </c>
      <c r="X1145">
        <v>0.95089880000000004</v>
      </c>
      <c r="Y1145">
        <v>8.3473980000000003E-2</v>
      </c>
      <c r="Z1145">
        <v>-2.4410450000000002E-3</v>
      </c>
      <c r="AA1145">
        <v>0.99650700000000003</v>
      </c>
      <c r="AB1145">
        <v>36</v>
      </c>
      <c r="AC1145">
        <v>21.469200000000001</v>
      </c>
      <c r="AD1145">
        <v>-1.0607473747059999</v>
      </c>
      <c r="AE1145">
        <v>-1.9432999999999601</v>
      </c>
      <c r="AF1145">
        <v>1.8139182199336501</v>
      </c>
      <c r="AG1145">
        <v>-1.0607473747059999</v>
      </c>
      <c r="AH1145">
        <v>21.4282626724107</v>
      </c>
      <c r="AI1145">
        <v>92.823874002819693</v>
      </c>
      <c r="AJ1145">
        <v>85.161405438127503</v>
      </c>
      <c r="AK1145">
        <v>21.531045619276899</v>
      </c>
      <c r="AL1145">
        <v>72.477432947775</v>
      </c>
      <c r="AM1145">
        <v>94.312271120959906</v>
      </c>
      <c r="AN1145">
        <v>0.99999994666397996</v>
      </c>
    </row>
    <row r="1146" spans="1:40" x14ac:dyDescent="0.25">
      <c r="A1146" t="str">
        <f>"20190304164116644"</f>
        <v>20190304164116644</v>
      </c>
      <c r="B1146" t="str">
        <f>"1551688876631988"</f>
        <v>1551688876631988</v>
      </c>
      <c r="C1146" t="s">
        <v>40</v>
      </c>
      <c r="D1146">
        <v>4.2392469999999998</v>
      </c>
      <c r="E1146">
        <v>0.57307280000000005</v>
      </c>
      <c r="F1146" t="s">
        <v>42</v>
      </c>
      <c r="G1146">
        <v>-259.46109999999999</v>
      </c>
      <c r="H1146" s="1">
        <v>-1.3533860000000001E-6</v>
      </c>
      <c r="I1146">
        <v>365.16680000000002</v>
      </c>
      <c r="J1146">
        <v>-280.68549999999999</v>
      </c>
      <c r="K1146">
        <v>1.061153</v>
      </c>
      <c r="L1146">
        <v>367.08580000000001</v>
      </c>
      <c r="M1146">
        <v>0.99986900000000001</v>
      </c>
      <c r="N1146">
        <v>-1.510066E-2</v>
      </c>
      <c r="O1146">
        <v>-5.8401649999999996E-3</v>
      </c>
      <c r="P1146">
        <v>0.95577469999999998</v>
      </c>
      <c r="Q1146">
        <v>0.28659580000000001</v>
      </c>
      <c r="R1146">
        <v>6.6012429999999997E-2</v>
      </c>
      <c r="S1146">
        <v>3.207214</v>
      </c>
      <c r="T1146">
        <v>-0.158790299999999</v>
      </c>
      <c r="U1146">
        <v>-0.28744509999999901</v>
      </c>
      <c r="V1146">
        <v>-7.1563799999999997E-2</v>
      </c>
      <c r="W1146">
        <v>0.30099690000000001</v>
      </c>
      <c r="X1146">
        <v>0.95093609999999995</v>
      </c>
      <c r="Y1146">
        <v>8.3318760000000006E-2</v>
      </c>
      <c r="Z1146">
        <v>-2.4876849999999999E-3</v>
      </c>
      <c r="AA1146">
        <v>0.99651990000000001</v>
      </c>
      <c r="AB1146">
        <v>35</v>
      </c>
      <c r="AC1146">
        <v>21.224399999999999</v>
      </c>
      <c r="AD1146">
        <v>-1.0611543533859999</v>
      </c>
      <c r="AE1146">
        <v>-1.9189999999999801</v>
      </c>
      <c r="AF1146">
        <v>1.79055959006386</v>
      </c>
      <c r="AG1146">
        <v>-1.0611543533859999</v>
      </c>
      <c r="AH1146">
        <v>21.182725599768499</v>
      </c>
      <c r="AI1146">
        <v>92.857675977372907</v>
      </c>
      <c r="AJ1146">
        <v>85.168317509933303</v>
      </c>
      <c r="AK1146">
        <v>21.2847366918731</v>
      </c>
      <c r="AL1146">
        <v>72.482510716414794</v>
      </c>
      <c r="AM1146">
        <v>94.3037478833172</v>
      </c>
      <c r="AN1146">
        <v>0.99999998878162899</v>
      </c>
    </row>
    <row r="1147" spans="1:40" x14ac:dyDescent="0.25">
      <c r="A1147" t="str">
        <f>"20190304164116657"</f>
        <v>20190304164116657</v>
      </c>
      <c r="B1147" t="str">
        <f>"1551688876642723"</f>
        <v>1551688876642723</v>
      </c>
      <c r="C1147" t="s">
        <v>40</v>
      </c>
      <c r="D1147">
        <v>4.2704440000000004</v>
      </c>
      <c r="E1147">
        <v>0.57295750000000001</v>
      </c>
      <c r="F1147" t="s">
        <v>42</v>
      </c>
      <c r="G1147">
        <v>-259.50560000000002</v>
      </c>
      <c r="H1147" s="1">
        <v>-1.331573E-6</v>
      </c>
      <c r="I1147">
        <v>365.19170000000003</v>
      </c>
      <c r="J1147">
        <v>-280.48689999999999</v>
      </c>
      <c r="K1147">
        <v>1.0615859999999999</v>
      </c>
      <c r="L1147">
        <v>367.08460000000002</v>
      </c>
      <c r="M1147">
        <v>0.99986750000000002</v>
      </c>
      <c r="N1147">
        <v>-1.519446E-2</v>
      </c>
      <c r="O1147">
        <v>-5.8580940000000003E-3</v>
      </c>
      <c r="P1147">
        <v>0.95593030000000001</v>
      </c>
      <c r="Q1147">
        <v>0.28612749999999998</v>
      </c>
      <c r="R1147">
        <v>6.5793969999999993E-2</v>
      </c>
      <c r="S1147">
        <v>3.2067869999999998</v>
      </c>
      <c r="T1147">
        <v>-0.16066610000000001</v>
      </c>
      <c r="U1147">
        <v>-0.28677370000000002</v>
      </c>
      <c r="V1147">
        <v>-7.1361359999999999E-2</v>
      </c>
      <c r="W1147">
        <v>0.30062119999999998</v>
      </c>
      <c r="X1147">
        <v>0.95107010000000003</v>
      </c>
      <c r="Y1147">
        <v>8.3103170000000004E-2</v>
      </c>
      <c r="Z1147">
        <v>-2.505625E-3</v>
      </c>
      <c r="AA1147">
        <v>0.99653780000000003</v>
      </c>
      <c r="AB1147">
        <v>35</v>
      </c>
      <c r="AC1147">
        <v>20.981299999999901</v>
      </c>
      <c r="AD1147">
        <v>-1.061587331573</v>
      </c>
      <c r="AE1147">
        <v>-1.89289999999999</v>
      </c>
      <c r="AF1147">
        <v>1.76545975032196</v>
      </c>
      <c r="AG1147">
        <v>-1.061587331573</v>
      </c>
      <c r="AH1147">
        <v>20.938858446297498</v>
      </c>
      <c r="AI1147">
        <v>92.892131550903002</v>
      </c>
      <c r="AJ1147">
        <v>85.180505677212693</v>
      </c>
      <c r="AK1147">
        <v>21.039952681188399</v>
      </c>
      <c r="AL1147">
        <v>72.505081312487505</v>
      </c>
      <c r="AM1147">
        <v>94.291016566600305</v>
      </c>
      <c r="AN1147">
        <v>0.99999994235224798</v>
      </c>
    </row>
    <row r="1148" spans="1:40" x14ac:dyDescent="0.25">
      <c r="A1148" t="str">
        <f>"20190304164116669"</f>
        <v>20190304164116669</v>
      </c>
      <c r="B1148" t="str">
        <f>"1551688876662244"</f>
        <v>1551688876662244</v>
      </c>
      <c r="C1148" t="s">
        <v>40</v>
      </c>
      <c r="D1148">
        <v>4.2726739999999896</v>
      </c>
      <c r="E1148">
        <v>0.57274259999999999</v>
      </c>
      <c r="F1148" t="s">
        <v>42</v>
      </c>
      <c r="G1148">
        <v>-259.4735</v>
      </c>
      <c r="H1148" s="1">
        <v>-1.338702E-6</v>
      </c>
      <c r="I1148">
        <v>365.20609999999999</v>
      </c>
      <c r="J1148">
        <v>-280.29579999999999</v>
      </c>
      <c r="K1148">
        <v>1.0619799999999999</v>
      </c>
      <c r="L1148">
        <v>367.08350000000002</v>
      </c>
      <c r="M1148">
        <v>0.99987470000000001</v>
      </c>
      <c r="N1148">
        <v>-1.4710610000000001E-2</v>
      </c>
      <c r="O1148">
        <v>-5.8747879999999997E-3</v>
      </c>
      <c r="P1148">
        <v>0.95580790000000004</v>
      </c>
      <c r="Q1148">
        <v>0.2866552</v>
      </c>
      <c r="R1148">
        <v>6.5270969999999998E-2</v>
      </c>
      <c r="S1148">
        <v>3.2065429999999999</v>
      </c>
      <c r="T1148">
        <v>-0.1619921</v>
      </c>
      <c r="U1148">
        <v>-0.28665159999999901</v>
      </c>
      <c r="V1148">
        <v>-7.0851410000000004E-2</v>
      </c>
      <c r="W1148">
        <v>0.30068719999999999</v>
      </c>
      <c r="X1148">
        <v>0.95108740000000003</v>
      </c>
      <c r="Y1148">
        <v>8.3054950000000002E-2</v>
      </c>
      <c r="Z1148">
        <v>-2.4953089999999998E-3</v>
      </c>
      <c r="AA1148">
        <v>0.99654189999999998</v>
      </c>
      <c r="AB1148">
        <v>35</v>
      </c>
      <c r="AC1148">
        <v>20.822299999999899</v>
      </c>
      <c r="AD1148">
        <v>-1.0619813387019901</v>
      </c>
      <c r="AE1148">
        <v>-1.8774000000000199</v>
      </c>
      <c r="AF1148">
        <v>1.7505110406256099</v>
      </c>
      <c r="AG1148">
        <v>-1.0619813387019901</v>
      </c>
      <c r="AH1148">
        <v>20.779355391820499</v>
      </c>
      <c r="AI1148">
        <v>92.915390883794899</v>
      </c>
      <c r="AJ1148">
        <v>85.184613094980307</v>
      </c>
      <c r="AK1148">
        <v>20.879983327739598</v>
      </c>
      <c r="AL1148">
        <v>72.501116997299903</v>
      </c>
      <c r="AM1148">
        <v>94.2603889586577</v>
      </c>
      <c r="AN1148">
        <v>0.99999997849079303</v>
      </c>
    </row>
    <row r="1149" spans="1:40" x14ac:dyDescent="0.25">
      <c r="A1149" t="str">
        <f>"20190304164116683"</f>
        <v>20190304164116683</v>
      </c>
      <c r="B1149" t="str">
        <f>"1551688876672004"</f>
        <v>1551688876672004</v>
      </c>
      <c r="C1149" t="s">
        <v>40</v>
      </c>
      <c r="D1149">
        <v>4.3498330000000003</v>
      </c>
      <c r="E1149">
        <v>0.57258869999999995</v>
      </c>
      <c r="F1149" t="s">
        <v>42</v>
      </c>
      <c r="G1149">
        <v>-259.0206</v>
      </c>
      <c r="H1149" s="1">
        <v>-1.4995020000000001E-6</v>
      </c>
      <c r="I1149">
        <v>365.18099999999998</v>
      </c>
      <c r="J1149">
        <v>-280.07839999999999</v>
      </c>
      <c r="K1149">
        <v>1.062425</v>
      </c>
      <c r="L1149">
        <v>367.0822</v>
      </c>
      <c r="M1149">
        <v>0.99988880000000002</v>
      </c>
      <c r="N1149">
        <v>-1.369574E-2</v>
      </c>
      <c r="O1149">
        <v>-5.8931280000000001E-3</v>
      </c>
      <c r="P1149">
        <v>0.95554700000000004</v>
      </c>
      <c r="Q1149">
        <v>0.2876534</v>
      </c>
      <c r="R1149">
        <v>6.4694689999999999E-2</v>
      </c>
      <c r="S1149">
        <v>3.2063290000000002</v>
      </c>
      <c r="T1149">
        <v>-0.16004789999999999</v>
      </c>
      <c r="U1149">
        <v>-0.28671259999999998</v>
      </c>
      <c r="V1149">
        <v>-7.0288359999999994E-2</v>
      </c>
      <c r="W1149">
        <v>0.30071679999999901</v>
      </c>
      <c r="X1149">
        <v>0.95111979999999996</v>
      </c>
      <c r="Y1149">
        <v>8.3066520000000005E-2</v>
      </c>
      <c r="Z1149">
        <v>-2.425361E-3</v>
      </c>
      <c r="AA1149">
        <v>0.99654109999999996</v>
      </c>
      <c r="AB1149">
        <v>35</v>
      </c>
      <c r="AC1149">
        <v>21.057799999999901</v>
      </c>
      <c r="AD1149">
        <v>-1.0624264995020001</v>
      </c>
      <c r="AE1149">
        <v>-1.90120000000001</v>
      </c>
      <c r="AF1149">
        <v>1.7725834086666601</v>
      </c>
      <c r="AG1149">
        <v>-1.0624264995020001</v>
      </c>
      <c r="AH1149">
        <v>21.0155768774584</v>
      </c>
      <c r="AI1149">
        <v>92.883857998098605</v>
      </c>
      <c r="AJ1149">
        <v>85.178732138840303</v>
      </c>
      <c r="AK1149">
        <v>21.1169428066633</v>
      </c>
      <c r="AL1149">
        <v>72.499338418941903</v>
      </c>
      <c r="AM1149">
        <v>94.226511743071001</v>
      </c>
      <c r="AN1149">
        <v>0.99999996065288399</v>
      </c>
    </row>
    <row r="1150" spans="1:40" x14ac:dyDescent="0.25">
      <c r="A1150" t="str">
        <f>"20190304164116694"</f>
        <v>20190304164116694</v>
      </c>
      <c r="B1150" t="str">
        <f>"1551688876682741"</f>
        <v>1551688876682741</v>
      </c>
      <c r="C1150" t="s">
        <v>40</v>
      </c>
      <c r="D1150">
        <v>4.3078070000000004</v>
      </c>
      <c r="E1150">
        <v>0.57258869999999995</v>
      </c>
      <c r="F1150" t="s">
        <v>42</v>
      </c>
      <c r="G1150">
        <v>-258.42899999999997</v>
      </c>
      <c r="H1150" s="1">
        <v>-1.710165E-6</v>
      </c>
      <c r="I1150">
        <v>365.14580000000001</v>
      </c>
      <c r="J1150">
        <v>-279.90449999999998</v>
      </c>
      <c r="K1150">
        <v>1.062897</v>
      </c>
      <c r="L1150">
        <v>367.08109999999999</v>
      </c>
      <c r="M1150">
        <v>0.99990250000000003</v>
      </c>
      <c r="N1150">
        <v>-1.2654520000000001E-2</v>
      </c>
      <c r="O1150">
        <v>-5.9078409999999996E-3</v>
      </c>
      <c r="P1150">
        <v>0.95521029999999996</v>
      </c>
      <c r="Q1150">
        <v>0.28881050000000003</v>
      </c>
      <c r="R1150">
        <v>6.4514879999999997E-2</v>
      </c>
      <c r="S1150">
        <v>3.2063600000000001</v>
      </c>
      <c r="T1150">
        <v>-0.15734890000000001</v>
      </c>
      <c r="U1150">
        <v>-0.28677370000000002</v>
      </c>
      <c r="V1150">
        <v>-7.0119970000000004E-2</v>
      </c>
      <c r="W1150">
        <v>0.30087909999999901</v>
      </c>
      <c r="X1150">
        <v>0.95108099999999995</v>
      </c>
      <c r="Y1150">
        <v>8.3075990000000002E-2</v>
      </c>
      <c r="Z1150">
        <v>-2.3457019999999999E-3</v>
      </c>
      <c r="AA1150">
        <v>0.99654039999999999</v>
      </c>
      <c r="AB1150">
        <v>35</v>
      </c>
      <c r="AC1150">
        <v>21.475499999999901</v>
      </c>
      <c r="AD1150">
        <v>-1.062898710165</v>
      </c>
      <c r="AE1150">
        <v>-1.93529999999998</v>
      </c>
      <c r="AF1150">
        <v>1.80399872731355</v>
      </c>
      <c r="AG1150">
        <v>-1.062898710165</v>
      </c>
      <c r="AH1150">
        <v>21.4344763520524</v>
      </c>
      <c r="AI1150">
        <v>92.8288882986825</v>
      </c>
      <c r="AJ1150">
        <v>85.189129392709205</v>
      </c>
      <c r="AK1150">
        <v>21.536502537852201</v>
      </c>
      <c r="AL1150">
        <v>72.489589458638505</v>
      </c>
      <c r="AM1150">
        <v>94.216594230470207</v>
      </c>
      <c r="AN1150">
        <v>1.0000000557852999</v>
      </c>
    </row>
    <row r="1151" spans="1:40" x14ac:dyDescent="0.25">
      <c r="A1151" t="str">
        <f>"20190304164116706"</f>
        <v>20190304164116706</v>
      </c>
      <c r="B1151" t="str">
        <f>"1551688876692500"</f>
        <v>1551688876692500</v>
      </c>
      <c r="C1151" t="s">
        <v>40</v>
      </c>
      <c r="D1151">
        <v>4.3537189999999999</v>
      </c>
      <c r="E1151">
        <v>0.55965359999999997</v>
      </c>
      <c r="F1151" t="s">
        <v>42</v>
      </c>
      <c r="G1151">
        <v>-257.7022</v>
      </c>
      <c r="H1151" s="1">
        <v>-1.971825E-6</v>
      </c>
      <c r="I1151">
        <v>365.09199999999998</v>
      </c>
      <c r="J1151">
        <v>-279.71769999999998</v>
      </c>
      <c r="K1151">
        <v>1.063466</v>
      </c>
      <c r="L1151">
        <v>367.08</v>
      </c>
      <c r="M1151">
        <v>0.99991560000000002</v>
      </c>
      <c r="N1151">
        <v>-1.156661E-2</v>
      </c>
      <c r="O1151">
        <v>-5.9242409999999898E-3</v>
      </c>
      <c r="P1151">
        <v>0.95493079999999997</v>
      </c>
      <c r="Q1151">
        <v>0.28981050000000003</v>
      </c>
      <c r="R1151">
        <v>6.4167870000000002E-2</v>
      </c>
      <c r="S1151">
        <v>3.2064819999999998</v>
      </c>
      <c r="T1151">
        <v>-0.15350449999999999</v>
      </c>
      <c r="U1151">
        <v>-0.28726200000000002</v>
      </c>
      <c r="V1151">
        <v>-6.9786139999999997E-2</v>
      </c>
      <c r="W1151">
        <v>0.30084090000000002</v>
      </c>
      <c r="X1151">
        <v>0.95111760000000001</v>
      </c>
      <c r="Y1151">
        <v>8.3214270000000007E-2</v>
      </c>
      <c r="Z1151">
        <v>-2.2548260000000001E-3</v>
      </c>
      <c r="AA1151">
        <v>0.99652909999999995</v>
      </c>
      <c r="AB1151">
        <v>35</v>
      </c>
      <c r="AC1151">
        <v>22.0154999999999</v>
      </c>
      <c r="AD1151">
        <v>-1.063467971825</v>
      </c>
      <c r="AE1151">
        <v>-1.98799999999999</v>
      </c>
      <c r="AF1151">
        <v>1.8532418581468499</v>
      </c>
      <c r="AG1151">
        <v>-1.063467971825</v>
      </c>
      <c r="AH1151">
        <v>21.9760273806119</v>
      </c>
      <c r="AI1151">
        <v>92.7607227095817</v>
      </c>
      <c r="AJ1151">
        <v>85.179643056806697</v>
      </c>
      <c r="AK1151">
        <v>22.079656902798298</v>
      </c>
      <c r="AL1151">
        <v>72.491883856514605</v>
      </c>
      <c r="AM1151">
        <v>94.196430675051005</v>
      </c>
      <c r="AN1151">
        <v>1.00000002073933</v>
      </c>
    </row>
    <row r="1152" spans="1:40" x14ac:dyDescent="0.25">
      <c r="A1152" t="str">
        <f>"20190304164116717"</f>
        <v>20190304164116717</v>
      </c>
      <c r="B1152" t="str">
        <f>"1551688876712020"</f>
        <v>1551688876712020</v>
      </c>
      <c r="C1152" t="s">
        <v>40</v>
      </c>
      <c r="D1152">
        <v>4.3081610000000001</v>
      </c>
      <c r="E1152">
        <v>0.55006999999999995</v>
      </c>
      <c r="F1152" t="s">
        <v>41</v>
      </c>
      <c r="G1152">
        <v>-278.7835</v>
      </c>
      <c r="H1152">
        <v>0.90586610000000001</v>
      </c>
      <c r="I1152">
        <v>367.03890000000001</v>
      </c>
      <c r="J1152">
        <v>-279.5326</v>
      </c>
      <c r="K1152">
        <v>1.064149</v>
      </c>
      <c r="L1152">
        <v>367.07889999999998</v>
      </c>
      <c r="M1152">
        <v>0.99992689999999995</v>
      </c>
      <c r="N1152">
        <v>-1.054543E-2</v>
      </c>
      <c r="O1152">
        <v>-5.9415659999999997E-3</v>
      </c>
      <c r="P1152">
        <v>0.95464649999999995</v>
      </c>
      <c r="Q1152">
        <v>0.2907999</v>
      </c>
      <c r="R1152">
        <v>6.3920350000000001E-2</v>
      </c>
      <c r="S1152">
        <v>3.3215029999999999</v>
      </c>
      <c r="T1152">
        <v>-0.56042579999999997</v>
      </c>
      <c r="U1152">
        <v>-0.14599609999999999</v>
      </c>
      <c r="V1152">
        <v>-6.9553599999999993E-2</v>
      </c>
      <c r="W1152">
        <v>0.30085590000000001</v>
      </c>
      <c r="X1152">
        <v>0.95112989999999997</v>
      </c>
      <c r="Y1152">
        <v>3.7486779999999997E-2</v>
      </c>
      <c r="Z1152">
        <v>-2.4053220000000001E-3</v>
      </c>
      <c r="AA1152">
        <v>0.99929420000000002</v>
      </c>
      <c r="AB1152">
        <v>35</v>
      </c>
      <c r="AC1152">
        <v>0.74909999999999799</v>
      </c>
      <c r="AD1152">
        <v>-0.1582829</v>
      </c>
      <c r="AE1152">
        <v>-3.9999999999963599E-2</v>
      </c>
      <c r="AF1152">
        <v>3.4033078779396202E-2</v>
      </c>
      <c r="AG1152">
        <v>-0.1582829</v>
      </c>
      <c r="AH1152">
        <v>0.71738664030371202</v>
      </c>
      <c r="AI1152">
        <v>102.4287491095</v>
      </c>
      <c r="AJ1152">
        <v>87.283904111264206</v>
      </c>
      <c r="AK1152">
        <v>0.73542866314134203</v>
      </c>
      <c r="AL1152">
        <v>72.490982859724099</v>
      </c>
      <c r="AM1152">
        <v>94.182443220607595</v>
      </c>
      <c r="AN1152">
        <v>1.0000000312558801</v>
      </c>
    </row>
    <row r="1153" spans="1:40" x14ac:dyDescent="0.25">
      <c r="A1153" t="str">
        <f>"20190304164116728"</f>
        <v>20190304164116728</v>
      </c>
      <c r="B1153" t="str">
        <f>"1551688876722287"</f>
        <v>1551688876722287</v>
      </c>
      <c r="C1153" t="s">
        <v>40</v>
      </c>
      <c r="D1153">
        <v>4.2929040000000001</v>
      </c>
      <c r="E1153">
        <v>0.54944320000000002</v>
      </c>
      <c r="F1153" t="s">
        <v>41</v>
      </c>
      <c r="G1153">
        <v>-278.81279999999998</v>
      </c>
      <c r="H1153">
        <v>0.83588209999999996</v>
      </c>
      <c r="I1153">
        <v>367.07530000000003</v>
      </c>
      <c r="J1153">
        <v>-279.36540000000002</v>
      </c>
      <c r="K1153">
        <v>1.064835</v>
      </c>
      <c r="L1153">
        <v>367.0779</v>
      </c>
      <c r="M1153">
        <v>0.99993540000000003</v>
      </c>
      <c r="N1153">
        <v>-9.6756800000000007E-3</v>
      </c>
      <c r="O1153">
        <v>-5.959303E-3</v>
      </c>
      <c r="P1153">
        <v>0.95441969999999998</v>
      </c>
      <c r="Q1153">
        <v>0.29160199999999997</v>
      </c>
      <c r="R1153">
        <v>6.3649979999999995E-2</v>
      </c>
      <c r="S1153">
        <v>3.479889</v>
      </c>
      <c r="T1153">
        <v>-1.1036680000000001</v>
      </c>
      <c r="U1153">
        <v>-1.7272949999999999E-2</v>
      </c>
      <c r="V1153">
        <v>-6.9299349999999996E-2</v>
      </c>
      <c r="W1153">
        <v>0.30082769999999998</v>
      </c>
      <c r="X1153">
        <v>0.95115729999999998</v>
      </c>
      <c r="Y1153">
        <v>-6.8629849999999996E-4</v>
      </c>
      <c r="Z1153">
        <v>1.8980290000000001E-3</v>
      </c>
      <c r="AA1153">
        <v>0.99999800000000005</v>
      </c>
      <c r="AB1153">
        <v>35</v>
      </c>
      <c r="AC1153">
        <v>0.55260000000003995</v>
      </c>
      <c r="AD1153">
        <v>-0.22895289999999999</v>
      </c>
      <c r="AE1153">
        <v>-2.5999999999726199E-3</v>
      </c>
      <c r="AF1153">
        <v>-5.9173581816094397E-4</v>
      </c>
      <c r="AG1153">
        <v>-0.22895289999999999</v>
      </c>
      <c r="AH1153">
        <v>0.47164468154035699</v>
      </c>
      <c r="AI1153">
        <v>115.893547786364</v>
      </c>
      <c r="AJ1153">
        <v>90.071884510745406</v>
      </c>
      <c r="AK1153">
        <v>0.52427901559665102</v>
      </c>
      <c r="AL1153">
        <v>72.492675748368399</v>
      </c>
      <c r="AM1153">
        <v>94.167088827163695</v>
      </c>
      <c r="AN1153">
        <v>0.99999995717050005</v>
      </c>
    </row>
    <row r="1154" spans="1:40" x14ac:dyDescent="0.25">
      <c r="A1154" t="str">
        <f>"20190304164116738"</f>
        <v>20190304164116738</v>
      </c>
      <c r="B1154" t="str">
        <f>"1551688876732046"</f>
        <v>1551688876732046</v>
      </c>
      <c r="C1154" t="s">
        <v>40</v>
      </c>
      <c r="D1154">
        <v>4.3175619999999997</v>
      </c>
      <c r="E1154">
        <v>0.54904219999999904</v>
      </c>
      <c r="F1154" t="s">
        <v>41</v>
      </c>
      <c r="G1154">
        <v>-278.51870000000002</v>
      </c>
      <c r="H1154">
        <v>0.79126799999999997</v>
      </c>
      <c r="I1154">
        <v>367.07510000000002</v>
      </c>
      <c r="J1154">
        <v>-279.19779999999997</v>
      </c>
      <c r="K1154">
        <v>1.065558</v>
      </c>
      <c r="L1154">
        <v>367.07679999999999</v>
      </c>
      <c r="M1154">
        <v>0.99994320000000003</v>
      </c>
      <c r="N1154">
        <v>-8.8359679999999996E-3</v>
      </c>
      <c r="O1154">
        <v>-5.9785009999999998E-3</v>
      </c>
      <c r="P1154">
        <v>0.95421369999999905</v>
      </c>
      <c r="Q1154">
        <v>0.29235749999999999</v>
      </c>
      <c r="R1154">
        <v>6.3273679999999999E-2</v>
      </c>
      <c r="S1154">
        <v>3.4883419999999998</v>
      </c>
      <c r="T1154">
        <v>-1.1270709999999999</v>
      </c>
      <c r="U1154">
        <v>-1.0589599999999999E-2</v>
      </c>
      <c r="V1154">
        <v>-6.8941160000000001E-2</v>
      </c>
      <c r="W1154">
        <v>0.30078270000000001</v>
      </c>
      <c r="X1154">
        <v>0.95119759999999998</v>
      </c>
      <c r="Y1154">
        <v>-2.5230690000000002E-3</v>
      </c>
      <c r="Z1154">
        <v>2.2410360000000001E-3</v>
      </c>
      <c r="AA1154">
        <v>0.9999943</v>
      </c>
      <c r="AB1154">
        <v>35</v>
      </c>
      <c r="AC1154">
        <v>0.67909999999994797</v>
      </c>
      <c r="AD1154">
        <v>-0.27428999999999898</v>
      </c>
      <c r="AE1154">
        <v>-1.6999999999711599E-3</v>
      </c>
      <c r="AF1154">
        <v>-2.0291595299764299E-3</v>
      </c>
      <c r="AG1154">
        <v>-0.27428999999999898</v>
      </c>
      <c r="AH1154">
        <v>0.58385093046277803</v>
      </c>
      <c r="AI1154">
        <v>115.163750193372</v>
      </c>
      <c r="AJ1154">
        <v>90.199129268886594</v>
      </c>
      <c r="AK1154">
        <v>0.64507443802296904</v>
      </c>
      <c r="AL1154">
        <v>72.4953799578374</v>
      </c>
      <c r="AM1154">
        <v>94.145450507896598</v>
      </c>
      <c r="AN1154">
        <v>0.99999999520359695</v>
      </c>
    </row>
    <row r="1155" spans="1:40" x14ac:dyDescent="0.25">
      <c r="A1155" t="str">
        <f>"20190304164116750"</f>
        <v>20190304164116750</v>
      </c>
      <c r="B1155" t="str">
        <f>"1551688876742782"</f>
        <v>1551688876742782</v>
      </c>
      <c r="C1155" t="s">
        <v>40</v>
      </c>
      <c r="D1155">
        <v>4.3241050000000003</v>
      </c>
      <c r="E1155">
        <v>0.54883660000000001</v>
      </c>
      <c r="F1155" t="s">
        <v>41</v>
      </c>
      <c r="G1155">
        <v>-278.4991</v>
      </c>
      <c r="H1155">
        <v>0.83729909999999996</v>
      </c>
      <c r="I1155">
        <v>367.0752</v>
      </c>
      <c r="J1155">
        <v>-279.02530000000002</v>
      </c>
      <c r="K1155">
        <v>1.0663450000000001</v>
      </c>
      <c r="L1155">
        <v>367.07580000000002</v>
      </c>
      <c r="M1155">
        <v>0.99995009999999995</v>
      </c>
      <c r="N1155">
        <v>-8.0027339999999992E-3</v>
      </c>
      <c r="O1155">
        <v>-5.999033E-3</v>
      </c>
      <c r="P1155">
        <v>0.95386249999999995</v>
      </c>
      <c r="Q1155">
        <v>0.29353279999999998</v>
      </c>
      <c r="R1155">
        <v>6.3127520000000006E-2</v>
      </c>
      <c r="S1155">
        <v>3.4941409999999999</v>
      </c>
      <c r="T1155">
        <v>-1.141518</v>
      </c>
      <c r="U1155">
        <v>-6.8969729999999998E-3</v>
      </c>
      <c r="V1155">
        <v>-6.8812769999999995E-2</v>
      </c>
      <c r="W1155">
        <v>0.30116189999999998</v>
      </c>
      <c r="X1155">
        <v>0.95108689999999996</v>
      </c>
      <c r="Y1155">
        <v>-3.5396220000000001E-3</v>
      </c>
      <c r="Z1155">
        <v>2.441407E-3</v>
      </c>
      <c r="AA1155">
        <v>0.99999079999999996</v>
      </c>
      <c r="AB1155">
        <v>35</v>
      </c>
      <c r="AC1155">
        <v>0.52620000000001699</v>
      </c>
      <c r="AD1155">
        <v>-0.2290459</v>
      </c>
      <c r="AE1155">
        <v>-6.0000000001991696E-4</v>
      </c>
      <c r="AF1155">
        <v>-2.1495291919092201E-3</v>
      </c>
      <c r="AG1155">
        <v>-0.2290459</v>
      </c>
      <c r="AH1155">
        <v>0.44237658726625301</v>
      </c>
      <c r="AI1155">
        <v>117.373139498098</v>
      </c>
      <c r="AJ1155">
        <v>90.278400767400498</v>
      </c>
      <c r="AK1155">
        <v>0.49816030526718402</v>
      </c>
      <c r="AL1155">
        <v>72.472596912611905</v>
      </c>
      <c r="AM1155">
        <v>94.138237155259702</v>
      </c>
      <c r="AN1155">
        <v>0.99999998933914602</v>
      </c>
    </row>
    <row r="1156" spans="1:40" x14ac:dyDescent="0.25">
      <c r="A1156" t="str">
        <f>"20190304164116761"</f>
        <v>20190304164116761</v>
      </c>
      <c r="B1156" t="str">
        <f>"1551688876752542"</f>
        <v>1551688876752542</v>
      </c>
      <c r="C1156" t="s">
        <v>40</v>
      </c>
      <c r="D1156">
        <v>4.3134509999999997</v>
      </c>
      <c r="E1156">
        <v>0.54869400000000002</v>
      </c>
      <c r="F1156" t="s">
        <v>41</v>
      </c>
      <c r="G1156">
        <v>-278.20330000000001</v>
      </c>
      <c r="H1156">
        <v>0.79699779999999998</v>
      </c>
      <c r="I1156">
        <v>367.07479999999998</v>
      </c>
      <c r="J1156">
        <v>-278.84980000000002</v>
      </c>
      <c r="K1156">
        <v>1.0671580000000001</v>
      </c>
      <c r="L1156">
        <v>367.07470000000001</v>
      </c>
      <c r="M1156">
        <v>0.99995630000000002</v>
      </c>
      <c r="N1156">
        <v>-7.1642119999999997E-3</v>
      </c>
      <c r="O1156">
        <v>-6.0200130000000003E-3</v>
      </c>
      <c r="P1156">
        <v>0.95355769999999995</v>
      </c>
      <c r="Q1156">
        <v>0.29457319999999998</v>
      </c>
      <c r="R1156">
        <v>6.2882830000000001E-2</v>
      </c>
      <c r="S1156">
        <v>3.4981379999999902</v>
      </c>
      <c r="T1156">
        <v>-1.1462939999999999</v>
      </c>
      <c r="U1156">
        <v>-4.0893550000000002E-3</v>
      </c>
      <c r="V1156">
        <v>-6.8586899999999895E-2</v>
      </c>
      <c r="W1156">
        <v>0.30140240000000001</v>
      </c>
      <c r="X1156">
        <v>0.95102699999999996</v>
      </c>
      <c r="Y1156">
        <v>-4.3186780000000003E-3</v>
      </c>
      <c r="Z1156">
        <v>2.5857459999999999E-3</v>
      </c>
      <c r="AA1156">
        <v>0.99998730000000002</v>
      </c>
      <c r="AB1156">
        <v>35</v>
      </c>
      <c r="AC1156">
        <v>0.64650000000000296</v>
      </c>
      <c r="AD1156">
        <v>-0.27016020000000002</v>
      </c>
      <c r="AE1156" s="1">
        <v>9.9999999974897906E-5</v>
      </c>
      <c r="AF1156">
        <v>-3.39856309170063E-3</v>
      </c>
      <c r="AG1156">
        <v>-0.27016020000000002</v>
      </c>
      <c r="AH1156">
        <v>0.550378076765907</v>
      </c>
      <c r="AI1156">
        <v>116.14427829274101</v>
      </c>
      <c r="AJ1156">
        <v>90.353794700220504</v>
      </c>
      <c r="AK1156">
        <v>0.61311835014103699</v>
      </c>
      <c r="AL1156">
        <v>72.458145314980001</v>
      </c>
      <c r="AM1156">
        <v>94.124959722035499</v>
      </c>
      <c r="AN1156">
        <v>0.99999996215318399</v>
      </c>
    </row>
    <row r="1157" spans="1:40" x14ac:dyDescent="0.25">
      <c r="A1157" t="str">
        <f>"20190304164116773"</f>
        <v>20190304164116773</v>
      </c>
      <c r="B1157" t="str">
        <f>"1551688876762302"</f>
        <v>1551688876762302</v>
      </c>
      <c r="C1157" t="s">
        <v>40</v>
      </c>
      <c r="D1157">
        <v>4.3454069999999998</v>
      </c>
      <c r="E1157">
        <v>0.5485911</v>
      </c>
      <c r="F1157" t="s">
        <v>41</v>
      </c>
      <c r="G1157">
        <v>-278.1816</v>
      </c>
      <c r="H1157">
        <v>0.84789969999999903</v>
      </c>
      <c r="I1157">
        <v>367.07409999999999</v>
      </c>
      <c r="J1157">
        <v>-278.67529999999999</v>
      </c>
      <c r="K1157">
        <v>1.0679809999999901</v>
      </c>
      <c r="L1157">
        <v>367.07369999999997</v>
      </c>
      <c r="M1157">
        <v>0.99996160000000001</v>
      </c>
      <c r="N1157">
        <v>-6.3660670000000004E-3</v>
      </c>
      <c r="O1157">
        <v>-6.0405240000000002E-3</v>
      </c>
      <c r="P1157">
        <v>0.95331379999999999</v>
      </c>
      <c r="Q1157">
        <v>0.29534569999999999</v>
      </c>
      <c r="R1157">
        <v>6.2961619999999996E-2</v>
      </c>
      <c r="S1157">
        <v>3.5012210000000001</v>
      </c>
      <c r="T1157">
        <v>-1.148965</v>
      </c>
      <c r="U1157">
        <v>-2.7160639999999998E-3</v>
      </c>
      <c r="V1157">
        <v>-6.8684609999999993E-2</v>
      </c>
      <c r="W1157">
        <v>0.30141380000000001</v>
      </c>
      <c r="X1157">
        <v>0.95101639999999998</v>
      </c>
      <c r="Y1157">
        <v>-4.7080869999999997E-3</v>
      </c>
      <c r="Z1157">
        <v>2.6622249999999998E-3</v>
      </c>
      <c r="AA1157">
        <v>0.99998540000000002</v>
      </c>
      <c r="AB1157">
        <v>35</v>
      </c>
      <c r="AC1157">
        <v>0.49369999999998898</v>
      </c>
      <c r="AD1157">
        <v>-0.22008129999999901</v>
      </c>
      <c r="AE1157">
        <v>4.0000000001327803E-4</v>
      </c>
      <c r="AF1157">
        <v>-2.8215612285612699E-3</v>
      </c>
      <c r="AG1157">
        <v>-0.22008129999999901</v>
      </c>
      <c r="AH1157">
        <v>0.41184673784973402</v>
      </c>
      <c r="AI1157">
        <v>118.11844970294</v>
      </c>
      <c r="AJ1157">
        <v>90.392527136817904</v>
      </c>
      <c r="AK1157">
        <v>0.46697052936445999</v>
      </c>
      <c r="AL1157">
        <v>72.457461402051095</v>
      </c>
      <c r="AM1157">
        <v>94.130861760547802</v>
      </c>
      <c r="AN1157">
        <v>1.0000000237751201</v>
      </c>
    </row>
    <row r="1158" spans="1:40" x14ac:dyDescent="0.25">
      <c r="A1158" t="str">
        <f>"20190304164116783"</f>
        <v>20190304164116783</v>
      </c>
      <c r="B1158" t="str">
        <f>"1551688876772062"</f>
        <v>1551688876772062</v>
      </c>
      <c r="C1158" t="s">
        <v>40</v>
      </c>
      <c r="D1158">
        <v>4.3188930000000001</v>
      </c>
      <c r="E1158">
        <v>0.54854849999999999</v>
      </c>
      <c r="F1158" t="s">
        <v>41</v>
      </c>
      <c r="G1158">
        <v>-277.88549999999998</v>
      </c>
      <c r="H1158">
        <v>0.80867339999999999</v>
      </c>
      <c r="I1158">
        <v>367.07330000000002</v>
      </c>
      <c r="J1158">
        <v>-278.50459999999998</v>
      </c>
      <c r="K1158">
        <v>1.0687930000000001</v>
      </c>
      <c r="L1158">
        <v>367.07260000000002</v>
      </c>
      <c r="M1158">
        <v>0.99996580000000002</v>
      </c>
      <c r="N1158">
        <v>-5.6461999999999997E-3</v>
      </c>
      <c r="O1158">
        <v>-6.0608600000000004E-3</v>
      </c>
      <c r="P1158">
        <v>0.95315269999999996</v>
      </c>
      <c r="Q1158">
        <v>0.29591410000000001</v>
      </c>
      <c r="R1158">
        <v>6.272904E-2</v>
      </c>
      <c r="S1158">
        <v>3.5033259999999999</v>
      </c>
      <c r="T1158">
        <v>-1.150118</v>
      </c>
      <c r="U1158">
        <v>-1.0681149999999999E-3</v>
      </c>
      <c r="V1158">
        <v>-6.8470489999999995E-2</v>
      </c>
      <c r="W1158">
        <v>0.30129650000000002</v>
      </c>
      <c r="X1158">
        <v>0.95106900000000005</v>
      </c>
      <c r="Y1158">
        <v>-5.1721730000000004E-3</v>
      </c>
      <c r="Z1158">
        <v>2.7477220000000002E-3</v>
      </c>
      <c r="AA1158">
        <v>0.99998279999999995</v>
      </c>
      <c r="AB1158">
        <v>35</v>
      </c>
      <c r="AC1158">
        <v>0.61910000000000298</v>
      </c>
      <c r="AD1158">
        <v>-0.26011960000000001</v>
      </c>
      <c r="AE1158">
        <v>6.9999999999481501E-4</v>
      </c>
      <c r="AF1158">
        <v>-3.7842779721891902E-3</v>
      </c>
      <c r="AG1158">
        <v>-0.26011960000000001</v>
      </c>
      <c r="AH1158">
        <v>0.52619416060255297</v>
      </c>
      <c r="AI1158">
        <v>116.30450850186701</v>
      </c>
      <c r="AJ1158">
        <v>90.412052117822597</v>
      </c>
      <c r="AK1158">
        <v>0.58698962658308995</v>
      </c>
      <c r="AL1158">
        <v>72.464509722321793</v>
      </c>
      <c r="AM1158">
        <v>94.117801458699702</v>
      </c>
      <c r="AN1158">
        <v>1.0000000158370399</v>
      </c>
    </row>
    <row r="1159" spans="1:40" x14ac:dyDescent="0.25">
      <c r="A1159" t="str">
        <f>"20190304164116794"</f>
        <v>20190304164116794</v>
      </c>
      <c r="B1159" t="str">
        <f>"1551688876782799"</f>
        <v>1551688876782799</v>
      </c>
      <c r="C1159" t="s">
        <v>40</v>
      </c>
      <c r="D1159">
        <v>4.3414659999999996</v>
      </c>
      <c r="E1159">
        <v>0.54860089999999995</v>
      </c>
      <c r="F1159" t="s">
        <v>41</v>
      </c>
      <c r="G1159">
        <v>-277.5915</v>
      </c>
      <c r="H1159">
        <v>0.76894569999999995</v>
      </c>
      <c r="I1159">
        <v>367.07240000000002</v>
      </c>
      <c r="J1159">
        <v>-278.32889999999998</v>
      </c>
      <c r="K1159">
        <v>1.0697219999999901</v>
      </c>
      <c r="L1159">
        <v>367.07150000000001</v>
      </c>
      <c r="M1159">
        <v>0.99996759999999996</v>
      </c>
      <c r="N1159">
        <v>-5.2934610000000002E-3</v>
      </c>
      <c r="O1159">
        <v>-6.082049E-3</v>
      </c>
      <c r="P1159">
        <v>0.95311579999999996</v>
      </c>
      <c r="Q1159">
        <v>0.29603309999999999</v>
      </c>
      <c r="R1159">
        <v>6.2732090000000004E-2</v>
      </c>
      <c r="S1159">
        <v>3.504791</v>
      </c>
      <c r="T1159">
        <v>-1.1508320000000001</v>
      </c>
      <c r="U1159">
        <v>-8.5449219999999995E-4</v>
      </c>
      <c r="V1159">
        <v>-6.8494020000000003E-2</v>
      </c>
      <c r="W1159">
        <v>0.3010796</v>
      </c>
      <c r="X1159">
        <v>0.95113599999999998</v>
      </c>
      <c r="Y1159">
        <v>-5.2486700000000004E-3</v>
      </c>
      <c r="Z1159">
        <v>2.7685180000000002E-3</v>
      </c>
      <c r="AA1159">
        <v>0.99998240000000005</v>
      </c>
      <c r="AB1159">
        <v>35</v>
      </c>
      <c r="AC1159">
        <v>0.73739999999997896</v>
      </c>
      <c r="AD1159">
        <v>-0.300776299999999</v>
      </c>
      <c r="AE1159">
        <v>9.0000000000145497E-4</v>
      </c>
      <c r="AF1159">
        <v>-4.6168362350721996E-3</v>
      </c>
      <c r="AG1159">
        <v>-0.300776299999999</v>
      </c>
      <c r="AH1159">
        <v>0.63220042053325798</v>
      </c>
      <c r="AI1159">
        <v>115.442689994464</v>
      </c>
      <c r="AJ1159">
        <v>90.418412452871806</v>
      </c>
      <c r="AK1159">
        <v>0.70011789688661696</v>
      </c>
      <c r="AL1159">
        <v>72.477542486741299</v>
      </c>
      <c r="AM1159">
        <v>94.118922510763298</v>
      </c>
      <c r="AN1159">
        <v>1.0000000234039499</v>
      </c>
    </row>
    <row r="1160" spans="1:40" x14ac:dyDescent="0.25">
      <c r="A1160" t="str">
        <f>"20190304164116807"</f>
        <v>20190304164116807</v>
      </c>
      <c r="B1160" t="str">
        <f>"1551688876792558"</f>
        <v>1551688876792558</v>
      </c>
      <c r="C1160" t="s">
        <v>40</v>
      </c>
      <c r="D1160">
        <v>4.3151529999999996</v>
      </c>
      <c r="E1160">
        <v>0.54859930000000001</v>
      </c>
      <c r="F1160" t="s">
        <v>41</v>
      </c>
      <c r="G1160">
        <v>-277.57040000000001</v>
      </c>
      <c r="H1160">
        <v>0.82061399999999995</v>
      </c>
      <c r="I1160">
        <v>367.07119999999998</v>
      </c>
      <c r="J1160">
        <v>-278.14440000000002</v>
      </c>
      <c r="K1160">
        <v>1.0708059999999999</v>
      </c>
      <c r="L1160">
        <v>367.07040000000001</v>
      </c>
      <c r="M1160">
        <v>0.99996830000000003</v>
      </c>
      <c r="N1160">
        <v>-5.1159500000000002E-3</v>
      </c>
      <c r="O1160">
        <v>-6.1045819999999999E-3</v>
      </c>
      <c r="P1160">
        <v>0.95307889999999995</v>
      </c>
      <c r="Q1160">
        <v>0.29614889999999999</v>
      </c>
      <c r="R1160">
        <v>6.2745460000000003E-2</v>
      </c>
      <c r="S1160">
        <v>3.5051269999999999</v>
      </c>
      <c r="T1160">
        <v>-1.1510069999999999</v>
      </c>
      <c r="U1160">
        <v>-1.495361E-3</v>
      </c>
      <c r="V1160">
        <v>-6.8529699999999999E-2</v>
      </c>
      <c r="W1160">
        <v>0.30102640000000003</v>
      </c>
      <c r="X1160">
        <v>0.95115019999999995</v>
      </c>
      <c r="Y1160">
        <v>-5.0951859999999998E-3</v>
      </c>
      <c r="Z1160">
        <v>2.7513820000000001E-3</v>
      </c>
      <c r="AA1160">
        <v>0.99998330000000002</v>
      </c>
      <c r="AB1160">
        <v>35</v>
      </c>
      <c r="AC1160">
        <v>0.57400000000001195</v>
      </c>
      <c r="AD1160">
        <v>-0.25019200000000003</v>
      </c>
      <c r="AE1160">
        <v>7.9999999996971296E-4</v>
      </c>
      <c r="AF1160">
        <v>-3.6168996796278499E-3</v>
      </c>
      <c r="AG1160">
        <v>-0.25019200000000003</v>
      </c>
      <c r="AH1160">
        <v>0.482345415689371</v>
      </c>
      <c r="AI1160">
        <v>117.41505822073501</v>
      </c>
      <c r="AJ1160">
        <v>90.429628220397802</v>
      </c>
      <c r="AK1160">
        <v>0.54338404362278103</v>
      </c>
      <c r="AL1160">
        <v>72.480737731845693</v>
      </c>
      <c r="AM1160">
        <v>94.120999442512698</v>
      </c>
      <c r="AN1160">
        <v>0.99999995811954401</v>
      </c>
    </row>
    <row r="1161" spans="1:40" x14ac:dyDescent="0.25">
      <c r="A1161" t="str">
        <f>"20190304164116818"</f>
        <v>20190304164116818</v>
      </c>
      <c r="B1161" t="str">
        <f>"1551688876812079"</f>
        <v>1551688876812079</v>
      </c>
      <c r="C1161" t="s">
        <v>40</v>
      </c>
      <c r="D1161">
        <v>4.3410840000000004</v>
      </c>
      <c r="E1161">
        <v>0.54897269999999998</v>
      </c>
      <c r="F1161" t="s">
        <v>41</v>
      </c>
      <c r="G1161">
        <v>-277.27699999999999</v>
      </c>
      <c r="H1161">
        <v>0.78614830000000002</v>
      </c>
      <c r="I1161">
        <v>367.07</v>
      </c>
      <c r="J1161">
        <v>-277.96899999999999</v>
      </c>
      <c r="K1161">
        <v>1.0719909999999999</v>
      </c>
      <c r="L1161">
        <v>367.0693</v>
      </c>
      <c r="M1161">
        <v>0.99996770000000001</v>
      </c>
      <c r="N1161">
        <v>-5.2292060000000001E-3</v>
      </c>
      <c r="O1161">
        <v>-6.1268109999999898E-3</v>
      </c>
      <c r="P1161">
        <v>0.95307679999999995</v>
      </c>
      <c r="Q1161">
        <v>0.2961415</v>
      </c>
      <c r="R1161">
        <v>6.2811030000000004E-2</v>
      </c>
      <c r="S1161">
        <v>3.5051570000000001</v>
      </c>
      <c r="T1161">
        <v>-1.1502410000000001</v>
      </c>
      <c r="U1161">
        <v>-7.0190429999999896E-4</v>
      </c>
      <c r="V1161">
        <v>-6.8616759999999999E-2</v>
      </c>
      <c r="W1161">
        <v>0.30112689999999998</v>
      </c>
      <c r="X1161">
        <v>0.95111219999999996</v>
      </c>
      <c r="Y1161">
        <v>-5.33097E-3</v>
      </c>
      <c r="Z1161">
        <v>2.7945539999999999E-3</v>
      </c>
      <c r="AA1161">
        <v>0.99998189999999998</v>
      </c>
      <c r="AB1161">
        <v>35</v>
      </c>
      <c r="AC1161">
        <v>0.69200000000000705</v>
      </c>
      <c r="AD1161">
        <v>-0.28584269999999901</v>
      </c>
      <c r="AE1161">
        <v>6.9999999999481501E-4</v>
      </c>
      <c r="AF1161">
        <v>-4.2197964698148299E-3</v>
      </c>
      <c r="AG1161">
        <v>-0.28584269999999901</v>
      </c>
      <c r="AH1161">
        <v>0.591122669524349</v>
      </c>
      <c r="AI1161">
        <v>115.805935673839</v>
      </c>
      <c r="AJ1161">
        <v>90.409005497087307</v>
      </c>
      <c r="AK1161">
        <v>0.65662003186860596</v>
      </c>
      <c r="AL1161">
        <v>72.474700864820093</v>
      </c>
      <c r="AM1161">
        <v>94.126380967428304</v>
      </c>
      <c r="AN1161">
        <v>1.0000000433226699</v>
      </c>
    </row>
    <row r="1162" spans="1:40" x14ac:dyDescent="0.25">
      <c r="A1162" t="str">
        <f>"20190304164116832"</f>
        <v>20190304164116832</v>
      </c>
      <c r="B1162" t="str">
        <f>"1551688876822346"</f>
        <v>1551688876822346</v>
      </c>
      <c r="C1162" t="s">
        <v>40</v>
      </c>
      <c r="D1162">
        <v>4.3966010000000004</v>
      </c>
      <c r="E1162">
        <v>0.54923149999999998</v>
      </c>
      <c r="F1162" t="s">
        <v>41</v>
      </c>
      <c r="G1162">
        <v>-277.25470000000001</v>
      </c>
      <c r="H1162">
        <v>0.83972739999999901</v>
      </c>
      <c r="I1162">
        <v>367.06819999999999</v>
      </c>
      <c r="J1162">
        <v>-277.76560000000001</v>
      </c>
      <c r="K1162">
        <v>1.073488</v>
      </c>
      <c r="L1162">
        <v>367.06799999999998</v>
      </c>
      <c r="M1162">
        <v>0.99996660000000004</v>
      </c>
      <c r="N1162">
        <v>-5.3958900000000004E-3</v>
      </c>
      <c r="O1162">
        <v>-6.1514619999999999E-3</v>
      </c>
      <c r="P1162">
        <v>0.95305419999999996</v>
      </c>
      <c r="Q1162">
        <v>0.29622549999999997</v>
      </c>
      <c r="R1162">
        <v>6.2756939999999997E-2</v>
      </c>
      <c r="S1162">
        <v>3.5018009999999999</v>
      </c>
      <c r="T1162">
        <v>-1.138601</v>
      </c>
      <c r="U1162">
        <v>-4.7607420000000001E-3</v>
      </c>
      <c r="V1162">
        <v>-6.8585399999999894E-2</v>
      </c>
      <c r="W1162">
        <v>0.3013692</v>
      </c>
      <c r="X1162">
        <v>0.95103760000000004</v>
      </c>
      <c r="Y1162">
        <v>-4.2620330000000001E-3</v>
      </c>
      <c r="Z1162">
        <v>2.604786E-3</v>
      </c>
      <c r="AA1162">
        <v>0.99998750000000003</v>
      </c>
      <c r="AB1162">
        <v>35</v>
      </c>
      <c r="AC1162">
        <v>0.51089999999999203</v>
      </c>
      <c r="AD1162">
        <v>-0.23376060000000001</v>
      </c>
      <c r="AE1162">
        <v>1.99999999949795E-4</v>
      </c>
      <c r="AF1162">
        <v>-2.7641514887521801E-3</v>
      </c>
      <c r="AG1162">
        <v>-0.23376060000000001</v>
      </c>
      <c r="AH1162">
        <v>0.422449706965212</v>
      </c>
      <c r="AI1162">
        <v>118.957227117038</v>
      </c>
      <c r="AJ1162">
        <v>90.374889487527597</v>
      </c>
      <c r="AK1162">
        <v>0.482820270453516</v>
      </c>
      <c r="AL1162">
        <v>72.460139790988606</v>
      </c>
      <c r="AM1162">
        <v>94.124824004327493</v>
      </c>
      <c r="AN1162">
        <v>0.999999934207777</v>
      </c>
    </row>
    <row r="1163" spans="1:40" x14ac:dyDescent="0.25">
      <c r="A1163" t="str">
        <f>"20190304164116851"</f>
        <v>20190304164116851</v>
      </c>
      <c r="B1163" t="str">
        <f>"1551688876841865"</f>
        <v>1551688876841865</v>
      </c>
      <c r="C1163" t="s">
        <v>40</v>
      </c>
      <c r="D1163">
        <v>4.3952119999999999</v>
      </c>
      <c r="E1163">
        <v>0.54985050000000002</v>
      </c>
      <c r="F1163" t="s">
        <v>41</v>
      </c>
      <c r="G1163">
        <v>-276.95909999999998</v>
      </c>
      <c r="H1163">
        <v>0.81234839999999997</v>
      </c>
      <c r="I1163">
        <v>367.06659999999999</v>
      </c>
      <c r="J1163">
        <v>-277.45960000000002</v>
      </c>
      <c r="K1163">
        <v>1.075866</v>
      </c>
      <c r="L1163">
        <v>367.06610000000001</v>
      </c>
      <c r="M1163">
        <v>0.99996560000000001</v>
      </c>
      <c r="N1163">
        <v>-5.5401560000000001E-3</v>
      </c>
      <c r="O1163">
        <v>-6.1883540000000001E-3</v>
      </c>
      <c r="P1163">
        <v>0.95304529999999998</v>
      </c>
      <c r="Q1163">
        <v>0.2962534</v>
      </c>
      <c r="R1163">
        <v>6.2760259999999998E-2</v>
      </c>
      <c r="S1163">
        <v>3.5005489999999999</v>
      </c>
      <c r="T1163">
        <v>-1.133537</v>
      </c>
      <c r="U1163">
        <v>-6.8054200000000004E-3</v>
      </c>
      <c r="V1163">
        <v>-6.8622440000000007E-2</v>
      </c>
      <c r="W1163">
        <v>0.30153469999999999</v>
      </c>
      <c r="X1163">
        <v>0.95098249999999995</v>
      </c>
      <c r="Y1163">
        <v>-3.7439190000000001E-3</v>
      </c>
      <c r="Z1163">
        <v>2.5221879999999999E-3</v>
      </c>
      <c r="AA1163">
        <v>0.99998980000000004</v>
      </c>
      <c r="AB1163">
        <v>34</v>
      </c>
      <c r="AC1163">
        <v>0.50050000000004502</v>
      </c>
      <c r="AD1163">
        <v>-0.26351759999999902</v>
      </c>
      <c r="AE1163">
        <v>4.9999999998817603E-4</v>
      </c>
      <c r="AF1163">
        <v>-2.8165342209152699E-3</v>
      </c>
      <c r="AG1163">
        <v>-0.26351759999999902</v>
      </c>
      <c r="AH1163">
        <v>0.39185950697312899</v>
      </c>
      <c r="AI1163">
        <v>123.919349222858</v>
      </c>
      <c r="AJ1163">
        <v>90.411812759280593</v>
      </c>
      <c r="AK1163">
        <v>0.47223228561800101</v>
      </c>
      <c r="AL1163">
        <v>72.450195263980703</v>
      </c>
      <c r="AM1163">
        <v>94.127282242622996</v>
      </c>
      <c r="AN1163">
        <v>0.99999996494094601</v>
      </c>
    </row>
    <row r="1164" spans="1:40" x14ac:dyDescent="0.25">
      <c r="A1164" t="str">
        <f>"20190304164116865"</f>
        <v>20190304164116865</v>
      </c>
      <c r="B1164" t="str">
        <f>"1551688876852601"</f>
        <v>1551688876852601</v>
      </c>
      <c r="C1164" t="s">
        <v>40</v>
      </c>
      <c r="D1164">
        <v>4.392398</v>
      </c>
      <c r="E1164">
        <v>0.550095</v>
      </c>
      <c r="F1164" t="s">
        <v>41</v>
      </c>
      <c r="G1164">
        <v>-276.649</v>
      </c>
      <c r="H1164">
        <v>0.81604750000000004</v>
      </c>
      <c r="I1164">
        <v>367.06349999999998</v>
      </c>
      <c r="J1164">
        <v>-277.25369999999998</v>
      </c>
      <c r="K1164">
        <v>1.077518</v>
      </c>
      <c r="L1164">
        <v>367.06479999999999</v>
      </c>
      <c r="M1164">
        <v>0.9999654</v>
      </c>
      <c r="N1164">
        <v>-5.5305780000000004E-3</v>
      </c>
      <c r="O1164">
        <v>-6.2128959999999999E-3</v>
      </c>
      <c r="P1164">
        <v>0.95309639999999995</v>
      </c>
      <c r="Q1164">
        <v>0.29610389999999998</v>
      </c>
      <c r="R1164">
        <v>6.2687919999999994E-2</v>
      </c>
      <c r="S1164">
        <v>3.4969790000000001</v>
      </c>
      <c r="T1164">
        <v>-1.1209249999999999</v>
      </c>
      <c r="U1164">
        <v>-1.083374E-2</v>
      </c>
      <c r="V1164">
        <v>-6.8572519999999998E-2</v>
      </c>
      <c r="W1164">
        <v>0.30137649999999999</v>
      </c>
      <c r="X1164">
        <v>0.95103629999999995</v>
      </c>
      <c r="Y1164">
        <v>-2.6776669999999999E-3</v>
      </c>
      <c r="Z1164">
        <v>2.3354959999999998E-3</v>
      </c>
      <c r="AA1164">
        <v>0.99999369999999999</v>
      </c>
      <c r="AB1164">
        <v>34</v>
      </c>
      <c r="AC1164">
        <v>0.60469999999997903</v>
      </c>
      <c r="AD1164">
        <v>-0.261470499999999</v>
      </c>
      <c r="AE1164">
        <v>-1.3000000000147299E-3</v>
      </c>
      <c r="AF1164">
        <v>-2.0700003684010898E-3</v>
      </c>
      <c r="AG1164">
        <v>-0.261470499999999</v>
      </c>
      <c r="AH1164">
        <v>0.509446965831027</v>
      </c>
      <c r="AI1164">
        <v>117.168689141523</v>
      </c>
      <c r="AJ1164">
        <v>90.232804668512003</v>
      </c>
      <c r="AK1164">
        <v>0.57263192215088299</v>
      </c>
      <c r="AL1164">
        <v>72.459702592752393</v>
      </c>
      <c r="AM1164">
        <v>94.124057673510805</v>
      </c>
      <c r="AN1164">
        <v>1.00000001458454</v>
      </c>
    </row>
    <row r="1165" spans="1:40" x14ac:dyDescent="0.25">
      <c r="A1165" t="str">
        <f>"20190304164116875"</f>
        <v>20190304164116875</v>
      </c>
      <c r="B1165" t="str">
        <f>"1551688876862361"</f>
        <v>1551688876862361</v>
      </c>
      <c r="C1165" t="s">
        <v>40</v>
      </c>
      <c r="D1165">
        <v>4.4076550000000001</v>
      </c>
      <c r="E1165">
        <v>0.55032579999999998</v>
      </c>
      <c r="F1165" t="s">
        <v>41</v>
      </c>
      <c r="G1165">
        <v>-276.35050000000001</v>
      </c>
      <c r="H1165">
        <v>0.78901219999999905</v>
      </c>
      <c r="I1165">
        <v>367.06150000000002</v>
      </c>
      <c r="J1165">
        <v>-277.0822</v>
      </c>
      <c r="K1165">
        <v>1.078945</v>
      </c>
      <c r="L1165">
        <v>367.06380000000001</v>
      </c>
      <c r="M1165">
        <v>0.99996549999999995</v>
      </c>
      <c r="N1165">
        <v>-5.5040929999999998E-3</v>
      </c>
      <c r="O1165">
        <v>-6.2328540000000003E-3</v>
      </c>
      <c r="P1165">
        <v>0.95309350000000004</v>
      </c>
      <c r="Q1165">
        <v>0.29605890000000001</v>
      </c>
      <c r="R1165">
        <v>6.294392E-2</v>
      </c>
      <c r="S1165">
        <v>3.4953310000000002</v>
      </c>
      <c r="T1165">
        <v>-1.116411</v>
      </c>
      <c r="U1165">
        <v>-1.312256E-2</v>
      </c>
      <c r="V1165">
        <v>-6.8846679999999993E-2</v>
      </c>
      <c r="W1165">
        <v>0.30130610000000002</v>
      </c>
      <c r="X1165">
        <v>0.95103879999999996</v>
      </c>
      <c r="Y1165">
        <v>-2.0740060000000002E-3</v>
      </c>
      <c r="Z1165">
        <v>2.2379549999999998E-3</v>
      </c>
      <c r="AA1165">
        <v>0.99999539999999998</v>
      </c>
      <c r="AB1165">
        <v>35</v>
      </c>
      <c r="AC1165">
        <v>0.73169999999998903</v>
      </c>
      <c r="AD1165">
        <v>-0.28993279999999999</v>
      </c>
      <c r="AE1165">
        <v>-2.29999999999108E-3</v>
      </c>
      <c r="AF1165">
        <v>-1.9539112301661301E-3</v>
      </c>
      <c r="AG1165">
        <v>-0.28993279999999999</v>
      </c>
      <c r="AH1165">
        <v>0.63240664463406304</v>
      </c>
      <c r="AI1165">
        <v>114.629432235568</v>
      </c>
      <c r="AJ1165">
        <v>90.177022983170403</v>
      </c>
      <c r="AK1165">
        <v>0.69570324885129697</v>
      </c>
      <c r="AL1165">
        <v>72.463932864235602</v>
      </c>
      <c r="AM1165">
        <v>94.140478003763405</v>
      </c>
      <c r="AN1165">
        <v>1.0000000151748301</v>
      </c>
    </row>
    <row r="1166" spans="1:40" x14ac:dyDescent="0.25">
      <c r="A1166" t="str">
        <f>"20190304164116886"</f>
        <v>20190304164116886</v>
      </c>
      <c r="B1166" t="str">
        <f>"1551688876872122"</f>
        <v>1551688876872122</v>
      </c>
      <c r="C1166" t="s">
        <v>40</v>
      </c>
      <c r="D1166">
        <v>4.4030839999999998</v>
      </c>
      <c r="E1166">
        <v>0.55052299999999998</v>
      </c>
      <c r="F1166" t="s">
        <v>41</v>
      </c>
      <c r="G1166">
        <v>-276.32960000000003</v>
      </c>
      <c r="H1166">
        <v>0.83953319999999998</v>
      </c>
      <c r="I1166">
        <v>367.06049999999999</v>
      </c>
      <c r="J1166">
        <v>-276.90660000000003</v>
      </c>
      <c r="K1166">
        <v>1.0804210000000001</v>
      </c>
      <c r="L1166">
        <v>367.06270000000001</v>
      </c>
      <c r="M1166">
        <v>0.9999654</v>
      </c>
      <c r="N1166">
        <v>-5.5078449999999999E-3</v>
      </c>
      <c r="O1166">
        <v>-6.2526589999999998E-3</v>
      </c>
      <c r="P1166">
        <v>0.95300169999999995</v>
      </c>
      <c r="Q1166">
        <v>0.29630230000000002</v>
      </c>
      <c r="R1166">
        <v>6.3190399999999994E-2</v>
      </c>
      <c r="S1166">
        <v>3.4938660000000001</v>
      </c>
      <c r="T1166">
        <v>-1.1114389999999901</v>
      </c>
      <c r="U1166">
        <v>-1.525879E-2</v>
      </c>
      <c r="V1166">
        <v>-6.9110859999999996E-2</v>
      </c>
      <c r="W1166">
        <v>0.30155300000000002</v>
      </c>
      <c r="X1166">
        <v>0.95094140000000005</v>
      </c>
      <c r="Y1166">
        <v>-1.511395E-3</v>
      </c>
      <c r="Z1166">
        <v>2.146336E-3</v>
      </c>
      <c r="AA1166">
        <v>0.99999649999999995</v>
      </c>
      <c r="AB1166">
        <v>35</v>
      </c>
      <c r="AC1166">
        <v>0.57699999999999796</v>
      </c>
      <c r="AD1166">
        <v>-0.24088779999999901</v>
      </c>
      <c r="AE1166">
        <v>-2.2000000000161799E-3</v>
      </c>
      <c r="AF1166">
        <v>-1.19892184933373E-3</v>
      </c>
      <c r="AG1166">
        <v>-0.24088779999999901</v>
      </c>
      <c r="AH1166">
        <v>0.49136298025518099</v>
      </c>
      <c r="AI1166">
        <v>116.116063360103</v>
      </c>
      <c r="AJ1166">
        <v>90.139800978850005</v>
      </c>
      <c r="AK1166">
        <v>0.54723481976907695</v>
      </c>
      <c r="AL1166">
        <v>72.449096823231699</v>
      </c>
      <c r="AM1166">
        <v>94.156734581601697</v>
      </c>
      <c r="AN1166">
        <v>1.0000000345064399</v>
      </c>
    </row>
    <row r="1167" spans="1:40" x14ac:dyDescent="0.25">
      <c r="A1167" t="str">
        <f>"20190304164116896"</f>
        <v>20190304164116896</v>
      </c>
      <c r="B1167" t="str">
        <f>"1551688876881883"</f>
        <v>1551688876881883</v>
      </c>
      <c r="C1167" t="s">
        <v>40</v>
      </c>
      <c r="D1167">
        <v>4.3953030000000002</v>
      </c>
      <c r="E1167">
        <v>0.55068349999999999</v>
      </c>
      <c r="F1167" t="s">
        <v>41</v>
      </c>
      <c r="G1167">
        <v>-276.03440000000001</v>
      </c>
      <c r="H1167">
        <v>0.80427109999999902</v>
      </c>
      <c r="I1167">
        <v>367.05810000000002</v>
      </c>
      <c r="J1167">
        <v>-276.74829999999997</v>
      </c>
      <c r="K1167">
        <v>1.0817779999999999</v>
      </c>
      <c r="L1167">
        <v>367.0616</v>
      </c>
      <c r="M1167">
        <v>0.99996499999999999</v>
      </c>
      <c r="N1167">
        <v>-5.5498429999999996E-3</v>
      </c>
      <c r="O1167">
        <v>-6.2695880000000004E-3</v>
      </c>
      <c r="P1167">
        <v>0.95300530000000006</v>
      </c>
      <c r="Q1167">
        <v>0.29628169999999998</v>
      </c>
      <c r="R1167">
        <v>6.3231510000000005E-2</v>
      </c>
      <c r="S1167">
        <v>3.49295</v>
      </c>
      <c r="T1167">
        <v>-1.105809</v>
      </c>
      <c r="U1167">
        <v>-1.8096919999999999E-2</v>
      </c>
      <c r="V1167">
        <v>-6.916754E-2</v>
      </c>
      <c r="W1167">
        <v>0.30157250000000002</v>
      </c>
      <c r="X1167">
        <v>0.95093110000000003</v>
      </c>
      <c r="Y1167">
        <v>-7.551592E-4</v>
      </c>
      <c r="Z1167">
        <v>2.0222780000000002E-3</v>
      </c>
      <c r="AA1167">
        <v>0.99999769999999999</v>
      </c>
      <c r="AB1167">
        <v>35</v>
      </c>
      <c r="AC1167">
        <v>0.71389999999996601</v>
      </c>
      <c r="AD1167">
        <v>-0.2775069</v>
      </c>
      <c r="AE1167">
        <v>-3.4999999999740798E-3</v>
      </c>
      <c r="AF1167">
        <v>-8.4788199849952404E-4</v>
      </c>
      <c r="AG1167">
        <v>-0.2775069</v>
      </c>
      <c r="AH1167">
        <v>0.620196650549243</v>
      </c>
      <c r="AI1167">
        <v>114.106102052948</v>
      </c>
      <c r="AJ1167">
        <v>90.078330042141602</v>
      </c>
      <c r="AK1167">
        <v>0.67945175237392197</v>
      </c>
      <c r="AL1167">
        <v>72.447925087136099</v>
      </c>
      <c r="AM1167">
        <v>94.160176589130003</v>
      </c>
      <c r="AN1167">
        <v>1.00000003914655</v>
      </c>
    </row>
    <row r="1168" spans="1:40" x14ac:dyDescent="0.25">
      <c r="A1168" t="str">
        <f>"20190304164116907"</f>
        <v>20190304164116907</v>
      </c>
      <c r="B1168" t="str">
        <f>"1551688876902377"</f>
        <v>1551688876902377</v>
      </c>
      <c r="C1168" t="s">
        <v>40</v>
      </c>
      <c r="D1168">
        <v>4.3274400000000002</v>
      </c>
      <c r="E1168">
        <v>0.55111119999999902</v>
      </c>
      <c r="F1168" t="s">
        <v>41</v>
      </c>
      <c r="G1168">
        <v>-276.01499999999999</v>
      </c>
      <c r="H1168">
        <v>0.85036869999999998</v>
      </c>
      <c r="I1168">
        <v>367.05739999999997</v>
      </c>
      <c r="J1168">
        <v>-276.58920000000001</v>
      </c>
      <c r="K1168">
        <v>1.083143</v>
      </c>
      <c r="L1168">
        <v>367.0607</v>
      </c>
      <c r="M1168">
        <v>0.99996439999999998</v>
      </c>
      <c r="N1168">
        <v>-5.6375899999999996E-3</v>
      </c>
      <c r="O1168">
        <v>-6.2867670000000004E-3</v>
      </c>
      <c r="P1168">
        <v>0.95315530000000004</v>
      </c>
      <c r="Q1168">
        <v>0.29581380000000002</v>
      </c>
      <c r="R1168">
        <v>6.3161129999999996E-2</v>
      </c>
      <c r="S1168">
        <v>3.4918819999999999</v>
      </c>
      <c r="T1168">
        <v>-1.1020570000000001</v>
      </c>
      <c r="U1168">
        <v>-1.9958500000000001E-2</v>
      </c>
      <c r="V1168">
        <v>-6.9114659999999994E-2</v>
      </c>
      <c r="W1168">
        <v>0.30118869999999998</v>
      </c>
      <c r="X1168">
        <v>0.95105649999999997</v>
      </c>
      <c r="Y1168">
        <v>-2.6340869999999999E-4</v>
      </c>
      <c r="Z1168">
        <v>1.943738E-3</v>
      </c>
      <c r="AA1168">
        <v>0.9999981</v>
      </c>
      <c r="AB1168">
        <v>35</v>
      </c>
      <c r="AC1168">
        <v>0.57420000000001803</v>
      </c>
      <c r="AD1168">
        <v>-0.23277429999999999</v>
      </c>
      <c r="AE1168">
        <v>-3.30000000002428E-3</v>
      </c>
      <c r="AF1168">
        <v>-2.6623272038190699E-4</v>
      </c>
      <c r="AG1168">
        <v>-0.23277429999999999</v>
      </c>
      <c r="AH1168">
        <v>0.49316522774316801</v>
      </c>
      <c r="AI1168">
        <v>115.26733696948899</v>
      </c>
      <c r="AJ1168">
        <v>90.030930829884596</v>
      </c>
      <c r="AK1168">
        <v>0.54534015758544896</v>
      </c>
      <c r="AL1168">
        <v>72.470986226401095</v>
      </c>
      <c r="AM1168">
        <v>94.156461008792903</v>
      </c>
      <c r="AN1168">
        <v>0.99999996771342703</v>
      </c>
    </row>
    <row r="1169" spans="1:40" x14ac:dyDescent="0.25">
      <c r="A1169" t="str">
        <f>"20190304164116918"</f>
        <v>20190304164116918</v>
      </c>
      <c r="B1169" t="str">
        <f>"1551688876912137"</f>
        <v>1551688876912137</v>
      </c>
      <c r="C1169" t="s">
        <v>40</v>
      </c>
      <c r="D1169">
        <v>4.4050140000000004</v>
      </c>
      <c r="E1169">
        <v>0.55122979999999999</v>
      </c>
      <c r="F1169" t="s">
        <v>41</v>
      </c>
      <c r="G1169">
        <v>-275.72140000000002</v>
      </c>
      <c r="H1169">
        <v>0.81139399999999995</v>
      </c>
      <c r="I1169">
        <v>367.05459999999999</v>
      </c>
      <c r="J1169">
        <v>-276.40960000000001</v>
      </c>
      <c r="K1169">
        <v>1.0846929999999999</v>
      </c>
      <c r="L1169">
        <v>367.05950000000001</v>
      </c>
      <c r="M1169">
        <v>0.99996350000000001</v>
      </c>
      <c r="N1169">
        <v>-5.787805E-3</v>
      </c>
      <c r="O1169">
        <v>-6.3063939999999999E-3</v>
      </c>
      <c r="P1169">
        <v>0.95324960000000003</v>
      </c>
      <c r="Q1169">
        <v>0.29564430000000003</v>
      </c>
      <c r="R1169">
        <v>6.2529979999999999E-2</v>
      </c>
      <c r="S1169">
        <v>3.4880070000000001</v>
      </c>
      <c r="T1169">
        <v>-1.0921430000000001</v>
      </c>
      <c r="U1169">
        <v>-2.453613E-2</v>
      </c>
      <c r="V1169">
        <v>-6.8503019999999998E-2</v>
      </c>
      <c r="W1169">
        <v>0.3011624</v>
      </c>
      <c r="X1169">
        <v>0.95110910000000004</v>
      </c>
      <c r="Y1169">
        <v>9.71209E-4</v>
      </c>
      <c r="Z1169">
        <v>1.741381E-3</v>
      </c>
      <c r="AA1169">
        <v>0.99999800000000005</v>
      </c>
      <c r="AB1169">
        <v>35</v>
      </c>
      <c r="AC1169">
        <v>0.68819999999999404</v>
      </c>
      <c r="AD1169">
        <v>-0.27329900000000001</v>
      </c>
      <c r="AE1169">
        <v>-4.9000000000205502E-3</v>
      </c>
      <c r="AF1169">
        <v>4.8352018780644599E-4</v>
      </c>
      <c r="AG1169">
        <v>-0.27329900000000001</v>
      </c>
      <c r="AH1169">
        <v>0.59447069076693704</v>
      </c>
      <c r="AI1169">
        <v>114.68989144685899</v>
      </c>
      <c r="AJ1169">
        <v>89.9533977698282</v>
      </c>
      <c r="AK1169">
        <v>0.65428432609507903</v>
      </c>
      <c r="AL1169">
        <v>72.472566836880702</v>
      </c>
      <c r="AM1169">
        <v>94.119577975864402</v>
      </c>
      <c r="AN1169">
        <v>0.99999998751284502</v>
      </c>
    </row>
    <row r="1170" spans="1:40" x14ac:dyDescent="0.25">
      <c r="A1170" t="str">
        <f>"20190304164116929"</f>
        <v>20190304164116929</v>
      </c>
      <c r="B1170" t="str">
        <f>"1551688876922404"</f>
        <v>1551688876922404</v>
      </c>
      <c r="C1170" t="s">
        <v>40</v>
      </c>
      <c r="D1170">
        <v>4.4140110000000004</v>
      </c>
      <c r="E1170">
        <v>0.55132139999999996</v>
      </c>
      <c r="F1170" t="s">
        <v>41</v>
      </c>
      <c r="G1170">
        <v>-275.69970000000001</v>
      </c>
      <c r="H1170">
        <v>0.86272469999999901</v>
      </c>
      <c r="I1170">
        <v>367.05410000000001</v>
      </c>
      <c r="J1170">
        <v>-276.24220000000003</v>
      </c>
      <c r="K1170">
        <v>1.086112</v>
      </c>
      <c r="L1170">
        <v>367.05849999999998</v>
      </c>
      <c r="M1170">
        <v>0.99996220000000002</v>
      </c>
      <c r="N1170">
        <v>-5.9810150000000001E-3</v>
      </c>
      <c r="O1170">
        <v>-6.324138E-3</v>
      </c>
      <c r="P1170">
        <v>0.95339379999999996</v>
      </c>
      <c r="Q1170">
        <v>0.29521069999999999</v>
      </c>
      <c r="R1170">
        <v>6.2380060000000001E-2</v>
      </c>
      <c r="S1170">
        <v>3.4870610000000002</v>
      </c>
      <c r="T1170">
        <v>-1.0903969999999901</v>
      </c>
      <c r="U1170">
        <v>-2.633667E-2</v>
      </c>
      <c r="V1170">
        <v>-6.8370780000000006E-2</v>
      </c>
      <c r="W1170">
        <v>0.30091370000000001</v>
      </c>
      <c r="X1170">
        <v>0.95119730000000002</v>
      </c>
      <c r="Y1170">
        <v>1.4482259999999999E-3</v>
      </c>
      <c r="Z1170">
        <v>1.668847E-3</v>
      </c>
      <c r="AA1170">
        <v>0.99999760000000004</v>
      </c>
      <c r="AB1170">
        <v>35</v>
      </c>
      <c r="AC1170">
        <v>0.54250000000001797</v>
      </c>
      <c r="AD1170">
        <v>-0.22338730000000001</v>
      </c>
      <c r="AE1170">
        <v>-4.3999999999755303E-3</v>
      </c>
      <c r="AF1170">
        <v>8.2853143558406705E-4</v>
      </c>
      <c r="AG1170">
        <v>-0.22338730000000001</v>
      </c>
      <c r="AH1170">
        <v>0.46386951166540302</v>
      </c>
      <c r="AI1170">
        <v>115.71420153353</v>
      </c>
      <c r="AJ1170">
        <v>89.897662375350905</v>
      </c>
      <c r="AK1170">
        <v>0.51485677243125505</v>
      </c>
      <c r="AL1170">
        <v>72.487508973741001</v>
      </c>
      <c r="AM1170">
        <v>94.111272790084399</v>
      </c>
      <c r="AN1170">
        <v>0.99999996096639299</v>
      </c>
    </row>
    <row r="1171" spans="1:40" x14ac:dyDescent="0.25">
      <c r="A1171" t="str">
        <f>"20190304164116939"</f>
        <v>20190304164116939</v>
      </c>
      <c r="B1171" t="str">
        <f>"1551688876932165"</f>
        <v>1551688876932165</v>
      </c>
      <c r="C1171" t="s">
        <v>40</v>
      </c>
      <c r="D1171">
        <v>4.4291850000000004</v>
      </c>
      <c r="E1171">
        <v>0.55143350000000002</v>
      </c>
      <c r="F1171" t="s">
        <v>41</v>
      </c>
      <c r="G1171">
        <v>-275.40589999999997</v>
      </c>
      <c r="H1171">
        <v>0.82461679999999904</v>
      </c>
      <c r="I1171">
        <v>367.05180000000001</v>
      </c>
      <c r="J1171">
        <v>-276.06689999999998</v>
      </c>
      <c r="K1171">
        <v>1.0875889999999999</v>
      </c>
      <c r="L1171">
        <v>367.0573</v>
      </c>
      <c r="M1171">
        <v>0.99996059999999998</v>
      </c>
      <c r="N1171">
        <v>-6.2085930000000001E-3</v>
      </c>
      <c r="O1171">
        <v>-6.342604E-3</v>
      </c>
      <c r="P1171">
        <v>0.95359430000000001</v>
      </c>
      <c r="Q1171">
        <v>0.29464269999999998</v>
      </c>
      <c r="R1171">
        <v>6.1997080000000003E-2</v>
      </c>
      <c r="S1171">
        <v>3.4858699999999998</v>
      </c>
      <c r="T1171">
        <v>-1.0898730000000001</v>
      </c>
      <c r="U1171">
        <v>-2.6550290000000001E-2</v>
      </c>
      <c r="V1171">
        <v>-6.8006720000000007E-2</v>
      </c>
      <c r="W1171">
        <v>0.30056349999999998</v>
      </c>
      <c r="X1171">
        <v>0.95133420000000002</v>
      </c>
      <c r="Y1171">
        <v>1.491785E-3</v>
      </c>
      <c r="Z1171">
        <v>1.665779E-3</v>
      </c>
      <c r="AA1171">
        <v>0.99999749999999998</v>
      </c>
      <c r="AB1171">
        <v>35</v>
      </c>
      <c r="AC1171">
        <v>0.66100000000000103</v>
      </c>
      <c r="AD1171">
        <v>-0.26297219999999999</v>
      </c>
      <c r="AE1171">
        <v>-5.4999999999836204E-3</v>
      </c>
      <c r="AF1171">
        <v>1.12871106641702E-3</v>
      </c>
      <c r="AG1171">
        <v>-0.26297219999999999</v>
      </c>
      <c r="AH1171">
        <v>0.57069946179925601</v>
      </c>
      <c r="AI1171">
        <v>114.73970147831</v>
      </c>
      <c r="AJ1171">
        <v>89.886682395194597</v>
      </c>
      <c r="AK1171">
        <v>0.62837371655685303</v>
      </c>
      <c r="AL1171">
        <v>72.508549452590799</v>
      </c>
      <c r="AM1171">
        <v>94.088869109823406</v>
      </c>
      <c r="AN1171">
        <v>1.0000000457935201</v>
      </c>
    </row>
    <row r="1172" spans="1:40" x14ac:dyDescent="0.25">
      <c r="A1172" t="str">
        <f>"20190304164116951"</f>
        <v>20190304164116951</v>
      </c>
      <c r="B1172" t="str">
        <f>"1551688876941925"</f>
        <v>1551688876941925</v>
      </c>
      <c r="C1172" t="s">
        <v>40</v>
      </c>
      <c r="D1172">
        <v>4.4189259999999999</v>
      </c>
      <c r="E1172">
        <v>0.55153609999999997</v>
      </c>
      <c r="F1172" t="s">
        <v>41</v>
      </c>
      <c r="G1172">
        <v>-275.38479999999998</v>
      </c>
      <c r="H1172">
        <v>0.87425259999999905</v>
      </c>
      <c r="I1172">
        <v>367.05149999999998</v>
      </c>
      <c r="J1172">
        <v>-275.90350000000001</v>
      </c>
      <c r="K1172">
        <v>1.0889120000000001</v>
      </c>
      <c r="L1172">
        <v>367.05630000000002</v>
      </c>
      <c r="M1172">
        <v>0.99995909999999999</v>
      </c>
      <c r="N1172">
        <v>-6.4615580000000001E-3</v>
      </c>
      <c r="O1172">
        <v>-6.3602229999999999E-3</v>
      </c>
      <c r="P1172">
        <v>0.95379849999999999</v>
      </c>
      <c r="Q1172">
        <v>0.29404400000000003</v>
      </c>
      <c r="R1172">
        <v>6.1698370000000002E-2</v>
      </c>
      <c r="S1172">
        <v>3.4845280000000001</v>
      </c>
      <c r="T1172">
        <v>-1.089817</v>
      </c>
      <c r="U1172">
        <v>-2.8289789999999999E-2</v>
      </c>
      <c r="V1172">
        <v>-6.7726190000000006E-2</v>
      </c>
      <c r="W1172">
        <v>0.30020649999999999</v>
      </c>
      <c r="X1172">
        <v>0.9514669</v>
      </c>
      <c r="Y1172">
        <v>1.9541160000000001E-3</v>
      </c>
      <c r="Z1172">
        <v>1.597689E-3</v>
      </c>
      <c r="AA1172">
        <v>0.99999680000000002</v>
      </c>
      <c r="AB1172">
        <v>35</v>
      </c>
      <c r="AC1172">
        <v>0.51870000000002303</v>
      </c>
      <c r="AD1172">
        <v>-0.2146594</v>
      </c>
      <c r="AE1172">
        <v>-4.8000000000456497E-3</v>
      </c>
      <c r="AF1172">
        <v>1.28135518445559E-3</v>
      </c>
      <c r="AG1172">
        <v>-0.2146594</v>
      </c>
      <c r="AH1172">
        <v>0.44287736622258</v>
      </c>
      <c r="AI1172">
        <v>115.859032541627</v>
      </c>
      <c r="AJ1172">
        <v>89.834229416823803</v>
      </c>
      <c r="AK1172">
        <v>0.49215918298018002</v>
      </c>
      <c r="AL1172">
        <v>72.529993961588403</v>
      </c>
      <c r="AM1172">
        <v>94.071493228434505</v>
      </c>
      <c r="AN1172">
        <v>1.00000002062488</v>
      </c>
    </row>
    <row r="1173" spans="1:40" x14ac:dyDescent="0.25">
      <c r="A1173" t="str">
        <f>"20190304164116962"</f>
        <v>20190304164116962</v>
      </c>
      <c r="B1173" t="str">
        <f>"1551688876952661"</f>
        <v>1551688876952661</v>
      </c>
      <c r="C1173" t="s">
        <v>40</v>
      </c>
      <c r="D1173">
        <v>4.408461</v>
      </c>
      <c r="E1173">
        <v>0.5516181</v>
      </c>
      <c r="F1173" t="s">
        <v>41</v>
      </c>
      <c r="G1173">
        <v>-275.0915</v>
      </c>
      <c r="H1173">
        <v>0.83498559999999999</v>
      </c>
      <c r="I1173">
        <v>367.04899999999998</v>
      </c>
      <c r="J1173">
        <v>-275.7296</v>
      </c>
      <c r="K1173">
        <v>1.090311</v>
      </c>
      <c r="L1173">
        <v>367.05509999999998</v>
      </c>
      <c r="M1173">
        <v>0.99995710000000004</v>
      </c>
      <c r="N1173">
        <v>-6.7380529999999999E-3</v>
      </c>
      <c r="O1173">
        <v>-6.378908E-3</v>
      </c>
      <c r="P1173">
        <v>0.95408990000000005</v>
      </c>
      <c r="Q1173">
        <v>0.293193599999999</v>
      </c>
      <c r="R1173">
        <v>6.1239170000000002E-2</v>
      </c>
      <c r="S1173">
        <v>3.4830930000000002</v>
      </c>
      <c r="T1173">
        <v>-1.0891820000000001</v>
      </c>
      <c r="U1173">
        <v>-3.0273439999999999E-2</v>
      </c>
      <c r="V1173">
        <v>-6.7286830000000006E-2</v>
      </c>
      <c r="W1173">
        <v>0.29962100000000003</v>
      </c>
      <c r="X1173">
        <v>0.95168260000000005</v>
      </c>
      <c r="Y1173">
        <v>2.4825939999999999E-3</v>
      </c>
      <c r="Z1173">
        <v>1.5184790000000001E-3</v>
      </c>
      <c r="AA1173">
        <v>0.99999579999999999</v>
      </c>
      <c r="AB1173">
        <v>35</v>
      </c>
      <c r="AC1173">
        <v>0.63810000000000799</v>
      </c>
      <c r="AD1173">
        <v>-0.25532539999999998</v>
      </c>
      <c r="AE1173">
        <v>-6.0999999999467001E-3</v>
      </c>
      <c r="AF1173">
        <v>1.7493458188823101E-3</v>
      </c>
      <c r="AG1173">
        <v>-0.25532539999999998</v>
      </c>
      <c r="AH1173">
        <v>0.55006471785344702</v>
      </c>
      <c r="AI1173">
        <v>114.899363085405</v>
      </c>
      <c r="AJ1173">
        <v>89.817785451111604</v>
      </c>
      <c r="AK1173">
        <v>0.60643657040381904</v>
      </c>
      <c r="AL1173">
        <v>72.565159355843207</v>
      </c>
      <c r="AM1173">
        <v>94.044254406530101</v>
      </c>
      <c r="AN1173">
        <v>1.0000000161375999</v>
      </c>
    </row>
    <row r="1174" spans="1:40" x14ac:dyDescent="0.25">
      <c r="A1174" t="str">
        <f>"20190304164116973"</f>
        <v>20190304164116973</v>
      </c>
      <c r="B1174" t="str">
        <f>"1551688876962420"</f>
        <v>1551688876962420</v>
      </c>
      <c r="C1174" t="s">
        <v>40</v>
      </c>
      <c r="D1174">
        <v>4.4372730000000002</v>
      </c>
      <c r="E1174">
        <v>0.55172509999999997</v>
      </c>
      <c r="F1174" t="s">
        <v>41</v>
      </c>
      <c r="G1174">
        <v>-274.79669999999999</v>
      </c>
      <c r="H1174">
        <v>0.79817629999999995</v>
      </c>
      <c r="I1174">
        <v>367.04590000000002</v>
      </c>
      <c r="J1174">
        <v>-275.5609</v>
      </c>
      <c r="K1174">
        <v>1.091577</v>
      </c>
      <c r="L1174">
        <v>367.05399999999997</v>
      </c>
      <c r="M1174">
        <v>0.99995489999999998</v>
      </c>
      <c r="N1174">
        <v>-7.0305949999999997E-3</v>
      </c>
      <c r="O1174">
        <v>-6.3969719999999999E-3</v>
      </c>
      <c r="P1174">
        <v>0.95425439999999995</v>
      </c>
      <c r="Q1174">
        <v>0.2926588</v>
      </c>
      <c r="R1174">
        <v>6.1234360000000002E-2</v>
      </c>
      <c r="S1174">
        <v>3.4815369999999999</v>
      </c>
      <c r="T1174">
        <v>-1.090241</v>
      </c>
      <c r="U1174">
        <v>-3.3691409999999998E-2</v>
      </c>
      <c r="V1174">
        <v>-6.730063E-2</v>
      </c>
      <c r="W1174">
        <v>0.29936620000000003</v>
      </c>
      <c r="X1174">
        <v>0.95176179999999999</v>
      </c>
      <c r="Y1174">
        <v>3.405473E-3</v>
      </c>
      <c r="Z1174">
        <v>1.3793639999999999E-3</v>
      </c>
      <c r="AA1174">
        <v>0.99999329999999997</v>
      </c>
      <c r="AB1174">
        <v>35</v>
      </c>
      <c r="AC1174">
        <v>0.76420000000001598</v>
      </c>
      <c r="AD1174">
        <v>-0.29340070000000001</v>
      </c>
      <c r="AE1174">
        <v>-8.1000000000130898E-3</v>
      </c>
      <c r="AF1174">
        <v>2.7986612726946499E-3</v>
      </c>
      <c r="AG1174">
        <v>-0.29340070000000001</v>
      </c>
      <c r="AH1174">
        <v>0.66606656835646205</v>
      </c>
      <c r="AI1174">
        <v>113.773187780575</v>
      </c>
      <c r="AJ1174">
        <v>89.759257492904396</v>
      </c>
      <c r="AK1174">
        <v>0.727829977912124</v>
      </c>
      <c r="AL1174">
        <v>72.580460570383394</v>
      </c>
      <c r="AM1174">
        <v>94.044745607670293</v>
      </c>
      <c r="AN1174">
        <v>1.0000000102200299</v>
      </c>
    </row>
    <row r="1175" spans="1:40" x14ac:dyDescent="0.25">
      <c r="A1175" t="str">
        <f>"20190304164116985"</f>
        <v>20190304164116985</v>
      </c>
      <c r="B1175" t="str">
        <f>"1551688876972180"</f>
        <v>1551688876972180</v>
      </c>
      <c r="C1175" t="s">
        <v>40</v>
      </c>
      <c r="D1175">
        <v>4.4458500000000001</v>
      </c>
      <c r="E1175">
        <v>0.55188230000000005</v>
      </c>
      <c r="F1175" t="s">
        <v>41</v>
      </c>
      <c r="G1175">
        <v>-274.77699999999999</v>
      </c>
      <c r="H1175">
        <v>0.84599080000000004</v>
      </c>
      <c r="I1175">
        <v>367.04579999999999</v>
      </c>
      <c r="J1175">
        <v>-275.38060000000002</v>
      </c>
      <c r="K1175">
        <v>1.0929089999999999</v>
      </c>
      <c r="L1175">
        <v>367.05290000000002</v>
      </c>
      <c r="M1175">
        <v>0.99995239999999996</v>
      </c>
      <c r="N1175">
        <v>-7.3456600000000004E-3</v>
      </c>
      <c r="O1175">
        <v>-6.4159960000000002E-3</v>
      </c>
      <c r="P1175">
        <v>0.9544454</v>
      </c>
      <c r="Q1175">
        <v>0.29205950000000003</v>
      </c>
      <c r="R1175">
        <v>6.1115259999999998E-2</v>
      </c>
      <c r="S1175">
        <v>3.4805600000000001</v>
      </c>
      <c r="T1175">
        <v>-1.09046</v>
      </c>
      <c r="U1175">
        <v>-3.549194E-2</v>
      </c>
      <c r="V1175">
        <v>-6.7200579999999996E-2</v>
      </c>
      <c r="W1175">
        <v>0.29906820000000001</v>
      </c>
      <c r="X1175">
        <v>0.95186249999999994</v>
      </c>
      <c r="Y1175">
        <v>3.8831680000000002E-3</v>
      </c>
      <c r="Z1175">
        <v>1.3083089999999999E-3</v>
      </c>
      <c r="AA1175">
        <v>0.99999159999999998</v>
      </c>
      <c r="AB1175">
        <v>35</v>
      </c>
      <c r="AC1175">
        <v>0.603600000000028</v>
      </c>
      <c r="AD1175">
        <v>-0.24691819999999901</v>
      </c>
      <c r="AE1175">
        <v>-7.1000000000367401E-3</v>
      </c>
      <c r="AF1175">
        <v>2.7644983818833901E-3</v>
      </c>
      <c r="AG1175">
        <v>-0.24691819999999901</v>
      </c>
      <c r="AH1175">
        <v>0.51711027833690104</v>
      </c>
      <c r="AI1175">
        <v>115.52398033692999</v>
      </c>
      <c r="AJ1175">
        <v>89.693696707584394</v>
      </c>
      <c r="AK1175">
        <v>0.57304387258237899</v>
      </c>
      <c r="AL1175">
        <v>72.598353667610596</v>
      </c>
      <c r="AM1175">
        <v>94.038326692383706</v>
      </c>
      <c r="AN1175">
        <v>0.99999996255491197</v>
      </c>
    </row>
    <row r="1176" spans="1:40" x14ac:dyDescent="0.25">
      <c r="A1176" t="str">
        <f>"20190304164116996"</f>
        <v>20190304164116996</v>
      </c>
      <c r="B1176" t="str">
        <f>"1551688876981941"</f>
        <v>1551688876981941</v>
      </c>
      <c r="C1176" t="s">
        <v>40</v>
      </c>
      <c r="D1176">
        <v>4.458189</v>
      </c>
      <c r="E1176">
        <v>0.55207410000000001</v>
      </c>
      <c r="F1176" t="s">
        <v>41</v>
      </c>
      <c r="G1176">
        <v>-274.4819</v>
      </c>
      <c r="H1176">
        <v>0.81080229999999998</v>
      </c>
      <c r="I1176">
        <v>367.04300000000001</v>
      </c>
      <c r="J1176">
        <v>-275.20299999999997</v>
      </c>
      <c r="K1176">
        <v>1.0941419999999999</v>
      </c>
      <c r="L1176">
        <v>367.05169999999998</v>
      </c>
      <c r="M1176">
        <v>0.99995000000000001</v>
      </c>
      <c r="N1176">
        <v>-7.6638929999999997E-3</v>
      </c>
      <c r="O1176">
        <v>-6.4348460000000001E-3</v>
      </c>
      <c r="P1176">
        <v>0.95461799999999997</v>
      </c>
      <c r="Q1176">
        <v>0.29154099999999999</v>
      </c>
      <c r="R1176">
        <v>6.0896640000000002E-2</v>
      </c>
      <c r="S1176">
        <v>3.479889</v>
      </c>
      <c r="T1176">
        <v>-1.092352</v>
      </c>
      <c r="U1176">
        <v>-3.8208010000000001E-2</v>
      </c>
      <c r="V1176">
        <v>-6.7001480000000002E-2</v>
      </c>
      <c r="W1176">
        <v>0.29885390000000001</v>
      </c>
      <c r="X1176">
        <v>0.95194389999999995</v>
      </c>
      <c r="Y1176">
        <v>4.6112319999999998E-3</v>
      </c>
      <c r="Z1176">
        <v>1.19939E-3</v>
      </c>
      <c r="AA1176">
        <v>0.99998869999999895</v>
      </c>
      <c r="AB1176">
        <v>35</v>
      </c>
      <c r="AC1176">
        <v>0.72109999999997798</v>
      </c>
      <c r="AD1176">
        <v>-0.28333970000000003</v>
      </c>
      <c r="AE1176">
        <v>-8.6999999999761695E-3</v>
      </c>
      <c r="AF1176">
        <v>3.5166534863491799E-3</v>
      </c>
      <c r="AG1176">
        <v>-0.28333970000000003</v>
      </c>
      <c r="AH1176">
        <v>0.62470572999926599</v>
      </c>
      <c r="AI1176">
        <v>114.396662479406</v>
      </c>
      <c r="AJ1176">
        <v>89.677468502669697</v>
      </c>
      <c r="AK1176">
        <v>0.68596720150583701</v>
      </c>
      <c r="AL1176">
        <v>72.611221655961202</v>
      </c>
      <c r="AM1176">
        <v>94.026058298962894</v>
      </c>
      <c r="AN1176">
        <v>1.0000000203073001</v>
      </c>
    </row>
    <row r="1177" spans="1:40" x14ac:dyDescent="0.25">
      <c r="A1177" t="str">
        <f>"20190304164117007"</f>
        <v>20190304164117007</v>
      </c>
      <c r="B1177" t="str">
        <f>"1551688877002437"</f>
        <v>1551688877002437</v>
      </c>
      <c r="C1177" t="s">
        <v>40</v>
      </c>
      <c r="D1177">
        <v>4.3931100000000001</v>
      </c>
      <c r="E1177">
        <v>0.55243929999999997</v>
      </c>
      <c r="F1177" t="s">
        <v>41</v>
      </c>
      <c r="G1177">
        <v>-274.46100000000001</v>
      </c>
      <c r="H1177">
        <v>0.86090159999999905</v>
      </c>
      <c r="I1177">
        <v>367.04300000000001</v>
      </c>
      <c r="J1177">
        <v>-275.0283</v>
      </c>
      <c r="K1177">
        <v>1.0953090000000001</v>
      </c>
      <c r="L1177">
        <v>367.05059999999997</v>
      </c>
      <c r="M1177">
        <v>0.99994749999999999</v>
      </c>
      <c r="N1177">
        <v>-7.9764090000000003E-3</v>
      </c>
      <c r="O1177">
        <v>-6.4534839999999998E-3</v>
      </c>
      <c r="P1177">
        <v>0.95479829999999999</v>
      </c>
      <c r="Q1177">
        <v>0.2909503</v>
      </c>
      <c r="R1177">
        <v>6.0897029999999998E-2</v>
      </c>
      <c r="S1177">
        <v>3.479279</v>
      </c>
      <c r="T1177">
        <v>-1.09362</v>
      </c>
      <c r="U1177">
        <v>-4.1229250000000002E-2</v>
      </c>
      <c r="V1177">
        <v>-6.7020620000000003E-2</v>
      </c>
      <c r="W1177">
        <v>0.29856179999999999</v>
      </c>
      <c r="X1177">
        <v>0.95203419999999905</v>
      </c>
      <c r="Y1177">
        <v>5.4227700000000004E-3</v>
      </c>
      <c r="Z1177">
        <v>1.076018E-3</v>
      </c>
      <c r="AA1177">
        <v>0.99998469999999995</v>
      </c>
      <c r="AB1177">
        <v>35</v>
      </c>
      <c r="AC1177">
        <v>0.56729999999998804</v>
      </c>
      <c r="AD1177">
        <v>-0.23440739999999999</v>
      </c>
      <c r="AE1177">
        <v>-7.5999999999680698E-3</v>
      </c>
      <c r="AF1177">
        <v>3.3643605256037002E-3</v>
      </c>
      <c r="AG1177">
        <v>-0.23440739999999999</v>
      </c>
      <c r="AH1177">
        <v>0.48461276614033599</v>
      </c>
      <c r="AI1177">
        <v>115.81253252385601</v>
      </c>
      <c r="AJ1177">
        <v>89.602237960714902</v>
      </c>
      <c r="AK1177">
        <v>0.53833788757869805</v>
      </c>
      <c r="AL1177">
        <v>72.628758303806094</v>
      </c>
      <c r="AM1177">
        <v>94.0268238987166</v>
      </c>
      <c r="AN1177">
        <v>1.0000000149470301</v>
      </c>
    </row>
    <row r="1178" spans="1:40" x14ac:dyDescent="0.25">
      <c r="A1178" t="str">
        <f>"20190304164117019"</f>
        <v>20190304164117019</v>
      </c>
      <c r="B1178" t="str">
        <f>"1551688877012196"</f>
        <v>1551688877012196</v>
      </c>
      <c r="C1178" t="s">
        <v>40</v>
      </c>
      <c r="D1178">
        <v>4.4394099999999996</v>
      </c>
      <c r="E1178">
        <v>0.55260430000000005</v>
      </c>
      <c r="F1178" t="s">
        <v>41</v>
      </c>
      <c r="G1178">
        <v>-274.1671</v>
      </c>
      <c r="H1178">
        <v>0.82434739999999995</v>
      </c>
      <c r="I1178">
        <v>367.03930000000003</v>
      </c>
      <c r="J1178">
        <v>-274.84300000000002</v>
      </c>
      <c r="K1178">
        <v>1.096481</v>
      </c>
      <c r="L1178">
        <v>367.04939999999999</v>
      </c>
      <c r="M1178">
        <v>0.99994470000000002</v>
      </c>
      <c r="N1178">
        <v>-8.3070119999999904E-3</v>
      </c>
      <c r="O1178">
        <v>-6.4733179999999996E-3</v>
      </c>
      <c r="P1178">
        <v>0.95492730000000003</v>
      </c>
      <c r="Q1178">
        <v>0.29052349999999999</v>
      </c>
      <c r="R1178">
        <v>6.0913170000000003E-2</v>
      </c>
      <c r="S1178">
        <v>3.478424</v>
      </c>
      <c r="T1178">
        <v>-1.0945419999999999</v>
      </c>
      <c r="U1178">
        <v>-4.4860839999999999E-2</v>
      </c>
      <c r="V1178">
        <v>-6.7056640000000001E-2</v>
      </c>
      <c r="W1178">
        <v>0.29845110000000002</v>
      </c>
      <c r="X1178">
        <v>0.95206639999999998</v>
      </c>
      <c r="Y1178">
        <v>6.4011519999999898E-3</v>
      </c>
      <c r="Z1178">
        <v>9.2567599999999995E-4</v>
      </c>
      <c r="AA1178">
        <v>0.99997910000000001</v>
      </c>
      <c r="AB1178">
        <v>35</v>
      </c>
      <c r="AC1178">
        <v>0.67590000000001205</v>
      </c>
      <c r="AD1178">
        <v>-0.27213359999999998</v>
      </c>
      <c r="AE1178">
        <v>-1.00999999999658E-2</v>
      </c>
      <c r="AF1178">
        <v>4.9259706682805299E-3</v>
      </c>
      <c r="AG1178">
        <v>-0.27213359999999998</v>
      </c>
      <c r="AH1178">
        <v>0.58167860290523299</v>
      </c>
      <c r="AI1178">
        <v>115.071372266334</v>
      </c>
      <c r="AJ1178">
        <v>89.514799786034601</v>
      </c>
      <c r="AK1178">
        <v>0.64220787795990797</v>
      </c>
      <c r="AL1178">
        <v>72.635404404131407</v>
      </c>
      <c r="AM1178">
        <v>94.028845159796404</v>
      </c>
      <c r="AN1178">
        <v>1.0000000410341201</v>
      </c>
    </row>
    <row r="1179" spans="1:40" x14ac:dyDescent="0.25">
      <c r="A1179" t="str">
        <f>"20190304164117031"</f>
        <v>20190304164117031</v>
      </c>
      <c r="B1179" t="str">
        <f>"1551688877022465"</f>
        <v>1551688877022465</v>
      </c>
      <c r="C1179" t="s">
        <v>40</v>
      </c>
      <c r="D1179">
        <v>4.4329369999999999</v>
      </c>
      <c r="E1179">
        <v>0.55275640000000004</v>
      </c>
      <c r="F1179" t="s">
        <v>41</v>
      </c>
      <c r="G1179">
        <v>-274.14490000000001</v>
      </c>
      <c r="H1179">
        <v>0.87659909999999996</v>
      </c>
      <c r="I1179">
        <v>367.03980000000001</v>
      </c>
      <c r="J1179">
        <v>-274.66109999999998</v>
      </c>
      <c r="K1179">
        <v>1.097545</v>
      </c>
      <c r="L1179">
        <v>367.04820000000001</v>
      </c>
      <c r="M1179">
        <v>0.99994179999999999</v>
      </c>
      <c r="N1179">
        <v>-8.6242090000000007E-3</v>
      </c>
      <c r="O1179">
        <v>-6.4924329999999997E-3</v>
      </c>
      <c r="P1179">
        <v>0.95500529999999995</v>
      </c>
      <c r="Q1179">
        <v>0.29021940000000002</v>
      </c>
      <c r="R1179">
        <v>6.1134870000000001E-2</v>
      </c>
      <c r="S1179">
        <v>3.4779049999999998</v>
      </c>
      <c r="T1179">
        <v>-1.0954919999999999</v>
      </c>
      <c r="U1179">
        <v>-4.7119139999999997E-2</v>
      </c>
      <c r="V1179">
        <v>-6.7296830000000002E-2</v>
      </c>
      <c r="W1179">
        <v>0.29844979999999999</v>
      </c>
      <c r="X1179">
        <v>0.9520499</v>
      </c>
      <c r="Y1179">
        <v>7.0030700000000001E-3</v>
      </c>
      <c r="Z1179">
        <v>8.3410590000000001E-4</v>
      </c>
      <c r="AA1179">
        <v>0.99997510000000001</v>
      </c>
      <c r="AB1179">
        <v>35</v>
      </c>
      <c r="AC1179">
        <v>0.51619999999996902</v>
      </c>
      <c r="AD1179">
        <v>-0.2209459</v>
      </c>
      <c r="AE1179">
        <v>-8.3999999999946305E-3</v>
      </c>
      <c r="AF1179">
        <v>4.2668127054673703E-3</v>
      </c>
      <c r="AG1179">
        <v>-0.2209459</v>
      </c>
      <c r="AH1179">
        <v>0.43632767198827099</v>
      </c>
      <c r="AI1179">
        <v>116.85545951141999</v>
      </c>
      <c r="AJ1179">
        <v>89.4397271054263</v>
      </c>
      <c r="AK1179">
        <v>0.48909828640077802</v>
      </c>
      <c r="AL1179">
        <v>72.635483130394206</v>
      </c>
      <c r="AM1179">
        <v>94.043298134436597</v>
      </c>
      <c r="AN1179">
        <v>1.00000007926904</v>
      </c>
    </row>
    <row r="1180" spans="1:40" x14ac:dyDescent="0.25">
      <c r="A1180" t="str">
        <f>"20190304164117044"</f>
        <v>20190304164117044</v>
      </c>
      <c r="B1180" t="str">
        <f>"1551688877032226"</f>
        <v>1551688877032226</v>
      </c>
      <c r="C1180" t="s">
        <v>40</v>
      </c>
      <c r="D1180">
        <v>4.4375470000000004</v>
      </c>
      <c r="E1180">
        <v>0.55291219999999996</v>
      </c>
      <c r="F1180" t="s">
        <v>41</v>
      </c>
      <c r="G1180">
        <v>-273.85059999999999</v>
      </c>
      <c r="H1180">
        <v>0.84199829999999998</v>
      </c>
      <c r="I1180">
        <v>367.03710000000001</v>
      </c>
      <c r="J1180">
        <v>-274.46300000000002</v>
      </c>
      <c r="K1180">
        <v>1.0986590000000001</v>
      </c>
      <c r="L1180">
        <v>367.04689999999999</v>
      </c>
      <c r="M1180">
        <v>0.99993860000000001</v>
      </c>
      <c r="N1180">
        <v>-8.9650509999999999E-3</v>
      </c>
      <c r="O1180">
        <v>-6.5130169999999899E-3</v>
      </c>
      <c r="P1180">
        <v>0.95508490000000001</v>
      </c>
      <c r="Q1180">
        <v>0.28986859999999998</v>
      </c>
      <c r="R1180">
        <v>6.1554959999999999E-2</v>
      </c>
      <c r="S1180">
        <v>3.4775390000000002</v>
      </c>
      <c r="T1180">
        <v>-1.09643</v>
      </c>
      <c r="U1180">
        <v>-4.73938E-2</v>
      </c>
      <c r="V1180">
        <v>-6.7737740000000005E-2</v>
      </c>
      <c r="W1180">
        <v>0.29842429999999998</v>
      </c>
      <c r="X1180">
        <v>0.9520265</v>
      </c>
      <c r="Y1180">
        <v>7.0598409999999999E-3</v>
      </c>
      <c r="Z1180">
        <v>8.2872039999999896E-4</v>
      </c>
      <c r="AA1180">
        <v>0.99997469999999999</v>
      </c>
      <c r="AB1180">
        <v>35</v>
      </c>
      <c r="AC1180">
        <v>0.61239999999997896</v>
      </c>
      <c r="AD1180">
        <v>-0.25666070000000002</v>
      </c>
      <c r="AE1180">
        <v>-9.7999999999842605E-3</v>
      </c>
      <c r="AF1180">
        <v>4.9430374997189198E-3</v>
      </c>
      <c r="AG1180">
        <v>-0.25666070000000002</v>
      </c>
      <c r="AH1180">
        <v>0.52096646041850803</v>
      </c>
      <c r="AI1180">
        <v>116.22672185936</v>
      </c>
      <c r="AJ1180">
        <v>89.456382109466702</v>
      </c>
      <c r="AK1180">
        <v>0.58077982181305399</v>
      </c>
      <c r="AL1180">
        <v>72.637011804189001</v>
      </c>
      <c r="AM1180">
        <v>94.069799663767597</v>
      </c>
      <c r="AN1180">
        <v>0.99999996047652295</v>
      </c>
    </row>
    <row r="1181" spans="1:40" x14ac:dyDescent="0.25">
      <c r="A1181" t="str">
        <f>"20190304164117056"</f>
        <v>20190304164117056</v>
      </c>
      <c r="B1181" t="str">
        <f>"1551688877052721"</f>
        <v>1551688877052721</v>
      </c>
      <c r="C1181" t="s">
        <v>40</v>
      </c>
      <c r="D1181">
        <v>4.4408919999999998</v>
      </c>
      <c r="E1181">
        <v>0.55317559999999999</v>
      </c>
      <c r="F1181" t="s">
        <v>41</v>
      </c>
      <c r="G1181">
        <v>-273.55410000000001</v>
      </c>
      <c r="H1181">
        <v>0.81187759999999998</v>
      </c>
      <c r="I1181">
        <v>367.03429999999997</v>
      </c>
      <c r="J1181">
        <v>-274.26389999999998</v>
      </c>
      <c r="K1181">
        <v>1.099677</v>
      </c>
      <c r="L1181">
        <v>367.04559999999998</v>
      </c>
      <c r="M1181">
        <v>0.99993560000000004</v>
      </c>
      <c r="N1181">
        <v>-9.2938150000000004E-3</v>
      </c>
      <c r="O1181">
        <v>-6.5339580000000003E-3</v>
      </c>
      <c r="P1181">
        <v>0.95509370000000005</v>
      </c>
      <c r="Q1181">
        <v>0.28975489999999998</v>
      </c>
      <c r="R1181">
        <v>6.1954620000000002E-2</v>
      </c>
      <c r="S1181">
        <v>3.477112</v>
      </c>
      <c r="T1181">
        <v>-1.097116</v>
      </c>
      <c r="U1181">
        <v>-4.7851560000000001E-2</v>
      </c>
      <c r="V1181">
        <v>-6.8157270000000006E-2</v>
      </c>
      <c r="W1181">
        <v>0.29862359999999999</v>
      </c>
      <c r="X1181">
        <v>0.95193410000000001</v>
      </c>
      <c r="Y1181">
        <v>7.1667079999999999E-3</v>
      </c>
      <c r="Z1181">
        <v>8.153848E-4</v>
      </c>
      <c r="AA1181">
        <v>0.99997400000000003</v>
      </c>
      <c r="AB1181">
        <v>35</v>
      </c>
      <c r="AC1181">
        <v>0.70979999999997201</v>
      </c>
      <c r="AD1181">
        <v>-0.28779939999999998</v>
      </c>
      <c r="AE1181">
        <v>-1.1300000000005601E-2</v>
      </c>
      <c r="AF1181">
        <v>5.7213853577333202E-3</v>
      </c>
      <c r="AG1181">
        <v>-0.28779939999999998</v>
      </c>
      <c r="AH1181">
        <v>0.60965536179254298</v>
      </c>
      <c r="AI1181">
        <v>115.269569823758</v>
      </c>
      <c r="AJ1181">
        <v>89.462316529225006</v>
      </c>
      <c r="AK1181">
        <v>0.67419647659504101</v>
      </c>
      <c r="AL1181">
        <v>72.625047890924293</v>
      </c>
      <c r="AM1181">
        <v>94.095316385487195</v>
      </c>
      <c r="AN1181">
        <v>0.99999999933681105</v>
      </c>
    </row>
    <row r="1182" spans="1:40" x14ac:dyDescent="0.25">
      <c r="A1182" t="str">
        <f>"20190304164117070"</f>
        <v>20190304164117070</v>
      </c>
      <c r="B1182" t="str">
        <f>"1551688877062481"</f>
        <v>1551688877062481</v>
      </c>
      <c r="C1182" t="s">
        <v>40</v>
      </c>
      <c r="D1182">
        <v>4.4352869999999998</v>
      </c>
      <c r="E1182">
        <v>0.55329899999999999</v>
      </c>
      <c r="F1182" t="s">
        <v>41</v>
      </c>
      <c r="G1182">
        <v>-273.53039999999999</v>
      </c>
      <c r="H1182">
        <v>0.86832540000000003</v>
      </c>
      <c r="I1182">
        <v>367.03530000000001</v>
      </c>
      <c r="J1182">
        <v>-274.06189999999998</v>
      </c>
      <c r="K1182">
        <v>1.1006419999999999</v>
      </c>
      <c r="L1182">
        <v>367.04419999999999</v>
      </c>
      <c r="M1182">
        <v>0.9999323</v>
      </c>
      <c r="N1182">
        <v>-9.6150780000000009E-3</v>
      </c>
      <c r="O1182">
        <v>-6.5548000000000004E-3</v>
      </c>
      <c r="P1182">
        <v>0.95507370000000003</v>
      </c>
      <c r="Q1182">
        <v>0.28970309999999999</v>
      </c>
      <c r="R1182">
        <v>6.2502059999999998E-2</v>
      </c>
      <c r="S1182">
        <v>3.4769290000000002</v>
      </c>
      <c r="T1182">
        <v>-1.0966940000000001</v>
      </c>
      <c r="U1182">
        <v>-4.8522950000000002E-2</v>
      </c>
      <c r="V1182">
        <v>-6.8724399999999894E-2</v>
      </c>
      <c r="W1182">
        <v>0.29887709999999901</v>
      </c>
      <c r="X1182">
        <v>0.95181380000000004</v>
      </c>
      <c r="Y1182">
        <v>7.3313550000000003E-3</v>
      </c>
      <c r="Z1182">
        <v>7.9192289999999903E-4</v>
      </c>
      <c r="AA1182">
        <v>0.9999728</v>
      </c>
      <c r="AB1182">
        <v>35</v>
      </c>
      <c r="AC1182">
        <v>0.53149999999999398</v>
      </c>
      <c r="AD1182">
        <v>-0.23231659999999901</v>
      </c>
      <c r="AE1182">
        <v>-8.8999999999828001E-3</v>
      </c>
      <c r="AF1182">
        <v>4.5472493020880496E-3</v>
      </c>
      <c r="AG1182">
        <v>-0.23231659999999901</v>
      </c>
      <c r="AH1182">
        <v>0.44630323436964497</v>
      </c>
      <c r="AI1182">
        <v>117.49735196588</v>
      </c>
      <c r="AJ1182">
        <v>89.416250749607798</v>
      </c>
      <c r="AK1182">
        <v>0.50316821950574497</v>
      </c>
      <c r="AL1182">
        <v>72.609829029509896</v>
      </c>
      <c r="AM1182">
        <v>94.129795818270196</v>
      </c>
      <c r="AN1182">
        <v>1.0000000369651001</v>
      </c>
    </row>
    <row r="1183" spans="1:40" x14ac:dyDescent="0.25">
      <c r="A1183" t="str">
        <f>"20190304164117081"</f>
        <v>20190304164117081</v>
      </c>
      <c r="B1183" t="str">
        <f>"1551688877072240"</f>
        <v>1551688877072240</v>
      </c>
      <c r="C1183" t="s">
        <v>40</v>
      </c>
      <c r="D1183">
        <v>4.6121359999999996</v>
      </c>
      <c r="E1183">
        <v>0.55346139999999999</v>
      </c>
      <c r="F1183" t="s">
        <v>41</v>
      </c>
      <c r="G1183">
        <v>-273.23419999999999</v>
      </c>
      <c r="H1183">
        <v>0.83962870000000001</v>
      </c>
      <c r="I1183">
        <v>367.03280000000001</v>
      </c>
      <c r="J1183">
        <v>-273.87920000000003</v>
      </c>
      <c r="K1183">
        <v>1.1014729999999999</v>
      </c>
      <c r="L1183">
        <v>367.04300000000001</v>
      </c>
      <c r="M1183">
        <v>0.99992939999999997</v>
      </c>
      <c r="N1183">
        <v>-9.8987039999999995E-3</v>
      </c>
      <c r="O1183">
        <v>-6.5737159999999899E-3</v>
      </c>
      <c r="P1183">
        <v>0.95500269999999998</v>
      </c>
      <c r="Q1183">
        <v>0.28980030000000001</v>
      </c>
      <c r="R1183">
        <v>6.3132820000000006E-2</v>
      </c>
      <c r="S1183">
        <v>3.4768370000000002</v>
      </c>
      <c r="T1183">
        <v>-1.096355</v>
      </c>
      <c r="U1183">
        <v>-4.8095699999999998E-2</v>
      </c>
      <c r="V1183">
        <v>-6.9372329999999996E-2</v>
      </c>
      <c r="W1183">
        <v>0.29924339999999999</v>
      </c>
      <c r="X1183">
        <v>0.95165169999999999</v>
      </c>
      <c r="Y1183">
        <v>7.1966809999999999E-3</v>
      </c>
      <c r="Z1183">
        <v>8.1585269999999996E-4</v>
      </c>
      <c r="AA1183">
        <v>0.99997380000000002</v>
      </c>
      <c r="AB1183">
        <v>35</v>
      </c>
      <c r="AC1183">
        <v>0.64500000000003799</v>
      </c>
      <c r="AD1183">
        <v>-0.26184429999999898</v>
      </c>
      <c r="AE1183">
        <v>-1.0199999999997499E-2</v>
      </c>
      <c r="AF1183">
        <v>5.1165154416879504E-3</v>
      </c>
      <c r="AG1183">
        <v>-0.26184429999999898</v>
      </c>
      <c r="AH1183">
        <v>0.55380659020992795</v>
      </c>
      <c r="AI1183">
        <v>115.30422376687299</v>
      </c>
      <c r="AJ1183">
        <v>89.470670076113507</v>
      </c>
      <c r="AK1183">
        <v>0.61260946412270001</v>
      </c>
      <c r="AL1183">
        <v>72.587835163975896</v>
      </c>
      <c r="AM1183">
        <v>94.169302252162893</v>
      </c>
      <c r="AN1183">
        <v>1.00000004536303</v>
      </c>
    </row>
    <row r="1184" spans="1:40" x14ac:dyDescent="0.25">
      <c r="A1184" t="str">
        <f>"20190304164117091"</f>
        <v>20190304164117091</v>
      </c>
      <c r="B1184" t="str">
        <f>"1551688877082002"</f>
        <v>1551688877082002</v>
      </c>
      <c r="C1184" t="s">
        <v>40</v>
      </c>
      <c r="D1184">
        <v>4.764913</v>
      </c>
      <c r="E1184">
        <v>0.5536044</v>
      </c>
      <c r="F1184" t="s">
        <v>41</v>
      </c>
      <c r="G1184">
        <v>-273.21179999999998</v>
      </c>
      <c r="H1184">
        <v>0.8913162</v>
      </c>
      <c r="I1184">
        <v>367.03390000000002</v>
      </c>
      <c r="J1184">
        <v>-273.71629999999999</v>
      </c>
      <c r="K1184">
        <v>1.102133</v>
      </c>
      <c r="L1184">
        <v>367.0419</v>
      </c>
      <c r="M1184">
        <v>0.99992700000000001</v>
      </c>
      <c r="N1184">
        <v>-1.013444E-2</v>
      </c>
      <c r="O1184">
        <v>-6.5913509999999996E-3</v>
      </c>
      <c r="P1184">
        <v>0.95488790000000001</v>
      </c>
      <c r="Q1184">
        <v>0.29008240000000002</v>
      </c>
      <c r="R1184">
        <v>6.3571199999999994E-2</v>
      </c>
      <c r="S1184">
        <v>3.4767760000000001</v>
      </c>
      <c r="T1184">
        <v>-1.0948869999999999</v>
      </c>
      <c r="U1184">
        <v>-4.79126E-2</v>
      </c>
      <c r="V1184">
        <v>-6.9827180000000003E-2</v>
      </c>
      <c r="W1184">
        <v>0.2997493</v>
      </c>
      <c r="X1184">
        <v>0.95145919999999895</v>
      </c>
      <c r="Y1184">
        <v>7.130132E-3</v>
      </c>
      <c r="Z1184">
        <v>8.2813440000000004E-4</v>
      </c>
      <c r="AA1184">
        <v>0.99997429999999998</v>
      </c>
      <c r="AB1184">
        <v>35</v>
      </c>
      <c r="AC1184">
        <v>0.50450000000000705</v>
      </c>
      <c r="AD1184">
        <v>-0.2108168</v>
      </c>
      <c r="AE1184">
        <v>-7.9999999999813502E-3</v>
      </c>
      <c r="AF1184">
        <v>3.9795876272342001E-3</v>
      </c>
      <c r="AG1184">
        <v>-0.2108168</v>
      </c>
      <c r="AH1184">
        <v>0.42955308670409698</v>
      </c>
      <c r="AI1184">
        <v>116.13998754959</v>
      </c>
      <c r="AJ1184">
        <v>89.469199362970897</v>
      </c>
      <c r="AK1184">
        <v>0.47851375589103001</v>
      </c>
      <c r="AL1184">
        <v>72.557454656815096</v>
      </c>
      <c r="AM1184">
        <v>94.197387570246306</v>
      </c>
      <c r="AN1184">
        <v>1.00000004359094</v>
      </c>
    </row>
    <row r="1185" spans="1:40" x14ac:dyDescent="0.25">
      <c r="A1185" t="str">
        <f>"20190304164117103"</f>
        <v>20190304164117103</v>
      </c>
      <c r="B1185" t="str">
        <f>"1551688877092738"</f>
        <v>1551688877092738</v>
      </c>
      <c r="C1185" t="s">
        <v>40</v>
      </c>
      <c r="D1185">
        <v>4.447146</v>
      </c>
      <c r="E1185">
        <v>0.55373319999999904</v>
      </c>
      <c r="F1185" t="s">
        <v>41</v>
      </c>
      <c r="G1185">
        <v>-272.9205</v>
      </c>
      <c r="H1185">
        <v>0.85201130000000003</v>
      </c>
      <c r="I1185">
        <v>367.03100000000001</v>
      </c>
      <c r="J1185">
        <v>-273.54340000000002</v>
      </c>
      <c r="K1185">
        <v>1.102816</v>
      </c>
      <c r="L1185">
        <v>367.04070000000002</v>
      </c>
      <c r="M1185">
        <v>0.99992440000000005</v>
      </c>
      <c r="N1185">
        <v>-1.038181E-2</v>
      </c>
      <c r="O1185">
        <v>-6.6099089999999997E-3</v>
      </c>
      <c r="P1185">
        <v>0.9546673</v>
      </c>
      <c r="Q1185">
        <v>0.2907458</v>
      </c>
      <c r="R1185">
        <v>6.3853930000000003E-2</v>
      </c>
      <c r="S1185">
        <v>3.4767760000000001</v>
      </c>
      <c r="T1185">
        <v>-1.092695</v>
      </c>
      <c r="U1185">
        <v>-4.7088619999999998E-2</v>
      </c>
      <c r="V1185">
        <v>-7.0126289999999994E-2</v>
      </c>
      <c r="W1185">
        <v>0.30064540000000001</v>
      </c>
      <c r="X1185">
        <v>0.95115439999999996</v>
      </c>
      <c r="Y1185">
        <v>6.8869769999999999E-3</v>
      </c>
      <c r="Z1185">
        <v>8.6796599999999996E-4</v>
      </c>
      <c r="AA1185">
        <v>0.99997590000000003</v>
      </c>
      <c r="AB1185">
        <v>35</v>
      </c>
      <c r="AC1185">
        <v>0.622900000000015</v>
      </c>
      <c r="AD1185">
        <v>-0.25080469999999899</v>
      </c>
      <c r="AE1185">
        <v>-9.7000000000093695E-3</v>
      </c>
      <c r="AF1185">
        <v>4.8036748919433603E-3</v>
      </c>
      <c r="AG1185">
        <v>-0.25080469999999899</v>
      </c>
      <c r="AH1185">
        <v>0.53606509066326402</v>
      </c>
      <c r="AI1185">
        <v>115.072243359805</v>
      </c>
      <c r="AJ1185">
        <v>89.486586730474301</v>
      </c>
      <c r="AK1185">
        <v>0.59185458878205099</v>
      </c>
      <c r="AL1185">
        <v>72.503628955094001</v>
      </c>
      <c r="AM1185">
        <v>94.216648659010005</v>
      </c>
      <c r="AN1185">
        <v>1.00000002286484</v>
      </c>
    </row>
    <row r="1186" spans="1:40" x14ac:dyDescent="0.25">
      <c r="A1186" t="str">
        <f>"20190304164117114"</f>
        <v>20190304164117114</v>
      </c>
      <c r="B1186" t="str">
        <f>"1551688877102498"</f>
        <v>1551688877102498</v>
      </c>
      <c r="C1186" t="s">
        <v>40</v>
      </c>
      <c r="D1186">
        <v>4.4612679999999996</v>
      </c>
      <c r="E1186">
        <v>0.55382670000000001</v>
      </c>
      <c r="F1186" t="s">
        <v>41</v>
      </c>
      <c r="G1186">
        <v>-272.62759999999997</v>
      </c>
      <c r="H1186">
        <v>0.81584799999999902</v>
      </c>
      <c r="I1186">
        <v>367.02839999999998</v>
      </c>
      <c r="J1186">
        <v>-273.37389999999999</v>
      </c>
      <c r="K1186">
        <v>1.1034139999999999</v>
      </c>
      <c r="L1186">
        <v>367.03960000000001</v>
      </c>
      <c r="M1186">
        <v>0.99992190000000003</v>
      </c>
      <c r="N1186">
        <v>-1.0608279999999999E-2</v>
      </c>
      <c r="O1186">
        <v>-6.62803E-3</v>
      </c>
      <c r="P1186">
        <v>0.95465080000000002</v>
      </c>
      <c r="Q1186">
        <v>0.29072510000000001</v>
      </c>
      <c r="R1186">
        <v>6.4196500000000004E-2</v>
      </c>
      <c r="S1186">
        <v>3.4773559999999999</v>
      </c>
      <c r="T1186">
        <v>-1.0895349999999999</v>
      </c>
      <c r="U1186">
        <v>-4.6234129999999998E-2</v>
      </c>
      <c r="V1186">
        <v>-7.0485939999999997E-2</v>
      </c>
      <c r="W1186">
        <v>0.30084</v>
      </c>
      <c r="X1186">
        <v>0.95106630000000003</v>
      </c>
      <c r="Y1186">
        <v>6.633763E-3</v>
      </c>
      <c r="Z1186">
        <v>9.0833500000000002E-4</v>
      </c>
      <c r="AA1186">
        <v>0.99997760000000002</v>
      </c>
      <c r="AB1186">
        <v>35</v>
      </c>
      <c r="AC1186">
        <v>0.74630000000001895</v>
      </c>
      <c r="AD1186">
        <v>-0.28756599999999999</v>
      </c>
      <c r="AE1186">
        <v>-1.1200000000030699E-2</v>
      </c>
      <c r="AF1186">
        <v>5.4447585657486199E-3</v>
      </c>
      <c r="AG1186">
        <v>-0.28756599999999999</v>
      </c>
      <c r="AH1186">
        <v>0.64988851580135198</v>
      </c>
      <c r="AI1186">
        <v>113.86793321941801</v>
      </c>
      <c r="AJ1186">
        <v>89.519987843957793</v>
      </c>
      <c r="AK1186">
        <v>0.71068905487725298</v>
      </c>
      <c r="AL1186">
        <v>72.491938278718095</v>
      </c>
      <c r="AM1186">
        <v>94.238586748973106</v>
      </c>
      <c r="AN1186">
        <v>1.00000004016668</v>
      </c>
    </row>
    <row r="1187" spans="1:40" x14ac:dyDescent="0.25">
      <c r="A1187" t="str">
        <f>"20190304164117124"</f>
        <v>20190304164117124</v>
      </c>
      <c r="B1187" t="str">
        <f>"1551688877112257"</f>
        <v>1551688877112257</v>
      </c>
      <c r="C1187" t="s">
        <v>40</v>
      </c>
      <c r="D1187">
        <v>4.7223639999999998</v>
      </c>
      <c r="E1187">
        <v>0.55396069999999997</v>
      </c>
      <c r="F1187" t="s">
        <v>41</v>
      </c>
      <c r="G1187">
        <v>-272.60759999999999</v>
      </c>
      <c r="H1187">
        <v>0.86336219999999997</v>
      </c>
      <c r="I1187">
        <v>367.02940000000001</v>
      </c>
      <c r="J1187">
        <v>-273.21969999999999</v>
      </c>
      <c r="K1187">
        <v>1.1039380000000001</v>
      </c>
      <c r="L1187">
        <v>367.03859999999997</v>
      </c>
      <c r="M1187">
        <v>0.99991960000000002</v>
      </c>
      <c r="N1187">
        <v>-1.081009E-2</v>
      </c>
      <c r="O1187">
        <v>-6.6442539999999996E-3</v>
      </c>
      <c r="P1187">
        <v>0.95467469999999999</v>
      </c>
      <c r="Q1187">
        <v>0.29057100000000002</v>
      </c>
      <c r="R1187">
        <v>6.4536079999999996E-2</v>
      </c>
      <c r="S1187">
        <v>3.4772949999999998</v>
      </c>
      <c r="T1187">
        <v>-1.089256</v>
      </c>
      <c r="U1187">
        <v>-4.6020510000000001E-2</v>
      </c>
      <c r="V1187">
        <v>-7.0841039999999994E-2</v>
      </c>
      <c r="W1187">
        <v>0.30087819999999998</v>
      </c>
      <c r="X1187">
        <v>0.95102779999999998</v>
      </c>
      <c r="Y1187">
        <v>6.5601119999999999E-3</v>
      </c>
      <c r="Z1187">
        <v>9.2257370000000001E-4</v>
      </c>
      <c r="AA1187">
        <v>0.99997809999999998</v>
      </c>
      <c r="AB1187">
        <v>35</v>
      </c>
      <c r="AC1187">
        <v>0.61209999999999798</v>
      </c>
      <c r="AD1187">
        <v>-0.24057579999999901</v>
      </c>
      <c r="AE1187">
        <v>-9.1999999999643391E-3</v>
      </c>
      <c r="AF1187">
        <v>4.4459736928010802E-3</v>
      </c>
      <c r="AG1187">
        <v>-0.24057579999999901</v>
      </c>
      <c r="AH1187">
        <v>0.53025483080934399</v>
      </c>
      <c r="AI1187">
        <v>114.402964792361</v>
      </c>
      <c r="AJ1187">
        <v>89.519609168184502</v>
      </c>
      <c r="AK1187">
        <v>0.58229431374895202</v>
      </c>
      <c r="AL1187">
        <v>72.489642707772802</v>
      </c>
      <c r="AM1187">
        <v>94.260033665112999</v>
      </c>
      <c r="AN1187">
        <v>1.0000000102781801</v>
      </c>
    </row>
    <row r="1188" spans="1:40" x14ac:dyDescent="0.25">
      <c r="A1188" t="str">
        <f>"20190304164117135"</f>
        <v>20190304164117135</v>
      </c>
      <c r="B1188" t="str">
        <f>"1551688877122525"</f>
        <v>1551688877122525</v>
      </c>
      <c r="C1188" t="s">
        <v>40</v>
      </c>
      <c r="D1188">
        <v>4.4833569999999998</v>
      </c>
      <c r="E1188">
        <v>0.55416790000000005</v>
      </c>
      <c r="F1188" t="s">
        <v>41</v>
      </c>
      <c r="G1188">
        <v>-272.31760000000003</v>
      </c>
      <c r="H1188">
        <v>0.82143909999999998</v>
      </c>
      <c r="I1188">
        <v>367.02609999999999</v>
      </c>
      <c r="J1188">
        <v>-273.04379999999998</v>
      </c>
      <c r="K1188">
        <v>1.104479</v>
      </c>
      <c r="L1188">
        <v>367.03739999999999</v>
      </c>
      <c r="M1188">
        <v>0.99991699999999994</v>
      </c>
      <c r="N1188">
        <v>-1.1026080000000001E-2</v>
      </c>
      <c r="O1188">
        <v>-6.6623669999999998E-3</v>
      </c>
      <c r="P1188">
        <v>0.95467270000000004</v>
      </c>
      <c r="Q1188">
        <v>0.29048839999999998</v>
      </c>
      <c r="R1188">
        <v>6.4935129999999994E-2</v>
      </c>
      <c r="S1188">
        <v>3.47702</v>
      </c>
      <c r="T1188">
        <v>-1.0888530000000001</v>
      </c>
      <c r="U1188">
        <v>-4.6752929999999998E-2</v>
      </c>
      <c r="V1188">
        <v>-7.125716E-2</v>
      </c>
      <c r="W1188">
        <v>0.30100100000000002</v>
      </c>
      <c r="X1188">
        <v>0.95095779999999996</v>
      </c>
      <c r="Y1188">
        <v>6.7446329999999999E-3</v>
      </c>
      <c r="Z1188">
        <v>8.9624339999999896E-4</v>
      </c>
      <c r="AA1188">
        <v>0.99997689999999995</v>
      </c>
      <c r="AB1188">
        <v>34</v>
      </c>
      <c r="AC1188">
        <v>0.726199999999948</v>
      </c>
      <c r="AD1188">
        <v>-0.28303990000000001</v>
      </c>
      <c r="AE1188">
        <v>-1.1300000000005601E-2</v>
      </c>
      <c r="AF1188">
        <v>5.6093420943671502E-3</v>
      </c>
      <c r="AG1188">
        <v>-0.28303990000000001</v>
      </c>
      <c r="AH1188">
        <v>0.63050336706177201</v>
      </c>
      <c r="AI1188">
        <v>114.174989458426</v>
      </c>
      <c r="AJ1188">
        <v>89.490275285273995</v>
      </c>
      <c r="AK1188">
        <v>0.69114220359269996</v>
      </c>
      <c r="AL1188">
        <v>72.4822638794043</v>
      </c>
      <c r="AM1188">
        <v>94.285278397889996</v>
      </c>
      <c r="AN1188">
        <v>0.99999996111655198</v>
      </c>
    </row>
    <row r="1189" spans="1:40" x14ac:dyDescent="0.25">
      <c r="A1189" t="str">
        <f>"20190304164117146"</f>
        <v>20190304164117146</v>
      </c>
      <c r="B1189" t="str">
        <f>"1551688877132285"</f>
        <v>1551688877132285</v>
      </c>
      <c r="C1189" t="s">
        <v>40</v>
      </c>
      <c r="D1189">
        <v>4.4547379999999999</v>
      </c>
      <c r="E1189">
        <v>0.55423669999999903</v>
      </c>
      <c r="F1189" t="s">
        <v>41</v>
      </c>
      <c r="G1189">
        <v>-272.29660000000001</v>
      </c>
      <c r="H1189">
        <v>0.87114919999999996</v>
      </c>
      <c r="I1189">
        <v>367.02690000000001</v>
      </c>
      <c r="J1189">
        <v>-272.88119999999998</v>
      </c>
      <c r="K1189">
        <v>1.104956</v>
      </c>
      <c r="L1189">
        <v>367.03629999999998</v>
      </c>
      <c r="M1189">
        <v>0.99991479999999999</v>
      </c>
      <c r="N1189">
        <v>-1.121861E-2</v>
      </c>
      <c r="O1189">
        <v>-6.6794169999999896E-3</v>
      </c>
      <c r="P1189">
        <v>0.95475069999999995</v>
      </c>
      <c r="Q1189">
        <v>0.29019040000000002</v>
      </c>
      <c r="R1189">
        <v>6.5120410000000004E-2</v>
      </c>
      <c r="S1189">
        <v>3.4759519999999902</v>
      </c>
      <c r="T1189">
        <v>-1.0853809999999999</v>
      </c>
      <c r="U1189">
        <v>-4.7576899999999998E-2</v>
      </c>
      <c r="V1189">
        <v>-7.1459380000000003E-2</v>
      </c>
      <c r="W1189">
        <v>0.30088680000000001</v>
      </c>
      <c r="X1189">
        <v>0.95097880000000001</v>
      </c>
      <c r="Y1189">
        <v>6.958428E-3</v>
      </c>
      <c r="Z1189">
        <v>8.6273100000000004E-4</v>
      </c>
      <c r="AA1189">
        <v>0.99997539999999996</v>
      </c>
      <c r="AB1189">
        <v>34</v>
      </c>
      <c r="AC1189">
        <v>0.58459999999996604</v>
      </c>
      <c r="AD1189">
        <v>-0.23380680000000001</v>
      </c>
      <c r="AE1189">
        <v>-9.3999999999709802E-3</v>
      </c>
      <c r="AF1189">
        <v>4.7372142949967796E-3</v>
      </c>
      <c r="AG1189">
        <v>-0.23380680000000001</v>
      </c>
      <c r="AH1189">
        <v>0.50404610877623501</v>
      </c>
      <c r="AI1189">
        <v>114.88373089449701</v>
      </c>
      <c r="AJ1189">
        <v>89.461528638114501</v>
      </c>
      <c r="AK1189">
        <v>0.55565325581515401</v>
      </c>
      <c r="AL1189">
        <v>72.489125722257995</v>
      </c>
      <c r="AM1189">
        <v>94.2972995125143</v>
      </c>
      <c r="AN1189">
        <v>0.99999999372683201</v>
      </c>
    </row>
    <row r="1190" spans="1:40" x14ac:dyDescent="0.25">
      <c r="A1190" t="str">
        <f>"20190304164117156"</f>
        <v>20190304164117156</v>
      </c>
      <c r="B1190" t="str">
        <f>"1551688877142044"</f>
        <v>1551688877142044</v>
      </c>
      <c r="C1190" t="s">
        <v>40</v>
      </c>
      <c r="D1190">
        <v>4.4476899999999997</v>
      </c>
      <c r="E1190">
        <v>0.55428750000000004</v>
      </c>
      <c r="F1190" t="s">
        <v>41</v>
      </c>
      <c r="G1190">
        <v>-272.0061</v>
      </c>
      <c r="H1190">
        <v>0.83144089999999904</v>
      </c>
      <c r="I1190">
        <v>367.02420000000001</v>
      </c>
      <c r="J1190">
        <v>-272.71370000000002</v>
      </c>
      <c r="K1190">
        <v>1.1054060000000001</v>
      </c>
      <c r="L1190">
        <v>367.03519999999997</v>
      </c>
      <c r="M1190">
        <v>0.99991260000000004</v>
      </c>
      <c r="N1190">
        <v>-1.140673E-2</v>
      </c>
      <c r="O1190">
        <v>-6.6971740000000002E-3</v>
      </c>
      <c r="P1190">
        <v>0.95475949999999998</v>
      </c>
      <c r="Q1190">
        <v>0.29014679999999998</v>
      </c>
      <c r="R1190">
        <v>6.5188120000000002E-2</v>
      </c>
      <c r="S1190">
        <v>3.475708</v>
      </c>
      <c r="T1190">
        <v>-1.08643</v>
      </c>
      <c r="U1190">
        <v>-4.8065190000000001E-2</v>
      </c>
      <c r="V1190">
        <v>-7.1544590000000005E-2</v>
      </c>
      <c r="W1190">
        <v>0.30102230000000002</v>
      </c>
      <c r="X1190">
        <v>0.95092949999999998</v>
      </c>
      <c r="Y1190">
        <v>7.0763730000000004E-3</v>
      </c>
      <c r="Z1190">
        <v>8.4832729999999995E-4</v>
      </c>
      <c r="AA1190">
        <v>0.99997460000000005</v>
      </c>
      <c r="AB1190">
        <v>34</v>
      </c>
      <c r="AC1190">
        <v>0.707600000000013</v>
      </c>
      <c r="AD1190">
        <v>-0.27396510000000002</v>
      </c>
      <c r="AE1190">
        <v>-1.0999999999967199E-2</v>
      </c>
      <c r="AF1190">
        <v>5.4445581480986197E-3</v>
      </c>
      <c r="AG1190">
        <v>-0.27396510000000002</v>
      </c>
      <c r="AH1190">
        <v>0.61542506944725905</v>
      </c>
      <c r="AI1190">
        <v>113.99607497931</v>
      </c>
      <c r="AJ1190">
        <v>89.493127464788202</v>
      </c>
      <c r="AK1190">
        <v>0.67367242435444996</v>
      </c>
      <c r="AL1190">
        <v>72.480984533504994</v>
      </c>
      <c r="AM1190">
        <v>94.302626709712698</v>
      </c>
      <c r="AN1190">
        <v>0.999999983712903</v>
      </c>
    </row>
    <row r="1191" spans="1:40" x14ac:dyDescent="0.25">
      <c r="A1191" t="str">
        <f>"20190304164117167"</f>
        <v>20190304164117167</v>
      </c>
      <c r="B1191" t="str">
        <f>"1551688877162542"</f>
        <v>1551688877162542</v>
      </c>
      <c r="C1191" t="s">
        <v>40</v>
      </c>
      <c r="D1191">
        <v>4.4239759999999997</v>
      </c>
      <c r="E1191">
        <v>0.55439830000000001</v>
      </c>
      <c r="F1191" t="s">
        <v>41</v>
      </c>
      <c r="G1191">
        <v>-271.9862</v>
      </c>
      <c r="H1191">
        <v>0.87791569999999997</v>
      </c>
      <c r="I1191">
        <v>367.02510000000001</v>
      </c>
      <c r="J1191">
        <v>-272.56619999999998</v>
      </c>
      <c r="K1191">
        <v>1.105772</v>
      </c>
      <c r="L1191">
        <v>367.0342</v>
      </c>
      <c r="M1191">
        <v>0.99991079999999999</v>
      </c>
      <c r="N1191">
        <v>-1.156485E-2</v>
      </c>
      <c r="O1191">
        <v>-6.7125090000000002E-3</v>
      </c>
      <c r="P1191">
        <v>0.95470279999999996</v>
      </c>
      <c r="Q1191">
        <v>0.2903154</v>
      </c>
      <c r="R1191">
        <v>6.5267740000000005E-2</v>
      </c>
      <c r="S1191">
        <v>3.4756770000000001</v>
      </c>
      <c r="T1191">
        <v>-1.0869629999999999</v>
      </c>
      <c r="U1191">
        <v>-4.7760009999999999E-2</v>
      </c>
      <c r="V1191">
        <v>-7.1638149999999998E-2</v>
      </c>
      <c r="W1191">
        <v>0.30134060000000001</v>
      </c>
      <c r="X1191">
        <v>0.95082160000000004</v>
      </c>
      <c r="Y1191">
        <v>6.9783759999999997E-3</v>
      </c>
      <c r="Z1191">
        <v>8.6723409999999996E-4</v>
      </c>
      <c r="AA1191">
        <v>0.99997530000000001</v>
      </c>
      <c r="AB1191">
        <v>34</v>
      </c>
      <c r="AC1191">
        <v>0.57999999999998397</v>
      </c>
      <c r="AD1191">
        <v>-0.22785630000000001</v>
      </c>
      <c r="AE1191">
        <v>-9.0999999999894499E-3</v>
      </c>
      <c r="AF1191">
        <v>4.5103447442121402E-3</v>
      </c>
      <c r="AG1191">
        <v>-0.22785630000000001</v>
      </c>
      <c r="AH1191">
        <v>0.502511669558943</v>
      </c>
      <c r="AI1191">
        <v>114.390327515946</v>
      </c>
      <c r="AJ1191">
        <v>89.485749696334196</v>
      </c>
      <c r="AK1191">
        <v>0.55177605484681702</v>
      </c>
      <c r="AL1191">
        <v>72.461858599048497</v>
      </c>
      <c r="AM1191">
        <v>94.308719213077197</v>
      </c>
      <c r="AN1191">
        <v>0.99999994838517003</v>
      </c>
    </row>
    <row r="1192" spans="1:40" x14ac:dyDescent="0.25">
      <c r="A1192" t="str">
        <f>"20190304164117178"</f>
        <v>20190304164117178</v>
      </c>
      <c r="B1192" t="str">
        <f>"1551688877172301"</f>
        <v>1551688877172301</v>
      </c>
      <c r="C1192" t="s">
        <v>40</v>
      </c>
      <c r="D1192">
        <v>4.4435060000000002</v>
      </c>
      <c r="E1192">
        <v>0.55444419999999905</v>
      </c>
      <c r="F1192" t="s">
        <v>41</v>
      </c>
      <c r="G1192">
        <v>-271.6979</v>
      </c>
      <c r="H1192">
        <v>0.83432729999999999</v>
      </c>
      <c r="I1192">
        <v>367.02190000000002</v>
      </c>
      <c r="J1192">
        <v>-272.38470000000001</v>
      </c>
      <c r="K1192">
        <v>1.1061829999999999</v>
      </c>
      <c r="L1192">
        <v>367.03300000000002</v>
      </c>
      <c r="M1192">
        <v>0.99990829999999997</v>
      </c>
      <c r="N1192">
        <v>-1.175066E-2</v>
      </c>
      <c r="O1192">
        <v>-6.7314769999999996E-3</v>
      </c>
      <c r="P1192">
        <v>0.95486859999999996</v>
      </c>
      <c r="Q1192">
        <v>0.28980939999999999</v>
      </c>
      <c r="R1192">
        <v>6.5088699999999999E-2</v>
      </c>
      <c r="S1192">
        <v>3.4761660000000001</v>
      </c>
      <c r="T1192">
        <v>-1.0868139999999999</v>
      </c>
      <c r="U1192">
        <v>-4.8461909999999997E-2</v>
      </c>
      <c r="V1192">
        <v>-7.1478159999999999E-2</v>
      </c>
      <c r="W1192">
        <v>0.30101319999999998</v>
      </c>
      <c r="X1192">
        <v>0.95093740000000004</v>
      </c>
      <c r="Y1192">
        <v>7.1510509999999899E-3</v>
      </c>
      <c r="Z1192">
        <v>8.432585E-4</v>
      </c>
      <c r="AA1192">
        <v>0.99997409999999998</v>
      </c>
      <c r="AB1192">
        <v>34</v>
      </c>
      <c r="AC1192">
        <v>0.68680000000000496</v>
      </c>
      <c r="AD1192">
        <v>-0.27185569999999898</v>
      </c>
      <c r="AE1192">
        <v>-1.1099999999999E-2</v>
      </c>
      <c r="AF1192">
        <v>5.5991928587054004E-3</v>
      </c>
      <c r="AG1192">
        <v>-0.27185569999999898</v>
      </c>
      <c r="AH1192">
        <v>0.593840016071016</v>
      </c>
      <c r="AI1192">
        <v>114.597003180321</v>
      </c>
      <c r="AJ1192">
        <v>89.459786130248901</v>
      </c>
      <c r="AK1192">
        <v>0.65313309307551104</v>
      </c>
      <c r="AL1192">
        <v>72.481531693158402</v>
      </c>
      <c r="AM1192">
        <v>94.298611073909896</v>
      </c>
      <c r="AN1192">
        <v>1.0000000063249901</v>
      </c>
    </row>
    <row r="1193" spans="1:40" x14ac:dyDescent="0.25">
      <c r="A1193" t="str">
        <f>"20190304164117188"</f>
        <v>20190304164117188</v>
      </c>
      <c r="B1193" t="str">
        <f>"1551688877182061"</f>
        <v>1551688877182061</v>
      </c>
      <c r="C1193" t="s">
        <v>40</v>
      </c>
      <c r="D1193">
        <v>4.4426589999999999</v>
      </c>
      <c r="E1193">
        <v>0.55448989999999998</v>
      </c>
      <c r="F1193" t="s">
        <v>41</v>
      </c>
      <c r="G1193">
        <v>-271.67649999999998</v>
      </c>
      <c r="H1193">
        <v>0.88426389999999999</v>
      </c>
      <c r="I1193">
        <v>367.02289999999999</v>
      </c>
      <c r="J1193">
        <v>-272.23610000000002</v>
      </c>
      <c r="K1193">
        <v>1.1064959999999999</v>
      </c>
      <c r="L1193">
        <v>367.03190000000001</v>
      </c>
      <c r="M1193">
        <v>0.99990650000000003</v>
      </c>
      <c r="N1193">
        <v>-1.189369E-2</v>
      </c>
      <c r="O1193">
        <v>-6.7472239999999996E-3</v>
      </c>
      <c r="P1193">
        <v>0.95490719999999996</v>
      </c>
      <c r="Q1193">
        <v>0.28974129999999998</v>
      </c>
      <c r="R1193">
        <v>6.4823420000000007E-2</v>
      </c>
      <c r="S1193">
        <v>3.4756469999999999</v>
      </c>
      <c r="T1193">
        <v>-1.088997</v>
      </c>
      <c r="U1193">
        <v>-4.8858640000000002E-2</v>
      </c>
      <c r="V1193">
        <v>-7.12285E-2</v>
      </c>
      <c r="W1193">
        <v>0.30108200000000002</v>
      </c>
      <c r="X1193">
        <v>0.95093439999999996</v>
      </c>
      <c r="Y1193">
        <v>7.2468059999999997E-3</v>
      </c>
      <c r="Z1193">
        <v>8.3318170000000003E-4</v>
      </c>
      <c r="AA1193">
        <v>0.99997340000000001</v>
      </c>
      <c r="AB1193">
        <v>34</v>
      </c>
      <c r="AC1193">
        <v>0.55960000000004495</v>
      </c>
      <c r="AD1193">
        <v>-0.22223209999999899</v>
      </c>
      <c r="AE1193">
        <v>-9.0000000000145502E-3</v>
      </c>
      <c r="AF1193">
        <v>4.5123279781268399E-3</v>
      </c>
      <c r="AG1193">
        <v>-0.22223209999999899</v>
      </c>
      <c r="AH1193">
        <v>0.48342667118247801</v>
      </c>
      <c r="AI1193">
        <v>114.687378719861</v>
      </c>
      <c r="AJ1193">
        <v>89.4652139478019</v>
      </c>
      <c r="AK1193">
        <v>0.532079706232782</v>
      </c>
      <c r="AL1193">
        <v>72.477398794370401</v>
      </c>
      <c r="AM1193">
        <v>94.283666268051505</v>
      </c>
      <c r="AN1193">
        <v>1.0000000515198</v>
      </c>
    </row>
    <row r="1194" spans="1:40" x14ac:dyDescent="0.25">
      <c r="A1194" t="str">
        <f>"20190304164117198"</f>
        <v>20190304164117198</v>
      </c>
      <c r="B1194" t="str">
        <f>"1551688877191821"</f>
        <v>1551688877191821</v>
      </c>
      <c r="C1194" t="s">
        <v>40</v>
      </c>
      <c r="D1194">
        <v>4.4408580000000004</v>
      </c>
      <c r="E1194">
        <v>0.55453469999999905</v>
      </c>
      <c r="F1194" t="s">
        <v>41</v>
      </c>
      <c r="G1194">
        <v>-271.3886</v>
      </c>
      <c r="H1194">
        <v>0.84083580000000002</v>
      </c>
      <c r="I1194">
        <v>367.01929999999999</v>
      </c>
      <c r="J1194">
        <v>-272.07440000000003</v>
      </c>
      <c r="K1194">
        <v>1.1068180000000001</v>
      </c>
      <c r="L1194">
        <v>367.0308</v>
      </c>
      <c r="M1194">
        <v>0.99990480000000004</v>
      </c>
      <c r="N1194">
        <v>-1.204414E-2</v>
      </c>
      <c r="O1194">
        <v>-6.7646950000000003E-3</v>
      </c>
      <c r="P1194">
        <v>0.95500960000000001</v>
      </c>
      <c r="Q1194">
        <v>0.2893983</v>
      </c>
      <c r="R1194">
        <v>6.4849790000000004E-2</v>
      </c>
      <c r="S1194">
        <v>3.475708</v>
      </c>
      <c r="T1194">
        <v>-1.0895410000000001</v>
      </c>
      <c r="U1194">
        <v>-5.0872800000000003E-2</v>
      </c>
      <c r="V1194">
        <v>-7.1272660000000002E-2</v>
      </c>
      <c r="W1194">
        <v>0.3008827</v>
      </c>
      <c r="X1194">
        <v>0.95099409999999895</v>
      </c>
      <c r="Y1194">
        <v>7.7819889999999996E-3</v>
      </c>
      <c r="Z1194">
        <v>7.5199149999999998E-4</v>
      </c>
      <c r="AA1194">
        <v>0.99996940000000001</v>
      </c>
      <c r="AB1194">
        <v>34</v>
      </c>
      <c r="AC1194">
        <v>0.68580000000002805</v>
      </c>
      <c r="AD1194">
        <v>-0.2659822</v>
      </c>
      <c r="AE1194">
        <v>-1.15000000000122E-2</v>
      </c>
      <c r="AF1194">
        <v>5.9634013133097697E-3</v>
      </c>
      <c r="AG1194">
        <v>-0.2659822</v>
      </c>
      <c r="AH1194">
        <v>0.59620518254125499</v>
      </c>
      <c r="AI1194">
        <v>114.04179160339601</v>
      </c>
      <c r="AJ1194">
        <v>89.426931628455307</v>
      </c>
      <c r="AK1194">
        <v>0.65287266182703196</v>
      </c>
      <c r="AL1194">
        <v>72.489371886983704</v>
      </c>
      <c r="AM1194">
        <v>94.286044069439399</v>
      </c>
      <c r="AN1194">
        <v>0.99999998472878704</v>
      </c>
    </row>
    <row r="1195" spans="1:40" x14ac:dyDescent="0.25">
      <c r="A1195" t="str">
        <f>"20190304164117209"</f>
        <v>20190304164117209</v>
      </c>
      <c r="B1195" t="str">
        <f>"1551688877202556"</f>
        <v>1551688877202556</v>
      </c>
      <c r="C1195" t="s">
        <v>40</v>
      </c>
      <c r="D1195">
        <v>4.4301589999999997</v>
      </c>
      <c r="E1195">
        <v>0.55457619999999996</v>
      </c>
      <c r="F1195" t="s">
        <v>41</v>
      </c>
      <c r="G1195">
        <v>-271.36930000000001</v>
      </c>
      <c r="H1195">
        <v>0.88546399999999903</v>
      </c>
      <c r="I1195">
        <v>367.02019999999999</v>
      </c>
      <c r="J1195">
        <v>-271.92020000000002</v>
      </c>
      <c r="K1195">
        <v>1.107092</v>
      </c>
      <c r="L1195">
        <v>367.02980000000002</v>
      </c>
      <c r="M1195">
        <v>0.99990290000000004</v>
      </c>
      <c r="N1195">
        <v>-1.2178370000000001E-2</v>
      </c>
      <c r="O1195">
        <v>-6.7807689999999999E-3</v>
      </c>
      <c r="P1195">
        <v>0.95510949999999994</v>
      </c>
      <c r="Q1195">
        <v>0.28906949999999998</v>
      </c>
      <c r="R1195">
        <v>6.4844100000000002E-2</v>
      </c>
      <c r="S1195">
        <v>3.4754330000000002</v>
      </c>
      <c r="T1195">
        <v>-1.091062</v>
      </c>
      <c r="U1195">
        <v>-5.130005E-2</v>
      </c>
      <c r="V1195">
        <v>-7.1282780000000004E-2</v>
      </c>
      <c r="W1195">
        <v>0.30068309999999998</v>
      </c>
      <c r="X1195">
        <v>0.95105649999999997</v>
      </c>
      <c r="Y1195">
        <v>7.8848900000000003E-3</v>
      </c>
      <c r="Z1195">
        <v>7.4012860000000004E-4</v>
      </c>
      <c r="AA1195">
        <v>0.99996859999999999</v>
      </c>
      <c r="AB1195">
        <v>34</v>
      </c>
      <c r="AC1195">
        <v>0.55090000000001205</v>
      </c>
      <c r="AD1195">
        <v>-0.22162799999999999</v>
      </c>
      <c r="AE1195">
        <v>-9.6000000000344698E-3</v>
      </c>
      <c r="AF1195">
        <v>5.0473311307857203E-3</v>
      </c>
      <c r="AG1195">
        <v>-0.22162799999999999</v>
      </c>
      <c r="AH1195">
        <v>0.47422414476256902</v>
      </c>
      <c r="AI1195">
        <v>115.047725968067</v>
      </c>
      <c r="AJ1195">
        <v>89.390204282900399</v>
      </c>
      <c r="AK1195">
        <v>0.52348159987848097</v>
      </c>
      <c r="AL1195">
        <v>72.5013639457257</v>
      </c>
      <c r="AM1195">
        <v>94.286370172047299</v>
      </c>
      <c r="AN1195">
        <v>1.00000001377119</v>
      </c>
    </row>
    <row r="1196" spans="1:40" x14ac:dyDescent="0.25">
      <c r="A1196" t="str">
        <f>"20190304164117220"</f>
        <v>20190304164117220</v>
      </c>
      <c r="B1196" t="str">
        <f>"1551688877212317"</f>
        <v>1551688877212317</v>
      </c>
      <c r="C1196" t="s">
        <v>40</v>
      </c>
      <c r="D1196">
        <v>4.431</v>
      </c>
      <c r="E1196">
        <v>0.55461079999999996</v>
      </c>
      <c r="F1196" t="s">
        <v>41</v>
      </c>
      <c r="G1196">
        <v>-271.0813</v>
      </c>
      <c r="H1196">
        <v>0.84335629999999995</v>
      </c>
      <c r="I1196">
        <v>367.017</v>
      </c>
      <c r="J1196">
        <v>-271.73680000000002</v>
      </c>
      <c r="K1196">
        <v>1.107402</v>
      </c>
      <c r="L1196">
        <v>367.02850000000001</v>
      </c>
      <c r="M1196">
        <v>0.99990100000000004</v>
      </c>
      <c r="N1196">
        <v>-1.233329E-2</v>
      </c>
      <c r="O1196">
        <v>-6.7999610000000002E-3</v>
      </c>
      <c r="P1196">
        <v>0.95521730000000005</v>
      </c>
      <c r="Q1196">
        <v>0.28875970000000001</v>
      </c>
      <c r="R1196">
        <v>6.4638080000000001E-2</v>
      </c>
      <c r="S1196">
        <v>3.47525</v>
      </c>
      <c r="T1196">
        <v>-1.0924210000000001</v>
      </c>
      <c r="U1196">
        <v>-5.2673339999999999E-2</v>
      </c>
      <c r="V1196">
        <v>-7.1095649999999996E-2</v>
      </c>
      <c r="W1196">
        <v>0.30052210000000001</v>
      </c>
      <c r="X1196">
        <v>0.95112140000000001</v>
      </c>
      <c r="Y1196">
        <v>8.2436699999999998E-3</v>
      </c>
      <c r="Z1196">
        <v>6.8788469999999996E-4</v>
      </c>
      <c r="AA1196">
        <v>0.99996580000000002</v>
      </c>
      <c r="AB1196">
        <v>34</v>
      </c>
      <c r="AC1196">
        <v>0.65550000000001696</v>
      </c>
      <c r="AD1196">
        <v>-0.264045699999999</v>
      </c>
      <c r="AE1196">
        <v>-1.15000000000122E-2</v>
      </c>
      <c r="AF1196">
        <v>6.0591613666336596E-3</v>
      </c>
      <c r="AG1196">
        <v>-0.264045699999999</v>
      </c>
      <c r="AH1196">
        <v>0.56406563796729403</v>
      </c>
      <c r="AI1196">
        <v>115.083572603769</v>
      </c>
      <c r="AJ1196">
        <v>89.384555629292095</v>
      </c>
      <c r="AK1196">
        <v>0.62283777106113902</v>
      </c>
      <c r="AL1196">
        <v>72.511036025604596</v>
      </c>
      <c r="AM1196">
        <v>94.274868824901901</v>
      </c>
      <c r="AN1196">
        <v>1.0000000207876401</v>
      </c>
    </row>
    <row r="1197" spans="1:40" x14ac:dyDescent="0.25">
      <c r="A1197" t="str">
        <f>"20190304164117232"</f>
        <v>20190304164117232</v>
      </c>
      <c r="B1197" t="str">
        <f>"1551688877222583"</f>
        <v>1551688877222583</v>
      </c>
      <c r="C1197" t="s">
        <v>40</v>
      </c>
      <c r="D1197">
        <v>4.6374320000000004</v>
      </c>
      <c r="E1197">
        <v>0.5546816</v>
      </c>
      <c r="F1197" t="s">
        <v>41</v>
      </c>
      <c r="G1197">
        <v>-271.05919999999998</v>
      </c>
      <c r="H1197">
        <v>0.89407729999999996</v>
      </c>
      <c r="I1197">
        <v>367.0179</v>
      </c>
      <c r="J1197">
        <v>-271.56630000000001</v>
      </c>
      <c r="K1197">
        <v>1.107656</v>
      </c>
      <c r="L1197">
        <v>367.02730000000003</v>
      </c>
      <c r="M1197">
        <v>0.99989910000000004</v>
      </c>
      <c r="N1197">
        <v>-1.246479E-2</v>
      </c>
      <c r="O1197">
        <v>-6.8178249999999996E-3</v>
      </c>
      <c r="P1197">
        <v>0.95529719999999996</v>
      </c>
      <c r="Q1197">
        <v>0.28856670000000001</v>
      </c>
      <c r="R1197">
        <v>6.4317289999999999E-2</v>
      </c>
      <c r="S1197">
        <v>3.475006</v>
      </c>
      <c r="T1197">
        <v>-1.0939920000000001</v>
      </c>
      <c r="U1197">
        <v>-5.3955080000000002E-2</v>
      </c>
      <c r="V1197">
        <v>-7.0792910000000001E-2</v>
      </c>
      <c r="W1197">
        <v>0.30045480000000002</v>
      </c>
      <c r="X1197">
        <v>0.95116529999999999</v>
      </c>
      <c r="Y1197">
        <v>8.5788050000000001E-3</v>
      </c>
      <c r="Z1197">
        <v>6.3926409999999999E-4</v>
      </c>
      <c r="AA1197">
        <v>0.99996300000000005</v>
      </c>
      <c r="AB1197">
        <v>34</v>
      </c>
      <c r="AC1197">
        <v>0.50710000000003597</v>
      </c>
      <c r="AD1197">
        <v>-0.21357869999999901</v>
      </c>
      <c r="AE1197">
        <v>-9.4000000000278305E-3</v>
      </c>
      <c r="AF1197">
        <v>5.0471827122672702E-3</v>
      </c>
      <c r="AG1197">
        <v>-0.21357869999999901</v>
      </c>
      <c r="AH1197">
        <v>0.43076519792805201</v>
      </c>
      <c r="AI1197">
        <v>116.371216502152</v>
      </c>
      <c r="AJ1197">
        <v>89.328708454041603</v>
      </c>
      <c r="AK1197">
        <v>0.48083260173683601</v>
      </c>
      <c r="AL1197">
        <v>72.515079856029104</v>
      </c>
      <c r="AM1197">
        <v>94.256536856943995</v>
      </c>
      <c r="AN1197">
        <v>1.00000007543669</v>
      </c>
    </row>
    <row r="1198" spans="1:40" x14ac:dyDescent="0.25">
      <c r="A1198" t="str">
        <f>"20190304164117245"</f>
        <v>20190304164117245</v>
      </c>
      <c r="B1198" t="str">
        <f>"1551688877232344"</f>
        <v>1551688877232344</v>
      </c>
      <c r="C1198" t="s">
        <v>40</v>
      </c>
      <c r="D1198">
        <v>4.4225329999999996</v>
      </c>
      <c r="E1198">
        <v>0.55474749999999995</v>
      </c>
      <c r="F1198" t="s">
        <v>41</v>
      </c>
      <c r="G1198">
        <v>-270.76949999999999</v>
      </c>
      <c r="H1198">
        <v>0.85670440000000003</v>
      </c>
      <c r="I1198">
        <v>367.0145</v>
      </c>
      <c r="J1198">
        <v>-271.3723</v>
      </c>
      <c r="K1198">
        <v>1.1079380000000001</v>
      </c>
      <c r="L1198">
        <v>367.02600000000001</v>
      </c>
      <c r="M1198">
        <v>0.99989720000000004</v>
      </c>
      <c r="N1198">
        <v>-1.2609749999999999E-2</v>
      </c>
      <c r="O1198">
        <v>-6.8384040000000002E-3</v>
      </c>
      <c r="P1198">
        <v>0.95541810000000005</v>
      </c>
      <c r="Q1198">
        <v>0.28826020000000002</v>
      </c>
      <c r="R1198">
        <v>6.3896410000000001E-2</v>
      </c>
      <c r="S1198">
        <v>3.4747309999999998</v>
      </c>
      <c r="T1198">
        <v>-1.0944179999999999</v>
      </c>
      <c r="U1198">
        <v>-5.5664060000000001E-2</v>
      </c>
      <c r="V1198">
        <v>-7.0392659999999996E-2</v>
      </c>
      <c r="W1198">
        <v>0.3002879</v>
      </c>
      <c r="X1198">
        <v>0.95124759999999997</v>
      </c>
      <c r="Y1198">
        <v>9.0287590000000008E-3</v>
      </c>
      <c r="Z1198">
        <v>5.719904E-4</v>
      </c>
      <c r="AA1198">
        <v>0.99995909999999999</v>
      </c>
      <c r="AB1198">
        <v>34</v>
      </c>
      <c r="AC1198">
        <v>0.602800000000002</v>
      </c>
      <c r="AD1198">
        <v>-0.251233599999999</v>
      </c>
      <c r="AE1198">
        <v>-1.15000000000122E-2</v>
      </c>
      <c r="AF1198">
        <v>6.2857527559905101E-3</v>
      </c>
      <c r="AG1198">
        <v>-0.251233599999999</v>
      </c>
      <c r="AH1198">
        <v>0.51367056006082901</v>
      </c>
      <c r="AI1198">
        <v>116.0613235782</v>
      </c>
      <c r="AJ1198">
        <v>89.298910318893505</v>
      </c>
      <c r="AK1198">
        <v>0.57185249560518203</v>
      </c>
      <c r="AL1198">
        <v>72.525103632809405</v>
      </c>
      <c r="AM1198">
        <v>94.232194028214906</v>
      </c>
      <c r="AN1198">
        <v>0.99999997298702203</v>
      </c>
    </row>
    <row r="1199" spans="1:40" x14ac:dyDescent="0.25">
      <c r="A1199" t="str">
        <f>"20190304164117257"</f>
        <v>20190304164117257</v>
      </c>
      <c r="B1199" t="str">
        <f>"1551688877242103"</f>
        <v>1551688877242103</v>
      </c>
      <c r="C1199" t="s">
        <v>40</v>
      </c>
      <c r="D1199">
        <v>4.4000190000000003</v>
      </c>
      <c r="E1199">
        <v>0.55480249999999998</v>
      </c>
      <c r="F1199" t="s">
        <v>41</v>
      </c>
      <c r="G1199">
        <v>-270.4769</v>
      </c>
      <c r="H1199">
        <v>0.82565330000000003</v>
      </c>
      <c r="I1199">
        <v>367.01100000000002</v>
      </c>
      <c r="J1199">
        <v>-271.17469999999997</v>
      </c>
      <c r="K1199">
        <v>1.10819</v>
      </c>
      <c r="L1199">
        <v>367.02460000000002</v>
      </c>
      <c r="M1199">
        <v>0.99989530000000004</v>
      </c>
      <c r="N1199">
        <v>-1.274604E-2</v>
      </c>
      <c r="O1199">
        <v>-6.8591769999999897E-3</v>
      </c>
      <c r="P1199">
        <v>0.95548259999999996</v>
      </c>
      <c r="Q1199">
        <v>0.2881783</v>
      </c>
      <c r="R1199">
        <v>6.3297640000000002E-2</v>
      </c>
      <c r="S1199">
        <v>3.474335</v>
      </c>
      <c r="T1199">
        <v>-1.0953580000000001</v>
      </c>
      <c r="U1199">
        <v>-5.7708740000000001E-2</v>
      </c>
      <c r="V1199">
        <v>-6.9813669999999994E-2</v>
      </c>
      <c r="W1199">
        <v>0.30033609999999999</v>
      </c>
      <c r="X1199">
        <v>0.95127510000000004</v>
      </c>
      <c r="Y1199">
        <v>9.5709239999999998E-3</v>
      </c>
      <c r="Z1199">
        <v>4.9026620000000001E-4</v>
      </c>
      <c r="AA1199">
        <v>0.99995409999999996</v>
      </c>
      <c r="AB1199">
        <v>34</v>
      </c>
      <c r="AC1199">
        <v>0.697799999999972</v>
      </c>
      <c r="AD1199">
        <v>-0.28253669999999897</v>
      </c>
      <c r="AE1199">
        <v>-1.36000000000535E-2</v>
      </c>
      <c r="AF1199">
        <v>7.5720577432159203E-3</v>
      </c>
      <c r="AG1199">
        <v>-0.28253669999999897</v>
      </c>
      <c r="AH1199">
        <v>0.59961299493012699</v>
      </c>
      <c r="AI1199">
        <v>115.227978321566</v>
      </c>
      <c r="AJ1199">
        <v>89.276493514028104</v>
      </c>
      <c r="AK1199">
        <v>0.66288767268250903</v>
      </c>
      <c r="AL1199">
        <v>72.522209156401402</v>
      </c>
      <c r="AM1199">
        <v>94.197387631324503</v>
      </c>
      <c r="AN1199">
        <v>1.00000001868104</v>
      </c>
    </row>
    <row r="1200" spans="1:40" x14ac:dyDescent="0.25">
      <c r="A1200" t="str">
        <f>"20190304164117277"</f>
        <v>20190304164117277</v>
      </c>
      <c r="B1200" t="str">
        <f>"1551688877262599"</f>
        <v>1551688877262599</v>
      </c>
      <c r="C1200" t="s">
        <v>40</v>
      </c>
      <c r="D1200">
        <v>4.398028</v>
      </c>
      <c r="E1200">
        <v>0.55487739999999997</v>
      </c>
      <c r="F1200" t="s">
        <v>41</v>
      </c>
      <c r="G1200">
        <v>-270.45339999999999</v>
      </c>
      <c r="H1200">
        <v>0.88074330000000001</v>
      </c>
      <c r="I1200">
        <v>367.012</v>
      </c>
      <c r="J1200">
        <v>-270.89120000000003</v>
      </c>
      <c r="K1200">
        <v>1.1085100000000001</v>
      </c>
      <c r="L1200">
        <v>367.02260000000001</v>
      </c>
      <c r="M1200">
        <v>0.99989289999999997</v>
      </c>
      <c r="N1200">
        <v>-1.2926959999999999E-2</v>
      </c>
      <c r="O1200">
        <v>-6.8896629999999999E-3</v>
      </c>
      <c r="P1200">
        <v>0.95547249999999995</v>
      </c>
      <c r="Q1200">
        <v>0.28847139999999999</v>
      </c>
      <c r="R1200">
        <v>6.2105849999999997E-2</v>
      </c>
      <c r="S1200">
        <v>3.4742130000000002</v>
      </c>
      <c r="T1200">
        <v>-1.0955520000000001</v>
      </c>
      <c r="U1200">
        <v>-6.045532E-2</v>
      </c>
      <c r="V1200">
        <v>-6.8651359999999995E-2</v>
      </c>
      <c r="W1200">
        <v>0.30080129999999999</v>
      </c>
      <c r="X1200">
        <v>0.95121270000000002</v>
      </c>
      <c r="Y1200">
        <v>1.029529E-2</v>
      </c>
      <c r="Z1200">
        <v>3.809927E-4</v>
      </c>
      <c r="AA1200">
        <v>0.99994700000000003</v>
      </c>
      <c r="AB1200">
        <v>34</v>
      </c>
      <c r="AC1200">
        <v>0.43780000000003799</v>
      </c>
      <c r="AD1200">
        <v>-0.22776669999999999</v>
      </c>
      <c r="AE1200">
        <v>-1.06000000000676E-2</v>
      </c>
      <c r="AF1200">
        <v>5.9686547299918598E-3</v>
      </c>
      <c r="AG1200">
        <v>-0.22776669999999999</v>
      </c>
      <c r="AH1200">
        <v>0.344636841810741</v>
      </c>
      <c r="AI1200">
        <v>123.456325840003</v>
      </c>
      <c r="AJ1200">
        <v>89.007811993908007</v>
      </c>
      <c r="AK1200">
        <v>0.41314385775593598</v>
      </c>
      <c r="AL1200">
        <v>72.494262882319205</v>
      </c>
      <c r="AM1200">
        <v>94.128019819982299</v>
      </c>
      <c r="AN1200">
        <v>1.00000001597641</v>
      </c>
    </row>
    <row r="1201" spans="1:40" x14ac:dyDescent="0.25">
      <c r="A1201" t="str">
        <f>"20190304164117289"</f>
        <v>20190304164117289</v>
      </c>
      <c r="B1201" t="str">
        <f>"1551688877282120"</f>
        <v>1551688877282120</v>
      </c>
      <c r="C1201" t="s">
        <v>40</v>
      </c>
      <c r="D1201">
        <v>4.5639779999999996</v>
      </c>
      <c r="E1201">
        <v>0.55492259999999904</v>
      </c>
      <c r="F1201" t="s">
        <v>41</v>
      </c>
      <c r="G1201">
        <v>-270.1506</v>
      </c>
      <c r="H1201">
        <v>0.875123599999999</v>
      </c>
      <c r="I1201">
        <v>367.00850000000003</v>
      </c>
      <c r="J1201">
        <v>-270.68860000000001</v>
      </c>
      <c r="K1201">
        <v>1.1087129999999901</v>
      </c>
      <c r="L1201">
        <v>367.02120000000002</v>
      </c>
      <c r="M1201">
        <v>0.99989099999999997</v>
      </c>
      <c r="N1201">
        <v>-1.304583E-2</v>
      </c>
      <c r="O1201">
        <v>-6.9105819999999898E-3</v>
      </c>
      <c r="P1201">
        <v>0.95527479999999998</v>
      </c>
      <c r="Q1201">
        <v>0.2891881</v>
      </c>
      <c r="R1201">
        <v>6.1810669999999998E-2</v>
      </c>
      <c r="S1201">
        <v>3.4746700000000001</v>
      </c>
      <c r="T1201">
        <v>-1.0950549999999999</v>
      </c>
      <c r="U1201">
        <v>-6.5155030000000003E-2</v>
      </c>
      <c r="V1201">
        <v>-6.8374980000000002E-2</v>
      </c>
      <c r="W1201">
        <v>0.30162840000000002</v>
      </c>
      <c r="X1201">
        <v>0.9509706</v>
      </c>
      <c r="Y1201">
        <v>1.1560819999999999E-2</v>
      </c>
      <c r="Z1201">
        <v>1.8228330000000001E-4</v>
      </c>
      <c r="AA1201">
        <v>0.99993319999999997</v>
      </c>
      <c r="AB1201">
        <v>34</v>
      </c>
      <c r="AC1201">
        <v>0.53800000000001003</v>
      </c>
      <c r="AD1201">
        <v>-0.233589399999999</v>
      </c>
      <c r="AE1201">
        <v>-1.26999999999952E-2</v>
      </c>
      <c r="AF1201">
        <v>7.5575775889175001E-3</v>
      </c>
      <c r="AG1201">
        <v>-0.233589399999999</v>
      </c>
      <c r="AH1201">
        <v>0.45276945140436298</v>
      </c>
      <c r="AI1201">
        <v>117.28652102326799</v>
      </c>
      <c r="AJ1201">
        <v>89.043713994117695</v>
      </c>
      <c r="AK1201">
        <v>0.50953047101854498</v>
      </c>
      <c r="AL1201">
        <v>72.444564316881198</v>
      </c>
      <c r="AM1201">
        <v>94.112501254131303</v>
      </c>
      <c r="AN1201">
        <v>0.99999995582045897</v>
      </c>
    </row>
    <row r="1202" spans="1:40" x14ac:dyDescent="0.25">
      <c r="A1202" t="str">
        <f>"20190304164117301"</f>
        <v>20190304164117301</v>
      </c>
      <c r="B1202" t="str">
        <f>"1551688877291879"</f>
        <v>1551688877291879</v>
      </c>
      <c r="C1202" t="s">
        <v>40</v>
      </c>
      <c r="D1202">
        <v>4.356649</v>
      </c>
      <c r="E1202">
        <v>0.55789089999999997</v>
      </c>
      <c r="F1202" t="s">
        <v>41</v>
      </c>
      <c r="G1202">
        <v>-269.85770000000002</v>
      </c>
      <c r="H1202">
        <v>0.84755780000000003</v>
      </c>
      <c r="I1202">
        <v>367.00510000000003</v>
      </c>
      <c r="J1202">
        <v>-270.50009999999997</v>
      </c>
      <c r="K1202">
        <v>1.108895</v>
      </c>
      <c r="L1202">
        <v>367.01990000000001</v>
      </c>
      <c r="M1202">
        <v>0.99988960000000005</v>
      </c>
      <c r="N1202">
        <v>-1.3151319999999999E-2</v>
      </c>
      <c r="O1202">
        <v>-6.9299909999999999E-3</v>
      </c>
      <c r="P1202">
        <v>0.95516869999999998</v>
      </c>
      <c r="Q1202">
        <v>0.2896437</v>
      </c>
      <c r="R1202">
        <v>6.1316559999999999E-2</v>
      </c>
      <c r="S1202">
        <v>3.4754939999999999</v>
      </c>
      <c r="T1202">
        <v>-1.092355</v>
      </c>
      <c r="U1202">
        <v>-6.658936E-2</v>
      </c>
      <c r="V1202">
        <v>-6.7898150000000004E-2</v>
      </c>
      <c r="W1202">
        <v>0.30218260000000002</v>
      </c>
      <c r="X1202">
        <v>0.95082889999999998</v>
      </c>
      <c r="Y1202">
        <v>1.193255E-2</v>
      </c>
      <c r="Z1202">
        <v>1.262093E-4</v>
      </c>
      <c r="AA1202">
        <v>0.99992879999999995</v>
      </c>
      <c r="AB1202">
        <v>34</v>
      </c>
      <c r="AC1202">
        <v>0.64239999999995201</v>
      </c>
      <c r="AD1202">
        <v>-0.26133719999999899</v>
      </c>
      <c r="AE1202">
        <v>-1.4799999999979699E-2</v>
      </c>
      <c r="AF1202">
        <v>8.87879499124874E-3</v>
      </c>
      <c r="AG1202">
        <v>-0.26133719999999899</v>
      </c>
      <c r="AH1202">
        <v>0.55129723845562895</v>
      </c>
      <c r="AI1202">
        <v>115.359969298815</v>
      </c>
      <c r="AJ1202">
        <v>89.077315343130806</v>
      </c>
      <c r="AK1202">
        <v>0.61016769025665296</v>
      </c>
      <c r="AL1202">
        <v>72.411258318547098</v>
      </c>
      <c r="AM1202">
        <v>94.084525635939698</v>
      </c>
      <c r="AN1202">
        <v>1.0000000397956901</v>
      </c>
    </row>
    <row r="1203" spans="1:40" x14ac:dyDescent="0.25">
      <c r="A1203" t="str">
        <f>"20190304164117314"</f>
        <v>20190304164117314</v>
      </c>
      <c r="B1203" t="str">
        <f>"1551688877302615"</f>
        <v>1551688877302615</v>
      </c>
      <c r="C1203" t="s">
        <v>40</v>
      </c>
      <c r="D1203">
        <v>4.3233220000000001</v>
      </c>
      <c r="E1203">
        <v>0.55339459999999996</v>
      </c>
      <c r="F1203" t="s">
        <v>41</v>
      </c>
      <c r="G1203">
        <v>-269.80669999999998</v>
      </c>
      <c r="H1203">
        <v>0.96276130000000004</v>
      </c>
      <c r="I1203">
        <v>366.99340000000001</v>
      </c>
      <c r="J1203">
        <v>-270.31470000000002</v>
      </c>
      <c r="K1203">
        <v>1.109043</v>
      </c>
      <c r="L1203">
        <v>367.01859999999999</v>
      </c>
      <c r="M1203">
        <v>0.99988809999999995</v>
      </c>
      <c r="N1203">
        <v>-1.3244560000000001E-2</v>
      </c>
      <c r="O1203">
        <v>-6.9490810000000002E-3</v>
      </c>
      <c r="P1203">
        <v>0.95518329999999996</v>
      </c>
      <c r="Q1203">
        <v>0.28970210000000002</v>
      </c>
      <c r="R1203">
        <v>6.0807779999999999E-2</v>
      </c>
      <c r="S1203">
        <v>3.3640140000000001</v>
      </c>
      <c r="T1203">
        <v>-0.7091674</v>
      </c>
      <c r="U1203">
        <v>-0.1275635</v>
      </c>
      <c r="V1203">
        <v>-6.7407889999999998E-2</v>
      </c>
      <c r="W1203">
        <v>0.30232979999999998</v>
      </c>
      <c r="X1203">
        <v>0.95081689999999996</v>
      </c>
      <c r="Y1203">
        <v>3.037169E-2</v>
      </c>
      <c r="Z1203">
        <v>-2.0115860000000001E-3</v>
      </c>
      <c r="AA1203">
        <v>0.9995366</v>
      </c>
      <c r="AB1203">
        <v>34</v>
      </c>
      <c r="AC1203">
        <v>0.50800000000003798</v>
      </c>
      <c r="AD1203">
        <v>-0.14628169999999899</v>
      </c>
      <c r="AE1203">
        <v>-2.5199999999983898E-2</v>
      </c>
      <c r="AF1203">
        <v>2.0013526206055201E-2</v>
      </c>
      <c r="AG1203">
        <v>-0.14628169999999899</v>
      </c>
      <c r="AH1203">
        <v>0.46934122395251499</v>
      </c>
      <c r="AI1203">
        <v>107.296146814647</v>
      </c>
      <c r="AJ1203">
        <v>87.558287515467299</v>
      </c>
      <c r="AK1203">
        <v>0.49201632237897802</v>
      </c>
      <c r="AL1203">
        <v>72.402408989909105</v>
      </c>
      <c r="AM1203">
        <v>94.055182987178</v>
      </c>
      <c r="AN1203">
        <v>0.99999995446394996</v>
      </c>
    </row>
    <row r="1204" spans="1:40" x14ac:dyDescent="0.25">
      <c r="A1204" t="str">
        <f>"20190304164117327"</f>
        <v>20190304164117327</v>
      </c>
      <c r="B1204" t="str">
        <f>"1551688877322643"</f>
        <v>1551688877322643</v>
      </c>
      <c r="C1204" t="s">
        <v>40</v>
      </c>
      <c r="D1204">
        <v>4.3152720000000002</v>
      </c>
      <c r="E1204">
        <v>0.54712919999999998</v>
      </c>
      <c r="F1204" t="s">
        <v>41</v>
      </c>
      <c r="G1204">
        <v>-269.4984</v>
      </c>
      <c r="H1204">
        <v>0.97027330000000001</v>
      </c>
      <c r="I1204">
        <v>366.99220000000003</v>
      </c>
      <c r="J1204">
        <v>-270.11610000000002</v>
      </c>
      <c r="K1204">
        <v>1.1091899999999999</v>
      </c>
      <c r="L1204">
        <v>367.0172</v>
      </c>
      <c r="M1204">
        <v>0.99988679999999996</v>
      </c>
      <c r="N1204">
        <v>-1.334022E-2</v>
      </c>
      <c r="O1204">
        <v>-6.9687830000000001E-3</v>
      </c>
      <c r="P1204">
        <v>0.95522079999999998</v>
      </c>
      <c r="Q1204">
        <v>0.28963060000000002</v>
      </c>
      <c r="R1204">
        <v>6.0557670000000001E-2</v>
      </c>
      <c r="S1204">
        <v>3.3186949999999902</v>
      </c>
      <c r="T1204">
        <v>-0.56426319999999996</v>
      </c>
      <c r="U1204">
        <v>-0.10644530000000001</v>
      </c>
      <c r="V1204">
        <v>-6.7177120000000007E-2</v>
      </c>
      <c r="W1204">
        <v>0.3023498</v>
      </c>
      <c r="X1204">
        <v>0.95082690000000003</v>
      </c>
      <c r="Y1204">
        <v>2.4792450000000001E-2</v>
      </c>
      <c r="Z1204">
        <v>-1.1750669999999999E-3</v>
      </c>
      <c r="AA1204">
        <v>0.99969189999999997</v>
      </c>
      <c r="AB1204">
        <v>34</v>
      </c>
      <c r="AC1204">
        <v>0.61770000000001302</v>
      </c>
      <c r="AD1204">
        <v>-0.138916699999999</v>
      </c>
      <c r="AE1204">
        <v>-2.49999999999772E-2</v>
      </c>
      <c r="AF1204">
        <v>1.9699670471016499E-2</v>
      </c>
      <c r="AG1204">
        <v>-0.138916699999999</v>
      </c>
      <c r="AH1204">
        <v>0.58816044583304805</v>
      </c>
      <c r="AI1204">
        <v>103.281879516991</v>
      </c>
      <c r="AJ1204">
        <v>88.081669388750896</v>
      </c>
      <c r="AK1204">
        <v>0.60466406921371296</v>
      </c>
      <c r="AL1204">
        <v>72.4012072837549</v>
      </c>
      <c r="AM1204">
        <v>94.041303839480193</v>
      </c>
      <c r="AN1204">
        <v>0.99999998038757199</v>
      </c>
    </row>
    <row r="1205" spans="1:40" x14ac:dyDescent="0.25">
      <c r="A1205" t="str">
        <f>"20190304164117339"</f>
        <v>20190304164117339</v>
      </c>
      <c r="B1205" t="str">
        <f>"1551688877332404"</f>
        <v>1551688877332404</v>
      </c>
      <c r="C1205" t="s">
        <v>40</v>
      </c>
      <c r="D1205">
        <v>4.3048190000000002</v>
      </c>
      <c r="E1205">
        <v>0.54504960000000002</v>
      </c>
      <c r="F1205" t="s">
        <v>41</v>
      </c>
      <c r="G1205">
        <v>-269.18150000000003</v>
      </c>
      <c r="H1205">
        <v>0.99589240000000001</v>
      </c>
      <c r="I1205">
        <v>366.99599999999998</v>
      </c>
      <c r="J1205">
        <v>-269.92809999999997</v>
      </c>
      <c r="K1205">
        <v>1.1093150000000001</v>
      </c>
      <c r="L1205">
        <v>367.01580000000001</v>
      </c>
      <c r="M1205">
        <v>0.99988540000000004</v>
      </c>
      <c r="N1205">
        <v>-1.342493E-2</v>
      </c>
      <c r="O1205">
        <v>-6.9866210000000002E-3</v>
      </c>
      <c r="P1205">
        <v>0.95533809999999997</v>
      </c>
      <c r="Q1205">
        <v>0.28923949999999998</v>
      </c>
      <c r="R1205">
        <v>6.0579220000000003E-2</v>
      </c>
      <c r="S1205">
        <v>3.26532</v>
      </c>
      <c r="T1205">
        <v>-0.39600370000000001</v>
      </c>
      <c r="U1205">
        <v>-7.3242189999999999E-2</v>
      </c>
      <c r="V1205">
        <v>-6.7217120000000005E-2</v>
      </c>
      <c r="W1205">
        <v>0.3020407</v>
      </c>
      <c r="X1205">
        <v>0.9509223</v>
      </c>
      <c r="Y1205">
        <v>1.5354120000000001E-2</v>
      </c>
      <c r="Z1205">
        <v>-2.8042380000000002E-4</v>
      </c>
      <c r="AA1205">
        <v>0.9998821</v>
      </c>
      <c r="AB1205">
        <v>34</v>
      </c>
      <c r="AC1205">
        <v>0.74659999999994398</v>
      </c>
      <c r="AD1205">
        <v>-0.113422599999999</v>
      </c>
      <c r="AE1205">
        <v>-1.9800000000032E-2</v>
      </c>
      <c r="AF1205">
        <v>1.42540912382896E-2</v>
      </c>
      <c r="AG1205">
        <v>-0.113422599999999</v>
      </c>
      <c r="AH1205">
        <v>0.72988666523954204</v>
      </c>
      <c r="AI1205">
        <v>98.831317845156903</v>
      </c>
      <c r="AJ1205">
        <v>88.881202377473301</v>
      </c>
      <c r="AK1205">
        <v>0.73878441334552303</v>
      </c>
      <c r="AL1205">
        <v>72.419785908679998</v>
      </c>
      <c r="AM1205">
        <v>94.0432978830477</v>
      </c>
      <c r="AN1205">
        <v>0.99999997315743605</v>
      </c>
    </row>
    <row r="1206" spans="1:40" x14ac:dyDescent="0.25">
      <c r="A1206" t="str">
        <f>"20190304164117350"</f>
        <v>20190304164117350</v>
      </c>
      <c r="B1206" t="str">
        <f>"1551688877342163"</f>
        <v>1551688877342163</v>
      </c>
      <c r="C1206" t="s">
        <v>40</v>
      </c>
      <c r="D1206">
        <v>4.2750519999999996</v>
      </c>
      <c r="E1206">
        <v>0.54361579999999998</v>
      </c>
      <c r="F1206" t="s">
        <v>41</v>
      </c>
      <c r="G1206">
        <v>-269.16570000000002</v>
      </c>
      <c r="H1206">
        <v>1.0279659999999999</v>
      </c>
      <c r="I1206">
        <v>367.00130000000001</v>
      </c>
      <c r="J1206">
        <v>-269.75459999999998</v>
      </c>
      <c r="K1206">
        <v>1.109421</v>
      </c>
      <c r="L1206">
        <v>367.01459999999997</v>
      </c>
      <c r="M1206">
        <v>0.99988440000000001</v>
      </c>
      <c r="N1206">
        <v>-1.349674E-2</v>
      </c>
      <c r="O1206">
        <v>-7.0019829999999998E-3</v>
      </c>
      <c r="P1206">
        <v>0.95540020000000003</v>
      </c>
      <c r="Q1206">
        <v>0.2891048</v>
      </c>
      <c r="R1206">
        <v>6.0241370000000002E-2</v>
      </c>
      <c r="S1206">
        <v>3.2491759999999998</v>
      </c>
      <c r="T1206">
        <v>-0.3469313</v>
      </c>
      <c r="U1206">
        <v>-6.1187739999999997E-2</v>
      </c>
      <c r="V1206">
        <v>-6.6895720000000006E-2</v>
      </c>
      <c r="W1206">
        <v>0.301975299999999</v>
      </c>
      <c r="X1206">
        <v>0.95096579999999997</v>
      </c>
      <c r="Y1206">
        <v>1.17815E-2</v>
      </c>
      <c r="Z1206" s="1">
        <v>-5.5749730000000001E-5</v>
      </c>
      <c r="AA1206">
        <v>0.9999306</v>
      </c>
      <c r="AB1206">
        <v>34</v>
      </c>
      <c r="AC1206">
        <v>0.58889999999996601</v>
      </c>
      <c r="AD1206">
        <v>-8.1455E-2</v>
      </c>
      <c r="AE1206">
        <v>-1.32999999999583E-2</v>
      </c>
      <c r="AF1206">
        <v>9.0036633931335902E-3</v>
      </c>
      <c r="AG1206">
        <v>-8.1455E-2</v>
      </c>
      <c r="AH1206">
        <v>0.57792762449467805</v>
      </c>
      <c r="AI1206">
        <v>98.021648337475199</v>
      </c>
      <c r="AJ1206">
        <v>89.107448475098195</v>
      </c>
      <c r="AK1206">
        <v>0.58370910746154903</v>
      </c>
      <c r="AL1206">
        <v>72.423717734559006</v>
      </c>
      <c r="AM1206">
        <v>94.023844971432496</v>
      </c>
      <c r="AN1206">
        <v>1.00000003596702</v>
      </c>
    </row>
    <row r="1207" spans="1:40" x14ac:dyDescent="0.25">
      <c r="A1207" t="str">
        <f>"20190304164117364"</f>
        <v>20190304164117364</v>
      </c>
      <c r="B1207" t="str">
        <f>"1551688877351923"</f>
        <v>1551688877351923</v>
      </c>
      <c r="C1207" t="s">
        <v>40</v>
      </c>
      <c r="D1207">
        <v>4.296062</v>
      </c>
      <c r="E1207">
        <v>0.54281400000000002</v>
      </c>
      <c r="F1207" t="s">
        <v>41</v>
      </c>
      <c r="G1207">
        <v>-268.86360000000002</v>
      </c>
      <c r="H1207">
        <v>1.0240940000000001</v>
      </c>
      <c r="I1207">
        <v>366.99959999999999</v>
      </c>
      <c r="J1207">
        <v>-269.54880000000003</v>
      </c>
      <c r="K1207">
        <v>1.109532</v>
      </c>
      <c r="L1207">
        <v>367.01310000000001</v>
      </c>
      <c r="M1207">
        <v>0.99988339999999998</v>
      </c>
      <c r="N1207">
        <v>-1.35782E-2</v>
      </c>
      <c r="O1207">
        <v>-7.0190720000000003E-3</v>
      </c>
      <c r="P1207">
        <v>0.95558390000000004</v>
      </c>
      <c r="Q1207">
        <v>0.28852149999999999</v>
      </c>
      <c r="R1207">
        <v>6.0127340000000001E-2</v>
      </c>
      <c r="S1207">
        <v>3.2373349999999999</v>
      </c>
      <c r="T1207">
        <v>-0.31022290000000002</v>
      </c>
      <c r="U1207">
        <v>-5.4077149999999997E-2</v>
      </c>
      <c r="V1207">
        <v>-6.6800810000000002E-2</v>
      </c>
      <c r="W1207">
        <v>0.30147109999999999</v>
      </c>
      <c r="X1207">
        <v>0.95113239999999999</v>
      </c>
      <c r="Y1207">
        <v>9.6558979999999996E-3</v>
      </c>
      <c r="Z1207" s="1">
        <v>4.8606829999999999E-5</v>
      </c>
      <c r="AA1207">
        <v>0.99995339999999999</v>
      </c>
      <c r="AB1207">
        <v>34</v>
      </c>
      <c r="AC1207">
        <v>0.68520000000000802</v>
      </c>
      <c r="AD1207">
        <v>-8.5437999999999903E-2</v>
      </c>
      <c r="AE1207">
        <v>-1.35000000000218E-2</v>
      </c>
      <c r="AF1207">
        <v>8.5567700433814894E-3</v>
      </c>
      <c r="AG1207">
        <v>-8.5437999999999903E-2</v>
      </c>
      <c r="AH1207">
        <v>0.67479048379046902</v>
      </c>
      <c r="AI1207">
        <v>97.215483389283094</v>
      </c>
      <c r="AJ1207">
        <v>89.273492223118794</v>
      </c>
      <c r="AK1207">
        <v>0.68023162758853695</v>
      </c>
      <c r="AL1207">
        <v>72.454017893119797</v>
      </c>
      <c r="AM1207">
        <v>94.0174532389413</v>
      </c>
      <c r="AN1207">
        <v>1.00000000734081</v>
      </c>
    </row>
    <row r="1208" spans="1:40" x14ac:dyDescent="0.25">
      <c r="A1208" t="str">
        <f>"20190304164117376"</f>
        <v>20190304164117376</v>
      </c>
      <c r="B1208" t="str">
        <f>"1551688877362660"</f>
        <v>1551688877362660</v>
      </c>
      <c r="C1208" t="s">
        <v>40</v>
      </c>
      <c r="D1208">
        <v>4.28573</v>
      </c>
      <c r="E1208">
        <v>0.54254449999999999</v>
      </c>
      <c r="F1208" t="s">
        <v>41</v>
      </c>
      <c r="G1208">
        <v>-268.56150000000002</v>
      </c>
      <c r="H1208">
        <v>1.021126</v>
      </c>
      <c r="I1208">
        <v>366.99779999999998</v>
      </c>
      <c r="J1208">
        <v>-269.37029999999999</v>
      </c>
      <c r="K1208">
        <v>1.1096170000000001</v>
      </c>
      <c r="L1208">
        <v>367.01190000000003</v>
      </c>
      <c r="M1208">
        <v>0.9998823</v>
      </c>
      <c r="N1208">
        <v>-1.3642690000000001E-2</v>
      </c>
      <c r="O1208">
        <v>-7.031631E-3</v>
      </c>
      <c r="P1208">
        <v>0.95562769999999997</v>
      </c>
      <c r="Q1208">
        <v>0.28838469999999999</v>
      </c>
      <c r="R1208">
        <v>6.0083350000000001E-2</v>
      </c>
      <c r="S1208">
        <v>3.2299190000000002</v>
      </c>
      <c r="T1208">
        <v>-0.28934130000000002</v>
      </c>
      <c r="U1208">
        <v>-4.9499509999999997E-2</v>
      </c>
      <c r="V1208">
        <v>-6.6770709999999997E-2</v>
      </c>
      <c r="W1208">
        <v>0.301396</v>
      </c>
      <c r="X1208">
        <v>0.95115830000000001</v>
      </c>
      <c r="Y1208">
        <v>8.2737090000000006E-3</v>
      </c>
      <c r="Z1208">
        <v>1.064308E-4</v>
      </c>
      <c r="AA1208">
        <v>0.99996580000000002</v>
      </c>
      <c r="AB1208">
        <v>34</v>
      </c>
      <c r="AC1208">
        <v>0.80879999999996199</v>
      </c>
      <c r="AD1208">
        <v>-8.8491000000000097E-2</v>
      </c>
      <c r="AE1208">
        <v>-1.4100000000041701E-2</v>
      </c>
      <c r="AF1208">
        <v>8.3124644264837393E-3</v>
      </c>
      <c r="AG1208">
        <v>-8.8491000000000097E-2</v>
      </c>
      <c r="AH1208">
        <v>0.799313797464695</v>
      </c>
      <c r="AI1208">
        <v>96.317077243685802</v>
      </c>
      <c r="AJ1208">
        <v>89.404173977512002</v>
      </c>
      <c r="AK1208">
        <v>0.80424020103652705</v>
      </c>
      <c r="AL1208">
        <v>72.458530470030198</v>
      </c>
      <c r="AM1208">
        <v>94.015539936575095</v>
      </c>
      <c r="AN1208">
        <v>0.99999999409439699</v>
      </c>
    </row>
    <row r="1209" spans="1:40" x14ac:dyDescent="0.25">
      <c r="A1209" t="str">
        <f>"20190304164117388"</f>
        <v>20190304164117388</v>
      </c>
      <c r="B1209" t="str">
        <f>"1551688877382179"</f>
        <v>1551688877382179</v>
      </c>
      <c r="C1209" t="s">
        <v>40</v>
      </c>
      <c r="D1209">
        <v>4.2809689999999998</v>
      </c>
      <c r="E1209">
        <v>0.54233589999999998</v>
      </c>
      <c r="F1209" t="s">
        <v>41</v>
      </c>
      <c r="G1209">
        <v>-268.54930000000002</v>
      </c>
      <c r="H1209">
        <v>1.0398849999999999</v>
      </c>
      <c r="I1209">
        <v>366.99919999999997</v>
      </c>
      <c r="J1209">
        <v>-269.19740000000002</v>
      </c>
      <c r="K1209">
        <v>1.109694</v>
      </c>
      <c r="L1209">
        <v>367.01060000000001</v>
      </c>
      <c r="M1209">
        <v>0.99988140000000003</v>
      </c>
      <c r="N1209">
        <v>-1.370184E-2</v>
      </c>
      <c r="O1209">
        <v>-7.042123E-3</v>
      </c>
      <c r="P1209">
        <v>0.95584990000000003</v>
      </c>
      <c r="Q1209">
        <v>0.28767870000000001</v>
      </c>
      <c r="R1209">
        <v>5.9931709999999999E-2</v>
      </c>
      <c r="S1209">
        <v>3.225098</v>
      </c>
      <c r="T1209">
        <v>-0.27414260000000001</v>
      </c>
      <c r="U1209">
        <v>-4.8828129999999997E-2</v>
      </c>
      <c r="V1209">
        <v>-6.66326E-2</v>
      </c>
      <c r="W1209">
        <v>0.30074899999999999</v>
      </c>
      <c r="X1209">
        <v>0.95137269999999896</v>
      </c>
      <c r="Y1209">
        <v>8.0799740000000002E-3</v>
      </c>
      <c r="Z1209">
        <v>1.028827E-4</v>
      </c>
      <c r="AA1209">
        <v>0.9999673</v>
      </c>
      <c r="AB1209">
        <v>34</v>
      </c>
      <c r="AC1209">
        <v>0.64809999999999901</v>
      </c>
      <c r="AD1209">
        <v>-6.9808999999999996E-2</v>
      </c>
      <c r="AE1209">
        <v>-1.14000000000373E-2</v>
      </c>
      <c r="AF1209">
        <v>6.7569186129703904E-3</v>
      </c>
      <c r="AG1209">
        <v>-6.9808999999999996E-2</v>
      </c>
      <c r="AH1209">
        <v>0.64073263225594201</v>
      </c>
      <c r="AI1209">
        <v>96.217611641123199</v>
      </c>
      <c r="AJ1209">
        <v>89.395803258454194</v>
      </c>
      <c r="AK1209">
        <v>0.64455974003017802</v>
      </c>
      <c r="AL1209">
        <v>72.497403559869994</v>
      </c>
      <c r="AM1209">
        <v>94.006361063390997</v>
      </c>
      <c r="AN1209">
        <v>0.99999993934452303</v>
      </c>
    </row>
    <row r="1210" spans="1:40" x14ac:dyDescent="0.25">
      <c r="A1210" t="str">
        <f>"20190304164117398"</f>
        <v>20190304164117398</v>
      </c>
      <c r="B1210" t="str">
        <f>"1551688877391939"</f>
        <v>1551688877391939</v>
      </c>
      <c r="C1210" t="s">
        <v>40</v>
      </c>
      <c r="D1210">
        <v>4.274006</v>
      </c>
      <c r="E1210">
        <v>0.54229039999999995</v>
      </c>
      <c r="F1210" t="s">
        <v>41</v>
      </c>
      <c r="G1210">
        <v>-268.25060000000002</v>
      </c>
      <c r="H1210">
        <v>1.034959</v>
      </c>
      <c r="I1210">
        <v>366.99590000000001</v>
      </c>
      <c r="J1210">
        <v>-269.03030000000001</v>
      </c>
      <c r="K1210">
        <v>1.109761</v>
      </c>
      <c r="L1210">
        <v>367.0095</v>
      </c>
      <c r="M1210">
        <v>0.99988060000000001</v>
      </c>
      <c r="N1210">
        <v>-1.3755730000000001E-2</v>
      </c>
      <c r="O1210">
        <v>-7.051145E-3</v>
      </c>
      <c r="P1210">
        <v>0.95587299999999997</v>
      </c>
      <c r="Q1210">
        <v>0.28757280000000002</v>
      </c>
      <c r="R1210">
        <v>6.0075320000000001E-2</v>
      </c>
      <c r="S1210">
        <v>3.21814</v>
      </c>
      <c r="T1210">
        <v>-0.25409900000000002</v>
      </c>
      <c r="U1210">
        <v>-4.9621579999999998E-2</v>
      </c>
      <c r="V1210">
        <v>-6.6787139999999995E-2</v>
      </c>
      <c r="W1210">
        <v>0.30069400000000002</v>
      </c>
      <c r="X1210">
        <v>0.95137930000000004</v>
      </c>
      <c r="Y1210">
        <v>8.3505799999999998E-3</v>
      </c>
      <c r="Z1210" s="1">
        <v>7.2280319999999906E-5</v>
      </c>
      <c r="AA1210">
        <v>0.99996510000000005</v>
      </c>
      <c r="AB1210">
        <v>34</v>
      </c>
      <c r="AC1210">
        <v>0.77969999999999096</v>
      </c>
      <c r="AD1210">
        <v>-7.4801999999999993E-2</v>
      </c>
      <c r="AE1210">
        <v>-1.35999999999967E-2</v>
      </c>
      <c r="AF1210">
        <v>8.0275025238672002E-3</v>
      </c>
      <c r="AG1210">
        <v>-7.4801999999999993E-2</v>
      </c>
      <c r="AH1210">
        <v>0.77266713867504899</v>
      </c>
      <c r="AI1210">
        <v>95.529283042674905</v>
      </c>
      <c r="AJ1210">
        <v>89.404756014292801</v>
      </c>
      <c r="AK1210">
        <v>0.77632099494285101</v>
      </c>
      <c r="AL1210">
        <v>72.500708653896297</v>
      </c>
      <c r="AM1210">
        <v>94.015594827559397</v>
      </c>
      <c r="AN1210">
        <v>0.99999998808693402</v>
      </c>
    </row>
    <row r="1211" spans="1:40" x14ac:dyDescent="0.25">
      <c r="A1211" t="str">
        <f>"20190304164117409"</f>
        <v>20190304164117409</v>
      </c>
      <c r="B1211" t="str">
        <f>"1551688877402675"</f>
        <v>1551688877402675</v>
      </c>
      <c r="C1211" t="s">
        <v>40</v>
      </c>
      <c r="D1211">
        <v>4.2690739999999998</v>
      </c>
      <c r="E1211">
        <v>0.54223259999999995</v>
      </c>
      <c r="F1211" t="s">
        <v>42</v>
      </c>
      <c r="G1211">
        <v>-254.5762</v>
      </c>
      <c r="H1211" s="1">
        <v>-2.8114369999999998E-6</v>
      </c>
      <c r="I1211">
        <v>366.78449999999998</v>
      </c>
      <c r="J1211">
        <v>-268.86739999999998</v>
      </c>
      <c r="K1211">
        <v>1.1098239999999999</v>
      </c>
      <c r="L1211">
        <v>367.00830000000002</v>
      </c>
      <c r="M1211">
        <v>0.99987990000000004</v>
      </c>
      <c r="N1211">
        <v>-1.3804399999999901E-2</v>
      </c>
      <c r="O1211">
        <v>-7.0575129999999996E-3</v>
      </c>
      <c r="P1211">
        <v>0.95596409999999998</v>
      </c>
      <c r="Q1211">
        <v>0.28723199999999999</v>
      </c>
      <c r="R1211">
        <v>6.0253359999999999E-2</v>
      </c>
      <c r="S1211">
        <v>3.2159119999999999</v>
      </c>
      <c r="T1211">
        <v>-0.24691080000000001</v>
      </c>
      <c r="U1211">
        <v>-5.0048830000000002E-2</v>
      </c>
      <c r="V1211">
        <v>-6.6974190000000003E-2</v>
      </c>
      <c r="W1211">
        <v>0.30040060000000002</v>
      </c>
      <c r="X1211">
        <v>0.95145880000000005</v>
      </c>
      <c r="Y1211">
        <v>8.4877630000000006E-3</v>
      </c>
      <c r="Z1211" s="1">
        <v>5.968323E-5</v>
      </c>
      <c r="AA1211">
        <v>0.99996399999999996</v>
      </c>
      <c r="AB1211">
        <v>34</v>
      </c>
      <c r="AC1211">
        <v>14.2911999999999</v>
      </c>
      <c r="AD1211">
        <v>-1.109826811437</v>
      </c>
      <c r="AE1211">
        <v>-0.223800000000039</v>
      </c>
      <c r="AF1211">
        <v>0.122187787170436</v>
      </c>
      <c r="AG1211">
        <v>-1.109826811437</v>
      </c>
      <c r="AH1211">
        <v>14.206766848524</v>
      </c>
      <c r="AI1211">
        <v>94.466686479242895</v>
      </c>
      <c r="AJ1211">
        <v>89.507229760721899</v>
      </c>
      <c r="AK1211">
        <v>14.250574363689299</v>
      </c>
      <c r="AL1211">
        <v>72.518333524737798</v>
      </c>
      <c r="AM1211">
        <v>94.026468956844795</v>
      </c>
      <c r="AN1211">
        <v>0.99999995535197705</v>
      </c>
    </row>
    <row r="1212" spans="1:40" x14ac:dyDescent="0.25">
      <c r="A1212" t="str">
        <f>"20190304164117421"</f>
        <v>20190304164117421</v>
      </c>
      <c r="B1212" t="str">
        <f>"1551688877412435"</f>
        <v>1551688877412435</v>
      </c>
      <c r="C1212" t="s">
        <v>40</v>
      </c>
      <c r="D1212">
        <v>4.2404590000000004</v>
      </c>
      <c r="E1212">
        <v>0.54218060000000001</v>
      </c>
      <c r="F1212" t="s">
        <v>41</v>
      </c>
      <c r="G1212">
        <v>-267.94290000000001</v>
      </c>
      <c r="H1212">
        <v>1.040403</v>
      </c>
      <c r="I1212">
        <v>366.9941</v>
      </c>
      <c r="J1212">
        <v>-268.6764</v>
      </c>
      <c r="K1212">
        <v>1.109896</v>
      </c>
      <c r="L1212">
        <v>367.00700000000001</v>
      </c>
      <c r="M1212">
        <v>0.99987899999999996</v>
      </c>
      <c r="N1212">
        <v>-1.3859369999999999E-2</v>
      </c>
      <c r="O1212">
        <v>-7.0639199999999996E-3</v>
      </c>
      <c r="P1212">
        <v>0.95597399999999999</v>
      </c>
      <c r="Q1212">
        <v>0.287174599999999</v>
      </c>
      <c r="R1212">
        <v>6.036942E-2</v>
      </c>
      <c r="S1212">
        <v>3.2138369999999998</v>
      </c>
      <c r="T1212">
        <v>-0.24143039999999999</v>
      </c>
      <c r="U1212">
        <v>-4.9285889999999999E-2</v>
      </c>
      <c r="V1212">
        <v>-6.7099080000000005E-2</v>
      </c>
      <c r="W1212">
        <v>0.30039470000000001</v>
      </c>
      <c r="X1212">
        <v>0.95145190000000002</v>
      </c>
      <c r="Y1212">
        <v>8.2552500000000004E-3</v>
      </c>
      <c r="Z1212" s="1">
        <v>6.5149359999999994E-5</v>
      </c>
      <c r="AA1212">
        <v>0.99996589999999996</v>
      </c>
      <c r="AB1212">
        <v>34</v>
      </c>
      <c r="AC1212">
        <v>0.73349999999999205</v>
      </c>
      <c r="AD1212">
        <v>-6.9492999999999999E-2</v>
      </c>
      <c r="AE1212">
        <v>-1.2899999999945001E-2</v>
      </c>
      <c r="AF1212">
        <v>7.6491575998205398E-3</v>
      </c>
      <c r="AG1212">
        <v>-6.9492999999999999E-2</v>
      </c>
      <c r="AH1212">
        <v>0.72704887073898405</v>
      </c>
      <c r="AI1212">
        <v>95.459575027571205</v>
      </c>
      <c r="AJ1212">
        <v>89.397223081107001</v>
      </c>
      <c r="AK1212">
        <v>0.730402524026183</v>
      </c>
      <c r="AL1212">
        <v>72.518688567071194</v>
      </c>
      <c r="AM1212">
        <v>94.033981700599796</v>
      </c>
      <c r="AN1212">
        <v>0.99999999016927299</v>
      </c>
    </row>
    <row r="1213" spans="1:40" x14ac:dyDescent="0.25">
      <c r="A1213" t="str">
        <f>"20190304164117433"</f>
        <v>20190304164117433</v>
      </c>
      <c r="B1213" t="str">
        <f>"1551688877422702"</f>
        <v>1551688877422702</v>
      </c>
      <c r="C1213" t="s">
        <v>40</v>
      </c>
      <c r="D1213">
        <v>4.2385469999999996</v>
      </c>
      <c r="E1213">
        <v>0.54198489999999999</v>
      </c>
      <c r="F1213" t="s">
        <v>42</v>
      </c>
      <c r="G1213">
        <v>-253.6</v>
      </c>
      <c r="H1213" s="1">
        <v>-3.2313790000000002E-6</v>
      </c>
      <c r="I1213">
        <v>366.77789999999999</v>
      </c>
      <c r="J1213">
        <v>-268.50729999999999</v>
      </c>
      <c r="K1213">
        <v>1.1099490000000001</v>
      </c>
      <c r="L1213">
        <v>367.00580000000002</v>
      </c>
      <c r="M1213">
        <v>0.9998783</v>
      </c>
      <c r="N1213">
        <v>-1.390283E-2</v>
      </c>
      <c r="O1213">
        <v>-7.0675159999999898E-3</v>
      </c>
      <c r="P1213">
        <v>0.95599940000000005</v>
      </c>
      <c r="Q1213">
        <v>0.28706350000000003</v>
      </c>
      <c r="R1213">
        <v>6.0496939999999999E-2</v>
      </c>
      <c r="S1213">
        <v>3.2122799999999998</v>
      </c>
      <c r="T1213">
        <v>-0.23648140000000001</v>
      </c>
      <c r="U1213">
        <v>-4.8797609999999998E-2</v>
      </c>
      <c r="V1213">
        <v>-6.7231739999999998E-2</v>
      </c>
      <c r="W1213">
        <v>0.30032520000000001</v>
      </c>
      <c r="X1213">
        <v>0.95146450000000005</v>
      </c>
      <c r="Y1213">
        <v>8.1079280000000004E-3</v>
      </c>
      <c r="Z1213" s="1">
        <v>6.6918739999999996E-5</v>
      </c>
      <c r="AA1213">
        <v>0.9999671</v>
      </c>
      <c r="AB1213">
        <v>34</v>
      </c>
      <c r="AC1213">
        <v>14.9072999999999</v>
      </c>
      <c r="AD1213">
        <v>-1.109952231379</v>
      </c>
      <c r="AE1213">
        <v>-0.22790000000003299</v>
      </c>
      <c r="AF1213">
        <v>0.12185116896652801</v>
      </c>
      <c r="AG1213">
        <v>-1.109952231379</v>
      </c>
      <c r="AH1213">
        <v>14.826362698795901</v>
      </c>
      <c r="AI1213">
        <v>94.281227569524503</v>
      </c>
      <c r="AJ1213">
        <v>89.529122504956305</v>
      </c>
      <c r="AK1213">
        <v>14.8683513726159</v>
      </c>
      <c r="AL1213">
        <v>72.522863816787705</v>
      </c>
      <c r="AM1213">
        <v>94.041877433053699</v>
      </c>
      <c r="AN1213">
        <v>1.0000000136893501</v>
      </c>
    </row>
    <row r="1214" spans="1:40" x14ac:dyDescent="0.25">
      <c r="A1214" t="str">
        <f>"20190304164117446"</f>
        <v>20190304164117446</v>
      </c>
      <c r="B1214" t="str">
        <f>"1551688877432462"</f>
        <v>1551688877432462</v>
      </c>
      <c r="C1214" t="s">
        <v>40</v>
      </c>
      <c r="D1214">
        <v>4.2709330000000003</v>
      </c>
      <c r="E1214">
        <v>0.54201899999999903</v>
      </c>
      <c r="F1214" t="s">
        <v>42</v>
      </c>
      <c r="G1214">
        <v>-253.0521</v>
      </c>
      <c r="H1214" s="1">
        <v>-3.4668660000000001E-6</v>
      </c>
      <c r="I1214">
        <v>366.77550000000002</v>
      </c>
      <c r="J1214">
        <v>-268.30990000000003</v>
      </c>
      <c r="K1214">
        <v>1.110007</v>
      </c>
      <c r="L1214">
        <v>367.00439999999998</v>
      </c>
      <c r="M1214">
        <v>0.99987769999999998</v>
      </c>
      <c r="N1214">
        <v>-1.3951699999999999E-2</v>
      </c>
      <c r="O1214">
        <v>-7.071028E-3</v>
      </c>
      <c r="P1214">
        <v>0.95595339999999995</v>
      </c>
      <c r="Q1214">
        <v>0.28714840000000003</v>
      </c>
      <c r="R1214">
        <v>6.0818289999999997E-2</v>
      </c>
      <c r="S1214">
        <v>3.2103269999999999</v>
      </c>
      <c r="T1214">
        <v>-0.23055600000000001</v>
      </c>
      <c r="U1214">
        <v>-4.7821040000000002E-2</v>
      </c>
      <c r="V1214">
        <v>-6.7557740000000005E-2</v>
      </c>
      <c r="W1214">
        <v>0.30045620000000001</v>
      </c>
      <c r="X1214">
        <v>0.95140000000000002</v>
      </c>
      <c r="Y1214">
        <v>7.8108369999999898E-3</v>
      </c>
      <c r="Z1214" s="1">
        <v>7.3901319999999896E-5</v>
      </c>
      <c r="AA1214">
        <v>0.99996949999999996</v>
      </c>
      <c r="AB1214">
        <v>34</v>
      </c>
      <c r="AC1214">
        <v>15.2578</v>
      </c>
      <c r="AD1214">
        <v>-1.110010466866</v>
      </c>
      <c r="AE1214">
        <v>-0.228899999999953</v>
      </c>
      <c r="AF1214">
        <v>0.12035857877455899</v>
      </c>
      <c r="AG1214">
        <v>-1.110010466866</v>
      </c>
      <c r="AH1214">
        <v>15.178720149037099</v>
      </c>
      <c r="AI1214">
        <v>94.182428713741004</v>
      </c>
      <c r="AJ1214">
        <v>89.545686724683307</v>
      </c>
      <c r="AK1214">
        <v>15.2197291298769</v>
      </c>
      <c r="AL1214">
        <v>72.514993820256805</v>
      </c>
      <c r="AM1214">
        <v>94.061685086620102</v>
      </c>
      <c r="AN1214">
        <v>0.99999996817617298</v>
      </c>
    </row>
    <row r="1215" spans="1:40" x14ac:dyDescent="0.25">
      <c r="A1215" t="str">
        <f>"20190304164117457"</f>
        <v>20190304164117457</v>
      </c>
      <c r="B1215" t="str">
        <f>"1551688877451981"</f>
        <v>1551688877451981</v>
      </c>
      <c r="C1215" t="s">
        <v>40</v>
      </c>
      <c r="D1215">
        <v>4.2779299999999996</v>
      </c>
      <c r="E1215">
        <v>0.54199469999999905</v>
      </c>
      <c r="F1215" t="s">
        <v>41</v>
      </c>
      <c r="G1215">
        <v>-267.3374</v>
      </c>
      <c r="H1215">
        <v>1.0413319999999999</v>
      </c>
      <c r="I1215">
        <v>366.9898</v>
      </c>
      <c r="J1215">
        <v>-268.12990000000002</v>
      </c>
      <c r="K1215">
        <v>1.1100540000000001</v>
      </c>
      <c r="L1215">
        <v>367.00310000000002</v>
      </c>
      <c r="M1215">
        <v>0.99987720000000002</v>
      </c>
      <c r="N1215">
        <v>-1.399273E-2</v>
      </c>
      <c r="O1215">
        <v>-7.0729479999999999E-3</v>
      </c>
      <c r="P1215">
        <v>0.95592920000000003</v>
      </c>
      <c r="Q1215">
        <v>0.28716069999999999</v>
      </c>
      <c r="R1215">
        <v>6.11429E-2</v>
      </c>
      <c r="S1215">
        <v>3.209473</v>
      </c>
      <c r="T1215">
        <v>-0.22693489999999999</v>
      </c>
      <c r="U1215">
        <v>-4.7302249999999997E-2</v>
      </c>
      <c r="V1215">
        <v>-6.7885979999999999E-2</v>
      </c>
      <c r="W1215">
        <v>0.300506099999999</v>
      </c>
      <c r="X1215">
        <v>0.95136089999999995</v>
      </c>
      <c r="Y1215">
        <v>7.6519489999999999E-3</v>
      </c>
      <c r="Z1215" s="1">
        <v>7.6784619999999896E-5</v>
      </c>
      <c r="AA1215">
        <v>0.99997069999999999</v>
      </c>
      <c r="AB1215">
        <v>34</v>
      </c>
      <c r="AC1215">
        <v>0.79250000000001797</v>
      </c>
      <c r="AD1215">
        <v>-6.8722000000000102E-2</v>
      </c>
      <c r="AE1215">
        <v>-1.33000000000151E-2</v>
      </c>
      <c r="AF1215">
        <v>7.6364015092527798E-3</v>
      </c>
      <c r="AG1215">
        <v>-6.8722000000000102E-2</v>
      </c>
      <c r="AH1215">
        <v>0.78666056817006802</v>
      </c>
      <c r="AI1215">
        <v>94.992401779555493</v>
      </c>
      <c r="AJ1215">
        <v>89.443826407133002</v>
      </c>
      <c r="AK1215">
        <v>0.78969353386339902</v>
      </c>
      <c r="AL1215">
        <v>72.511996669920606</v>
      </c>
      <c r="AM1215">
        <v>94.081520072291198</v>
      </c>
      <c r="AN1215">
        <v>0.99999999223328995</v>
      </c>
    </row>
    <row r="1216" spans="1:40" x14ac:dyDescent="0.25">
      <c r="A1216" t="str">
        <f>"20190304164117470"</f>
        <v>20190304164117470</v>
      </c>
      <c r="B1216" t="str">
        <f>"1551688877462717"</f>
        <v>1551688877462717</v>
      </c>
      <c r="C1216" t="s">
        <v>40</v>
      </c>
      <c r="D1216">
        <v>4.3006830000000003</v>
      </c>
      <c r="E1216">
        <v>0.54198139999999995</v>
      </c>
      <c r="F1216" t="s">
        <v>42</v>
      </c>
      <c r="G1216">
        <v>-252.05250000000001</v>
      </c>
      <c r="H1216" s="1">
        <v>-3.8969830000000003E-6</v>
      </c>
      <c r="I1216">
        <v>366.76830000000001</v>
      </c>
      <c r="J1216">
        <v>-267.94439999999997</v>
      </c>
      <c r="K1216">
        <v>1.1100890000000001</v>
      </c>
      <c r="L1216">
        <v>367.0018</v>
      </c>
      <c r="M1216">
        <v>0.9998766</v>
      </c>
      <c r="N1216">
        <v>-1.403181E-2</v>
      </c>
      <c r="O1216">
        <v>-7.0739089999999998E-3</v>
      </c>
      <c r="P1216">
        <v>0.95586230000000005</v>
      </c>
      <c r="Q1216">
        <v>0.28726200000000002</v>
      </c>
      <c r="R1216">
        <v>6.170788E-2</v>
      </c>
      <c r="S1216">
        <v>3.2078250000000001</v>
      </c>
      <c r="T1216">
        <v>-0.22148119999999999</v>
      </c>
      <c r="U1216">
        <v>-4.6844480000000001E-2</v>
      </c>
      <c r="V1216">
        <v>-6.8452180000000001E-2</v>
      </c>
      <c r="W1216">
        <v>0.30064350000000001</v>
      </c>
      <c r="X1216">
        <v>0.95127689999999998</v>
      </c>
      <c r="Y1216">
        <v>7.5165709999999997E-3</v>
      </c>
      <c r="Z1216" s="1">
        <v>7.6646700000000006E-5</v>
      </c>
      <c r="AA1216">
        <v>0.99997170000000002</v>
      </c>
      <c r="AB1216">
        <v>34</v>
      </c>
      <c r="AC1216">
        <v>15.8918999999999</v>
      </c>
      <c r="AD1216">
        <v>-1.110092896983</v>
      </c>
      <c r="AE1216">
        <v>-0.23349999999999199</v>
      </c>
      <c r="AF1216">
        <v>0.12047750985172501</v>
      </c>
      <c r="AG1216">
        <v>-1.110092896983</v>
      </c>
      <c r="AH1216">
        <v>15.815998192633</v>
      </c>
      <c r="AI1216">
        <v>94.014774401383605</v>
      </c>
      <c r="AJ1216">
        <v>89.563560943322102</v>
      </c>
      <c r="AK1216">
        <v>15.8553656501413</v>
      </c>
      <c r="AL1216">
        <v>72.503742283020998</v>
      </c>
      <c r="AM1216">
        <v>94.115807478674</v>
      </c>
      <c r="AN1216">
        <v>0.999999977756305</v>
      </c>
    </row>
    <row r="1217" spans="1:40" x14ac:dyDescent="0.25">
      <c r="A1217" t="str">
        <f>"20190304164117483"</f>
        <v>20190304164117483</v>
      </c>
      <c r="B1217" t="str">
        <f>"1551688877472478"</f>
        <v>1551688877472478</v>
      </c>
      <c r="C1217" t="s">
        <v>40</v>
      </c>
      <c r="D1217">
        <v>4.2709159999999997</v>
      </c>
      <c r="E1217">
        <v>0.54202980000000001</v>
      </c>
      <c r="F1217" t="s">
        <v>42</v>
      </c>
      <c r="G1217">
        <v>-251.7122</v>
      </c>
      <c r="H1217" s="1">
        <v>-4.0423070000000002E-6</v>
      </c>
      <c r="I1217">
        <v>366.77179999999998</v>
      </c>
      <c r="J1217">
        <v>-267.7595</v>
      </c>
      <c r="K1217">
        <v>1.1101289999999999</v>
      </c>
      <c r="L1217">
        <v>367.00049999999999</v>
      </c>
      <c r="M1217">
        <v>0.99987619999999999</v>
      </c>
      <c r="N1217">
        <v>-1.406905E-2</v>
      </c>
      <c r="O1217">
        <v>-7.0742649999999997E-3</v>
      </c>
      <c r="P1217">
        <v>0.95584820000000004</v>
      </c>
      <c r="Q1217">
        <v>0.2872305</v>
      </c>
      <c r="R1217">
        <v>6.2075169999999999E-2</v>
      </c>
      <c r="S1217">
        <v>3.2073969999999998</v>
      </c>
      <c r="T1217">
        <v>-0.21934819999999999</v>
      </c>
      <c r="U1217">
        <v>-4.5440670000000002E-2</v>
      </c>
      <c r="V1217">
        <v>-6.8820419999999993E-2</v>
      </c>
      <c r="W1217">
        <v>0.3006472</v>
      </c>
      <c r="X1217">
        <v>0.95124920000000002</v>
      </c>
      <c r="Y1217">
        <v>7.0819009999999998E-3</v>
      </c>
      <c r="Z1217" s="1">
        <v>9.2003409999999995E-5</v>
      </c>
      <c r="AA1217">
        <v>0.9999749</v>
      </c>
      <c r="AB1217">
        <v>34</v>
      </c>
      <c r="AC1217">
        <v>16.0473</v>
      </c>
      <c r="AD1217">
        <v>-1.1101330423069999</v>
      </c>
      <c r="AE1217">
        <v>-0.22870000000000301</v>
      </c>
      <c r="AF1217">
        <v>0.11461182188149301</v>
      </c>
      <c r="AG1217">
        <v>-1.1101330423069999</v>
      </c>
      <c r="AH1217">
        <v>15.972094171983199</v>
      </c>
      <c r="AI1217">
        <v>93.975820535129699</v>
      </c>
      <c r="AJ1217">
        <v>89.588866625879206</v>
      </c>
      <c r="AK1217">
        <v>16.0110375516403</v>
      </c>
      <c r="AL1217">
        <v>72.503520674029104</v>
      </c>
      <c r="AM1217">
        <v>94.137991927780305</v>
      </c>
      <c r="AN1217">
        <v>1.00000001478872</v>
      </c>
    </row>
    <row r="1218" spans="1:40" x14ac:dyDescent="0.25">
      <c r="A1218" t="str">
        <f>"20190304164117495"</f>
        <v>20190304164117495</v>
      </c>
      <c r="B1218" t="str">
        <f>"1551688877482238"</f>
        <v>1551688877482238</v>
      </c>
      <c r="C1218" t="s">
        <v>40</v>
      </c>
      <c r="D1218">
        <v>4.2985249999999997</v>
      </c>
      <c r="E1218">
        <v>0.54205349999999997</v>
      </c>
      <c r="F1218" t="s">
        <v>41</v>
      </c>
      <c r="G1218">
        <v>-266.73469999999998</v>
      </c>
      <c r="H1218">
        <v>1.040697</v>
      </c>
      <c r="I1218">
        <v>366.98590000000002</v>
      </c>
      <c r="J1218">
        <v>-267.55739999999997</v>
      </c>
      <c r="K1218">
        <v>1.1101620000000001</v>
      </c>
      <c r="L1218">
        <v>366.9991</v>
      </c>
      <c r="M1218">
        <v>0.99987550000000003</v>
      </c>
      <c r="N1218">
        <v>-1.4105360000000001E-2</v>
      </c>
      <c r="O1218">
        <v>-7.0735490000000002E-3</v>
      </c>
      <c r="P1218">
        <v>0.95573710000000001</v>
      </c>
      <c r="Q1218">
        <v>0.28757080000000002</v>
      </c>
      <c r="R1218">
        <v>6.2207579999999998E-2</v>
      </c>
      <c r="S1218">
        <v>3.2068479999999999</v>
      </c>
      <c r="T1218">
        <v>-0.21747169999999999</v>
      </c>
      <c r="U1218">
        <v>-4.5227049999999998E-2</v>
      </c>
      <c r="V1218">
        <v>-6.8952520000000003E-2</v>
      </c>
      <c r="W1218">
        <v>0.30102050000000002</v>
      </c>
      <c r="X1218">
        <v>0.95112160000000001</v>
      </c>
      <c r="Y1218">
        <v>7.0186759999999997E-3</v>
      </c>
      <c r="Z1218" s="1">
        <v>9.2147850000000002E-5</v>
      </c>
      <c r="AA1218">
        <v>0.99997539999999996</v>
      </c>
      <c r="AB1218">
        <v>34</v>
      </c>
      <c r="AC1218">
        <v>0.82269999999999699</v>
      </c>
      <c r="AD1218">
        <v>-6.9465000000000096E-2</v>
      </c>
      <c r="AE1218">
        <v>-1.31999999999834E-2</v>
      </c>
      <c r="AF1218">
        <v>7.3274555180019999E-3</v>
      </c>
      <c r="AG1218">
        <v>-6.9465000000000096E-2</v>
      </c>
      <c r="AH1218">
        <v>0.81694998188540102</v>
      </c>
      <c r="AI1218">
        <v>94.859957019413599</v>
      </c>
      <c r="AJ1218">
        <v>89.486111723635105</v>
      </c>
      <c r="AK1218">
        <v>0.81993069873735402</v>
      </c>
      <c r="AL1218">
        <v>72.481093785334593</v>
      </c>
      <c r="AM1218">
        <v>94.146461349676997</v>
      </c>
      <c r="AN1218">
        <v>1.0000000447105699</v>
      </c>
    </row>
    <row r="1219" spans="1:40" x14ac:dyDescent="0.25">
      <c r="A1219" t="str">
        <f>"20190304164117509"</f>
        <v>20190304164117509</v>
      </c>
      <c r="B1219" t="str">
        <f>"1551688877502734"</f>
        <v>1551688877502734</v>
      </c>
      <c r="C1219" t="s">
        <v>40</v>
      </c>
      <c r="D1219">
        <v>4.2896809999999999</v>
      </c>
      <c r="E1219">
        <v>0.542134</v>
      </c>
      <c r="F1219" t="s">
        <v>42</v>
      </c>
      <c r="G1219">
        <v>-250.9924</v>
      </c>
      <c r="H1219" s="1">
        <v>-4.352499E-6</v>
      </c>
      <c r="I1219">
        <v>366.76409999999998</v>
      </c>
      <c r="J1219">
        <v>-267.34989999999999</v>
      </c>
      <c r="K1219">
        <v>1.1101989999999999</v>
      </c>
      <c r="L1219">
        <v>366.99759999999998</v>
      </c>
      <c r="M1219">
        <v>0.99987510000000002</v>
      </c>
      <c r="N1219">
        <v>-1.41402E-2</v>
      </c>
      <c r="O1219">
        <v>-7.0729440000000003E-3</v>
      </c>
      <c r="P1219">
        <v>0.95555349999999994</v>
      </c>
      <c r="Q1219">
        <v>0.28811029999999999</v>
      </c>
      <c r="R1219">
        <v>6.253177E-2</v>
      </c>
      <c r="S1219">
        <v>3.2065730000000001</v>
      </c>
      <c r="T1219">
        <v>-0.21489910000000001</v>
      </c>
      <c r="U1219">
        <v>-4.5471190000000002E-2</v>
      </c>
      <c r="V1219">
        <v>-6.9275039999999996E-2</v>
      </c>
      <c r="W1219">
        <v>0.30159019999999997</v>
      </c>
      <c r="X1219">
        <v>0.95091760000000003</v>
      </c>
      <c r="Y1219">
        <v>7.0964890000000001E-3</v>
      </c>
      <c r="Z1219" s="1">
        <v>8.5761649999999999E-5</v>
      </c>
      <c r="AA1219">
        <v>0.99997480000000005</v>
      </c>
      <c r="AB1219">
        <v>34</v>
      </c>
      <c r="AC1219">
        <v>16.357499999999899</v>
      </c>
      <c r="AD1219">
        <v>-1.110203352499</v>
      </c>
      <c r="AE1219">
        <v>-0.23349999999999199</v>
      </c>
      <c r="AF1219">
        <v>0.117246931265199</v>
      </c>
      <c r="AG1219">
        <v>-1.110203352499</v>
      </c>
      <c r="AH1219">
        <v>16.2837466356115</v>
      </c>
      <c r="AI1219">
        <v>93.900210485533094</v>
      </c>
      <c r="AJ1219">
        <v>89.587463598785703</v>
      </c>
      <c r="AK1219">
        <v>16.321969942981099</v>
      </c>
      <c r="AL1219">
        <v>72.446860373605602</v>
      </c>
      <c r="AM1219">
        <v>94.166678514676093</v>
      </c>
      <c r="AN1219">
        <v>0.99999998094639997</v>
      </c>
    </row>
    <row r="1220" spans="1:40" x14ac:dyDescent="0.25">
      <c r="A1220" t="str">
        <f>"20190304164117522"</f>
        <v>20190304164117522</v>
      </c>
      <c r="B1220" t="str">
        <f>"1551688877512494"</f>
        <v>1551688877512494</v>
      </c>
      <c r="C1220" t="s">
        <v>40</v>
      </c>
      <c r="D1220">
        <v>4.3996820000000003</v>
      </c>
      <c r="E1220">
        <v>0.54228019999999999</v>
      </c>
      <c r="F1220" t="s">
        <v>42</v>
      </c>
      <c r="G1220">
        <v>-250.3963</v>
      </c>
      <c r="H1220" s="1">
        <v>-4.6093930000000003E-6</v>
      </c>
      <c r="I1220">
        <v>366.75740000000002</v>
      </c>
      <c r="J1220">
        <v>-267.15989999999999</v>
      </c>
      <c r="K1220">
        <v>1.110228</v>
      </c>
      <c r="L1220">
        <v>366.99619999999999</v>
      </c>
      <c r="M1220">
        <v>0.99987470000000001</v>
      </c>
      <c r="N1220">
        <v>-1.417027E-2</v>
      </c>
      <c r="O1220">
        <v>-7.0720720000000004E-3</v>
      </c>
      <c r="P1220">
        <v>0.95557610000000004</v>
      </c>
      <c r="Q1220">
        <v>0.28797489999999998</v>
      </c>
      <c r="R1220">
        <v>6.2808379999999997E-2</v>
      </c>
      <c r="S1220">
        <v>3.2058409999999999</v>
      </c>
      <c r="T1220">
        <v>-0.20993329999999999</v>
      </c>
      <c r="U1220">
        <v>-4.5410159999999998E-2</v>
      </c>
      <c r="V1220">
        <v>-6.9551849999999998E-2</v>
      </c>
      <c r="W1220">
        <v>0.30148340000000001</v>
      </c>
      <c r="X1220">
        <v>0.95093130000000003</v>
      </c>
      <c r="Y1220">
        <v>7.0818139999999996E-3</v>
      </c>
      <c r="Z1220" s="1">
        <v>8.0592410000000005E-5</v>
      </c>
      <c r="AA1220">
        <v>0.9999749</v>
      </c>
      <c r="AB1220">
        <v>34</v>
      </c>
      <c r="AC1220">
        <v>16.763599999999901</v>
      </c>
      <c r="AD1220">
        <v>-1.1102326093929999</v>
      </c>
      <c r="AE1220">
        <v>-0.23879999999996901</v>
      </c>
      <c r="AF1220">
        <v>0.119703805640241</v>
      </c>
      <c r="AG1220">
        <v>-1.1102326093929999</v>
      </c>
      <c r="AH1220">
        <v>16.691670695387799</v>
      </c>
      <c r="AI1220">
        <v>93.805278384301104</v>
      </c>
      <c r="AJ1220">
        <v>89.589112114314503</v>
      </c>
      <c r="AK1220">
        <v>16.7289813213869</v>
      </c>
      <c r="AL1220">
        <v>72.453278973848199</v>
      </c>
      <c r="AM1220">
        <v>94.183208733981601</v>
      </c>
      <c r="AN1220">
        <v>1.0000000188168301</v>
      </c>
    </row>
    <row r="1221" spans="1:40" x14ac:dyDescent="0.25">
      <c r="A1221" t="str">
        <f>"20190304164117533"</f>
        <v>20190304164117533</v>
      </c>
      <c r="B1221" t="str">
        <f>"1551688877522761"</f>
        <v>1551688877522761</v>
      </c>
      <c r="C1221" t="s">
        <v>40</v>
      </c>
      <c r="D1221">
        <v>4.3119129999999997</v>
      </c>
      <c r="E1221">
        <v>0.54231689999999999</v>
      </c>
      <c r="F1221" t="s">
        <v>41</v>
      </c>
      <c r="G1221">
        <v>-266.125</v>
      </c>
      <c r="H1221">
        <v>1.042843</v>
      </c>
      <c r="I1221">
        <v>366.98140000000001</v>
      </c>
      <c r="J1221">
        <v>-266.9982</v>
      </c>
      <c r="K1221">
        <v>1.11025</v>
      </c>
      <c r="L1221">
        <v>366.99509999999998</v>
      </c>
      <c r="M1221">
        <v>0.99987440000000005</v>
      </c>
      <c r="N1221">
        <v>-1.4192929999999999E-2</v>
      </c>
      <c r="O1221">
        <v>-7.0713900000000003E-3</v>
      </c>
      <c r="P1221">
        <v>0.95557959999999997</v>
      </c>
      <c r="Q1221">
        <v>0.28792139999999999</v>
      </c>
      <c r="R1221">
        <v>6.300298E-2</v>
      </c>
      <c r="S1221">
        <v>3.2054140000000002</v>
      </c>
      <c r="T1221">
        <v>-0.20886550000000001</v>
      </c>
      <c r="U1221">
        <v>-4.5776369999999997E-2</v>
      </c>
      <c r="V1221">
        <v>-6.9746639999999999E-2</v>
      </c>
      <c r="W1221">
        <v>0.30145149999999998</v>
      </c>
      <c r="X1221">
        <v>0.95092710000000003</v>
      </c>
      <c r="Y1221">
        <v>7.1983380000000003E-3</v>
      </c>
      <c r="Z1221" s="1">
        <v>7.4554580000000005E-5</v>
      </c>
      <c r="AA1221">
        <v>0.99997409999999998</v>
      </c>
      <c r="AB1221">
        <v>34</v>
      </c>
      <c r="AC1221">
        <v>0.87319999999999698</v>
      </c>
      <c r="AD1221">
        <v>-6.7406999999999995E-2</v>
      </c>
      <c r="AE1221">
        <v>-1.3699999999971599E-2</v>
      </c>
      <c r="AF1221">
        <v>7.4797367161579002E-3</v>
      </c>
      <c r="AG1221">
        <v>-6.7406999999999995E-2</v>
      </c>
      <c r="AH1221">
        <v>0.86810318823965504</v>
      </c>
      <c r="AI1221">
        <v>94.439863979070594</v>
      </c>
      <c r="AJ1221">
        <v>89.506341242822799</v>
      </c>
      <c r="AK1221">
        <v>0.87074841116260204</v>
      </c>
      <c r="AL1221">
        <v>72.455195098636395</v>
      </c>
      <c r="AM1221">
        <v>94.194901111768203</v>
      </c>
      <c r="AN1221">
        <v>0.99999997507897398</v>
      </c>
    </row>
    <row r="1222" spans="1:40" x14ac:dyDescent="0.25">
      <c r="A1222" t="str">
        <f>"20190304164117544"</f>
        <v>20190304164117544</v>
      </c>
      <c r="B1222" t="str">
        <f>"1551688877532520"</f>
        <v>1551688877532520</v>
      </c>
      <c r="C1222" t="s">
        <v>40</v>
      </c>
      <c r="D1222">
        <v>4.321917</v>
      </c>
      <c r="E1222">
        <v>0.54234499999999997</v>
      </c>
      <c r="F1222" t="s">
        <v>42</v>
      </c>
      <c r="G1222">
        <v>-249.87799999999999</v>
      </c>
      <c r="H1222" s="1">
        <v>-7.9270560000000004E-7</v>
      </c>
      <c r="I1222">
        <v>366.75380000000001</v>
      </c>
      <c r="J1222">
        <v>-266.83440000000002</v>
      </c>
      <c r="K1222">
        <v>1.1102700000000001</v>
      </c>
      <c r="L1222">
        <v>366.9939</v>
      </c>
      <c r="M1222">
        <v>0.99987409999999999</v>
      </c>
      <c r="N1222">
        <v>-1.421537E-2</v>
      </c>
      <c r="O1222">
        <v>-7.0707060000000004E-3</v>
      </c>
      <c r="P1222">
        <v>0.95552239999999999</v>
      </c>
      <c r="Q1222">
        <v>0.288043099999999</v>
      </c>
      <c r="R1222">
        <v>6.3312170000000001E-2</v>
      </c>
      <c r="S1222">
        <v>3.2050169999999998</v>
      </c>
      <c r="T1222">
        <v>-0.20784630000000001</v>
      </c>
      <c r="U1222">
        <v>-4.5166020000000001E-2</v>
      </c>
      <c r="V1222">
        <v>-7.0054370000000005E-2</v>
      </c>
      <c r="W1222">
        <v>0.30159380000000002</v>
      </c>
      <c r="X1222">
        <v>0.95085940000000002</v>
      </c>
      <c r="Y1222">
        <v>7.0109079999999997E-3</v>
      </c>
      <c r="Z1222" s="1">
        <v>8.0612589999999994E-5</v>
      </c>
      <c r="AA1222">
        <v>0.99997539999999996</v>
      </c>
      <c r="AB1222">
        <v>34</v>
      </c>
      <c r="AC1222">
        <v>16.956399999999999</v>
      </c>
      <c r="AD1222">
        <v>-1.1102707927055999</v>
      </c>
      <c r="AE1222">
        <v>-0.24009999999998399</v>
      </c>
      <c r="AF1222">
        <v>0.119675190698233</v>
      </c>
      <c r="AG1222">
        <v>-1.1102707927055999</v>
      </c>
      <c r="AH1222">
        <v>16.8852949687173</v>
      </c>
      <c r="AI1222">
        <v>93.761900382882899</v>
      </c>
      <c r="AJ1222">
        <v>89.593920713782595</v>
      </c>
      <c r="AK1222">
        <v>16.922180993152001</v>
      </c>
      <c r="AL1222">
        <v>72.446644684570003</v>
      </c>
      <c r="AM1222">
        <v>94.213641883569693</v>
      </c>
      <c r="AN1222">
        <v>1.00000001676144</v>
      </c>
    </row>
    <row r="1223" spans="1:40" x14ac:dyDescent="0.25">
      <c r="A1223" t="str">
        <f>"20190304164117554"</f>
        <v>20190304164117554</v>
      </c>
      <c r="B1223" t="str">
        <f>"1551688877542283"</f>
        <v>1551688877542283</v>
      </c>
      <c r="C1223" t="s">
        <v>40</v>
      </c>
      <c r="D1223">
        <v>4.3236439999999998</v>
      </c>
      <c r="E1223">
        <v>0.54236410000000002</v>
      </c>
      <c r="F1223" t="s">
        <v>42</v>
      </c>
      <c r="G1223">
        <v>-249.6208</v>
      </c>
      <c r="H1223" s="1">
        <v>-8.9147509999999899E-7</v>
      </c>
      <c r="I1223">
        <v>366.75380000000001</v>
      </c>
      <c r="J1223">
        <v>-266.67419999999998</v>
      </c>
      <c r="K1223">
        <v>1.11029</v>
      </c>
      <c r="L1223">
        <v>366.99279999999999</v>
      </c>
      <c r="M1223">
        <v>0.99987380000000003</v>
      </c>
      <c r="N1223">
        <v>-1.423522E-2</v>
      </c>
      <c r="O1223">
        <v>-7.070125E-3</v>
      </c>
      <c r="P1223">
        <v>0.9554397</v>
      </c>
      <c r="Q1223">
        <v>0.288217</v>
      </c>
      <c r="R1223">
        <v>6.3769039999999999E-2</v>
      </c>
      <c r="S1223">
        <v>3.2049259999999999</v>
      </c>
      <c r="T1223">
        <v>-0.20671690000000001</v>
      </c>
      <c r="U1223">
        <v>-4.4708249999999998E-2</v>
      </c>
      <c r="V1223">
        <v>-7.051056E-2</v>
      </c>
      <c r="W1223">
        <v>0.30178529999999998</v>
      </c>
      <c r="X1223">
        <v>0.95076490000000002</v>
      </c>
      <c r="Y1223">
        <v>6.8694869999999996E-3</v>
      </c>
      <c r="Z1223" s="1">
        <v>8.4691390000000006E-5</v>
      </c>
      <c r="AA1223">
        <v>0.99997639999999999</v>
      </c>
      <c r="AB1223">
        <v>34</v>
      </c>
      <c r="AC1223">
        <v>17.0533999999999</v>
      </c>
      <c r="AD1223">
        <v>-1.1102908914751</v>
      </c>
      <c r="AE1223">
        <v>-0.23899999999997501</v>
      </c>
      <c r="AF1223">
        <v>0.117912433239104</v>
      </c>
      <c r="AG1223">
        <v>-1.1102908914751</v>
      </c>
      <c r="AH1223">
        <v>16.982690090668498</v>
      </c>
      <c r="AI1223">
        <v>93.740458736112402</v>
      </c>
      <c r="AJ1223">
        <v>89.602196343191494</v>
      </c>
      <c r="AK1223">
        <v>17.0193540394839</v>
      </c>
      <c r="AL1223">
        <v>72.435136034025106</v>
      </c>
      <c r="AM1223">
        <v>94.241401073352606</v>
      </c>
      <c r="AN1223">
        <v>1.0000000007198</v>
      </c>
    </row>
    <row r="1224" spans="1:40" x14ac:dyDescent="0.25">
      <c r="A1224" t="str">
        <f>"20190304164117567"</f>
        <v>20190304164117567</v>
      </c>
      <c r="B1224" t="str">
        <f>"1551688877562780"</f>
        <v>1551688877562780</v>
      </c>
      <c r="C1224" t="s">
        <v>40</v>
      </c>
      <c r="D1224">
        <v>4.3376859999999997</v>
      </c>
      <c r="E1224">
        <v>0.54239700000000002</v>
      </c>
      <c r="F1224" t="s">
        <v>42</v>
      </c>
      <c r="G1224">
        <v>-249.37100000000001</v>
      </c>
      <c r="H1224" s="1">
        <v>-9.8606890000000002E-7</v>
      </c>
      <c r="I1224">
        <v>366.75880000000001</v>
      </c>
      <c r="J1224">
        <v>-266.4846</v>
      </c>
      <c r="K1224">
        <v>1.110306</v>
      </c>
      <c r="L1224">
        <v>366.9914</v>
      </c>
      <c r="M1224">
        <v>0.99987340000000002</v>
      </c>
      <c r="N1224">
        <v>-1.4257529999999999E-2</v>
      </c>
      <c r="O1224">
        <v>-7.0696800000000001E-3</v>
      </c>
      <c r="P1224">
        <v>0.95531169999999999</v>
      </c>
      <c r="Q1224">
        <v>0.28856179999999998</v>
      </c>
      <c r="R1224">
        <v>6.4125719999999997E-2</v>
      </c>
      <c r="S1224">
        <v>3.204834</v>
      </c>
      <c r="T1224">
        <v>-0.2056442</v>
      </c>
      <c r="U1224">
        <v>-4.3334959999999999E-2</v>
      </c>
      <c r="V1224">
        <v>-7.0866029999999997E-2</v>
      </c>
      <c r="W1224">
        <v>0.30214940000000001</v>
      </c>
      <c r="X1224">
        <v>0.95062290000000005</v>
      </c>
      <c r="Y1224">
        <v>6.4430169999999997E-3</v>
      </c>
      <c r="Z1224" s="1">
        <v>9.9941199999999998E-5</v>
      </c>
      <c r="AA1224">
        <v>0.99997930000000002</v>
      </c>
      <c r="AB1224">
        <v>34</v>
      </c>
      <c r="AC1224">
        <v>17.113600000000002</v>
      </c>
      <c r="AD1224">
        <v>-1.1103069860688899</v>
      </c>
      <c r="AE1224">
        <v>-0.23259999999999001</v>
      </c>
      <c r="AF1224">
        <v>0.111126544359078</v>
      </c>
      <c r="AG1224">
        <v>-1.1103069860688899</v>
      </c>
      <c r="AH1224">
        <v>17.043091646202001</v>
      </c>
      <c r="AI1224">
        <v>93.727304254488104</v>
      </c>
      <c r="AJ1224">
        <v>89.626418029859195</v>
      </c>
      <c r="AK1224">
        <v>17.079581481201899</v>
      </c>
      <c r="AL1224">
        <v>72.413254475991295</v>
      </c>
      <c r="AM1224">
        <v>94.263339334414098</v>
      </c>
      <c r="AN1224">
        <v>1.0000000760663601</v>
      </c>
    </row>
    <row r="1225" spans="1:40" x14ac:dyDescent="0.25">
      <c r="A1225" t="str">
        <f>"20190304164117577"</f>
        <v>20190304164117577</v>
      </c>
      <c r="B1225" t="str">
        <f>"1551688877572539"</f>
        <v>1551688877572539</v>
      </c>
      <c r="C1225" t="s">
        <v>40</v>
      </c>
      <c r="D1225">
        <v>4.3569639999999996</v>
      </c>
      <c r="E1225">
        <v>0.54241439999999996</v>
      </c>
      <c r="F1225" t="s">
        <v>42</v>
      </c>
      <c r="G1225">
        <v>-248.9948</v>
      </c>
      <c r="H1225" s="1">
        <v>-1.130805E-6</v>
      </c>
      <c r="I1225">
        <v>366.75790000000001</v>
      </c>
      <c r="J1225">
        <v>-266.32679999999999</v>
      </c>
      <c r="K1225">
        <v>1.11032</v>
      </c>
      <c r="L1225">
        <v>366.99029999999999</v>
      </c>
      <c r="M1225">
        <v>0.99987320000000002</v>
      </c>
      <c r="N1225">
        <v>-1.4274790000000001E-2</v>
      </c>
      <c r="O1225">
        <v>-7.0694399999999998E-3</v>
      </c>
      <c r="P1225">
        <v>0.95522229999999997</v>
      </c>
      <c r="Q1225">
        <v>0.28879490000000002</v>
      </c>
      <c r="R1225">
        <v>6.4406130000000006E-2</v>
      </c>
      <c r="S1225">
        <v>3.2046510000000001</v>
      </c>
      <c r="T1225">
        <v>-0.2034405</v>
      </c>
      <c r="U1225">
        <v>-4.278564E-2</v>
      </c>
      <c r="V1225">
        <v>-7.1145739999999999E-2</v>
      </c>
      <c r="W1225">
        <v>0.30239709999999997</v>
      </c>
      <c r="X1225">
        <v>0.95052320000000001</v>
      </c>
      <c r="Y1225">
        <v>6.2731339999999997E-3</v>
      </c>
      <c r="Z1225">
        <v>1.037281E-4</v>
      </c>
      <c r="AA1225">
        <v>0.99998030000000004</v>
      </c>
      <c r="AB1225">
        <v>34</v>
      </c>
      <c r="AC1225">
        <v>17.331999999999901</v>
      </c>
      <c r="AD1225">
        <v>-1.1103211308050001</v>
      </c>
      <c r="AE1225">
        <v>-0.23239999999998401</v>
      </c>
      <c r="AF1225">
        <v>0.109405270942314</v>
      </c>
      <c r="AG1225">
        <v>-1.1103211308050001</v>
      </c>
      <c r="AH1225">
        <v>17.262379066140401</v>
      </c>
      <c r="AI1225">
        <v>93.680137579663196</v>
      </c>
      <c r="AJ1225">
        <v>89.636876450809496</v>
      </c>
      <c r="AK1225">
        <v>17.298396271040399</v>
      </c>
      <c r="AL1225">
        <v>72.398365151269303</v>
      </c>
      <c r="AM1225">
        <v>94.280551701198306</v>
      </c>
      <c r="AN1225">
        <v>1.00000003807339</v>
      </c>
    </row>
    <row r="1226" spans="1:40" x14ac:dyDescent="0.25">
      <c r="A1226" t="str">
        <f>"20190304164117589"</f>
        <v>20190304164117589</v>
      </c>
      <c r="B1226" t="str">
        <f>"1551688877582299"</f>
        <v>1551688877582299</v>
      </c>
      <c r="C1226" t="s">
        <v>40</v>
      </c>
      <c r="D1226">
        <v>4.3675199999999998</v>
      </c>
      <c r="E1226">
        <v>0.54244709999999996</v>
      </c>
      <c r="F1226" t="s">
        <v>42</v>
      </c>
      <c r="G1226">
        <v>-248.75040000000001</v>
      </c>
      <c r="H1226" s="1">
        <v>-1.2247699999999999E-6</v>
      </c>
      <c r="I1226">
        <v>366.75749999999999</v>
      </c>
      <c r="J1226">
        <v>-266.1601</v>
      </c>
      <c r="K1226">
        <v>1.1103339999999999</v>
      </c>
      <c r="L1226">
        <v>366.98910000000001</v>
      </c>
      <c r="M1226">
        <v>0.99987300000000001</v>
      </c>
      <c r="N1226">
        <v>-1.429153E-2</v>
      </c>
      <c r="O1226">
        <v>-7.0694360000000001E-3</v>
      </c>
      <c r="P1226">
        <v>0.95517929999999995</v>
      </c>
      <c r="Q1226">
        <v>0.28887119999999999</v>
      </c>
      <c r="R1226">
        <v>6.4701830000000002E-2</v>
      </c>
      <c r="S1226">
        <v>3.204742</v>
      </c>
      <c r="T1226">
        <v>-0.20244619999999999</v>
      </c>
      <c r="U1226">
        <v>-4.244995E-2</v>
      </c>
      <c r="V1226">
        <v>-7.1441340000000006E-2</v>
      </c>
      <c r="W1226">
        <v>0.3024889</v>
      </c>
      <c r="X1226">
        <v>0.95047179999999998</v>
      </c>
      <c r="Y1226">
        <v>6.168303E-3</v>
      </c>
      <c r="Z1226">
        <v>1.0639100000000001E-4</v>
      </c>
      <c r="AA1226">
        <v>0.99998100000000001</v>
      </c>
      <c r="AB1226">
        <v>34</v>
      </c>
      <c r="AC1226">
        <v>17.409699999999901</v>
      </c>
      <c r="AD1226">
        <v>-1.11033522477</v>
      </c>
      <c r="AE1226">
        <v>-0.23160000000001399</v>
      </c>
      <c r="AF1226">
        <v>0.108065418917369</v>
      </c>
      <c r="AG1226">
        <v>-1.11033522477</v>
      </c>
      <c r="AH1226">
        <v>17.340383092720099</v>
      </c>
      <c r="AI1226">
        <v>93.663676834219601</v>
      </c>
      <c r="AJ1226">
        <v>89.642936824029306</v>
      </c>
      <c r="AK1226">
        <v>17.376231128999802</v>
      </c>
      <c r="AL1226">
        <v>72.392846660576197</v>
      </c>
      <c r="AM1226">
        <v>94.298501815626096</v>
      </c>
      <c r="AN1226">
        <v>1.00000002113972</v>
      </c>
    </row>
    <row r="1227" spans="1:40" x14ac:dyDescent="0.25">
      <c r="A1227" t="str">
        <f>"20190304164117599"</f>
        <v>20190304164117599</v>
      </c>
      <c r="B1227" t="str">
        <f>"1551688877592059"</f>
        <v>1551688877592059</v>
      </c>
      <c r="C1227" t="s">
        <v>40</v>
      </c>
      <c r="D1227">
        <v>4.374447</v>
      </c>
      <c r="E1227">
        <v>0.54248980000000002</v>
      </c>
      <c r="F1227" t="s">
        <v>42</v>
      </c>
      <c r="G1227">
        <v>-248.53489999999999</v>
      </c>
      <c r="H1227" s="1">
        <v>-1.306479E-6</v>
      </c>
      <c r="I1227">
        <v>366.76139999999998</v>
      </c>
      <c r="J1227">
        <v>-265.99259999999998</v>
      </c>
      <c r="K1227">
        <v>1.1103510000000001</v>
      </c>
      <c r="L1227">
        <v>366.98790000000002</v>
      </c>
      <c r="M1227">
        <v>0.99987269999999995</v>
      </c>
      <c r="N1227">
        <v>-1.4307500000000001E-2</v>
      </c>
      <c r="O1227">
        <v>-7.0691879999999997E-3</v>
      </c>
      <c r="P1227">
        <v>0.95516730000000005</v>
      </c>
      <c r="Q1227">
        <v>0.28892210000000002</v>
      </c>
      <c r="R1227">
        <v>6.465108E-2</v>
      </c>
      <c r="S1227">
        <v>3.2046510000000001</v>
      </c>
      <c r="T1227">
        <v>-0.20188390000000001</v>
      </c>
      <c r="U1227">
        <v>-4.1412350000000001E-2</v>
      </c>
      <c r="V1227">
        <v>-7.1390380000000003E-2</v>
      </c>
      <c r="W1227">
        <v>0.302554299999999</v>
      </c>
      <c r="X1227">
        <v>0.95045480000000004</v>
      </c>
      <c r="Y1227">
        <v>5.846001E-3</v>
      </c>
      <c r="Z1227">
        <v>1.179774E-4</v>
      </c>
      <c r="AA1227">
        <v>0.99998290000000001</v>
      </c>
      <c r="AB1227">
        <v>34</v>
      </c>
      <c r="AC1227">
        <v>17.4576999999999</v>
      </c>
      <c r="AD1227">
        <v>-1.110352306479</v>
      </c>
      <c r="AE1227">
        <v>-0.226500000000044</v>
      </c>
      <c r="AF1227">
        <v>0.102654752003129</v>
      </c>
      <c r="AG1227">
        <v>-1.110352306479</v>
      </c>
      <c r="AH1227">
        <v>17.3885355419308</v>
      </c>
      <c r="AI1227">
        <v>93.653622189683205</v>
      </c>
      <c r="AJ1227">
        <v>89.661753245762895</v>
      </c>
      <c r="AK1227">
        <v>17.424252883139701</v>
      </c>
      <c r="AL1227">
        <v>72.388915079229506</v>
      </c>
      <c r="AM1227">
        <v>94.295523662184394</v>
      </c>
      <c r="AN1227">
        <v>1.00000000882403</v>
      </c>
    </row>
    <row r="1228" spans="1:40" x14ac:dyDescent="0.25">
      <c r="A1228" t="str">
        <f>"20190304164117611"</f>
        <v>20190304164117611</v>
      </c>
      <c r="B1228" t="str">
        <f>"1551688877602796"</f>
        <v>1551688877602796</v>
      </c>
      <c r="C1228" t="s">
        <v>40</v>
      </c>
      <c r="D1228">
        <v>4.4222000000000001</v>
      </c>
      <c r="E1228">
        <v>0.5426858</v>
      </c>
      <c r="F1228" t="s">
        <v>42</v>
      </c>
      <c r="G1228">
        <v>-248.31960000000001</v>
      </c>
      <c r="H1228" s="1">
        <v>-1.3900729999999999E-6</v>
      </c>
      <c r="I1228">
        <v>366.75790000000001</v>
      </c>
      <c r="J1228">
        <v>-265.82830000000001</v>
      </c>
      <c r="K1228">
        <v>1.1103620000000001</v>
      </c>
      <c r="L1228">
        <v>366.98680000000002</v>
      </c>
      <c r="M1228">
        <v>0.9998726</v>
      </c>
      <c r="N1228">
        <v>-1.4321540000000001E-2</v>
      </c>
      <c r="O1228">
        <v>-7.0690469999999898E-3</v>
      </c>
      <c r="P1228">
        <v>0.95517189999999996</v>
      </c>
      <c r="Q1228">
        <v>0.28891650000000002</v>
      </c>
      <c r="R1228">
        <v>6.460755E-2</v>
      </c>
      <c r="S1228">
        <v>3.204529</v>
      </c>
      <c r="T1228">
        <v>-0.2013335</v>
      </c>
      <c r="U1228">
        <v>-4.1717530000000003E-2</v>
      </c>
      <c r="V1228">
        <v>-7.134712E-2</v>
      </c>
      <c r="W1228">
        <v>0.30256250000000001</v>
      </c>
      <c r="X1228">
        <v>0.95045539999999995</v>
      </c>
      <c r="Y1228">
        <v>5.9416199999999999E-3</v>
      </c>
      <c r="Z1228">
        <v>1.134435E-4</v>
      </c>
      <c r="AA1228">
        <v>0.99998240000000005</v>
      </c>
      <c r="AB1228">
        <v>34</v>
      </c>
      <c r="AC1228">
        <v>17.508700000000001</v>
      </c>
      <c r="AD1228">
        <v>-1.1103633900729999</v>
      </c>
      <c r="AE1228">
        <v>-0.22890000000001001</v>
      </c>
      <c r="AF1228">
        <v>0.104690804118088</v>
      </c>
      <c r="AG1228">
        <v>-1.1103633900729999</v>
      </c>
      <c r="AH1228">
        <v>17.439753172484298</v>
      </c>
      <c r="AI1228">
        <v>93.642955166654204</v>
      </c>
      <c r="AJ1228">
        <v>89.656057679258097</v>
      </c>
      <c r="AK1228">
        <v>17.475378615058901</v>
      </c>
      <c r="AL1228">
        <v>72.388421493017404</v>
      </c>
      <c r="AM1228">
        <v>94.292927763289697</v>
      </c>
      <c r="AN1228">
        <v>0.99999997266385099</v>
      </c>
    </row>
    <row r="1229" spans="1:40" x14ac:dyDescent="0.25">
      <c r="A1229" t="str">
        <f>"20190304164117623"</f>
        <v>20190304164117623</v>
      </c>
      <c r="B1229" t="str">
        <f>"1551688877612556"</f>
        <v>1551688877612556</v>
      </c>
      <c r="C1229" t="s">
        <v>40</v>
      </c>
      <c r="D1229">
        <v>4.4918139999999998</v>
      </c>
      <c r="E1229">
        <v>0.5426858</v>
      </c>
      <c r="F1229" t="s">
        <v>42</v>
      </c>
      <c r="G1229">
        <v>-248.1207</v>
      </c>
      <c r="H1229" s="1">
        <v>-1.468777E-6</v>
      </c>
      <c r="I1229">
        <v>366.74919999999997</v>
      </c>
      <c r="J1229">
        <v>-265.65550000000002</v>
      </c>
      <c r="K1229">
        <v>1.110376</v>
      </c>
      <c r="L1229">
        <v>366.98559999999998</v>
      </c>
      <c r="M1229">
        <v>0.99987239999999999</v>
      </c>
      <c r="N1229">
        <v>-1.4335860000000001E-2</v>
      </c>
      <c r="O1229">
        <v>-7.0691469999999996E-3</v>
      </c>
      <c r="P1229">
        <v>0.95522300000000004</v>
      </c>
      <c r="Q1229">
        <v>0.28883109999999901</v>
      </c>
      <c r="R1229">
        <v>6.4232429999999993E-2</v>
      </c>
      <c r="S1229">
        <v>3.2044980000000001</v>
      </c>
      <c r="T1229">
        <v>-0.20094010000000001</v>
      </c>
      <c r="U1229">
        <v>-4.2999269999999999E-2</v>
      </c>
      <c r="V1229">
        <v>-7.0972179999999996E-2</v>
      </c>
      <c r="W1229">
        <v>0.30249160000000003</v>
      </c>
      <c r="X1229">
        <v>0.95050599999999996</v>
      </c>
      <c r="Y1229">
        <v>6.3405850000000001E-3</v>
      </c>
      <c r="Z1229" s="1">
        <v>9.74452E-5</v>
      </c>
      <c r="AA1229">
        <v>0.99997990000000003</v>
      </c>
      <c r="AB1229">
        <v>34</v>
      </c>
      <c r="AC1229">
        <v>17.534800000000001</v>
      </c>
      <c r="AD1229">
        <v>-1.1103774687770001</v>
      </c>
      <c r="AE1229">
        <v>-0.236400000000003</v>
      </c>
      <c r="AF1229">
        <v>0.11197635388676799</v>
      </c>
      <c r="AG1229">
        <v>-1.1103774687770001</v>
      </c>
      <c r="AH1229">
        <v>17.4660078885126</v>
      </c>
      <c r="AI1229">
        <v>93.637530636847302</v>
      </c>
      <c r="AJ1229">
        <v>89.632675959769799</v>
      </c>
      <c r="AK1229">
        <v>17.501625878431501</v>
      </c>
      <c r="AL1229">
        <v>72.392682832589799</v>
      </c>
      <c r="AM1229">
        <v>94.270224954312695</v>
      </c>
      <c r="AN1229">
        <v>0.99999993722025404</v>
      </c>
    </row>
    <row r="1230" spans="1:40" x14ac:dyDescent="0.25">
      <c r="A1230" t="str">
        <f>"20190304164117635"</f>
        <v>20190304164117635</v>
      </c>
      <c r="B1230" t="str">
        <f>"1551688877622316"</f>
        <v>1551688877622316</v>
      </c>
      <c r="C1230" t="s">
        <v>40</v>
      </c>
      <c r="D1230">
        <v>4.537299</v>
      </c>
      <c r="E1230">
        <v>0.56370350000000002</v>
      </c>
      <c r="F1230" t="s">
        <v>42</v>
      </c>
      <c r="G1230">
        <v>-247.98390000000001</v>
      </c>
      <c r="H1230" s="1">
        <v>-1.522584E-6</v>
      </c>
      <c r="I1230">
        <v>366.74439999999998</v>
      </c>
      <c r="J1230">
        <v>-265.47710000000001</v>
      </c>
      <c r="K1230">
        <v>1.110382</v>
      </c>
      <c r="L1230">
        <v>366.98430000000002</v>
      </c>
      <c r="M1230">
        <v>0.99987210000000004</v>
      </c>
      <c r="N1230">
        <v>-1.434888E-2</v>
      </c>
      <c r="O1230">
        <v>-7.0691189999999996E-3</v>
      </c>
      <c r="P1230">
        <v>0.95535409999999998</v>
      </c>
      <c r="Q1230">
        <v>0.28848459999999998</v>
      </c>
      <c r="R1230">
        <v>6.384012E-2</v>
      </c>
      <c r="S1230">
        <v>3.204437</v>
      </c>
      <c r="T1230">
        <v>-0.20134759999999999</v>
      </c>
      <c r="U1230">
        <v>-4.3731689999999997E-2</v>
      </c>
      <c r="V1230">
        <v>-7.0581130000000006E-2</v>
      </c>
      <c r="W1230">
        <v>0.30215890000000001</v>
      </c>
      <c r="X1230">
        <v>0.95064099999999996</v>
      </c>
      <c r="Y1230">
        <v>6.5688119999999899E-3</v>
      </c>
      <c r="Z1230" s="1">
        <v>8.9006819999999903E-5</v>
      </c>
      <c r="AA1230">
        <v>0.99997840000000005</v>
      </c>
      <c r="AB1230">
        <v>33</v>
      </c>
      <c r="AC1230">
        <v>17.493200000000002</v>
      </c>
      <c r="AD1230">
        <v>-1.110383522584</v>
      </c>
      <c r="AE1230">
        <v>-0.239900000000034</v>
      </c>
      <c r="AF1230">
        <v>0.115753470560553</v>
      </c>
      <c r="AG1230">
        <v>-1.110383522584</v>
      </c>
      <c r="AH1230">
        <v>17.4242680435643</v>
      </c>
      <c r="AI1230">
        <v>93.646235180708999</v>
      </c>
      <c r="AJ1230">
        <v>89.619376392279705</v>
      </c>
      <c r="AK1230">
        <v>17.4599961995171</v>
      </c>
      <c r="AL1230">
        <v>72.412682165048196</v>
      </c>
      <c r="AM1230">
        <v>94.246181858180407</v>
      </c>
      <c r="AN1230">
        <v>1.0000000038211401</v>
      </c>
    </row>
    <row r="1231" spans="1:40" x14ac:dyDescent="0.25">
      <c r="A1231" t="str">
        <f>"20190304164117646"</f>
        <v>20190304164117646</v>
      </c>
      <c r="B1231" t="str">
        <f>"1551688877632075"</f>
        <v>1551688877632075</v>
      </c>
      <c r="C1231" t="s">
        <v>40</v>
      </c>
      <c r="D1231">
        <v>4.4894259999999999</v>
      </c>
      <c r="E1231">
        <v>0.56830530000000001</v>
      </c>
      <c r="F1231" t="s">
        <v>42</v>
      </c>
      <c r="G1231">
        <v>-245.81639999999999</v>
      </c>
      <c r="H1231" s="1">
        <v>-2.6579029999999999E-6</v>
      </c>
      <c r="I1231">
        <v>365.6712</v>
      </c>
      <c r="J1231">
        <v>-265.30239999999998</v>
      </c>
      <c r="K1231">
        <v>1.1103909999999999</v>
      </c>
      <c r="L1231">
        <v>366.98309999999998</v>
      </c>
      <c r="M1231">
        <v>0.99987199999999998</v>
      </c>
      <c r="N1231">
        <v>-1.436101E-2</v>
      </c>
      <c r="O1231">
        <v>-7.0689660000000003E-3</v>
      </c>
      <c r="P1231">
        <v>0.95533970000000001</v>
      </c>
      <c r="Q1231">
        <v>0.2885644</v>
      </c>
      <c r="R1231">
        <v>6.3695550000000004E-2</v>
      </c>
      <c r="S1231">
        <v>3.2092589999999999</v>
      </c>
      <c r="T1231">
        <v>-0.181251</v>
      </c>
      <c r="U1231">
        <v>-0.2143555</v>
      </c>
      <c r="V1231">
        <v>-7.0436650000000003E-2</v>
      </c>
      <c r="W1231">
        <v>0.30225030000000003</v>
      </c>
      <c r="X1231">
        <v>0.95062270000000004</v>
      </c>
      <c r="Y1231">
        <v>5.947645E-2</v>
      </c>
      <c r="Z1231">
        <v>-1.8072400000000001E-3</v>
      </c>
      <c r="AA1231">
        <v>0.99822809999999995</v>
      </c>
      <c r="AB1231">
        <v>33</v>
      </c>
      <c r="AC1231">
        <v>19.485999999999901</v>
      </c>
      <c r="AD1231">
        <v>-1.11039365790299</v>
      </c>
      <c r="AE1231">
        <v>-1.3118999999999801</v>
      </c>
      <c r="AF1231">
        <v>1.17032402824893</v>
      </c>
      <c r="AG1231">
        <v>-1.11039365790299</v>
      </c>
      <c r="AH1231">
        <v>19.431973052932399</v>
      </c>
      <c r="AI1231">
        <v>93.2645712767833</v>
      </c>
      <c r="AJ1231">
        <v>86.553426228007694</v>
      </c>
      <c r="AK1231">
        <v>19.4988258399448</v>
      </c>
      <c r="AL1231">
        <v>72.407189149192007</v>
      </c>
      <c r="AM1231">
        <v>94.2376028693281</v>
      </c>
      <c r="AN1231">
        <v>1.0000000416343</v>
      </c>
    </row>
    <row r="1232" spans="1:40" x14ac:dyDescent="0.25">
      <c r="A1232" t="str">
        <f>"20190304164117659"</f>
        <v>20190304164117659</v>
      </c>
      <c r="B1232" t="str">
        <f>"1551688877652571"</f>
        <v>1551688877652571</v>
      </c>
      <c r="C1232" t="s">
        <v>40</v>
      </c>
      <c r="D1232">
        <v>4.4575610000000001</v>
      </c>
      <c r="E1232">
        <v>0.57303210000000004</v>
      </c>
      <c r="F1232" t="s">
        <v>41</v>
      </c>
      <c r="G1232">
        <v>-264.33109999999999</v>
      </c>
      <c r="H1232">
        <v>1.0518050000000001</v>
      </c>
      <c r="I1232">
        <v>366.90730000000002</v>
      </c>
      <c r="J1232">
        <v>-265.10640000000001</v>
      </c>
      <c r="K1232">
        <v>1.1103989999999999</v>
      </c>
      <c r="L1232">
        <v>366.98169999999999</v>
      </c>
      <c r="M1232">
        <v>0.99987170000000003</v>
      </c>
      <c r="N1232">
        <v>-1.4373479999999999E-2</v>
      </c>
      <c r="O1232">
        <v>-7.0689350000000001E-3</v>
      </c>
      <c r="P1232">
        <v>0.95535110000000001</v>
      </c>
      <c r="Q1232">
        <v>0.28860599999999997</v>
      </c>
      <c r="R1232">
        <v>6.3332860000000005E-2</v>
      </c>
      <c r="S1232">
        <v>3.2155459999999998</v>
      </c>
      <c r="T1232">
        <v>-0.19404850000000001</v>
      </c>
      <c r="U1232">
        <v>-0.25027470000000002</v>
      </c>
      <c r="V1232">
        <v>-7.0074139999999993E-2</v>
      </c>
      <c r="W1232">
        <v>0.3023035</v>
      </c>
      <c r="X1232">
        <v>0.95063260000000005</v>
      </c>
      <c r="Y1232">
        <v>7.0397349999999997E-2</v>
      </c>
      <c r="Z1232">
        <v>-2.3021600000000001E-3</v>
      </c>
      <c r="AA1232">
        <v>0.99751639999999997</v>
      </c>
      <c r="AB1232">
        <v>33</v>
      </c>
      <c r="AC1232">
        <v>0.77530000000001498</v>
      </c>
      <c r="AD1232">
        <v>-5.8594E-2</v>
      </c>
      <c r="AE1232">
        <v>-7.43999999999687E-2</v>
      </c>
      <c r="AF1232">
        <v>6.8529181451362206E-2</v>
      </c>
      <c r="AG1232">
        <v>-5.8594E-2</v>
      </c>
      <c r="AH1232">
        <v>0.77144056374861603</v>
      </c>
      <c r="AI1232">
        <v>94.326531860506805</v>
      </c>
      <c r="AJ1232">
        <v>84.923583851592994</v>
      </c>
      <c r="AK1232">
        <v>0.77669173353601295</v>
      </c>
      <c r="AL1232">
        <v>72.403991862051299</v>
      </c>
      <c r="AM1232">
        <v>94.215828667849706</v>
      </c>
      <c r="AN1232">
        <v>1.0000000656958701</v>
      </c>
    </row>
    <row r="1233" spans="1:40" x14ac:dyDescent="0.25">
      <c r="A1233" t="str">
        <f>"20190304164117672"</f>
        <v>20190304164117672</v>
      </c>
      <c r="B1233" t="str">
        <f>"1551688877662332"</f>
        <v>1551688877662332</v>
      </c>
      <c r="C1233" t="s">
        <v>40</v>
      </c>
      <c r="D1233">
        <v>4.475206</v>
      </c>
      <c r="E1233">
        <v>0.57447090000000001</v>
      </c>
      <c r="F1233" t="s">
        <v>42</v>
      </c>
      <c r="G1233">
        <v>-247.9418</v>
      </c>
      <c r="H1233" s="1">
        <v>-1.8836329999999999E-6</v>
      </c>
      <c r="I1233">
        <v>365.44819999999999</v>
      </c>
      <c r="J1233">
        <v>-264.92950000000002</v>
      </c>
      <c r="K1233">
        <v>1.110414</v>
      </c>
      <c r="L1233">
        <v>366.98039999999997</v>
      </c>
      <c r="M1233">
        <v>0.99987170000000003</v>
      </c>
      <c r="N1233">
        <v>-1.4383470000000001E-2</v>
      </c>
      <c r="O1233">
        <v>-7.0690060000000001E-3</v>
      </c>
      <c r="P1233">
        <v>0.95541770000000004</v>
      </c>
      <c r="Q1233">
        <v>0.288427299999999</v>
      </c>
      <c r="R1233">
        <v>6.3140169999999995E-2</v>
      </c>
      <c r="S1233">
        <v>3.2222599999999999</v>
      </c>
      <c r="T1233">
        <v>-0.20845230000000001</v>
      </c>
      <c r="U1233">
        <v>-0.28787230000000003</v>
      </c>
      <c r="V1233">
        <v>-6.9881319999999997E-2</v>
      </c>
      <c r="W1233">
        <v>0.30213519999999999</v>
      </c>
      <c r="X1233">
        <v>0.9507002</v>
      </c>
      <c r="Y1233">
        <v>8.1741679999999997E-2</v>
      </c>
      <c r="Z1233">
        <v>-2.8713300000000001E-3</v>
      </c>
      <c r="AA1233">
        <v>0.99664940000000002</v>
      </c>
      <c r="AB1233">
        <v>33</v>
      </c>
      <c r="AC1233">
        <v>16.9877</v>
      </c>
      <c r="AD1233">
        <v>-1.110415883633</v>
      </c>
      <c r="AE1233">
        <v>-1.53219999999998</v>
      </c>
      <c r="AF1233">
        <v>1.4061037718012801</v>
      </c>
      <c r="AG1233">
        <v>-1.110415883633</v>
      </c>
      <c r="AH1233">
        <v>16.926370041729101</v>
      </c>
      <c r="AI1233">
        <v>93.740532941594196</v>
      </c>
      <c r="AJ1233">
        <v>85.2512409014616</v>
      </c>
      <c r="AK1233">
        <v>17.020932819362301</v>
      </c>
      <c r="AL1233">
        <v>72.414106114396105</v>
      </c>
      <c r="AM1233">
        <v>94.203971931742103</v>
      </c>
      <c r="AN1233">
        <v>0.99999997412201003</v>
      </c>
    </row>
    <row r="1234" spans="1:40" x14ac:dyDescent="0.25">
      <c r="A1234" t="str">
        <f>"20190304164117684"</f>
        <v>20190304164117684</v>
      </c>
      <c r="B1234" t="str">
        <f>"1551688877672091"</f>
        <v>1551688877672091</v>
      </c>
      <c r="C1234" t="s">
        <v>40</v>
      </c>
      <c r="D1234">
        <v>4.4561380000000002</v>
      </c>
      <c r="E1234">
        <v>0.57543710000000003</v>
      </c>
      <c r="F1234" t="s">
        <v>41</v>
      </c>
      <c r="G1234">
        <v>-264.03280000000001</v>
      </c>
      <c r="H1234">
        <v>1.0514129999999999</v>
      </c>
      <c r="I1234">
        <v>366.89670000000001</v>
      </c>
      <c r="J1234">
        <v>-264.73129999999998</v>
      </c>
      <c r="K1234">
        <v>1.110422</v>
      </c>
      <c r="L1234">
        <v>366.97910000000002</v>
      </c>
      <c r="M1234">
        <v>0.99987139999999997</v>
      </c>
      <c r="N1234">
        <v>-1.439403E-2</v>
      </c>
      <c r="O1234">
        <v>-7.0689619999999998E-3</v>
      </c>
      <c r="P1234">
        <v>0.95536860000000001</v>
      </c>
      <c r="Q1234">
        <v>0.28863850000000002</v>
      </c>
      <c r="R1234">
        <v>6.2919409999999995E-2</v>
      </c>
      <c r="S1234">
        <v>3.223938</v>
      </c>
      <c r="T1234">
        <v>-0.21229139999999999</v>
      </c>
      <c r="U1234">
        <v>-0.300537099999999</v>
      </c>
      <c r="V1234">
        <v>-6.9660860000000005E-2</v>
      </c>
      <c r="W1234">
        <v>0.30235620000000002</v>
      </c>
      <c r="X1234">
        <v>0.9506462</v>
      </c>
      <c r="Y1234">
        <v>8.5561659999999998E-2</v>
      </c>
      <c r="Z1234">
        <v>-3.063423E-3</v>
      </c>
      <c r="AA1234">
        <v>0.9963282</v>
      </c>
      <c r="AB1234">
        <v>33</v>
      </c>
      <c r="AC1234">
        <v>0.69849999999996704</v>
      </c>
      <c r="AD1234">
        <v>-5.9008999999999999E-2</v>
      </c>
      <c r="AE1234">
        <v>-8.2400000000006898E-2</v>
      </c>
      <c r="AF1234">
        <v>7.6918342606979898E-2</v>
      </c>
      <c r="AG1234">
        <v>-5.9008999999999999E-2</v>
      </c>
      <c r="AH1234">
        <v>0.69417886705851295</v>
      </c>
      <c r="AI1234">
        <v>94.829358808332103</v>
      </c>
      <c r="AJ1234">
        <v>83.677145787745403</v>
      </c>
      <c r="AK1234">
        <v>0.70091568179135799</v>
      </c>
      <c r="AL1234">
        <v>72.400823892933005</v>
      </c>
      <c r="AM1234">
        <v>94.1909938634426</v>
      </c>
      <c r="AN1234">
        <v>1.0000000523343999</v>
      </c>
    </row>
    <row r="1235" spans="1:40" x14ac:dyDescent="0.25">
      <c r="A1235" t="str">
        <f>"20190304164117697"</f>
        <v>20190304164117697</v>
      </c>
      <c r="B1235" t="str">
        <f>"1551688877681851"</f>
        <v>1551688877681851</v>
      </c>
      <c r="C1235" t="s">
        <v>40</v>
      </c>
      <c r="D1235">
        <v>4.4395490000000004</v>
      </c>
      <c r="E1235">
        <v>0.57616290000000003</v>
      </c>
      <c r="F1235" t="s">
        <v>41</v>
      </c>
      <c r="G1235">
        <v>-263.74040000000002</v>
      </c>
      <c r="H1235">
        <v>1.0448010000000001</v>
      </c>
      <c r="I1235">
        <v>366.88389999999998</v>
      </c>
      <c r="J1235">
        <v>-264.53769999999997</v>
      </c>
      <c r="K1235">
        <v>1.1104290000000001</v>
      </c>
      <c r="L1235">
        <v>366.97770000000003</v>
      </c>
      <c r="M1235">
        <v>0.99987130000000002</v>
      </c>
      <c r="N1235">
        <v>-1.4403249999999999E-2</v>
      </c>
      <c r="O1235">
        <v>-7.0687889999999998E-3</v>
      </c>
      <c r="P1235">
        <v>0.955376</v>
      </c>
      <c r="Q1235">
        <v>0.28865229999999997</v>
      </c>
      <c r="R1235">
        <v>6.2743510000000002E-2</v>
      </c>
      <c r="S1235">
        <v>3.2251280000000002</v>
      </c>
      <c r="T1235">
        <v>-0.21384130000000001</v>
      </c>
      <c r="U1235">
        <v>-0.3089905</v>
      </c>
      <c r="V1235">
        <v>-6.9484459999999998E-2</v>
      </c>
      <c r="W1235">
        <v>0.30237890000000001</v>
      </c>
      <c r="X1235">
        <v>0.95065180000000005</v>
      </c>
      <c r="Y1235">
        <v>8.8106509999999999E-2</v>
      </c>
      <c r="Z1235">
        <v>-3.182364E-3</v>
      </c>
      <c r="AA1235">
        <v>0.99610600000000005</v>
      </c>
      <c r="AB1235">
        <v>33</v>
      </c>
      <c r="AC1235">
        <v>0.79729999999995005</v>
      </c>
      <c r="AD1235">
        <v>-6.5628000000000006E-2</v>
      </c>
      <c r="AE1235">
        <v>-9.3800000000044195E-2</v>
      </c>
      <c r="AF1235">
        <v>8.7575865099629197E-2</v>
      </c>
      <c r="AG1235">
        <v>-6.5628000000000006E-2</v>
      </c>
      <c r="AH1235">
        <v>0.79264602218512104</v>
      </c>
      <c r="AI1235">
        <v>94.704573775778599</v>
      </c>
      <c r="AJ1235">
        <v>83.695220351683901</v>
      </c>
      <c r="AK1235">
        <v>0.80016515983754499</v>
      </c>
      <c r="AL1235">
        <v>72.399457859953998</v>
      </c>
      <c r="AM1235">
        <v>94.180394275216003</v>
      </c>
      <c r="AN1235">
        <v>0.99999996709496997</v>
      </c>
    </row>
    <row r="1236" spans="1:40" x14ac:dyDescent="0.25">
      <c r="A1236" t="str">
        <f>"20190304164117710"</f>
        <v>20190304164117710</v>
      </c>
      <c r="B1236" t="str">
        <f>"1551688877702347"</f>
        <v>1551688877702347</v>
      </c>
      <c r="C1236" t="s">
        <v>40</v>
      </c>
      <c r="D1236">
        <v>4.4437930000000003</v>
      </c>
      <c r="E1236">
        <v>0.57704089999999997</v>
      </c>
      <c r="F1236" t="s">
        <v>42</v>
      </c>
      <c r="G1236">
        <v>-247.88820000000001</v>
      </c>
      <c r="H1236" s="1">
        <v>-1.9304880000000001E-6</v>
      </c>
      <c r="I1236">
        <v>365.34949999999998</v>
      </c>
      <c r="J1236">
        <v>-264.34609999999998</v>
      </c>
      <c r="K1236">
        <v>1.11043</v>
      </c>
      <c r="L1236">
        <v>366.97629999999998</v>
      </c>
      <c r="M1236">
        <v>0.99987130000000002</v>
      </c>
      <c r="N1236">
        <v>-1.4411530000000001E-2</v>
      </c>
      <c r="O1236">
        <v>-7.068848E-3</v>
      </c>
      <c r="P1236">
        <v>0.95543370000000005</v>
      </c>
      <c r="Q1236">
        <v>0.2885085</v>
      </c>
      <c r="R1236">
        <v>6.2526289999999998E-2</v>
      </c>
      <c r="S1236">
        <v>3.2258610000000001</v>
      </c>
      <c r="T1236">
        <v>-0.21514749999999999</v>
      </c>
      <c r="U1236">
        <v>-0.31546020000000002</v>
      </c>
      <c r="V1236">
        <v>-6.9267720000000005E-2</v>
      </c>
      <c r="W1236">
        <v>0.3022435</v>
      </c>
      <c r="X1236">
        <v>0.95071070000000002</v>
      </c>
      <c r="Y1236">
        <v>9.0056460000000005E-2</v>
      </c>
      <c r="Z1236">
        <v>-3.275853E-3</v>
      </c>
      <c r="AA1236">
        <v>0.99593129999999996</v>
      </c>
      <c r="AB1236">
        <v>33</v>
      </c>
      <c r="AC1236">
        <v>16.457899999999899</v>
      </c>
      <c r="AD1236">
        <v>-1.1104319304879999</v>
      </c>
      <c r="AE1236">
        <v>-1.6268</v>
      </c>
      <c r="AF1236">
        <v>1.50363007789228</v>
      </c>
      <c r="AG1236">
        <v>-1.1104319304879999</v>
      </c>
      <c r="AH1236">
        <v>16.395075675109201</v>
      </c>
      <c r="AI1236">
        <v>93.858558453227104</v>
      </c>
      <c r="AJ1236">
        <v>84.759931205940205</v>
      </c>
      <c r="AK1236">
        <v>16.5012868854507</v>
      </c>
      <c r="AL1236">
        <v>72.407596988000606</v>
      </c>
      <c r="AM1236">
        <v>94.1671432809989</v>
      </c>
      <c r="AN1236">
        <v>0.99999999271036899</v>
      </c>
    </row>
    <row r="1237" spans="1:40" x14ac:dyDescent="0.25">
      <c r="A1237" t="str">
        <f>"20190304164117721"</f>
        <v>20190304164117721</v>
      </c>
      <c r="B1237" t="str">
        <f>"1551688877712107"</f>
        <v>1551688877712107</v>
      </c>
      <c r="C1237" t="s">
        <v>40</v>
      </c>
      <c r="D1237">
        <v>4.4271269999999996</v>
      </c>
      <c r="E1237">
        <v>0.57737539999999998</v>
      </c>
      <c r="F1237" t="s">
        <v>41</v>
      </c>
      <c r="G1237">
        <v>-263.43880000000001</v>
      </c>
      <c r="H1237">
        <v>1.0493059999999901</v>
      </c>
      <c r="I1237">
        <v>366.88549999999998</v>
      </c>
      <c r="J1237">
        <v>-264.17020000000002</v>
      </c>
      <c r="K1237">
        <v>1.1104339999999999</v>
      </c>
      <c r="L1237">
        <v>366.9751</v>
      </c>
      <c r="M1237">
        <v>0.99987119999999996</v>
      </c>
      <c r="N1237">
        <v>-1.44187E-2</v>
      </c>
      <c r="O1237">
        <v>-7.0687800000000002E-3</v>
      </c>
      <c r="P1237">
        <v>0.95541200000000004</v>
      </c>
      <c r="Q1237">
        <v>0.28853630000000002</v>
      </c>
      <c r="R1237">
        <v>6.2729179999999995E-2</v>
      </c>
      <c r="S1237">
        <v>3.226715</v>
      </c>
      <c r="T1237">
        <v>-0.2173728</v>
      </c>
      <c r="U1237">
        <v>-0.32312010000000002</v>
      </c>
      <c r="V1237">
        <v>-6.9470470000000006E-2</v>
      </c>
      <c r="W1237">
        <v>0.30227799999999999</v>
      </c>
      <c r="X1237">
        <v>0.950685</v>
      </c>
      <c r="Y1237">
        <v>9.2361589999999993E-2</v>
      </c>
      <c r="Z1237">
        <v>-3.3954269999999999E-3</v>
      </c>
      <c r="AA1237">
        <v>0.99571969999999999</v>
      </c>
      <c r="AB1237">
        <v>33</v>
      </c>
      <c r="AC1237">
        <v>0.73140000000000704</v>
      </c>
      <c r="AD1237">
        <v>-6.1128000000000002E-2</v>
      </c>
      <c r="AE1237">
        <v>-8.9600000000018498E-2</v>
      </c>
      <c r="AF1237">
        <v>8.3850080069983304E-2</v>
      </c>
      <c r="AG1237">
        <v>-6.1128000000000002E-2</v>
      </c>
      <c r="AH1237">
        <v>0.727012009266922</v>
      </c>
      <c r="AI1237">
        <v>94.774685603693797</v>
      </c>
      <c r="AJ1237">
        <v>83.420849097937094</v>
      </c>
      <c r="AK1237">
        <v>0.73437996291434104</v>
      </c>
      <c r="AL1237">
        <v>72.405524370508701</v>
      </c>
      <c r="AM1237">
        <v>94.179410135686098</v>
      </c>
      <c r="AN1237">
        <v>1.0000000523554999</v>
      </c>
    </row>
    <row r="1238" spans="1:40" x14ac:dyDescent="0.25">
      <c r="A1238" t="str">
        <f>"20190304164117733"</f>
        <v>20190304164117733</v>
      </c>
      <c r="B1238" t="str">
        <f>"1551688877722843"</f>
        <v>1551688877722843</v>
      </c>
      <c r="C1238" t="s">
        <v>40</v>
      </c>
      <c r="D1238">
        <v>4.4910639999999997</v>
      </c>
      <c r="E1238">
        <v>0.57751180000000002</v>
      </c>
      <c r="F1238" t="s">
        <v>41</v>
      </c>
      <c r="G1238">
        <v>-263.14800000000002</v>
      </c>
      <c r="H1238">
        <v>1.0416829999999999</v>
      </c>
      <c r="I1238">
        <v>366.87180000000001</v>
      </c>
      <c r="J1238">
        <v>-264.00560000000002</v>
      </c>
      <c r="K1238">
        <v>1.1104419999999999</v>
      </c>
      <c r="L1238">
        <v>366.97390000000001</v>
      </c>
      <c r="M1238">
        <v>0.99987110000000001</v>
      </c>
      <c r="N1238">
        <v>-1.442448E-2</v>
      </c>
      <c r="O1238">
        <v>-7.0688219999999998E-3</v>
      </c>
      <c r="P1238">
        <v>0.95539529999999995</v>
      </c>
      <c r="Q1238">
        <v>0.28857539999999998</v>
      </c>
      <c r="R1238">
        <v>6.2802880000000005E-2</v>
      </c>
      <c r="S1238">
        <v>3.2269899999999998</v>
      </c>
      <c r="T1238">
        <v>-0.21726290000000001</v>
      </c>
      <c r="U1238">
        <v>-0.3252563</v>
      </c>
      <c r="V1238">
        <v>-6.9543789999999994E-2</v>
      </c>
      <c r="W1238">
        <v>0.302322599999999</v>
      </c>
      <c r="X1238">
        <v>0.95066539999999999</v>
      </c>
      <c r="Y1238">
        <v>9.3004199999999995E-2</v>
      </c>
      <c r="Z1238">
        <v>-3.4203250000000001E-3</v>
      </c>
      <c r="AA1238">
        <v>0.99565979999999998</v>
      </c>
      <c r="AB1238">
        <v>33</v>
      </c>
      <c r="AC1238">
        <v>0.85760000000004699</v>
      </c>
      <c r="AD1238">
        <v>-6.8759000000000001E-2</v>
      </c>
      <c r="AE1238">
        <v>-0.102100000000007</v>
      </c>
      <c r="AF1238">
        <v>9.5429728368862099E-2</v>
      </c>
      <c r="AG1238">
        <v>-6.8759000000000001E-2</v>
      </c>
      <c r="AH1238">
        <v>0.85289441466448002</v>
      </c>
      <c r="AI1238">
        <v>94.580665852734199</v>
      </c>
      <c r="AJ1238">
        <v>83.615770862710406</v>
      </c>
      <c r="AK1238">
        <v>0.86096661706678301</v>
      </c>
      <c r="AL1238">
        <v>72.402842562514493</v>
      </c>
      <c r="AM1238">
        <v>94.183891434039396</v>
      </c>
      <c r="AN1238">
        <v>0.99999999797774197</v>
      </c>
    </row>
    <row r="1239" spans="1:40" x14ac:dyDescent="0.25">
      <c r="A1239" t="str">
        <f>"20190304164117747"</f>
        <v>20190304164117747</v>
      </c>
      <c r="B1239" t="str">
        <f>"1551688877732604"</f>
        <v>1551688877732604</v>
      </c>
      <c r="C1239" t="s">
        <v>40</v>
      </c>
      <c r="D1239">
        <v>4.4357730000000002</v>
      </c>
      <c r="E1239">
        <v>0.57773850000000004</v>
      </c>
      <c r="F1239" t="s">
        <v>41</v>
      </c>
      <c r="G1239">
        <v>-263.13929999999999</v>
      </c>
      <c r="H1239">
        <v>1.051833</v>
      </c>
      <c r="I1239">
        <v>366.88619999999997</v>
      </c>
      <c r="J1239">
        <v>-263.80880000000002</v>
      </c>
      <c r="K1239">
        <v>1.110447</v>
      </c>
      <c r="L1239">
        <v>366.97250000000003</v>
      </c>
      <c r="M1239">
        <v>0.99987099999999995</v>
      </c>
      <c r="N1239">
        <v>-1.4431009999999999E-2</v>
      </c>
      <c r="O1239">
        <v>-7.0686300000000002E-3</v>
      </c>
      <c r="P1239">
        <v>0.95535170000000003</v>
      </c>
      <c r="Q1239">
        <v>0.28866839999999999</v>
      </c>
      <c r="R1239">
        <v>6.3040059999999995E-2</v>
      </c>
      <c r="S1239">
        <v>3.2275390000000002</v>
      </c>
      <c r="T1239">
        <v>-0.2185926</v>
      </c>
      <c r="U1239">
        <v>-0.32614140000000003</v>
      </c>
      <c r="V1239">
        <v>-6.9780850000000005E-2</v>
      </c>
      <c r="W1239">
        <v>0.30242069999999999</v>
      </c>
      <c r="X1239">
        <v>0.95061680000000004</v>
      </c>
      <c r="Y1239">
        <v>9.3254420000000005E-2</v>
      </c>
      <c r="Z1239">
        <v>-3.446625E-3</v>
      </c>
      <c r="AA1239">
        <v>0.99563630000000003</v>
      </c>
      <c r="AB1239">
        <v>33</v>
      </c>
      <c r="AC1239">
        <v>0.66950000000002696</v>
      </c>
      <c r="AD1239">
        <v>-5.8613999999999902E-2</v>
      </c>
      <c r="AE1239">
        <v>-8.63000000000511E-2</v>
      </c>
      <c r="AF1239">
        <v>8.0954543601943096E-2</v>
      </c>
      <c r="AG1239">
        <v>-5.8613999999999902E-2</v>
      </c>
      <c r="AH1239">
        <v>0.66507896863604798</v>
      </c>
      <c r="AI1239">
        <v>94.999801532686405</v>
      </c>
      <c r="AJ1239">
        <v>83.0600006019571</v>
      </c>
      <c r="AK1239">
        <v>0.67254685609835996</v>
      </c>
      <c r="AL1239">
        <v>72.396945378058504</v>
      </c>
      <c r="AM1239">
        <v>94.198316386366102</v>
      </c>
      <c r="AN1239">
        <v>0.99999997362872595</v>
      </c>
    </row>
    <row r="1240" spans="1:40" x14ac:dyDescent="0.25">
      <c r="A1240" t="str">
        <f>"20190304164117757"</f>
        <v>20190304164117757</v>
      </c>
      <c r="B1240" t="str">
        <f>"1551688877752123"</f>
        <v>1551688877752123</v>
      </c>
      <c r="C1240" t="s">
        <v>40</v>
      </c>
      <c r="D1240">
        <v>4.4316309999999897</v>
      </c>
      <c r="E1240">
        <v>0.57811349999999995</v>
      </c>
      <c r="F1240" t="s">
        <v>41</v>
      </c>
      <c r="G1240">
        <v>-262.84800000000001</v>
      </c>
      <c r="H1240">
        <v>1.045312</v>
      </c>
      <c r="I1240">
        <v>366.87520000000001</v>
      </c>
      <c r="J1240">
        <v>-263.64080000000001</v>
      </c>
      <c r="K1240">
        <v>1.1104480000000001</v>
      </c>
      <c r="L1240">
        <v>366.97129999999999</v>
      </c>
      <c r="M1240">
        <v>0.99987090000000001</v>
      </c>
      <c r="N1240">
        <v>-1.4435989999999999E-2</v>
      </c>
      <c r="O1240">
        <v>-7.0685459999999898E-3</v>
      </c>
      <c r="P1240">
        <v>0.95531920000000004</v>
      </c>
      <c r="Q1240">
        <v>0.28873290000000001</v>
      </c>
      <c r="R1240">
        <v>6.3235280000000005E-2</v>
      </c>
      <c r="S1240">
        <v>3.227875</v>
      </c>
      <c r="T1240">
        <v>-0.21892259999999999</v>
      </c>
      <c r="U1240">
        <v>-0.32641599999999998</v>
      </c>
      <c r="V1240">
        <v>-6.9975519999999999E-2</v>
      </c>
      <c r="W1240">
        <v>0.30248979999999998</v>
      </c>
      <c r="X1240">
        <v>0.95058050000000005</v>
      </c>
      <c r="Y1240">
        <v>9.3327199999999999E-2</v>
      </c>
      <c r="Z1240">
        <v>-3.4536219999999999E-3</v>
      </c>
      <c r="AA1240">
        <v>0.99562949999999995</v>
      </c>
      <c r="AB1240">
        <v>33</v>
      </c>
      <c r="AC1240">
        <v>0.79279999999999895</v>
      </c>
      <c r="AD1240">
        <v>-6.5135999999999805E-2</v>
      </c>
      <c r="AE1240">
        <v>-9.6099999999978494E-2</v>
      </c>
      <c r="AF1240">
        <v>8.9895051665659101E-2</v>
      </c>
      <c r="AG1240">
        <v>-6.5135999999999805E-2</v>
      </c>
      <c r="AH1240">
        <v>0.78821599867817904</v>
      </c>
      <c r="AI1240">
        <v>94.693741515203598</v>
      </c>
      <c r="AJ1240">
        <v>83.493600449157398</v>
      </c>
      <c r="AK1240">
        <v>0.79599515035093704</v>
      </c>
      <c r="AL1240">
        <v>72.392791625328798</v>
      </c>
      <c r="AM1240">
        <v>94.210146708642</v>
      </c>
      <c r="AN1240">
        <v>0.99999996974177896</v>
      </c>
    </row>
    <row r="1241" spans="1:40" x14ac:dyDescent="0.25">
      <c r="A1241" t="str">
        <f>"20190304164117767"</f>
        <v>20190304164117767</v>
      </c>
      <c r="B1241" t="str">
        <f>"1551688877761883"</f>
        <v>1551688877761883</v>
      </c>
      <c r="C1241" t="s">
        <v>40</v>
      </c>
      <c r="D1241">
        <v>4.5313049999999997</v>
      </c>
      <c r="E1241">
        <v>0.57813950000000003</v>
      </c>
      <c r="F1241" t="s">
        <v>42</v>
      </c>
      <c r="G1241">
        <v>-247.4349</v>
      </c>
      <c r="H1241" s="1">
        <v>-2.1113419999999999E-6</v>
      </c>
      <c r="I1241">
        <v>365.32400000000001</v>
      </c>
      <c r="J1241">
        <v>-263.4941</v>
      </c>
      <c r="K1241">
        <v>1.1104510000000001</v>
      </c>
      <c r="L1241">
        <v>366.97030000000001</v>
      </c>
      <c r="M1241">
        <v>0.99987079999999995</v>
      </c>
      <c r="N1241">
        <v>-1.443993E-2</v>
      </c>
      <c r="O1241">
        <v>-7.0678549999999996E-3</v>
      </c>
      <c r="P1241">
        <v>0.95534220000000003</v>
      </c>
      <c r="Q1241">
        <v>0.2886145</v>
      </c>
      <c r="R1241">
        <v>6.3425179999999998E-2</v>
      </c>
      <c r="S1241">
        <v>3.2289119999999998</v>
      </c>
      <c r="T1241">
        <v>-0.22124869999999999</v>
      </c>
      <c r="U1241">
        <v>-0.32821660000000002</v>
      </c>
      <c r="V1241">
        <v>-7.0165379999999999E-2</v>
      </c>
      <c r="W1241">
        <v>0.30237570000000003</v>
      </c>
      <c r="X1241">
        <v>0.95060279999999997</v>
      </c>
      <c r="Y1241">
        <v>9.3839350000000002E-2</v>
      </c>
      <c r="Z1241">
        <v>-3.5025210000000002E-3</v>
      </c>
      <c r="AA1241">
        <v>0.99558120000000006</v>
      </c>
      <c r="AB1241">
        <v>33</v>
      </c>
      <c r="AC1241">
        <v>16.059200000000001</v>
      </c>
      <c r="AD1241">
        <v>-1.110453111342</v>
      </c>
      <c r="AE1241">
        <v>-1.6462999999999901</v>
      </c>
      <c r="AF1241">
        <v>1.5255246984375801</v>
      </c>
      <c r="AG1241">
        <v>-1.110453111342</v>
      </c>
      <c r="AH1241">
        <v>15.994754283478599</v>
      </c>
      <c r="AI1241">
        <v>93.953564677214402</v>
      </c>
      <c r="AJ1241">
        <v>84.551805735445697</v>
      </c>
      <c r="AK1241">
        <v>16.105666589957998</v>
      </c>
      <c r="AL1241">
        <v>72.3996501532731</v>
      </c>
      <c r="AM1241">
        <v>94.221429909049107</v>
      </c>
      <c r="AN1241">
        <v>0.99999996393443602</v>
      </c>
    </row>
    <row r="1242" spans="1:40" x14ac:dyDescent="0.25">
      <c r="A1242" t="str">
        <f>"20190304164117778"</f>
        <v>20190304164117778</v>
      </c>
      <c r="B1242" t="str">
        <f>"1551688877772619"</f>
        <v>1551688877772619</v>
      </c>
      <c r="C1242" t="s">
        <v>40</v>
      </c>
      <c r="D1242">
        <v>4.5105589999999998</v>
      </c>
      <c r="E1242">
        <v>0.57817039999999997</v>
      </c>
      <c r="F1242" t="s">
        <v>41</v>
      </c>
      <c r="G1242">
        <v>-262.55149999999998</v>
      </c>
      <c r="H1242">
        <v>1.0453209999999999</v>
      </c>
      <c r="I1242">
        <v>366.87459999999999</v>
      </c>
      <c r="J1242">
        <v>-263.3347</v>
      </c>
      <c r="K1242">
        <v>1.1104529999999999</v>
      </c>
      <c r="L1242">
        <v>366.9692</v>
      </c>
      <c r="M1242">
        <v>0.99987079999999995</v>
      </c>
      <c r="N1242">
        <v>-1.4443910000000001E-2</v>
      </c>
      <c r="O1242">
        <v>-7.0670409999999996E-3</v>
      </c>
      <c r="P1242">
        <v>0.95535130000000001</v>
      </c>
      <c r="Q1242">
        <v>0.28854619999999997</v>
      </c>
      <c r="R1242">
        <v>6.3602950000000005E-2</v>
      </c>
      <c r="S1242">
        <v>3.2294010000000002</v>
      </c>
      <c r="T1242">
        <v>-0.223297</v>
      </c>
      <c r="U1242">
        <v>-0.32708739999999997</v>
      </c>
      <c r="V1242">
        <v>-7.0342760000000004E-2</v>
      </c>
      <c r="W1242">
        <v>0.30231069999999999</v>
      </c>
      <c r="X1242">
        <v>0.95061039999999997</v>
      </c>
      <c r="Y1242">
        <v>9.3477290000000005E-2</v>
      </c>
      <c r="Z1242">
        <v>-3.5124520000000001E-3</v>
      </c>
      <c r="AA1242">
        <v>0.99561520000000003</v>
      </c>
      <c r="AB1242">
        <v>33</v>
      </c>
      <c r="AC1242">
        <v>0.78320000000002199</v>
      </c>
      <c r="AD1242">
        <v>-6.5132000000000106E-2</v>
      </c>
      <c r="AE1242">
        <v>-9.4600000000014006E-2</v>
      </c>
      <c r="AF1242">
        <v>8.8459183196638799E-2</v>
      </c>
      <c r="AG1242">
        <v>-6.5132000000000106E-2</v>
      </c>
      <c r="AH1242">
        <v>0.77854221790531297</v>
      </c>
      <c r="AI1242">
        <v>94.751734786092896</v>
      </c>
      <c r="AJ1242">
        <v>83.517763545158999</v>
      </c>
      <c r="AK1242">
        <v>0.78625389638254894</v>
      </c>
      <c r="AL1242">
        <v>72.403557851108999</v>
      </c>
      <c r="AM1242">
        <v>94.232029362585607</v>
      </c>
      <c r="AN1242">
        <v>0.999999997903533</v>
      </c>
    </row>
    <row r="1243" spans="1:40" x14ac:dyDescent="0.25">
      <c r="A1243" t="str">
        <f>"20190304164117790"</f>
        <v>20190304164117790</v>
      </c>
      <c r="B1243" t="str">
        <f>"1551688877782380"</f>
        <v>1551688877782380</v>
      </c>
      <c r="C1243" t="s">
        <v>40</v>
      </c>
      <c r="D1243">
        <v>4.5254669999999999</v>
      </c>
      <c r="E1243">
        <v>0.57823859999999905</v>
      </c>
      <c r="F1243" t="s">
        <v>42</v>
      </c>
      <c r="G1243">
        <v>-247.36879999999999</v>
      </c>
      <c r="H1243" s="1">
        <v>-2.1282179999999999E-6</v>
      </c>
      <c r="I1243">
        <v>365.35599999999999</v>
      </c>
      <c r="J1243">
        <v>-263.16950000000003</v>
      </c>
      <c r="K1243">
        <v>1.1104560000000001</v>
      </c>
      <c r="L1243">
        <v>366.96800000000002</v>
      </c>
      <c r="M1243">
        <v>0.99987079999999995</v>
      </c>
      <c r="N1243">
        <v>-1.444758E-2</v>
      </c>
      <c r="O1243">
        <v>-7.0626229999999996E-3</v>
      </c>
      <c r="P1243">
        <v>0.95542479999999996</v>
      </c>
      <c r="Q1243">
        <v>0.28829549999999998</v>
      </c>
      <c r="R1243">
        <v>6.3633679999999998E-2</v>
      </c>
      <c r="S1243">
        <v>3.2297669999999998</v>
      </c>
      <c r="T1243">
        <v>-0.22463459999999999</v>
      </c>
      <c r="U1243">
        <v>-0.32632450000000002</v>
      </c>
      <c r="V1243">
        <v>-7.0371199999999995E-2</v>
      </c>
      <c r="W1243">
        <v>0.30206440000000001</v>
      </c>
      <c r="X1243">
        <v>0.95068660000000005</v>
      </c>
      <c r="Y1243">
        <v>9.3235520000000002E-2</v>
      </c>
      <c r="Z1243">
        <v>-3.5188189999999999E-3</v>
      </c>
      <c r="AA1243">
        <v>0.99563780000000002</v>
      </c>
      <c r="AB1243">
        <v>33</v>
      </c>
      <c r="AC1243">
        <v>15.800700000000001</v>
      </c>
      <c r="AD1243">
        <v>-1.1104581282179999</v>
      </c>
      <c r="AE1243">
        <v>-1.6120000000000201</v>
      </c>
      <c r="AF1243">
        <v>1.4930553127259001</v>
      </c>
      <c r="AG1243">
        <v>-1.1104581282179999</v>
      </c>
      <c r="AH1243">
        <v>15.734776200627</v>
      </c>
      <c r="AI1243">
        <v>94.018877483136293</v>
      </c>
      <c r="AJ1243">
        <v>84.579497249450895</v>
      </c>
      <c r="AK1243">
        <v>15.844415846133399</v>
      </c>
      <c r="AL1243">
        <v>72.418362124111098</v>
      </c>
      <c r="AM1243">
        <v>94.233396066157397</v>
      </c>
      <c r="AN1243">
        <v>1.00000000947818</v>
      </c>
    </row>
    <row r="1244" spans="1:40" x14ac:dyDescent="0.25">
      <c r="A1244" t="str">
        <f>"20190304164117800"</f>
        <v>20190304164117800</v>
      </c>
      <c r="B1244" t="str">
        <f>"1551688877792140"</f>
        <v>1551688877792140</v>
      </c>
      <c r="C1244" t="s">
        <v>40</v>
      </c>
      <c r="D1244">
        <v>4.4052899999999999</v>
      </c>
      <c r="E1244">
        <v>0.57839090000000004</v>
      </c>
      <c r="F1244" t="s">
        <v>41</v>
      </c>
      <c r="G1244">
        <v>-262.25439999999998</v>
      </c>
      <c r="H1244">
        <v>1.0462750000000001</v>
      </c>
      <c r="I1244">
        <v>366.87540000000001</v>
      </c>
      <c r="J1244">
        <v>-262.99110000000002</v>
      </c>
      <c r="K1244">
        <v>1.11046</v>
      </c>
      <c r="L1244">
        <v>366.96679999999998</v>
      </c>
      <c r="M1244">
        <v>0.9998707</v>
      </c>
      <c r="N1244">
        <v>-1.445131E-2</v>
      </c>
      <c r="O1244">
        <v>-7.0561640000000002E-3</v>
      </c>
      <c r="P1244">
        <v>0.9555247</v>
      </c>
      <c r="Q1244">
        <v>0.287964099999999</v>
      </c>
      <c r="R1244">
        <v>6.3632560000000005E-2</v>
      </c>
      <c r="S1244">
        <v>3.2300719999999998</v>
      </c>
      <c r="T1244">
        <v>-0.22673499999999999</v>
      </c>
      <c r="U1244">
        <v>-0.32614140000000003</v>
      </c>
      <c r="V1244">
        <v>-7.0366600000000001E-2</v>
      </c>
      <c r="W1244">
        <v>0.30173749999999999</v>
      </c>
      <c r="X1244">
        <v>0.95079069999999999</v>
      </c>
      <c r="Y1244">
        <v>9.3172489999999997E-2</v>
      </c>
      <c r="Z1244">
        <v>-3.5420439999999998E-3</v>
      </c>
      <c r="AA1244">
        <v>0.99564370000000002</v>
      </c>
      <c r="AB1244">
        <v>33</v>
      </c>
      <c r="AC1244">
        <v>0.73670000000004099</v>
      </c>
      <c r="AD1244">
        <v>-6.4184999999999895E-2</v>
      </c>
      <c r="AE1244">
        <v>-9.1399999999964607E-2</v>
      </c>
      <c r="AF1244">
        <v>8.5559289884847095E-2</v>
      </c>
      <c r="AG1244">
        <v>-6.4184999999999895E-2</v>
      </c>
      <c r="AH1244">
        <v>0.73185552555015398</v>
      </c>
      <c r="AI1244">
        <v>94.978382176474796</v>
      </c>
      <c r="AJ1244">
        <v>83.331970385243295</v>
      </c>
      <c r="AK1244">
        <v>0.73963005387077896</v>
      </c>
      <c r="AL1244">
        <v>72.438008060311105</v>
      </c>
      <c r="AM1244">
        <v>94.232658554320196</v>
      </c>
      <c r="AN1244">
        <v>0.999999966254149</v>
      </c>
    </row>
    <row r="1245" spans="1:40" x14ac:dyDescent="0.25">
      <c r="A1245" t="str">
        <f>"20190304164117812"</f>
        <v>20190304164117812</v>
      </c>
      <c r="B1245" t="str">
        <f>"1551688877801900"</f>
        <v>1551688877801900</v>
      </c>
      <c r="C1245" t="s">
        <v>40</v>
      </c>
      <c r="D1245">
        <v>4.3836950000000003</v>
      </c>
      <c r="E1245">
        <v>0.57851960000000002</v>
      </c>
      <c r="F1245" t="s">
        <v>42</v>
      </c>
      <c r="G1245">
        <v>-247.2927</v>
      </c>
      <c r="H1245" s="1">
        <v>-2.1520809999999998E-6</v>
      </c>
      <c r="I1245">
        <v>365.37619999999998</v>
      </c>
      <c r="J1245">
        <v>-262.8349</v>
      </c>
      <c r="K1245">
        <v>1.1104670000000001</v>
      </c>
      <c r="L1245">
        <v>366.96559999999999</v>
      </c>
      <c r="M1245">
        <v>0.99987079999999995</v>
      </c>
      <c r="N1245">
        <v>-1.445403E-2</v>
      </c>
      <c r="O1245">
        <v>-7.0421390000000002E-3</v>
      </c>
      <c r="P1245">
        <v>0.95553449999999995</v>
      </c>
      <c r="Q1245">
        <v>0.2879292</v>
      </c>
      <c r="R1245">
        <v>6.364599E-2</v>
      </c>
      <c r="S1245">
        <v>3.230286</v>
      </c>
      <c r="T1245">
        <v>-0.22850190000000001</v>
      </c>
      <c r="U1245">
        <v>-0.32730100000000001</v>
      </c>
      <c r="V1245">
        <v>-7.0370550000000004E-2</v>
      </c>
      <c r="W1245">
        <v>0.30170429999999998</v>
      </c>
      <c r="X1245">
        <v>0.95080100000000001</v>
      </c>
      <c r="Y1245">
        <v>9.3528940000000005E-2</v>
      </c>
      <c r="Z1245">
        <v>-3.5794009999999999E-3</v>
      </c>
      <c r="AA1245">
        <v>0.99561010000000005</v>
      </c>
      <c r="AB1245">
        <v>33</v>
      </c>
      <c r="AC1245">
        <v>15.542199999999999</v>
      </c>
      <c r="AD1245">
        <v>-1.1104691520809999</v>
      </c>
      <c r="AE1245">
        <v>-1.5894000000000099</v>
      </c>
      <c r="AF1245">
        <v>1.4724598419656401</v>
      </c>
      <c r="AG1245">
        <v>-1.1104691520809999</v>
      </c>
      <c r="AH1245">
        <v>15.4748284774764</v>
      </c>
      <c r="AI1245">
        <v>94.086099744838705</v>
      </c>
      <c r="AJ1245">
        <v>84.564560368110307</v>
      </c>
      <c r="AK1245">
        <v>15.584338167892801</v>
      </c>
      <c r="AL1245">
        <v>72.440004243587197</v>
      </c>
      <c r="AM1245">
        <v>94.232849601121998</v>
      </c>
      <c r="AN1245">
        <v>1.0000000202733901</v>
      </c>
    </row>
    <row r="1246" spans="1:40" x14ac:dyDescent="0.25">
      <c r="A1246" t="str">
        <f>"20190304164117826"</f>
        <v>20190304164117826</v>
      </c>
      <c r="B1246" t="str">
        <f>"1551688877822396"</f>
        <v>1551688877822396</v>
      </c>
      <c r="C1246" t="s">
        <v>40</v>
      </c>
      <c r="D1246">
        <v>4.5195410000000003</v>
      </c>
      <c r="E1246">
        <v>0.57855829999999997</v>
      </c>
      <c r="F1246" t="s">
        <v>41</v>
      </c>
      <c r="G1246">
        <v>-261.95679999999999</v>
      </c>
      <c r="H1246">
        <v>1.048386</v>
      </c>
      <c r="I1246">
        <v>366.87630000000001</v>
      </c>
      <c r="J1246">
        <v>-262.6275</v>
      </c>
      <c r="K1246">
        <v>1.1104799999999999</v>
      </c>
      <c r="L1246">
        <v>366.96420000000001</v>
      </c>
      <c r="M1246">
        <v>0.99987090000000001</v>
      </c>
      <c r="N1246">
        <v>-1.445741E-2</v>
      </c>
      <c r="O1246">
        <v>-7.0175639999999996E-3</v>
      </c>
      <c r="P1246">
        <v>0.95562610000000003</v>
      </c>
      <c r="Q1246">
        <v>0.28767939999999997</v>
      </c>
      <c r="R1246">
        <v>6.3398869999999996E-2</v>
      </c>
      <c r="S1246">
        <v>3.2303470000000001</v>
      </c>
      <c r="T1246">
        <v>-0.22858919999999999</v>
      </c>
      <c r="U1246">
        <v>-0.328125</v>
      </c>
      <c r="V1246">
        <v>-7.0107890000000006E-2</v>
      </c>
      <c r="W1246">
        <v>0.30145749999999999</v>
      </c>
      <c r="X1246">
        <v>0.95089860000000004</v>
      </c>
      <c r="Y1246">
        <v>9.3801850000000006E-2</v>
      </c>
      <c r="Z1246">
        <v>-3.5935479999999998E-3</v>
      </c>
      <c r="AA1246">
        <v>0.99558440000000004</v>
      </c>
      <c r="AB1246">
        <v>33</v>
      </c>
      <c r="AC1246">
        <v>0.67070000000000995</v>
      </c>
      <c r="AD1246">
        <v>-6.2093999999999802E-2</v>
      </c>
      <c r="AE1246">
        <v>-8.78999999999905E-2</v>
      </c>
      <c r="AF1246">
        <v>8.2495515779221595E-2</v>
      </c>
      <c r="AG1246">
        <v>-6.2093999999999802E-2</v>
      </c>
      <c r="AH1246">
        <v>0.66569095356614805</v>
      </c>
      <c r="AI1246">
        <v>95.288764651043095</v>
      </c>
      <c r="AJ1246">
        <v>82.935657007099095</v>
      </c>
      <c r="AK1246">
        <v>0.67365096349629605</v>
      </c>
      <c r="AL1246">
        <v>72.454833988763596</v>
      </c>
      <c r="AM1246">
        <v>94.216676196739002</v>
      </c>
      <c r="AN1246">
        <v>0.99999994401422898</v>
      </c>
    </row>
    <row r="1247" spans="1:40" x14ac:dyDescent="0.25">
      <c r="A1247" t="str">
        <f>"20190304164117838"</f>
        <v>20190304164117838</v>
      </c>
      <c r="B1247" t="str">
        <f>"1551688877832155"</f>
        <v>1551688877832155</v>
      </c>
      <c r="C1247" t="s">
        <v>40</v>
      </c>
      <c r="D1247">
        <v>4.3860710000000003</v>
      </c>
      <c r="E1247">
        <v>0.57867100000000005</v>
      </c>
      <c r="F1247" t="s">
        <v>41</v>
      </c>
      <c r="G1247">
        <v>-261.66669999999999</v>
      </c>
      <c r="H1247">
        <v>1.041849</v>
      </c>
      <c r="I1247">
        <v>366.86610000000002</v>
      </c>
      <c r="J1247">
        <v>-262.45999999999998</v>
      </c>
      <c r="K1247">
        <v>1.1104940000000001</v>
      </c>
      <c r="L1247">
        <v>366.9631</v>
      </c>
      <c r="M1247">
        <v>0.99987119999999996</v>
      </c>
      <c r="N1247">
        <v>-1.445976E-2</v>
      </c>
      <c r="O1247">
        <v>-6.9875900000000001E-3</v>
      </c>
      <c r="P1247">
        <v>0.95558889999999996</v>
      </c>
      <c r="Q1247">
        <v>0.287937099999999</v>
      </c>
      <c r="R1247">
        <v>6.2788109999999994E-2</v>
      </c>
      <c r="S1247">
        <v>3.2306520000000001</v>
      </c>
      <c r="T1247">
        <v>-0.23092750000000001</v>
      </c>
      <c r="U1247">
        <v>-0.32916260000000003</v>
      </c>
      <c r="V1247">
        <v>-6.9475739999999994E-2</v>
      </c>
      <c r="W1247">
        <v>0.30171569999999998</v>
      </c>
      <c r="X1247">
        <v>0.95086320000000002</v>
      </c>
      <c r="Y1247">
        <v>9.4132740000000006E-2</v>
      </c>
      <c r="Z1247">
        <v>-3.6379619999999998E-3</v>
      </c>
      <c r="AA1247">
        <v>0.99555300000000002</v>
      </c>
      <c r="AB1247">
        <v>33</v>
      </c>
      <c r="AC1247">
        <v>0.79329999999998702</v>
      </c>
      <c r="AD1247">
        <v>-6.8644999999999998E-2</v>
      </c>
      <c r="AE1247">
        <v>-9.6999999999980005E-2</v>
      </c>
      <c r="AF1247">
        <v>9.07840557077495E-2</v>
      </c>
      <c r="AG1247">
        <v>-6.8644999999999998E-2</v>
      </c>
      <c r="AH1247">
        <v>0.78814411458390299</v>
      </c>
      <c r="AI1247">
        <v>94.945195154625097</v>
      </c>
      <c r="AJ1247">
        <v>83.429222216022495</v>
      </c>
      <c r="AK1247">
        <v>0.79631967585197405</v>
      </c>
      <c r="AL1247">
        <v>72.439319387534596</v>
      </c>
      <c r="AM1247">
        <v>94.178945518808007</v>
      </c>
      <c r="AN1247">
        <v>1.00000003359463</v>
      </c>
    </row>
    <row r="1248" spans="1:40" x14ac:dyDescent="0.25">
      <c r="A1248" t="str">
        <f>"20190304164117857"</f>
        <v>20190304164117857</v>
      </c>
      <c r="B1248" t="str">
        <f>"1551688877852651"</f>
        <v>1551688877852651</v>
      </c>
      <c r="C1248" t="s">
        <v>40</v>
      </c>
      <c r="D1248">
        <v>4.4763359999999999</v>
      </c>
      <c r="E1248">
        <v>0.57879219999999998</v>
      </c>
      <c r="F1248" t="s">
        <v>41</v>
      </c>
      <c r="G1248">
        <v>-261.6497</v>
      </c>
      <c r="H1248">
        <v>1.0527299999999999</v>
      </c>
      <c r="I1248">
        <v>366.87970000000001</v>
      </c>
      <c r="J1248">
        <v>-262.17660000000001</v>
      </c>
      <c r="K1248">
        <v>1.110522</v>
      </c>
      <c r="L1248">
        <v>366.96120000000002</v>
      </c>
      <c r="M1248">
        <v>0.99987159999999997</v>
      </c>
      <c r="N1248">
        <v>-1.4463119999999999E-2</v>
      </c>
      <c r="O1248">
        <v>-6.9152129999999999E-3</v>
      </c>
      <c r="P1248">
        <v>0.9557194</v>
      </c>
      <c r="Q1248">
        <v>0.28771590000000002</v>
      </c>
      <c r="R1248">
        <v>6.1808340000000003E-2</v>
      </c>
      <c r="S1248">
        <v>3.2306819999999998</v>
      </c>
      <c r="T1248">
        <v>-0.23046349999999999</v>
      </c>
      <c r="U1248">
        <v>-0.33181759999999999</v>
      </c>
      <c r="V1248">
        <v>-6.8445110000000003E-2</v>
      </c>
      <c r="W1248">
        <v>0.30149559999999997</v>
      </c>
      <c r="X1248">
        <v>0.95100770000000001</v>
      </c>
      <c r="Y1248">
        <v>9.5011750000000006E-2</v>
      </c>
      <c r="Z1248">
        <v>-3.6740140000000002E-3</v>
      </c>
      <c r="AA1248">
        <v>0.99546939999999995</v>
      </c>
      <c r="AB1248">
        <v>33</v>
      </c>
      <c r="AC1248">
        <v>0.52690000000001103</v>
      </c>
      <c r="AD1248">
        <v>-5.7792000000000003E-2</v>
      </c>
      <c r="AE1248">
        <v>-8.1500000000005401E-2</v>
      </c>
      <c r="AF1248">
        <v>7.6949939096562295E-2</v>
      </c>
      <c r="AG1248">
        <v>-5.7792000000000003E-2</v>
      </c>
      <c r="AH1248">
        <v>0.52132585153311495</v>
      </c>
      <c r="AI1248">
        <v>96.258479394367001</v>
      </c>
      <c r="AJ1248">
        <v>81.603524187057104</v>
      </c>
      <c r="AK1248">
        <v>0.53013380562617596</v>
      </c>
      <c r="AL1248">
        <v>72.452545288757605</v>
      </c>
      <c r="AM1248">
        <v>94.116544773046201</v>
      </c>
      <c r="AN1248">
        <v>0.99999998768078102</v>
      </c>
    </row>
    <row r="1249" spans="1:40" x14ac:dyDescent="0.25">
      <c r="A1249" t="str">
        <f>"20190304164117870"</f>
        <v>20190304164117870</v>
      </c>
      <c r="B1249" t="str">
        <f>"1551688877862412"</f>
        <v>1551688877862412</v>
      </c>
      <c r="C1249" t="s">
        <v>40</v>
      </c>
      <c r="D1249">
        <v>4.3851930000000001</v>
      </c>
      <c r="E1249">
        <v>0.57888169999999906</v>
      </c>
      <c r="F1249" t="s">
        <v>41</v>
      </c>
      <c r="G1249">
        <v>-261.36290000000002</v>
      </c>
      <c r="H1249">
        <v>1.0518799999999999</v>
      </c>
      <c r="I1249">
        <v>366.8766</v>
      </c>
      <c r="J1249">
        <v>-261.98070000000001</v>
      </c>
      <c r="K1249">
        <v>1.110541</v>
      </c>
      <c r="L1249">
        <v>366.9599</v>
      </c>
      <c r="M1249">
        <v>0.99987210000000004</v>
      </c>
      <c r="N1249">
        <v>-1.446502E-2</v>
      </c>
      <c r="O1249">
        <v>-6.8459929999999999E-3</v>
      </c>
      <c r="P1249">
        <v>0.95585310000000001</v>
      </c>
      <c r="Q1249">
        <v>0.28739569999999998</v>
      </c>
      <c r="R1249">
        <v>6.1228629999999999E-2</v>
      </c>
      <c r="S1249">
        <v>3.2307739999999998</v>
      </c>
      <c r="T1249">
        <v>-0.2329398</v>
      </c>
      <c r="U1249">
        <v>-0.33523560000000002</v>
      </c>
      <c r="V1249">
        <v>-6.7814239999999998E-2</v>
      </c>
      <c r="W1249">
        <v>0.301176</v>
      </c>
      <c r="X1249">
        <v>0.95115419999999995</v>
      </c>
      <c r="Y1249">
        <v>9.6110920000000002E-2</v>
      </c>
      <c r="Z1249">
        <v>-3.7562659999999999E-3</v>
      </c>
      <c r="AA1249">
        <v>0.99536349999999996</v>
      </c>
      <c r="AB1249">
        <v>33</v>
      </c>
      <c r="AC1249">
        <v>0.61779999999998803</v>
      </c>
      <c r="AD1249">
        <v>-5.8660999999999998E-2</v>
      </c>
      <c r="AE1249">
        <v>-8.3300000000008298E-2</v>
      </c>
      <c r="AF1249">
        <v>7.8374163972426206E-2</v>
      </c>
      <c r="AG1249">
        <v>-5.8660999999999998E-2</v>
      </c>
      <c r="AH1249">
        <v>0.61292849356257195</v>
      </c>
      <c r="AI1249">
        <v>95.423017077396906</v>
      </c>
      <c r="AJ1249">
        <v>82.713224399287199</v>
      </c>
      <c r="AK1249">
        <v>0.62069715700997197</v>
      </c>
      <c r="AL1249">
        <v>72.471750499851197</v>
      </c>
      <c r="AM1249">
        <v>94.078104442282296</v>
      </c>
      <c r="AN1249">
        <v>1.0000000331501999</v>
      </c>
    </row>
    <row r="1250" spans="1:40" x14ac:dyDescent="0.25">
      <c r="A1250" t="str">
        <f>"20190304164117883"</f>
        <v>20190304164117883</v>
      </c>
      <c r="B1250" t="str">
        <f>"1551688877872172"</f>
        <v>1551688877872172</v>
      </c>
      <c r="C1250" t="s">
        <v>40</v>
      </c>
      <c r="D1250">
        <v>4.3632410000000004</v>
      </c>
      <c r="E1250">
        <v>0.57896479999999995</v>
      </c>
      <c r="F1250" t="s">
        <v>41</v>
      </c>
      <c r="G1250">
        <v>-261.07420000000002</v>
      </c>
      <c r="H1250">
        <v>1.044837</v>
      </c>
      <c r="I1250">
        <v>366.86489999999998</v>
      </c>
      <c r="J1250">
        <v>-261.786</v>
      </c>
      <c r="K1250">
        <v>1.110563</v>
      </c>
      <c r="L1250">
        <v>366.95859999999999</v>
      </c>
      <c r="M1250">
        <v>0.99987239999999999</v>
      </c>
      <c r="N1250">
        <v>-1.4466669999999999E-2</v>
      </c>
      <c r="O1250">
        <v>-6.7649429999999998E-3</v>
      </c>
      <c r="P1250">
        <v>0.95585189999999998</v>
      </c>
      <c r="Q1250">
        <v>0.28751919999999997</v>
      </c>
      <c r="R1250">
        <v>6.0662239999999999E-2</v>
      </c>
      <c r="S1250">
        <v>3.2306819999999998</v>
      </c>
      <c r="T1250">
        <v>-0.23430280000000001</v>
      </c>
      <c r="U1250">
        <v>-0.33825680000000002</v>
      </c>
      <c r="V1250">
        <v>-6.7185610000000007E-2</v>
      </c>
      <c r="W1250">
        <v>0.30129830000000002</v>
      </c>
      <c r="X1250">
        <v>0.95116000000000001</v>
      </c>
      <c r="Y1250">
        <v>9.7109000000000001E-2</v>
      </c>
      <c r="Z1250">
        <v>-3.8215900000000001E-3</v>
      </c>
      <c r="AA1250">
        <v>0.9952664</v>
      </c>
      <c r="AB1250">
        <v>33</v>
      </c>
      <c r="AC1250">
        <v>0.711799999999982</v>
      </c>
      <c r="AD1250">
        <v>-6.5725999999999896E-2</v>
      </c>
      <c r="AE1250">
        <v>-9.3700000000012496E-2</v>
      </c>
      <c r="AF1250">
        <v>8.8143333180730504E-2</v>
      </c>
      <c r="AG1250">
        <v>-6.5725999999999896E-2</v>
      </c>
      <c r="AH1250">
        <v>0.70649648496268702</v>
      </c>
      <c r="AI1250">
        <v>95.274323018411593</v>
      </c>
      <c r="AJ1250">
        <v>82.888457067070803</v>
      </c>
      <c r="AK1250">
        <v>0.71500100526141996</v>
      </c>
      <c r="AL1250">
        <v>72.464400529148705</v>
      </c>
      <c r="AM1250">
        <v>94.040402126005404</v>
      </c>
      <c r="AN1250">
        <v>0.99999995868698</v>
      </c>
    </row>
    <row r="1251" spans="1:40" x14ac:dyDescent="0.25">
      <c r="A1251" t="str">
        <f>"20190304164117895"</f>
        <v>20190304164117895</v>
      </c>
      <c r="B1251" t="str">
        <f>"1551688877881932"</f>
        <v>1551688877881932</v>
      </c>
      <c r="C1251" t="s">
        <v>40</v>
      </c>
      <c r="D1251">
        <v>4.493862</v>
      </c>
      <c r="E1251">
        <v>0.57897069999999995</v>
      </c>
      <c r="F1251" t="s">
        <v>41</v>
      </c>
      <c r="G1251">
        <v>-260.78410000000002</v>
      </c>
      <c r="H1251">
        <v>1.0380659999999999</v>
      </c>
      <c r="I1251">
        <v>366.85270000000003</v>
      </c>
      <c r="J1251">
        <v>-261.60469999999998</v>
      </c>
      <c r="K1251">
        <v>1.1105849999999999</v>
      </c>
      <c r="L1251">
        <v>366.95740000000001</v>
      </c>
      <c r="M1251">
        <v>0.99987309999999996</v>
      </c>
      <c r="N1251">
        <v>-1.4467880000000001E-2</v>
      </c>
      <c r="O1251">
        <v>-6.6674269999999897E-3</v>
      </c>
      <c r="P1251">
        <v>0.95585169999999997</v>
      </c>
      <c r="Q1251">
        <v>0.28758250000000002</v>
      </c>
      <c r="R1251">
        <v>6.0365309999999998E-2</v>
      </c>
      <c r="S1251">
        <v>3.2305600000000001</v>
      </c>
      <c r="T1251">
        <v>-0.2339396</v>
      </c>
      <c r="U1251">
        <v>-0.34094239999999998</v>
      </c>
      <c r="V1251">
        <v>-6.6810999999999995E-2</v>
      </c>
      <c r="W1251">
        <v>0.30135919999999999</v>
      </c>
      <c r="X1251">
        <v>0.95116710000000004</v>
      </c>
      <c r="Y1251">
        <v>9.8026059999999998E-2</v>
      </c>
      <c r="Z1251">
        <v>-3.8623569999999999E-3</v>
      </c>
      <c r="AA1251">
        <v>0.99517639999999996</v>
      </c>
      <c r="AB1251">
        <v>33</v>
      </c>
      <c r="AC1251">
        <v>0.82059999999995603</v>
      </c>
      <c r="AD1251">
        <v>-7.2519E-2</v>
      </c>
      <c r="AE1251">
        <v>-0.104699999999979</v>
      </c>
      <c r="AF1251">
        <v>9.8469102263006605E-2</v>
      </c>
      <c r="AG1251">
        <v>-7.2519E-2</v>
      </c>
      <c r="AH1251">
        <v>0.81501674004158997</v>
      </c>
      <c r="AI1251">
        <v>95.048184991969705</v>
      </c>
      <c r="AJ1251">
        <v>83.111000045977804</v>
      </c>
      <c r="AK1251">
        <v>0.82414043464054298</v>
      </c>
      <c r="AL1251">
        <v>72.460741235892698</v>
      </c>
      <c r="AM1251">
        <v>94.017917961512396</v>
      </c>
      <c r="AN1251">
        <v>0.99999996463402396</v>
      </c>
    </row>
    <row r="1252" spans="1:40" x14ac:dyDescent="0.25">
      <c r="A1252" t="str">
        <f>"20190304164117907"</f>
        <v>20190304164117907</v>
      </c>
      <c r="B1252" t="str">
        <f>"1551688877902427"</f>
        <v>1551688877902427</v>
      </c>
      <c r="C1252" t="s">
        <v>40</v>
      </c>
      <c r="D1252">
        <v>4.4457589999999998</v>
      </c>
      <c r="E1252">
        <v>0.57906729999999995</v>
      </c>
      <c r="F1252" t="s">
        <v>41</v>
      </c>
      <c r="G1252">
        <v>-260.77480000000003</v>
      </c>
      <c r="H1252">
        <v>1.0504800000000001</v>
      </c>
      <c r="I1252">
        <v>366.86930000000001</v>
      </c>
      <c r="J1252">
        <v>-261.43270000000001</v>
      </c>
      <c r="K1252">
        <v>1.1106069999999999</v>
      </c>
      <c r="L1252">
        <v>366.95639999999997</v>
      </c>
      <c r="M1252">
        <v>0.99987369999999998</v>
      </c>
      <c r="N1252">
        <v>-1.446887E-2</v>
      </c>
      <c r="O1252">
        <v>-6.5638490000000001E-3</v>
      </c>
      <c r="P1252">
        <v>0.9559318</v>
      </c>
      <c r="Q1252">
        <v>0.28738150000000001</v>
      </c>
      <c r="R1252">
        <v>6.0052559999999998E-2</v>
      </c>
      <c r="S1252">
        <v>3.2306520000000001</v>
      </c>
      <c r="T1252">
        <v>-0.23418820000000001</v>
      </c>
      <c r="U1252">
        <v>-0.34237669999999998</v>
      </c>
      <c r="V1252">
        <v>-6.6415390000000005E-2</v>
      </c>
      <c r="W1252">
        <v>0.30115740000000002</v>
      </c>
      <c r="X1252">
        <v>0.95125879999999996</v>
      </c>
      <c r="Y1252">
        <v>9.8560720000000004E-2</v>
      </c>
      <c r="Z1252">
        <v>-3.8946739999999999E-3</v>
      </c>
      <c r="AA1252">
        <v>0.99512339999999999</v>
      </c>
      <c r="AB1252">
        <v>33</v>
      </c>
      <c r="AC1252">
        <v>0.65789999999998305</v>
      </c>
      <c r="AD1252">
        <v>-6.0127E-2</v>
      </c>
      <c r="AE1252">
        <v>-8.7099999999963901E-2</v>
      </c>
      <c r="AF1252">
        <v>8.2105338340912506E-2</v>
      </c>
      <c r="AG1252">
        <v>-6.0127E-2</v>
      </c>
      <c r="AH1252">
        <v>0.65309653655259203</v>
      </c>
      <c r="AI1252">
        <v>95.219225878844398</v>
      </c>
      <c r="AJ1252">
        <v>82.834538078460099</v>
      </c>
      <c r="AK1252">
        <v>0.66097778235737004</v>
      </c>
      <c r="AL1252">
        <v>72.472868287271993</v>
      </c>
      <c r="AM1252">
        <v>93.993819986267297</v>
      </c>
      <c r="AN1252">
        <v>1.0000000440905199</v>
      </c>
    </row>
    <row r="1253" spans="1:40" x14ac:dyDescent="0.25">
      <c r="A1253" t="str">
        <f>"20190304164117918"</f>
        <v>20190304164117918</v>
      </c>
      <c r="B1253" t="str">
        <f>"1551688877912187"</f>
        <v>1551688877912187</v>
      </c>
      <c r="C1253" t="s">
        <v>40</v>
      </c>
      <c r="D1253">
        <v>4.4521189999999997</v>
      </c>
      <c r="E1253">
        <v>0.57907140000000001</v>
      </c>
      <c r="F1253" t="s">
        <v>41</v>
      </c>
      <c r="G1253">
        <v>-260.488</v>
      </c>
      <c r="H1253">
        <v>1.0419959999999999</v>
      </c>
      <c r="I1253">
        <v>366.85570000000001</v>
      </c>
      <c r="J1253">
        <v>-261.27289999999999</v>
      </c>
      <c r="K1253">
        <v>1.1106259999999999</v>
      </c>
      <c r="L1253">
        <v>366.9554</v>
      </c>
      <c r="M1253">
        <v>0.9998745</v>
      </c>
      <c r="N1253">
        <v>-1.4469610000000001E-2</v>
      </c>
      <c r="O1253">
        <v>-6.4560040000000004E-3</v>
      </c>
      <c r="P1253">
        <v>0.955901</v>
      </c>
      <c r="Q1253">
        <v>0.28754069999999998</v>
      </c>
      <c r="R1253">
        <v>5.9781399999999998E-2</v>
      </c>
      <c r="S1253">
        <v>3.2304689999999998</v>
      </c>
      <c r="T1253">
        <v>-0.2345343</v>
      </c>
      <c r="U1253">
        <v>-0.344696</v>
      </c>
      <c r="V1253">
        <v>-6.6054539999999995E-2</v>
      </c>
      <c r="W1253">
        <v>0.30131380000000002</v>
      </c>
      <c r="X1253">
        <v>0.95123429999999998</v>
      </c>
      <c r="Y1253">
        <v>9.9376889999999996E-2</v>
      </c>
      <c r="Z1253">
        <v>-3.9410219999999998E-3</v>
      </c>
      <c r="AA1253">
        <v>0.99504210000000004</v>
      </c>
      <c r="AB1253">
        <v>33</v>
      </c>
      <c r="AC1253">
        <v>0.78489999999999305</v>
      </c>
      <c r="AD1253">
        <v>-6.8630000000000094E-2</v>
      </c>
      <c r="AE1253">
        <v>-9.9699999999984301E-2</v>
      </c>
      <c r="AF1253">
        <v>9.3923395447128702E-2</v>
      </c>
      <c r="AG1253">
        <v>-6.8630000000000094E-2</v>
      </c>
      <c r="AH1253">
        <v>0.77966120914537396</v>
      </c>
      <c r="AI1253">
        <v>94.994592160478504</v>
      </c>
      <c r="AJ1253">
        <v>83.130854476168096</v>
      </c>
      <c r="AK1253">
        <v>0.78829136882141804</v>
      </c>
      <c r="AL1253">
        <v>72.463469020738202</v>
      </c>
      <c r="AM1253">
        <v>93.972292280938603</v>
      </c>
      <c r="AN1253">
        <v>0.99999995091076899</v>
      </c>
    </row>
    <row r="1254" spans="1:40" x14ac:dyDescent="0.25">
      <c r="A1254" t="str">
        <f>"20190304164117927"</f>
        <v>20190304164117927</v>
      </c>
      <c r="B1254" t="str">
        <f>"1551688877921947"</f>
        <v>1551688877921947</v>
      </c>
      <c r="C1254" t="s">
        <v>40</v>
      </c>
      <c r="D1254">
        <v>4.4273759999999998</v>
      </c>
      <c r="E1254">
        <v>0.5790883</v>
      </c>
      <c r="F1254" t="s">
        <v>41</v>
      </c>
      <c r="G1254">
        <v>-260.47199999999998</v>
      </c>
      <c r="H1254">
        <v>1.0525070000000001</v>
      </c>
      <c r="I1254">
        <v>366.86989999999997</v>
      </c>
      <c r="J1254">
        <v>-261.12400000000002</v>
      </c>
      <c r="K1254">
        <v>1.110644</v>
      </c>
      <c r="L1254">
        <v>366.95460000000003</v>
      </c>
      <c r="M1254">
        <v>0.99987519999999996</v>
      </c>
      <c r="N1254">
        <v>-1.4470210000000001E-2</v>
      </c>
      <c r="O1254">
        <v>-6.3425779999999998E-3</v>
      </c>
      <c r="P1254">
        <v>0.95590609999999998</v>
      </c>
      <c r="Q1254">
        <v>0.28758699999999998</v>
      </c>
      <c r="R1254">
        <v>5.9474319999999997E-2</v>
      </c>
      <c r="S1254">
        <v>3.230499</v>
      </c>
      <c r="T1254">
        <v>-0.2343353</v>
      </c>
      <c r="U1254">
        <v>-0.34545900000000002</v>
      </c>
      <c r="V1254">
        <v>-6.5652150000000006E-2</v>
      </c>
      <c r="W1254">
        <v>0.30135840000000003</v>
      </c>
      <c r="X1254">
        <v>0.95124810000000004</v>
      </c>
      <c r="Y1254">
        <v>9.9720310000000006E-2</v>
      </c>
      <c r="Z1254">
        <v>-3.9598059999999997E-3</v>
      </c>
      <c r="AA1254">
        <v>0.99500759999999999</v>
      </c>
      <c r="AB1254">
        <v>33</v>
      </c>
      <c r="AC1254">
        <v>0.65200000000004299</v>
      </c>
      <c r="AD1254">
        <v>-5.81369999999998E-2</v>
      </c>
      <c r="AE1254">
        <v>-8.4700000000054801E-2</v>
      </c>
      <c r="AF1254">
        <v>7.9937484206742307E-2</v>
      </c>
      <c r="AG1254">
        <v>-5.81369999999998E-2</v>
      </c>
      <c r="AH1254">
        <v>0.64746175907035397</v>
      </c>
      <c r="AI1254">
        <v>95.092492333575294</v>
      </c>
      <c r="AJ1254">
        <v>82.961716358124406</v>
      </c>
      <c r="AK1254">
        <v>0.65496308415725202</v>
      </c>
      <c r="AL1254">
        <v>72.460790290024306</v>
      </c>
      <c r="AM1254">
        <v>93.948113600569201</v>
      </c>
      <c r="AN1254">
        <v>1.0000000189018901</v>
      </c>
    </row>
    <row r="1255" spans="1:40" x14ac:dyDescent="0.25">
      <c r="A1255" t="str">
        <f>"20190304164117938"</f>
        <v>20190304164117938</v>
      </c>
      <c r="B1255" t="str">
        <f>"1551688877932683"</f>
        <v>1551688877932683</v>
      </c>
      <c r="C1255" t="s">
        <v>40</v>
      </c>
      <c r="D1255">
        <v>4.324306</v>
      </c>
      <c r="E1255">
        <v>0.57918970000000003</v>
      </c>
      <c r="F1255" t="s">
        <v>41</v>
      </c>
      <c r="G1255">
        <v>-260.19330000000002</v>
      </c>
      <c r="H1255">
        <v>1.043139</v>
      </c>
      <c r="I1255">
        <v>366.8544</v>
      </c>
      <c r="J1255">
        <v>-260.95870000000002</v>
      </c>
      <c r="K1255">
        <v>1.110665</v>
      </c>
      <c r="L1255">
        <v>366.95359999999999</v>
      </c>
      <c r="M1255">
        <v>0.99987610000000005</v>
      </c>
      <c r="N1255">
        <v>-1.4470800000000001E-2</v>
      </c>
      <c r="O1255">
        <v>-6.2077809999999999E-3</v>
      </c>
      <c r="P1255">
        <v>0.95594599999999996</v>
      </c>
      <c r="Q1255">
        <v>0.28749150000000001</v>
      </c>
      <c r="R1255">
        <v>5.9296349999999998E-2</v>
      </c>
      <c r="S1255">
        <v>3.2305299999999999</v>
      </c>
      <c r="T1255">
        <v>-0.23462</v>
      </c>
      <c r="U1255">
        <v>-0.34689330000000002</v>
      </c>
      <c r="V1255">
        <v>-6.5359849999999997E-2</v>
      </c>
      <c r="W1255">
        <v>0.3012611</v>
      </c>
      <c r="X1255">
        <v>0.95129909999999995</v>
      </c>
      <c r="Y1255">
        <v>0.1002875</v>
      </c>
      <c r="Z1255">
        <v>-3.9960000000000004E-3</v>
      </c>
      <c r="AA1255">
        <v>0.99495049999999996</v>
      </c>
      <c r="AB1255">
        <v>33</v>
      </c>
      <c r="AC1255">
        <v>0.76539999999999897</v>
      </c>
      <c r="AD1255">
        <v>-6.7525999999999906E-2</v>
      </c>
      <c r="AE1255">
        <v>-9.9199999999996097E-2</v>
      </c>
      <c r="AF1255">
        <v>9.3728686360765895E-2</v>
      </c>
      <c r="AG1255">
        <v>-6.7525999999999906E-2</v>
      </c>
      <c r="AH1255">
        <v>0.76018212607806701</v>
      </c>
      <c r="AI1255">
        <v>95.038233683254703</v>
      </c>
      <c r="AJ1255">
        <v>82.971039345115898</v>
      </c>
      <c r="AK1255">
        <v>0.76890941737729102</v>
      </c>
      <c r="AL1255">
        <v>72.466637789035204</v>
      </c>
      <c r="AM1255">
        <v>93.930380757900195</v>
      </c>
      <c r="AN1255">
        <v>1.00000006901301</v>
      </c>
    </row>
    <row r="1256" spans="1:40" x14ac:dyDescent="0.25">
      <c r="A1256" t="str">
        <f>"20190304164117949"</f>
        <v>20190304164117949</v>
      </c>
      <c r="B1256" t="str">
        <f>"1551688877942444"</f>
        <v>1551688877942444</v>
      </c>
      <c r="C1256" t="s">
        <v>40</v>
      </c>
      <c r="D1256">
        <v>4.4475339999999903</v>
      </c>
      <c r="E1256">
        <v>0.57922399999999996</v>
      </c>
      <c r="F1256" t="s">
        <v>42</v>
      </c>
      <c r="G1256">
        <v>-245.68440000000001</v>
      </c>
      <c r="H1256" s="1">
        <v>-2.787652E-6</v>
      </c>
      <c r="I1256">
        <v>365.30869999999999</v>
      </c>
      <c r="J1256">
        <v>-260.80689999999998</v>
      </c>
      <c r="K1256">
        <v>1.110684</v>
      </c>
      <c r="L1256">
        <v>366.95280000000002</v>
      </c>
      <c r="M1256">
        <v>0.99987700000000002</v>
      </c>
      <c r="N1256">
        <v>-1.4471100000000001E-2</v>
      </c>
      <c r="O1256">
        <v>-6.0681279999999999E-3</v>
      </c>
      <c r="P1256">
        <v>0.95596879999999995</v>
      </c>
      <c r="Q1256">
        <v>0.28741359999999999</v>
      </c>
      <c r="R1256">
        <v>5.9307810000000002E-2</v>
      </c>
      <c r="S1256">
        <v>3.2304379999999999</v>
      </c>
      <c r="T1256">
        <v>-0.23490079999999999</v>
      </c>
      <c r="U1256">
        <v>-0.3479004</v>
      </c>
      <c r="V1256">
        <v>-6.5251370000000003E-2</v>
      </c>
      <c r="W1256">
        <v>0.30118050000000002</v>
      </c>
      <c r="X1256">
        <v>0.95133199999999996</v>
      </c>
      <c r="Y1256">
        <v>0.1007338</v>
      </c>
      <c r="Z1256">
        <v>-4.0273599999999998E-3</v>
      </c>
      <c r="AA1256">
        <v>0.99490520000000005</v>
      </c>
      <c r="AB1256">
        <v>33</v>
      </c>
      <c r="AC1256">
        <v>15.122499999999899</v>
      </c>
      <c r="AD1256">
        <v>-1.1106867876519999</v>
      </c>
      <c r="AE1256">
        <v>-1.6441000000000301</v>
      </c>
      <c r="AF1256">
        <v>1.5440630014516901</v>
      </c>
      <c r="AG1256">
        <v>-1.1106867876519999</v>
      </c>
      <c r="AH1256">
        <v>15.051952742720101</v>
      </c>
      <c r="AI1256">
        <v>94.198266907478498</v>
      </c>
      <c r="AJ1256">
        <v>84.142958138603603</v>
      </c>
      <c r="AK1256">
        <v>15.1716524169846</v>
      </c>
      <c r="AL1256">
        <v>72.471479596623197</v>
      </c>
      <c r="AM1256">
        <v>93.923742488093694</v>
      </c>
      <c r="AN1256">
        <v>1.0000000045455599</v>
      </c>
    </row>
    <row r="1257" spans="1:40" x14ac:dyDescent="0.25">
      <c r="A1257" t="str">
        <f>"20190304164117960"</f>
        <v>20190304164117960</v>
      </c>
      <c r="B1257" t="str">
        <f>"1551688877952204"</f>
        <v>1551688877952204</v>
      </c>
      <c r="C1257" t="s">
        <v>40</v>
      </c>
      <c r="D1257">
        <v>4.3302239999999896</v>
      </c>
      <c r="E1257">
        <v>0.57932030000000001</v>
      </c>
      <c r="F1257" t="s">
        <v>41</v>
      </c>
      <c r="G1257">
        <v>-259.89870000000002</v>
      </c>
      <c r="H1257">
        <v>1.0445310000000001</v>
      </c>
      <c r="I1257">
        <v>366.8546</v>
      </c>
      <c r="J1257">
        <v>-260.64670000000001</v>
      </c>
      <c r="K1257">
        <v>1.1107039999999999</v>
      </c>
      <c r="L1257">
        <v>366.952</v>
      </c>
      <c r="M1257">
        <v>0.99987789999999999</v>
      </c>
      <c r="N1257">
        <v>-1.4471329999999999E-2</v>
      </c>
      <c r="O1257">
        <v>-5.9153449999999998E-3</v>
      </c>
      <c r="P1257">
        <v>0.95595730000000001</v>
      </c>
      <c r="Q1257">
        <v>0.28751300000000002</v>
      </c>
      <c r="R1257">
        <v>5.901137E-2</v>
      </c>
      <c r="S1257">
        <v>3.230591</v>
      </c>
      <c r="T1257">
        <v>-0.23549900000000001</v>
      </c>
      <c r="U1257">
        <v>-0.34851070000000001</v>
      </c>
      <c r="V1257">
        <v>-6.4822870000000005E-2</v>
      </c>
      <c r="W1257">
        <v>0.30127789999999999</v>
      </c>
      <c r="X1257">
        <v>0.95133049999999997</v>
      </c>
      <c r="Y1257">
        <v>0.101064</v>
      </c>
      <c r="Z1257">
        <v>-4.0586149999999998E-3</v>
      </c>
      <c r="AA1257">
        <v>0.99487170000000003</v>
      </c>
      <c r="AB1257">
        <v>33</v>
      </c>
      <c r="AC1257">
        <v>0.74799999999999001</v>
      </c>
      <c r="AD1257">
        <v>-6.6173000000000204E-2</v>
      </c>
      <c r="AE1257">
        <v>-9.73999999999932E-2</v>
      </c>
      <c r="AF1257">
        <v>9.2263111804003803E-2</v>
      </c>
      <c r="AG1257">
        <v>-6.6173000000000204E-2</v>
      </c>
      <c r="AH1257">
        <v>0.74284629372913702</v>
      </c>
      <c r="AI1257">
        <v>95.051877714917893</v>
      </c>
      <c r="AJ1257">
        <v>82.919997836113694</v>
      </c>
      <c r="AK1257">
        <v>0.75147319568689497</v>
      </c>
      <c r="AL1257">
        <v>72.465627954353906</v>
      </c>
      <c r="AM1257">
        <v>93.898061441579699</v>
      </c>
      <c r="AN1257">
        <v>1.0000000488668399</v>
      </c>
    </row>
    <row r="1258" spans="1:40" x14ac:dyDescent="0.25">
      <c r="A1258" t="str">
        <f>"20190304164117970"</f>
        <v>20190304164117970</v>
      </c>
      <c r="B1258" t="str">
        <f>"1551688877961964"</f>
        <v>1551688877961964</v>
      </c>
      <c r="C1258" t="s">
        <v>40</v>
      </c>
      <c r="D1258">
        <v>4.4425470000000002</v>
      </c>
      <c r="E1258">
        <v>0.5793315</v>
      </c>
      <c r="F1258" t="s">
        <v>42</v>
      </c>
      <c r="G1258">
        <v>-245.37989999999999</v>
      </c>
      <c r="H1258" s="1">
        <v>-2.9305569999999998E-6</v>
      </c>
      <c r="I1258">
        <v>365.29719999999998</v>
      </c>
      <c r="J1258">
        <v>-260.50119999999998</v>
      </c>
      <c r="K1258">
        <v>1.110722</v>
      </c>
      <c r="L1258">
        <v>366.9513</v>
      </c>
      <c r="M1258">
        <v>0.99987879999999996</v>
      </c>
      <c r="N1258">
        <v>-1.4471299999999999E-2</v>
      </c>
      <c r="O1258">
        <v>-5.7600960000000001E-3</v>
      </c>
      <c r="P1258">
        <v>0.95598050000000001</v>
      </c>
      <c r="Q1258">
        <v>0.2874855</v>
      </c>
      <c r="R1258">
        <v>5.8769500000000002E-2</v>
      </c>
      <c r="S1258">
        <v>3.230499</v>
      </c>
      <c r="T1258">
        <v>-0.23502970000000001</v>
      </c>
      <c r="U1258">
        <v>-0.35015869999999999</v>
      </c>
      <c r="V1258">
        <v>-6.444561E-2</v>
      </c>
      <c r="W1258">
        <v>0.30124830000000002</v>
      </c>
      <c r="X1258">
        <v>0.95136549999999998</v>
      </c>
      <c r="Y1258">
        <v>0.1017219</v>
      </c>
      <c r="Z1258">
        <v>-4.089812E-3</v>
      </c>
      <c r="AA1258">
        <v>0.99480449999999998</v>
      </c>
      <c r="AB1258">
        <v>33</v>
      </c>
      <c r="AC1258">
        <v>15.1212999999999</v>
      </c>
      <c r="AD1258">
        <v>-1.1107249305569999</v>
      </c>
      <c r="AE1258">
        <v>-1.6541000000000201</v>
      </c>
      <c r="AF1258">
        <v>1.55865297030398</v>
      </c>
      <c r="AG1258">
        <v>-1.1107249305569999</v>
      </c>
      <c r="AH1258">
        <v>15.050333410847101</v>
      </c>
      <c r="AI1258">
        <v>94.198442335312706</v>
      </c>
      <c r="AJ1258">
        <v>84.087373088023696</v>
      </c>
      <c r="AK1258">
        <v>15.171540618238399</v>
      </c>
      <c r="AL1258">
        <v>72.467406465977604</v>
      </c>
      <c r="AM1258">
        <v>93.875302463198295</v>
      </c>
      <c r="AN1258">
        <v>1.0000000447457</v>
      </c>
    </row>
    <row r="1259" spans="1:40" x14ac:dyDescent="0.25">
      <c r="A1259" t="str">
        <f>"20190304164117981"</f>
        <v>20190304164117981</v>
      </c>
      <c r="B1259" t="str">
        <f>"1551688877972699"</f>
        <v>1551688877972699</v>
      </c>
      <c r="C1259" t="s">
        <v>40</v>
      </c>
      <c r="D1259">
        <v>4.4571459999999998</v>
      </c>
      <c r="E1259">
        <v>0.57934399999999997</v>
      </c>
      <c r="F1259" t="s">
        <v>41</v>
      </c>
      <c r="G1259">
        <v>-259.60480000000001</v>
      </c>
      <c r="H1259">
        <v>1.045436</v>
      </c>
      <c r="I1259">
        <v>366.85359999999997</v>
      </c>
      <c r="J1259">
        <v>-260.33819999999997</v>
      </c>
      <c r="K1259">
        <v>1.1107419999999999</v>
      </c>
      <c r="L1259">
        <v>366.95049999999998</v>
      </c>
      <c r="M1259">
        <v>0.99987969999999904</v>
      </c>
      <c r="N1259">
        <v>-1.447122E-2</v>
      </c>
      <c r="O1259">
        <v>-5.5840739999999996E-3</v>
      </c>
      <c r="P1259">
        <v>0.95599040000000002</v>
      </c>
      <c r="Q1259">
        <v>0.287526</v>
      </c>
      <c r="R1259">
        <v>5.8404949999999997E-2</v>
      </c>
      <c r="S1259">
        <v>3.230591</v>
      </c>
      <c r="T1259">
        <v>-0.23562430000000001</v>
      </c>
      <c r="U1259">
        <v>-0.3510742</v>
      </c>
      <c r="V1259">
        <v>-6.3926289999999997E-2</v>
      </c>
      <c r="W1259">
        <v>0.30128650000000001</v>
      </c>
      <c r="X1259">
        <v>0.95138840000000002</v>
      </c>
      <c r="Y1259">
        <v>0.1021695</v>
      </c>
      <c r="Z1259">
        <v>-4.1276780000000001E-3</v>
      </c>
      <c r="AA1259">
        <v>0.99475840000000004</v>
      </c>
      <c r="AB1259">
        <v>33</v>
      </c>
      <c r="AC1259">
        <v>0.73339999999995997</v>
      </c>
      <c r="AD1259">
        <v>-6.5306000000000003E-2</v>
      </c>
      <c r="AE1259">
        <v>-9.6900000000005093E-2</v>
      </c>
      <c r="AF1259">
        <v>9.2085075103244901E-2</v>
      </c>
      <c r="AG1259">
        <v>-6.5306000000000003E-2</v>
      </c>
      <c r="AH1259">
        <v>0.728254382026852</v>
      </c>
      <c r="AI1259">
        <v>95.084008580211005</v>
      </c>
      <c r="AJ1259">
        <v>82.793405981585806</v>
      </c>
      <c r="AK1259">
        <v>0.73695249482859004</v>
      </c>
      <c r="AL1259">
        <v>72.465110435311601</v>
      </c>
      <c r="AM1259">
        <v>93.844075995679901</v>
      </c>
      <c r="AN1259">
        <v>1.0000000066449799</v>
      </c>
    </row>
    <row r="1260" spans="1:40" x14ac:dyDescent="0.25">
      <c r="A1260" t="str">
        <f>"20190304164117993"</f>
        <v>20190304164117993</v>
      </c>
      <c r="B1260" t="str">
        <f>"1551688877982460"</f>
        <v>1551688877982460</v>
      </c>
      <c r="C1260" t="s">
        <v>40</v>
      </c>
      <c r="D1260">
        <v>4.4468740000000002</v>
      </c>
      <c r="E1260">
        <v>0.57934890000000006</v>
      </c>
      <c r="F1260" t="s">
        <v>42</v>
      </c>
      <c r="G1260">
        <v>-245.11770000000001</v>
      </c>
      <c r="H1260" s="1">
        <v>-3.0555199999999999E-6</v>
      </c>
      <c r="I1260">
        <v>365.29169999999999</v>
      </c>
      <c r="J1260">
        <v>-260.17750000000001</v>
      </c>
      <c r="K1260">
        <v>1.110762</v>
      </c>
      <c r="L1260">
        <v>366.94979999999998</v>
      </c>
      <c r="M1260">
        <v>0.99988089999999996</v>
      </c>
      <c r="N1260">
        <v>-1.447092E-2</v>
      </c>
      <c r="O1260">
        <v>-5.3926929999999996E-3</v>
      </c>
      <c r="P1260">
        <v>0.95602690000000001</v>
      </c>
      <c r="Q1260">
        <v>0.28741499999999998</v>
      </c>
      <c r="R1260">
        <v>5.8357409999999998E-2</v>
      </c>
      <c r="S1260">
        <v>3.2305299999999999</v>
      </c>
      <c r="T1260">
        <v>-0.23575289999999999</v>
      </c>
      <c r="U1260">
        <v>-0.35208129999999999</v>
      </c>
      <c r="V1260">
        <v>-6.3709100000000005E-2</v>
      </c>
      <c r="W1260">
        <v>0.30117329999999998</v>
      </c>
      <c r="X1260">
        <v>0.95143880000000003</v>
      </c>
      <c r="Y1260">
        <v>0.1026662</v>
      </c>
      <c r="Z1260">
        <v>-4.16228E-3</v>
      </c>
      <c r="AA1260">
        <v>0.99470720000000001</v>
      </c>
      <c r="AB1260">
        <v>33</v>
      </c>
      <c r="AC1260">
        <v>15.0597999999999</v>
      </c>
      <c r="AD1260">
        <v>-1.1107650555199999</v>
      </c>
      <c r="AE1260">
        <v>-1.6580999999999899</v>
      </c>
      <c r="AF1260">
        <v>1.5684243392766</v>
      </c>
      <c r="AG1260">
        <v>-1.1107650555199999</v>
      </c>
      <c r="AH1260">
        <v>14.987964233329199</v>
      </c>
      <c r="AI1260">
        <v>94.215533662125395</v>
      </c>
      <c r="AJ1260">
        <v>84.025992630793795</v>
      </c>
      <c r="AK1260">
        <v>15.1106858142228</v>
      </c>
      <c r="AL1260">
        <v>72.471912096741306</v>
      </c>
      <c r="AM1260">
        <v>93.830852344081407</v>
      </c>
      <c r="AN1260">
        <v>0.99999999810057005</v>
      </c>
    </row>
    <row r="1261" spans="1:40" x14ac:dyDescent="0.25">
      <c r="A1261" t="str">
        <f>"20190304164118003"</f>
        <v>20190304164118003</v>
      </c>
      <c r="B1261" t="str">
        <f>"1551688877992220"</f>
        <v>1551688877992220</v>
      </c>
      <c r="C1261" t="s">
        <v>40</v>
      </c>
      <c r="D1261">
        <v>4.4409589999999897</v>
      </c>
      <c r="E1261">
        <v>0.57935570000000003</v>
      </c>
      <c r="F1261" t="s">
        <v>41</v>
      </c>
      <c r="G1261">
        <v>-259.31040000000002</v>
      </c>
      <c r="H1261">
        <v>1.0473709999999901</v>
      </c>
      <c r="I1261">
        <v>366.85509999999999</v>
      </c>
      <c r="J1261">
        <v>-260.01769999999999</v>
      </c>
      <c r="K1261">
        <v>1.1107769999999999</v>
      </c>
      <c r="L1261">
        <v>366.94909999999999</v>
      </c>
      <c r="M1261">
        <v>0.99988180000000004</v>
      </c>
      <c r="N1261">
        <v>-1.447059E-2</v>
      </c>
      <c r="O1261">
        <v>-5.19953E-3</v>
      </c>
      <c r="P1261">
        <v>0.95603689999999997</v>
      </c>
      <c r="Q1261">
        <v>0.28746179999999999</v>
      </c>
      <c r="R1261">
        <v>5.7961850000000002E-2</v>
      </c>
      <c r="S1261">
        <v>3.2305299999999999</v>
      </c>
      <c r="T1261">
        <v>-0.23621700000000001</v>
      </c>
      <c r="U1261">
        <v>-0.35266110000000001</v>
      </c>
      <c r="V1261">
        <v>-6.3141500000000003E-2</v>
      </c>
      <c r="W1261">
        <v>0.30121779999999998</v>
      </c>
      <c r="X1261">
        <v>0.95146260000000005</v>
      </c>
      <c r="Y1261">
        <v>0.1030321</v>
      </c>
      <c r="Z1261">
        <v>-4.1960519999999996E-3</v>
      </c>
      <c r="AA1261">
        <v>0.99466920000000003</v>
      </c>
      <c r="AB1261">
        <v>33</v>
      </c>
      <c r="AC1261">
        <v>0.70729999999997495</v>
      </c>
      <c r="AD1261">
        <v>-6.3406000000000295E-2</v>
      </c>
      <c r="AE1261">
        <v>-9.3999999999994005E-2</v>
      </c>
      <c r="AF1261">
        <v>8.9613062416550995E-2</v>
      </c>
      <c r="AG1261">
        <v>-6.3406000000000295E-2</v>
      </c>
      <c r="AH1261">
        <v>0.70223386208295302</v>
      </c>
      <c r="AI1261">
        <v>95.118070322661197</v>
      </c>
      <c r="AJ1261">
        <v>82.727709694312495</v>
      </c>
      <c r="AK1261">
        <v>0.71076242081838503</v>
      </c>
      <c r="AL1261">
        <v>72.469239128581606</v>
      </c>
      <c r="AM1261">
        <v>93.796727920537904</v>
      </c>
      <c r="AN1261">
        <v>1.00000004562892</v>
      </c>
    </row>
    <row r="1262" spans="1:40" x14ac:dyDescent="0.25">
      <c r="A1262" t="str">
        <f>"20190304164118013"</f>
        <v>20190304164118013</v>
      </c>
      <c r="B1262" t="str">
        <f>"1551688878001979"</f>
        <v>1551688878001979</v>
      </c>
      <c r="C1262" t="s">
        <v>40</v>
      </c>
      <c r="D1262">
        <v>4.4516450000000001</v>
      </c>
      <c r="E1262">
        <v>0.57935879999999995</v>
      </c>
      <c r="F1262" t="s">
        <v>41</v>
      </c>
      <c r="G1262">
        <v>-259.02440000000001</v>
      </c>
      <c r="H1262">
        <v>1.038303</v>
      </c>
      <c r="I1262">
        <v>366.84010000000001</v>
      </c>
      <c r="J1262">
        <v>-259.86709999999999</v>
      </c>
      <c r="K1262">
        <v>1.1107940000000001</v>
      </c>
      <c r="L1262">
        <v>366.94850000000002</v>
      </c>
      <c r="M1262">
        <v>0.99988279999999996</v>
      </c>
      <c r="N1262">
        <v>-1.4470159999999999E-2</v>
      </c>
      <c r="O1262">
        <v>-5.0065229999999997E-3</v>
      </c>
      <c r="P1262">
        <v>0.95602920000000002</v>
      </c>
      <c r="Q1262">
        <v>0.28755249999999999</v>
      </c>
      <c r="R1262">
        <v>5.7631790000000002E-2</v>
      </c>
      <c r="S1262">
        <v>3.2303470000000001</v>
      </c>
      <c r="T1262">
        <v>-0.2359339</v>
      </c>
      <c r="U1262">
        <v>-0.3537903</v>
      </c>
      <c r="V1262">
        <v>-6.2637880000000007E-2</v>
      </c>
      <c r="W1262">
        <v>0.30130600000000002</v>
      </c>
      <c r="X1262">
        <v>0.95146790000000003</v>
      </c>
      <c r="Y1262">
        <v>0.1035724</v>
      </c>
      <c r="Z1262">
        <v>-4.2269580000000003E-3</v>
      </c>
      <c r="AA1262">
        <v>0.99461290000000002</v>
      </c>
      <c r="AB1262">
        <v>33</v>
      </c>
      <c r="AC1262">
        <v>0.84269999999997902</v>
      </c>
      <c r="AD1262">
        <v>-7.2491E-2</v>
      </c>
      <c r="AE1262">
        <v>-0.108400000000017</v>
      </c>
      <c r="AF1262">
        <v>0.103426322325785</v>
      </c>
      <c r="AG1262">
        <v>-7.2491E-2</v>
      </c>
      <c r="AH1262">
        <v>0.83713834594583403</v>
      </c>
      <c r="AI1262">
        <v>94.911953066465799</v>
      </c>
      <c r="AJ1262">
        <v>82.956941877773104</v>
      </c>
      <c r="AK1262">
        <v>0.84661240215565203</v>
      </c>
      <c r="AL1262">
        <v>72.463938366370201</v>
      </c>
      <c r="AM1262">
        <v>93.766511613185997</v>
      </c>
      <c r="AN1262">
        <v>0.99999998718865202</v>
      </c>
    </row>
    <row r="1263" spans="1:40" x14ac:dyDescent="0.25">
      <c r="A1263" t="str">
        <f>"20190304164118025"</f>
        <v>20190304164118025</v>
      </c>
      <c r="B1263" t="str">
        <f>"1551688878012716"</f>
        <v>1551688878012716</v>
      </c>
      <c r="C1263" t="s">
        <v>40</v>
      </c>
      <c r="D1263">
        <v>4.4642169999999997</v>
      </c>
      <c r="E1263">
        <v>0.57936189999999999</v>
      </c>
      <c r="F1263" t="s">
        <v>41</v>
      </c>
      <c r="G1263">
        <v>-259.01679999999999</v>
      </c>
      <c r="H1263">
        <v>1.0487660000000001</v>
      </c>
      <c r="I1263">
        <v>366.85480000000001</v>
      </c>
      <c r="J1263">
        <v>-259.70429999999999</v>
      </c>
      <c r="K1263">
        <v>1.1108089999999999</v>
      </c>
      <c r="L1263">
        <v>366.94779999999997</v>
      </c>
      <c r="M1263">
        <v>0.99988390000000005</v>
      </c>
      <c r="N1263">
        <v>-1.4469640000000001E-2</v>
      </c>
      <c r="O1263">
        <v>-4.7940789999999997E-3</v>
      </c>
      <c r="P1263">
        <v>0.95594259999999998</v>
      </c>
      <c r="Q1263">
        <v>0.287875299999999</v>
      </c>
      <c r="R1263">
        <v>5.7462390000000002E-2</v>
      </c>
      <c r="S1263">
        <v>3.2303470000000001</v>
      </c>
      <c r="T1263">
        <v>-0.2359202</v>
      </c>
      <c r="U1263">
        <v>-0.35513309999999998</v>
      </c>
      <c r="V1263">
        <v>-6.2276480000000002E-2</v>
      </c>
      <c r="W1263">
        <v>0.3016257</v>
      </c>
      <c r="X1263">
        <v>0.95139030000000002</v>
      </c>
      <c r="Y1263">
        <v>0.10419</v>
      </c>
      <c r="Z1263">
        <v>-4.2659949999999999E-3</v>
      </c>
      <c r="AA1263">
        <v>0.99454830000000005</v>
      </c>
      <c r="AB1263">
        <v>33</v>
      </c>
      <c r="AC1263">
        <v>0.6875</v>
      </c>
      <c r="AD1263">
        <v>-6.20429999999998E-2</v>
      </c>
      <c r="AE1263">
        <v>-9.2999999999960795E-2</v>
      </c>
      <c r="AF1263">
        <v>8.8990934342244504E-2</v>
      </c>
      <c r="AG1263">
        <v>-6.20429999999998E-2</v>
      </c>
      <c r="AH1263">
        <v>0.68247972733343898</v>
      </c>
      <c r="AI1263">
        <v>95.151010150659005</v>
      </c>
      <c r="AJ1263">
        <v>82.570916634828095</v>
      </c>
      <c r="AK1263">
        <v>0.69104797117510697</v>
      </c>
      <c r="AL1263">
        <v>72.444726700668298</v>
      </c>
      <c r="AM1263">
        <v>93.745146671944696</v>
      </c>
      <c r="AN1263">
        <v>0.99999996289788395</v>
      </c>
    </row>
    <row r="1264" spans="1:40" x14ac:dyDescent="0.25">
      <c r="A1264" t="str">
        <f>"20190304164118036"</f>
        <v>20190304164118036</v>
      </c>
      <c r="B1264" t="str">
        <f>"1551688878022475"</f>
        <v>1551688878022475</v>
      </c>
      <c r="C1264" t="s">
        <v>40</v>
      </c>
      <c r="D1264">
        <v>4.3888099999999897</v>
      </c>
      <c r="E1264">
        <v>0.57943509999999998</v>
      </c>
      <c r="F1264" t="s">
        <v>41</v>
      </c>
      <c r="G1264">
        <v>-258.73149999999998</v>
      </c>
      <c r="H1264">
        <v>1.040173</v>
      </c>
      <c r="I1264">
        <v>366.84050000000002</v>
      </c>
      <c r="J1264">
        <v>-259.55</v>
      </c>
      <c r="K1264">
        <v>1.1108209999999901</v>
      </c>
      <c r="L1264">
        <v>366.94729999999998</v>
      </c>
      <c r="M1264">
        <v>0.99988489999999997</v>
      </c>
      <c r="N1264">
        <v>-1.4469060000000001E-2</v>
      </c>
      <c r="O1264">
        <v>-4.5844199999999996E-3</v>
      </c>
      <c r="P1264">
        <v>0.95590649999999999</v>
      </c>
      <c r="Q1264">
        <v>0.28807870000000002</v>
      </c>
      <c r="R1264">
        <v>5.7039319999999998E-2</v>
      </c>
      <c r="S1264">
        <v>3.2303470000000001</v>
      </c>
      <c r="T1264">
        <v>-0.2346365</v>
      </c>
      <c r="U1264">
        <v>-0.35617070000000001</v>
      </c>
      <c r="V1264">
        <v>-6.1662649999999999E-2</v>
      </c>
      <c r="W1264">
        <v>0.301826599999999</v>
      </c>
      <c r="X1264">
        <v>0.95136659999999995</v>
      </c>
      <c r="Y1264">
        <v>0.1047153</v>
      </c>
      <c r="Z1264">
        <v>-4.2821909999999899E-3</v>
      </c>
      <c r="AA1264">
        <v>0.99449299999999996</v>
      </c>
      <c r="AB1264">
        <v>33</v>
      </c>
      <c r="AC1264">
        <v>0.81850000000002798</v>
      </c>
      <c r="AD1264">
        <v>-7.0647999999999794E-2</v>
      </c>
      <c r="AE1264">
        <v>-0.10679999999996399</v>
      </c>
      <c r="AF1264">
        <v>0.102296773948116</v>
      </c>
      <c r="AG1264">
        <v>-7.0647999999999794E-2</v>
      </c>
      <c r="AH1264">
        <v>0.81302534074562505</v>
      </c>
      <c r="AI1264">
        <v>94.927595301585896</v>
      </c>
      <c r="AJ1264">
        <v>82.828595013457701</v>
      </c>
      <c r="AK1264">
        <v>0.82247551608466296</v>
      </c>
      <c r="AL1264">
        <v>72.432653842752202</v>
      </c>
      <c r="AM1264">
        <v>93.708428157130399</v>
      </c>
      <c r="AN1264">
        <v>0.99999999323407096</v>
      </c>
    </row>
    <row r="1265" spans="1:40" x14ac:dyDescent="0.25">
      <c r="A1265" t="str">
        <f>"20190304164118047"</f>
        <v>20190304164118047</v>
      </c>
      <c r="B1265" t="str">
        <f>"1551688878041995"</f>
        <v>1551688878041995</v>
      </c>
      <c r="C1265" t="s">
        <v>40</v>
      </c>
      <c r="D1265">
        <v>4.5783680000000002</v>
      </c>
      <c r="E1265">
        <v>0.59789369999999997</v>
      </c>
      <c r="F1265" t="s">
        <v>41</v>
      </c>
      <c r="G1265">
        <v>-258.72289999999998</v>
      </c>
      <c r="H1265">
        <v>1.0509580000000001</v>
      </c>
      <c r="I1265">
        <v>366.85550000000001</v>
      </c>
      <c r="J1265">
        <v>-259.38619999999997</v>
      </c>
      <c r="K1265">
        <v>1.110835</v>
      </c>
      <c r="L1265">
        <v>366.9468</v>
      </c>
      <c r="M1265">
        <v>0.99988580000000005</v>
      </c>
      <c r="N1265">
        <v>-1.4468369999999999E-2</v>
      </c>
      <c r="O1265">
        <v>-4.3576020000000004E-3</v>
      </c>
      <c r="P1265">
        <v>0.95591040000000005</v>
      </c>
      <c r="Q1265">
        <v>0.2881473</v>
      </c>
      <c r="R1265">
        <v>5.6628289999999998E-2</v>
      </c>
      <c r="S1265">
        <v>3.2302550000000001</v>
      </c>
      <c r="T1265">
        <v>-0.23389260000000001</v>
      </c>
      <c r="U1265">
        <v>-0.35845949999999999</v>
      </c>
      <c r="V1265">
        <v>-6.1044319999999999E-2</v>
      </c>
      <c r="W1265">
        <v>0.30189349999999998</v>
      </c>
      <c r="X1265">
        <v>0.95138529999999999</v>
      </c>
      <c r="Y1265">
        <v>0.1056386</v>
      </c>
      <c r="Z1265">
        <v>-4.3242829999999999E-3</v>
      </c>
      <c r="AA1265">
        <v>0.99439520000000003</v>
      </c>
      <c r="AB1265">
        <v>33</v>
      </c>
      <c r="AC1265">
        <v>0.66329999999999201</v>
      </c>
      <c r="AD1265">
        <v>-5.9876999999999903E-2</v>
      </c>
      <c r="AE1265">
        <v>-9.1299999999989695E-2</v>
      </c>
      <c r="AF1265">
        <v>8.7707004888446294E-2</v>
      </c>
      <c r="AG1265">
        <v>-5.9876999999999903E-2</v>
      </c>
      <c r="AH1265">
        <v>0.65842589639888105</v>
      </c>
      <c r="AI1265">
        <v>95.150913367128993</v>
      </c>
      <c r="AJ1265">
        <v>82.412462995055904</v>
      </c>
      <c r="AK1265">
        <v>0.66693510545192702</v>
      </c>
      <c r="AL1265">
        <v>72.428634080564393</v>
      </c>
      <c r="AM1265">
        <v>93.671271679582702</v>
      </c>
      <c r="AN1265">
        <v>1.0000000417013</v>
      </c>
    </row>
    <row r="1266" spans="1:40" x14ac:dyDescent="0.25">
      <c r="A1266" t="str">
        <f>"20190304164118059"</f>
        <v>20190304164118059</v>
      </c>
      <c r="B1266" t="str">
        <f>"1551688878052732"</f>
        <v>1551688878052732</v>
      </c>
      <c r="C1266" t="s">
        <v>40</v>
      </c>
      <c r="D1266">
        <v>4.5656800000000004</v>
      </c>
      <c r="E1266">
        <v>0.60382100000000005</v>
      </c>
      <c r="F1266" t="s">
        <v>41</v>
      </c>
      <c r="G1266">
        <v>-258.43790000000001</v>
      </c>
      <c r="H1266">
        <v>1.0364180000000001</v>
      </c>
      <c r="I1266">
        <v>366.7987</v>
      </c>
      <c r="J1266">
        <v>-259.20600000000002</v>
      </c>
      <c r="K1266">
        <v>1.110849</v>
      </c>
      <c r="L1266">
        <v>366.94619999999998</v>
      </c>
      <c r="M1266">
        <v>0.99988699999999997</v>
      </c>
      <c r="N1266">
        <v>-1.4467509999999999E-2</v>
      </c>
      <c r="O1266">
        <v>-4.1031310000000003E-3</v>
      </c>
      <c r="P1266">
        <v>0.95586689999999996</v>
      </c>
      <c r="Q1266">
        <v>0.28841030000000001</v>
      </c>
      <c r="R1266">
        <v>5.602041E-2</v>
      </c>
      <c r="S1266">
        <v>3.2451780000000001</v>
      </c>
      <c r="T1266">
        <v>-0.2549149</v>
      </c>
      <c r="U1266">
        <v>-0.50573729999999995</v>
      </c>
      <c r="V1266">
        <v>-6.0202539999999999E-2</v>
      </c>
      <c r="W1266">
        <v>0.30215439999999999</v>
      </c>
      <c r="X1266">
        <v>0.95135610000000004</v>
      </c>
      <c r="Y1266">
        <v>0.14940239999999999</v>
      </c>
      <c r="Z1266">
        <v>-6.6521970000000003E-3</v>
      </c>
      <c r="AA1266">
        <v>0.98875409999999997</v>
      </c>
      <c r="AB1266">
        <v>33</v>
      </c>
      <c r="AC1266">
        <v>0.76809999999994705</v>
      </c>
      <c r="AD1266">
        <v>-7.44309999999999E-2</v>
      </c>
      <c r="AE1266">
        <v>-0.14749999999997901</v>
      </c>
      <c r="AF1266">
        <v>0.143051314669152</v>
      </c>
      <c r="AG1266">
        <v>-7.44309999999999E-2</v>
      </c>
      <c r="AH1266">
        <v>0.76179980954198701</v>
      </c>
      <c r="AI1266">
        <v>95.485055272110898</v>
      </c>
      <c r="AJ1266">
        <v>79.364807844333399</v>
      </c>
      <c r="AK1266">
        <v>0.77868003840331101</v>
      </c>
      <c r="AL1266">
        <v>72.412953080001103</v>
      </c>
      <c r="AM1266">
        <v>93.620892567364805</v>
      </c>
      <c r="AN1266">
        <v>1.0000000281345101</v>
      </c>
    </row>
    <row r="1267" spans="1:40" x14ac:dyDescent="0.25">
      <c r="A1267" t="str">
        <f>"20190304164118071"</f>
        <v>20190304164118071</v>
      </c>
      <c r="B1267" t="str">
        <f>"1551688878062492"</f>
        <v>1551688878062492</v>
      </c>
      <c r="C1267" t="s">
        <v>40</v>
      </c>
      <c r="D1267">
        <v>4.5685339999999997</v>
      </c>
      <c r="E1267">
        <v>0.60713309999999998</v>
      </c>
      <c r="F1267" t="s">
        <v>42</v>
      </c>
      <c r="G1267">
        <v>-245.73589999999999</v>
      </c>
      <c r="H1267" s="1">
        <v>-2.943267E-6</v>
      </c>
      <c r="I1267">
        <v>364.64940000000001</v>
      </c>
      <c r="J1267">
        <v>-259.03160000000003</v>
      </c>
      <c r="K1267">
        <v>1.1108640000000001</v>
      </c>
      <c r="L1267">
        <v>366.94580000000002</v>
      </c>
      <c r="M1267">
        <v>0.99988790000000005</v>
      </c>
      <c r="N1267">
        <v>-1.446657E-2</v>
      </c>
      <c r="O1267">
        <v>-3.851213E-3</v>
      </c>
      <c r="P1267">
        <v>0.95579579999999997</v>
      </c>
      <c r="Q1267">
        <v>0.2887557</v>
      </c>
      <c r="R1267">
        <v>5.5450819999999998E-2</v>
      </c>
      <c r="S1267">
        <v>3.251938</v>
      </c>
      <c r="T1267">
        <v>-0.26818180000000003</v>
      </c>
      <c r="U1267">
        <v>-0.55450440000000001</v>
      </c>
      <c r="V1267">
        <v>-5.9399149999999998E-2</v>
      </c>
      <c r="W1267">
        <v>0.30249710000000002</v>
      </c>
      <c r="X1267">
        <v>0.95129770000000002</v>
      </c>
      <c r="Y1267">
        <v>0.16366240000000001</v>
      </c>
      <c r="Z1267">
        <v>-7.6241479999999999E-3</v>
      </c>
      <c r="AA1267">
        <v>0.98648690000000006</v>
      </c>
      <c r="AB1267">
        <v>33</v>
      </c>
      <c r="AC1267">
        <v>13.2957</v>
      </c>
      <c r="AD1267">
        <v>-1.11086694326699</v>
      </c>
      <c r="AE1267">
        <v>-2.2964000000000002</v>
      </c>
      <c r="AF1267">
        <v>2.2300565261904</v>
      </c>
      <c r="AG1267">
        <v>-1.11086694326699</v>
      </c>
      <c r="AH1267">
        <v>13.2148688357205</v>
      </c>
      <c r="AI1267">
        <v>94.738410382679305</v>
      </c>
      <c r="AJ1267">
        <v>80.421377215623394</v>
      </c>
      <c r="AK1267">
        <v>13.4476739929605</v>
      </c>
      <c r="AL1267">
        <v>72.392353981676905</v>
      </c>
      <c r="AM1267">
        <v>93.572917288018004</v>
      </c>
      <c r="AN1267">
        <v>1.00000003427721</v>
      </c>
    </row>
    <row r="1268" spans="1:40" x14ac:dyDescent="0.25">
      <c r="A1268" t="str">
        <f>"20190304164118084"</f>
        <v>20190304164118084</v>
      </c>
      <c r="B1268" t="str">
        <f>"1551688878072251"</f>
        <v>1551688878072251</v>
      </c>
      <c r="C1268" t="s">
        <v>40</v>
      </c>
      <c r="D1268">
        <v>4.576371</v>
      </c>
      <c r="E1268">
        <v>0.60927310000000001</v>
      </c>
      <c r="F1268" t="s">
        <v>42</v>
      </c>
      <c r="G1268">
        <v>-246.1234</v>
      </c>
      <c r="H1268" s="1">
        <v>-2.7975930000000001E-6</v>
      </c>
      <c r="I1268">
        <v>364.63760000000002</v>
      </c>
      <c r="J1268">
        <v>-258.84039999999999</v>
      </c>
      <c r="K1268">
        <v>1.1108750000000001</v>
      </c>
      <c r="L1268">
        <v>366.94529999999997</v>
      </c>
      <c r="M1268">
        <v>0.99988909999999998</v>
      </c>
      <c r="N1268">
        <v>-1.4465479999999999E-2</v>
      </c>
      <c r="O1268">
        <v>-3.572361E-3</v>
      </c>
      <c r="P1268">
        <v>0.95572179999999995</v>
      </c>
      <c r="Q1268">
        <v>0.28913680000000003</v>
      </c>
      <c r="R1268">
        <v>5.4738519999999999E-2</v>
      </c>
      <c r="S1268">
        <v>3.2571870000000001</v>
      </c>
      <c r="T1268">
        <v>-0.28031040000000002</v>
      </c>
      <c r="U1268">
        <v>-0.58242799999999995</v>
      </c>
      <c r="V1268">
        <v>-5.8426899999999997E-2</v>
      </c>
      <c r="W1268">
        <v>0.30287560000000002</v>
      </c>
      <c r="X1268">
        <v>0.95123740000000001</v>
      </c>
      <c r="Y1268">
        <v>0.17179040000000001</v>
      </c>
      <c r="Z1268">
        <v>-8.3224049999999997E-3</v>
      </c>
      <c r="AA1268">
        <v>0.98509840000000004</v>
      </c>
      <c r="AB1268">
        <v>33</v>
      </c>
      <c r="AC1268">
        <v>12.716999999999899</v>
      </c>
      <c r="AD1268">
        <v>-1.110877797593</v>
      </c>
      <c r="AE1268">
        <v>-2.3076999999999499</v>
      </c>
      <c r="AF1268">
        <v>2.2456611801498498</v>
      </c>
      <c r="AG1268">
        <v>-1.110877797593</v>
      </c>
      <c r="AH1268">
        <v>12.6318469580537</v>
      </c>
      <c r="AI1268">
        <v>94.948613933752299</v>
      </c>
      <c r="AJ1268">
        <v>79.919404216522693</v>
      </c>
      <c r="AK1268">
        <v>12.877911367489199</v>
      </c>
      <c r="AL1268">
        <v>72.369598826430206</v>
      </c>
      <c r="AM1268">
        <v>93.514805534137196</v>
      </c>
      <c r="AN1268">
        <v>0.99999996143886405</v>
      </c>
    </row>
    <row r="1269" spans="1:40" x14ac:dyDescent="0.25">
      <c r="A1269" t="str">
        <f>"20190304164118097"</f>
        <v>20190304164118097</v>
      </c>
      <c r="B1269" t="str">
        <f>"1551688878092748"</f>
        <v>1551688878092748</v>
      </c>
      <c r="C1269" t="s">
        <v>40</v>
      </c>
      <c r="D1269">
        <v>4.5863019999999999</v>
      </c>
      <c r="E1269">
        <v>0.61244419999999899</v>
      </c>
      <c r="F1269" t="s">
        <v>42</v>
      </c>
      <c r="G1269">
        <v>-246.28110000000001</v>
      </c>
      <c r="H1269" s="1">
        <v>-2.73966E-6</v>
      </c>
      <c r="I1269">
        <v>364.62779999999998</v>
      </c>
      <c r="J1269">
        <v>-258.64870000000002</v>
      </c>
      <c r="K1269">
        <v>1.1108819999999999</v>
      </c>
      <c r="L1269">
        <v>366.94490000000002</v>
      </c>
      <c r="M1269">
        <v>0.99988999999999995</v>
      </c>
      <c r="N1269">
        <v>-1.4464279999999999E-2</v>
      </c>
      <c r="O1269">
        <v>-3.2894909999999999E-3</v>
      </c>
      <c r="P1269">
        <v>0.95573379999999997</v>
      </c>
      <c r="Q1269">
        <v>0.28923259999999901</v>
      </c>
      <c r="R1269">
        <v>5.4014649999999997E-2</v>
      </c>
      <c r="S1269">
        <v>3.2607119999999998</v>
      </c>
      <c r="T1269">
        <v>-0.28841329999999998</v>
      </c>
      <c r="U1269">
        <v>-0.60168459999999901</v>
      </c>
      <c r="V1269">
        <v>-5.7438049999999997E-2</v>
      </c>
      <c r="W1269">
        <v>0.30297109999999999</v>
      </c>
      <c r="X1269">
        <v>0.95126719999999998</v>
      </c>
      <c r="Y1269">
        <v>0.17745159999999999</v>
      </c>
      <c r="Z1269">
        <v>-8.8235659999999997E-3</v>
      </c>
      <c r="AA1269">
        <v>0.98409000000000002</v>
      </c>
      <c r="AB1269">
        <v>33</v>
      </c>
      <c r="AC1269">
        <v>12.367599999999999</v>
      </c>
      <c r="AD1269">
        <v>-1.1108847396599999</v>
      </c>
      <c r="AE1269">
        <v>-2.3171000000000301</v>
      </c>
      <c r="AF1269">
        <v>2.2587940810958398</v>
      </c>
      <c r="AG1269">
        <v>-1.1108847396599999</v>
      </c>
      <c r="AH1269">
        <v>12.279444660234001</v>
      </c>
      <c r="AI1269">
        <v>95.084458429367302</v>
      </c>
      <c r="AJ1269">
        <v>79.577006541920099</v>
      </c>
      <c r="AK1269">
        <v>12.534790655186599</v>
      </c>
      <c r="AL1269">
        <v>72.363857131155001</v>
      </c>
      <c r="AM1269">
        <v>93.455356359708304</v>
      </c>
      <c r="AN1269">
        <v>0.99999995140942499</v>
      </c>
    </row>
    <row r="1270" spans="1:40" x14ac:dyDescent="0.25">
      <c r="A1270" t="str">
        <f>"20190304164118108"</f>
        <v>20190304164118108</v>
      </c>
      <c r="B1270" t="str">
        <f>"1551688878102508"</f>
        <v>1551688878102508</v>
      </c>
      <c r="C1270" t="s">
        <v>40</v>
      </c>
      <c r="D1270">
        <v>4.5745550000000001</v>
      </c>
      <c r="E1270">
        <v>0.61319590000000002</v>
      </c>
      <c r="F1270" t="s">
        <v>42</v>
      </c>
      <c r="G1270">
        <v>-246.11500000000001</v>
      </c>
      <c r="H1270" s="1">
        <v>-2.8308570000000002E-6</v>
      </c>
      <c r="I1270">
        <v>364.52480000000003</v>
      </c>
      <c r="J1270">
        <v>-258.48759999999999</v>
      </c>
      <c r="K1270">
        <v>1.110889</v>
      </c>
      <c r="L1270">
        <v>366.94459999999998</v>
      </c>
      <c r="M1270">
        <v>0.99989090000000003</v>
      </c>
      <c r="N1270">
        <v>-1.446326E-2</v>
      </c>
      <c r="O1270">
        <v>-3.0507640000000001E-3</v>
      </c>
      <c r="P1270">
        <v>0.95570580000000005</v>
      </c>
      <c r="Q1270">
        <v>0.28947650000000003</v>
      </c>
      <c r="R1270">
        <v>5.3199719999999999E-2</v>
      </c>
      <c r="S1270">
        <v>3.262054</v>
      </c>
      <c r="T1270">
        <v>-0.28912100000000002</v>
      </c>
      <c r="U1270">
        <v>-0.62985230000000003</v>
      </c>
      <c r="V1270">
        <v>-5.6398320000000002E-2</v>
      </c>
      <c r="W1270">
        <v>0.30321419999999999</v>
      </c>
      <c r="X1270">
        <v>0.95125199999999999</v>
      </c>
      <c r="Y1270">
        <v>0.18577389999999999</v>
      </c>
      <c r="Z1270">
        <v>-9.2768999999999994E-3</v>
      </c>
      <c r="AA1270">
        <v>0.98254870000000005</v>
      </c>
      <c r="AB1270">
        <v>33</v>
      </c>
      <c r="AC1270">
        <v>12.372599999999901</v>
      </c>
      <c r="AD1270">
        <v>-1.1108918308569999</v>
      </c>
      <c r="AE1270">
        <v>-2.4197999999999502</v>
      </c>
      <c r="AF1270">
        <v>2.3636858208962801</v>
      </c>
      <c r="AG1270">
        <v>-1.1108918308569999</v>
      </c>
      <c r="AH1270">
        <v>12.2845407943539</v>
      </c>
      <c r="AI1270">
        <v>95.074622948117806</v>
      </c>
      <c r="AJ1270">
        <v>79.108742377487303</v>
      </c>
      <c r="AK1270">
        <v>12.559101633792</v>
      </c>
      <c r="AL1270">
        <v>72.3492417858712</v>
      </c>
      <c r="AM1270">
        <v>93.393009873413703</v>
      </c>
      <c r="AN1270">
        <v>0.99999999454223099</v>
      </c>
    </row>
    <row r="1271" spans="1:40" x14ac:dyDescent="0.25">
      <c r="A1271" t="str">
        <f>"20190304164118120"</f>
        <v>20190304164118120</v>
      </c>
      <c r="B1271" t="str">
        <f>"1551688878112267"</f>
        <v>1551688878112267</v>
      </c>
      <c r="C1271" t="s">
        <v>40</v>
      </c>
      <c r="D1271">
        <v>4.5684579999999997</v>
      </c>
      <c r="E1271">
        <v>0.61380449999999998</v>
      </c>
      <c r="F1271" t="s">
        <v>42</v>
      </c>
      <c r="G1271">
        <v>-246.03630000000001</v>
      </c>
      <c r="H1271" s="1">
        <v>-2.8655680000000001E-6</v>
      </c>
      <c r="I1271">
        <v>364.50779999999997</v>
      </c>
      <c r="J1271">
        <v>-258.32209999999998</v>
      </c>
      <c r="K1271">
        <v>1.110895</v>
      </c>
      <c r="L1271">
        <v>366.9443</v>
      </c>
      <c r="M1271">
        <v>0.99989159999999999</v>
      </c>
      <c r="N1271">
        <v>-1.446221E-2</v>
      </c>
      <c r="O1271">
        <v>-2.804656E-3</v>
      </c>
      <c r="P1271">
        <v>0.95575889999999997</v>
      </c>
      <c r="Q1271">
        <v>0.28947810000000002</v>
      </c>
      <c r="R1271">
        <v>5.2226969999999998E-2</v>
      </c>
      <c r="S1271">
        <v>3.2627259999999998</v>
      </c>
      <c r="T1271">
        <v>-0.29109790000000002</v>
      </c>
      <c r="U1271">
        <v>-0.63851930000000001</v>
      </c>
      <c r="V1271">
        <v>-5.5193489999999998E-2</v>
      </c>
      <c r="W1271">
        <v>0.3032165</v>
      </c>
      <c r="X1271">
        <v>0.951322</v>
      </c>
      <c r="Y1271">
        <v>0.1884701</v>
      </c>
      <c r="Z1271">
        <v>-9.4840380000000002E-3</v>
      </c>
      <c r="AA1271">
        <v>0.98203309999999999</v>
      </c>
      <c r="AB1271">
        <v>33</v>
      </c>
      <c r="AC1271">
        <v>12.285799999999901</v>
      </c>
      <c r="AD1271">
        <v>-1.110897865568</v>
      </c>
      <c r="AE1271">
        <v>-2.4365000000000201</v>
      </c>
      <c r="AF1271">
        <v>2.3832810204448598</v>
      </c>
      <c r="AG1271">
        <v>-1.110897865568</v>
      </c>
      <c r="AH1271">
        <v>12.196639670511001</v>
      </c>
      <c r="AI1271">
        <v>95.108187180233799</v>
      </c>
      <c r="AJ1271">
        <v>78.943453125440996</v>
      </c>
      <c r="AK1271">
        <v>12.476864259196599</v>
      </c>
      <c r="AL1271">
        <v>72.349104641977405</v>
      </c>
      <c r="AM1271">
        <v>93.320445619881198</v>
      </c>
      <c r="AN1271">
        <v>1.00000005744731</v>
      </c>
    </row>
    <row r="1272" spans="1:40" x14ac:dyDescent="0.25">
      <c r="A1272" t="str">
        <f>"20190304164118129"</f>
        <v>20190304164118129</v>
      </c>
      <c r="B1272" t="str">
        <f>"1551688878122027"</f>
        <v>1551688878122027</v>
      </c>
      <c r="C1272" t="s">
        <v>40</v>
      </c>
      <c r="D1272">
        <v>4.5834599999999996</v>
      </c>
      <c r="E1272">
        <v>0.61422319999999997</v>
      </c>
      <c r="F1272" t="s">
        <v>42</v>
      </c>
      <c r="G1272">
        <v>-245.9211</v>
      </c>
      <c r="H1272" s="1">
        <v>-2.9158480000000002E-6</v>
      </c>
      <c r="I1272">
        <v>364.4853</v>
      </c>
      <c r="J1272">
        <v>-258.17340000000002</v>
      </c>
      <c r="K1272">
        <v>1.1108990000000001</v>
      </c>
      <c r="L1272">
        <v>366.94400000000002</v>
      </c>
      <c r="M1272">
        <v>0.99989209999999995</v>
      </c>
      <c r="N1272">
        <v>-1.4461190000000001E-2</v>
      </c>
      <c r="O1272">
        <v>-2.5831270000000002E-3</v>
      </c>
      <c r="P1272">
        <v>0.95576719999999904</v>
      </c>
      <c r="Q1272">
        <v>0.28958309999999998</v>
      </c>
      <c r="R1272">
        <v>5.1486450000000003E-2</v>
      </c>
      <c r="S1272">
        <v>3.2627410000000001</v>
      </c>
      <c r="T1272">
        <v>-0.29227900000000001</v>
      </c>
      <c r="U1272">
        <v>-0.64697269999999996</v>
      </c>
      <c r="V1272">
        <v>-5.4243039999999999E-2</v>
      </c>
      <c r="W1272">
        <v>0.30332150000000002</v>
      </c>
      <c r="X1272">
        <v>0.95134319999999895</v>
      </c>
      <c r="Y1272">
        <v>0.19111700000000001</v>
      </c>
      <c r="Z1272">
        <v>-9.6678440000000001E-3</v>
      </c>
      <c r="AA1272">
        <v>0.98151960000000005</v>
      </c>
      <c r="AB1272">
        <v>33</v>
      </c>
      <c r="AC1272">
        <v>12.2523</v>
      </c>
      <c r="AD1272">
        <v>-1.110901915848</v>
      </c>
      <c r="AE1272">
        <v>-2.4587000000000199</v>
      </c>
      <c r="AF1272">
        <v>2.4080096866104399</v>
      </c>
      <c r="AG1272">
        <v>-1.110901915848</v>
      </c>
      <c r="AH1272">
        <v>12.1624955013038</v>
      </c>
      <c r="AI1272">
        <v>95.119979476660404</v>
      </c>
      <c r="AJ1272">
        <v>78.801039329004695</v>
      </c>
      <c r="AK1272">
        <v>12.448249296052801</v>
      </c>
      <c r="AL1272">
        <v>72.342791338991603</v>
      </c>
      <c r="AM1272">
        <v>93.263318553741996</v>
      </c>
      <c r="AN1272">
        <v>1.0000000619684599</v>
      </c>
    </row>
    <row r="1273" spans="1:40" x14ac:dyDescent="0.25">
      <c r="A1273" t="str">
        <f>"20190304164118140"</f>
        <v>20190304164118140</v>
      </c>
      <c r="B1273" t="str">
        <f>"1551688878132763"</f>
        <v>1551688878132763</v>
      </c>
      <c r="C1273" t="s">
        <v>40</v>
      </c>
      <c r="D1273">
        <v>4.5993500000000003</v>
      </c>
      <c r="E1273">
        <v>0.61462919999999999</v>
      </c>
      <c r="F1273" t="s">
        <v>42</v>
      </c>
      <c r="G1273">
        <v>-245.83150000000001</v>
      </c>
      <c r="H1273" s="1">
        <v>-2.9533230000000002E-6</v>
      </c>
      <c r="I1273">
        <v>364.47370000000001</v>
      </c>
      <c r="J1273">
        <v>-258.0197</v>
      </c>
      <c r="K1273">
        <v>1.1109039999999999</v>
      </c>
      <c r="L1273">
        <v>366.94380000000001</v>
      </c>
      <c r="M1273">
        <v>0.99989280000000003</v>
      </c>
      <c r="N1273">
        <v>-1.446012E-2</v>
      </c>
      <c r="O1273">
        <v>-2.3542089999999999E-3</v>
      </c>
      <c r="P1273">
        <v>0.9557928</v>
      </c>
      <c r="Q1273">
        <v>0.28965610000000003</v>
      </c>
      <c r="R1273">
        <v>5.0592930000000001E-2</v>
      </c>
      <c r="S1273">
        <v>3.2630159999999999</v>
      </c>
      <c r="T1273">
        <v>-0.29370449999999998</v>
      </c>
      <c r="U1273">
        <v>-0.65310669999999904</v>
      </c>
      <c r="V1273">
        <v>-5.3133E-2</v>
      </c>
      <c r="W1273">
        <v>0.30339450000000001</v>
      </c>
      <c r="X1273">
        <v>0.95138250000000002</v>
      </c>
      <c r="Y1273">
        <v>0.19308349999999999</v>
      </c>
      <c r="Z1273">
        <v>-9.8247569999999999E-3</v>
      </c>
      <c r="AA1273">
        <v>0.98113320000000004</v>
      </c>
      <c r="AB1273">
        <v>33</v>
      </c>
      <c r="AC1273">
        <v>12.188199999999901</v>
      </c>
      <c r="AD1273">
        <v>-1.110906953323</v>
      </c>
      <c r="AE1273">
        <v>-2.4701</v>
      </c>
      <c r="AF1273">
        <v>2.4220688154094199</v>
      </c>
      <c r="AG1273">
        <v>-1.110906953323</v>
      </c>
      <c r="AH1273">
        <v>12.097446024910401</v>
      </c>
      <c r="AI1273">
        <v>95.145203149308003</v>
      </c>
      <c r="AJ1273">
        <v>78.678320392353001</v>
      </c>
      <c r="AK1273">
        <v>12.387442509700699</v>
      </c>
      <c r="AL1273">
        <v>72.338400768534697</v>
      </c>
      <c r="AM1273">
        <v>93.196545540169595</v>
      </c>
      <c r="AN1273">
        <v>0.99999999981274901</v>
      </c>
    </row>
    <row r="1274" spans="1:40" x14ac:dyDescent="0.25">
      <c r="A1274" t="str">
        <f>"20190304164118152"</f>
        <v>20190304164118152</v>
      </c>
      <c r="B1274" t="str">
        <f>"1551688878142523"</f>
        <v>1551688878142523</v>
      </c>
      <c r="C1274" t="s">
        <v>40</v>
      </c>
      <c r="D1274">
        <v>4.6070719999999996</v>
      </c>
      <c r="E1274">
        <v>0.6148922</v>
      </c>
      <c r="F1274" t="s">
        <v>42</v>
      </c>
      <c r="G1274">
        <v>-245.67670000000001</v>
      </c>
      <c r="H1274" s="1">
        <v>-3.0192069999999998E-6</v>
      </c>
      <c r="I1274">
        <v>364.4495</v>
      </c>
      <c r="J1274">
        <v>-257.86590000000001</v>
      </c>
      <c r="K1274">
        <v>1.110908</v>
      </c>
      <c r="L1274">
        <v>366.94369999999998</v>
      </c>
      <c r="M1274">
        <v>0.99989320000000004</v>
      </c>
      <c r="N1274">
        <v>-1.445896E-2</v>
      </c>
      <c r="O1274">
        <v>-2.1248220000000002E-3</v>
      </c>
      <c r="P1274">
        <v>0.95589349999999995</v>
      </c>
      <c r="Q1274">
        <v>0.28947000000000001</v>
      </c>
      <c r="R1274">
        <v>4.9751589999999998E-2</v>
      </c>
      <c r="S1274">
        <v>3.2626499999999998</v>
      </c>
      <c r="T1274">
        <v>-0.29364879999999999</v>
      </c>
      <c r="U1274">
        <v>-0.65933229999999998</v>
      </c>
      <c r="V1274">
        <v>-5.207374E-2</v>
      </c>
      <c r="W1274">
        <v>0.30320960000000002</v>
      </c>
      <c r="X1274">
        <v>0.95150000000000001</v>
      </c>
      <c r="Y1274">
        <v>0.1951193</v>
      </c>
      <c r="Z1274">
        <v>-9.9452180000000005E-3</v>
      </c>
      <c r="AA1274">
        <v>0.98072910000000002</v>
      </c>
      <c r="AB1274">
        <v>33</v>
      </c>
      <c r="AC1274">
        <v>12.1892</v>
      </c>
      <c r="AD1274">
        <v>-1.110911019207</v>
      </c>
      <c r="AE1274">
        <v>-2.49419999999997</v>
      </c>
      <c r="AF1274">
        <v>2.4487689822629299</v>
      </c>
      <c r="AG1274">
        <v>-1.110911019207</v>
      </c>
      <c r="AH1274">
        <v>12.0980213514894</v>
      </c>
      <c r="AI1274">
        <v>95.142803337813504</v>
      </c>
      <c r="AJ1274">
        <v>78.557318736249599</v>
      </c>
      <c r="AK1274">
        <v>12.3932527385744</v>
      </c>
      <c r="AL1274">
        <v>72.349518338269405</v>
      </c>
      <c r="AM1274">
        <v>93.132561298712901</v>
      </c>
      <c r="AN1274">
        <v>0.99999999296487296</v>
      </c>
    </row>
    <row r="1275" spans="1:40" x14ac:dyDescent="0.25">
      <c r="A1275" t="str">
        <f>"20190304164118163"</f>
        <v>20190304164118163</v>
      </c>
      <c r="B1275" t="str">
        <f>"1551688878152285"</f>
        <v>1551688878152285</v>
      </c>
      <c r="C1275" t="s">
        <v>40</v>
      </c>
      <c r="D1275">
        <v>4.6103329999999998</v>
      </c>
      <c r="E1275">
        <v>0.61513379999999995</v>
      </c>
      <c r="F1275" t="s">
        <v>42</v>
      </c>
      <c r="G1275">
        <v>-245.66409999999999</v>
      </c>
      <c r="H1275" s="1">
        <v>-3.0200989999999999E-6</v>
      </c>
      <c r="I1275">
        <v>364.46440000000001</v>
      </c>
      <c r="J1275">
        <v>-257.70209999999997</v>
      </c>
      <c r="K1275">
        <v>1.110914</v>
      </c>
      <c r="L1275">
        <v>366.9436</v>
      </c>
      <c r="M1275">
        <v>0.99989380000000005</v>
      </c>
      <c r="N1275">
        <v>-1.445771E-2</v>
      </c>
      <c r="O1275">
        <v>-1.8806509999999999E-3</v>
      </c>
      <c r="P1275">
        <v>0.95597600000000005</v>
      </c>
      <c r="Q1275">
        <v>0.2893616</v>
      </c>
      <c r="R1275">
        <v>4.8786639999999999E-2</v>
      </c>
      <c r="S1275">
        <v>3.2628629999999998</v>
      </c>
      <c r="T1275">
        <v>-0.2970662</v>
      </c>
      <c r="U1275">
        <v>-0.66299439999999998</v>
      </c>
      <c r="V1275">
        <v>-5.0877260000000001E-2</v>
      </c>
      <c r="W1275">
        <v>0.30310239999999999</v>
      </c>
      <c r="X1275">
        <v>0.95159890000000003</v>
      </c>
      <c r="Y1275">
        <v>0.1963782</v>
      </c>
      <c r="Z1275">
        <v>-1.012649E-2</v>
      </c>
      <c r="AA1275">
        <v>0.98047589999999996</v>
      </c>
      <c r="AB1275">
        <v>32</v>
      </c>
      <c r="AC1275">
        <v>12.037999999999901</v>
      </c>
      <c r="AD1275">
        <v>-1.110917020099</v>
      </c>
      <c r="AE1275">
        <v>-2.4791999999999899</v>
      </c>
      <c r="AF1275">
        <v>2.4366469321385602</v>
      </c>
      <c r="AG1275">
        <v>-1.110917020099</v>
      </c>
      <c r="AH1275">
        <v>11.9450524104272</v>
      </c>
      <c r="AI1275">
        <v>95.206736365979296</v>
      </c>
      <c r="AJ1275">
        <v>78.470531621541994</v>
      </c>
      <c r="AK1275">
        <v>12.241554720920799</v>
      </c>
      <c r="AL1275">
        <v>72.355964135215501</v>
      </c>
      <c r="AM1275">
        <v>93.060406498552894</v>
      </c>
      <c r="AN1275">
        <v>1.0000000134760301</v>
      </c>
    </row>
    <row r="1276" spans="1:40" x14ac:dyDescent="0.25">
      <c r="A1276" t="str">
        <f>"20190304164118173"</f>
        <v>20190304164118173</v>
      </c>
      <c r="B1276" t="str">
        <f>"1551688878162043"</f>
        <v>1551688878162043</v>
      </c>
      <c r="C1276" t="s">
        <v>40</v>
      </c>
      <c r="D1276">
        <v>4.61653</v>
      </c>
      <c r="E1276">
        <v>0.61532679999999995</v>
      </c>
      <c r="F1276" t="s">
        <v>42</v>
      </c>
      <c r="G1276">
        <v>-245.60550000000001</v>
      </c>
      <c r="H1276" s="1">
        <v>-3.0414170000000001E-6</v>
      </c>
      <c r="I1276">
        <v>364.46879999999999</v>
      </c>
      <c r="J1276">
        <v>-257.541</v>
      </c>
      <c r="K1276">
        <v>1.110919</v>
      </c>
      <c r="L1276">
        <v>366.9436</v>
      </c>
      <c r="M1276">
        <v>0.99989430000000001</v>
      </c>
      <c r="N1276">
        <v>-1.4456449999999999E-2</v>
      </c>
      <c r="O1276">
        <v>-1.6399419999999999E-3</v>
      </c>
      <c r="P1276">
        <v>0.95603950000000004</v>
      </c>
      <c r="Q1276">
        <v>0.28927819999999999</v>
      </c>
      <c r="R1276">
        <v>4.8029530000000001E-2</v>
      </c>
      <c r="S1276">
        <v>3.2629239999999999</v>
      </c>
      <c r="T1276">
        <v>-0.29965639999999999</v>
      </c>
      <c r="U1276">
        <v>-0.66754150000000001</v>
      </c>
      <c r="V1276">
        <v>-4.9891240000000003E-2</v>
      </c>
      <c r="W1276">
        <v>0.3030197</v>
      </c>
      <c r="X1276">
        <v>0.95167740000000001</v>
      </c>
      <c r="Y1276">
        <v>0.19789999999999999</v>
      </c>
      <c r="Z1276">
        <v>-1.0299020000000001E-2</v>
      </c>
      <c r="AA1276">
        <v>0.98016809999999999</v>
      </c>
      <c r="AB1276">
        <v>32</v>
      </c>
      <c r="AC1276">
        <v>11.9354999999999</v>
      </c>
      <c r="AD1276">
        <v>-1.110922041417</v>
      </c>
      <c r="AE1276">
        <v>-2.4748000000000099</v>
      </c>
      <c r="AF1276">
        <v>2.4349954437134298</v>
      </c>
      <c r="AG1276">
        <v>-1.110922041417</v>
      </c>
      <c r="AH1276">
        <v>11.8411871536135</v>
      </c>
      <c r="AI1276">
        <v>95.250483187551694</v>
      </c>
      <c r="AJ1276">
        <v>78.379809801757304</v>
      </c>
      <c r="AK1276">
        <v>12.1398955432043</v>
      </c>
      <c r="AL1276">
        <v>72.3609356144961</v>
      </c>
      <c r="AM1276">
        <v>93.000957091341107</v>
      </c>
      <c r="AN1276">
        <v>0.99999997404379304</v>
      </c>
    </row>
    <row r="1277" spans="1:40" x14ac:dyDescent="0.25">
      <c r="A1277" t="str">
        <f>"20190304164118184"</f>
        <v>20190304164118184</v>
      </c>
      <c r="B1277" t="str">
        <f>"1551688878172780"</f>
        <v>1551688878172780</v>
      </c>
      <c r="C1277" t="s">
        <v>40</v>
      </c>
      <c r="D1277">
        <v>4.6125259999999999</v>
      </c>
      <c r="E1277">
        <v>0.61551559999999905</v>
      </c>
      <c r="F1277" t="s">
        <v>42</v>
      </c>
      <c r="G1277">
        <v>-245.52</v>
      </c>
      <c r="H1277" s="1">
        <v>-3.0736399999999999E-6</v>
      </c>
      <c r="I1277">
        <v>364.471</v>
      </c>
      <c r="J1277">
        <v>-257.39190000000002</v>
      </c>
      <c r="K1277">
        <v>1.110922</v>
      </c>
      <c r="L1277">
        <v>366.94349999999997</v>
      </c>
      <c r="M1277">
        <v>0.99989459999999997</v>
      </c>
      <c r="N1277">
        <v>-1.4455259999999999E-2</v>
      </c>
      <c r="O1277">
        <v>-1.417118E-3</v>
      </c>
      <c r="P1277">
        <v>0.95604599999999995</v>
      </c>
      <c r="Q1277">
        <v>0.28939759999999998</v>
      </c>
      <c r="R1277">
        <v>4.7170179999999999E-2</v>
      </c>
      <c r="S1277">
        <v>3.2629090000000001</v>
      </c>
      <c r="T1277">
        <v>-0.30154429999999999</v>
      </c>
      <c r="U1277">
        <v>-0.67114259999999903</v>
      </c>
      <c r="V1277">
        <v>-4.8820120000000002E-2</v>
      </c>
      <c r="W1277">
        <v>0.3031392</v>
      </c>
      <c r="X1277">
        <v>0.95169490000000001</v>
      </c>
      <c r="Y1277">
        <v>0.19914009999999999</v>
      </c>
      <c r="Z1277">
        <v>-1.043637E-2</v>
      </c>
      <c r="AA1277">
        <v>0.97991539999999999</v>
      </c>
      <c r="AB1277">
        <v>32</v>
      </c>
      <c r="AC1277">
        <v>11.8719</v>
      </c>
      <c r="AD1277">
        <v>-1.11092507363999</v>
      </c>
      <c r="AE1277">
        <v>-2.4724999999999602</v>
      </c>
      <c r="AF1277">
        <v>2.43523428595861</v>
      </c>
      <c r="AG1277">
        <v>-1.11092507363999</v>
      </c>
      <c r="AH1277">
        <v>11.776558047971101</v>
      </c>
      <c r="AI1277">
        <v>95.277956817338094</v>
      </c>
      <c r="AJ1277">
        <v>78.316672651449295</v>
      </c>
      <c r="AK1277">
        <v>12.0769135131449</v>
      </c>
      <c r="AL1277">
        <v>72.353750955746406</v>
      </c>
      <c r="AM1277">
        <v>92.936589347700803</v>
      </c>
      <c r="AN1277">
        <v>0.99999998068973195</v>
      </c>
    </row>
    <row r="1278" spans="1:40" x14ac:dyDescent="0.25">
      <c r="A1278" t="str">
        <f>"20190304164118195"</f>
        <v>20190304164118195</v>
      </c>
      <c r="B1278" t="str">
        <f>"1551688878192300"</f>
        <v>1551688878192300</v>
      </c>
      <c r="C1278" t="s">
        <v>40</v>
      </c>
      <c r="D1278">
        <v>4.6252690000000003</v>
      </c>
      <c r="E1278">
        <v>0.61575630000000003</v>
      </c>
      <c r="F1278" t="s">
        <v>42</v>
      </c>
      <c r="G1278">
        <v>-245.41249999999999</v>
      </c>
      <c r="H1278" s="1">
        <v>-3.115887E-6</v>
      </c>
      <c r="I1278">
        <v>364.4674</v>
      </c>
      <c r="J1278">
        <v>-257.22789999999998</v>
      </c>
      <c r="K1278">
        <v>1.1109260000000001</v>
      </c>
      <c r="L1278">
        <v>366.94349999999997</v>
      </c>
      <c r="M1278">
        <v>0.99989490000000003</v>
      </c>
      <c r="N1278">
        <v>-1.445393E-2</v>
      </c>
      <c r="O1278">
        <v>-1.1721209999999999E-3</v>
      </c>
      <c r="P1278">
        <v>0.95604909999999999</v>
      </c>
      <c r="Q1278">
        <v>0.28951909999999997</v>
      </c>
      <c r="R1278">
        <v>4.6356509999999997E-2</v>
      </c>
      <c r="S1278">
        <v>3.2627869999999999</v>
      </c>
      <c r="T1278">
        <v>-0.30257899999999999</v>
      </c>
      <c r="U1278">
        <v>-0.67440800000000001</v>
      </c>
      <c r="V1278">
        <v>-4.7773500000000003E-2</v>
      </c>
      <c r="W1278">
        <v>0.30326049999999999</v>
      </c>
      <c r="X1278">
        <v>0.95170940000000004</v>
      </c>
      <c r="Y1278">
        <v>0.20031570000000001</v>
      </c>
      <c r="Z1278">
        <v>-1.0547819999999999E-2</v>
      </c>
      <c r="AA1278">
        <v>0.97967459999999995</v>
      </c>
      <c r="AB1278">
        <v>32</v>
      </c>
      <c r="AC1278">
        <v>11.815399999999901</v>
      </c>
      <c r="AD1278">
        <v>-1.1109291158870001</v>
      </c>
      <c r="AE1278">
        <v>-2.47609999999997</v>
      </c>
      <c r="AF1278">
        <v>2.4415711813774399</v>
      </c>
      <c r="AG1278">
        <v>-1.1109291158870001</v>
      </c>
      <c r="AH1278">
        <v>11.719050984172</v>
      </c>
      <c r="AI1278">
        <v>95.302096335903002</v>
      </c>
      <c r="AJ1278">
        <v>78.231232062741199</v>
      </c>
      <c r="AK1278">
        <v>12.022129150191301</v>
      </c>
      <c r="AL1278">
        <v>72.346458196545299</v>
      </c>
      <c r="AM1278">
        <v>92.873696859083907</v>
      </c>
      <c r="AN1278">
        <v>1.00000001010543</v>
      </c>
    </row>
    <row r="1279" spans="1:40" x14ac:dyDescent="0.25">
      <c r="A1279" t="str">
        <f>"20190304164118205"</f>
        <v>20190304164118205</v>
      </c>
      <c r="B1279" t="str">
        <f>"1551688878202059"</f>
        <v>1551688878202059</v>
      </c>
      <c r="C1279" t="s">
        <v>40</v>
      </c>
      <c r="D1279">
        <v>4.6362959999999998</v>
      </c>
      <c r="E1279">
        <v>0.61586770000000002</v>
      </c>
      <c r="F1279" t="s">
        <v>42</v>
      </c>
      <c r="G1279">
        <v>-245.3152</v>
      </c>
      <c r="H1279" s="1">
        <v>-3.1537570000000001E-6</v>
      </c>
      <c r="I1279">
        <v>364.46550000000002</v>
      </c>
      <c r="J1279">
        <v>-257.08069999999998</v>
      </c>
      <c r="K1279">
        <v>1.1109249999999999</v>
      </c>
      <c r="L1279">
        <v>366.94349999999997</v>
      </c>
      <c r="M1279">
        <v>0.99989519999999998</v>
      </c>
      <c r="N1279">
        <v>-1.445272E-2</v>
      </c>
      <c r="O1279">
        <v>-9.5168219999999999E-4</v>
      </c>
      <c r="P1279">
        <v>0.95604160000000005</v>
      </c>
      <c r="Q1279">
        <v>0.28969349999999999</v>
      </c>
      <c r="R1279">
        <v>4.5412059999999997E-2</v>
      </c>
      <c r="S1279">
        <v>3.2629700000000001</v>
      </c>
      <c r="T1279">
        <v>-0.30429030000000001</v>
      </c>
      <c r="U1279">
        <v>-0.6787415</v>
      </c>
      <c r="V1279">
        <v>-4.6619430000000003E-2</v>
      </c>
      <c r="W1279">
        <v>0.303434599999999</v>
      </c>
      <c r="X1279">
        <v>0.95171119999999998</v>
      </c>
      <c r="Y1279">
        <v>0.20175080000000001</v>
      </c>
      <c r="Z1279">
        <v>-1.0690979999999999E-2</v>
      </c>
      <c r="AA1279">
        <v>0.97937850000000004</v>
      </c>
      <c r="AB1279">
        <v>32</v>
      </c>
      <c r="AC1279">
        <v>11.7654999999999</v>
      </c>
      <c r="AD1279">
        <v>-1.1109281537569999</v>
      </c>
      <c r="AE1279">
        <v>-2.47799999999995</v>
      </c>
      <c r="AF1279">
        <v>2.44592006151393</v>
      </c>
      <c r="AG1279">
        <v>-1.1109281537569999</v>
      </c>
      <c r="AH1279">
        <v>11.6682423020803</v>
      </c>
      <c r="AI1279">
        <v>95.323690254563303</v>
      </c>
      <c r="AJ1279">
        <v>78.160966556641299</v>
      </c>
      <c r="AK1279">
        <v>11.9734942573245</v>
      </c>
      <c r="AL1279">
        <v>72.335990782719193</v>
      </c>
      <c r="AM1279">
        <v>92.804383522048397</v>
      </c>
      <c r="AN1279">
        <v>1.0000000679680601</v>
      </c>
    </row>
    <row r="1280" spans="1:40" x14ac:dyDescent="0.25">
      <c r="A1280" t="str">
        <f>"20190304164118215"</f>
        <v>20190304164118215</v>
      </c>
      <c r="B1280" t="str">
        <f>"1551688878212796"</f>
        <v>1551688878212796</v>
      </c>
      <c r="C1280" t="s">
        <v>40</v>
      </c>
      <c r="D1280">
        <v>4.633572</v>
      </c>
      <c r="E1280">
        <v>0.61597740000000001</v>
      </c>
      <c r="F1280" t="s">
        <v>42</v>
      </c>
      <c r="G1280">
        <v>-245.18450000000001</v>
      </c>
      <c r="H1280" s="1">
        <v>-3.2066649999999998E-6</v>
      </c>
      <c r="I1280">
        <v>364.45530000000002</v>
      </c>
      <c r="J1280">
        <v>-256.9314</v>
      </c>
      <c r="K1280">
        <v>1.1109279999999999</v>
      </c>
      <c r="L1280">
        <v>366.9436</v>
      </c>
      <c r="M1280">
        <v>0.99989550000000005</v>
      </c>
      <c r="N1280">
        <v>-1.4451479999999999E-2</v>
      </c>
      <c r="O1280">
        <v>-7.2718809999999996E-4</v>
      </c>
      <c r="P1280">
        <v>0.955951</v>
      </c>
      <c r="Q1280">
        <v>0.2901242</v>
      </c>
      <c r="R1280">
        <v>4.4564850000000003E-2</v>
      </c>
      <c r="S1280">
        <v>3.26268</v>
      </c>
      <c r="T1280">
        <v>-0.30468640000000002</v>
      </c>
      <c r="U1280">
        <v>-0.68243409999999904</v>
      </c>
      <c r="V1280">
        <v>-4.555911E-2</v>
      </c>
      <c r="W1280">
        <v>0.30386390000000002</v>
      </c>
      <c r="X1280">
        <v>0.95162550000000001</v>
      </c>
      <c r="Y1280">
        <v>0.20304079999999999</v>
      </c>
      <c r="Z1280">
        <v>-1.0789099999999999E-2</v>
      </c>
      <c r="AA1280">
        <v>0.97911079999999995</v>
      </c>
      <c r="AB1280">
        <v>32</v>
      </c>
      <c r="AC1280">
        <v>11.746899999999901</v>
      </c>
      <c r="AD1280">
        <v>-1.1109312066649999</v>
      </c>
      <c r="AE1280">
        <v>-2.4882999999999802</v>
      </c>
      <c r="AF1280">
        <v>2.4587100922195102</v>
      </c>
      <c r="AG1280">
        <v>-1.1109312066649999</v>
      </c>
      <c r="AH1280">
        <v>11.6489930824784</v>
      </c>
      <c r="AI1280">
        <v>95.330908977262794</v>
      </c>
      <c r="AJ1280">
        <v>78.0817183717935</v>
      </c>
      <c r="AK1280">
        <v>11.957360214493599</v>
      </c>
      <c r="AL1280">
        <v>72.310173482031402</v>
      </c>
      <c r="AM1280">
        <v>92.740944982148406</v>
      </c>
      <c r="AN1280">
        <v>0.99999999723872601</v>
      </c>
    </row>
    <row r="1281" spans="1:40" x14ac:dyDescent="0.25">
      <c r="A1281" t="str">
        <f>"20190304164118226"</f>
        <v>20190304164118226</v>
      </c>
      <c r="B1281" t="str">
        <f>"1551688878222556"</f>
        <v>1551688878222556</v>
      </c>
      <c r="C1281" t="s">
        <v>40</v>
      </c>
      <c r="D1281">
        <v>4.6442249999999996</v>
      </c>
      <c r="E1281">
        <v>0.61607429999999996</v>
      </c>
      <c r="F1281" t="s">
        <v>42</v>
      </c>
      <c r="G1281">
        <v>-244.9991</v>
      </c>
      <c r="H1281" s="1">
        <v>-3.2832880000000001E-6</v>
      </c>
      <c r="I1281">
        <v>364.43490000000003</v>
      </c>
      <c r="J1281">
        <v>-256.78030000000001</v>
      </c>
      <c r="K1281">
        <v>1.11093</v>
      </c>
      <c r="L1281">
        <v>366.94369999999998</v>
      </c>
      <c r="M1281">
        <v>0.99989539999999999</v>
      </c>
      <c r="N1281">
        <v>-1.44502E-2</v>
      </c>
      <c r="O1281">
        <v>-4.9827809999999895E-4</v>
      </c>
      <c r="P1281">
        <v>0.95589449999999998</v>
      </c>
      <c r="Q1281">
        <v>0.29047899999999999</v>
      </c>
      <c r="R1281">
        <v>4.3448269999999997E-2</v>
      </c>
      <c r="S1281">
        <v>3.2624050000000002</v>
      </c>
      <c r="T1281">
        <v>-0.30374060000000003</v>
      </c>
      <c r="U1281">
        <v>-0.68591309999999905</v>
      </c>
      <c r="V1281">
        <v>-4.4225189999999998E-2</v>
      </c>
      <c r="W1281">
        <v>0.30421730000000002</v>
      </c>
      <c r="X1281">
        <v>0.95157550000000002</v>
      </c>
      <c r="Y1281">
        <v>0.2042805</v>
      </c>
      <c r="Z1281">
        <v>-1.084396E-2</v>
      </c>
      <c r="AA1281">
        <v>0.97885230000000001</v>
      </c>
      <c r="AB1281">
        <v>32</v>
      </c>
      <c r="AC1281">
        <v>11.7812</v>
      </c>
      <c r="AD1281">
        <v>-1.1109332832879999</v>
      </c>
      <c r="AE1281">
        <v>-2.5087999999999502</v>
      </c>
      <c r="AF1281">
        <v>2.4818178907843098</v>
      </c>
      <c r="AG1281">
        <v>-1.1109332832879999</v>
      </c>
      <c r="AH1281">
        <v>11.6830700711142</v>
      </c>
      <c r="AI1281">
        <v>95.314000078587696</v>
      </c>
      <c r="AJ1281">
        <v>78.0070164580343</v>
      </c>
      <c r="AK1281">
        <v>11.9953207164085</v>
      </c>
      <c r="AL1281">
        <v>72.288918676448404</v>
      </c>
      <c r="AM1281">
        <v>92.660949845220799</v>
      </c>
      <c r="AN1281">
        <v>0.99999998262503798</v>
      </c>
    </row>
    <row r="1282" spans="1:40" x14ac:dyDescent="0.25">
      <c r="A1282" t="str">
        <f>"20190304164118237"</f>
        <v>20190304164118237</v>
      </c>
      <c r="B1282" t="str">
        <f>"1551688878232316"</f>
        <v>1551688878232316</v>
      </c>
      <c r="C1282" t="s">
        <v>40</v>
      </c>
      <c r="D1282">
        <v>4.6322179999999999</v>
      </c>
      <c r="E1282">
        <v>0.61616359999999903</v>
      </c>
      <c r="F1282" t="s">
        <v>42</v>
      </c>
      <c r="G1282">
        <v>-244.8184</v>
      </c>
      <c r="H1282" s="1">
        <v>-3.3581230000000001E-6</v>
      </c>
      <c r="I1282">
        <v>364.41449999999998</v>
      </c>
      <c r="J1282">
        <v>-256.62729999999999</v>
      </c>
      <c r="K1282">
        <v>1.1109340000000001</v>
      </c>
      <c r="L1282">
        <v>366.94380000000001</v>
      </c>
      <c r="M1282">
        <v>0.99989570000000005</v>
      </c>
      <c r="N1282">
        <v>-1.4448890000000001E-2</v>
      </c>
      <c r="O1282">
        <v>-2.6542759999999998E-4</v>
      </c>
      <c r="P1282">
        <v>0.95588470000000003</v>
      </c>
      <c r="Q1282">
        <v>0.29068379999999999</v>
      </c>
      <c r="R1282">
        <v>4.2281909999999999E-2</v>
      </c>
      <c r="S1282">
        <v>3.2618260000000001</v>
      </c>
      <c r="T1282">
        <v>-0.30293439999999999</v>
      </c>
      <c r="U1282">
        <v>-0.68966669999999997</v>
      </c>
      <c r="V1282">
        <v>-4.2838269999999998E-2</v>
      </c>
      <c r="W1282">
        <v>0.30442259999999999</v>
      </c>
      <c r="X1282">
        <v>0.95157329999999996</v>
      </c>
      <c r="Y1282">
        <v>0.20561950000000001</v>
      </c>
      <c r="Z1282">
        <v>-1.090901E-2</v>
      </c>
      <c r="AA1282">
        <v>0.97857119999999997</v>
      </c>
      <c r="AB1282">
        <v>32</v>
      </c>
      <c r="AC1282">
        <v>11.8088999999999</v>
      </c>
      <c r="AD1282">
        <v>-1.110937358123</v>
      </c>
      <c r="AE1282">
        <v>-2.5293000000000299</v>
      </c>
      <c r="AF1282">
        <v>2.5049677872798801</v>
      </c>
      <c r="AG1282">
        <v>-1.110937358123</v>
      </c>
      <c r="AH1282">
        <v>11.710475315273699</v>
      </c>
      <c r="AI1282">
        <v>95.300064098549896</v>
      </c>
      <c r="AJ1282">
        <v>77.925919781876601</v>
      </c>
      <c r="AK1282">
        <v>12.026814937406201</v>
      </c>
      <c r="AL1282">
        <v>72.276570314762495</v>
      </c>
      <c r="AM1282">
        <v>92.577621690927998</v>
      </c>
      <c r="AN1282">
        <v>0.99999999102012105</v>
      </c>
    </row>
    <row r="1283" spans="1:40" x14ac:dyDescent="0.25">
      <c r="A1283" t="str">
        <f>"20190304164118247"</f>
        <v>20190304164118247</v>
      </c>
      <c r="B1283" t="str">
        <f>"1551688878242075"</f>
        <v>1551688878242075</v>
      </c>
      <c r="C1283" t="s">
        <v>40</v>
      </c>
      <c r="D1283">
        <v>4.647214</v>
      </c>
      <c r="E1283">
        <v>0.61627790000000005</v>
      </c>
      <c r="F1283" t="s">
        <v>42</v>
      </c>
      <c r="G1283">
        <v>-244.64599999999999</v>
      </c>
      <c r="H1283" s="1">
        <v>-3.4380290000000001E-6</v>
      </c>
      <c r="I1283">
        <v>364.3922</v>
      </c>
      <c r="J1283">
        <v>-256.47120000000001</v>
      </c>
      <c r="K1283">
        <v>1.110938</v>
      </c>
      <c r="L1283">
        <v>366.94400000000002</v>
      </c>
      <c r="M1283">
        <v>0.99989570000000005</v>
      </c>
      <c r="N1283">
        <v>-1.444755E-2</v>
      </c>
      <c r="O1283" s="1">
        <v>-2.3740700000000001E-5</v>
      </c>
      <c r="P1283">
        <v>0.95583649999999998</v>
      </c>
      <c r="Q1283">
        <v>0.29099039999999998</v>
      </c>
      <c r="R1283">
        <v>4.1246989999999997E-2</v>
      </c>
      <c r="S1283">
        <v>3.2611240000000001</v>
      </c>
      <c r="T1283">
        <v>-0.30237890000000001</v>
      </c>
      <c r="U1283">
        <v>-0.694519</v>
      </c>
      <c r="V1283">
        <v>-4.1574819999999998E-2</v>
      </c>
      <c r="W1283">
        <v>0.30472779999999999</v>
      </c>
      <c r="X1283">
        <v>0.95153160000000003</v>
      </c>
      <c r="Y1283">
        <v>0.2072862</v>
      </c>
      <c r="Z1283">
        <v>-1.099959E-2</v>
      </c>
      <c r="AA1283">
        <v>0.97821849999999999</v>
      </c>
      <c r="AB1283">
        <v>32</v>
      </c>
      <c r="AC1283">
        <v>11.825200000000001</v>
      </c>
      <c r="AD1283">
        <v>-1.1109414380289999</v>
      </c>
      <c r="AE1283">
        <v>-2.5518000000000098</v>
      </c>
      <c r="AF1283">
        <v>2.5301814110698402</v>
      </c>
      <c r="AG1283">
        <v>-1.1109414380289999</v>
      </c>
      <c r="AH1283">
        <v>11.7263684094277</v>
      </c>
      <c r="AI1283">
        <v>95.290930769451293</v>
      </c>
      <c r="AJ1283">
        <v>77.824037835480794</v>
      </c>
      <c r="AK1283">
        <v>12.0475609533746</v>
      </c>
      <c r="AL1283">
        <v>72.258210475419503</v>
      </c>
      <c r="AM1283">
        <v>92.5018061820778</v>
      </c>
      <c r="AN1283">
        <v>0.99999994177471396</v>
      </c>
    </row>
    <row r="1284" spans="1:40" x14ac:dyDescent="0.25">
      <c r="A1284" t="str">
        <f>"20190304164118263"</f>
        <v>20190304164118263</v>
      </c>
      <c r="B1284" t="str">
        <f>"1551688878251836"</f>
        <v>1551688878251836</v>
      </c>
      <c r="C1284" t="s">
        <v>40</v>
      </c>
      <c r="D1284">
        <v>4.7203269999999904</v>
      </c>
      <c r="E1284">
        <v>0.61621380000000003</v>
      </c>
      <c r="F1284" t="s">
        <v>42</v>
      </c>
      <c r="G1284">
        <v>-244.44069999999999</v>
      </c>
      <c r="H1284" s="1">
        <v>-3.539779E-6</v>
      </c>
      <c r="I1284">
        <v>364.3657</v>
      </c>
      <c r="J1284">
        <v>-256.2577</v>
      </c>
      <c r="K1284">
        <v>1.1109450000000001</v>
      </c>
      <c r="L1284">
        <v>366.9443</v>
      </c>
      <c r="M1284">
        <v>0.9998956</v>
      </c>
      <c r="N1284">
        <v>-1.4445700000000001E-2</v>
      </c>
      <c r="O1284">
        <v>3.1078790000000001E-4</v>
      </c>
      <c r="P1284">
        <v>0.95578249999999998</v>
      </c>
      <c r="Q1284">
        <v>0.29129690000000003</v>
      </c>
      <c r="R1284">
        <v>4.0325859999999998E-2</v>
      </c>
      <c r="S1284">
        <v>3.2604220000000002</v>
      </c>
      <c r="T1284">
        <v>-0.30107899999999999</v>
      </c>
      <c r="U1284">
        <v>-0.69876099999999997</v>
      </c>
      <c r="V1284">
        <v>-4.033834E-2</v>
      </c>
      <c r="W1284">
        <v>0.30503259999999899</v>
      </c>
      <c r="X1284">
        <v>0.95148719999999998</v>
      </c>
      <c r="Y1284">
        <v>0.20887249999999999</v>
      </c>
      <c r="Z1284">
        <v>-1.1069300000000001E-2</v>
      </c>
      <c r="AA1284">
        <v>0.97788019999999998</v>
      </c>
      <c r="AB1284">
        <v>32</v>
      </c>
      <c r="AC1284">
        <v>11.817</v>
      </c>
      <c r="AD1284">
        <v>-1.110948539779</v>
      </c>
      <c r="AE1284">
        <v>-2.57859999999999</v>
      </c>
      <c r="AF1284">
        <v>2.56066930731446</v>
      </c>
      <c r="AG1284">
        <v>-1.110948539779</v>
      </c>
      <c r="AH1284">
        <v>11.7173425493029</v>
      </c>
      <c r="AI1284">
        <v>95.291995438896905</v>
      </c>
      <c r="AJ1284">
        <v>77.672576642301493</v>
      </c>
      <c r="AK1284">
        <v>12.045221059705099</v>
      </c>
      <c r="AL1284">
        <v>72.239874426816996</v>
      </c>
      <c r="AM1284">
        <v>92.427603277792301</v>
      </c>
      <c r="AN1284">
        <v>0.99999998025027703</v>
      </c>
    </row>
    <row r="1285" spans="1:40" x14ac:dyDescent="0.25">
      <c r="A1285" t="str">
        <f>"20190304164118277"</f>
        <v>20190304164118277</v>
      </c>
      <c r="B1285" t="str">
        <f>"1551688878262573"</f>
        <v>1551688878262573</v>
      </c>
      <c r="C1285" t="s">
        <v>40</v>
      </c>
      <c r="D1285">
        <v>4.9160079999999997</v>
      </c>
      <c r="E1285">
        <v>0.61585780000000001</v>
      </c>
      <c r="F1285" t="s">
        <v>42</v>
      </c>
      <c r="G1285">
        <v>-244.2302</v>
      </c>
      <c r="H1285" s="1">
        <v>-3.6409850000000002E-6</v>
      </c>
      <c r="I1285">
        <v>364.3562</v>
      </c>
      <c r="J1285">
        <v>-256.04640000000001</v>
      </c>
      <c r="K1285">
        <v>1.1109579999999999</v>
      </c>
      <c r="L1285">
        <v>366.94479999999999</v>
      </c>
      <c r="M1285">
        <v>0.99989550000000005</v>
      </c>
      <c r="N1285">
        <v>-1.444381E-2</v>
      </c>
      <c r="O1285">
        <v>6.5425930000000002E-4</v>
      </c>
      <c r="P1285">
        <v>0.95587250000000001</v>
      </c>
      <c r="Q1285">
        <v>0.29110570000000002</v>
      </c>
      <c r="R1285">
        <v>3.9564200000000001E-2</v>
      </c>
      <c r="S1285">
        <v>3.2601619999999998</v>
      </c>
      <c r="T1285">
        <v>-0.30113179999999901</v>
      </c>
      <c r="U1285">
        <v>-0.70153809999999905</v>
      </c>
      <c r="V1285">
        <v>-3.9255579999999998E-2</v>
      </c>
      <c r="W1285">
        <v>0.30484129999999998</v>
      </c>
      <c r="X1285">
        <v>0.95159380000000005</v>
      </c>
      <c r="Y1285">
        <v>0.2100137</v>
      </c>
      <c r="Z1285">
        <v>-1.115757E-2</v>
      </c>
      <c r="AA1285">
        <v>0.97763480000000003</v>
      </c>
      <c r="AB1285">
        <v>32</v>
      </c>
      <c r="AC1285">
        <v>11.8162</v>
      </c>
      <c r="AD1285">
        <v>-1.1109616409849901</v>
      </c>
      <c r="AE1285">
        <v>-2.58859999999998</v>
      </c>
      <c r="AF1285">
        <v>2.57461428139072</v>
      </c>
      <c r="AG1285">
        <v>-1.1109616409849901</v>
      </c>
      <c r="AH1285">
        <v>11.7156820907053</v>
      </c>
      <c r="AI1285">
        <v>95.291459492578497</v>
      </c>
      <c r="AJ1285">
        <v>77.605810332248595</v>
      </c>
      <c r="AK1285">
        <v>12.0465796521733</v>
      </c>
      <c r="AL1285">
        <v>72.251383414620904</v>
      </c>
      <c r="AM1285">
        <v>92.362252149406302</v>
      </c>
      <c r="AN1285">
        <v>0.99999998947263302</v>
      </c>
    </row>
    <row r="1286" spans="1:40" x14ac:dyDescent="0.25">
      <c r="A1286" t="str">
        <f>"20190304164118290"</f>
        <v>20190304164118290</v>
      </c>
      <c r="B1286" t="str">
        <f>"1551688878282091"</f>
        <v>1551688878282091</v>
      </c>
      <c r="C1286" t="s">
        <v>40</v>
      </c>
      <c r="D1286">
        <v>4.3510140000000002</v>
      </c>
      <c r="E1286">
        <v>0.57119180000000003</v>
      </c>
      <c r="F1286" t="s">
        <v>42</v>
      </c>
      <c r="G1286">
        <v>-244.06880000000001</v>
      </c>
      <c r="H1286" s="1">
        <v>-3.7149050000000001E-6</v>
      </c>
      <c r="I1286">
        <v>364.36939999999998</v>
      </c>
      <c r="J1286">
        <v>-255.85990000000001</v>
      </c>
      <c r="K1286">
        <v>1.110968</v>
      </c>
      <c r="L1286">
        <v>366.9452</v>
      </c>
      <c r="M1286">
        <v>0.99989530000000004</v>
      </c>
      <c r="N1286">
        <v>-1.4442180000000001E-2</v>
      </c>
      <c r="O1286">
        <v>9.6668700000000004E-4</v>
      </c>
      <c r="P1286">
        <v>0.9560362</v>
      </c>
      <c r="Q1286">
        <v>0.29070679999999999</v>
      </c>
      <c r="R1286">
        <v>3.8528E-2</v>
      </c>
      <c r="S1286">
        <v>3.2595519999999998</v>
      </c>
      <c r="T1286">
        <v>-0.3023362</v>
      </c>
      <c r="U1286">
        <v>-0.70086669999999995</v>
      </c>
      <c r="V1286">
        <v>-3.7927460000000003E-2</v>
      </c>
      <c r="W1286">
        <v>0.3044444</v>
      </c>
      <c r="X1286">
        <v>0.95177469999999997</v>
      </c>
      <c r="Y1286">
        <v>0.21015500000000001</v>
      </c>
      <c r="Z1286">
        <v>-1.1229360000000001E-2</v>
      </c>
      <c r="AA1286">
        <v>0.97760360000000002</v>
      </c>
      <c r="AB1286">
        <v>32</v>
      </c>
      <c r="AC1286">
        <v>11.7911</v>
      </c>
      <c r="AD1286">
        <v>-1.110971714905</v>
      </c>
      <c r="AE1286">
        <v>-2.5758000000000099</v>
      </c>
      <c r="AF1286">
        <v>2.5654604292517198</v>
      </c>
      <c r="AG1286">
        <v>-1.110971714905</v>
      </c>
      <c r="AH1286">
        <v>11.689555390353499</v>
      </c>
      <c r="AI1286">
        <v>95.303589102800998</v>
      </c>
      <c r="AJ1286">
        <v>77.621766028224101</v>
      </c>
      <c r="AK1286">
        <v>12.0192158891301</v>
      </c>
      <c r="AL1286">
        <v>72.275258863672093</v>
      </c>
      <c r="AM1286">
        <v>92.281983566890304</v>
      </c>
      <c r="AN1286">
        <v>0.99999998223675002</v>
      </c>
    </row>
    <row r="1287" spans="1:40" x14ac:dyDescent="0.25">
      <c r="A1287" t="str">
        <f>"20190304164118303"</f>
        <v>20190304164118303</v>
      </c>
      <c r="B1287" t="str">
        <f>"1551688878292828"</f>
        <v>1551688878292828</v>
      </c>
      <c r="C1287" t="s">
        <v>40</v>
      </c>
      <c r="D1287">
        <v>4.3743030000000003</v>
      </c>
      <c r="E1287">
        <v>0.56328040000000001</v>
      </c>
      <c r="F1287" t="s">
        <v>44</v>
      </c>
      <c r="G1287">
        <v>-189.50309999999999</v>
      </c>
      <c r="H1287" s="1">
        <v>-5.1332700000000001E-6</v>
      </c>
      <c r="I1287">
        <v>359.20780000000002</v>
      </c>
      <c r="J1287">
        <v>-255.68209999999999</v>
      </c>
      <c r="K1287">
        <v>1.110978</v>
      </c>
      <c r="L1287">
        <v>366.94560000000001</v>
      </c>
      <c r="M1287">
        <v>0.99989499999999998</v>
      </c>
      <c r="N1287">
        <v>-1.4440629999999999E-2</v>
      </c>
      <c r="O1287">
        <v>1.27114E-3</v>
      </c>
      <c r="P1287">
        <v>0.95632399999999995</v>
      </c>
      <c r="Q1287">
        <v>0.29002209999999901</v>
      </c>
      <c r="R1287">
        <v>3.6493030000000003E-2</v>
      </c>
      <c r="S1287">
        <v>3.1689449999999999</v>
      </c>
      <c r="T1287">
        <v>-5.305576E-2</v>
      </c>
      <c r="U1287">
        <v>-0.36950680000000002</v>
      </c>
      <c r="V1287">
        <v>-3.5608170000000001E-2</v>
      </c>
      <c r="W1287">
        <v>0.30376399999999998</v>
      </c>
      <c r="X1287">
        <v>0.95208170000000003</v>
      </c>
      <c r="Y1287">
        <v>0.1170501</v>
      </c>
      <c r="Z1287">
        <v>-1.827534E-3</v>
      </c>
      <c r="AA1287">
        <v>0.99312429999999996</v>
      </c>
      <c r="AB1287">
        <v>32</v>
      </c>
      <c r="AC1287">
        <v>66.179000000000002</v>
      </c>
      <c r="AD1287">
        <v>-1.11098313327</v>
      </c>
      <c r="AE1287">
        <v>-7.7377999999999902</v>
      </c>
      <c r="AF1287">
        <v>7.8197512322560598</v>
      </c>
      <c r="AG1287">
        <v>-1.11098313327</v>
      </c>
      <c r="AH1287">
        <v>66.150718382716704</v>
      </c>
      <c r="AI1287">
        <v>90.955524629615795</v>
      </c>
      <c r="AJ1287">
        <v>83.258287544929701</v>
      </c>
      <c r="AK1287">
        <v>66.620569912049504</v>
      </c>
      <c r="AL1287">
        <v>72.316182028941398</v>
      </c>
      <c r="AM1287">
        <v>92.141882770046294</v>
      </c>
      <c r="AN1287">
        <v>1.0000000364708099</v>
      </c>
    </row>
    <row r="1288" spans="1:40" x14ac:dyDescent="0.25">
      <c r="A1288" t="str">
        <f>"20190304164118318"</f>
        <v>20190304164118318</v>
      </c>
      <c r="B1288" t="str">
        <f>"1551688878312348"</f>
        <v>1551688878312348</v>
      </c>
      <c r="C1288" t="s">
        <v>40</v>
      </c>
      <c r="D1288">
        <v>4.3768570000000002</v>
      </c>
      <c r="E1288">
        <v>0.55832230000000005</v>
      </c>
      <c r="F1288" t="s">
        <v>42</v>
      </c>
      <c r="G1288">
        <v>-211.1183</v>
      </c>
      <c r="H1288" s="1">
        <v>-5.037254E-6</v>
      </c>
      <c r="I1288">
        <v>362.5992</v>
      </c>
      <c r="J1288">
        <v>-255.4616</v>
      </c>
      <c r="K1288">
        <v>1.110997</v>
      </c>
      <c r="L1288">
        <v>366.94630000000001</v>
      </c>
      <c r="M1288">
        <v>0.99989439999999996</v>
      </c>
      <c r="N1288">
        <v>-1.443855E-2</v>
      </c>
      <c r="O1288">
        <v>1.672041E-3</v>
      </c>
      <c r="P1288">
        <v>0.9564317</v>
      </c>
      <c r="Q1288">
        <v>0.289784599999999</v>
      </c>
      <c r="R1288">
        <v>3.5545479999999997E-2</v>
      </c>
      <c r="S1288">
        <v>3.172806</v>
      </c>
      <c r="T1288">
        <v>-7.9098459999999995E-2</v>
      </c>
      <c r="U1288">
        <v>-0.30944820000000001</v>
      </c>
      <c r="V1288">
        <v>-3.4290670000000002E-2</v>
      </c>
      <c r="W1288">
        <v>0.30352590000000002</v>
      </c>
      <c r="X1288">
        <v>0.952206</v>
      </c>
      <c r="Y1288">
        <v>9.8686789999999996E-2</v>
      </c>
      <c r="Z1288">
        <v>-1.9588769999999999E-3</v>
      </c>
      <c r="AA1288">
        <v>0.99511660000000002</v>
      </c>
      <c r="AB1288">
        <v>32</v>
      </c>
      <c r="AC1288">
        <v>44.343299999999999</v>
      </c>
      <c r="AD1288">
        <v>-1.1110020372539999</v>
      </c>
      <c r="AE1288">
        <v>-4.34710000000001</v>
      </c>
      <c r="AF1288">
        <v>4.4184982375142097</v>
      </c>
      <c r="AG1288">
        <v>-1.1110020372539999</v>
      </c>
      <c r="AH1288">
        <v>44.308419696617101</v>
      </c>
      <c r="AI1288">
        <v>91.429263841414794</v>
      </c>
      <c r="AJ1288">
        <v>84.305211096645394</v>
      </c>
      <c r="AK1288">
        <v>44.542042030123298</v>
      </c>
      <c r="AL1288">
        <v>72.330500323025802</v>
      </c>
      <c r="AM1288">
        <v>92.062433985427006</v>
      </c>
      <c r="AN1288">
        <v>1.00000004422792</v>
      </c>
    </row>
    <row r="1289" spans="1:40" x14ac:dyDescent="0.25">
      <c r="A1289" t="str">
        <f>"20190304164118329"</f>
        <v>20190304164118329</v>
      </c>
      <c r="B1289" t="str">
        <f>"1551688878322108"</f>
        <v>1551688878322108</v>
      </c>
      <c r="C1289" t="s">
        <v>40</v>
      </c>
      <c r="D1289">
        <v>4.3551699999999904</v>
      </c>
      <c r="E1289">
        <v>0.55732819999999905</v>
      </c>
      <c r="F1289" t="s">
        <v>42</v>
      </c>
      <c r="G1289">
        <v>-221.5283</v>
      </c>
      <c r="H1289" s="1">
        <v>-4.6012559999999999E-6</v>
      </c>
      <c r="I1289">
        <v>364.06560000000002</v>
      </c>
      <c r="J1289">
        <v>-255.29580000000001</v>
      </c>
      <c r="K1289">
        <v>1.1110139999999999</v>
      </c>
      <c r="L1289">
        <v>366.94690000000003</v>
      </c>
      <c r="M1289">
        <v>0.99989380000000005</v>
      </c>
      <c r="N1289">
        <v>-1.443702E-2</v>
      </c>
      <c r="O1289">
        <v>1.9880869999999999E-3</v>
      </c>
      <c r="P1289">
        <v>0.95648920000000004</v>
      </c>
      <c r="Q1289">
        <v>0.28971590000000003</v>
      </c>
      <c r="R1289">
        <v>3.4545810000000003E-2</v>
      </c>
      <c r="S1289">
        <v>3.178207</v>
      </c>
      <c r="T1289">
        <v>-0.1040567</v>
      </c>
      <c r="U1289">
        <v>-0.26980589999999999</v>
      </c>
      <c r="V1289">
        <v>-3.3000540000000002E-2</v>
      </c>
      <c r="W1289">
        <v>0.30345680000000003</v>
      </c>
      <c r="X1289">
        <v>0.95227349999999999</v>
      </c>
      <c r="Y1289">
        <v>8.6502460000000003E-2</v>
      </c>
      <c r="Z1289">
        <v>-2.0752800000000001E-3</v>
      </c>
      <c r="AA1289">
        <v>0.99624950000000001</v>
      </c>
      <c r="AB1289">
        <v>32</v>
      </c>
      <c r="AC1289">
        <v>33.767499999999998</v>
      </c>
      <c r="AD1289">
        <v>-1.1110186012559999</v>
      </c>
      <c r="AE1289">
        <v>-2.8813</v>
      </c>
      <c r="AF1289">
        <v>2.9452686983975398</v>
      </c>
      <c r="AG1289">
        <v>-1.1110186012559999</v>
      </c>
      <c r="AH1289">
        <v>33.725459042783498</v>
      </c>
      <c r="AI1289">
        <v>91.879664875638994</v>
      </c>
      <c r="AJ1289">
        <v>85.008980748145206</v>
      </c>
      <c r="AK1289">
        <v>33.872046848169099</v>
      </c>
      <c r="AL1289">
        <v>72.334653574463303</v>
      </c>
      <c r="AM1289">
        <v>91.984760999885296</v>
      </c>
      <c r="AN1289">
        <v>0.99999994195438902</v>
      </c>
    </row>
    <row r="1290" spans="1:40" x14ac:dyDescent="0.25">
      <c r="A1290" t="str">
        <f>"20190304164118341"</f>
        <v>20190304164118341</v>
      </c>
      <c r="B1290" t="str">
        <f>"1551688878332845"</f>
        <v>1551688878332845</v>
      </c>
      <c r="C1290" t="s">
        <v>40</v>
      </c>
      <c r="D1290">
        <v>4.3268760000000004</v>
      </c>
      <c r="E1290">
        <v>0.5565736</v>
      </c>
      <c r="F1290" t="s">
        <v>42</v>
      </c>
      <c r="G1290">
        <v>-224.00120000000001</v>
      </c>
      <c r="H1290" s="1">
        <v>-3.488977E-6</v>
      </c>
      <c r="I1290">
        <v>364.35550000000001</v>
      </c>
      <c r="J1290">
        <v>-255.12020000000001</v>
      </c>
      <c r="K1290">
        <v>1.1110329999999999</v>
      </c>
      <c r="L1290">
        <v>366.94749999999999</v>
      </c>
      <c r="M1290">
        <v>0.99989320000000004</v>
      </c>
      <c r="N1290">
        <v>-1.4435419999999999E-2</v>
      </c>
      <c r="O1290">
        <v>2.3307499999999999E-3</v>
      </c>
      <c r="P1290">
        <v>0.95655829999999997</v>
      </c>
      <c r="Q1290">
        <v>0.28958579999999901</v>
      </c>
      <c r="R1290">
        <v>3.371482E-2</v>
      </c>
      <c r="S1290">
        <v>3.180161</v>
      </c>
      <c r="T1290">
        <v>-0.1129014</v>
      </c>
      <c r="U1290">
        <v>-0.26333620000000002</v>
      </c>
      <c r="V1290">
        <v>-3.1855349999999998E-2</v>
      </c>
      <c r="W1290">
        <v>0.3033264</v>
      </c>
      <c r="X1290">
        <v>0.95235409999999998</v>
      </c>
      <c r="Y1290">
        <v>8.4771070000000004E-2</v>
      </c>
      <c r="Z1290">
        <v>-2.1639200000000002E-3</v>
      </c>
      <c r="AA1290">
        <v>0.99639809999999995</v>
      </c>
      <c r="AB1290">
        <v>32</v>
      </c>
      <c r="AC1290">
        <v>31.119</v>
      </c>
      <c r="AD1290">
        <v>-1.1110364889769999</v>
      </c>
      <c r="AE1290">
        <v>-2.5919999999999801</v>
      </c>
      <c r="AF1290">
        <v>2.6611623259935899</v>
      </c>
      <c r="AG1290">
        <v>-1.1110364889769999</v>
      </c>
      <c r="AH1290">
        <v>31.073537229287101</v>
      </c>
      <c r="AI1290">
        <v>92.040280213907195</v>
      </c>
      <c r="AJ1290">
        <v>85.105087763553001</v>
      </c>
      <c r="AK1290">
        <v>31.207064952427299</v>
      </c>
      <c r="AL1290">
        <v>72.342495579145506</v>
      </c>
      <c r="AM1290">
        <v>91.915775731936407</v>
      </c>
      <c r="AN1290">
        <v>1.0000000000236899</v>
      </c>
    </row>
    <row r="1291" spans="1:40" x14ac:dyDescent="0.25">
      <c r="A1291" t="str">
        <f>"20190304164118354"</f>
        <v>20190304164118354</v>
      </c>
      <c r="B1291" t="str">
        <f>"1551688878342604"</f>
        <v>1551688878342604</v>
      </c>
      <c r="C1291" t="s">
        <v>40</v>
      </c>
      <c r="D1291">
        <v>4.2670240000000002</v>
      </c>
      <c r="E1291">
        <v>0.55610159999999997</v>
      </c>
      <c r="F1291" t="s">
        <v>42</v>
      </c>
      <c r="G1291">
        <v>-224.46039999999999</v>
      </c>
      <c r="H1291" s="1">
        <v>-3.2753779999999998E-6</v>
      </c>
      <c r="I1291">
        <v>364.44909999999999</v>
      </c>
      <c r="J1291">
        <v>-254.94399999999999</v>
      </c>
      <c r="K1291">
        <v>1.111057</v>
      </c>
      <c r="L1291">
        <v>366.94830000000002</v>
      </c>
      <c r="M1291">
        <v>0.99989240000000001</v>
      </c>
      <c r="N1291">
        <v>-1.443389E-2</v>
      </c>
      <c r="O1291">
        <v>2.7040620000000001E-3</v>
      </c>
      <c r="P1291">
        <v>0.95661850000000004</v>
      </c>
      <c r="Q1291">
        <v>0.28944409999999998</v>
      </c>
      <c r="R1291">
        <v>3.3216509999999998E-2</v>
      </c>
      <c r="S1291">
        <v>3.1802670000000002</v>
      </c>
      <c r="T1291">
        <v>-0.115245</v>
      </c>
      <c r="U1291">
        <v>-0.25915529999999998</v>
      </c>
      <c r="V1291">
        <v>-3.1016709999999999E-2</v>
      </c>
      <c r="W1291">
        <v>0.303183799999999</v>
      </c>
      <c r="X1291">
        <v>0.95242720000000003</v>
      </c>
      <c r="Y1291">
        <v>8.3837190000000006E-2</v>
      </c>
      <c r="Z1291">
        <v>-2.1812120000000001E-3</v>
      </c>
      <c r="AA1291">
        <v>0.9964771</v>
      </c>
      <c r="AB1291">
        <v>32</v>
      </c>
      <c r="AC1291">
        <v>30.483599999999999</v>
      </c>
      <c r="AD1291">
        <v>-1.1110602753779999</v>
      </c>
      <c r="AE1291">
        <v>-2.4992000000000298</v>
      </c>
      <c r="AF1291">
        <v>2.5782268163039799</v>
      </c>
      <c r="AG1291">
        <v>-1.1110602753779999</v>
      </c>
      <c r="AH1291">
        <v>30.436566568657302</v>
      </c>
      <c r="AI1291">
        <v>92.083150265395702</v>
      </c>
      <c r="AJ1291">
        <v>85.158136380199906</v>
      </c>
      <c r="AK1291">
        <v>30.565769954969898</v>
      </c>
      <c r="AL1291">
        <v>72.3510699385686</v>
      </c>
      <c r="AM1291">
        <v>91.865233098873802</v>
      </c>
      <c r="AN1291">
        <v>1.00000001209075</v>
      </c>
    </row>
    <row r="1292" spans="1:40" x14ac:dyDescent="0.25">
      <c r="A1292" t="str">
        <f>"20190304164118367"</f>
        <v>20190304164118367</v>
      </c>
      <c r="B1292" t="str">
        <f>"1551688878362124"</f>
        <v>1551688878362124</v>
      </c>
      <c r="C1292" t="s">
        <v>40</v>
      </c>
      <c r="D1292">
        <v>4.2856909999999999</v>
      </c>
      <c r="E1292">
        <v>0.55550100000000002</v>
      </c>
      <c r="F1292" t="s">
        <v>42</v>
      </c>
      <c r="G1292">
        <v>-224.36259999999999</v>
      </c>
      <c r="H1292" s="1">
        <v>-3.3117509999999999E-6</v>
      </c>
      <c r="I1292">
        <v>364.48070000000001</v>
      </c>
      <c r="J1292">
        <v>-254.77539999999999</v>
      </c>
      <c r="K1292">
        <v>1.1110799999999901</v>
      </c>
      <c r="L1292">
        <v>366.94909999999999</v>
      </c>
      <c r="M1292">
        <v>0.99989119999999998</v>
      </c>
      <c r="N1292">
        <v>-1.4432399999999901E-2</v>
      </c>
      <c r="O1292">
        <v>3.0717100000000001E-3</v>
      </c>
      <c r="P1292">
        <v>0.9567466</v>
      </c>
      <c r="Q1292">
        <v>0.28908539999999999</v>
      </c>
      <c r="R1292">
        <v>3.2649869999999998E-2</v>
      </c>
      <c r="S1292">
        <v>3.179932</v>
      </c>
      <c r="T1292">
        <v>-0.1155306</v>
      </c>
      <c r="U1292">
        <v>-0.25659179999999998</v>
      </c>
      <c r="V1292">
        <v>-3.0114709999999999E-2</v>
      </c>
      <c r="W1292">
        <v>0.30282480000000001</v>
      </c>
      <c r="X1292">
        <v>0.95257040000000004</v>
      </c>
      <c r="Y1292">
        <v>8.3413979999999999E-2</v>
      </c>
      <c r="Z1292">
        <v>-2.1826559999999998E-3</v>
      </c>
      <c r="AA1292">
        <v>0.99651259999999997</v>
      </c>
      <c r="AB1292">
        <v>32</v>
      </c>
      <c r="AC1292">
        <v>30.412800000000001</v>
      </c>
      <c r="AD1292">
        <v>-1.1110833117509999</v>
      </c>
      <c r="AE1292">
        <v>-2.4683999999999702</v>
      </c>
      <c r="AF1292">
        <v>2.5584250210235702</v>
      </c>
      <c r="AG1292">
        <v>-1.1110833117509999</v>
      </c>
      <c r="AH1292">
        <v>30.364811107485401</v>
      </c>
      <c r="AI1292">
        <v>92.0881909811756</v>
      </c>
      <c r="AJ1292">
        <v>85.183847966910506</v>
      </c>
      <c r="AK1292">
        <v>30.492651546022</v>
      </c>
      <c r="AL1292">
        <v>72.372654690358402</v>
      </c>
      <c r="AM1292">
        <v>91.810754663004403</v>
      </c>
      <c r="AN1292">
        <v>1.0000000611047899</v>
      </c>
    </row>
    <row r="1293" spans="1:40" x14ac:dyDescent="0.25">
      <c r="A1293" t="str">
        <f>"20190304164118377"</f>
        <v>20190304164118377</v>
      </c>
      <c r="B1293" t="str">
        <f>"1551688878372860"</f>
        <v>1551688878372860</v>
      </c>
      <c r="C1293" t="s">
        <v>40</v>
      </c>
      <c r="D1293">
        <v>4.2675809999999998</v>
      </c>
      <c r="E1293">
        <v>0.55541940000000001</v>
      </c>
      <c r="F1293" t="s">
        <v>42</v>
      </c>
      <c r="G1293">
        <v>-224.40989999999999</v>
      </c>
      <c r="H1293" s="1">
        <v>-3.283155E-6</v>
      </c>
      <c r="I1293">
        <v>364.52730000000003</v>
      </c>
      <c r="J1293">
        <v>-254.6104</v>
      </c>
      <c r="K1293">
        <v>1.111102</v>
      </c>
      <c r="L1293">
        <v>366.95</v>
      </c>
      <c r="M1293">
        <v>0.9998901</v>
      </c>
      <c r="N1293">
        <v>-1.443092E-2</v>
      </c>
      <c r="O1293">
        <v>3.4498060000000001E-3</v>
      </c>
      <c r="P1293">
        <v>0.95679720000000001</v>
      </c>
      <c r="Q1293">
        <v>0.28894249999999999</v>
      </c>
      <c r="R1293">
        <v>3.2434379999999999E-2</v>
      </c>
      <c r="S1293">
        <v>3.179443</v>
      </c>
      <c r="T1293">
        <v>-0.1163368</v>
      </c>
      <c r="U1293">
        <v>-0.25357059999999998</v>
      </c>
      <c r="V1293">
        <v>-2.9555629999999999E-2</v>
      </c>
      <c r="W1293">
        <v>0.30268020000000001</v>
      </c>
      <c r="X1293">
        <v>0.95263379999999998</v>
      </c>
      <c r="Y1293">
        <v>8.2861660000000004E-2</v>
      </c>
      <c r="Z1293">
        <v>-2.1884970000000002E-3</v>
      </c>
      <c r="AA1293">
        <v>0.99655870000000002</v>
      </c>
      <c r="AB1293">
        <v>32</v>
      </c>
      <c r="AC1293">
        <v>30.200500000000002</v>
      </c>
      <c r="AD1293">
        <v>-1.1111052831549999</v>
      </c>
      <c r="AE1293">
        <v>-2.4226999999999599</v>
      </c>
      <c r="AF1293">
        <v>2.52348838902076</v>
      </c>
      <c r="AG1293">
        <v>-1.1111052831549999</v>
      </c>
      <c r="AH1293">
        <v>30.151410318651202</v>
      </c>
      <c r="AI1293">
        <v>92.103097300080805</v>
      </c>
      <c r="AJ1293">
        <v>85.215843829139203</v>
      </c>
      <c r="AK1293">
        <v>30.277220691527202</v>
      </c>
      <c r="AL1293">
        <v>72.381346474310703</v>
      </c>
      <c r="AM1293">
        <v>91.7770415404609</v>
      </c>
      <c r="AN1293">
        <v>0.99999999781958804</v>
      </c>
    </row>
    <row r="1294" spans="1:40" x14ac:dyDescent="0.25">
      <c r="A1294" t="str">
        <f>"20190304164118392"</f>
        <v>20190304164118392</v>
      </c>
      <c r="B1294" t="str">
        <f>"1551688878382620"</f>
        <v>1551688878382620</v>
      </c>
      <c r="C1294" t="s">
        <v>40</v>
      </c>
      <c r="D1294">
        <v>4.2763720000000003</v>
      </c>
      <c r="E1294">
        <v>0.55524050000000003</v>
      </c>
      <c r="F1294" t="s">
        <v>42</v>
      </c>
      <c r="G1294">
        <v>-224.48220000000001</v>
      </c>
      <c r="H1294" s="1">
        <v>-3.248375E-6</v>
      </c>
      <c r="I1294">
        <v>364.54860000000002</v>
      </c>
      <c r="J1294">
        <v>-254.4083</v>
      </c>
      <c r="K1294">
        <v>1.1111279999999999</v>
      </c>
      <c r="L1294">
        <v>366.9511</v>
      </c>
      <c r="M1294">
        <v>0.9998882</v>
      </c>
      <c r="N1294">
        <v>-1.442914E-2</v>
      </c>
      <c r="O1294">
        <v>3.9413249999999999E-3</v>
      </c>
      <c r="P1294">
        <v>0.95706829999999998</v>
      </c>
      <c r="Q1294">
        <v>0.28813270000000002</v>
      </c>
      <c r="R1294">
        <v>3.1627990000000002E-2</v>
      </c>
      <c r="S1294">
        <v>3.1794889999999998</v>
      </c>
      <c r="T1294">
        <v>-0.1172566</v>
      </c>
      <c r="U1294">
        <v>-0.25341799999999998</v>
      </c>
      <c r="V1294">
        <v>-2.8300390000000002E-2</v>
      </c>
      <c r="W1294">
        <v>0.30187249999999999</v>
      </c>
      <c r="X1294">
        <v>0.95292809999999994</v>
      </c>
      <c r="Y1294">
        <v>8.3301260000000002E-2</v>
      </c>
      <c r="Z1294">
        <v>-2.2236449999999998E-3</v>
      </c>
      <c r="AA1294">
        <v>0.99652189999999996</v>
      </c>
      <c r="AB1294">
        <v>32</v>
      </c>
      <c r="AC1294">
        <v>29.926099999999899</v>
      </c>
      <c r="AD1294">
        <v>-1.111131248375</v>
      </c>
      <c r="AE1294">
        <v>-2.4024999999999701</v>
      </c>
      <c r="AF1294">
        <v>2.51699444758188</v>
      </c>
      <c r="AG1294">
        <v>-1.111131248375</v>
      </c>
      <c r="AH1294">
        <v>29.875475647768202</v>
      </c>
      <c r="AI1294">
        <v>92.122455464131704</v>
      </c>
      <c r="AJ1294">
        <v>85.184230739510298</v>
      </c>
      <c r="AK1294">
        <v>30.001898587933798</v>
      </c>
      <c r="AL1294">
        <v>72.429894348858397</v>
      </c>
      <c r="AM1294">
        <v>91.701089980639097</v>
      </c>
      <c r="AN1294">
        <v>0.999999941050004</v>
      </c>
    </row>
    <row r="1295" spans="1:40" x14ac:dyDescent="0.25">
      <c r="A1295" t="str">
        <f>"20190304164118405"</f>
        <v>20190304164118405</v>
      </c>
      <c r="B1295" t="str">
        <f>"1551688878392380"</f>
        <v>1551688878392380</v>
      </c>
      <c r="C1295" t="s">
        <v>40</v>
      </c>
      <c r="D1295">
        <v>4.3207149999999999</v>
      </c>
      <c r="E1295">
        <v>0.55518909999999999</v>
      </c>
      <c r="F1295" t="s">
        <v>42</v>
      </c>
      <c r="G1295">
        <v>-225.2954</v>
      </c>
      <c r="H1295" s="1">
        <v>-2.9143740000000001E-6</v>
      </c>
      <c r="I1295">
        <v>364.62790000000001</v>
      </c>
      <c r="J1295">
        <v>-254.22839999999999</v>
      </c>
      <c r="K1295">
        <v>1.1111519999999999</v>
      </c>
      <c r="L1295">
        <v>366.95229999999998</v>
      </c>
      <c r="M1295">
        <v>0.99988630000000001</v>
      </c>
      <c r="N1295">
        <v>-1.4427570000000001E-2</v>
      </c>
      <c r="O1295">
        <v>4.3969830000000001E-3</v>
      </c>
      <c r="P1295">
        <v>0.95715600000000001</v>
      </c>
      <c r="Q1295">
        <v>0.28783839999999999</v>
      </c>
      <c r="R1295">
        <v>3.1645409999999999E-2</v>
      </c>
      <c r="S1295">
        <v>3.1794889999999998</v>
      </c>
      <c r="T1295">
        <v>-0.1213491</v>
      </c>
      <c r="U1295">
        <v>-0.25372309999999998</v>
      </c>
      <c r="V1295">
        <v>-2.79019E-2</v>
      </c>
      <c r="W1295">
        <v>0.30157709999999999</v>
      </c>
      <c r="X1295">
        <v>0.95303340000000003</v>
      </c>
      <c r="Y1295">
        <v>8.3844859999999993E-2</v>
      </c>
      <c r="Z1295">
        <v>-2.3072079999999998E-3</v>
      </c>
      <c r="AA1295">
        <v>0.99647620000000003</v>
      </c>
      <c r="AB1295">
        <v>32</v>
      </c>
      <c r="AC1295">
        <v>28.933</v>
      </c>
      <c r="AD1295">
        <v>-1.111154914374</v>
      </c>
      <c r="AE1295">
        <v>-2.3243999999999598</v>
      </c>
      <c r="AF1295">
        <v>2.4480212405917499</v>
      </c>
      <c r="AG1295">
        <v>-1.111154914374</v>
      </c>
      <c r="AH1295">
        <v>28.880176649021099</v>
      </c>
      <c r="AI1295">
        <v>92.195483253685396</v>
      </c>
      <c r="AJ1295">
        <v>85.154918927240303</v>
      </c>
      <c r="AK1295">
        <v>29.005035364860198</v>
      </c>
      <c r="AL1295">
        <v>72.447647265639205</v>
      </c>
      <c r="AM1295">
        <v>91.676965977093204</v>
      </c>
      <c r="AN1295">
        <v>0.99999996239178901</v>
      </c>
    </row>
    <row r="1296" spans="1:40" x14ac:dyDescent="0.25">
      <c r="A1296" t="str">
        <f>"20190304164118415"</f>
        <v>20190304164118415</v>
      </c>
      <c r="B1296" t="str">
        <f>"1551688878402140"</f>
        <v>1551688878402140</v>
      </c>
      <c r="C1296" t="s">
        <v>40</v>
      </c>
      <c r="D1296">
        <v>4.2984200000000001</v>
      </c>
      <c r="E1296">
        <v>0.55508599999999997</v>
      </c>
      <c r="F1296" t="s">
        <v>42</v>
      </c>
      <c r="G1296">
        <v>-226.0848</v>
      </c>
      <c r="H1296" s="1">
        <v>-2.622764E-6</v>
      </c>
      <c r="I1296">
        <v>364.71429999999998</v>
      </c>
      <c r="J1296">
        <v>-254.06110000000001</v>
      </c>
      <c r="K1296">
        <v>1.1111770000000001</v>
      </c>
      <c r="L1296">
        <v>366.95350000000002</v>
      </c>
      <c r="M1296">
        <v>0.9998842</v>
      </c>
      <c r="N1296">
        <v>-1.442621E-2</v>
      </c>
      <c r="O1296">
        <v>4.8495300000000003E-3</v>
      </c>
      <c r="P1296">
        <v>0.95707169999999997</v>
      </c>
      <c r="Q1296">
        <v>0.28809200000000001</v>
      </c>
      <c r="R1296">
        <v>3.1891240000000001E-2</v>
      </c>
      <c r="S1296">
        <v>3.1803889999999999</v>
      </c>
      <c r="T1296">
        <v>-0.12556639999999999</v>
      </c>
      <c r="U1296">
        <v>-0.25289919999999999</v>
      </c>
      <c r="V1296">
        <v>-2.7737350000000001E-2</v>
      </c>
      <c r="W1296">
        <v>0.301826599999999</v>
      </c>
      <c r="X1296">
        <v>0.95295920000000001</v>
      </c>
      <c r="Y1296">
        <v>8.4011470000000005E-2</v>
      </c>
      <c r="Z1296">
        <v>-2.3837490000000001E-3</v>
      </c>
      <c r="AA1296">
        <v>0.99646190000000001</v>
      </c>
      <c r="AB1296">
        <v>32</v>
      </c>
      <c r="AC1296">
        <v>27.976299999999998</v>
      </c>
      <c r="AD1296">
        <v>-1.1111796227640001</v>
      </c>
      <c r="AE1296">
        <v>-2.2392000000000301</v>
      </c>
      <c r="AF1296">
        <v>2.3711428593508499</v>
      </c>
      <c r="AG1296">
        <v>-1.1111796227640001</v>
      </c>
      <c r="AH1296">
        <v>27.921343338334299</v>
      </c>
      <c r="AI1296">
        <v>92.270820011823801</v>
      </c>
      <c r="AJ1296">
        <v>85.145960798518502</v>
      </c>
      <c r="AK1296">
        <v>28.0438665741842</v>
      </c>
      <c r="AL1296">
        <v>72.432653003344896</v>
      </c>
      <c r="AM1296">
        <v>91.667211485262101</v>
      </c>
      <c r="AN1296">
        <v>0.99999994695860905</v>
      </c>
    </row>
    <row r="1297" spans="1:40" x14ac:dyDescent="0.25">
      <c r="A1297" t="str">
        <f>"20190304164118428"</f>
        <v>20190304164118428</v>
      </c>
      <c r="B1297" t="str">
        <f>"1551688878422636"</f>
        <v>1551688878422636</v>
      </c>
      <c r="C1297" t="s">
        <v>40</v>
      </c>
      <c r="D1297">
        <v>4.2866970000000002</v>
      </c>
      <c r="E1297">
        <v>0.55496480000000004</v>
      </c>
      <c r="F1297" t="s">
        <v>42</v>
      </c>
      <c r="G1297">
        <v>-225.8717</v>
      </c>
      <c r="H1297" s="1">
        <v>-2.691909E-6</v>
      </c>
      <c r="I1297">
        <v>364.72699999999998</v>
      </c>
      <c r="J1297">
        <v>-253.8946</v>
      </c>
      <c r="K1297">
        <v>1.111205</v>
      </c>
      <c r="L1297">
        <v>366.9547</v>
      </c>
      <c r="M1297">
        <v>0.99988189999999999</v>
      </c>
      <c r="N1297">
        <v>-1.4424859999999999E-2</v>
      </c>
      <c r="O1297">
        <v>5.3166169999999896E-3</v>
      </c>
      <c r="P1297">
        <v>0.95702710000000002</v>
      </c>
      <c r="Q1297">
        <v>0.28821149999999901</v>
      </c>
      <c r="R1297">
        <v>3.2146929999999997E-2</v>
      </c>
      <c r="S1297">
        <v>3.180679</v>
      </c>
      <c r="T1297">
        <v>-0.12537670000000001</v>
      </c>
      <c r="U1297">
        <v>-0.25122070000000002</v>
      </c>
      <c r="V1297">
        <v>-2.7567709999999999E-2</v>
      </c>
      <c r="W1297">
        <v>0.3019425</v>
      </c>
      <c r="X1297">
        <v>0.95292750000000004</v>
      </c>
      <c r="Y1297">
        <v>8.3947380000000002E-2</v>
      </c>
      <c r="Z1297">
        <v>-2.3906959999999999E-3</v>
      </c>
      <c r="AA1297">
        <v>0.99646729999999994</v>
      </c>
      <c r="AB1297">
        <v>32</v>
      </c>
      <c r="AC1297">
        <v>28.0229</v>
      </c>
      <c r="AD1297">
        <v>-1.1112076919089999</v>
      </c>
      <c r="AE1297">
        <v>-2.22770000000002</v>
      </c>
      <c r="AF1297">
        <v>2.3729631997381202</v>
      </c>
      <c r="AG1297">
        <v>-1.1112076919089999</v>
      </c>
      <c r="AH1297">
        <v>27.9669595845351</v>
      </c>
      <c r="AI1297">
        <v>92.267191223368499</v>
      </c>
      <c r="AJ1297">
        <v>85.150137683599198</v>
      </c>
      <c r="AK1297">
        <v>28.0894386787079</v>
      </c>
      <c r="AL1297">
        <v>72.425689057837801</v>
      </c>
      <c r="AM1297">
        <v>91.657075711599006</v>
      </c>
      <c r="AN1297">
        <v>1.0000000360985699</v>
      </c>
    </row>
    <row r="1298" spans="1:40" x14ac:dyDescent="0.25">
      <c r="A1298" t="str">
        <f>"20190304164118438"</f>
        <v>20190304164118438</v>
      </c>
      <c r="B1298" t="str">
        <f>"1551688878432396"</f>
        <v>1551688878432396</v>
      </c>
      <c r="C1298" t="s">
        <v>40</v>
      </c>
      <c r="D1298">
        <v>4.2937349999999999</v>
      </c>
      <c r="E1298">
        <v>0.55489980000000005</v>
      </c>
      <c r="F1298" t="s">
        <v>42</v>
      </c>
      <c r="G1298">
        <v>-225.86429999999999</v>
      </c>
      <c r="H1298" s="1">
        <v>-2.6864510000000002E-6</v>
      </c>
      <c r="I1298">
        <v>364.7568</v>
      </c>
      <c r="J1298">
        <v>-253.73820000000001</v>
      </c>
      <c r="K1298">
        <v>1.1112390000000001</v>
      </c>
      <c r="L1298">
        <v>366.95589999999999</v>
      </c>
      <c r="M1298">
        <v>0.99987939999999997</v>
      </c>
      <c r="N1298">
        <v>-1.4423599999999899E-2</v>
      </c>
      <c r="O1298">
        <v>5.771099E-3</v>
      </c>
      <c r="P1298">
        <v>0.95690980000000003</v>
      </c>
      <c r="Q1298">
        <v>0.28854200000000002</v>
      </c>
      <c r="R1298">
        <v>3.2674839999999997E-2</v>
      </c>
      <c r="S1298">
        <v>3.1810610000000001</v>
      </c>
      <c r="T1298">
        <v>-0.12610689999999999</v>
      </c>
      <c r="U1298">
        <v>-0.24942020000000001</v>
      </c>
      <c r="V1298">
        <v>-2.7682399999999999E-2</v>
      </c>
      <c r="W1298">
        <v>0.30226839999999999</v>
      </c>
      <c r="X1298">
        <v>0.95282080000000002</v>
      </c>
      <c r="Y1298">
        <v>8.3829459999999995E-2</v>
      </c>
      <c r="Z1298">
        <v>-2.4095380000000001E-3</v>
      </c>
      <c r="AA1298">
        <v>0.99647719999999995</v>
      </c>
      <c r="AB1298">
        <v>32</v>
      </c>
      <c r="AC1298">
        <v>27.873899999999999</v>
      </c>
      <c r="AD1298">
        <v>-1.111241686451</v>
      </c>
      <c r="AE1298">
        <v>-2.1990999999999801</v>
      </c>
      <c r="AF1298">
        <v>2.3562214173120899</v>
      </c>
      <c r="AG1298">
        <v>-1.111241686451</v>
      </c>
      <c r="AH1298">
        <v>27.816805813267301</v>
      </c>
      <c r="AI1298">
        <v>92.279513767972006</v>
      </c>
      <c r="AJ1298">
        <v>85.158320799056696</v>
      </c>
      <c r="AK1298">
        <v>27.938527575842802</v>
      </c>
      <c r="AL1298">
        <v>72.4061002500531</v>
      </c>
      <c r="AM1298">
        <v>91.664152010985305</v>
      </c>
      <c r="AN1298">
        <v>0.99999998891047903</v>
      </c>
    </row>
    <row r="1299" spans="1:40" x14ac:dyDescent="0.25">
      <c r="A1299" t="str">
        <f>"20190304164118449"</f>
        <v>20190304164118449</v>
      </c>
      <c r="B1299" t="str">
        <f>"1551688878442156"</f>
        <v>1551688878442156</v>
      </c>
      <c r="C1299" t="s">
        <v>40</v>
      </c>
      <c r="D1299">
        <v>4.2940480000000001</v>
      </c>
      <c r="E1299">
        <v>0.55481579999999997</v>
      </c>
      <c r="F1299" t="s">
        <v>42</v>
      </c>
      <c r="G1299">
        <v>-225.6876</v>
      </c>
      <c r="H1299" s="1">
        <v>-2.7419669999999999E-6</v>
      </c>
      <c r="I1299">
        <v>364.77429999999998</v>
      </c>
      <c r="J1299">
        <v>-253.5932</v>
      </c>
      <c r="K1299">
        <v>1.1112660000000001</v>
      </c>
      <c r="L1299">
        <v>366.9572</v>
      </c>
      <c r="M1299">
        <v>0.99987680000000001</v>
      </c>
      <c r="N1299">
        <v>-1.442245E-2</v>
      </c>
      <c r="O1299">
        <v>6.2118929999999996E-3</v>
      </c>
      <c r="P1299">
        <v>0.95682699999999998</v>
      </c>
      <c r="Q1299">
        <v>0.28875859999999998</v>
      </c>
      <c r="R1299">
        <v>3.318111E-2</v>
      </c>
      <c r="S1299">
        <v>3.1815340000000001</v>
      </c>
      <c r="T1299">
        <v>-0.12603809999999999</v>
      </c>
      <c r="U1299">
        <v>-0.2474365</v>
      </c>
      <c r="V1299">
        <v>-2.7786290000000002E-2</v>
      </c>
      <c r="W1299">
        <v>0.302481099999999</v>
      </c>
      <c r="X1299">
        <v>0.95275030000000005</v>
      </c>
      <c r="Y1299">
        <v>8.3639870000000005E-2</v>
      </c>
      <c r="Z1299">
        <v>-2.4141829999999999E-3</v>
      </c>
      <c r="AA1299">
        <v>0.99649310000000002</v>
      </c>
      <c r="AB1299">
        <v>32</v>
      </c>
      <c r="AC1299">
        <v>27.9056</v>
      </c>
      <c r="AD1299">
        <v>-1.111268741967</v>
      </c>
      <c r="AE1299">
        <v>-2.1829000000000098</v>
      </c>
      <c r="AF1299">
        <v>2.3525145002930601</v>
      </c>
      <c r="AG1299">
        <v>-1.111268741967</v>
      </c>
      <c r="AH1299">
        <v>27.847607257686398</v>
      </c>
      <c r="AI1299">
        <v>92.2770938291807</v>
      </c>
      <c r="AJ1299">
        <v>85.1712233905197</v>
      </c>
      <c r="AK1299">
        <v>27.968884008292399</v>
      </c>
      <c r="AL1299">
        <v>72.393315401791597</v>
      </c>
      <c r="AM1299">
        <v>91.670517451697606</v>
      </c>
      <c r="AN1299">
        <v>1.0000000139596299</v>
      </c>
    </row>
    <row r="1300" spans="1:40" x14ac:dyDescent="0.25">
      <c r="A1300" t="str">
        <f>"20190304164118463"</f>
        <v>20190304164118463</v>
      </c>
      <c r="B1300" t="str">
        <f>"1551688878452893"</f>
        <v>1551688878452893</v>
      </c>
      <c r="C1300" t="s">
        <v>40</v>
      </c>
      <c r="D1300">
        <v>4.3070380000000004</v>
      </c>
      <c r="E1300">
        <v>0.55476959999999997</v>
      </c>
      <c r="F1300" t="s">
        <v>42</v>
      </c>
      <c r="G1300">
        <v>-225.3811</v>
      </c>
      <c r="H1300" s="1">
        <v>-2.8449690000000001E-6</v>
      </c>
      <c r="I1300">
        <v>364.77910000000003</v>
      </c>
      <c r="J1300">
        <v>-253.39869999999999</v>
      </c>
      <c r="K1300">
        <v>1.1113010000000001</v>
      </c>
      <c r="L1300">
        <v>366.959</v>
      </c>
      <c r="M1300">
        <v>0.99987289999999995</v>
      </c>
      <c r="N1300">
        <v>-1.442089E-2</v>
      </c>
      <c r="O1300">
        <v>6.8174359999999996E-3</v>
      </c>
      <c r="P1300">
        <v>0.95669159999999998</v>
      </c>
      <c r="Q1300">
        <v>0.28912900000000002</v>
      </c>
      <c r="R1300">
        <v>3.3850060000000001E-2</v>
      </c>
      <c r="S1300">
        <v>3.181686</v>
      </c>
      <c r="T1300">
        <v>-0.12532570000000001</v>
      </c>
      <c r="U1300">
        <v>-0.24563599999999999</v>
      </c>
      <c r="V1300">
        <v>-2.7901929999999998E-2</v>
      </c>
      <c r="W1300">
        <v>0.3028457</v>
      </c>
      <c r="X1300">
        <v>0.95263109999999995</v>
      </c>
      <c r="Y1300">
        <v>8.3679779999999995E-2</v>
      </c>
      <c r="Z1300">
        <v>-2.4195000000000002E-3</v>
      </c>
      <c r="AA1300">
        <v>0.99648979999999998</v>
      </c>
      <c r="AB1300">
        <v>32</v>
      </c>
      <c r="AC1300">
        <v>28.017599999999899</v>
      </c>
      <c r="AD1300">
        <v>-1.111303844969</v>
      </c>
      <c r="AE1300">
        <v>-2.1798999999999702</v>
      </c>
      <c r="AF1300">
        <v>2.3671755640030501</v>
      </c>
      <c r="AG1300">
        <v>-1.111303844969</v>
      </c>
      <c r="AH1300">
        <v>27.958364454509901</v>
      </c>
      <c r="AI1300">
        <v>92.268118022115004</v>
      </c>
      <c r="AJ1300">
        <v>85.160429946423505</v>
      </c>
      <c r="AK1300">
        <v>28.080396353289999</v>
      </c>
      <c r="AL1300">
        <v>72.371397535925396</v>
      </c>
      <c r="AM1300">
        <v>91.677675564829798</v>
      </c>
      <c r="AN1300">
        <v>1.00000002419671</v>
      </c>
    </row>
    <row r="1301" spans="1:40" x14ac:dyDescent="0.25">
      <c r="A1301" t="str">
        <f>"20190304164118477"</f>
        <v>20190304164118477</v>
      </c>
      <c r="B1301" t="str">
        <f>"1551688878472412"</f>
        <v>1551688878472412</v>
      </c>
      <c r="C1301" t="s">
        <v>40</v>
      </c>
      <c r="D1301">
        <v>4.3711779999999996</v>
      </c>
      <c r="E1301">
        <v>0.55478809999999901</v>
      </c>
      <c r="F1301" t="s">
        <v>42</v>
      </c>
      <c r="G1301">
        <v>-225.13220000000001</v>
      </c>
      <c r="H1301" s="1">
        <v>-2.9243289999999998E-6</v>
      </c>
      <c r="I1301">
        <v>364.80329999999998</v>
      </c>
      <c r="J1301">
        <v>-253.1951</v>
      </c>
      <c r="K1301">
        <v>1.11134</v>
      </c>
      <c r="L1301">
        <v>366.96100000000001</v>
      </c>
      <c r="M1301">
        <v>0.99986799999999998</v>
      </c>
      <c r="N1301">
        <v>-1.441926E-2</v>
      </c>
      <c r="O1301">
        <v>7.4887269999999997E-3</v>
      </c>
      <c r="P1301">
        <v>0.95662250000000004</v>
      </c>
      <c r="Q1301">
        <v>0.2892554</v>
      </c>
      <c r="R1301">
        <v>3.4706899999999999E-2</v>
      </c>
      <c r="S1301">
        <v>3.1821899999999999</v>
      </c>
      <c r="T1301">
        <v>-0.12510839999999901</v>
      </c>
      <c r="U1301">
        <v>-0.2426758</v>
      </c>
      <c r="V1301">
        <v>-2.814291E-2</v>
      </c>
      <c r="W1301">
        <v>0.3029674</v>
      </c>
      <c r="X1301">
        <v>0.95258529999999997</v>
      </c>
      <c r="Y1301">
        <v>8.3415500000000004E-2</v>
      </c>
      <c r="Z1301">
        <v>-2.4254569999999998E-3</v>
      </c>
      <c r="AA1301">
        <v>0.99651190000000001</v>
      </c>
      <c r="AB1301">
        <v>32</v>
      </c>
      <c r="AC1301">
        <v>28.0628999999999</v>
      </c>
      <c r="AD1301">
        <v>-1.1113429243290001</v>
      </c>
      <c r="AE1301">
        <v>-2.1577000000000299</v>
      </c>
      <c r="AF1301">
        <v>2.3641308368904199</v>
      </c>
      <c r="AG1301">
        <v>-1.1113429243290001</v>
      </c>
      <c r="AH1301">
        <v>28.002294722521299</v>
      </c>
      <c r="AI1301">
        <v>92.264688910949801</v>
      </c>
      <c r="AJ1301">
        <v>85.174172033657896</v>
      </c>
      <c r="AK1301">
        <v>28.1238814432919</v>
      </c>
      <c r="AL1301">
        <v>72.3640806716989</v>
      </c>
      <c r="AM1301">
        <v>91.692238032361303</v>
      </c>
      <c r="AN1301">
        <v>1.0000000113110501</v>
      </c>
    </row>
    <row r="1302" spans="1:40" x14ac:dyDescent="0.25">
      <c r="A1302" t="str">
        <f>"20190304164118489"</f>
        <v>20190304164118489</v>
      </c>
      <c r="B1302" t="str">
        <f>"1551688878482171"</f>
        <v>1551688878482171</v>
      </c>
      <c r="C1302" t="s">
        <v>40</v>
      </c>
      <c r="D1302">
        <v>4.3012519999999999</v>
      </c>
      <c r="E1302">
        <v>0.55479869999999898</v>
      </c>
      <c r="F1302" t="s">
        <v>42</v>
      </c>
      <c r="G1302">
        <v>-225.32230000000001</v>
      </c>
      <c r="H1302" s="1">
        <v>-2.8432289999999999E-6</v>
      </c>
      <c r="I1302">
        <v>364.86090000000002</v>
      </c>
      <c r="J1302">
        <v>-253.00829999999999</v>
      </c>
      <c r="K1302">
        <v>1.1113710000000001</v>
      </c>
      <c r="L1302">
        <v>366.9631</v>
      </c>
      <c r="M1302">
        <v>0.99986319999999995</v>
      </c>
      <c r="N1302">
        <v>-1.441777E-2</v>
      </c>
      <c r="O1302">
        <v>8.1232359999999903E-3</v>
      </c>
      <c r="P1302">
        <v>0.95660389999999995</v>
      </c>
      <c r="Q1302">
        <v>0.2892401</v>
      </c>
      <c r="R1302">
        <v>3.5346269999999999E-2</v>
      </c>
      <c r="S1302">
        <v>3.1831049999999999</v>
      </c>
      <c r="T1302">
        <v>-0.12691630000000001</v>
      </c>
      <c r="U1302">
        <v>-0.23983760000000001</v>
      </c>
      <c r="V1302">
        <v>-2.8197139999999999E-2</v>
      </c>
      <c r="W1302">
        <v>0.30294840000000001</v>
      </c>
      <c r="X1302">
        <v>0.95258980000000004</v>
      </c>
      <c r="Y1302">
        <v>8.3140539999999999E-2</v>
      </c>
      <c r="Z1302">
        <v>-2.4614379999999998E-3</v>
      </c>
      <c r="AA1302">
        <v>0.99653480000000005</v>
      </c>
      <c r="AB1302">
        <v>32</v>
      </c>
      <c r="AC1302">
        <v>27.6859999999999</v>
      </c>
      <c r="AD1302">
        <v>-1.1113738432289999</v>
      </c>
      <c r="AE1302">
        <v>-2.1021999999999799</v>
      </c>
      <c r="AF1302">
        <v>2.3233315589021601</v>
      </c>
      <c r="AG1302">
        <v>-1.1113738432289999</v>
      </c>
      <c r="AH1302">
        <v>27.623750500397598</v>
      </c>
      <c r="AI1302">
        <v>92.295815480781599</v>
      </c>
      <c r="AJ1302">
        <v>85.192378605098597</v>
      </c>
      <c r="AK1302">
        <v>27.7435508372707</v>
      </c>
      <c r="AL1302">
        <v>72.365224033549794</v>
      </c>
      <c r="AM1302">
        <v>91.695488985324104</v>
      </c>
      <c r="AN1302">
        <v>1.0000000694153801</v>
      </c>
    </row>
    <row r="1303" spans="1:40" x14ac:dyDescent="0.25">
      <c r="A1303" t="str">
        <f>"20190304164118503"</f>
        <v>20190304164118503</v>
      </c>
      <c r="B1303" t="str">
        <f>"1551688878492907"</f>
        <v>1551688878492907</v>
      </c>
      <c r="C1303" t="s">
        <v>40</v>
      </c>
      <c r="D1303">
        <v>4.301075</v>
      </c>
      <c r="E1303">
        <v>0.55479250000000002</v>
      </c>
      <c r="F1303" t="s">
        <v>42</v>
      </c>
      <c r="G1303">
        <v>-224.9873</v>
      </c>
      <c r="H1303" s="1">
        <v>-2.9749909999999999E-6</v>
      </c>
      <c r="I1303">
        <v>364.86829999999998</v>
      </c>
      <c r="J1303">
        <v>-252.8143</v>
      </c>
      <c r="K1303">
        <v>1.111407</v>
      </c>
      <c r="L1303">
        <v>366.96519999999998</v>
      </c>
      <c r="M1303">
        <v>0.99985749999999995</v>
      </c>
      <c r="N1303">
        <v>-1.4416190000000001E-2</v>
      </c>
      <c r="O1303">
        <v>8.7981480000000004E-3</v>
      </c>
      <c r="P1303">
        <v>0.95640879999999995</v>
      </c>
      <c r="Q1303">
        <v>0.2897245</v>
      </c>
      <c r="R1303">
        <v>3.6637459999999997E-2</v>
      </c>
      <c r="S1303">
        <v>3.1830440000000002</v>
      </c>
      <c r="T1303">
        <v>-0.126246</v>
      </c>
      <c r="U1303">
        <v>-0.23794560000000001</v>
      </c>
      <c r="V1303">
        <v>-2.8867520000000001E-2</v>
      </c>
      <c r="W1303">
        <v>0.30342550000000001</v>
      </c>
      <c r="X1303">
        <v>0.95241779999999998</v>
      </c>
      <c r="Y1303">
        <v>8.3226129999999995E-2</v>
      </c>
      <c r="Z1303">
        <v>-2.4703329999999999E-3</v>
      </c>
      <c r="AA1303">
        <v>0.99652759999999996</v>
      </c>
      <c r="AB1303">
        <v>32</v>
      </c>
      <c r="AC1303">
        <v>27.827000000000002</v>
      </c>
      <c r="AD1303">
        <v>-1.111409974991</v>
      </c>
      <c r="AE1303">
        <v>-2.0969000000000002</v>
      </c>
      <c r="AF1303">
        <v>2.3379618372495199</v>
      </c>
      <c r="AG1303">
        <v>-1.111409974991</v>
      </c>
      <c r="AH1303">
        <v>27.763433763576</v>
      </c>
      <c r="AI1303">
        <v>92.284331441005705</v>
      </c>
      <c r="AJ1303">
        <v>85.186472738107696</v>
      </c>
      <c r="AK1303">
        <v>27.883858270142799</v>
      </c>
      <c r="AL1303">
        <v>72.336537037908101</v>
      </c>
      <c r="AM1303">
        <v>91.736087718474394</v>
      </c>
      <c r="AN1303">
        <v>1.0000000167590199</v>
      </c>
    </row>
    <row r="1304" spans="1:40" x14ac:dyDescent="0.25">
      <c r="A1304" t="str">
        <f>"20190304164118515"</f>
        <v>20190304164118515</v>
      </c>
      <c r="B1304" t="str">
        <f>"1551688878502668"</f>
        <v>1551688878502668</v>
      </c>
      <c r="C1304" t="s">
        <v>40</v>
      </c>
      <c r="D1304">
        <v>4.3082779999999996</v>
      </c>
      <c r="E1304">
        <v>0.55477699999999996</v>
      </c>
      <c r="F1304" t="s">
        <v>42</v>
      </c>
      <c r="G1304">
        <v>-224.23259999999999</v>
      </c>
      <c r="H1304" s="1">
        <v>-3.299603E-6</v>
      </c>
      <c r="I1304">
        <v>364.86349999999999</v>
      </c>
      <c r="J1304">
        <v>-252.64519999999999</v>
      </c>
      <c r="K1304">
        <v>1.1114360000000001</v>
      </c>
      <c r="L1304">
        <v>366.96730000000002</v>
      </c>
      <c r="M1304">
        <v>0.99985190000000002</v>
      </c>
      <c r="N1304">
        <v>-1.441484E-2</v>
      </c>
      <c r="O1304">
        <v>9.4071550000000004E-3</v>
      </c>
      <c r="P1304">
        <v>0.95629839999999999</v>
      </c>
      <c r="Q1304">
        <v>0.28997070000000003</v>
      </c>
      <c r="R1304">
        <v>3.7554240000000003E-2</v>
      </c>
      <c r="S1304">
        <v>3.183182</v>
      </c>
      <c r="T1304">
        <v>-0.12377879999999999</v>
      </c>
      <c r="U1304">
        <v>-0.23406979999999999</v>
      </c>
      <c r="V1304">
        <v>-2.9219849999999999E-2</v>
      </c>
      <c r="W1304">
        <v>0.30366670000000001</v>
      </c>
      <c r="X1304">
        <v>0.95233020000000002</v>
      </c>
      <c r="Y1304">
        <v>8.2626770000000002E-2</v>
      </c>
      <c r="Z1304">
        <v>-2.4301909999999999E-3</v>
      </c>
      <c r="AA1304">
        <v>0.99657759999999995</v>
      </c>
      <c r="AB1304">
        <v>32</v>
      </c>
      <c r="AC1304">
        <v>28.412600000000001</v>
      </c>
      <c r="AD1304">
        <v>-1.111439299603</v>
      </c>
      <c r="AE1304">
        <v>-2.1038000000000299</v>
      </c>
      <c r="AF1304">
        <v>2.3674135084083101</v>
      </c>
      <c r="AG1304">
        <v>-1.111439299603</v>
      </c>
      <c r="AH1304">
        <v>28.348407367554</v>
      </c>
      <c r="AI1304">
        <v>92.237431354434094</v>
      </c>
      <c r="AJ1304">
        <v>85.226229721291702</v>
      </c>
      <c r="AK1304">
        <v>28.4687924632094</v>
      </c>
      <c r="AL1304">
        <v>72.322033316984005</v>
      </c>
      <c r="AM1304">
        <v>91.757425119645603</v>
      </c>
      <c r="AN1304">
        <v>1.00000003707747</v>
      </c>
    </row>
    <row r="1305" spans="1:40" x14ac:dyDescent="0.25">
      <c r="A1305" t="str">
        <f>"20190304164118527"</f>
        <v>20190304164118527</v>
      </c>
      <c r="B1305" t="str">
        <f>"1551688878522188"</f>
        <v>1551688878522188</v>
      </c>
      <c r="C1305" t="s">
        <v>40</v>
      </c>
      <c r="D1305">
        <v>4.3664699999999996</v>
      </c>
      <c r="E1305">
        <v>0.55484489999999997</v>
      </c>
      <c r="F1305" t="s">
        <v>42</v>
      </c>
      <c r="G1305">
        <v>-223.61429999999999</v>
      </c>
      <c r="H1305" s="1">
        <v>-3.5650339999999998E-6</v>
      </c>
      <c r="I1305">
        <v>364.8623</v>
      </c>
      <c r="J1305">
        <v>-252.4914</v>
      </c>
      <c r="K1305">
        <v>1.1114580000000001</v>
      </c>
      <c r="L1305">
        <v>366.96929999999998</v>
      </c>
      <c r="M1305">
        <v>0.99984660000000003</v>
      </c>
      <c r="N1305">
        <v>-1.4413570000000001E-2</v>
      </c>
      <c r="O1305">
        <v>9.9677659999999994E-3</v>
      </c>
      <c r="P1305">
        <v>0.9561733</v>
      </c>
      <c r="Q1305">
        <v>0.290307599999999</v>
      </c>
      <c r="R1305">
        <v>3.8137589999999999E-2</v>
      </c>
      <c r="S1305">
        <v>3.1831360000000002</v>
      </c>
      <c r="T1305">
        <v>-0.1218653</v>
      </c>
      <c r="U1305">
        <v>-0.23080439999999999</v>
      </c>
      <c r="V1305">
        <v>-2.9283340000000001E-2</v>
      </c>
      <c r="W1305">
        <v>0.30399920000000002</v>
      </c>
      <c r="X1305">
        <v>0.95222209999999996</v>
      </c>
      <c r="Y1305">
        <v>8.2172369999999995E-2</v>
      </c>
      <c r="Z1305">
        <v>-2.4011950000000001E-3</v>
      </c>
      <c r="AA1305">
        <v>0.99661520000000003</v>
      </c>
      <c r="AB1305">
        <v>32</v>
      </c>
      <c r="AC1305">
        <v>28.877099999999999</v>
      </c>
      <c r="AD1305">
        <v>-1.1114615650340001</v>
      </c>
      <c r="AE1305">
        <v>-2.10699999999997</v>
      </c>
      <c r="AF1305">
        <v>2.3912416333139199</v>
      </c>
      <c r="AG1305">
        <v>-1.1114615650340001</v>
      </c>
      <c r="AH1305">
        <v>28.812203555137799</v>
      </c>
      <c r="AI1305">
        <v>92.201588793849197</v>
      </c>
      <c r="AJ1305">
        <v>85.255663950724795</v>
      </c>
      <c r="AK1305">
        <v>28.932619256854998</v>
      </c>
      <c r="AL1305">
        <v>72.302036072768402</v>
      </c>
      <c r="AM1305">
        <v>91.761441134355493</v>
      </c>
      <c r="AN1305">
        <v>0.99999997766530202</v>
      </c>
    </row>
    <row r="1306" spans="1:40" x14ac:dyDescent="0.25">
      <c r="A1306" t="str">
        <f>"20190304164118538"</f>
        <v>20190304164118538</v>
      </c>
      <c r="B1306" t="str">
        <f>"1551688878531948"</f>
        <v>1551688878531948</v>
      </c>
      <c r="C1306" t="s">
        <v>40</v>
      </c>
      <c r="D1306">
        <v>4.3369369999999998</v>
      </c>
      <c r="E1306">
        <v>0.55488850000000001</v>
      </c>
      <c r="F1306" t="s">
        <v>42</v>
      </c>
      <c r="G1306">
        <v>-223.50069999999999</v>
      </c>
      <c r="H1306" s="1">
        <v>-3.6108339999999999E-6</v>
      </c>
      <c r="I1306">
        <v>364.87900000000002</v>
      </c>
      <c r="J1306">
        <v>-252.3135</v>
      </c>
      <c r="K1306">
        <v>1.111483</v>
      </c>
      <c r="L1306">
        <v>366.9717</v>
      </c>
      <c r="M1306">
        <v>0.9998397</v>
      </c>
      <c r="N1306">
        <v>-1.4412049999999999E-2</v>
      </c>
      <c r="O1306">
        <v>1.0627259999999999E-2</v>
      </c>
      <c r="P1306">
        <v>0.95609809999999995</v>
      </c>
      <c r="Q1306">
        <v>0.29042849999999998</v>
      </c>
      <c r="R1306">
        <v>3.9084380000000002E-2</v>
      </c>
      <c r="S1306">
        <v>3.1837309999999999</v>
      </c>
      <c r="T1306">
        <v>-0.12205920000000001</v>
      </c>
      <c r="U1306">
        <v>-0.22955320000000001</v>
      </c>
      <c r="V1306">
        <v>-2.961455E-2</v>
      </c>
      <c r="W1306">
        <v>0.304116</v>
      </c>
      <c r="X1306">
        <v>0.95217459999999998</v>
      </c>
      <c r="Y1306">
        <v>8.2425999999999999E-2</v>
      </c>
      <c r="Z1306">
        <v>-2.4263459999999998E-3</v>
      </c>
      <c r="AA1306">
        <v>0.99659430000000004</v>
      </c>
      <c r="AB1306">
        <v>32</v>
      </c>
      <c r="AC1306">
        <v>28.812799999999999</v>
      </c>
      <c r="AD1306">
        <v>-1.111486610834</v>
      </c>
      <c r="AE1306">
        <v>-2.0926999999999798</v>
      </c>
      <c r="AF1306">
        <v>2.3952689701534502</v>
      </c>
      <c r="AG1306">
        <v>-1.111486610834</v>
      </c>
      <c r="AH1306">
        <v>28.746377062932499</v>
      </c>
      <c r="AI1306">
        <v>92.206614814396005</v>
      </c>
      <c r="AJ1306">
        <v>85.236877807199704</v>
      </c>
      <c r="AK1306">
        <v>28.867402206809899</v>
      </c>
      <c r="AL1306">
        <v>72.295012029978395</v>
      </c>
      <c r="AM1306">
        <v>91.781440003996806</v>
      </c>
      <c r="AN1306">
        <v>1.00000001595643</v>
      </c>
    </row>
    <row r="1307" spans="1:40" x14ac:dyDescent="0.25">
      <c r="A1307" t="str">
        <f>"20190304164118549"</f>
        <v>20190304164118549</v>
      </c>
      <c r="B1307" t="str">
        <f>"1551688878542684"</f>
        <v>1551688878542684</v>
      </c>
      <c r="C1307" t="s">
        <v>40</v>
      </c>
      <c r="D1307">
        <v>4.3555729999999997</v>
      </c>
      <c r="E1307">
        <v>0.55492790000000003</v>
      </c>
      <c r="F1307" t="s">
        <v>42</v>
      </c>
      <c r="G1307">
        <v>-223.489</v>
      </c>
      <c r="H1307" s="1">
        <v>-3.6081580000000001E-6</v>
      </c>
      <c r="I1307">
        <v>364.92250000000001</v>
      </c>
      <c r="J1307">
        <v>-252.16370000000001</v>
      </c>
      <c r="K1307">
        <v>1.111499</v>
      </c>
      <c r="L1307">
        <v>366.97390000000001</v>
      </c>
      <c r="M1307">
        <v>0.99983359999999999</v>
      </c>
      <c r="N1307">
        <v>-1.441073E-2</v>
      </c>
      <c r="O1307">
        <v>1.118981E-2</v>
      </c>
      <c r="P1307">
        <v>0.95586590000000005</v>
      </c>
      <c r="Q1307">
        <v>0.29108779999999901</v>
      </c>
      <c r="R1307">
        <v>3.98559E-2</v>
      </c>
      <c r="S1307">
        <v>3.1842959999999998</v>
      </c>
      <c r="T1307">
        <v>-0.1227874</v>
      </c>
      <c r="U1307">
        <v>-0.22637940000000001</v>
      </c>
      <c r="V1307">
        <v>-2.9861800000000001E-2</v>
      </c>
      <c r="W1307">
        <v>0.30476959999999997</v>
      </c>
      <c r="X1307">
        <v>0.95195790000000002</v>
      </c>
      <c r="Y1307">
        <v>8.1985180000000005E-2</v>
      </c>
      <c r="Z1307">
        <v>-2.4397260000000001E-3</v>
      </c>
      <c r="AA1307">
        <v>0.99663049999999997</v>
      </c>
      <c r="AB1307">
        <v>32</v>
      </c>
      <c r="AC1307">
        <v>28.674700000000001</v>
      </c>
      <c r="AD1307">
        <v>-1.1115026081579999</v>
      </c>
      <c r="AE1307">
        <v>-2.0514000000000001</v>
      </c>
      <c r="AF1307">
        <v>2.3686284751087499</v>
      </c>
      <c r="AG1307">
        <v>-1.1115026081579999</v>
      </c>
      <c r="AH1307">
        <v>28.6071829191714</v>
      </c>
      <c r="AI1307">
        <v>92.217468831253299</v>
      </c>
      <c r="AJ1307">
        <v>85.266798693793007</v>
      </c>
      <c r="AK1307">
        <v>28.726586178520598</v>
      </c>
      <c r="AL1307">
        <v>72.255697697190797</v>
      </c>
      <c r="AM1307">
        <v>91.796712065418404</v>
      </c>
      <c r="AN1307">
        <v>1.0000000397779001</v>
      </c>
    </row>
    <row r="1308" spans="1:40" x14ac:dyDescent="0.25">
      <c r="A1308" t="str">
        <f>"20190304164118561"</f>
        <v>20190304164118561</v>
      </c>
      <c r="B1308" t="str">
        <f>"1551688878552444"</f>
        <v>1551688878552444</v>
      </c>
      <c r="C1308" t="s">
        <v>40</v>
      </c>
      <c r="D1308">
        <v>4.364738</v>
      </c>
      <c r="E1308">
        <v>0.55500950000000004</v>
      </c>
      <c r="F1308" t="s">
        <v>42</v>
      </c>
      <c r="G1308">
        <v>-223.09190000000001</v>
      </c>
      <c r="H1308" s="1">
        <v>-3.7772769999999998E-6</v>
      </c>
      <c r="I1308">
        <v>364.92930000000001</v>
      </c>
      <c r="J1308">
        <v>-251.99959999999999</v>
      </c>
      <c r="K1308">
        <v>1.1115159999999999</v>
      </c>
      <c r="L1308">
        <v>366.97629999999998</v>
      </c>
      <c r="M1308">
        <v>0.99982660000000001</v>
      </c>
      <c r="N1308">
        <v>-1.440926E-2</v>
      </c>
      <c r="O1308">
        <v>1.180933E-2</v>
      </c>
      <c r="P1308">
        <v>0.95566430000000002</v>
      </c>
      <c r="Q1308">
        <v>0.29162690000000002</v>
      </c>
      <c r="R1308">
        <v>4.0736679999999997E-2</v>
      </c>
      <c r="S1308">
        <v>3.184952</v>
      </c>
      <c r="T1308">
        <v>-0.12177010000000001</v>
      </c>
      <c r="U1308">
        <v>-0.223999</v>
      </c>
      <c r="V1308">
        <v>-3.0163700000000002E-2</v>
      </c>
      <c r="W1308">
        <v>0.3053032</v>
      </c>
      <c r="X1308">
        <v>0.95177730000000005</v>
      </c>
      <c r="Y1308">
        <v>8.1848309999999994E-2</v>
      </c>
      <c r="Z1308">
        <v>-2.433808E-3</v>
      </c>
      <c r="AA1308">
        <v>0.99664180000000002</v>
      </c>
      <c r="AB1308">
        <v>32</v>
      </c>
      <c r="AC1308">
        <v>28.907699999999899</v>
      </c>
      <c r="AD1308">
        <v>-1.111519777277</v>
      </c>
      <c r="AE1308">
        <v>-2.0469999999999602</v>
      </c>
      <c r="AF1308">
        <v>2.38476501759569</v>
      </c>
      <c r="AG1308">
        <v>-1.111519777277</v>
      </c>
      <c r="AH1308">
        <v>28.839083089327701</v>
      </c>
      <c r="AI1308">
        <v>92.199708492869206</v>
      </c>
      <c r="AJ1308">
        <v>85.272845493646699</v>
      </c>
      <c r="AK1308">
        <v>28.958855188656401</v>
      </c>
      <c r="AL1308">
        <v>72.223593210117002</v>
      </c>
      <c r="AM1308">
        <v>91.815208709858695</v>
      </c>
      <c r="AN1308">
        <v>0.99999996076160902</v>
      </c>
    </row>
    <row r="1309" spans="1:40" x14ac:dyDescent="0.25">
      <c r="A1309" t="str">
        <f>"20190304164118571"</f>
        <v>20190304164118571</v>
      </c>
      <c r="B1309" t="str">
        <f>"1551688878562204"</f>
        <v>1551688878562204</v>
      </c>
      <c r="C1309" t="s">
        <v>40</v>
      </c>
      <c r="D1309">
        <v>4.3617080000000001</v>
      </c>
      <c r="E1309">
        <v>0.55508440000000003</v>
      </c>
      <c r="F1309" t="s">
        <v>42</v>
      </c>
      <c r="G1309">
        <v>-222.69880000000001</v>
      </c>
      <c r="H1309" s="1">
        <v>-3.9450670000000003E-6</v>
      </c>
      <c r="I1309">
        <v>364.9341</v>
      </c>
      <c r="J1309">
        <v>-251.84479999999999</v>
      </c>
      <c r="K1309">
        <v>1.1115269999999999</v>
      </c>
      <c r="L1309">
        <v>366.9787</v>
      </c>
      <c r="M1309">
        <v>0.99981929999999997</v>
      </c>
      <c r="N1309">
        <v>-1.440784E-2</v>
      </c>
      <c r="O1309">
        <v>1.239989E-2</v>
      </c>
      <c r="P1309">
        <v>0.95546929999999997</v>
      </c>
      <c r="Q1309">
        <v>0.2921279</v>
      </c>
      <c r="R1309">
        <v>4.1713229999999997E-2</v>
      </c>
      <c r="S1309">
        <v>3.1855159999999998</v>
      </c>
      <c r="T1309">
        <v>-0.1208415</v>
      </c>
      <c r="U1309">
        <v>-0.2220154</v>
      </c>
      <c r="V1309">
        <v>-3.0585649999999999E-2</v>
      </c>
      <c r="W1309">
        <v>0.30579849999999997</v>
      </c>
      <c r="X1309">
        <v>0.95160480000000003</v>
      </c>
      <c r="Y1309">
        <v>8.1808080000000005E-2</v>
      </c>
      <c r="Z1309">
        <v>-2.4309169999999999E-3</v>
      </c>
      <c r="AA1309">
        <v>0.99664520000000001</v>
      </c>
      <c r="AB1309">
        <v>32</v>
      </c>
      <c r="AC1309">
        <v>29.145999999999901</v>
      </c>
      <c r="AD1309">
        <v>-1.1115309450669999</v>
      </c>
      <c r="AE1309">
        <v>-2.0446</v>
      </c>
      <c r="AF1309">
        <v>2.4024105247308101</v>
      </c>
      <c r="AG1309">
        <v>-1.1115309450669999</v>
      </c>
      <c r="AH1309">
        <v>29.076321651308199</v>
      </c>
      <c r="AI1309">
        <v>92.181812157989498</v>
      </c>
      <c r="AJ1309">
        <v>85.276705505932398</v>
      </c>
      <c r="AK1309">
        <v>29.196567574656999</v>
      </c>
      <c r="AL1309">
        <v>72.193789059190607</v>
      </c>
      <c r="AM1309">
        <v>91.840917135402606</v>
      </c>
      <c r="AN1309">
        <v>0.99999994998560504</v>
      </c>
    </row>
    <row r="1310" spans="1:40" x14ac:dyDescent="0.25">
      <c r="A1310" t="str">
        <f>"20190304164118583"</f>
        <v>20190304164118583</v>
      </c>
      <c r="B1310" t="str">
        <f>"1551688878571964"</f>
        <v>1551688878571964</v>
      </c>
      <c r="C1310" t="s">
        <v>40</v>
      </c>
      <c r="D1310">
        <v>4.3745719999999997</v>
      </c>
      <c r="E1310">
        <v>0.55515769999999998</v>
      </c>
      <c r="F1310" t="s">
        <v>42</v>
      </c>
      <c r="G1310">
        <v>-222.36680000000001</v>
      </c>
      <c r="H1310" s="1">
        <v>-4.0856880000000002E-6</v>
      </c>
      <c r="I1310">
        <v>364.94439999999997</v>
      </c>
      <c r="J1310">
        <v>-251.6891</v>
      </c>
      <c r="K1310">
        <v>1.111537</v>
      </c>
      <c r="L1310">
        <v>366.9812</v>
      </c>
      <c r="M1310">
        <v>0.99981180000000003</v>
      </c>
      <c r="N1310">
        <v>-1.440638E-2</v>
      </c>
      <c r="O1310">
        <v>1.2995019999999999E-2</v>
      </c>
      <c r="P1310">
        <v>0.95528599999999997</v>
      </c>
      <c r="Q1310">
        <v>0.29258849999999997</v>
      </c>
      <c r="R1310">
        <v>4.267278E-2</v>
      </c>
      <c r="S1310">
        <v>3.1861570000000001</v>
      </c>
      <c r="T1310">
        <v>-0.1201402</v>
      </c>
      <c r="U1310">
        <v>-0.2198792</v>
      </c>
      <c r="V1310">
        <v>-3.0985639999999998E-2</v>
      </c>
      <c r="W1310">
        <v>0.30625390000000002</v>
      </c>
      <c r="X1310">
        <v>0.95144550000000006</v>
      </c>
      <c r="Y1310">
        <v>8.1723210000000004E-2</v>
      </c>
      <c r="Z1310">
        <v>-2.4304270000000002E-3</v>
      </c>
      <c r="AA1310">
        <v>0.99665210000000004</v>
      </c>
      <c r="AB1310">
        <v>32</v>
      </c>
      <c r="AC1310">
        <v>29.322299999999899</v>
      </c>
      <c r="AD1310">
        <v>-1.1115410856879999</v>
      </c>
      <c r="AE1310">
        <v>-2.0368000000000199</v>
      </c>
      <c r="AF1310">
        <v>2.4142587760167</v>
      </c>
      <c r="AG1310">
        <v>-1.1115410856879999</v>
      </c>
      <c r="AH1310">
        <v>29.2515201242019</v>
      </c>
      <c r="AI1310">
        <v>92.168792700963394</v>
      </c>
      <c r="AJ1310">
        <v>85.281817008904596</v>
      </c>
      <c r="AK1310">
        <v>29.372020676135602</v>
      </c>
      <c r="AL1310">
        <v>72.166383485242307</v>
      </c>
      <c r="AM1310">
        <v>91.865287239618397</v>
      </c>
      <c r="AN1310">
        <v>1.0000000503108299</v>
      </c>
    </row>
    <row r="1311" spans="1:40" x14ac:dyDescent="0.25">
      <c r="A1311" t="str">
        <f>"20190304164118594"</f>
        <v>20190304164118594</v>
      </c>
      <c r="B1311" t="str">
        <f>"1551688878582701"</f>
        <v>1551688878582701</v>
      </c>
      <c r="C1311" t="s">
        <v>40</v>
      </c>
      <c r="D1311">
        <v>4.2919029999999996</v>
      </c>
      <c r="E1311">
        <v>0.555191199999999</v>
      </c>
      <c r="F1311" t="s">
        <v>42</v>
      </c>
      <c r="G1311">
        <v>-222.0855</v>
      </c>
      <c r="H1311" s="1">
        <v>-4.2034549999999999E-6</v>
      </c>
      <c r="I1311">
        <v>364.96080000000001</v>
      </c>
      <c r="J1311">
        <v>-251.5301</v>
      </c>
      <c r="K1311">
        <v>1.1115429999999999</v>
      </c>
      <c r="L1311">
        <v>366.98390000000001</v>
      </c>
      <c r="M1311">
        <v>0.99980380000000002</v>
      </c>
      <c r="N1311">
        <v>-1.4404810000000001E-2</v>
      </c>
      <c r="O1311">
        <v>1.3605610000000001E-2</v>
      </c>
      <c r="P1311">
        <v>0.95518890000000001</v>
      </c>
      <c r="Q1311">
        <v>0.29275899999999999</v>
      </c>
      <c r="R1311">
        <v>4.3662529999999998E-2</v>
      </c>
      <c r="S1311">
        <v>3.1867830000000001</v>
      </c>
      <c r="T1311">
        <v>-0.119655399999999</v>
      </c>
      <c r="U1311">
        <v>-0.21749879999999999</v>
      </c>
      <c r="V1311">
        <v>-3.1397630000000003E-2</v>
      </c>
      <c r="W1311">
        <v>0.3064209</v>
      </c>
      <c r="X1311">
        <v>0.95137819999999995</v>
      </c>
      <c r="Y1311">
        <v>8.1578070000000003E-2</v>
      </c>
      <c r="Z1311">
        <v>-2.432184E-3</v>
      </c>
      <c r="AA1311">
        <v>0.99666399999999999</v>
      </c>
      <c r="AB1311">
        <v>32</v>
      </c>
      <c r="AC1311">
        <v>29.444600000000001</v>
      </c>
      <c r="AD1311">
        <v>-1.111547203455</v>
      </c>
      <c r="AE1311">
        <v>-2.0230999999999901</v>
      </c>
      <c r="AF1311">
        <v>2.4201332459008902</v>
      </c>
      <c r="AG1311">
        <v>-1.111547203455</v>
      </c>
      <c r="AH1311">
        <v>29.3726834151703</v>
      </c>
      <c r="AI1311">
        <v>92.159891551219999</v>
      </c>
      <c r="AJ1311">
        <v>85.289810399210097</v>
      </c>
      <c r="AK1311">
        <v>29.493170618318501</v>
      </c>
      <c r="AL1311">
        <v>72.156331449633598</v>
      </c>
      <c r="AM1311">
        <v>91.890204130494297</v>
      </c>
      <c r="AN1311">
        <v>1.00000002928083</v>
      </c>
    </row>
    <row r="1312" spans="1:40" x14ac:dyDescent="0.25">
      <c r="A1312" t="str">
        <f>"20190304164118606"</f>
        <v>20190304164118606</v>
      </c>
      <c r="B1312" t="str">
        <f>"1551688878592460"</f>
        <v>1551688878592460</v>
      </c>
      <c r="C1312" t="s">
        <v>40</v>
      </c>
      <c r="D1312">
        <v>4.3230199999999996</v>
      </c>
      <c r="E1312">
        <v>0.55526439999999999</v>
      </c>
      <c r="F1312" t="s">
        <v>42</v>
      </c>
      <c r="G1312">
        <v>-221.77699999999999</v>
      </c>
      <c r="H1312" s="1">
        <v>-4.3331979999999998E-6</v>
      </c>
      <c r="I1312">
        <v>364.9753</v>
      </c>
      <c r="J1312">
        <v>-251.3698</v>
      </c>
      <c r="K1312">
        <v>1.111542</v>
      </c>
      <c r="L1312">
        <v>366.98660000000001</v>
      </c>
      <c r="M1312">
        <v>0.9997952</v>
      </c>
      <c r="N1312">
        <v>-1.440323E-2</v>
      </c>
      <c r="O1312">
        <v>1.4221370000000001E-2</v>
      </c>
      <c r="P1312">
        <v>0.95518700000000001</v>
      </c>
      <c r="Q1312">
        <v>0.29265809999999998</v>
      </c>
      <c r="R1312">
        <v>4.438015E-2</v>
      </c>
      <c r="S1312">
        <v>3.1870880000000001</v>
      </c>
      <c r="T1312">
        <v>-0.1190664</v>
      </c>
      <c r="U1312">
        <v>-0.2151489</v>
      </c>
      <c r="V1312">
        <v>-3.1530280000000001E-2</v>
      </c>
      <c r="W1312">
        <v>0.30631789999999998</v>
      </c>
      <c r="X1312">
        <v>0.951407</v>
      </c>
      <c r="Y1312">
        <v>8.1454670000000007E-2</v>
      </c>
      <c r="Z1312">
        <v>-2.4328689999999998E-3</v>
      </c>
      <c r="AA1312">
        <v>0.99667410000000001</v>
      </c>
      <c r="AB1312">
        <v>32</v>
      </c>
      <c r="AC1312">
        <v>29.592799999999901</v>
      </c>
      <c r="AD1312">
        <v>-1.111546333198</v>
      </c>
      <c r="AE1312">
        <v>-2.0112999999999999</v>
      </c>
      <c r="AF1312">
        <v>2.4285797217548399</v>
      </c>
      <c r="AG1312">
        <v>-1.111546333198</v>
      </c>
      <c r="AH1312">
        <v>29.519743651977599</v>
      </c>
      <c r="AI1312">
        <v>92.149161759047203</v>
      </c>
      <c r="AJ1312">
        <v>85.296886440280502</v>
      </c>
      <c r="AK1312">
        <v>29.640323884772901</v>
      </c>
      <c r="AL1312">
        <v>72.162531363402806</v>
      </c>
      <c r="AM1312">
        <v>91.898126695159604</v>
      </c>
      <c r="AN1312">
        <v>1.00000004703314</v>
      </c>
    </row>
    <row r="1313" spans="1:40" x14ac:dyDescent="0.25">
      <c r="A1313" t="str">
        <f>"20190304164118616"</f>
        <v>20190304164118616</v>
      </c>
      <c r="B1313" t="str">
        <f>"1551688878602221"</f>
        <v>1551688878602221</v>
      </c>
      <c r="C1313" t="s">
        <v>40</v>
      </c>
      <c r="D1313">
        <v>4.298781</v>
      </c>
      <c r="E1313">
        <v>0.55530970000000002</v>
      </c>
      <c r="F1313" t="s">
        <v>42</v>
      </c>
      <c r="G1313">
        <v>-221.9555</v>
      </c>
      <c r="H1313" s="1">
        <v>-4.2490210000000003E-6</v>
      </c>
      <c r="I1313">
        <v>365.01819999999998</v>
      </c>
      <c r="J1313">
        <v>-251.2182</v>
      </c>
      <c r="K1313">
        <v>1.1115429999999999</v>
      </c>
      <c r="L1313">
        <v>366.98930000000001</v>
      </c>
      <c r="M1313">
        <v>0.99978679999999998</v>
      </c>
      <c r="N1313">
        <v>-1.440175E-2</v>
      </c>
      <c r="O1313">
        <v>1.480481E-2</v>
      </c>
      <c r="P1313">
        <v>0.95511380000000001</v>
      </c>
      <c r="Q1313">
        <v>0.2927959</v>
      </c>
      <c r="R1313">
        <v>4.5039099999999999E-2</v>
      </c>
      <c r="S1313">
        <v>3.187576</v>
      </c>
      <c r="T1313">
        <v>-0.1204561</v>
      </c>
      <c r="U1313">
        <v>-0.2133179</v>
      </c>
      <c r="V1313">
        <v>-3.1634990000000002E-2</v>
      </c>
      <c r="W1313">
        <v>0.30645309999999998</v>
      </c>
      <c r="X1313">
        <v>0.95135990000000004</v>
      </c>
      <c r="Y1313">
        <v>8.1454209999999999E-2</v>
      </c>
      <c r="Z1313">
        <v>-2.4700680000000002E-3</v>
      </c>
      <c r="AA1313">
        <v>0.99667399999999995</v>
      </c>
      <c r="AB1313">
        <v>32</v>
      </c>
      <c r="AC1313">
        <v>29.262699999999899</v>
      </c>
      <c r="AD1313">
        <v>-1.1115472490210001</v>
      </c>
      <c r="AE1313">
        <v>-1.9711000000000301</v>
      </c>
      <c r="AF1313">
        <v>2.4007092604174902</v>
      </c>
      <c r="AG1313">
        <v>-1.1115472490210001</v>
      </c>
      <c r="AH1313">
        <v>29.188382634135198</v>
      </c>
      <c r="AI1313">
        <v>92.173542334999794</v>
      </c>
      <c r="AJ1313">
        <v>85.298074822423104</v>
      </c>
      <c r="AK1313">
        <v>29.308030009479399</v>
      </c>
      <c r="AL1313">
        <v>72.154392137223695</v>
      </c>
      <c r="AM1313">
        <v>91.904519830857694</v>
      </c>
      <c r="AN1313">
        <v>0.99999996720995898</v>
      </c>
    </row>
    <row r="1314" spans="1:40" x14ac:dyDescent="0.25">
      <c r="A1314" t="str">
        <f>"20190304164118628"</f>
        <v>20190304164118628</v>
      </c>
      <c r="B1314" t="str">
        <f>"1551688878622716"</f>
        <v>1551688878622716</v>
      </c>
      <c r="C1314" t="s">
        <v>40</v>
      </c>
      <c r="D1314">
        <v>4.3503790000000002</v>
      </c>
      <c r="E1314">
        <v>0.5554038</v>
      </c>
      <c r="F1314" t="s">
        <v>42</v>
      </c>
      <c r="G1314">
        <v>-221.79150000000001</v>
      </c>
      <c r="H1314" s="1">
        <v>-4.3158729999999999E-6</v>
      </c>
      <c r="I1314">
        <v>365.03800000000001</v>
      </c>
      <c r="J1314">
        <v>-251.05670000000001</v>
      </c>
      <c r="K1314">
        <v>1.1115440000000001</v>
      </c>
      <c r="L1314">
        <v>366.99239999999998</v>
      </c>
      <c r="M1314">
        <v>0.99977749999999999</v>
      </c>
      <c r="N1314">
        <v>-1.44002E-2</v>
      </c>
      <c r="O1314">
        <v>1.542555E-2</v>
      </c>
      <c r="P1314">
        <v>0.95513870000000001</v>
      </c>
      <c r="Q1314">
        <v>0.29259849999999998</v>
      </c>
      <c r="R1314">
        <v>4.5785970000000002E-2</v>
      </c>
      <c r="S1314">
        <v>3.1878510000000002</v>
      </c>
      <c r="T1314">
        <v>-0.12041590000000001</v>
      </c>
      <c r="U1314">
        <v>-0.21139530000000001</v>
      </c>
      <c r="V1314">
        <v>-3.178955E-2</v>
      </c>
      <c r="W1314">
        <v>0.30625429999999998</v>
      </c>
      <c r="X1314">
        <v>0.95141880000000001</v>
      </c>
      <c r="Y1314">
        <v>8.1468719999999994E-2</v>
      </c>
      <c r="Z1314">
        <v>-2.4840439999999999E-3</v>
      </c>
      <c r="AA1314">
        <v>0.99667280000000003</v>
      </c>
      <c r="AB1314">
        <v>32</v>
      </c>
      <c r="AC1314">
        <v>29.2652</v>
      </c>
      <c r="AD1314">
        <v>-1.111548315873</v>
      </c>
      <c r="AE1314">
        <v>-1.9543999999999599</v>
      </c>
      <c r="AF1314">
        <v>2.4021958698172101</v>
      </c>
      <c r="AG1314">
        <v>-1.111548315873</v>
      </c>
      <c r="AH1314">
        <v>29.189643701693399</v>
      </c>
      <c r="AI1314">
        <v>92.173442199999599</v>
      </c>
      <c r="AJ1314">
        <v>85.295378628342206</v>
      </c>
      <c r="AK1314">
        <v>29.3094077744211</v>
      </c>
      <c r="AL1314">
        <v>72.166358526537095</v>
      </c>
      <c r="AM1314">
        <v>91.913699504855799</v>
      </c>
      <c r="AN1314">
        <v>1.00000000237556</v>
      </c>
    </row>
    <row r="1315" spans="1:40" x14ac:dyDescent="0.25">
      <c r="A1315" t="str">
        <f>"20190304164118640"</f>
        <v>20190304164118640</v>
      </c>
      <c r="B1315" t="str">
        <f>"1551688878632476"</f>
        <v>1551688878632476</v>
      </c>
      <c r="C1315" t="s">
        <v>40</v>
      </c>
      <c r="D1315">
        <v>4.3423910000000001</v>
      </c>
      <c r="E1315">
        <v>0.55549409999999999</v>
      </c>
      <c r="F1315" t="s">
        <v>42</v>
      </c>
      <c r="G1315">
        <v>-222.2431</v>
      </c>
      <c r="H1315" s="1">
        <v>-4.1114610000000003E-6</v>
      </c>
      <c r="I1315">
        <v>365.09809999999999</v>
      </c>
      <c r="J1315">
        <v>-250.89070000000001</v>
      </c>
      <c r="K1315">
        <v>1.1115389999999901</v>
      </c>
      <c r="L1315">
        <v>366.99549999999999</v>
      </c>
      <c r="M1315">
        <v>0.99976739999999997</v>
      </c>
      <c r="N1315">
        <v>-1.4398650000000001E-2</v>
      </c>
      <c r="O1315">
        <v>1.60638E-2</v>
      </c>
      <c r="P1315">
        <v>0.95523009999999997</v>
      </c>
      <c r="Q1315">
        <v>0.29222999999999999</v>
      </c>
      <c r="R1315">
        <v>4.6233059999999999E-2</v>
      </c>
      <c r="S1315">
        <v>3.188644</v>
      </c>
      <c r="T1315">
        <v>-0.12300850000000001</v>
      </c>
      <c r="U1315">
        <v>-0.20962520000000001</v>
      </c>
      <c r="V1315">
        <v>-3.162562E-2</v>
      </c>
      <c r="W1315">
        <v>0.30588700000000002</v>
      </c>
      <c r="X1315">
        <v>0.95154240000000001</v>
      </c>
      <c r="Y1315">
        <v>8.1534270000000006E-2</v>
      </c>
      <c r="Z1315">
        <v>-2.5462269999999999E-3</v>
      </c>
      <c r="AA1315">
        <v>0.99666730000000003</v>
      </c>
      <c r="AB1315">
        <v>32</v>
      </c>
      <c r="AC1315">
        <v>28.647600000000001</v>
      </c>
      <c r="AD1315">
        <v>-1.1115431114609999</v>
      </c>
      <c r="AE1315">
        <v>-1.8974</v>
      </c>
      <c r="AF1315">
        <v>2.3538638755658101</v>
      </c>
      <c r="AG1315">
        <v>-1.1115431114609999</v>
      </c>
      <c r="AH1315">
        <v>28.5705954776314</v>
      </c>
      <c r="AI1315">
        <v>92.220461245795093</v>
      </c>
      <c r="AJ1315">
        <v>85.290173175526505</v>
      </c>
      <c r="AK1315">
        <v>28.6889374006739</v>
      </c>
      <c r="AL1315">
        <v>72.188463873184304</v>
      </c>
      <c r="AM1315">
        <v>91.903591245996907</v>
      </c>
      <c r="AN1315">
        <v>0.99999998780357202</v>
      </c>
    </row>
    <row r="1316" spans="1:40" x14ac:dyDescent="0.25">
      <c r="A1316" t="str">
        <f>"20190304164118651"</f>
        <v>20190304164118651</v>
      </c>
      <c r="B1316" t="str">
        <f>"1551688878642236"</f>
        <v>1551688878642236</v>
      </c>
      <c r="C1316" t="s">
        <v>40</v>
      </c>
      <c r="D1316">
        <v>4.3236179999999997</v>
      </c>
      <c r="E1316">
        <v>0.5555968</v>
      </c>
      <c r="F1316" t="s">
        <v>42</v>
      </c>
      <c r="G1316">
        <v>-222.6797</v>
      </c>
      <c r="H1316" s="1">
        <v>-3.9159290000000002E-6</v>
      </c>
      <c r="I1316">
        <v>365.1447</v>
      </c>
      <c r="J1316">
        <v>-250.7337</v>
      </c>
      <c r="K1316">
        <v>1.1115429999999999</v>
      </c>
      <c r="L1316">
        <v>366.99869999999999</v>
      </c>
      <c r="M1316">
        <v>0.99975749999999997</v>
      </c>
      <c r="N1316">
        <v>-1.4397129999999999E-2</v>
      </c>
      <c r="O1316">
        <v>1.6666340000000002E-2</v>
      </c>
      <c r="P1316">
        <v>0.95527079999999998</v>
      </c>
      <c r="Q1316">
        <v>0.29201719999999998</v>
      </c>
      <c r="R1316">
        <v>4.6732599999999999E-2</v>
      </c>
      <c r="S1316">
        <v>3.1891630000000002</v>
      </c>
      <c r="T1316">
        <v>-0.12565570000000001</v>
      </c>
      <c r="U1316">
        <v>-0.20922850000000001</v>
      </c>
      <c r="V1316">
        <v>-3.1548949999999999E-2</v>
      </c>
      <c r="W1316">
        <v>0.30567319999999998</v>
      </c>
      <c r="X1316">
        <v>0.95161370000000001</v>
      </c>
      <c r="Y1316">
        <v>8.1996769999999997E-2</v>
      </c>
      <c r="Z1316">
        <v>-2.6204039999999998E-3</v>
      </c>
      <c r="AA1316">
        <v>0.99662919999999999</v>
      </c>
      <c r="AB1316">
        <v>32</v>
      </c>
      <c r="AC1316">
        <v>28.053999999999998</v>
      </c>
      <c r="AD1316">
        <v>-1.1115469159289999</v>
      </c>
      <c r="AE1316">
        <v>-1.8539999999999801</v>
      </c>
      <c r="AF1316">
        <v>2.3177256564084701</v>
      </c>
      <c r="AG1316">
        <v>-1.1115469159289999</v>
      </c>
      <c r="AH1316">
        <v>27.9754729765402</v>
      </c>
      <c r="AI1316">
        <v>92.267570429542204</v>
      </c>
      <c r="AJ1316">
        <v>85.263947382996605</v>
      </c>
      <c r="AK1316">
        <v>28.0933173019104</v>
      </c>
      <c r="AL1316">
        <v>72.201330887668405</v>
      </c>
      <c r="AM1316">
        <v>91.898837574540195</v>
      </c>
      <c r="AN1316">
        <v>1.0000000377360101</v>
      </c>
    </row>
    <row r="1317" spans="1:40" x14ac:dyDescent="0.25">
      <c r="A1317" t="str">
        <f>"20190304164118664"</f>
        <v>20190304164118664</v>
      </c>
      <c r="B1317" t="str">
        <f>"1551688878652973"</f>
        <v>1551688878652973</v>
      </c>
      <c r="C1317" t="s">
        <v>40</v>
      </c>
      <c r="D1317">
        <v>4.3219940000000001</v>
      </c>
      <c r="E1317">
        <v>0.55571569999999904</v>
      </c>
      <c r="F1317" t="s">
        <v>42</v>
      </c>
      <c r="G1317">
        <v>-222.917</v>
      </c>
      <c r="H1317" s="1">
        <v>-3.8077169999999998E-6</v>
      </c>
      <c r="I1317">
        <v>365.18060000000003</v>
      </c>
      <c r="J1317">
        <v>-250.55539999999999</v>
      </c>
      <c r="K1317">
        <v>1.1115440000000001</v>
      </c>
      <c r="L1317">
        <v>367.00229999999999</v>
      </c>
      <c r="M1317">
        <v>0.99974600000000002</v>
      </c>
      <c r="N1317">
        <v>-1.4395369999999999E-2</v>
      </c>
      <c r="O1317">
        <v>1.7349940000000001E-2</v>
      </c>
      <c r="P1317">
        <v>0.95522899999999999</v>
      </c>
      <c r="Q1317">
        <v>0.29206739999999998</v>
      </c>
      <c r="R1317">
        <v>4.7270670000000001E-2</v>
      </c>
      <c r="S1317">
        <v>3.1896209999999998</v>
      </c>
      <c r="T1317">
        <v>-0.12745619999999999</v>
      </c>
      <c r="U1317">
        <v>-0.2084656</v>
      </c>
      <c r="V1317">
        <v>-3.1434980000000001E-2</v>
      </c>
      <c r="W1317">
        <v>0.3057222</v>
      </c>
      <c r="X1317">
        <v>0.95160169999999999</v>
      </c>
      <c r="Y1317">
        <v>8.2428429999999997E-2</v>
      </c>
      <c r="Z1317">
        <v>-2.681714E-3</v>
      </c>
      <c r="AA1317">
        <v>0.99659339999999996</v>
      </c>
      <c r="AB1317">
        <v>32</v>
      </c>
      <c r="AC1317">
        <v>27.638399999999901</v>
      </c>
      <c r="AD1317">
        <v>-1.111547807717</v>
      </c>
      <c r="AE1317">
        <v>-1.8216999999999599</v>
      </c>
      <c r="AF1317">
        <v>2.2973002457210301</v>
      </c>
      <c r="AG1317">
        <v>-1.111547807717</v>
      </c>
      <c r="AH1317">
        <v>27.5582480667513</v>
      </c>
      <c r="AI1317">
        <v>92.301768683420093</v>
      </c>
      <c r="AJ1317">
        <v>85.234748695931003</v>
      </c>
      <c r="AK1317">
        <v>27.676165981877499</v>
      </c>
      <c r="AL1317">
        <v>72.198381700683498</v>
      </c>
      <c r="AM1317">
        <v>91.892006894380103</v>
      </c>
      <c r="AN1317">
        <v>1.00000000849166</v>
      </c>
    </row>
    <row r="1318" spans="1:40" x14ac:dyDescent="0.25">
      <c r="A1318" t="str">
        <f>"20190304164118678"</f>
        <v>20190304164118678</v>
      </c>
      <c r="B1318" t="str">
        <f>"1551688878672492"</f>
        <v>1551688878672492</v>
      </c>
      <c r="C1318" t="s">
        <v>40</v>
      </c>
      <c r="D1318">
        <v>4.3174440000000001</v>
      </c>
      <c r="E1318">
        <v>0.55595289999999997</v>
      </c>
      <c r="F1318" t="s">
        <v>42</v>
      </c>
      <c r="G1318">
        <v>-222.95079999999999</v>
      </c>
      <c r="H1318" s="1">
        <v>-3.789557E-6</v>
      </c>
      <c r="I1318">
        <v>365.20139999999998</v>
      </c>
      <c r="J1318">
        <v>-250.34870000000001</v>
      </c>
      <c r="K1318">
        <v>1.11155</v>
      </c>
      <c r="L1318">
        <v>367.00670000000002</v>
      </c>
      <c r="M1318">
        <v>0.99973199999999995</v>
      </c>
      <c r="N1318">
        <v>-1.439317E-2</v>
      </c>
      <c r="O1318">
        <v>1.814141E-2</v>
      </c>
      <c r="P1318">
        <v>0.95524350000000002</v>
      </c>
      <c r="Q1318">
        <v>0.29198370000000001</v>
      </c>
      <c r="R1318">
        <v>4.749449E-2</v>
      </c>
      <c r="S1318">
        <v>3.1901860000000002</v>
      </c>
      <c r="T1318">
        <v>-0.12845790000000001</v>
      </c>
      <c r="U1318">
        <v>-0.20812990000000001</v>
      </c>
      <c r="V1318">
        <v>-3.0901330000000001E-2</v>
      </c>
      <c r="W1318">
        <v>0.30563780000000002</v>
      </c>
      <c r="X1318">
        <v>0.95164629999999995</v>
      </c>
      <c r="Y1318">
        <v>8.3099190000000003E-2</v>
      </c>
      <c r="Z1318">
        <v>-2.7383809999999998E-3</v>
      </c>
      <c r="AA1318">
        <v>0.99653749999999997</v>
      </c>
      <c r="AB1318">
        <v>32</v>
      </c>
      <c r="AC1318">
        <v>27.3979</v>
      </c>
      <c r="AD1318">
        <v>-1.111553789557</v>
      </c>
      <c r="AE1318">
        <v>-1.8053000000000401</v>
      </c>
      <c r="AF1318">
        <v>2.2983241272932</v>
      </c>
      <c r="AG1318">
        <v>-1.111553789557</v>
      </c>
      <c r="AH1318">
        <v>27.315868950787799</v>
      </c>
      <c r="AI1318">
        <v>92.322033031184404</v>
      </c>
      <c r="AJ1318">
        <v>85.190530447963994</v>
      </c>
      <c r="AK1318">
        <v>27.4349146555587</v>
      </c>
      <c r="AL1318">
        <v>72.2034607546573</v>
      </c>
      <c r="AM1318">
        <v>91.859823244790604</v>
      </c>
      <c r="AN1318">
        <v>1.00000001864414</v>
      </c>
    </row>
    <row r="1319" spans="1:40" x14ac:dyDescent="0.25">
      <c r="A1319" t="str">
        <f>"20190304164118691"</f>
        <v>20190304164118691</v>
      </c>
      <c r="B1319" t="str">
        <f>"1551688878682252"</f>
        <v>1551688878682252</v>
      </c>
      <c r="C1319" t="s">
        <v>40</v>
      </c>
      <c r="D1319">
        <v>4.3058560000000003</v>
      </c>
      <c r="E1319">
        <v>0.55606699999999998</v>
      </c>
      <c r="F1319" t="s">
        <v>42</v>
      </c>
      <c r="G1319">
        <v>-223.26949999999999</v>
      </c>
      <c r="H1319" s="1">
        <v>-3.6472730000000001E-6</v>
      </c>
      <c r="I1319">
        <v>365.23270000000002</v>
      </c>
      <c r="J1319">
        <v>-250.17269999999999</v>
      </c>
      <c r="K1319">
        <v>1.111551</v>
      </c>
      <c r="L1319">
        <v>367.01060000000001</v>
      </c>
      <c r="M1319">
        <v>0.99971960000000004</v>
      </c>
      <c r="N1319">
        <v>-1.4391320000000001E-2</v>
      </c>
      <c r="O1319">
        <v>1.8814330000000001E-2</v>
      </c>
      <c r="P1319">
        <v>0.95526219999999995</v>
      </c>
      <c r="Q1319">
        <v>0.29189409999999999</v>
      </c>
      <c r="R1319">
        <v>4.7669940000000001E-2</v>
      </c>
      <c r="S1319">
        <v>3.1910099999999999</v>
      </c>
      <c r="T1319">
        <v>-0.13098509999999999</v>
      </c>
      <c r="U1319">
        <v>-0.20904539999999999</v>
      </c>
      <c r="V1319">
        <v>-3.043303E-2</v>
      </c>
      <c r="W1319">
        <v>0.3055484</v>
      </c>
      <c r="X1319">
        <v>0.95169009999999998</v>
      </c>
      <c r="Y1319">
        <v>8.4033099999999999E-2</v>
      </c>
      <c r="Z1319">
        <v>-2.8286729999999999E-3</v>
      </c>
      <c r="AA1319">
        <v>0.99645890000000004</v>
      </c>
      <c r="AB1319">
        <v>32</v>
      </c>
      <c r="AC1319">
        <v>26.903199999999998</v>
      </c>
      <c r="AD1319">
        <v>-1.111554647273</v>
      </c>
      <c r="AE1319">
        <v>-1.7778999999999801</v>
      </c>
      <c r="AF1319">
        <v>2.27992815609224</v>
      </c>
      <c r="AG1319">
        <v>-1.111554647273</v>
      </c>
      <c r="AH1319">
        <v>26.8193997805697</v>
      </c>
      <c r="AI1319">
        <v>92.364798067493595</v>
      </c>
      <c r="AJ1319">
        <v>85.140944943110398</v>
      </c>
      <c r="AK1319">
        <v>26.9390762781658</v>
      </c>
      <c r="AL1319">
        <v>72.208840374488105</v>
      </c>
      <c r="AM1319">
        <v>91.831573309717996</v>
      </c>
      <c r="AN1319">
        <v>1.0000000202477699</v>
      </c>
    </row>
    <row r="1320" spans="1:40" x14ac:dyDescent="0.25">
      <c r="A1320" t="str">
        <f>"20190304164118705"</f>
        <v>20190304164118705</v>
      </c>
      <c r="B1320" t="str">
        <f>"1551688878692012"</f>
        <v>1551688878692012</v>
      </c>
      <c r="C1320" t="s">
        <v>40</v>
      </c>
      <c r="D1320">
        <v>4.3159979999999996</v>
      </c>
      <c r="E1320">
        <v>0.55619249999999998</v>
      </c>
      <c r="F1320" t="s">
        <v>42</v>
      </c>
      <c r="G1320">
        <v>-223.32679999999999</v>
      </c>
      <c r="H1320" s="1">
        <v>-3.6195400000000001E-6</v>
      </c>
      <c r="I1320">
        <v>365.25049999999999</v>
      </c>
      <c r="J1320">
        <v>-249.9717</v>
      </c>
      <c r="K1320">
        <v>1.11155</v>
      </c>
      <c r="L1320">
        <v>367.01510000000002</v>
      </c>
      <c r="M1320">
        <v>0.99970479999999995</v>
      </c>
      <c r="N1320">
        <v>-1.438921E-2</v>
      </c>
      <c r="O1320">
        <v>1.9579429999999998E-2</v>
      </c>
      <c r="P1320">
        <v>0.95530020000000004</v>
      </c>
      <c r="Q1320">
        <v>0.29180889999999998</v>
      </c>
      <c r="R1320">
        <v>4.7427589999999999E-2</v>
      </c>
      <c r="S1320">
        <v>3.1913149999999999</v>
      </c>
      <c r="T1320">
        <v>-0.13213620000000001</v>
      </c>
      <c r="U1320">
        <v>-0.20922850000000001</v>
      </c>
      <c r="V1320">
        <v>-2.9457270000000001E-2</v>
      </c>
      <c r="W1320">
        <v>0.30546440000000002</v>
      </c>
      <c r="X1320">
        <v>0.95174780000000003</v>
      </c>
      <c r="Y1320">
        <v>8.4843569999999993E-2</v>
      </c>
      <c r="Z1320">
        <v>-2.8935190000000002E-3</v>
      </c>
      <c r="AA1320">
        <v>0.99639009999999995</v>
      </c>
      <c r="AB1320">
        <v>31</v>
      </c>
      <c r="AC1320">
        <v>26.6449</v>
      </c>
      <c r="AD1320">
        <v>-1.11155361954</v>
      </c>
      <c r="AE1320">
        <v>-1.7646000000000299</v>
      </c>
      <c r="AF1320">
        <v>2.2820534187939598</v>
      </c>
      <c r="AG1320">
        <v>-1.11155361954</v>
      </c>
      <c r="AH1320">
        <v>26.559217727693401</v>
      </c>
      <c r="AI1320">
        <v>92.387750723076195</v>
      </c>
      <c r="AJ1320">
        <v>85.089024204717802</v>
      </c>
      <c r="AK1320">
        <v>26.680242981696399</v>
      </c>
      <c r="AL1320">
        <v>72.213895470339295</v>
      </c>
      <c r="AM1320">
        <v>91.772779115565598</v>
      </c>
      <c r="AN1320">
        <v>1.00000005261402</v>
      </c>
    </row>
    <row r="1321" spans="1:40" x14ac:dyDescent="0.25">
      <c r="A1321" t="str">
        <f>"20190304164118717"</f>
        <v>20190304164118717</v>
      </c>
      <c r="B1321" t="str">
        <f>"1551688878712509"</f>
        <v>1551688878712509</v>
      </c>
      <c r="C1321" t="s">
        <v>40</v>
      </c>
      <c r="D1321">
        <v>4.3105890000000002</v>
      </c>
      <c r="E1321">
        <v>0.55637519999999996</v>
      </c>
      <c r="F1321" t="s">
        <v>42</v>
      </c>
      <c r="G1321">
        <v>-223.3186</v>
      </c>
      <c r="H1321" s="1">
        <v>-3.6223559999999999E-6</v>
      </c>
      <c r="I1321">
        <v>365.25450000000001</v>
      </c>
      <c r="J1321">
        <v>-249.79859999999999</v>
      </c>
      <c r="K1321">
        <v>1.1115489999999999</v>
      </c>
      <c r="L1321">
        <v>367.01920000000001</v>
      </c>
      <c r="M1321">
        <v>0.99969180000000002</v>
      </c>
      <c r="N1321">
        <v>-1.438736E-2</v>
      </c>
      <c r="O1321">
        <v>2.0232440000000001E-2</v>
      </c>
      <c r="P1321">
        <v>0.95530029999999999</v>
      </c>
      <c r="Q1321">
        <v>0.29173280000000001</v>
      </c>
      <c r="R1321">
        <v>4.7888319999999998E-2</v>
      </c>
      <c r="S1321">
        <v>3.191513</v>
      </c>
      <c r="T1321">
        <v>-0.13309969999999999</v>
      </c>
      <c r="U1321">
        <v>-0.21081539999999999</v>
      </c>
      <c r="V1321">
        <v>-2.9290110000000001E-2</v>
      </c>
      <c r="W1321">
        <v>0.30538759999999998</v>
      </c>
      <c r="X1321">
        <v>0.95177750000000005</v>
      </c>
      <c r="Y1321">
        <v>8.5980680000000004E-2</v>
      </c>
      <c r="Z1321">
        <v>-2.961656E-3</v>
      </c>
      <c r="AA1321">
        <v>0.99629239999999997</v>
      </c>
      <c r="AB1321">
        <v>31</v>
      </c>
      <c r="AC1321">
        <v>26.479999999999901</v>
      </c>
      <c r="AD1321">
        <v>-1.1115526223559999</v>
      </c>
      <c r="AE1321">
        <v>-1.7646999999999999</v>
      </c>
      <c r="AF1321">
        <v>2.2961211095345702</v>
      </c>
      <c r="AG1321">
        <v>-1.1115526223559999</v>
      </c>
      <c r="AH1321">
        <v>26.392570598692</v>
      </c>
      <c r="AI1321">
        <v>92.402586097657206</v>
      </c>
      <c r="AJ1321">
        <v>85.027856949971493</v>
      </c>
      <c r="AK1321">
        <v>26.5155709761049</v>
      </c>
      <c r="AL1321">
        <v>72.218514775186094</v>
      </c>
      <c r="AM1321">
        <v>91.762670590336896</v>
      </c>
      <c r="AN1321">
        <v>0.99999995314191004</v>
      </c>
    </row>
    <row r="1322" spans="1:40" x14ac:dyDescent="0.25">
      <c r="A1322" t="str">
        <f>"20190304164118729"</f>
        <v>20190304164118729</v>
      </c>
      <c r="B1322" t="str">
        <f>"1551688878722269"</f>
        <v>1551688878722269</v>
      </c>
      <c r="C1322" t="s">
        <v>40</v>
      </c>
      <c r="D1322">
        <v>4.3070009999999996</v>
      </c>
      <c r="E1322">
        <v>0.55651289999999998</v>
      </c>
      <c r="F1322" t="s">
        <v>42</v>
      </c>
      <c r="G1322">
        <v>-223.303</v>
      </c>
      <c r="H1322" s="1">
        <v>-3.6262690000000001E-6</v>
      </c>
      <c r="I1322">
        <v>365.27010000000001</v>
      </c>
      <c r="J1322">
        <v>-249.6405</v>
      </c>
      <c r="K1322">
        <v>1.111545</v>
      </c>
      <c r="L1322">
        <v>367.02300000000002</v>
      </c>
      <c r="M1322">
        <v>0.99967969999999895</v>
      </c>
      <c r="N1322">
        <v>-1.438558E-2</v>
      </c>
      <c r="O1322">
        <v>2.0820140000000001E-2</v>
      </c>
      <c r="P1322">
        <v>0.95525800000000005</v>
      </c>
      <c r="Q1322">
        <v>0.29178690000000002</v>
      </c>
      <c r="R1322">
        <v>4.8403700000000001E-2</v>
      </c>
      <c r="S1322">
        <v>3.191818</v>
      </c>
      <c r="T1322">
        <v>-0.13390389999999999</v>
      </c>
      <c r="U1322">
        <v>-0.2106934</v>
      </c>
      <c r="V1322">
        <v>-2.9239210000000002E-2</v>
      </c>
      <c r="W1322">
        <v>0.30544080000000001</v>
      </c>
      <c r="X1322">
        <v>0.95176210000000006</v>
      </c>
      <c r="Y1322">
        <v>8.6520120000000006E-2</v>
      </c>
      <c r="Z1322">
        <v>-3.0086280000000002E-3</v>
      </c>
      <c r="AA1322">
        <v>0.99624559999999995</v>
      </c>
      <c r="AB1322">
        <v>31</v>
      </c>
      <c r="AC1322">
        <v>26.337499999999999</v>
      </c>
      <c r="AD1322">
        <v>-1.111548626269</v>
      </c>
      <c r="AE1322">
        <v>-1.7529000000000099</v>
      </c>
      <c r="AF1322">
        <v>2.2968540950107701</v>
      </c>
      <c r="AG1322">
        <v>-1.111548626269</v>
      </c>
      <c r="AH1322">
        <v>26.248742879719401</v>
      </c>
      <c r="AI1322">
        <v>92.415621200716998</v>
      </c>
      <c r="AJ1322">
        <v>84.999162407756998</v>
      </c>
      <c r="AK1322">
        <v>26.372477734334101</v>
      </c>
      <c r="AL1322">
        <v>72.215315550551395</v>
      </c>
      <c r="AM1322">
        <v>91.759637823467997</v>
      </c>
      <c r="AN1322">
        <v>1.00000005435123</v>
      </c>
    </row>
    <row r="1323" spans="1:40" x14ac:dyDescent="0.25">
      <c r="A1323" t="str">
        <f>"20190304164118739"</f>
        <v>20190304164118739</v>
      </c>
      <c r="B1323" t="str">
        <f>"1551688878732028"</f>
        <v>1551688878732028</v>
      </c>
      <c r="C1323" t="s">
        <v>40</v>
      </c>
      <c r="D1323">
        <v>4.258559</v>
      </c>
      <c r="E1323">
        <v>0.55660189999999998</v>
      </c>
      <c r="F1323" t="s">
        <v>42</v>
      </c>
      <c r="G1323">
        <v>-223.21860000000001</v>
      </c>
      <c r="H1323" s="1">
        <v>-3.6597229999999999E-6</v>
      </c>
      <c r="I1323">
        <v>365.28559999999999</v>
      </c>
      <c r="J1323">
        <v>-249.48519999999999</v>
      </c>
      <c r="K1323">
        <v>1.1115389999999901</v>
      </c>
      <c r="L1323">
        <v>367.02679999999998</v>
      </c>
      <c r="M1323">
        <v>0.99966770000000005</v>
      </c>
      <c r="N1323">
        <v>-1.43838E-2</v>
      </c>
      <c r="O1323">
        <v>2.1392250000000002E-2</v>
      </c>
      <c r="P1323">
        <v>0.95516029999999996</v>
      </c>
      <c r="Q1323">
        <v>0.29201549999999998</v>
      </c>
      <c r="R1323">
        <v>4.8950349999999997E-2</v>
      </c>
      <c r="S1323">
        <v>3.1921689999999998</v>
      </c>
      <c r="T1323">
        <v>-0.13429160000000001</v>
      </c>
      <c r="U1323">
        <v>-0.2098999</v>
      </c>
      <c r="V1323">
        <v>-2.9234710000000001E-2</v>
      </c>
      <c r="W1323">
        <v>0.30566680000000002</v>
      </c>
      <c r="X1323">
        <v>0.95168960000000002</v>
      </c>
      <c r="Y1323">
        <v>8.6835369999999995E-2</v>
      </c>
      <c r="Z1323">
        <v>-3.0407870000000001E-3</v>
      </c>
      <c r="AA1323">
        <v>0.99621800000000005</v>
      </c>
      <c r="AB1323">
        <v>31</v>
      </c>
      <c r="AC1323">
        <v>26.266599999999901</v>
      </c>
      <c r="AD1323">
        <v>-1.11154265972299</v>
      </c>
      <c r="AE1323">
        <v>-1.7411999999999901</v>
      </c>
      <c r="AF1323">
        <v>2.2986628496643999</v>
      </c>
      <c r="AG1323">
        <v>-1.11154265972299</v>
      </c>
      <c r="AH1323">
        <v>26.176664052656101</v>
      </c>
      <c r="AI1323">
        <v>92.422186591714294</v>
      </c>
      <c r="AJ1323">
        <v>84.981533700058307</v>
      </c>
      <c r="AK1323">
        <v>26.300895781445</v>
      </c>
      <c r="AL1323">
        <v>72.201714911642796</v>
      </c>
      <c r="AM1323">
        <v>91.759501125147906</v>
      </c>
      <c r="AN1323">
        <v>0.99999997781959105</v>
      </c>
    </row>
    <row r="1324" spans="1:40" x14ac:dyDescent="0.25">
      <c r="A1324" t="str">
        <f>"20190304164118750"</f>
        <v>20190304164118750</v>
      </c>
      <c r="B1324" t="str">
        <f>"1551688878742764"</f>
        <v>1551688878742764</v>
      </c>
      <c r="C1324" t="s">
        <v>40</v>
      </c>
      <c r="D1324">
        <v>4.2656409999999996</v>
      </c>
      <c r="E1324">
        <v>0.55673589999999995</v>
      </c>
      <c r="F1324" t="s">
        <v>42</v>
      </c>
      <c r="G1324">
        <v>-222.92339999999999</v>
      </c>
      <c r="H1324" s="1">
        <v>-3.785746E-6</v>
      </c>
      <c r="I1324">
        <v>365.28919999999999</v>
      </c>
      <c r="J1324">
        <v>-249.3409</v>
      </c>
      <c r="K1324">
        <v>1.111526</v>
      </c>
      <c r="L1324">
        <v>367.03039999999999</v>
      </c>
      <c r="M1324">
        <v>0.99965669999999995</v>
      </c>
      <c r="N1324">
        <v>-1.438207E-2</v>
      </c>
      <c r="O1324">
        <v>2.1904610000000001E-2</v>
      </c>
      <c r="P1324">
        <v>0.95502719999999997</v>
      </c>
      <c r="Q1324">
        <v>0.29236580000000001</v>
      </c>
      <c r="R1324">
        <v>4.9449380000000001E-2</v>
      </c>
      <c r="S1324">
        <v>3.1923680000000001</v>
      </c>
      <c r="T1324">
        <v>-0.13359190000000001</v>
      </c>
      <c r="U1324">
        <v>-0.20883180000000001</v>
      </c>
      <c r="V1324">
        <v>-2.9235819999999999E-2</v>
      </c>
      <c r="W1324">
        <v>0.30601509999999998</v>
      </c>
      <c r="X1324">
        <v>0.95157769999999997</v>
      </c>
      <c r="Y1324">
        <v>8.7010680000000007E-2</v>
      </c>
      <c r="Z1324">
        <v>-3.0454010000000001E-3</v>
      </c>
      <c r="AA1324">
        <v>0.9962027</v>
      </c>
      <c r="AB1324">
        <v>31</v>
      </c>
      <c r="AC1324">
        <v>26.4175</v>
      </c>
      <c r="AD1324">
        <v>-1.111529785746</v>
      </c>
      <c r="AE1324">
        <v>-1.7411999999999901</v>
      </c>
      <c r="AF1324">
        <v>2.3154255997529201</v>
      </c>
      <c r="AG1324">
        <v>-1.111529785746</v>
      </c>
      <c r="AH1324">
        <v>26.326610285743801</v>
      </c>
      <c r="AI1324">
        <v>92.408350529441293</v>
      </c>
      <c r="AJ1324">
        <v>84.973768718972195</v>
      </c>
      <c r="AK1324">
        <v>26.451599258079298</v>
      </c>
      <c r="AL1324">
        <v>72.180755690756499</v>
      </c>
      <c r="AM1324">
        <v>91.759774673735194</v>
      </c>
      <c r="AN1324">
        <v>1.00000004686818</v>
      </c>
    </row>
    <row r="1325" spans="1:40" x14ac:dyDescent="0.25">
      <c r="A1325" t="str">
        <f>"20190304164118760"</f>
        <v>20190304164118760</v>
      </c>
      <c r="B1325" t="str">
        <f>"1551688878752525"</f>
        <v>1551688878752525</v>
      </c>
      <c r="C1325" t="s">
        <v>40</v>
      </c>
      <c r="D1325">
        <v>4.2765199999999997</v>
      </c>
      <c r="E1325">
        <v>0.55687619999999904</v>
      </c>
      <c r="F1325" t="s">
        <v>42</v>
      </c>
      <c r="G1325">
        <v>-222.67529999999999</v>
      </c>
      <c r="H1325" s="1">
        <v>-3.8918429999999999E-6</v>
      </c>
      <c r="I1325">
        <v>365.291</v>
      </c>
      <c r="J1325">
        <v>-249.1944</v>
      </c>
      <c r="K1325">
        <v>1.1115139999999999</v>
      </c>
      <c r="L1325">
        <v>367.03410000000002</v>
      </c>
      <c r="M1325">
        <v>0.99964529999999996</v>
      </c>
      <c r="N1325">
        <v>-1.438032E-2</v>
      </c>
      <c r="O1325">
        <v>2.242046E-2</v>
      </c>
      <c r="P1325">
        <v>0.95504460000000002</v>
      </c>
      <c r="Q1325">
        <v>0.29220190000000001</v>
      </c>
      <c r="R1325">
        <v>5.008083E-2</v>
      </c>
      <c r="S1325">
        <v>3.19278</v>
      </c>
      <c r="T1325">
        <v>-0.1330875</v>
      </c>
      <c r="U1325">
        <v>-0.20825199999999999</v>
      </c>
      <c r="V1325">
        <v>-2.936041E-2</v>
      </c>
      <c r="W1325">
        <v>0.30585119999999999</v>
      </c>
      <c r="X1325">
        <v>0.95162650000000004</v>
      </c>
      <c r="Y1325">
        <v>8.7336440000000001E-2</v>
      </c>
      <c r="Z1325">
        <v>-3.057901E-3</v>
      </c>
      <c r="AA1325">
        <v>0.99617420000000001</v>
      </c>
      <c r="AB1325">
        <v>31</v>
      </c>
      <c r="AC1325">
        <v>26.519100000000002</v>
      </c>
      <c r="AD1325">
        <v>-1.111517891843</v>
      </c>
      <c r="AE1325">
        <v>-1.7431000000000201</v>
      </c>
      <c r="AF1325">
        <v>2.3332123061194001</v>
      </c>
      <c r="AG1325">
        <v>-1.111517891843</v>
      </c>
      <c r="AH1325">
        <v>26.427120670541999</v>
      </c>
      <c r="AI1325">
        <v>92.399104982612599</v>
      </c>
      <c r="AJ1325">
        <v>84.954520875934804</v>
      </c>
      <c r="AK1325">
        <v>26.553193002437599</v>
      </c>
      <c r="AL1325">
        <v>72.190618409962198</v>
      </c>
      <c r="AM1325">
        <v>91.767178732199795</v>
      </c>
      <c r="AN1325">
        <v>0.99999999285952901</v>
      </c>
    </row>
    <row r="1326" spans="1:40" x14ac:dyDescent="0.25">
      <c r="A1326" t="str">
        <f>"20190304164118773"</f>
        <v>20190304164118773</v>
      </c>
      <c r="B1326" t="str">
        <f>"1551688878762285"</f>
        <v>1551688878762285</v>
      </c>
      <c r="C1326" t="s">
        <v>40</v>
      </c>
      <c r="D1326">
        <v>4.2619300000000004</v>
      </c>
      <c r="E1326">
        <v>0.55700609999999995</v>
      </c>
      <c r="F1326" t="s">
        <v>42</v>
      </c>
      <c r="G1326">
        <v>-222.7055</v>
      </c>
      <c r="H1326" s="1">
        <v>-3.8749090000000004E-6</v>
      </c>
      <c r="I1326">
        <v>365.31349999999998</v>
      </c>
      <c r="J1326">
        <v>-249.0224</v>
      </c>
      <c r="K1326">
        <v>1.111486</v>
      </c>
      <c r="L1326">
        <v>367.03859999999997</v>
      </c>
      <c r="M1326">
        <v>0.99963239999999998</v>
      </c>
      <c r="N1326">
        <v>-1.437811E-2</v>
      </c>
      <c r="O1326">
        <v>2.298826E-2</v>
      </c>
      <c r="P1326">
        <v>0.95484999999999998</v>
      </c>
      <c r="Q1326">
        <v>0.29272239999999999</v>
      </c>
      <c r="R1326">
        <v>5.0748210000000002E-2</v>
      </c>
      <c r="S1326">
        <v>3.1930689999999999</v>
      </c>
      <c r="T1326">
        <v>-0.13398599999999999</v>
      </c>
      <c r="U1326">
        <v>-0.20739750000000001</v>
      </c>
      <c r="V1326">
        <v>-2.9467340000000002E-2</v>
      </c>
      <c r="W1326">
        <v>0.30636910000000001</v>
      </c>
      <c r="X1326">
        <v>0.95145659999999999</v>
      </c>
      <c r="Y1326">
        <v>8.7629009999999993E-2</v>
      </c>
      <c r="Z1326">
        <v>-3.1000569999999998E-3</v>
      </c>
      <c r="AA1326">
        <v>0.99614829999999999</v>
      </c>
      <c r="AB1326">
        <v>31</v>
      </c>
      <c r="AC1326">
        <v>26.3169</v>
      </c>
      <c r="AD1326">
        <v>-1.1114898749090001</v>
      </c>
      <c r="AE1326">
        <v>-1.7250999999999901</v>
      </c>
      <c r="AF1326">
        <v>2.3255557336684598</v>
      </c>
      <c r="AG1326">
        <v>-1.1114898749090001</v>
      </c>
      <c r="AH1326">
        <v>26.2237055719899</v>
      </c>
      <c r="AI1326">
        <v>92.417548481956601</v>
      </c>
      <c r="AJ1326">
        <v>84.932185641172097</v>
      </c>
      <c r="AK1326">
        <v>26.3500731144875</v>
      </c>
      <c r="AL1326">
        <v>72.159448890634195</v>
      </c>
      <c r="AM1326">
        <v>91.773927165319606</v>
      </c>
      <c r="AN1326">
        <v>1.00000000562252</v>
      </c>
    </row>
    <row r="1327" spans="1:40" x14ac:dyDescent="0.25">
      <c r="A1327" t="str">
        <f>"20190304164118784"</f>
        <v>20190304164118784</v>
      </c>
      <c r="B1327" t="str">
        <f>"1551688878772044"</f>
        <v>1551688878772044</v>
      </c>
      <c r="C1327" t="s">
        <v>40</v>
      </c>
      <c r="D1327">
        <v>4.2260970000000002</v>
      </c>
      <c r="E1327">
        <v>0.55707850000000003</v>
      </c>
      <c r="F1327" t="s">
        <v>42</v>
      </c>
      <c r="G1327">
        <v>-222.28030000000001</v>
      </c>
      <c r="H1327" s="1">
        <v>-4.0577769999999999E-6</v>
      </c>
      <c r="I1327">
        <v>365.3107</v>
      </c>
      <c r="J1327">
        <v>-248.863</v>
      </c>
      <c r="K1327">
        <v>1.1114569999999999</v>
      </c>
      <c r="L1327">
        <v>367.0428</v>
      </c>
      <c r="M1327">
        <v>0.99962059999999997</v>
      </c>
      <c r="N1327">
        <v>-1.437603E-2</v>
      </c>
      <c r="O1327">
        <v>2.3500790000000001E-2</v>
      </c>
      <c r="P1327">
        <v>0.95478680000000005</v>
      </c>
      <c r="Q1327">
        <v>0.29283189999999998</v>
      </c>
      <c r="R1327">
        <v>5.1304299999999997E-2</v>
      </c>
      <c r="S1327">
        <v>3.1935120000000001</v>
      </c>
      <c r="T1327">
        <v>-0.1327325</v>
      </c>
      <c r="U1327">
        <v>-0.20632929999999999</v>
      </c>
      <c r="V1327">
        <v>-2.951115E-2</v>
      </c>
      <c r="W1327">
        <v>0.30647859999999899</v>
      </c>
      <c r="X1327">
        <v>0.95142000000000004</v>
      </c>
      <c r="Y1327">
        <v>8.7800600000000006E-2</v>
      </c>
      <c r="Z1327">
        <v>-3.092189E-3</v>
      </c>
      <c r="AA1327">
        <v>0.9961333</v>
      </c>
      <c r="AB1327">
        <v>31</v>
      </c>
      <c r="AC1327">
        <v>26.5826999999999</v>
      </c>
      <c r="AD1327">
        <v>-1.1114610577770001</v>
      </c>
      <c r="AE1327">
        <v>-1.7321</v>
      </c>
      <c r="AF1327">
        <v>2.3523055407112698</v>
      </c>
      <c r="AG1327">
        <v>-1.1114610577770001</v>
      </c>
      <c r="AH1327">
        <v>26.488535511169299</v>
      </c>
      <c r="AI1327">
        <v>92.393318384440505</v>
      </c>
      <c r="AJ1327">
        <v>84.925179979754304</v>
      </c>
      <c r="AK1327">
        <v>26.6159952015004</v>
      </c>
      <c r="AL1327">
        <v>72.152858365247099</v>
      </c>
      <c r="AM1327">
        <v>91.776631126988804</v>
      </c>
      <c r="AN1327">
        <v>1.0000000283161401</v>
      </c>
    </row>
    <row r="1328" spans="1:40" x14ac:dyDescent="0.25">
      <c r="A1328" t="str">
        <f>"20190304164118795"</f>
        <v>20190304164118795</v>
      </c>
      <c r="B1328" t="str">
        <f>"1551688878782780"</f>
        <v>1551688878782780</v>
      </c>
      <c r="C1328" t="s">
        <v>40</v>
      </c>
      <c r="D1328">
        <v>4.2256629999999999</v>
      </c>
      <c r="E1328">
        <v>0.55716019999999999</v>
      </c>
      <c r="F1328" t="s">
        <v>42</v>
      </c>
      <c r="G1328">
        <v>-222.05420000000001</v>
      </c>
      <c r="H1328" s="1">
        <v>-4.1531390000000001E-6</v>
      </c>
      <c r="I1328">
        <v>365.31990000000002</v>
      </c>
      <c r="J1328">
        <v>-248.70689999999999</v>
      </c>
      <c r="K1328">
        <v>1.1114189999999999</v>
      </c>
      <c r="L1328">
        <v>367.04689999999999</v>
      </c>
      <c r="M1328">
        <v>0.99960950000000004</v>
      </c>
      <c r="N1328">
        <v>-1.437389E-2</v>
      </c>
      <c r="O1328">
        <v>2.3967249999999999E-2</v>
      </c>
      <c r="P1328">
        <v>0.95463609999999999</v>
      </c>
      <c r="Q1328">
        <v>0.29326239999999998</v>
      </c>
      <c r="R1328">
        <v>5.1647459999999999E-2</v>
      </c>
      <c r="S1328">
        <v>3.1937099999999998</v>
      </c>
      <c r="T1328">
        <v>-0.13240729999999901</v>
      </c>
      <c r="U1328">
        <v>-0.20523069999999999</v>
      </c>
      <c r="V1328">
        <v>-2.9383490000000002E-2</v>
      </c>
      <c r="W1328">
        <v>0.30690790000000001</v>
      </c>
      <c r="X1328">
        <v>0.95128550000000001</v>
      </c>
      <c r="Y1328">
        <v>8.7920410000000004E-2</v>
      </c>
      <c r="Z1328">
        <v>-3.1011020000000001E-3</v>
      </c>
      <c r="AA1328">
        <v>0.99612270000000003</v>
      </c>
      <c r="AB1328">
        <v>31</v>
      </c>
      <c r="AC1328">
        <v>26.6526999999999</v>
      </c>
      <c r="AD1328">
        <v>-1.111423153139</v>
      </c>
      <c r="AE1328">
        <v>-1.7269999999999699</v>
      </c>
      <c r="AF1328">
        <v>2.3612728029644798</v>
      </c>
      <c r="AG1328">
        <v>-1.111423153139</v>
      </c>
      <c r="AH1328">
        <v>26.557658339514902</v>
      </c>
      <c r="AI1328">
        <v>92.386992697049706</v>
      </c>
      <c r="AJ1328">
        <v>84.919124835503396</v>
      </c>
      <c r="AK1328">
        <v>26.685578261558401</v>
      </c>
      <c r="AL1328">
        <v>72.127014922898795</v>
      </c>
      <c r="AM1328">
        <v>91.769200578177703</v>
      </c>
      <c r="AN1328">
        <v>0.99999997553861897</v>
      </c>
    </row>
    <row r="1329" spans="1:40" x14ac:dyDescent="0.25">
      <c r="A1329" t="str">
        <f>"20190304164118806"</f>
        <v>20190304164118806</v>
      </c>
      <c r="B1329" t="str">
        <f>"1551688878792541"</f>
        <v>1551688878792541</v>
      </c>
      <c r="C1329" t="s">
        <v>40</v>
      </c>
      <c r="D1329">
        <v>4.2054070000000001</v>
      </c>
      <c r="E1329">
        <v>0.55726330000000002</v>
      </c>
      <c r="F1329" t="s">
        <v>42</v>
      </c>
      <c r="G1329">
        <v>-221.6284</v>
      </c>
      <c r="H1329" s="1">
        <v>-4.3380959999999999E-6</v>
      </c>
      <c r="I1329">
        <v>365.30720000000002</v>
      </c>
      <c r="J1329">
        <v>-248.5692</v>
      </c>
      <c r="K1329">
        <v>1.111383</v>
      </c>
      <c r="L1329">
        <v>367.05059999999997</v>
      </c>
      <c r="M1329">
        <v>0.99959989999999999</v>
      </c>
      <c r="N1329">
        <v>-1.4372029999999999E-2</v>
      </c>
      <c r="O1329">
        <v>2.436253E-2</v>
      </c>
      <c r="P1329">
        <v>0.95449519999999999</v>
      </c>
      <c r="Q1329">
        <v>0.29361159999999997</v>
      </c>
      <c r="R1329">
        <v>5.2263759999999999E-2</v>
      </c>
      <c r="S1329">
        <v>3.193924</v>
      </c>
      <c r="T1329">
        <v>-0.13109270000000001</v>
      </c>
      <c r="U1329">
        <v>-0.2052002</v>
      </c>
      <c r="V1329">
        <v>-2.9598639999999999E-2</v>
      </c>
      <c r="W1329">
        <v>0.30725550000000001</v>
      </c>
      <c r="X1329">
        <v>0.95116659999999997</v>
      </c>
      <c r="Y1329">
        <v>8.8302019999999995E-2</v>
      </c>
      <c r="Z1329">
        <v>-3.09407E-3</v>
      </c>
      <c r="AA1329">
        <v>0.99608890000000005</v>
      </c>
      <c r="AB1329">
        <v>31</v>
      </c>
      <c r="AC1329">
        <v>26.940799999999999</v>
      </c>
      <c r="AD1329">
        <v>-1.111387338096</v>
      </c>
      <c r="AE1329">
        <v>-1.7433999999999501</v>
      </c>
      <c r="AF1329">
        <v>2.3952370337401798</v>
      </c>
      <c r="AG1329">
        <v>-1.111387338096</v>
      </c>
      <c r="AH1329">
        <v>26.844829851971799</v>
      </c>
      <c r="AI1329">
        <v>92.361345524224205</v>
      </c>
      <c r="AJ1329">
        <v>84.901270912776795</v>
      </c>
      <c r="AK1329">
        <v>26.974381031719599</v>
      </c>
      <c r="AL1329">
        <v>72.106087513301603</v>
      </c>
      <c r="AM1329">
        <v>91.782369219887599</v>
      </c>
      <c r="AN1329">
        <v>0.99999996136282898</v>
      </c>
    </row>
    <row r="1330" spans="1:40" x14ac:dyDescent="0.25">
      <c r="A1330" t="str">
        <f>"20190304164118817"</f>
        <v>20190304164118817</v>
      </c>
      <c r="B1330" t="str">
        <f>"1551688878812060"</f>
        <v>1551688878812060</v>
      </c>
      <c r="C1330" t="s">
        <v>40</v>
      </c>
      <c r="D1330">
        <v>4.2984159999999996</v>
      </c>
      <c r="E1330">
        <v>0.55742100000000006</v>
      </c>
      <c r="F1330" t="s">
        <v>42</v>
      </c>
      <c r="G1330">
        <v>-221.30799999999999</v>
      </c>
      <c r="H1330" s="1">
        <v>-4.4751879999999996E-6</v>
      </c>
      <c r="I1330">
        <v>365.30919999999998</v>
      </c>
      <c r="J1330">
        <v>-248.39789999999999</v>
      </c>
      <c r="K1330">
        <v>1.111332</v>
      </c>
      <c r="L1330">
        <v>367.05529999999999</v>
      </c>
      <c r="M1330">
        <v>0.99958880000000006</v>
      </c>
      <c r="N1330">
        <v>-1.4369740000000001E-2</v>
      </c>
      <c r="O1330">
        <v>2.4819839999999999E-2</v>
      </c>
      <c r="P1330">
        <v>0.95436770000000004</v>
      </c>
      <c r="Q1330">
        <v>0.293952299999999</v>
      </c>
      <c r="R1330">
        <v>5.2675880000000001E-2</v>
      </c>
      <c r="S1330">
        <v>3.1942900000000001</v>
      </c>
      <c r="T1330">
        <v>-0.1302248</v>
      </c>
      <c r="U1330">
        <v>-0.20404050000000001</v>
      </c>
      <c r="V1330">
        <v>-2.9540790000000001E-2</v>
      </c>
      <c r="W1330">
        <v>0.30759629999999999</v>
      </c>
      <c r="X1330">
        <v>0.95105830000000002</v>
      </c>
      <c r="Y1330">
        <v>8.8391349999999994E-2</v>
      </c>
      <c r="Z1330">
        <v>-3.0896629999999999E-3</v>
      </c>
      <c r="AA1330">
        <v>0.99608110000000005</v>
      </c>
      <c r="AB1330">
        <v>31</v>
      </c>
      <c r="AC1330">
        <v>27.0899</v>
      </c>
      <c r="AD1330">
        <v>-1.1113364751879999</v>
      </c>
      <c r="AE1330">
        <v>-1.74610000000001</v>
      </c>
      <c r="AF1330">
        <v>2.41395250278133</v>
      </c>
      <c r="AG1330">
        <v>-1.1113364751879999</v>
      </c>
      <c r="AH1330">
        <v>26.992970179564299</v>
      </c>
      <c r="AI1330">
        <v>92.348251063365197</v>
      </c>
      <c r="AJ1330">
        <v>84.889693961836599</v>
      </c>
      <c r="AK1330">
        <v>27.1234709165625</v>
      </c>
      <c r="AL1330">
        <v>72.085568373650105</v>
      </c>
      <c r="AM1330">
        <v>91.779090289686906</v>
      </c>
      <c r="AN1330">
        <v>1.0000000160232001</v>
      </c>
    </row>
    <row r="1331" spans="1:40" x14ac:dyDescent="0.25">
      <c r="A1331" t="str">
        <f>"20190304164118833"</f>
        <v>20190304164118833</v>
      </c>
      <c r="B1331" t="str">
        <f>"1551688878822796"</f>
        <v>1551688878822796</v>
      </c>
      <c r="C1331" t="s">
        <v>40</v>
      </c>
      <c r="D1331">
        <v>4.4130799999999999</v>
      </c>
      <c r="E1331">
        <v>0.55742100000000006</v>
      </c>
      <c r="F1331" t="s">
        <v>42</v>
      </c>
      <c r="G1331">
        <v>-221.15350000000001</v>
      </c>
      <c r="H1331" s="1">
        <v>-4.5404260000000001E-6</v>
      </c>
      <c r="I1331">
        <v>365.315</v>
      </c>
      <c r="J1331">
        <v>-248.197</v>
      </c>
      <c r="K1331">
        <v>1.1112679999999999</v>
      </c>
      <c r="L1331">
        <v>367.06079999999997</v>
      </c>
      <c r="M1331">
        <v>0.99957660000000004</v>
      </c>
      <c r="N1331">
        <v>-1.4367130000000001E-2</v>
      </c>
      <c r="O1331">
        <v>2.5304440000000001E-2</v>
      </c>
      <c r="P1331">
        <v>0.95422050000000003</v>
      </c>
      <c r="Q1331">
        <v>0.29436519999999999</v>
      </c>
      <c r="R1331">
        <v>5.3032860000000001E-2</v>
      </c>
      <c r="S1331">
        <v>3.1948699999999999</v>
      </c>
      <c r="T1331">
        <v>-0.13032270000000001</v>
      </c>
      <c r="U1331">
        <v>-0.204071</v>
      </c>
      <c r="V1331">
        <v>-2.939336E-2</v>
      </c>
      <c r="W1331">
        <v>0.30800909999999998</v>
      </c>
      <c r="X1331">
        <v>0.95092920000000003</v>
      </c>
      <c r="Y1331">
        <v>8.8871420000000007E-2</v>
      </c>
      <c r="Z1331">
        <v>-3.117234E-3</v>
      </c>
      <c r="AA1331">
        <v>0.99603830000000004</v>
      </c>
      <c r="AB1331">
        <v>31</v>
      </c>
      <c r="AC1331">
        <v>27.043499999999899</v>
      </c>
      <c r="AD1331">
        <v>-1.111272540426</v>
      </c>
      <c r="AE1331">
        <v>-1.74579999999997</v>
      </c>
      <c r="AF1331">
        <v>2.4255534038454898</v>
      </c>
      <c r="AG1331">
        <v>-1.111272540426</v>
      </c>
      <c r="AH1331">
        <v>26.945347707608001</v>
      </c>
      <c r="AI1331">
        <v>92.352138369997206</v>
      </c>
      <c r="AJ1331">
        <v>84.856239628881795</v>
      </c>
      <c r="AK1331">
        <v>27.077112088587</v>
      </c>
      <c r="AL1331">
        <v>72.060708746140605</v>
      </c>
      <c r="AM1331">
        <v>91.770457175469701</v>
      </c>
      <c r="AN1331">
        <v>0.99999995935376895</v>
      </c>
    </row>
    <row r="1332" spans="1:40" x14ac:dyDescent="0.25">
      <c r="A1332" t="str">
        <f>"20190304164118847"</f>
        <v>20190304164118847</v>
      </c>
      <c r="B1332" t="str">
        <f>"1551688878832556"</f>
        <v>1551688878832556</v>
      </c>
      <c r="C1332" t="s">
        <v>40</v>
      </c>
      <c r="D1332">
        <v>4.2977530000000002</v>
      </c>
      <c r="E1332">
        <v>0.53460379999999996</v>
      </c>
      <c r="F1332" t="s">
        <v>42</v>
      </c>
      <c r="G1332">
        <v>-220.66030000000001</v>
      </c>
      <c r="H1332" s="1">
        <v>-4.7527939999999999E-6</v>
      </c>
      <c r="I1332">
        <v>365.31060000000002</v>
      </c>
      <c r="J1332">
        <v>-248.006</v>
      </c>
      <c r="K1332">
        <v>1.111202</v>
      </c>
      <c r="L1332">
        <v>367.06610000000001</v>
      </c>
      <c r="M1332">
        <v>0.99956590000000001</v>
      </c>
      <c r="N1332">
        <v>-1.436467E-2</v>
      </c>
      <c r="O1332">
        <v>2.5721859999999999E-2</v>
      </c>
      <c r="P1332">
        <v>0.95418930000000002</v>
      </c>
      <c r="Q1332">
        <v>0.29444320000000002</v>
      </c>
      <c r="R1332">
        <v>5.316071E-2</v>
      </c>
      <c r="S1332">
        <v>3.1949920000000001</v>
      </c>
      <c r="T1332">
        <v>-0.1289371</v>
      </c>
      <c r="U1332">
        <v>-0.20306399999999999</v>
      </c>
      <c r="V1332">
        <v>-2.9077869999999999E-2</v>
      </c>
      <c r="W1332">
        <v>0.30808990000000003</v>
      </c>
      <c r="X1332">
        <v>0.9509128</v>
      </c>
      <c r="Y1332">
        <v>8.8974120000000004E-2</v>
      </c>
      <c r="Z1332">
        <v>-3.1005529999999998E-3</v>
      </c>
      <c r="AA1332">
        <v>0.9960291</v>
      </c>
      <c r="AB1332">
        <v>31</v>
      </c>
      <c r="AC1332">
        <v>27.345699999999901</v>
      </c>
      <c r="AD1332">
        <v>-1.1112067527939999</v>
      </c>
      <c r="AE1332">
        <v>-1.7554999999999801</v>
      </c>
      <c r="AF1332">
        <v>2.45433783774785</v>
      </c>
      <c r="AG1332">
        <v>-1.1112067527939999</v>
      </c>
      <c r="AH1332">
        <v>27.246684788539199</v>
      </c>
      <c r="AI1332">
        <v>92.326003233434804</v>
      </c>
      <c r="AJ1332">
        <v>84.852779437844802</v>
      </c>
      <c r="AK1332">
        <v>27.379561476314201</v>
      </c>
      <c r="AL1332">
        <v>72.055843939595803</v>
      </c>
      <c r="AM1332">
        <v>91.751496280209906</v>
      </c>
      <c r="AN1332">
        <v>1.0000000311047901</v>
      </c>
    </row>
    <row r="1333" spans="1:40" x14ac:dyDescent="0.25">
      <c r="A1333" t="str">
        <f>"20190304164118858"</f>
        <v>20190304164118858</v>
      </c>
      <c r="B1333" t="str">
        <f>"1551688878852076"</f>
        <v>1551688878852076</v>
      </c>
      <c r="C1333" t="s">
        <v>40</v>
      </c>
      <c r="D1333">
        <v>4.8636589999999904</v>
      </c>
      <c r="E1333">
        <v>0.52895349999999997</v>
      </c>
      <c r="F1333" t="s">
        <v>42</v>
      </c>
      <c r="G1333">
        <v>-229.05080000000001</v>
      </c>
      <c r="H1333" s="1">
        <v>-1.0110219999999999E-6</v>
      </c>
      <c r="I1333">
        <v>366.97829999999999</v>
      </c>
      <c r="J1333">
        <v>-247.8287</v>
      </c>
      <c r="K1333">
        <v>1.111137</v>
      </c>
      <c r="L1333">
        <v>367.07100000000003</v>
      </c>
      <c r="M1333">
        <v>0.99955729999999998</v>
      </c>
      <c r="N1333">
        <v>-1.4362339999999999E-2</v>
      </c>
      <c r="O1333">
        <v>2.605787E-2</v>
      </c>
      <c r="P1333">
        <v>0.95416840000000003</v>
      </c>
      <c r="Q1333">
        <v>0.29446470000000002</v>
      </c>
      <c r="R1333">
        <v>5.3416030000000003E-2</v>
      </c>
      <c r="S1333">
        <v>3.2027739999999998</v>
      </c>
      <c r="T1333">
        <v>-0.187754</v>
      </c>
      <c r="U1333">
        <v>-1.4831540000000001E-2</v>
      </c>
      <c r="V1333">
        <v>-2.8968359999999999E-2</v>
      </c>
      <c r="W1333">
        <v>0.30811300000000003</v>
      </c>
      <c r="X1333">
        <v>0.95090859999999999</v>
      </c>
      <c r="Y1333">
        <v>3.059858E-2</v>
      </c>
      <c r="Z1333">
        <v>-2.2681810000000002E-3</v>
      </c>
      <c r="AA1333">
        <v>0.99952920000000001</v>
      </c>
      <c r="AB1333">
        <v>31</v>
      </c>
      <c r="AC1333">
        <v>18.777899999999899</v>
      </c>
      <c r="AD1333">
        <v>-1.1111380110219999</v>
      </c>
      <c r="AE1333">
        <v>-9.2699999999979299E-2</v>
      </c>
      <c r="AF1333">
        <v>0.58000028217236299</v>
      </c>
      <c r="AG1333">
        <v>-1.1111380110219999</v>
      </c>
      <c r="AH1333">
        <v>18.7036192808322</v>
      </c>
      <c r="AI1333">
        <v>93.398181920002003</v>
      </c>
      <c r="AJ1333">
        <v>88.223823857761602</v>
      </c>
      <c r="AK1333">
        <v>18.745570202295099</v>
      </c>
      <c r="AL1333">
        <v>72.054451709000105</v>
      </c>
      <c r="AM1333">
        <v>91.744911767762503</v>
      </c>
      <c r="AN1333">
        <v>0.99999997610202396</v>
      </c>
    </row>
    <row r="1334" spans="1:40" x14ac:dyDescent="0.25">
      <c r="A1334" t="str">
        <f>"20190304164118872"</f>
        <v>20190304164118872</v>
      </c>
      <c r="B1334" t="str">
        <f>"1551688878862812"</f>
        <v>1551688878862812</v>
      </c>
      <c r="C1334" t="s">
        <v>40</v>
      </c>
      <c r="D1334">
        <v>4.3045580000000001</v>
      </c>
      <c r="E1334">
        <v>0.52796239999999905</v>
      </c>
      <c r="F1334" t="s">
        <v>42</v>
      </c>
      <c r="G1334">
        <v>-229.77699999999999</v>
      </c>
      <c r="H1334" s="1">
        <v>-6.9179260000000004E-7</v>
      </c>
      <c r="I1334">
        <v>367.24930000000001</v>
      </c>
      <c r="J1334">
        <v>-247.6404</v>
      </c>
      <c r="K1334">
        <v>1.111062</v>
      </c>
      <c r="L1334">
        <v>367.07619999999997</v>
      </c>
      <c r="M1334">
        <v>0.99954960000000004</v>
      </c>
      <c r="N1334">
        <v>-1.435987E-2</v>
      </c>
      <c r="O1334">
        <v>2.6354809999999999E-2</v>
      </c>
      <c r="P1334">
        <v>0.954677</v>
      </c>
      <c r="Q1334">
        <v>0.29291279999999997</v>
      </c>
      <c r="R1334">
        <v>5.2859589999999998E-2</v>
      </c>
      <c r="S1334">
        <v>3.2031860000000001</v>
      </c>
      <c r="T1334">
        <v>-0.1971648</v>
      </c>
      <c r="U1334">
        <v>3.1646729999999998E-2</v>
      </c>
      <c r="V1334">
        <v>-2.806438E-2</v>
      </c>
      <c r="W1334">
        <v>0.30657200000000001</v>
      </c>
      <c r="X1334">
        <v>0.95143370000000005</v>
      </c>
      <c r="Y1334">
        <v>1.641277E-2</v>
      </c>
      <c r="Z1334">
        <v>-1.864835E-3</v>
      </c>
      <c r="AA1334">
        <v>0.99986359999999996</v>
      </c>
      <c r="AB1334">
        <v>31</v>
      </c>
      <c r="AC1334">
        <v>17.863399999999899</v>
      </c>
      <c r="AD1334">
        <v>-1.1110626917926001</v>
      </c>
      <c r="AE1334">
        <v>0.17310000000003301</v>
      </c>
      <c r="AF1334">
        <v>0.29664766448084401</v>
      </c>
      <c r="AG1334">
        <v>-1.1110626917926001</v>
      </c>
      <c r="AH1334">
        <v>17.792929904465399</v>
      </c>
      <c r="AI1334">
        <v>93.5726462072804</v>
      </c>
      <c r="AJ1334">
        <v>89.044840578977301</v>
      </c>
      <c r="AK1334">
        <v>17.8300536938943</v>
      </c>
      <c r="AL1334">
        <v>72.147236579820401</v>
      </c>
      <c r="AM1334">
        <v>91.6895601063501</v>
      </c>
      <c r="AN1334">
        <v>1.00000004305223</v>
      </c>
    </row>
    <row r="1335" spans="1:40" x14ac:dyDescent="0.25">
      <c r="A1335" t="str">
        <f>"20190304164118889"</f>
        <v>20190304164118889</v>
      </c>
      <c r="B1335" t="str">
        <f>"1551688878872572"</f>
        <v>1551688878872572</v>
      </c>
      <c r="C1335" t="s">
        <v>40</v>
      </c>
      <c r="D1335">
        <v>4.2688259999999998</v>
      </c>
      <c r="E1335">
        <v>0.52739029999999998</v>
      </c>
      <c r="F1335" t="s">
        <v>42</v>
      </c>
      <c r="G1335">
        <v>-230.30950000000001</v>
      </c>
      <c r="H1335" s="1">
        <v>-4.5530950000000002E-6</v>
      </c>
      <c r="I1335">
        <v>367.28469999999999</v>
      </c>
      <c r="J1335">
        <v>-247.41849999999999</v>
      </c>
      <c r="K1335">
        <v>1.1109770000000001</v>
      </c>
      <c r="L1335">
        <v>367.08240000000001</v>
      </c>
      <c r="M1335">
        <v>0.99954209999999999</v>
      </c>
      <c r="N1335">
        <v>-1.435699E-2</v>
      </c>
      <c r="O1335">
        <v>2.6640939999999998E-2</v>
      </c>
      <c r="P1335">
        <v>0.95504800000000001</v>
      </c>
      <c r="Q1335">
        <v>0.291699599999999</v>
      </c>
      <c r="R1335">
        <v>5.2868640000000001E-2</v>
      </c>
      <c r="S1335">
        <v>3.2033390000000002</v>
      </c>
      <c r="T1335">
        <v>-0.2053623</v>
      </c>
      <c r="U1335">
        <v>3.8543699999999903E-2</v>
      </c>
      <c r="V1335">
        <v>-2.7728579999999999E-2</v>
      </c>
      <c r="W1335">
        <v>0.30536770000000002</v>
      </c>
      <c r="X1335">
        <v>0.95183070000000003</v>
      </c>
      <c r="Y1335">
        <v>1.454507E-2</v>
      </c>
      <c r="Z1335">
        <v>-1.8939429999999999E-3</v>
      </c>
      <c r="AA1335">
        <v>0.99989240000000001</v>
      </c>
      <c r="AB1335">
        <v>31</v>
      </c>
      <c r="AC1335">
        <v>17.108999999999899</v>
      </c>
      <c r="AD1335">
        <v>-1.110981553095</v>
      </c>
      <c r="AE1335">
        <v>0.202299999999979</v>
      </c>
      <c r="AF1335">
        <v>0.25255380623651402</v>
      </c>
      <c r="AG1335">
        <v>-1.110981553095</v>
      </c>
      <c r="AH1335">
        <v>17.036489862396799</v>
      </c>
      <c r="AI1335">
        <v>93.730673885675401</v>
      </c>
      <c r="AJ1335">
        <v>89.150693161491503</v>
      </c>
      <c r="AK1335">
        <v>17.074543925619501</v>
      </c>
      <c r="AL1335">
        <v>72.219712907703993</v>
      </c>
      <c r="AM1335">
        <v>91.668659564893403</v>
      </c>
      <c r="AN1335">
        <v>0.99999999390729799</v>
      </c>
    </row>
    <row r="1336" spans="1:40" x14ac:dyDescent="0.25">
      <c r="A1336" t="str">
        <f>"20190304164118901"</f>
        <v>20190304164118901</v>
      </c>
      <c r="B1336" t="str">
        <f>"1551688878892092"</f>
        <v>1551688878892092</v>
      </c>
      <c r="C1336" t="s">
        <v>40</v>
      </c>
      <c r="D1336">
        <v>4.2899479999999999</v>
      </c>
      <c r="E1336">
        <v>0.52660759999999995</v>
      </c>
      <c r="F1336" t="s">
        <v>42</v>
      </c>
      <c r="G1336">
        <v>-230.57409999999999</v>
      </c>
      <c r="H1336" s="1">
        <v>-4.4353199999999901E-6</v>
      </c>
      <c r="I1336">
        <v>367.30900000000003</v>
      </c>
      <c r="J1336">
        <v>-247.2295</v>
      </c>
      <c r="K1336">
        <v>1.1109009999999999</v>
      </c>
      <c r="L1336">
        <v>367.08769999999998</v>
      </c>
      <c r="M1336">
        <v>0.99953709999999996</v>
      </c>
      <c r="N1336">
        <v>-1.4354550000000001E-2</v>
      </c>
      <c r="O1336">
        <v>2.6830550000000002E-2</v>
      </c>
      <c r="P1336">
        <v>0.95543540000000005</v>
      </c>
      <c r="Q1336">
        <v>0.29050189999999998</v>
      </c>
      <c r="R1336">
        <v>5.2463719999999998E-2</v>
      </c>
      <c r="S1336">
        <v>3.2033390000000002</v>
      </c>
      <c r="T1336">
        <v>-0.21127609999999999</v>
      </c>
      <c r="U1336">
        <v>4.3090820000000002E-2</v>
      </c>
      <c r="V1336">
        <v>-2.7077210000000001E-2</v>
      </c>
      <c r="W1336">
        <v>0.30417820000000001</v>
      </c>
      <c r="X1336">
        <v>0.95223020000000003</v>
      </c>
      <c r="Y1336">
        <v>1.331421E-2</v>
      </c>
      <c r="Z1336">
        <v>-1.9167679999999999E-3</v>
      </c>
      <c r="AA1336">
        <v>0.99990950000000001</v>
      </c>
      <c r="AB1336">
        <v>31</v>
      </c>
      <c r="AC1336">
        <v>16.6554</v>
      </c>
      <c r="AD1336">
        <v>-1.1109054353200001</v>
      </c>
      <c r="AE1336">
        <v>0.22130000000004199</v>
      </c>
      <c r="AF1336">
        <v>0.22469972704062899</v>
      </c>
      <c r="AG1336">
        <v>-1.1109054353200001</v>
      </c>
      <c r="AH1336">
        <v>16.5815856315843</v>
      </c>
      <c r="AI1336">
        <v>93.832528517319304</v>
      </c>
      <c r="AJ1336">
        <v>89.223623220701</v>
      </c>
      <c r="AK1336">
        <v>16.620276258568001</v>
      </c>
      <c r="AL1336">
        <v>72.291269853947</v>
      </c>
      <c r="AM1336">
        <v>91.628799327635903</v>
      </c>
      <c r="AN1336">
        <v>0.99999995322433</v>
      </c>
    </row>
    <row r="1337" spans="1:40" x14ac:dyDescent="0.25">
      <c r="A1337" t="str">
        <f>"20190304164118913"</f>
        <v>20190304164118913</v>
      </c>
      <c r="B1337" t="str">
        <f>"1551688878902829"</f>
        <v>1551688878902829</v>
      </c>
      <c r="C1337" t="s">
        <v>40</v>
      </c>
      <c r="D1337">
        <v>4.270562</v>
      </c>
      <c r="E1337">
        <v>0.52633260000000004</v>
      </c>
      <c r="F1337" t="s">
        <v>42</v>
      </c>
      <c r="G1337">
        <v>-231.1618</v>
      </c>
      <c r="H1337" s="1">
        <v>-4.17918E-6</v>
      </c>
      <c r="I1337">
        <v>367.33150000000001</v>
      </c>
      <c r="J1337">
        <v>-247.0753</v>
      </c>
      <c r="K1337">
        <v>1.11084</v>
      </c>
      <c r="L1337">
        <v>367.09199999999998</v>
      </c>
      <c r="M1337">
        <v>0.99953449999999999</v>
      </c>
      <c r="N1337">
        <v>-1.435267E-2</v>
      </c>
      <c r="O1337">
        <v>2.692406E-2</v>
      </c>
      <c r="P1337">
        <v>0.95571759999999994</v>
      </c>
      <c r="Q1337">
        <v>0.28954089999999999</v>
      </c>
      <c r="R1337">
        <v>5.2633119999999999E-2</v>
      </c>
      <c r="S1337">
        <v>3.2046199999999998</v>
      </c>
      <c r="T1337">
        <v>-0.22156290000000001</v>
      </c>
      <c r="U1337">
        <v>4.8645019999999997E-2</v>
      </c>
      <c r="V1337">
        <v>-2.7104929999999999E-2</v>
      </c>
      <c r="W1337">
        <v>0.30322329999999997</v>
      </c>
      <c r="X1337">
        <v>0.95253399999999999</v>
      </c>
      <c r="Y1337">
        <v>1.167733E-2</v>
      </c>
      <c r="Z1337">
        <v>-1.9598839999999998E-3</v>
      </c>
      <c r="AA1337">
        <v>0.99992990000000004</v>
      </c>
      <c r="AB1337">
        <v>31</v>
      </c>
      <c r="AC1337">
        <v>15.913500000000001</v>
      </c>
      <c r="AD1337">
        <v>-1.1108441791799999</v>
      </c>
      <c r="AE1337">
        <v>0.23950000000002</v>
      </c>
      <c r="AF1337">
        <v>0.18817028085460399</v>
      </c>
      <c r="AG1337">
        <v>-1.1108441791799999</v>
      </c>
      <c r="AH1337">
        <v>15.8370263284425</v>
      </c>
      <c r="AI1337">
        <v>94.011999451909503</v>
      </c>
      <c r="AJ1337">
        <v>89.319262632220799</v>
      </c>
      <c r="AK1337">
        <v>15.877052175161401</v>
      </c>
      <c r="AL1337">
        <v>72.348695354777306</v>
      </c>
      <c r="AM1337">
        <v>91.629946155486806</v>
      </c>
      <c r="AN1337">
        <v>1.00000003402459</v>
      </c>
    </row>
    <row r="1338" spans="1:40" x14ac:dyDescent="0.25">
      <c r="A1338" t="str">
        <f>"20190304164118925"</f>
        <v>20190304164118925</v>
      </c>
      <c r="B1338" t="str">
        <f>"1551688878912588"</f>
        <v>1551688878912588</v>
      </c>
      <c r="C1338" t="s">
        <v>40</v>
      </c>
      <c r="D1338">
        <v>4.8130980000000001</v>
      </c>
      <c r="E1338">
        <v>0.52638050000000003</v>
      </c>
      <c r="F1338" t="s">
        <v>42</v>
      </c>
      <c r="G1338">
        <v>-231.38589999999999</v>
      </c>
      <c r="H1338" s="1">
        <v>-4.0809549999999998E-6</v>
      </c>
      <c r="I1338">
        <v>367.34320000000002</v>
      </c>
      <c r="J1338">
        <v>-246.90969999999999</v>
      </c>
      <c r="K1338">
        <v>1.1107750000000001</v>
      </c>
      <c r="L1338">
        <v>367.09660000000002</v>
      </c>
      <c r="M1338">
        <v>0.99953230000000004</v>
      </c>
      <c r="N1338">
        <v>-1.4350659999999999E-2</v>
      </c>
      <c r="O1338">
        <v>2.700309E-2</v>
      </c>
      <c r="P1338">
        <v>0.95599559999999995</v>
      </c>
      <c r="Q1338">
        <v>0.28859559999999901</v>
      </c>
      <c r="R1338">
        <v>5.2773849999999997E-2</v>
      </c>
      <c r="S1338">
        <v>3.2049099999999999</v>
      </c>
      <c r="T1338">
        <v>-0.22691359999999999</v>
      </c>
      <c r="U1338">
        <v>5.1330569999999999E-2</v>
      </c>
      <c r="V1338">
        <v>-2.7113870000000002E-2</v>
      </c>
      <c r="W1338">
        <v>0.30228480000000002</v>
      </c>
      <c r="X1338">
        <v>0.95283200000000001</v>
      </c>
      <c r="Y1338">
        <v>1.0918270000000001E-2</v>
      </c>
      <c r="Z1338">
        <v>-1.9863799999999998E-3</v>
      </c>
      <c r="AA1338">
        <v>0.99993840000000001</v>
      </c>
      <c r="AB1338">
        <v>31</v>
      </c>
      <c r="AC1338">
        <v>15.5237999999999</v>
      </c>
      <c r="AD1338">
        <v>-1.110779080955</v>
      </c>
      <c r="AE1338">
        <v>0.24660000000000001</v>
      </c>
      <c r="AF1338">
        <v>0.171844097825191</v>
      </c>
      <c r="AG1338">
        <v>-1.110779080955</v>
      </c>
      <c r="AH1338">
        <v>15.4457374435648</v>
      </c>
      <c r="AI1338">
        <v>94.113086811450501</v>
      </c>
      <c r="AJ1338">
        <v>89.362572660525899</v>
      </c>
      <c r="AK1338">
        <v>15.486580182086101</v>
      </c>
      <c r="AL1338">
        <v>72.405115436264296</v>
      </c>
      <c r="AM1338">
        <v>91.629973807693702</v>
      </c>
      <c r="AN1338">
        <v>1.0000000412407</v>
      </c>
    </row>
    <row r="1339" spans="1:40" x14ac:dyDescent="0.25">
      <c r="A1339" t="str">
        <f>"20190304164118936"</f>
        <v>20190304164118936</v>
      </c>
      <c r="B1339" t="str">
        <f>"1551688878922348"</f>
        <v>1551688878922348</v>
      </c>
      <c r="C1339" t="s">
        <v>40</v>
      </c>
      <c r="D1339">
        <v>4.2367319999999999</v>
      </c>
      <c r="E1339">
        <v>0.52609309999999998</v>
      </c>
      <c r="F1339" t="s">
        <v>41</v>
      </c>
      <c r="G1339">
        <v>-245.94229999999999</v>
      </c>
      <c r="H1339">
        <v>1.041458</v>
      </c>
      <c r="I1339">
        <v>367.11180000000002</v>
      </c>
      <c r="J1339">
        <v>-246.74879999999999</v>
      </c>
      <c r="K1339">
        <v>1.110708</v>
      </c>
      <c r="L1339">
        <v>367.101</v>
      </c>
      <c r="M1339">
        <v>0.99953190000000003</v>
      </c>
      <c r="N1339">
        <v>-1.4348730000000001E-2</v>
      </c>
      <c r="O1339">
        <v>2.7020450000000001E-2</v>
      </c>
      <c r="P1339">
        <v>0.95601919999999996</v>
      </c>
      <c r="Q1339">
        <v>0.28848030000000002</v>
      </c>
      <c r="R1339">
        <v>5.2975429999999997E-2</v>
      </c>
      <c r="S1339">
        <v>3.204666</v>
      </c>
      <c r="T1339">
        <v>-0.22979930000000001</v>
      </c>
      <c r="U1339">
        <v>5.0628659999999999E-2</v>
      </c>
      <c r="V1339">
        <v>-2.7248459999999999E-2</v>
      </c>
      <c r="W1339">
        <v>0.30217250000000001</v>
      </c>
      <c r="X1339">
        <v>0.95286380000000004</v>
      </c>
      <c r="Y1339">
        <v>1.1150459999999999E-2</v>
      </c>
      <c r="Z1339">
        <v>-2.0267060000000001E-3</v>
      </c>
      <c r="AA1339">
        <v>0.99993580000000004</v>
      </c>
      <c r="AB1339">
        <v>31</v>
      </c>
      <c r="AC1339">
        <v>0.806499999999999</v>
      </c>
      <c r="AD1339">
        <v>-6.9250000000000006E-2</v>
      </c>
      <c r="AE1339">
        <v>1.08000000000174E-2</v>
      </c>
      <c r="AF1339">
        <v>1.0917701302748901E-2</v>
      </c>
      <c r="AG1339">
        <v>-6.9250000000000006E-2</v>
      </c>
      <c r="AH1339">
        <v>0.80059576987345804</v>
      </c>
      <c r="AI1339">
        <v>94.943212924134002</v>
      </c>
      <c r="AJ1339">
        <v>89.218707545040303</v>
      </c>
      <c r="AK1339">
        <v>0.80365934663949001</v>
      </c>
      <c r="AL1339">
        <v>72.411865749296197</v>
      </c>
      <c r="AM1339">
        <v>91.638005767667707</v>
      </c>
      <c r="AN1339">
        <v>1.00000005983952</v>
      </c>
    </row>
    <row r="1340" spans="1:40" x14ac:dyDescent="0.25">
      <c r="A1340" t="str">
        <f>"20190304164118947"</f>
        <v>20190304164118947</v>
      </c>
      <c r="B1340" t="str">
        <f>"1551688878942844"</f>
        <v>1551688878942844</v>
      </c>
      <c r="C1340" t="s">
        <v>40</v>
      </c>
      <c r="D1340">
        <v>4.2889660000000003</v>
      </c>
      <c r="E1340">
        <v>0.52581909999999998</v>
      </c>
      <c r="F1340" t="s">
        <v>42</v>
      </c>
      <c r="G1340">
        <v>-231.3605</v>
      </c>
      <c r="H1340" s="1">
        <v>-4.0894540000000004E-6</v>
      </c>
      <c r="I1340">
        <v>367.3569</v>
      </c>
      <c r="J1340">
        <v>-246.59610000000001</v>
      </c>
      <c r="K1340">
        <v>1.110644</v>
      </c>
      <c r="L1340">
        <v>367.10509999999999</v>
      </c>
      <c r="M1340">
        <v>0.99953259999999999</v>
      </c>
      <c r="N1340">
        <v>-1.4346950000000001E-2</v>
      </c>
      <c r="O1340">
        <v>2.6996860000000001E-2</v>
      </c>
      <c r="P1340">
        <v>0.95594129999999999</v>
      </c>
      <c r="Q1340">
        <v>0.28863240000000001</v>
      </c>
      <c r="R1340">
        <v>5.3550790000000001E-2</v>
      </c>
      <c r="S1340">
        <v>3.204834</v>
      </c>
      <c r="T1340">
        <v>-0.2313192</v>
      </c>
      <c r="U1340">
        <v>5.3314210000000001E-2</v>
      </c>
      <c r="V1340">
        <v>-2.7799089999999999E-2</v>
      </c>
      <c r="W1340">
        <v>0.30232609999999999</v>
      </c>
      <c r="X1340">
        <v>0.95279910000000001</v>
      </c>
      <c r="Y1340">
        <v>1.029156E-2</v>
      </c>
      <c r="Z1340">
        <v>-2.003519E-3</v>
      </c>
      <c r="AA1340">
        <v>0.99994499999999997</v>
      </c>
      <c r="AB1340">
        <v>31</v>
      </c>
      <c r="AC1340">
        <v>15.2356</v>
      </c>
      <c r="AD1340">
        <v>-1.1106480894540001</v>
      </c>
      <c r="AE1340">
        <v>0.25180000000000202</v>
      </c>
      <c r="AF1340">
        <v>0.15880379940806899</v>
      </c>
      <c r="AG1340">
        <v>-1.1106480894540001</v>
      </c>
      <c r="AH1340">
        <v>15.1563232849155</v>
      </c>
      <c r="AI1340">
        <v>94.190886752522502</v>
      </c>
      <c r="AJ1340">
        <v>89.399692500327902</v>
      </c>
      <c r="AK1340">
        <v>15.1977923838361</v>
      </c>
      <c r="AL1340">
        <v>72.402632084007706</v>
      </c>
      <c r="AM1340">
        <v>91.671201003387907</v>
      </c>
      <c r="AN1340">
        <v>0.99999999255342398</v>
      </c>
    </row>
    <row r="1341" spans="1:40" x14ac:dyDescent="0.25">
      <c r="A1341" t="str">
        <f>"20190304164118958"</f>
        <v>20190304164118958</v>
      </c>
      <c r="B1341" t="str">
        <f>"1551688878952605"</f>
        <v>1551688878952605</v>
      </c>
      <c r="C1341" t="s">
        <v>40</v>
      </c>
      <c r="D1341">
        <v>4.3316739999999996</v>
      </c>
      <c r="E1341">
        <v>0.52576029999999996</v>
      </c>
      <c r="F1341" t="s">
        <v>41</v>
      </c>
      <c r="G1341">
        <v>-245.66370000000001</v>
      </c>
      <c r="H1341">
        <v>1.0433319999999999</v>
      </c>
      <c r="I1341">
        <v>367.12169999999998</v>
      </c>
      <c r="J1341">
        <v>-246.43809999999999</v>
      </c>
      <c r="K1341">
        <v>1.1105750000000001</v>
      </c>
      <c r="L1341">
        <v>367.10930000000002</v>
      </c>
      <c r="M1341">
        <v>0.99953429999999999</v>
      </c>
      <c r="N1341">
        <v>-1.4345129999999999E-2</v>
      </c>
      <c r="O1341">
        <v>2.693396E-2</v>
      </c>
      <c r="P1341">
        <v>0.95583149999999995</v>
      </c>
      <c r="Q1341">
        <v>0.28888540000000001</v>
      </c>
      <c r="R1341">
        <v>5.4144060000000001E-2</v>
      </c>
      <c r="S1341">
        <v>3.2049560000000001</v>
      </c>
      <c r="T1341">
        <v>-0.23153019999999999</v>
      </c>
      <c r="U1341">
        <v>5.755615E-2</v>
      </c>
      <c r="V1341">
        <v>-2.8403660000000001E-2</v>
      </c>
      <c r="W1341">
        <v>0.30258069999999998</v>
      </c>
      <c r="X1341">
        <v>0.95270049999999995</v>
      </c>
      <c r="Y1341">
        <v>8.9104430000000005E-3</v>
      </c>
      <c r="Z1341">
        <v>-1.942172E-3</v>
      </c>
      <c r="AA1341">
        <v>0.99995840000000003</v>
      </c>
      <c r="AB1341">
        <v>31</v>
      </c>
      <c r="AC1341">
        <v>0.77439999999998499</v>
      </c>
      <c r="AD1341">
        <v>-6.7243000000000094E-2</v>
      </c>
      <c r="AE1341">
        <v>1.23999999999568E-2</v>
      </c>
      <c r="AF1341">
        <v>8.4009781025519304E-3</v>
      </c>
      <c r="AG1341">
        <v>-6.7243000000000094E-2</v>
      </c>
      <c r="AH1341">
        <v>0.76865891940531605</v>
      </c>
      <c r="AI1341">
        <v>94.999263416889093</v>
      </c>
      <c r="AJ1341">
        <v>89.373816640087696</v>
      </c>
      <c r="AK1341">
        <v>0.77164028657362604</v>
      </c>
      <c r="AL1341">
        <v>72.387328748606706</v>
      </c>
      <c r="AM1341">
        <v>91.707701334415503</v>
      </c>
      <c r="AN1341">
        <v>1.0000000453070601</v>
      </c>
    </row>
    <row r="1342" spans="1:40" x14ac:dyDescent="0.25">
      <c r="A1342" t="str">
        <f>"20190304164118973"</f>
        <v>20190304164118973</v>
      </c>
      <c r="B1342" t="str">
        <f>"1551688878962365"</f>
        <v>1551688878962365</v>
      </c>
      <c r="C1342" t="s">
        <v>40</v>
      </c>
      <c r="D1342">
        <v>4.3275449999999998</v>
      </c>
      <c r="E1342">
        <v>0.52573190000000003</v>
      </c>
      <c r="F1342" t="s">
        <v>42</v>
      </c>
      <c r="G1342">
        <v>-231.05340000000001</v>
      </c>
      <c r="H1342" s="1">
        <v>-4.2141790000000003E-6</v>
      </c>
      <c r="I1342">
        <v>367.39640000000003</v>
      </c>
      <c r="J1342">
        <v>-246.25149999999999</v>
      </c>
      <c r="K1342">
        <v>1.110492</v>
      </c>
      <c r="L1342">
        <v>367.11430000000001</v>
      </c>
      <c r="M1342">
        <v>0.9995385</v>
      </c>
      <c r="N1342">
        <v>-1.433971E-2</v>
      </c>
      <c r="O1342">
        <v>2.677945E-2</v>
      </c>
      <c r="P1342">
        <v>0.95551750000000002</v>
      </c>
      <c r="Q1342">
        <v>0.28972579999999998</v>
      </c>
      <c r="R1342">
        <v>5.518646E-2</v>
      </c>
      <c r="S1342">
        <v>3.2051699999999999</v>
      </c>
      <c r="T1342">
        <v>-0.23137079999999999</v>
      </c>
      <c r="U1342">
        <v>5.9814449999999998E-2</v>
      </c>
      <c r="V1342">
        <v>-2.9536079999999999E-2</v>
      </c>
      <c r="W1342">
        <v>0.30341820000000003</v>
      </c>
      <c r="X1342">
        <v>0.95239960000000001</v>
      </c>
      <c r="Y1342">
        <v>8.0557839999999999E-3</v>
      </c>
      <c r="Z1342">
        <v>-1.8947079999999999E-3</v>
      </c>
      <c r="AA1342">
        <v>0.99996569999999996</v>
      </c>
      <c r="AB1342">
        <v>31</v>
      </c>
      <c r="AC1342">
        <v>15.198099999999901</v>
      </c>
      <c r="AD1342">
        <v>-1.110496214179</v>
      </c>
      <c r="AE1342">
        <v>0.28210000000001301</v>
      </c>
      <c r="AF1342">
        <v>0.124375997857093</v>
      </c>
      <c r="AG1342">
        <v>-1.110496214179</v>
      </c>
      <c r="AH1342">
        <v>15.119509137624201</v>
      </c>
      <c r="AI1342">
        <v>94.200570264275001</v>
      </c>
      <c r="AJ1342">
        <v>89.528684499791098</v>
      </c>
      <c r="AK1342">
        <v>15.160746280881099</v>
      </c>
      <c r="AL1342">
        <v>72.336975522746201</v>
      </c>
      <c r="AM1342">
        <v>91.776303258622505</v>
      </c>
      <c r="AN1342">
        <v>0.999999991096583</v>
      </c>
    </row>
    <row r="1343" spans="1:40" x14ac:dyDescent="0.25">
      <c r="A1343" t="str">
        <f>"20190304164118984"</f>
        <v>20190304164118984</v>
      </c>
      <c r="B1343" t="str">
        <f>"1551688878972124"</f>
        <v>1551688878972124</v>
      </c>
      <c r="C1343" t="s">
        <v>40</v>
      </c>
      <c r="D1343">
        <v>4.3142370000000003</v>
      </c>
      <c r="E1343">
        <v>0.52571730000000005</v>
      </c>
      <c r="F1343" t="s">
        <v>42</v>
      </c>
      <c r="G1343">
        <v>-230.72800000000001</v>
      </c>
      <c r="H1343" s="1">
        <v>-4.3477739999999998E-6</v>
      </c>
      <c r="I1343">
        <v>367.43020000000001</v>
      </c>
      <c r="J1343">
        <v>-246.08760000000001</v>
      </c>
      <c r="K1343">
        <v>1.110412</v>
      </c>
      <c r="L1343">
        <v>367.11860000000001</v>
      </c>
      <c r="M1343">
        <v>0.99954330000000002</v>
      </c>
      <c r="N1343">
        <v>-1.433304E-2</v>
      </c>
      <c r="O1343">
        <v>2.660583E-2</v>
      </c>
      <c r="P1343">
        <v>0.95538659999999997</v>
      </c>
      <c r="Q1343">
        <v>0.29010000000000002</v>
      </c>
      <c r="R1343">
        <v>5.5484100000000001E-2</v>
      </c>
      <c r="S1343">
        <v>3.2053989999999999</v>
      </c>
      <c r="T1343">
        <v>-0.2293019</v>
      </c>
      <c r="U1343">
        <v>6.5246579999999998E-2</v>
      </c>
      <c r="V1343">
        <v>-2.9943819999999999E-2</v>
      </c>
      <c r="W1343">
        <v>0.303789799999999</v>
      </c>
      <c r="X1343">
        <v>0.95226840000000001</v>
      </c>
      <c r="Y1343">
        <v>6.1968169999999899E-3</v>
      </c>
      <c r="Z1343">
        <v>-1.785191E-3</v>
      </c>
      <c r="AA1343">
        <v>0.99997919999999996</v>
      </c>
      <c r="AB1343">
        <v>31</v>
      </c>
      <c r="AC1343">
        <v>15.3596</v>
      </c>
      <c r="AD1343">
        <v>-1.1104163477739999</v>
      </c>
      <c r="AE1343">
        <v>0.31159999999999799</v>
      </c>
      <c r="AF1343">
        <v>9.6701987954943197E-2</v>
      </c>
      <c r="AG1343">
        <v>-1.1104163477739999</v>
      </c>
      <c r="AH1343">
        <v>15.282610970209401</v>
      </c>
      <c r="AI1343">
        <v>94.155657465488801</v>
      </c>
      <c r="AJ1343">
        <v>89.637461043319206</v>
      </c>
      <c r="AK1343">
        <v>15.323203770969201</v>
      </c>
      <c r="AL1343">
        <v>72.314629632774398</v>
      </c>
      <c r="AM1343">
        <v>91.801056698580695</v>
      </c>
      <c r="AN1343">
        <v>0.99999999028939601</v>
      </c>
    </row>
    <row r="1344" spans="1:40" x14ac:dyDescent="0.25">
      <c r="A1344" t="str">
        <f>"20190304164118996"</f>
        <v>20190304164118996</v>
      </c>
      <c r="B1344" t="str">
        <f>"1551688878982860"</f>
        <v>1551688878982860</v>
      </c>
      <c r="C1344" t="s">
        <v>40</v>
      </c>
      <c r="D1344">
        <v>4.3047979999999999</v>
      </c>
      <c r="E1344">
        <v>0.52568459999999995</v>
      </c>
      <c r="F1344" t="s">
        <v>41</v>
      </c>
      <c r="G1344">
        <v>-245.11250000000001</v>
      </c>
      <c r="H1344">
        <v>1.0407949999999999</v>
      </c>
      <c r="I1344">
        <v>367.13920000000002</v>
      </c>
      <c r="J1344">
        <v>-245.9162</v>
      </c>
      <c r="K1344">
        <v>1.1103229999999999</v>
      </c>
      <c r="L1344">
        <v>367.12290000000002</v>
      </c>
      <c r="M1344">
        <v>0.9995503</v>
      </c>
      <c r="N1344">
        <v>-1.432159E-2</v>
      </c>
      <c r="O1344">
        <v>2.6348E-2</v>
      </c>
      <c r="P1344">
        <v>0.95534260000000004</v>
      </c>
      <c r="Q1344">
        <v>0.29029149999999998</v>
      </c>
      <c r="R1344">
        <v>5.5242220000000002E-2</v>
      </c>
      <c r="S1344">
        <v>3.205673</v>
      </c>
      <c r="T1344">
        <v>-0.22894049999999999</v>
      </c>
      <c r="U1344">
        <v>6.7962649999999999E-2</v>
      </c>
      <c r="V1344">
        <v>-2.9885640000000002E-2</v>
      </c>
      <c r="W1344">
        <v>0.30397610000000003</v>
      </c>
      <c r="X1344">
        <v>0.95221080000000002</v>
      </c>
      <c r="Y1344">
        <v>5.0977369999999998E-3</v>
      </c>
      <c r="Z1344">
        <v>-1.720154E-3</v>
      </c>
      <c r="AA1344">
        <v>0.99998549999999997</v>
      </c>
      <c r="AB1344">
        <v>31</v>
      </c>
      <c r="AC1344">
        <v>0.80369999999999198</v>
      </c>
      <c r="AD1344">
        <v>-6.9527999999999798E-2</v>
      </c>
      <c r="AE1344">
        <v>1.6300000000001001E-2</v>
      </c>
      <c r="AF1344">
        <v>4.84745501950626E-3</v>
      </c>
      <c r="AG1344">
        <v>-6.9527999999999798E-2</v>
      </c>
      <c r="AH1344">
        <v>0.79788157986295105</v>
      </c>
      <c r="AI1344">
        <v>94.980125452203893</v>
      </c>
      <c r="AJ1344">
        <v>89.651909125466602</v>
      </c>
      <c r="AK1344">
        <v>0.800919881192099</v>
      </c>
      <c r="AL1344">
        <v>72.303426020277101</v>
      </c>
      <c r="AM1344">
        <v>91.797668258618302</v>
      </c>
      <c r="AN1344">
        <v>1.0000000142430201</v>
      </c>
    </row>
    <row r="1345" spans="1:40" x14ac:dyDescent="0.25">
      <c r="A1345" t="str">
        <f>"20190304164119008"</f>
        <v>20190304164119008</v>
      </c>
      <c r="B1345" t="str">
        <f>"1551688879002380"</f>
        <v>1551688879002380</v>
      </c>
      <c r="C1345" t="s">
        <v>40</v>
      </c>
      <c r="D1345">
        <v>4.3822599999999996</v>
      </c>
      <c r="E1345">
        <v>0.52583159999999995</v>
      </c>
      <c r="F1345" t="s">
        <v>42</v>
      </c>
      <c r="G1345">
        <v>-230.3724</v>
      </c>
      <c r="H1345" s="1">
        <v>-4.4948879999999996E-6</v>
      </c>
      <c r="I1345">
        <v>367.46080000000001</v>
      </c>
      <c r="J1345">
        <v>-245.76499999999999</v>
      </c>
      <c r="K1345">
        <v>1.1102430000000001</v>
      </c>
      <c r="L1345">
        <v>367.12670000000003</v>
      </c>
      <c r="M1345">
        <v>0.99955740000000004</v>
      </c>
      <c r="N1345">
        <v>-1.4308960000000001E-2</v>
      </c>
      <c r="O1345">
        <v>2.6080720000000002E-2</v>
      </c>
      <c r="P1345">
        <v>0.95543549999999999</v>
      </c>
      <c r="Q1345">
        <v>0.29006850000000001</v>
      </c>
      <c r="R1345">
        <v>5.4803379999999999E-2</v>
      </c>
      <c r="S1345">
        <v>3.2058110000000002</v>
      </c>
      <c r="T1345">
        <v>-0.22899700000000001</v>
      </c>
      <c r="U1345">
        <v>6.9702150000000004E-2</v>
      </c>
      <c r="V1345">
        <v>-2.9644090000000001E-2</v>
      </c>
      <c r="W1345">
        <v>0.30374759999999901</v>
      </c>
      <c r="X1345">
        <v>0.95229129999999995</v>
      </c>
      <c r="Y1345">
        <v>4.2917440000000001E-3</v>
      </c>
      <c r="Z1345">
        <v>-1.6711009999999999E-3</v>
      </c>
      <c r="AA1345">
        <v>0.99998940000000003</v>
      </c>
      <c r="AB1345">
        <v>31</v>
      </c>
      <c r="AC1345">
        <v>15.3925999999999</v>
      </c>
      <c r="AD1345">
        <v>-1.1102474948879999</v>
      </c>
      <c r="AE1345">
        <v>0.33409999999997803</v>
      </c>
      <c r="AF1345">
        <v>6.7155660534040804E-2</v>
      </c>
      <c r="AG1345">
        <v>-1.1102474948879999</v>
      </c>
      <c r="AH1345">
        <v>15.316430585988</v>
      </c>
      <c r="AI1345">
        <v>94.145928223942803</v>
      </c>
      <c r="AJ1345">
        <v>89.748785381747794</v>
      </c>
      <c r="AK1345">
        <v>15.356764153884599</v>
      </c>
      <c r="AL1345">
        <v>72.317168496515905</v>
      </c>
      <c r="AM1345">
        <v>91.782997426952306</v>
      </c>
      <c r="AN1345">
        <v>1.00000004831668</v>
      </c>
    </row>
    <row r="1346" spans="1:40" x14ac:dyDescent="0.25">
      <c r="A1346" t="str">
        <f>"20190304164119018"</f>
        <v>20190304164119018</v>
      </c>
      <c r="B1346" t="str">
        <f>"1551688879012141"</f>
        <v>1551688879012141</v>
      </c>
      <c r="C1346" t="s">
        <v>40</v>
      </c>
      <c r="D1346">
        <v>4.3782249999999996</v>
      </c>
      <c r="E1346">
        <v>0.52586880000000003</v>
      </c>
      <c r="F1346" t="s">
        <v>41</v>
      </c>
      <c r="G1346">
        <v>-244.8278</v>
      </c>
      <c r="H1346">
        <v>1.0424169999999999</v>
      </c>
      <c r="I1346">
        <v>367.14670000000001</v>
      </c>
      <c r="J1346">
        <v>-245.60120000000001</v>
      </c>
      <c r="K1346">
        <v>1.110158</v>
      </c>
      <c r="L1346">
        <v>367.13060000000002</v>
      </c>
      <c r="M1346">
        <v>0.99956630000000002</v>
      </c>
      <c r="N1346">
        <v>-1.4292849999999999E-2</v>
      </c>
      <c r="O1346">
        <v>2.5752259999999999E-2</v>
      </c>
      <c r="P1346">
        <v>0.95562879999999994</v>
      </c>
      <c r="Q1346">
        <v>0.28955900000000001</v>
      </c>
      <c r="R1346">
        <v>5.4126239999999999E-2</v>
      </c>
      <c r="S1346">
        <v>3.206467</v>
      </c>
      <c r="T1346">
        <v>-0.2321812</v>
      </c>
      <c r="U1346">
        <v>6.8969730000000007E-2</v>
      </c>
      <c r="V1346">
        <v>-2.921729E-2</v>
      </c>
      <c r="W1346">
        <v>0.30323060000000002</v>
      </c>
      <c r="X1346">
        <v>0.95246920000000002</v>
      </c>
      <c r="Y1346">
        <v>4.1949270000000002E-3</v>
      </c>
      <c r="Z1346">
        <v>-1.675766E-3</v>
      </c>
      <c r="AA1346">
        <v>0.99998980000000004</v>
      </c>
      <c r="AB1346">
        <v>31</v>
      </c>
      <c r="AC1346">
        <v>0.77340000000000897</v>
      </c>
      <c r="AD1346">
        <v>-6.7740999999999996E-2</v>
      </c>
      <c r="AE1346">
        <v>1.60999999999944E-2</v>
      </c>
      <c r="AF1346">
        <v>3.7950683694592002E-3</v>
      </c>
      <c r="AG1346">
        <v>-6.7740999999999996E-2</v>
      </c>
      <c r="AH1346">
        <v>0.767671270719127</v>
      </c>
      <c r="AI1346">
        <v>95.042782253522105</v>
      </c>
      <c r="AJ1346">
        <v>89.716754244320498</v>
      </c>
      <c r="AK1346">
        <v>0.77066362669614097</v>
      </c>
      <c r="AL1346">
        <v>72.348256026576607</v>
      </c>
      <c r="AM1346">
        <v>91.757014956009797</v>
      </c>
      <c r="AN1346">
        <v>1.0000000118799699</v>
      </c>
    </row>
    <row r="1347" spans="1:40" x14ac:dyDescent="0.25">
      <c r="A1347" t="str">
        <f>"20190304164119030"</f>
        <v>20190304164119030</v>
      </c>
      <c r="B1347" t="str">
        <f>"1551688879022876"</f>
        <v>1551688879022876</v>
      </c>
      <c r="C1347" t="s">
        <v>40</v>
      </c>
      <c r="D1347">
        <v>4.3927680000000002</v>
      </c>
      <c r="E1347">
        <v>0.52591909999999997</v>
      </c>
      <c r="F1347" t="s">
        <v>42</v>
      </c>
      <c r="G1347">
        <v>-230.47380000000001</v>
      </c>
      <c r="H1347" s="1">
        <v>-4.4526959999999996E-6</v>
      </c>
      <c r="I1347">
        <v>367.45350000000002</v>
      </c>
      <c r="J1347">
        <v>-245.45570000000001</v>
      </c>
      <c r="K1347">
        <v>1.1100829999999999</v>
      </c>
      <c r="L1347">
        <v>367.13409999999999</v>
      </c>
      <c r="M1347">
        <v>0.99957510000000005</v>
      </c>
      <c r="N1347">
        <v>-1.427526E-2</v>
      </c>
      <c r="O1347">
        <v>2.5411489999999998E-2</v>
      </c>
      <c r="P1347">
        <v>0.95581479999999996</v>
      </c>
      <c r="Q1347">
        <v>0.28913309999999998</v>
      </c>
      <c r="R1347">
        <v>5.3105499999999903E-2</v>
      </c>
      <c r="S1347">
        <v>3.2067410000000001</v>
      </c>
      <c r="T1347">
        <v>-0.2353333</v>
      </c>
      <c r="U1347">
        <v>6.8450929999999993E-2</v>
      </c>
      <c r="V1347">
        <v>-2.8467050000000001E-2</v>
      </c>
      <c r="W1347">
        <v>0.30279430000000002</v>
      </c>
      <c r="X1347">
        <v>0.95263070000000005</v>
      </c>
      <c r="Y1347">
        <v>4.0169089999999999E-3</v>
      </c>
      <c r="Z1347">
        <v>-1.675391E-3</v>
      </c>
      <c r="AA1347">
        <v>0.9999905</v>
      </c>
      <c r="AB1347">
        <v>31</v>
      </c>
      <c r="AC1347">
        <v>14.9818999999999</v>
      </c>
      <c r="AD1347">
        <v>-1.1100874526959901</v>
      </c>
      <c r="AE1347">
        <v>0.31940000000002999</v>
      </c>
      <c r="AF1347">
        <v>6.1118982780697502E-2</v>
      </c>
      <c r="AG1347">
        <v>-1.1100874526959901</v>
      </c>
      <c r="AH1347">
        <v>14.903394236201301</v>
      </c>
      <c r="AI1347">
        <v>94.259805333553402</v>
      </c>
      <c r="AJ1347">
        <v>89.765030698752199</v>
      </c>
      <c r="AK1347">
        <v>14.944804764276</v>
      </c>
      <c r="AL1347">
        <v>72.374487290915695</v>
      </c>
      <c r="AM1347">
        <v>91.711635569671799</v>
      </c>
      <c r="AN1347">
        <v>1.00000000581534</v>
      </c>
    </row>
    <row r="1348" spans="1:40" x14ac:dyDescent="0.25">
      <c r="A1348" t="str">
        <f>"20190304164119041"</f>
        <v>20190304164119041</v>
      </c>
      <c r="B1348" t="str">
        <f>"1551688879032166"</f>
        <v>1551688879032166</v>
      </c>
      <c r="C1348" t="s">
        <v>40</v>
      </c>
      <c r="D1348">
        <v>4.3959419999999998</v>
      </c>
      <c r="E1348">
        <v>0.52593369999999995</v>
      </c>
      <c r="F1348" t="s">
        <v>42</v>
      </c>
      <c r="G1348">
        <v>-230.50380000000001</v>
      </c>
      <c r="H1348" s="1">
        <v>-4.4415149999999999E-6</v>
      </c>
      <c r="I1348">
        <v>367.44389999999999</v>
      </c>
      <c r="J1348">
        <v>-245.29589999999999</v>
      </c>
      <c r="K1348">
        <v>1.110001</v>
      </c>
      <c r="L1348">
        <v>367.13780000000003</v>
      </c>
      <c r="M1348">
        <v>0.99958530000000001</v>
      </c>
      <c r="N1348">
        <v>-1.4254859999999999E-2</v>
      </c>
      <c r="O1348">
        <v>2.502163E-2</v>
      </c>
      <c r="P1348">
        <v>0.95605519999999999</v>
      </c>
      <c r="Q1348">
        <v>0.28855219999999998</v>
      </c>
      <c r="R1348">
        <v>5.1924089999999999E-2</v>
      </c>
      <c r="S1348">
        <v>3.2070310000000002</v>
      </c>
      <c r="T1348">
        <v>-0.23810120000000001</v>
      </c>
      <c r="U1348">
        <v>6.6467289999999998E-2</v>
      </c>
      <c r="V1348">
        <v>-2.7598049999999999E-2</v>
      </c>
      <c r="W1348">
        <v>0.3022012</v>
      </c>
      <c r="X1348">
        <v>0.95284460000000004</v>
      </c>
      <c r="Y1348">
        <v>4.2454060000000002E-3</v>
      </c>
      <c r="Z1348">
        <v>-1.6860390000000001E-3</v>
      </c>
      <c r="AA1348">
        <v>0.99998960000000003</v>
      </c>
      <c r="AB1348">
        <v>31</v>
      </c>
      <c r="AC1348">
        <v>14.7920999999999</v>
      </c>
      <c r="AD1348">
        <v>-1.110005441515</v>
      </c>
      <c r="AE1348">
        <v>0.30609999999995802</v>
      </c>
      <c r="AF1348">
        <v>6.3796819361411905E-2</v>
      </c>
      <c r="AG1348">
        <v>-1.110005441515</v>
      </c>
      <c r="AH1348">
        <v>14.712317145013101</v>
      </c>
      <c r="AI1348">
        <v>94.314600352599896</v>
      </c>
      <c r="AJ1348">
        <v>89.7515506531428</v>
      </c>
      <c r="AK1348">
        <v>14.7542691411604</v>
      </c>
      <c r="AL1348">
        <v>72.410140074527902</v>
      </c>
      <c r="AM1348">
        <v>91.6590426571385</v>
      </c>
      <c r="AN1348">
        <v>1.0000000246972001</v>
      </c>
    </row>
    <row r="1349" spans="1:40" x14ac:dyDescent="0.25">
      <c r="A1349" t="str">
        <f>"20190304164119053"</f>
        <v>20190304164119053</v>
      </c>
      <c r="B1349" t="str">
        <f>"1551688879042902"</f>
        <v>1551688879042902</v>
      </c>
      <c r="C1349" t="s">
        <v>40</v>
      </c>
      <c r="D1349">
        <v>4.3854629999999997</v>
      </c>
      <c r="E1349">
        <v>0.52599249999999997</v>
      </c>
      <c r="F1349" t="s">
        <v>42</v>
      </c>
      <c r="G1349">
        <v>-230.54390000000001</v>
      </c>
      <c r="H1349" s="1">
        <v>-4.4267520000000001E-6</v>
      </c>
      <c r="I1349">
        <v>367.43020000000001</v>
      </c>
      <c r="J1349">
        <v>-245.13159999999999</v>
      </c>
      <c r="K1349">
        <v>1.1099239999999999</v>
      </c>
      <c r="L1349">
        <v>367.14150000000001</v>
      </c>
      <c r="M1349">
        <v>0.99959730000000002</v>
      </c>
      <c r="N1349">
        <v>-1.4226529999999999E-2</v>
      </c>
      <c r="O1349">
        <v>2.455711E-2</v>
      </c>
      <c r="P1349">
        <v>0.95629609999999998</v>
      </c>
      <c r="Q1349">
        <v>0.28800979999999998</v>
      </c>
      <c r="R1349">
        <v>5.0482699999999998E-2</v>
      </c>
      <c r="S1349">
        <v>3.2072600000000002</v>
      </c>
      <c r="T1349">
        <v>-0.24132780000000001</v>
      </c>
      <c r="U1349">
        <v>6.3568120000000006E-2</v>
      </c>
      <c r="V1349">
        <v>-2.6547089999999999E-2</v>
      </c>
      <c r="W1349">
        <v>0.3016375</v>
      </c>
      <c r="X1349">
        <v>0.95305309999999999</v>
      </c>
      <c r="Y1349">
        <v>4.6832159999999996E-3</v>
      </c>
      <c r="Z1349">
        <v>-1.7050469999999999E-3</v>
      </c>
      <c r="AA1349">
        <v>0.99998759999999998</v>
      </c>
      <c r="AB1349">
        <v>31</v>
      </c>
      <c r="AC1349">
        <v>14.5876999999999</v>
      </c>
      <c r="AD1349">
        <v>-1.109928426752</v>
      </c>
      <c r="AE1349">
        <v>0.28870000000000501</v>
      </c>
      <c r="AF1349">
        <v>6.9254287165458894E-2</v>
      </c>
      <c r="AG1349">
        <v>-1.109928426752</v>
      </c>
      <c r="AH1349">
        <v>14.5064428491175</v>
      </c>
      <c r="AI1349">
        <v>94.375285573739305</v>
      </c>
      <c r="AJ1349">
        <v>89.726469937243806</v>
      </c>
      <c r="AK1349">
        <v>14.5490075745225</v>
      </c>
      <c r="AL1349">
        <v>72.444019531764496</v>
      </c>
      <c r="AM1349">
        <v>91.595549097158496</v>
      </c>
      <c r="AN1349">
        <v>1.0000000704066601</v>
      </c>
    </row>
    <row r="1350" spans="1:40" x14ac:dyDescent="0.25">
      <c r="A1350" t="str">
        <f>"20190304164119066"</f>
        <v>20190304164119066</v>
      </c>
      <c r="B1350" t="str">
        <f>"1551688879052663"</f>
        <v>1551688879052663</v>
      </c>
      <c r="C1350" t="s">
        <v>40</v>
      </c>
      <c r="D1350">
        <v>4.4114259999999996</v>
      </c>
      <c r="E1350">
        <v>0.52605009999999996</v>
      </c>
      <c r="F1350" t="s">
        <v>42</v>
      </c>
      <c r="G1350">
        <v>-230.5574</v>
      </c>
      <c r="H1350" s="1">
        <v>-4.4238650000000002E-6</v>
      </c>
      <c r="I1350">
        <v>367.41379999999998</v>
      </c>
      <c r="J1350">
        <v>-244.96870000000001</v>
      </c>
      <c r="K1350">
        <v>1.1098520000000001</v>
      </c>
      <c r="L1350">
        <v>367.14510000000001</v>
      </c>
      <c r="M1350">
        <v>0.99960930000000003</v>
      </c>
      <c r="N1350">
        <v>-1.419633E-2</v>
      </c>
      <c r="O1350">
        <v>2.4080589999999999E-2</v>
      </c>
      <c r="P1350">
        <v>0.95659680000000002</v>
      </c>
      <c r="Q1350">
        <v>0.28729660000000001</v>
      </c>
      <c r="R1350">
        <v>4.8820080000000002E-2</v>
      </c>
      <c r="S1350">
        <v>3.2075040000000001</v>
      </c>
      <c r="T1350">
        <v>-0.24427270000000001</v>
      </c>
      <c r="U1350">
        <v>5.993652E-2</v>
      </c>
      <c r="V1350">
        <v>-2.5289409999999998E-2</v>
      </c>
      <c r="W1350">
        <v>0.30090139999999999</v>
      </c>
      <c r="X1350">
        <v>0.9533199</v>
      </c>
      <c r="Y1350">
        <v>5.3366999999999998E-3</v>
      </c>
      <c r="Z1350">
        <v>-1.730217E-3</v>
      </c>
      <c r="AA1350">
        <v>0.99998430000000005</v>
      </c>
      <c r="AB1350">
        <v>31</v>
      </c>
      <c r="AC1350">
        <v>14.411300000000001</v>
      </c>
      <c r="AD1350">
        <v>-1.1098564238649999</v>
      </c>
      <c r="AE1350">
        <v>0.26869999999996702</v>
      </c>
      <c r="AF1350">
        <v>7.7983130010877796E-2</v>
      </c>
      <c r="AG1350">
        <v>-1.1098564238649999</v>
      </c>
      <c r="AH1350">
        <v>14.328637791458201</v>
      </c>
      <c r="AI1350">
        <v>94.429062792415195</v>
      </c>
      <c r="AJ1350">
        <v>89.688172722842296</v>
      </c>
      <c r="AK1350">
        <v>14.3717682839992</v>
      </c>
      <c r="AL1350">
        <v>72.488249015300397</v>
      </c>
      <c r="AM1350">
        <v>91.519570410137703</v>
      </c>
      <c r="AN1350">
        <v>1.00000001925805</v>
      </c>
    </row>
    <row r="1351" spans="1:40" x14ac:dyDescent="0.25">
      <c r="A1351" t="str">
        <f>"20190304164119078"</f>
        <v>20190304164119078</v>
      </c>
      <c r="B1351" t="str">
        <f>"1551688879072182"</f>
        <v>1551688879072182</v>
      </c>
      <c r="C1351" t="s">
        <v>40</v>
      </c>
      <c r="D1351">
        <v>4.4166049999999997</v>
      </c>
      <c r="E1351">
        <v>0.52610469999999998</v>
      </c>
      <c r="F1351" t="s">
        <v>41</v>
      </c>
      <c r="G1351">
        <v>-244.0127</v>
      </c>
      <c r="H1351">
        <v>1.036192</v>
      </c>
      <c r="I1351">
        <v>367.16140000000001</v>
      </c>
      <c r="J1351">
        <v>-244.7936</v>
      </c>
      <c r="K1351">
        <v>1.1097859999999999</v>
      </c>
      <c r="L1351">
        <v>367.14870000000002</v>
      </c>
      <c r="M1351">
        <v>0.99962289999999998</v>
      </c>
      <c r="N1351">
        <v>-1.415898E-2</v>
      </c>
      <c r="O1351">
        <v>2.3531179999999999E-2</v>
      </c>
      <c r="P1351">
        <v>0.9569126</v>
      </c>
      <c r="Q1351">
        <v>0.28657139999999998</v>
      </c>
      <c r="R1351">
        <v>4.6854409999999999E-2</v>
      </c>
      <c r="S1351">
        <v>3.207535</v>
      </c>
      <c r="T1351">
        <v>-0.2471566</v>
      </c>
      <c r="U1351">
        <v>5.502319E-2</v>
      </c>
      <c r="V1351">
        <v>-2.3802940000000002E-2</v>
      </c>
      <c r="W1351">
        <v>0.300145099999999</v>
      </c>
      <c r="X1351">
        <v>0.95359649999999996</v>
      </c>
      <c r="Y1351">
        <v>6.3143929999999997E-3</v>
      </c>
      <c r="Z1351">
        <v>-1.7650420000000001E-3</v>
      </c>
      <c r="AA1351">
        <v>0.99997849999999999</v>
      </c>
      <c r="AB1351">
        <v>31</v>
      </c>
      <c r="AC1351">
        <v>0.78090000000000204</v>
      </c>
      <c r="AD1351">
        <v>-7.3594000000000104E-2</v>
      </c>
      <c r="AE1351">
        <v>1.26999999999952E-2</v>
      </c>
      <c r="AF1351">
        <v>5.6308585884151698E-3</v>
      </c>
      <c r="AG1351">
        <v>-7.3594000000000104E-2</v>
      </c>
      <c r="AH1351">
        <v>0.77410905142629305</v>
      </c>
      <c r="AI1351">
        <v>95.430604334182803</v>
      </c>
      <c r="AJ1351">
        <v>89.583238638504895</v>
      </c>
      <c r="AK1351">
        <v>0.77761983443361204</v>
      </c>
      <c r="AL1351">
        <v>72.533681140119896</v>
      </c>
      <c r="AM1351">
        <v>91.429876118230496</v>
      </c>
      <c r="AN1351">
        <v>0.99999997290945097</v>
      </c>
    </row>
    <row r="1352" spans="1:40" x14ac:dyDescent="0.25">
      <c r="A1352" t="str">
        <f>"20190304164119090"</f>
        <v>20190304164119090</v>
      </c>
      <c r="B1352" t="str">
        <f>"1551688879082918"</f>
        <v>1551688879082918</v>
      </c>
      <c r="C1352" t="s">
        <v>40</v>
      </c>
      <c r="D1352">
        <v>4.4106449999999997</v>
      </c>
      <c r="E1352">
        <v>0.52614899999999998</v>
      </c>
      <c r="F1352" t="s">
        <v>42</v>
      </c>
      <c r="G1352">
        <v>-230.61449999999999</v>
      </c>
      <c r="H1352" s="1">
        <v>-4.4073549999999997E-6</v>
      </c>
      <c r="I1352">
        <v>367.36880000000002</v>
      </c>
      <c r="J1352">
        <v>-244.6276</v>
      </c>
      <c r="K1352">
        <v>1.1097300000000001</v>
      </c>
      <c r="L1352">
        <v>367.15210000000002</v>
      </c>
      <c r="M1352">
        <v>0.99963610000000003</v>
      </c>
      <c r="N1352">
        <v>-1.412033E-2</v>
      </c>
      <c r="O1352">
        <v>2.298538E-2</v>
      </c>
      <c r="P1352">
        <v>0.95722269999999998</v>
      </c>
      <c r="Q1352">
        <v>0.28587590000000002</v>
      </c>
      <c r="R1352">
        <v>4.4718319999999999E-2</v>
      </c>
      <c r="S1352">
        <v>3.20784</v>
      </c>
      <c r="T1352">
        <v>-0.25107410000000002</v>
      </c>
      <c r="U1352">
        <v>4.9804689999999999E-2</v>
      </c>
      <c r="V1352">
        <v>-2.2154E-2</v>
      </c>
      <c r="W1352">
        <v>0.29941590000000001</v>
      </c>
      <c r="X1352">
        <v>0.95386550000000003</v>
      </c>
      <c r="Y1352">
        <v>7.3910729999999997E-3</v>
      </c>
      <c r="Z1352">
        <v>-1.812868E-3</v>
      </c>
      <c r="AA1352">
        <v>0.99997100000000005</v>
      </c>
      <c r="AB1352">
        <v>31</v>
      </c>
      <c r="AC1352">
        <v>14.0131</v>
      </c>
      <c r="AD1352">
        <v>-1.109734407355</v>
      </c>
      <c r="AE1352">
        <v>0.216700000000003</v>
      </c>
      <c r="AF1352">
        <v>0.104828527636742</v>
      </c>
      <c r="AG1352">
        <v>-1.109734407355</v>
      </c>
      <c r="AH1352">
        <v>13.927056151273501</v>
      </c>
      <c r="AI1352">
        <v>94.555682868813307</v>
      </c>
      <c r="AJ1352">
        <v>89.568744556169094</v>
      </c>
      <c r="AK1352">
        <v>13.9715923400233</v>
      </c>
      <c r="AL1352">
        <v>72.577476545069203</v>
      </c>
      <c r="AM1352">
        <v>91.330483739571307</v>
      </c>
      <c r="AN1352">
        <v>1.0000000364895201</v>
      </c>
    </row>
    <row r="1353" spans="1:40" x14ac:dyDescent="0.25">
      <c r="A1353" t="str">
        <f>"20190304164119104"</f>
        <v>20190304164119104</v>
      </c>
      <c r="B1353" t="str">
        <f>"1551688879092679"</f>
        <v>1551688879092679</v>
      </c>
      <c r="C1353" t="s">
        <v>40</v>
      </c>
      <c r="D1353">
        <v>4.43283</v>
      </c>
      <c r="E1353">
        <v>0.52616450000000003</v>
      </c>
      <c r="F1353" t="s">
        <v>41</v>
      </c>
      <c r="G1353">
        <v>-243.73509999999999</v>
      </c>
      <c r="H1353">
        <v>1.039077</v>
      </c>
      <c r="I1353">
        <v>367.16410000000002</v>
      </c>
      <c r="J1353">
        <v>-244.4434</v>
      </c>
      <c r="K1353">
        <v>1.1096779999999999</v>
      </c>
      <c r="L1353">
        <v>367.15570000000002</v>
      </c>
      <c r="M1353">
        <v>0.99965090000000001</v>
      </c>
      <c r="N1353">
        <v>-1.4075300000000001E-2</v>
      </c>
      <c r="O1353">
        <v>2.2364350000000002E-2</v>
      </c>
      <c r="P1353">
        <v>0.95755270000000003</v>
      </c>
      <c r="Q1353">
        <v>0.28509509999999899</v>
      </c>
      <c r="R1353">
        <v>4.2588590000000003E-2</v>
      </c>
      <c r="S1353">
        <v>3.2079620000000002</v>
      </c>
      <c r="T1353">
        <v>-0.25425429999999999</v>
      </c>
      <c r="U1353">
        <v>4.4067380000000003E-2</v>
      </c>
      <c r="V1353">
        <v>-2.0585309999999999E-2</v>
      </c>
      <c r="W1353">
        <v>0.298595</v>
      </c>
      <c r="X1353">
        <v>0.9541579</v>
      </c>
      <c r="Y1353">
        <v>8.5533080000000008E-3</v>
      </c>
      <c r="Z1353">
        <v>-1.85381E-3</v>
      </c>
      <c r="AA1353">
        <v>0.99996169999999995</v>
      </c>
      <c r="AB1353">
        <v>31</v>
      </c>
      <c r="AC1353">
        <v>0.70830000000000803</v>
      </c>
      <c r="AD1353">
        <v>-7.0601000000000094E-2</v>
      </c>
      <c r="AE1353">
        <v>8.3999999999946305E-3</v>
      </c>
      <c r="AF1353">
        <v>7.3711132761654198E-3</v>
      </c>
      <c r="AG1353">
        <v>-7.0601000000000094E-2</v>
      </c>
      <c r="AH1353">
        <v>0.70134351043523602</v>
      </c>
      <c r="AI1353">
        <v>95.7480204343629</v>
      </c>
      <c r="AJ1353">
        <v>89.397844101394796</v>
      </c>
      <c r="AK1353">
        <v>0.70492663032513503</v>
      </c>
      <c r="AL1353">
        <v>72.626765142615596</v>
      </c>
      <c r="AM1353">
        <v>91.235925879386699</v>
      </c>
      <c r="AN1353">
        <v>1.0000000135725999</v>
      </c>
    </row>
    <row r="1354" spans="1:40" x14ac:dyDescent="0.25">
      <c r="A1354" t="str">
        <f>"20190304164119116"</f>
        <v>20190304164119116</v>
      </c>
      <c r="B1354" t="str">
        <f>"1551688879102438"</f>
        <v>1551688879102438</v>
      </c>
      <c r="C1354" t="s">
        <v>40</v>
      </c>
      <c r="D1354">
        <v>4.4290209999999997</v>
      </c>
      <c r="E1354">
        <v>0.52614399999999995</v>
      </c>
      <c r="F1354" t="s">
        <v>41</v>
      </c>
      <c r="G1354">
        <v>-243.4658</v>
      </c>
      <c r="H1354">
        <v>1.031153</v>
      </c>
      <c r="I1354">
        <v>367.16739999999999</v>
      </c>
      <c r="J1354">
        <v>-244.2645</v>
      </c>
      <c r="K1354">
        <v>1.10964</v>
      </c>
      <c r="L1354">
        <v>367.15910000000002</v>
      </c>
      <c r="M1354">
        <v>0.99966540000000004</v>
      </c>
      <c r="N1354">
        <v>-1.402809E-2</v>
      </c>
      <c r="O1354">
        <v>2.174063E-2</v>
      </c>
      <c r="P1354">
        <v>0.95782920000000005</v>
      </c>
      <c r="Q1354">
        <v>0.28448800000000002</v>
      </c>
      <c r="R1354">
        <v>4.0379959999999999E-2</v>
      </c>
      <c r="S1354">
        <v>3.2080229999999998</v>
      </c>
      <c r="T1354">
        <v>-0.25782119999999997</v>
      </c>
      <c r="U1354">
        <v>3.872681E-2</v>
      </c>
      <c r="V1354">
        <v>-1.8951869999999999E-2</v>
      </c>
      <c r="W1354">
        <v>0.29794369999999998</v>
      </c>
      <c r="X1354">
        <v>0.95439529999999995</v>
      </c>
      <c r="Y1354">
        <v>9.588994E-3</v>
      </c>
      <c r="Z1354">
        <v>-1.89168E-3</v>
      </c>
      <c r="AA1354">
        <v>0.99995230000000002</v>
      </c>
      <c r="AB1354">
        <v>31</v>
      </c>
      <c r="AC1354">
        <v>0.79869999999999597</v>
      </c>
      <c r="AD1354">
        <v>-7.8486999999999904E-2</v>
      </c>
      <c r="AE1354">
        <v>8.2999999999628891E-3</v>
      </c>
      <c r="AF1354">
        <v>8.9811898618029507E-3</v>
      </c>
      <c r="AG1354">
        <v>-7.8486999999999904E-2</v>
      </c>
      <c r="AH1354">
        <v>0.79105352052701505</v>
      </c>
      <c r="AI1354">
        <v>95.665883307763593</v>
      </c>
      <c r="AJ1354">
        <v>89.349522943371596</v>
      </c>
      <c r="AK1354">
        <v>0.79498839191432102</v>
      </c>
      <c r="AL1354">
        <v>72.665861331796094</v>
      </c>
      <c r="AM1354">
        <v>91.137599350423301</v>
      </c>
      <c r="AN1354">
        <v>1.00000000520413</v>
      </c>
    </row>
    <row r="1355" spans="1:40" x14ac:dyDescent="0.25">
      <c r="A1355" t="str">
        <f>"20190304164119129"</f>
        <v>20190304164119129</v>
      </c>
      <c r="B1355" t="str">
        <f>"1551688879121959"</f>
        <v>1551688879121959</v>
      </c>
      <c r="C1355" t="s">
        <v>40</v>
      </c>
      <c r="D1355">
        <v>4.4264950000000001</v>
      </c>
      <c r="E1355">
        <v>0.52612449999999999</v>
      </c>
      <c r="F1355" t="s">
        <v>41</v>
      </c>
      <c r="G1355">
        <v>-243.4529</v>
      </c>
      <c r="H1355">
        <v>1.0439080000000001</v>
      </c>
      <c r="I1355">
        <v>367.16730000000001</v>
      </c>
      <c r="J1355">
        <v>-244.08920000000001</v>
      </c>
      <c r="K1355">
        <v>1.1096090000000001</v>
      </c>
      <c r="L1355">
        <v>367.16230000000002</v>
      </c>
      <c r="M1355">
        <v>0.99967910000000004</v>
      </c>
      <c r="N1355">
        <v>-1.3979790000000001E-2</v>
      </c>
      <c r="O1355">
        <v>2.1125519999999998E-2</v>
      </c>
      <c r="P1355">
        <v>0.95832139999999999</v>
      </c>
      <c r="Q1355">
        <v>0.28328809999999999</v>
      </c>
      <c r="R1355">
        <v>3.6989359999999999E-2</v>
      </c>
      <c r="S1355">
        <v>3.207916</v>
      </c>
      <c r="T1355">
        <v>-0.25999670000000003</v>
      </c>
      <c r="U1355">
        <v>3.3142089999999999E-2</v>
      </c>
      <c r="V1355">
        <v>-1.61304E-2</v>
      </c>
      <c r="W1355">
        <v>0.29669899999999999</v>
      </c>
      <c r="X1355">
        <v>0.95483479999999998</v>
      </c>
      <c r="Y1355">
        <v>1.0709359999999999E-2</v>
      </c>
      <c r="Z1355">
        <v>-1.9225119999999999E-3</v>
      </c>
      <c r="AA1355">
        <v>0.99994079999999996</v>
      </c>
      <c r="AB1355">
        <v>31</v>
      </c>
      <c r="AC1355">
        <v>0.63630000000000497</v>
      </c>
      <c r="AD1355">
        <v>-6.5700999999999996E-2</v>
      </c>
      <c r="AE1355">
        <v>4.9999999999954499E-3</v>
      </c>
      <c r="AF1355">
        <v>8.3555207396462296E-3</v>
      </c>
      <c r="AG1355">
        <v>-6.5700999999999996E-2</v>
      </c>
      <c r="AH1355">
        <v>0.62955202557363299</v>
      </c>
      <c r="AI1355">
        <v>95.957385796824695</v>
      </c>
      <c r="AJ1355">
        <v>89.239605389737903</v>
      </c>
      <c r="AK1355">
        <v>0.63302621512200796</v>
      </c>
      <c r="AL1355">
        <v>72.740554986819106</v>
      </c>
      <c r="AM1355">
        <v>90.967828087540198</v>
      </c>
      <c r="AN1355">
        <v>0.99999999084809998</v>
      </c>
    </row>
    <row r="1356" spans="1:40" x14ac:dyDescent="0.25">
      <c r="A1356" t="str">
        <f>"20190304164119142"</f>
        <v>20190304164119142</v>
      </c>
      <c r="B1356" t="str">
        <f>"1551688879132226"</f>
        <v>1551688879132226</v>
      </c>
      <c r="C1356" t="s">
        <v>40</v>
      </c>
      <c r="D1356">
        <v>4.4597499999999997</v>
      </c>
      <c r="E1356">
        <v>0.52610230000000002</v>
      </c>
      <c r="F1356" t="s">
        <v>41</v>
      </c>
      <c r="G1356">
        <v>-243.1884</v>
      </c>
      <c r="H1356">
        <v>1.035404</v>
      </c>
      <c r="I1356">
        <v>367.16860000000003</v>
      </c>
      <c r="J1356">
        <v>-243.91030000000001</v>
      </c>
      <c r="K1356">
        <v>1.1095839999999999</v>
      </c>
      <c r="L1356">
        <v>367.16550000000001</v>
      </c>
      <c r="M1356">
        <v>0.99969300000000005</v>
      </c>
      <c r="N1356">
        <v>-1.3928919999999999E-2</v>
      </c>
      <c r="O1356">
        <v>2.0494970000000001E-2</v>
      </c>
      <c r="P1356">
        <v>0.95849519999999999</v>
      </c>
      <c r="Q1356">
        <v>0.28288600000000003</v>
      </c>
      <c r="R1356">
        <v>3.5530399999999997E-2</v>
      </c>
      <c r="S1356">
        <v>3.2077330000000002</v>
      </c>
      <c r="T1356">
        <v>-0.264466799999999</v>
      </c>
      <c r="U1356">
        <v>2.3742679999999999E-2</v>
      </c>
      <c r="V1356">
        <v>-1.526482E-2</v>
      </c>
      <c r="W1356">
        <v>0.29624909999999999</v>
      </c>
      <c r="X1356">
        <v>0.95498870000000002</v>
      </c>
      <c r="Y1356">
        <v>1.2996870000000001E-2</v>
      </c>
      <c r="Z1356">
        <v>-2.0271949999999999E-3</v>
      </c>
      <c r="AA1356">
        <v>0.99991350000000001</v>
      </c>
      <c r="AB1356">
        <v>31</v>
      </c>
      <c r="AC1356">
        <v>0.72190000000000498</v>
      </c>
      <c r="AD1356">
        <v>-7.4179999999999899E-2</v>
      </c>
      <c r="AE1356">
        <v>3.1000000000176399E-3</v>
      </c>
      <c r="AF1356">
        <v>1.15751852167847E-2</v>
      </c>
      <c r="AG1356">
        <v>-7.4179999999999899E-2</v>
      </c>
      <c r="AH1356">
        <v>0.71427009738520597</v>
      </c>
      <c r="AI1356">
        <v>95.928382776327595</v>
      </c>
      <c r="AJ1356">
        <v>89.071568005133003</v>
      </c>
      <c r="AK1356">
        <v>0.718205005086621</v>
      </c>
      <c r="AL1356">
        <v>72.767545660006206</v>
      </c>
      <c r="AM1356">
        <v>90.915754590112698</v>
      </c>
      <c r="AN1356">
        <v>0.99999998055406603</v>
      </c>
    </row>
    <row r="1357" spans="1:40" x14ac:dyDescent="0.25">
      <c r="A1357" t="str">
        <f>"20190304164119154"</f>
        <v>20190304164119154</v>
      </c>
      <c r="B1357" t="str">
        <f>"1551688879141986"</f>
        <v>1551688879141986</v>
      </c>
      <c r="C1357" t="s">
        <v>40</v>
      </c>
      <c r="D1357">
        <v>4.5275290000000004</v>
      </c>
      <c r="E1357">
        <v>0.52610230000000002</v>
      </c>
      <c r="F1357" t="s">
        <v>41</v>
      </c>
      <c r="G1357">
        <v>-242.91749999999999</v>
      </c>
      <c r="H1357">
        <v>1.0272810000000001</v>
      </c>
      <c r="I1357">
        <v>367.17140000000001</v>
      </c>
      <c r="J1357">
        <v>-243.74529999999999</v>
      </c>
      <c r="K1357">
        <v>1.1095729999999999</v>
      </c>
      <c r="L1357">
        <v>367.16829999999999</v>
      </c>
      <c r="M1357">
        <v>0.99970530000000002</v>
      </c>
      <c r="N1357">
        <v>-1.3879290000000001E-2</v>
      </c>
      <c r="O1357">
        <v>1.9922970000000002E-2</v>
      </c>
      <c r="P1357">
        <v>0.95855990000000002</v>
      </c>
      <c r="Q1357">
        <v>0.28284880000000001</v>
      </c>
      <c r="R1357">
        <v>3.4057869999999997E-2</v>
      </c>
      <c r="S1357">
        <v>3.2076720000000001</v>
      </c>
      <c r="T1357">
        <v>-0.26600380000000001</v>
      </c>
      <c r="U1357">
        <v>1.9409180000000002E-2</v>
      </c>
      <c r="V1357">
        <v>-1.433807E-2</v>
      </c>
      <c r="W1357">
        <v>0.2961625</v>
      </c>
      <c r="X1357">
        <v>0.95503000000000005</v>
      </c>
      <c r="Y1357">
        <v>1.3772360000000001E-2</v>
      </c>
      <c r="Z1357">
        <v>-2.0388979999999999E-3</v>
      </c>
      <c r="AA1357">
        <v>0.99990310000000004</v>
      </c>
      <c r="AB1357">
        <v>31</v>
      </c>
      <c r="AC1357">
        <v>0.82779999999999598</v>
      </c>
      <c r="AD1357">
        <v>-8.2292000000000004E-2</v>
      </c>
      <c r="AE1357">
        <v>3.1000000000176399E-3</v>
      </c>
      <c r="AF1357">
        <v>1.3263364042317901E-2</v>
      </c>
      <c r="AG1357">
        <v>-8.2292000000000004E-2</v>
      </c>
      <c r="AH1357">
        <v>0.81959791463615606</v>
      </c>
      <c r="AI1357">
        <v>95.732840423421905</v>
      </c>
      <c r="AJ1357">
        <v>89.072876539984506</v>
      </c>
      <c r="AK1357">
        <v>0.82382560761708201</v>
      </c>
      <c r="AL1357">
        <v>72.7727419030129</v>
      </c>
      <c r="AM1357">
        <v>90.860129193624601</v>
      </c>
      <c r="AN1357">
        <v>1.0000000537787801</v>
      </c>
    </row>
    <row r="1358" spans="1:40" x14ac:dyDescent="0.25">
      <c r="A1358" t="str">
        <f>"20190304164119166"</f>
        <v>20190304164119166</v>
      </c>
      <c r="B1358" t="str">
        <f>"1551688879152723"</f>
        <v>1551688879152723</v>
      </c>
      <c r="C1358" t="s">
        <v>40</v>
      </c>
      <c r="D1358">
        <v>4.5834510000000002</v>
      </c>
      <c r="E1358">
        <v>0.54587980000000003</v>
      </c>
      <c r="F1358" t="s">
        <v>41</v>
      </c>
      <c r="G1358">
        <v>-242.9091</v>
      </c>
      <c r="H1358">
        <v>1.040211</v>
      </c>
      <c r="I1358">
        <v>367.1721</v>
      </c>
      <c r="J1358">
        <v>-243.5932</v>
      </c>
      <c r="K1358">
        <v>1.109567</v>
      </c>
      <c r="L1358">
        <v>367.17079999999999</v>
      </c>
      <c r="M1358">
        <v>0.9997161</v>
      </c>
      <c r="N1358">
        <v>-1.383362E-2</v>
      </c>
      <c r="O1358">
        <v>1.9401229999999998E-2</v>
      </c>
      <c r="P1358">
        <v>0.9585745</v>
      </c>
      <c r="Q1358">
        <v>0.28293430000000003</v>
      </c>
      <c r="R1358">
        <v>3.2913890000000001E-2</v>
      </c>
      <c r="S1358">
        <v>3.2077179999999998</v>
      </c>
      <c r="T1358">
        <v>-0.26615040000000001</v>
      </c>
      <c r="U1358">
        <v>1.467896E-2</v>
      </c>
      <c r="V1358">
        <v>-1.3694410000000001E-2</v>
      </c>
      <c r="W1358">
        <v>0.29620350000000001</v>
      </c>
      <c r="X1358">
        <v>0.95502670000000001</v>
      </c>
      <c r="Y1358">
        <v>1.4722320000000001E-2</v>
      </c>
      <c r="Z1358">
        <v>-2.05062E-3</v>
      </c>
      <c r="AA1358">
        <v>0.99988949999999999</v>
      </c>
      <c r="AB1358">
        <v>31</v>
      </c>
      <c r="AC1358">
        <v>0.68410000000000004</v>
      </c>
      <c r="AD1358">
        <v>-6.9355999999999904E-2</v>
      </c>
      <c r="AE1358">
        <v>1.3000000000147299E-3</v>
      </c>
      <c r="AF1358">
        <v>1.1852075064269999E-2</v>
      </c>
      <c r="AG1358">
        <v>-6.9355999999999904E-2</v>
      </c>
      <c r="AH1358">
        <v>0.67703754525478699</v>
      </c>
      <c r="AI1358">
        <v>95.848110095454402</v>
      </c>
      <c r="AJ1358">
        <v>88.997094726599101</v>
      </c>
      <c r="AK1358">
        <v>0.68068389440617505</v>
      </c>
      <c r="AL1358">
        <v>72.770281893056904</v>
      </c>
      <c r="AM1358">
        <v>90.821524806677999</v>
      </c>
      <c r="AN1358">
        <v>1.0000000239951901</v>
      </c>
    </row>
    <row r="1359" spans="1:40" x14ac:dyDescent="0.25">
      <c r="A1359" t="str">
        <f>"20190304164119177"</f>
        <v>20190304164119177</v>
      </c>
      <c r="B1359" t="str">
        <f>"1551688879162482"</f>
        <v>1551688879162482</v>
      </c>
      <c r="C1359" t="s">
        <v>40</v>
      </c>
      <c r="D1359">
        <v>4.5510279999999996</v>
      </c>
      <c r="E1359">
        <v>0.55332269999999995</v>
      </c>
      <c r="F1359" t="s">
        <v>41</v>
      </c>
      <c r="G1359">
        <v>-242.6328</v>
      </c>
      <c r="H1359">
        <v>1.044951</v>
      </c>
      <c r="I1359">
        <v>367.12459999999999</v>
      </c>
      <c r="J1359">
        <v>-243.43260000000001</v>
      </c>
      <c r="K1359">
        <v>1.109564</v>
      </c>
      <c r="L1359">
        <v>367.17340000000002</v>
      </c>
      <c r="M1359">
        <v>0.99972709999999998</v>
      </c>
      <c r="N1359">
        <v>-1.37856E-2</v>
      </c>
      <c r="O1359">
        <v>1.8862810000000001E-2</v>
      </c>
      <c r="P1359">
        <v>0.9585612</v>
      </c>
      <c r="Q1359">
        <v>0.28309329999999999</v>
      </c>
      <c r="R1359">
        <v>3.1922159999999998E-2</v>
      </c>
      <c r="S1359">
        <v>3.1984859999999999</v>
      </c>
      <c r="T1359">
        <v>-0.21547140000000001</v>
      </c>
      <c r="U1359">
        <v>-0.1525879</v>
      </c>
      <c r="V1359">
        <v>-1.322397E-2</v>
      </c>
      <c r="W1359">
        <v>0.29631459999999998</v>
      </c>
      <c r="X1359">
        <v>0.95499889999999998</v>
      </c>
      <c r="Y1359">
        <v>6.6279080000000004E-2</v>
      </c>
      <c r="Z1359">
        <v>-3.695467E-3</v>
      </c>
      <c r="AA1359">
        <v>0.99779430000000002</v>
      </c>
      <c r="AB1359">
        <v>31</v>
      </c>
      <c r="AC1359">
        <v>0.79980000000000395</v>
      </c>
      <c r="AD1359">
        <v>-6.4613000000000004E-2</v>
      </c>
      <c r="AE1359">
        <v>-4.88000000000283E-2</v>
      </c>
      <c r="AF1359">
        <v>6.3466549248693202E-2</v>
      </c>
      <c r="AG1359">
        <v>-6.4613000000000004E-2</v>
      </c>
      <c r="AH1359">
        <v>0.79357705027029102</v>
      </c>
      <c r="AI1359">
        <v>94.640001400368803</v>
      </c>
      <c r="AJ1359">
        <v>85.427485911637902</v>
      </c>
      <c r="AK1359">
        <v>0.79872860056356598</v>
      </c>
      <c r="AL1359">
        <v>72.763617726951196</v>
      </c>
      <c r="AM1359">
        <v>90.793329970000798</v>
      </c>
      <c r="AN1359">
        <v>1.00000005727846</v>
      </c>
    </row>
    <row r="1360" spans="1:40" x14ac:dyDescent="0.25">
      <c r="A1360" t="str">
        <f>"20190304164119188"</f>
        <v>20190304164119188</v>
      </c>
      <c r="B1360" t="str">
        <f>"1551688879182002"</f>
        <v>1551688879182002</v>
      </c>
      <c r="C1360" t="s">
        <v>40</v>
      </c>
      <c r="D1360">
        <v>4.5479129999999897</v>
      </c>
      <c r="E1360">
        <v>0.56119379999999996</v>
      </c>
      <c r="F1360" t="s">
        <v>42</v>
      </c>
      <c r="G1360">
        <v>-226.9846</v>
      </c>
      <c r="H1360" s="1">
        <v>-1.957405E-6</v>
      </c>
      <c r="I1360">
        <v>366.0641</v>
      </c>
      <c r="J1360">
        <v>-243.27209999999999</v>
      </c>
      <c r="K1360">
        <v>1.1095680000000001</v>
      </c>
      <c r="L1360">
        <v>367.17590000000001</v>
      </c>
      <c r="M1360">
        <v>0.99973749999999995</v>
      </c>
      <c r="N1360">
        <v>-1.3737589999999999E-2</v>
      </c>
      <c r="O1360">
        <v>1.8340209999999999E-2</v>
      </c>
      <c r="P1360">
        <v>0.95844439999999997</v>
      </c>
      <c r="Q1360">
        <v>0.28362480000000001</v>
      </c>
      <c r="R1360">
        <v>3.068775E-2</v>
      </c>
      <c r="S1360">
        <v>3.2006679999999998</v>
      </c>
      <c r="T1360">
        <v>-0.2159133</v>
      </c>
      <c r="U1360">
        <v>-0.21585080000000001</v>
      </c>
      <c r="V1360">
        <v>-1.249978E-2</v>
      </c>
      <c r="W1360">
        <v>0.29679640000000002</v>
      </c>
      <c r="X1360">
        <v>0.95485900000000001</v>
      </c>
      <c r="Y1360">
        <v>8.5316569999999994E-2</v>
      </c>
      <c r="Z1360">
        <v>-4.4417980000000003E-3</v>
      </c>
      <c r="AA1360">
        <v>0.99634400000000001</v>
      </c>
      <c r="AB1360">
        <v>31</v>
      </c>
      <c r="AC1360">
        <v>16.287499999999898</v>
      </c>
      <c r="AD1360">
        <v>-1.109569957405</v>
      </c>
      <c r="AE1360">
        <v>-1.1118000000000099</v>
      </c>
      <c r="AF1360">
        <v>1.40387231460675</v>
      </c>
      <c r="AG1360">
        <v>-1.109569957405</v>
      </c>
      <c r="AH1360">
        <v>16.189581954407402</v>
      </c>
      <c r="AI1360">
        <v>93.906082595114</v>
      </c>
      <c r="AJ1360">
        <v>85.044019471064004</v>
      </c>
      <c r="AK1360">
        <v>16.288172605438898</v>
      </c>
      <c r="AL1360">
        <v>72.734711821800403</v>
      </c>
      <c r="AM1360">
        <v>90.749999458558193</v>
      </c>
      <c r="AN1360">
        <v>1.0000000287169999</v>
      </c>
    </row>
    <row r="1361" spans="1:40" x14ac:dyDescent="0.25">
      <c r="A1361" t="str">
        <f>"20190304164119199"</f>
        <v>20190304164119199</v>
      </c>
      <c r="B1361" t="str">
        <f>"1551688879192739"</f>
        <v>1551688879192739</v>
      </c>
      <c r="C1361" t="s">
        <v>40</v>
      </c>
      <c r="D1361">
        <v>4.539485</v>
      </c>
      <c r="E1361">
        <v>0.56348009999999904</v>
      </c>
      <c r="F1361" t="s">
        <v>41</v>
      </c>
      <c r="G1361">
        <v>-242.3562</v>
      </c>
      <c r="H1361">
        <v>1.0453600000000001</v>
      </c>
      <c r="I1361">
        <v>367.09539999999998</v>
      </c>
      <c r="J1361">
        <v>-243.12299999999999</v>
      </c>
      <c r="K1361">
        <v>1.1095759999999999</v>
      </c>
      <c r="L1361">
        <v>367.17809999999997</v>
      </c>
      <c r="M1361">
        <v>0.99974669999999999</v>
      </c>
      <c r="N1361">
        <v>-1.3692950000000001E-2</v>
      </c>
      <c r="O1361">
        <v>1.786488E-2</v>
      </c>
      <c r="P1361">
        <v>0.95833029999999997</v>
      </c>
      <c r="Q1361">
        <v>0.2840973</v>
      </c>
      <c r="R1361">
        <v>2.9862799999999998E-2</v>
      </c>
      <c r="S1361">
        <v>3.2055820000000002</v>
      </c>
      <c r="T1361">
        <v>-0.2247431</v>
      </c>
      <c r="U1361">
        <v>-0.28115839999999998</v>
      </c>
      <c r="V1361">
        <v>-1.214113E-2</v>
      </c>
      <c r="W1361">
        <v>0.29722300000000001</v>
      </c>
      <c r="X1361">
        <v>0.95473090000000005</v>
      </c>
      <c r="Y1361">
        <v>0.1048239</v>
      </c>
      <c r="Z1361">
        <v>-5.3881060000000001E-3</v>
      </c>
      <c r="AA1361">
        <v>0.99447620000000003</v>
      </c>
      <c r="AB1361">
        <v>31</v>
      </c>
      <c r="AC1361">
        <v>0.76679999999998905</v>
      </c>
      <c r="AD1361">
        <v>-6.4215999999999995E-2</v>
      </c>
      <c r="AE1361">
        <v>-8.2699999999988394E-2</v>
      </c>
      <c r="AF1361">
        <v>9.5723256408348695E-2</v>
      </c>
      <c r="AG1361">
        <v>-6.4215999999999995E-2</v>
      </c>
      <c r="AH1361">
        <v>0.75993169260055304</v>
      </c>
      <c r="AI1361">
        <v>94.792459891645507</v>
      </c>
      <c r="AJ1361">
        <v>82.820664567798602</v>
      </c>
      <c r="AK1361">
        <v>0.76862397431524299</v>
      </c>
      <c r="AL1361">
        <v>72.709113921363496</v>
      </c>
      <c r="AM1361">
        <v>90.728580181506103</v>
      </c>
      <c r="AN1361">
        <v>1.0000000050907401</v>
      </c>
    </row>
    <row r="1362" spans="1:40" x14ac:dyDescent="0.25">
      <c r="A1362" t="str">
        <f>"20190304164119210"</f>
        <v>20190304164119210</v>
      </c>
      <c r="B1362" t="str">
        <f>"1551688879202498"</f>
        <v>1551688879202498</v>
      </c>
      <c r="C1362" t="s">
        <v>40</v>
      </c>
      <c r="D1362">
        <v>4.5483770000000003</v>
      </c>
      <c r="E1362">
        <v>0.56500079999999997</v>
      </c>
      <c r="F1362" t="s">
        <v>42</v>
      </c>
      <c r="G1362">
        <v>-227.13300000000001</v>
      </c>
      <c r="H1362" s="1">
        <v>-2.0103710000000001E-6</v>
      </c>
      <c r="I1362">
        <v>365.67520000000002</v>
      </c>
      <c r="J1362">
        <v>-242.97559999999999</v>
      </c>
      <c r="K1362">
        <v>1.1095950000000001</v>
      </c>
      <c r="L1362">
        <v>367.18029999999999</v>
      </c>
      <c r="M1362">
        <v>0.99975519999999996</v>
      </c>
      <c r="N1362">
        <v>-1.364778E-2</v>
      </c>
      <c r="O1362">
        <v>1.741881E-2</v>
      </c>
      <c r="P1362">
        <v>0.95823809999999998</v>
      </c>
      <c r="Q1362">
        <v>0.28447749999999999</v>
      </c>
      <c r="R1362">
        <v>2.9198080000000001E-2</v>
      </c>
      <c r="S1362">
        <v>3.2057950000000002</v>
      </c>
      <c r="T1362">
        <v>-0.2224554</v>
      </c>
      <c r="U1362">
        <v>-0.30130000000000001</v>
      </c>
      <c r="V1362">
        <v>-1.1918120000000001E-2</v>
      </c>
      <c r="W1362">
        <v>0.29755769999999998</v>
      </c>
      <c r="X1362">
        <v>0.95462950000000002</v>
      </c>
      <c r="Y1362">
        <v>0.1105607</v>
      </c>
      <c r="Z1362">
        <v>-5.5480919999999897E-3</v>
      </c>
      <c r="AA1362">
        <v>0.99385389999999996</v>
      </c>
      <c r="AB1362">
        <v>31</v>
      </c>
      <c r="AC1362">
        <v>15.842599999999999</v>
      </c>
      <c r="AD1362">
        <v>-1.109597010371</v>
      </c>
      <c r="AE1362">
        <v>-1.5050999999999699</v>
      </c>
      <c r="AF1362">
        <v>1.77224067935781</v>
      </c>
      <c r="AG1362">
        <v>-1.109597010371</v>
      </c>
      <c r="AH1362">
        <v>15.737467830940499</v>
      </c>
      <c r="AI1362">
        <v>94.007813004629995</v>
      </c>
      <c r="AJ1362">
        <v>83.574829858960996</v>
      </c>
      <c r="AK1362">
        <v>15.8757656911684</v>
      </c>
      <c r="AL1362">
        <v>72.689029147743994</v>
      </c>
      <c r="AM1362">
        <v>90.715274880349199</v>
      </c>
      <c r="AN1362">
        <v>1.0000000543419301</v>
      </c>
    </row>
    <row r="1363" spans="1:40" x14ac:dyDescent="0.25">
      <c r="A1363" t="str">
        <f>"20190304164119221"</f>
        <v>20190304164119221</v>
      </c>
      <c r="B1363" t="str">
        <f>"1551688879212258"</f>
        <v>1551688879212258</v>
      </c>
      <c r="C1363" t="s">
        <v>40</v>
      </c>
      <c r="D1363">
        <v>4.5496939999999997</v>
      </c>
      <c r="E1363">
        <v>0.5660539</v>
      </c>
      <c r="F1363" t="s">
        <v>41</v>
      </c>
      <c r="G1363">
        <v>-242.0787</v>
      </c>
      <c r="H1363">
        <v>1.047984</v>
      </c>
      <c r="I1363">
        <v>367.09190000000001</v>
      </c>
      <c r="J1363">
        <v>-242.8278</v>
      </c>
      <c r="K1363">
        <v>1.1096090000000001</v>
      </c>
      <c r="L1363">
        <v>367.18239999999997</v>
      </c>
      <c r="M1363">
        <v>0.99976350000000003</v>
      </c>
      <c r="N1363">
        <v>-1.360223E-2</v>
      </c>
      <c r="O1363">
        <v>1.6978179999999999E-2</v>
      </c>
      <c r="P1363">
        <v>0.95810569999999895</v>
      </c>
      <c r="Q1363">
        <v>0.28500229999999999</v>
      </c>
      <c r="R1363">
        <v>2.8414459999999999E-2</v>
      </c>
      <c r="S1363">
        <v>3.205765</v>
      </c>
      <c r="T1363">
        <v>-0.22035689999999999</v>
      </c>
      <c r="U1363">
        <v>-0.3155212</v>
      </c>
      <c r="V1363">
        <v>-1.157218E-2</v>
      </c>
      <c r="W1363">
        <v>0.29803560000000001</v>
      </c>
      <c r="X1363">
        <v>0.95448460000000002</v>
      </c>
      <c r="Y1363">
        <v>0.11448709999999999</v>
      </c>
      <c r="Z1363">
        <v>-5.635284E-3</v>
      </c>
      <c r="AA1363">
        <v>0.99340870000000003</v>
      </c>
      <c r="AB1363">
        <v>31</v>
      </c>
      <c r="AC1363">
        <v>0.74909999999999799</v>
      </c>
      <c r="AD1363">
        <v>-6.1624999999999999E-2</v>
      </c>
      <c r="AE1363">
        <v>-9.0499999999963096E-2</v>
      </c>
      <c r="AF1363">
        <v>0.102522631797169</v>
      </c>
      <c r="AG1363">
        <v>-6.1624999999999999E-2</v>
      </c>
      <c r="AH1363">
        <v>0.742502667978721</v>
      </c>
      <c r="AI1363">
        <v>94.700075722346298</v>
      </c>
      <c r="AJ1363">
        <v>82.138472907426305</v>
      </c>
      <c r="AK1363">
        <v>0.75207628776018198</v>
      </c>
      <c r="AL1363">
        <v>72.6603450294662</v>
      </c>
      <c r="AM1363">
        <v>90.694620520510298</v>
      </c>
      <c r="AN1363">
        <v>0.99999999292723596</v>
      </c>
    </row>
    <row r="1364" spans="1:40" x14ac:dyDescent="0.25">
      <c r="A1364" t="str">
        <f>"20190304164119232"</f>
        <v>20190304164119232</v>
      </c>
      <c r="B1364" t="str">
        <f>"1551688879222994"</f>
        <v>1551688879222994</v>
      </c>
      <c r="C1364" t="s">
        <v>40</v>
      </c>
      <c r="D1364">
        <v>4.5479580000000004</v>
      </c>
      <c r="E1364">
        <v>0.56675050000000005</v>
      </c>
      <c r="F1364" t="s">
        <v>42</v>
      </c>
      <c r="G1364">
        <v>-226.53299999999999</v>
      </c>
      <c r="H1364" s="1">
        <v>-2.2548719999999999E-6</v>
      </c>
      <c r="I1364">
        <v>365.52370000000002</v>
      </c>
      <c r="J1364">
        <v>-242.6696</v>
      </c>
      <c r="K1364">
        <v>1.1096330000000001</v>
      </c>
      <c r="L1364">
        <v>367.18459999999999</v>
      </c>
      <c r="M1364">
        <v>0.99977119999999997</v>
      </c>
      <c r="N1364">
        <v>-1.355438E-2</v>
      </c>
      <c r="O1364">
        <v>1.6543430000000001E-2</v>
      </c>
      <c r="P1364">
        <v>0.95804350000000005</v>
      </c>
      <c r="Q1364">
        <v>0.28525220000000001</v>
      </c>
      <c r="R1364">
        <v>2.8000560000000001E-2</v>
      </c>
      <c r="S1364">
        <v>3.2058110000000002</v>
      </c>
      <c r="T1364">
        <v>-0.21830179999999999</v>
      </c>
      <c r="U1364">
        <v>-0.32632450000000002</v>
      </c>
      <c r="V1364">
        <v>-1.159553E-2</v>
      </c>
      <c r="W1364">
        <v>0.29823810000000001</v>
      </c>
      <c r="X1364">
        <v>0.95442099999999996</v>
      </c>
      <c r="Y1364">
        <v>0.1173667</v>
      </c>
      <c r="Z1364">
        <v>-5.6789240000000001E-3</v>
      </c>
      <c r="AA1364">
        <v>0.99307239999999997</v>
      </c>
      <c r="AB1364">
        <v>31</v>
      </c>
      <c r="AC1364">
        <v>16.136600000000001</v>
      </c>
      <c r="AD1364">
        <v>-1.1096352548720001</v>
      </c>
      <c r="AE1364">
        <v>-1.6608999999999601</v>
      </c>
      <c r="AF1364">
        <v>1.91867430407756</v>
      </c>
      <c r="AG1364">
        <v>-1.1096352548720001</v>
      </c>
      <c r="AH1364">
        <v>16.031897366550702</v>
      </c>
      <c r="AI1364">
        <v>93.931402452565706</v>
      </c>
      <c r="AJ1364">
        <v>83.175383296158699</v>
      </c>
      <c r="AK1364">
        <v>16.184385519864399</v>
      </c>
      <c r="AL1364">
        <v>72.648188780577399</v>
      </c>
      <c r="AM1364">
        <v>90.696068343787104</v>
      </c>
      <c r="AN1364">
        <v>0.99999993292429301</v>
      </c>
    </row>
    <row r="1365" spans="1:40" x14ac:dyDescent="0.25">
      <c r="A1365" t="str">
        <f>"20190304164119245"</f>
        <v>20190304164119245</v>
      </c>
      <c r="B1365" t="str">
        <f>"1551688879232755"</f>
        <v>1551688879232755</v>
      </c>
      <c r="C1365" t="s">
        <v>40</v>
      </c>
      <c r="D1365">
        <v>4.5589829999999996</v>
      </c>
      <c r="E1365">
        <v>0.56732539999999998</v>
      </c>
      <c r="F1365" t="s">
        <v>41</v>
      </c>
      <c r="G1365">
        <v>-241.7929</v>
      </c>
      <c r="H1365">
        <v>1.0498510000000001</v>
      </c>
      <c r="I1365">
        <v>367.09350000000001</v>
      </c>
      <c r="J1365">
        <v>-242.4957</v>
      </c>
      <c r="K1365">
        <v>1.1096629999999901</v>
      </c>
      <c r="L1365">
        <v>367.18709999999999</v>
      </c>
      <c r="M1365">
        <v>0.99977959999999999</v>
      </c>
      <c r="N1365">
        <v>-1.3502790000000001E-2</v>
      </c>
      <c r="O1365">
        <v>1.608151E-2</v>
      </c>
      <c r="P1365">
        <v>0.95793249999999996</v>
      </c>
      <c r="Q1365">
        <v>0.285643599999999</v>
      </c>
      <c r="R1365">
        <v>2.7806569999999999E-2</v>
      </c>
      <c r="S1365">
        <v>3.206223</v>
      </c>
      <c r="T1365">
        <v>-0.21870429999999999</v>
      </c>
      <c r="U1365">
        <v>-0.33294679999999999</v>
      </c>
      <c r="V1365">
        <v>-1.1869090000000001E-2</v>
      </c>
      <c r="W1365">
        <v>0.29857810000000001</v>
      </c>
      <c r="X1365">
        <v>0.95431140000000003</v>
      </c>
      <c r="Y1365">
        <v>0.1189201</v>
      </c>
      <c r="Z1365">
        <v>-5.723171E-3</v>
      </c>
      <c r="AA1365">
        <v>0.99288730000000003</v>
      </c>
      <c r="AB1365">
        <v>31</v>
      </c>
      <c r="AC1365">
        <v>0.70279999999999598</v>
      </c>
      <c r="AD1365">
        <v>-5.9811999999999699E-2</v>
      </c>
      <c r="AE1365">
        <v>-9.3599999999980796E-2</v>
      </c>
      <c r="AF1365">
        <v>0.104149807605594</v>
      </c>
      <c r="AG1365">
        <v>-5.9811999999999699E-2</v>
      </c>
      <c r="AH1365">
        <v>0.69624875423007104</v>
      </c>
      <c r="AI1365">
        <v>94.856232091171904</v>
      </c>
      <c r="AJ1365">
        <v>81.4923746040553</v>
      </c>
      <c r="AK1365">
        <v>0.70653165925895201</v>
      </c>
      <c r="AL1365">
        <v>72.627779527791503</v>
      </c>
      <c r="AM1365">
        <v>90.712570028974696</v>
      </c>
      <c r="AN1365">
        <v>1.0000000026334901</v>
      </c>
    </row>
    <row r="1366" spans="1:40" x14ac:dyDescent="0.25">
      <c r="A1366" t="str">
        <f>"20190304164119257"</f>
        <v>20190304164119257</v>
      </c>
      <c r="B1366" t="str">
        <f>"1551688879242515"</f>
        <v>1551688879242515</v>
      </c>
      <c r="C1366" t="s">
        <v>40</v>
      </c>
      <c r="D1366">
        <v>4.5257259999999997</v>
      </c>
      <c r="E1366">
        <v>0.56777659999999996</v>
      </c>
      <c r="F1366" t="s">
        <v>41</v>
      </c>
      <c r="G1366">
        <v>-241.53210000000001</v>
      </c>
      <c r="H1366">
        <v>1.0442209999999901</v>
      </c>
      <c r="I1366">
        <v>367.08519999999999</v>
      </c>
      <c r="J1366">
        <v>-242.33349999999999</v>
      </c>
      <c r="K1366">
        <v>1.1096969999999999</v>
      </c>
      <c r="L1366">
        <v>367.18920000000003</v>
      </c>
      <c r="M1366">
        <v>0.99978639999999996</v>
      </c>
      <c r="N1366">
        <v>-1.345708E-2</v>
      </c>
      <c r="O1366">
        <v>1.5684969999999999E-2</v>
      </c>
      <c r="P1366">
        <v>0.95783030000000002</v>
      </c>
      <c r="Q1366">
        <v>0.28598499999999999</v>
      </c>
      <c r="R1366">
        <v>2.7813859999999999E-2</v>
      </c>
      <c r="S1366">
        <v>3.206604</v>
      </c>
      <c r="T1366">
        <v>-0.21817120000000001</v>
      </c>
      <c r="U1366">
        <v>-0.33779910000000002</v>
      </c>
      <c r="V1366">
        <v>-1.2282909999999999E-2</v>
      </c>
      <c r="W1366">
        <v>0.29887390000000003</v>
      </c>
      <c r="X1366">
        <v>0.9542136</v>
      </c>
      <c r="Y1366">
        <v>0.1199998</v>
      </c>
      <c r="Z1366">
        <v>-5.7300750000000003E-3</v>
      </c>
      <c r="AA1366">
        <v>0.99275740000000001</v>
      </c>
      <c r="AB1366">
        <v>31</v>
      </c>
      <c r="AC1366">
        <v>0.80139999999997202</v>
      </c>
      <c r="AD1366">
        <v>-6.5476000000000006E-2</v>
      </c>
      <c r="AE1366">
        <v>-0.104000000000041</v>
      </c>
      <c r="AF1366">
        <v>0.115798101773567</v>
      </c>
      <c r="AG1366">
        <v>-6.5476000000000006E-2</v>
      </c>
      <c r="AH1366">
        <v>0.794454683247792</v>
      </c>
      <c r="AI1366">
        <v>94.662410437854405</v>
      </c>
      <c r="AJ1366">
        <v>81.707083164489603</v>
      </c>
      <c r="AK1366">
        <v>0.80551508408267003</v>
      </c>
      <c r="AL1366">
        <v>72.610021144082694</v>
      </c>
      <c r="AM1366">
        <v>90.737486907598907</v>
      </c>
      <c r="AN1366">
        <v>1.00000003620211</v>
      </c>
    </row>
    <row r="1367" spans="1:40" x14ac:dyDescent="0.25">
      <c r="A1367" t="str">
        <f>"20190304164119267"</f>
        <v>20190304164119267</v>
      </c>
      <c r="B1367" t="str">
        <f>"1551688879262034"</f>
        <v>1551688879262034</v>
      </c>
      <c r="C1367" t="s">
        <v>40</v>
      </c>
      <c r="D1367">
        <v>4.5210489999999997</v>
      </c>
      <c r="E1367">
        <v>0.56834419999999897</v>
      </c>
      <c r="F1367" t="s">
        <v>42</v>
      </c>
      <c r="G1367">
        <v>-225.99019999999999</v>
      </c>
      <c r="H1367" s="1">
        <v>-2.4590329999999999E-6</v>
      </c>
      <c r="I1367">
        <v>365.45060000000001</v>
      </c>
      <c r="J1367">
        <v>-242.18709999999999</v>
      </c>
      <c r="K1367">
        <v>1.109729</v>
      </c>
      <c r="L1367">
        <v>367.19110000000001</v>
      </c>
      <c r="M1367">
        <v>0.99979220000000002</v>
      </c>
      <c r="N1367">
        <v>-1.341768E-2</v>
      </c>
      <c r="O1367">
        <v>1.534889E-2</v>
      </c>
      <c r="P1367">
        <v>0.95764499999999997</v>
      </c>
      <c r="Q1367">
        <v>0.28659259999999998</v>
      </c>
      <c r="R1367">
        <v>2.79446E-2</v>
      </c>
      <c r="S1367">
        <v>3.207001</v>
      </c>
      <c r="T1367">
        <v>-0.2177521</v>
      </c>
      <c r="U1367">
        <v>-0.34115600000000001</v>
      </c>
      <c r="V1367">
        <v>-1.276192E-2</v>
      </c>
      <c r="W1367">
        <v>0.29944130000000002</v>
      </c>
      <c r="X1367">
        <v>0.95402940000000003</v>
      </c>
      <c r="Y1367">
        <v>0.1206811</v>
      </c>
      <c r="Z1367">
        <v>-5.7270109999999997E-3</v>
      </c>
      <c r="AA1367">
        <v>0.99267479999999997</v>
      </c>
      <c r="AB1367">
        <v>31</v>
      </c>
      <c r="AC1367">
        <v>16.196899999999999</v>
      </c>
      <c r="AD1367">
        <v>-1.1097314590330001</v>
      </c>
      <c r="AE1367">
        <v>-1.7404999999999899</v>
      </c>
      <c r="AF1367">
        <v>1.97973433914357</v>
      </c>
      <c r="AG1367">
        <v>-1.1097314590330001</v>
      </c>
      <c r="AH1367">
        <v>16.0935885904196</v>
      </c>
      <c r="AI1367">
        <v>93.915160744321398</v>
      </c>
      <c r="AJ1367">
        <v>82.987058016102694</v>
      </c>
      <c r="AK1367">
        <v>16.252828851693401</v>
      </c>
      <c r="AL1367">
        <v>72.575951086477403</v>
      </c>
      <c r="AM1367">
        <v>90.766392047421206</v>
      </c>
      <c r="AN1367">
        <v>1.0000000274060601</v>
      </c>
    </row>
    <row r="1368" spans="1:40" x14ac:dyDescent="0.25">
      <c r="A1368" t="str">
        <f>"20190304164119280"</f>
        <v>20190304164119280</v>
      </c>
      <c r="B1368" t="str">
        <f>"1551688879272770"</f>
        <v>1551688879272770</v>
      </c>
      <c r="C1368" t="s">
        <v>40</v>
      </c>
      <c r="D1368">
        <v>4.5617590000000003</v>
      </c>
      <c r="E1368">
        <v>0.56861229999999996</v>
      </c>
      <c r="F1368" t="s">
        <v>41</v>
      </c>
      <c r="G1368">
        <v>-241.25569999999999</v>
      </c>
      <c r="H1368">
        <v>1.0471490000000001</v>
      </c>
      <c r="I1368">
        <v>367.09039999999999</v>
      </c>
      <c r="J1368">
        <v>-242.01609999999999</v>
      </c>
      <c r="K1368">
        <v>1.1097760000000001</v>
      </c>
      <c r="L1368">
        <v>367.1934</v>
      </c>
      <c r="M1368">
        <v>0.99979839999999998</v>
      </c>
      <c r="N1368">
        <v>-1.337346E-2</v>
      </c>
      <c r="O1368">
        <v>1.497774E-2</v>
      </c>
      <c r="P1368">
        <v>0.95742419999999995</v>
      </c>
      <c r="Q1368">
        <v>0.28733570000000003</v>
      </c>
      <c r="R1368">
        <v>2.7878320000000002E-2</v>
      </c>
      <c r="S1368">
        <v>3.2073209999999999</v>
      </c>
      <c r="T1368">
        <v>-0.21575320000000001</v>
      </c>
      <c r="U1368">
        <v>-0.34585569999999999</v>
      </c>
      <c r="V1368">
        <v>-1.3083269999999999E-2</v>
      </c>
      <c r="W1368">
        <v>0.30013820000000002</v>
      </c>
      <c r="X1368">
        <v>0.95380600000000004</v>
      </c>
      <c r="Y1368">
        <v>0.12174409999999999</v>
      </c>
      <c r="Z1368">
        <v>-5.700101E-3</v>
      </c>
      <c r="AA1368">
        <v>0.99254509999999996</v>
      </c>
      <c r="AB1368">
        <v>31</v>
      </c>
      <c r="AC1368">
        <v>0.76040000000000396</v>
      </c>
      <c r="AD1368">
        <v>-6.2627000000000196E-2</v>
      </c>
      <c r="AE1368">
        <v>-0.103000000000008</v>
      </c>
      <c r="AF1368">
        <v>0.113621696206692</v>
      </c>
      <c r="AG1368">
        <v>-6.2627000000000196E-2</v>
      </c>
      <c r="AH1368">
        <v>0.75375106918260504</v>
      </c>
      <c r="AI1368">
        <v>94.696809531013798</v>
      </c>
      <c r="AJ1368">
        <v>81.427679351284596</v>
      </c>
      <c r="AK1368">
        <v>0.76483508370877396</v>
      </c>
      <c r="AL1368">
        <v>72.534096047879004</v>
      </c>
      <c r="AM1368">
        <v>90.785871701597202</v>
      </c>
      <c r="AN1368">
        <v>0.99999999834456599</v>
      </c>
    </row>
    <row r="1369" spans="1:40" x14ac:dyDescent="0.25">
      <c r="A1369" t="str">
        <f>"20190304164119294"</f>
        <v>20190304164119294</v>
      </c>
      <c r="B1369" t="str">
        <f>"1551688879282531"</f>
        <v>1551688879282531</v>
      </c>
      <c r="C1369" t="s">
        <v>40</v>
      </c>
      <c r="D1369">
        <v>4.5845690000000001</v>
      </c>
      <c r="E1369">
        <v>0.56880249999999999</v>
      </c>
      <c r="F1369" t="s">
        <v>42</v>
      </c>
      <c r="G1369">
        <v>-225.38630000000001</v>
      </c>
      <c r="H1369" s="1">
        <v>-2.7115280000000001E-6</v>
      </c>
      <c r="I1369">
        <v>365.38850000000002</v>
      </c>
      <c r="J1369">
        <v>-241.8313</v>
      </c>
      <c r="K1369">
        <v>1.10982</v>
      </c>
      <c r="L1369">
        <v>367.19580000000002</v>
      </c>
      <c r="M1369">
        <v>0.99980420000000003</v>
      </c>
      <c r="N1369">
        <v>-1.332936E-2</v>
      </c>
      <c r="O1369">
        <v>1.462719E-2</v>
      </c>
      <c r="P1369">
        <v>0.95730910000000002</v>
      </c>
      <c r="Q1369">
        <v>0.28770950000000001</v>
      </c>
      <c r="R1369">
        <v>2.7973609999999999E-2</v>
      </c>
      <c r="S1369">
        <v>3.2077640000000001</v>
      </c>
      <c r="T1369">
        <v>-0.21406790000000001</v>
      </c>
      <c r="U1369">
        <v>-0.34814450000000002</v>
      </c>
      <c r="V1369">
        <v>-1.354934E-2</v>
      </c>
      <c r="W1369">
        <v>0.3004675</v>
      </c>
      <c r="X1369">
        <v>0.95369579999999998</v>
      </c>
      <c r="Y1369">
        <v>0.1220865</v>
      </c>
      <c r="Z1369">
        <v>-5.6526079999999999E-3</v>
      </c>
      <c r="AA1369">
        <v>0.99250329999999998</v>
      </c>
      <c r="AB1369">
        <v>31</v>
      </c>
      <c r="AC1369">
        <v>16.444999999999901</v>
      </c>
      <c r="AD1369">
        <v>-1.1098227115279999</v>
      </c>
      <c r="AE1369">
        <v>-1.8072999999999899</v>
      </c>
      <c r="AF1369">
        <v>2.0384986006394801</v>
      </c>
      <c r="AG1369">
        <v>-1.1098227115279999</v>
      </c>
      <c r="AH1369">
        <v>16.343255433407698</v>
      </c>
      <c r="AI1369">
        <v>93.855043965080398</v>
      </c>
      <c r="AJ1369">
        <v>82.890201001550295</v>
      </c>
      <c r="AK1369">
        <v>16.507246322674199</v>
      </c>
      <c r="AL1369">
        <v>72.514315425774399</v>
      </c>
      <c r="AM1369">
        <v>90.813957418690606</v>
      </c>
      <c r="AN1369">
        <v>0.99999999105416204</v>
      </c>
    </row>
    <row r="1370" spans="1:40" x14ac:dyDescent="0.25">
      <c r="A1370" t="str">
        <f>"20190304164119307"</f>
        <v>20190304164119307</v>
      </c>
      <c r="B1370" t="str">
        <f>"1551688879302050"</f>
        <v>1551688879302050</v>
      </c>
      <c r="C1370" t="s">
        <v>40</v>
      </c>
      <c r="D1370">
        <v>4.5846830000000001</v>
      </c>
      <c r="E1370">
        <v>0.56904080000000001</v>
      </c>
      <c r="F1370" t="s">
        <v>42</v>
      </c>
      <c r="G1370">
        <v>-225.1815</v>
      </c>
      <c r="H1370" s="1">
        <v>-2.7999469999999999E-6</v>
      </c>
      <c r="I1370">
        <v>365.38549999999998</v>
      </c>
      <c r="J1370">
        <v>-241.64609999999999</v>
      </c>
      <c r="K1370">
        <v>1.109866</v>
      </c>
      <c r="L1370">
        <v>367.19810000000001</v>
      </c>
      <c r="M1370">
        <v>0.99980939999999996</v>
      </c>
      <c r="N1370">
        <v>-1.328725E-2</v>
      </c>
      <c r="O1370">
        <v>1.4307169999999999E-2</v>
      </c>
      <c r="P1370">
        <v>0.95722249999999998</v>
      </c>
      <c r="Q1370">
        <v>0.28797080000000003</v>
      </c>
      <c r="R1370">
        <v>2.8252449999999998E-2</v>
      </c>
      <c r="S1370">
        <v>3.208237</v>
      </c>
      <c r="T1370">
        <v>-0.21384880000000001</v>
      </c>
      <c r="U1370">
        <v>-0.34881590000000001</v>
      </c>
      <c r="V1370">
        <v>-1.417087E-2</v>
      </c>
      <c r="W1370">
        <v>0.30068669999999997</v>
      </c>
      <c r="X1370">
        <v>0.95361770000000001</v>
      </c>
      <c r="Y1370">
        <v>0.12196</v>
      </c>
      <c r="Z1370">
        <v>-5.6226619999999996E-3</v>
      </c>
      <c r="AA1370">
        <v>0.99251909999999999</v>
      </c>
      <c r="AB1370">
        <v>31</v>
      </c>
      <c r="AC1370">
        <v>16.464599999999901</v>
      </c>
      <c r="AD1370">
        <v>-1.1098687999470001</v>
      </c>
      <c r="AE1370">
        <v>-1.81260000000003</v>
      </c>
      <c r="AF1370">
        <v>2.0388434427730999</v>
      </c>
      <c r="AG1370">
        <v>-1.1098687999470001</v>
      </c>
      <c r="AH1370">
        <v>16.363513195582499</v>
      </c>
      <c r="AI1370">
        <v>93.850508096173101</v>
      </c>
      <c r="AJ1370">
        <v>82.897723917849405</v>
      </c>
      <c r="AK1370">
        <v>16.527348711733399</v>
      </c>
      <c r="AL1370">
        <v>72.501147630335893</v>
      </c>
      <c r="AM1370">
        <v>90.851359288507595</v>
      </c>
      <c r="AN1370">
        <v>1.00000001143336</v>
      </c>
    </row>
    <row r="1371" spans="1:40" x14ac:dyDescent="0.25">
      <c r="A1371" t="str">
        <f>"20190304164119321"</f>
        <v>20190304164119321</v>
      </c>
      <c r="B1371" t="str">
        <f>"1551688879312786"</f>
        <v>1551688879312786</v>
      </c>
      <c r="C1371" t="s">
        <v>40</v>
      </c>
      <c r="D1371">
        <v>4.6093729999999997</v>
      </c>
      <c r="E1371">
        <v>0.56916899999999904</v>
      </c>
      <c r="F1371" t="s">
        <v>41</v>
      </c>
      <c r="G1371">
        <v>-240.70769999999999</v>
      </c>
      <c r="H1371">
        <v>1.047053</v>
      </c>
      <c r="I1371">
        <v>367.0958</v>
      </c>
      <c r="J1371">
        <v>-241.4555</v>
      </c>
      <c r="K1371">
        <v>1.10992</v>
      </c>
      <c r="L1371">
        <v>367.20049999999998</v>
      </c>
      <c r="M1371">
        <v>0.99981410000000004</v>
      </c>
      <c r="N1371">
        <v>-1.324641E-2</v>
      </c>
      <c r="O1371">
        <v>1.4016320000000001E-2</v>
      </c>
      <c r="P1371">
        <v>0.95712140000000001</v>
      </c>
      <c r="Q1371">
        <v>0.28820780000000001</v>
      </c>
      <c r="R1371">
        <v>2.9247450000000001E-2</v>
      </c>
      <c r="S1371">
        <v>3.2090299999999998</v>
      </c>
      <c r="T1371">
        <v>-0.21487100000000001</v>
      </c>
      <c r="U1371">
        <v>-0.34960940000000001</v>
      </c>
      <c r="V1371">
        <v>-1.548309E-2</v>
      </c>
      <c r="W1371">
        <v>0.30088310000000001</v>
      </c>
      <c r="X1371">
        <v>0.95353529999999997</v>
      </c>
      <c r="Y1371">
        <v>0.1218853</v>
      </c>
      <c r="Z1371">
        <v>-5.624754E-3</v>
      </c>
      <c r="AA1371">
        <v>0.99252830000000003</v>
      </c>
      <c r="AB1371">
        <v>31</v>
      </c>
      <c r="AC1371">
        <v>0.74780000000001201</v>
      </c>
      <c r="AD1371">
        <v>-6.2866999999999895E-2</v>
      </c>
      <c r="AE1371">
        <v>-0.104699999999979</v>
      </c>
      <c r="AF1371">
        <v>0.114379187162407</v>
      </c>
      <c r="AG1371">
        <v>-6.2866999999999895E-2</v>
      </c>
      <c r="AH1371">
        <v>0.74112161445636404</v>
      </c>
      <c r="AI1371">
        <v>94.792146055309203</v>
      </c>
      <c r="AJ1371">
        <v>81.226615749794306</v>
      </c>
      <c r="AK1371">
        <v>0.75252648163326497</v>
      </c>
      <c r="AL1371">
        <v>72.489347537174893</v>
      </c>
      <c r="AM1371">
        <v>90.930262107719003</v>
      </c>
      <c r="AN1371">
        <v>0.999999967143823</v>
      </c>
    </row>
    <row r="1372" spans="1:40" x14ac:dyDescent="0.25">
      <c r="A1372" t="str">
        <f>"20190304164119336"</f>
        <v>20190304164119336</v>
      </c>
      <c r="B1372" t="str">
        <f>"1551688879322547"</f>
        <v>1551688879322547</v>
      </c>
      <c r="C1372" t="s">
        <v>40</v>
      </c>
      <c r="D1372">
        <v>4.6132689999999998</v>
      </c>
      <c r="E1372">
        <v>0.56927759999999905</v>
      </c>
      <c r="F1372" t="s">
        <v>42</v>
      </c>
      <c r="G1372">
        <v>-224.91380000000001</v>
      </c>
      <c r="H1372" s="1">
        <v>-2.9110519999999999E-6</v>
      </c>
      <c r="I1372">
        <v>365.40649999999999</v>
      </c>
      <c r="J1372">
        <v>-241.2593</v>
      </c>
      <c r="K1372">
        <v>1.109972</v>
      </c>
      <c r="L1372">
        <v>367.20299999999997</v>
      </c>
      <c r="M1372">
        <v>0.99981799999999998</v>
      </c>
      <c r="N1372">
        <v>-1.320825E-2</v>
      </c>
      <c r="O1372">
        <v>1.377548E-2</v>
      </c>
      <c r="P1372">
        <v>0.95704659999999997</v>
      </c>
      <c r="Q1372">
        <v>0.28841450000000002</v>
      </c>
      <c r="R1372">
        <v>2.96533E-2</v>
      </c>
      <c r="S1372">
        <v>3.2099000000000002</v>
      </c>
      <c r="T1372">
        <v>-0.2153776</v>
      </c>
      <c r="U1372">
        <v>-0.34811399999999998</v>
      </c>
      <c r="V1372">
        <v>-1.6159659999999999E-2</v>
      </c>
      <c r="W1372">
        <v>0.30105150000000003</v>
      </c>
      <c r="X1372">
        <v>0.95347090000000001</v>
      </c>
      <c r="Y1372">
        <v>0.1211613</v>
      </c>
      <c r="Z1372">
        <v>-5.5915390000000004E-3</v>
      </c>
      <c r="AA1372">
        <v>0.99261710000000003</v>
      </c>
      <c r="AB1372">
        <v>31</v>
      </c>
      <c r="AC1372">
        <v>16.345499999999902</v>
      </c>
      <c r="AD1372">
        <v>-1.1099749110520001</v>
      </c>
      <c r="AE1372">
        <v>-1.79650000000003</v>
      </c>
      <c r="AF1372">
        <v>2.01234731175578</v>
      </c>
      <c r="AG1372">
        <v>-1.1099749110520001</v>
      </c>
      <c r="AH1372">
        <v>16.245180554908199</v>
      </c>
      <c r="AI1372">
        <v>93.879182511091599</v>
      </c>
      <c r="AJ1372">
        <v>82.938543367366506</v>
      </c>
      <c r="AK1372">
        <v>16.406933816769801</v>
      </c>
      <c r="AL1372">
        <v>72.479229480319006</v>
      </c>
      <c r="AM1372">
        <v>90.970970042968105</v>
      </c>
      <c r="AN1372">
        <v>0.99999994870518605</v>
      </c>
    </row>
    <row r="1373" spans="1:40" x14ac:dyDescent="0.25">
      <c r="A1373" t="str">
        <f>"20190304164119348"</f>
        <v>20190304164119348</v>
      </c>
      <c r="B1373" t="str">
        <f>"1551688879343042"</f>
        <v>1551688879343042</v>
      </c>
      <c r="C1373" t="s">
        <v>40</v>
      </c>
      <c r="D1373">
        <v>4.7497429999999996</v>
      </c>
      <c r="E1373">
        <v>0.56943520000000003</v>
      </c>
      <c r="F1373" t="s">
        <v>42</v>
      </c>
      <c r="G1373">
        <v>-224.73660000000001</v>
      </c>
      <c r="H1373" s="1">
        <v>-2.9859679999999998E-6</v>
      </c>
      <c r="I1373">
        <v>365.4126</v>
      </c>
      <c r="J1373">
        <v>-241.07669999999999</v>
      </c>
      <c r="K1373">
        <v>1.1100209999999999</v>
      </c>
      <c r="L1373">
        <v>367.20530000000002</v>
      </c>
      <c r="M1373">
        <v>0.99982099999999996</v>
      </c>
      <c r="N1373">
        <v>-1.31749E-2</v>
      </c>
      <c r="O1373">
        <v>1.3584550000000001E-2</v>
      </c>
      <c r="P1373">
        <v>0.95699970000000001</v>
      </c>
      <c r="Q1373">
        <v>0.28853519999999999</v>
      </c>
      <c r="R1373">
        <v>2.9984940000000002E-2</v>
      </c>
      <c r="S1373">
        <v>3.2104189999999999</v>
      </c>
      <c r="T1373">
        <v>-0.21567120000000001</v>
      </c>
      <c r="U1373">
        <v>-0.34786990000000001</v>
      </c>
      <c r="V1373">
        <v>-1.671158E-2</v>
      </c>
      <c r="W1373">
        <v>0.30113780000000001</v>
      </c>
      <c r="X1373">
        <v>0.95343420000000001</v>
      </c>
      <c r="Y1373">
        <v>0.1208803</v>
      </c>
      <c r="Z1373">
        <v>-5.5744119999999999E-3</v>
      </c>
      <c r="AA1373">
        <v>0.99265150000000002</v>
      </c>
      <c r="AB1373">
        <v>31</v>
      </c>
      <c r="AC1373">
        <v>16.3400999999999</v>
      </c>
      <c r="AD1373">
        <v>-1.1100239859679999</v>
      </c>
      <c r="AE1373">
        <v>-1.7927000000000199</v>
      </c>
      <c r="AF1373">
        <v>2.0053822858099499</v>
      </c>
      <c r="AG1373">
        <v>-1.1100239859679999</v>
      </c>
      <c r="AH1373">
        <v>16.2401825858318</v>
      </c>
      <c r="AI1373">
        <v>93.880727885112293</v>
      </c>
      <c r="AJ1373">
        <v>82.960594598290896</v>
      </c>
      <c r="AK1373">
        <v>16.4011353809064</v>
      </c>
      <c r="AL1373">
        <v>72.474045385155193</v>
      </c>
      <c r="AM1373">
        <v>91.004164697944006</v>
      </c>
      <c r="AN1373">
        <v>1.0000000126122801</v>
      </c>
    </row>
    <row r="1374" spans="1:40" x14ac:dyDescent="0.25">
      <c r="A1374" t="str">
        <f>"20190304164119361"</f>
        <v>20190304164119361</v>
      </c>
      <c r="B1374" t="str">
        <f>"1551688879352802"</f>
        <v>1551688879352802</v>
      </c>
      <c r="C1374" t="s">
        <v>40</v>
      </c>
      <c r="D1374">
        <v>4.6279399999999997</v>
      </c>
      <c r="E1374">
        <v>0.56957230000000003</v>
      </c>
      <c r="F1374" t="s">
        <v>41</v>
      </c>
      <c r="G1374">
        <v>-240.16040000000001</v>
      </c>
      <c r="H1374">
        <v>1.0475000000000001</v>
      </c>
      <c r="I1374">
        <v>367.10579999999999</v>
      </c>
      <c r="J1374">
        <v>-240.9016</v>
      </c>
      <c r="K1374">
        <v>1.110069</v>
      </c>
      <c r="L1374">
        <v>367.20740000000001</v>
      </c>
      <c r="M1374">
        <v>0.99982349999999998</v>
      </c>
      <c r="N1374">
        <v>-1.3144690000000001E-2</v>
      </c>
      <c r="O1374">
        <v>1.342836E-2</v>
      </c>
      <c r="P1374">
        <v>0.95697650000000001</v>
      </c>
      <c r="Q1374">
        <v>0.28855999999999998</v>
      </c>
      <c r="R1374">
        <v>3.0484130000000002E-2</v>
      </c>
      <c r="S1374">
        <v>3.211792</v>
      </c>
      <c r="T1374">
        <v>-0.21925810000000001</v>
      </c>
      <c r="U1374">
        <v>-0.348053</v>
      </c>
      <c r="V1374">
        <v>-1.7395830000000001E-2</v>
      </c>
      <c r="W1374">
        <v>0.30113190000000001</v>
      </c>
      <c r="X1374">
        <v>0.95342380000000004</v>
      </c>
      <c r="Y1374">
        <v>0.120726</v>
      </c>
      <c r="Z1374">
        <v>-5.6382200000000002E-3</v>
      </c>
      <c r="AA1374">
        <v>0.99266989999999999</v>
      </c>
      <c r="AB1374">
        <v>31</v>
      </c>
      <c r="AC1374">
        <v>0.74119999999999198</v>
      </c>
      <c r="AD1374">
        <v>-6.2568999999999805E-2</v>
      </c>
      <c r="AE1374">
        <v>-0.10160000000001899</v>
      </c>
      <c r="AF1374">
        <v>0.11077000513883301</v>
      </c>
      <c r="AG1374">
        <v>-6.2568999999999805E-2</v>
      </c>
      <c r="AH1374">
        <v>0.73463027166545203</v>
      </c>
      <c r="AI1374">
        <v>94.814017794122194</v>
      </c>
      <c r="AJ1374">
        <v>81.425345059141193</v>
      </c>
      <c r="AK1374">
        <v>0.74556455779946595</v>
      </c>
      <c r="AL1374">
        <v>72.474399462950601</v>
      </c>
      <c r="AM1374">
        <v>91.045282339012203</v>
      </c>
      <c r="AN1374">
        <v>0.99999998925271905</v>
      </c>
    </row>
    <row r="1375" spans="1:40" x14ac:dyDescent="0.25">
      <c r="A1375" t="str">
        <f>"20190304164119375"</f>
        <v>20190304164119375</v>
      </c>
      <c r="B1375" t="str">
        <f>"1551688879362562"</f>
        <v>1551688879362562</v>
      </c>
      <c r="C1375" t="s">
        <v>40</v>
      </c>
      <c r="D1375">
        <v>4.6193999999999997</v>
      </c>
      <c r="E1375">
        <v>0.56967469999999998</v>
      </c>
      <c r="F1375" t="s">
        <v>42</v>
      </c>
      <c r="G1375">
        <v>-224.7757</v>
      </c>
      <c r="H1375" s="1">
        <v>-2.9609159999999999E-6</v>
      </c>
      <c r="I1375">
        <v>365.45940000000002</v>
      </c>
      <c r="J1375">
        <v>-240.72280000000001</v>
      </c>
      <c r="K1375">
        <v>1.1101160000000001</v>
      </c>
      <c r="L1375">
        <v>367.2097</v>
      </c>
      <c r="M1375">
        <v>0.99982530000000003</v>
      </c>
      <c r="N1375">
        <v>-1.311695E-2</v>
      </c>
      <c r="O1375">
        <v>1.33197E-2</v>
      </c>
      <c r="P1375">
        <v>0.95696879999999995</v>
      </c>
      <c r="Q1375">
        <v>0.28850619999999999</v>
      </c>
      <c r="R1375">
        <v>3.1221240000000001E-2</v>
      </c>
      <c r="S1375">
        <v>3.212631</v>
      </c>
      <c r="T1375">
        <v>-0.22114880000000001</v>
      </c>
      <c r="U1375">
        <v>-0.34823609999999999</v>
      </c>
      <c r="V1375">
        <v>-1.8272389999999999E-2</v>
      </c>
      <c r="W1375">
        <v>0.30105009999999999</v>
      </c>
      <c r="X1375">
        <v>0.95343330000000004</v>
      </c>
      <c r="Y1375">
        <v>0.12064130000000001</v>
      </c>
      <c r="Z1375">
        <v>-5.6692729999999998E-3</v>
      </c>
      <c r="AA1375">
        <v>0.99268000000000001</v>
      </c>
      <c r="AB1375">
        <v>31</v>
      </c>
      <c r="AC1375">
        <v>15.947100000000001</v>
      </c>
      <c r="AD1375">
        <v>-1.11011896091599</v>
      </c>
      <c r="AE1375">
        <v>-1.75029999999998</v>
      </c>
      <c r="AF1375">
        <v>1.9532210804371699</v>
      </c>
      <c r="AG1375">
        <v>-1.11011896091599</v>
      </c>
      <c r="AH1375">
        <v>15.8464929206392</v>
      </c>
      <c r="AI1375">
        <v>93.977281935332201</v>
      </c>
      <c r="AJ1375">
        <v>82.973228288628206</v>
      </c>
      <c r="AK1375">
        <v>16.004960936544599</v>
      </c>
      <c r="AL1375">
        <v>72.479315433437606</v>
      </c>
      <c r="AM1375">
        <v>91.097929641042597</v>
      </c>
      <c r="AN1375">
        <v>1.0000000502476001</v>
      </c>
    </row>
    <row r="1376" spans="1:40" x14ac:dyDescent="0.25">
      <c r="A1376" t="str">
        <f>"20190304164119387"</f>
        <v>20190304164119387</v>
      </c>
      <c r="B1376" t="str">
        <f>"1551688879382082"</f>
        <v>1551688879382082</v>
      </c>
      <c r="C1376" t="s">
        <v>40</v>
      </c>
      <c r="D1376">
        <v>4.7537459999999996</v>
      </c>
      <c r="E1376">
        <v>0.56972279999999997</v>
      </c>
      <c r="F1376" t="s">
        <v>42</v>
      </c>
      <c r="G1376">
        <v>-224.67429999999999</v>
      </c>
      <c r="H1376" s="1">
        <v>-3.0020740000000002E-6</v>
      </c>
      <c r="I1376">
        <v>365.4726</v>
      </c>
      <c r="J1376">
        <v>-240.5498</v>
      </c>
      <c r="K1376">
        <v>1.1101650000000001</v>
      </c>
      <c r="L1376">
        <v>367.21190000000001</v>
      </c>
      <c r="M1376">
        <v>0.99982669999999996</v>
      </c>
      <c r="N1376">
        <v>-1.309396E-2</v>
      </c>
      <c r="O1376">
        <v>1.3234370000000001E-2</v>
      </c>
      <c r="P1376">
        <v>0.95694109999999999</v>
      </c>
      <c r="Q1376">
        <v>0.28859859999999998</v>
      </c>
      <c r="R1376">
        <v>3.1221490000000001E-2</v>
      </c>
      <c r="S1376">
        <v>3.2132420000000002</v>
      </c>
      <c r="T1376">
        <v>-0.2222672</v>
      </c>
      <c r="U1376">
        <v>-0.34777829999999998</v>
      </c>
      <c r="V1376">
        <v>-1.8387899999999999E-2</v>
      </c>
      <c r="W1376">
        <v>0.30111830000000001</v>
      </c>
      <c r="X1376">
        <v>0.95340950000000002</v>
      </c>
      <c r="Y1376">
        <v>0.12039420000000001</v>
      </c>
      <c r="Z1376">
        <v>-5.6778360000000003E-3</v>
      </c>
      <c r="AA1376">
        <v>0.99270990000000003</v>
      </c>
      <c r="AB1376">
        <v>31</v>
      </c>
      <c r="AC1376">
        <v>15.875500000000001</v>
      </c>
      <c r="AD1376">
        <v>-1.1101680020739999</v>
      </c>
      <c r="AE1376">
        <v>-1.7393000000000101</v>
      </c>
      <c r="AF1376">
        <v>1.93989403450471</v>
      </c>
      <c r="AG1376">
        <v>-1.1101680020739999</v>
      </c>
      <c r="AH1376">
        <v>15.774862343791799</v>
      </c>
      <c r="AI1376">
        <v>93.995597288353807</v>
      </c>
      <c r="AJ1376">
        <v>82.989321299319798</v>
      </c>
      <c r="AK1376">
        <v>15.9324180155907</v>
      </c>
      <c r="AL1376">
        <v>72.475216990655596</v>
      </c>
      <c r="AM1376">
        <v>91.104896127516795</v>
      </c>
      <c r="AN1376">
        <v>1.00000001007577</v>
      </c>
    </row>
    <row r="1377" spans="1:40" x14ac:dyDescent="0.25">
      <c r="A1377" t="str">
        <f>"20190304164119398"</f>
        <v>20190304164119398</v>
      </c>
      <c r="B1377" t="str">
        <f>"1551688879392818"</f>
        <v>1551688879392818</v>
      </c>
      <c r="C1377" t="s">
        <v>40</v>
      </c>
      <c r="D1377">
        <v>4.6500510000000004</v>
      </c>
      <c r="E1377">
        <v>0.56985069999999904</v>
      </c>
      <c r="F1377" t="s">
        <v>41</v>
      </c>
      <c r="G1377">
        <v>-239.6157</v>
      </c>
      <c r="H1377">
        <v>1.04457</v>
      </c>
      <c r="I1377">
        <v>367.1105</v>
      </c>
      <c r="J1377">
        <v>-240.39060000000001</v>
      </c>
      <c r="K1377">
        <v>1.1102000000000001</v>
      </c>
      <c r="L1377">
        <v>367.21390000000002</v>
      </c>
      <c r="M1377">
        <v>0.99982769999999999</v>
      </c>
      <c r="N1377">
        <v>-1.3077409999999999E-2</v>
      </c>
      <c r="O1377">
        <v>1.317869E-2</v>
      </c>
      <c r="P1377">
        <v>0.95691079999999995</v>
      </c>
      <c r="Q1377">
        <v>0.28868169999999999</v>
      </c>
      <c r="R1377">
        <v>3.1376609999999999E-2</v>
      </c>
      <c r="S1377">
        <v>3.2144620000000002</v>
      </c>
      <c r="T1377">
        <v>-0.22579730000000001</v>
      </c>
      <c r="U1377">
        <v>-0.34844969999999997</v>
      </c>
      <c r="V1377">
        <v>-1.8625719999999998E-2</v>
      </c>
      <c r="W1377">
        <v>0.3011837</v>
      </c>
      <c r="X1377">
        <v>0.95338420000000001</v>
      </c>
      <c r="Y1377">
        <v>0.1204929</v>
      </c>
      <c r="Z1377">
        <v>-5.7561879999999998E-3</v>
      </c>
      <c r="AA1377">
        <v>0.99269750000000001</v>
      </c>
      <c r="AB1377">
        <v>31</v>
      </c>
      <c r="AC1377">
        <v>0.77490000000000203</v>
      </c>
      <c r="AD1377">
        <v>-6.5629999999999994E-2</v>
      </c>
      <c r="AE1377">
        <v>-0.103400000000021</v>
      </c>
      <c r="AF1377">
        <v>0.112809011947372</v>
      </c>
      <c r="AG1377">
        <v>-6.5629999999999994E-2</v>
      </c>
      <c r="AH1377">
        <v>0.76805684985782596</v>
      </c>
      <c r="AI1377">
        <v>94.832429934108603</v>
      </c>
      <c r="AJ1377">
        <v>81.644375157429806</v>
      </c>
      <c r="AK1377">
        <v>0.77906642508201396</v>
      </c>
      <c r="AL1377">
        <v>72.471286981144004</v>
      </c>
      <c r="AM1377">
        <v>91.119212388042598</v>
      </c>
      <c r="AN1377">
        <v>0.99999998570042403</v>
      </c>
    </row>
    <row r="1378" spans="1:40" x14ac:dyDescent="0.25">
      <c r="A1378" t="str">
        <f>"20190304164119410"</f>
        <v>20190304164119410</v>
      </c>
      <c r="B1378" t="str">
        <f>"1551688879402578"</f>
        <v>1551688879402578</v>
      </c>
      <c r="C1378" t="s">
        <v>40</v>
      </c>
      <c r="D1378">
        <v>4.6555160000000004</v>
      </c>
      <c r="E1378">
        <v>0.56997069999999905</v>
      </c>
      <c r="F1378" t="s">
        <v>42</v>
      </c>
      <c r="G1378">
        <v>-224.62710000000001</v>
      </c>
      <c r="H1378" s="1">
        <v>-3.0177290000000001E-6</v>
      </c>
      <c r="I1378">
        <v>365.4984</v>
      </c>
      <c r="J1378">
        <v>-240.2328</v>
      </c>
      <c r="K1378">
        <v>1.1102369999999999</v>
      </c>
      <c r="L1378">
        <v>367.21589999999998</v>
      </c>
      <c r="M1378">
        <v>0.99982819999999994</v>
      </c>
      <c r="N1378">
        <v>-1.3067759999999999E-2</v>
      </c>
      <c r="O1378">
        <v>1.314599E-2</v>
      </c>
      <c r="P1378">
        <v>0.95691380000000004</v>
      </c>
      <c r="Q1378">
        <v>0.28866779999999997</v>
      </c>
      <c r="R1378">
        <v>3.1414690000000002E-2</v>
      </c>
      <c r="S1378">
        <v>3.21489</v>
      </c>
      <c r="T1378">
        <v>-0.2264198</v>
      </c>
      <c r="U1378">
        <v>-0.34985349999999998</v>
      </c>
      <c r="V1378">
        <v>-1.871952E-2</v>
      </c>
      <c r="W1378">
        <v>0.30115969999999997</v>
      </c>
      <c r="X1378">
        <v>0.95338990000000001</v>
      </c>
      <c r="Y1378">
        <v>0.1208719</v>
      </c>
      <c r="Z1378">
        <v>-5.782995E-3</v>
      </c>
      <c r="AA1378">
        <v>0.99265130000000001</v>
      </c>
      <c r="AB1378">
        <v>31</v>
      </c>
      <c r="AC1378">
        <v>15.605699999999899</v>
      </c>
      <c r="AD1378">
        <v>-1.1102400177289999</v>
      </c>
      <c r="AE1378">
        <v>-1.7174999999999701</v>
      </c>
      <c r="AF1378">
        <v>1.9129551698573799</v>
      </c>
      <c r="AG1378">
        <v>-1.1102400177289999</v>
      </c>
      <c r="AH1378">
        <v>15.5042376574795</v>
      </c>
      <c r="AI1378">
        <v>94.065169918637807</v>
      </c>
      <c r="AJ1378">
        <v>82.966238898781995</v>
      </c>
      <c r="AK1378">
        <v>15.661207351876101</v>
      </c>
      <c r="AL1378">
        <v>72.472728268672398</v>
      </c>
      <c r="AM1378">
        <v>91.124840626250005</v>
      </c>
      <c r="AN1378">
        <v>0.99999994337756304</v>
      </c>
    </row>
    <row r="1379" spans="1:40" x14ac:dyDescent="0.25">
      <c r="A1379" t="str">
        <f>"20190304164119422"</f>
        <v>20190304164119422</v>
      </c>
      <c r="B1379" t="str">
        <f>"1551688879412338"</f>
        <v>1551688879412338</v>
      </c>
      <c r="C1379" t="s">
        <v>40</v>
      </c>
      <c r="D1379">
        <v>4.7900769999999904</v>
      </c>
      <c r="E1379">
        <v>0.56996610000000003</v>
      </c>
      <c r="F1379" t="s">
        <v>41</v>
      </c>
      <c r="G1379">
        <v>-239.3408</v>
      </c>
      <c r="H1379">
        <v>1.047229</v>
      </c>
      <c r="I1379">
        <v>367.11829999999998</v>
      </c>
      <c r="J1379">
        <v>-240.07429999999999</v>
      </c>
      <c r="K1379">
        <v>1.1102719999999999</v>
      </c>
      <c r="L1379">
        <v>367.21789999999999</v>
      </c>
      <c r="M1379">
        <v>0.99982859999999996</v>
      </c>
      <c r="N1379">
        <v>-1.3060570000000001E-2</v>
      </c>
      <c r="O1379">
        <v>1.312111E-2</v>
      </c>
      <c r="P1379">
        <v>0.95685750000000003</v>
      </c>
      <c r="Q1379">
        <v>0.288821299999999</v>
      </c>
      <c r="R1379">
        <v>3.171827E-2</v>
      </c>
      <c r="S1379">
        <v>3.2152099999999999</v>
      </c>
      <c r="T1379">
        <v>-0.2273762</v>
      </c>
      <c r="U1379">
        <v>-0.3510742</v>
      </c>
      <c r="V1379">
        <v>-1.907184E-2</v>
      </c>
      <c r="W1379">
        <v>0.30130370000000001</v>
      </c>
      <c r="X1379">
        <v>0.95333749999999995</v>
      </c>
      <c r="Y1379">
        <v>0.1212052</v>
      </c>
      <c r="Z1379">
        <v>-5.8163039999999996E-3</v>
      </c>
      <c r="AA1379">
        <v>0.99261049999999995</v>
      </c>
      <c r="AB1379">
        <v>31</v>
      </c>
      <c r="AC1379">
        <v>0.73349999999999205</v>
      </c>
      <c r="AD1379">
        <v>-6.3042999999999697E-2</v>
      </c>
      <c r="AE1379">
        <v>-9.9600000000009403E-2</v>
      </c>
      <c r="AF1379">
        <v>0.10843009790330101</v>
      </c>
      <c r="AG1379">
        <v>-6.3042999999999697E-2</v>
      </c>
      <c r="AH1379">
        <v>0.72685771572348701</v>
      </c>
      <c r="AI1379">
        <v>94.903078334357303</v>
      </c>
      <c r="AJ1379">
        <v>81.515384164277293</v>
      </c>
      <c r="AK1379">
        <v>0.73759992196792201</v>
      </c>
      <c r="AL1379">
        <v>72.464077196068601</v>
      </c>
      <c r="AM1379">
        <v>91.146068625872502</v>
      </c>
      <c r="AN1379">
        <v>1.0000000218104601</v>
      </c>
    </row>
    <row r="1380" spans="1:40" x14ac:dyDescent="0.25">
      <c r="A1380" t="str">
        <f>"20190304164119433"</f>
        <v>20190304164119433</v>
      </c>
      <c r="B1380" t="str">
        <f>"1551688879422099"</f>
        <v>1551688879422099</v>
      </c>
      <c r="C1380" t="s">
        <v>40</v>
      </c>
      <c r="D1380">
        <v>4.6719939999999998</v>
      </c>
      <c r="E1380">
        <v>0.57003309999999996</v>
      </c>
      <c r="F1380" t="s">
        <v>41</v>
      </c>
      <c r="G1380">
        <v>-239.07300000000001</v>
      </c>
      <c r="H1380">
        <v>1.0391410000000001</v>
      </c>
      <c r="I1380">
        <v>367.10890000000001</v>
      </c>
      <c r="J1380">
        <v>-239.9171</v>
      </c>
      <c r="K1380">
        <v>1.1103000000000001</v>
      </c>
      <c r="L1380">
        <v>367.2199</v>
      </c>
      <c r="M1380">
        <v>0.99982870000000001</v>
      </c>
      <c r="N1380">
        <v>-1.306351E-2</v>
      </c>
      <c r="O1380">
        <v>1.311711E-2</v>
      </c>
      <c r="P1380">
        <v>0.95690319999999995</v>
      </c>
      <c r="Q1380">
        <v>0.2886609</v>
      </c>
      <c r="R1380">
        <v>3.1802909999999997E-2</v>
      </c>
      <c r="S1380">
        <v>3.2158509999999998</v>
      </c>
      <c r="T1380">
        <v>-0.22848560000000001</v>
      </c>
      <c r="U1380">
        <v>-0.35031129999999999</v>
      </c>
      <c r="V1380">
        <v>-1.9176490000000001E-2</v>
      </c>
      <c r="W1380">
        <v>0.30114560000000001</v>
      </c>
      <c r="X1380">
        <v>0.95338540000000005</v>
      </c>
      <c r="Y1380">
        <v>0.1209446</v>
      </c>
      <c r="Z1380">
        <v>-5.8295869999999998E-3</v>
      </c>
      <c r="AA1380">
        <v>0.99264220000000003</v>
      </c>
      <c r="AB1380">
        <v>31</v>
      </c>
      <c r="AC1380">
        <v>0.84410000000002505</v>
      </c>
      <c r="AD1380">
        <v>-7.1158999999999903E-2</v>
      </c>
      <c r="AE1380">
        <v>-0.11099999999999</v>
      </c>
      <c r="AF1380">
        <v>0.121216730259896</v>
      </c>
      <c r="AG1380">
        <v>-7.1158999999999903E-2</v>
      </c>
      <c r="AH1380">
        <v>0.83672591102882998</v>
      </c>
      <c r="AI1380">
        <v>94.811014796925306</v>
      </c>
      <c r="AJ1380">
        <v>81.756891376750502</v>
      </c>
      <c r="AK1380">
        <v>0.84844996856793298</v>
      </c>
      <c r="AL1380">
        <v>72.473577680363903</v>
      </c>
      <c r="AM1380">
        <v>91.152297701353405</v>
      </c>
      <c r="AN1380">
        <v>1.0000000655506101</v>
      </c>
    </row>
    <row r="1381" spans="1:40" x14ac:dyDescent="0.25">
      <c r="A1381" t="str">
        <f>"20190304164119445"</f>
        <v>20190304164119445</v>
      </c>
      <c r="B1381" t="str">
        <f>"1551688879432834"</f>
        <v>1551688879432834</v>
      </c>
      <c r="C1381" t="s">
        <v>40</v>
      </c>
      <c r="D1381">
        <v>4.6750509999999998</v>
      </c>
      <c r="E1381">
        <v>0.57011820000000002</v>
      </c>
      <c r="F1381" t="s">
        <v>41</v>
      </c>
      <c r="G1381">
        <v>-239.06649999999999</v>
      </c>
      <c r="H1381">
        <v>1.049366</v>
      </c>
      <c r="I1381">
        <v>367.12709999999998</v>
      </c>
      <c r="J1381">
        <v>-239.767</v>
      </c>
      <c r="K1381">
        <v>1.1103259999999999</v>
      </c>
      <c r="L1381">
        <v>367.22190000000001</v>
      </c>
      <c r="M1381">
        <v>0.99982859999999996</v>
      </c>
      <c r="N1381">
        <v>-1.306833E-2</v>
      </c>
      <c r="O1381">
        <v>1.311622E-2</v>
      </c>
      <c r="P1381">
        <v>0.95683499999999999</v>
      </c>
      <c r="Q1381">
        <v>0.28885719999999998</v>
      </c>
      <c r="R1381">
        <v>3.2071049999999997E-2</v>
      </c>
      <c r="S1381">
        <v>3.2163240000000002</v>
      </c>
      <c r="T1381">
        <v>-0.2304147</v>
      </c>
      <c r="U1381">
        <v>-0.35101320000000003</v>
      </c>
      <c r="V1381">
        <v>-1.9460700000000001E-2</v>
      </c>
      <c r="W1381">
        <v>0.30134470000000002</v>
      </c>
      <c r="X1381">
        <v>0.95331659999999996</v>
      </c>
      <c r="Y1381">
        <v>0.12113549999999999</v>
      </c>
      <c r="Z1381">
        <v>-5.8808849999999998E-3</v>
      </c>
      <c r="AA1381">
        <v>0.99261860000000002</v>
      </c>
      <c r="AB1381">
        <v>31</v>
      </c>
      <c r="AC1381">
        <v>0.70050000000000501</v>
      </c>
      <c r="AD1381">
        <v>-6.0959999999999903E-2</v>
      </c>
      <c r="AE1381">
        <v>-9.4800000000020604E-2</v>
      </c>
      <c r="AF1381">
        <v>0.103212956491917</v>
      </c>
      <c r="AG1381">
        <v>-6.0959999999999903E-2</v>
      </c>
      <c r="AH1381">
        <v>0.69403474486697603</v>
      </c>
      <c r="AI1381">
        <v>94.965319224353493</v>
      </c>
      <c r="AJ1381">
        <v>81.541286863636003</v>
      </c>
      <c r="AK1381">
        <v>0.70431048769017401</v>
      </c>
      <c r="AL1381">
        <v>72.461612144919698</v>
      </c>
      <c r="AM1381">
        <v>91.169455281227698</v>
      </c>
      <c r="AN1381">
        <v>0.99999994344906795</v>
      </c>
    </row>
    <row r="1382" spans="1:40" x14ac:dyDescent="0.25">
      <c r="A1382" t="str">
        <f>"20190304164119456"</f>
        <v>20190304164119456</v>
      </c>
      <c r="B1382" t="str">
        <f>"1551688879442595"</f>
        <v>1551688879442595</v>
      </c>
      <c r="C1382" t="s">
        <v>40</v>
      </c>
      <c r="D1382">
        <v>4.6793809999999896</v>
      </c>
      <c r="E1382">
        <v>0.57021809999999995</v>
      </c>
      <c r="F1382" t="s">
        <v>41</v>
      </c>
      <c r="G1382">
        <v>-238.79910000000001</v>
      </c>
      <c r="H1382">
        <v>1.0409349999999999</v>
      </c>
      <c r="I1382">
        <v>367.11579999999998</v>
      </c>
      <c r="J1382">
        <v>-239.61250000000001</v>
      </c>
      <c r="K1382">
        <v>1.1103449999999999</v>
      </c>
      <c r="L1382">
        <v>367.22390000000001</v>
      </c>
      <c r="M1382">
        <v>0.9998283</v>
      </c>
      <c r="N1382">
        <v>-1.3079530000000001E-2</v>
      </c>
      <c r="O1382">
        <v>1.312409E-2</v>
      </c>
      <c r="P1382">
        <v>0.95678580000000002</v>
      </c>
      <c r="Q1382">
        <v>0.28901149999999998</v>
      </c>
      <c r="R1382">
        <v>3.214703E-2</v>
      </c>
      <c r="S1382">
        <v>3.2168580000000002</v>
      </c>
      <c r="T1382">
        <v>-0.23095660000000001</v>
      </c>
      <c r="U1382">
        <v>-0.35168460000000001</v>
      </c>
      <c r="V1382">
        <v>-1.9541920000000001E-2</v>
      </c>
      <c r="W1382">
        <v>0.30150840000000001</v>
      </c>
      <c r="X1382">
        <v>0.95326319999999998</v>
      </c>
      <c r="Y1382">
        <v>0.12132809999999999</v>
      </c>
      <c r="Z1382">
        <v>-5.9014469999999998E-3</v>
      </c>
      <c r="AA1382">
        <v>0.99259489999999995</v>
      </c>
      <c r="AB1382">
        <v>31</v>
      </c>
      <c r="AC1382">
        <v>0.81340000000000101</v>
      </c>
      <c r="AD1382">
        <v>-6.9410000000000194E-2</v>
      </c>
      <c r="AE1382">
        <v>-0.108100000000035</v>
      </c>
      <c r="AF1382">
        <v>0.117922954220245</v>
      </c>
      <c r="AG1382">
        <v>-6.9410000000000194E-2</v>
      </c>
      <c r="AH1382">
        <v>0.80614284781106704</v>
      </c>
      <c r="AI1382">
        <v>94.869537812285898</v>
      </c>
      <c r="AJ1382">
        <v>81.677771123692693</v>
      </c>
      <c r="AK1382">
        <v>0.81767344478646697</v>
      </c>
      <c r="AL1382">
        <v>72.451775701952101</v>
      </c>
      <c r="AM1382">
        <v>91.174400450669395</v>
      </c>
      <c r="AN1382">
        <v>0.99999996519104195</v>
      </c>
    </row>
    <row r="1383" spans="1:40" x14ac:dyDescent="0.25">
      <c r="A1383" t="str">
        <f>"20190304164119467"</f>
        <v>20190304164119467</v>
      </c>
      <c r="B1383" t="str">
        <f>"1551688879462114"</f>
        <v>1551688879462114</v>
      </c>
      <c r="C1383" t="s">
        <v>40</v>
      </c>
      <c r="D1383">
        <v>4.7132930000000002</v>
      </c>
      <c r="E1383">
        <v>0.57038880000000003</v>
      </c>
      <c r="F1383" t="s">
        <v>41</v>
      </c>
      <c r="G1383">
        <v>-238.79</v>
      </c>
      <c r="H1383">
        <v>1.051272</v>
      </c>
      <c r="I1383">
        <v>367.13339999999999</v>
      </c>
      <c r="J1383">
        <v>-239.46709999999999</v>
      </c>
      <c r="K1383">
        <v>1.110365</v>
      </c>
      <c r="L1383">
        <v>367.22579999999999</v>
      </c>
      <c r="M1383">
        <v>0.9998281</v>
      </c>
      <c r="N1383">
        <v>-1.3094969999999999E-2</v>
      </c>
      <c r="O1383">
        <v>1.313464E-2</v>
      </c>
      <c r="P1383">
        <v>0.95668949999999997</v>
      </c>
      <c r="Q1383">
        <v>0.28929369999999999</v>
      </c>
      <c r="R1383">
        <v>3.2474200000000002E-2</v>
      </c>
      <c r="S1383">
        <v>3.2172550000000002</v>
      </c>
      <c r="T1383">
        <v>-0.23141629999999999</v>
      </c>
      <c r="U1383">
        <v>-0.35266110000000001</v>
      </c>
      <c r="V1383">
        <v>-1.9869970000000001E-2</v>
      </c>
      <c r="W1383">
        <v>0.3018035</v>
      </c>
      <c r="X1383">
        <v>0.95316310000000004</v>
      </c>
      <c r="Y1383">
        <v>0.1216208</v>
      </c>
      <c r="Z1383">
        <v>-5.924973E-3</v>
      </c>
      <c r="AA1383">
        <v>0.99255899999999997</v>
      </c>
      <c r="AB1383">
        <v>31</v>
      </c>
      <c r="AC1383">
        <v>0.67709999999999504</v>
      </c>
      <c r="AD1383">
        <v>-5.9093E-2</v>
      </c>
      <c r="AE1383">
        <v>-9.2399999999997803E-2</v>
      </c>
      <c r="AF1383">
        <v>0.10053451306839099</v>
      </c>
      <c r="AG1383">
        <v>-5.9093E-2</v>
      </c>
      <c r="AH1383">
        <v>0.67081187821719501</v>
      </c>
      <c r="AI1383">
        <v>94.978969095011806</v>
      </c>
      <c r="AJ1383">
        <v>81.476524350734394</v>
      </c>
      <c r="AK1383">
        <v>0.68087278321591005</v>
      </c>
      <c r="AL1383">
        <v>72.434042814073294</v>
      </c>
      <c r="AM1383">
        <v>91.194234804769295</v>
      </c>
      <c r="AN1383">
        <v>1.00000003176083</v>
      </c>
    </row>
    <row r="1384" spans="1:40" x14ac:dyDescent="0.25">
      <c r="A1384" t="str">
        <f>"20190304164119477"</f>
        <v>20190304164119477</v>
      </c>
      <c r="B1384" t="str">
        <f>"1551688879472850"</f>
        <v>1551688879472850</v>
      </c>
      <c r="C1384" t="s">
        <v>40</v>
      </c>
      <c r="D1384">
        <v>4.6923079999999997</v>
      </c>
      <c r="E1384">
        <v>0.57048980000000005</v>
      </c>
      <c r="F1384" t="s">
        <v>41</v>
      </c>
      <c r="G1384">
        <v>-238.52590000000001</v>
      </c>
      <c r="H1384">
        <v>1.042122</v>
      </c>
      <c r="I1384">
        <v>367.1225</v>
      </c>
      <c r="J1384">
        <v>-239.31610000000001</v>
      </c>
      <c r="K1384">
        <v>1.1103860000000001</v>
      </c>
      <c r="L1384">
        <v>367.2278</v>
      </c>
      <c r="M1384">
        <v>0.99982740000000003</v>
      </c>
      <c r="N1384">
        <v>-1.311739E-2</v>
      </c>
      <c r="O1384">
        <v>1.315025E-2</v>
      </c>
      <c r="P1384">
        <v>0.95663900000000002</v>
      </c>
      <c r="Q1384">
        <v>0.28945549999999998</v>
      </c>
      <c r="R1384">
        <v>3.2517079999999997E-2</v>
      </c>
      <c r="S1384">
        <v>3.2183229999999998</v>
      </c>
      <c r="T1384">
        <v>-0.2332293</v>
      </c>
      <c r="U1384">
        <v>-0.35327150000000002</v>
      </c>
      <c r="V1384">
        <v>-1.9907850000000001E-2</v>
      </c>
      <c r="W1384">
        <v>0.30198570000000002</v>
      </c>
      <c r="X1384">
        <v>0.95310459999999997</v>
      </c>
      <c r="Y1384">
        <v>0.1217805</v>
      </c>
      <c r="Z1384">
        <v>-5.973389E-3</v>
      </c>
      <c r="AA1384">
        <v>0.99253910000000001</v>
      </c>
      <c r="AB1384">
        <v>31</v>
      </c>
      <c r="AC1384">
        <v>0.79019999999999802</v>
      </c>
      <c r="AD1384">
        <v>-6.8264000000000102E-2</v>
      </c>
      <c r="AE1384">
        <v>-0.10529999999999901</v>
      </c>
      <c r="AF1384">
        <v>0.114841018885344</v>
      </c>
      <c r="AG1384">
        <v>-6.8264000000000102E-2</v>
      </c>
      <c r="AH1384">
        <v>0.78300526223966804</v>
      </c>
      <c r="AI1384">
        <v>94.930085257884102</v>
      </c>
      <c r="AJ1384">
        <v>81.656090716085899</v>
      </c>
      <c r="AK1384">
        <v>0.79432088856433503</v>
      </c>
      <c r="AL1384">
        <v>72.423092605444694</v>
      </c>
      <c r="AM1384">
        <v>91.196584244642096</v>
      </c>
      <c r="AN1384">
        <v>1.00000003201863</v>
      </c>
    </row>
    <row r="1385" spans="1:40" x14ac:dyDescent="0.25">
      <c r="A1385" t="str">
        <f>"20190304164119490"</f>
        <v>20190304164119490</v>
      </c>
      <c r="B1385" t="str">
        <f>"1551688879482610"</f>
        <v>1551688879482610</v>
      </c>
      <c r="C1385" t="s">
        <v>40</v>
      </c>
      <c r="D1385">
        <v>4.6887189999999999</v>
      </c>
      <c r="E1385">
        <v>0.57057809999999998</v>
      </c>
      <c r="F1385" t="s">
        <v>41</v>
      </c>
      <c r="G1385">
        <v>-238.50899999999999</v>
      </c>
      <c r="H1385">
        <v>1.0517829999999999</v>
      </c>
      <c r="I1385">
        <v>367.13900000000001</v>
      </c>
      <c r="J1385">
        <v>-239.14699999999999</v>
      </c>
      <c r="K1385">
        <v>1.110409</v>
      </c>
      <c r="L1385">
        <v>367.23</v>
      </c>
      <c r="M1385">
        <v>0.99982680000000002</v>
      </c>
      <c r="N1385">
        <v>-1.315124E-2</v>
      </c>
      <c r="O1385">
        <v>1.317198E-2</v>
      </c>
      <c r="P1385">
        <v>0.95658609999999999</v>
      </c>
      <c r="Q1385">
        <v>0.2895837</v>
      </c>
      <c r="R1385">
        <v>3.2926360000000002E-2</v>
      </c>
      <c r="S1385">
        <v>3.2186889999999999</v>
      </c>
      <c r="T1385">
        <v>-0.23359530000000001</v>
      </c>
      <c r="U1385">
        <v>-0.35433959999999998</v>
      </c>
      <c r="V1385">
        <v>-2.030672E-2</v>
      </c>
      <c r="W1385">
        <v>0.30214479999999999</v>
      </c>
      <c r="X1385">
        <v>0.9530457</v>
      </c>
      <c r="Y1385">
        <v>0.122113</v>
      </c>
      <c r="Z1385">
        <v>-5.9981959999999999E-3</v>
      </c>
      <c r="AA1385">
        <v>0.99249810000000005</v>
      </c>
      <c r="AB1385">
        <v>31</v>
      </c>
      <c r="AC1385">
        <v>0.63800000000000501</v>
      </c>
      <c r="AD1385">
        <v>-5.8625999999999998E-2</v>
      </c>
      <c r="AE1385">
        <v>-9.1000000000008199E-2</v>
      </c>
      <c r="AF1385">
        <v>9.8580752047776901E-2</v>
      </c>
      <c r="AG1385">
        <v>-5.8625999999999998E-2</v>
      </c>
      <c r="AH1385">
        <v>0.63151976709411795</v>
      </c>
      <c r="AI1385">
        <v>95.240642926186297</v>
      </c>
      <c r="AJ1385">
        <v>81.1276848482091</v>
      </c>
      <c r="AK1385">
        <v>0.64185075273065995</v>
      </c>
      <c r="AL1385">
        <v>72.413529117543305</v>
      </c>
      <c r="AM1385">
        <v>91.220627013475095</v>
      </c>
      <c r="AN1385">
        <v>0.99999997466634305</v>
      </c>
    </row>
    <row r="1386" spans="1:40" x14ac:dyDescent="0.25">
      <c r="A1386" t="str">
        <f>"20190304164119506"</f>
        <v>20190304164119506</v>
      </c>
      <c r="B1386" t="str">
        <f>"1551688879492370"</f>
        <v>1551688879492370</v>
      </c>
      <c r="C1386" t="s">
        <v>40</v>
      </c>
      <c r="D1386">
        <v>4.6853470000000002</v>
      </c>
      <c r="E1386">
        <v>0.57067409999999996</v>
      </c>
      <c r="F1386" t="s">
        <v>41</v>
      </c>
      <c r="G1386">
        <v>-238.25149999999999</v>
      </c>
      <c r="H1386">
        <v>1.0452969999999999</v>
      </c>
      <c r="I1386">
        <v>367.1311</v>
      </c>
      <c r="J1386">
        <v>-238.94739999999999</v>
      </c>
      <c r="K1386">
        <v>1.1104339999999999</v>
      </c>
      <c r="L1386">
        <v>367.23270000000002</v>
      </c>
      <c r="M1386">
        <v>0.99982570000000004</v>
      </c>
      <c r="N1386">
        <v>-1.3198359999999999E-2</v>
      </c>
      <c r="O1386">
        <v>1.320138E-2</v>
      </c>
      <c r="P1386">
        <v>0.95663229999999999</v>
      </c>
      <c r="Q1386">
        <v>0.28940529999999998</v>
      </c>
      <c r="R1386">
        <v>3.315999E-2</v>
      </c>
      <c r="S1386">
        <v>3.2192989999999999</v>
      </c>
      <c r="T1386">
        <v>-0.23426739999999999</v>
      </c>
      <c r="U1386">
        <v>-0.35504150000000001</v>
      </c>
      <c r="V1386">
        <v>-2.0521210000000002E-2</v>
      </c>
      <c r="W1386">
        <v>0.30201119999999998</v>
      </c>
      <c r="X1386">
        <v>0.95308349999999997</v>
      </c>
      <c r="Y1386">
        <v>0.1223326</v>
      </c>
      <c r="Z1386">
        <v>-6.0259609999999998E-3</v>
      </c>
      <c r="AA1386">
        <v>0.99247090000000004</v>
      </c>
      <c r="AB1386">
        <v>30</v>
      </c>
      <c r="AC1386">
        <v>0.69589999999999397</v>
      </c>
      <c r="AD1386">
        <v>-6.5137E-2</v>
      </c>
      <c r="AE1386">
        <v>-0.10160000000001899</v>
      </c>
      <c r="AF1386">
        <v>0.109836573247148</v>
      </c>
      <c r="AG1386">
        <v>-6.5137E-2</v>
      </c>
      <c r="AH1386">
        <v>0.68859102010718998</v>
      </c>
      <c r="AI1386">
        <v>95.336724055656106</v>
      </c>
      <c r="AJ1386">
        <v>80.937146416266003</v>
      </c>
      <c r="AK1386">
        <v>0.70033170324064098</v>
      </c>
      <c r="AL1386">
        <v>72.421559812191603</v>
      </c>
      <c r="AM1386">
        <v>91.233467032814502</v>
      </c>
      <c r="AN1386">
        <v>1.0000000214787701</v>
      </c>
    </row>
    <row r="1387" spans="1:40" x14ac:dyDescent="0.25">
      <c r="A1387" t="str">
        <f>"20190304164119518"</f>
        <v>20190304164119518</v>
      </c>
      <c r="B1387" t="str">
        <f>"1551688879512867"</f>
        <v>1551688879512867</v>
      </c>
      <c r="C1387" t="s">
        <v>40</v>
      </c>
      <c r="D1387">
        <v>4.8036279999999998</v>
      </c>
      <c r="E1387">
        <v>0.57079599999999997</v>
      </c>
      <c r="F1387" t="s">
        <v>41</v>
      </c>
      <c r="G1387">
        <v>-237.98310000000001</v>
      </c>
      <c r="H1387">
        <v>1.039812</v>
      </c>
      <c r="I1387">
        <v>367.12610000000001</v>
      </c>
      <c r="J1387">
        <v>-238.75299999999999</v>
      </c>
      <c r="K1387">
        <v>1.1104510000000001</v>
      </c>
      <c r="L1387">
        <v>367.2353</v>
      </c>
      <c r="M1387">
        <v>0.99982459999999995</v>
      </c>
      <c r="N1387">
        <v>-1.325196E-2</v>
      </c>
      <c r="O1387">
        <v>1.3233689999999999E-2</v>
      </c>
      <c r="P1387">
        <v>0.95660500000000004</v>
      </c>
      <c r="Q1387">
        <v>0.2894563</v>
      </c>
      <c r="R1387">
        <v>3.3499090000000002E-2</v>
      </c>
      <c r="S1387">
        <v>3.219681</v>
      </c>
      <c r="T1387">
        <v>-0.23585800000000001</v>
      </c>
      <c r="U1387">
        <v>-0.35577389999999998</v>
      </c>
      <c r="V1387">
        <v>-2.0837729999999999E-2</v>
      </c>
      <c r="W1387">
        <v>0.30211259999999901</v>
      </c>
      <c r="X1387">
        <v>0.95304449999999996</v>
      </c>
      <c r="Y1387">
        <v>0.122568899999999</v>
      </c>
      <c r="Z1387">
        <v>-6.0764869999999898E-3</v>
      </c>
      <c r="AA1387">
        <v>0.99244140000000003</v>
      </c>
      <c r="AB1387">
        <v>30</v>
      </c>
      <c r="AC1387">
        <v>0.76989999999997805</v>
      </c>
      <c r="AD1387">
        <v>-7.0638999999999896E-2</v>
      </c>
      <c r="AE1387">
        <v>-0.109199999999987</v>
      </c>
      <c r="AF1387">
        <v>0.11840286345517</v>
      </c>
      <c r="AG1387">
        <v>-7.0638999999999896E-2</v>
      </c>
      <c r="AH1387">
        <v>0.762098328465594</v>
      </c>
      <c r="AI1387">
        <v>95.233194508974194</v>
      </c>
      <c r="AJ1387">
        <v>81.168885716557995</v>
      </c>
      <c r="AK1387">
        <v>0.77446947560600199</v>
      </c>
      <c r="AL1387">
        <v>72.415465428706995</v>
      </c>
      <c r="AM1387">
        <v>91.2525373028177</v>
      </c>
      <c r="AN1387">
        <v>1.00000002652528</v>
      </c>
    </row>
    <row r="1388" spans="1:40" x14ac:dyDescent="0.25">
      <c r="A1388" t="str">
        <f>"20190304164119531"</f>
        <v>20190304164119531</v>
      </c>
      <c r="B1388" t="str">
        <f>"1551688879522626"</f>
        <v>1551688879522626</v>
      </c>
      <c r="C1388" t="s">
        <v>40</v>
      </c>
      <c r="D1388">
        <v>4.8218709999999998</v>
      </c>
      <c r="E1388">
        <v>0.57080569999999997</v>
      </c>
      <c r="F1388" t="s">
        <v>42</v>
      </c>
      <c r="G1388">
        <v>-223.73330000000001</v>
      </c>
      <c r="H1388" s="1">
        <v>-3.3873510000000001E-6</v>
      </c>
      <c r="I1388">
        <v>365.57639999999998</v>
      </c>
      <c r="J1388">
        <v>-238.58920000000001</v>
      </c>
      <c r="K1388">
        <v>1.110466</v>
      </c>
      <c r="L1388">
        <v>367.23750000000001</v>
      </c>
      <c r="M1388">
        <v>0.99982369999999998</v>
      </c>
      <c r="N1388">
        <v>-1.329847E-2</v>
      </c>
      <c r="O1388">
        <v>1.3261810000000001E-2</v>
      </c>
      <c r="P1388">
        <v>0.95669700000000002</v>
      </c>
      <c r="Q1388">
        <v>0.28904370000000001</v>
      </c>
      <c r="R1388">
        <v>3.4425079999999997E-2</v>
      </c>
      <c r="S1388">
        <v>3.220612</v>
      </c>
      <c r="T1388">
        <v>-0.23810790000000001</v>
      </c>
      <c r="U1388">
        <v>-0.35568240000000001</v>
      </c>
      <c r="V1388">
        <v>-2.1741549999999998E-2</v>
      </c>
      <c r="W1388">
        <v>0.30174479999999998</v>
      </c>
      <c r="X1388">
        <v>0.95314080000000001</v>
      </c>
      <c r="Y1388">
        <v>0.122530399999999</v>
      </c>
      <c r="Z1388">
        <v>-6.1289319999999897E-3</v>
      </c>
      <c r="AA1388">
        <v>0.99244580000000004</v>
      </c>
      <c r="AB1388">
        <v>30</v>
      </c>
      <c r="AC1388">
        <v>14.855899999999901</v>
      </c>
      <c r="AD1388">
        <v>-1.1104693873510001</v>
      </c>
      <c r="AE1388">
        <v>-1.66110000000003</v>
      </c>
      <c r="AF1388">
        <v>1.8477904377218299</v>
      </c>
      <c r="AG1388">
        <v>-1.1104693873510001</v>
      </c>
      <c r="AH1388">
        <v>14.7511582600083</v>
      </c>
      <c r="AI1388">
        <v>94.271854992932504</v>
      </c>
      <c r="AJ1388">
        <v>82.860085598097697</v>
      </c>
      <c r="AK1388">
        <v>14.9078550359799</v>
      </c>
      <c r="AL1388">
        <v>72.437570000646502</v>
      </c>
      <c r="AM1388">
        <v>91.3067146745381</v>
      </c>
      <c r="AN1388">
        <v>1.00000000197404</v>
      </c>
    </row>
    <row r="1389" spans="1:40" x14ac:dyDescent="0.25">
      <c r="A1389" t="str">
        <f>"20190304164119545"</f>
        <v>20190304164119545</v>
      </c>
      <c r="B1389" t="str">
        <f>"1551688879532386"</f>
        <v>1551688879532386</v>
      </c>
      <c r="C1389" t="s">
        <v>40</v>
      </c>
      <c r="D1389">
        <v>4.7091589999999997</v>
      </c>
      <c r="E1389">
        <v>0.57088380000000005</v>
      </c>
      <c r="F1389" t="s">
        <v>41</v>
      </c>
      <c r="G1389">
        <v>-237.70849999999999</v>
      </c>
      <c r="H1389">
        <v>1.0448280000000001</v>
      </c>
      <c r="I1389">
        <v>367.1404</v>
      </c>
      <c r="J1389">
        <v>-238.40110000000001</v>
      </c>
      <c r="K1389">
        <v>1.1104849999999999</v>
      </c>
      <c r="L1389">
        <v>367.24</v>
      </c>
      <c r="M1389">
        <v>0.99982249999999995</v>
      </c>
      <c r="N1389">
        <v>-1.335297E-2</v>
      </c>
      <c r="O1389">
        <v>1.329554E-2</v>
      </c>
      <c r="P1389">
        <v>0.95679130000000001</v>
      </c>
      <c r="Q1389">
        <v>0.2887052</v>
      </c>
      <c r="R1389">
        <v>3.463517E-2</v>
      </c>
      <c r="S1389">
        <v>3.2211460000000001</v>
      </c>
      <c r="T1389">
        <v>-0.24025250000000001</v>
      </c>
      <c r="U1389">
        <v>-0.35440060000000001</v>
      </c>
      <c r="V1389">
        <v>-2.1923140000000001E-2</v>
      </c>
      <c r="W1389">
        <v>0.3014597</v>
      </c>
      <c r="X1389">
        <v>0.95322689999999999</v>
      </c>
      <c r="Y1389">
        <v>0.1221498</v>
      </c>
      <c r="Z1389">
        <v>-6.1654279999999997E-3</v>
      </c>
      <c r="AA1389">
        <v>0.9924925</v>
      </c>
      <c r="AB1389">
        <v>30</v>
      </c>
      <c r="AC1389">
        <v>0.69260000000002697</v>
      </c>
      <c r="AD1389">
        <v>-6.5656999999999799E-2</v>
      </c>
      <c r="AE1389">
        <v>-9.9600000000009403E-2</v>
      </c>
      <c r="AF1389">
        <v>0.107850926951069</v>
      </c>
      <c r="AG1389">
        <v>-6.5656999999999799E-2</v>
      </c>
      <c r="AH1389">
        <v>0.68518169651384897</v>
      </c>
      <c r="AI1389">
        <v>95.407434358811301</v>
      </c>
      <c r="AJ1389">
        <v>81.054760761649305</v>
      </c>
      <c r="AK1389">
        <v>0.69671846633400003</v>
      </c>
      <c r="AL1389">
        <v>72.454703686848504</v>
      </c>
      <c r="AM1389">
        <v>91.317505826610699</v>
      </c>
      <c r="AN1389">
        <v>1.00000004883757</v>
      </c>
    </row>
    <row r="1390" spans="1:40" x14ac:dyDescent="0.25">
      <c r="A1390" t="str">
        <f>"20190304164119556"</f>
        <v>20190304164119556</v>
      </c>
      <c r="B1390" t="str">
        <f>"1551688879552882"</f>
        <v>1551688879552882</v>
      </c>
      <c r="C1390" t="s">
        <v>40</v>
      </c>
      <c r="D1390">
        <v>4.8255229999999996</v>
      </c>
      <c r="E1390">
        <v>0.57093669999999996</v>
      </c>
      <c r="F1390" t="s">
        <v>41</v>
      </c>
      <c r="G1390">
        <v>-237.44139999999999</v>
      </c>
      <c r="H1390">
        <v>1.038335</v>
      </c>
      <c r="I1390">
        <v>367.13420000000002</v>
      </c>
      <c r="J1390">
        <v>-238.24119999999999</v>
      </c>
      <c r="K1390">
        <v>1.1104959999999999</v>
      </c>
      <c r="L1390">
        <v>367.24209999999999</v>
      </c>
      <c r="M1390">
        <v>0.99982139999999997</v>
      </c>
      <c r="N1390">
        <v>-1.3401089999999999E-2</v>
      </c>
      <c r="O1390">
        <v>1.332556E-2</v>
      </c>
      <c r="P1390">
        <v>0.95680860000000001</v>
      </c>
      <c r="Q1390">
        <v>0.28857880000000002</v>
      </c>
      <c r="R1390">
        <v>3.5205489999999999E-2</v>
      </c>
      <c r="S1390">
        <v>3.2214200000000002</v>
      </c>
      <c r="T1390">
        <v>-0.2422888</v>
      </c>
      <c r="U1390">
        <v>-0.35461429999999999</v>
      </c>
      <c r="V1390">
        <v>-2.2467819999999999E-2</v>
      </c>
      <c r="W1390">
        <v>0.30137920000000001</v>
      </c>
      <c r="X1390">
        <v>0.95323959999999996</v>
      </c>
      <c r="Y1390">
        <v>0.1222283</v>
      </c>
      <c r="Z1390">
        <v>-6.219278E-3</v>
      </c>
      <c r="AA1390">
        <v>0.99248250000000005</v>
      </c>
      <c r="AB1390">
        <v>30</v>
      </c>
      <c r="AC1390">
        <v>0.79980000000000395</v>
      </c>
      <c r="AD1390">
        <v>-7.2160999999999906E-2</v>
      </c>
      <c r="AE1390">
        <v>-0.107899999999972</v>
      </c>
      <c r="AF1390">
        <v>0.117608895293841</v>
      </c>
      <c r="AG1390">
        <v>-7.2160999999999906E-2</v>
      </c>
      <c r="AH1390">
        <v>0.79195943834257299</v>
      </c>
      <c r="AI1390">
        <v>95.150075832402194</v>
      </c>
      <c r="AJ1390">
        <v>81.553098715112398</v>
      </c>
      <c r="AK1390">
        <v>0.80388980224476103</v>
      </c>
      <c r="AL1390">
        <v>72.459539725587206</v>
      </c>
      <c r="AM1390">
        <v>91.350209280729899</v>
      </c>
      <c r="AN1390">
        <v>0.99999998006817503</v>
      </c>
    </row>
    <row r="1391" spans="1:40" x14ac:dyDescent="0.25">
      <c r="A1391" t="str">
        <f>"20190304164119567"</f>
        <v>20190304164119567</v>
      </c>
      <c r="B1391" t="str">
        <f>"1551688879562642"</f>
        <v>1551688879562642</v>
      </c>
      <c r="C1391" t="s">
        <v>40</v>
      </c>
      <c r="D1391">
        <v>4.8026749999999998</v>
      </c>
      <c r="E1391">
        <v>0.57097849999999895</v>
      </c>
      <c r="F1391" t="s">
        <v>41</v>
      </c>
      <c r="G1391">
        <v>-237.4341</v>
      </c>
      <c r="H1391">
        <v>1.049121</v>
      </c>
      <c r="I1391">
        <v>367.15339999999998</v>
      </c>
      <c r="J1391">
        <v>-238.1104</v>
      </c>
      <c r="K1391">
        <v>1.1104989999999999</v>
      </c>
      <c r="L1391">
        <v>367.2439</v>
      </c>
      <c r="M1391">
        <v>0.99982059999999995</v>
      </c>
      <c r="N1391">
        <v>-1.3440580000000001E-2</v>
      </c>
      <c r="O1391">
        <v>1.33505E-2</v>
      </c>
      <c r="P1391">
        <v>0.95676819999999896</v>
      </c>
      <c r="Q1391">
        <v>0.2886647</v>
      </c>
      <c r="R1391">
        <v>3.5604549999999999E-2</v>
      </c>
      <c r="S1391">
        <v>3.2223820000000001</v>
      </c>
      <c r="T1391">
        <v>-0.24519279999999999</v>
      </c>
      <c r="U1391">
        <v>-0.35366819999999999</v>
      </c>
      <c r="V1391">
        <v>-2.284597E-2</v>
      </c>
      <c r="W1391">
        <v>0.30150250000000001</v>
      </c>
      <c r="X1391">
        <v>0.95319160000000003</v>
      </c>
      <c r="Y1391">
        <v>0.1219243</v>
      </c>
      <c r="Z1391">
        <v>-6.2742259999999999E-3</v>
      </c>
      <c r="AA1391">
        <v>0.99251959999999995</v>
      </c>
      <c r="AB1391">
        <v>30</v>
      </c>
      <c r="AC1391">
        <v>0.67629999999999701</v>
      </c>
      <c r="AD1391">
        <v>-6.1377999999999898E-2</v>
      </c>
      <c r="AE1391">
        <v>-9.0500000000019995E-2</v>
      </c>
      <c r="AF1391">
        <v>9.8722857564234601E-2</v>
      </c>
      <c r="AG1391">
        <v>-6.1377999999999898E-2</v>
      </c>
      <c r="AH1391">
        <v>0.669613092176498</v>
      </c>
      <c r="AI1391">
        <v>95.181503466540505</v>
      </c>
      <c r="AJ1391">
        <v>81.613147641209906</v>
      </c>
      <c r="AK1391">
        <v>0.67962868884694605</v>
      </c>
      <c r="AL1391">
        <v>72.452130171498595</v>
      </c>
      <c r="AM1391">
        <v>91.372994784102204</v>
      </c>
      <c r="AN1391">
        <v>0.99999996108102396</v>
      </c>
    </row>
    <row r="1392" spans="1:40" x14ac:dyDescent="0.25">
      <c r="A1392" t="str">
        <f>"20190304164119577"</f>
        <v>20190304164119577</v>
      </c>
      <c r="B1392" t="str">
        <f>"1551688879572403"</f>
        <v>1551688879572403</v>
      </c>
      <c r="C1392" t="s">
        <v>40</v>
      </c>
      <c r="D1392">
        <v>4.7079190000000004</v>
      </c>
      <c r="E1392">
        <v>0.57106509999999999</v>
      </c>
      <c r="F1392" t="s">
        <v>41</v>
      </c>
      <c r="G1392">
        <v>-237.1703</v>
      </c>
      <c r="H1392">
        <v>1.0388059999999999</v>
      </c>
      <c r="I1392">
        <v>367.14060000000001</v>
      </c>
      <c r="J1392">
        <v>-237.96449999999999</v>
      </c>
      <c r="K1392">
        <v>1.1105069999999999</v>
      </c>
      <c r="L1392">
        <v>367.24579999999997</v>
      </c>
      <c r="M1392">
        <v>0.99981960000000003</v>
      </c>
      <c r="N1392">
        <v>-1.348482E-2</v>
      </c>
      <c r="O1392">
        <v>1.337854E-2</v>
      </c>
      <c r="P1392">
        <v>0.95667930000000001</v>
      </c>
      <c r="Q1392">
        <v>0.28889399999999998</v>
      </c>
      <c r="R1392">
        <v>3.6128349999999997E-2</v>
      </c>
      <c r="S1392">
        <v>3.2228850000000002</v>
      </c>
      <c r="T1392">
        <v>-0.2458737</v>
      </c>
      <c r="U1392">
        <v>-0.3537903</v>
      </c>
      <c r="V1392">
        <v>-2.3345210000000002E-2</v>
      </c>
      <c r="W1392">
        <v>0.3017725</v>
      </c>
      <c r="X1392">
        <v>0.95309410000000006</v>
      </c>
      <c r="Y1392">
        <v>0.12196989999999901</v>
      </c>
      <c r="Z1392">
        <v>-6.2948580000000004E-3</v>
      </c>
      <c r="AA1392">
        <v>0.9925138</v>
      </c>
      <c r="AB1392">
        <v>30</v>
      </c>
      <c r="AC1392">
        <v>0.79419999999998903</v>
      </c>
      <c r="AD1392">
        <v>-7.1701000000000001E-2</v>
      </c>
      <c r="AE1392">
        <v>-0.105199999999968</v>
      </c>
      <c r="AF1392">
        <v>0.114896456057163</v>
      </c>
      <c r="AG1392">
        <v>-7.1701000000000001E-2</v>
      </c>
      <c r="AH1392">
        <v>0.78642205683356903</v>
      </c>
      <c r="AI1392">
        <v>95.155036828229001</v>
      </c>
      <c r="AJ1392">
        <v>81.687881093346306</v>
      </c>
      <c r="AK1392">
        <v>0.79799867198500796</v>
      </c>
      <c r="AL1392">
        <v>72.435905307611307</v>
      </c>
      <c r="AM1392">
        <v>91.403129661046705</v>
      </c>
      <c r="AN1392">
        <v>1.0000000020205</v>
      </c>
    </row>
    <row r="1393" spans="1:40" x14ac:dyDescent="0.25">
      <c r="A1393" t="str">
        <f>"20190304164119588"</f>
        <v>20190304164119588</v>
      </c>
      <c r="B1393" t="str">
        <f>"1551688879582163"</f>
        <v>1551688879582163</v>
      </c>
      <c r="C1393" t="s">
        <v>40</v>
      </c>
      <c r="D1393">
        <v>4.7066670000000004</v>
      </c>
      <c r="E1393">
        <v>0.57112819999999997</v>
      </c>
      <c r="F1393" t="s">
        <v>41</v>
      </c>
      <c r="G1393">
        <v>-237.16290000000001</v>
      </c>
      <c r="H1393">
        <v>1.0493669999999999</v>
      </c>
      <c r="I1393">
        <v>367.15789999999998</v>
      </c>
      <c r="J1393">
        <v>-237.81540000000001</v>
      </c>
      <c r="K1393">
        <v>1.110514</v>
      </c>
      <c r="L1393">
        <v>367.24790000000002</v>
      </c>
      <c r="M1393">
        <v>0.9998186</v>
      </c>
      <c r="N1393">
        <v>-1.3528800000000001E-2</v>
      </c>
      <c r="O1393">
        <v>1.340771E-2</v>
      </c>
      <c r="P1393">
        <v>0.95669649999999995</v>
      </c>
      <c r="Q1393">
        <v>0.28876859999999999</v>
      </c>
      <c r="R1393">
        <v>3.6670080000000001E-2</v>
      </c>
      <c r="S1393">
        <v>3.223465</v>
      </c>
      <c r="T1393">
        <v>-0.24596209999999999</v>
      </c>
      <c r="U1393">
        <v>-0.35321039999999998</v>
      </c>
      <c r="V1393">
        <v>-2.3860320000000001E-2</v>
      </c>
      <c r="W1393">
        <v>0.3016894</v>
      </c>
      <c r="X1393">
        <v>0.9531077</v>
      </c>
      <c r="Y1393">
        <v>0.1218033</v>
      </c>
      <c r="Z1393">
        <v>-6.292392E-3</v>
      </c>
      <c r="AA1393">
        <v>0.99253429999999998</v>
      </c>
      <c r="AB1393">
        <v>30</v>
      </c>
      <c r="AC1393">
        <v>0.65250000000000297</v>
      </c>
      <c r="AD1393">
        <v>-6.1147E-2</v>
      </c>
      <c r="AE1393">
        <v>-9.0000000000031805E-2</v>
      </c>
      <c r="AF1393">
        <v>9.7897562796632406E-2</v>
      </c>
      <c r="AG1393">
        <v>-6.1147E-2</v>
      </c>
      <c r="AH1393">
        <v>0.64567017398256699</v>
      </c>
      <c r="AI1393">
        <v>95.349179573651895</v>
      </c>
      <c r="AJ1393">
        <v>81.378388177036896</v>
      </c>
      <c r="AK1393">
        <v>0.65590613808775999</v>
      </c>
      <c r="AL1393">
        <v>72.440900183671999</v>
      </c>
      <c r="AM1393">
        <v>91.434056349622296</v>
      </c>
      <c r="AN1393">
        <v>1.00000004837107</v>
      </c>
    </row>
    <row r="1394" spans="1:40" x14ac:dyDescent="0.25">
      <c r="A1394" t="str">
        <f>"20190304164119599"</f>
        <v>20190304164119599</v>
      </c>
      <c r="B1394" t="str">
        <f>"1551688879592899"</f>
        <v>1551688879592899</v>
      </c>
      <c r="C1394" t="s">
        <v>40</v>
      </c>
      <c r="D1394">
        <v>4.6813529999999997</v>
      </c>
      <c r="E1394">
        <v>0.5712083</v>
      </c>
      <c r="F1394" t="s">
        <v>41</v>
      </c>
      <c r="G1394">
        <v>-236.89879999999999</v>
      </c>
      <c r="H1394">
        <v>1.040176</v>
      </c>
      <c r="I1394">
        <v>367.14780000000002</v>
      </c>
      <c r="J1394">
        <v>-237.65600000000001</v>
      </c>
      <c r="K1394">
        <v>1.1105240000000001</v>
      </c>
      <c r="L1394">
        <v>367.25</v>
      </c>
      <c r="M1394">
        <v>0.99981759999999997</v>
      </c>
      <c r="N1394">
        <v>-1.3574889999999999E-2</v>
      </c>
      <c r="O1394">
        <v>1.3439420000000001E-2</v>
      </c>
      <c r="P1394">
        <v>0.9567177</v>
      </c>
      <c r="Q1394">
        <v>0.2886474</v>
      </c>
      <c r="R1394">
        <v>3.7068900000000002E-2</v>
      </c>
      <c r="S1394">
        <v>3.2239840000000002</v>
      </c>
      <c r="T1394">
        <v>-0.24751480000000001</v>
      </c>
      <c r="U1394">
        <v>-0.35189819999999999</v>
      </c>
      <c r="V1394">
        <v>-2.4229069999999998E-2</v>
      </c>
      <c r="W1394">
        <v>0.30161199999999999</v>
      </c>
      <c r="X1394">
        <v>0.9531229</v>
      </c>
      <c r="Y1394">
        <v>0.1214142</v>
      </c>
      <c r="Z1394">
        <v>-6.3138179999999997E-3</v>
      </c>
      <c r="AA1394">
        <v>0.99258179999999996</v>
      </c>
      <c r="AB1394">
        <v>30</v>
      </c>
      <c r="AC1394">
        <v>0.757199999999983</v>
      </c>
      <c r="AD1394">
        <v>-7.0347999999999994E-2</v>
      </c>
      <c r="AE1394">
        <v>-0.102199999999982</v>
      </c>
      <c r="AF1394">
        <v>0.11142349788346299</v>
      </c>
      <c r="AG1394">
        <v>-7.0347999999999994E-2</v>
      </c>
      <c r="AH1394">
        <v>0.74940526301979304</v>
      </c>
      <c r="AI1394">
        <v>95.304764959624805</v>
      </c>
      <c r="AJ1394">
        <v>81.543070993037006</v>
      </c>
      <c r="AK1394">
        <v>0.76090228362540202</v>
      </c>
      <c r="AL1394">
        <v>72.445551654083502</v>
      </c>
      <c r="AM1394">
        <v>91.456186331347993</v>
      </c>
      <c r="AN1394">
        <v>1.0000000544407299</v>
      </c>
    </row>
    <row r="1395" spans="1:40" x14ac:dyDescent="0.25">
      <c r="A1395" t="str">
        <f>"20190304164119612"</f>
        <v>20190304164119612</v>
      </c>
      <c r="B1395" t="str">
        <f>"1551688879602659"</f>
        <v>1551688879602659</v>
      </c>
      <c r="C1395" t="s">
        <v>40</v>
      </c>
      <c r="D1395">
        <v>4.701924</v>
      </c>
      <c r="E1395">
        <v>0.57129750000000001</v>
      </c>
      <c r="F1395" t="s">
        <v>41</v>
      </c>
      <c r="G1395">
        <v>-236.8905</v>
      </c>
      <c r="H1395">
        <v>1.051482</v>
      </c>
      <c r="I1395">
        <v>367.16649999999998</v>
      </c>
      <c r="J1395">
        <v>-237.49520000000001</v>
      </c>
      <c r="K1395">
        <v>1.110528</v>
      </c>
      <c r="L1395">
        <v>367.25220000000002</v>
      </c>
      <c r="M1395">
        <v>0.9998165</v>
      </c>
      <c r="N1395">
        <v>-1.361851E-2</v>
      </c>
      <c r="O1395">
        <v>1.3471250000000001E-2</v>
      </c>
      <c r="P1395">
        <v>0.95674009999999998</v>
      </c>
      <c r="Q1395">
        <v>0.28853179999999901</v>
      </c>
      <c r="R1395">
        <v>3.7385809999999998E-2</v>
      </c>
      <c r="S1395">
        <v>3.22438</v>
      </c>
      <c r="T1395">
        <v>-0.24877170000000001</v>
      </c>
      <c r="U1395">
        <v>-0.35147089999999998</v>
      </c>
      <c r="V1395">
        <v>-2.4515539999999999E-2</v>
      </c>
      <c r="W1395">
        <v>0.30153839999999998</v>
      </c>
      <c r="X1395">
        <v>0.95313879999999995</v>
      </c>
      <c r="Y1395">
        <v>0.1212987</v>
      </c>
      <c r="Z1395">
        <v>-6.3407309999999996E-3</v>
      </c>
      <c r="AA1395">
        <v>0.99259580000000003</v>
      </c>
      <c r="AB1395">
        <v>30</v>
      </c>
      <c r="AC1395">
        <v>0.60470000000000801</v>
      </c>
      <c r="AD1395">
        <v>-5.9045999999999897E-2</v>
      </c>
      <c r="AE1395">
        <v>-8.5700000000031196E-2</v>
      </c>
      <c r="AF1395">
        <v>9.2970066847717706E-2</v>
      </c>
      <c r="AG1395">
        <v>-5.9045999999999897E-2</v>
      </c>
      <c r="AH1395">
        <v>0.59790203495938998</v>
      </c>
      <c r="AI1395">
        <v>95.573428612237194</v>
      </c>
      <c r="AJ1395">
        <v>81.161639516032295</v>
      </c>
      <c r="AK1395">
        <v>0.607961106366393</v>
      </c>
      <c r="AL1395">
        <v>72.449973469206597</v>
      </c>
      <c r="AM1395">
        <v>91.473371292659706</v>
      </c>
      <c r="AN1395">
        <v>0.99999999522074501</v>
      </c>
    </row>
    <row r="1396" spans="1:40" x14ac:dyDescent="0.25">
      <c r="A1396" t="str">
        <f>"20190304164119625"</f>
        <v>20190304164119625</v>
      </c>
      <c r="B1396" t="str">
        <f>"1551688879612418"</f>
        <v>1551688879612418</v>
      </c>
      <c r="C1396" t="s">
        <v>40</v>
      </c>
      <c r="D1396">
        <v>4.6919409999999999</v>
      </c>
      <c r="E1396">
        <v>0.57139240000000002</v>
      </c>
      <c r="F1396" t="s">
        <v>41</v>
      </c>
      <c r="G1396">
        <v>-236.6266</v>
      </c>
      <c r="H1396">
        <v>1.043139</v>
      </c>
      <c r="I1396">
        <v>367.1576</v>
      </c>
      <c r="J1396">
        <v>-237.33019999999999</v>
      </c>
      <c r="K1396">
        <v>1.110533</v>
      </c>
      <c r="L1396">
        <v>367.25450000000001</v>
      </c>
      <c r="M1396">
        <v>0.99981560000000003</v>
      </c>
      <c r="N1396">
        <v>-1.366206E-2</v>
      </c>
      <c r="O1396">
        <v>1.3503799999999899E-2</v>
      </c>
      <c r="P1396">
        <v>0.95671269999999997</v>
      </c>
      <c r="Q1396">
        <v>0.2886224</v>
      </c>
      <c r="R1396">
        <v>3.7389980000000003E-2</v>
      </c>
      <c r="S1396">
        <v>3.224869</v>
      </c>
      <c r="T1396">
        <v>-0.2503861</v>
      </c>
      <c r="U1396">
        <v>-0.35067749999999998</v>
      </c>
      <c r="V1396">
        <v>-2.448902E-2</v>
      </c>
      <c r="W1396">
        <v>0.30166979999999999</v>
      </c>
      <c r="X1396">
        <v>0.95309790000000005</v>
      </c>
      <c r="Y1396">
        <v>0.1210687</v>
      </c>
      <c r="Z1396">
        <v>-6.370466E-3</v>
      </c>
      <c r="AA1396">
        <v>0.9926237</v>
      </c>
      <c r="AB1396">
        <v>30</v>
      </c>
      <c r="AC1396">
        <v>0.70359999999999401</v>
      </c>
      <c r="AD1396">
        <v>-6.7393999999999898E-2</v>
      </c>
      <c r="AE1396">
        <v>-9.6900000000005093E-2</v>
      </c>
      <c r="AF1396">
        <v>0.10544391571597</v>
      </c>
      <c r="AG1396">
        <v>-6.7393999999999898E-2</v>
      </c>
      <c r="AH1396">
        <v>0.69596083046611801</v>
      </c>
      <c r="AI1396">
        <v>95.469014343936195</v>
      </c>
      <c r="AJ1396">
        <v>81.384729660175097</v>
      </c>
      <c r="AK1396">
        <v>0.70712222998616403</v>
      </c>
      <c r="AL1396">
        <v>72.442077066958205</v>
      </c>
      <c r="AM1396">
        <v>91.471841285950205</v>
      </c>
      <c r="AN1396">
        <v>0.999999993658505</v>
      </c>
    </row>
    <row r="1397" spans="1:40" x14ac:dyDescent="0.25">
      <c r="A1397" t="str">
        <f>"20190304164119636"</f>
        <v>20190304164119636</v>
      </c>
      <c r="B1397" t="str">
        <f>"1551688879622178"</f>
        <v>1551688879622178</v>
      </c>
      <c r="C1397" t="s">
        <v>40</v>
      </c>
      <c r="D1397">
        <v>4.6805190000000003</v>
      </c>
      <c r="E1397">
        <v>0.57139240000000002</v>
      </c>
      <c r="F1397" t="s">
        <v>41</v>
      </c>
      <c r="G1397">
        <v>-236.36109999999999</v>
      </c>
      <c r="H1397">
        <v>1.0350629999999901</v>
      </c>
      <c r="I1397">
        <v>367.14890000000003</v>
      </c>
      <c r="J1397">
        <v>-237.16290000000001</v>
      </c>
      <c r="K1397">
        <v>1.1105419999999999</v>
      </c>
      <c r="L1397">
        <v>367.2568</v>
      </c>
      <c r="M1397">
        <v>0.99981450000000005</v>
      </c>
      <c r="N1397">
        <v>-1.3703160000000001E-2</v>
      </c>
      <c r="O1397">
        <v>1.3535999999999999E-2</v>
      </c>
      <c r="P1397">
        <v>0.95669040000000005</v>
      </c>
      <c r="Q1397">
        <v>0.28871580000000002</v>
      </c>
      <c r="R1397">
        <v>3.7238920000000002E-2</v>
      </c>
      <c r="S1397">
        <v>3.225266</v>
      </c>
      <c r="T1397">
        <v>-0.25126599999999999</v>
      </c>
      <c r="U1397">
        <v>-0.35104370000000001</v>
      </c>
      <c r="V1397">
        <v>-2.4307519999999999E-2</v>
      </c>
      <c r="W1397">
        <v>0.30180249999999997</v>
      </c>
      <c r="X1397">
        <v>0.95306049999999998</v>
      </c>
      <c r="Y1397">
        <v>0.12119539999999999</v>
      </c>
      <c r="Z1397">
        <v>-6.3995909999999996E-3</v>
      </c>
      <c r="AA1397">
        <v>0.99260809999999999</v>
      </c>
      <c r="AB1397">
        <v>30</v>
      </c>
      <c r="AC1397">
        <v>0.80180000000001395</v>
      </c>
      <c r="AD1397">
        <v>-7.5479000000000004E-2</v>
      </c>
      <c r="AE1397">
        <v>-0.107899999999972</v>
      </c>
      <c r="AF1397">
        <v>0.117719648852666</v>
      </c>
      <c r="AG1397">
        <v>-7.5479000000000004E-2</v>
      </c>
      <c r="AH1397">
        <v>0.79336034179662696</v>
      </c>
      <c r="AI1397">
        <v>95.376158278187901</v>
      </c>
      <c r="AJ1397">
        <v>81.559973128183501</v>
      </c>
      <c r="AK1397">
        <v>0.80559023523293505</v>
      </c>
      <c r="AL1397">
        <v>72.434101621464805</v>
      </c>
      <c r="AM1397">
        <v>91.460994807054504</v>
      </c>
      <c r="AN1397">
        <v>0.99999996059752405</v>
      </c>
    </row>
    <row r="1398" spans="1:40" x14ac:dyDescent="0.25">
      <c r="A1398" t="str">
        <f>"20190304164119648"</f>
        <v>20190304164119648</v>
      </c>
      <c r="B1398" t="str">
        <f>"1551688879642674"</f>
        <v>1551688879642674</v>
      </c>
      <c r="C1398" t="s">
        <v>40</v>
      </c>
      <c r="D1398">
        <v>4.6717810000000002</v>
      </c>
      <c r="E1398">
        <v>0.57624229999999999</v>
      </c>
      <c r="F1398" t="s">
        <v>41</v>
      </c>
      <c r="G1398">
        <v>-236.35329999999999</v>
      </c>
      <c r="H1398">
        <v>1.047507</v>
      </c>
      <c r="I1398">
        <v>367.16860000000003</v>
      </c>
      <c r="J1398">
        <v>-237.0094</v>
      </c>
      <c r="K1398">
        <v>1.1105430000000001</v>
      </c>
      <c r="L1398">
        <v>367.25889999999998</v>
      </c>
      <c r="M1398">
        <v>0.99981359999999997</v>
      </c>
      <c r="N1398">
        <v>-1.3739060000000001E-2</v>
      </c>
      <c r="O1398">
        <v>1.356538E-2</v>
      </c>
      <c r="P1398">
        <v>0.95671059999999997</v>
      </c>
      <c r="Q1398">
        <v>0.28865079999999999</v>
      </c>
      <c r="R1398">
        <v>3.7223810000000003E-2</v>
      </c>
      <c r="S1398">
        <v>3.2252809999999998</v>
      </c>
      <c r="T1398">
        <v>-0.2512163</v>
      </c>
      <c r="U1398">
        <v>-0.350769</v>
      </c>
      <c r="V1398">
        <v>-2.426414E-2</v>
      </c>
      <c r="W1398">
        <v>0.30177209999999899</v>
      </c>
      <c r="X1398">
        <v>0.95307129999999995</v>
      </c>
      <c r="Y1398">
        <v>0.1211407</v>
      </c>
      <c r="Z1398">
        <v>-6.3995329999999998E-3</v>
      </c>
      <c r="AA1398">
        <v>0.99261469999999896</v>
      </c>
      <c r="AB1398">
        <v>30</v>
      </c>
      <c r="AC1398">
        <v>0.65610000000000901</v>
      </c>
      <c r="AD1398">
        <v>-6.3035999999999995E-2</v>
      </c>
      <c r="AE1398">
        <v>-9.0299999999956498E-2</v>
      </c>
      <c r="AF1398">
        <v>9.8302240447241604E-2</v>
      </c>
      <c r="AG1398">
        <v>-6.3035999999999995E-2</v>
      </c>
      <c r="AH1398">
        <v>0.64893574087158401</v>
      </c>
      <c r="AI1398">
        <v>95.485965072962998</v>
      </c>
      <c r="AJ1398">
        <v>81.3861951283275</v>
      </c>
      <c r="AK1398">
        <v>0.65935913093965703</v>
      </c>
      <c r="AL1398">
        <v>72.435929778896096</v>
      </c>
      <c r="AM1398">
        <v>91.458372075678597</v>
      </c>
      <c r="AN1398">
        <v>1.00000002585601</v>
      </c>
    </row>
    <row r="1399" spans="1:40" x14ac:dyDescent="0.25">
      <c r="A1399" t="str">
        <f>"20190304164119659"</f>
        <v>20190304164119659</v>
      </c>
      <c r="B1399" t="str">
        <f>"1551688879652434"</f>
        <v>1551688879652434</v>
      </c>
      <c r="C1399" t="s">
        <v>40</v>
      </c>
      <c r="D1399">
        <v>4.6523130000000004</v>
      </c>
      <c r="E1399">
        <v>0.57626869999999997</v>
      </c>
      <c r="F1399" t="s">
        <v>41</v>
      </c>
      <c r="G1399">
        <v>-236.09630000000001</v>
      </c>
      <c r="H1399">
        <v>1.024891</v>
      </c>
      <c r="I1399">
        <v>367.15039999999999</v>
      </c>
      <c r="J1399">
        <v>-236.846</v>
      </c>
      <c r="K1399">
        <v>1.1105480000000001</v>
      </c>
      <c r="L1399">
        <v>367.2611</v>
      </c>
      <c r="M1399">
        <v>0.9998127</v>
      </c>
      <c r="N1399">
        <v>-1.3775529999999999E-2</v>
      </c>
      <c r="O1399">
        <v>1.359641E-2</v>
      </c>
      <c r="P1399">
        <v>0.95684089999999999</v>
      </c>
      <c r="Q1399">
        <v>0.28820990000000002</v>
      </c>
      <c r="R1399">
        <v>3.7293359999999998E-2</v>
      </c>
      <c r="S1399">
        <v>3.2425380000000001</v>
      </c>
      <c r="T1399">
        <v>-0.30443720000000002</v>
      </c>
      <c r="U1399">
        <v>-0.38421630000000001</v>
      </c>
      <c r="V1399">
        <v>-2.4301949999999999E-2</v>
      </c>
      <c r="W1399">
        <v>0.301367</v>
      </c>
      <c r="X1399">
        <v>0.95319849999999995</v>
      </c>
      <c r="Y1399">
        <v>0.13046830000000001</v>
      </c>
      <c r="Z1399">
        <v>-8.0774669999999996E-3</v>
      </c>
      <c r="AA1399">
        <v>0.99141959999999996</v>
      </c>
      <c r="AB1399">
        <v>30</v>
      </c>
      <c r="AC1399">
        <v>0.74969999999996095</v>
      </c>
      <c r="AD1399">
        <v>-8.5656999999999803E-2</v>
      </c>
      <c r="AE1399">
        <v>-0.110700000000008</v>
      </c>
      <c r="AF1399">
        <v>0.119359069783219</v>
      </c>
      <c r="AG1399">
        <v>-8.5656999999999803E-2</v>
      </c>
      <c r="AH1399">
        <v>0.738688191385097</v>
      </c>
      <c r="AI1399">
        <v>96.530422362700605</v>
      </c>
      <c r="AJ1399">
        <v>80.821338753193601</v>
      </c>
      <c r="AK1399">
        <v>0.75315599531591104</v>
      </c>
      <c r="AL1399">
        <v>72.460273485884997</v>
      </c>
      <c r="AM1399">
        <v>91.460448792706998</v>
      </c>
      <c r="AN1399">
        <v>1.0000000169325201</v>
      </c>
    </row>
    <row r="1400" spans="1:40" x14ac:dyDescent="0.25">
      <c r="A1400" t="str">
        <f>"20190304164119670"</f>
        <v>20190304164119670</v>
      </c>
      <c r="B1400" t="str">
        <f>"1551688879662195"</f>
        <v>1551688879662195</v>
      </c>
      <c r="C1400" t="s">
        <v>40</v>
      </c>
      <c r="D1400">
        <v>4.6549639999999997</v>
      </c>
      <c r="E1400">
        <v>0.57623279999999999</v>
      </c>
      <c r="F1400" t="s">
        <v>41</v>
      </c>
      <c r="G1400">
        <v>-236.0899</v>
      </c>
      <c r="H1400">
        <v>1.039142</v>
      </c>
      <c r="I1400">
        <v>367.1712</v>
      </c>
      <c r="J1400">
        <v>-236.6979</v>
      </c>
      <c r="K1400">
        <v>1.110555</v>
      </c>
      <c r="L1400">
        <v>367.26319999999998</v>
      </c>
      <c r="M1400">
        <v>0.99981189999999998</v>
      </c>
      <c r="N1400">
        <v>-1.3805980000000001E-2</v>
      </c>
      <c r="O1400">
        <v>1.3623969999999999E-2</v>
      </c>
      <c r="P1400">
        <v>0.95695609999999998</v>
      </c>
      <c r="Q1400">
        <v>0.287854099999999</v>
      </c>
      <c r="R1400">
        <v>3.708405E-2</v>
      </c>
      <c r="S1400">
        <v>3.242645</v>
      </c>
      <c r="T1400">
        <v>-0.30652990000000002</v>
      </c>
      <c r="U1400">
        <v>-0.38452150000000002</v>
      </c>
      <c r="V1400">
        <v>-2.4064550000000001E-2</v>
      </c>
      <c r="W1400">
        <v>0.30104229999999998</v>
      </c>
      <c r="X1400">
        <v>0.95330709999999996</v>
      </c>
      <c r="Y1400">
        <v>0.130574</v>
      </c>
      <c r="Z1400">
        <v>-8.1370980000000006E-3</v>
      </c>
      <c r="AA1400">
        <v>0.99140519999999999</v>
      </c>
      <c r="AB1400">
        <v>30</v>
      </c>
      <c r="AC1400">
        <v>0.60800000000000398</v>
      </c>
      <c r="AD1400">
        <v>-7.1412999999999893E-2</v>
      </c>
      <c r="AE1400">
        <v>-9.1999999999984497E-2</v>
      </c>
      <c r="AF1400">
        <v>9.8941201782352203E-2</v>
      </c>
      <c r="AG1400">
        <v>-7.1412999999999893E-2</v>
      </c>
      <c r="AH1400">
        <v>0.59861648845085902</v>
      </c>
      <c r="AI1400">
        <v>96.7128223031375</v>
      </c>
      <c r="AJ1400">
        <v>80.614823885987803</v>
      </c>
      <c r="AK1400">
        <v>0.61092624614135904</v>
      </c>
      <c r="AL1400">
        <v>72.479783135036598</v>
      </c>
      <c r="AM1400">
        <v>91.4460234239329</v>
      </c>
      <c r="AN1400">
        <v>0.99999999793320105</v>
      </c>
    </row>
    <row r="1401" spans="1:40" x14ac:dyDescent="0.25">
      <c r="A1401" t="str">
        <f>"20190304164119681"</f>
        <v>20190304164119681</v>
      </c>
      <c r="B1401" t="str">
        <f>"1551688879671954"</f>
        <v>1551688879671954</v>
      </c>
      <c r="C1401" t="s">
        <v>40</v>
      </c>
      <c r="D1401">
        <v>4.638592</v>
      </c>
      <c r="E1401">
        <v>0.5762429</v>
      </c>
      <c r="F1401" t="s">
        <v>41</v>
      </c>
      <c r="G1401">
        <v>-235.82570000000001</v>
      </c>
      <c r="H1401">
        <v>1.0274840000000001</v>
      </c>
      <c r="I1401">
        <v>367.15960000000001</v>
      </c>
      <c r="J1401">
        <v>-236.5515</v>
      </c>
      <c r="K1401">
        <v>1.110557</v>
      </c>
      <c r="L1401">
        <v>367.26519999999999</v>
      </c>
      <c r="M1401">
        <v>0.99981120000000001</v>
      </c>
      <c r="N1401">
        <v>-1.3835500000000001E-2</v>
      </c>
      <c r="O1401">
        <v>1.3651419999999999E-2</v>
      </c>
      <c r="P1401">
        <v>0.95695980000000003</v>
      </c>
      <c r="Q1401">
        <v>0.2878889</v>
      </c>
      <c r="R1401">
        <v>3.6716110000000003E-2</v>
      </c>
      <c r="S1401">
        <v>3.2427980000000001</v>
      </c>
      <c r="T1401">
        <v>-0.3089384</v>
      </c>
      <c r="U1401">
        <v>-0.38491819999999999</v>
      </c>
      <c r="V1401">
        <v>-2.3670389999999999E-2</v>
      </c>
      <c r="W1401">
        <v>0.30110510000000001</v>
      </c>
      <c r="X1401">
        <v>0.95329710000000001</v>
      </c>
      <c r="Y1401">
        <v>0.13070399999999999</v>
      </c>
      <c r="Z1401">
        <v>-8.2055900000000005E-3</v>
      </c>
      <c r="AA1401">
        <v>0.99138749999999998</v>
      </c>
      <c r="AB1401">
        <v>30</v>
      </c>
      <c r="AC1401">
        <v>0.72579999999999201</v>
      </c>
      <c r="AD1401">
        <v>-8.3072999999999897E-2</v>
      </c>
      <c r="AE1401">
        <v>-0.105599999999981</v>
      </c>
      <c r="AF1401">
        <v>0.114036348415209</v>
      </c>
      <c r="AG1401">
        <v>-8.3072999999999897E-2</v>
      </c>
      <c r="AH1401">
        <v>0.71511648981793696</v>
      </c>
      <c r="AI1401">
        <v>96.544229817553401</v>
      </c>
      <c r="AJ1401">
        <v>80.939590443315893</v>
      </c>
      <c r="AK1401">
        <v>0.728901232059874</v>
      </c>
      <c r="AL1401">
        <v>72.476009284003993</v>
      </c>
      <c r="AM1401">
        <v>91.4223633262025</v>
      </c>
      <c r="AN1401">
        <v>0.99999996473858499</v>
      </c>
    </row>
    <row r="1402" spans="1:40" x14ac:dyDescent="0.25">
      <c r="A1402" t="str">
        <f>"20190304164119694"</f>
        <v>20190304164119694</v>
      </c>
      <c r="B1402" t="str">
        <f>"1551688879682691"</f>
        <v>1551688879682691</v>
      </c>
      <c r="C1402" t="s">
        <v>40</v>
      </c>
      <c r="D1402">
        <v>4.633318</v>
      </c>
      <c r="E1402">
        <v>0.57633500000000004</v>
      </c>
      <c r="F1402" t="s">
        <v>41</v>
      </c>
      <c r="G1402">
        <v>-235.81970000000001</v>
      </c>
      <c r="H1402">
        <v>1.040775</v>
      </c>
      <c r="I1402">
        <v>367.17790000000002</v>
      </c>
      <c r="J1402">
        <v>-236.38679999999999</v>
      </c>
      <c r="K1402">
        <v>1.1105609999999999</v>
      </c>
      <c r="L1402">
        <v>367.26749999999998</v>
      </c>
      <c r="M1402">
        <v>0.99981030000000004</v>
      </c>
      <c r="N1402">
        <v>-1.386516E-2</v>
      </c>
      <c r="O1402">
        <v>1.368167E-2</v>
      </c>
      <c r="P1402">
        <v>0.95697929999999998</v>
      </c>
      <c r="Q1402">
        <v>0.28784650000000001</v>
      </c>
      <c r="R1402">
        <v>3.6538210000000002E-2</v>
      </c>
      <c r="S1402">
        <v>3.2428129999999999</v>
      </c>
      <c r="T1402">
        <v>-0.30929800000000002</v>
      </c>
      <c r="U1402">
        <v>-0.38626100000000002</v>
      </c>
      <c r="V1402">
        <v>-2.346322E-2</v>
      </c>
      <c r="W1402">
        <v>0.30109140000000001</v>
      </c>
      <c r="X1402">
        <v>0.9533066</v>
      </c>
      <c r="Y1402">
        <v>0.13113429999999901</v>
      </c>
      <c r="Z1402">
        <v>-8.2414819999999996E-3</v>
      </c>
      <c r="AA1402">
        <v>0.99133039999999994</v>
      </c>
      <c r="AB1402">
        <v>30</v>
      </c>
      <c r="AC1402">
        <v>0.56709999999998195</v>
      </c>
      <c r="AD1402">
        <v>-6.9786000000000098E-2</v>
      </c>
      <c r="AE1402">
        <v>-8.9599999999961696E-2</v>
      </c>
      <c r="AF1402">
        <v>9.5933869660481397E-2</v>
      </c>
      <c r="AG1402">
        <v>-6.9786000000000098E-2</v>
      </c>
      <c r="AH1402">
        <v>0.55758297448653804</v>
      </c>
      <c r="AI1402">
        <v>97.031671936783098</v>
      </c>
      <c r="AJ1402">
        <v>80.237664731769598</v>
      </c>
      <c r="AK1402">
        <v>0.57006330050380405</v>
      </c>
      <c r="AL1402">
        <v>72.476833322337797</v>
      </c>
      <c r="AM1402">
        <v>91.409905399455695</v>
      </c>
      <c r="AN1402">
        <v>1.0000000137251399</v>
      </c>
    </row>
    <row r="1403" spans="1:40" x14ac:dyDescent="0.25">
      <c r="A1403" t="str">
        <f>"20190304164119707"</f>
        <v>20190304164119707</v>
      </c>
      <c r="B1403" t="str">
        <f>"1551688879702210"</f>
        <v>1551688879702210</v>
      </c>
      <c r="C1403" t="s">
        <v>40</v>
      </c>
      <c r="D1403">
        <v>4.6233339999999998</v>
      </c>
      <c r="E1403">
        <v>0.576569</v>
      </c>
      <c r="F1403" t="s">
        <v>41</v>
      </c>
      <c r="G1403">
        <v>-235.55500000000001</v>
      </c>
      <c r="H1403">
        <v>1.0310509999999999</v>
      </c>
      <c r="I1403">
        <v>367.16789999999997</v>
      </c>
      <c r="J1403">
        <v>-236.21469999999999</v>
      </c>
      <c r="K1403">
        <v>1.110562</v>
      </c>
      <c r="L1403">
        <v>367.26990000000001</v>
      </c>
      <c r="M1403">
        <v>0.99980939999999996</v>
      </c>
      <c r="N1403">
        <v>-1.389481E-2</v>
      </c>
      <c r="O1403">
        <v>1.3713110000000001E-2</v>
      </c>
      <c r="P1403">
        <v>0.95691230000000005</v>
      </c>
      <c r="Q1403">
        <v>0.2881843</v>
      </c>
      <c r="R1403">
        <v>3.5617749999999997E-2</v>
      </c>
      <c r="S1403">
        <v>3.242966</v>
      </c>
      <c r="T1403">
        <v>-0.31019459999999999</v>
      </c>
      <c r="U1403">
        <v>-0.38751219999999997</v>
      </c>
      <c r="V1403">
        <v>-2.251361E-2</v>
      </c>
      <c r="W1403">
        <v>0.30145650000000002</v>
      </c>
      <c r="X1403">
        <v>0.95321409999999995</v>
      </c>
      <c r="Y1403">
        <v>0.13153090000000001</v>
      </c>
      <c r="Z1403">
        <v>-8.2884289999999999E-3</v>
      </c>
      <c r="AA1403">
        <v>0.99127739999999998</v>
      </c>
      <c r="AB1403">
        <v>30</v>
      </c>
      <c r="AC1403">
        <v>0.65969999999998596</v>
      </c>
      <c r="AD1403">
        <v>-7.9511000000000095E-2</v>
      </c>
      <c r="AE1403">
        <v>-0.102000000000032</v>
      </c>
      <c r="AF1403">
        <v>0.109484523927524</v>
      </c>
      <c r="AG1403">
        <v>-7.9511000000000095E-2</v>
      </c>
      <c r="AH1403">
        <v>0.64903105228797997</v>
      </c>
      <c r="AI1403">
        <v>96.887985519240999</v>
      </c>
      <c r="AJ1403">
        <v>80.424964678080798</v>
      </c>
      <c r="AK1403">
        <v>0.66298579693284498</v>
      </c>
      <c r="AL1403">
        <v>72.454895134634199</v>
      </c>
      <c r="AM1403">
        <v>91.352996200886096</v>
      </c>
      <c r="AN1403">
        <v>1.0000000022331399</v>
      </c>
    </row>
    <row r="1404" spans="1:40" x14ac:dyDescent="0.25">
      <c r="A1404" t="str">
        <f>"20190304164119719"</f>
        <v>20190304164119719</v>
      </c>
      <c r="B1404" t="str">
        <f>"1551688879711970"</f>
        <v>1551688879711970</v>
      </c>
      <c r="C1404" t="s">
        <v>40</v>
      </c>
      <c r="D1404">
        <v>4.620736</v>
      </c>
      <c r="E1404">
        <v>0.57662019999999903</v>
      </c>
      <c r="F1404" t="s">
        <v>41</v>
      </c>
      <c r="G1404">
        <v>-235.2901</v>
      </c>
      <c r="H1404">
        <v>1.0223279999999999</v>
      </c>
      <c r="I1404">
        <v>367.15780000000001</v>
      </c>
      <c r="J1404">
        <v>-236.03710000000001</v>
      </c>
      <c r="K1404">
        <v>1.1105640000000001</v>
      </c>
      <c r="L1404">
        <v>367.27229999999997</v>
      </c>
      <c r="M1404">
        <v>0.99980869999999999</v>
      </c>
      <c r="N1404">
        <v>-1.392324E-2</v>
      </c>
      <c r="O1404">
        <v>1.374557E-2</v>
      </c>
      <c r="P1404">
        <v>0.95684230000000003</v>
      </c>
      <c r="Q1404">
        <v>0.28849249999999999</v>
      </c>
      <c r="R1404">
        <v>3.5003619999999999E-2</v>
      </c>
      <c r="S1404">
        <v>3.2429049999999999</v>
      </c>
      <c r="T1404">
        <v>-0.30952639999999998</v>
      </c>
      <c r="U1404">
        <v>-0.39260859999999997</v>
      </c>
      <c r="V1404">
        <v>-2.1869380000000001E-2</v>
      </c>
      <c r="W1404">
        <v>0.30179070000000002</v>
      </c>
      <c r="X1404">
        <v>0.95312330000000001</v>
      </c>
      <c r="Y1404">
        <v>0.13309550000000001</v>
      </c>
      <c r="Z1404">
        <v>-8.3610750000000008E-3</v>
      </c>
      <c r="AA1404">
        <v>0.9910679</v>
      </c>
      <c r="AB1404">
        <v>30</v>
      </c>
      <c r="AC1404">
        <v>0.74700000000001399</v>
      </c>
      <c r="AD1404">
        <v>-8.8235999999999704E-2</v>
      </c>
      <c r="AE1404">
        <v>-0.11449999999996401</v>
      </c>
      <c r="AF1404">
        <v>0.12308026507839701</v>
      </c>
      <c r="AG1404">
        <v>-8.8235999999999704E-2</v>
      </c>
      <c r="AH1404">
        <v>0.73533123694124702</v>
      </c>
      <c r="AI1404">
        <v>96.749475115945401</v>
      </c>
      <c r="AJ1404">
        <v>80.497876416420894</v>
      </c>
      <c r="AK1404">
        <v>0.75076385859290895</v>
      </c>
      <c r="AL1404">
        <v>72.434810779781401</v>
      </c>
      <c r="AM1404">
        <v>91.314418974321597</v>
      </c>
      <c r="AN1404">
        <v>0.99999996069548103</v>
      </c>
    </row>
    <row r="1405" spans="1:40" x14ac:dyDescent="0.25">
      <c r="A1405" t="str">
        <f>"20190304164119732"</f>
        <v>20190304164119732</v>
      </c>
      <c r="B1405" t="str">
        <f>"1551688879722707"</f>
        <v>1551688879722707</v>
      </c>
      <c r="C1405" t="s">
        <v>40</v>
      </c>
      <c r="D1405">
        <v>4.6184909999999997</v>
      </c>
      <c r="E1405">
        <v>0.57663129999999996</v>
      </c>
      <c r="F1405" t="s">
        <v>41</v>
      </c>
      <c r="G1405">
        <v>-235.2826</v>
      </c>
      <c r="H1405">
        <v>1.038843</v>
      </c>
      <c r="I1405">
        <v>367.18029999999999</v>
      </c>
      <c r="J1405">
        <v>-235.8768</v>
      </c>
      <c r="K1405">
        <v>1.110568</v>
      </c>
      <c r="L1405">
        <v>367.27460000000002</v>
      </c>
      <c r="M1405">
        <v>0.99980800000000003</v>
      </c>
      <c r="N1405">
        <v>-1.394636E-2</v>
      </c>
      <c r="O1405">
        <v>1.377485E-2</v>
      </c>
      <c r="P1405">
        <v>0.95674559999999997</v>
      </c>
      <c r="Q1405">
        <v>0.28898790000000002</v>
      </c>
      <c r="R1405">
        <v>3.3527929999999997E-2</v>
      </c>
      <c r="S1405">
        <v>3.2427220000000001</v>
      </c>
      <c r="T1405">
        <v>-0.30830449999999998</v>
      </c>
      <c r="U1405">
        <v>-0.39505000000000001</v>
      </c>
      <c r="V1405">
        <v>-2.0366970000000002E-2</v>
      </c>
      <c r="W1405">
        <v>0.30230669999999998</v>
      </c>
      <c r="X1405">
        <v>0.95299310000000004</v>
      </c>
      <c r="Y1405">
        <v>0.13386779999999901</v>
      </c>
      <c r="Z1405">
        <v>-8.3767559999999904E-3</v>
      </c>
      <c r="AA1405">
        <v>0.99096379999999995</v>
      </c>
      <c r="AB1405">
        <v>30</v>
      </c>
      <c r="AC1405">
        <v>0.59419999999999995</v>
      </c>
      <c r="AD1405">
        <v>-7.1724999999999997E-2</v>
      </c>
      <c r="AE1405">
        <v>-9.43000000000324E-2</v>
      </c>
      <c r="AF1405">
        <v>0.101040810654643</v>
      </c>
      <c r="AG1405">
        <v>-7.1724999999999997E-2</v>
      </c>
      <c r="AH1405">
        <v>0.58453673810599505</v>
      </c>
      <c r="AI1405">
        <v>96.894219786648804</v>
      </c>
      <c r="AJ1405">
        <v>80.192977421819407</v>
      </c>
      <c r="AK1405">
        <v>0.597525664083431</v>
      </c>
      <c r="AL1405">
        <v>72.403798349232702</v>
      </c>
      <c r="AM1405">
        <v>91.224315062140903</v>
      </c>
      <c r="AN1405">
        <v>1.0000000014897401</v>
      </c>
    </row>
    <row r="1406" spans="1:40" x14ac:dyDescent="0.25">
      <c r="A1406" t="str">
        <f>"20190304164119747"</f>
        <v>20190304164119747</v>
      </c>
      <c r="B1406" t="str">
        <f>"1551688879732467"</f>
        <v>1551688879732467</v>
      </c>
      <c r="C1406" t="s">
        <v>40</v>
      </c>
      <c r="D1406">
        <v>4.6178330000000001</v>
      </c>
      <c r="E1406">
        <v>0.57669090000000001</v>
      </c>
      <c r="F1406" t="s">
        <v>41</v>
      </c>
      <c r="G1406">
        <v>-235.01840000000001</v>
      </c>
      <c r="H1406">
        <v>1.0292650000000001</v>
      </c>
      <c r="I1406">
        <v>367.16860000000003</v>
      </c>
      <c r="J1406">
        <v>-235.6902</v>
      </c>
      <c r="K1406">
        <v>1.1105689999999999</v>
      </c>
      <c r="L1406">
        <v>367.27710000000002</v>
      </c>
      <c r="M1406">
        <v>0.99980709999999995</v>
      </c>
      <c r="N1406">
        <v>-1.3971829999999999E-2</v>
      </c>
      <c r="O1406">
        <v>1.3809E-2</v>
      </c>
      <c r="P1406">
        <v>0.95670160000000004</v>
      </c>
      <c r="Q1406">
        <v>0.28922300000000001</v>
      </c>
      <c r="R1406">
        <v>3.2750700000000001E-2</v>
      </c>
      <c r="S1406">
        <v>3.2424469999999999</v>
      </c>
      <c r="T1406">
        <v>-0.3072532</v>
      </c>
      <c r="U1406">
        <v>-0.39990229999999999</v>
      </c>
      <c r="V1406">
        <v>-1.9557769999999999E-2</v>
      </c>
      <c r="W1406">
        <v>0.30256569999999999</v>
      </c>
      <c r="X1406">
        <v>0.95292779999999999</v>
      </c>
      <c r="Y1406">
        <v>0.1353694</v>
      </c>
      <c r="Z1406">
        <v>-8.436285E-3</v>
      </c>
      <c r="AA1406">
        <v>0.99075930000000001</v>
      </c>
      <c r="AB1406">
        <v>30</v>
      </c>
      <c r="AC1406">
        <v>0.67179999999998996</v>
      </c>
      <c r="AD1406">
        <v>-8.1304000000000196E-2</v>
      </c>
      <c r="AE1406">
        <v>-0.10849999999999201</v>
      </c>
      <c r="AF1406">
        <v>0.116110031656131</v>
      </c>
      <c r="AG1406">
        <v>-8.1304000000000196E-2</v>
      </c>
      <c r="AH1406">
        <v>0.66080485344418205</v>
      </c>
      <c r="AI1406">
        <v>96.909491264386503</v>
      </c>
      <c r="AJ1406">
        <v>80.034287146354302</v>
      </c>
      <c r="AK1406">
        <v>0.67583647001517699</v>
      </c>
      <c r="AL1406">
        <v>72.388228728958893</v>
      </c>
      <c r="AM1406">
        <v>91.175766282979495</v>
      </c>
      <c r="AN1406">
        <v>0.99999995059835001</v>
      </c>
    </row>
    <row r="1407" spans="1:40" x14ac:dyDescent="0.25">
      <c r="A1407" t="str">
        <f>"20190304164119756"</f>
        <v>20190304164119756</v>
      </c>
      <c r="B1407" t="str">
        <f>"1551688879742227"</f>
        <v>1551688879742227</v>
      </c>
      <c r="C1407" t="s">
        <v>40</v>
      </c>
      <c r="D1407">
        <v>4.6184129999999897</v>
      </c>
      <c r="E1407">
        <v>0.5767468</v>
      </c>
      <c r="F1407" t="s">
        <v>41</v>
      </c>
      <c r="G1407">
        <v>-234.7534</v>
      </c>
      <c r="H1407">
        <v>1.0222309999999999</v>
      </c>
      <c r="I1407">
        <v>367.16090000000003</v>
      </c>
      <c r="J1407">
        <v>-235.54320000000001</v>
      </c>
      <c r="K1407">
        <v>1.1105689999999999</v>
      </c>
      <c r="L1407">
        <v>367.2792</v>
      </c>
      <c r="M1407">
        <v>0.99980650000000004</v>
      </c>
      <c r="N1407">
        <v>-1.399014E-2</v>
      </c>
      <c r="O1407">
        <v>1.3835979999999999E-2</v>
      </c>
      <c r="P1407">
        <v>0.95670489999999997</v>
      </c>
      <c r="Q1407">
        <v>0.28926750000000001</v>
      </c>
      <c r="R1407">
        <v>3.2254339999999999E-2</v>
      </c>
      <c r="S1407">
        <v>3.2419739999999999</v>
      </c>
      <c r="T1407">
        <v>-0.30574639999999997</v>
      </c>
      <c r="U1407">
        <v>-0.40200809999999998</v>
      </c>
      <c r="V1407">
        <v>-1.9035280000000002E-2</v>
      </c>
      <c r="W1407">
        <v>0.30262739999999999</v>
      </c>
      <c r="X1407">
        <v>0.95291879999999995</v>
      </c>
      <c r="Y1407">
        <v>0.13605059999999999</v>
      </c>
      <c r="Z1407">
        <v>-8.4394999999999904E-3</v>
      </c>
      <c r="AA1407">
        <v>0.99066600000000005</v>
      </c>
      <c r="AB1407">
        <v>30</v>
      </c>
      <c r="AC1407">
        <v>0.78980000000001305</v>
      </c>
      <c r="AD1407">
        <v>-8.8338000000000194E-2</v>
      </c>
      <c r="AE1407">
        <v>-0.11829999999997599</v>
      </c>
      <c r="AF1407">
        <v>0.127655459383719</v>
      </c>
      <c r="AG1407">
        <v>-8.8338000000000194E-2</v>
      </c>
      <c r="AH1407">
        <v>0.77856127029294697</v>
      </c>
      <c r="AI1407">
        <v>96.388686911059906</v>
      </c>
      <c r="AJ1407">
        <v>80.688449911803701</v>
      </c>
      <c r="AK1407">
        <v>0.79388737876013304</v>
      </c>
      <c r="AL1407">
        <v>72.384519907025705</v>
      </c>
      <c r="AM1407">
        <v>91.14437470851</v>
      </c>
      <c r="AN1407">
        <v>0.99999996225443799</v>
      </c>
    </row>
    <row r="1408" spans="1:40" x14ac:dyDescent="0.25">
      <c r="A1408" t="str">
        <f>"20190304164119767"</f>
        <v>20190304164119767</v>
      </c>
      <c r="B1408" t="str">
        <f>"1551688879762723"</f>
        <v>1551688879762723</v>
      </c>
      <c r="C1408" t="s">
        <v>40</v>
      </c>
      <c r="D1408">
        <v>4.5955320000000004</v>
      </c>
      <c r="E1408">
        <v>0.57680419999999999</v>
      </c>
      <c r="F1408" t="s">
        <v>41</v>
      </c>
      <c r="G1408">
        <v>-234.7474</v>
      </c>
      <c r="H1408">
        <v>1.035507</v>
      </c>
      <c r="I1408">
        <v>367.17989999999998</v>
      </c>
      <c r="J1408">
        <v>-235.4042</v>
      </c>
      <c r="K1408">
        <v>1.1105689999999999</v>
      </c>
      <c r="L1408">
        <v>367.28120000000001</v>
      </c>
      <c r="M1408">
        <v>0.99980590000000003</v>
      </c>
      <c r="N1408">
        <v>-1.4006360000000001E-2</v>
      </c>
      <c r="O1408">
        <v>1.386132E-2</v>
      </c>
      <c r="P1408">
        <v>0.95675350000000003</v>
      </c>
      <c r="Q1408">
        <v>0.28915730000000001</v>
      </c>
      <c r="R1408">
        <v>3.1797890000000002E-2</v>
      </c>
      <c r="S1408">
        <v>3.2418670000000001</v>
      </c>
      <c r="T1408">
        <v>-0.3058128</v>
      </c>
      <c r="U1408">
        <v>-0.4043274</v>
      </c>
      <c r="V1408">
        <v>-1.8553759999999999E-2</v>
      </c>
      <c r="W1408">
        <v>0.302533</v>
      </c>
      <c r="X1408">
        <v>0.95295830000000004</v>
      </c>
      <c r="Y1408">
        <v>0.13677349999999999</v>
      </c>
      <c r="Z1408">
        <v>-8.4830280000000001E-3</v>
      </c>
      <c r="AA1408">
        <v>0.99056599999999995</v>
      </c>
      <c r="AB1408">
        <v>30</v>
      </c>
      <c r="AC1408">
        <v>0.65680000000000405</v>
      </c>
      <c r="AD1408">
        <v>-7.5062000000000101E-2</v>
      </c>
      <c r="AE1408">
        <v>-0.101300000000037</v>
      </c>
      <c r="AF1408">
        <v>0.10900465135912001</v>
      </c>
      <c r="AG1408">
        <v>-7.5062000000000101E-2</v>
      </c>
      <c r="AH1408">
        <v>0.64707753480968999</v>
      </c>
      <c r="AI1408">
        <v>96.525691155618105</v>
      </c>
      <c r="AJ1408">
        <v>80.437908366133001</v>
      </c>
      <c r="AK1408">
        <v>0.66047381016760098</v>
      </c>
      <c r="AL1408">
        <v>72.390195139224303</v>
      </c>
      <c r="AM1408">
        <v>91.115387577765603</v>
      </c>
      <c r="AN1408">
        <v>0.99999998981901295</v>
      </c>
    </row>
    <row r="1409" spans="1:40" x14ac:dyDescent="0.25">
      <c r="A1409" t="str">
        <f>"20190304164119778"</f>
        <v>20190304164119778</v>
      </c>
      <c r="B1409" t="str">
        <f>"1551688879772483"</f>
        <v>1551688879772483</v>
      </c>
      <c r="C1409" t="s">
        <v>40</v>
      </c>
      <c r="D1409">
        <v>4.6871689999999999</v>
      </c>
      <c r="E1409">
        <v>0.57680419999999999</v>
      </c>
      <c r="F1409" t="s">
        <v>41</v>
      </c>
      <c r="G1409">
        <v>-234.48490000000001</v>
      </c>
      <c r="H1409">
        <v>1.0237810000000001</v>
      </c>
      <c r="I1409">
        <v>367.16579999999999</v>
      </c>
      <c r="J1409">
        <v>-235.25489999999999</v>
      </c>
      <c r="K1409">
        <v>1.1105689999999999</v>
      </c>
      <c r="L1409">
        <v>367.2833</v>
      </c>
      <c r="M1409">
        <v>0.99980519999999995</v>
      </c>
      <c r="N1409">
        <v>-1.4022679999999999E-2</v>
      </c>
      <c r="O1409">
        <v>1.3888620000000001E-2</v>
      </c>
      <c r="P1409">
        <v>0.95682999999999996</v>
      </c>
      <c r="Q1409">
        <v>0.28896329999999998</v>
      </c>
      <c r="R1409">
        <v>3.1247299999999999E-2</v>
      </c>
      <c r="S1409">
        <v>3.241638</v>
      </c>
      <c r="T1409">
        <v>-0.30627320000000002</v>
      </c>
      <c r="U1409">
        <v>-0.40567019999999998</v>
      </c>
      <c r="V1409">
        <v>-1.7976349999999999E-2</v>
      </c>
      <c r="W1409">
        <v>0.30235570000000001</v>
      </c>
      <c r="X1409">
        <v>0.95302560000000003</v>
      </c>
      <c r="Y1409">
        <v>0.13720859999999999</v>
      </c>
      <c r="Z1409">
        <v>-8.5215510000000005E-3</v>
      </c>
      <c r="AA1409">
        <v>0.99050550000000004</v>
      </c>
      <c r="AB1409">
        <v>30</v>
      </c>
      <c r="AC1409">
        <v>0.76999999999998103</v>
      </c>
      <c r="AD1409">
        <v>-8.6788000000000004E-2</v>
      </c>
      <c r="AE1409">
        <v>-0.117500000000006</v>
      </c>
      <c r="AF1409">
        <v>0.12661208594090001</v>
      </c>
      <c r="AG1409">
        <v>-8.6788000000000004E-2</v>
      </c>
      <c r="AH1409">
        <v>0.75887237040279898</v>
      </c>
      <c r="AI1409">
        <v>96.436051703313495</v>
      </c>
      <c r="AJ1409">
        <v>80.527881541856004</v>
      </c>
      <c r="AK1409">
        <v>0.77424159783046398</v>
      </c>
      <c r="AL1409">
        <v>72.400852203406799</v>
      </c>
      <c r="AM1409">
        <v>91.080607762463003</v>
      </c>
      <c r="AN1409">
        <v>0.99999995636858496</v>
      </c>
    </row>
    <row r="1410" spans="1:40" x14ac:dyDescent="0.25">
      <c r="A1410" t="str">
        <f>"20190304164119791"</f>
        <v>20190304164119791</v>
      </c>
      <c r="B1410" t="str">
        <f>"1551688879782243"</f>
        <v>1551688879782243</v>
      </c>
      <c r="C1410" t="s">
        <v>40</v>
      </c>
      <c r="D1410">
        <v>4.5902560000000001</v>
      </c>
      <c r="E1410">
        <v>0.56132850000000001</v>
      </c>
      <c r="F1410" t="s">
        <v>41</v>
      </c>
      <c r="G1410">
        <v>-234.47890000000001</v>
      </c>
      <c r="H1410">
        <v>1.0371220000000001</v>
      </c>
      <c r="I1410">
        <v>367.18560000000002</v>
      </c>
      <c r="J1410">
        <v>-235.08840000000001</v>
      </c>
      <c r="K1410">
        <v>1.1105659999999999</v>
      </c>
      <c r="L1410">
        <v>367.28559999999999</v>
      </c>
      <c r="M1410">
        <v>0.99980469999999999</v>
      </c>
      <c r="N1410">
        <v>-1.403913E-2</v>
      </c>
      <c r="O1410">
        <v>1.391884E-2</v>
      </c>
      <c r="P1410">
        <v>0.95685290000000001</v>
      </c>
      <c r="Q1410">
        <v>0.28892980000000001</v>
      </c>
      <c r="R1410">
        <v>3.0861139999999999E-2</v>
      </c>
      <c r="S1410">
        <v>3.241409</v>
      </c>
      <c r="T1410">
        <v>-0.30710900000000002</v>
      </c>
      <c r="U1410">
        <v>-0.40698240000000002</v>
      </c>
      <c r="V1410">
        <v>-1.7560639999999999E-2</v>
      </c>
      <c r="W1410">
        <v>0.302338</v>
      </c>
      <c r="X1410">
        <v>0.95303899999999997</v>
      </c>
      <c r="Y1410">
        <v>0.1376357</v>
      </c>
      <c r="Z1410">
        <v>-8.5694529999999994E-3</v>
      </c>
      <c r="AA1410">
        <v>0.99044589999999999</v>
      </c>
      <c r="AB1410">
        <v>30</v>
      </c>
      <c r="AC1410">
        <v>0.60949999999999704</v>
      </c>
      <c r="AD1410">
        <v>-7.3443999999999995E-2</v>
      </c>
      <c r="AE1410">
        <v>-9.9999999999965894E-2</v>
      </c>
      <c r="AF1410">
        <v>0.106962302338936</v>
      </c>
      <c r="AG1410">
        <v>-7.3443999999999995E-2</v>
      </c>
      <c r="AH1410">
        <v>0.59957137922771397</v>
      </c>
      <c r="AI1410">
        <v>96.876110399022295</v>
      </c>
      <c r="AJ1410">
        <v>79.884961307236395</v>
      </c>
      <c r="AK1410">
        <v>0.61344991160376705</v>
      </c>
      <c r="AL1410">
        <v>72.401916724384407</v>
      </c>
      <c r="AM1410">
        <v>91.055609175392803</v>
      </c>
      <c r="AN1410">
        <v>0.99999998892110398</v>
      </c>
    </row>
    <row r="1411" spans="1:40" x14ac:dyDescent="0.25">
      <c r="A1411" t="str">
        <f>"20190304164119802"</f>
        <v>20190304164119802</v>
      </c>
      <c r="B1411" t="str">
        <f>"1551688879792979"</f>
        <v>1551688879792979</v>
      </c>
      <c r="C1411" t="s">
        <v>40</v>
      </c>
      <c r="D1411">
        <v>4.614452</v>
      </c>
      <c r="E1411">
        <v>0.5522435</v>
      </c>
      <c r="F1411" t="s">
        <v>41</v>
      </c>
      <c r="G1411">
        <v>-234.2115</v>
      </c>
      <c r="H1411">
        <v>1.037671</v>
      </c>
      <c r="I1411">
        <v>367.2072</v>
      </c>
      <c r="J1411">
        <v>-234.93600000000001</v>
      </c>
      <c r="K1411">
        <v>1.110565</v>
      </c>
      <c r="L1411">
        <v>367.28769999999997</v>
      </c>
      <c r="M1411">
        <v>0.99980400000000003</v>
      </c>
      <c r="N1411">
        <v>-1.405352E-2</v>
      </c>
      <c r="O1411">
        <v>1.394687E-2</v>
      </c>
      <c r="P1411">
        <v>0.95688099999999998</v>
      </c>
      <c r="Q1411">
        <v>0.28886830000000002</v>
      </c>
      <c r="R1411">
        <v>3.056354E-2</v>
      </c>
      <c r="S1411">
        <v>3.2255099999999999</v>
      </c>
      <c r="T1411">
        <v>-0.26807789999999998</v>
      </c>
      <c r="U1411">
        <v>-0.28808590000000001</v>
      </c>
      <c r="V1411">
        <v>-1.723599E-2</v>
      </c>
      <c r="W1411">
        <v>0.30229070000000002</v>
      </c>
      <c r="X1411">
        <v>0.95306000000000002</v>
      </c>
      <c r="Y1411">
        <v>0.1024019</v>
      </c>
      <c r="Z1411">
        <v>-5.9218389999999999E-3</v>
      </c>
      <c r="AA1411">
        <v>0.99472550000000004</v>
      </c>
      <c r="AB1411">
        <v>30</v>
      </c>
      <c r="AC1411">
        <v>0.72449999999997705</v>
      </c>
      <c r="AD1411">
        <v>-7.2894E-2</v>
      </c>
      <c r="AE1411">
        <v>-8.0499999999972205E-2</v>
      </c>
      <c r="AF1411">
        <v>8.9700712264230598E-2</v>
      </c>
      <c r="AG1411">
        <v>-7.2894E-2</v>
      </c>
      <c r="AH1411">
        <v>0.71614559327142602</v>
      </c>
      <c r="AI1411">
        <v>95.767167709496803</v>
      </c>
      <c r="AJ1411">
        <v>82.8606066485778</v>
      </c>
      <c r="AK1411">
        <v>0.725413167635378</v>
      </c>
      <c r="AL1411">
        <v>72.404761052488396</v>
      </c>
      <c r="AM1411">
        <v>91.036075210459003</v>
      </c>
      <c r="AN1411">
        <v>1.0000000551288799</v>
      </c>
    </row>
    <row r="1412" spans="1:40" x14ac:dyDescent="0.25">
      <c r="A1412" t="str">
        <f>"20190304164119815"</f>
        <v>20190304164119815</v>
      </c>
      <c r="B1412" t="str">
        <f>"1551688879802739"</f>
        <v>1551688879802739</v>
      </c>
      <c r="C1412" t="s">
        <v>40</v>
      </c>
      <c r="D1412">
        <v>4.5491830000000002</v>
      </c>
      <c r="E1412">
        <v>0.5447592</v>
      </c>
      <c r="F1412" t="s">
        <v>41</v>
      </c>
      <c r="G1412">
        <v>-233.94990000000001</v>
      </c>
      <c r="H1412">
        <v>1.026786</v>
      </c>
      <c r="I1412">
        <v>367.22149999999999</v>
      </c>
      <c r="J1412">
        <v>-234.76410000000001</v>
      </c>
      <c r="K1412">
        <v>1.1105670000000001</v>
      </c>
      <c r="L1412">
        <v>367.29020000000003</v>
      </c>
      <c r="M1412">
        <v>0.99980340000000001</v>
      </c>
      <c r="N1412">
        <v>-1.4067710000000001E-2</v>
      </c>
      <c r="O1412">
        <v>1.3978239999999999E-2</v>
      </c>
      <c r="P1412">
        <v>0.9570187</v>
      </c>
      <c r="Q1412">
        <v>0.28844769999999997</v>
      </c>
      <c r="R1412">
        <v>3.022296E-2</v>
      </c>
      <c r="S1412">
        <v>3.2248540000000001</v>
      </c>
      <c r="T1412">
        <v>-0.27420990000000001</v>
      </c>
      <c r="U1412">
        <v>-0.21575929999999999</v>
      </c>
      <c r="V1412">
        <v>-1.686379E-2</v>
      </c>
      <c r="W1412">
        <v>0.30188569999999998</v>
      </c>
      <c r="X1412">
        <v>0.95319500000000001</v>
      </c>
      <c r="Y1412">
        <v>8.0326079999999994E-2</v>
      </c>
      <c r="Z1412">
        <v>-4.9610799999999997E-3</v>
      </c>
      <c r="AA1412">
        <v>0.99675630000000004</v>
      </c>
      <c r="AB1412">
        <v>30</v>
      </c>
      <c r="AC1412">
        <v>0.81419999999999904</v>
      </c>
      <c r="AD1412">
        <v>-8.3781000000000105E-2</v>
      </c>
      <c r="AE1412">
        <v>-6.8700000000035205E-2</v>
      </c>
      <c r="AF1412">
        <v>7.9242379445833094E-2</v>
      </c>
      <c r="AG1412">
        <v>-8.3781000000000105E-2</v>
      </c>
      <c r="AH1412">
        <v>0.804699814410062</v>
      </c>
      <c r="AI1412">
        <v>95.915503502610093</v>
      </c>
      <c r="AJ1412">
        <v>84.375961474730303</v>
      </c>
      <c r="AK1412">
        <v>0.812920907575162</v>
      </c>
      <c r="AL1412">
        <v>72.429102749726994</v>
      </c>
      <c r="AM1412">
        <v>91.013563019704705</v>
      </c>
      <c r="AN1412">
        <v>1.0000000356513199</v>
      </c>
    </row>
    <row r="1413" spans="1:40" x14ac:dyDescent="0.25">
      <c r="A1413" t="str">
        <f>"20190304164119831"</f>
        <v>20190304164119831</v>
      </c>
      <c r="B1413" t="str">
        <f>"1551688879822259"</f>
        <v>1551688879822259</v>
      </c>
      <c r="C1413" t="s">
        <v>40</v>
      </c>
      <c r="D1413">
        <v>4.53369</v>
      </c>
      <c r="E1413">
        <v>0.53677849999999905</v>
      </c>
      <c r="F1413" t="s">
        <v>41</v>
      </c>
      <c r="G1413">
        <v>-233.94319999999999</v>
      </c>
      <c r="H1413">
        <v>1.0411049999999999</v>
      </c>
      <c r="I1413">
        <v>367.25</v>
      </c>
      <c r="J1413">
        <v>-234.5523</v>
      </c>
      <c r="K1413">
        <v>1.1105659999999999</v>
      </c>
      <c r="L1413">
        <v>367.29309999999998</v>
      </c>
      <c r="M1413">
        <v>0.99980259999999999</v>
      </c>
      <c r="N1413">
        <v>-1.408387E-2</v>
      </c>
      <c r="O1413">
        <v>1.401674E-2</v>
      </c>
      <c r="P1413">
        <v>0.95692219999999995</v>
      </c>
      <c r="Q1413">
        <v>0.28879769999999999</v>
      </c>
      <c r="R1413">
        <v>2.9935610000000001E-2</v>
      </c>
      <c r="S1413">
        <v>3.2219389999999999</v>
      </c>
      <c r="T1413">
        <v>-0.27288849999999998</v>
      </c>
      <c r="U1413">
        <v>-0.15676880000000001</v>
      </c>
      <c r="V1413">
        <v>-1.6540889999999999E-2</v>
      </c>
      <c r="W1413">
        <v>0.30224980000000001</v>
      </c>
      <c r="X1413">
        <v>0.95308519999999997</v>
      </c>
      <c r="Y1413">
        <v>6.230136E-2</v>
      </c>
      <c r="Z1413">
        <v>-4.0594530000000002E-3</v>
      </c>
      <c r="AA1413">
        <v>0.99804910000000002</v>
      </c>
      <c r="AB1413">
        <v>30</v>
      </c>
      <c r="AC1413">
        <v>0.60910000000001197</v>
      </c>
      <c r="AD1413">
        <v>-6.9460999999999995E-2</v>
      </c>
      <c r="AE1413">
        <v>-4.3099999999981202E-2</v>
      </c>
      <c r="AF1413">
        <v>5.0974594440554001E-2</v>
      </c>
      <c r="AG1413">
        <v>-6.9460999999999995E-2</v>
      </c>
      <c r="AH1413">
        <v>0.60066335842062202</v>
      </c>
      <c r="AI1413">
        <v>96.572993065039796</v>
      </c>
      <c r="AJ1413">
        <v>85.149283047842005</v>
      </c>
      <c r="AK1413">
        <v>0.60681109906503805</v>
      </c>
      <c r="AL1413">
        <v>72.407217911320501</v>
      </c>
      <c r="AM1413">
        <v>90.994274228916098</v>
      </c>
      <c r="AN1413">
        <v>0.99999997055053502</v>
      </c>
    </row>
    <row r="1414" spans="1:40" x14ac:dyDescent="0.25">
      <c r="A1414" t="str">
        <f>"20190304164119842"</f>
        <v>20190304164119842</v>
      </c>
      <c r="B1414" t="str">
        <f>"1551688879832019"</f>
        <v>1551688879832019</v>
      </c>
      <c r="C1414" t="s">
        <v>40</v>
      </c>
      <c r="D1414">
        <v>4.5196809999999896</v>
      </c>
      <c r="E1414">
        <v>0.53444879999999995</v>
      </c>
      <c r="F1414" t="s">
        <v>41</v>
      </c>
      <c r="G1414">
        <v>-233.67830000000001</v>
      </c>
      <c r="H1414">
        <v>1.0372520000000001</v>
      </c>
      <c r="I1414">
        <v>367.26760000000002</v>
      </c>
      <c r="J1414">
        <v>-234.39359999999999</v>
      </c>
      <c r="K1414">
        <v>1.1105640000000001</v>
      </c>
      <c r="L1414">
        <v>367.29539999999997</v>
      </c>
      <c r="M1414">
        <v>0.99980210000000003</v>
      </c>
      <c r="N1414">
        <v>-1.4095079999999999E-2</v>
      </c>
      <c r="O1414">
        <v>1.4045510000000001E-2</v>
      </c>
      <c r="P1414">
        <v>0.95688130000000005</v>
      </c>
      <c r="Q1414">
        <v>0.28895569999999998</v>
      </c>
      <c r="R1414">
        <v>2.9713920000000001E-2</v>
      </c>
      <c r="S1414">
        <v>3.2195130000000001</v>
      </c>
      <c r="T1414">
        <v>-0.27009559999999999</v>
      </c>
      <c r="U1414">
        <v>-9.4024659999999996E-2</v>
      </c>
      <c r="V1414">
        <v>-1.6292299999999999E-2</v>
      </c>
      <c r="W1414">
        <v>0.30241790000000002</v>
      </c>
      <c r="X1414">
        <v>0.9530362</v>
      </c>
      <c r="Y1414">
        <v>4.3019599999999998E-2</v>
      </c>
      <c r="Z1414">
        <v>-3.0832590000000001E-3</v>
      </c>
      <c r="AA1414">
        <v>0.99906950000000005</v>
      </c>
      <c r="AB1414">
        <v>30</v>
      </c>
      <c r="AC1414">
        <v>0.71529999999998495</v>
      </c>
      <c r="AD1414">
        <v>-7.3311999999999794E-2</v>
      </c>
      <c r="AE1414">
        <v>-2.7799999999956498E-2</v>
      </c>
      <c r="AF1414">
        <v>3.7452186091045898E-2</v>
      </c>
      <c r="AG1414">
        <v>-7.3311999999999794E-2</v>
      </c>
      <c r="AH1414">
        <v>0.70741907559001704</v>
      </c>
      <c r="AI1414">
        <v>95.908400137577402</v>
      </c>
      <c r="AJ1414">
        <v>86.969475665836001</v>
      </c>
      <c r="AK1414">
        <v>0.71219313679340701</v>
      </c>
      <c r="AL1414">
        <v>72.397114382951997</v>
      </c>
      <c r="AM1414">
        <v>90.979384738767905</v>
      </c>
      <c r="AN1414">
        <v>1.00000001189507</v>
      </c>
    </row>
    <row r="1415" spans="1:40" x14ac:dyDescent="0.25">
      <c r="A1415" t="str">
        <f>"20190304164119855"</f>
        <v>20190304164119855</v>
      </c>
      <c r="B1415" t="str">
        <f>"1551688879842755"</f>
        <v>1551688879842755</v>
      </c>
      <c r="C1415" t="s">
        <v>40</v>
      </c>
      <c r="D1415">
        <v>4.5142129999999998</v>
      </c>
      <c r="E1415">
        <v>0.53275329999999999</v>
      </c>
      <c r="F1415" t="s">
        <v>41</v>
      </c>
      <c r="G1415">
        <v>-233.4161</v>
      </c>
      <c r="H1415">
        <v>1.0285580000000001</v>
      </c>
      <c r="I1415">
        <v>367.27229999999997</v>
      </c>
      <c r="J1415">
        <v>-234.2253</v>
      </c>
      <c r="K1415">
        <v>1.1105689999999999</v>
      </c>
      <c r="L1415">
        <v>367.2978</v>
      </c>
      <c r="M1415">
        <v>0.99980150000000001</v>
      </c>
      <c r="N1415">
        <v>-1.410548E-2</v>
      </c>
      <c r="O1415">
        <v>1.407505E-2</v>
      </c>
      <c r="P1415">
        <v>0.95670339999999998</v>
      </c>
      <c r="Q1415">
        <v>0.28963699999999998</v>
      </c>
      <c r="R1415">
        <v>2.8795060000000001E-2</v>
      </c>
      <c r="S1415">
        <v>3.2191010000000002</v>
      </c>
      <c r="T1415">
        <v>-0.27014779999999999</v>
      </c>
      <c r="U1415">
        <v>-7.5683589999999995E-2</v>
      </c>
      <c r="V1415">
        <v>-1.534716E-2</v>
      </c>
      <c r="W1415">
        <v>0.30310599999999999</v>
      </c>
      <c r="X1415">
        <v>0.95283320000000005</v>
      </c>
      <c r="Y1415">
        <v>3.7386780000000001E-2</v>
      </c>
      <c r="Z1415">
        <v>-2.8107980000000002E-3</v>
      </c>
      <c r="AA1415">
        <v>0.99929690000000004</v>
      </c>
      <c r="AB1415">
        <v>30</v>
      </c>
      <c r="AC1415">
        <v>0.80920000000000403</v>
      </c>
      <c r="AD1415">
        <v>-8.2011000000000001E-2</v>
      </c>
      <c r="AE1415">
        <v>-2.5500000000022199E-2</v>
      </c>
      <c r="AF1415">
        <v>3.6513461818848902E-2</v>
      </c>
      <c r="AG1415">
        <v>-8.2011000000000001E-2</v>
      </c>
      <c r="AH1415">
        <v>0.800546249775554</v>
      </c>
      <c r="AI1415">
        <v>95.843159824872899</v>
      </c>
      <c r="AJ1415">
        <v>87.388510241441693</v>
      </c>
      <c r="AK1415">
        <v>0.80556398569244603</v>
      </c>
      <c r="AL1415">
        <v>72.355746436434998</v>
      </c>
      <c r="AM1415">
        <v>90.922775849614297</v>
      </c>
      <c r="AN1415">
        <v>0.999999944789151</v>
      </c>
    </row>
    <row r="1416" spans="1:40" x14ac:dyDescent="0.25">
      <c r="A1416" t="str">
        <f>"20190304164119869"</f>
        <v>20190304164119869</v>
      </c>
      <c r="B1416" t="str">
        <f>"1551688879862275"</f>
        <v>1551688879862275</v>
      </c>
      <c r="C1416" t="s">
        <v>40</v>
      </c>
      <c r="D1416">
        <v>4.7792250000000003</v>
      </c>
      <c r="E1416">
        <v>0.53050149999999996</v>
      </c>
      <c r="F1416" t="s">
        <v>41</v>
      </c>
      <c r="G1416">
        <v>-233.40809999999999</v>
      </c>
      <c r="H1416">
        <v>1.042475</v>
      </c>
      <c r="I1416">
        <v>367.28129999999999</v>
      </c>
      <c r="J1416">
        <v>-234.0549</v>
      </c>
      <c r="K1416">
        <v>1.110573</v>
      </c>
      <c r="L1416">
        <v>367.30020000000002</v>
      </c>
      <c r="M1416">
        <v>0.99980100000000005</v>
      </c>
      <c r="N1416">
        <v>-1.4115259999999999E-2</v>
      </c>
      <c r="O1416">
        <v>1.4103859999999999E-2</v>
      </c>
      <c r="P1416">
        <v>0.95666519999999999</v>
      </c>
      <c r="Q1416">
        <v>0.28980590000000001</v>
      </c>
      <c r="R1416">
        <v>2.8366209999999999E-2</v>
      </c>
      <c r="S1416">
        <v>3.2189480000000001</v>
      </c>
      <c r="T1416">
        <v>-0.268343099999999</v>
      </c>
      <c r="U1416">
        <v>-6.4453129999999997E-2</v>
      </c>
      <c r="V1416">
        <v>-1.489011E-2</v>
      </c>
      <c r="W1416">
        <v>0.30328369999999999</v>
      </c>
      <c r="X1416">
        <v>0.95278390000000002</v>
      </c>
      <c r="Y1416">
        <v>3.3947999999999999E-2</v>
      </c>
      <c r="Z1416">
        <v>-2.6273640000000001E-3</v>
      </c>
      <c r="AA1416">
        <v>0.99942019999999998</v>
      </c>
      <c r="AB1416">
        <v>30</v>
      </c>
      <c r="AC1416">
        <v>0.64680000000001303</v>
      </c>
      <c r="AD1416">
        <v>-6.8097999999999895E-2</v>
      </c>
      <c r="AE1416">
        <v>-1.89000000000305E-2</v>
      </c>
      <c r="AF1416">
        <v>2.7714456690242601E-2</v>
      </c>
      <c r="AG1416">
        <v>-6.8097999999999895E-2</v>
      </c>
      <c r="AH1416">
        <v>0.639387613306172</v>
      </c>
      <c r="AI1416">
        <v>96.073711028201402</v>
      </c>
      <c r="AJ1416">
        <v>87.518050059854303</v>
      </c>
      <c r="AK1416">
        <v>0.64360076814978895</v>
      </c>
      <c r="AL1416">
        <v>72.345061942285994</v>
      </c>
      <c r="AM1416">
        <v>90.895345748621807</v>
      </c>
      <c r="AN1416">
        <v>0.99999993908035401</v>
      </c>
    </row>
    <row r="1417" spans="1:40" x14ac:dyDescent="0.25">
      <c r="A1417" t="str">
        <f>"20190304164119877"</f>
        <v>20190304164119877</v>
      </c>
      <c r="B1417" t="str">
        <f>"1551688879872035"</f>
        <v>1551688879872035</v>
      </c>
      <c r="C1417" t="s">
        <v>40</v>
      </c>
      <c r="D1417">
        <v>4.4752369999999999</v>
      </c>
      <c r="E1417">
        <v>0.52966250000000004</v>
      </c>
      <c r="F1417" t="s">
        <v>41</v>
      </c>
      <c r="G1417">
        <v>-233.14680000000001</v>
      </c>
      <c r="H1417">
        <v>1.0347120000000001</v>
      </c>
      <c r="I1417">
        <v>367.28680000000003</v>
      </c>
      <c r="J1417">
        <v>-233.9179</v>
      </c>
      <c r="K1417">
        <v>1.110573</v>
      </c>
      <c r="L1417">
        <v>367.30220000000003</v>
      </c>
      <c r="M1417">
        <v>0.99980060000000004</v>
      </c>
      <c r="N1417">
        <v>-1.412252E-2</v>
      </c>
      <c r="O1417">
        <v>1.412626E-2</v>
      </c>
      <c r="P1417">
        <v>0.95662179999999997</v>
      </c>
      <c r="Q1417">
        <v>0.29000330000000002</v>
      </c>
      <c r="R1417">
        <v>2.7805590000000002E-2</v>
      </c>
      <c r="S1417">
        <v>3.2187649999999999</v>
      </c>
      <c r="T1417">
        <v>-0.26898709999999998</v>
      </c>
      <c r="U1417">
        <v>-4.7424319999999999E-2</v>
      </c>
      <c r="V1417">
        <v>-1.43076E-2</v>
      </c>
      <c r="W1417">
        <v>0.30348770000000003</v>
      </c>
      <c r="X1417">
        <v>0.95272789999999996</v>
      </c>
      <c r="Y1417">
        <v>2.8705749999999999E-2</v>
      </c>
      <c r="Z1417">
        <v>-2.3796109999999998E-3</v>
      </c>
      <c r="AA1417">
        <v>0.9995851</v>
      </c>
      <c r="AB1417">
        <v>30</v>
      </c>
      <c r="AC1417">
        <v>0.77109999999998902</v>
      </c>
      <c r="AD1417">
        <v>-7.5860999999999901E-2</v>
      </c>
      <c r="AE1417">
        <v>-1.53999999999996E-2</v>
      </c>
      <c r="AF1417">
        <v>2.60403715905708E-2</v>
      </c>
      <c r="AG1417">
        <v>-7.5860999999999901E-2</v>
      </c>
      <c r="AH1417">
        <v>0.76341953731929302</v>
      </c>
      <c r="AI1417">
        <v>95.671575036958899</v>
      </c>
      <c r="AJ1417">
        <v>88.046388559293902</v>
      </c>
      <c r="AK1417">
        <v>0.76762124920717101</v>
      </c>
      <c r="AL1417">
        <v>72.332796047247996</v>
      </c>
      <c r="AM1417">
        <v>90.860375220772696</v>
      </c>
      <c r="AN1417">
        <v>0.99999997145372899</v>
      </c>
    </row>
    <row r="1418" spans="1:40" x14ac:dyDescent="0.25">
      <c r="A1418" t="str">
        <f>"20190304164119892"</f>
        <v>20190304164119892</v>
      </c>
      <c r="B1418" t="str">
        <f>"1551688879882771"</f>
        <v>1551688879882771</v>
      </c>
      <c r="C1418" t="s">
        <v>40</v>
      </c>
      <c r="D1418">
        <v>4.4959559999999996</v>
      </c>
      <c r="E1418">
        <v>0.52907159999999998</v>
      </c>
      <c r="F1418" t="s">
        <v>41</v>
      </c>
      <c r="G1418">
        <v>-233.13820000000001</v>
      </c>
      <c r="H1418">
        <v>1.0457270000000001</v>
      </c>
      <c r="I1418">
        <v>367.2919</v>
      </c>
      <c r="J1418">
        <v>-233.74010000000001</v>
      </c>
      <c r="K1418">
        <v>1.110571</v>
      </c>
      <c r="L1418">
        <v>367.30470000000003</v>
      </c>
      <c r="M1418">
        <v>0.99980009999999997</v>
      </c>
      <c r="N1418">
        <v>-1.41309E-2</v>
      </c>
      <c r="O1418">
        <v>1.41531E-2</v>
      </c>
      <c r="P1418">
        <v>0.95660690000000004</v>
      </c>
      <c r="Q1418">
        <v>0.29008329999999999</v>
      </c>
      <c r="R1418">
        <v>2.7479920000000001E-2</v>
      </c>
      <c r="S1418">
        <v>3.2184300000000001</v>
      </c>
      <c r="T1418">
        <v>-0.26774920000000002</v>
      </c>
      <c r="U1418">
        <v>-4.2480469999999999E-2</v>
      </c>
      <c r="V1418">
        <v>-1.3954660000000001E-2</v>
      </c>
      <c r="W1418">
        <v>0.3035754</v>
      </c>
      <c r="X1418">
        <v>0.95270520000000003</v>
      </c>
      <c r="Y1418">
        <v>2.7206250000000001E-2</v>
      </c>
      <c r="Z1418">
        <v>-2.297945E-3</v>
      </c>
      <c r="AA1418">
        <v>0.99962720000000005</v>
      </c>
      <c r="AB1418">
        <v>30</v>
      </c>
      <c r="AC1418">
        <v>0.60189999999999999</v>
      </c>
      <c r="AD1418">
        <v>-6.4843999999999902E-2</v>
      </c>
      <c r="AE1418">
        <v>-1.2800000000027E-2</v>
      </c>
      <c r="AF1418">
        <v>2.1073841108547701E-2</v>
      </c>
      <c r="AG1418">
        <v>-6.4843999999999902E-2</v>
      </c>
      <c r="AH1418">
        <v>0.59475874167581599</v>
      </c>
      <c r="AI1418">
        <v>96.218266307059196</v>
      </c>
      <c r="AJ1418">
        <v>87.970711235317793</v>
      </c>
      <c r="AK1418">
        <v>0.598654167207469</v>
      </c>
      <c r="AL1418">
        <v>72.327522506475802</v>
      </c>
      <c r="AM1418">
        <v>90.839174542315405</v>
      </c>
      <c r="AN1418">
        <v>0.99999997706395705</v>
      </c>
    </row>
    <row r="1419" spans="1:40" x14ac:dyDescent="0.25">
      <c r="A1419" t="str">
        <f>"20190304164119906"</f>
        <v>20190304164119906</v>
      </c>
      <c r="B1419" t="str">
        <f>"1551688879892531"</f>
        <v>1551688879892531</v>
      </c>
      <c r="C1419" t="s">
        <v>40</v>
      </c>
      <c r="D1419">
        <v>4.5106070000000003</v>
      </c>
      <c r="E1419">
        <v>0.5285318</v>
      </c>
      <c r="F1419" t="s">
        <v>41</v>
      </c>
      <c r="G1419">
        <v>-232.8783</v>
      </c>
      <c r="H1419">
        <v>1.039061</v>
      </c>
      <c r="I1419">
        <v>367.29399999999998</v>
      </c>
      <c r="J1419">
        <v>-233.56700000000001</v>
      </c>
      <c r="K1419">
        <v>1.110574</v>
      </c>
      <c r="L1419">
        <v>367.30720000000002</v>
      </c>
      <c r="M1419">
        <v>0.99979969999999996</v>
      </c>
      <c r="N1419">
        <v>-1.413843E-2</v>
      </c>
      <c r="O1419">
        <v>1.4177789999999999E-2</v>
      </c>
      <c r="P1419">
        <v>0.95663830000000005</v>
      </c>
      <c r="Q1419">
        <v>0.29002090000000003</v>
      </c>
      <c r="R1419">
        <v>2.7041300000000001E-2</v>
      </c>
      <c r="S1419">
        <v>3.2182770000000001</v>
      </c>
      <c r="T1419">
        <v>-0.26734530000000001</v>
      </c>
      <c r="U1419">
        <v>-3.9031980000000001E-2</v>
      </c>
      <c r="V1419">
        <v>-1.3490169999999999E-2</v>
      </c>
      <c r="W1419">
        <v>0.30352089999999998</v>
      </c>
      <c r="X1419">
        <v>0.9527293</v>
      </c>
      <c r="Y1419">
        <v>2.616514E-2</v>
      </c>
      <c r="Z1419">
        <v>-2.2457499999999999E-3</v>
      </c>
      <c r="AA1419">
        <v>0.99965510000000002</v>
      </c>
      <c r="AB1419">
        <v>30</v>
      </c>
      <c r="AC1419">
        <v>0.68870000000001097</v>
      </c>
      <c r="AD1419">
        <v>-7.1512999999999896E-2</v>
      </c>
      <c r="AE1419">
        <v>-1.31999999999834E-2</v>
      </c>
      <c r="AF1419">
        <v>2.2719018921734099E-2</v>
      </c>
      <c r="AG1419">
        <v>-7.1512999999999896E-2</v>
      </c>
      <c r="AH1419">
        <v>0.681102471891598</v>
      </c>
      <c r="AI1419">
        <v>95.990555853285798</v>
      </c>
      <c r="AJ1419">
        <v>88.089536451309101</v>
      </c>
      <c r="AK1419">
        <v>0.68522320466152598</v>
      </c>
      <c r="AL1419">
        <v>72.330800548374896</v>
      </c>
      <c r="AM1419">
        <v>90.811225346865001</v>
      </c>
      <c r="AN1419">
        <v>1.00000002025096</v>
      </c>
    </row>
    <row r="1420" spans="1:40" x14ac:dyDescent="0.25">
      <c r="A1420" t="str">
        <f>"20190304164119918"</f>
        <v>20190304164119918</v>
      </c>
      <c r="B1420" t="str">
        <f>"1551688879912050"</f>
        <v>1551688879912050</v>
      </c>
      <c r="C1420" t="s">
        <v>40</v>
      </c>
      <c r="D1420">
        <v>4.5013990000000002</v>
      </c>
      <c r="E1420">
        <v>0.52774929999999998</v>
      </c>
      <c r="F1420" t="s">
        <v>41</v>
      </c>
      <c r="G1420">
        <v>-232.61709999999999</v>
      </c>
      <c r="H1420">
        <v>1.0311319999999999</v>
      </c>
      <c r="I1420">
        <v>367.29640000000001</v>
      </c>
      <c r="J1420">
        <v>-233.38650000000001</v>
      </c>
      <c r="K1420">
        <v>1.110571</v>
      </c>
      <c r="L1420">
        <v>367.3098</v>
      </c>
      <c r="M1420">
        <v>0.99979910000000005</v>
      </c>
      <c r="N1420">
        <v>-1.4145349999999999E-2</v>
      </c>
      <c r="O1420">
        <v>1.420093E-2</v>
      </c>
      <c r="P1420">
        <v>0.95661600000000002</v>
      </c>
      <c r="Q1420">
        <v>0.29013309999999998</v>
      </c>
      <c r="R1420">
        <v>2.6615570000000002E-2</v>
      </c>
      <c r="S1420">
        <v>3.218658</v>
      </c>
      <c r="T1420">
        <v>-0.26931430000000001</v>
      </c>
      <c r="U1420">
        <v>-3.6224369999999999E-2</v>
      </c>
      <c r="V1420">
        <v>-1.30399E-2</v>
      </c>
      <c r="W1420">
        <v>0.30363899999999999</v>
      </c>
      <c r="X1420">
        <v>0.95269789999999999</v>
      </c>
      <c r="Y1420">
        <v>2.531636E-2</v>
      </c>
      <c r="Z1420">
        <v>-2.222225E-3</v>
      </c>
      <c r="AA1420">
        <v>0.99967700000000004</v>
      </c>
      <c r="AB1420">
        <v>30</v>
      </c>
      <c r="AC1420">
        <v>0.76940000000001796</v>
      </c>
      <c r="AD1420">
        <v>-7.9438999999999996E-2</v>
      </c>
      <c r="AE1420">
        <v>-1.339999999999E-2</v>
      </c>
      <c r="AF1420">
        <v>2.40694314699007E-2</v>
      </c>
      <c r="AG1420">
        <v>-7.9438999999999996E-2</v>
      </c>
      <c r="AH1420">
        <v>0.76102194258493105</v>
      </c>
      <c r="AI1420">
        <v>95.956260656670494</v>
      </c>
      <c r="AJ1420">
        <v>88.188465799059401</v>
      </c>
      <c r="AK1420">
        <v>0.76553529595181102</v>
      </c>
      <c r="AL1420">
        <v>72.323698110821596</v>
      </c>
      <c r="AM1420">
        <v>90.784177842573001</v>
      </c>
      <c r="AN1420">
        <v>0.99999998498870901</v>
      </c>
    </row>
    <row r="1421" spans="1:40" x14ac:dyDescent="0.25">
      <c r="A1421" t="str">
        <f>"20190304164119931"</f>
        <v>20190304164119931</v>
      </c>
      <c r="B1421" t="str">
        <f>"1551688879922786"</f>
        <v>1551688879922786</v>
      </c>
      <c r="C1421" t="s">
        <v>40</v>
      </c>
      <c r="D1421">
        <v>4.5065019999999896</v>
      </c>
      <c r="E1421">
        <v>0.52741380000000004</v>
      </c>
      <c r="F1421" t="s">
        <v>41</v>
      </c>
      <c r="G1421">
        <v>-232.60749999999999</v>
      </c>
      <c r="H1421">
        <v>1.0443830000000001</v>
      </c>
      <c r="I1421">
        <v>367.3021</v>
      </c>
      <c r="J1421">
        <v>-233.21860000000001</v>
      </c>
      <c r="K1421">
        <v>1.1105689999999999</v>
      </c>
      <c r="L1421">
        <v>367.31229999999999</v>
      </c>
      <c r="M1421">
        <v>0.99979890000000005</v>
      </c>
      <c r="N1421">
        <v>-1.415108E-2</v>
      </c>
      <c r="O1421">
        <v>1.421943E-2</v>
      </c>
      <c r="P1421">
        <v>0.95667740000000001</v>
      </c>
      <c r="Q1421">
        <v>0.28996369999999999</v>
      </c>
      <c r="R1421">
        <v>2.6262150000000001E-2</v>
      </c>
      <c r="S1421">
        <v>3.2199550000000001</v>
      </c>
      <c r="T1421">
        <v>-0.27374680000000001</v>
      </c>
      <c r="U1421">
        <v>-3.143311E-2</v>
      </c>
      <c r="V1421">
        <v>-1.2665799999999901E-2</v>
      </c>
      <c r="W1421">
        <v>0.30347629999999998</v>
      </c>
      <c r="X1421">
        <v>0.95275480000000001</v>
      </c>
      <c r="Y1421">
        <v>2.3844669999999998E-2</v>
      </c>
      <c r="Z1421">
        <v>-2.1865529999999999E-3</v>
      </c>
      <c r="AA1421">
        <v>0.99971330000000003</v>
      </c>
      <c r="AB1421">
        <v>30</v>
      </c>
      <c r="AC1421">
        <v>0.61110000000002096</v>
      </c>
      <c r="AD1421">
        <v>-6.6185999999999995E-2</v>
      </c>
      <c r="AE1421">
        <v>-1.0199999999997499E-2</v>
      </c>
      <c r="AF1421">
        <v>1.8670383683102299E-2</v>
      </c>
      <c r="AG1421">
        <v>-6.6185999999999995E-2</v>
      </c>
      <c r="AH1421">
        <v>0.60381224900253205</v>
      </c>
      <c r="AI1421">
        <v>96.252455360140203</v>
      </c>
      <c r="AJ1421">
        <v>88.228930498876906</v>
      </c>
      <c r="AK1421">
        <v>0.6077157245525</v>
      </c>
      <c r="AL1421">
        <v>72.333482034483097</v>
      </c>
      <c r="AM1421">
        <v>90.761637872205895</v>
      </c>
      <c r="AN1421">
        <v>0.99999999803718498</v>
      </c>
    </row>
    <row r="1422" spans="1:40" x14ac:dyDescent="0.25">
      <c r="A1422" t="str">
        <f>"20190304164119945"</f>
        <v>20190304164119945</v>
      </c>
      <c r="B1422" t="str">
        <f>"1551688879932546"</f>
        <v>1551688879932546</v>
      </c>
      <c r="C1422" t="s">
        <v>40</v>
      </c>
      <c r="D1422">
        <v>4.5162779999999998</v>
      </c>
      <c r="E1422">
        <v>0.52717510000000001</v>
      </c>
      <c r="F1422" t="s">
        <v>41</v>
      </c>
      <c r="G1422">
        <v>-232.3493</v>
      </c>
      <c r="H1422">
        <v>1.0361389999999999</v>
      </c>
      <c r="I1422">
        <v>367.30399999999997</v>
      </c>
      <c r="J1422">
        <v>-233.04480000000001</v>
      </c>
      <c r="K1422">
        <v>1.1105640000000001</v>
      </c>
      <c r="L1422">
        <v>367.31470000000002</v>
      </c>
      <c r="M1422">
        <v>0.99979850000000003</v>
      </c>
      <c r="N1422">
        <v>-1.415655E-2</v>
      </c>
      <c r="O1422">
        <v>1.4236850000000001E-2</v>
      </c>
      <c r="P1422">
        <v>0.95683229999999997</v>
      </c>
      <c r="Q1422">
        <v>0.28953210000000001</v>
      </c>
      <c r="R1422">
        <v>2.5364609999999999E-2</v>
      </c>
      <c r="S1422">
        <v>3.2203219999999999</v>
      </c>
      <c r="T1422">
        <v>-0.27594419999999997</v>
      </c>
      <c r="U1422">
        <v>-3.015137E-2</v>
      </c>
      <c r="V1422">
        <v>-1.174658E-2</v>
      </c>
      <c r="W1422">
        <v>0.30305189999999999</v>
      </c>
      <c r="X1422">
        <v>0.95290169999999996</v>
      </c>
      <c r="Y1422">
        <v>2.3462549999999999E-2</v>
      </c>
      <c r="Z1422">
        <v>-2.1862349999999999E-3</v>
      </c>
      <c r="AA1422">
        <v>0.99972229999999995</v>
      </c>
      <c r="AB1422">
        <v>30</v>
      </c>
      <c r="AC1422">
        <v>0.695500000000009</v>
      </c>
      <c r="AD1422">
        <v>-7.4424999999999894E-2</v>
      </c>
      <c r="AE1422">
        <v>-1.06999999999857E-2</v>
      </c>
      <c r="AF1422">
        <v>2.0368452231757601E-2</v>
      </c>
      <c r="AG1422">
        <v>-7.4424999999999894E-2</v>
      </c>
      <c r="AH1422">
        <v>0.687407507251106</v>
      </c>
      <c r="AI1422">
        <v>96.176603258032401</v>
      </c>
      <c r="AJ1422">
        <v>88.302775324112204</v>
      </c>
      <c r="AK1422">
        <v>0.69172468186157499</v>
      </c>
      <c r="AL1422">
        <v>72.359000917475299</v>
      </c>
      <c r="AM1422">
        <v>90.706258966522796</v>
      </c>
      <c r="AN1422">
        <v>1.0000000430490901</v>
      </c>
    </row>
    <row r="1423" spans="1:40" x14ac:dyDescent="0.25">
      <c r="A1423" t="str">
        <f>"20190304164119957"</f>
        <v>20190304164119957</v>
      </c>
      <c r="B1423" t="str">
        <f>"1551688879952068"</f>
        <v>1551688879952068</v>
      </c>
      <c r="C1423" t="s">
        <v>40</v>
      </c>
      <c r="D1423">
        <v>4.5128659999999998</v>
      </c>
      <c r="E1423">
        <v>0.52674719999999997</v>
      </c>
      <c r="F1423" t="s">
        <v>41</v>
      </c>
      <c r="G1423">
        <v>-232.08840000000001</v>
      </c>
      <c r="H1423">
        <v>1.0278860000000001</v>
      </c>
      <c r="I1423">
        <v>367.30509999999998</v>
      </c>
      <c r="J1423">
        <v>-232.87029999999999</v>
      </c>
      <c r="K1423">
        <v>1.110562</v>
      </c>
      <c r="L1423">
        <v>367.31720000000001</v>
      </c>
      <c r="M1423">
        <v>0.99979839999999998</v>
      </c>
      <c r="N1423">
        <v>-1.4161200000000001E-2</v>
      </c>
      <c r="O1423">
        <v>1.4250820000000001E-2</v>
      </c>
      <c r="P1423">
        <v>0.95685739999999997</v>
      </c>
      <c r="Q1423">
        <v>0.28949560000000002</v>
      </c>
      <c r="R1423">
        <v>2.4832460000000001E-2</v>
      </c>
      <c r="S1423">
        <v>3.2204739999999998</v>
      </c>
      <c r="T1423">
        <v>-0.27853820000000001</v>
      </c>
      <c r="U1423">
        <v>-3.2012939999999997E-2</v>
      </c>
      <c r="V1423">
        <v>-1.119826E-2</v>
      </c>
      <c r="W1423">
        <v>0.30302010000000001</v>
      </c>
      <c r="X1423">
        <v>0.95291840000000005</v>
      </c>
      <c r="Y1423">
        <v>2.4048750000000001E-2</v>
      </c>
      <c r="Z1423">
        <v>-2.2373979999999998E-3</v>
      </c>
      <c r="AA1423">
        <v>0.99970829999999999</v>
      </c>
      <c r="AB1423">
        <v>30</v>
      </c>
      <c r="AC1423">
        <v>0.78189999999997895</v>
      </c>
      <c r="AD1423">
        <v>-8.2675999999999902E-2</v>
      </c>
      <c r="AE1423">
        <v>-1.2100000000032101E-2</v>
      </c>
      <c r="AF1423">
        <v>2.2985675022000999E-2</v>
      </c>
      <c r="AG1423">
        <v>-8.2675999999999902E-2</v>
      </c>
      <c r="AH1423">
        <v>0.773007682605789</v>
      </c>
      <c r="AI1423">
        <v>96.102109357442998</v>
      </c>
      <c r="AJ1423">
        <v>88.296790254330602</v>
      </c>
      <c r="AK1423">
        <v>0.77775609261502399</v>
      </c>
      <c r="AL1423">
        <v>72.360912576636807</v>
      </c>
      <c r="AM1423">
        <v>90.673282731263399</v>
      </c>
      <c r="AN1423">
        <v>1.0000000295447899</v>
      </c>
    </row>
    <row r="1424" spans="1:40" x14ac:dyDescent="0.25">
      <c r="A1424" t="str">
        <f>"20190304164119968"</f>
        <v>20190304164119968</v>
      </c>
      <c r="B1424" t="str">
        <f>"1551688879962803"</f>
        <v>1551688879962803</v>
      </c>
      <c r="C1424" t="s">
        <v>40</v>
      </c>
      <c r="D1424">
        <v>4.5039170000000004</v>
      </c>
      <c r="E1424">
        <v>0.52659319999999998</v>
      </c>
      <c r="F1424" t="s">
        <v>41</v>
      </c>
      <c r="G1424">
        <v>-232.07980000000001</v>
      </c>
      <c r="H1424">
        <v>1.0415939999999999</v>
      </c>
      <c r="I1424">
        <v>367.30950000000001</v>
      </c>
      <c r="J1424">
        <v>-232.72309999999999</v>
      </c>
      <c r="K1424">
        <v>1.1105579999999999</v>
      </c>
      <c r="L1424">
        <v>367.3193</v>
      </c>
      <c r="M1424">
        <v>0.99979790000000002</v>
      </c>
      <c r="N1424">
        <v>-1.416474E-2</v>
      </c>
      <c r="O1424">
        <v>1.4260149999999999E-2</v>
      </c>
      <c r="P1424">
        <v>0.95684460000000005</v>
      </c>
      <c r="Q1424">
        <v>0.28956389999999999</v>
      </c>
      <c r="R1424">
        <v>2.4518140000000001E-2</v>
      </c>
      <c r="S1424">
        <v>3.2211460000000001</v>
      </c>
      <c r="T1424">
        <v>-0.28121960000000001</v>
      </c>
      <c r="U1424">
        <v>-3.0822749999999999E-2</v>
      </c>
      <c r="V1424">
        <v>-1.0872659999999999E-2</v>
      </c>
      <c r="W1424">
        <v>0.30309190000000003</v>
      </c>
      <c r="X1424">
        <v>0.9528993</v>
      </c>
      <c r="Y1424">
        <v>2.368557E-2</v>
      </c>
      <c r="Z1424">
        <v>-2.2409639999999998E-3</v>
      </c>
      <c r="AA1424">
        <v>0.99971690000000002</v>
      </c>
      <c r="AB1424">
        <v>30</v>
      </c>
      <c r="AC1424">
        <v>0.643299999999982</v>
      </c>
      <c r="AD1424">
        <v>-6.8963999999999803E-2</v>
      </c>
      <c r="AE1424">
        <v>-9.7999999999842605E-3</v>
      </c>
      <c r="AF1424">
        <v>1.8757951651994099E-2</v>
      </c>
      <c r="AG1424">
        <v>-6.8963999999999803E-2</v>
      </c>
      <c r="AH1424">
        <v>0.63578963976520497</v>
      </c>
      <c r="AI1424">
        <v>96.187988858260894</v>
      </c>
      <c r="AJ1424">
        <v>88.310070315206204</v>
      </c>
      <c r="AK1424">
        <v>0.63979399815796001</v>
      </c>
      <c r="AL1424">
        <v>72.356595105629495</v>
      </c>
      <c r="AM1424">
        <v>90.653721225226704</v>
      </c>
      <c r="AN1424">
        <v>0.99999999526078698</v>
      </c>
    </row>
    <row r="1425" spans="1:40" x14ac:dyDescent="0.25">
      <c r="A1425" t="str">
        <f>"20190304164119979"</f>
        <v>20190304164119979</v>
      </c>
      <c r="B1425" t="str">
        <f>"1551688879972563"</f>
        <v>1551688879972563</v>
      </c>
      <c r="C1425" t="s">
        <v>40</v>
      </c>
      <c r="D1425">
        <v>4.5087080000000004</v>
      </c>
      <c r="E1425">
        <v>0.52645989999999998</v>
      </c>
      <c r="F1425" t="s">
        <v>41</v>
      </c>
      <c r="G1425">
        <v>-231.822</v>
      </c>
      <c r="H1425">
        <v>1.0314810000000001</v>
      </c>
      <c r="I1425">
        <v>367.31040000000002</v>
      </c>
      <c r="J1425">
        <v>-232.5737</v>
      </c>
      <c r="K1425">
        <v>1.110557</v>
      </c>
      <c r="L1425">
        <v>367.32139999999998</v>
      </c>
      <c r="M1425">
        <v>0.99979790000000002</v>
      </c>
      <c r="N1425">
        <v>-1.416808E-2</v>
      </c>
      <c r="O1425">
        <v>1.426758E-2</v>
      </c>
      <c r="P1425">
        <v>0.956847</v>
      </c>
      <c r="Q1425">
        <v>0.28958339999999999</v>
      </c>
      <c r="R1425">
        <v>2.4198689999999998E-2</v>
      </c>
      <c r="S1425">
        <v>3.2217560000000001</v>
      </c>
      <c r="T1425">
        <v>-0.28306870000000001</v>
      </c>
      <c r="U1425">
        <v>-3.1036379999999999E-2</v>
      </c>
      <c r="V1425">
        <v>-1.054361E-2</v>
      </c>
      <c r="W1425">
        <v>0.30311460000000001</v>
      </c>
      <c r="X1425">
        <v>0.95289579999999996</v>
      </c>
      <c r="Y1425">
        <v>2.3755310000000002E-2</v>
      </c>
      <c r="Z1425">
        <v>-2.2595290000000001E-3</v>
      </c>
      <c r="AA1425">
        <v>0.99971529999999997</v>
      </c>
      <c r="AB1425">
        <v>30</v>
      </c>
      <c r="AC1425">
        <v>0.75169999999999904</v>
      </c>
      <c r="AD1425">
        <v>-7.9076000000000105E-2</v>
      </c>
      <c r="AE1425">
        <v>-1.0999999999967199E-2</v>
      </c>
      <c r="AF1425">
        <v>2.1487164529815E-2</v>
      </c>
      <c r="AG1425">
        <v>-7.9076000000000105E-2</v>
      </c>
      <c r="AH1425">
        <v>0.74324335987085599</v>
      </c>
      <c r="AI1425">
        <v>96.070515130886605</v>
      </c>
      <c r="AJ1425">
        <v>88.344040332651701</v>
      </c>
      <c r="AK1425">
        <v>0.74774688498692499</v>
      </c>
      <c r="AL1425">
        <v>72.355230684385802</v>
      </c>
      <c r="AM1425">
        <v>90.633940985094597</v>
      </c>
      <c r="AN1425">
        <v>1.0000000170513099</v>
      </c>
    </row>
    <row r="1426" spans="1:40" x14ac:dyDescent="0.25">
      <c r="A1426" t="str">
        <f>"20190304164119991"</f>
        <v>20190304164119991</v>
      </c>
      <c r="B1426" t="str">
        <f>"1551688879982323"</f>
        <v>1551688879982323</v>
      </c>
      <c r="C1426" t="s">
        <v>40</v>
      </c>
      <c r="D1426">
        <v>4.5401350000000003</v>
      </c>
      <c r="E1426">
        <v>0.52628960000000002</v>
      </c>
      <c r="F1426" t="s">
        <v>41</v>
      </c>
      <c r="G1426">
        <v>-231.8134</v>
      </c>
      <c r="H1426">
        <v>1.0434429999999999</v>
      </c>
      <c r="I1426">
        <v>367.31380000000001</v>
      </c>
      <c r="J1426">
        <v>-232.42609999999999</v>
      </c>
      <c r="K1426">
        <v>1.1105579999999999</v>
      </c>
      <c r="L1426">
        <v>367.3236</v>
      </c>
      <c r="M1426">
        <v>0.99979790000000002</v>
      </c>
      <c r="N1426">
        <v>-1.417092E-2</v>
      </c>
      <c r="O1426">
        <v>1.427204E-2</v>
      </c>
      <c r="P1426">
        <v>0.95683419999999997</v>
      </c>
      <c r="Q1426">
        <v>0.28965570000000002</v>
      </c>
      <c r="R1426">
        <v>2.3834279999999999E-2</v>
      </c>
      <c r="S1426">
        <v>3.222305</v>
      </c>
      <c r="T1426">
        <v>-0.28484369999999998</v>
      </c>
      <c r="U1426">
        <v>-3.1188960000000002E-2</v>
      </c>
      <c r="V1426">
        <v>-1.017349E-2</v>
      </c>
      <c r="W1426">
        <v>0.30318919999999999</v>
      </c>
      <c r="X1426">
        <v>0.9528761</v>
      </c>
      <c r="Y1426">
        <v>2.3803459999999999E-2</v>
      </c>
      <c r="Z1426">
        <v>-2.2762559999999999E-3</v>
      </c>
      <c r="AA1426">
        <v>0.99971410000000005</v>
      </c>
      <c r="AB1426">
        <v>30</v>
      </c>
      <c r="AC1426">
        <v>0.61269999999998903</v>
      </c>
      <c r="AD1426">
        <v>-6.71149999999998E-2</v>
      </c>
      <c r="AE1426">
        <v>-9.7999999999842605E-3</v>
      </c>
      <c r="AF1426">
        <v>1.8324538123219099E-2</v>
      </c>
      <c r="AG1426">
        <v>-6.71149999999998E-2</v>
      </c>
      <c r="AH1426">
        <v>0.60523734522448303</v>
      </c>
      <c r="AI1426">
        <v>96.324824056617999</v>
      </c>
      <c r="AJ1426">
        <v>88.265807505523696</v>
      </c>
      <c r="AK1426">
        <v>0.60922282949411</v>
      </c>
      <c r="AL1426">
        <v>72.350745520378894</v>
      </c>
      <c r="AM1426">
        <v>90.611701661144807</v>
      </c>
      <c r="AN1426">
        <v>1.00000002642331</v>
      </c>
    </row>
    <row r="1427" spans="1:40" x14ac:dyDescent="0.25">
      <c r="A1427" t="str">
        <f>"20190304164120003"</f>
        <v>20190304164120003</v>
      </c>
      <c r="B1427" t="str">
        <f>"1551688879992083"</f>
        <v>1551688879992083</v>
      </c>
      <c r="C1427" t="s">
        <v>40</v>
      </c>
      <c r="D1427">
        <v>5.1528289999999997</v>
      </c>
      <c r="E1427">
        <v>0.52614550000000004</v>
      </c>
      <c r="F1427" t="s">
        <v>41</v>
      </c>
      <c r="G1427">
        <v>-231.5565</v>
      </c>
      <c r="H1427">
        <v>1.0337270000000001</v>
      </c>
      <c r="I1427">
        <v>367.31490000000002</v>
      </c>
      <c r="J1427">
        <v>-232.26759999999999</v>
      </c>
      <c r="K1427">
        <v>1.1105579999999999</v>
      </c>
      <c r="L1427">
        <v>367.32580000000002</v>
      </c>
      <c r="M1427">
        <v>0.99979770000000001</v>
      </c>
      <c r="N1427">
        <v>-1.41738E-2</v>
      </c>
      <c r="O1427">
        <v>1.4275960000000001E-2</v>
      </c>
      <c r="P1427">
        <v>0.95689029999999997</v>
      </c>
      <c r="Q1427">
        <v>0.28948679999999999</v>
      </c>
      <c r="R1427">
        <v>2.3635860000000002E-2</v>
      </c>
      <c r="S1427">
        <v>3.2223510000000002</v>
      </c>
      <c r="T1427">
        <v>-0.28491280000000002</v>
      </c>
      <c r="U1427">
        <v>-3.143311E-2</v>
      </c>
      <c r="V1427">
        <v>-9.9677600000000009E-3</v>
      </c>
      <c r="W1427">
        <v>0.30302380000000001</v>
      </c>
      <c r="X1427">
        <v>0.95293090000000003</v>
      </c>
      <c r="Y1427">
        <v>2.3882540000000001E-2</v>
      </c>
      <c r="Z1427">
        <v>-2.281117E-3</v>
      </c>
      <c r="AA1427">
        <v>0.99971220000000005</v>
      </c>
      <c r="AB1427">
        <v>30</v>
      </c>
      <c r="AC1427">
        <v>0.71109999999998696</v>
      </c>
      <c r="AD1427">
        <v>-7.6830999999999802E-2</v>
      </c>
      <c r="AE1427">
        <v>-1.08999999999923E-2</v>
      </c>
      <c r="AF1427">
        <v>2.0808684302064898E-2</v>
      </c>
      <c r="AG1427">
        <v>-7.6830999999999802E-2</v>
      </c>
      <c r="AH1427">
        <v>0.70267099420113799</v>
      </c>
      <c r="AI1427">
        <v>96.237296724494001</v>
      </c>
      <c r="AJ1427">
        <v>88.303756013780102</v>
      </c>
      <c r="AK1427">
        <v>0.70716513629773803</v>
      </c>
      <c r="AL1427">
        <v>72.360690311780104</v>
      </c>
      <c r="AM1427">
        <v>90.599298177265098</v>
      </c>
      <c r="AN1427">
        <v>1.0000000398903299</v>
      </c>
    </row>
    <row r="1428" spans="1:40" x14ac:dyDescent="0.25">
      <c r="A1428" t="str">
        <f>"20190304164120015"</f>
        <v>20190304164120015</v>
      </c>
      <c r="B1428" t="str">
        <f>"1551688880002821"</f>
        <v>1551688880002821</v>
      </c>
      <c r="C1428" t="s">
        <v>40</v>
      </c>
      <c r="D1428">
        <v>4.5444089999999999</v>
      </c>
      <c r="E1428">
        <v>0.52601439999999999</v>
      </c>
      <c r="F1428" t="s">
        <v>41</v>
      </c>
      <c r="G1428">
        <v>-231.29679999999999</v>
      </c>
      <c r="H1428">
        <v>1.0249379999999999</v>
      </c>
      <c r="I1428">
        <v>367.31610000000001</v>
      </c>
      <c r="J1428">
        <v>-232.1087</v>
      </c>
      <c r="K1428">
        <v>1.1105590000000001</v>
      </c>
      <c r="L1428">
        <v>367.32810000000001</v>
      </c>
      <c r="M1428">
        <v>0.99979759999999995</v>
      </c>
      <c r="N1428">
        <v>-1.417613E-2</v>
      </c>
      <c r="O1428">
        <v>1.42781E-2</v>
      </c>
      <c r="P1428">
        <v>0.95679099999999995</v>
      </c>
      <c r="Q1428">
        <v>0.289856</v>
      </c>
      <c r="R1428">
        <v>2.3118960000000001E-2</v>
      </c>
      <c r="S1428">
        <v>3.2219850000000001</v>
      </c>
      <c r="T1428">
        <v>-0.28446579999999999</v>
      </c>
      <c r="U1428">
        <v>-3.1555180000000002E-2</v>
      </c>
      <c r="V1428">
        <v>-9.4485809999999993E-3</v>
      </c>
      <c r="W1428">
        <v>0.3033941</v>
      </c>
      <c r="X1428">
        <v>0.95281830000000001</v>
      </c>
      <c r="Y1428">
        <v>2.3923900000000001E-2</v>
      </c>
      <c r="Z1428">
        <v>-2.2800289999999998E-3</v>
      </c>
      <c r="AA1428">
        <v>0.99971120000000002</v>
      </c>
      <c r="AB1428">
        <v>30</v>
      </c>
      <c r="AC1428">
        <v>0.81190000000000795</v>
      </c>
      <c r="AD1428">
        <v>-8.56210000000001E-2</v>
      </c>
      <c r="AE1428">
        <v>-1.2000000000000399E-2</v>
      </c>
      <c r="AF1428">
        <v>2.3332895075033701E-2</v>
      </c>
      <c r="AG1428">
        <v>-8.56210000000001E-2</v>
      </c>
      <c r="AH1428">
        <v>0.80272052109694603</v>
      </c>
      <c r="AI1428">
        <v>96.085799028492403</v>
      </c>
      <c r="AJ1428">
        <v>88.335036845946505</v>
      </c>
      <c r="AK1428">
        <v>0.80761105404999001</v>
      </c>
      <c r="AL1428">
        <v>72.338424535825396</v>
      </c>
      <c r="AM1428">
        <v>90.5681524688721</v>
      </c>
      <c r="AN1428">
        <v>0.99999998420630598</v>
      </c>
    </row>
    <row r="1429" spans="1:40" x14ac:dyDescent="0.25">
      <c r="A1429" t="str">
        <f>"20190304164120034"</f>
        <v>20190304164120034</v>
      </c>
      <c r="B1429" t="str">
        <f>"1551688880022339"</f>
        <v>1551688880022339</v>
      </c>
      <c r="C1429" t="s">
        <v>40</v>
      </c>
      <c r="D1429">
        <v>5.0503679999999997</v>
      </c>
      <c r="E1429">
        <v>0.52577200000000002</v>
      </c>
      <c r="F1429" t="s">
        <v>41</v>
      </c>
      <c r="G1429">
        <v>-231.28970000000001</v>
      </c>
      <c r="H1429">
        <v>1.038386</v>
      </c>
      <c r="I1429">
        <v>367.31959999999998</v>
      </c>
      <c r="J1429">
        <v>-231.86590000000001</v>
      </c>
      <c r="K1429">
        <v>1.110563</v>
      </c>
      <c r="L1429">
        <v>367.33159999999998</v>
      </c>
      <c r="M1429">
        <v>0.99979759999999995</v>
      </c>
      <c r="N1429">
        <v>-1.4179209999999999E-2</v>
      </c>
      <c r="O1429">
        <v>1.4279160000000001E-2</v>
      </c>
      <c r="P1429">
        <v>0.95674749999999997</v>
      </c>
      <c r="Q1429">
        <v>0.29005760000000003</v>
      </c>
      <c r="R1429">
        <v>2.239153E-2</v>
      </c>
      <c r="S1429">
        <v>3.2224119999999998</v>
      </c>
      <c r="T1429">
        <v>-0.28433540000000002</v>
      </c>
      <c r="U1429">
        <v>-3.2562260000000003E-2</v>
      </c>
      <c r="V1429">
        <v>-8.7187719999999996E-3</v>
      </c>
      <c r="W1429">
        <v>0.30359809999999998</v>
      </c>
      <c r="X1429">
        <v>0.9527603</v>
      </c>
      <c r="Y1429">
        <v>2.4234829999999999E-2</v>
      </c>
      <c r="Z1429">
        <v>-2.2946360000000001E-3</v>
      </c>
      <c r="AA1429">
        <v>0.99970360000000003</v>
      </c>
      <c r="AB1429">
        <v>30</v>
      </c>
      <c r="AC1429">
        <v>0.57620000000000005</v>
      </c>
      <c r="AD1429">
        <v>-7.2176999999999894E-2</v>
      </c>
      <c r="AE1429">
        <v>-1.2000000000000399E-2</v>
      </c>
      <c r="AF1429">
        <v>1.9914905085986701E-2</v>
      </c>
      <c r="AG1429">
        <v>-7.2176999999999894E-2</v>
      </c>
      <c r="AH1429">
        <v>0.56707573759198604</v>
      </c>
      <c r="AI1429">
        <v>97.249143624888305</v>
      </c>
      <c r="AJ1429">
        <v>87.988679122700105</v>
      </c>
      <c r="AK1429">
        <v>0.57199739067506195</v>
      </c>
      <c r="AL1429">
        <v>72.326158001033306</v>
      </c>
      <c r="AM1429">
        <v>90.524302801482094</v>
      </c>
      <c r="AN1429">
        <v>1.0000000062824399</v>
      </c>
    </row>
    <row r="1430" spans="1:40" x14ac:dyDescent="0.25">
      <c r="A1430" t="str">
        <f>"20190304164120047"</f>
        <v>20190304164120047</v>
      </c>
      <c r="B1430" t="str">
        <f>"1551688880042834"</f>
        <v>1551688880042834</v>
      </c>
      <c r="C1430" t="s">
        <v>40</v>
      </c>
      <c r="D1430">
        <v>4.5397089999999896</v>
      </c>
      <c r="E1430">
        <v>0.52557419999999899</v>
      </c>
      <c r="F1430" t="s">
        <v>41</v>
      </c>
      <c r="G1430">
        <v>-231.0273</v>
      </c>
      <c r="H1430">
        <v>1.0366329999999999</v>
      </c>
      <c r="I1430">
        <v>367.3227</v>
      </c>
      <c r="J1430">
        <v>-231.68719999999999</v>
      </c>
      <c r="K1430">
        <v>1.110563</v>
      </c>
      <c r="L1430">
        <v>367.33420000000001</v>
      </c>
      <c r="M1430">
        <v>0.99979759999999995</v>
      </c>
      <c r="N1430">
        <v>-1.418108E-2</v>
      </c>
      <c r="O1430">
        <v>1.427761E-2</v>
      </c>
      <c r="P1430">
        <v>0.95672800000000002</v>
      </c>
      <c r="Q1430">
        <v>0.29015249999999998</v>
      </c>
      <c r="R1430">
        <v>2.1985029999999999E-2</v>
      </c>
      <c r="S1430">
        <v>3.2225799999999998</v>
      </c>
      <c r="T1430">
        <v>-0.28422320000000001</v>
      </c>
      <c r="U1430">
        <v>-3.3843989999999997E-2</v>
      </c>
      <c r="V1430">
        <v>-8.3118940000000002E-3</v>
      </c>
      <c r="W1430">
        <v>0.30369449999999998</v>
      </c>
      <c r="X1430">
        <v>0.95273319999999995</v>
      </c>
      <c r="Y1430">
        <v>2.4628690000000002E-2</v>
      </c>
      <c r="Z1430">
        <v>-2.3136139999999999E-3</v>
      </c>
      <c r="AA1430">
        <v>0.99969399999999997</v>
      </c>
      <c r="AB1430">
        <v>30</v>
      </c>
      <c r="AC1430">
        <v>0.65989999999999305</v>
      </c>
      <c r="AD1430">
        <v>-7.3929999999999996E-2</v>
      </c>
      <c r="AE1430">
        <v>-1.15000000000122E-2</v>
      </c>
      <c r="AF1430">
        <v>2.0662311003299998E-2</v>
      </c>
      <c r="AG1430">
        <v>-7.3929999999999996E-2</v>
      </c>
      <c r="AH1430">
        <v>0.65149396696413497</v>
      </c>
      <c r="AI1430">
        <v>96.470869507872607</v>
      </c>
      <c r="AJ1430">
        <v>88.1834574350368</v>
      </c>
      <c r="AK1430">
        <v>0.65600073550771498</v>
      </c>
      <c r="AL1430">
        <v>72.320360749836595</v>
      </c>
      <c r="AM1430">
        <v>90.499850707372403</v>
      </c>
      <c r="AN1430">
        <v>0.99999999364717795</v>
      </c>
    </row>
    <row r="1431" spans="1:40" x14ac:dyDescent="0.25">
      <c r="A1431" t="str">
        <f>"20190304164120060"</f>
        <v>20190304164120060</v>
      </c>
      <c r="B1431" t="str">
        <f>"1551688880052595"</f>
        <v>1551688880052595</v>
      </c>
      <c r="C1431" t="s">
        <v>40</v>
      </c>
      <c r="D1431">
        <v>4.5354950000000001</v>
      </c>
      <c r="E1431">
        <v>0.52548799999999996</v>
      </c>
      <c r="F1431" t="s">
        <v>41</v>
      </c>
      <c r="G1431">
        <v>-230.76759999999999</v>
      </c>
      <c r="H1431">
        <v>1.0292950000000001</v>
      </c>
      <c r="I1431">
        <v>367.32409999999999</v>
      </c>
      <c r="J1431">
        <v>-231.50540000000001</v>
      </c>
      <c r="K1431">
        <v>1.110563</v>
      </c>
      <c r="L1431">
        <v>367.33670000000001</v>
      </c>
      <c r="M1431">
        <v>0.99979759999999995</v>
      </c>
      <c r="N1431">
        <v>-1.418268E-2</v>
      </c>
      <c r="O1431">
        <v>1.4272719999999999E-2</v>
      </c>
      <c r="P1431">
        <v>0.9567812</v>
      </c>
      <c r="Q1431">
        <v>0.29001890000000002</v>
      </c>
      <c r="R1431">
        <v>2.1424700000000001E-2</v>
      </c>
      <c r="S1431">
        <v>3.222931</v>
      </c>
      <c r="T1431">
        <v>-0.28506819999999999</v>
      </c>
      <c r="U1431">
        <v>-3.4271240000000001E-2</v>
      </c>
      <c r="V1431">
        <v>-7.7534429999999996E-3</v>
      </c>
      <c r="W1431">
        <v>0.30356309999999997</v>
      </c>
      <c r="X1431">
        <v>0.95277979999999995</v>
      </c>
      <c r="Y1431">
        <v>2.475376E-2</v>
      </c>
      <c r="Z1431">
        <v>-2.3263379999999998E-3</v>
      </c>
      <c r="AA1431">
        <v>0.99969090000000005</v>
      </c>
      <c r="AB1431">
        <v>29</v>
      </c>
      <c r="AC1431">
        <v>0.73780000000002099</v>
      </c>
      <c r="AD1431">
        <v>-8.1267999999999896E-2</v>
      </c>
      <c r="AE1431">
        <v>-1.26000000000203E-2</v>
      </c>
      <c r="AF1431">
        <v>2.2852997321764799E-2</v>
      </c>
      <c r="AG1431">
        <v>-8.1267999999999896E-2</v>
      </c>
      <c r="AH1431">
        <v>0.72870629165212597</v>
      </c>
      <c r="AI1431">
        <v>96.360438922540098</v>
      </c>
      <c r="AJ1431">
        <v>88.203732699263995</v>
      </c>
      <c r="AK1431">
        <v>0.73357999345946001</v>
      </c>
      <c r="AL1431">
        <v>72.328262739470603</v>
      </c>
      <c r="AM1431">
        <v>90.466245983384198</v>
      </c>
      <c r="AN1431">
        <v>1.000000009424</v>
      </c>
    </row>
    <row r="1432" spans="1:40" x14ac:dyDescent="0.25">
      <c r="A1432" t="str">
        <f>"20190304164120072"</f>
        <v>20190304164120072</v>
      </c>
      <c r="B1432" t="str">
        <f>"1551688880062355"</f>
        <v>1551688880062355</v>
      </c>
      <c r="C1432" t="s">
        <v>40</v>
      </c>
      <c r="D1432">
        <v>4.587021</v>
      </c>
      <c r="E1432">
        <v>0.52546930000000003</v>
      </c>
      <c r="F1432" t="s">
        <v>41</v>
      </c>
      <c r="G1432">
        <v>-230.75749999999999</v>
      </c>
      <c r="H1432">
        <v>1.044025</v>
      </c>
      <c r="I1432">
        <v>367.32819999999998</v>
      </c>
      <c r="J1432">
        <v>-231.35599999999999</v>
      </c>
      <c r="K1432">
        <v>1.1105590000000001</v>
      </c>
      <c r="L1432">
        <v>367.33879999999999</v>
      </c>
      <c r="M1432">
        <v>0.99979779999999996</v>
      </c>
      <c r="N1432">
        <v>-1.4183680000000001E-2</v>
      </c>
      <c r="O1432">
        <v>1.426023E-2</v>
      </c>
      <c r="P1432">
        <v>0.95677559999999995</v>
      </c>
      <c r="Q1432">
        <v>0.2900469</v>
      </c>
      <c r="R1432">
        <v>2.129288E-2</v>
      </c>
      <c r="S1432">
        <v>3.2233429999999998</v>
      </c>
      <c r="T1432">
        <v>-0.2871108</v>
      </c>
      <c r="U1432">
        <v>-3.5766600000000003E-2</v>
      </c>
      <c r="V1432">
        <v>-7.6297969999999998E-3</v>
      </c>
      <c r="W1432">
        <v>0.30359180000000002</v>
      </c>
      <c r="X1432">
        <v>0.9527717</v>
      </c>
      <c r="Y1432">
        <v>2.519948E-2</v>
      </c>
      <c r="Z1432">
        <v>-2.364877E-3</v>
      </c>
      <c r="AA1432">
        <v>0.9996796</v>
      </c>
      <c r="AB1432">
        <v>29</v>
      </c>
      <c r="AC1432">
        <v>0.59850000000000103</v>
      </c>
      <c r="AD1432">
        <v>-6.6534000000000093E-2</v>
      </c>
      <c r="AE1432">
        <v>-1.06000000000108E-2</v>
      </c>
      <c r="AF1432">
        <v>1.8901016197038201E-2</v>
      </c>
      <c r="AG1432">
        <v>-6.6534000000000093E-2</v>
      </c>
      <c r="AH1432">
        <v>0.59098665342410805</v>
      </c>
      <c r="AI1432">
        <v>96.420127071925606</v>
      </c>
      <c r="AJ1432">
        <v>88.168182914238002</v>
      </c>
      <c r="AK1432">
        <v>0.59502037452066103</v>
      </c>
      <c r="AL1432">
        <v>72.326537708832504</v>
      </c>
      <c r="AM1432">
        <v>90.458814868619498</v>
      </c>
      <c r="AN1432">
        <v>1.0000000535751901</v>
      </c>
    </row>
    <row r="1433" spans="1:40" x14ac:dyDescent="0.25">
      <c r="A1433" t="str">
        <f>"20190304164120083"</f>
        <v>20190304164120083</v>
      </c>
      <c r="B1433" t="str">
        <f>"1551688880072115"</f>
        <v>1551688880072115</v>
      </c>
      <c r="C1433" t="s">
        <v>40</v>
      </c>
      <c r="D1433">
        <v>4.6422809999999997</v>
      </c>
      <c r="E1433">
        <v>0.52546930000000003</v>
      </c>
      <c r="F1433" t="s">
        <v>41</v>
      </c>
      <c r="G1433">
        <v>-230.50190000000001</v>
      </c>
      <c r="H1433">
        <v>1.0345679999999999</v>
      </c>
      <c r="I1433">
        <v>367.32900000000001</v>
      </c>
      <c r="J1433">
        <v>-231.2106</v>
      </c>
      <c r="K1433">
        <v>1.1105560000000001</v>
      </c>
      <c r="L1433">
        <v>367.34089999999998</v>
      </c>
      <c r="M1433">
        <v>0.99979799999999996</v>
      </c>
      <c r="N1433">
        <v>-1.418459E-2</v>
      </c>
      <c r="O1433">
        <v>1.4245030000000001E-2</v>
      </c>
      <c r="P1433">
        <v>0.9568487</v>
      </c>
      <c r="Q1433">
        <v>0.28984759999999998</v>
      </c>
      <c r="R1433">
        <v>2.0718779999999999E-2</v>
      </c>
      <c r="S1433">
        <v>3.2233429999999998</v>
      </c>
      <c r="T1433">
        <v>-0.28689989999999999</v>
      </c>
      <c r="U1433">
        <v>-3.6804200000000002E-2</v>
      </c>
      <c r="V1433">
        <v>-7.0646349999999997E-3</v>
      </c>
      <c r="W1433">
        <v>0.30339450000000001</v>
      </c>
      <c r="X1433">
        <v>0.95283879999999999</v>
      </c>
      <c r="Y1433">
        <v>2.550492E-2</v>
      </c>
      <c r="Z1433">
        <v>-2.377728E-3</v>
      </c>
      <c r="AA1433">
        <v>0.99967189999999995</v>
      </c>
      <c r="AB1433">
        <v>29</v>
      </c>
      <c r="AC1433">
        <v>0.708699999999993</v>
      </c>
      <c r="AD1433">
        <v>-7.5987999999999903E-2</v>
      </c>
      <c r="AE1433">
        <v>-1.18999999999687E-2</v>
      </c>
      <c r="AF1433">
        <v>2.1745335510071601E-2</v>
      </c>
      <c r="AG1433">
        <v>-7.5987999999999903E-2</v>
      </c>
      <c r="AH1433">
        <v>0.70040857538429602</v>
      </c>
      <c r="AI1433">
        <v>96.188897851941604</v>
      </c>
      <c r="AJ1433">
        <v>88.221729553845506</v>
      </c>
      <c r="AK1433">
        <v>0.70485403328086604</v>
      </c>
      <c r="AL1433">
        <v>72.338399955419703</v>
      </c>
      <c r="AM1433">
        <v>90.424800451541898</v>
      </c>
      <c r="AN1433">
        <v>0.99999995524168495</v>
      </c>
    </row>
    <row r="1434" spans="1:40" x14ac:dyDescent="0.25">
      <c r="A1434" t="str">
        <f>"20190304164120095"</f>
        <v>20190304164120095</v>
      </c>
      <c r="B1434" t="str">
        <f>"1551688880082851"</f>
        <v>1551688880082851</v>
      </c>
      <c r="C1434" t="s">
        <v>40</v>
      </c>
      <c r="D1434">
        <v>4.576225</v>
      </c>
      <c r="E1434">
        <v>0.54337840000000004</v>
      </c>
      <c r="F1434" t="s">
        <v>41</v>
      </c>
      <c r="G1434">
        <v>-230.244</v>
      </c>
      <c r="H1434">
        <v>1.0244169999999999</v>
      </c>
      <c r="I1434">
        <v>367.32889999999998</v>
      </c>
      <c r="J1434">
        <v>-231.0472</v>
      </c>
      <c r="K1434">
        <v>1.1105449999999999</v>
      </c>
      <c r="L1434">
        <v>367.34320000000002</v>
      </c>
      <c r="M1434">
        <v>0.99979839999999998</v>
      </c>
      <c r="N1434">
        <v>-1.4185420000000001E-2</v>
      </c>
      <c r="O1434">
        <v>1.4210169999999999E-2</v>
      </c>
      <c r="P1434">
        <v>0.95685889999999996</v>
      </c>
      <c r="Q1434">
        <v>0.28983740000000002</v>
      </c>
      <c r="R1434">
        <v>2.0380450000000001E-2</v>
      </c>
      <c r="S1434">
        <v>3.2232509999999999</v>
      </c>
      <c r="T1434">
        <v>-0.28755710000000001</v>
      </c>
      <c r="U1434">
        <v>-3.9367680000000002E-2</v>
      </c>
      <c r="V1434">
        <v>-6.7497900000000003E-3</v>
      </c>
      <c r="W1434">
        <v>0.30338549999999997</v>
      </c>
      <c r="X1434">
        <v>0.95284400000000002</v>
      </c>
      <c r="Y1434">
        <v>2.6261199999999998E-2</v>
      </c>
      <c r="Z1434">
        <v>-2.4196959999999998E-3</v>
      </c>
      <c r="AA1434">
        <v>0.99965219999999999</v>
      </c>
      <c r="AB1434">
        <v>29</v>
      </c>
      <c r="AC1434">
        <v>0.80319999999997505</v>
      </c>
      <c r="AD1434">
        <v>-8.6128000000000204E-2</v>
      </c>
      <c r="AE1434">
        <v>-1.43000000000483E-2</v>
      </c>
      <c r="AF1434">
        <v>2.5421100947857201E-2</v>
      </c>
      <c r="AG1434">
        <v>-8.6128000000000204E-2</v>
      </c>
      <c r="AH1434">
        <v>0.79379114099686998</v>
      </c>
      <c r="AI1434">
        <v>96.189338612444899</v>
      </c>
      <c r="AJ1434">
        <v>88.165733917044605</v>
      </c>
      <c r="AK1434">
        <v>0.79885458018497502</v>
      </c>
      <c r="AL1434">
        <v>72.338942028850198</v>
      </c>
      <c r="AM1434">
        <v>90.405867078894701</v>
      </c>
      <c r="AN1434">
        <v>1.0000000048056401</v>
      </c>
    </row>
    <row r="1435" spans="1:40" x14ac:dyDescent="0.25">
      <c r="A1435" t="str">
        <f>"20190304164120109"</f>
        <v>20190304164120109</v>
      </c>
      <c r="B1435" t="str">
        <f>"1551688880102370"</f>
        <v>1551688880102370</v>
      </c>
      <c r="C1435" t="s">
        <v>40</v>
      </c>
      <c r="D1435">
        <v>4.5563960000000003</v>
      </c>
      <c r="E1435">
        <v>0.54810599999999998</v>
      </c>
      <c r="F1435" t="s">
        <v>41</v>
      </c>
      <c r="G1435">
        <v>-230.2347</v>
      </c>
      <c r="H1435">
        <v>1.042937</v>
      </c>
      <c r="I1435">
        <v>367.29610000000002</v>
      </c>
      <c r="J1435">
        <v>-230.881</v>
      </c>
      <c r="K1435">
        <v>1.11053</v>
      </c>
      <c r="L1435">
        <v>367.34559999999999</v>
      </c>
      <c r="M1435">
        <v>0.99979910000000005</v>
      </c>
      <c r="N1435">
        <v>-1.418606E-2</v>
      </c>
      <c r="O1435">
        <v>1.4161470000000001E-2</v>
      </c>
      <c r="P1435">
        <v>0.95688499999999999</v>
      </c>
      <c r="Q1435">
        <v>0.28977709999999901</v>
      </c>
      <c r="R1435">
        <v>2.0013590000000001E-2</v>
      </c>
      <c r="S1435">
        <v>3.220459</v>
      </c>
      <c r="T1435">
        <v>-0.26828679999999999</v>
      </c>
      <c r="U1435">
        <v>-0.18573000000000001</v>
      </c>
      <c r="V1435">
        <v>-6.4164240000000004E-3</v>
      </c>
      <c r="W1435">
        <v>0.30332599999999998</v>
      </c>
      <c r="X1435">
        <v>0.95286519999999997</v>
      </c>
      <c r="Y1435">
        <v>7.1387419999999993E-2</v>
      </c>
      <c r="Z1435">
        <v>-4.4501559999999898E-3</v>
      </c>
      <c r="AA1435">
        <v>0.99743870000000001</v>
      </c>
      <c r="AB1435">
        <v>29</v>
      </c>
      <c r="AC1435">
        <v>0.64629999999996801</v>
      </c>
      <c r="AD1435">
        <v>-6.7593E-2</v>
      </c>
      <c r="AE1435">
        <v>-4.94999999999663E-2</v>
      </c>
      <c r="AF1435">
        <v>5.8017622342279002E-2</v>
      </c>
      <c r="AG1435">
        <v>-6.7593E-2</v>
      </c>
      <c r="AH1435">
        <v>0.63858999521451398</v>
      </c>
      <c r="AI1435">
        <v>96.017502785081305</v>
      </c>
      <c r="AJ1435">
        <v>84.808775845844707</v>
      </c>
      <c r="AK1435">
        <v>0.64477285933832895</v>
      </c>
      <c r="AL1435">
        <v>72.342518920174996</v>
      </c>
      <c r="AM1435">
        <v>90.385813710280502</v>
      </c>
      <c r="AN1435">
        <v>0.99999996107199296</v>
      </c>
    </row>
    <row r="1436" spans="1:40" x14ac:dyDescent="0.25">
      <c r="A1436" t="str">
        <f>"20190304164120122"</f>
        <v>20190304164120122</v>
      </c>
      <c r="B1436" t="str">
        <f>"1551688880112131"</f>
        <v>1551688880112131</v>
      </c>
      <c r="C1436" t="s">
        <v>40</v>
      </c>
      <c r="D1436">
        <v>4.5270570000000001</v>
      </c>
      <c r="E1436">
        <v>0.54908619999999997</v>
      </c>
      <c r="F1436" t="s">
        <v>41</v>
      </c>
      <c r="G1436">
        <v>-229.97559999999999</v>
      </c>
      <c r="H1436">
        <v>1.03569</v>
      </c>
      <c r="I1436">
        <v>367.28219999999999</v>
      </c>
      <c r="J1436">
        <v>-230.70099999999999</v>
      </c>
      <c r="K1436">
        <v>1.1105080000000001</v>
      </c>
      <c r="L1436">
        <v>367.34809999999999</v>
      </c>
      <c r="M1436">
        <v>0.99979989999999996</v>
      </c>
      <c r="N1436">
        <v>-1.4186539999999999E-2</v>
      </c>
      <c r="O1436">
        <v>1.4095450000000001E-2</v>
      </c>
      <c r="P1436">
        <v>0.95690339999999996</v>
      </c>
      <c r="Q1436">
        <v>0.28973959999999999</v>
      </c>
      <c r="R1436">
        <v>1.9669180000000001E-2</v>
      </c>
      <c r="S1436">
        <v>3.22052</v>
      </c>
      <c r="T1436">
        <v>-0.2662736</v>
      </c>
      <c r="U1436">
        <v>-0.2255249</v>
      </c>
      <c r="V1436">
        <v>-6.1184389999999998E-3</v>
      </c>
      <c r="W1436">
        <v>0.30328909999999998</v>
      </c>
      <c r="X1436">
        <v>0.95287900000000003</v>
      </c>
      <c r="Y1436">
        <v>8.3546239999999994E-2</v>
      </c>
      <c r="Z1436">
        <v>-5.0009850000000003E-3</v>
      </c>
      <c r="AA1436">
        <v>0.99649140000000003</v>
      </c>
      <c r="AB1436">
        <v>29</v>
      </c>
      <c r="AC1436">
        <v>0.72540000000000704</v>
      </c>
      <c r="AD1436">
        <v>-7.4817999999999996E-2</v>
      </c>
      <c r="AE1436">
        <v>-6.5899999999999098E-2</v>
      </c>
      <c r="AF1436">
        <v>7.5324582892098799E-2</v>
      </c>
      <c r="AG1436">
        <v>-7.4817999999999996E-2</v>
      </c>
      <c r="AH1436">
        <v>0.71683570880550995</v>
      </c>
      <c r="AI1436">
        <v>95.926141447163005</v>
      </c>
      <c r="AJ1436">
        <v>84.001413996422897</v>
      </c>
      <c r="AK1436">
        <v>0.72465506230934995</v>
      </c>
      <c r="AL1436">
        <v>72.344739293998401</v>
      </c>
      <c r="AM1436">
        <v>90.367891321184004</v>
      </c>
      <c r="AN1436">
        <v>1.0000000510578</v>
      </c>
    </row>
    <row r="1437" spans="1:40" x14ac:dyDescent="0.25">
      <c r="A1437" t="str">
        <f>"20190304164120134"</f>
        <v>20190304164120134</v>
      </c>
      <c r="B1437" t="str">
        <f>"1551688880122866"</f>
        <v>1551688880122866</v>
      </c>
      <c r="C1437" t="s">
        <v>40</v>
      </c>
      <c r="D1437">
        <v>4.4935660000000004</v>
      </c>
      <c r="E1437">
        <v>0.5496373</v>
      </c>
      <c r="F1437" t="s">
        <v>41</v>
      </c>
      <c r="G1437">
        <v>-229.71639999999999</v>
      </c>
      <c r="H1437">
        <v>1.0292920000000001</v>
      </c>
      <c r="I1437">
        <v>367.27609999999999</v>
      </c>
      <c r="J1437">
        <v>-230.53819999999999</v>
      </c>
      <c r="K1437">
        <v>1.1104810000000001</v>
      </c>
      <c r="L1437">
        <v>367.3503</v>
      </c>
      <c r="M1437">
        <v>0.99980139999999995</v>
      </c>
      <c r="N1437">
        <v>-1.418664E-2</v>
      </c>
      <c r="O1437">
        <v>1.400211E-2</v>
      </c>
      <c r="P1437">
        <v>0.95685129999999996</v>
      </c>
      <c r="Q1437">
        <v>0.28990559999999999</v>
      </c>
      <c r="R1437">
        <v>1.9764319999999998E-2</v>
      </c>
      <c r="S1437">
        <v>3.2203979999999999</v>
      </c>
      <c r="T1437">
        <v>-0.26574639999999999</v>
      </c>
      <c r="U1437">
        <v>-0.23498540000000001</v>
      </c>
      <c r="V1437">
        <v>-6.2834800000000001E-3</v>
      </c>
      <c r="W1437">
        <v>0.30345549999999999</v>
      </c>
      <c r="X1437">
        <v>0.95282489999999997</v>
      </c>
      <c r="Y1437">
        <v>8.6358459999999998E-2</v>
      </c>
      <c r="Z1437">
        <v>-5.1210120000000003E-3</v>
      </c>
      <c r="AA1437">
        <v>0.996251</v>
      </c>
      <c r="AB1437">
        <v>29</v>
      </c>
      <c r="AC1437">
        <v>0.82179999999999598</v>
      </c>
      <c r="AD1437">
        <v>-8.11889999999999E-2</v>
      </c>
      <c r="AE1437">
        <v>-7.4200000000018904E-2</v>
      </c>
      <c r="AF1437">
        <v>8.4879071438544201E-2</v>
      </c>
      <c r="AG1437">
        <v>-8.11889999999999E-2</v>
      </c>
      <c r="AH1437">
        <v>0.81281124647990699</v>
      </c>
      <c r="AI1437">
        <v>95.673515624470198</v>
      </c>
      <c r="AJ1437">
        <v>84.038407155066196</v>
      </c>
      <c r="AK1437">
        <v>0.82125406111232702</v>
      </c>
      <c r="AL1437">
        <v>72.334732919767802</v>
      </c>
      <c r="AM1437">
        <v>90.377836122804993</v>
      </c>
      <c r="AN1437">
        <v>1.0000000063305801</v>
      </c>
    </row>
    <row r="1438" spans="1:40" x14ac:dyDescent="0.25">
      <c r="A1438" t="str">
        <f>"20190304164120149"</f>
        <v>20190304164120149</v>
      </c>
      <c r="B1438" t="str">
        <f>"1551688880142387"</f>
        <v>1551688880142387</v>
      </c>
      <c r="C1438" t="s">
        <v>40</v>
      </c>
      <c r="D1438">
        <v>4.5284620000000002</v>
      </c>
      <c r="E1438">
        <v>0.55030349999999995</v>
      </c>
      <c r="F1438" t="s">
        <v>41</v>
      </c>
      <c r="G1438">
        <v>-229.7097</v>
      </c>
      <c r="H1438">
        <v>1.043256</v>
      </c>
      <c r="I1438">
        <v>367.2885</v>
      </c>
      <c r="J1438">
        <v>-230.34710000000001</v>
      </c>
      <c r="K1438">
        <v>1.1104480000000001</v>
      </c>
      <c r="L1438">
        <v>367.3528</v>
      </c>
      <c r="M1438">
        <v>0.99980329999999995</v>
      </c>
      <c r="N1438">
        <v>-1.418666E-2</v>
      </c>
      <c r="O1438">
        <v>1.387091E-2</v>
      </c>
      <c r="P1438">
        <v>0.95687610000000001</v>
      </c>
      <c r="Q1438">
        <v>0.28983449999999999</v>
      </c>
      <c r="R1438">
        <v>1.9607960000000001E-2</v>
      </c>
      <c r="S1438">
        <v>3.2193909999999999</v>
      </c>
      <c r="T1438">
        <v>-0.26131870000000001</v>
      </c>
      <c r="U1438">
        <v>-0.23992920000000001</v>
      </c>
      <c r="V1438">
        <v>-6.2263800000000001E-3</v>
      </c>
      <c r="W1438">
        <v>0.30338459999999901</v>
      </c>
      <c r="X1438">
        <v>0.95284780000000002</v>
      </c>
      <c r="Y1438">
        <v>8.7778300000000004E-2</v>
      </c>
      <c r="Z1438">
        <v>-5.1028640000000004E-3</v>
      </c>
      <c r="AA1438">
        <v>0.99612690000000004</v>
      </c>
      <c r="AB1438">
        <v>29</v>
      </c>
      <c r="AC1438">
        <v>0.63740000000001296</v>
      </c>
      <c r="AD1438">
        <v>-6.7191999999999905E-2</v>
      </c>
      <c r="AE1438">
        <v>-6.4300000000002897E-2</v>
      </c>
      <c r="AF1438">
        <v>7.2340238030122503E-2</v>
      </c>
      <c r="AG1438">
        <v>-6.7191999999999905E-2</v>
      </c>
      <c r="AH1438">
        <v>0.62952160328741502</v>
      </c>
      <c r="AI1438">
        <v>96.0528659505203</v>
      </c>
      <c r="AJ1438">
        <v>83.444721339111396</v>
      </c>
      <c r="AK1438">
        <v>0.63721685783398097</v>
      </c>
      <c r="AL1438">
        <v>72.3389952671141</v>
      </c>
      <c r="AM1438">
        <v>90.374393705000202</v>
      </c>
      <c r="AN1438">
        <v>0.999999956644951</v>
      </c>
    </row>
    <row r="1439" spans="1:40" x14ac:dyDescent="0.25">
      <c r="A1439" t="str">
        <f>"20190304164120160"</f>
        <v>20190304164120160</v>
      </c>
      <c r="B1439" t="str">
        <f>"1551688880152148"</f>
        <v>1551688880152148</v>
      </c>
      <c r="C1439" t="s">
        <v>40</v>
      </c>
      <c r="D1439">
        <v>4.5160410000000004</v>
      </c>
      <c r="E1439">
        <v>0.55053419999999997</v>
      </c>
      <c r="F1439" t="s">
        <v>41</v>
      </c>
      <c r="G1439">
        <v>-229.45009999999999</v>
      </c>
      <c r="H1439">
        <v>1.0381940000000001</v>
      </c>
      <c r="I1439">
        <v>367.28390000000002</v>
      </c>
      <c r="J1439">
        <v>-230.19210000000001</v>
      </c>
      <c r="K1439">
        <v>1.110417</v>
      </c>
      <c r="L1439">
        <v>367.35480000000001</v>
      </c>
      <c r="M1439">
        <v>0.9998049</v>
      </c>
      <c r="N1439">
        <v>-1.4186570000000001E-2</v>
      </c>
      <c r="O1439">
        <v>1.374651E-2</v>
      </c>
      <c r="P1439">
        <v>0.95678589999999997</v>
      </c>
      <c r="Q1439">
        <v>0.29015459999999998</v>
      </c>
      <c r="R1439">
        <v>1.9278320000000002E-2</v>
      </c>
      <c r="S1439">
        <v>3.2188720000000002</v>
      </c>
      <c r="T1439">
        <v>-0.259580899999999</v>
      </c>
      <c r="U1439">
        <v>-0.2460022</v>
      </c>
      <c r="V1439">
        <v>-5.9949290000000004E-3</v>
      </c>
      <c r="W1439">
        <v>0.30370399999999997</v>
      </c>
      <c r="X1439">
        <v>0.95274760000000003</v>
      </c>
      <c r="Y1439">
        <v>8.953303E-2</v>
      </c>
      <c r="Z1439">
        <v>-5.1471190000000003E-3</v>
      </c>
      <c r="AA1439">
        <v>0.99597049999999998</v>
      </c>
      <c r="AB1439">
        <v>29</v>
      </c>
      <c r="AC1439">
        <v>0.74200000000001798</v>
      </c>
      <c r="AD1439">
        <v>-7.2222999999999898E-2</v>
      </c>
      <c r="AE1439">
        <v>-7.0899999999994606E-2</v>
      </c>
      <c r="AF1439">
        <v>8.0339964749528203E-2</v>
      </c>
      <c r="AG1439">
        <v>-7.2222999999999898E-2</v>
      </c>
      <c r="AH1439">
        <v>0.73406339957010802</v>
      </c>
      <c r="AI1439">
        <v>95.585987029453506</v>
      </c>
      <c r="AJ1439">
        <v>83.754091848610997</v>
      </c>
      <c r="AK1439">
        <v>0.74197017881676297</v>
      </c>
      <c r="AL1439">
        <v>72.319790011799299</v>
      </c>
      <c r="AM1439">
        <v>90.360514786038095</v>
      </c>
      <c r="AN1439">
        <v>1.00000002404773</v>
      </c>
    </row>
    <row r="1440" spans="1:40" x14ac:dyDescent="0.25">
      <c r="A1440" t="str">
        <f>"20190304164120172"</f>
        <v>20190304164120172</v>
      </c>
      <c r="B1440" t="str">
        <f>"1551688880162883"</f>
        <v>1551688880162883</v>
      </c>
      <c r="C1440" t="s">
        <v>40</v>
      </c>
      <c r="D1440">
        <v>4.5156900000000002</v>
      </c>
      <c r="E1440">
        <v>0.55047669999999904</v>
      </c>
      <c r="F1440" t="s">
        <v>41</v>
      </c>
      <c r="G1440">
        <v>-229.4418</v>
      </c>
      <c r="H1440">
        <v>1.050119</v>
      </c>
      <c r="I1440">
        <v>367.29669999999999</v>
      </c>
      <c r="J1440">
        <v>-230.0393</v>
      </c>
      <c r="K1440">
        <v>1.110385</v>
      </c>
      <c r="L1440">
        <v>367.35680000000002</v>
      </c>
      <c r="M1440">
        <v>0.99980720000000001</v>
      </c>
      <c r="N1440">
        <v>-1.418637E-2</v>
      </c>
      <c r="O1440">
        <v>1.358211E-2</v>
      </c>
      <c r="P1440">
        <v>0.9568141</v>
      </c>
      <c r="Q1440">
        <v>0.29007430000000001</v>
      </c>
      <c r="R1440">
        <v>1.9081150000000002E-2</v>
      </c>
      <c r="S1440">
        <v>3.2191010000000002</v>
      </c>
      <c r="T1440">
        <v>-0.25911689999999998</v>
      </c>
      <c r="U1440">
        <v>-0.24835209999999999</v>
      </c>
      <c r="V1440">
        <v>-5.9283019999999999E-3</v>
      </c>
      <c r="W1440">
        <v>0.30362440000000002</v>
      </c>
      <c r="X1440">
        <v>0.95277330000000005</v>
      </c>
      <c r="Y1440">
        <v>9.0086230000000003E-2</v>
      </c>
      <c r="Z1440">
        <v>-5.1535519999999996E-3</v>
      </c>
      <c r="AA1440">
        <v>0.99592069999999999</v>
      </c>
      <c r="AB1440">
        <v>29</v>
      </c>
      <c r="AC1440">
        <v>0.59749999999999603</v>
      </c>
      <c r="AD1440">
        <v>-6.0265999999999903E-2</v>
      </c>
      <c r="AE1440">
        <v>-6.0100000000034001E-2</v>
      </c>
      <c r="AF1440">
        <v>6.7530444634505901E-2</v>
      </c>
      <c r="AG1440">
        <v>-6.0265999999999903E-2</v>
      </c>
      <c r="AH1440">
        <v>0.59067944073739698</v>
      </c>
      <c r="AI1440">
        <v>95.788184227773996</v>
      </c>
      <c r="AJ1440">
        <v>83.477878942281293</v>
      </c>
      <c r="AK1440">
        <v>0.59757388950520496</v>
      </c>
      <c r="AL1440">
        <v>72.324575277494404</v>
      </c>
      <c r="AM1440">
        <v>90.356498551082197</v>
      </c>
      <c r="AN1440">
        <v>0.99999994111642398</v>
      </c>
    </row>
    <row r="1441" spans="1:40" x14ac:dyDescent="0.25">
      <c r="A1441" t="str">
        <f>"20190304164120184"</f>
        <v>20190304164120184</v>
      </c>
      <c r="B1441" t="str">
        <f>"1551688880172644"</f>
        <v>1551688880172644</v>
      </c>
      <c r="C1441" t="s">
        <v>40</v>
      </c>
      <c r="D1441">
        <v>4.5085540000000002</v>
      </c>
      <c r="E1441">
        <v>0.55034059999999996</v>
      </c>
      <c r="F1441" t="s">
        <v>41</v>
      </c>
      <c r="G1441">
        <v>-229.18680000000001</v>
      </c>
      <c r="H1441">
        <v>1.041658</v>
      </c>
      <c r="I1441">
        <v>367.29070000000002</v>
      </c>
      <c r="J1441">
        <v>-229.8844</v>
      </c>
      <c r="K1441">
        <v>1.110349</v>
      </c>
      <c r="L1441">
        <v>367.3587</v>
      </c>
      <c r="M1441">
        <v>0.99980959999999997</v>
      </c>
      <c r="N1441">
        <v>-1.418614E-2</v>
      </c>
      <c r="O1441">
        <v>1.339894E-2</v>
      </c>
      <c r="P1441">
        <v>0.95692560000000004</v>
      </c>
      <c r="Q1441">
        <v>0.28972300000000001</v>
      </c>
      <c r="R1441">
        <v>1.881615E-2</v>
      </c>
      <c r="S1441">
        <v>3.2191010000000002</v>
      </c>
      <c r="T1441">
        <v>-0.25975140000000002</v>
      </c>
      <c r="U1441">
        <v>-0.24874879999999999</v>
      </c>
      <c r="V1441">
        <v>-5.809949E-3</v>
      </c>
      <c r="W1441">
        <v>0.30327510000000002</v>
      </c>
      <c r="X1441">
        <v>0.95288530000000005</v>
      </c>
      <c r="Y1441">
        <v>9.0024709999999994E-2</v>
      </c>
      <c r="Z1441">
        <v>-5.1499600000000003E-3</v>
      </c>
      <c r="AA1441">
        <v>0.99592619999999998</v>
      </c>
      <c r="AB1441">
        <v>29</v>
      </c>
      <c r="AC1441">
        <v>0.697599999999994</v>
      </c>
      <c r="AD1441">
        <v>-6.8691000000000002E-2</v>
      </c>
      <c r="AE1441">
        <v>-6.7999999999983601E-2</v>
      </c>
      <c r="AF1441">
        <v>7.6606163405615699E-2</v>
      </c>
      <c r="AG1441">
        <v>-6.8691000000000002E-2</v>
      </c>
      <c r="AH1441">
        <v>0.689998974664914</v>
      </c>
      <c r="AI1441">
        <v>95.650703365984398</v>
      </c>
      <c r="AJ1441">
        <v>83.664761726758101</v>
      </c>
      <c r="AK1441">
        <v>0.69762851345924803</v>
      </c>
      <c r="AL1441">
        <v>72.3455795746154</v>
      </c>
      <c r="AM1441">
        <v>90.349340504941694</v>
      </c>
      <c r="AN1441">
        <v>0.99999996837173999</v>
      </c>
    </row>
    <row r="1442" spans="1:40" x14ac:dyDescent="0.25">
      <c r="A1442" t="str">
        <f>"20190304164120196"</f>
        <v>20190304164120196</v>
      </c>
      <c r="B1442" t="str">
        <f>"1551688880182403"</f>
        <v>1551688880182403</v>
      </c>
      <c r="C1442" t="s">
        <v>40</v>
      </c>
      <c r="D1442">
        <v>4.5518159999999996</v>
      </c>
      <c r="E1442">
        <v>0.55041240000000002</v>
      </c>
      <c r="F1442" t="s">
        <v>41</v>
      </c>
      <c r="G1442">
        <v>-228.92959999999999</v>
      </c>
      <c r="H1442">
        <v>1.0328679999999999</v>
      </c>
      <c r="I1442">
        <v>367.28489999999999</v>
      </c>
      <c r="J1442">
        <v>-229.72810000000001</v>
      </c>
      <c r="K1442">
        <v>1.110306</v>
      </c>
      <c r="L1442">
        <v>367.36070000000001</v>
      </c>
      <c r="M1442">
        <v>0.9998127</v>
      </c>
      <c r="N1442">
        <v>-1.418583E-2</v>
      </c>
      <c r="O1442">
        <v>1.316845E-2</v>
      </c>
      <c r="P1442">
        <v>0.95707489999999995</v>
      </c>
      <c r="Q1442">
        <v>0.28925390000000001</v>
      </c>
      <c r="R1442">
        <v>1.8441829999999999E-2</v>
      </c>
      <c r="S1442">
        <v>3.219055</v>
      </c>
      <c r="T1442">
        <v>-0.26143939999999999</v>
      </c>
      <c r="U1442">
        <v>-0.2480774</v>
      </c>
      <c r="V1442">
        <v>-5.6231689999999999E-3</v>
      </c>
      <c r="W1442">
        <v>0.30280829999999997</v>
      </c>
      <c r="X1442">
        <v>0.95303490000000002</v>
      </c>
      <c r="Y1442">
        <v>8.9587319999999998E-2</v>
      </c>
      <c r="Z1442">
        <v>-5.1442780000000004E-3</v>
      </c>
      <c r="AA1442">
        <v>0.99596569999999995</v>
      </c>
      <c r="AB1442">
        <v>29</v>
      </c>
      <c r="AC1442">
        <v>0.79850000000001797</v>
      </c>
      <c r="AD1442">
        <v>-7.7437999999999896E-2</v>
      </c>
      <c r="AE1442">
        <v>-7.5800000000015105E-2</v>
      </c>
      <c r="AF1442">
        <v>8.5512430176738999E-2</v>
      </c>
      <c r="AG1442">
        <v>-7.7437999999999896E-2</v>
      </c>
      <c r="AH1442">
        <v>0.79006825700859695</v>
      </c>
      <c r="AI1442">
        <v>95.565627382136697</v>
      </c>
      <c r="AJ1442">
        <v>83.822682176862401</v>
      </c>
      <c r="AK1442">
        <v>0.79844653564990398</v>
      </c>
      <c r="AL1442">
        <v>72.373645597141206</v>
      </c>
      <c r="AM1442">
        <v>90.338056992991994</v>
      </c>
      <c r="AN1442">
        <v>1.0000000035982499</v>
      </c>
    </row>
    <row r="1443" spans="1:40" x14ac:dyDescent="0.25">
      <c r="A1443" t="str">
        <f>"20190304164120207"</f>
        <v>20190304164120207</v>
      </c>
      <c r="B1443" t="str">
        <f>"1551688880202899"</f>
        <v>1551688880202899</v>
      </c>
      <c r="C1443" t="s">
        <v>40</v>
      </c>
      <c r="D1443">
        <v>4.4937290000000001</v>
      </c>
      <c r="E1443">
        <v>0.55038290000000001</v>
      </c>
      <c r="F1443" t="s">
        <v>41</v>
      </c>
      <c r="G1443">
        <v>-228.92400000000001</v>
      </c>
      <c r="H1443">
        <v>1.0443709999999999</v>
      </c>
      <c r="I1443">
        <v>367.29820000000001</v>
      </c>
      <c r="J1443">
        <v>-229.58099999999999</v>
      </c>
      <c r="K1443">
        <v>1.1102669999999999</v>
      </c>
      <c r="L1443">
        <v>367.3623</v>
      </c>
      <c r="M1443">
        <v>0.99981589999999998</v>
      </c>
      <c r="N1443">
        <v>-1.418554E-2</v>
      </c>
      <c r="O1443">
        <v>1.29245E-2</v>
      </c>
      <c r="P1443">
        <v>0.95723749999999996</v>
      </c>
      <c r="Q1443">
        <v>0.28874060000000001</v>
      </c>
      <c r="R1443">
        <v>1.803577E-2</v>
      </c>
      <c r="S1443">
        <v>3.2192229999999999</v>
      </c>
      <c r="T1443">
        <v>-0.2642118</v>
      </c>
      <c r="U1443">
        <v>-0.24948119999999999</v>
      </c>
      <c r="V1443">
        <v>-5.4168649999999999E-3</v>
      </c>
      <c r="W1443">
        <v>0.302297599999999</v>
      </c>
      <c r="X1443">
        <v>0.9531982</v>
      </c>
      <c r="Y1443">
        <v>8.9764419999999998E-2</v>
      </c>
      <c r="Z1443">
        <v>-5.1855800000000004E-3</v>
      </c>
      <c r="AA1443">
        <v>0.99594950000000004</v>
      </c>
      <c r="AB1443">
        <v>29</v>
      </c>
      <c r="AC1443">
        <v>0.65699999999998204</v>
      </c>
      <c r="AD1443">
        <v>-6.5896000000000093E-2</v>
      </c>
      <c r="AE1443">
        <v>-6.4099999999996202E-2</v>
      </c>
      <c r="AF1443">
        <v>7.18707111003659E-2</v>
      </c>
      <c r="AG1443">
        <v>-6.5896000000000093E-2</v>
      </c>
      <c r="AH1443">
        <v>0.64964294268380596</v>
      </c>
      <c r="AI1443">
        <v>95.757054714117999</v>
      </c>
      <c r="AJ1443">
        <v>83.686977093066403</v>
      </c>
      <c r="AK1443">
        <v>0.65691980858316801</v>
      </c>
      <c r="AL1443">
        <v>72.404345213965001</v>
      </c>
      <c r="AM1443">
        <v>90.325598770263596</v>
      </c>
      <c r="AN1443">
        <v>0.99999999493771397</v>
      </c>
    </row>
    <row r="1444" spans="1:40" x14ac:dyDescent="0.25">
      <c r="A1444" t="str">
        <f>"20190304164120218"</f>
        <v>20190304164120218</v>
      </c>
      <c r="B1444" t="str">
        <f>"1551688880212659"</f>
        <v>1551688880212659</v>
      </c>
      <c r="C1444" t="s">
        <v>40</v>
      </c>
      <c r="D1444">
        <v>4.5575130000000001</v>
      </c>
      <c r="E1444">
        <v>0.55043379999999997</v>
      </c>
      <c r="F1444" t="s">
        <v>41</v>
      </c>
      <c r="G1444">
        <v>-228.66759999999999</v>
      </c>
      <c r="H1444">
        <v>1.0349489999999999</v>
      </c>
      <c r="I1444">
        <v>367.291</v>
      </c>
      <c r="J1444">
        <v>-229.43369999999999</v>
      </c>
      <c r="K1444">
        <v>1.110223</v>
      </c>
      <c r="L1444">
        <v>367.36399999999998</v>
      </c>
      <c r="M1444">
        <v>0.99981929999999997</v>
      </c>
      <c r="N1444">
        <v>-1.418524E-2</v>
      </c>
      <c r="O1444">
        <v>1.2654169999999999E-2</v>
      </c>
      <c r="P1444">
        <v>0.95724679999999995</v>
      </c>
      <c r="Q1444">
        <v>0.2887361</v>
      </c>
      <c r="R1444">
        <v>1.7605429999999998E-2</v>
      </c>
      <c r="S1444">
        <v>3.2188720000000002</v>
      </c>
      <c r="T1444">
        <v>-0.26557589999999998</v>
      </c>
      <c r="U1444">
        <v>-0.2506409</v>
      </c>
      <c r="V1444">
        <v>-5.2127930000000003E-3</v>
      </c>
      <c r="W1444">
        <v>0.30229289999999998</v>
      </c>
      <c r="X1444">
        <v>0.95320079999999996</v>
      </c>
      <c r="Y1444">
        <v>8.9856619999999998E-2</v>
      </c>
      <c r="Z1444">
        <v>-5.1964150000000002E-3</v>
      </c>
      <c r="AA1444">
        <v>0.99594119999999997</v>
      </c>
      <c r="AB1444">
        <v>29</v>
      </c>
      <c r="AC1444">
        <v>0.76609999999999401</v>
      </c>
      <c r="AD1444">
        <v>-7.5273999999999994E-2</v>
      </c>
      <c r="AE1444">
        <v>-7.3000000000035897E-2</v>
      </c>
      <c r="AF1444">
        <v>8.1905863644778198E-2</v>
      </c>
      <c r="AG1444">
        <v>-7.5273999999999994E-2</v>
      </c>
      <c r="AH1444">
        <v>0.75786401868530495</v>
      </c>
      <c r="AI1444">
        <v>95.6396091825344</v>
      </c>
      <c r="AJ1444">
        <v>83.831721636593002</v>
      </c>
      <c r="AK1444">
        <v>0.76598473639703601</v>
      </c>
      <c r="AL1444">
        <v>72.404627229437594</v>
      </c>
      <c r="AM1444">
        <v>90.313331735539705</v>
      </c>
      <c r="AN1444">
        <v>0.99999996786095402</v>
      </c>
    </row>
    <row r="1445" spans="1:40" x14ac:dyDescent="0.25">
      <c r="A1445" t="str">
        <f>"20190304164120229"</f>
        <v>20190304164120229</v>
      </c>
      <c r="B1445" t="str">
        <f>"1551688880222419"</f>
        <v>1551688880222419</v>
      </c>
      <c r="C1445" t="s">
        <v>40</v>
      </c>
      <c r="D1445">
        <v>4.5477189999999998</v>
      </c>
      <c r="E1445">
        <v>0.55048050000000004</v>
      </c>
      <c r="F1445" t="s">
        <v>41</v>
      </c>
      <c r="G1445">
        <v>-228.661</v>
      </c>
      <c r="H1445">
        <v>1.0463789999999999</v>
      </c>
      <c r="I1445">
        <v>367.30329999999998</v>
      </c>
      <c r="J1445">
        <v>-229.29470000000001</v>
      </c>
      <c r="K1445">
        <v>1.1101840000000001</v>
      </c>
      <c r="L1445">
        <v>367.3655</v>
      </c>
      <c r="M1445">
        <v>0.99982300000000002</v>
      </c>
      <c r="N1445">
        <v>-1.418494E-2</v>
      </c>
      <c r="O1445">
        <v>1.2363239999999999E-2</v>
      </c>
      <c r="P1445">
        <v>0.95730970000000004</v>
      </c>
      <c r="Q1445">
        <v>0.2885587</v>
      </c>
      <c r="R1445">
        <v>1.7093669999999998E-2</v>
      </c>
      <c r="S1445">
        <v>3.2188720000000002</v>
      </c>
      <c r="T1445">
        <v>-0.2660981</v>
      </c>
      <c r="U1445">
        <v>-0.25225829999999999</v>
      </c>
      <c r="V1445">
        <v>-4.9471899999999997E-3</v>
      </c>
      <c r="W1445">
        <v>0.3021162</v>
      </c>
      <c r="X1445">
        <v>0.9532583</v>
      </c>
      <c r="Y1445">
        <v>9.0062690000000001E-2</v>
      </c>
      <c r="Z1445">
        <v>-5.1957100000000001E-3</v>
      </c>
      <c r="AA1445">
        <v>0.99592259999999999</v>
      </c>
      <c r="AB1445">
        <v>29</v>
      </c>
      <c r="AC1445">
        <v>0.63370000000003202</v>
      </c>
      <c r="AD1445">
        <v>-6.3804999999999806E-2</v>
      </c>
      <c r="AE1445">
        <v>-6.22000000000184E-2</v>
      </c>
      <c r="AF1445">
        <v>6.9334429751386401E-2</v>
      </c>
      <c r="AG1445">
        <v>-6.3804999999999806E-2</v>
      </c>
      <c r="AH1445">
        <v>0.62659087346746201</v>
      </c>
      <c r="AI1445">
        <v>95.779286877255601</v>
      </c>
      <c r="AJ1445">
        <v>83.685712918830802</v>
      </c>
      <c r="AK1445">
        <v>0.63363590798396796</v>
      </c>
      <c r="AL1445">
        <v>72.415249111683295</v>
      </c>
      <c r="AM1445">
        <v>90.297349168296705</v>
      </c>
      <c r="AN1445">
        <v>1.0000000297551099</v>
      </c>
    </row>
    <row r="1446" spans="1:40" x14ac:dyDescent="0.25">
      <c r="A1446" t="str">
        <f>"20190304164120239"</f>
        <v>20190304164120239</v>
      </c>
      <c r="B1446" t="str">
        <f>"1551688880232179"</f>
        <v>1551688880232179</v>
      </c>
      <c r="C1446" t="s">
        <v>40</v>
      </c>
      <c r="D1446">
        <v>4.5022690000000001</v>
      </c>
      <c r="E1446">
        <v>0.550490699999999</v>
      </c>
      <c r="F1446" t="s">
        <v>41</v>
      </c>
      <c r="G1446">
        <v>-228.40610000000001</v>
      </c>
      <c r="H1446">
        <v>1.0364690000000001</v>
      </c>
      <c r="I1446">
        <v>367.29539999999997</v>
      </c>
      <c r="J1446">
        <v>-229.15029999999999</v>
      </c>
      <c r="K1446">
        <v>1.1101319999999999</v>
      </c>
      <c r="L1446">
        <v>367.36700000000002</v>
      </c>
      <c r="M1446">
        <v>0.99982680000000002</v>
      </c>
      <c r="N1446">
        <v>-1.418459E-2</v>
      </c>
      <c r="O1446">
        <v>1.2046279999999999E-2</v>
      </c>
      <c r="P1446">
        <v>0.95732919999999999</v>
      </c>
      <c r="Q1446">
        <v>0.28852499999999998</v>
      </c>
      <c r="R1446">
        <v>1.6559790000000001E-2</v>
      </c>
      <c r="S1446">
        <v>3.2188110000000001</v>
      </c>
      <c r="T1446">
        <v>-0.26702090000000001</v>
      </c>
      <c r="U1446">
        <v>-0.25405879999999997</v>
      </c>
      <c r="V1446">
        <v>-4.6836040000000001E-3</v>
      </c>
      <c r="W1446">
        <v>0.30208249999999998</v>
      </c>
      <c r="X1446">
        <v>0.95327030000000001</v>
      </c>
      <c r="Y1446">
        <v>9.029935E-2</v>
      </c>
      <c r="Z1446">
        <v>-5.2017979999999997E-3</v>
      </c>
      <c r="AA1446">
        <v>0.99590109999999998</v>
      </c>
      <c r="AB1446">
        <v>29</v>
      </c>
      <c r="AC1446">
        <v>0.74419999999997799</v>
      </c>
      <c r="AD1446">
        <v>-7.3662999999999798E-2</v>
      </c>
      <c r="AE1446">
        <v>-7.1599999999989394E-2</v>
      </c>
      <c r="AF1446">
        <v>7.9786006142017099E-2</v>
      </c>
      <c r="AG1446">
        <v>-7.3662999999999798E-2</v>
      </c>
      <c r="AH1446">
        <v>0.73613716559836495</v>
      </c>
      <c r="AI1446">
        <v>95.681337982799207</v>
      </c>
      <c r="AJ1446">
        <v>83.814160874353405</v>
      </c>
      <c r="AK1446">
        <v>0.74410346788621395</v>
      </c>
      <c r="AL1446">
        <v>72.417274421300803</v>
      </c>
      <c r="AM1446">
        <v>90.281503140146</v>
      </c>
      <c r="AN1446">
        <v>1.0000000189073801</v>
      </c>
    </row>
    <row r="1447" spans="1:40" x14ac:dyDescent="0.25">
      <c r="A1447" t="str">
        <f>"20190304164120250"</f>
        <v>20190304164120250</v>
      </c>
      <c r="B1447" t="str">
        <f>"1551688880242915"</f>
        <v>1551688880242915</v>
      </c>
      <c r="C1447" t="s">
        <v>40</v>
      </c>
      <c r="D1447">
        <v>4.5488479999999996</v>
      </c>
      <c r="E1447">
        <v>0.55052199999999996</v>
      </c>
      <c r="F1447" t="s">
        <v>41</v>
      </c>
      <c r="G1447">
        <v>-228.3989</v>
      </c>
      <c r="H1447">
        <v>1.047717</v>
      </c>
      <c r="I1447">
        <v>367.30720000000002</v>
      </c>
      <c r="J1447">
        <v>-229.0189</v>
      </c>
      <c r="K1447">
        <v>1.1100920000000001</v>
      </c>
      <c r="L1447">
        <v>367.3682</v>
      </c>
      <c r="M1447">
        <v>0.99983089999999997</v>
      </c>
      <c r="N1447">
        <v>-1.4184250000000001E-2</v>
      </c>
      <c r="O1447">
        <v>1.1715079999999999E-2</v>
      </c>
      <c r="P1447">
        <v>0.95724189999999998</v>
      </c>
      <c r="Q1447">
        <v>0.28885569999999999</v>
      </c>
      <c r="R1447">
        <v>1.5833960000000001E-2</v>
      </c>
      <c r="S1447">
        <v>3.2187649999999999</v>
      </c>
      <c r="T1447">
        <v>-0.26734770000000002</v>
      </c>
      <c r="U1447">
        <v>-0.2563782</v>
      </c>
      <c r="V1447">
        <v>-4.2453980000000001E-3</v>
      </c>
      <c r="W1447">
        <v>0.3024116</v>
      </c>
      <c r="X1447">
        <v>0.95316800000000002</v>
      </c>
      <c r="Y1447">
        <v>9.0682040000000005E-2</v>
      </c>
      <c r="Z1447">
        <v>-5.2033380000000001E-3</v>
      </c>
      <c r="AA1447">
        <v>0.99586629999999998</v>
      </c>
      <c r="AB1447">
        <v>29</v>
      </c>
      <c r="AC1447">
        <v>0.62000000000000399</v>
      </c>
      <c r="AD1447">
        <v>-6.2375E-2</v>
      </c>
      <c r="AE1447">
        <v>-6.0999999999978599E-2</v>
      </c>
      <c r="AF1447">
        <v>6.7582426127093906E-2</v>
      </c>
      <c r="AG1447">
        <v>-6.2375E-2</v>
      </c>
      <c r="AH1447">
        <v>0.61309688695002396</v>
      </c>
      <c r="AI1447">
        <v>95.774409190127898</v>
      </c>
      <c r="AJ1447">
        <v>83.709611526554298</v>
      </c>
      <c r="AK1447">
        <v>0.619956303084366</v>
      </c>
      <c r="AL1447">
        <v>72.397493184130994</v>
      </c>
      <c r="AM1447">
        <v>90.255192976773102</v>
      </c>
      <c r="AN1447">
        <v>1.0000000177213599</v>
      </c>
    </row>
    <row r="1448" spans="1:40" x14ac:dyDescent="0.25">
      <c r="A1448" t="str">
        <f>"20190304164120262"</f>
        <v>20190304164120262</v>
      </c>
      <c r="B1448" t="str">
        <f>"1551688880252677"</f>
        <v>1551688880252677</v>
      </c>
      <c r="C1448" t="s">
        <v>40</v>
      </c>
      <c r="D1448">
        <v>4.572559</v>
      </c>
      <c r="E1448">
        <v>0.55070109999999906</v>
      </c>
      <c r="F1448" t="s">
        <v>41</v>
      </c>
      <c r="G1448">
        <v>-228.14490000000001</v>
      </c>
      <c r="H1448">
        <v>1.037614</v>
      </c>
      <c r="I1448">
        <v>367.298</v>
      </c>
      <c r="J1448">
        <v>-228.87119999999999</v>
      </c>
      <c r="K1448">
        <v>1.110047</v>
      </c>
      <c r="L1448">
        <v>367.36959999999999</v>
      </c>
      <c r="M1448">
        <v>0.99983520000000004</v>
      </c>
      <c r="N1448">
        <v>-1.418383E-2</v>
      </c>
      <c r="O1448">
        <v>1.133556E-2</v>
      </c>
      <c r="P1448">
        <v>0.95716380000000001</v>
      </c>
      <c r="Q1448">
        <v>0.28916209999999998</v>
      </c>
      <c r="R1448">
        <v>1.491664E-2</v>
      </c>
      <c r="S1448">
        <v>3.2188720000000002</v>
      </c>
      <c r="T1448">
        <v>-0.26705830000000003</v>
      </c>
      <c r="U1448">
        <v>-0.25842290000000001</v>
      </c>
      <c r="V1448">
        <v>-3.6578090000000001E-3</v>
      </c>
      <c r="W1448">
        <v>0.30271609999999999</v>
      </c>
      <c r="X1448">
        <v>0.95307370000000002</v>
      </c>
      <c r="Y1448">
        <v>9.0930750000000005E-2</v>
      </c>
      <c r="Z1448">
        <v>-5.1840020000000001E-3</v>
      </c>
      <c r="AA1448">
        <v>0.9958437</v>
      </c>
      <c r="AB1448">
        <v>29</v>
      </c>
      <c r="AC1448">
        <v>0.72629999999997996</v>
      </c>
      <c r="AD1448">
        <v>-7.24329999999999E-2</v>
      </c>
      <c r="AE1448">
        <v>-7.1599999999989394E-2</v>
      </c>
      <c r="AF1448">
        <v>7.9050587785665802E-2</v>
      </c>
      <c r="AG1448">
        <v>-7.24329999999999E-2</v>
      </c>
      <c r="AH1448">
        <v>0.71836564575422801</v>
      </c>
      <c r="AI1448">
        <v>95.723371753477906</v>
      </c>
      <c r="AJ1448">
        <v>83.720308470117303</v>
      </c>
      <c r="AK1448">
        <v>0.72632274913990402</v>
      </c>
      <c r="AL1448">
        <v>72.379187387456895</v>
      </c>
      <c r="AM1448">
        <v>90.2198948402241</v>
      </c>
      <c r="AN1448">
        <v>0.99999994719878804</v>
      </c>
    </row>
    <row r="1449" spans="1:40" x14ac:dyDescent="0.25">
      <c r="A1449" t="str">
        <f>"20190304164120274"</f>
        <v>20190304164120274</v>
      </c>
      <c r="B1449" t="str">
        <f>"1551688880262436"</f>
        <v>1551688880262436</v>
      </c>
      <c r="C1449" t="s">
        <v>40</v>
      </c>
      <c r="D1449">
        <v>4.5492809999999997</v>
      </c>
      <c r="E1449">
        <v>0.55089119999999903</v>
      </c>
      <c r="F1449" t="s">
        <v>41</v>
      </c>
      <c r="G1449">
        <v>-227.88900000000001</v>
      </c>
      <c r="H1449">
        <v>1.0285169999999999</v>
      </c>
      <c r="I1449">
        <v>367.28949999999998</v>
      </c>
      <c r="J1449">
        <v>-228.709</v>
      </c>
      <c r="K1449">
        <v>1.1100030000000001</v>
      </c>
      <c r="L1449">
        <v>367.37099999999998</v>
      </c>
      <c r="M1449">
        <v>0.99984039999999996</v>
      </c>
      <c r="N1449">
        <v>-1.4183360000000001E-2</v>
      </c>
      <c r="O1449">
        <v>1.0862109999999999E-2</v>
      </c>
      <c r="P1449">
        <v>0.95716089999999998</v>
      </c>
      <c r="Q1449">
        <v>0.28920570000000001</v>
      </c>
      <c r="R1449">
        <v>1.4248719999999999E-2</v>
      </c>
      <c r="S1449">
        <v>3.2191010000000002</v>
      </c>
      <c r="T1449">
        <v>-0.26725529999999997</v>
      </c>
      <c r="U1449">
        <v>-0.2624512</v>
      </c>
      <c r="V1449">
        <v>-3.4068950000000001E-3</v>
      </c>
      <c r="W1449">
        <v>0.30275930000000001</v>
      </c>
      <c r="X1449">
        <v>0.95306089999999999</v>
      </c>
      <c r="Y1449">
        <v>9.1689240000000005E-2</v>
      </c>
      <c r="Z1449">
        <v>-5.1912080000000001E-3</v>
      </c>
      <c r="AA1449">
        <v>0.9957741</v>
      </c>
      <c r="AB1449">
        <v>29</v>
      </c>
      <c r="AC1449">
        <v>0.81999999999999296</v>
      </c>
      <c r="AD1449">
        <v>-8.14860000000001E-2</v>
      </c>
      <c r="AE1449">
        <v>-8.1500000000005401E-2</v>
      </c>
      <c r="AF1449">
        <v>8.9527578010040507E-2</v>
      </c>
      <c r="AG1449">
        <v>-8.14860000000001E-2</v>
      </c>
      <c r="AH1449">
        <v>0.81113463919067796</v>
      </c>
      <c r="AI1449">
        <v>95.702248369064606</v>
      </c>
      <c r="AJ1449">
        <v>83.701571575364497</v>
      </c>
      <c r="AK1449">
        <v>0.82011862453875195</v>
      </c>
      <c r="AL1449">
        <v>72.376590207344407</v>
      </c>
      <c r="AM1449">
        <v>90.204813641290102</v>
      </c>
      <c r="AN1449">
        <v>0.99999993988941804</v>
      </c>
    </row>
    <row r="1450" spans="1:40" x14ac:dyDescent="0.25">
      <c r="A1450" t="str">
        <f>"20190304164120286"</f>
        <v>20190304164120286</v>
      </c>
      <c r="B1450" t="str">
        <f>"1551688880272196"</f>
        <v>1551688880272196</v>
      </c>
      <c r="C1450" t="s">
        <v>40</v>
      </c>
      <c r="D1450">
        <v>4.5419260000000001</v>
      </c>
      <c r="E1450">
        <v>0.55102989999999996</v>
      </c>
      <c r="F1450" t="s">
        <v>41</v>
      </c>
      <c r="G1450">
        <v>-227.88290000000001</v>
      </c>
      <c r="H1450">
        <v>1.0412509999999999</v>
      </c>
      <c r="I1450">
        <v>367.30290000000002</v>
      </c>
      <c r="J1450">
        <v>-228.5515</v>
      </c>
      <c r="K1450">
        <v>1.1099589999999999</v>
      </c>
      <c r="L1450">
        <v>367.37220000000002</v>
      </c>
      <c r="M1450">
        <v>0.99984569999999995</v>
      </c>
      <c r="N1450">
        <v>-1.41829E-2</v>
      </c>
      <c r="O1450">
        <v>1.0384020000000001E-2</v>
      </c>
      <c r="P1450">
        <v>0.95719500000000002</v>
      </c>
      <c r="Q1450">
        <v>0.28913990000000001</v>
      </c>
      <c r="R1450">
        <v>1.3276380000000001E-2</v>
      </c>
      <c r="S1450">
        <v>3.2191619999999999</v>
      </c>
      <c r="T1450">
        <v>-0.2679626</v>
      </c>
      <c r="U1450">
        <v>-0.26504519999999998</v>
      </c>
      <c r="V1450">
        <v>-2.8584320000000002E-3</v>
      </c>
      <c r="W1450">
        <v>0.30269249999999998</v>
      </c>
      <c r="X1450">
        <v>0.95308400000000004</v>
      </c>
      <c r="Y1450">
        <v>9.2006539999999998E-2</v>
      </c>
      <c r="Z1450">
        <v>-5.1858690000000001E-3</v>
      </c>
      <c r="AA1450">
        <v>0.99574490000000004</v>
      </c>
      <c r="AB1450">
        <v>29</v>
      </c>
      <c r="AC1450">
        <v>0.66859999999999697</v>
      </c>
      <c r="AD1450">
        <v>-6.8707999999999894E-2</v>
      </c>
      <c r="AE1450">
        <v>-6.9299999999998294E-2</v>
      </c>
      <c r="AF1450">
        <v>7.5451385292460496E-2</v>
      </c>
      <c r="AG1450">
        <v>-6.8707999999999894E-2</v>
      </c>
      <c r="AH1450">
        <v>0.66093864786897305</v>
      </c>
      <c r="AI1450">
        <v>95.896848814621407</v>
      </c>
      <c r="AJ1450">
        <v>83.487425680843501</v>
      </c>
      <c r="AK1450">
        <v>0.66877021244476598</v>
      </c>
      <c r="AL1450">
        <v>72.380607373951094</v>
      </c>
      <c r="AM1450">
        <v>90.171837528047107</v>
      </c>
      <c r="AN1450">
        <v>1.0000000156228701</v>
      </c>
    </row>
    <row r="1451" spans="1:40" x14ac:dyDescent="0.25">
      <c r="A1451" t="str">
        <f>"20190304164120299"</f>
        <v>20190304164120299</v>
      </c>
      <c r="B1451" t="str">
        <f>"1551688880292691"</f>
        <v>1551688880292691</v>
      </c>
      <c r="C1451" t="s">
        <v>40</v>
      </c>
      <c r="D1451">
        <v>4.5389019999999896</v>
      </c>
      <c r="E1451">
        <v>0.55122519999999997</v>
      </c>
      <c r="F1451" t="s">
        <v>41</v>
      </c>
      <c r="G1451">
        <v>-227.62700000000001</v>
      </c>
      <c r="H1451">
        <v>1.0327949999999999</v>
      </c>
      <c r="I1451">
        <v>367.29489999999998</v>
      </c>
      <c r="J1451">
        <v>-228.38890000000001</v>
      </c>
      <c r="K1451">
        <v>1.109915</v>
      </c>
      <c r="L1451">
        <v>367.3734</v>
      </c>
      <c r="M1451">
        <v>0.99985089999999999</v>
      </c>
      <c r="N1451">
        <v>-1.4182419999999999E-2</v>
      </c>
      <c r="O1451">
        <v>9.8614389999999996E-3</v>
      </c>
      <c r="P1451">
        <v>0.95714560000000004</v>
      </c>
      <c r="Q1451">
        <v>0.2893442</v>
      </c>
      <c r="R1451">
        <v>1.236188E-2</v>
      </c>
      <c r="S1451">
        <v>3.2191160000000001</v>
      </c>
      <c r="T1451">
        <v>-0.26888759999999901</v>
      </c>
      <c r="U1451">
        <v>-0.26858520000000002</v>
      </c>
      <c r="V1451">
        <v>-2.4133430000000001E-3</v>
      </c>
      <c r="W1451">
        <v>0.30289569999999999</v>
      </c>
      <c r="X1451">
        <v>0.9530206</v>
      </c>
      <c r="Y1451">
        <v>9.2571210000000001E-2</v>
      </c>
      <c r="Z1451">
        <v>-5.1932469999999998E-3</v>
      </c>
      <c r="AA1451">
        <v>0.99569260000000004</v>
      </c>
      <c r="AB1451">
        <v>29</v>
      </c>
      <c r="AC1451">
        <v>0.76189999999999702</v>
      </c>
      <c r="AD1451">
        <v>-7.71199999999998E-2</v>
      </c>
      <c r="AE1451">
        <v>-7.8500000000019499E-2</v>
      </c>
      <c r="AF1451">
        <v>8.5147146067014998E-2</v>
      </c>
      <c r="AG1451">
        <v>-7.71199999999998E-2</v>
      </c>
      <c r="AH1451">
        <v>0.75345026859193698</v>
      </c>
      <c r="AI1451">
        <v>95.807490810768101</v>
      </c>
      <c r="AJ1451">
        <v>83.552379445694299</v>
      </c>
      <c r="AK1451">
        <v>0.76215801388204296</v>
      </c>
      <c r="AL1451">
        <v>72.368390149497998</v>
      </c>
      <c r="AM1451">
        <v>90.145090329477597</v>
      </c>
      <c r="AN1451">
        <v>0.999999946663641</v>
      </c>
    </row>
    <row r="1452" spans="1:40" x14ac:dyDescent="0.25">
      <c r="A1452" t="str">
        <f>"20190304164120314"</f>
        <v>20190304164120314</v>
      </c>
      <c r="B1452" t="str">
        <f>"1551688880302451"</f>
        <v>1551688880302451</v>
      </c>
      <c r="C1452" t="s">
        <v>40</v>
      </c>
      <c r="D1452">
        <v>4.5472349999999997</v>
      </c>
      <c r="E1452">
        <v>0.55124090000000003</v>
      </c>
      <c r="F1452" t="s">
        <v>41</v>
      </c>
      <c r="G1452">
        <v>-227.6199</v>
      </c>
      <c r="H1452">
        <v>1.0455920000000001</v>
      </c>
      <c r="I1452">
        <v>367.30799999999999</v>
      </c>
      <c r="J1452">
        <v>-228.20439999999999</v>
      </c>
      <c r="K1452">
        <v>1.1098730000000001</v>
      </c>
      <c r="L1452">
        <v>367.37450000000001</v>
      </c>
      <c r="M1452">
        <v>0.99985690000000005</v>
      </c>
      <c r="N1452">
        <v>-1.418175E-2</v>
      </c>
      <c r="O1452">
        <v>9.230617E-3</v>
      </c>
      <c r="P1452">
        <v>0.95711769999999996</v>
      </c>
      <c r="Q1452">
        <v>0.28948059999999998</v>
      </c>
      <c r="R1452">
        <v>1.125962E-2</v>
      </c>
      <c r="S1452">
        <v>3.2193299999999998</v>
      </c>
      <c r="T1452">
        <v>-0.26951960000000003</v>
      </c>
      <c r="U1452">
        <v>-0.272644</v>
      </c>
      <c r="V1452">
        <v>-1.882482E-3</v>
      </c>
      <c r="W1452">
        <v>0.30303010000000002</v>
      </c>
      <c r="X1452">
        <v>0.95297909999999997</v>
      </c>
      <c r="Y1452">
        <v>9.3181429999999996E-2</v>
      </c>
      <c r="Z1452">
        <v>-5.1897439999999996E-3</v>
      </c>
      <c r="AA1452">
        <v>0.99563559999999995</v>
      </c>
      <c r="AB1452">
        <v>29</v>
      </c>
      <c r="AC1452">
        <v>0.58449999999999103</v>
      </c>
      <c r="AD1452">
        <v>-6.4280999999999797E-2</v>
      </c>
      <c r="AE1452">
        <v>-6.64999999999622E-2</v>
      </c>
      <c r="AF1452">
        <v>7.1044717811779096E-2</v>
      </c>
      <c r="AG1452">
        <v>-6.4280999999999797E-2</v>
      </c>
      <c r="AH1452">
        <v>0.57697204831020399</v>
      </c>
      <c r="AI1452">
        <v>96.309894410594197</v>
      </c>
      <c r="AJ1452">
        <v>82.980292302724706</v>
      </c>
      <c r="AK1452">
        <v>0.58487275831690699</v>
      </c>
      <c r="AL1452">
        <v>72.360310359579998</v>
      </c>
      <c r="AM1452">
        <v>90.1131799567477</v>
      </c>
      <c r="AN1452">
        <v>0.99999997514064898</v>
      </c>
    </row>
    <row r="1453" spans="1:40" x14ac:dyDescent="0.25">
      <c r="A1453" t="str">
        <f>"20190304164120330"</f>
        <v>20190304164120330</v>
      </c>
      <c r="B1453" t="str">
        <f>"1551688880322947"</f>
        <v>1551688880322947</v>
      </c>
      <c r="C1453" t="s">
        <v>40</v>
      </c>
      <c r="D1453">
        <v>4.5705539999999996</v>
      </c>
      <c r="E1453">
        <v>0.55131289999999999</v>
      </c>
      <c r="F1453" t="s">
        <v>41</v>
      </c>
      <c r="G1453">
        <v>-227.36410000000001</v>
      </c>
      <c r="H1453">
        <v>1.0394950000000001</v>
      </c>
      <c r="I1453">
        <v>367.30239999999998</v>
      </c>
      <c r="J1453">
        <v>-227.99459999999999</v>
      </c>
      <c r="K1453">
        <v>1.1098269999999999</v>
      </c>
      <c r="L1453">
        <v>367.37569999999999</v>
      </c>
      <c r="M1453">
        <v>0.99986350000000002</v>
      </c>
      <c r="N1453">
        <v>-1.418085E-2</v>
      </c>
      <c r="O1453">
        <v>8.4819470000000001E-3</v>
      </c>
      <c r="P1453">
        <v>0.95699029999999996</v>
      </c>
      <c r="Q1453">
        <v>0.28993239999999998</v>
      </c>
      <c r="R1453">
        <v>1.041832E-2</v>
      </c>
      <c r="S1453">
        <v>3.2192080000000001</v>
      </c>
      <c r="T1453">
        <v>-0.26962819999999998</v>
      </c>
      <c r="U1453">
        <v>-0.27606199999999997</v>
      </c>
      <c r="V1453">
        <v>-1.7259020000000001E-3</v>
      </c>
      <c r="W1453">
        <v>0.30347859999999999</v>
      </c>
      <c r="X1453">
        <v>0.95283669999999998</v>
      </c>
      <c r="Y1453">
        <v>9.3488859999999993E-2</v>
      </c>
      <c r="Z1453">
        <v>-5.15469E-3</v>
      </c>
      <c r="AA1453">
        <v>0.99560700000000002</v>
      </c>
      <c r="AB1453">
        <v>29</v>
      </c>
      <c r="AC1453">
        <v>0.63049999999998296</v>
      </c>
      <c r="AD1453">
        <v>-7.0332000000000006E-2</v>
      </c>
      <c r="AE1453">
        <v>-7.3300000000017407E-2</v>
      </c>
      <c r="AF1453">
        <v>7.7691915662943395E-2</v>
      </c>
      <c r="AG1453">
        <v>-7.0332000000000006E-2</v>
      </c>
      <c r="AH1453">
        <v>0.62221634642269696</v>
      </c>
      <c r="AI1453">
        <v>96.399755954296893</v>
      </c>
      <c r="AJ1453">
        <v>82.882702023639098</v>
      </c>
      <c r="AK1453">
        <v>0.63098003592743501</v>
      </c>
      <c r="AL1453">
        <v>72.333343915840899</v>
      </c>
      <c r="AM1453">
        <v>90.103781468856894</v>
      </c>
      <c r="AN1453">
        <v>1.0000000081312801</v>
      </c>
    </row>
    <row r="1454" spans="1:40" x14ac:dyDescent="0.25">
      <c r="A1454" t="str">
        <f>"20190304164120345"</f>
        <v>20190304164120345</v>
      </c>
      <c r="B1454" t="str">
        <f>"1551688880332707"</f>
        <v>1551688880332707</v>
      </c>
      <c r="C1454" t="s">
        <v>40</v>
      </c>
      <c r="D1454">
        <v>4.5233019999999904</v>
      </c>
      <c r="E1454">
        <v>0.55127419999999905</v>
      </c>
      <c r="F1454" t="s">
        <v>41</v>
      </c>
      <c r="G1454">
        <v>-227.10669999999999</v>
      </c>
      <c r="H1454">
        <v>1.0353589999999999</v>
      </c>
      <c r="I1454">
        <v>367.2987</v>
      </c>
      <c r="J1454">
        <v>-227.8021</v>
      </c>
      <c r="K1454">
        <v>1.1097939999999999</v>
      </c>
      <c r="L1454">
        <v>367.3766</v>
      </c>
      <c r="M1454">
        <v>0.99986940000000002</v>
      </c>
      <c r="N1454">
        <v>-1.4179890000000001E-2</v>
      </c>
      <c r="O1454">
        <v>7.7682539999999996E-3</v>
      </c>
      <c r="P1454">
        <v>0.95699579999999995</v>
      </c>
      <c r="Q1454">
        <v>0.2899446</v>
      </c>
      <c r="R1454">
        <v>9.5648650000000005E-3</v>
      </c>
      <c r="S1454">
        <v>3.2197269999999998</v>
      </c>
      <c r="T1454">
        <v>-0.27015050000000002</v>
      </c>
      <c r="U1454">
        <v>-0.27911380000000002</v>
      </c>
      <c r="V1454">
        <v>-1.529615E-3</v>
      </c>
      <c r="W1454">
        <v>0.30348999999999998</v>
      </c>
      <c r="X1454">
        <v>0.95283340000000005</v>
      </c>
      <c r="Y1454">
        <v>9.3700809999999995E-2</v>
      </c>
      <c r="Z1454">
        <v>-5.1234419999999998E-3</v>
      </c>
      <c r="AA1454">
        <v>0.99558720000000001</v>
      </c>
      <c r="AB1454">
        <v>29</v>
      </c>
      <c r="AC1454">
        <v>0.69540000000000601</v>
      </c>
      <c r="AD1454">
        <v>-7.4435000000000001E-2</v>
      </c>
      <c r="AE1454">
        <v>-7.7899999999999595E-2</v>
      </c>
      <c r="AF1454">
        <v>8.2368208119172406E-2</v>
      </c>
      <c r="AG1454">
        <v>-7.4435000000000001E-2</v>
      </c>
      <c r="AH1454">
        <v>0.687000140255556</v>
      </c>
      <c r="AI1454">
        <v>96.140118326512606</v>
      </c>
      <c r="AJ1454">
        <v>83.163130488400199</v>
      </c>
      <c r="AK1454">
        <v>0.69591255459642098</v>
      </c>
      <c r="AL1454">
        <v>72.332658337617602</v>
      </c>
      <c r="AM1454">
        <v>90.091978732582305</v>
      </c>
      <c r="AN1454">
        <v>1.0000000039888</v>
      </c>
    </row>
    <row r="1455" spans="1:40" x14ac:dyDescent="0.25">
      <c r="A1455" t="str">
        <f>"20190304164120359"</f>
        <v>20190304164120359</v>
      </c>
      <c r="B1455" t="str">
        <f>"1551688880352228"</f>
        <v>1551688880352228</v>
      </c>
      <c r="C1455" t="s">
        <v>40</v>
      </c>
      <c r="D1455">
        <v>4.5382559999999996</v>
      </c>
      <c r="E1455">
        <v>0.5512319</v>
      </c>
      <c r="F1455" t="s">
        <v>41</v>
      </c>
      <c r="G1455">
        <v>-226.8502</v>
      </c>
      <c r="H1455">
        <v>1.029925</v>
      </c>
      <c r="I1455">
        <v>367.29349999999999</v>
      </c>
      <c r="J1455">
        <v>-227.61699999999999</v>
      </c>
      <c r="K1455">
        <v>1.109766</v>
      </c>
      <c r="L1455">
        <v>367.37740000000002</v>
      </c>
      <c r="M1455">
        <v>0.9998745</v>
      </c>
      <c r="N1455">
        <v>-1.417886E-2</v>
      </c>
      <c r="O1455">
        <v>7.0598379999999997E-3</v>
      </c>
      <c r="P1455">
        <v>0.95693280000000003</v>
      </c>
      <c r="Q1455">
        <v>0.29018349999999998</v>
      </c>
      <c r="R1455">
        <v>8.5517990000000006E-3</v>
      </c>
      <c r="S1455">
        <v>3.2194370000000001</v>
      </c>
      <c r="T1455">
        <v>-0.27007419999999999</v>
      </c>
      <c r="U1455">
        <v>-0.28134160000000002</v>
      </c>
      <c r="V1455">
        <v>-1.1746829999999999E-3</v>
      </c>
      <c r="W1455">
        <v>0.3037262</v>
      </c>
      <c r="X1455">
        <v>0.95275860000000001</v>
      </c>
      <c r="Y1455">
        <v>9.3688850000000004E-2</v>
      </c>
      <c r="Z1455">
        <v>-5.0726169999999998E-3</v>
      </c>
      <c r="AA1455">
        <v>0.99558860000000005</v>
      </c>
      <c r="AB1455">
        <v>29</v>
      </c>
      <c r="AC1455">
        <v>0.76680000000001702</v>
      </c>
      <c r="AD1455">
        <v>-7.9840999999999995E-2</v>
      </c>
      <c r="AE1455">
        <v>-8.3900000000028202E-2</v>
      </c>
      <c r="AF1455">
        <v>8.8365262067026704E-2</v>
      </c>
      <c r="AG1455">
        <v>-7.9840999999999995E-2</v>
      </c>
      <c r="AH1455">
        <v>0.75806717957300696</v>
      </c>
      <c r="AI1455">
        <v>95.972186869620003</v>
      </c>
      <c r="AJ1455">
        <v>83.351235276561695</v>
      </c>
      <c r="AK1455">
        <v>0.76736487642251905</v>
      </c>
      <c r="AL1455">
        <v>72.318453943562503</v>
      </c>
      <c r="AM1455">
        <v>90.070641549771693</v>
      </c>
      <c r="AN1455">
        <v>0.99999996716027395</v>
      </c>
    </row>
    <row r="1456" spans="1:40" x14ac:dyDescent="0.25">
      <c r="A1456" t="str">
        <f>"20190304164120369"</f>
        <v>20190304164120369</v>
      </c>
      <c r="B1456" t="str">
        <f>"1551688880361987"</f>
        <v>1551688880361987</v>
      </c>
      <c r="C1456" t="s">
        <v>40</v>
      </c>
      <c r="D1456">
        <v>4.5029779999999997</v>
      </c>
      <c r="E1456">
        <v>0.5512553</v>
      </c>
      <c r="F1456" t="s">
        <v>41</v>
      </c>
      <c r="G1456">
        <v>-226.84209999999999</v>
      </c>
      <c r="H1456">
        <v>1.0452140000000001</v>
      </c>
      <c r="I1456">
        <v>367.30889999999999</v>
      </c>
      <c r="J1456">
        <v>-227.4717</v>
      </c>
      <c r="K1456">
        <v>1.1097539999999999</v>
      </c>
      <c r="L1456">
        <v>367.37779999999998</v>
      </c>
      <c r="M1456">
        <v>0.9998785</v>
      </c>
      <c r="N1456">
        <v>-1.417798E-2</v>
      </c>
      <c r="O1456">
        <v>6.4933550000000001E-3</v>
      </c>
      <c r="P1456">
        <v>0.95698559999999999</v>
      </c>
      <c r="Q1456">
        <v>0.29004730000000001</v>
      </c>
      <c r="R1456">
        <v>7.153843E-3</v>
      </c>
      <c r="S1456">
        <v>3.218842</v>
      </c>
      <c r="T1456">
        <v>-0.26807880000000001</v>
      </c>
      <c r="U1456">
        <v>-0.28445429999999999</v>
      </c>
      <c r="V1456">
        <v>-3.065066E-4</v>
      </c>
      <c r="W1456">
        <v>0.30358810000000003</v>
      </c>
      <c r="X1456">
        <v>0.95280330000000002</v>
      </c>
      <c r="Y1456">
        <v>9.4101279999999995E-2</v>
      </c>
      <c r="Z1456">
        <v>-5.0210919999999996E-3</v>
      </c>
      <c r="AA1456">
        <v>0.99555000000000005</v>
      </c>
      <c r="AB1456">
        <v>29</v>
      </c>
      <c r="AC1456">
        <v>0.62960000000001004</v>
      </c>
      <c r="AD1456">
        <v>-6.4540000000000194E-2</v>
      </c>
      <c r="AE1456">
        <v>-6.8899999999985001E-2</v>
      </c>
      <c r="AF1456">
        <v>7.2237075248832203E-2</v>
      </c>
      <c r="AG1456">
        <v>-6.4540000000000194E-2</v>
      </c>
      <c r="AH1456">
        <v>0.62267353987299501</v>
      </c>
      <c r="AI1456">
        <v>95.878419651364197</v>
      </c>
      <c r="AJ1456">
        <v>83.382631572490297</v>
      </c>
      <c r="AK1456">
        <v>0.63016342634151001</v>
      </c>
      <c r="AL1456">
        <v>72.326758832883101</v>
      </c>
      <c r="AM1456">
        <v>90.018431436968299</v>
      </c>
      <c r="AN1456">
        <v>0.99999997844939703</v>
      </c>
    </row>
    <row r="1457" spans="1:40" x14ac:dyDescent="0.25">
      <c r="A1457" t="str">
        <f>"20190304164120383"</f>
        <v>20190304164120383</v>
      </c>
      <c r="B1457" t="str">
        <f>"1551688880372722"</f>
        <v>1551688880372722</v>
      </c>
      <c r="C1457" t="s">
        <v>40</v>
      </c>
      <c r="D1457">
        <v>4.5091400000000004</v>
      </c>
      <c r="E1457">
        <v>0.55129790000000001</v>
      </c>
      <c r="F1457" t="s">
        <v>41</v>
      </c>
      <c r="G1457">
        <v>-226.58840000000001</v>
      </c>
      <c r="H1457">
        <v>1.0362960000000001</v>
      </c>
      <c r="I1457">
        <v>367.29849999999999</v>
      </c>
      <c r="J1457">
        <v>-227.30539999999999</v>
      </c>
      <c r="K1457">
        <v>1.1097379999999999</v>
      </c>
      <c r="L1457">
        <v>367.37830000000002</v>
      </c>
      <c r="M1457">
        <v>0.99988239999999995</v>
      </c>
      <c r="N1457">
        <v>-1.4176930000000001E-2</v>
      </c>
      <c r="O1457">
        <v>5.8397939999999997E-3</v>
      </c>
      <c r="P1457">
        <v>0.95694789999999996</v>
      </c>
      <c r="Q1457">
        <v>0.29019519999999999</v>
      </c>
      <c r="R1457">
        <v>6.1167069999999999E-3</v>
      </c>
      <c r="S1457">
        <v>3.2181700000000002</v>
      </c>
      <c r="T1457">
        <v>-0.26788430000000002</v>
      </c>
      <c r="U1457">
        <v>-0.28814699999999999</v>
      </c>
      <c r="V1457">
        <v>1.178104E-4</v>
      </c>
      <c r="W1457">
        <v>0.30373349999999999</v>
      </c>
      <c r="X1457">
        <v>0.95275710000000002</v>
      </c>
      <c r="Y1457">
        <v>9.4602060000000002E-2</v>
      </c>
      <c r="Z1457">
        <v>-4.9979239999999999E-3</v>
      </c>
      <c r="AA1457">
        <v>0.99550269999999996</v>
      </c>
      <c r="AB1457">
        <v>29</v>
      </c>
      <c r="AC1457">
        <v>0.71699999999998398</v>
      </c>
      <c r="AD1457">
        <v>-7.3441999999999993E-2</v>
      </c>
      <c r="AE1457">
        <v>-7.9800000000034205E-2</v>
      </c>
      <c r="AF1457">
        <v>8.3124733819282107E-2</v>
      </c>
      <c r="AG1457">
        <v>-7.3441999999999993E-2</v>
      </c>
      <c r="AH1457">
        <v>0.709172242234131</v>
      </c>
      <c r="AI1457">
        <v>95.872564092595795</v>
      </c>
      <c r="AJ1457">
        <v>83.314652582818596</v>
      </c>
      <c r="AK1457">
        <v>0.71779434233762995</v>
      </c>
      <c r="AL1457">
        <v>72.318016864827101</v>
      </c>
      <c r="AM1457">
        <v>89.992915257552696</v>
      </c>
      <c r="AN1457">
        <v>1.0000000722509701</v>
      </c>
    </row>
    <row r="1458" spans="1:40" x14ac:dyDescent="0.25">
      <c r="A1458" t="str">
        <f>"20190304164120394"</f>
        <v>20190304164120394</v>
      </c>
      <c r="B1458" t="str">
        <f>"1551688880382483"</f>
        <v>1551688880382483</v>
      </c>
      <c r="C1458" t="s">
        <v>40</v>
      </c>
      <c r="D1458">
        <v>4.5736089999999896</v>
      </c>
      <c r="E1458">
        <v>0.55140699999999998</v>
      </c>
      <c r="F1458" t="s">
        <v>41</v>
      </c>
      <c r="G1458">
        <v>-226.33330000000001</v>
      </c>
      <c r="H1458">
        <v>1.029121</v>
      </c>
      <c r="I1458">
        <v>367.2901</v>
      </c>
      <c r="J1458">
        <v>-227.15379999999999</v>
      </c>
      <c r="K1458">
        <v>1.109728</v>
      </c>
      <c r="L1458">
        <v>367.37849999999997</v>
      </c>
      <c r="M1458">
        <v>0.99988589999999999</v>
      </c>
      <c r="N1458">
        <v>-1.4175899999999899E-2</v>
      </c>
      <c r="O1458">
        <v>5.2367830000000001E-3</v>
      </c>
      <c r="P1458">
        <v>0.95691579999999998</v>
      </c>
      <c r="Q1458">
        <v>0.290327</v>
      </c>
      <c r="R1458">
        <v>4.7490299999999996E-3</v>
      </c>
      <c r="S1458">
        <v>3.217819</v>
      </c>
      <c r="T1458">
        <v>-0.26704749999999999</v>
      </c>
      <c r="U1458">
        <v>-0.29125980000000001</v>
      </c>
      <c r="V1458">
        <v>9.1615969999999996E-4</v>
      </c>
      <c r="W1458">
        <v>0.30386160000000001</v>
      </c>
      <c r="X1458">
        <v>0.9527158</v>
      </c>
      <c r="Y1458">
        <v>9.4968830000000004E-2</v>
      </c>
      <c r="Z1458">
        <v>-4.9609019999999997E-3</v>
      </c>
      <c r="AA1458">
        <v>0.99546789999999996</v>
      </c>
      <c r="AB1458">
        <v>29</v>
      </c>
      <c r="AC1458">
        <v>0.82049999999998102</v>
      </c>
      <c r="AD1458">
        <v>-8.0607000000000095E-2</v>
      </c>
      <c r="AE1458">
        <v>-8.8399999999978704E-2</v>
      </c>
      <c r="AF1458">
        <v>9.1819980694507294E-2</v>
      </c>
      <c r="AG1458">
        <v>-8.0607000000000095E-2</v>
      </c>
      <c r="AH1458">
        <v>0.81227615777297901</v>
      </c>
      <c r="AI1458">
        <v>95.631612972706904</v>
      </c>
      <c r="AJ1458">
        <v>83.550642304044601</v>
      </c>
      <c r="AK1458">
        <v>0.82141399658769698</v>
      </c>
      <c r="AL1458">
        <v>72.3103128296638</v>
      </c>
      <c r="AM1458">
        <v>89.944902700270504</v>
      </c>
      <c r="AN1458">
        <v>1.00000005343639</v>
      </c>
    </row>
    <row r="1459" spans="1:40" x14ac:dyDescent="0.25">
      <c r="A1459" t="str">
        <f>"20190304164120404"</f>
        <v>20190304164120404</v>
      </c>
      <c r="B1459" t="str">
        <f>"1551688880392243"</f>
        <v>1551688880392243</v>
      </c>
      <c r="C1459" t="s">
        <v>40</v>
      </c>
      <c r="D1459">
        <v>4.5434679999999998</v>
      </c>
      <c r="E1459">
        <v>0.55150840000000001</v>
      </c>
      <c r="F1459" t="s">
        <v>41</v>
      </c>
      <c r="G1459">
        <v>-226.32749999999999</v>
      </c>
      <c r="H1459">
        <v>1.041112</v>
      </c>
      <c r="I1459">
        <v>367.3021</v>
      </c>
      <c r="J1459">
        <v>-227.02189999999999</v>
      </c>
      <c r="K1459">
        <v>1.1097189999999999</v>
      </c>
      <c r="L1459">
        <v>367.37869999999998</v>
      </c>
      <c r="M1459">
        <v>0.99988840000000001</v>
      </c>
      <c r="N1459">
        <v>-1.417498E-2</v>
      </c>
      <c r="O1459">
        <v>4.7116010000000002E-3</v>
      </c>
      <c r="P1459">
        <v>0.95687529999999998</v>
      </c>
      <c r="Q1459">
        <v>0.29047469999999997</v>
      </c>
      <c r="R1459">
        <v>3.7804280000000002E-3</v>
      </c>
      <c r="S1459">
        <v>3.2176670000000001</v>
      </c>
      <c r="T1459">
        <v>-0.26743810000000001</v>
      </c>
      <c r="U1459">
        <v>-0.29653930000000001</v>
      </c>
      <c r="V1459">
        <v>1.3881080000000001E-3</v>
      </c>
      <c r="W1459">
        <v>0.30400700000000003</v>
      </c>
      <c r="X1459">
        <v>0.95266879999999998</v>
      </c>
      <c r="Y1459">
        <v>9.6065830000000005E-2</v>
      </c>
      <c r="Z1459">
        <v>-4.9843090000000001E-3</v>
      </c>
      <c r="AA1459">
        <v>0.99536250000000004</v>
      </c>
      <c r="AB1459">
        <v>29</v>
      </c>
      <c r="AC1459">
        <v>0.69440000000000102</v>
      </c>
      <c r="AD1459">
        <v>-6.8607000000000001E-2</v>
      </c>
      <c r="AE1459">
        <v>-7.6599999999984902E-2</v>
      </c>
      <c r="AF1459">
        <v>7.9108280905520301E-2</v>
      </c>
      <c r="AG1459">
        <v>-6.8607000000000001E-2</v>
      </c>
      <c r="AH1459">
        <v>0.68740192874750194</v>
      </c>
      <c r="AI1459">
        <v>95.662472498407197</v>
      </c>
      <c r="AJ1459">
        <v>83.435109775328996</v>
      </c>
      <c r="AK1459">
        <v>0.69533190075144202</v>
      </c>
      <c r="AL1459">
        <v>72.301567603648706</v>
      </c>
      <c r="AM1459">
        <v>89.916515924921498</v>
      </c>
      <c r="AN1459">
        <v>1.0000000126931201</v>
      </c>
    </row>
    <row r="1460" spans="1:40" x14ac:dyDescent="0.25">
      <c r="A1460" t="str">
        <f>"20190304164120415"</f>
        <v>20190304164120415</v>
      </c>
      <c r="B1460" t="str">
        <f>"1551688880402004"</f>
        <v>1551688880402004</v>
      </c>
      <c r="C1460" t="s">
        <v>40</v>
      </c>
      <c r="D1460">
        <v>4.5307969999999997</v>
      </c>
      <c r="E1460">
        <v>0.55161199999999999</v>
      </c>
      <c r="F1460" t="s">
        <v>41</v>
      </c>
      <c r="G1460">
        <v>-226.07419999999999</v>
      </c>
      <c r="H1460">
        <v>1.0310269999999999</v>
      </c>
      <c r="I1460">
        <v>367.29</v>
      </c>
      <c r="J1460">
        <v>-226.8845</v>
      </c>
      <c r="K1460">
        <v>1.1097140000000001</v>
      </c>
      <c r="L1460">
        <v>367.37880000000001</v>
      </c>
      <c r="M1460">
        <v>0.99989090000000003</v>
      </c>
      <c r="N1460">
        <v>-1.4173959999999999E-2</v>
      </c>
      <c r="O1460">
        <v>4.1615030000000004E-3</v>
      </c>
      <c r="P1460">
        <v>0.95684840000000004</v>
      </c>
      <c r="Q1460">
        <v>0.29057519999999998</v>
      </c>
      <c r="R1460">
        <v>2.6950429999999998E-3</v>
      </c>
      <c r="S1460">
        <v>3.2175449999999999</v>
      </c>
      <c r="T1460">
        <v>-0.26729950000000002</v>
      </c>
      <c r="U1460">
        <v>-0.3003845</v>
      </c>
      <c r="V1460">
        <v>1.950979E-3</v>
      </c>
      <c r="W1460">
        <v>0.30410470000000001</v>
      </c>
      <c r="X1460">
        <v>0.9526367</v>
      </c>
      <c r="Y1460">
        <v>9.6700209999999995E-2</v>
      </c>
      <c r="Z1460">
        <v>-4.9749800000000004E-3</v>
      </c>
      <c r="AA1460">
        <v>0.99530110000000005</v>
      </c>
      <c r="AB1460">
        <v>29</v>
      </c>
      <c r="AC1460">
        <v>0.81030000000001201</v>
      </c>
      <c r="AD1460">
        <v>-7.8686999999999702E-2</v>
      </c>
      <c r="AE1460">
        <v>-8.8799999999991996E-2</v>
      </c>
      <c r="AF1460">
        <v>9.1320695777128896E-2</v>
      </c>
      <c r="AG1460">
        <v>-7.8686999999999702E-2</v>
      </c>
      <c r="AH1460">
        <v>0.802446092200648</v>
      </c>
      <c r="AI1460">
        <v>95.5647663861631</v>
      </c>
      <c r="AJ1460">
        <v>83.507506058345797</v>
      </c>
      <c r="AK1460">
        <v>0.81144984092321404</v>
      </c>
      <c r="AL1460">
        <v>72.295692806359796</v>
      </c>
      <c r="AM1460">
        <v>89.882659668330405</v>
      </c>
      <c r="AN1460">
        <v>1.00000007853401</v>
      </c>
    </row>
    <row r="1461" spans="1:40" x14ac:dyDescent="0.25">
      <c r="A1461" t="str">
        <f>"20190304164120427"</f>
        <v>20190304164120427</v>
      </c>
      <c r="B1461" t="str">
        <f>"1551688880422499"</f>
        <v>1551688880422499</v>
      </c>
      <c r="C1461" t="s">
        <v>40</v>
      </c>
      <c r="D1461">
        <v>4.4802030000000004</v>
      </c>
      <c r="E1461">
        <v>0.55171239999999999</v>
      </c>
      <c r="F1461" t="s">
        <v>41</v>
      </c>
      <c r="G1461">
        <v>-226.06899999999999</v>
      </c>
      <c r="H1461">
        <v>1.0419969999999901</v>
      </c>
      <c r="I1461">
        <v>367.30149999999998</v>
      </c>
      <c r="J1461">
        <v>-226.73259999999999</v>
      </c>
      <c r="K1461">
        <v>1.109712</v>
      </c>
      <c r="L1461">
        <v>367.37880000000001</v>
      </c>
      <c r="M1461">
        <v>0.99989329999999998</v>
      </c>
      <c r="N1461">
        <v>-1.4172809999999999E-2</v>
      </c>
      <c r="O1461">
        <v>3.553727E-3</v>
      </c>
      <c r="P1461">
        <v>0.95681090000000002</v>
      </c>
      <c r="Q1461">
        <v>0.29070849999999998</v>
      </c>
      <c r="R1461">
        <v>1.361992E-3</v>
      </c>
      <c r="S1461">
        <v>3.2172999999999998</v>
      </c>
      <c r="T1461">
        <v>-0.26727040000000002</v>
      </c>
      <c r="U1461">
        <v>-0.30432130000000002</v>
      </c>
      <c r="V1461">
        <v>2.705664E-3</v>
      </c>
      <c r="W1461">
        <v>0.30423460000000002</v>
      </c>
      <c r="X1461">
        <v>0.95259329999999998</v>
      </c>
      <c r="Y1461">
        <v>9.7308510000000001E-2</v>
      </c>
      <c r="Z1461">
        <v>-4.9623640000000004E-3</v>
      </c>
      <c r="AA1461">
        <v>0.99524190000000001</v>
      </c>
      <c r="AB1461">
        <v>29</v>
      </c>
      <c r="AC1461">
        <v>0.66359999999997399</v>
      </c>
      <c r="AD1461">
        <v>-6.7715000000000095E-2</v>
      </c>
      <c r="AE1461">
        <v>-7.7300000000036506E-2</v>
      </c>
      <c r="AF1461">
        <v>7.8847984456475395E-2</v>
      </c>
      <c r="AG1461">
        <v>-6.7715000000000095E-2</v>
      </c>
      <c r="AH1461">
        <v>0.65657597341117502</v>
      </c>
      <c r="AI1461">
        <v>95.846584748087295</v>
      </c>
      <c r="AJ1461">
        <v>83.152162508320401</v>
      </c>
      <c r="AK1461">
        <v>0.66475133301008205</v>
      </c>
      <c r="AL1461">
        <v>72.287878525831601</v>
      </c>
      <c r="AM1461">
        <v>89.837262438119694</v>
      </c>
      <c r="AN1461">
        <v>1.00000000382986</v>
      </c>
    </row>
    <row r="1462" spans="1:40" x14ac:dyDescent="0.25">
      <c r="A1462" t="str">
        <f>"20190304164120438"</f>
        <v>20190304164120438</v>
      </c>
      <c r="B1462" t="str">
        <f>"1551688880432259"</f>
        <v>1551688880432259</v>
      </c>
      <c r="C1462" t="s">
        <v>40</v>
      </c>
      <c r="D1462">
        <v>4.5156689999999999</v>
      </c>
      <c r="E1462">
        <v>0.55176709999999995</v>
      </c>
      <c r="F1462" t="s">
        <v>41</v>
      </c>
      <c r="G1462">
        <v>-225.8151</v>
      </c>
      <c r="H1462">
        <v>1.0336289999999999</v>
      </c>
      <c r="I1462">
        <v>367.29070000000002</v>
      </c>
      <c r="J1462">
        <v>-226.59299999999999</v>
      </c>
      <c r="K1462">
        <v>1.10971</v>
      </c>
      <c r="L1462">
        <v>367.37880000000001</v>
      </c>
      <c r="M1462">
        <v>0.99989510000000004</v>
      </c>
      <c r="N1462">
        <v>-1.4171710000000001E-2</v>
      </c>
      <c r="O1462">
        <v>2.9954560000000001E-3</v>
      </c>
      <c r="P1462">
        <v>0.95668070000000005</v>
      </c>
      <c r="Q1462">
        <v>0.29113909999999998</v>
      </c>
      <c r="R1462">
        <v>1.2709949999999999E-4</v>
      </c>
      <c r="S1462">
        <v>3.216888</v>
      </c>
      <c r="T1462">
        <v>-0.26665</v>
      </c>
      <c r="U1462">
        <v>-0.30941770000000002</v>
      </c>
      <c r="V1462">
        <v>3.408814E-3</v>
      </c>
      <c r="W1462">
        <v>0.30466100000000002</v>
      </c>
      <c r="X1462">
        <v>0.95245469999999999</v>
      </c>
      <c r="Y1462">
        <v>9.8326179999999999E-2</v>
      </c>
      <c r="Z1462">
        <v>-4.9636339999999998E-3</v>
      </c>
      <c r="AA1462">
        <v>0.99514190000000002</v>
      </c>
      <c r="AB1462">
        <v>29</v>
      </c>
      <c r="AC1462">
        <v>0.77789999999998805</v>
      </c>
      <c r="AD1462">
        <v>-7.6080999999999802E-2</v>
      </c>
      <c r="AE1462">
        <v>-8.8099999999997097E-2</v>
      </c>
      <c r="AF1462">
        <v>8.95839460367783E-2</v>
      </c>
      <c r="AG1462">
        <v>-7.6080999999999802E-2</v>
      </c>
      <c r="AH1462">
        <v>0.77035709793151297</v>
      </c>
      <c r="AI1462">
        <v>95.602766939261699</v>
      </c>
      <c r="AJ1462">
        <v>83.366932125924706</v>
      </c>
      <c r="AK1462">
        <v>0.77927123665767595</v>
      </c>
      <c r="AL1462">
        <v>72.262229064806405</v>
      </c>
      <c r="AM1462">
        <v>89.794940566270597</v>
      </c>
      <c r="AN1462">
        <v>0.99999995024298705</v>
      </c>
    </row>
    <row r="1463" spans="1:40" x14ac:dyDescent="0.25">
      <c r="A1463" t="str">
        <f>"20190304164120449"</f>
        <v>20190304164120449</v>
      </c>
      <c r="B1463" t="str">
        <f>"1551688880442019"</f>
        <v>1551688880442019</v>
      </c>
      <c r="C1463" t="s">
        <v>40</v>
      </c>
      <c r="D1463">
        <v>4.5702809999999996</v>
      </c>
      <c r="E1463">
        <v>0.55191749999999995</v>
      </c>
      <c r="F1463" t="s">
        <v>41</v>
      </c>
      <c r="G1463">
        <v>-225.809</v>
      </c>
      <c r="H1463">
        <v>1.044953</v>
      </c>
      <c r="I1463">
        <v>367.3021</v>
      </c>
      <c r="J1463">
        <v>-226.44210000000001</v>
      </c>
      <c r="K1463">
        <v>1.10971</v>
      </c>
      <c r="L1463">
        <v>367.37860000000001</v>
      </c>
      <c r="M1463">
        <v>0.99989689999999998</v>
      </c>
      <c r="N1463">
        <v>-1.4170520000000001E-2</v>
      </c>
      <c r="O1463">
        <v>2.392749E-3</v>
      </c>
      <c r="P1463">
        <v>0.9566346</v>
      </c>
      <c r="Q1463">
        <v>0.29128989999999999</v>
      </c>
      <c r="R1463">
        <v>-8.7041410000000005E-4</v>
      </c>
      <c r="S1463">
        <v>3.2166899999999998</v>
      </c>
      <c r="T1463">
        <v>-0.26555400000000001</v>
      </c>
      <c r="U1463">
        <v>-0.31484990000000002</v>
      </c>
      <c r="V1463">
        <v>3.8308109999999999E-3</v>
      </c>
      <c r="W1463">
        <v>0.3048092</v>
      </c>
      <c r="X1463">
        <v>0.95240579999999997</v>
      </c>
      <c r="Y1463">
        <v>9.9397250000000006E-2</v>
      </c>
      <c r="Z1463">
        <v>-4.9565080000000001E-3</v>
      </c>
      <c r="AA1463">
        <v>0.99503549999999996</v>
      </c>
      <c r="AB1463">
        <v>29</v>
      </c>
      <c r="AC1463">
        <v>0.63309999999998401</v>
      </c>
      <c r="AD1463">
        <v>-6.4756999999999898E-2</v>
      </c>
      <c r="AE1463">
        <v>-7.6500000000009893E-2</v>
      </c>
      <c r="AF1463">
        <v>7.7218521893241202E-2</v>
      </c>
      <c r="AG1463">
        <v>-6.4756999999999898E-2</v>
      </c>
      <c r="AH1463">
        <v>0.626455255586162</v>
      </c>
      <c r="AI1463">
        <v>95.857712085624001</v>
      </c>
      <c r="AJ1463">
        <v>82.973017084663297</v>
      </c>
      <c r="AK1463">
        <v>0.63450954005743798</v>
      </c>
      <c r="AL1463">
        <v>72.253315911133996</v>
      </c>
      <c r="AM1463">
        <v>89.769543487915598</v>
      </c>
      <c r="AN1463">
        <v>1.0000000656955901</v>
      </c>
    </row>
    <row r="1464" spans="1:40" x14ac:dyDescent="0.25">
      <c r="A1464" t="str">
        <f>"20190304164120460"</f>
        <v>20190304164120460</v>
      </c>
      <c r="B1464" t="str">
        <f>"1551688880452756"</f>
        <v>1551688880452756</v>
      </c>
      <c r="C1464" t="s">
        <v>40</v>
      </c>
      <c r="D1464">
        <v>4.7488989999999998</v>
      </c>
      <c r="E1464">
        <v>0.55191749999999995</v>
      </c>
      <c r="F1464" t="s">
        <v>41</v>
      </c>
      <c r="G1464">
        <v>-225.55609999999999</v>
      </c>
      <c r="H1464">
        <v>1.036745</v>
      </c>
      <c r="I1464">
        <v>367.29039999999998</v>
      </c>
      <c r="J1464">
        <v>-226.2961</v>
      </c>
      <c r="K1464">
        <v>1.109712</v>
      </c>
      <c r="L1464">
        <v>367.37830000000002</v>
      </c>
      <c r="M1464">
        <v>0.99989799999999995</v>
      </c>
      <c r="N1464">
        <v>-1.4169340000000001E-2</v>
      </c>
      <c r="O1464">
        <v>1.8102610000000001E-3</v>
      </c>
      <c r="P1464">
        <v>0.95652170000000003</v>
      </c>
      <c r="Q1464">
        <v>0.29165449999999998</v>
      </c>
      <c r="R1464">
        <v>-1.9811210000000002E-3</v>
      </c>
      <c r="S1464">
        <v>3.2164000000000001</v>
      </c>
      <c r="T1464">
        <v>-0.26498090000000002</v>
      </c>
      <c r="U1464">
        <v>-0.31942749999999998</v>
      </c>
      <c r="V1464">
        <v>4.3852379999999996E-3</v>
      </c>
      <c r="W1464">
        <v>0.30516969999999999</v>
      </c>
      <c r="X1464">
        <v>0.95228789999999996</v>
      </c>
      <c r="Y1464">
        <v>0.1002284</v>
      </c>
      <c r="Z1464">
        <v>-4.947814E-3</v>
      </c>
      <c r="AA1464">
        <v>0.99495210000000001</v>
      </c>
      <c r="AB1464">
        <v>29</v>
      </c>
      <c r="AC1464">
        <v>0.74000000000000898</v>
      </c>
      <c r="AD1464">
        <v>-7.2966999999999907E-2</v>
      </c>
      <c r="AE1464">
        <v>-8.7900000000047301E-2</v>
      </c>
      <c r="AF1464">
        <v>8.8392125450310596E-2</v>
      </c>
      <c r="AG1464">
        <v>-7.2966999999999907E-2</v>
      </c>
      <c r="AH1464">
        <v>0.73281380864621604</v>
      </c>
      <c r="AI1464">
        <v>95.645601249963406</v>
      </c>
      <c r="AJ1464">
        <v>83.122200507255897</v>
      </c>
      <c r="AK1464">
        <v>0.74172328335653404</v>
      </c>
      <c r="AL1464">
        <v>72.231626436060694</v>
      </c>
      <c r="AM1464">
        <v>89.736157675029403</v>
      </c>
      <c r="AN1464">
        <v>1.0000000102983999</v>
      </c>
    </row>
    <row r="1465" spans="1:40" x14ac:dyDescent="0.25">
      <c r="A1465" t="str">
        <f>"20190304164120473"</f>
        <v>20190304164120473</v>
      </c>
      <c r="B1465" t="str">
        <f>"1551688880462515"</f>
        <v>1551688880462515</v>
      </c>
      <c r="C1465" t="s">
        <v>40</v>
      </c>
      <c r="D1465">
        <v>4.7558579999999999</v>
      </c>
      <c r="E1465">
        <v>0.57156549999999995</v>
      </c>
      <c r="F1465" t="s">
        <v>41</v>
      </c>
      <c r="G1465">
        <v>-225.54830000000001</v>
      </c>
      <c r="H1465">
        <v>1.048414</v>
      </c>
      <c r="I1465">
        <v>367.303</v>
      </c>
      <c r="J1465">
        <v>-226.14879999999999</v>
      </c>
      <c r="K1465">
        <v>1.1097129999999999</v>
      </c>
      <c r="L1465">
        <v>367.37799999999999</v>
      </c>
      <c r="M1465">
        <v>0.99989890000000003</v>
      </c>
      <c r="N1465">
        <v>-1.4168099999999999E-2</v>
      </c>
      <c r="O1465">
        <v>1.225292E-3</v>
      </c>
      <c r="P1465">
        <v>0.95634850000000005</v>
      </c>
      <c r="Q1465">
        <v>0.29221570000000002</v>
      </c>
      <c r="R1465">
        <v>-2.780687E-3</v>
      </c>
      <c r="S1465">
        <v>3.21611</v>
      </c>
      <c r="T1465">
        <v>-0.26373210000000002</v>
      </c>
      <c r="U1465">
        <v>-0.32330320000000001</v>
      </c>
      <c r="V1465">
        <v>4.6257679999999997E-3</v>
      </c>
      <c r="W1465">
        <v>0.30572680000000002</v>
      </c>
      <c r="X1465">
        <v>0.95210799999999995</v>
      </c>
      <c r="Y1465">
        <v>0.1008448</v>
      </c>
      <c r="Z1465">
        <v>-4.9179369999999998E-3</v>
      </c>
      <c r="AA1465">
        <v>0.99489000000000005</v>
      </c>
      <c r="AB1465">
        <v>29</v>
      </c>
      <c r="AC1465">
        <v>0.60049999999998205</v>
      </c>
      <c r="AD1465">
        <v>-6.1298999999999902E-2</v>
      </c>
      <c r="AE1465">
        <v>-7.4999999999988604E-2</v>
      </c>
      <c r="AF1465">
        <v>7.4966628053675904E-2</v>
      </c>
      <c r="AG1465">
        <v>-6.1298999999999902E-2</v>
      </c>
      <c r="AH1465">
        <v>0.594309867435313</v>
      </c>
      <c r="AI1465">
        <v>95.842867330277102</v>
      </c>
      <c r="AJ1465">
        <v>82.810644200027198</v>
      </c>
      <c r="AK1465">
        <v>0.60214764074412597</v>
      </c>
      <c r="AL1465">
        <v>72.198103972307095</v>
      </c>
      <c r="AM1465">
        <v>89.721633577200393</v>
      </c>
      <c r="AN1465">
        <v>0.99999995881591397</v>
      </c>
    </row>
    <row r="1466" spans="1:40" x14ac:dyDescent="0.25">
      <c r="A1466" t="str">
        <f>"20190304164120484"</f>
        <v>20190304164120484</v>
      </c>
      <c r="B1466" t="str">
        <f>"1551688880472276"</f>
        <v>1551688880472276</v>
      </c>
      <c r="C1466" t="s">
        <v>40</v>
      </c>
      <c r="D1466">
        <v>4.6820870000000001</v>
      </c>
      <c r="E1466">
        <v>0.57587129999999997</v>
      </c>
      <c r="F1466" t="s">
        <v>41</v>
      </c>
      <c r="G1466">
        <v>-225.3005</v>
      </c>
      <c r="H1466">
        <v>1.0324549999999999</v>
      </c>
      <c r="I1466">
        <v>367.25150000000002</v>
      </c>
      <c r="J1466">
        <v>-225.99950000000001</v>
      </c>
      <c r="K1466">
        <v>1.1097159999999999</v>
      </c>
      <c r="L1466">
        <v>367.37759999999997</v>
      </c>
      <c r="M1466">
        <v>0.99989950000000005</v>
      </c>
      <c r="N1466">
        <v>-1.416684E-2</v>
      </c>
      <c r="O1466">
        <v>6.3239909999999999E-4</v>
      </c>
      <c r="P1466">
        <v>0.95618539999999996</v>
      </c>
      <c r="Q1466">
        <v>0.2927399</v>
      </c>
      <c r="R1466">
        <v>-3.6117290000000002E-3</v>
      </c>
      <c r="S1466">
        <v>3.2252960000000002</v>
      </c>
      <c r="T1466">
        <v>-0.29377819999999999</v>
      </c>
      <c r="U1466">
        <v>-0.48077389999999998</v>
      </c>
      <c r="V1466">
        <v>4.890167E-3</v>
      </c>
      <c r="W1466">
        <v>0.30624699999999999</v>
      </c>
      <c r="X1466">
        <v>0.95193950000000005</v>
      </c>
      <c r="Y1466">
        <v>0.14736649999999901</v>
      </c>
      <c r="Z1466">
        <v>-7.7614190000000003E-3</v>
      </c>
      <c r="AA1466">
        <v>0.98905149999999997</v>
      </c>
      <c r="AB1466">
        <v>29</v>
      </c>
      <c r="AC1466">
        <v>0.69900000000001195</v>
      </c>
      <c r="AD1466">
        <v>-7.7260999999999996E-2</v>
      </c>
      <c r="AE1466">
        <v>-0.126099999999951</v>
      </c>
      <c r="AF1466">
        <v>0.12506233058656699</v>
      </c>
      <c r="AG1466">
        <v>-7.7260999999999996E-2</v>
      </c>
      <c r="AH1466">
        <v>0.69074719682950503</v>
      </c>
      <c r="AI1466">
        <v>96.2808053432598</v>
      </c>
      <c r="AJ1466">
        <v>79.7375595749496</v>
      </c>
      <c r="AK1466">
        <v>0.70621635394584503</v>
      </c>
      <c r="AL1466">
        <v>72.166797396195605</v>
      </c>
      <c r="AM1466">
        <v>89.705670932226596</v>
      </c>
      <c r="AN1466">
        <v>0.99999997520126804</v>
      </c>
    </row>
    <row r="1467" spans="1:40" x14ac:dyDescent="0.25">
      <c r="A1467" t="str">
        <f>"20190304164120495"</f>
        <v>20190304164120495</v>
      </c>
      <c r="B1467" t="str">
        <f>"1551688880482035"</f>
        <v>1551688880482035</v>
      </c>
      <c r="C1467" t="s">
        <v>40</v>
      </c>
      <c r="D1467">
        <v>4.6641729999999999</v>
      </c>
      <c r="E1467">
        <v>0.57847859999999995</v>
      </c>
      <c r="F1467" t="s">
        <v>41</v>
      </c>
      <c r="G1467">
        <v>-225.0488</v>
      </c>
      <c r="H1467">
        <v>1.020999</v>
      </c>
      <c r="I1467">
        <v>367.2251</v>
      </c>
      <c r="J1467">
        <v>-225.8466</v>
      </c>
      <c r="K1467">
        <v>1.10972</v>
      </c>
      <c r="L1467">
        <v>367.37700000000001</v>
      </c>
      <c r="M1467">
        <v>0.99989969999999995</v>
      </c>
      <c r="N1467">
        <v>-1.4165519999999999E-2</v>
      </c>
      <c r="O1467" s="1">
        <v>2.7832100000000001E-5</v>
      </c>
      <c r="P1467">
        <v>0.95610980000000001</v>
      </c>
      <c r="Q1467">
        <v>0.29297770000000001</v>
      </c>
      <c r="R1467">
        <v>-4.2373430000000002E-3</v>
      </c>
      <c r="S1467">
        <v>3.2277680000000002</v>
      </c>
      <c r="T1467">
        <v>-0.30130970000000001</v>
      </c>
      <c r="U1467">
        <v>-0.51712040000000004</v>
      </c>
      <c r="V1467">
        <v>4.9374010000000001E-3</v>
      </c>
      <c r="W1467">
        <v>0.30648219999999998</v>
      </c>
      <c r="X1467">
        <v>0.95186360000000003</v>
      </c>
      <c r="Y1467">
        <v>0.157448799999999</v>
      </c>
      <c r="Z1467">
        <v>-8.413963E-3</v>
      </c>
      <c r="AA1467">
        <v>0.98749129999999996</v>
      </c>
      <c r="AB1467">
        <v>29</v>
      </c>
      <c r="AC1467">
        <v>0.79779999999999496</v>
      </c>
      <c r="AD1467">
        <v>-8.8720999999999994E-2</v>
      </c>
      <c r="AE1467">
        <v>-0.15189999999995499</v>
      </c>
      <c r="AF1467">
        <v>0.150130493473143</v>
      </c>
      <c r="AG1467">
        <v>-8.8720999999999994E-2</v>
      </c>
      <c r="AH1467">
        <v>0.78838686945901204</v>
      </c>
      <c r="AI1467">
        <v>96.308337241399499</v>
      </c>
      <c r="AJ1467">
        <v>79.218397547187607</v>
      </c>
      <c r="AK1467">
        <v>0.80744314774903503</v>
      </c>
      <c r="AL1467">
        <v>72.152641425502694</v>
      </c>
      <c r="AM1467">
        <v>89.702804370343799</v>
      </c>
      <c r="AN1467">
        <v>1.00000001492521</v>
      </c>
    </row>
    <row r="1468" spans="1:40" x14ac:dyDescent="0.25">
      <c r="A1468" t="str">
        <f>"20190304164120510"</f>
        <v>20190304164120510</v>
      </c>
      <c r="B1468" t="str">
        <f>"1551688880502530"</f>
        <v>1551688880502530</v>
      </c>
      <c r="C1468" t="s">
        <v>40</v>
      </c>
      <c r="D1468">
        <v>4.6533610000000003</v>
      </c>
      <c r="E1468">
        <v>0.58169919999999997</v>
      </c>
      <c r="F1468" t="s">
        <v>41</v>
      </c>
      <c r="G1468">
        <v>-225.042</v>
      </c>
      <c r="H1468">
        <v>1.0335110000000001</v>
      </c>
      <c r="I1468">
        <v>367.24259999999998</v>
      </c>
      <c r="J1468">
        <v>-225.678</v>
      </c>
      <c r="K1468">
        <v>1.1097170000000001</v>
      </c>
      <c r="L1468">
        <v>367.37630000000001</v>
      </c>
      <c r="M1468">
        <v>0.99989950000000005</v>
      </c>
      <c r="N1468">
        <v>-1.4164059999999999E-2</v>
      </c>
      <c r="O1468">
        <v>-6.3775819999999995E-4</v>
      </c>
      <c r="P1468">
        <v>0.9560478</v>
      </c>
      <c r="Q1468">
        <v>0.29317290000000001</v>
      </c>
      <c r="R1468">
        <v>-4.7123989999999999E-3</v>
      </c>
      <c r="S1468">
        <v>3.2290649999999999</v>
      </c>
      <c r="T1468">
        <v>-0.30596830000000003</v>
      </c>
      <c r="U1468">
        <v>-0.53930659999999997</v>
      </c>
      <c r="V1468">
        <v>4.77539E-3</v>
      </c>
      <c r="W1468">
        <v>0.30667499999999998</v>
      </c>
      <c r="X1468">
        <v>0.95180229999999999</v>
      </c>
      <c r="Y1468">
        <v>0.1632866</v>
      </c>
      <c r="Z1468">
        <v>-8.7824289999999996E-3</v>
      </c>
      <c r="AA1468">
        <v>0.98653959999999996</v>
      </c>
      <c r="AB1468">
        <v>29</v>
      </c>
      <c r="AC1468">
        <v>0.63599999999999501</v>
      </c>
      <c r="AD1468">
        <v>-7.6205999999999996E-2</v>
      </c>
      <c r="AE1468">
        <v>-0.13370000000003299</v>
      </c>
      <c r="AF1468">
        <v>0.13148645888163299</v>
      </c>
      <c r="AG1468">
        <v>-7.6205999999999996E-2</v>
      </c>
      <c r="AH1468">
        <v>0.62745798096907801</v>
      </c>
      <c r="AI1468">
        <v>96.778941462709298</v>
      </c>
      <c r="AJ1468">
        <v>78.164686365498994</v>
      </c>
      <c r="AK1468">
        <v>0.64560015581397001</v>
      </c>
      <c r="AL1468">
        <v>72.1410354650898</v>
      </c>
      <c r="AM1468">
        <v>89.712537575542996</v>
      </c>
      <c r="AN1468">
        <v>0.99999998912997101</v>
      </c>
    </row>
    <row r="1469" spans="1:40" x14ac:dyDescent="0.25">
      <c r="A1469" t="str">
        <f>"20190304164120523"</f>
        <v>20190304164120523</v>
      </c>
      <c r="B1469" t="str">
        <f>"1551688880512291"</f>
        <v>1551688880512291</v>
      </c>
      <c r="C1469" t="s">
        <v>40</v>
      </c>
      <c r="D1469">
        <v>4.6655309999999997</v>
      </c>
      <c r="E1469">
        <v>0.58269530000000003</v>
      </c>
      <c r="F1469" t="s">
        <v>41</v>
      </c>
      <c r="G1469">
        <v>-224.7894</v>
      </c>
      <c r="H1469">
        <v>1.0248440000000001</v>
      </c>
      <c r="I1469">
        <v>367.22059999999999</v>
      </c>
      <c r="J1469">
        <v>-225.50479999999999</v>
      </c>
      <c r="K1469">
        <v>1.10972</v>
      </c>
      <c r="L1469">
        <v>367.37560000000002</v>
      </c>
      <c r="M1469">
        <v>0.99989879999999998</v>
      </c>
      <c r="N1469">
        <v>-1.416254E-2</v>
      </c>
      <c r="O1469">
        <v>-1.320985E-3</v>
      </c>
      <c r="P1469">
        <v>0.95593700000000004</v>
      </c>
      <c r="Q1469">
        <v>0.29352440000000002</v>
      </c>
      <c r="R1469">
        <v>-5.2973439999999998E-3</v>
      </c>
      <c r="S1469">
        <v>3.2296909999999999</v>
      </c>
      <c r="T1469">
        <v>-0.30844329999999998</v>
      </c>
      <c r="U1469">
        <v>-0.56610109999999902</v>
      </c>
      <c r="V1469">
        <v>4.7065650000000002E-3</v>
      </c>
      <c r="W1469">
        <v>0.30702410000000002</v>
      </c>
      <c r="X1469">
        <v>0.95169009999999998</v>
      </c>
      <c r="Y1469">
        <v>0.17048360000000001</v>
      </c>
      <c r="Z1469">
        <v>-9.1743989999999997E-3</v>
      </c>
      <c r="AA1469">
        <v>0.98531780000000002</v>
      </c>
      <c r="AB1469">
        <v>29</v>
      </c>
      <c r="AC1469">
        <v>0.71539999999998805</v>
      </c>
      <c r="AD1469">
        <v>-8.4875999999999896E-2</v>
      </c>
      <c r="AE1469">
        <v>-0.155000000000029</v>
      </c>
      <c r="AF1469">
        <v>0.15201100420629299</v>
      </c>
      <c r="AG1469">
        <v>-8.4875999999999896E-2</v>
      </c>
      <c r="AH1469">
        <v>0.70611074502178395</v>
      </c>
      <c r="AI1469">
        <v>96.702087513220306</v>
      </c>
      <c r="AJ1469">
        <v>77.850826799376804</v>
      </c>
      <c r="AK1469">
        <v>0.72725763317480896</v>
      </c>
      <c r="AL1469">
        <v>72.120019830071399</v>
      </c>
      <c r="AM1469">
        <v>89.716647139592396</v>
      </c>
      <c r="AN1469">
        <v>0.99999999808645901</v>
      </c>
    </row>
    <row r="1470" spans="1:40" x14ac:dyDescent="0.25">
      <c r="A1470" t="str">
        <f>"20190304164120535"</f>
        <v>20190304164120535</v>
      </c>
      <c r="B1470" t="str">
        <f>"1551688880522051"</f>
        <v>1551688880522051</v>
      </c>
      <c r="C1470" t="s">
        <v>40</v>
      </c>
      <c r="D1470">
        <v>4.6571239999999996</v>
      </c>
      <c r="E1470">
        <v>0.58346009999999904</v>
      </c>
      <c r="F1470" t="s">
        <v>41</v>
      </c>
      <c r="G1470">
        <v>-224.5359</v>
      </c>
      <c r="H1470">
        <v>1.0168790000000001</v>
      </c>
      <c r="I1470">
        <v>367.2029</v>
      </c>
      <c r="J1470">
        <v>-225.33869999999999</v>
      </c>
      <c r="K1470">
        <v>1.1097239999999999</v>
      </c>
      <c r="L1470">
        <v>367.37459999999999</v>
      </c>
      <c r="M1470">
        <v>0.99989779999999995</v>
      </c>
      <c r="N1470">
        <v>-1.416105E-2</v>
      </c>
      <c r="O1470">
        <v>-1.9739319999999999E-3</v>
      </c>
      <c r="P1470">
        <v>0.95591269999999995</v>
      </c>
      <c r="Q1470">
        <v>0.29359950000000001</v>
      </c>
      <c r="R1470">
        <v>-5.5127630000000004E-3</v>
      </c>
      <c r="S1470">
        <v>3.2301479999999998</v>
      </c>
      <c r="T1470">
        <v>-0.30955929999999998</v>
      </c>
      <c r="U1470">
        <v>-0.57601930000000001</v>
      </c>
      <c r="V1470">
        <v>4.2965369999999996E-3</v>
      </c>
      <c r="W1470">
        <v>0.30709799999999998</v>
      </c>
      <c r="X1470">
        <v>0.95166819999999996</v>
      </c>
      <c r="Y1470">
        <v>0.17273529999999901</v>
      </c>
      <c r="Z1470">
        <v>-9.2701190000000003E-3</v>
      </c>
      <c r="AA1470">
        <v>0.98492469999999999</v>
      </c>
      <c r="AB1470">
        <v>29</v>
      </c>
      <c r="AC1470">
        <v>0.80279999999998997</v>
      </c>
      <c r="AD1470">
        <v>-9.2844999999999803E-2</v>
      </c>
      <c r="AE1470">
        <v>-0.171699999999987</v>
      </c>
      <c r="AF1470">
        <v>0.16796650889811099</v>
      </c>
      <c r="AG1470">
        <v>-9.2844999999999803E-2</v>
      </c>
      <c r="AH1470">
        <v>0.79299483224023803</v>
      </c>
      <c r="AI1470">
        <v>96.534197284724598</v>
      </c>
      <c r="AJ1470">
        <v>78.040774789822706</v>
      </c>
      <c r="AK1470">
        <v>0.81588831717100996</v>
      </c>
      <c r="AL1470">
        <v>72.115570814448404</v>
      </c>
      <c r="AM1470">
        <v>89.741326058739801</v>
      </c>
      <c r="AN1470">
        <v>1.00000000236271</v>
      </c>
    </row>
    <row r="1471" spans="1:40" x14ac:dyDescent="0.25">
      <c r="A1471" t="str">
        <f>"20190304164120548"</f>
        <v>20190304164120548</v>
      </c>
      <c r="B1471" t="str">
        <f>"1551688880542547"</f>
        <v>1551688880542547</v>
      </c>
      <c r="C1471" t="s">
        <v>40</v>
      </c>
      <c r="D1471">
        <v>4.6539960000000002</v>
      </c>
      <c r="E1471">
        <v>0.58440449999999999</v>
      </c>
      <c r="F1471" t="s">
        <v>41</v>
      </c>
      <c r="G1471">
        <v>-224.529</v>
      </c>
      <c r="H1471">
        <v>1.0319119999999999</v>
      </c>
      <c r="I1471">
        <v>367.2287</v>
      </c>
      <c r="J1471">
        <v>-225.18260000000001</v>
      </c>
      <c r="K1471">
        <v>1.109731</v>
      </c>
      <c r="L1471">
        <v>367.37369999999999</v>
      </c>
      <c r="M1471">
        <v>0.99989640000000002</v>
      </c>
      <c r="N1471">
        <v>-1.4159639999999999E-2</v>
      </c>
      <c r="O1471">
        <v>-2.5880220000000002E-3</v>
      </c>
      <c r="P1471">
        <v>0.955816</v>
      </c>
      <c r="Q1471">
        <v>0.29391479999999998</v>
      </c>
      <c r="R1471">
        <v>-5.4835229999999997E-3</v>
      </c>
      <c r="S1471">
        <v>3.2303470000000001</v>
      </c>
      <c r="T1471">
        <v>-0.3104285</v>
      </c>
      <c r="U1471">
        <v>-0.58209230000000001</v>
      </c>
      <c r="V1471">
        <v>3.679847E-3</v>
      </c>
      <c r="W1471">
        <v>0.30741249999999998</v>
      </c>
      <c r="X1471">
        <v>0.95156929999999995</v>
      </c>
      <c r="Y1471">
        <v>0.1739057</v>
      </c>
      <c r="Z1471">
        <v>-9.3050259999999992E-3</v>
      </c>
      <c r="AA1471">
        <v>0.98471830000000005</v>
      </c>
      <c r="AB1471">
        <v>29</v>
      </c>
      <c r="AC1471">
        <v>0.65359999999998297</v>
      </c>
      <c r="AD1471">
        <v>-7.7818999999999805E-2</v>
      </c>
      <c r="AE1471">
        <v>-0.14499999999998101</v>
      </c>
      <c r="AF1471">
        <v>0.141397417037917</v>
      </c>
      <c r="AG1471">
        <v>-7.7818999999999805E-2</v>
      </c>
      <c r="AH1471">
        <v>0.64525517834568902</v>
      </c>
      <c r="AI1471">
        <v>96.718849667808499</v>
      </c>
      <c r="AJ1471">
        <v>77.639911730236093</v>
      </c>
      <c r="AK1471">
        <v>0.66513402520689202</v>
      </c>
      <c r="AL1471">
        <v>72.096636386902006</v>
      </c>
      <c r="AM1471">
        <v>89.778430586877704</v>
      </c>
      <c r="AN1471">
        <v>1.0000000595663301</v>
      </c>
    </row>
    <row r="1472" spans="1:40" x14ac:dyDescent="0.25">
      <c r="A1472" t="str">
        <f>"20190304164120563"</f>
        <v>20190304164120563</v>
      </c>
      <c r="B1472" t="str">
        <f>"1551688880552307"</f>
        <v>1551688880552307</v>
      </c>
      <c r="C1472" t="s">
        <v>40</v>
      </c>
      <c r="D1472">
        <v>4.6462629999999896</v>
      </c>
      <c r="E1472">
        <v>0.58477500000000004</v>
      </c>
      <c r="F1472" t="s">
        <v>41</v>
      </c>
      <c r="G1472">
        <v>-224.27780000000001</v>
      </c>
      <c r="H1472">
        <v>1.0219529999999999</v>
      </c>
      <c r="I1472">
        <v>367.20870000000002</v>
      </c>
      <c r="J1472">
        <v>-224.98929999999999</v>
      </c>
      <c r="K1472">
        <v>1.1097349999999999</v>
      </c>
      <c r="L1472">
        <v>367.37240000000003</v>
      </c>
      <c r="M1472">
        <v>0.99989430000000001</v>
      </c>
      <c r="N1472">
        <v>-1.415785E-2</v>
      </c>
      <c r="O1472">
        <v>-3.3475279999999998E-3</v>
      </c>
      <c r="P1472">
        <v>0.9558101</v>
      </c>
      <c r="Q1472">
        <v>0.29393079999999999</v>
      </c>
      <c r="R1472">
        <v>-5.6687889999999996E-3</v>
      </c>
      <c r="S1472">
        <v>3.2317200000000001</v>
      </c>
      <c r="T1472">
        <v>-0.31357489999999999</v>
      </c>
      <c r="U1472">
        <v>-0.58901979999999998</v>
      </c>
      <c r="V1472">
        <v>3.1374670000000001E-3</v>
      </c>
      <c r="W1472">
        <v>0.30742750000000002</v>
      </c>
      <c r="X1472">
        <v>0.95156629999999998</v>
      </c>
      <c r="Y1472">
        <v>0.17510889999999901</v>
      </c>
      <c r="Z1472">
        <v>-9.3853059999999995E-3</v>
      </c>
      <c r="AA1472">
        <v>0.9845043</v>
      </c>
      <c r="AB1472">
        <v>29</v>
      </c>
      <c r="AC1472">
        <v>0.71149999999997204</v>
      </c>
      <c r="AD1472">
        <v>-8.7781999999999999E-2</v>
      </c>
      <c r="AE1472">
        <v>-0.16370000000000501</v>
      </c>
      <c r="AF1472">
        <v>0.15901825088889099</v>
      </c>
      <c r="AG1472">
        <v>-8.7781999999999999E-2</v>
      </c>
      <c r="AH1472">
        <v>0.70189717070306101</v>
      </c>
      <c r="AI1472">
        <v>96.954176620586594</v>
      </c>
      <c r="AJ1472">
        <v>77.234847819299901</v>
      </c>
      <c r="AK1472">
        <v>0.72501870450404504</v>
      </c>
      <c r="AL1472">
        <v>72.095731506588095</v>
      </c>
      <c r="AM1472">
        <v>89.811087292555101</v>
      </c>
      <c r="AN1472">
        <v>0.99999996737555696</v>
      </c>
    </row>
    <row r="1473" spans="1:40" x14ac:dyDescent="0.25">
      <c r="A1473" t="str">
        <f>"20190304164120573"</f>
        <v>20190304164120573</v>
      </c>
      <c r="B1473" t="str">
        <f>"1551688880562067"</f>
        <v>1551688880562067</v>
      </c>
      <c r="C1473" t="s">
        <v>40</v>
      </c>
      <c r="D1473">
        <v>4.6694519999999997</v>
      </c>
      <c r="E1473">
        <v>0.58487639999999996</v>
      </c>
      <c r="F1473" t="s">
        <v>41</v>
      </c>
      <c r="G1473">
        <v>-224.02459999999999</v>
      </c>
      <c r="H1473">
        <v>1.016022</v>
      </c>
      <c r="I1473">
        <v>367.19549999999998</v>
      </c>
      <c r="J1473">
        <v>-224.8389</v>
      </c>
      <c r="K1473">
        <v>1.109739</v>
      </c>
      <c r="L1473">
        <v>367.37119999999999</v>
      </c>
      <c r="M1473">
        <v>0.99989220000000001</v>
      </c>
      <c r="N1473">
        <v>-1.4156439999999999E-2</v>
      </c>
      <c r="O1473">
        <v>-3.9378999999999898E-3</v>
      </c>
      <c r="P1473">
        <v>0.9557464</v>
      </c>
      <c r="Q1473">
        <v>0.294132</v>
      </c>
      <c r="R1473">
        <v>-5.9896929999999999E-3</v>
      </c>
      <c r="S1473">
        <v>3.2317200000000001</v>
      </c>
      <c r="T1473">
        <v>-0.31391639999999998</v>
      </c>
      <c r="U1473">
        <v>-0.59255979999999997</v>
      </c>
      <c r="V1473">
        <v>2.8933930000000002E-3</v>
      </c>
      <c r="W1473">
        <v>0.30762709999999999</v>
      </c>
      <c r="X1473">
        <v>0.95150259999999998</v>
      </c>
      <c r="Y1473">
        <v>0.17556920000000001</v>
      </c>
      <c r="Z1473">
        <v>-9.3702309999999997E-3</v>
      </c>
      <c r="AA1473">
        <v>0.98442249999999998</v>
      </c>
      <c r="AB1473">
        <v>29</v>
      </c>
      <c r="AC1473">
        <v>0.81430000000000202</v>
      </c>
      <c r="AD1473">
        <v>-9.3716999999999995E-2</v>
      </c>
      <c r="AE1473">
        <v>-0.17570000000000599</v>
      </c>
      <c r="AF1473">
        <v>0.170335869215405</v>
      </c>
      <c r="AG1473">
        <v>-9.3716999999999995E-2</v>
      </c>
      <c r="AH1473">
        <v>0.80479988501583799</v>
      </c>
      <c r="AI1473">
        <v>96.499336842656504</v>
      </c>
      <c r="AJ1473">
        <v>78.049707793638902</v>
      </c>
      <c r="AK1473">
        <v>0.82794929757314994</v>
      </c>
      <c r="AL1473">
        <v>72.083713459372902</v>
      </c>
      <c r="AM1473">
        <v>89.825771683234706</v>
      </c>
      <c r="AN1473">
        <v>1.00000000109211</v>
      </c>
    </row>
    <row r="1474" spans="1:40" x14ac:dyDescent="0.25">
      <c r="A1474" t="str">
        <f>"20190304164120585"</f>
        <v>20190304164120585</v>
      </c>
      <c r="B1474" t="str">
        <f>"1551688880572803"</f>
        <v>1551688880572803</v>
      </c>
      <c r="C1474" t="s">
        <v>40</v>
      </c>
      <c r="D1474">
        <v>4.6746460000000001</v>
      </c>
      <c r="E1474">
        <v>0.58426869999999997</v>
      </c>
      <c r="F1474" t="s">
        <v>41</v>
      </c>
      <c r="G1474">
        <v>-224.01859999999999</v>
      </c>
      <c r="H1474">
        <v>1.0300769999999999</v>
      </c>
      <c r="I1474">
        <v>367.22039999999998</v>
      </c>
      <c r="J1474">
        <v>-224.7054</v>
      </c>
      <c r="K1474">
        <v>1.1097399999999999</v>
      </c>
      <c r="L1474">
        <v>367.37009999999998</v>
      </c>
      <c r="M1474">
        <v>0.99988999999999995</v>
      </c>
      <c r="N1474">
        <v>-1.415517E-2</v>
      </c>
      <c r="O1474">
        <v>-4.4625940000000003E-3</v>
      </c>
      <c r="P1474">
        <v>0.95564099999999996</v>
      </c>
      <c r="Q1474">
        <v>0.29446879999999998</v>
      </c>
      <c r="R1474">
        <v>-6.2148159999999997E-3</v>
      </c>
      <c r="S1474">
        <v>3.2317809999999998</v>
      </c>
      <c r="T1474">
        <v>-0.31384309999999999</v>
      </c>
      <c r="U1474">
        <v>-0.59414669999999903</v>
      </c>
      <c r="V1474">
        <v>2.6172330000000001E-3</v>
      </c>
      <c r="W1474">
        <v>0.3079615</v>
      </c>
      <c r="X1474">
        <v>0.9513952</v>
      </c>
      <c r="Y1474">
        <v>0.17551949999999999</v>
      </c>
      <c r="Z1474">
        <v>-9.3219960000000008E-3</v>
      </c>
      <c r="AA1474">
        <v>0.98443179999999997</v>
      </c>
      <c r="AB1474">
        <v>29</v>
      </c>
      <c r="AC1474">
        <v>0.68680000000000496</v>
      </c>
      <c r="AD1474">
        <v>-7.9662999999999803E-2</v>
      </c>
      <c r="AE1474">
        <v>-0.149699999999995</v>
      </c>
      <c r="AF1474">
        <v>0.144773841799993</v>
      </c>
      <c r="AG1474">
        <v>-7.9662999999999803E-2</v>
      </c>
      <c r="AH1474">
        <v>0.67874360739598005</v>
      </c>
      <c r="AI1474">
        <v>96.5481082041333</v>
      </c>
      <c r="AJ1474">
        <v>77.959426773097803</v>
      </c>
      <c r="AK1474">
        <v>0.69856892531763704</v>
      </c>
      <c r="AL1474">
        <v>72.063575769906706</v>
      </c>
      <c r="AM1474">
        <v>89.842383032172094</v>
      </c>
      <c r="AN1474">
        <v>0.99999998098693199</v>
      </c>
    </row>
    <row r="1475" spans="1:40" x14ac:dyDescent="0.25">
      <c r="A1475" t="str">
        <f>"20190304164120598"</f>
        <v>20190304164120598</v>
      </c>
      <c r="B1475" t="str">
        <f>"1551688880592323"</f>
        <v>1551688880592323</v>
      </c>
      <c r="C1475" t="s">
        <v>40</v>
      </c>
      <c r="D1475">
        <v>4.7871350000000001</v>
      </c>
      <c r="E1475">
        <v>0.58292900000000003</v>
      </c>
      <c r="F1475" t="s">
        <v>41</v>
      </c>
      <c r="G1475">
        <v>-223.76820000000001</v>
      </c>
      <c r="H1475">
        <v>1.0192650000000001</v>
      </c>
      <c r="I1475">
        <v>367.19889999999998</v>
      </c>
      <c r="J1475">
        <v>-224.54679999999999</v>
      </c>
      <c r="K1475">
        <v>1.1097410000000001</v>
      </c>
      <c r="L1475">
        <v>367.36880000000002</v>
      </c>
      <c r="M1475">
        <v>0.99988690000000002</v>
      </c>
      <c r="N1475">
        <v>-1.415363E-2</v>
      </c>
      <c r="O1475">
        <v>-5.0853809999999999E-3</v>
      </c>
      <c r="P1475">
        <v>0.95562970000000003</v>
      </c>
      <c r="Q1475">
        <v>0.29450019999999999</v>
      </c>
      <c r="R1475">
        <v>-6.4472849999999996E-3</v>
      </c>
      <c r="S1475">
        <v>3.2315369999999999</v>
      </c>
      <c r="T1475">
        <v>-0.31197419999999998</v>
      </c>
      <c r="U1475">
        <v>-0.59030150000000003</v>
      </c>
      <c r="V1475">
        <v>2.2531750000000001E-3</v>
      </c>
      <c r="W1475">
        <v>0.30799280000000001</v>
      </c>
      <c r="X1475">
        <v>0.95138599999999995</v>
      </c>
      <c r="Y1475">
        <v>0.17380670000000001</v>
      </c>
      <c r="Z1475">
        <v>-9.1308559999999997E-3</v>
      </c>
      <c r="AA1475">
        <v>0.98473750000000004</v>
      </c>
      <c r="AB1475">
        <v>29</v>
      </c>
      <c r="AC1475">
        <v>0.77859999999998297</v>
      </c>
      <c r="AD1475">
        <v>-9.0476000000000195E-2</v>
      </c>
      <c r="AE1475">
        <v>-0.16990000000004099</v>
      </c>
      <c r="AF1475">
        <v>0.163826291491007</v>
      </c>
      <c r="AG1475">
        <v>-9.0476000000000195E-2</v>
      </c>
      <c r="AH1475">
        <v>0.76953511017821596</v>
      </c>
      <c r="AI1475">
        <v>96.559927471680396</v>
      </c>
      <c r="AJ1475">
        <v>77.981725185915096</v>
      </c>
      <c r="AK1475">
        <v>0.79196543242536499</v>
      </c>
      <c r="AL1475">
        <v>72.061690796410005</v>
      </c>
      <c r="AM1475">
        <v>89.864306205219407</v>
      </c>
      <c r="AN1475">
        <v>0.99999998132270995</v>
      </c>
    </row>
    <row r="1476" spans="1:40" x14ac:dyDescent="0.25">
      <c r="A1476" t="str">
        <f>"20190304164120609"</f>
        <v>20190304164120609</v>
      </c>
      <c r="B1476" t="str">
        <f>"1551688880602084"</f>
        <v>1551688880602084</v>
      </c>
      <c r="C1476" t="s">
        <v>40</v>
      </c>
      <c r="D1476">
        <v>4.7769919999999999</v>
      </c>
      <c r="E1476">
        <v>0.5823914</v>
      </c>
      <c r="F1476" t="s">
        <v>41</v>
      </c>
      <c r="G1476">
        <v>-223.76150000000001</v>
      </c>
      <c r="H1476">
        <v>1.0339689999999999</v>
      </c>
      <c r="I1476">
        <v>367.2276</v>
      </c>
      <c r="J1476">
        <v>-224.39510000000001</v>
      </c>
      <c r="K1476">
        <v>1.1097440000000001</v>
      </c>
      <c r="L1476">
        <v>367.36739999999998</v>
      </c>
      <c r="M1476">
        <v>0.99988379999999999</v>
      </c>
      <c r="N1476">
        <v>-1.415217E-2</v>
      </c>
      <c r="O1476">
        <v>-5.6818299999999997E-3</v>
      </c>
      <c r="P1476">
        <v>0.9556287</v>
      </c>
      <c r="Q1476">
        <v>0.29449819999999999</v>
      </c>
      <c r="R1476">
        <v>-6.6893179999999997E-3</v>
      </c>
      <c r="S1476">
        <v>3.2314759999999998</v>
      </c>
      <c r="T1476">
        <v>-0.3118068</v>
      </c>
      <c r="U1476">
        <v>-0.58081050000000001</v>
      </c>
      <c r="V1476">
        <v>1.923969E-3</v>
      </c>
      <c r="W1476">
        <v>0.30799009999999999</v>
      </c>
      <c r="X1476">
        <v>0.9513876</v>
      </c>
      <c r="Y1476">
        <v>0.17044110000000001</v>
      </c>
      <c r="Z1476">
        <v>-8.8950319999999902E-3</v>
      </c>
      <c r="AA1476">
        <v>0.98532770000000003</v>
      </c>
      <c r="AB1476">
        <v>29</v>
      </c>
      <c r="AC1476">
        <v>0.63360000000000105</v>
      </c>
      <c r="AD1476">
        <v>-7.5774999999999898E-2</v>
      </c>
      <c r="AE1476">
        <v>-0.139799999999979</v>
      </c>
      <c r="AF1476">
        <v>0.13436479700735701</v>
      </c>
      <c r="AG1476">
        <v>-7.5774999999999898E-2</v>
      </c>
      <c r="AH1476">
        <v>0.625848332838713</v>
      </c>
      <c r="AI1476">
        <v>96.751152907915895</v>
      </c>
      <c r="AJ1476">
        <v>77.882973709165896</v>
      </c>
      <c r="AK1476">
        <v>0.64457884313466596</v>
      </c>
      <c r="AL1476">
        <v>72.061853456257296</v>
      </c>
      <c r="AM1476">
        <v>89.884132236596798</v>
      </c>
      <c r="AN1476">
        <v>0.99999998439424098</v>
      </c>
    </row>
    <row r="1477" spans="1:40" x14ac:dyDescent="0.25">
      <c r="A1477" t="str">
        <f>"20190304164120621"</f>
        <v>20190304164120621</v>
      </c>
      <c r="B1477" t="str">
        <f>"1551688880612819"</f>
        <v>1551688880612819</v>
      </c>
      <c r="C1477" t="s">
        <v>40</v>
      </c>
      <c r="D1477">
        <v>4.7646129999999998</v>
      </c>
      <c r="E1477">
        <v>0.58188689999999998</v>
      </c>
      <c r="F1477" t="s">
        <v>41</v>
      </c>
      <c r="G1477">
        <v>-223.5121</v>
      </c>
      <c r="H1477">
        <v>1.024489</v>
      </c>
      <c r="I1477">
        <v>367.20920000000001</v>
      </c>
      <c r="J1477">
        <v>-224.23429999999999</v>
      </c>
      <c r="K1477">
        <v>1.1097429999999999</v>
      </c>
      <c r="L1477">
        <v>367.36579999999998</v>
      </c>
      <c r="M1477">
        <v>0.99987999999999999</v>
      </c>
      <c r="N1477">
        <v>-1.4150630000000001E-2</v>
      </c>
      <c r="O1477">
        <v>-6.3134430000000002E-3</v>
      </c>
      <c r="P1477">
        <v>0.95565</v>
      </c>
      <c r="Q1477">
        <v>0.29442259999999998</v>
      </c>
      <c r="R1477">
        <v>-6.9748800000000001E-3</v>
      </c>
      <c r="S1477">
        <v>3.2314609999999999</v>
      </c>
      <c r="T1477">
        <v>-0.31226409999999999</v>
      </c>
      <c r="U1477">
        <v>-0.57754519999999998</v>
      </c>
      <c r="V1477">
        <v>1.6041040000000001E-3</v>
      </c>
      <c r="W1477">
        <v>0.30791380000000002</v>
      </c>
      <c r="X1477">
        <v>0.95141290000000001</v>
      </c>
      <c r="Y1477">
        <v>0.1688625</v>
      </c>
      <c r="Z1477">
        <v>-8.7682590000000005E-3</v>
      </c>
      <c r="AA1477">
        <v>0.9856007</v>
      </c>
      <c r="AB1477">
        <v>29</v>
      </c>
      <c r="AC1477">
        <v>0.72219999999998596</v>
      </c>
      <c r="AD1477">
        <v>-8.5253999999999899E-2</v>
      </c>
      <c r="AE1477">
        <v>-0.15659999999996899</v>
      </c>
      <c r="AF1477">
        <v>0.150039904397096</v>
      </c>
      <c r="AG1477">
        <v>-8.5253999999999899E-2</v>
      </c>
      <c r="AH1477">
        <v>0.71367575371384795</v>
      </c>
      <c r="AI1477">
        <v>96.667731198098494</v>
      </c>
      <c r="AJ1477">
        <v>78.127303979869694</v>
      </c>
      <c r="AK1477">
        <v>0.73424335125795903</v>
      </c>
      <c r="AL1477">
        <v>72.066448606345702</v>
      </c>
      <c r="AM1477">
        <v>89.903398091394706</v>
      </c>
      <c r="AN1477">
        <v>0.999999993833246</v>
      </c>
    </row>
    <row r="1478" spans="1:40" x14ac:dyDescent="0.25">
      <c r="A1478" t="str">
        <f>"20190304164120633"</f>
        <v>20190304164120633</v>
      </c>
      <c r="B1478" t="str">
        <f>"1551688880622580"</f>
        <v>1551688880622580</v>
      </c>
      <c r="C1478" t="s">
        <v>40</v>
      </c>
      <c r="D1478">
        <v>4.788494</v>
      </c>
      <c r="E1478">
        <v>0.58141299999999996</v>
      </c>
      <c r="F1478" t="s">
        <v>41</v>
      </c>
      <c r="G1478">
        <v>-223.50380000000001</v>
      </c>
      <c r="H1478">
        <v>1.039166</v>
      </c>
      <c r="I1478">
        <v>367.23559999999998</v>
      </c>
      <c r="J1478">
        <v>-224.0967</v>
      </c>
      <c r="K1478">
        <v>1.1097440000000001</v>
      </c>
      <c r="L1478">
        <v>367.36439999999999</v>
      </c>
      <c r="M1478">
        <v>0.99987649999999995</v>
      </c>
      <c r="N1478">
        <v>-1.414933E-2</v>
      </c>
      <c r="O1478">
        <v>-6.854471E-3</v>
      </c>
      <c r="P1478">
        <v>0.95565860000000002</v>
      </c>
      <c r="Q1478">
        <v>0.29438740000000002</v>
      </c>
      <c r="R1478">
        <v>-7.2766389999999997E-3</v>
      </c>
      <c r="S1478">
        <v>3.231277</v>
      </c>
      <c r="T1478">
        <v>-0.31244460000000002</v>
      </c>
      <c r="U1478">
        <v>-0.57461549999999995</v>
      </c>
      <c r="V1478">
        <v>1.387767E-3</v>
      </c>
      <c r="W1478">
        <v>0.30787799999999999</v>
      </c>
      <c r="X1478">
        <v>0.95142479999999996</v>
      </c>
      <c r="Y1478">
        <v>0.1674805</v>
      </c>
      <c r="Z1478">
        <v>-8.6531439999999998E-3</v>
      </c>
      <c r="AA1478">
        <v>0.98583739999999997</v>
      </c>
      <c r="AB1478">
        <v>29</v>
      </c>
      <c r="AC1478">
        <v>0.59289999999998599</v>
      </c>
      <c r="AD1478">
        <v>-7.0578000000000002E-2</v>
      </c>
      <c r="AE1478">
        <v>-0.12880000000001199</v>
      </c>
      <c r="AF1478">
        <v>0.123067253262176</v>
      </c>
      <c r="AG1478">
        <v>-7.0578000000000002E-2</v>
      </c>
      <c r="AH1478">
        <v>0.58584163263392797</v>
      </c>
      <c r="AI1478">
        <v>96.724103723019695</v>
      </c>
      <c r="AJ1478">
        <v>78.136426323694806</v>
      </c>
      <c r="AK1478">
        <v>0.60277460251463999</v>
      </c>
      <c r="AL1478">
        <v>72.068604077249006</v>
      </c>
      <c r="AM1478">
        <v>89.916427303915498</v>
      </c>
      <c r="AN1478">
        <v>0.99999996941814195</v>
      </c>
    </row>
    <row r="1479" spans="1:40" x14ac:dyDescent="0.25">
      <c r="A1479" t="str">
        <f>"20190304164120645"</f>
        <v>20190304164120645</v>
      </c>
      <c r="B1479" t="str">
        <f>"1551688880632339"</f>
        <v>1551688880632339</v>
      </c>
      <c r="C1479" t="s">
        <v>40</v>
      </c>
      <c r="D1479">
        <v>4.6582280000000003</v>
      </c>
      <c r="E1479">
        <v>0.58119259999999995</v>
      </c>
      <c r="F1479" t="s">
        <v>41</v>
      </c>
      <c r="G1479">
        <v>-223.25579999999999</v>
      </c>
      <c r="H1479">
        <v>1.0283500000000001</v>
      </c>
      <c r="I1479">
        <v>367.21539999999999</v>
      </c>
      <c r="J1479">
        <v>-223.9461</v>
      </c>
      <c r="K1479">
        <v>1.109742</v>
      </c>
      <c r="L1479">
        <v>367.36270000000002</v>
      </c>
      <c r="M1479">
        <v>0.99987210000000004</v>
      </c>
      <c r="N1479">
        <v>-1.4147899999999901E-2</v>
      </c>
      <c r="O1479">
        <v>-7.4465140000000004E-3</v>
      </c>
      <c r="P1479">
        <v>0.95566450000000003</v>
      </c>
      <c r="Q1479">
        <v>0.29435270000000002</v>
      </c>
      <c r="R1479">
        <v>-7.8598560000000001E-3</v>
      </c>
      <c r="S1479">
        <v>3.2311860000000001</v>
      </c>
      <c r="T1479">
        <v>-0.31281920000000002</v>
      </c>
      <c r="U1479">
        <v>-0.57211299999999998</v>
      </c>
      <c r="V1479">
        <v>1.40389799999999E-3</v>
      </c>
      <c r="W1479">
        <v>0.30784220000000001</v>
      </c>
      <c r="X1479">
        <v>0.95143639999999996</v>
      </c>
      <c r="Y1479">
        <v>0.16616810000000001</v>
      </c>
      <c r="Z1479">
        <v>-8.5417280000000002E-3</v>
      </c>
      <c r="AA1479">
        <v>0.98606039999999995</v>
      </c>
      <c r="AB1479">
        <v>28</v>
      </c>
      <c r="AC1479">
        <v>0.69030000000000702</v>
      </c>
      <c r="AD1479">
        <v>-8.1391999999999895E-2</v>
      </c>
      <c r="AE1479">
        <v>-0.14730000000002899</v>
      </c>
      <c r="AF1479">
        <v>0.140289656674598</v>
      </c>
      <c r="AG1479">
        <v>-8.1391999999999895E-2</v>
      </c>
      <c r="AH1479">
        <v>0.68230530576059201</v>
      </c>
      <c r="AI1479">
        <v>96.664527760989401</v>
      </c>
      <c r="AJ1479">
        <v>78.381267422791197</v>
      </c>
      <c r="AK1479">
        <v>0.70131759973847296</v>
      </c>
      <c r="AL1479">
        <v>72.070760673890405</v>
      </c>
      <c r="AM1479">
        <v>89.915456911372004</v>
      </c>
      <c r="AN1479">
        <v>1.00000000713769</v>
      </c>
    </row>
    <row r="1480" spans="1:40" x14ac:dyDescent="0.25">
      <c r="A1480" t="str">
        <f>"20190304164120655"</f>
        <v>20190304164120655</v>
      </c>
      <c r="B1480" t="str">
        <f>"1551688880642099"</f>
        <v>1551688880642099</v>
      </c>
      <c r="C1480" t="s">
        <v>40</v>
      </c>
      <c r="D1480">
        <v>4.6743600000000001</v>
      </c>
      <c r="E1480">
        <v>0.58095839999999999</v>
      </c>
      <c r="F1480" t="s">
        <v>41</v>
      </c>
      <c r="G1480">
        <v>-223.006</v>
      </c>
      <c r="H1480">
        <v>1.019029</v>
      </c>
      <c r="I1480">
        <v>367.19589999999999</v>
      </c>
      <c r="J1480">
        <v>-223.7979</v>
      </c>
      <c r="K1480">
        <v>1.1097429999999999</v>
      </c>
      <c r="L1480">
        <v>367.36099999999999</v>
      </c>
      <c r="M1480">
        <v>0.99986770000000003</v>
      </c>
      <c r="N1480">
        <v>-1.414644E-2</v>
      </c>
      <c r="O1480">
        <v>-8.0283019999999993E-3</v>
      </c>
      <c r="P1480">
        <v>0.95579519999999996</v>
      </c>
      <c r="Q1480">
        <v>0.29391230000000002</v>
      </c>
      <c r="R1480">
        <v>-8.4554030000000002E-3</v>
      </c>
      <c r="S1480">
        <v>3.2305299999999999</v>
      </c>
      <c r="T1480">
        <v>-0.31186329999999901</v>
      </c>
      <c r="U1480">
        <v>-0.57244869999999903</v>
      </c>
      <c r="V1480">
        <v>1.4400929999999999E-3</v>
      </c>
      <c r="W1480">
        <v>0.30740210000000001</v>
      </c>
      <c r="X1480">
        <v>0.95157860000000005</v>
      </c>
      <c r="Y1480">
        <v>0.16573669999999999</v>
      </c>
      <c r="Z1480">
        <v>-8.4497889999999992E-3</v>
      </c>
      <c r="AA1480">
        <v>0.98613379999999995</v>
      </c>
      <c r="AB1480">
        <v>28</v>
      </c>
      <c r="AC1480">
        <v>0.79190000000002603</v>
      </c>
      <c r="AD1480">
        <v>-9.0713999999999698E-2</v>
      </c>
      <c r="AE1480">
        <v>-0.165099999999995</v>
      </c>
      <c r="AF1480">
        <v>0.15676501198569601</v>
      </c>
      <c r="AG1480">
        <v>-9.0713999999999698E-2</v>
      </c>
      <c r="AH1480">
        <v>0.78334897841870299</v>
      </c>
      <c r="AI1480">
        <v>96.478263490905306</v>
      </c>
      <c r="AJ1480">
        <v>78.683371221875205</v>
      </c>
      <c r="AK1480">
        <v>0.80401487596219301</v>
      </c>
      <c r="AL1480">
        <v>72.097261083591903</v>
      </c>
      <c r="AM1480">
        <v>89.913290202181201</v>
      </c>
      <c r="AN1480">
        <v>0.99999997846510902</v>
      </c>
    </row>
    <row r="1481" spans="1:40" x14ac:dyDescent="0.25">
      <c r="A1481" t="str">
        <f>"20190304164120666"</f>
        <v>20190304164120666</v>
      </c>
      <c r="B1481" t="str">
        <f>"1551688880652835"</f>
        <v>1551688880652835</v>
      </c>
      <c r="C1481" t="s">
        <v>40</v>
      </c>
      <c r="D1481">
        <v>4.6519500000000003</v>
      </c>
      <c r="E1481">
        <v>0.58080690000000001</v>
      </c>
      <c r="F1481" t="s">
        <v>41</v>
      </c>
      <c r="G1481">
        <v>-222.999</v>
      </c>
      <c r="H1481">
        <v>1.032429</v>
      </c>
      <c r="I1481">
        <v>367.21910000000003</v>
      </c>
      <c r="J1481">
        <v>-223.6671</v>
      </c>
      <c r="K1481">
        <v>1.1097440000000001</v>
      </c>
      <c r="L1481">
        <v>367.35950000000003</v>
      </c>
      <c r="M1481">
        <v>0.99986359999999996</v>
      </c>
      <c r="N1481">
        <v>-1.4145130000000001E-2</v>
      </c>
      <c r="O1481">
        <v>-8.5403500000000004E-3</v>
      </c>
      <c r="P1481">
        <v>0.95584429999999998</v>
      </c>
      <c r="Q1481">
        <v>0.293736</v>
      </c>
      <c r="R1481">
        <v>-9.0053379999999999E-3</v>
      </c>
      <c r="S1481">
        <v>3.2298580000000001</v>
      </c>
      <c r="T1481">
        <v>-0.31279390000000001</v>
      </c>
      <c r="U1481">
        <v>-0.57290649999999999</v>
      </c>
      <c r="V1481">
        <v>1.498159E-3</v>
      </c>
      <c r="W1481">
        <v>0.30722509999999997</v>
      </c>
      <c r="X1481">
        <v>0.95163569999999997</v>
      </c>
      <c r="Y1481">
        <v>0.1654011</v>
      </c>
      <c r="Z1481">
        <v>-8.4119350000000006E-3</v>
      </c>
      <c r="AA1481">
        <v>0.98619049999999997</v>
      </c>
      <c r="AB1481">
        <v>28</v>
      </c>
      <c r="AC1481">
        <v>0.66809999999998104</v>
      </c>
      <c r="AD1481">
        <v>-7.7314999999999995E-2</v>
      </c>
      <c r="AE1481">
        <v>-0.140399999999999</v>
      </c>
      <c r="AF1481">
        <v>0.13298291922257799</v>
      </c>
      <c r="AG1481">
        <v>-7.7314999999999995E-2</v>
      </c>
      <c r="AH1481">
        <v>0.66079968400607603</v>
      </c>
      <c r="AI1481">
        <v>96.543373795045397</v>
      </c>
      <c r="AJ1481">
        <v>78.621470416811306</v>
      </c>
      <c r="AK1481">
        <v>0.67846760306774301</v>
      </c>
      <c r="AL1481">
        <v>72.107918660358806</v>
      </c>
      <c r="AM1481">
        <v>89.9097993940061</v>
      </c>
      <c r="AN1481">
        <v>1.0000000060324401</v>
      </c>
    </row>
    <row r="1482" spans="1:40" x14ac:dyDescent="0.25">
      <c r="A1482" t="str">
        <f>"20190304164120681"</f>
        <v>20190304164120681</v>
      </c>
      <c r="B1482" t="str">
        <f>"1551688880672356"</f>
        <v>1551688880672356</v>
      </c>
      <c r="C1482" t="s">
        <v>40</v>
      </c>
      <c r="D1482">
        <v>4.726343</v>
      </c>
      <c r="E1482">
        <v>0.58038809999999996</v>
      </c>
      <c r="F1482" t="s">
        <v>41</v>
      </c>
      <c r="G1482">
        <v>-222.751</v>
      </c>
      <c r="H1482">
        <v>1.0210440000000001</v>
      </c>
      <c r="I1482">
        <v>367.19670000000002</v>
      </c>
      <c r="J1482">
        <v>-223.47620000000001</v>
      </c>
      <c r="K1482">
        <v>1.1097410000000001</v>
      </c>
      <c r="L1482">
        <v>367.35700000000003</v>
      </c>
      <c r="M1482">
        <v>0.99985679999999999</v>
      </c>
      <c r="N1482">
        <v>-1.414316E-2</v>
      </c>
      <c r="O1482">
        <v>-9.2859880000000002E-3</v>
      </c>
      <c r="P1482">
        <v>0.95614500000000002</v>
      </c>
      <c r="Q1482">
        <v>0.29272550000000003</v>
      </c>
      <c r="R1482">
        <v>-9.9281109999999999E-3</v>
      </c>
      <c r="S1482">
        <v>3.2293090000000002</v>
      </c>
      <c r="T1482">
        <v>-0.31276599999999999</v>
      </c>
      <c r="U1482">
        <v>-0.57351680000000005</v>
      </c>
      <c r="V1482">
        <v>1.700011E-3</v>
      </c>
      <c r="W1482">
        <v>0.30621710000000002</v>
      </c>
      <c r="X1482">
        <v>0.95196020000000003</v>
      </c>
      <c r="Y1482">
        <v>0.16488039999999901</v>
      </c>
      <c r="Z1482">
        <v>-8.3225130000000001E-3</v>
      </c>
      <c r="AA1482">
        <v>0.98627849999999995</v>
      </c>
      <c r="AB1482">
        <v>28</v>
      </c>
      <c r="AC1482">
        <v>0.72520000000002904</v>
      </c>
      <c r="AD1482">
        <v>-8.8696999999999998E-2</v>
      </c>
      <c r="AE1482">
        <v>-0.16029999999994901</v>
      </c>
      <c r="AF1482">
        <v>0.151398941024247</v>
      </c>
      <c r="AG1482">
        <v>-8.8696999999999998E-2</v>
      </c>
      <c r="AH1482">
        <v>0.71643945582889601</v>
      </c>
      <c r="AI1482">
        <v>96.906447003278302</v>
      </c>
      <c r="AJ1482">
        <v>78.067731016280206</v>
      </c>
      <c r="AK1482">
        <v>0.73761391731763604</v>
      </c>
      <c r="AL1482">
        <v>72.168597683691303</v>
      </c>
      <c r="AM1482">
        <v>89.897681277133799</v>
      </c>
      <c r="AN1482">
        <v>1.0000000123769199</v>
      </c>
    </row>
    <row r="1483" spans="1:40" x14ac:dyDescent="0.25">
      <c r="A1483" t="str">
        <f>"20190304164120694"</f>
        <v>20190304164120694</v>
      </c>
      <c r="B1483" t="str">
        <f>"1551688880682115"</f>
        <v>1551688880682115</v>
      </c>
      <c r="C1483" t="s">
        <v>40</v>
      </c>
      <c r="D1483">
        <v>4.72241</v>
      </c>
      <c r="E1483">
        <v>0.58021840000000002</v>
      </c>
      <c r="F1483" t="s">
        <v>41</v>
      </c>
      <c r="G1483">
        <v>-222.7422</v>
      </c>
      <c r="H1483">
        <v>1.0377110000000001</v>
      </c>
      <c r="I1483">
        <v>367.22669999999999</v>
      </c>
      <c r="J1483">
        <v>-223.31379999999999</v>
      </c>
      <c r="K1483">
        <v>1.1097490000000001</v>
      </c>
      <c r="L1483">
        <v>367.35480000000001</v>
      </c>
      <c r="M1483">
        <v>0.99985100000000005</v>
      </c>
      <c r="N1483">
        <v>-1.414141E-2</v>
      </c>
      <c r="O1483">
        <v>-9.9087759999999993E-3</v>
      </c>
      <c r="P1483">
        <v>0.9561674</v>
      </c>
      <c r="Q1483">
        <v>0.29261949999999998</v>
      </c>
      <c r="R1483">
        <v>-1.086055E-2</v>
      </c>
      <c r="S1483">
        <v>3.2286830000000002</v>
      </c>
      <c r="T1483">
        <v>-0.31694909999999998</v>
      </c>
      <c r="U1483">
        <v>-0.57305909999999904</v>
      </c>
      <c r="V1483">
        <v>2.0305359999999999E-3</v>
      </c>
      <c r="W1483">
        <v>0.30610910000000002</v>
      </c>
      <c r="X1483">
        <v>0.95199429999999996</v>
      </c>
      <c r="Y1483">
        <v>0.1641485</v>
      </c>
      <c r="Z1483">
        <v>-8.3246729999999994E-3</v>
      </c>
      <c r="AA1483">
        <v>0.98640050000000001</v>
      </c>
      <c r="AB1483">
        <v>28</v>
      </c>
      <c r="AC1483">
        <v>0.57159999999998901</v>
      </c>
      <c r="AD1483">
        <v>-7.2037999999999797E-2</v>
      </c>
      <c r="AE1483">
        <v>-0.12810000000001701</v>
      </c>
      <c r="AF1483">
        <v>0.120605294660285</v>
      </c>
      <c r="AG1483">
        <v>-7.2037999999999797E-2</v>
      </c>
      <c r="AH1483">
        <v>0.56430698892912801</v>
      </c>
      <c r="AI1483">
        <v>97.115885862284699</v>
      </c>
      <c r="AJ1483">
        <v>77.936080700868303</v>
      </c>
      <c r="AK1483">
        <v>0.58153029869332995</v>
      </c>
      <c r="AL1483">
        <v>72.175098013424503</v>
      </c>
      <c r="AM1483">
        <v>89.877792370686393</v>
      </c>
      <c r="AN1483">
        <v>1.0000000257058701</v>
      </c>
    </row>
    <row r="1484" spans="1:40" x14ac:dyDescent="0.25">
      <c r="A1484" t="str">
        <f>"20190304164120706"</f>
        <v>20190304164120706</v>
      </c>
      <c r="B1484" t="str">
        <f>"1551688880692851"</f>
        <v>1551688880692851</v>
      </c>
      <c r="C1484" t="s">
        <v>40</v>
      </c>
      <c r="D1484">
        <v>4.711443</v>
      </c>
      <c r="E1484">
        <v>0.58010200000000001</v>
      </c>
      <c r="F1484" t="s">
        <v>41</v>
      </c>
      <c r="G1484">
        <v>-222.49359999999999</v>
      </c>
      <c r="H1484">
        <v>1.028994</v>
      </c>
      <c r="I1484">
        <v>367.20859999999999</v>
      </c>
      <c r="J1484">
        <v>-223.16</v>
      </c>
      <c r="K1484">
        <v>1.1097669999999999</v>
      </c>
      <c r="L1484">
        <v>367.3526</v>
      </c>
      <c r="M1484">
        <v>0.99984510000000004</v>
      </c>
      <c r="N1484">
        <v>-1.413975E-2</v>
      </c>
      <c r="O1484">
        <v>-1.048895E-2</v>
      </c>
      <c r="P1484">
        <v>0.95622529999999994</v>
      </c>
      <c r="Q1484">
        <v>0.2923924</v>
      </c>
      <c r="R1484">
        <v>-1.1834259999999999E-2</v>
      </c>
      <c r="S1484">
        <v>3.228348</v>
      </c>
      <c r="T1484">
        <v>-0.31811879999999998</v>
      </c>
      <c r="U1484">
        <v>-0.57467650000000003</v>
      </c>
      <c r="V1484">
        <v>2.4401840000000002E-3</v>
      </c>
      <c r="W1484">
        <v>0.30588070000000001</v>
      </c>
      <c r="X1484">
        <v>0.95206670000000004</v>
      </c>
      <c r="Y1484">
        <v>0.16406950000000001</v>
      </c>
      <c r="Z1484">
        <v>-8.297904E-3</v>
      </c>
      <c r="AA1484">
        <v>0.98641389999999995</v>
      </c>
      <c r="AB1484">
        <v>28</v>
      </c>
      <c r="AC1484">
        <v>0.66640000000000998</v>
      </c>
      <c r="AD1484">
        <v>-8.07729999999999E-2</v>
      </c>
      <c r="AE1484">
        <v>-0.14400000000000501</v>
      </c>
      <c r="AF1484">
        <v>0.13510520731651601</v>
      </c>
      <c r="AG1484">
        <v>-8.07729999999999E-2</v>
      </c>
      <c r="AH1484">
        <v>0.65862937930661403</v>
      </c>
      <c r="AI1484">
        <v>96.850481360523602</v>
      </c>
      <c r="AJ1484">
        <v>78.4076789263016</v>
      </c>
      <c r="AK1484">
        <v>0.67717822902014102</v>
      </c>
      <c r="AL1484">
        <v>72.188842850457206</v>
      </c>
      <c r="AM1484">
        <v>89.853149009111903</v>
      </c>
      <c r="AN1484">
        <v>0.99999997918966599</v>
      </c>
    </row>
    <row r="1485" spans="1:40" x14ac:dyDescent="0.25">
      <c r="A1485" t="str">
        <f>"20190304164120722"</f>
        <v>20190304164120722</v>
      </c>
      <c r="B1485" t="str">
        <f>"1551688880712371"</f>
        <v>1551688880712371</v>
      </c>
      <c r="C1485" t="s">
        <v>40</v>
      </c>
      <c r="D1485">
        <v>4.7294169999999998</v>
      </c>
      <c r="E1485">
        <v>0.57985140000000002</v>
      </c>
      <c r="F1485" t="s">
        <v>41</v>
      </c>
      <c r="G1485">
        <v>-222.2448</v>
      </c>
      <c r="H1485">
        <v>1.0192369999999999</v>
      </c>
      <c r="I1485">
        <v>367.18900000000002</v>
      </c>
      <c r="J1485">
        <v>-222.959</v>
      </c>
      <c r="K1485">
        <v>1.109793</v>
      </c>
      <c r="L1485">
        <v>367.34969999999998</v>
      </c>
      <c r="M1485">
        <v>0.99983719999999998</v>
      </c>
      <c r="N1485">
        <v>-1.413755E-2</v>
      </c>
      <c r="O1485">
        <v>-1.1225890000000001E-2</v>
      </c>
      <c r="P1485">
        <v>0.95621540000000005</v>
      </c>
      <c r="Q1485">
        <v>0.29237160000000001</v>
      </c>
      <c r="R1485">
        <v>-1.3099070000000001E-2</v>
      </c>
      <c r="S1485">
        <v>3.2278440000000002</v>
      </c>
      <c r="T1485">
        <v>-0.31936059999999999</v>
      </c>
      <c r="U1485">
        <v>-0.57672119999999905</v>
      </c>
      <c r="V1485">
        <v>2.9835299999999999E-3</v>
      </c>
      <c r="W1485">
        <v>0.30585709999999999</v>
      </c>
      <c r="X1485">
        <v>0.95207269999999999</v>
      </c>
      <c r="Y1485">
        <v>0.16397149999999999</v>
      </c>
      <c r="Z1485">
        <v>-8.2582739999999995E-3</v>
      </c>
      <c r="AA1485">
        <v>0.98643049999999999</v>
      </c>
      <c r="AB1485">
        <v>28</v>
      </c>
      <c r="AC1485">
        <v>0.71420000000000505</v>
      </c>
      <c r="AD1485">
        <v>-9.0555999999999803E-2</v>
      </c>
      <c r="AE1485">
        <v>-0.16069999999996201</v>
      </c>
      <c r="AF1485">
        <v>0.150370583553815</v>
      </c>
      <c r="AG1485">
        <v>-9.0555999999999803E-2</v>
      </c>
      <c r="AH1485">
        <v>0.70516873731038698</v>
      </c>
      <c r="AI1485">
        <v>97.158510627911198</v>
      </c>
      <c r="AJ1485">
        <v>77.962508536151503</v>
      </c>
      <c r="AK1485">
        <v>0.72668744974317501</v>
      </c>
      <c r="AL1485">
        <v>72.1902624979341</v>
      </c>
      <c r="AM1485">
        <v>89.820451613110393</v>
      </c>
      <c r="AN1485">
        <v>0.99999994657847902</v>
      </c>
    </row>
    <row r="1486" spans="1:40" x14ac:dyDescent="0.25">
      <c r="A1486" t="str">
        <f>"20190304164120734"</f>
        <v>20190304164120734</v>
      </c>
      <c r="B1486" t="str">
        <f>"1551688880722132"</f>
        <v>1551688880722132</v>
      </c>
      <c r="C1486" t="s">
        <v>40</v>
      </c>
      <c r="D1486">
        <v>4.7339690000000001</v>
      </c>
      <c r="E1486">
        <v>0.57973299999999905</v>
      </c>
      <c r="F1486" t="s">
        <v>41</v>
      </c>
      <c r="G1486">
        <v>-221.9941</v>
      </c>
      <c r="H1486">
        <v>1.014116</v>
      </c>
      <c r="I1486">
        <v>367.17680000000001</v>
      </c>
      <c r="J1486">
        <v>-222.80350000000001</v>
      </c>
      <c r="K1486">
        <v>1.10982</v>
      </c>
      <c r="L1486">
        <v>367.34739999999999</v>
      </c>
      <c r="M1486">
        <v>0.99983100000000003</v>
      </c>
      <c r="N1486">
        <v>-1.413564E-2</v>
      </c>
      <c r="O1486">
        <v>-1.1764989999999999E-2</v>
      </c>
      <c r="P1486">
        <v>0.95602949999999998</v>
      </c>
      <c r="Q1486">
        <v>0.29292499999999999</v>
      </c>
      <c r="R1486">
        <v>-1.4248449999999999E-2</v>
      </c>
      <c r="S1486">
        <v>3.227325</v>
      </c>
      <c r="T1486">
        <v>-0.32010959999999899</v>
      </c>
      <c r="U1486">
        <v>-0.57778929999999995</v>
      </c>
      <c r="V1486">
        <v>3.6008450000000001E-3</v>
      </c>
      <c r="W1486">
        <v>0.30640499999999998</v>
      </c>
      <c r="X1486">
        <v>0.95189440000000003</v>
      </c>
      <c r="Y1486">
        <v>0.1637826</v>
      </c>
      <c r="Z1486">
        <v>-8.2192389999999997E-3</v>
      </c>
      <c r="AA1486">
        <v>0.98646219999999996</v>
      </c>
      <c r="AB1486">
        <v>28</v>
      </c>
      <c r="AC1486">
        <v>0.80940000000001</v>
      </c>
      <c r="AD1486">
        <v>-9.5703999999999997E-2</v>
      </c>
      <c r="AE1486">
        <v>-0.17059999999997899</v>
      </c>
      <c r="AF1486">
        <v>0.15893709820080201</v>
      </c>
      <c r="AG1486">
        <v>-9.5703999999999997E-2</v>
      </c>
      <c r="AH1486">
        <v>0.80063385688264999</v>
      </c>
      <c r="AI1486">
        <v>96.687248430946696</v>
      </c>
      <c r="AJ1486">
        <v>78.771952993690704</v>
      </c>
      <c r="AK1486">
        <v>0.82184842251310497</v>
      </c>
      <c r="AL1486">
        <v>72.157287383462005</v>
      </c>
      <c r="AM1486">
        <v>89.783261423647303</v>
      </c>
      <c r="AN1486">
        <v>0.99999996943053604</v>
      </c>
    </row>
    <row r="1487" spans="1:40" x14ac:dyDescent="0.25">
      <c r="A1487" t="str">
        <f>"20190304164120748"</f>
        <v>20190304164120748</v>
      </c>
      <c r="B1487" t="str">
        <f>"1551688880732866"</f>
        <v>1551688880732866</v>
      </c>
      <c r="C1487" t="s">
        <v>40</v>
      </c>
      <c r="D1487">
        <v>4.7268939999999997</v>
      </c>
      <c r="E1487">
        <v>0.57960919999999905</v>
      </c>
      <c r="F1487" t="s">
        <v>41</v>
      </c>
      <c r="G1487">
        <v>-221.98699999999999</v>
      </c>
      <c r="H1487">
        <v>1.029134</v>
      </c>
      <c r="I1487">
        <v>367.2004</v>
      </c>
      <c r="J1487">
        <v>-222.64070000000001</v>
      </c>
      <c r="K1487">
        <v>1.1098490000000001</v>
      </c>
      <c r="L1487">
        <v>367.3449</v>
      </c>
      <c r="M1487">
        <v>0.99982439999999995</v>
      </c>
      <c r="N1487">
        <v>-1.4133629999999999E-2</v>
      </c>
      <c r="O1487">
        <v>-1.2312109999999999E-2</v>
      </c>
      <c r="P1487">
        <v>0.9559879</v>
      </c>
      <c r="Q1487">
        <v>0.29300359999999998</v>
      </c>
      <c r="R1487">
        <v>-1.537702E-2</v>
      </c>
      <c r="S1487">
        <v>3.2271269999999999</v>
      </c>
      <c r="T1487">
        <v>-0.31910169999999999</v>
      </c>
      <c r="U1487">
        <v>-0.57998660000000002</v>
      </c>
      <c r="V1487">
        <v>4.1838810000000004E-3</v>
      </c>
      <c r="W1487">
        <v>0.30647990000000003</v>
      </c>
      <c r="X1487">
        <v>0.95186789999999999</v>
      </c>
      <c r="Y1487">
        <v>0.16391029999999901</v>
      </c>
      <c r="Z1487">
        <v>-8.1588370000000004E-3</v>
      </c>
      <c r="AA1487">
        <v>0.98644149999999997</v>
      </c>
      <c r="AB1487">
        <v>28</v>
      </c>
      <c r="AC1487">
        <v>0.65370000000001405</v>
      </c>
      <c r="AD1487">
        <v>-8.0714999999999995E-2</v>
      </c>
      <c r="AE1487">
        <v>-0.144499999999993</v>
      </c>
      <c r="AF1487">
        <v>0.134484996058438</v>
      </c>
      <c r="AG1487">
        <v>-8.0714999999999995E-2</v>
      </c>
      <c r="AH1487">
        <v>0.64603915522292699</v>
      </c>
      <c r="AI1487">
        <v>96.973557585552101</v>
      </c>
      <c r="AJ1487">
        <v>78.240763259497001</v>
      </c>
      <c r="AK1487">
        <v>0.664806524840868</v>
      </c>
      <c r="AL1487">
        <v>72.152778974897799</v>
      </c>
      <c r="AM1487">
        <v>89.748161294733407</v>
      </c>
      <c r="AN1487">
        <v>0.99999996650732004</v>
      </c>
    </row>
    <row r="1488" spans="1:40" x14ac:dyDescent="0.25">
      <c r="A1488" t="str">
        <f>"20190304164120760"</f>
        <v>20190304164120760</v>
      </c>
      <c r="B1488" t="str">
        <f>"1551688880752895"</f>
        <v>1551688880752895</v>
      </c>
      <c r="C1488" t="s">
        <v>40</v>
      </c>
      <c r="D1488">
        <v>4.6652009999999997</v>
      </c>
      <c r="E1488">
        <v>0.57948820000000001</v>
      </c>
      <c r="F1488" t="s">
        <v>41</v>
      </c>
      <c r="G1488">
        <v>-221.73830000000001</v>
      </c>
      <c r="H1488">
        <v>1.0204930000000001</v>
      </c>
      <c r="I1488">
        <v>367.18189999999998</v>
      </c>
      <c r="J1488">
        <v>-222.47389999999999</v>
      </c>
      <c r="K1488">
        <v>1.109883</v>
      </c>
      <c r="L1488">
        <v>367.34219999999999</v>
      </c>
      <c r="M1488">
        <v>0.99981759999999997</v>
      </c>
      <c r="N1488">
        <v>-1.413152E-2</v>
      </c>
      <c r="O1488">
        <v>-1.284984E-2</v>
      </c>
      <c r="P1488">
        <v>0.95590980000000003</v>
      </c>
      <c r="Q1488">
        <v>0.2931684</v>
      </c>
      <c r="R1488">
        <v>-1.7005200000000002E-2</v>
      </c>
      <c r="S1488">
        <v>3.2267299999999999</v>
      </c>
      <c r="T1488">
        <v>-0.31965830000000001</v>
      </c>
      <c r="U1488">
        <v>-0.58224489999999995</v>
      </c>
      <c r="V1488">
        <v>5.2721900000000004E-3</v>
      </c>
      <c r="W1488">
        <v>0.30664010000000003</v>
      </c>
      <c r="X1488">
        <v>0.95181099999999996</v>
      </c>
      <c r="Y1488">
        <v>0.16406789999999999</v>
      </c>
      <c r="Z1488">
        <v>-8.1346390000000008E-3</v>
      </c>
      <c r="AA1488">
        <v>0.9864155</v>
      </c>
      <c r="AB1488">
        <v>28</v>
      </c>
      <c r="AC1488">
        <v>0.73559999999997605</v>
      </c>
      <c r="AD1488">
        <v>-8.9389999999999803E-2</v>
      </c>
      <c r="AE1488">
        <v>-0.16030000000000599</v>
      </c>
      <c r="AF1488">
        <v>0.14873664582342899</v>
      </c>
      <c r="AG1488">
        <v>-8.9389999999999803E-2</v>
      </c>
      <c r="AH1488">
        <v>0.72734545961871699</v>
      </c>
      <c r="AI1488">
        <v>96.865771876094001</v>
      </c>
      <c r="AJ1488">
        <v>78.442784909994302</v>
      </c>
      <c r="AK1488">
        <v>0.74775970708427897</v>
      </c>
      <c r="AL1488">
        <v>72.143137675939201</v>
      </c>
      <c r="AM1488">
        <v>89.682635369358593</v>
      </c>
      <c r="AN1488">
        <v>1.0000000633182</v>
      </c>
    </row>
    <row r="1489" spans="1:40" x14ac:dyDescent="0.25">
      <c r="A1489" t="str">
        <f>"20190304164120773"</f>
        <v>20190304164120773</v>
      </c>
      <c r="B1489" t="str">
        <f>"1551688880762655"</f>
        <v>1551688880762655</v>
      </c>
      <c r="C1489" t="s">
        <v>40</v>
      </c>
      <c r="D1489">
        <v>4.7140899999999997</v>
      </c>
      <c r="E1489">
        <v>0.57942209999999905</v>
      </c>
      <c r="F1489" t="s">
        <v>41</v>
      </c>
      <c r="G1489">
        <v>-221.73009999999999</v>
      </c>
      <c r="H1489">
        <v>1.036184</v>
      </c>
      <c r="I1489">
        <v>367.20699999999999</v>
      </c>
      <c r="J1489">
        <v>-222.3125</v>
      </c>
      <c r="K1489">
        <v>1.109923</v>
      </c>
      <c r="L1489">
        <v>367.33960000000002</v>
      </c>
      <c r="M1489">
        <v>0.99981149999999996</v>
      </c>
      <c r="N1489">
        <v>-1.412946E-2</v>
      </c>
      <c r="O1489">
        <v>-1.331708E-2</v>
      </c>
      <c r="P1489">
        <v>0.95586349999999998</v>
      </c>
      <c r="Q1489">
        <v>0.29324450000000002</v>
      </c>
      <c r="R1489">
        <v>-1.8232970000000001E-2</v>
      </c>
      <c r="S1489">
        <v>3.2260439999999999</v>
      </c>
      <c r="T1489">
        <v>-0.31982640000000001</v>
      </c>
      <c r="U1489">
        <v>-0.58557130000000002</v>
      </c>
      <c r="V1489">
        <v>6.0212349999999998E-3</v>
      </c>
      <c r="W1489">
        <v>0.30671359999999998</v>
      </c>
      <c r="X1489">
        <v>0.95178280000000004</v>
      </c>
      <c r="Y1489">
        <v>0.1646261</v>
      </c>
      <c r="Z1489">
        <v>-8.1309880000000005E-3</v>
      </c>
      <c r="AA1489">
        <v>0.98632249999999999</v>
      </c>
      <c r="AB1489">
        <v>28</v>
      </c>
      <c r="AC1489">
        <v>0.58240000000000602</v>
      </c>
      <c r="AD1489">
        <v>-7.3738999999999999E-2</v>
      </c>
      <c r="AE1489">
        <v>-0.132600000000024</v>
      </c>
      <c r="AF1489">
        <v>0.122957644850498</v>
      </c>
      <c r="AG1489">
        <v>-7.3738999999999999E-2</v>
      </c>
      <c r="AH1489">
        <v>0.57534573085579199</v>
      </c>
      <c r="AI1489">
        <v>97.143884616683707</v>
      </c>
      <c r="AJ1489">
        <v>77.936736026032804</v>
      </c>
      <c r="AK1489">
        <v>0.59294074962188803</v>
      </c>
      <c r="AL1489">
        <v>72.138711941534794</v>
      </c>
      <c r="AM1489">
        <v>89.637536262803096</v>
      </c>
      <c r="AN1489">
        <v>0.99999999303586196</v>
      </c>
    </row>
    <row r="1490" spans="1:40" x14ac:dyDescent="0.25">
      <c r="A1490" t="str">
        <f>"20190304164120785"</f>
        <v>20190304164120785</v>
      </c>
      <c r="B1490" t="str">
        <f>"1551688880772415"</f>
        <v>1551688880772415</v>
      </c>
      <c r="C1490" t="s">
        <v>40</v>
      </c>
      <c r="D1490">
        <v>4.7043939999999997</v>
      </c>
      <c r="E1490">
        <v>0.57936279999999996</v>
      </c>
      <c r="F1490" t="s">
        <v>41</v>
      </c>
      <c r="G1490">
        <v>-221.48259999999999</v>
      </c>
      <c r="H1490">
        <v>1.027617</v>
      </c>
      <c r="I1490">
        <v>367.18799999999999</v>
      </c>
      <c r="J1490">
        <v>-222.16550000000001</v>
      </c>
      <c r="K1490">
        <v>1.1099669999999999</v>
      </c>
      <c r="L1490">
        <v>367.3372</v>
      </c>
      <c r="M1490">
        <v>0.99980610000000003</v>
      </c>
      <c r="N1490">
        <v>-1.4127580000000001E-2</v>
      </c>
      <c r="O1490">
        <v>-1.3718289999999999E-2</v>
      </c>
      <c r="P1490">
        <v>0.95587509999999998</v>
      </c>
      <c r="Q1490">
        <v>0.2931491</v>
      </c>
      <c r="R1490">
        <v>-1.914826E-2</v>
      </c>
      <c r="S1490">
        <v>3.2254939999999999</v>
      </c>
      <c r="T1490">
        <v>-0.32003880000000001</v>
      </c>
      <c r="U1490">
        <v>-0.58874510000000002</v>
      </c>
      <c r="V1490">
        <v>6.519319E-3</v>
      </c>
      <c r="W1490">
        <v>0.30661650000000001</v>
      </c>
      <c r="X1490">
        <v>0.95181079999999996</v>
      </c>
      <c r="Y1490">
        <v>0.16519639999999999</v>
      </c>
      <c r="Z1490">
        <v>-8.1342380000000002E-3</v>
      </c>
      <c r="AA1490">
        <v>0.98622719999999997</v>
      </c>
      <c r="AB1490">
        <v>28</v>
      </c>
      <c r="AC1490">
        <v>0.68290000000001705</v>
      </c>
      <c r="AD1490">
        <v>-8.2349999999999896E-2</v>
      </c>
      <c r="AE1490">
        <v>-0.14919999999995001</v>
      </c>
      <c r="AF1490">
        <v>0.13790283137006301</v>
      </c>
      <c r="AG1490">
        <v>-8.2349999999999896E-2</v>
      </c>
      <c r="AH1490">
        <v>0.67550724851591304</v>
      </c>
      <c r="AI1490">
        <v>96.811412418842295</v>
      </c>
      <c r="AJ1490">
        <v>78.461779546050195</v>
      </c>
      <c r="AK1490">
        <v>0.69434051890799198</v>
      </c>
      <c r="AL1490">
        <v>72.144556921827899</v>
      </c>
      <c r="AM1490">
        <v>89.607565260973999</v>
      </c>
      <c r="AN1490">
        <v>0.99999998929455602</v>
      </c>
    </row>
    <row r="1491" spans="1:40" x14ac:dyDescent="0.25">
      <c r="A1491" t="str">
        <f>"20190304164120796"</f>
        <v>20190304164120796</v>
      </c>
      <c r="B1491" t="str">
        <f>"1551688880782175"</f>
        <v>1551688880782175</v>
      </c>
      <c r="C1491" t="s">
        <v>40</v>
      </c>
      <c r="D1491">
        <v>4.7222499999999998</v>
      </c>
      <c r="E1491">
        <v>0.57928349999999995</v>
      </c>
      <c r="F1491" t="s">
        <v>41</v>
      </c>
      <c r="G1491">
        <v>-221.23519999999999</v>
      </c>
      <c r="H1491">
        <v>1.0175890000000001</v>
      </c>
      <c r="I1491">
        <v>367.16649999999998</v>
      </c>
      <c r="J1491">
        <v>-222.0206</v>
      </c>
      <c r="K1491">
        <v>1.1100190000000001</v>
      </c>
      <c r="L1491">
        <v>367.33479999999997</v>
      </c>
      <c r="M1491">
        <v>0.99980139999999995</v>
      </c>
      <c r="N1491">
        <v>-1.412564E-2</v>
      </c>
      <c r="O1491">
        <v>-1.4061529999999999E-2</v>
      </c>
      <c r="P1491">
        <v>0.95588799999999996</v>
      </c>
      <c r="Q1491">
        <v>0.29304029999999998</v>
      </c>
      <c r="R1491">
        <v>-2.013829E-2</v>
      </c>
      <c r="S1491">
        <v>3.2248839999999999</v>
      </c>
      <c r="T1491">
        <v>-0.32033260000000002</v>
      </c>
      <c r="U1491">
        <v>-0.59124759999999998</v>
      </c>
      <c r="V1491">
        <v>7.1413939999999997E-3</v>
      </c>
      <c r="W1491">
        <v>0.30650680000000002</v>
      </c>
      <c r="X1491">
        <v>0.95184170000000001</v>
      </c>
      <c r="Y1491">
        <v>0.16562859999999999</v>
      </c>
      <c r="Z1491">
        <v>-8.1365099999999996E-3</v>
      </c>
      <c r="AA1491">
        <v>0.98615459999999999</v>
      </c>
      <c r="AB1491">
        <v>28</v>
      </c>
      <c r="AC1491">
        <v>0.78540000000000898</v>
      </c>
      <c r="AD1491">
        <v>-9.2430000000000206E-2</v>
      </c>
      <c r="AE1491">
        <v>-0.16829999999998699</v>
      </c>
      <c r="AF1491">
        <v>0.155183425505067</v>
      </c>
      <c r="AG1491">
        <v>-9.2430000000000206E-2</v>
      </c>
      <c r="AH1491">
        <v>0.77739503204107896</v>
      </c>
      <c r="AI1491">
        <v>96.650469913420196</v>
      </c>
      <c r="AJ1491">
        <v>78.711016156694399</v>
      </c>
      <c r="AK1491">
        <v>0.79810289831176395</v>
      </c>
      <c r="AL1491">
        <v>72.151160776807799</v>
      </c>
      <c r="AM1491">
        <v>89.570134341897102</v>
      </c>
      <c r="AN1491">
        <v>1.0000000199066901</v>
      </c>
    </row>
    <row r="1492" spans="1:40" x14ac:dyDescent="0.25">
      <c r="A1492" t="str">
        <f>"20190304164120807"</f>
        <v>20190304164120807</v>
      </c>
      <c r="B1492" t="str">
        <f>"1551688880792911"</f>
        <v>1551688880792911</v>
      </c>
      <c r="C1492" t="s">
        <v>40</v>
      </c>
      <c r="D1492">
        <v>4.7094779999999998</v>
      </c>
      <c r="E1492">
        <v>0.57922669999999998</v>
      </c>
      <c r="F1492" t="s">
        <v>41</v>
      </c>
      <c r="G1492">
        <v>-221.22880000000001</v>
      </c>
      <c r="H1492">
        <v>1.031153</v>
      </c>
      <c r="I1492">
        <v>367.18880000000001</v>
      </c>
      <c r="J1492">
        <v>-221.88829999999999</v>
      </c>
      <c r="K1492">
        <v>1.1100779999999999</v>
      </c>
      <c r="L1492">
        <v>367.33260000000001</v>
      </c>
      <c r="M1492">
        <v>0.99979750000000001</v>
      </c>
      <c r="N1492">
        <v>-1.41239E-2</v>
      </c>
      <c r="O1492">
        <v>-1.43427E-2</v>
      </c>
      <c r="P1492">
        <v>0.95587330000000004</v>
      </c>
      <c r="Q1492">
        <v>0.29303309999999999</v>
      </c>
      <c r="R1492">
        <v>-2.093509E-2</v>
      </c>
      <c r="S1492">
        <v>3.2244109999999999</v>
      </c>
      <c r="T1492">
        <v>-0.32126939999999998</v>
      </c>
      <c r="U1492">
        <v>-0.59414669999999903</v>
      </c>
      <c r="V1492">
        <v>7.6309430000000003E-3</v>
      </c>
      <c r="W1492">
        <v>0.30649720000000003</v>
      </c>
      <c r="X1492">
        <v>0.95184100000000005</v>
      </c>
      <c r="Y1492">
        <v>0.16622770000000001</v>
      </c>
      <c r="Z1492">
        <v>-8.1665769999999995E-3</v>
      </c>
      <c r="AA1492">
        <v>0.98605359999999997</v>
      </c>
      <c r="AB1492">
        <v>28</v>
      </c>
      <c r="AC1492">
        <v>0.65949999999997999</v>
      </c>
      <c r="AD1492">
        <v>-7.8925000000000106E-2</v>
      </c>
      <c r="AE1492">
        <v>-0.14379999999999801</v>
      </c>
      <c r="AF1492">
        <v>0.132513545556638</v>
      </c>
      <c r="AG1492">
        <v>-7.8925000000000106E-2</v>
      </c>
      <c r="AH1492">
        <v>0.65257294791601805</v>
      </c>
      <c r="AI1492">
        <v>96.759466652459196</v>
      </c>
      <c r="AJ1492">
        <v>78.521409720741502</v>
      </c>
      <c r="AK1492">
        <v>0.67055234525933405</v>
      </c>
      <c r="AL1492">
        <v>72.151738760784497</v>
      </c>
      <c r="AM1492">
        <v>89.540667547602695</v>
      </c>
      <c r="AN1492">
        <v>1.0000000270899501</v>
      </c>
    </row>
    <row r="1493" spans="1:40" x14ac:dyDescent="0.25">
      <c r="A1493" t="str">
        <f>"20190304164120820"</f>
        <v>20190304164120820</v>
      </c>
      <c r="B1493" t="str">
        <f>"1551688880802671"</f>
        <v>1551688880802671</v>
      </c>
      <c r="C1493" t="s">
        <v>40</v>
      </c>
      <c r="D1493">
        <v>4.6984659999999998</v>
      </c>
      <c r="E1493">
        <v>0.57918709999999995</v>
      </c>
      <c r="F1493" t="s">
        <v>41</v>
      </c>
      <c r="G1493">
        <v>-220.98240000000001</v>
      </c>
      <c r="H1493">
        <v>1.0197419999999999</v>
      </c>
      <c r="I1493">
        <v>367.16480000000001</v>
      </c>
      <c r="J1493">
        <v>-221.7236</v>
      </c>
      <c r="K1493">
        <v>1.1101490000000001</v>
      </c>
      <c r="L1493">
        <v>367.32990000000001</v>
      </c>
      <c r="M1493">
        <v>0.99979309999999999</v>
      </c>
      <c r="N1493">
        <v>-1.412179E-2</v>
      </c>
      <c r="O1493">
        <v>-1.4649540000000001E-2</v>
      </c>
      <c r="P1493">
        <v>0.95590819999999999</v>
      </c>
      <c r="Q1493">
        <v>0.29284169999999998</v>
      </c>
      <c r="R1493">
        <v>-2.1995580000000001E-2</v>
      </c>
      <c r="S1493">
        <v>3.2240449999999998</v>
      </c>
      <c r="T1493">
        <v>-0.32171309999999997</v>
      </c>
      <c r="U1493">
        <v>-0.59671019999999997</v>
      </c>
      <c r="V1493">
        <v>8.3459899999999993E-3</v>
      </c>
      <c r="W1493">
        <v>0.3063052</v>
      </c>
      <c r="X1493">
        <v>0.95189679999999999</v>
      </c>
      <c r="Y1493">
        <v>0.1666995</v>
      </c>
      <c r="Z1493">
        <v>-8.1767179999999995E-3</v>
      </c>
      <c r="AA1493">
        <v>0.98597380000000001</v>
      </c>
      <c r="AB1493">
        <v>28</v>
      </c>
      <c r="AC1493">
        <v>0.74119999999999198</v>
      </c>
      <c r="AD1493">
        <v>-9.0407000000000098E-2</v>
      </c>
      <c r="AE1493">
        <v>-0.165099999999995</v>
      </c>
      <c r="AF1493">
        <v>0.15206750298278801</v>
      </c>
      <c r="AG1493">
        <v>-9.0407000000000098E-2</v>
      </c>
      <c r="AH1493">
        <v>0.73314744615807603</v>
      </c>
      <c r="AI1493">
        <v>96.884768257106003</v>
      </c>
      <c r="AJ1493">
        <v>78.282018934059096</v>
      </c>
      <c r="AK1493">
        <v>0.75419037975867098</v>
      </c>
      <c r="AL1493">
        <v>72.163295347549393</v>
      </c>
      <c r="AM1493">
        <v>89.4976579918509</v>
      </c>
      <c r="AN1493">
        <v>1.0000000244731699</v>
      </c>
    </row>
    <row r="1494" spans="1:40" x14ac:dyDescent="0.25">
      <c r="A1494" t="str">
        <f>"20190304164120831"</f>
        <v>20190304164120831</v>
      </c>
      <c r="B1494" t="str">
        <f>"1551688880822191"</f>
        <v>1551688880822191</v>
      </c>
      <c r="C1494" t="s">
        <v>40</v>
      </c>
      <c r="D1494">
        <v>4.746238</v>
      </c>
      <c r="E1494">
        <v>0.57929759999999997</v>
      </c>
      <c r="F1494" t="s">
        <v>41</v>
      </c>
      <c r="G1494">
        <v>-220.9743</v>
      </c>
      <c r="H1494">
        <v>1.035264</v>
      </c>
      <c r="I1494">
        <v>367.1902</v>
      </c>
      <c r="J1494">
        <v>-221.58029999999999</v>
      </c>
      <c r="K1494">
        <v>1.110212</v>
      </c>
      <c r="L1494">
        <v>367.32749999999999</v>
      </c>
      <c r="M1494">
        <v>0.99978999999999996</v>
      </c>
      <c r="N1494">
        <v>-1.4119939999999999E-2</v>
      </c>
      <c r="O1494">
        <v>-1.485447E-2</v>
      </c>
      <c r="P1494">
        <v>0.9558738</v>
      </c>
      <c r="Q1494">
        <v>0.29290860000000002</v>
      </c>
      <c r="R1494">
        <v>-2.2586060000000002E-2</v>
      </c>
      <c r="S1494">
        <v>3.2233580000000002</v>
      </c>
      <c r="T1494">
        <v>-0.32241540000000002</v>
      </c>
      <c r="U1494">
        <v>-0.59994510000000001</v>
      </c>
      <c r="V1494">
        <v>8.6944710000000005E-3</v>
      </c>
      <c r="W1494">
        <v>0.306371</v>
      </c>
      <c r="X1494">
        <v>0.95187250000000001</v>
      </c>
      <c r="Y1494">
        <v>0.167484299999999</v>
      </c>
      <c r="Z1494">
        <v>-8.2192059999999997E-3</v>
      </c>
      <c r="AA1494">
        <v>0.98584050000000001</v>
      </c>
      <c r="AB1494">
        <v>28</v>
      </c>
      <c r="AC1494">
        <v>0.60599999999999399</v>
      </c>
      <c r="AD1494">
        <v>-7.4948000000000001E-2</v>
      </c>
      <c r="AE1494">
        <v>-0.13729999999998199</v>
      </c>
      <c r="AF1494">
        <v>0.12644252376272</v>
      </c>
      <c r="AG1494">
        <v>-7.4948000000000001E-2</v>
      </c>
      <c r="AH1494">
        <v>0.59925426704316598</v>
      </c>
      <c r="AI1494">
        <v>96.976843707626102</v>
      </c>
      <c r="AJ1494">
        <v>78.085367759212602</v>
      </c>
      <c r="AK1494">
        <v>0.61701749658249405</v>
      </c>
      <c r="AL1494">
        <v>72.159334791878607</v>
      </c>
      <c r="AM1494">
        <v>89.476670835482395</v>
      </c>
      <c r="AN1494">
        <v>1.0000000198615999</v>
      </c>
    </row>
    <row r="1495" spans="1:40" x14ac:dyDescent="0.25">
      <c r="A1495" t="str">
        <f>"20190304164120843"</f>
        <v>20190304164120843</v>
      </c>
      <c r="B1495" t="str">
        <f>"1551688880832927"</f>
        <v>1551688880832927</v>
      </c>
      <c r="C1495" t="s">
        <v>40</v>
      </c>
      <c r="D1495">
        <v>4.8553189999999997</v>
      </c>
      <c r="E1495">
        <v>0.57929759999999997</v>
      </c>
      <c r="F1495" t="s">
        <v>41</v>
      </c>
      <c r="G1495">
        <v>-220.72839999999999</v>
      </c>
      <c r="H1495">
        <v>1.0251410000000001</v>
      </c>
      <c r="I1495">
        <v>367.16759999999999</v>
      </c>
      <c r="J1495">
        <v>-221.435</v>
      </c>
      <c r="K1495">
        <v>1.110279</v>
      </c>
      <c r="L1495">
        <v>367.32510000000002</v>
      </c>
      <c r="M1495">
        <v>0.99978730000000005</v>
      </c>
      <c r="N1495">
        <v>-1.411809E-2</v>
      </c>
      <c r="O1495">
        <v>-1.504317E-2</v>
      </c>
      <c r="P1495">
        <v>0.95579420000000004</v>
      </c>
      <c r="Q1495">
        <v>0.2931281</v>
      </c>
      <c r="R1495">
        <v>-2.3096930000000002E-2</v>
      </c>
      <c r="S1495">
        <v>3.2228850000000002</v>
      </c>
      <c r="T1495">
        <v>-0.32206360000000001</v>
      </c>
      <c r="U1495">
        <v>-0.60403439999999997</v>
      </c>
      <c r="V1495">
        <v>8.9786559999999998E-3</v>
      </c>
      <c r="W1495">
        <v>0.30658839999999998</v>
      </c>
      <c r="X1495">
        <v>0.95179990000000003</v>
      </c>
      <c r="Y1495">
        <v>0.1685295</v>
      </c>
      <c r="Z1495">
        <v>-8.2550490000000004E-3</v>
      </c>
      <c r="AA1495">
        <v>0.98566200000000004</v>
      </c>
      <c r="AB1495">
        <v>28</v>
      </c>
      <c r="AC1495">
        <v>0.706600000000008</v>
      </c>
      <c r="AD1495">
        <v>-8.5137999999999894E-2</v>
      </c>
      <c r="AE1495">
        <v>-0.15750000000002701</v>
      </c>
      <c r="AF1495">
        <v>0.14484827330983699</v>
      </c>
      <c r="AG1495">
        <v>-8.5137999999999894E-2</v>
      </c>
      <c r="AH1495">
        <v>0.69921894308980004</v>
      </c>
      <c r="AI1495">
        <v>96.799284799139201</v>
      </c>
      <c r="AJ1495">
        <v>78.296307807437003</v>
      </c>
      <c r="AK1495">
        <v>0.719122125720283</v>
      </c>
      <c r="AL1495">
        <v>72.146249638250197</v>
      </c>
      <c r="AM1495">
        <v>89.459525226171607</v>
      </c>
      <c r="AN1495">
        <v>1.0000000564590601</v>
      </c>
    </row>
    <row r="1496" spans="1:40" x14ac:dyDescent="0.25">
      <c r="A1496" t="str">
        <f>"20190304164120854"</f>
        <v>20190304164120854</v>
      </c>
      <c r="B1496" t="str">
        <f>"1551688880842217"</f>
        <v>1551688880842217</v>
      </c>
      <c r="C1496" t="s">
        <v>40</v>
      </c>
      <c r="D1496">
        <v>4.8063219999999998</v>
      </c>
      <c r="E1496">
        <v>0.6016089</v>
      </c>
      <c r="F1496" t="s">
        <v>41</v>
      </c>
      <c r="G1496">
        <v>-220.4819</v>
      </c>
      <c r="H1496">
        <v>1.0155289999999999</v>
      </c>
      <c r="I1496">
        <v>367.14510000000001</v>
      </c>
      <c r="J1496">
        <v>-221.2841</v>
      </c>
      <c r="K1496">
        <v>1.1103459999999901</v>
      </c>
      <c r="L1496">
        <v>367.3227</v>
      </c>
      <c r="M1496">
        <v>0.99978529999999999</v>
      </c>
      <c r="N1496">
        <v>-1.411624E-2</v>
      </c>
      <c r="O1496">
        <v>-1.516964E-2</v>
      </c>
      <c r="P1496">
        <v>0.95578249999999998</v>
      </c>
      <c r="Q1496">
        <v>0.29312080000000001</v>
      </c>
      <c r="R1496">
        <v>-2.3671629999999999E-2</v>
      </c>
      <c r="S1496">
        <v>3.2224430000000002</v>
      </c>
      <c r="T1496">
        <v>-0.32071509999999998</v>
      </c>
      <c r="U1496">
        <v>-0.60723879999999997</v>
      </c>
      <c r="V1496">
        <v>9.3836000000000006E-3</v>
      </c>
      <c r="W1496">
        <v>0.30658069999999998</v>
      </c>
      <c r="X1496">
        <v>0.95179840000000004</v>
      </c>
      <c r="Y1496">
        <v>0.16937849999999999</v>
      </c>
      <c r="Z1496">
        <v>-8.2638920000000001E-3</v>
      </c>
      <c r="AA1496">
        <v>0.98551639999999996</v>
      </c>
      <c r="AB1496">
        <v>28</v>
      </c>
      <c r="AC1496">
        <v>0.80219999999999902</v>
      </c>
      <c r="AD1496">
        <v>-9.4816999999999693E-2</v>
      </c>
      <c r="AE1496">
        <v>-0.17759999999998399</v>
      </c>
      <c r="AF1496">
        <v>0.16323536023063001</v>
      </c>
      <c r="AG1496">
        <v>-9.4816999999999693E-2</v>
      </c>
      <c r="AH1496">
        <v>0.79422490691499104</v>
      </c>
      <c r="AI1496">
        <v>96.669805002146205</v>
      </c>
      <c r="AJ1496">
        <v>78.385851370439596</v>
      </c>
      <c r="AK1496">
        <v>0.81635117999715701</v>
      </c>
      <c r="AL1496">
        <v>72.146711834104195</v>
      </c>
      <c r="AM1496">
        <v>89.435150070867905</v>
      </c>
      <c r="AN1496">
        <v>0.99999998590200501</v>
      </c>
    </row>
    <row r="1497" spans="1:40" x14ac:dyDescent="0.25">
      <c r="A1497" t="str">
        <f>"20190304164120866"</f>
        <v>20190304164120866</v>
      </c>
      <c r="B1497" t="str">
        <f>"1551688880862714"</f>
        <v>1551688880862714</v>
      </c>
      <c r="C1497" t="s">
        <v>40</v>
      </c>
      <c r="D1497">
        <v>4.8521679999999998</v>
      </c>
      <c r="E1497">
        <v>0.60451279999999996</v>
      </c>
      <c r="F1497" t="s">
        <v>42</v>
      </c>
      <c r="G1497">
        <v>-210.85489999999999</v>
      </c>
      <c r="H1497" s="1">
        <v>-4.7639689999999998E-6</v>
      </c>
      <c r="I1497">
        <v>364.77690000000001</v>
      </c>
      <c r="J1497">
        <v>-221.1438</v>
      </c>
      <c r="K1497">
        <v>1.1104039999999999</v>
      </c>
      <c r="L1497">
        <v>367.32049999999998</v>
      </c>
      <c r="M1497">
        <v>0.99978389999999995</v>
      </c>
      <c r="N1497">
        <v>-1.411457E-2</v>
      </c>
      <c r="O1497">
        <v>-1.526491E-2</v>
      </c>
      <c r="P1497">
        <v>0.95585690000000001</v>
      </c>
      <c r="Q1497">
        <v>0.2928598</v>
      </c>
      <c r="R1497">
        <v>-2.3891389999999998E-2</v>
      </c>
      <c r="S1497">
        <v>3.224564</v>
      </c>
      <c r="T1497">
        <v>-0.34330270000000002</v>
      </c>
      <c r="U1497">
        <v>-0.78710939999999996</v>
      </c>
      <c r="V1497">
        <v>9.4679389999999999E-3</v>
      </c>
      <c r="W1497">
        <v>0.306320599999999</v>
      </c>
      <c r="X1497">
        <v>0.95188130000000004</v>
      </c>
      <c r="Y1497">
        <v>0.22099579999999999</v>
      </c>
      <c r="Z1497">
        <v>-1.1765060000000001E-2</v>
      </c>
      <c r="AA1497">
        <v>0.97520379999999995</v>
      </c>
      <c r="AB1497">
        <v>28</v>
      </c>
      <c r="AC1497">
        <v>10.2889</v>
      </c>
      <c r="AD1497">
        <v>-1.1104087639689999</v>
      </c>
      <c r="AE1497">
        <v>-2.5435999999999601</v>
      </c>
      <c r="AF1497">
        <v>2.3603206886309298</v>
      </c>
      <c r="AG1497">
        <v>-1.1104087639689999</v>
      </c>
      <c r="AH1497">
        <v>10.214413903433099</v>
      </c>
      <c r="AI1497">
        <v>96.046162547363807</v>
      </c>
      <c r="AJ1497">
        <v>76.988617740543802</v>
      </c>
      <c r="AK1497">
        <v>10.5422185884626</v>
      </c>
      <c r="AL1497">
        <v>72.162367627363807</v>
      </c>
      <c r="AM1497">
        <v>89.430123213065599</v>
      </c>
      <c r="AN1497">
        <v>0.99999998057147799</v>
      </c>
    </row>
    <row r="1498" spans="1:40" x14ac:dyDescent="0.25">
      <c r="A1498" t="str">
        <f>"20190304164120877"</f>
        <v>20190304164120877</v>
      </c>
      <c r="B1498" t="str">
        <f>"1551688880872473"</f>
        <v>1551688880872473</v>
      </c>
      <c r="C1498" t="s">
        <v>40</v>
      </c>
      <c r="D1498">
        <v>4.8593089999999997</v>
      </c>
      <c r="E1498">
        <v>0.60538349999999996</v>
      </c>
      <c r="F1498" t="s">
        <v>42</v>
      </c>
      <c r="G1498">
        <v>-211.11070000000001</v>
      </c>
      <c r="H1498" s="1">
        <v>-4.6501029999999996E-6</v>
      </c>
      <c r="I1498">
        <v>364.80040000000002</v>
      </c>
      <c r="J1498">
        <v>-220.99619999999999</v>
      </c>
      <c r="K1498">
        <v>1.11046</v>
      </c>
      <c r="L1498">
        <v>367.31810000000002</v>
      </c>
      <c r="M1498">
        <v>0.99978310000000004</v>
      </c>
      <c r="N1498">
        <v>-1.4112899999999999E-2</v>
      </c>
      <c r="O1498">
        <v>-1.532732E-2</v>
      </c>
      <c r="P1498">
        <v>0.95592109999999997</v>
      </c>
      <c r="Q1498">
        <v>0.29261819999999999</v>
      </c>
      <c r="R1498">
        <v>-2.428951E-2</v>
      </c>
      <c r="S1498">
        <v>3.2277369999999999</v>
      </c>
      <c r="T1498">
        <v>-0.35722520000000002</v>
      </c>
      <c r="U1498">
        <v>-0.81072999999999995</v>
      </c>
      <c r="V1498">
        <v>9.7637939999999993E-3</v>
      </c>
      <c r="W1498">
        <v>0.3060795</v>
      </c>
      <c r="X1498">
        <v>0.95195589999999997</v>
      </c>
      <c r="Y1498">
        <v>0.2273</v>
      </c>
      <c r="Z1498">
        <v>-1.253133E-2</v>
      </c>
      <c r="AA1498">
        <v>0.97374419999999995</v>
      </c>
      <c r="AB1498">
        <v>28</v>
      </c>
      <c r="AC1498">
        <v>9.8854999999999809</v>
      </c>
      <c r="AD1498">
        <v>-1.110464650103</v>
      </c>
      <c r="AE1498">
        <v>-2.5176999999999898</v>
      </c>
      <c r="AF1498">
        <v>2.3381637055403299</v>
      </c>
      <c r="AG1498">
        <v>-1.110464650103</v>
      </c>
      <c r="AH1498">
        <v>9.8067224794219303</v>
      </c>
      <c r="AI1498">
        <v>96.285652702445802</v>
      </c>
      <c r="AJ1498">
        <v>76.589645909367704</v>
      </c>
      <c r="AK1498">
        <v>10.1425808866103</v>
      </c>
      <c r="AL1498">
        <v>72.176879256659007</v>
      </c>
      <c r="AM1498">
        <v>89.412362933112703</v>
      </c>
      <c r="AN1498">
        <v>1.00000001376916</v>
      </c>
    </row>
    <row r="1499" spans="1:40" x14ac:dyDescent="0.25">
      <c r="A1499" t="str">
        <f>"20190304164120889"</f>
        <v>20190304164120889</v>
      </c>
      <c r="B1499" t="str">
        <f>"1551688880882234"</f>
        <v>1551688880882234</v>
      </c>
      <c r="C1499" t="s">
        <v>40</v>
      </c>
      <c r="D1499">
        <v>4.8573209999999998</v>
      </c>
      <c r="E1499">
        <v>0.60593350000000001</v>
      </c>
      <c r="F1499" t="s">
        <v>42</v>
      </c>
      <c r="G1499">
        <v>-210.99469999999999</v>
      </c>
      <c r="H1499" s="1">
        <v>-4.7037980000000001E-6</v>
      </c>
      <c r="I1499">
        <v>364.77820000000003</v>
      </c>
      <c r="J1499">
        <v>-220.85749999999999</v>
      </c>
      <c r="K1499">
        <v>1.110501</v>
      </c>
      <c r="L1499">
        <v>367.3159</v>
      </c>
      <c r="M1499">
        <v>0.99978259999999997</v>
      </c>
      <c r="N1499">
        <v>-1.4111250000000001E-2</v>
      </c>
      <c r="O1499">
        <v>-1.5358480000000001E-2</v>
      </c>
      <c r="P1499">
        <v>0.95590010000000003</v>
      </c>
      <c r="Q1499">
        <v>0.29267159999999998</v>
      </c>
      <c r="R1499">
        <v>-2.4463329999999998E-2</v>
      </c>
      <c r="S1499">
        <v>3.2271879999999999</v>
      </c>
      <c r="T1499">
        <v>-0.35831109999999999</v>
      </c>
      <c r="U1499">
        <v>-0.81954959999999899</v>
      </c>
      <c r="V1499">
        <v>9.8753629999999998E-3</v>
      </c>
      <c r="W1499">
        <v>0.30613220000000002</v>
      </c>
      <c r="X1499">
        <v>0.95193779999999995</v>
      </c>
      <c r="Y1499">
        <v>0.22978609999999999</v>
      </c>
      <c r="Z1499">
        <v>-1.271253E-2</v>
      </c>
      <c r="AA1499">
        <v>0.97315810000000003</v>
      </c>
      <c r="AB1499">
        <v>28</v>
      </c>
      <c r="AC1499">
        <v>9.8627999999999894</v>
      </c>
      <c r="AD1499">
        <v>-1.110505703798</v>
      </c>
      <c r="AE1499">
        <v>-2.5376999999999699</v>
      </c>
      <c r="AF1499">
        <v>2.3578716071609098</v>
      </c>
      <c r="AG1499">
        <v>-1.110505703798</v>
      </c>
      <c r="AH1499">
        <v>9.7842753728678993</v>
      </c>
      <c r="AI1499">
        <v>96.296561145636105</v>
      </c>
      <c r="AJ1499">
        <v>76.450871694347796</v>
      </c>
      <c r="AK1499">
        <v>10.1254543604784</v>
      </c>
      <c r="AL1499">
        <v>72.173707464255301</v>
      </c>
      <c r="AM1499">
        <v>89.405637296020103</v>
      </c>
      <c r="AN1499">
        <v>1.00000001087003</v>
      </c>
    </row>
    <row r="1500" spans="1:40" x14ac:dyDescent="0.25">
      <c r="A1500" t="str">
        <f>"20190304164120899"</f>
        <v>20190304164120899</v>
      </c>
      <c r="B1500" t="str">
        <f>"1551688880892970"</f>
        <v>1551688880892970</v>
      </c>
      <c r="C1500" t="s">
        <v>40</v>
      </c>
      <c r="D1500">
        <v>4.8514609999999996</v>
      </c>
      <c r="E1500">
        <v>0.60626469999999999</v>
      </c>
      <c r="F1500" t="s">
        <v>42</v>
      </c>
      <c r="G1500">
        <v>-210.84200000000001</v>
      </c>
      <c r="H1500" s="1">
        <v>-4.7732250000000004E-6</v>
      </c>
      <c r="I1500">
        <v>364.75599999999997</v>
      </c>
      <c r="J1500">
        <v>-220.72139999999999</v>
      </c>
      <c r="K1500">
        <v>1.1105400000000001</v>
      </c>
      <c r="L1500">
        <v>367.31380000000001</v>
      </c>
      <c r="M1500">
        <v>0.99978239999999996</v>
      </c>
      <c r="N1500">
        <v>-1.410958E-2</v>
      </c>
      <c r="O1500">
        <v>-1.537436E-2</v>
      </c>
      <c r="P1500">
        <v>0.95597030000000005</v>
      </c>
      <c r="Q1500">
        <v>0.2924466</v>
      </c>
      <c r="R1500">
        <v>-2.4413560000000001E-2</v>
      </c>
      <c r="S1500">
        <v>3.2268219999999999</v>
      </c>
      <c r="T1500">
        <v>-0.35778470000000001</v>
      </c>
      <c r="U1500">
        <v>-0.8247681</v>
      </c>
      <c r="V1500">
        <v>9.7800600000000001E-3</v>
      </c>
      <c r="W1500">
        <v>0.30590699999999998</v>
      </c>
      <c r="X1500">
        <v>0.95201119999999995</v>
      </c>
      <c r="Y1500">
        <v>0.23126930000000001</v>
      </c>
      <c r="Z1500">
        <v>-1.2785650000000001E-2</v>
      </c>
      <c r="AA1500">
        <v>0.9728057</v>
      </c>
      <c r="AB1500">
        <v>28</v>
      </c>
      <c r="AC1500">
        <v>9.8793999999999702</v>
      </c>
      <c r="AD1500">
        <v>-1.11054477322499</v>
      </c>
      <c r="AE1500">
        <v>-2.5578000000000398</v>
      </c>
      <c r="AF1500">
        <v>2.3774388527872001</v>
      </c>
      <c r="AG1500">
        <v>-1.11054477322499</v>
      </c>
      <c r="AH1500">
        <v>9.8014888696976392</v>
      </c>
      <c r="AI1500">
        <v>96.283570760600597</v>
      </c>
      <c r="AJ1500">
        <v>76.365715582340002</v>
      </c>
      <c r="AK1500">
        <v>10.1466600048925</v>
      </c>
      <c r="AL1500">
        <v>72.187261104630807</v>
      </c>
      <c r="AM1500">
        <v>89.411418216374202</v>
      </c>
      <c r="AN1500">
        <v>1.00000003357402</v>
      </c>
    </row>
    <row r="1501" spans="1:40" x14ac:dyDescent="0.25">
      <c r="A1501" t="str">
        <f>"20190304164120910"</f>
        <v>20190304164120910</v>
      </c>
      <c r="B1501" t="str">
        <f>"1551688880902730"</f>
        <v>1551688880902730</v>
      </c>
      <c r="C1501" t="s">
        <v>40</v>
      </c>
      <c r="D1501">
        <v>4.8584779999999999</v>
      </c>
      <c r="E1501">
        <v>0.60641940000000005</v>
      </c>
      <c r="F1501" t="s">
        <v>42</v>
      </c>
      <c r="G1501">
        <v>-210.75890000000001</v>
      </c>
      <c r="H1501" s="1">
        <v>-4.8082559999999998E-6</v>
      </c>
      <c r="I1501">
        <v>364.7595</v>
      </c>
      <c r="J1501">
        <v>-220.58850000000001</v>
      </c>
      <c r="K1501">
        <v>1.1105659999999999</v>
      </c>
      <c r="L1501">
        <v>367.31169999999997</v>
      </c>
      <c r="M1501">
        <v>0.99978239999999996</v>
      </c>
      <c r="N1501">
        <v>-1.410784E-2</v>
      </c>
      <c r="O1501">
        <v>-1.536826E-2</v>
      </c>
      <c r="P1501">
        <v>0.95603499999999997</v>
      </c>
      <c r="Q1501">
        <v>0.29225889999999999</v>
      </c>
      <c r="R1501">
        <v>-2.4129609999999999E-2</v>
      </c>
      <c r="S1501">
        <v>3.227112</v>
      </c>
      <c r="T1501">
        <v>-0.35973139999999998</v>
      </c>
      <c r="U1501">
        <v>-0.82739259999999903</v>
      </c>
      <c r="V1501">
        <v>9.4802930000000007E-3</v>
      </c>
      <c r="W1501">
        <v>0.30571949999999998</v>
      </c>
      <c r="X1501">
        <v>0.95207439999999999</v>
      </c>
      <c r="Y1501">
        <v>0.23197799999999999</v>
      </c>
      <c r="Z1501">
        <v>-1.2887020000000001E-2</v>
      </c>
      <c r="AA1501">
        <v>0.97263569999999999</v>
      </c>
      <c r="AB1501">
        <v>28</v>
      </c>
      <c r="AC1501">
        <v>9.8295999999999992</v>
      </c>
      <c r="AD1501">
        <v>-1.110570808256</v>
      </c>
      <c r="AE1501">
        <v>-2.5521999999999698</v>
      </c>
      <c r="AF1501">
        <v>2.3724480283828502</v>
      </c>
      <c r="AG1501">
        <v>-1.110570808256</v>
      </c>
      <c r="AH1501">
        <v>9.7510548111798503</v>
      </c>
      <c r="AI1501">
        <v>96.314888018060699</v>
      </c>
      <c r="AJ1501">
        <v>76.325531705632102</v>
      </c>
      <c r="AK1501">
        <v>10.096779045723499</v>
      </c>
      <c r="AL1501">
        <v>72.198543578668094</v>
      </c>
      <c r="AM1501">
        <v>89.429495398660407</v>
      </c>
      <c r="AN1501">
        <v>0.99999997588548695</v>
      </c>
    </row>
    <row r="1502" spans="1:40" x14ac:dyDescent="0.25">
      <c r="A1502" t="str">
        <f>"20190304164120924"</f>
        <v>20190304164120924</v>
      </c>
      <c r="B1502" t="str">
        <f>"1551688880912489"</f>
        <v>1551688880912489</v>
      </c>
      <c r="C1502" t="s">
        <v>40</v>
      </c>
      <c r="D1502">
        <v>4.858949</v>
      </c>
      <c r="E1502">
        <v>0.60678199999999904</v>
      </c>
      <c r="F1502" t="s">
        <v>42</v>
      </c>
      <c r="G1502">
        <v>-210.6884</v>
      </c>
      <c r="H1502" s="1">
        <v>-4.8362770000000002E-6</v>
      </c>
      <c r="I1502">
        <v>364.77199999999999</v>
      </c>
      <c r="J1502">
        <v>-220.4255</v>
      </c>
      <c r="K1502">
        <v>1.1105959999999999</v>
      </c>
      <c r="L1502">
        <v>367.30919999999998</v>
      </c>
      <c r="M1502">
        <v>0.99978270000000002</v>
      </c>
      <c r="N1502">
        <v>-1.4105660000000001E-2</v>
      </c>
      <c r="O1502">
        <v>-1.535271E-2</v>
      </c>
      <c r="P1502">
        <v>0.95612450000000004</v>
      </c>
      <c r="Q1502">
        <v>0.29199649999999999</v>
      </c>
      <c r="R1502">
        <v>-2.37512E-2</v>
      </c>
      <c r="S1502">
        <v>3.2277369999999999</v>
      </c>
      <c r="T1502">
        <v>-0.36207899999999998</v>
      </c>
      <c r="U1502">
        <v>-0.82800289999999999</v>
      </c>
      <c r="V1502">
        <v>9.0937050000000005E-3</v>
      </c>
      <c r="W1502">
        <v>0.30545709999999998</v>
      </c>
      <c r="X1502">
        <v>0.95216239999999996</v>
      </c>
      <c r="Y1502">
        <v>0.23210230000000001</v>
      </c>
      <c r="Z1502">
        <v>-1.296512E-2</v>
      </c>
      <c r="AA1502">
        <v>0.97260500000000005</v>
      </c>
      <c r="AB1502">
        <v>28</v>
      </c>
      <c r="AC1502">
        <v>9.7370999999999892</v>
      </c>
      <c r="AD1502">
        <v>-1.1106008362769999</v>
      </c>
      <c r="AE1502">
        <v>-2.5371999999999799</v>
      </c>
      <c r="AF1502">
        <v>2.3586613740136002</v>
      </c>
      <c r="AG1502">
        <v>-1.1106008362769999</v>
      </c>
      <c r="AH1502">
        <v>9.6572617819512896</v>
      </c>
      <c r="AI1502">
        <v>96.374526805074694</v>
      </c>
      <c r="AJ1502">
        <v>76.274943682605993</v>
      </c>
      <c r="AK1502">
        <v>10.0029706997441</v>
      </c>
      <c r="AL1502">
        <v>72.214333493759298</v>
      </c>
      <c r="AM1502">
        <v>89.452808600928293</v>
      </c>
      <c r="AN1502">
        <v>0.99999998569239801</v>
      </c>
    </row>
    <row r="1503" spans="1:40" x14ac:dyDescent="0.25">
      <c r="A1503" t="str">
        <f>"20190304164120937"</f>
        <v>20190304164120937</v>
      </c>
      <c r="B1503" t="str">
        <f>"1551688880932986"</f>
        <v>1551688880932986</v>
      </c>
      <c r="C1503" t="s">
        <v>40</v>
      </c>
      <c r="D1503">
        <v>4.8329420000000001</v>
      </c>
      <c r="E1503">
        <v>0.60738719999999902</v>
      </c>
      <c r="F1503" t="s">
        <v>42</v>
      </c>
      <c r="G1503">
        <v>-210.53120000000001</v>
      </c>
      <c r="H1503" s="1">
        <v>-4.9052120000000004E-6</v>
      </c>
      <c r="I1503">
        <v>364.7636</v>
      </c>
      <c r="J1503">
        <v>-220.25409999999999</v>
      </c>
      <c r="K1503">
        <v>1.110616</v>
      </c>
      <c r="L1503">
        <v>367.30650000000003</v>
      </c>
      <c r="M1503">
        <v>0.99978330000000004</v>
      </c>
      <c r="N1503">
        <v>-1.4103350000000001E-2</v>
      </c>
      <c r="O1503">
        <v>-1.532042E-2</v>
      </c>
      <c r="P1503">
        <v>0.95615629999999996</v>
      </c>
      <c r="Q1503">
        <v>0.29192600000000002</v>
      </c>
      <c r="R1503">
        <v>-2.334133E-2</v>
      </c>
      <c r="S1503">
        <v>3.2276760000000002</v>
      </c>
      <c r="T1503">
        <v>-0.3622937</v>
      </c>
      <c r="U1503">
        <v>-0.83038330000000005</v>
      </c>
      <c r="V1503">
        <v>8.7000669999999902E-3</v>
      </c>
      <c r="W1503">
        <v>0.30538539999999997</v>
      </c>
      <c r="X1503">
        <v>0.95218910000000001</v>
      </c>
      <c r="Y1503">
        <v>0.2328047</v>
      </c>
      <c r="Z1503">
        <v>-1.3017519999999999E-2</v>
      </c>
      <c r="AA1503">
        <v>0.97243639999999998</v>
      </c>
      <c r="AB1503">
        <v>28</v>
      </c>
      <c r="AC1503">
        <v>9.7228999999999797</v>
      </c>
      <c r="AD1503">
        <v>-1.110620905212</v>
      </c>
      <c r="AE1503">
        <v>-2.5429000000000301</v>
      </c>
      <c r="AF1503">
        <v>2.3647482384461598</v>
      </c>
      <c r="AG1503">
        <v>-1.110620905212</v>
      </c>
      <c r="AH1503">
        <v>9.6429559716054207</v>
      </c>
      <c r="AI1503">
        <v>96.382567775616906</v>
      </c>
      <c r="AJ1503">
        <v>76.221233721991894</v>
      </c>
      <c r="AK1503">
        <v>9.99060122798668</v>
      </c>
      <c r="AL1503">
        <v>72.218648156351605</v>
      </c>
      <c r="AM1503">
        <v>89.476508132893798</v>
      </c>
      <c r="AN1503">
        <v>1.00000000792888</v>
      </c>
    </row>
    <row r="1504" spans="1:40" x14ac:dyDescent="0.25">
      <c r="A1504" t="str">
        <f>"20190304164120951"</f>
        <v>20190304164120951</v>
      </c>
      <c r="B1504" t="str">
        <f>"1551688880942277"</f>
        <v>1551688880942277</v>
      </c>
      <c r="C1504" t="s">
        <v>40</v>
      </c>
      <c r="D1504">
        <v>4.8308809999999998</v>
      </c>
      <c r="E1504">
        <v>0.60752030000000001</v>
      </c>
      <c r="F1504" t="s">
        <v>42</v>
      </c>
      <c r="G1504">
        <v>-210.32730000000001</v>
      </c>
      <c r="H1504" s="1">
        <v>-4.9972150000000004E-6</v>
      </c>
      <c r="I1504">
        <v>364.73809999999997</v>
      </c>
      <c r="J1504">
        <v>-220.0942</v>
      </c>
      <c r="K1504">
        <v>1.1106290000000001</v>
      </c>
      <c r="L1504">
        <v>367.30399999999997</v>
      </c>
      <c r="M1504">
        <v>0.9997838</v>
      </c>
      <c r="N1504">
        <v>-1.4101219999999999E-2</v>
      </c>
      <c r="O1504">
        <v>-1.528707E-2</v>
      </c>
      <c r="P1504">
        <v>0.95599529999999999</v>
      </c>
      <c r="Q1504">
        <v>0.29254079999999999</v>
      </c>
      <c r="R1504">
        <v>-2.2208800000000001E-2</v>
      </c>
      <c r="S1504">
        <v>3.227417</v>
      </c>
      <c r="T1504">
        <v>-0.36108420000000002</v>
      </c>
      <c r="U1504">
        <v>-0.83505249999999998</v>
      </c>
      <c r="V1504">
        <v>7.5934430000000001E-3</v>
      </c>
      <c r="W1504">
        <v>0.30599559999999998</v>
      </c>
      <c r="X1504">
        <v>0.95200260000000003</v>
      </c>
      <c r="Y1504">
        <v>0.2341752</v>
      </c>
      <c r="Z1504">
        <v>-1.306766E-2</v>
      </c>
      <c r="AA1504">
        <v>0.97210660000000004</v>
      </c>
      <c r="AB1504">
        <v>28</v>
      </c>
      <c r="AC1504">
        <v>9.7668999999999908</v>
      </c>
      <c r="AD1504">
        <v>-1.1106339972149999</v>
      </c>
      <c r="AE1504">
        <v>-2.5659000000000498</v>
      </c>
      <c r="AF1504">
        <v>2.3873999043444498</v>
      </c>
      <c r="AG1504">
        <v>-1.1106339972149999</v>
      </c>
      <c r="AH1504">
        <v>9.6878034086895095</v>
      </c>
      <c r="AI1504">
        <v>96.351580598803594</v>
      </c>
      <c r="AJ1504">
        <v>76.1562390560197</v>
      </c>
      <c r="AK1504">
        <v>10.039258989808401</v>
      </c>
      <c r="AL1504">
        <v>72.181927636375093</v>
      </c>
      <c r="AM1504">
        <v>89.543002288404097</v>
      </c>
      <c r="AN1504">
        <v>0.99999995900135596</v>
      </c>
    </row>
    <row r="1505" spans="1:40" x14ac:dyDescent="0.25">
      <c r="A1505" t="str">
        <f>"20190304164120964"</f>
        <v>20190304164120964</v>
      </c>
      <c r="B1505" t="str">
        <f>"1551688880953014"</f>
        <v>1551688880953014</v>
      </c>
      <c r="C1505" t="s">
        <v>40</v>
      </c>
      <c r="D1505">
        <v>4.8506939999999998</v>
      </c>
      <c r="E1505">
        <v>0.60762629999999995</v>
      </c>
      <c r="F1505" t="s">
        <v>42</v>
      </c>
      <c r="G1505">
        <v>-210.09379999999999</v>
      </c>
      <c r="H1505" s="1">
        <v>-5.1002550000000003E-6</v>
      </c>
      <c r="I1505">
        <v>364.72199999999998</v>
      </c>
      <c r="J1505">
        <v>-219.9128</v>
      </c>
      <c r="K1505">
        <v>1.1106389999999999</v>
      </c>
      <c r="L1505">
        <v>367.30130000000003</v>
      </c>
      <c r="M1505">
        <v>0.99978440000000002</v>
      </c>
      <c r="N1505">
        <v>-1.409883E-2</v>
      </c>
      <c r="O1505">
        <v>-1.5251539999999999E-2</v>
      </c>
      <c r="P1505">
        <v>0.95597240000000006</v>
      </c>
      <c r="Q1505">
        <v>0.29264759999999901</v>
      </c>
      <c r="R1505">
        <v>-2.1790210000000001E-2</v>
      </c>
      <c r="S1505">
        <v>3.2284549999999999</v>
      </c>
      <c r="T1505">
        <v>-0.35854390000000003</v>
      </c>
      <c r="U1505">
        <v>-0.83355709999999905</v>
      </c>
      <c r="V1505">
        <v>7.2040589999999996E-3</v>
      </c>
      <c r="W1505">
        <v>0.30609999999999998</v>
      </c>
      <c r="X1505">
        <v>0.95197209999999999</v>
      </c>
      <c r="Y1505">
        <v>0.23373459999999999</v>
      </c>
      <c r="Z1505">
        <v>-1.296244E-2</v>
      </c>
      <c r="AA1505">
        <v>0.97221400000000002</v>
      </c>
      <c r="AB1505">
        <v>28</v>
      </c>
      <c r="AC1505">
        <v>9.8190000000000097</v>
      </c>
      <c r="AD1505">
        <v>-1.1106441002549901</v>
      </c>
      <c r="AE1505">
        <v>-2.5793000000000399</v>
      </c>
      <c r="AF1505">
        <v>2.40050003969395</v>
      </c>
      <c r="AG1505">
        <v>-1.1106441002549901</v>
      </c>
      <c r="AH1505">
        <v>9.7406202182212702</v>
      </c>
      <c r="AI1505">
        <v>96.317463870416105</v>
      </c>
      <c r="AJ1505">
        <v>76.1557715767552</v>
      </c>
      <c r="AK1505">
        <v>10.0933449853664</v>
      </c>
      <c r="AL1505">
        <v>72.175645107484399</v>
      </c>
      <c r="AM1505">
        <v>89.566421855128993</v>
      </c>
      <c r="AN1505">
        <v>0.99999999382224203</v>
      </c>
    </row>
    <row r="1506" spans="1:40" x14ac:dyDescent="0.25">
      <c r="A1506" t="str">
        <f>"20190304164120976"</f>
        <v>20190304164120976</v>
      </c>
      <c r="B1506" t="str">
        <f>"1551688880962774"</f>
        <v>1551688880962774</v>
      </c>
      <c r="C1506" t="s">
        <v>40</v>
      </c>
      <c r="D1506">
        <v>4.8521979999999996</v>
      </c>
      <c r="E1506">
        <v>0.60765069999999999</v>
      </c>
      <c r="F1506" t="s">
        <v>44</v>
      </c>
      <c r="G1506">
        <v>-209.9083</v>
      </c>
      <c r="H1506" s="1">
        <v>-6.0192679999999899E-6</v>
      </c>
      <c r="I1506">
        <v>364.71910000000003</v>
      </c>
      <c r="J1506">
        <v>-219.76900000000001</v>
      </c>
      <c r="K1506">
        <v>1.11063</v>
      </c>
      <c r="L1506">
        <v>367.29910000000001</v>
      </c>
      <c r="M1506">
        <v>0.99978449999999996</v>
      </c>
      <c r="N1506">
        <v>-1.409699E-2</v>
      </c>
      <c r="O1506">
        <v>-1.5237519999999999E-2</v>
      </c>
      <c r="P1506">
        <v>0.95596720000000002</v>
      </c>
      <c r="Q1506">
        <v>0.29267559999999998</v>
      </c>
      <c r="R1506">
        <v>-2.1626329999999999E-2</v>
      </c>
      <c r="S1506">
        <v>3.2288969999999999</v>
      </c>
      <c r="T1506">
        <v>-0.35845510000000003</v>
      </c>
      <c r="U1506">
        <v>-0.83337399999999995</v>
      </c>
      <c r="V1506">
        <v>7.0565309999999996E-3</v>
      </c>
      <c r="W1506">
        <v>0.30612630000000002</v>
      </c>
      <c r="X1506">
        <v>0.9519647</v>
      </c>
      <c r="Y1506">
        <v>0.2336657</v>
      </c>
      <c r="Z1506">
        <v>-1.295515E-2</v>
      </c>
      <c r="AA1506">
        <v>0.9722307</v>
      </c>
      <c r="AB1506">
        <v>28</v>
      </c>
      <c r="AC1506">
        <v>9.8606999999999996</v>
      </c>
      <c r="AD1506">
        <v>-1.110636019268</v>
      </c>
      <c r="AE1506">
        <v>-2.5799999999999801</v>
      </c>
      <c r="AF1506">
        <v>2.4009260014846801</v>
      </c>
      <c r="AG1506">
        <v>-1.110636019268</v>
      </c>
      <c r="AH1506">
        <v>9.7827187526288792</v>
      </c>
      <c r="AI1506">
        <v>96.291922425124298</v>
      </c>
      <c r="AJ1506">
        <v>76.210717311219796</v>
      </c>
      <c r="AK1506">
        <v>10.1340783609037</v>
      </c>
      <c r="AL1506">
        <v>72.174061401147199</v>
      </c>
      <c r="AM1506">
        <v>89.575297235911805</v>
      </c>
      <c r="AN1506">
        <v>0.99999994811376502</v>
      </c>
    </row>
    <row r="1507" spans="1:40" x14ac:dyDescent="0.25">
      <c r="A1507" t="str">
        <f>"20190304164120988"</f>
        <v>20190304164120988</v>
      </c>
      <c r="B1507" t="str">
        <f>"1551688880982294"</f>
        <v>1551688880982294</v>
      </c>
      <c r="C1507" t="s">
        <v>40</v>
      </c>
      <c r="D1507">
        <v>4.826651</v>
      </c>
      <c r="E1507">
        <v>0.60789399999999905</v>
      </c>
      <c r="F1507" t="s">
        <v>44</v>
      </c>
      <c r="G1507">
        <v>-209.79060000000001</v>
      </c>
      <c r="H1507" s="1">
        <v>-5.9791050000000004E-6</v>
      </c>
      <c r="I1507">
        <v>364.72410000000002</v>
      </c>
      <c r="J1507">
        <v>-219.6223</v>
      </c>
      <c r="K1507">
        <v>1.1106180000000001</v>
      </c>
      <c r="L1507">
        <v>367.29680000000002</v>
      </c>
      <c r="M1507">
        <v>0.99978449999999996</v>
      </c>
      <c r="N1507">
        <v>-1.4095130000000001E-2</v>
      </c>
      <c r="O1507">
        <v>-1.52385E-2</v>
      </c>
      <c r="P1507">
        <v>0.95594389999999996</v>
      </c>
      <c r="Q1507">
        <v>0.29276149999999901</v>
      </c>
      <c r="R1507">
        <v>-2.1489129999999999E-2</v>
      </c>
      <c r="S1507">
        <v>3.2293699999999999</v>
      </c>
      <c r="T1507">
        <v>-0.3594427</v>
      </c>
      <c r="U1507">
        <v>-0.83337399999999995</v>
      </c>
      <c r="V1507">
        <v>6.9256400000000003E-3</v>
      </c>
      <c r="W1507">
        <v>0.30620940000000002</v>
      </c>
      <c r="X1507">
        <v>0.95193899999999998</v>
      </c>
      <c r="Y1507">
        <v>0.23362350000000001</v>
      </c>
      <c r="Z1507">
        <v>-1.298096E-2</v>
      </c>
      <c r="AA1507">
        <v>0.97224049999999995</v>
      </c>
      <c r="AB1507">
        <v>28</v>
      </c>
      <c r="AC1507">
        <v>9.8316999999999801</v>
      </c>
      <c r="AD1507">
        <v>-1.1106239791050001</v>
      </c>
      <c r="AE1507">
        <v>-2.57269999999999</v>
      </c>
      <c r="AF1507">
        <v>2.3939747423929698</v>
      </c>
      <c r="AG1507">
        <v>-1.1106239791050001</v>
      </c>
      <c r="AH1507">
        <v>9.75328278085553</v>
      </c>
      <c r="AI1507">
        <v>96.310650396602995</v>
      </c>
      <c r="AJ1507">
        <v>76.209204296577994</v>
      </c>
      <c r="AK1507">
        <v>10.1040153252809</v>
      </c>
      <c r="AL1507">
        <v>72.169061087577703</v>
      </c>
      <c r="AM1507">
        <v>89.583163478327705</v>
      </c>
      <c r="AN1507">
        <v>1.00000001042938</v>
      </c>
    </row>
    <row r="1508" spans="1:40" x14ac:dyDescent="0.25">
      <c r="A1508" t="str">
        <f>"20190304164120997"</f>
        <v>20190304164120997</v>
      </c>
      <c r="B1508" t="str">
        <f>"1551688880993030"</f>
        <v>1551688880993030</v>
      </c>
      <c r="C1508" t="s">
        <v>40</v>
      </c>
      <c r="D1508">
        <v>4.8112170000000001</v>
      </c>
      <c r="E1508">
        <v>0.60806780000000005</v>
      </c>
      <c r="F1508" t="s">
        <v>44</v>
      </c>
      <c r="G1508">
        <v>-209.6336</v>
      </c>
      <c r="H1508" s="1">
        <v>-5.9280370000000002E-6</v>
      </c>
      <c r="I1508">
        <v>364.71460000000002</v>
      </c>
      <c r="J1508">
        <v>-219.4915</v>
      </c>
      <c r="K1508">
        <v>1.1106039999999999</v>
      </c>
      <c r="L1508">
        <v>367.29480000000001</v>
      </c>
      <c r="M1508">
        <v>0.99978440000000002</v>
      </c>
      <c r="N1508">
        <v>-1.409349E-2</v>
      </c>
      <c r="O1508">
        <v>-1.525265E-2</v>
      </c>
      <c r="P1508">
        <v>0.95600830000000003</v>
      </c>
      <c r="Q1508">
        <v>0.2925567</v>
      </c>
      <c r="R1508">
        <v>-2.1420580000000002E-2</v>
      </c>
      <c r="S1508">
        <v>3.2294459999999998</v>
      </c>
      <c r="T1508">
        <v>-0.35907549999999999</v>
      </c>
      <c r="U1508">
        <v>-0.83486939999999998</v>
      </c>
      <c r="V1508">
        <v>6.8520019999999899E-3</v>
      </c>
      <c r="W1508">
        <v>0.3060042</v>
      </c>
      <c r="X1508">
        <v>0.95200549999999995</v>
      </c>
      <c r="Y1508">
        <v>0.2340267</v>
      </c>
      <c r="Z1508">
        <v>-1.2992210000000001E-2</v>
      </c>
      <c r="AA1508">
        <v>0.97214339999999999</v>
      </c>
      <c r="AB1508">
        <v>28</v>
      </c>
      <c r="AC1508">
        <v>9.8579000000000008</v>
      </c>
      <c r="AD1508">
        <v>-1.1106099280370001</v>
      </c>
      <c r="AE1508">
        <v>-2.5801999999999898</v>
      </c>
      <c r="AF1508">
        <v>2.4010044408922702</v>
      </c>
      <c r="AG1508">
        <v>-1.1106099280370001</v>
      </c>
      <c r="AH1508">
        <v>9.7799367883339805</v>
      </c>
      <c r="AI1508">
        <v>96.293438679597003</v>
      </c>
      <c r="AJ1508">
        <v>76.206511225954102</v>
      </c>
      <c r="AK1508">
        <v>10.131408604989099</v>
      </c>
      <c r="AL1508">
        <v>72.181410750443007</v>
      </c>
      <c r="AM1508">
        <v>89.587624213430303</v>
      </c>
      <c r="AN1508">
        <v>0.99999999618964797</v>
      </c>
    </row>
    <row r="1509" spans="1:40" x14ac:dyDescent="0.25">
      <c r="A1509" t="str">
        <f>"20190304164121008"</f>
        <v>20190304164121008</v>
      </c>
      <c r="B1509" t="str">
        <f>"1551688881002791"</f>
        <v>1551688881002791</v>
      </c>
      <c r="C1509" t="s">
        <v>40</v>
      </c>
      <c r="D1509">
        <v>4.8209309999999999</v>
      </c>
      <c r="E1509">
        <v>0.60814630000000003</v>
      </c>
      <c r="F1509" t="s">
        <v>44</v>
      </c>
      <c r="G1509">
        <v>-209.52590000000001</v>
      </c>
      <c r="H1509" s="1">
        <v>-5.8917569999999999E-6</v>
      </c>
      <c r="I1509">
        <v>364.71600000000001</v>
      </c>
      <c r="J1509">
        <v>-219.37309999999999</v>
      </c>
      <c r="K1509">
        <v>1.11059</v>
      </c>
      <c r="L1509">
        <v>367.29300000000001</v>
      </c>
      <c r="M1509">
        <v>0.9997838</v>
      </c>
      <c r="N1509">
        <v>-1.409206E-2</v>
      </c>
      <c r="O1509">
        <v>-1.5288120000000001E-2</v>
      </c>
      <c r="P1509">
        <v>0.95600110000000005</v>
      </c>
      <c r="Q1509">
        <v>0.29257830000000001</v>
      </c>
      <c r="R1509">
        <v>-2.1441149999999999E-2</v>
      </c>
      <c r="S1509">
        <v>3.2294770000000002</v>
      </c>
      <c r="T1509">
        <v>-0.35990689999999997</v>
      </c>
      <c r="U1509">
        <v>-0.83569340000000003</v>
      </c>
      <c r="V1509">
        <v>6.8522230000000002E-3</v>
      </c>
      <c r="W1509">
        <v>0.30602370000000001</v>
      </c>
      <c r="X1509">
        <v>0.95199920000000005</v>
      </c>
      <c r="Y1509">
        <v>0.23421520000000001</v>
      </c>
      <c r="Z1509">
        <v>-1.3025460000000001E-2</v>
      </c>
      <c r="AA1509">
        <v>0.97209749999999995</v>
      </c>
      <c r="AB1509">
        <v>28</v>
      </c>
      <c r="AC1509">
        <v>9.8471999999999795</v>
      </c>
      <c r="AD1509">
        <v>-1.110595891757</v>
      </c>
      <c r="AE1509">
        <v>-2.5769999999999902</v>
      </c>
      <c r="AF1509">
        <v>2.3975960271046501</v>
      </c>
      <c r="AG1509">
        <v>-1.110595891757</v>
      </c>
      <c r="AH1509">
        <v>9.7691517150288796</v>
      </c>
      <c r="AI1509">
        <v>96.300364420893501</v>
      </c>
      <c r="AJ1509">
        <v>76.210718865948706</v>
      </c>
      <c r="AK1509">
        <v>10.1201884950443</v>
      </c>
      <c r="AL1509">
        <v>72.180236652283796</v>
      </c>
      <c r="AM1509">
        <v>89.587608184436704</v>
      </c>
      <c r="AN1509">
        <v>0.99999996736118502</v>
      </c>
    </row>
    <row r="1510" spans="1:40" x14ac:dyDescent="0.25">
      <c r="A1510" t="str">
        <f>"20190304164121018"</f>
        <v>20190304164121018</v>
      </c>
      <c r="B1510" t="str">
        <f>"1551688881012551"</f>
        <v>1551688881012551</v>
      </c>
      <c r="C1510" t="s">
        <v>40</v>
      </c>
      <c r="D1510">
        <v>4.9253689999999999</v>
      </c>
      <c r="E1510">
        <v>0.6080525</v>
      </c>
      <c r="F1510" t="s">
        <v>44</v>
      </c>
      <c r="G1510">
        <v>-209.435</v>
      </c>
      <c r="H1510" s="1">
        <v>-5.8607160000000001E-6</v>
      </c>
      <c r="I1510">
        <v>364.7199</v>
      </c>
      <c r="J1510">
        <v>-219.24420000000001</v>
      </c>
      <c r="K1510">
        <v>1.1105670000000001</v>
      </c>
      <c r="L1510">
        <v>367.291</v>
      </c>
      <c r="M1510">
        <v>0.99978310000000004</v>
      </c>
      <c r="N1510">
        <v>-1.409055E-2</v>
      </c>
      <c r="O1510">
        <v>-1.534132E-2</v>
      </c>
      <c r="P1510">
        <v>0.9560341</v>
      </c>
      <c r="Q1510">
        <v>0.2924506</v>
      </c>
      <c r="R1510">
        <v>-2.172174E-2</v>
      </c>
      <c r="S1510">
        <v>3.229797</v>
      </c>
      <c r="T1510">
        <v>-0.3609329</v>
      </c>
      <c r="U1510">
        <v>-0.83624270000000001</v>
      </c>
      <c r="V1510">
        <v>7.0988659999999997E-3</v>
      </c>
      <c r="W1510">
        <v>0.30589480000000002</v>
      </c>
      <c r="X1510">
        <v>0.95203890000000002</v>
      </c>
      <c r="Y1510">
        <v>0.23428740000000001</v>
      </c>
      <c r="Z1510">
        <v>-1.3054929999999999E-2</v>
      </c>
      <c r="AA1510">
        <v>0.97207980000000005</v>
      </c>
      <c r="AB1510">
        <v>28</v>
      </c>
      <c r="AC1510">
        <v>9.8092000000000006</v>
      </c>
      <c r="AD1510">
        <v>-1.1105728607159999</v>
      </c>
      <c r="AE1510">
        <v>-2.5710999999999999</v>
      </c>
      <c r="AF1510">
        <v>2.3916109637767899</v>
      </c>
      <c r="AG1510">
        <v>-1.1105728607159999</v>
      </c>
      <c r="AH1510">
        <v>9.7307807124117396</v>
      </c>
      <c r="AI1510">
        <v>96.324364815575706</v>
      </c>
      <c r="AJ1510">
        <v>76.191659699165598</v>
      </c>
      <c r="AK1510">
        <v>10.081729432694599</v>
      </c>
      <c r="AL1510">
        <v>72.187995515759098</v>
      </c>
      <c r="AM1510">
        <v>89.572782663258906</v>
      </c>
      <c r="AN1510">
        <v>1.00000004483936</v>
      </c>
    </row>
    <row r="1511" spans="1:40" x14ac:dyDescent="0.25">
      <c r="A1511" t="str">
        <f>"20190304164121030"</f>
        <v>20190304164121030</v>
      </c>
      <c r="B1511" t="str">
        <f>"1551688881022311"</f>
        <v>1551688881022311</v>
      </c>
      <c r="C1511" t="s">
        <v>40</v>
      </c>
      <c r="D1511">
        <v>4.9427490000000001</v>
      </c>
      <c r="E1511">
        <v>0.607958</v>
      </c>
      <c r="F1511" t="s">
        <v>44</v>
      </c>
      <c r="G1511">
        <v>-209.36189999999999</v>
      </c>
      <c r="H1511" s="1">
        <v>-5.8342419999999999E-6</v>
      </c>
      <c r="I1511">
        <v>364.7328</v>
      </c>
      <c r="J1511">
        <v>-219.10220000000001</v>
      </c>
      <c r="K1511">
        <v>1.1105320000000001</v>
      </c>
      <c r="L1511">
        <v>367.28870000000001</v>
      </c>
      <c r="M1511">
        <v>0.99978160000000005</v>
      </c>
      <c r="N1511">
        <v>-1.4088949999999999E-2</v>
      </c>
      <c r="O1511">
        <v>-1.5436679999999999E-2</v>
      </c>
      <c r="P1511">
        <v>0.95596049999999999</v>
      </c>
      <c r="Q1511">
        <v>0.2926337</v>
      </c>
      <c r="R1511">
        <v>-2.2483989999999999E-2</v>
      </c>
      <c r="S1511">
        <v>3.2300110000000002</v>
      </c>
      <c r="T1511">
        <v>-0.36298989999999998</v>
      </c>
      <c r="U1511">
        <v>-0.83612059999999999</v>
      </c>
      <c r="V1511">
        <v>7.7967409999999899E-3</v>
      </c>
      <c r="W1511">
        <v>0.30607459999999997</v>
      </c>
      <c r="X1511">
        <v>0.95197560000000003</v>
      </c>
      <c r="Y1511">
        <v>0.23413059999999999</v>
      </c>
      <c r="Z1511">
        <v>-1.309837E-2</v>
      </c>
      <c r="AA1511">
        <v>0.97211689999999995</v>
      </c>
      <c r="AB1511">
        <v>28</v>
      </c>
      <c r="AC1511">
        <v>9.7403000000000102</v>
      </c>
      <c r="AD1511">
        <v>-1.110537834242</v>
      </c>
      <c r="AE1511">
        <v>-2.5558999999999998</v>
      </c>
      <c r="AF1511">
        <v>2.3763219021043498</v>
      </c>
      <c r="AG1511">
        <v>-1.110537834242</v>
      </c>
      <c r="AH1511">
        <v>9.6611000177437294</v>
      </c>
      <c r="AI1511">
        <v>96.369128010443106</v>
      </c>
      <c r="AJ1511">
        <v>76.181386795198506</v>
      </c>
      <c r="AK1511">
        <v>10.010846798176001</v>
      </c>
      <c r="AL1511">
        <v>72.177173840562602</v>
      </c>
      <c r="AM1511">
        <v>89.530754395998798</v>
      </c>
      <c r="AN1511">
        <v>0.99999999646536997</v>
      </c>
    </row>
    <row r="1512" spans="1:40" x14ac:dyDescent="0.25">
      <c r="A1512" t="str">
        <f>"20190304164121042"</f>
        <v>20190304164121042</v>
      </c>
      <c r="B1512" t="str">
        <f>"1551688881033047"</f>
        <v>1551688881033047</v>
      </c>
      <c r="C1512" t="s">
        <v>40</v>
      </c>
      <c r="D1512">
        <v>4.8465189999999998</v>
      </c>
      <c r="E1512">
        <v>0.60808030000000002</v>
      </c>
      <c r="F1512" t="s">
        <v>44</v>
      </c>
      <c r="G1512">
        <v>-209.23249999999999</v>
      </c>
      <c r="H1512" s="1">
        <v>-5.7916889999999999E-6</v>
      </c>
      <c r="I1512">
        <v>364.7278</v>
      </c>
      <c r="J1512">
        <v>-218.9494</v>
      </c>
      <c r="K1512">
        <v>1.1104860000000001</v>
      </c>
      <c r="L1512">
        <v>367.28629999999998</v>
      </c>
      <c r="M1512">
        <v>0.9997798</v>
      </c>
      <c r="N1512">
        <v>-1.4087239999999999E-2</v>
      </c>
      <c r="O1512">
        <v>-1.555863E-2</v>
      </c>
      <c r="P1512">
        <v>0.95594570000000001</v>
      </c>
      <c r="Q1512">
        <v>0.29261290000000001</v>
      </c>
      <c r="R1512">
        <v>-2.3356890000000002E-2</v>
      </c>
      <c r="S1512">
        <v>3.2297359999999999</v>
      </c>
      <c r="T1512">
        <v>-0.36340630000000002</v>
      </c>
      <c r="U1512">
        <v>-0.83801270000000005</v>
      </c>
      <c r="V1512">
        <v>8.5844839999999999E-3</v>
      </c>
      <c r="W1512">
        <v>0.30605100000000002</v>
      </c>
      <c r="X1512">
        <v>0.95197639999999994</v>
      </c>
      <c r="Y1512">
        <v>0.2345603</v>
      </c>
      <c r="Z1512">
        <v>-1.3126189999999999E-2</v>
      </c>
      <c r="AA1512">
        <v>0.97201289999999996</v>
      </c>
      <c r="AB1512">
        <v>28</v>
      </c>
      <c r="AC1512">
        <v>9.7169000000000096</v>
      </c>
      <c r="AD1512">
        <v>-1.110491791689</v>
      </c>
      <c r="AE1512">
        <v>-2.55849999999998</v>
      </c>
      <c r="AF1512">
        <v>2.3779489419990401</v>
      </c>
      <c r="AG1512">
        <v>-1.110491791689</v>
      </c>
      <c r="AH1512">
        <v>9.6378164054536501</v>
      </c>
      <c r="AI1512">
        <v>96.383003564954393</v>
      </c>
      <c r="AJ1512">
        <v>76.140169099914999</v>
      </c>
      <c r="AK1512">
        <v>9.9887605965602404</v>
      </c>
      <c r="AL1512">
        <v>72.178594008023694</v>
      </c>
      <c r="AM1512">
        <v>89.483347096354706</v>
      </c>
      <c r="AN1512">
        <v>0.99999998706175297</v>
      </c>
    </row>
    <row r="1513" spans="1:40" x14ac:dyDescent="0.25">
      <c r="A1513" t="str">
        <f>"20190304164121054"</f>
        <v>20190304164121054</v>
      </c>
      <c r="B1513" t="str">
        <f>"1551688881042336"</f>
        <v>1551688881042336</v>
      </c>
      <c r="C1513" t="s">
        <v>40</v>
      </c>
      <c r="D1513">
        <v>4.8347110000000004</v>
      </c>
      <c r="E1513">
        <v>0.60813009999999901</v>
      </c>
      <c r="F1513" t="s">
        <v>44</v>
      </c>
      <c r="G1513">
        <v>-209.09880000000001</v>
      </c>
      <c r="H1513" s="1">
        <v>-5.7481610000000003E-6</v>
      </c>
      <c r="I1513">
        <v>364.72</v>
      </c>
      <c r="J1513">
        <v>-218.79570000000001</v>
      </c>
      <c r="K1513">
        <v>1.1104320000000001</v>
      </c>
      <c r="L1513">
        <v>367.28370000000001</v>
      </c>
      <c r="M1513">
        <v>0.99977689999999997</v>
      </c>
      <c r="N1513">
        <v>-1.4085719999999999E-2</v>
      </c>
      <c r="O1513">
        <v>-1.5746219999999998E-2</v>
      </c>
      <c r="P1513">
        <v>0.95586599999999999</v>
      </c>
      <c r="Q1513">
        <v>0.29280080000000003</v>
      </c>
      <c r="R1513">
        <v>-2.4251290000000002E-2</v>
      </c>
      <c r="S1513">
        <v>3.2291409999999998</v>
      </c>
      <c r="T1513">
        <v>-0.3640331</v>
      </c>
      <c r="U1513">
        <v>-0.84124759999999998</v>
      </c>
      <c r="V1513">
        <v>9.3398460000000006E-3</v>
      </c>
      <c r="W1513">
        <v>0.30623529999999999</v>
      </c>
      <c r="X1513">
        <v>0.95191009999999998</v>
      </c>
      <c r="Y1513">
        <v>0.23532439999999999</v>
      </c>
      <c r="Z1513">
        <v>-1.3175650000000001E-2</v>
      </c>
      <c r="AA1513">
        <v>0.97182760000000001</v>
      </c>
      <c r="AB1513">
        <v>28</v>
      </c>
      <c r="AC1513">
        <v>9.6968999999999994</v>
      </c>
      <c r="AD1513">
        <v>-1.1104377481609999</v>
      </c>
      <c r="AE1513">
        <v>-2.5636999999999799</v>
      </c>
      <c r="AF1513">
        <v>2.38148782280954</v>
      </c>
      <c r="AG1513">
        <v>-1.1104377481609999</v>
      </c>
      <c r="AH1513">
        <v>9.6181812272417702</v>
      </c>
      <c r="AI1513">
        <v>96.394330038415902</v>
      </c>
      <c r="AJ1513">
        <v>76.093103709443795</v>
      </c>
      <c r="AK1513">
        <v>9.9706552624587896</v>
      </c>
      <c r="AL1513">
        <v>72.167503247286206</v>
      </c>
      <c r="AM1513">
        <v>89.437849660607</v>
      </c>
      <c r="AN1513">
        <v>1.0000000650856899</v>
      </c>
    </row>
    <row r="1514" spans="1:40" x14ac:dyDescent="0.25">
      <c r="A1514" t="str">
        <f>"20190304164121064"</f>
        <v>20190304164121064</v>
      </c>
      <c r="B1514" t="str">
        <f>"1551688881053073"</f>
        <v>1551688881053073</v>
      </c>
      <c r="C1514" t="s">
        <v>40</v>
      </c>
      <c r="D1514">
        <v>4.8304839999999896</v>
      </c>
      <c r="E1514">
        <v>0.60821990000000004</v>
      </c>
      <c r="F1514" t="s">
        <v>44</v>
      </c>
      <c r="G1514">
        <v>-208.95570000000001</v>
      </c>
      <c r="H1514" s="1">
        <v>-5.7020120000000001E-6</v>
      </c>
      <c r="I1514">
        <v>364.7088</v>
      </c>
      <c r="J1514">
        <v>-218.66669999999999</v>
      </c>
      <c r="K1514">
        <v>1.1103889999999901</v>
      </c>
      <c r="L1514">
        <v>367.28140000000002</v>
      </c>
      <c r="M1514">
        <v>0.9997741</v>
      </c>
      <c r="N1514">
        <v>-1.408449E-2</v>
      </c>
      <c r="O1514">
        <v>-1.5919139999999998E-2</v>
      </c>
      <c r="P1514">
        <v>0.9558989</v>
      </c>
      <c r="Q1514">
        <v>0.29257470000000002</v>
      </c>
      <c r="R1514">
        <v>-2.5638459999999998E-2</v>
      </c>
      <c r="S1514">
        <v>3.2286679999999999</v>
      </c>
      <c r="T1514">
        <v>-0.36435459999999997</v>
      </c>
      <c r="U1514">
        <v>-0.84484859999999995</v>
      </c>
      <c r="V1514">
        <v>1.059451E-2</v>
      </c>
      <c r="W1514">
        <v>0.30600690000000003</v>
      </c>
      <c r="X1514">
        <v>0.95197030000000005</v>
      </c>
      <c r="Y1514">
        <v>0.2361982</v>
      </c>
      <c r="Z1514">
        <v>-1.3223530000000001E-2</v>
      </c>
      <c r="AA1514">
        <v>0.97161489999999995</v>
      </c>
      <c r="AB1514">
        <v>28</v>
      </c>
      <c r="AC1514">
        <v>9.7109999999999808</v>
      </c>
      <c r="AD1514">
        <v>-1.11039470201199</v>
      </c>
      <c r="AE1514">
        <v>-2.57260000000002</v>
      </c>
      <c r="AF1514">
        <v>2.38848733936576</v>
      </c>
      <c r="AG1514">
        <v>-1.11039470201199</v>
      </c>
      <c r="AH1514">
        <v>9.6330385919142696</v>
      </c>
      <c r="AI1514">
        <v>96.383794375894198</v>
      </c>
      <c r="AJ1514">
        <v>76.074494621885705</v>
      </c>
      <c r="AK1514">
        <v>9.9866551296155492</v>
      </c>
      <c r="AL1514">
        <v>72.181247577350206</v>
      </c>
      <c r="AM1514">
        <v>89.362379635225906</v>
      </c>
      <c r="AN1514">
        <v>0.999999959285919</v>
      </c>
    </row>
    <row r="1515" spans="1:40" x14ac:dyDescent="0.25">
      <c r="A1515" t="str">
        <f>"20190304164121076"</f>
        <v>20190304164121076</v>
      </c>
      <c r="B1515" t="str">
        <f>"1551688881072593"</f>
        <v>1551688881072593</v>
      </c>
      <c r="C1515" t="s">
        <v>40</v>
      </c>
      <c r="D1515">
        <v>4.8273999999999999</v>
      </c>
      <c r="E1515">
        <v>0.60837580000000002</v>
      </c>
      <c r="F1515" t="s">
        <v>44</v>
      </c>
      <c r="G1515">
        <v>-208.8614</v>
      </c>
      <c r="H1515" s="1">
        <v>-5.6722159999999899E-6</v>
      </c>
      <c r="I1515">
        <v>364.69749999999999</v>
      </c>
      <c r="J1515">
        <v>-218.51900000000001</v>
      </c>
      <c r="K1515">
        <v>1.1103419999999999</v>
      </c>
      <c r="L1515">
        <v>367.27890000000002</v>
      </c>
      <c r="M1515">
        <v>0.99977020000000005</v>
      </c>
      <c r="N1515">
        <v>-1.408326E-2</v>
      </c>
      <c r="O1515">
        <v>-1.6162929999999999E-2</v>
      </c>
      <c r="P1515">
        <v>0.95591939999999997</v>
      </c>
      <c r="Q1515">
        <v>0.29238019999999998</v>
      </c>
      <c r="R1515">
        <v>-2.7059110000000001E-2</v>
      </c>
      <c r="S1515">
        <v>3.2274630000000002</v>
      </c>
      <c r="T1515">
        <v>-0.3654927</v>
      </c>
      <c r="U1515">
        <v>-0.85052490000000003</v>
      </c>
      <c r="V1515">
        <v>1.182192E-2</v>
      </c>
      <c r="W1515">
        <v>0.30580990000000002</v>
      </c>
      <c r="X1515">
        <v>0.95201919999999995</v>
      </c>
      <c r="Y1515">
        <v>0.23763090000000001</v>
      </c>
      <c r="Z1515">
        <v>-1.3326579999999999E-2</v>
      </c>
      <c r="AA1515">
        <v>0.97126409999999996</v>
      </c>
      <c r="AB1515">
        <v>28</v>
      </c>
      <c r="AC1515">
        <v>9.6576000000000004</v>
      </c>
      <c r="AD1515">
        <v>-1.1103476722159999</v>
      </c>
      <c r="AE1515">
        <v>-2.5814000000000301</v>
      </c>
      <c r="AF1515">
        <v>2.3954000798839399</v>
      </c>
      <c r="AG1515">
        <v>-1.1103476722159999</v>
      </c>
      <c r="AH1515">
        <v>9.5798783357714399</v>
      </c>
      <c r="AI1515">
        <v>96.415525146159595</v>
      </c>
      <c r="AJ1515">
        <v>75.961333282366297</v>
      </c>
      <c r="AK1515">
        <v>9.9370459606507993</v>
      </c>
      <c r="AL1515">
        <v>72.193104033790803</v>
      </c>
      <c r="AM1515">
        <v>89.288552889109894</v>
      </c>
      <c r="AN1515">
        <v>1.0000000049495601</v>
      </c>
    </row>
    <row r="1516" spans="1:40" x14ac:dyDescent="0.25">
      <c r="A1516" t="str">
        <f>"20190304164121090"</f>
        <v>20190304164121090</v>
      </c>
      <c r="B1516" t="str">
        <f>"1551688881082352"</f>
        <v>1551688881082352</v>
      </c>
      <c r="C1516" t="s">
        <v>40</v>
      </c>
      <c r="D1516">
        <v>4.909313</v>
      </c>
      <c r="E1516">
        <v>0.60834029999999994</v>
      </c>
      <c r="F1516" t="s">
        <v>44</v>
      </c>
      <c r="G1516">
        <v>-208.7628</v>
      </c>
      <c r="H1516" s="1">
        <v>-5.6409819999999998E-6</v>
      </c>
      <c r="I1516">
        <v>364.68610000000001</v>
      </c>
      <c r="J1516">
        <v>-218.3484</v>
      </c>
      <c r="K1516">
        <v>1.1102810000000001</v>
      </c>
      <c r="L1516">
        <v>367.2758</v>
      </c>
      <c r="M1516">
        <v>0.99976489999999996</v>
      </c>
      <c r="N1516">
        <v>-1.408192E-2</v>
      </c>
      <c r="O1516">
        <v>-1.6496449999999999E-2</v>
      </c>
      <c r="P1516">
        <v>0.95591130000000002</v>
      </c>
      <c r="Q1516">
        <v>0.29222019999999999</v>
      </c>
      <c r="R1516">
        <v>-2.9005449999999999E-2</v>
      </c>
      <c r="S1516">
        <v>3.2263639999999998</v>
      </c>
      <c r="T1516">
        <v>-0.36719299999999999</v>
      </c>
      <c r="U1516">
        <v>-0.85742189999999996</v>
      </c>
      <c r="V1516">
        <v>1.349765E-2</v>
      </c>
      <c r="W1516">
        <v>0.30564560000000002</v>
      </c>
      <c r="X1516">
        <v>0.9520497</v>
      </c>
      <c r="Y1516">
        <v>0.2393053</v>
      </c>
      <c r="Z1516">
        <v>-1.3453100000000001E-2</v>
      </c>
      <c r="AA1516">
        <v>0.97085120000000003</v>
      </c>
      <c r="AB1516">
        <v>28</v>
      </c>
      <c r="AC1516">
        <v>9.5855999999999995</v>
      </c>
      <c r="AD1516">
        <v>-1.11028664098199</v>
      </c>
      <c r="AE1516">
        <v>-2.5896999999999899</v>
      </c>
      <c r="AF1516">
        <v>2.4011800361342099</v>
      </c>
      <c r="AG1516">
        <v>-1.11028664098199</v>
      </c>
      <c r="AH1516">
        <v>9.5081342566073594</v>
      </c>
      <c r="AI1516">
        <v>96.459395749314993</v>
      </c>
      <c r="AJ1516">
        <v>75.826891716885797</v>
      </c>
      <c r="AK1516">
        <v>9.8692967851181308</v>
      </c>
      <c r="AL1516">
        <v>72.202991509382699</v>
      </c>
      <c r="AM1516">
        <v>89.187745587799697</v>
      </c>
      <c r="AN1516">
        <v>1.0000000253124799</v>
      </c>
    </row>
    <row r="1517" spans="1:40" x14ac:dyDescent="0.25">
      <c r="A1517" t="str">
        <f>"20190304164121102"</f>
        <v>20190304164121102</v>
      </c>
      <c r="B1517" t="str">
        <f>"1551688881092113"</f>
        <v>1551688881092113</v>
      </c>
      <c r="C1517" t="s">
        <v>40</v>
      </c>
      <c r="D1517">
        <v>4.8272329999999997</v>
      </c>
      <c r="E1517">
        <v>0.60841990000000001</v>
      </c>
      <c r="F1517" t="s">
        <v>44</v>
      </c>
      <c r="G1517">
        <v>-208.63249999999999</v>
      </c>
      <c r="H1517" s="1">
        <v>-5.5994960000000002E-6</v>
      </c>
      <c r="I1517">
        <v>364.67239999999998</v>
      </c>
      <c r="J1517">
        <v>-218.20070000000001</v>
      </c>
      <c r="K1517">
        <v>1.1102259999999999</v>
      </c>
      <c r="L1517">
        <v>367.27300000000002</v>
      </c>
      <c r="M1517">
        <v>0.99975959999999997</v>
      </c>
      <c r="N1517">
        <v>-1.4080779999999999E-2</v>
      </c>
      <c r="O1517">
        <v>-1.6815409999999999E-2</v>
      </c>
      <c r="P1517">
        <v>0.95578099999999999</v>
      </c>
      <c r="Q1517">
        <v>0.29242309999999999</v>
      </c>
      <c r="R1517">
        <v>-3.116975E-2</v>
      </c>
      <c r="S1517">
        <v>3.2248230000000002</v>
      </c>
      <c r="T1517">
        <v>-0.36851719999999999</v>
      </c>
      <c r="U1517">
        <v>-0.86410520000000002</v>
      </c>
      <c r="V1517">
        <v>1.540221E-2</v>
      </c>
      <c r="W1517">
        <v>0.30584210000000001</v>
      </c>
      <c r="X1517">
        <v>0.95195759999999996</v>
      </c>
      <c r="Y1517">
        <v>0.24096790000000001</v>
      </c>
      <c r="Z1517">
        <v>-1.357067E-2</v>
      </c>
      <c r="AA1517">
        <v>0.97043820000000003</v>
      </c>
      <c r="AB1517">
        <v>28</v>
      </c>
      <c r="AC1517">
        <v>9.5682000000000098</v>
      </c>
      <c r="AD1517">
        <v>-1.1102315994959999</v>
      </c>
      <c r="AE1517">
        <v>-2.60060000000004</v>
      </c>
      <c r="AF1517">
        <v>2.4091185801130601</v>
      </c>
      <c r="AG1517">
        <v>-1.1102315994959999</v>
      </c>
      <c r="AH1517">
        <v>9.49157994204311</v>
      </c>
      <c r="AI1517">
        <v>96.468299441416306</v>
      </c>
      <c r="AJ1517">
        <v>75.7581414091364</v>
      </c>
      <c r="AK1517">
        <v>9.8552806319130593</v>
      </c>
      <c r="AL1517">
        <v>72.191165166573995</v>
      </c>
      <c r="AM1517">
        <v>89.073063090297694</v>
      </c>
      <c r="AN1517">
        <v>0.99999994520152502</v>
      </c>
    </row>
    <row r="1518" spans="1:40" x14ac:dyDescent="0.25">
      <c r="A1518" t="str">
        <f>"20190304164121112"</f>
        <v>20190304164121112</v>
      </c>
      <c r="B1518" t="str">
        <f>"1551688881102849"</f>
        <v>1551688881102849</v>
      </c>
      <c r="C1518" t="s">
        <v>40</v>
      </c>
      <c r="D1518">
        <v>4.827172</v>
      </c>
      <c r="E1518">
        <v>0.60849449999999905</v>
      </c>
      <c r="F1518" t="s">
        <v>44</v>
      </c>
      <c r="G1518">
        <v>-208.48400000000001</v>
      </c>
      <c r="H1518" s="1">
        <v>-5.5543130000000001E-6</v>
      </c>
      <c r="I1518">
        <v>364.64339999999999</v>
      </c>
      <c r="J1518">
        <v>-218.06569999999999</v>
      </c>
      <c r="K1518">
        <v>1.1101760000000001</v>
      </c>
      <c r="L1518">
        <v>367.2704</v>
      </c>
      <c r="M1518">
        <v>0.99975340000000001</v>
      </c>
      <c r="N1518">
        <v>-1.407982E-2</v>
      </c>
      <c r="O1518">
        <v>-1.7178240000000001E-2</v>
      </c>
      <c r="P1518">
        <v>0.95565199999999995</v>
      </c>
      <c r="Q1518">
        <v>0.29257139999999998</v>
      </c>
      <c r="R1518">
        <v>-3.363762E-2</v>
      </c>
      <c r="S1518">
        <v>3.2230379999999998</v>
      </c>
      <c r="T1518">
        <v>-0.3682646</v>
      </c>
      <c r="U1518">
        <v>-0.87225339999999996</v>
      </c>
      <c r="V1518">
        <v>1.756725E-2</v>
      </c>
      <c r="W1518">
        <v>0.30598419999999998</v>
      </c>
      <c r="X1518">
        <v>0.95187449999999996</v>
      </c>
      <c r="Y1518">
        <v>0.2430264</v>
      </c>
      <c r="Z1518">
        <v>-1.366E-2</v>
      </c>
      <c r="AA1518">
        <v>0.96992350000000005</v>
      </c>
      <c r="AB1518">
        <v>28</v>
      </c>
      <c r="AC1518">
        <v>9.5816999999999801</v>
      </c>
      <c r="AD1518">
        <v>-1.110181554313</v>
      </c>
      <c r="AE1518">
        <v>-2.6269999999999998</v>
      </c>
      <c r="AF1518">
        <v>2.4316376056546001</v>
      </c>
      <c r="AG1518">
        <v>-1.110181554313</v>
      </c>
      <c r="AH1518">
        <v>9.50671588526553</v>
      </c>
      <c r="AI1518">
        <v>96.454790200728397</v>
      </c>
      <c r="AJ1518">
        <v>75.652438345038405</v>
      </c>
      <c r="AK1518">
        <v>9.87537399048413</v>
      </c>
      <c r="AL1518">
        <v>72.182614495869501</v>
      </c>
      <c r="AM1518">
        <v>88.942701973375307</v>
      </c>
      <c r="AN1518">
        <v>1.00000000133622</v>
      </c>
    </row>
    <row r="1519" spans="1:40" x14ac:dyDescent="0.25">
      <c r="A1519" t="str">
        <f>"20190304164121125"</f>
        <v>20190304164121125</v>
      </c>
      <c r="B1519" t="str">
        <f>"1551688881112608"</f>
        <v>1551688881112608</v>
      </c>
      <c r="C1519" t="s">
        <v>40</v>
      </c>
      <c r="D1519">
        <v>4.8227310000000001</v>
      </c>
      <c r="E1519">
        <v>0.60856960000000004</v>
      </c>
      <c r="F1519" t="s">
        <v>44</v>
      </c>
      <c r="G1519">
        <v>-208.3691</v>
      </c>
      <c r="H1519" s="1">
        <v>-5.5194659999999997E-6</v>
      </c>
      <c r="I1519">
        <v>364.62040000000002</v>
      </c>
      <c r="J1519">
        <v>-217.92519999999999</v>
      </c>
      <c r="K1519">
        <v>1.1101160000000001</v>
      </c>
      <c r="L1519">
        <v>367.26760000000002</v>
      </c>
      <c r="M1519">
        <v>0.99974649999999998</v>
      </c>
      <c r="N1519">
        <v>-1.407886E-2</v>
      </c>
      <c r="O1519">
        <v>-1.7574260000000001E-2</v>
      </c>
      <c r="P1519">
        <v>0.95545389999999997</v>
      </c>
      <c r="Q1519">
        <v>0.29288029999999998</v>
      </c>
      <c r="R1519">
        <v>-3.6460760000000002E-2</v>
      </c>
      <c r="S1519">
        <v>3.2211609999999999</v>
      </c>
      <c r="T1519">
        <v>-0.36879659999999997</v>
      </c>
      <c r="U1519">
        <v>-0.88034059999999903</v>
      </c>
      <c r="V1519">
        <v>2.005929E-2</v>
      </c>
      <c r="W1519">
        <v>0.30628430000000001</v>
      </c>
      <c r="X1519">
        <v>0.95172869999999998</v>
      </c>
      <c r="Y1519">
        <v>0.2450349</v>
      </c>
      <c r="Z1519">
        <v>-1.376808E-2</v>
      </c>
      <c r="AA1519">
        <v>0.96941650000000001</v>
      </c>
      <c r="AB1519">
        <v>28</v>
      </c>
      <c r="AC1519">
        <v>9.5560999999999794</v>
      </c>
      <c r="AD1519">
        <v>-1.1101215194659999</v>
      </c>
      <c r="AE1519">
        <v>-2.64719999999999</v>
      </c>
      <c r="AF1519">
        <v>2.4481493871998099</v>
      </c>
      <c r="AG1519">
        <v>-1.1101215194659999</v>
      </c>
      <c r="AH1519">
        <v>9.4823053665614996</v>
      </c>
      <c r="AI1519">
        <v>96.467208562535404</v>
      </c>
      <c r="AJ1519">
        <v>75.523458362105302</v>
      </c>
      <c r="AK1519">
        <v>9.8559586177473992</v>
      </c>
      <c r="AL1519">
        <v>72.164552525100603</v>
      </c>
      <c r="AM1519">
        <v>88.792573432740397</v>
      </c>
      <c r="AN1519">
        <v>0.99999998297274095</v>
      </c>
    </row>
    <row r="1520" spans="1:40" x14ac:dyDescent="0.25">
      <c r="A1520" t="str">
        <f>"20190304164121137"</f>
        <v>20190304164121137</v>
      </c>
      <c r="B1520" t="str">
        <f>"1551688881132128"</f>
        <v>1551688881132128</v>
      </c>
      <c r="C1520" t="s">
        <v>40</v>
      </c>
      <c r="D1520">
        <v>4.8230279999999999</v>
      </c>
      <c r="E1520">
        <v>0.60866739999999997</v>
      </c>
      <c r="F1520" t="s">
        <v>44</v>
      </c>
      <c r="G1520">
        <v>-208.2353</v>
      </c>
      <c r="H1520" s="1">
        <v>-5.4795039999999897E-6</v>
      </c>
      <c r="I1520">
        <v>364.58940000000001</v>
      </c>
      <c r="J1520">
        <v>-217.76599999999999</v>
      </c>
      <c r="K1520">
        <v>1.1100479999999999</v>
      </c>
      <c r="L1520">
        <v>367.26429999999999</v>
      </c>
      <c r="M1520">
        <v>0.99973730000000005</v>
      </c>
      <c r="N1520">
        <v>-1.407799E-2</v>
      </c>
      <c r="O1520">
        <v>-1.808659E-2</v>
      </c>
      <c r="P1520">
        <v>0.95532910000000004</v>
      </c>
      <c r="Q1520">
        <v>0.29289140000000002</v>
      </c>
      <c r="R1520">
        <v>-3.9513630000000001E-2</v>
      </c>
      <c r="S1520">
        <v>3.2189640000000002</v>
      </c>
      <c r="T1520">
        <v>-0.36877870000000001</v>
      </c>
      <c r="U1520">
        <v>-0.889679</v>
      </c>
      <c r="V1520">
        <v>2.2675819999999999E-2</v>
      </c>
      <c r="W1520">
        <v>0.30628650000000002</v>
      </c>
      <c r="X1520">
        <v>0.95166930000000005</v>
      </c>
      <c r="Y1520">
        <v>0.2473069</v>
      </c>
      <c r="Z1520">
        <v>-1.3864680000000001E-2</v>
      </c>
      <c r="AA1520">
        <v>0.96883799999999998</v>
      </c>
      <c r="AB1520">
        <v>28</v>
      </c>
      <c r="AC1520">
        <v>9.5306999999999906</v>
      </c>
      <c r="AD1520">
        <v>-1.110053479504</v>
      </c>
      <c r="AE1520">
        <v>-2.6748999999999801</v>
      </c>
      <c r="AF1520">
        <v>2.47099458612331</v>
      </c>
      <c r="AG1520">
        <v>-1.110053479504</v>
      </c>
      <c r="AH1520">
        <v>9.4585833516393301</v>
      </c>
      <c r="AI1520">
        <v>96.478108260215194</v>
      </c>
      <c r="AJ1520">
        <v>75.359061471137196</v>
      </c>
      <c r="AK1520">
        <v>9.8388430210019298</v>
      </c>
      <c r="AL1520">
        <v>72.164421064619106</v>
      </c>
      <c r="AM1520">
        <v>88.635047921036801</v>
      </c>
      <c r="AN1520">
        <v>1.0000000347286999</v>
      </c>
    </row>
    <row r="1521" spans="1:40" x14ac:dyDescent="0.25">
      <c r="A1521" t="str">
        <f>"20190304164121152"</f>
        <v>20190304164121152</v>
      </c>
      <c r="B1521" t="str">
        <f>"1551688881142397"</f>
        <v>1551688881142397</v>
      </c>
      <c r="C1521" t="s">
        <v>40</v>
      </c>
      <c r="D1521">
        <v>4.8432449999999996</v>
      </c>
      <c r="E1521">
        <v>0.60871790000000003</v>
      </c>
      <c r="F1521" t="s">
        <v>44</v>
      </c>
      <c r="G1521">
        <v>-208.13079999999999</v>
      </c>
      <c r="H1521" s="1">
        <v>-5.4477179999999996E-6</v>
      </c>
      <c r="I1521">
        <v>364.56900000000002</v>
      </c>
      <c r="J1521">
        <v>-217.59790000000001</v>
      </c>
      <c r="K1521">
        <v>1.109974</v>
      </c>
      <c r="L1521">
        <v>367.26069999999999</v>
      </c>
      <c r="M1521">
        <v>0.99972620000000001</v>
      </c>
      <c r="N1521">
        <v>-1.407722E-2</v>
      </c>
      <c r="O1521">
        <v>-1.8696239999999999E-2</v>
      </c>
      <c r="P1521">
        <v>0.95522549999999995</v>
      </c>
      <c r="Q1521">
        <v>0.29247499999999998</v>
      </c>
      <c r="R1521">
        <v>-4.475432E-2</v>
      </c>
      <c r="S1521">
        <v>3.216675</v>
      </c>
      <c r="T1521">
        <v>-0.3705871</v>
      </c>
      <c r="U1521">
        <v>-0.89984129999999996</v>
      </c>
      <c r="V1521">
        <v>2.7391849999999999E-2</v>
      </c>
      <c r="W1521">
        <v>0.30585759999999901</v>
      </c>
      <c r="X1521">
        <v>0.95168319999999995</v>
      </c>
      <c r="Y1521">
        <v>0.2497045</v>
      </c>
      <c r="Z1521">
        <v>-1.4018320000000001E-2</v>
      </c>
      <c r="AA1521">
        <v>0.96822059999999999</v>
      </c>
      <c r="AB1521">
        <v>28</v>
      </c>
      <c r="AC1521">
        <v>9.4671000000000092</v>
      </c>
      <c r="AD1521">
        <v>-1.1099794477180001</v>
      </c>
      <c r="AE1521">
        <v>-2.69169999999996</v>
      </c>
      <c r="AF1521">
        <v>2.4826373652849698</v>
      </c>
      <c r="AG1521">
        <v>-1.1099794477180001</v>
      </c>
      <c r="AH1521">
        <v>9.3962683614393292</v>
      </c>
      <c r="AI1521">
        <v>96.515551203115905</v>
      </c>
      <c r="AJ1521">
        <v>75.199793797304295</v>
      </c>
      <c r="AK1521">
        <v>9.7818915237315505</v>
      </c>
      <c r="AL1521">
        <v>72.190234294066499</v>
      </c>
      <c r="AM1521">
        <v>88.351337691393994</v>
      </c>
      <c r="AN1521">
        <v>1.0000000490432099</v>
      </c>
    </row>
    <row r="1522" spans="1:40" x14ac:dyDescent="0.25">
      <c r="A1522" t="str">
        <f>"20190304164121167"</f>
        <v>20190304164121167</v>
      </c>
      <c r="B1522" t="str">
        <f>"1551688881162892"</f>
        <v>1551688881162892</v>
      </c>
      <c r="C1522" t="s">
        <v>40</v>
      </c>
      <c r="D1522">
        <v>4.8346489999999998</v>
      </c>
      <c r="E1522">
        <v>0.60880140000000005</v>
      </c>
      <c r="F1522" t="s">
        <v>44</v>
      </c>
      <c r="G1522">
        <v>-208.017</v>
      </c>
      <c r="H1522" s="1">
        <v>-5.4168999999999998E-6</v>
      </c>
      <c r="I1522">
        <v>364.52249999999998</v>
      </c>
      <c r="J1522">
        <v>-217.40559999999999</v>
      </c>
      <c r="K1522">
        <v>1.10988</v>
      </c>
      <c r="L1522">
        <v>367.25630000000001</v>
      </c>
      <c r="M1522">
        <v>0.99971149999999998</v>
      </c>
      <c r="N1522">
        <v>-1.407653E-2</v>
      </c>
      <c r="O1522">
        <v>-1.9473750000000001E-2</v>
      </c>
      <c r="P1522">
        <v>0.95507810000000004</v>
      </c>
      <c r="Q1522">
        <v>0.29254780000000002</v>
      </c>
      <c r="R1522">
        <v>-4.735085E-2</v>
      </c>
      <c r="S1522">
        <v>3.2115170000000002</v>
      </c>
      <c r="T1522">
        <v>-0.37206669999999997</v>
      </c>
      <c r="U1522">
        <v>-0.91784670000000002</v>
      </c>
      <c r="V1522">
        <v>2.9319000000000001E-2</v>
      </c>
      <c r="W1522">
        <v>0.30591879999999999</v>
      </c>
      <c r="X1522">
        <v>0.95160599999999995</v>
      </c>
      <c r="Y1522">
        <v>0.25433529999999999</v>
      </c>
      <c r="Z1522">
        <v>-1.4294799999999899E-2</v>
      </c>
      <c r="AA1522">
        <v>0.96701040000000005</v>
      </c>
      <c r="AB1522">
        <v>28</v>
      </c>
      <c r="AC1522">
        <v>9.3885999999999896</v>
      </c>
      <c r="AD1522">
        <v>-1.1098854168999901</v>
      </c>
      <c r="AE1522">
        <v>-2.73380000000002</v>
      </c>
      <c r="AF1522">
        <v>2.5179933777818801</v>
      </c>
      <c r="AG1522">
        <v>-1.1098854168999901</v>
      </c>
      <c r="AH1522">
        <v>9.3199943395609104</v>
      </c>
      <c r="AI1522">
        <v>96.558195093949294</v>
      </c>
      <c r="AJ1522">
        <v>74.881286604167101</v>
      </c>
      <c r="AK1522">
        <v>9.7177379455636697</v>
      </c>
      <c r="AL1522">
        <v>72.186549387350496</v>
      </c>
      <c r="AM1522">
        <v>88.235274132506106</v>
      </c>
      <c r="AN1522">
        <v>0.99999994759521804</v>
      </c>
    </row>
    <row r="1523" spans="1:40" x14ac:dyDescent="0.25">
      <c r="A1523" t="str">
        <f>"20190304164121178"</f>
        <v>20190304164121178</v>
      </c>
      <c r="B1523" t="str">
        <f>"1551688881172652"</f>
        <v>1551688881172652</v>
      </c>
      <c r="C1523" t="s">
        <v>40</v>
      </c>
      <c r="D1523">
        <v>4.8388949999999999</v>
      </c>
      <c r="E1523">
        <v>0.60885290000000003</v>
      </c>
      <c r="F1523" t="s">
        <v>44</v>
      </c>
      <c r="G1523">
        <v>-207.82980000000001</v>
      </c>
      <c r="H1523" s="1">
        <v>-5.3600350000000003E-6</v>
      </c>
      <c r="I1523">
        <v>364.4853</v>
      </c>
      <c r="J1523">
        <v>-217.2527</v>
      </c>
      <c r="K1523">
        <v>1.1097950000000001</v>
      </c>
      <c r="L1523">
        <v>367.2527</v>
      </c>
      <c r="M1523">
        <v>0.99969759999999996</v>
      </c>
      <c r="N1523">
        <v>-1.407622E-2</v>
      </c>
      <c r="O1523">
        <v>-2.0167859999999999E-2</v>
      </c>
      <c r="P1523">
        <v>0.95478680000000005</v>
      </c>
      <c r="Q1523">
        <v>0.29300379999999998</v>
      </c>
      <c r="R1523">
        <v>-5.0307879999999999E-2</v>
      </c>
      <c r="S1523">
        <v>3.2090000000000001</v>
      </c>
      <c r="T1523">
        <v>-0.37193890000000002</v>
      </c>
      <c r="U1523">
        <v>-0.92861939999999998</v>
      </c>
      <c r="V1523">
        <v>3.1682090000000003E-2</v>
      </c>
      <c r="W1523">
        <v>0.30636059999999998</v>
      </c>
      <c r="X1523">
        <v>0.95138820000000002</v>
      </c>
      <c r="Y1523">
        <v>0.25684800000000002</v>
      </c>
      <c r="Z1523">
        <v>-1.438642E-2</v>
      </c>
      <c r="AA1523">
        <v>0.96634469999999995</v>
      </c>
      <c r="AB1523">
        <v>28</v>
      </c>
      <c r="AC1523">
        <v>9.4228999999999896</v>
      </c>
      <c r="AD1523">
        <v>-1.1098003600349999</v>
      </c>
      <c r="AE1523">
        <v>-2.7673999999999999</v>
      </c>
      <c r="AF1523">
        <v>2.5442880243401702</v>
      </c>
      <c r="AG1523">
        <v>-1.1098003600349999</v>
      </c>
      <c r="AH1523">
        <v>9.3573086836987702</v>
      </c>
      <c r="AI1523">
        <v>96.528940766045196</v>
      </c>
      <c r="AJ1523">
        <v>74.788804226979096</v>
      </c>
      <c r="AK1523">
        <v>9.7603424218599599</v>
      </c>
      <c r="AL1523">
        <v>72.159961132374605</v>
      </c>
      <c r="AM1523">
        <v>88.092703397159397</v>
      </c>
      <c r="AN1523">
        <v>1.0000000395791799</v>
      </c>
    </row>
    <row r="1524" spans="1:40" x14ac:dyDescent="0.25">
      <c r="A1524" t="str">
        <f>"20190304164121191"</f>
        <v>20190304164121191</v>
      </c>
      <c r="B1524" t="str">
        <f>"1551688881182413"</f>
        <v>1551688881182413</v>
      </c>
      <c r="C1524" t="s">
        <v>40</v>
      </c>
      <c r="D1524">
        <v>4.8328519999999999</v>
      </c>
      <c r="E1524">
        <v>0.60888149999999996</v>
      </c>
      <c r="F1524" t="s">
        <v>44</v>
      </c>
      <c r="G1524">
        <v>-207.63460000000001</v>
      </c>
      <c r="H1524" s="1">
        <v>-5.3030440000000002E-6</v>
      </c>
      <c r="I1524">
        <v>364.43169999999998</v>
      </c>
      <c r="J1524">
        <v>-217.1095</v>
      </c>
      <c r="K1524">
        <v>1.1097109999999999</v>
      </c>
      <c r="L1524">
        <v>367.2491</v>
      </c>
      <c r="M1524">
        <v>0.99968239999999997</v>
      </c>
      <c r="N1524">
        <v>-1.4076409999999999E-2</v>
      </c>
      <c r="O1524">
        <v>-2.0903310000000001E-2</v>
      </c>
      <c r="P1524">
        <v>0.95455460000000003</v>
      </c>
      <c r="Q1524">
        <v>0.29314959999999901</v>
      </c>
      <c r="R1524">
        <v>-5.3750930000000002E-2</v>
      </c>
      <c r="S1524">
        <v>3.2060240000000002</v>
      </c>
      <c r="T1524">
        <v>-0.36993090000000001</v>
      </c>
      <c r="U1524">
        <v>-0.94030760000000002</v>
      </c>
      <c r="V1524">
        <v>3.4491679999999997E-2</v>
      </c>
      <c r="W1524">
        <v>0.30649130000000002</v>
      </c>
      <c r="X1524">
        <v>0.95124830000000005</v>
      </c>
      <c r="Y1524">
        <v>0.259623299999999</v>
      </c>
      <c r="Z1524">
        <v>-1.442995E-2</v>
      </c>
      <c r="AA1524">
        <v>0.96560219999999997</v>
      </c>
      <c r="AB1524">
        <v>28</v>
      </c>
      <c r="AC1524">
        <v>9.4748999999999892</v>
      </c>
      <c r="AD1524">
        <v>-1.109716303044</v>
      </c>
      <c r="AE1524">
        <v>-2.8174000000000201</v>
      </c>
      <c r="AF1524">
        <v>2.5861147470148</v>
      </c>
      <c r="AG1524">
        <v>-1.109716303044</v>
      </c>
      <c r="AH1524">
        <v>9.4130937313527898</v>
      </c>
      <c r="AI1524">
        <v>96.485458875816803</v>
      </c>
      <c r="AJ1524">
        <v>74.637817804878097</v>
      </c>
      <c r="AK1524">
        <v>9.8247541115898809</v>
      </c>
      <c r="AL1524">
        <v>72.152092671245995</v>
      </c>
      <c r="AM1524">
        <v>87.923399918173104</v>
      </c>
      <c r="AN1524">
        <v>0.99999996060889995</v>
      </c>
    </row>
    <row r="1525" spans="1:40" x14ac:dyDescent="0.25">
      <c r="A1525" t="str">
        <f>"20190304164121201"</f>
        <v>20190304164121201</v>
      </c>
      <c r="B1525" t="str">
        <f>"1551688881192173"</f>
        <v>1551688881192173</v>
      </c>
      <c r="C1525" t="s">
        <v>40</v>
      </c>
      <c r="D1525">
        <v>4.8320349999999896</v>
      </c>
      <c r="E1525">
        <v>0.6088964</v>
      </c>
      <c r="F1525" t="s">
        <v>44</v>
      </c>
      <c r="G1525">
        <v>-207.50200000000001</v>
      </c>
      <c r="H1525" s="1">
        <v>-5.2648269999999997E-6</v>
      </c>
      <c r="I1525">
        <v>364.39229999999998</v>
      </c>
      <c r="J1525">
        <v>-216.97219999999999</v>
      </c>
      <c r="K1525">
        <v>1.1096269999999999</v>
      </c>
      <c r="L1525">
        <v>367.24549999999999</v>
      </c>
      <c r="M1525">
        <v>0.99966699999999997</v>
      </c>
      <c r="N1525">
        <v>-1.407662E-2</v>
      </c>
      <c r="O1525">
        <v>-2.1633739999999999E-2</v>
      </c>
      <c r="P1525">
        <v>0.95420470000000002</v>
      </c>
      <c r="Q1525">
        <v>0.29356009999999999</v>
      </c>
      <c r="R1525">
        <v>-5.758684E-2</v>
      </c>
      <c r="S1525">
        <v>3.2028349999999999</v>
      </c>
      <c r="T1525">
        <v>-0.36994450000000001</v>
      </c>
      <c r="U1525">
        <v>-0.95236209999999999</v>
      </c>
      <c r="V1525">
        <v>3.7701850000000002E-2</v>
      </c>
      <c r="W1525">
        <v>0.30688300000000002</v>
      </c>
      <c r="X1525">
        <v>0.95100019999999996</v>
      </c>
      <c r="Y1525">
        <v>0.2625015</v>
      </c>
      <c r="Z1525">
        <v>-1.454743E-2</v>
      </c>
      <c r="AA1525">
        <v>0.96482190000000001</v>
      </c>
      <c r="AB1525">
        <v>28</v>
      </c>
      <c r="AC1525">
        <v>9.47019999999997</v>
      </c>
      <c r="AD1525">
        <v>-1.1096322648270001</v>
      </c>
      <c r="AE1525">
        <v>-2.85320000000001</v>
      </c>
      <c r="AF1525">
        <v>2.6147256490130899</v>
      </c>
      <c r="AG1525">
        <v>-1.1096322648270001</v>
      </c>
      <c r="AH1525">
        <v>9.4112594900094795</v>
      </c>
      <c r="AI1525">
        <v>96.481120244117093</v>
      </c>
      <c r="AJ1525">
        <v>74.473137119755904</v>
      </c>
      <c r="AK1525">
        <v>9.8305584363781495</v>
      </c>
      <c r="AL1525">
        <v>72.128514243567594</v>
      </c>
      <c r="AM1525">
        <v>87.729731014676602</v>
      </c>
      <c r="AN1525">
        <v>0.99999999279123097</v>
      </c>
    </row>
    <row r="1526" spans="1:40" x14ac:dyDescent="0.25">
      <c r="A1526" t="str">
        <f>"20190304164121211"</f>
        <v>20190304164121211</v>
      </c>
      <c r="B1526" t="str">
        <f>"1551688881202909"</f>
        <v>1551688881202909</v>
      </c>
      <c r="C1526" t="s">
        <v>40</v>
      </c>
      <c r="D1526">
        <v>4.8445839999999896</v>
      </c>
      <c r="E1526">
        <v>0.60891850000000003</v>
      </c>
      <c r="F1526" t="s">
        <v>44</v>
      </c>
      <c r="G1526">
        <v>-207.36340000000001</v>
      </c>
      <c r="H1526" s="1">
        <v>-5.2238099999999997E-6</v>
      </c>
      <c r="I1526">
        <v>364.34870000000001</v>
      </c>
      <c r="J1526">
        <v>-216.84180000000001</v>
      </c>
      <c r="K1526">
        <v>1.1095219999999999</v>
      </c>
      <c r="L1526">
        <v>367.24189999999999</v>
      </c>
      <c r="M1526">
        <v>0.99964889999999995</v>
      </c>
      <c r="N1526">
        <v>-1.4077599999999999E-2</v>
      </c>
      <c r="O1526">
        <v>-2.245697E-2</v>
      </c>
      <c r="P1526">
        <v>0.9539571</v>
      </c>
      <c r="Q1526">
        <v>0.29355039999999999</v>
      </c>
      <c r="R1526">
        <v>-6.159792E-2</v>
      </c>
      <c r="S1526">
        <v>3.1994319999999998</v>
      </c>
      <c r="T1526">
        <v>-0.36947010000000002</v>
      </c>
      <c r="U1526">
        <v>-0.96456909999999896</v>
      </c>
      <c r="V1526">
        <v>4.100475E-2</v>
      </c>
      <c r="W1526">
        <v>0.30685479999999998</v>
      </c>
      <c r="X1526">
        <v>0.95087259999999996</v>
      </c>
      <c r="Y1526">
        <v>0.26535160000000002</v>
      </c>
      <c r="Z1526">
        <v>-1.463851E-2</v>
      </c>
      <c r="AA1526">
        <v>0.96404060000000003</v>
      </c>
      <c r="AB1526">
        <v>28</v>
      </c>
      <c r="AC1526">
        <v>9.4783999999999899</v>
      </c>
      <c r="AD1526">
        <v>-1.10952722380999</v>
      </c>
      <c r="AE1526">
        <v>-2.89319999999997</v>
      </c>
      <c r="AF1526">
        <v>2.6464206848967602</v>
      </c>
      <c r="AG1526">
        <v>-1.10952722380999</v>
      </c>
      <c r="AH1526">
        <v>9.4228743060713906</v>
      </c>
      <c r="AI1526">
        <v>96.467569640793499</v>
      </c>
      <c r="AJ1526">
        <v>74.312566438170194</v>
      </c>
      <c r="AK1526">
        <v>9.8501346838429296</v>
      </c>
      <c r="AL1526">
        <v>72.130211649765201</v>
      </c>
      <c r="AM1526">
        <v>87.530747642003504</v>
      </c>
      <c r="AN1526">
        <v>0.99999997961818099</v>
      </c>
    </row>
    <row r="1527" spans="1:40" x14ac:dyDescent="0.25">
      <c r="A1527" t="str">
        <f>"20190304164121223"</f>
        <v>20190304164121223</v>
      </c>
      <c r="B1527" t="str">
        <f>"1551688881212669"</f>
        <v>1551688881212669</v>
      </c>
      <c r="C1527" t="s">
        <v>40</v>
      </c>
      <c r="D1527">
        <v>4.8403679999999998</v>
      </c>
      <c r="E1527">
        <v>0.60887999999999998</v>
      </c>
      <c r="F1527" t="s">
        <v>44</v>
      </c>
      <c r="G1527">
        <v>-207.2568</v>
      </c>
      <c r="H1527" s="1">
        <v>-5.1831469999999998E-6</v>
      </c>
      <c r="I1527">
        <v>364.3082</v>
      </c>
      <c r="J1527">
        <v>-216.70699999999999</v>
      </c>
      <c r="K1527">
        <v>1.109416</v>
      </c>
      <c r="L1527">
        <v>367.23809999999997</v>
      </c>
      <c r="M1527">
        <v>0.99962870000000004</v>
      </c>
      <c r="N1527">
        <v>-1.40786E-2</v>
      </c>
      <c r="O1527">
        <v>-2.3328850000000002E-2</v>
      </c>
      <c r="P1527">
        <v>0.95367919999999995</v>
      </c>
      <c r="Q1527">
        <v>0.29357759999999999</v>
      </c>
      <c r="R1527">
        <v>-6.563621E-2</v>
      </c>
      <c r="S1527">
        <v>3.1954959999999999</v>
      </c>
      <c r="T1527">
        <v>-0.36989880000000003</v>
      </c>
      <c r="U1527">
        <v>-0.97805790000000004</v>
      </c>
      <c r="V1527">
        <v>4.4293689999999997E-2</v>
      </c>
      <c r="W1527">
        <v>0.30686069999999999</v>
      </c>
      <c r="X1527">
        <v>0.95072319999999999</v>
      </c>
      <c r="Y1527">
        <v>0.2685399</v>
      </c>
      <c r="Z1527">
        <v>-1.477788E-2</v>
      </c>
      <c r="AA1527">
        <v>0.96315519999999999</v>
      </c>
      <c r="AB1527">
        <v>28</v>
      </c>
      <c r="AC1527">
        <v>9.4501999999999899</v>
      </c>
      <c r="AD1527">
        <v>-1.109421183147</v>
      </c>
      <c r="AE1527">
        <v>-2.9298999999999702</v>
      </c>
      <c r="AF1527">
        <v>2.6749847119214198</v>
      </c>
      <c r="AG1527">
        <v>-1.109421183147</v>
      </c>
      <c r="AH1527">
        <v>9.3978231717948209</v>
      </c>
      <c r="AI1527">
        <v>96.477675834510293</v>
      </c>
      <c r="AJ1527">
        <v>74.111592682471596</v>
      </c>
      <c r="AK1527">
        <v>9.8338923595366001</v>
      </c>
      <c r="AL1527">
        <v>72.129857059876301</v>
      </c>
      <c r="AM1527">
        <v>87.332548854585397</v>
      </c>
      <c r="AN1527">
        <v>1.0000000115982699</v>
      </c>
    </row>
    <row r="1528" spans="1:40" x14ac:dyDescent="0.25">
      <c r="A1528" t="str">
        <f>"20190304164121235"</f>
        <v>20190304164121235</v>
      </c>
      <c r="B1528" t="str">
        <f>"1551688881222429"</f>
        <v>1551688881222429</v>
      </c>
      <c r="C1528" t="s">
        <v>40</v>
      </c>
      <c r="D1528">
        <v>4.841977</v>
      </c>
      <c r="E1528">
        <v>0.60889230000000005</v>
      </c>
      <c r="F1528" t="s">
        <v>44</v>
      </c>
      <c r="G1528">
        <v>-207.15280000000001</v>
      </c>
      <c r="H1528" s="1">
        <v>-5.143231E-6</v>
      </c>
      <c r="I1528">
        <v>364.2697</v>
      </c>
      <c r="J1528">
        <v>-216.56</v>
      </c>
      <c r="K1528">
        <v>1.1092919999999999</v>
      </c>
      <c r="L1528">
        <v>367.23349999999999</v>
      </c>
      <c r="M1528">
        <v>0.99960300000000002</v>
      </c>
      <c r="N1528">
        <v>-1.4080779999999999E-2</v>
      </c>
      <c r="O1528">
        <v>-2.4410899999999999E-2</v>
      </c>
      <c r="P1528">
        <v>0.95345250000000004</v>
      </c>
      <c r="Q1528">
        <v>0.29340339999999998</v>
      </c>
      <c r="R1528">
        <v>-6.9591399999999998E-2</v>
      </c>
      <c r="S1528">
        <v>3.1915439999999999</v>
      </c>
      <c r="T1528">
        <v>-0.37059779999999998</v>
      </c>
      <c r="U1528">
        <v>-0.99157709999999999</v>
      </c>
      <c r="V1528">
        <v>4.731254E-2</v>
      </c>
      <c r="W1528">
        <v>0.3066642</v>
      </c>
      <c r="X1528">
        <v>0.95064119999999996</v>
      </c>
      <c r="Y1528">
        <v>0.2715323</v>
      </c>
      <c r="Z1528">
        <v>-1.489356E-2</v>
      </c>
      <c r="AA1528">
        <v>0.96231409999999995</v>
      </c>
      <c r="AB1528">
        <v>27</v>
      </c>
      <c r="AC1528">
        <v>9.40719999999998</v>
      </c>
      <c r="AD1528">
        <v>-1.1092971432309999</v>
      </c>
      <c r="AE1528">
        <v>-2.9637999999999902</v>
      </c>
      <c r="AF1528">
        <v>2.6991131799455101</v>
      </c>
      <c r="AG1528">
        <v>-1.1092971432309999</v>
      </c>
      <c r="AH1528">
        <v>9.3583733601385699</v>
      </c>
      <c r="AI1528">
        <v>96.497579798375497</v>
      </c>
      <c r="AJ1528">
        <v>73.911543977901999</v>
      </c>
      <c r="AK1528">
        <v>9.8028008272068501</v>
      </c>
      <c r="AL1528">
        <v>72.141686700593795</v>
      </c>
      <c r="AM1528">
        <v>87.150792548489505</v>
      </c>
      <c r="AN1528">
        <v>1.00000004957016</v>
      </c>
    </row>
    <row r="1529" spans="1:40" x14ac:dyDescent="0.25">
      <c r="A1529" t="str">
        <f>"20190304164121247"</f>
        <v>20190304164121247</v>
      </c>
      <c r="B1529" t="str">
        <f>"1551688881242457"</f>
        <v>1551688881242457</v>
      </c>
      <c r="C1529" t="s">
        <v>40</v>
      </c>
      <c r="D1529">
        <v>4.8595100000000002</v>
      </c>
      <c r="E1529">
        <v>0.60883799999999999</v>
      </c>
      <c r="F1529" t="s">
        <v>44</v>
      </c>
      <c r="G1529">
        <v>-207.03380000000001</v>
      </c>
      <c r="H1529" s="1">
        <v>-5.0976150000000003E-6</v>
      </c>
      <c r="I1529">
        <v>364.22539999999998</v>
      </c>
      <c r="J1529">
        <v>-216.41909999999999</v>
      </c>
      <c r="K1529">
        <v>1.109162</v>
      </c>
      <c r="L1529">
        <v>367.22899999999998</v>
      </c>
      <c r="M1529">
        <v>0.99957530000000006</v>
      </c>
      <c r="N1529">
        <v>-1.408328E-2</v>
      </c>
      <c r="O1529">
        <v>-2.5520060000000001E-2</v>
      </c>
      <c r="P1529">
        <v>0.95304800000000001</v>
      </c>
      <c r="Q1529">
        <v>0.29370970000000002</v>
      </c>
      <c r="R1529">
        <v>-7.3717969999999994E-2</v>
      </c>
      <c r="S1529">
        <v>3.1872099999999999</v>
      </c>
      <c r="T1529">
        <v>-0.37113940000000001</v>
      </c>
      <c r="U1529">
        <v>-1.0064390000000001</v>
      </c>
      <c r="V1529">
        <v>5.0483359999999998E-2</v>
      </c>
      <c r="W1529">
        <v>0.3069442</v>
      </c>
      <c r="X1529">
        <v>0.95038769999999995</v>
      </c>
      <c r="Y1529">
        <v>0.27489550000000001</v>
      </c>
      <c r="Z1529">
        <v>-1.502593E-2</v>
      </c>
      <c r="AA1529">
        <v>0.96135669999999995</v>
      </c>
      <c r="AB1529">
        <v>27</v>
      </c>
      <c r="AC1529">
        <v>9.3852999999999707</v>
      </c>
      <c r="AD1529">
        <v>-1.1091670976150001</v>
      </c>
      <c r="AE1529">
        <v>-3.00360000000006</v>
      </c>
      <c r="AF1529">
        <v>2.7285162331488801</v>
      </c>
      <c r="AG1529">
        <v>-1.1091670976150001</v>
      </c>
      <c r="AH1529">
        <v>9.3405645651786795</v>
      </c>
      <c r="AI1529">
        <v>96.502720084990699</v>
      </c>
      <c r="AJ1529">
        <v>73.716140185490303</v>
      </c>
      <c r="AK1529">
        <v>9.79393684282579</v>
      </c>
      <c r="AL1529">
        <v>72.124830909016396</v>
      </c>
      <c r="AM1529">
        <v>86.9593802756564</v>
      </c>
      <c r="AN1529">
        <v>1.0000000459309</v>
      </c>
    </row>
    <row r="1530" spans="1:40" x14ac:dyDescent="0.25">
      <c r="A1530" t="str">
        <f>"20190304164121258"</f>
        <v>20190304164121258</v>
      </c>
      <c r="B1530" t="str">
        <f>"1551688881252218"</f>
        <v>1551688881252218</v>
      </c>
      <c r="C1530" t="s">
        <v>40</v>
      </c>
      <c r="D1530">
        <v>4.8426080000000002</v>
      </c>
      <c r="E1530">
        <v>0.60880419999999902</v>
      </c>
      <c r="F1530" t="s">
        <v>44</v>
      </c>
      <c r="G1530">
        <v>-206.89850000000001</v>
      </c>
      <c r="H1530" s="1">
        <v>-5.045959E-6</v>
      </c>
      <c r="I1530">
        <v>364.17410000000001</v>
      </c>
      <c r="J1530">
        <v>-216.2765</v>
      </c>
      <c r="K1530">
        <v>1.1090310000000001</v>
      </c>
      <c r="L1530">
        <v>367.2242</v>
      </c>
      <c r="M1530">
        <v>0.99954330000000002</v>
      </c>
      <c r="N1530">
        <v>-1.4086380000000001E-2</v>
      </c>
      <c r="O1530">
        <v>-2.6737460000000001E-2</v>
      </c>
      <c r="P1530">
        <v>0.95272860000000004</v>
      </c>
      <c r="Q1530">
        <v>0.29353200000000002</v>
      </c>
      <c r="R1530">
        <v>-7.8404559999999998E-2</v>
      </c>
      <c r="S1530">
        <v>3.1830599999999998</v>
      </c>
      <c r="T1530">
        <v>-0.37082979999999999</v>
      </c>
      <c r="U1530">
        <v>-1.0213620000000001</v>
      </c>
      <c r="V1530">
        <v>5.4113300000000003E-2</v>
      </c>
      <c r="W1530">
        <v>0.30673679999999998</v>
      </c>
      <c r="X1530">
        <v>0.95025490000000001</v>
      </c>
      <c r="Y1530">
        <v>0.27815990000000002</v>
      </c>
      <c r="Z1530">
        <v>-1.511174E-2</v>
      </c>
      <c r="AA1530">
        <v>0.96041589999999999</v>
      </c>
      <c r="AB1530">
        <v>27</v>
      </c>
      <c r="AC1530">
        <v>9.3779999999999806</v>
      </c>
      <c r="AD1530">
        <v>-1.1090360459589901</v>
      </c>
      <c r="AE1530">
        <v>-3.05009999999998</v>
      </c>
      <c r="AF1530">
        <v>2.7632920789150801</v>
      </c>
      <c r="AG1530">
        <v>-1.1090360459589901</v>
      </c>
      <c r="AH1530">
        <v>9.3381037562321705</v>
      </c>
      <c r="AI1530">
        <v>96.497027774177596</v>
      </c>
      <c r="AJ1530">
        <v>73.515684121720696</v>
      </c>
      <c r="AK1530">
        <v>9.8013226570085195</v>
      </c>
      <c r="AL1530">
        <v>72.137316309026801</v>
      </c>
      <c r="AM1530">
        <v>86.740749500042895</v>
      </c>
      <c r="AN1530">
        <v>1.0000000443425601</v>
      </c>
    </row>
    <row r="1531" spans="1:40" x14ac:dyDescent="0.25">
      <c r="A1531" t="str">
        <f>"20190304164121269"</f>
        <v>20190304164121269</v>
      </c>
      <c r="B1531" t="str">
        <f>"1551688881262953"</f>
        <v>1551688881262953</v>
      </c>
      <c r="C1531" t="s">
        <v>40</v>
      </c>
      <c r="D1531">
        <v>4.8737529999999998</v>
      </c>
      <c r="E1531">
        <v>0.60873239999999995</v>
      </c>
      <c r="F1531" t="s">
        <v>44</v>
      </c>
      <c r="G1531">
        <v>-206.79570000000001</v>
      </c>
      <c r="H1531" s="1">
        <v>-5.0075790000000002E-6</v>
      </c>
      <c r="I1531">
        <v>364.13130000000001</v>
      </c>
      <c r="J1531">
        <v>-216.1422</v>
      </c>
      <c r="K1531">
        <v>1.108897</v>
      </c>
      <c r="L1531">
        <v>367.21940000000001</v>
      </c>
      <c r="M1531">
        <v>0.99950839999999996</v>
      </c>
      <c r="N1531">
        <v>-1.4090180000000001E-2</v>
      </c>
      <c r="O1531">
        <v>-2.8010409999999999E-2</v>
      </c>
      <c r="P1531">
        <v>0.95242230000000005</v>
      </c>
      <c r="Q1531">
        <v>0.29311389999999998</v>
      </c>
      <c r="R1531">
        <v>-8.3523470000000002E-2</v>
      </c>
      <c r="S1531">
        <v>3.1780849999999998</v>
      </c>
      <c r="T1531">
        <v>-0.37176589999999998</v>
      </c>
      <c r="U1531">
        <v>-1.0367740000000001</v>
      </c>
      <c r="V1531">
        <v>5.8123069999999999E-2</v>
      </c>
      <c r="W1531">
        <v>0.30628660000000002</v>
      </c>
      <c r="X1531">
        <v>0.95016330000000004</v>
      </c>
      <c r="Y1531">
        <v>0.28156009999999998</v>
      </c>
      <c r="Z1531">
        <v>-1.5246350000000001E-2</v>
      </c>
      <c r="AA1531">
        <v>0.95942249999999996</v>
      </c>
      <c r="AB1531">
        <v>27</v>
      </c>
      <c r="AC1531">
        <v>9.34649999999999</v>
      </c>
      <c r="AD1531">
        <v>-1.1089020075789999</v>
      </c>
      <c r="AE1531">
        <v>-3.0880999999999901</v>
      </c>
      <c r="AF1531">
        <v>2.7896595590573399</v>
      </c>
      <c r="AG1531">
        <v>-1.1089020075789999</v>
      </c>
      <c r="AH1531">
        <v>9.3111724739937092</v>
      </c>
      <c r="AI1531">
        <v>96.508366098066404</v>
      </c>
      <c r="AJ1531">
        <v>73.321601749005794</v>
      </c>
      <c r="AK1531">
        <v>9.7831384002430894</v>
      </c>
      <c r="AL1531">
        <v>72.164415044068903</v>
      </c>
      <c r="AM1531">
        <v>86.499483765047401</v>
      </c>
      <c r="AN1531">
        <v>1.00000003463633</v>
      </c>
    </row>
    <row r="1532" spans="1:40" x14ac:dyDescent="0.25">
      <c r="A1532" t="str">
        <f>"20190304164121285"</f>
        <v>20190304164121285</v>
      </c>
      <c r="B1532" t="str">
        <f>"1551688881272713"</f>
        <v>1551688881272713</v>
      </c>
      <c r="C1532" t="s">
        <v>40</v>
      </c>
      <c r="D1532">
        <v>4.9138229999999998</v>
      </c>
      <c r="E1532">
        <v>0.60873239999999995</v>
      </c>
      <c r="F1532" t="s">
        <v>44</v>
      </c>
      <c r="G1532">
        <v>-206.7499</v>
      </c>
      <c r="H1532" s="1">
        <v>-4.9926199999999898E-6</v>
      </c>
      <c r="I1532">
        <v>364.10250000000002</v>
      </c>
      <c r="J1532">
        <v>-215.94970000000001</v>
      </c>
      <c r="K1532">
        <v>1.108698</v>
      </c>
      <c r="L1532">
        <v>367.21199999999999</v>
      </c>
      <c r="M1532">
        <v>0.99945119999999998</v>
      </c>
      <c r="N1532">
        <v>-1.409644E-2</v>
      </c>
      <c r="O1532">
        <v>-2.998052E-2</v>
      </c>
      <c r="P1532">
        <v>0.95220769999999999</v>
      </c>
      <c r="Q1532">
        <v>0.29110269999999999</v>
      </c>
      <c r="R1532">
        <v>-9.2520500000000006E-2</v>
      </c>
      <c r="S1532">
        <v>3.172806</v>
      </c>
      <c r="T1532">
        <v>-0.3745966</v>
      </c>
      <c r="U1532">
        <v>-1.0528869999999999</v>
      </c>
      <c r="V1532">
        <v>6.5386169999999993E-2</v>
      </c>
      <c r="W1532">
        <v>0.30422009999999899</v>
      </c>
      <c r="X1532">
        <v>0.95035510000000001</v>
      </c>
      <c r="Y1532">
        <v>0.28449580000000002</v>
      </c>
      <c r="Z1532">
        <v>-1.5347680000000001E-2</v>
      </c>
      <c r="AA1532">
        <v>0.95855440000000003</v>
      </c>
      <c r="AB1532">
        <v>27</v>
      </c>
      <c r="AC1532">
        <v>9.1998000000000104</v>
      </c>
      <c r="AD1532">
        <v>-1.10870299262</v>
      </c>
      <c r="AE1532">
        <v>-3.1094999999999602</v>
      </c>
      <c r="AF1532">
        <v>2.7958177090605698</v>
      </c>
      <c r="AG1532">
        <v>-1.10870299262</v>
      </c>
      <c r="AH1532">
        <v>9.1693791443382295</v>
      </c>
      <c r="AI1532">
        <v>96.597337447963</v>
      </c>
      <c r="AJ1532">
        <v>73.043113094726607</v>
      </c>
      <c r="AK1532">
        <v>9.6500431543473493</v>
      </c>
      <c r="AL1532">
        <v>72.288750918454198</v>
      </c>
      <c r="AM1532">
        <v>86.064148069951798</v>
      </c>
      <c r="AN1532">
        <v>1.0000000182836399</v>
      </c>
    </row>
    <row r="1533" spans="1:40" x14ac:dyDescent="0.25">
      <c r="A1533" t="str">
        <f>"20190304164121300"</f>
        <v>20190304164121300</v>
      </c>
      <c r="B1533" t="str">
        <f>"1551688881292234"</f>
        <v>1551688881292234</v>
      </c>
      <c r="C1533" t="s">
        <v>40</v>
      </c>
      <c r="D1533">
        <v>4.8915889999999997</v>
      </c>
      <c r="E1533">
        <v>0.60869030000000002</v>
      </c>
      <c r="F1533" t="s">
        <v>44</v>
      </c>
      <c r="G1533">
        <v>-206.7697</v>
      </c>
      <c r="H1533" s="1">
        <v>-5.0086230000000002E-6</v>
      </c>
      <c r="I1533">
        <v>364.0718</v>
      </c>
      <c r="J1533">
        <v>-215.76599999999999</v>
      </c>
      <c r="K1533">
        <v>1.1084830000000001</v>
      </c>
      <c r="L1533">
        <v>367.20440000000002</v>
      </c>
      <c r="M1533">
        <v>0.99938570000000004</v>
      </c>
      <c r="N1533">
        <v>-1.4104240000000001E-2</v>
      </c>
      <c r="O1533">
        <v>-3.2086900000000002E-2</v>
      </c>
      <c r="P1533">
        <v>0.95213990000000004</v>
      </c>
      <c r="Q1533">
        <v>0.28982219999999997</v>
      </c>
      <c r="R1533">
        <v>-9.712432E-2</v>
      </c>
      <c r="S1533">
        <v>3.1622309999999998</v>
      </c>
      <c r="T1533">
        <v>-0.38191199999999997</v>
      </c>
      <c r="U1533">
        <v>-1.081696</v>
      </c>
      <c r="V1533">
        <v>6.8131419999999998E-2</v>
      </c>
      <c r="W1533">
        <v>0.30290159999999899</v>
      </c>
      <c r="X1533">
        <v>0.95058339999999997</v>
      </c>
      <c r="Y1533">
        <v>0.29115580000000002</v>
      </c>
      <c r="Z1533">
        <v>-1.5845749999999999E-2</v>
      </c>
      <c r="AA1533">
        <v>0.95654439999999996</v>
      </c>
      <c r="AB1533">
        <v>27</v>
      </c>
      <c r="AC1533">
        <v>8.9962999999999909</v>
      </c>
      <c r="AD1533">
        <v>-1.10848800862299</v>
      </c>
      <c r="AE1533">
        <v>-3.13260000000002</v>
      </c>
      <c r="AF1533">
        <v>2.80432292714372</v>
      </c>
      <c r="AG1533">
        <v>-1.10848800862299</v>
      </c>
      <c r="AH1533">
        <v>8.9707248906653092</v>
      </c>
      <c r="AI1533">
        <v>96.726326484503204</v>
      </c>
      <c r="AJ1533">
        <v>72.640323223651293</v>
      </c>
      <c r="AK1533">
        <v>9.4639779061960496</v>
      </c>
      <c r="AL1533">
        <v>72.368037050080005</v>
      </c>
      <c r="AM1533">
        <v>85.900434477095203</v>
      </c>
      <c r="AN1533">
        <v>1.0000000350146601</v>
      </c>
    </row>
    <row r="1534" spans="1:40" x14ac:dyDescent="0.25">
      <c r="A1534" t="str">
        <f>"20190304164121312"</f>
        <v>20190304164121312</v>
      </c>
      <c r="B1534" t="str">
        <f>"1551688881302970"</f>
        <v>1551688881302970</v>
      </c>
      <c r="C1534" t="s">
        <v>40</v>
      </c>
      <c r="D1534">
        <v>4.8660139999999998</v>
      </c>
      <c r="E1534">
        <v>0.60517989999999999</v>
      </c>
      <c r="F1534" t="s">
        <v>44</v>
      </c>
      <c r="G1534">
        <v>-206.6866</v>
      </c>
      <c r="H1534" s="1">
        <v>-4.9762989999999999E-6</v>
      </c>
      <c r="I1534">
        <v>364.04309999999998</v>
      </c>
      <c r="J1534">
        <v>-215.61799999999999</v>
      </c>
      <c r="K1534">
        <v>1.1083000000000001</v>
      </c>
      <c r="L1534">
        <v>367.19779999999997</v>
      </c>
      <c r="M1534">
        <v>0.99932310000000002</v>
      </c>
      <c r="N1534">
        <v>-1.4112680000000001E-2</v>
      </c>
      <c r="O1534">
        <v>-3.3973589999999998E-2</v>
      </c>
      <c r="P1534">
        <v>0.95182449999999996</v>
      </c>
      <c r="Q1534">
        <v>0.28945979999999999</v>
      </c>
      <c r="R1534">
        <v>-0.10120999999999999</v>
      </c>
      <c r="S1534">
        <v>3.156021</v>
      </c>
      <c r="T1534">
        <v>-0.3853145</v>
      </c>
      <c r="U1534">
        <v>-1.0988770000000001</v>
      </c>
      <c r="V1534">
        <v>7.0554530000000004E-2</v>
      </c>
      <c r="W1534">
        <v>0.30250339999999998</v>
      </c>
      <c r="X1534">
        <v>0.95053339999999997</v>
      </c>
      <c r="Y1534">
        <v>0.29452669999999997</v>
      </c>
      <c r="Z1534">
        <v>-1.6007250000000001E-2</v>
      </c>
      <c r="AA1534">
        <v>0.95550919999999895</v>
      </c>
      <c r="AB1534">
        <v>27</v>
      </c>
      <c r="AC1534">
        <v>8.9313999999999893</v>
      </c>
      <c r="AD1534">
        <v>-1.108304976299</v>
      </c>
      <c r="AE1534">
        <v>-3.1546999999999898</v>
      </c>
      <c r="AF1534">
        <v>2.81093349188524</v>
      </c>
      <c r="AG1534">
        <v>-1.108304976299</v>
      </c>
      <c r="AH1534">
        <v>8.9114283639213507</v>
      </c>
      <c r="AI1534">
        <v>96.764154149913296</v>
      </c>
      <c r="AJ1534">
        <v>72.493152599181201</v>
      </c>
      <c r="AK1534">
        <v>9.4097418934630301</v>
      </c>
      <c r="AL1534">
        <v>72.391974590790198</v>
      </c>
      <c r="AM1534">
        <v>85.754933826855506</v>
      </c>
      <c r="AN1534">
        <v>0.99999999661532002</v>
      </c>
    </row>
    <row r="1535" spans="1:40" x14ac:dyDescent="0.25">
      <c r="A1535" t="str">
        <f>"20190304164121327"</f>
        <v>20190304164121327</v>
      </c>
      <c r="B1535" t="str">
        <f>"1551688881322489"</f>
        <v>1551688881322489</v>
      </c>
      <c r="C1535" t="s">
        <v>40</v>
      </c>
      <c r="D1535">
        <v>4.8681710000000002</v>
      </c>
      <c r="E1535">
        <v>0.60535559999999999</v>
      </c>
      <c r="F1535" t="s">
        <v>44</v>
      </c>
      <c r="G1535">
        <v>-207.21940000000001</v>
      </c>
      <c r="H1535" s="1">
        <v>-5.163982E-6</v>
      </c>
      <c r="I1535">
        <v>364.3159</v>
      </c>
      <c r="J1535">
        <v>-215.44210000000001</v>
      </c>
      <c r="K1535">
        <v>1.108074</v>
      </c>
      <c r="L1535">
        <v>367.18939999999998</v>
      </c>
      <c r="M1535">
        <v>0.99923910000000005</v>
      </c>
      <c r="N1535">
        <v>-1.4123500000000001E-2</v>
      </c>
      <c r="O1535">
        <v>-3.635509E-2</v>
      </c>
      <c r="P1535">
        <v>0.95121369999999905</v>
      </c>
      <c r="Q1535">
        <v>0.28970970000000001</v>
      </c>
      <c r="R1535">
        <v>-0.106117</v>
      </c>
      <c r="S1535">
        <v>3.1633909999999998</v>
      </c>
      <c r="T1535">
        <v>-0.41744949999999997</v>
      </c>
      <c r="U1535">
        <v>-1.0854490000000001</v>
      </c>
      <c r="V1535">
        <v>7.33713E-2</v>
      </c>
      <c r="W1535">
        <v>0.3027048</v>
      </c>
      <c r="X1535">
        <v>0.95025599999999999</v>
      </c>
      <c r="Y1535">
        <v>0.28768490000000002</v>
      </c>
      <c r="Z1535">
        <v>-1.6337999999999998E-2</v>
      </c>
      <c r="AA1535">
        <v>0.95758580000000004</v>
      </c>
      <c r="AB1535">
        <v>27</v>
      </c>
      <c r="AC1535">
        <v>8.2226999999999997</v>
      </c>
      <c r="AD1535">
        <v>-1.108079163982</v>
      </c>
      <c r="AE1535">
        <v>-2.8734999999999702</v>
      </c>
      <c r="AF1535">
        <v>2.53166205319009</v>
      </c>
      <c r="AG1535">
        <v>-1.108079163982</v>
      </c>
      <c r="AH1535">
        <v>8.1892098140617406</v>
      </c>
      <c r="AI1535">
        <v>97.3659572968525</v>
      </c>
      <c r="AJ1535">
        <v>72.821211409271996</v>
      </c>
      <c r="AK1535">
        <v>8.6429340830495107</v>
      </c>
      <c r="AL1535">
        <v>72.379867745506203</v>
      </c>
      <c r="AM1535">
        <v>85.584830297675097</v>
      </c>
      <c r="AN1535">
        <v>1.00000000457136</v>
      </c>
    </row>
    <row r="1536" spans="1:40" x14ac:dyDescent="0.25">
      <c r="A1536" t="str">
        <f>"20190304164121340"</f>
        <v>20190304164121340</v>
      </c>
      <c r="B1536" t="str">
        <f>"1551688881332249"</f>
        <v>1551688881332249</v>
      </c>
      <c r="C1536" t="s">
        <v>40</v>
      </c>
      <c r="D1536">
        <v>4.8896610000000003</v>
      </c>
      <c r="E1536">
        <v>0.60499349999999996</v>
      </c>
      <c r="F1536" t="s">
        <v>44</v>
      </c>
      <c r="G1536">
        <v>-206.9425</v>
      </c>
      <c r="H1536" s="1">
        <v>-5.0574920000000001E-6</v>
      </c>
      <c r="I1536">
        <v>364.21449999999999</v>
      </c>
      <c r="J1536">
        <v>-215.2714</v>
      </c>
      <c r="K1536">
        <v>1.1078440000000001</v>
      </c>
      <c r="L1536">
        <v>367.18079999999998</v>
      </c>
      <c r="M1536">
        <v>0.99914429999999999</v>
      </c>
      <c r="N1536">
        <v>-1.413524E-2</v>
      </c>
      <c r="O1536">
        <v>-3.8869260000000003E-2</v>
      </c>
      <c r="P1536">
        <v>0.95030550000000003</v>
      </c>
      <c r="Q1536">
        <v>0.29077419999999998</v>
      </c>
      <c r="R1536">
        <v>-0.111220899999999</v>
      </c>
      <c r="S1536">
        <v>3.155945</v>
      </c>
      <c r="T1536">
        <v>-0.4114331</v>
      </c>
      <c r="U1536">
        <v>-1.104584</v>
      </c>
      <c r="V1536">
        <v>7.6281730000000006E-2</v>
      </c>
      <c r="W1536">
        <v>0.3037126</v>
      </c>
      <c r="X1536">
        <v>0.94970509999999997</v>
      </c>
      <c r="Y1536">
        <v>0.2911917</v>
      </c>
      <c r="Z1536">
        <v>-1.612763E-2</v>
      </c>
      <c r="AA1536">
        <v>0.95652879999999996</v>
      </c>
      <c r="AB1536">
        <v>27</v>
      </c>
      <c r="AC1536">
        <v>8.3289000000000009</v>
      </c>
      <c r="AD1536">
        <v>-1.1078490574919999</v>
      </c>
      <c r="AE1536">
        <v>-2.96629999999998</v>
      </c>
      <c r="AF1536">
        <v>2.5994733985355598</v>
      </c>
      <c r="AG1536">
        <v>-1.1078490574919999</v>
      </c>
      <c r="AH1536">
        <v>8.3074793647848502</v>
      </c>
      <c r="AI1536">
        <v>97.253068546377705</v>
      </c>
      <c r="AJ1536">
        <v>72.624702008442299</v>
      </c>
      <c r="AK1536">
        <v>8.7748962888575601</v>
      </c>
      <c r="AL1536">
        <v>72.319272607563605</v>
      </c>
      <c r="AM1536">
        <v>85.407776248368904</v>
      </c>
      <c r="AN1536">
        <v>1.0000000113482801</v>
      </c>
    </row>
    <row r="1537" spans="1:40" x14ac:dyDescent="0.25">
      <c r="A1537" t="str">
        <f>"20190304164121355"</f>
        <v>20190304164121355</v>
      </c>
      <c r="B1537" t="str">
        <f>"1551688881352279"</f>
        <v>1551688881352279</v>
      </c>
      <c r="C1537" t="s">
        <v>40</v>
      </c>
      <c r="D1537">
        <v>4.836633</v>
      </c>
      <c r="E1537">
        <v>0.60426749999999996</v>
      </c>
      <c r="F1537" t="s">
        <v>44</v>
      </c>
      <c r="G1537">
        <v>-206.74719999999999</v>
      </c>
      <c r="H1537" s="1">
        <v>-4.9794589999999999E-6</v>
      </c>
      <c r="I1537">
        <v>364.15609999999998</v>
      </c>
      <c r="J1537">
        <v>-215.0968</v>
      </c>
      <c r="K1537">
        <v>1.10762</v>
      </c>
      <c r="L1537">
        <v>367.17099999999999</v>
      </c>
      <c r="M1537">
        <v>0.99902930000000001</v>
      </c>
      <c r="N1537">
        <v>-1.4150329999999999E-2</v>
      </c>
      <c r="O1537">
        <v>-4.1715750000000003E-2</v>
      </c>
      <c r="P1537">
        <v>0.94820230000000005</v>
      </c>
      <c r="Q1537">
        <v>0.29372470000000001</v>
      </c>
      <c r="R1537">
        <v>-0.1209891</v>
      </c>
      <c r="S1537">
        <v>3.1513209999999998</v>
      </c>
      <c r="T1537">
        <v>-0.4095588</v>
      </c>
      <c r="U1537">
        <v>-1.1181950000000001</v>
      </c>
      <c r="V1537">
        <v>8.3613129999999994E-2</v>
      </c>
      <c r="W1537">
        <v>0.30655749999999998</v>
      </c>
      <c r="X1537">
        <v>0.94817260000000003</v>
      </c>
      <c r="Y1537">
        <v>0.2926011</v>
      </c>
      <c r="Z1537">
        <v>-1.5861770000000001E-2</v>
      </c>
      <c r="AA1537">
        <v>0.95610300000000004</v>
      </c>
      <c r="AB1537">
        <v>27</v>
      </c>
      <c r="AC1537">
        <v>8.3496000000000095</v>
      </c>
      <c r="AD1537">
        <v>-1.1076249794589901</v>
      </c>
      <c r="AE1537">
        <v>-3.0149000000000101</v>
      </c>
      <c r="AF1537">
        <v>2.6230943558801698</v>
      </c>
      <c r="AG1537">
        <v>-1.1076249794589901</v>
      </c>
      <c r="AH1537">
        <v>8.3383021598829998</v>
      </c>
      <c r="AI1537">
        <v>97.221673357659</v>
      </c>
      <c r="AJ1537">
        <v>72.5372718329278</v>
      </c>
      <c r="AK1537">
        <v>8.8110578255100194</v>
      </c>
      <c r="AL1537">
        <v>72.148108007142795</v>
      </c>
      <c r="AM1537">
        <v>84.960496509430698</v>
      </c>
      <c r="AN1537">
        <v>0.99999996785270295</v>
      </c>
    </row>
    <row r="1538" spans="1:40" x14ac:dyDescent="0.25">
      <c r="A1538" t="str">
        <f>"20190304164121368"</f>
        <v>20190304164121368</v>
      </c>
      <c r="B1538" t="str">
        <f>"1551688881363014"</f>
        <v>1551688881363014</v>
      </c>
      <c r="C1538" t="s">
        <v>40</v>
      </c>
      <c r="D1538">
        <v>4.8412160000000002</v>
      </c>
      <c r="E1538">
        <v>0.60390730000000004</v>
      </c>
      <c r="F1538" t="s">
        <v>44</v>
      </c>
      <c r="G1538">
        <v>-206.47710000000001</v>
      </c>
      <c r="H1538" s="1">
        <v>-4.8790880000000001E-6</v>
      </c>
      <c r="I1538">
        <v>364.04149999999998</v>
      </c>
      <c r="J1538">
        <v>-214.92769999999999</v>
      </c>
      <c r="K1538">
        <v>1.107383</v>
      </c>
      <c r="L1538">
        <v>367.161</v>
      </c>
      <c r="M1538">
        <v>0.9989017</v>
      </c>
      <c r="N1538">
        <v>-1.4166339999999999E-2</v>
      </c>
      <c r="O1538">
        <v>-4.4662510000000002E-2</v>
      </c>
      <c r="P1538">
        <v>0.94703099999999996</v>
      </c>
      <c r="Q1538">
        <v>0.29479490000000003</v>
      </c>
      <c r="R1538">
        <v>-0.127389</v>
      </c>
      <c r="S1538">
        <v>3.1433870000000002</v>
      </c>
      <c r="T1538">
        <v>-0.40392270000000002</v>
      </c>
      <c r="U1538">
        <v>-1.1412659999999999</v>
      </c>
      <c r="V1538">
        <v>8.7440920000000005E-2</v>
      </c>
      <c r="W1538">
        <v>0.3075541</v>
      </c>
      <c r="X1538">
        <v>0.94750440000000002</v>
      </c>
      <c r="Y1538">
        <v>0.29678939999999998</v>
      </c>
      <c r="Z1538">
        <v>-1.566948E-2</v>
      </c>
      <c r="AA1538">
        <v>0.95481439999999995</v>
      </c>
      <c r="AB1538">
        <v>27</v>
      </c>
      <c r="AC1538">
        <v>8.4505999999999801</v>
      </c>
      <c r="AD1538">
        <v>-1.1073878790880001</v>
      </c>
      <c r="AE1538">
        <v>-3.1195000000000102</v>
      </c>
      <c r="AF1538">
        <v>2.6981472191759499</v>
      </c>
      <c r="AG1538">
        <v>-1.1073878790880001</v>
      </c>
      <c r="AH1538">
        <v>8.4537450564873904</v>
      </c>
      <c r="AI1538">
        <v>97.113270688754994</v>
      </c>
      <c r="AJ1538">
        <v>72.298689678174199</v>
      </c>
      <c r="AK1538">
        <v>8.9427127769588495</v>
      </c>
      <c r="AL1538">
        <v>72.088109389327201</v>
      </c>
      <c r="AM1538">
        <v>84.7273646664936</v>
      </c>
      <c r="AN1538">
        <v>1.0000000134683</v>
      </c>
    </row>
    <row r="1539" spans="1:40" x14ac:dyDescent="0.25">
      <c r="A1539" t="str">
        <f>"20190304164121387"</f>
        <v>20190304164121387</v>
      </c>
      <c r="B1539" t="str">
        <f>"1551688881382535"</f>
        <v>1551688881382535</v>
      </c>
      <c r="C1539" t="s">
        <v>40</v>
      </c>
      <c r="D1539">
        <v>4.8446449999999999</v>
      </c>
      <c r="E1539">
        <v>0.60344100000000001</v>
      </c>
      <c r="F1539" t="s">
        <v>44</v>
      </c>
      <c r="G1539">
        <v>-206.30269999999999</v>
      </c>
      <c r="H1539" s="1">
        <v>-4.8128449999999997E-6</v>
      </c>
      <c r="I1539">
        <v>363.97370000000001</v>
      </c>
      <c r="J1539">
        <v>-214.7149</v>
      </c>
      <c r="K1539">
        <v>1.10707</v>
      </c>
      <c r="L1539">
        <v>367.1474</v>
      </c>
      <c r="M1539">
        <v>0.99871370000000004</v>
      </c>
      <c r="N1539">
        <v>-1.4189230000000001E-2</v>
      </c>
      <c r="O1539">
        <v>-4.868041E-2</v>
      </c>
      <c r="P1539">
        <v>0.94550140000000005</v>
      </c>
      <c r="Q1539">
        <v>0.29486839999999997</v>
      </c>
      <c r="R1539">
        <v>-0.13812969999999999</v>
      </c>
      <c r="S1539">
        <v>3.137238</v>
      </c>
      <c r="T1539">
        <v>-0.40279759999999998</v>
      </c>
      <c r="U1539">
        <v>-1.1593629999999999</v>
      </c>
      <c r="V1539">
        <v>9.4655349999999999E-2</v>
      </c>
      <c r="W1539">
        <v>0.30750959999999899</v>
      </c>
      <c r="X1539">
        <v>0.94682529999999998</v>
      </c>
      <c r="Y1539">
        <v>0.29842370000000001</v>
      </c>
      <c r="Z1539">
        <v>-1.53248E-2</v>
      </c>
      <c r="AA1539">
        <v>0.9543104</v>
      </c>
      <c r="AB1539">
        <v>27</v>
      </c>
      <c r="AC1539">
        <v>8.4122000000000092</v>
      </c>
      <c r="AD1539">
        <v>-1.1070748128450001</v>
      </c>
      <c r="AE1539">
        <v>-3.17369999999999</v>
      </c>
      <c r="AF1539">
        <v>2.7191595400578299</v>
      </c>
      <c r="AG1539">
        <v>-1.1070748128450001</v>
      </c>
      <c r="AH1539">
        <v>8.4289419876638298</v>
      </c>
      <c r="AI1539">
        <v>97.124946469902497</v>
      </c>
      <c r="AJ1539">
        <v>72.120404537461994</v>
      </c>
      <c r="AK1539">
        <v>8.9256095745290995</v>
      </c>
      <c r="AL1539">
        <v>72.090788084327201</v>
      </c>
      <c r="AM1539">
        <v>84.2910353412327</v>
      </c>
      <c r="AN1539">
        <v>0.99999996904793498</v>
      </c>
    </row>
    <row r="1540" spans="1:40" x14ac:dyDescent="0.25">
      <c r="A1540" t="str">
        <f>"20190304164121398"</f>
        <v>20190304164121398</v>
      </c>
      <c r="B1540" t="str">
        <f>"1551688881392295"</f>
        <v>1551688881392295</v>
      </c>
      <c r="C1540" t="s">
        <v>40</v>
      </c>
      <c r="D1540">
        <v>4.8407939999999998</v>
      </c>
      <c r="E1540">
        <v>0.60314959999999995</v>
      </c>
      <c r="F1540" t="s">
        <v>44</v>
      </c>
      <c r="G1540">
        <v>-206.1515</v>
      </c>
      <c r="H1540" s="1">
        <v>-4.7627479999999998E-6</v>
      </c>
      <c r="I1540">
        <v>363.88200000000001</v>
      </c>
      <c r="J1540">
        <v>-214.5635</v>
      </c>
      <c r="K1540">
        <v>1.1068370000000001</v>
      </c>
      <c r="L1540">
        <v>367.137</v>
      </c>
      <c r="M1540">
        <v>0.99855819999999995</v>
      </c>
      <c r="N1540">
        <v>-1.420807E-2</v>
      </c>
      <c r="O1540">
        <v>-5.176629E-2</v>
      </c>
      <c r="P1540">
        <v>0.94475379999999998</v>
      </c>
      <c r="Q1540">
        <v>0.29443160000000002</v>
      </c>
      <c r="R1540">
        <v>-0.14405029999999999</v>
      </c>
      <c r="S1540">
        <v>3.1248320000000001</v>
      </c>
      <c r="T1540">
        <v>-0.4039758</v>
      </c>
      <c r="U1540">
        <v>-1.191559</v>
      </c>
      <c r="V1540">
        <v>9.784023E-2</v>
      </c>
      <c r="W1540">
        <v>0.3070059</v>
      </c>
      <c r="X1540">
        <v>0.94666499999999998</v>
      </c>
      <c r="Y1540">
        <v>0.30525819999999998</v>
      </c>
      <c r="Z1540">
        <v>-1.552869E-2</v>
      </c>
      <c r="AA1540">
        <v>0.95214299999999996</v>
      </c>
      <c r="AB1540">
        <v>27</v>
      </c>
      <c r="AC1540">
        <v>8.4120000000000008</v>
      </c>
      <c r="AD1540">
        <v>-1.1068417627480001</v>
      </c>
      <c r="AE1540">
        <v>-3.2549999999999901</v>
      </c>
      <c r="AF1540">
        <v>2.7733705480661999</v>
      </c>
      <c r="AG1540">
        <v>-1.1068417627480001</v>
      </c>
      <c r="AH1540">
        <v>8.44211115077883</v>
      </c>
      <c r="AI1540">
        <v>97.100210503071594</v>
      </c>
      <c r="AJ1540">
        <v>71.813808705240305</v>
      </c>
      <c r="AK1540">
        <v>8.9546593216463801</v>
      </c>
      <c r="AL1540">
        <v>72.121115154281796</v>
      </c>
      <c r="AM1540">
        <v>84.099286257488004</v>
      </c>
      <c r="AN1540">
        <v>0.99999997773313098</v>
      </c>
    </row>
    <row r="1541" spans="1:40" x14ac:dyDescent="0.25">
      <c r="A1541" t="str">
        <f>"20190304164121409"</f>
        <v>20190304164121409</v>
      </c>
      <c r="B1541" t="str">
        <f>"1551688881403030"</f>
        <v>1551688881403030</v>
      </c>
      <c r="C1541" t="s">
        <v>40</v>
      </c>
      <c r="D1541">
        <v>4.8691750000000003</v>
      </c>
      <c r="E1541">
        <v>0.60314959999999995</v>
      </c>
      <c r="F1541" t="s">
        <v>44</v>
      </c>
      <c r="G1541">
        <v>-206.0676</v>
      </c>
      <c r="H1541" s="1">
        <v>-4.7332309999999996E-6</v>
      </c>
      <c r="I1541">
        <v>363.83879999999999</v>
      </c>
      <c r="J1541">
        <v>-214.4298</v>
      </c>
      <c r="K1541">
        <v>1.106633</v>
      </c>
      <c r="L1541">
        <v>367.12720000000002</v>
      </c>
      <c r="M1541">
        <v>0.99840359999999995</v>
      </c>
      <c r="N1541">
        <v>-1.422675E-2</v>
      </c>
      <c r="O1541">
        <v>-5.4662189999999999E-2</v>
      </c>
      <c r="P1541">
        <v>0.94401480000000004</v>
      </c>
      <c r="Q1541">
        <v>0.29387089999999999</v>
      </c>
      <c r="R1541">
        <v>-0.14992039999999901</v>
      </c>
      <c r="S1541">
        <v>3.1174930000000001</v>
      </c>
      <c r="T1541">
        <v>-0.40614119999999998</v>
      </c>
      <c r="U1541">
        <v>-1.2102360000000001</v>
      </c>
      <c r="V1541">
        <v>0.1011325</v>
      </c>
      <c r="W1541">
        <v>0.30638009999999999</v>
      </c>
      <c r="X1541">
        <v>0.94652179999999997</v>
      </c>
      <c r="Y1541">
        <v>0.3081777</v>
      </c>
      <c r="Z1541">
        <v>-1.5499799999999999E-2</v>
      </c>
      <c r="AA1541">
        <v>0.95120260000000001</v>
      </c>
      <c r="AB1541">
        <v>27</v>
      </c>
      <c r="AC1541">
        <v>8.3621999999999996</v>
      </c>
      <c r="AD1541">
        <v>-1.106637733231</v>
      </c>
      <c r="AE1541">
        <v>-3.2884000000000202</v>
      </c>
      <c r="AF1541">
        <v>2.78411130218494</v>
      </c>
      <c r="AG1541">
        <v>-1.106637733231</v>
      </c>
      <c r="AH1541">
        <v>8.4020243452965904</v>
      </c>
      <c r="AI1541">
        <v>97.126461913431001</v>
      </c>
      <c r="AJ1541">
        <v>71.666767171396899</v>
      </c>
      <c r="AK1541">
        <v>8.9201981992846502</v>
      </c>
      <c r="AL1541">
        <v>72.158787303557204</v>
      </c>
      <c r="AM1541">
        <v>83.901286746363198</v>
      </c>
      <c r="AN1541">
        <v>1.00000003305374</v>
      </c>
    </row>
    <row r="1542" spans="1:40" x14ac:dyDescent="0.25">
      <c r="A1542" t="str">
        <f>"20190304164121420"</f>
        <v>20190304164121420</v>
      </c>
      <c r="B1542" t="str">
        <f>"1551688881412791"</f>
        <v>1551688881412791</v>
      </c>
      <c r="C1542" t="s">
        <v>40</v>
      </c>
      <c r="D1542">
        <v>4.888865</v>
      </c>
      <c r="E1542">
        <v>0.60300189999999998</v>
      </c>
      <c r="F1542" t="s">
        <v>44</v>
      </c>
      <c r="G1542">
        <v>-205.97749999999999</v>
      </c>
      <c r="H1542" s="1">
        <v>-4.7043860000000003E-6</v>
      </c>
      <c r="I1542">
        <v>363.77980000000002</v>
      </c>
      <c r="J1542">
        <v>-214.29079999999999</v>
      </c>
      <c r="K1542">
        <v>1.1064259999999999</v>
      </c>
      <c r="L1542">
        <v>367.11660000000001</v>
      </c>
      <c r="M1542">
        <v>0.99822940000000004</v>
      </c>
      <c r="N1542">
        <v>-1.42463E-2</v>
      </c>
      <c r="O1542">
        <v>-5.7752310000000001E-2</v>
      </c>
      <c r="P1542">
        <v>0.9432372</v>
      </c>
      <c r="Q1542">
        <v>0.29330919999999999</v>
      </c>
      <c r="R1542">
        <v>-0.15579979999999999</v>
      </c>
      <c r="S1542">
        <v>3.1090550000000001</v>
      </c>
      <c r="T1542">
        <v>-0.40706369999999997</v>
      </c>
      <c r="U1542">
        <v>-1.231293</v>
      </c>
      <c r="V1542">
        <v>0.1042574</v>
      </c>
      <c r="W1542">
        <v>0.3057513</v>
      </c>
      <c r="X1542">
        <v>0.94638599999999995</v>
      </c>
      <c r="Y1542">
        <v>0.31166139999999998</v>
      </c>
      <c r="Z1542">
        <v>-1.545243E-2</v>
      </c>
      <c r="AA1542">
        <v>0.95006760000000001</v>
      </c>
      <c r="AB1542">
        <v>27</v>
      </c>
      <c r="AC1542">
        <v>8.3132999999999893</v>
      </c>
      <c r="AD1542">
        <v>-1.106430704386</v>
      </c>
      <c r="AE1542">
        <v>-3.3367999999999798</v>
      </c>
      <c r="AF1542">
        <v>2.8082273978001799</v>
      </c>
      <c r="AG1542">
        <v>-1.106430704386</v>
      </c>
      <c r="AH1542">
        <v>8.3645430917066701</v>
      </c>
      <c r="AI1542">
        <v>97.147459951376604</v>
      </c>
      <c r="AJ1542">
        <v>71.441557195466004</v>
      </c>
      <c r="AK1542">
        <v>8.8924637280329399</v>
      </c>
      <c r="AL1542">
        <v>72.196629684825595</v>
      </c>
      <c r="AM1542">
        <v>83.713433495558604</v>
      </c>
      <c r="AN1542">
        <v>0.99999996195122398</v>
      </c>
    </row>
    <row r="1543" spans="1:40" x14ac:dyDescent="0.25">
      <c r="A1543" t="str">
        <f>"20190304164121433"</f>
        <v>20190304164121433</v>
      </c>
      <c r="B1543" t="str">
        <f>"1551688881422550"</f>
        <v>1551688881422550</v>
      </c>
      <c r="C1543" t="s">
        <v>40</v>
      </c>
      <c r="D1543">
        <v>4.9337169999999997</v>
      </c>
      <c r="E1543">
        <v>0.60269059999999997</v>
      </c>
      <c r="F1543" t="s">
        <v>44</v>
      </c>
      <c r="G1543">
        <v>-205.86940000000001</v>
      </c>
      <c r="H1543" s="1">
        <v>-4.6679639999999999E-6</v>
      </c>
      <c r="I1543">
        <v>363.71679999999998</v>
      </c>
      <c r="J1543">
        <v>-214.14400000000001</v>
      </c>
      <c r="K1543">
        <v>1.1061989999999999</v>
      </c>
      <c r="L1543">
        <v>367.10449999999997</v>
      </c>
      <c r="M1543">
        <v>0.99801830000000002</v>
      </c>
      <c r="N1543">
        <v>-1.4269469999999999E-2</v>
      </c>
      <c r="O1543">
        <v>-6.1286229999999997E-2</v>
      </c>
      <c r="P1543">
        <v>0.94211089999999997</v>
      </c>
      <c r="Q1543">
        <v>0.29346050000000001</v>
      </c>
      <c r="R1543">
        <v>-0.16219729999999999</v>
      </c>
      <c r="S1543">
        <v>3.100479</v>
      </c>
      <c r="T1543">
        <v>-0.40734670000000001</v>
      </c>
      <c r="U1543">
        <v>-1.2516780000000001</v>
      </c>
      <c r="V1543">
        <v>0.1075185</v>
      </c>
      <c r="W1543">
        <v>0.30582670000000001</v>
      </c>
      <c r="X1543">
        <v>0.94599679999999997</v>
      </c>
      <c r="Y1543">
        <v>0.31457030000000002</v>
      </c>
      <c r="Z1543">
        <v>-1.529699E-2</v>
      </c>
      <c r="AA1543">
        <v>0.94911089999999998</v>
      </c>
      <c r="AB1543">
        <v>27</v>
      </c>
      <c r="AC1543">
        <v>8.2745999999999906</v>
      </c>
      <c r="AD1543">
        <v>-1.1062036679639999</v>
      </c>
      <c r="AE1543">
        <v>-3.3876999999999899</v>
      </c>
      <c r="AF1543">
        <v>2.83082985973603</v>
      </c>
      <c r="AG1543">
        <v>-1.1062036679639999</v>
      </c>
      <c r="AH1543">
        <v>8.3390414019270498</v>
      </c>
      <c r="AI1543">
        <v>97.159605808889793</v>
      </c>
      <c r="AJ1543">
        <v>71.249342384555504</v>
      </c>
      <c r="AK1543">
        <v>8.8756349492779201</v>
      </c>
      <c r="AL1543">
        <v>72.192094260238306</v>
      </c>
      <c r="AM1543">
        <v>83.515798369257297</v>
      </c>
      <c r="AN1543">
        <v>1.00000007194268</v>
      </c>
    </row>
    <row r="1544" spans="1:40" x14ac:dyDescent="0.25">
      <c r="A1544" t="str">
        <f>"20190304164121444"</f>
        <v>20190304164121444</v>
      </c>
      <c r="B1544" t="str">
        <f>"1551688881432310"</f>
        <v>1551688881432310</v>
      </c>
      <c r="C1544" t="s">
        <v>40</v>
      </c>
      <c r="D1544">
        <v>4.9395800000000003</v>
      </c>
      <c r="E1544">
        <v>0.60240689999999997</v>
      </c>
      <c r="F1544" t="s">
        <v>44</v>
      </c>
      <c r="G1544">
        <v>-205.7379</v>
      </c>
      <c r="H1544" s="1">
        <v>-4.6221950000000001E-6</v>
      </c>
      <c r="I1544">
        <v>363.64699999999999</v>
      </c>
      <c r="J1544">
        <v>-214.00790000000001</v>
      </c>
      <c r="K1544">
        <v>1.1059939999999999</v>
      </c>
      <c r="L1544">
        <v>367.09289999999999</v>
      </c>
      <c r="M1544">
        <v>0.99780630000000003</v>
      </c>
      <c r="N1544">
        <v>-1.429066E-2</v>
      </c>
      <c r="O1544">
        <v>-6.4641270000000001E-2</v>
      </c>
      <c r="P1544">
        <v>0.94097520000000001</v>
      </c>
      <c r="Q1544">
        <v>0.29379840000000002</v>
      </c>
      <c r="R1544">
        <v>-0.16807259999999999</v>
      </c>
      <c r="S1544">
        <v>3.092117</v>
      </c>
      <c r="T1544">
        <v>-0.40690710000000002</v>
      </c>
      <c r="U1544">
        <v>-1.27179</v>
      </c>
      <c r="V1544">
        <v>0.1104232</v>
      </c>
      <c r="W1544">
        <v>0.3060909</v>
      </c>
      <c r="X1544">
        <v>0.94557659999999999</v>
      </c>
      <c r="Y1544">
        <v>0.31755749999999999</v>
      </c>
      <c r="Z1544">
        <v>-1.514425E-2</v>
      </c>
      <c r="AA1544">
        <v>0.94811809999999996</v>
      </c>
      <c r="AB1544">
        <v>27</v>
      </c>
      <c r="AC1544">
        <v>8.2700000000000102</v>
      </c>
      <c r="AD1544">
        <v>-1.105998622195</v>
      </c>
      <c r="AE1544">
        <v>-3.4458999999999902</v>
      </c>
      <c r="AF1544">
        <v>2.8604617110834001</v>
      </c>
      <c r="AG1544">
        <v>-1.105998622195</v>
      </c>
      <c r="AH1544">
        <v>8.3482470664990291</v>
      </c>
      <c r="AI1544">
        <v>97.143619373081094</v>
      </c>
      <c r="AJ1544">
        <v>71.086376410513296</v>
      </c>
      <c r="AK1544">
        <v>8.8937451749069698</v>
      </c>
      <c r="AL1544">
        <v>72.176193164760704</v>
      </c>
      <c r="AM1544">
        <v>83.339242560059802</v>
      </c>
      <c r="AN1544">
        <v>1.0000000143143</v>
      </c>
    </row>
    <row r="1545" spans="1:40" x14ac:dyDescent="0.25">
      <c r="A1545" t="str">
        <f>"20190304164121454"</f>
        <v>20190304164121454</v>
      </c>
      <c r="B1545" t="str">
        <f>"1551688881443047"</f>
        <v>1551688881443047</v>
      </c>
      <c r="C1545" t="s">
        <v>40</v>
      </c>
      <c r="D1545">
        <v>4.871124</v>
      </c>
      <c r="E1545">
        <v>0.60240689999999997</v>
      </c>
      <c r="F1545" t="s">
        <v>44</v>
      </c>
      <c r="G1545">
        <v>-205.61019999999999</v>
      </c>
      <c r="H1545" s="1">
        <v>-4.5766149999999997E-6</v>
      </c>
      <c r="I1545">
        <v>363.58429999999998</v>
      </c>
      <c r="J1545">
        <v>-213.87219999999999</v>
      </c>
      <c r="K1545">
        <v>1.105775</v>
      </c>
      <c r="L1545">
        <v>367.08049999999997</v>
      </c>
      <c r="M1545">
        <v>0.99756750000000005</v>
      </c>
      <c r="N1545">
        <v>-1.431466E-2</v>
      </c>
      <c r="O1545">
        <v>-6.8222489999999997E-2</v>
      </c>
      <c r="P1545">
        <v>0.93978510000000004</v>
      </c>
      <c r="Q1545">
        <v>0.29400859999999901</v>
      </c>
      <c r="R1545">
        <v>-0.17425009999999999</v>
      </c>
      <c r="S1545">
        <v>3.0848080000000002</v>
      </c>
      <c r="T1545">
        <v>-0.40627659999999999</v>
      </c>
      <c r="U1545">
        <v>-1.2888489999999999</v>
      </c>
      <c r="V1545">
        <v>0.113424499999999</v>
      </c>
      <c r="W1545">
        <v>0.30622440000000001</v>
      </c>
      <c r="X1545">
        <v>0.94517799999999996</v>
      </c>
      <c r="Y1545">
        <v>0.31942659999999901</v>
      </c>
      <c r="Z1545">
        <v>-1.4881109999999999E-2</v>
      </c>
      <c r="AA1545">
        <v>0.94749410000000001</v>
      </c>
      <c r="AB1545">
        <v>27</v>
      </c>
      <c r="AC1545">
        <v>8.2620000000000005</v>
      </c>
      <c r="AD1545">
        <v>-1.105779576615</v>
      </c>
      <c r="AE1545">
        <v>-3.49619999999998</v>
      </c>
      <c r="AF1545">
        <v>2.8805777347783601</v>
      </c>
      <c r="AG1545">
        <v>-1.105779576615</v>
      </c>
      <c r="AH1545">
        <v>8.3543674289463201</v>
      </c>
      <c r="AI1545">
        <v>97.1323591432119</v>
      </c>
      <c r="AJ1545">
        <v>70.975856564397702</v>
      </c>
      <c r="AK1545">
        <v>8.9059492304862609</v>
      </c>
      <c r="AL1545">
        <v>72.168157647501801</v>
      </c>
      <c r="AM1545">
        <v>83.157038945709701</v>
      </c>
      <c r="AN1545">
        <v>0.99999997601980395</v>
      </c>
    </row>
    <row r="1546" spans="1:40" x14ac:dyDescent="0.25">
      <c r="A1546" t="str">
        <f>"20190304164121466"</f>
        <v>20190304164121466</v>
      </c>
      <c r="B1546" t="str">
        <f>"1551688881462566"</f>
        <v>1551688881462566</v>
      </c>
      <c r="C1546" t="s">
        <v>40</v>
      </c>
      <c r="D1546">
        <v>4.8949109999999996</v>
      </c>
      <c r="E1546">
        <v>0.59695200000000004</v>
      </c>
      <c r="F1546" t="s">
        <v>44</v>
      </c>
      <c r="G1546">
        <v>-205.48929999999999</v>
      </c>
      <c r="H1546" s="1">
        <v>-4.5356320000000003E-6</v>
      </c>
      <c r="I1546">
        <v>363.51510000000002</v>
      </c>
      <c r="J1546">
        <v>-213.74520000000001</v>
      </c>
      <c r="K1546">
        <v>1.105569</v>
      </c>
      <c r="L1546">
        <v>367.0684</v>
      </c>
      <c r="M1546">
        <v>0.99732580000000004</v>
      </c>
      <c r="N1546">
        <v>-1.4337819999999999E-2</v>
      </c>
      <c r="O1546">
        <v>-7.1663560000000001E-2</v>
      </c>
      <c r="P1546">
        <v>0.93871340000000003</v>
      </c>
      <c r="Q1546">
        <v>0.2940297</v>
      </c>
      <c r="R1546">
        <v>-0.17989869999999999</v>
      </c>
      <c r="S1546">
        <v>3.076584</v>
      </c>
      <c r="T1546">
        <v>-0.40582679999999999</v>
      </c>
      <c r="U1546">
        <v>-1.3085020000000001</v>
      </c>
      <c r="V1546">
        <v>0.1160132</v>
      </c>
      <c r="W1546">
        <v>0.30617539999999999</v>
      </c>
      <c r="X1546">
        <v>0.94487969999999999</v>
      </c>
      <c r="Y1546">
        <v>0.32219419999999999</v>
      </c>
      <c r="Z1546">
        <v>-1.4703799999999901E-2</v>
      </c>
      <c r="AA1546">
        <v>0.94655940000000005</v>
      </c>
      <c r="AB1546">
        <v>27</v>
      </c>
      <c r="AC1546">
        <v>8.25590000000002</v>
      </c>
      <c r="AD1546">
        <v>-1.105573535632</v>
      </c>
      <c r="AE1546">
        <v>-3.5532999999999699</v>
      </c>
      <c r="AF1546">
        <v>2.90844912854139</v>
      </c>
      <c r="AG1546">
        <v>-1.105573535632</v>
      </c>
      <c r="AH1546">
        <v>8.3628072602972203</v>
      </c>
      <c r="AI1546">
        <v>97.117416654701003</v>
      </c>
      <c r="AJ1546">
        <v>70.823151904828805</v>
      </c>
      <c r="AK1546">
        <v>8.9228871139829398</v>
      </c>
      <c r="AL1546">
        <v>72.171108027248906</v>
      </c>
      <c r="AM1546">
        <v>83.000205441800205</v>
      </c>
      <c r="AN1546">
        <v>1.0000000428057401</v>
      </c>
    </row>
    <row r="1547" spans="1:40" x14ac:dyDescent="0.25">
      <c r="A1547" t="str">
        <f>"20190304164121477"</f>
        <v>20190304164121477</v>
      </c>
      <c r="B1547" t="str">
        <f>"1551688881472327"</f>
        <v>1551688881472327</v>
      </c>
      <c r="C1547" t="s">
        <v>40</v>
      </c>
      <c r="D1547">
        <v>4.9167149999999999</v>
      </c>
      <c r="E1547">
        <v>0.59660469999999999</v>
      </c>
      <c r="F1547" t="s">
        <v>44</v>
      </c>
      <c r="G1547">
        <v>-205.9041</v>
      </c>
      <c r="H1547" s="1">
        <v>-4.6640359999999999E-6</v>
      </c>
      <c r="I1547">
        <v>363.80739999999997</v>
      </c>
      <c r="J1547">
        <v>-213.60409999999999</v>
      </c>
      <c r="K1547">
        <v>1.10534</v>
      </c>
      <c r="L1547">
        <v>367.05430000000001</v>
      </c>
      <c r="M1547">
        <v>0.99702939999999995</v>
      </c>
      <c r="N1547">
        <v>-1.4366540000000001E-2</v>
      </c>
      <c r="O1547">
        <v>-7.5671989999999995E-2</v>
      </c>
      <c r="P1547">
        <v>0.93773930000000005</v>
      </c>
      <c r="Q1547">
        <v>0.2935413</v>
      </c>
      <c r="R1547">
        <v>-0.1856844</v>
      </c>
      <c r="S1547">
        <v>3.086182</v>
      </c>
      <c r="T1547">
        <v>-0.43513940000000001</v>
      </c>
      <c r="U1547">
        <v>-1.2834779999999999</v>
      </c>
      <c r="V1547">
        <v>0.1182038</v>
      </c>
      <c r="W1547">
        <v>0.3056219</v>
      </c>
      <c r="X1547">
        <v>0.9447873</v>
      </c>
      <c r="Y1547">
        <v>0.31062079999999997</v>
      </c>
      <c r="Z1547">
        <v>-1.415509E-2</v>
      </c>
      <c r="AA1547">
        <v>0.95042850000000001</v>
      </c>
      <c r="AB1547">
        <v>27</v>
      </c>
      <c r="AC1547">
        <v>7.6999999999999797</v>
      </c>
      <c r="AD1547">
        <v>-1.1053446640360001</v>
      </c>
      <c r="AE1547">
        <v>-3.2469000000000299</v>
      </c>
      <c r="AF1547">
        <v>2.60920344808292</v>
      </c>
      <c r="AG1547">
        <v>-1.1053446640360001</v>
      </c>
      <c r="AH1547">
        <v>7.7873942049735598</v>
      </c>
      <c r="AI1547">
        <v>97.665188706233593</v>
      </c>
      <c r="AJ1547">
        <v>71.476329951282693</v>
      </c>
      <c r="AK1547">
        <v>8.2869317581030302</v>
      </c>
      <c r="AL1547">
        <v>72.204416519033103</v>
      </c>
      <c r="AM1547">
        <v>82.868690932063501</v>
      </c>
      <c r="AN1547">
        <v>0.99999996316766904</v>
      </c>
    </row>
    <row r="1548" spans="1:40" x14ac:dyDescent="0.25">
      <c r="A1548" t="str">
        <f>"20190304164121487"</f>
        <v>20190304164121487</v>
      </c>
      <c r="B1548" t="str">
        <f>"1551688881483063"</f>
        <v>1551688881483063</v>
      </c>
      <c r="C1548" t="s">
        <v>40</v>
      </c>
      <c r="D1548">
        <v>4.899241</v>
      </c>
      <c r="E1548">
        <v>0.59623839999999995</v>
      </c>
      <c r="F1548" t="s">
        <v>44</v>
      </c>
      <c r="G1548">
        <v>-205.79320000000001</v>
      </c>
      <c r="H1548" s="1">
        <v>-4.6240610000000003E-6</v>
      </c>
      <c r="I1548">
        <v>363.75470000000001</v>
      </c>
      <c r="J1548">
        <v>-213.4734</v>
      </c>
      <c r="K1548">
        <v>1.1051299999999999</v>
      </c>
      <c r="L1548">
        <v>367.04050000000001</v>
      </c>
      <c r="M1548">
        <v>0.99672839999999996</v>
      </c>
      <c r="N1548">
        <v>-1.4394570000000001E-2</v>
      </c>
      <c r="O1548">
        <v>-7.9532160000000005E-2</v>
      </c>
      <c r="P1548">
        <v>0.93691100000000005</v>
      </c>
      <c r="Q1548">
        <v>0.29304920000000001</v>
      </c>
      <c r="R1548">
        <v>-0.19057840000000001</v>
      </c>
      <c r="S1548">
        <v>3.0780639999999999</v>
      </c>
      <c r="T1548">
        <v>-0.43558259999999999</v>
      </c>
      <c r="U1548">
        <v>-1.300262</v>
      </c>
      <c r="V1548">
        <v>0.1196223</v>
      </c>
      <c r="W1548">
        <v>0.30507840000000003</v>
      </c>
      <c r="X1548">
        <v>0.94478450000000003</v>
      </c>
      <c r="Y1548">
        <v>0.31223879999999998</v>
      </c>
      <c r="Z1548">
        <v>-1.3848589999999999E-2</v>
      </c>
      <c r="AA1548">
        <v>0.94990269999999999</v>
      </c>
      <c r="AB1548">
        <v>27</v>
      </c>
      <c r="AC1548">
        <v>7.6801999999999797</v>
      </c>
      <c r="AD1548">
        <v>-1.105134624061</v>
      </c>
      <c r="AE1548">
        <v>-3.2857999999999898</v>
      </c>
      <c r="AF1548">
        <v>2.6186713083287199</v>
      </c>
      <c r="AG1548">
        <v>-1.105134624061</v>
      </c>
      <c r="AH1548">
        <v>7.7810366589189703</v>
      </c>
      <c r="AI1548">
        <v>97.666528507326205</v>
      </c>
      <c r="AJ1548">
        <v>71.399582216579702</v>
      </c>
      <c r="AK1548">
        <v>8.2839177594785092</v>
      </c>
      <c r="AL1548">
        <v>72.237120000757102</v>
      </c>
      <c r="AM1548">
        <v>82.783987600995303</v>
      </c>
      <c r="AN1548">
        <v>1.00000003812204</v>
      </c>
    </row>
    <row r="1549" spans="1:40" x14ac:dyDescent="0.25">
      <c r="A1549" t="str">
        <f>"20190304164121498"</f>
        <v>20190304164121498</v>
      </c>
      <c r="B1549" t="str">
        <f>"1551688881492823"</f>
        <v>1551688881492823</v>
      </c>
      <c r="C1549" t="s">
        <v>40</v>
      </c>
      <c r="D1549">
        <v>4.9160399999999997</v>
      </c>
      <c r="E1549">
        <v>0.59576119999999899</v>
      </c>
      <c r="F1549" t="s">
        <v>44</v>
      </c>
      <c r="G1549">
        <v>-205.7175</v>
      </c>
      <c r="H1549" s="1">
        <v>-4.596387E-6</v>
      </c>
      <c r="I1549">
        <v>363.72059999999999</v>
      </c>
      <c r="J1549">
        <v>-213.34139999999999</v>
      </c>
      <c r="K1549">
        <v>1.1049199999999999</v>
      </c>
      <c r="L1549">
        <v>367.02600000000001</v>
      </c>
      <c r="M1549">
        <v>0.99639949999999999</v>
      </c>
      <c r="N1549">
        <v>-1.442354E-2</v>
      </c>
      <c r="O1549">
        <v>-8.3547300000000005E-2</v>
      </c>
      <c r="P1549">
        <v>0.93599679999999996</v>
      </c>
      <c r="Q1549">
        <v>0.29306749999999998</v>
      </c>
      <c r="R1549">
        <v>-0.1949921</v>
      </c>
      <c r="S1549">
        <v>3.0714570000000001</v>
      </c>
      <c r="T1549">
        <v>-0.43765209999999999</v>
      </c>
      <c r="U1549">
        <v>-1.3147279999999999</v>
      </c>
      <c r="V1549">
        <v>0.12042990000000001</v>
      </c>
      <c r="W1549">
        <v>0.30505209999999999</v>
      </c>
      <c r="X1549">
        <v>0.94469029999999998</v>
      </c>
      <c r="Y1549">
        <v>0.31293029999999999</v>
      </c>
      <c r="Z1549">
        <v>-1.348599E-2</v>
      </c>
      <c r="AA1549">
        <v>0.94968030000000003</v>
      </c>
      <c r="AB1549">
        <v>27</v>
      </c>
      <c r="AC1549">
        <v>7.6238999999999901</v>
      </c>
      <c r="AD1549">
        <v>-1.104924596387</v>
      </c>
      <c r="AE1549">
        <v>-3.3054000000000201</v>
      </c>
      <c r="AF1549">
        <v>2.6106599733067801</v>
      </c>
      <c r="AG1549">
        <v>-1.104924596387</v>
      </c>
      <c r="AH1549">
        <v>7.7366350704800997</v>
      </c>
      <c r="AI1549">
        <v>97.706487623234807</v>
      </c>
      <c r="AJ1549">
        <v>71.353482119498594</v>
      </c>
      <c r="AK1549">
        <v>8.2396557011631106</v>
      </c>
      <c r="AL1549">
        <v>72.238700756877705</v>
      </c>
      <c r="AM1549">
        <v>82.735072557182704</v>
      </c>
      <c r="AN1549">
        <v>0.99999995372125305</v>
      </c>
    </row>
    <row r="1550" spans="1:40" x14ac:dyDescent="0.25">
      <c r="A1550" t="str">
        <f>"20190304164121510"</f>
        <v>20190304164121510</v>
      </c>
      <c r="B1550" t="str">
        <f>"1551688881502582"</f>
        <v>1551688881502582</v>
      </c>
      <c r="C1550" t="s">
        <v>40</v>
      </c>
      <c r="D1550">
        <v>4.9155879999999996</v>
      </c>
      <c r="E1550">
        <v>0.59544430000000004</v>
      </c>
      <c r="F1550" t="s">
        <v>44</v>
      </c>
      <c r="G1550">
        <v>-205.6225</v>
      </c>
      <c r="H1550" s="1">
        <v>-4.5609020000000003E-6</v>
      </c>
      <c r="I1550">
        <v>363.68110000000001</v>
      </c>
      <c r="J1550">
        <v>-213.20590000000001</v>
      </c>
      <c r="K1550">
        <v>1.104703</v>
      </c>
      <c r="L1550">
        <v>367.0102</v>
      </c>
      <c r="M1550">
        <v>0.99602760000000001</v>
      </c>
      <c r="N1550">
        <v>-1.4455259999999999E-2</v>
      </c>
      <c r="O1550">
        <v>-8.7864910000000004E-2</v>
      </c>
      <c r="P1550">
        <v>0.93492660000000005</v>
      </c>
      <c r="Q1550">
        <v>0.29344510000000001</v>
      </c>
      <c r="R1550">
        <v>-0.1995064</v>
      </c>
      <c r="S1550">
        <v>3.0658110000000001</v>
      </c>
      <c r="T1550">
        <v>-0.43886170000000002</v>
      </c>
      <c r="U1550">
        <v>-1.328552</v>
      </c>
      <c r="V1550">
        <v>0.1210731</v>
      </c>
      <c r="W1550">
        <v>0.3053863</v>
      </c>
      <c r="X1550">
        <v>0.94450009999999995</v>
      </c>
      <c r="Y1550">
        <v>0.31307449999999998</v>
      </c>
      <c r="Z1550">
        <v>-1.302013E-2</v>
      </c>
      <c r="AA1550">
        <v>0.94963929999999996</v>
      </c>
      <c r="AB1550">
        <v>27</v>
      </c>
      <c r="AC1550">
        <v>7.5834000000000099</v>
      </c>
      <c r="AD1550">
        <v>-1.1047075609020001</v>
      </c>
      <c r="AE1550">
        <v>-3.32909999999998</v>
      </c>
      <c r="AF1550">
        <v>2.603515223534</v>
      </c>
      <c r="AG1550">
        <v>-1.1047075609020001</v>
      </c>
      <c r="AH1550">
        <v>7.7094384423136599</v>
      </c>
      <c r="AI1550">
        <v>97.731234553836302</v>
      </c>
      <c r="AJ1550">
        <v>71.339921929664499</v>
      </c>
      <c r="AK1550">
        <v>8.2118275316832499</v>
      </c>
      <c r="AL1550">
        <v>72.218593183775297</v>
      </c>
      <c r="AM1550">
        <v>82.695234549865205</v>
      </c>
      <c r="AN1550">
        <v>0.999999963335654</v>
      </c>
    </row>
    <row r="1551" spans="1:40" x14ac:dyDescent="0.25">
      <c r="A1551" t="str">
        <f>"20190304164121523"</f>
        <v>20190304164121523</v>
      </c>
      <c r="B1551" t="str">
        <f>"1551688881512342"</f>
        <v>1551688881512342</v>
      </c>
      <c r="C1551" t="s">
        <v>40</v>
      </c>
      <c r="D1551">
        <v>4.8767370000000003</v>
      </c>
      <c r="E1551">
        <v>0.59527489999999905</v>
      </c>
      <c r="F1551" t="s">
        <v>44</v>
      </c>
      <c r="G1551">
        <v>-205.46799999999999</v>
      </c>
      <c r="H1551" s="1">
        <v>-4.504536E-6</v>
      </c>
      <c r="I1551">
        <v>363.61070000000001</v>
      </c>
      <c r="J1551">
        <v>-213.05619999999999</v>
      </c>
      <c r="K1551">
        <v>1.104468</v>
      </c>
      <c r="L1551">
        <v>366.9923</v>
      </c>
      <c r="M1551">
        <v>0.99558530000000001</v>
      </c>
      <c r="N1551">
        <v>-1.4489709999999999E-2</v>
      </c>
      <c r="O1551">
        <v>-9.2736239999999998E-2</v>
      </c>
      <c r="P1551">
        <v>0.93341300000000005</v>
      </c>
      <c r="Q1551">
        <v>0.29456579999999999</v>
      </c>
      <c r="R1551">
        <v>-0.2048692</v>
      </c>
      <c r="S1551">
        <v>3.059097</v>
      </c>
      <c r="T1551">
        <v>-0.43673240000000002</v>
      </c>
      <c r="U1551">
        <v>-1.3439639999999999</v>
      </c>
      <c r="V1551">
        <v>0.12210500000000001</v>
      </c>
      <c r="W1551">
        <v>0.30644949999999999</v>
      </c>
      <c r="X1551">
        <v>0.94402280000000005</v>
      </c>
      <c r="Y1551">
        <v>0.3132586</v>
      </c>
      <c r="Z1551">
        <v>-1.2423299999999899E-2</v>
      </c>
      <c r="AA1551">
        <v>0.94958659999999995</v>
      </c>
      <c r="AB1551">
        <v>27</v>
      </c>
      <c r="AC1551">
        <v>7.5881999999999996</v>
      </c>
      <c r="AD1551">
        <v>-1.104472504536</v>
      </c>
      <c r="AE1551">
        <v>-3.3815999999999899</v>
      </c>
      <c r="AF1551">
        <v>2.6169941982227001</v>
      </c>
      <c r="AG1551">
        <v>-1.104472504536</v>
      </c>
      <c r="AH1551">
        <v>7.7324518682244099</v>
      </c>
      <c r="AI1551">
        <v>97.705176430963903</v>
      </c>
      <c r="AJ1551">
        <v>71.301970266946299</v>
      </c>
      <c r="AK1551">
        <v>8.2376774664473604</v>
      </c>
      <c r="AL1551">
        <v>72.154609192812003</v>
      </c>
      <c r="AM1551">
        <v>82.629973854570395</v>
      </c>
      <c r="AN1551">
        <v>0.999999986997545</v>
      </c>
    </row>
    <row r="1552" spans="1:40" x14ac:dyDescent="0.25">
      <c r="A1552" t="str">
        <f>"20190304164121536"</f>
        <v>20190304164121536</v>
      </c>
      <c r="B1552" t="str">
        <f>"1551688881522103"</f>
        <v>1551688881522103</v>
      </c>
      <c r="C1552" t="s">
        <v>40</v>
      </c>
      <c r="D1552">
        <v>4.9104539999999997</v>
      </c>
      <c r="E1552">
        <v>0.59505830000000004</v>
      </c>
      <c r="F1552" t="s">
        <v>44</v>
      </c>
      <c r="G1552">
        <v>-205.24510000000001</v>
      </c>
      <c r="H1552" s="1">
        <v>-4.4238790000000002E-6</v>
      </c>
      <c r="I1552">
        <v>363.50619999999998</v>
      </c>
      <c r="J1552">
        <v>-212.89099999999999</v>
      </c>
      <c r="K1552">
        <v>1.1042110000000001</v>
      </c>
      <c r="L1552">
        <v>366.97089999999997</v>
      </c>
      <c r="M1552">
        <v>0.99503739999999996</v>
      </c>
      <c r="N1552">
        <v>-1.453204E-2</v>
      </c>
      <c r="O1552">
        <v>-9.8435120000000001E-2</v>
      </c>
      <c r="P1552">
        <v>0.93158589999999997</v>
      </c>
      <c r="Q1552">
        <v>0.29551080000000002</v>
      </c>
      <c r="R1552">
        <v>-0.21171029999999999</v>
      </c>
      <c r="S1552">
        <v>3.051285</v>
      </c>
      <c r="T1552">
        <v>-0.4314499</v>
      </c>
      <c r="U1552">
        <v>-1.3617859999999999</v>
      </c>
      <c r="V1552">
        <v>0.1238725</v>
      </c>
      <c r="W1552">
        <v>0.30732399999999999</v>
      </c>
      <c r="X1552">
        <v>0.94350809999999996</v>
      </c>
      <c r="Y1552">
        <v>0.31343769999999999</v>
      </c>
      <c r="Z1552">
        <v>-1.1679220000000001E-2</v>
      </c>
      <c r="AA1552">
        <v>0.94953690000000002</v>
      </c>
      <c r="AB1552">
        <v>27</v>
      </c>
      <c r="AC1552">
        <v>7.6458999999999797</v>
      </c>
      <c r="AD1552">
        <v>-1.1042154238789901</v>
      </c>
      <c r="AE1552">
        <v>-3.4646999999999899</v>
      </c>
      <c r="AF1552">
        <v>2.6493222222480899</v>
      </c>
      <c r="AG1552">
        <v>-1.1042154238789901</v>
      </c>
      <c r="AH1552">
        <v>7.8146213541190201</v>
      </c>
      <c r="AI1552">
        <v>97.622038474322906</v>
      </c>
      <c r="AJ1552">
        <v>71.272252243287696</v>
      </c>
      <c r="AK1552">
        <v>8.3250529636683304</v>
      </c>
      <c r="AL1552">
        <v>72.101963657394606</v>
      </c>
      <c r="AM1552">
        <v>82.520457187157106</v>
      </c>
      <c r="AN1552">
        <v>0.99999998599892903</v>
      </c>
    </row>
    <row r="1553" spans="1:40" x14ac:dyDescent="0.25">
      <c r="A1553" t="str">
        <f>"20190304164121550"</f>
        <v>20190304164121550</v>
      </c>
      <c r="B1553" t="str">
        <f>"1551688881542598"</f>
        <v>1551688881542598</v>
      </c>
      <c r="C1553" t="s">
        <v>40</v>
      </c>
      <c r="D1553">
        <v>4.9216879999999996</v>
      </c>
      <c r="E1553">
        <v>0.59460449999999998</v>
      </c>
      <c r="F1553" t="s">
        <v>44</v>
      </c>
      <c r="G1553">
        <v>-205.06800000000001</v>
      </c>
      <c r="H1553" s="1">
        <v>-4.3613409999999997E-6</v>
      </c>
      <c r="I1553">
        <v>363.416</v>
      </c>
      <c r="J1553">
        <v>-212.73349999999999</v>
      </c>
      <c r="K1553">
        <v>1.103969</v>
      </c>
      <c r="L1553">
        <v>366.94959999999998</v>
      </c>
      <c r="M1553">
        <v>0.9944672</v>
      </c>
      <c r="N1553">
        <v>-1.4573579999999999E-2</v>
      </c>
      <c r="O1553">
        <v>-0.1040319</v>
      </c>
      <c r="P1553">
        <v>0.92960589999999999</v>
      </c>
      <c r="Q1553">
        <v>0.2965449</v>
      </c>
      <c r="R1553">
        <v>-0.21884609999999999</v>
      </c>
      <c r="S1553">
        <v>3.0423580000000001</v>
      </c>
      <c r="T1553">
        <v>-0.42942819999999998</v>
      </c>
      <c r="U1553">
        <v>-1.382477</v>
      </c>
      <c r="V1553">
        <v>0.12604109999999999</v>
      </c>
      <c r="W1553">
        <v>0.30828260000000002</v>
      </c>
      <c r="X1553">
        <v>0.94290799999999997</v>
      </c>
      <c r="Y1553">
        <v>0.3145423</v>
      </c>
      <c r="Z1553">
        <v>-1.108864E-2</v>
      </c>
      <c r="AA1553">
        <v>0.94917870000000004</v>
      </c>
      <c r="AB1553">
        <v>27</v>
      </c>
      <c r="AC1553">
        <v>7.6654999999999998</v>
      </c>
      <c r="AD1553">
        <v>-1.1039733613410001</v>
      </c>
      <c r="AE1553">
        <v>-3.5335999999999701</v>
      </c>
      <c r="AF1553">
        <v>2.6711871973156902</v>
      </c>
      <c r="AG1553">
        <v>-1.1039733613410001</v>
      </c>
      <c r="AH1553">
        <v>7.8571376666762696</v>
      </c>
      <c r="AI1553">
        <v>97.577470385524407</v>
      </c>
      <c r="AJ1553">
        <v>71.223533014878697</v>
      </c>
      <c r="AK1553">
        <v>8.3718940831066906</v>
      </c>
      <c r="AL1553">
        <v>72.044237721747095</v>
      </c>
      <c r="AM1553">
        <v>82.386250347078899</v>
      </c>
      <c r="AN1553">
        <v>1.0000000084079801</v>
      </c>
    </row>
    <row r="1554" spans="1:40" x14ac:dyDescent="0.25">
      <c r="A1554" t="str">
        <f>"20190304164121563"</f>
        <v>20190304164121563</v>
      </c>
      <c r="B1554" t="str">
        <f>"1551688881552358"</f>
        <v>1551688881552358</v>
      </c>
      <c r="C1554" t="s">
        <v>40</v>
      </c>
      <c r="D1554">
        <v>4.9387780000000001</v>
      </c>
      <c r="E1554">
        <v>0.59437130000000005</v>
      </c>
      <c r="F1554" t="s">
        <v>44</v>
      </c>
      <c r="G1554">
        <v>-204.93190000000001</v>
      </c>
      <c r="H1554" s="1">
        <v>-4.3098120000000001E-6</v>
      </c>
      <c r="I1554">
        <v>363.35109999999997</v>
      </c>
      <c r="J1554">
        <v>-212.57239999999999</v>
      </c>
      <c r="K1554">
        <v>1.1037250000000001</v>
      </c>
      <c r="L1554">
        <v>366.92689999999999</v>
      </c>
      <c r="M1554">
        <v>0.99383489999999997</v>
      </c>
      <c r="N1554">
        <v>-1.461671E-2</v>
      </c>
      <c r="O1554">
        <v>-0.1099033</v>
      </c>
      <c r="P1554">
        <v>0.92750829999999995</v>
      </c>
      <c r="Q1554">
        <v>0.2972959</v>
      </c>
      <c r="R1554">
        <v>-0.2265923</v>
      </c>
      <c r="S1554">
        <v>3.0346220000000002</v>
      </c>
      <c r="T1554">
        <v>-0.42941810000000002</v>
      </c>
      <c r="U1554">
        <v>-1.3997189999999999</v>
      </c>
      <c r="V1554">
        <v>0.1285704</v>
      </c>
      <c r="W1554">
        <v>0.30895119999999998</v>
      </c>
      <c r="X1554">
        <v>0.9423475</v>
      </c>
      <c r="Y1554">
        <v>0.31434420000000002</v>
      </c>
      <c r="Z1554">
        <v>-1.04037E-2</v>
      </c>
      <c r="AA1554">
        <v>0.94925210000000004</v>
      </c>
      <c r="AB1554">
        <v>27</v>
      </c>
      <c r="AC1554">
        <v>7.6404999999999701</v>
      </c>
      <c r="AD1554">
        <v>-1.103729309812</v>
      </c>
      <c r="AE1554">
        <v>-3.5758000000000099</v>
      </c>
      <c r="AF1554">
        <v>2.6686450122760799</v>
      </c>
      <c r="AG1554">
        <v>-1.103729309812</v>
      </c>
      <c r="AH1554">
        <v>7.8528114281415196</v>
      </c>
      <c r="AI1554">
        <v>97.580251292288494</v>
      </c>
      <c r="AJ1554">
        <v>71.230540546299295</v>
      </c>
      <c r="AK1554">
        <v>8.3669906129285305</v>
      </c>
      <c r="AL1554">
        <v>72.003963717868899</v>
      </c>
      <c r="AM1554">
        <v>82.230747076390202</v>
      </c>
      <c r="AN1554">
        <v>1.0000000012469199</v>
      </c>
    </row>
    <row r="1555" spans="1:40" x14ac:dyDescent="0.25">
      <c r="A1555" t="str">
        <f>"20190304164121575"</f>
        <v>20190304164121575</v>
      </c>
      <c r="B1555" t="str">
        <f>"1551688881562120"</f>
        <v>1551688881562120</v>
      </c>
      <c r="C1555" t="s">
        <v>40</v>
      </c>
      <c r="D1555">
        <v>4.9436619999999998</v>
      </c>
      <c r="E1555">
        <v>0.59414319999999998</v>
      </c>
      <c r="F1555" t="s">
        <v>44</v>
      </c>
      <c r="G1555">
        <v>-204.8049</v>
      </c>
      <c r="H1555" s="1">
        <v>-4.2617589999999999E-6</v>
      </c>
      <c r="I1555">
        <v>363.27949999999998</v>
      </c>
      <c r="J1555">
        <v>-212.41210000000001</v>
      </c>
      <c r="K1555">
        <v>1.1034930000000001</v>
      </c>
      <c r="L1555">
        <v>366.90269999999998</v>
      </c>
      <c r="M1555">
        <v>0.99313649999999998</v>
      </c>
      <c r="N1555">
        <v>-1.466261E-2</v>
      </c>
      <c r="O1555">
        <v>-0.11603769999999999</v>
      </c>
      <c r="P1555">
        <v>0.92480960000000001</v>
      </c>
      <c r="Q1555">
        <v>0.29803429999999997</v>
      </c>
      <c r="R1555">
        <v>-0.23643700000000001</v>
      </c>
      <c r="S1555">
        <v>3.0252530000000002</v>
      </c>
      <c r="T1555">
        <v>-0.42987130000000001</v>
      </c>
      <c r="U1555">
        <v>-1.420563</v>
      </c>
      <c r="V1555">
        <v>0.13300329999999999</v>
      </c>
      <c r="W1555">
        <v>0.30957289999999998</v>
      </c>
      <c r="X1555">
        <v>0.94152789999999997</v>
      </c>
      <c r="Y1555">
        <v>0.31500270000000002</v>
      </c>
      <c r="Z1555">
        <v>-9.7603159999999998E-3</v>
      </c>
      <c r="AA1555">
        <v>0.94904060000000001</v>
      </c>
      <c r="AB1555">
        <v>27</v>
      </c>
      <c r="AC1555">
        <v>7.6071999999999997</v>
      </c>
      <c r="AD1555">
        <v>-1.103497261759</v>
      </c>
      <c r="AE1555">
        <v>-3.62319999999999</v>
      </c>
      <c r="AF1555">
        <v>2.67010602491187</v>
      </c>
      <c r="AG1555">
        <v>-1.103497261759</v>
      </c>
      <c r="AH1555">
        <v>7.8417756391330302</v>
      </c>
      <c r="AI1555">
        <v>97.587697824294196</v>
      </c>
      <c r="AJ1555">
        <v>71.196412987354293</v>
      </c>
      <c r="AK1555">
        <v>8.35706991507673</v>
      </c>
      <c r="AL1555">
        <v>71.966507062401504</v>
      </c>
      <c r="AM1555">
        <v>81.959413885448996</v>
      </c>
      <c r="AN1555">
        <v>1.0000000223518499</v>
      </c>
    </row>
    <row r="1556" spans="1:40" x14ac:dyDescent="0.25">
      <c r="A1556" t="str">
        <f>"20190304164121589"</f>
        <v>20190304164121589</v>
      </c>
      <c r="B1556" t="str">
        <f>"1551688881582614"</f>
        <v>1551688881582614</v>
      </c>
      <c r="C1556" t="s">
        <v>40</v>
      </c>
      <c r="D1556">
        <v>4.9374070000000003</v>
      </c>
      <c r="E1556">
        <v>0.59401380000000004</v>
      </c>
      <c r="F1556" t="s">
        <v>44</v>
      </c>
      <c r="G1556">
        <v>-204.7131</v>
      </c>
      <c r="H1556" s="1">
        <v>-4.2297590000000001E-6</v>
      </c>
      <c r="I1556">
        <v>363.21550000000002</v>
      </c>
      <c r="J1556">
        <v>-212.25040000000001</v>
      </c>
      <c r="K1556">
        <v>1.1032649999999999</v>
      </c>
      <c r="L1556">
        <v>366.87729999999999</v>
      </c>
      <c r="M1556">
        <v>0.99237450000000005</v>
      </c>
      <c r="N1556">
        <v>-1.470868E-2</v>
      </c>
      <c r="O1556">
        <v>-0.1223788</v>
      </c>
      <c r="P1556">
        <v>0.92290939999999999</v>
      </c>
      <c r="Q1556">
        <v>0.29795640000000001</v>
      </c>
      <c r="R1556">
        <v>-0.24384439999999999</v>
      </c>
      <c r="S1556">
        <v>3.0140989999999999</v>
      </c>
      <c r="T1556">
        <v>-0.43200769999999999</v>
      </c>
      <c r="U1556">
        <v>-1.4435119999999999</v>
      </c>
      <c r="V1556">
        <v>0.1347141</v>
      </c>
      <c r="W1556">
        <v>0.30943280000000001</v>
      </c>
      <c r="X1556">
        <v>0.94133069999999996</v>
      </c>
      <c r="Y1556">
        <v>0.3161967</v>
      </c>
      <c r="Z1556">
        <v>-9.1522909999999999E-3</v>
      </c>
      <c r="AA1556">
        <v>0.94864950000000003</v>
      </c>
      <c r="AB1556">
        <v>27</v>
      </c>
      <c r="AC1556">
        <v>7.5373000000000099</v>
      </c>
      <c r="AD1556">
        <v>-1.1032692297590001</v>
      </c>
      <c r="AE1556">
        <v>-3.6617999999999702</v>
      </c>
      <c r="AF1556">
        <v>2.6655591029546799</v>
      </c>
      <c r="AG1556">
        <v>-1.1032692297590001</v>
      </c>
      <c r="AH1556">
        <v>7.7937106111169898</v>
      </c>
      <c r="AI1556">
        <v>97.628887879946404</v>
      </c>
      <c r="AJ1556">
        <v>71.118587562216106</v>
      </c>
      <c r="AK1556">
        <v>8.3104953772031607</v>
      </c>
      <c r="AL1556">
        <v>71.974948590674899</v>
      </c>
      <c r="AM1556">
        <v>81.855684536669798</v>
      </c>
      <c r="AN1556">
        <v>1.0000000166085601</v>
      </c>
    </row>
    <row r="1557" spans="1:40" x14ac:dyDescent="0.25">
      <c r="A1557" t="str">
        <f>"20190304164121599"</f>
        <v>20190304164121599</v>
      </c>
      <c r="B1557" t="str">
        <f>"1551688881592374"</f>
        <v>1551688881592374</v>
      </c>
      <c r="C1557" t="s">
        <v>40</v>
      </c>
      <c r="D1557">
        <v>4.9522389999999996</v>
      </c>
      <c r="E1557">
        <v>0.59038349999999995</v>
      </c>
      <c r="F1557" t="s">
        <v>44</v>
      </c>
      <c r="G1557">
        <v>-204.61060000000001</v>
      </c>
      <c r="H1557" s="1">
        <v>-4.1931959999999998E-6</v>
      </c>
      <c r="I1557">
        <v>363.14789999999999</v>
      </c>
      <c r="J1557">
        <v>-212.1242</v>
      </c>
      <c r="K1557">
        <v>1.103091</v>
      </c>
      <c r="L1557">
        <v>366.85680000000002</v>
      </c>
      <c r="M1557">
        <v>0.99173820000000001</v>
      </c>
      <c r="N1557">
        <v>-1.474435E-2</v>
      </c>
      <c r="O1557">
        <v>-0.12742829999999999</v>
      </c>
      <c r="P1557">
        <v>0.92132239999999999</v>
      </c>
      <c r="Q1557">
        <v>0.297950299999999</v>
      </c>
      <c r="R1557">
        <v>-0.2497817</v>
      </c>
      <c r="S1557">
        <v>3.0032649999999999</v>
      </c>
      <c r="T1557">
        <v>-0.43370599999999998</v>
      </c>
      <c r="U1557">
        <v>-1.4660340000000001</v>
      </c>
      <c r="V1557">
        <v>0.1361204</v>
      </c>
      <c r="W1557">
        <v>0.30937700000000001</v>
      </c>
      <c r="X1557">
        <v>0.9411467</v>
      </c>
      <c r="Y1557">
        <v>0.31845790000000002</v>
      </c>
      <c r="Z1557">
        <v>-8.7632419999999992E-3</v>
      </c>
      <c r="AA1557">
        <v>0.94789650000000003</v>
      </c>
      <c r="AB1557">
        <v>27</v>
      </c>
      <c r="AC1557">
        <v>7.5135999999999896</v>
      </c>
      <c r="AD1557">
        <v>-1.103095193196</v>
      </c>
      <c r="AE1557">
        <v>-3.7089000000000198</v>
      </c>
      <c r="AF1557">
        <v>2.6747518914339601</v>
      </c>
      <c r="AG1557">
        <v>-1.103095193196</v>
      </c>
      <c r="AH1557">
        <v>7.7899951211419403</v>
      </c>
      <c r="AI1557">
        <v>97.628187999768798</v>
      </c>
      <c r="AJ1557">
        <v>71.049715624636505</v>
      </c>
      <c r="AK1557">
        <v>8.3099422785839501</v>
      </c>
      <c r="AL1557">
        <v>71.978310383359599</v>
      </c>
      <c r="AM1557">
        <v>81.770236460415404</v>
      </c>
      <c r="AN1557">
        <v>1.0000000011730199</v>
      </c>
    </row>
    <row r="1558" spans="1:40" x14ac:dyDescent="0.25">
      <c r="A1558" t="str">
        <f>"20190304164121610"</f>
        <v>20190304164121610</v>
      </c>
      <c r="B1558" t="str">
        <f>"1551688881602135"</f>
        <v>1551688881602135</v>
      </c>
      <c r="C1558" t="s">
        <v>40</v>
      </c>
      <c r="D1558">
        <v>4.9375850000000003</v>
      </c>
      <c r="E1558">
        <v>0.59054490000000004</v>
      </c>
      <c r="F1558" t="s">
        <v>44</v>
      </c>
      <c r="G1558">
        <v>-204.89949999999999</v>
      </c>
      <c r="H1558" s="1">
        <v>-4.292238E-6</v>
      </c>
      <c r="I1558">
        <v>363.3569</v>
      </c>
      <c r="J1558">
        <v>-211.99029999999999</v>
      </c>
      <c r="K1558">
        <v>1.102919</v>
      </c>
      <c r="L1558">
        <v>366.83370000000002</v>
      </c>
      <c r="M1558">
        <v>0.99100980000000005</v>
      </c>
      <c r="N1558">
        <v>-1.4783640000000001E-2</v>
      </c>
      <c r="O1558">
        <v>-0.13297049999999999</v>
      </c>
      <c r="P1558">
        <v>0.91965580000000002</v>
      </c>
      <c r="Q1558">
        <v>0.29787049999999998</v>
      </c>
      <c r="R1558">
        <v>-0.25594210000000001</v>
      </c>
      <c r="S1558">
        <v>3.0095209999999999</v>
      </c>
      <c r="T1558">
        <v>-0.45950780000000002</v>
      </c>
      <c r="U1558">
        <v>-1.457916</v>
      </c>
      <c r="V1558">
        <v>0.13729069999999999</v>
      </c>
      <c r="W1558">
        <v>0.30925459999999999</v>
      </c>
      <c r="X1558">
        <v>0.94101690000000004</v>
      </c>
      <c r="Y1558">
        <v>0.31021019999999999</v>
      </c>
      <c r="Z1558">
        <v>-7.6719939999999997E-3</v>
      </c>
      <c r="AA1558">
        <v>0.95063699999999995</v>
      </c>
      <c r="AB1558">
        <v>27</v>
      </c>
      <c r="AC1558">
        <v>7.0907999999999998</v>
      </c>
      <c r="AD1558">
        <v>-1.1029232922379999</v>
      </c>
      <c r="AE1558">
        <v>-3.4768000000000199</v>
      </c>
      <c r="AF1558">
        <v>2.4550645534131301</v>
      </c>
      <c r="AG1558">
        <v>-1.1029232922379999</v>
      </c>
      <c r="AH1558">
        <v>7.3468858738907299</v>
      </c>
      <c r="AI1558">
        <v>98.103418621350997</v>
      </c>
      <c r="AJ1558">
        <v>71.522229059518097</v>
      </c>
      <c r="AK1558">
        <v>7.8243538898724303</v>
      </c>
      <c r="AL1558">
        <v>71.985684557220495</v>
      </c>
      <c r="AM1558">
        <v>81.699333433253898</v>
      </c>
      <c r="AN1558">
        <v>0.99999997500662896</v>
      </c>
    </row>
    <row r="1559" spans="1:40" x14ac:dyDescent="0.25">
      <c r="A1559" t="str">
        <f>"20190304164121623"</f>
        <v>20190304164121623</v>
      </c>
      <c r="B1559" t="str">
        <f>"1551688881612871"</f>
        <v>1551688881612871</v>
      </c>
      <c r="C1559" t="s">
        <v>40</v>
      </c>
      <c r="D1559">
        <v>4.9844670000000004</v>
      </c>
      <c r="E1559">
        <v>0.59054490000000004</v>
      </c>
      <c r="F1559" t="s">
        <v>44</v>
      </c>
      <c r="G1559">
        <v>-204.75229999999999</v>
      </c>
      <c r="H1559" s="1">
        <v>-4.2395200000000004E-6</v>
      </c>
      <c r="I1559">
        <v>363.26060000000001</v>
      </c>
      <c r="J1559">
        <v>-211.84119999999999</v>
      </c>
      <c r="K1559">
        <v>1.1027209999999901</v>
      </c>
      <c r="L1559">
        <v>366.8075</v>
      </c>
      <c r="M1559">
        <v>0.99015070000000005</v>
      </c>
      <c r="N1559">
        <v>-1.4826229999999999E-2</v>
      </c>
      <c r="O1559">
        <v>-0.13921839999999999</v>
      </c>
      <c r="P1559">
        <v>0.91787890000000005</v>
      </c>
      <c r="Q1559">
        <v>0.29709980000000002</v>
      </c>
      <c r="R1559">
        <v>-0.26311610000000002</v>
      </c>
      <c r="S1559">
        <v>2.998138</v>
      </c>
      <c r="T1559">
        <v>-0.45685819999999999</v>
      </c>
      <c r="U1559">
        <v>-1.4800719999999901</v>
      </c>
      <c r="V1559">
        <v>0.13880670000000001</v>
      </c>
      <c r="W1559">
        <v>0.30843280000000001</v>
      </c>
      <c r="X1559">
        <v>0.94106420000000002</v>
      </c>
      <c r="Y1559">
        <v>0.3113493</v>
      </c>
      <c r="Z1559">
        <v>-6.9790390000000002E-3</v>
      </c>
      <c r="AA1559">
        <v>0.9502699</v>
      </c>
      <c r="AB1559">
        <v>27</v>
      </c>
      <c r="AC1559">
        <v>7.08889999999999</v>
      </c>
      <c r="AD1559">
        <v>-1.10272523951999</v>
      </c>
      <c r="AE1559">
        <v>-3.5468999999999902</v>
      </c>
      <c r="AF1559">
        <v>2.4773929653541802</v>
      </c>
      <c r="AG1559">
        <v>-1.10272523951999</v>
      </c>
      <c r="AH1559">
        <v>7.3710475513049998</v>
      </c>
      <c r="AI1559">
        <v>98.0711341057482</v>
      </c>
      <c r="AJ1559">
        <v>71.422615856047301</v>
      </c>
      <c r="AK1559">
        <v>7.8540321403888003</v>
      </c>
      <c r="AL1559">
        <v>72.035190162359001</v>
      </c>
      <c r="AM1559">
        <v>81.609389045613</v>
      </c>
      <c r="AN1559">
        <v>0.99999996030118399</v>
      </c>
    </row>
    <row r="1560" spans="1:40" x14ac:dyDescent="0.25">
      <c r="A1560" t="str">
        <f>"20190304164121635"</f>
        <v>20190304164121635</v>
      </c>
      <c r="B1560" t="str">
        <f>"1551688881622631"</f>
        <v>1551688881622631</v>
      </c>
      <c r="C1560" t="s">
        <v>40</v>
      </c>
      <c r="D1560">
        <v>4.9821039999999996</v>
      </c>
      <c r="E1560">
        <v>0.59390100000000001</v>
      </c>
      <c r="F1560" t="s">
        <v>44</v>
      </c>
      <c r="G1560">
        <v>-204.6687</v>
      </c>
      <c r="H1560" s="1">
        <v>-4.2119320000000003E-6</v>
      </c>
      <c r="I1560">
        <v>363.19529999999997</v>
      </c>
      <c r="J1560">
        <v>-211.6995</v>
      </c>
      <c r="K1560">
        <v>1.1025419999999999</v>
      </c>
      <c r="L1560">
        <v>366.78109999999998</v>
      </c>
      <c r="M1560">
        <v>0.9892666</v>
      </c>
      <c r="N1560">
        <v>-1.486847E-2</v>
      </c>
      <c r="O1560">
        <v>-0.1453632</v>
      </c>
      <c r="P1560">
        <v>0.91629559999999999</v>
      </c>
      <c r="Q1560">
        <v>0.29587639999999998</v>
      </c>
      <c r="R1560">
        <v>-0.26992559999999999</v>
      </c>
      <c r="S1560">
        <v>2.985916</v>
      </c>
      <c r="T1560">
        <v>-0.45907019999999998</v>
      </c>
      <c r="U1560">
        <v>-1.503754</v>
      </c>
      <c r="V1560">
        <v>0.14000850000000001</v>
      </c>
      <c r="W1560">
        <v>0.307172</v>
      </c>
      <c r="X1560">
        <v>0.94129850000000004</v>
      </c>
      <c r="Y1560">
        <v>0.31303120000000001</v>
      </c>
      <c r="Z1560">
        <v>-6.36996E-3</v>
      </c>
      <c r="AA1560">
        <v>0.9497215</v>
      </c>
      <c r="AB1560">
        <v>27</v>
      </c>
      <c r="AC1560">
        <v>7.0307999999999904</v>
      </c>
      <c r="AD1560">
        <v>-1.102546211932</v>
      </c>
      <c r="AE1560">
        <v>-3.5857999999999999</v>
      </c>
      <c r="AF1560">
        <v>2.47722808028941</v>
      </c>
      <c r="AG1560">
        <v>-1.102546211932</v>
      </c>
      <c r="AH1560">
        <v>7.3342754295334602</v>
      </c>
      <c r="AI1560">
        <v>98.105739572019999</v>
      </c>
      <c r="AJ1560">
        <v>71.337066212779604</v>
      </c>
      <c r="AK1560">
        <v>7.8194541489466003</v>
      </c>
      <c r="AL1560">
        <v>72.111114469078998</v>
      </c>
      <c r="AM1560">
        <v>81.539865723631806</v>
      </c>
      <c r="AN1560">
        <v>0.99999994187924801</v>
      </c>
    </row>
    <row r="1561" spans="1:40" x14ac:dyDescent="0.25">
      <c r="A1561" t="str">
        <f>"20190304164121647"</f>
        <v>20190304164121647</v>
      </c>
      <c r="B1561" t="str">
        <f>"1551688881632390"</f>
        <v>1551688881632390</v>
      </c>
      <c r="C1561" t="s">
        <v>40</v>
      </c>
      <c r="D1561">
        <v>4.9004960000000004</v>
      </c>
      <c r="E1561">
        <v>0.59390100000000001</v>
      </c>
      <c r="F1561" t="s">
        <v>44</v>
      </c>
      <c r="G1561">
        <v>-203.3562</v>
      </c>
      <c r="H1561" s="1">
        <v>-3.7311109999999998E-6</v>
      </c>
      <c r="I1561">
        <v>362.38499999999999</v>
      </c>
      <c r="J1561">
        <v>-211.56460000000001</v>
      </c>
      <c r="K1561">
        <v>1.1023689999999999</v>
      </c>
      <c r="L1561">
        <v>366.7552</v>
      </c>
      <c r="M1561">
        <v>0.98837629999999999</v>
      </c>
      <c r="N1561">
        <v>-1.490824E-2</v>
      </c>
      <c r="O1561">
        <v>-0.15129409999999999</v>
      </c>
      <c r="P1561">
        <v>0.91462160000000003</v>
      </c>
      <c r="Q1561">
        <v>0.29468949999999999</v>
      </c>
      <c r="R1561">
        <v>-0.27681299999999998</v>
      </c>
      <c r="S1561">
        <v>2.9428559999999999</v>
      </c>
      <c r="T1561">
        <v>-0.38889360000000001</v>
      </c>
      <c r="U1561">
        <v>-1.5505979999999999</v>
      </c>
      <c r="V1561">
        <v>0.14149200000000001</v>
      </c>
      <c r="W1561">
        <v>0.30594199999999999</v>
      </c>
      <c r="X1561">
        <v>0.94147729999999996</v>
      </c>
      <c r="Y1561">
        <v>0.32523150000000001</v>
      </c>
      <c r="Z1561">
        <v>-6.3469499999999996E-3</v>
      </c>
      <c r="AA1561">
        <v>0.94561309999999998</v>
      </c>
      <c r="AB1561">
        <v>27</v>
      </c>
      <c r="AC1561">
        <v>8.2084000000000099</v>
      </c>
      <c r="AD1561">
        <v>-1.1023727311110001</v>
      </c>
      <c r="AE1561">
        <v>-4.3702000000000103</v>
      </c>
      <c r="AF1561">
        <v>3.0352090706222801</v>
      </c>
      <c r="AG1561">
        <v>-1.1023727311110001</v>
      </c>
      <c r="AH1561">
        <v>8.6535438629277408</v>
      </c>
      <c r="AI1561">
        <v>96.854624741680894</v>
      </c>
      <c r="AJ1561">
        <v>70.671806879634104</v>
      </c>
      <c r="AK1561">
        <v>9.2364246940198296</v>
      </c>
      <c r="AL1561">
        <v>72.185154146024104</v>
      </c>
      <c r="AM1561">
        <v>81.453141061757293</v>
      </c>
      <c r="AN1561">
        <v>0.99999999992164401</v>
      </c>
    </row>
    <row r="1562" spans="1:40" x14ac:dyDescent="0.25">
      <c r="A1562" t="str">
        <f>"20190304164121658"</f>
        <v>20190304164121658</v>
      </c>
      <c r="B1562" t="str">
        <f>"1551688881652887"</f>
        <v>1551688881652887</v>
      </c>
      <c r="C1562" t="s">
        <v>40</v>
      </c>
      <c r="D1562">
        <v>4.8868429999999998</v>
      </c>
      <c r="E1562">
        <v>0.58874709999999997</v>
      </c>
      <c r="F1562" t="s">
        <v>44</v>
      </c>
      <c r="G1562">
        <v>-203.3398</v>
      </c>
      <c r="H1562" s="1">
        <v>-3.7325639999999999E-6</v>
      </c>
      <c r="I1562">
        <v>362.34120000000001</v>
      </c>
      <c r="J1562">
        <v>-211.41749999999999</v>
      </c>
      <c r="K1562">
        <v>1.1021939999999999</v>
      </c>
      <c r="L1562">
        <v>366.726</v>
      </c>
      <c r="M1562">
        <v>0.98734429999999995</v>
      </c>
      <c r="N1562">
        <v>-1.495202E-2</v>
      </c>
      <c r="O1562">
        <v>-0.15788559999999999</v>
      </c>
      <c r="P1562">
        <v>0.91276740000000001</v>
      </c>
      <c r="Q1562">
        <v>0.29356959999999999</v>
      </c>
      <c r="R1562">
        <v>-0.2840297</v>
      </c>
      <c r="S1562">
        <v>2.9306030000000001</v>
      </c>
      <c r="T1562">
        <v>-0.3927929</v>
      </c>
      <c r="U1562">
        <v>-1.572754</v>
      </c>
      <c r="V1562">
        <v>0.14269870000000001</v>
      </c>
      <c r="W1562">
        <v>0.3047859</v>
      </c>
      <c r="X1562">
        <v>0.94167009999999995</v>
      </c>
      <c r="Y1562">
        <v>0.32611669999999998</v>
      </c>
      <c r="Z1562">
        <v>-5.7397319999999896E-3</v>
      </c>
      <c r="AA1562">
        <v>0.94531209999999999</v>
      </c>
      <c r="AB1562">
        <v>27</v>
      </c>
      <c r="AC1562">
        <v>8.0776999999999894</v>
      </c>
      <c r="AD1562">
        <v>-1.102197732564</v>
      </c>
      <c r="AE1562">
        <v>-4.3847999999999798</v>
      </c>
      <c r="AF1562">
        <v>3.0109949852149098</v>
      </c>
      <c r="AG1562">
        <v>-1.102197732564</v>
      </c>
      <c r="AH1562">
        <v>8.5458388844917508</v>
      </c>
      <c r="AI1562">
        <v>96.935675316428501</v>
      </c>
      <c r="AJ1562">
        <v>70.590874069305102</v>
      </c>
      <c r="AK1562">
        <v>9.1275567860380793</v>
      </c>
      <c r="AL1562">
        <v>72.254715854041294</v>
      </c>
      <c r="AM1562">
        <v>81.383078240115694</v>
      </c>
      <c r="AN1562">
        <v>0.99999997052725398</v>
      </c>
    </row>
    <row r="1563" spans="1:40" x14ac:dyDescent="0.25">
      <c r="A1563" t="str">
        <f>"20190304164121669"</f>
        <v>20190304164121669</v>
      </c>
      <c r="B1563" t="str">
        <f>"1551688881662647"</f>
        <v>1551688881662647</v>
      </c>
      <c r="C1563" t="s">
        <v>40</v>
      </c>
      <c r="D1563">
        <v>4.9076430000000002</v>
      </c>
      <c r="E1563">
        <v>0.58841709999999903</v>
      </c>
      <c r="F1563" t="s">
        <v>44</v>
      </c>
      <c r="G1563">
        <v>-204.53579999999999</v>
      </c>
      <c r="H1563" s="1">
        <v>-4.1666979999999998E-6</v>
      </c>
      <c r="I1563">
        <v>363.09769999999997</v>
      </c>
      <c r="J1563">
        <v>-211.29499999999999</v>
      </c>
      <c r="K1563">
        <v>1.1020490000000001</v>
      </c>
      <c r="L1563">
        <v>366.7004</v>
      </c>
      <c r="M1563">
        <v>0.98642839999999998</v>
      </c>
      <c r="N1563">
        <v>-1.49888E-2</v>
      </c>
      <c r="O1563">
        <v>-0.16350700000000001</v>
      </c>
      <c r="P1563">
        <v>0.91120420000000002</v>
      </c>
      <c r="Q1563">
        <v>0.29261979999999999</v>
      </c>
      <c r="R1563">
        <v>-0.28996660000000002</v>
      </c>
      <c r="S1563">
        <v>2.9542079999999999</v>
      </c>
      <c r="T1563">
        <v>-0.47315689999999999</v>
      </c>
      <c r="U1563">
        <v>-1.5575559999999999</v>
      </c>
      <c r="V1563">
        <v>0.14349919999999999</v>
      </c>
      <c r="W1563">
        <v>0.30381209999999997</v>
      </c>
      <c r="X1563">
        <v>0.94186320000000001</v>
      </c>
      <c r="Y1563">
        <v>0.31333080000000002</v>
      </c>
      <c r="Z1563">
        <v>-4.1307360000000003E-3</v>
      </c>
      <c r="AA1563">
        <v>0.94963500000000001</v>
      </c>
      <c r="AB1563">
        <v>27</v>
      </c>
      <c r="AC1563">
        <v>6.7591999999999901</v>
      </c>
      <c r="AD1563">
        <v>-1.102053166698</v>
      </c>
      <c r="AE1563">
        <v>-3.60270000000002</v>
      </c>
      <c r="AF1563">
        <v>2.3992344760619302</v>
      </c>
      <c r="AG1563">
        <v>-1.102053166698</v>
      </c>
      <c r="AH1563">
        <v>7.1101521664976701</v>
      </c>
      <c r="AI1563">
        <v>98.354810771749897</v>
      </c>
      <c r="AJ1563">
        <v>71.353657989132898</v>
      </c>
      <c r="AK1563">
        <v>7.5845310391681302</v>
      </c>
      <c r="AL1563">
        <v>72.313289642523998</v>
      </c>
      <c r="AM1563">
        <v>81.337220754753304</v>
      </c>
      <c r="AN1563">
        <v>1.0000000500106401</v>
      </c>
    </row>
    <row r="1564" spans="1:40" x14ac:dyDescent="0.25">
      <c r="A1564" t="str">
        <f>"20190304164121682"</f>
        <v>20190304164121682</v>
      </c>
      <c r="B1564" t="str">
        <f>"1551688881672407"</f>
        <v>1551688881672407</v>
      </c>
      <c r="C1564" t="s">
        <v>40</v>
      </c>
      <c r="D1564">
        <v>4.885866</v>
      </c>
      <c r="E1564">
        <v>0.58802969999999999</v>
      </c>
      <c r="F1564" t="s">
        <v>44</v>
      </c>
      <c r="G1564">
        <v>-204.49469999999999</v>
      </c>
      <c r="H1564" s="1">
        <v>-4.1537560000000004E-6</v>
      </c>
      <c r="I1564">
        <v>363.06259999999997</v>
      </c>
      <c r="J1564">
        <v>-211.14400000000001</v>
      </c>
      <c r="K1564">
        <v>1.1018840000000001</v>
      </c>
      <c r="L1564">
        <v>366.66849999999999</v>
      </c>
      <c r="M1564">
        <v>0.98524460000000003</v>
      </c>
      <c r="N1564">
        <v>-1.5032749999999999E-2</v>
      </c>
      <c r="O1564">
        <v>-0.1704909</v>
      </c>
      <c r="P1564">
        <v>0.90924079999999996</v>
      </c>
      <c r="Q1564">
        <v>0.29166989999999998</v>
      </c>
      <c r="R1564">
        <v>-0.29700169999999998</v>
      </c>
      <c r="S1564">
        <v>2.9443359999999998</v>
      </c>
      <c r="T1564">
        <v>-0.47715639999999998</v>
      </c>
      <c r="U1564">
        <v>-1.5750729999999999</v>
      </c>
      <c r="V1564">
        <v>0.1441576</v>
      </c>
      <c r="W1564">
        <v>0.30283929999999998</v>
      </c>
      <c r="X1564">
        <v>0.94207589999999997</v>
      </c>
      <c r="Y1564">
        <v>0.31235570000000001</v>
      </c>
      <c r="Z1564">
        <v>-3.138736E-3</v>
      </c>
      <c r="AA1564">
        <v>0.94996009999999997</v>
      </c>
      <c r="AB1564">
        <v>27</v>
      </c>
      <c r="AC1564">
        <v>6.64930000000001</v>
      </c>
      <c r="AD1564">
        <v>-1.1018881537559999</v>
      </c>
      <c r="AE1564">
        <v>-3.6059000000000201</v>
      </c>
      <c r="AF1564">
        <v>2.36904879583859</v>
      </c>
      <c r="AG1564">
        <v>-1.1018881537559999</v>
      </c>
      <c r="AH1564">
        <v>7.0178460703103802</v>
      </c>
      <c r="AI1564">
        <v>98.461525506558999</v>
      </c>
      <c r="AJ1564">
        <v>71.3466079072128</v>
      </c>
      <c r="AK1564">
        <v>7.4884386334551101</v>
      </c>
      <c r="AL1564">
        <v>72.371782371964798</v>
      </c>
      <c r="AM1564">
        <v>81.300016053667306</v>
      </c>
      <c r="AN1564">
        <v>1.00000002831152</v>
      </c>
    </row>
    <row r="1565" spans="1:40" x14ac:dyDescent="0.25">
      <c r="A1565" t="str">
        <f>"20190304164121693"</f>
        <v>20190304164121693</v>
      </c>
      <c r="B1565" t="str">
        <f>"1551688881682167"</f>
        <v>1551688881682167</v>
      </c>
      <c r="C1565" t="s">
        <v>40</v>
      </c>
      <c r="D1565">
        <v>4.8772949999999904</v>
      </c>
      <c r="E1565">
        <v>0.58779939999999997</v>
      </c>
      <c r="F1565" t="s">
        <v>44</v>
      </c>
      <c r="G1565">
        <v>-204.4171</v>
      </c>
      <c r="H1565" s="1">
        <v>-4.1265990000000002E-6</v>
      </c>
      <c r="I1565">
        <v>363.00909999999999</v>
      </c>
      <c r="J1565">
        <v>-210.99940000000001</v>
      </c>
      <c r="K1565">
        <v>1.101739</v>
      </c>
      <c r="L1565">
        <v>366.63600000000002</v>
      </c>
      <c r="M1565">
        <v>0.98402679999999998</v>
      </c>
      <c r="N1565">
        <v>-1.5075720000000001E-2</v>
      </c>
      <c r="O1565">
        <v>-0.17738080000000001</v>
      </c>
      <c r="P1565">
        <v>0.90753879999999998</v>
      </c>
      <c r="Q1565">
        <v>0.29048570000000001</v>
      </c>
      <c r="R1565">
        <v>-0.30330030000000002</v>
      </c>
      <c r="S1565">
        <v>2.93248</v>
      </c>
      <c r="T1565">
        <v>-0.48035260000000002</v>
      </c>
      <c r="U1565">
        <v>-1.595245</v>
      </c>
      <c r="V1565">
        <v>0.144114299999999</v>
      </c>
      <c r="W1565">
        <v>0.301653</v>
      </c>
      <c r="X1565">
        <v>0.94246300000000005</v>
      </c>
      <c r="Y1565">
        <v>0.31239230000000001</v>
      </c>
      <c r="Z1565">
        <v>-2.2295040000000002E-3</v>
      </c>
      <c r="AA1565">
        <v>0.94995059999999998</v>
      </c>
      <c r="AB1565">
        <v>27</v>
      </c>
      <c r="AC1565">
        <v>6.5823</v>
      </c>
      <c r="AD1565">
        <v>-1.1017431265989901</v>
      </c>
      <c r="AE1565">
        <v>-3.6268999999999698</v>
      </c>
      <c r="AF1565">
        <v>2.35113770713374</v>
      </c>
      <c r="AG1565">
        <v>-1.1017431265989901</v>
      </c>
      <c r="AH1565">
        <v>6.9714868376452497</v>
      </c>
      <c r="AI1565">
        <v>98.516690694126794</v>
      </c>
      <c r="AJ1565">
        <v>71.363293593012301</v>
      </c>
      <c r="AK1565">
        <v>7.4393087825667799</v>
      </c>
      <c r="AL1565">
        <v>72.443086513446801</v>
      </c>
      <c r="AM1565">
        <v>81.306106981743596</v>
      </c>
      <c r="AN1565">
        <v>0.99999998512124499</v>
      </c>
    </row>
    <row r="1566" spans="1:40" x14ac:dyDescent="0.25">
      <c r="A1566" t="str">
        <f>"20190304164121705"</f>
        <v>20190304164121705</v>
      </c>
      <c r="B1566" t="str">
        <f>"1551688881692903"</f>
        <v>1551688881692903</v>
      </c>
      <c r="C1566" t="s">
        <v>40</v>
      </c>
      <c r="D1566">
        <v>4.9265629999999998</v>
      </c>
      <c r="E1566">
        <v>0.58753029999999995</v>
      </c>
      <c r="F1566" t="s">
        <v>44</v>
      </c>
      <c r="G1566">
        <v>-204.35509999999999</v>
      </c>
      <c r="H1566" s="1">
        <v>-4.1059879999999998E-6</v>
      </c>
      <c r="I1566">
        <v>362.96129999999999</v>
      </c>
      <c r="J1566">
        <v>-210.87889999999999</v>
      </c>
      <c r="K1566">
        <v>1.101623</v>
      </c>
      <c r="L1566">
        <v>366.60840000000002</v>
      </c>
      <c r="M1566">
        <v>0.98296779999999995</v>
      </c>
      <c r="N1566">
        <v>-1.5110439999999999E-2</v>
      </c>
      <c r="O1566">
        <v>-0.1831565</v>
      </c>
      <c r="P1566">
        <v>0.90612550000000003</v>
      </c>
      <c r="Q1566">
        <v>0.28966839999999999</v>
      </c>
      <c r="R1566">
        <v>-0.308268599999999</v>
      </c>
      <c r="S1566">
        <v>2.920776</v>
      </c>
      <c r="T1566">
        <v>-0.48431849999999999</v>
      </c>
      <c r="U1566">
        <v>-1.615356</v>
      </c>
      <c r="V1566">
        <v>0.14376420000000001</v>
      </c>
      <c r="W1566">
        <v>0.30084090000000002</v>
      </c>
      <c r="X1566">
        <v>0.94277599999999995</v>
      </c>
      <c r="Y1566">
        <v>0.31343929999999998</v>
      </c>
      <c r="Z1566">
        <v>-1.5321620000000001E-3</v>
      </c>
      <c r="AA1566">
        <v>0.94960699999999998</v>
      </c>
      <c r="AB1566">
        <v>27</v>
      </c>
      <c r="AC1566">
        <v>6.5237999999999898</v>
      </c>
      <c r="AD1566">
        <v>-1.1016271059880001</v>
      </c>
      <c r="AE1566">
        <v>-3.64710000000002</v>
      </c>
      <c r="AF1566">
        <v>2.3395514442643699</v>
      </c>
      <c r="AG1566">
        <v>-1.1016271059880001</v>
      </c>
      <c r="AH1566">
        <v>6.9309093042551302</v>
      </c>
      <c r="AI1566">
        <v>98.564152235956598</v>
      </c>
      <c r="AJ1566">
        <v>71.347718694655498</v>
      </c>
      <c r="AK1566">
        <v>7.3976068444340397</v>
      </c>
      <c r="AL1566">
        <v>72.491883287283301</v>
      </c>
      <c r="AM1566">
        <v>81.329741392270705</v>
      </c>
      <c r="AN1566">
        <v>0.99999998924522404</v>
      </c>
    </row>
    <row r="1567" spans="1:40" x14ac:dyDescent="0.25">
      <c r="A1567" t="str">
        <f>"20190304164121715"</f>
        <v>20190304164121715</v>
      </c>
      <c r="B1567" t="str">
        <f>"1551688881712423"</f>
        <v>1551688881712423</v>
      </c>
      <c r="C1567" t="s">
        <v>40</v>
      </c>
      <c r="D1567">
        <v>4.9375629999999999</v>
      </c>
      <c r="E1567">
        <v>0.5871229</v>
      </c>
      <c r="F1567" t="s">
        <v>44</v>
      </c>
      <c r="G1567">
        <v>-204.29750000000001</v>
      </c>
      <c r="H1567" s="1">
        <v>-4.0858099999999998E-6</v>
      </c>
      <c r="I1567">
        <v>362.92149999999998</v>
      </c>
      <c r="J1567">
        <v>-210.7467</v>
      </c>
      <c r="K1567">
        <v>1.1015029999999999</v>
      </c>
      <c r="L1567">
        <v>366.57690000000002</v>
      </c>
      <c r="M1567">
        <v>0.98174119999999998</v>
      </c>
      <c r="N1567">
        <v>-1.514918E-2</v>
      </c>
      <c r="O1567">
        <v>-0.18961739999999999</v>
      </c>
      <c r="P1567">
        <v>0.90435639999999995</v>
      </c>
      <c r="Q1567">
        <v>0.28945850000000001</v>
      </c>
      <c r="R1567">
        <v>-0.31361329999999998</v>
      </c>
      <c r="S1567">
        <v>2.9116970000000002</v>
      </c>
      <c r="T1567">
        <v>-0.48737059999999999</v>
      </c>
      <c r="U1567">
        <v>-1.6311340000000001</v>
      </c>
      <c r="V1567">
        <v>0.14320099999999999</v>
      </c>
      <c r="W1567">
        <v>0.3006412</v>
      </c>
      <c r="X1567">
        <v>0.94292540000000002</v>
      </c>
      <c r="Y1567">
        <v>0.31241669999999999</v>
      </c>
      <c r="Z1567">
        <v>-5.6255050000000005E-4</v>
      </c>
      <c r="AA1567">
        <v>0.94994500000000004</v>
      </c>
      <c r="AB1567">
        <v>26</v>
      </c>
      <c r="AC1567">
        <v>6.4491999999999896</v>
      </c>
      <c r="AD1567">
        <v>-1.10150708581</v>
      </c>
      <c r="AE1567">
        <v>-3.6554000000000402</v>
      </c>
      <c r="AF1567">
        <v>2.3149368311858298</v>
      </c>
      <c r="AG1567">
        <v>-1.10150708581</v>
      </c>
      <c r="AH1567">
        <v>6.8736180363533901</v>
      </c>
      <c r="AI1567">
        <v>98.635512179119502</v>
      </c>
      <c r="AJ1567">
        <v>71.387206242864593</v>
      </c>
      <c r="AK1567">
        <v>7.3361349021234004</v>
      </c>
      <c r="AL1567">
        <v>72.503880563886298</v>
      </c>
      <c r="AM1567">
        <v>81.364541984110105</v>
      </c>
      <c r="AN1567">
        <v>0.99999998375179899</v>
      </c>
    </row>
    <row r="1568" spans="1:40" x14ac:dyDescent="0.25">
      <c r="A1568" t="str">
        <f>"20190304164121726"</f>
        <v>20190304164121726</v>
      </c>
      <c r="B1568" t="str">
        <f>"1551688881723159"</f>
        <v>1551688881723159</v>
      </c>
      <c r="C1568" t="s">
        <v>40</v>
      </c>
      <c r="D1568">
        <v>4.9342839999999999</v>
      </c>
      <c r="E1568">
        <v>0.58684999999999998</v>
      </c>
      <c r="F1568" t="s">
        <v>44</v>
      </c>
      <c r="G1568">
        <v>-204.1472</v>
      </c>
      <c r="H1568" s="1">
        <v>-4.0307000000000002E-6</v>
      </c>
      <c r="I1568">
        <v>362.82909999999998</v>
      </c>
      <c r="J1568">
        <v>-210.62549999999999</v>
      </c>
      <c r="K1568">
        <v>1.1014010000000001</v>
      </c>
      <c r="L1568">
        <v>366.54739999999998</v>
      </c>
      <c r="M1568">
        <v>0.98056600000000005</v>
      </c>
      <c r="N1568">
        <v>-1.5184100000000001E-2</v>
      </c>
      <c r="O1568">
        <v>-0.1956012</v>
      </c>
      <c r="P1568">
        <v>0.90252500000000002</v>
      </c>
      <c r="Q1568">
        <v>0.290168599999999</v>
      </c>
      <c r="R1568">
        <v>-0.31819890000000001</v>
      </c>
      <c r="S1568">
        <v>2.90097</v>
      </c>
      <c r="T1568">
        <v>-0.48419279999999998</v>
      </c>
      <c r="U1568">
        <v>-1.6474610000000001</v>
      </c>
      <c r="V1568">
        <v>0.14237330000000001</v>
      </c>
      <c r="W1568">
        <v>0.30136560000000001</v>
      </c>
      <c r="X1568">
        <v>0.94281950000000003</v>
      </c>
      <c r="Y1568">
        <v>0.312243099999999</v>
      </c>
      <c r="Z1568">
        <v>2.1520630000000001E-4</v>
      </c>
      <c r="AA1568">
        <v>0.95000220000000002</v>
      </c>
      <c r="AB1568">
        <v>26</v>
      </c>
      <c r="AC1568">
        <v>6.4782999999999902</v>
      </c>
      <c r="AD1568">
        <v>-1.1014050306999901</v>
      </c>
      <c r="AE1568">
        <v>-3.7182999999999899</v>
      </c>
      <c r="AF1568">
        <v>2.3285220621765101</v>
      </c>
      <c r="AG1568">
        <v>-1.1014050306999901</v>
      </c>
      <c r="AH1568">
        <v>6.9298497770498297</v>
      </c>
      <c r="AI1568">
        <v>98.567671864914004</v>
      </c>
      <c r="AJ1568">
        <v>71.426964012379997</v>
      </c>
      <c r="AK1568">
        <v>7.3930998889621096</v>
      </c>
      <c r="AL1568">
        <v>72.4603572229355</v>
      </c>
      <c r="AM1568">
        <v>81.412758718245001</v>
      </c>
      <c r="AN1568">
        <v>0.99999999549825003</v>
      </c>
    </row>
    <row r="1569" spans="1:40" x14ac:dyDescent="0.25">
      <c r="A1569" t="str">
        <f>"20190304164121738"</f>
        <v>20190304164121738</v>
      </c>
      <c r="B1569" t="str">
        <f>"1551688881732919"</f>
        <v>1551688881732919</v>
      </c>
      <c r="C1569" t="s">
        <v>40</v>
      </c>
      <c r="D1569">
        <v>4.9514820000000004</v>
      </c>
      <c r="E1569">
        <v>0.58667950000000002</v>
      </c>
      <c r="F1569" t="s">
        <v>44</v>
      </c>
      <c r="G1569">
        <v>-204.005</v>
      </c>
      <c r="H1569" s="1">
        <v>-3.9786509999999998E-6</v>
      </c>
      <c r="I1569">
        <v>362.74099999999999</v>
      </c>
      <c r="J1569">
        <v>-210.48500000000001</v>
      </c>
      <c r="K1569">
        <v>1.101286</v>
      </c>
      <c r="L1569">
        <v>366.512</v>
      </c>
      <c r="M1569">
        <v>0.97913530000000004</v>
      </c>
      <c r="N1569">
        <v>-1.522446E-2</v>
      </c>
      <c r="O1569">
        <v>-0.20263880000000001</v>
      </c>
      <c r="P1569">
        <v>0.90012649999999905</v>
      </c>
      <c r="Q1569">
        <v>0.2914909</v>
      </c>
      <c r="R1569">
        <v>-0.323737</v>
      </c>
      <c r="S1569">
        <v>2.8924409999999998</v>
      </c>
      <c r="T1569">
        <v>-0.48118949999999999</v>
      </c>
      <c r="U1569">
        <v>-1.6629640000000001</v>
      </c>
      <c r="V1569">
        <v>0.141596</v>
      </c>
      <c r="W1569">
        <v>0.30269940000000001</v>
      </c>
      <c r="X1569">
        <v>0.94250919999999905</v>
      </c>
      <c r="Y1569">
        <v>0.31055329999999998</v>
      </c>
      <c r="Z1569">
        <v>1.247667E-3</v>
      </c>
      <c r="AA1569">
        <v>0.95055509999999999</v>
      </c>
      <c r="AB1569">
        <v>26</v>
      </c>
      <c r="AC1569">
        <v>6.4800000000000102</v>
      </c>
      <c r="AD1569">
        <v>-1.101289978651</v>
      </c>
      <c r="AE1569">
        <v>-3.7709999999999502</v>
      </c>
      <c r="AF1569">
        <v>2.3292382565402798</v>
      </c>
      <c r="AG1569">
        <v>-1.101289978651</v>
      </c>
      <c r="AH1569">
        <v>6.9596062138558104</v>
      </c>
      <c r="AI1569">
        <v>98.534082106322003</v>
      </c>
      <c r="AJ1569">
        <v>71.495657137191799</v>
      </c>
      <c r="AK1569">
        <v>7.4212067162118798</v>
      </c>
      <c r="AL1569">
        <v>72.380191798566301</v>
      </c>
      <c r="AM1569">
        <v>81.456177770432504</v>
      </c>
      <c r="AN1569">
        <v>0.99999997303049903</v>
      </c>
    </row>
    <row r="1570" spans="1:40" x14ac:dyDescent="0.25">
      <c r="A1570" t="str">
        <f>"20190304164121751"</f>
        <v>20190304164121751</v>
      </c>
      <c r="B1570" t="str">
        <f>"1551688881742679"</f>
        <v>1551688881742679</v>
      </c>
      <c r="C1570" t="s">
        <v>40</v>
      </c>
      <c r="D1570">
        <v>4.9318999999999997</v>
      </c>
      <c r="E1570">
        <v>0.58653180000000005</v>
      </c>
      <c r="F1570" t="s">
        <v>44</v>
      </c>
      <c r="G1570">
        <v>-203.81219999999999</v>
      </c>
      <c r="H1570" s="1">
        <v>-3.9086839999999999E-6</v>
      </c>
      <c r="I1570">
        <v>362.61900000000003</v>
      </c>
      <c r="J1570">
        <v>-210.33439999999999</v>
      </c>
      <c r="K1570">
        <v>1.1011690000000001</v>
      </c>
      <c r="L1570">
        <v>366.47250000000003</v>
      </c>
      <c r="M1570">
        <v>0.97751619999999995</v>
      </c>
      <c r="N1570">
        <v>-1.52674E-2</v>
      </c>
      <c r="O1570">
        <v>-0.21030679999999999</v>
      </c>
      <c r="P1570">
        <v>0.89729239999999999</v>
      </c>
      <c r="Q1570">
        <v>0.29339159999999997</v>
      </c>
      <c r="R1570">
        <v>-0.32983000000000001</v>
      </c>
      <c r="S1570">
        <v>2.8821409999999998</v>
      </c>
      <c r="T1570">
        <v>-0.4756708</v>
      </c>
      <c r="U1570">
        <v>-1.6814880000000001</v>
      </c>
      <c r="V1570">
        <v>0.14085909999999999</v>
      </c>
      <c r="W1570">
        <v>0.3046102</v>
      </c>
      <c r="X1570">
        <v>0.94200390000000001</v>
      </c>
      <c r="Y1570">
        <v>0.30924859999999998</v>
      </c>
      <c r="Z1570">
        <v>2.2750679999999999E-3</v>
      </c>
      <c r="AA1570">
        <v>0.95097849999999995</v>
      </c>
      <c r="AB1570">
        <v>26</v>
      </c>
      <c r="AC1570">
        <v>6.52219999999999</v>
      </c>
      <c r="AD1570">
        <v>-1.1011729086839901</v>
      </c>
      <c r="AE1570">
        <v>-3.8534999999999902</v>
      </c>
      <c r="AF1570">
        <v>2.3459074538502298</v>
      </c>
      <c r="AG1570">
        <v>-1.1011729086839901</v>
      </c>
      <c r="AH1570">
        <v>7.0381008261178097</v>
      </c>
      <c r="AI1570">
        <v>98.442807581356206</v>
      </c>
      <c r="AJ1570">
        <v>71.565975483486596</v>
      </c>
      <c r="AK1570">
        <v>7.5000484528734797</v>
      </c>
      <c r="AL1570">
        <v>72.265285920885304</v>
      </c>
      <c r="AM1570">
        <v>81.495497877668399</v>
      </c>
      <c r="AN1570">
        <v>1.0000000038060299</v>
      </c>
    </row>
    <row r="1571" spans="1:40" x14ac:dyDescent="0.25">
      <c r="A1571" t="str">
        <f>"20190304164121767"</f>
        <v>20190304164121767</v>
      </c>
      <c r="B1571" t="str">
        <f>"1551688881752439"</f>
        <v>1551688881752439</v>
      </c>
      <c r="C1571" t="s">
        <v>40</v>
      </c>
      <c r="D1571">
        <v>4.9519229999999999</v>
      </c>
      <c r="E1571">
        <v>0.58634310000000001</v>
      </c>
      <c r="F1571" t="s">
        <v>44</v>
      </c>
      <c r="G1571">
        <v>-203.5823</v>
      </c>
      <c r="H1571" s="1">
        <v>-3.825652E-6</v>
      </c>
      <c r="I1571">
        <v>362.47160000000002</v>
      </c>
      <c r="J1571">
        <v>-210.16220000000001</v>
      </c>
      <c r="K1571">
        <v>1.1010439999999999</v>
      </c>
      <c r="L1571">
        <v>366.42610000000002</v>
      </c>
      <c r="M1571">
        <v>0.97556609999999999</v>
      </c>
      <c r="N1571">
        <v>-1.5315260000000001E-2</v>
      </c>
      <c r="O1571">
        <v>-0.21917110000000001</v>
      </c>
      <c r="P1571">
        <v>0.89331269999999996</v>
      </c>
      <c r="Q1571">
        <v>0.29737520000000001</v>
      </c>
      <c r="R1571">
        <v>-0.3369876</v>
      </c>
      <c r="S1571">
        <v>2.8711549999999999</v>
      </c>
      <c r="T1571">
        <v>-0.4682443</v>
      </c>
      <c r="U1571">
        <v>-1.701263</v>
      </c>
      <c r="V1571">
        <v>0.14031299999999999</v>
      </c>
      <c r="W1571">
        <v>0.3085907</v>
      </c>
      <c r="X1571">
        <v>0.94078910000000004</v>
      </c>
      <c r="Y1571">
        <v>0.30719229999999997</v>
      </c>
      <c r="Z1571">
        <v>3.4527820000000002E-3</v>
      </c>
      <c r="AA1571">
        <v>0.95164119999999996</v>
      </c>
      <c r="AB1571">
        <v>26</v>
      </c>
      <c r="AC1571">
        <v>6.5799000000000003</v>
      </c>
      <c r="AD1571">
        <v>-1.101047825652</v>
      </c>
      <c r="AE1571">
        <v>-3.9544999999999901</v>
      </c>
      <c r="AF1571">
        <v>2.3673376986513999</v>
      </c>
      <c r="AG1571">
        <v>-1.101047825652</v>
      </c>
      <c r="AH1571">
        <v>7.1398226821751596</v>
      </c>
      <c r="AI1571">
        <v>98.327580712309995</v>
      </c>
      <c r="AJ1571">
        <v>71.656123846285595</v>
      </c>
      <c r="AK1571">
        <v>7.6022142844523897</v>
      </c>
      <c r="AL1571">
        <v>72.025680782636897</v>
      </c>
      <c r="AM1571">
        <v>81.517209307069805</v>
      </c>
      <c r="AN1571">
        <v>1.00000004438714</v>
      </c>
    </row>
    <row r="1572" spans="1:40" x14ac:dyDescent="0.25">
      <c r="A1572" t="str">
        <f>"20190304164121778"</f>
        <v>20190304164121778</v>
      </c>
      <c r="B1572" t="str">
        <f>"1551688881772934"</f>
        <v>1551688881772934</v>
      </c>
      <c r="C1572" t="s">
        <v>40</v>
      </c>
      <c r="D1572">
        <v>4.9437249999999997</v>
      </c>
      <c r="E1572">
        <v>0.5859685</v>
      </c>
      <c r="F1572" t="s">
        <v>44</v>
      </c>
      <c r="G1572">
        <v>-203.2483</v>
      </c>
      <c r="H1572" s="1">
        <v>-3.704283E-6</v>
      </c>
      <c r="I1572">
        <v>362.2611</v>
      </c>
      <c r="J1572">
        <v>-210.0138</v>
      </c>
      <c r="K1572">
        <v>1.1009359999999999</v>
      </c>
      <c r="L1572">
        <v>366.3845</v>
      </c>
      <c r="M1572">
        <v>0.97379139999999997</v>
      </c>
      <c r="N1572">
        <v>-1.53559E-2</v>
      </c>
      <c r="O1572">
        <v>-0.22692399999999999</v>
      </c>
      <c r="P1572">
        <v>0.89037479999999902</v>
      </c>
      <c r="Q1572">
        <v>0.29843109999999901</v>
      </c>
      <c r="R1572">
        <v>-0.34376129999999999</v>
      </c>
      <c r="S1572">
        <v>2.859985</v>
      </c>
      <c r="T1572">
        <v>-0.45545780000000002</v>
      </c>
      <c r="U1572">
        <v>-1.7228699999999999</v>
      </c>
      <c r="V1572">
        <v>0.14016039999999999</v>
      </c>
      <c r="W1572">
        <v>0.30964819999999998</v>
      </c>
      <c r="X1572">
        <v>0.94046430000000003</v>
      </c>
      <c r="Y1572">
        <v>0.30667109999999997</v>
      </c>
      <c r="Z1572">
        <v>4.2033419999999997E-3</v>
      </c>
      <c r="AA1572">
        <v>0.95180620000000005</v>
      </c>
      <c r="AB1572">
        <v>26</v>
      </c>
      <c r="AC1572">
        <v>6.7655000000000003</v>
      </c>
      <c r="AD1572">
        <v>-1.100939704283</v>
      </c>
      <c r="AE1572">
        <v>-4.1234000000000002</v>
      </c>
      <c r="AF1572">
        <v>2.4333850341572898</v>
      </c>
      <c r="AG1572">
        <v>-1.100939704283</v>
      </c>
      <c r="AH1572">
        <v>7.3822329110259401</v>
      </c>
      <c r="AI1572">
        <v>98.061598788489803</v>
      </c>
      <c r="AJ1572">
        <v>71.756372516242905</v>
      </c>
      <c r="AK1572">
        <v>7.85052824398218</v>
      </c>
      <c r="AL1572">
        <v>71.961969745436505</v>
      </c>
      <c r="AM1572">
        <v>81.523416934200299</v>
      </c>
      <c r="AN1572">
        <v>1.00000002253294</v>
      </c>
    </row>
    <row r="1573" spans="1:40" x14ac:dyDescent="0.25">
      <c r="A1573" t="str">
        <f>"20190304164121789"</f>
        <v>20190304164121789</v>
      </c>
      <c r="B1573" t="str">
        <f>"1551688881782695"</f>
        <v>1551688881782695</v>
      </c>
      <c r="C1573" t="s">
        <v>40</v>
      </c>
      <c r="D1573">
        <v>4.9236879999999896</v>
      </c>
      <c r="E1573">
        <v>0.5859685</v>
      </c>
      <c r="F1573" t="s">
        <v>44</v>
      </c>
      <c r="G1573">
        <v>-203.11500000000001</v>
      </c>
      <c r="H1573" s="1">
        <v>-3.656774E-6</v>
      </c>
      <c r="I1573">
        <v>362.17270000000002</v>
      </c>
      <c r="J1573">
        <v>-209.8878</v>
      </c>
      <c r="K1573">
        <v>1.1008500000000001</v>
      </c>
      <c r="L1573">
        <v>366.34789999999998</v>
      </c>
      <c r="M1573">
        <v>0.97221380000000002</v>
      </c>
      <c r="N1573">
        <v>-1.5389460000000001E-2</v>
      </c>
      <c r="O1573">
        <v>-0.2335885</v>
      </c>
      <c r="P1573">
        <v>0.88804879999999997</v>
      </c>
      <c r="Q1573">
        <v>0.2989889</v>
      </c>
      <c r="R1573">
        <v>-0.34924949999999999</v>
      </c>
      <c r="S1573">
        <v>2.8500519999999998</v>
      </c>
      <c r="T1573">
        <v>-0.45482060000000002</v>
      </c>
      <c r="U1573">
        <v>-1.73996</v>
      </c>
      <c r="V1573">
        <v>0.1396404</v>
      </c>
      <c r="W1573">
        <v>0.310222099999999</v>
      </c>
      <c r="X1573">
        <v>0.94035250000000004</v>
      </c>
      <c r="Y1573">
        <v>0.30584359999999999</v>
      </c>
      <c r="Z1573">
        <v>5.0797759999999898E-3</v>
      </c>
      <c r="AA1573">
        <v>0.95206820000000003</v>
      </c>
      <c r="AB1573">
        <v>26</v>
      </c>
      <c r="AC1573">
        <v>6.7727999999999797</v>
      </c>
      <c r="AD1573">
        <v>-1.1008536567739999</v>
      </c>
      <c r="AE1573">
        <v>-4.1751999999999603</v>
      </c>
      <c r="AF1573">
        <v>2.4308949316966202</v>
      </c>
      <c r="AG1573">
        <v>-1.1008536567739999</v>
      </c>
      <c r="AH1573">
        <v>7.4187581831418399</v>
      </c>
      <c r="AI1573">
        <v>98.026408345406296</v>
      </c>
      <c r="AJ1573">
        <v>71.857648927306997</v>
      </c>
      <c r="AK1573">
        <v>7.8841043830301398</v>
      </c>
      <c r="AL1573">
        <v>71.927384384629804</v>
      </c>
      <c r="AM1573">
        <v>81.553421344339</v>
      </c>
      <c r="AN1573">
        <v>1.00000000844841</v>
      </c>
    </row>
    <row r="1574" spans="1:40" x14ac:dyDescent="0.25">
      <c r="A1574" t="str">
        <f>"20190304164121799"</f>
        <v>20190304164121799</v>
      </c>
      <c r="B1574" t="str">
        <f>"1551688881792455"</f>
        <v>1551688881792455</v>
      </c>
      <c r="C1574" t="s">
        <v>40</v>
      </c>
      <c r="D1574">
        <v>4.930498</v>
      </c>
      <c r="E1574">
        <v>0.58234849999999905</v>
      </c>
      <c r="F1574" t="s">
        <v>44</v>
      </c>
      <c r="G1574">
        <v>-203.00049999999999</v>
      </c>
      <c r="H1574" s="1">
        <v>-3.6167769999999998E-6</v>
      </c>
      <c r="I1574">
        <v>362.0933</v>
      </c>
      <c r="J1574">
        <v>-209.77080000000001</v>
      </c>
      <c r="K1574">
        <v>1.100768</v>
      </c>
      <c r="L1574">
        <v>366.3134</v>
      </c>
      <c r="M1574">
        <v>0.97070060000000002</v>
      </c>
      <c r="N1574">
        <v>-1.541965E-2</v>
      </c>
      <c r="O1574">
        <v>-0.23979729999999999</v>
      </c>
      <c r="P1574">
        <v>0.88617990000000002</v>
      </c>
      <c r="Q1574">
        <v>0.29861860000000001</v>
      </c>
      <c r="R1574">
        <v>-0.35427740000000002</v>
      </c>
      <c r="S1574">
        <v>2.8408660000000001</v>
      </c>
      <c r="T1574">
        <v>-0.45408029999999999</v>
      </c>
      <c r="U1574">
        <v>-1.7549439999999901</v>
      </c>
      <c r="V1574">
        <v>0.13897419999999999</v>
      </c>
      <c r="W1574">
        <v>0.30987619999999999</v>
      </c>
      <c r="X1574">
        <v>0.94056519999999999</v>
      </c>
      <c r="Y1574">
        <v>0.30482629999999999</v>
      </c>
      <c r="Z1574">
        <v>5.9111919999999896E-3</v>
      </c>
      <c r="AA1574">
        <v>0.95238959999999995</v>
      </c>
      <c r="AB1574">
        <v>26</v>
      </c>
      <c r="AC1574">
        <v>6.7703000000000104</v>
      </c>
      <c r="AD1574">
        <v>-1.1007716167770001</v>
      </c>
      <c r="AE1574">
        <v>-4.2201000000000004</v>
      </c>
      <c r="AF1574">
        <v>2.4270416973314499</v>
      </c>
      <c r="AG1574">
        <v>-1.1007716167770001</v>
      </c>
      <c r="AH1574">
        <v>7.4431020137561497</v>
      </c>
      <c r="AI1574">
        <v>98.003615857982197</v>
      </c>
      <c r="AJ1574">
        <v>71.939923176230494</v>
      </c>
      <c r="AK1574">
        <v>7.9058204596403696</v>
      </c>
      <c r="AL1574">
        <v>71.948229952778306</v>
      </c>
      <c r="AM1574">
        <v>81.595015237738593</v>
      </c>
      <c r="AN1574">
        <v>0.99999999152155905</v>
      </c>
    </row>
    <row r="1575" spans="1:40" x14ac:dyDescent="0.25">
      <c r="A1575" t="str">
        <f>"20190304164121811"</f>
        <v>20190304164121811</v>
      </c>
      <c r="B1575" t="str">
        <f>"1551688881802214"</f>
        <v>1551688881802214</v>
      </c>
      <c r="C1575" t="s">
        <v>40</v>
      </c>
      <c r="D1575">
        <v>4.9499240000000002</v>
      </c>
      <c r="E1575">
        <v>0.581974199999999</v>
      </c>
      <c r="F1575" t="s">
        <v>44</v>
      </c>
      <c r="G1575">
        <v>-203.25980000000001</v>
      </c>
      <c r="H1575" s="1">
        <v>-3.6948109999999999E-6</v>
      </c>
      <c r="I1575">
        <v>362.3297</v>
      </c>
      <c r="J1575">
        <v>-209.6431</v>
      </c>
      <c r="K1575">
        <v>1.100697</v>
      </c>
      <c r="L1575">
        <v>366.27429999999998</v>
      </c>
      <c r="M1575">
        <v>0.96897979999999995</v>
      </c>
      <c r="N1575">
        <v>-1.54506E-2</v>
      </c>
      <c r="O1575">
        <v>-0.24665690000000001</v>
      </c>
      <c r="P1575">
        <v>0.8843181</v>
      </c>
      <c r="Q1575">
        <v>0.29813790000000001</v>
      </c>
      <c r="R1575">
        <v>-0.35929919999999999</v>
      </c>
      <c r="S1575">
        <v>2.850479</v>
      </c>
      <c r="T1575">
        <v>-0.48190470000000002</v>
      </c>
      <c r="U1575">
        <v>-1.7439880000000001</v>
      </c>
      <c r="V1575">
        <v>0.13765050000000001</v>
      </c>
      <c r="W1575">
        <v>0.30944050000000001</v>
      </c>
      <c r="X1575">
        <v>0.94090320000000005</v>
      </c>
      <c r="Y1575">
        <v>0.29402879999999998</v>
      </c>
      <c r="Z1575">
        <v>8.4282530000000001E-3</v>
      </c>
      <c r="AA1575">
        <v>0.95575940000000004</v>
      </c>
      <c r="AB1575">
        <v>26</v>
      </c>
      <c r="AC1575">
        <v>6.3832999999999904</v>
      </c>
      <c r="AD1575">
        <v>-1.1007006948109901</v>
      </c>
      <c r="AE1575">
        <v>-3.9445999999999799</v>
      </c>
      <c r="AF1575">
        <v>2.2006691461935999</v>
      </c>
      <c r="AG1575">
        <v>-1.1007006948109901</v>
      </c>
      <c r="AH1575">
        <v>7.0083079666861101</v>
      </c>
      <c r="AI1575">
        <v>98.521958750124199</v>
      </c>
      <c r="AJ1575">
        <v>72.567261590289107</v>
      </c>
      <c r="AK1575">
        <v>7.42770942259334</v>
      </c>
      <c r="AL1575">
        <v>71.974483540208794</v>
      </c>
      <c r="AM1575">
        <v>81.676892453038406</v>
      </c>
      <c r="AN1575">
        <v>0.99999995748036896</v>
      </c>
    </row>
    <row r="1576" spans="1:40" x14ac:dyDescent="0.25">
      <c r="A1576" t="str">
        <f>"20190304164121823"</f>
        <v>20190304164121823</v>
      </c>
      <c r="B1576" t="str">
        <f>"1551688881812951"</f>
        <v>1551688881812951</v>
      </c>
      <c r="C1576" t="s">
        <v>40</v>
      </c>
      <c r="D1576">
        <v>4.945411</v>
      </c>
      <c r="E1576">
        <v>0.58298479999999997</v>
      </c>
      <c r="F1576" t="s">
        <v>44</v>
      </c>
      <c r="G1576">
        <v>-203.1788</v>
      </c>
      <c r="H1576" s="1">
        <v>-3.6656819999999998E-6</v>
      </c>
      <c r="I1576">
        <v>362.27730000000003</v>
      </c>
      <c r="J1576">
        <v>-209.505</v>
      </c>
      <c r="K1576">
        <v>1.1006229999999999</v>
      </c>
      <c r="L1576">
        <v>366.23140000000001</v>
      </c>
      <c r="M1576">
        <v>0.96705640000000004</v>
      </c>
      <c r="N1576">
        <v>-1.548238E-2</v>
      </c>
      <c r="O1576">
        <v>-0.25409110000000001</v>
      </c>
      <c r="P1576">
        <v>0.88279810000000003</v>
      </c>
      <c r="Q1576">
        <v>0.29687980000000003</v>
      </c>
      <c r="R1576">
        <v>-0.36404710000000001</v>
      </c>
      <c r="S1576">
        <v>2.8417210000000002</v>
      </c>
      <c r="T1576">
        <v>-0.48386849999999998</v>
      </c>
      <c r="U1576">
        <v>-1.75705</v>
      </c>
      <c r="V1576">
        <v>0.13538339999999999</v>
      </c>
      <c r="W1576">
        <v>0.30825809999999998</v>
      </c>
      <c r="X1576">
        <v>0.94162000000000001</v>
      </c>
      <c r="Y1576">
        <v>0.29126439999999998</v>
      </c>
      <c r="Z1576">
        <v>9.7073839999999995E-3</v>
      </c>
      <c r="AA1576">
        <v>0.95659329999999998</v>
      </c>
      <c r="AB1576">
        <v>26</v>
      </c>
      <c r="AC1576">
        <v>6.3262</v>
      </c>
      <c r="AD1576">
        <v>-1.1006266656819901</v>
      </c>
      <c r="AE1576">
        <v>-3.95409999999998</v>
      </c>
      <c r="AF1576">
        <v>2.1694527978949298</v>
      </c>
      <c r="AG1576">
        <v>-1.1006266656819901</v>
      </c>
      <c r="AH1576">
        <v>6.9716062821796303</v>
      </c>
      <c r="AI1576">
        <v>98.572380870104098</v>
      </c>
      <c r="AJ1576">
        <v>72.714690515995002</v>
      </c>
      <c r="AK1576">
        <v>7.3838471444925604</v>
      </c>
      <c r="AL1576">
        <v>72.045712671357194</v>
      </c>
      <c r="AM1576">
        <v>81.818248420352901</v>
      </c>
      <c r="AN1576">
        <v>0.99999997280558395</v>
      </c>
    </row>
    <row r="1577" spans="1:40" x14ac:dyDescent="0.25">
      <c r="A1577" t="str">
        <f>"20190304164121834"</f>
        <v>20190304164121834</v>
      </c>
      <c r="B1577" t="str">
        <f>"1551688881822711"</f>
        <v>1551688881822711</v>
      </c>
      <c r="C1577" t="s">
        <v>40</v>
      </c>
      <c r="D1577">
        <v>4.9283970000000004</v>
      </c>
      <c r="E1577">
        <v>0.58275480000000002</v>
      </c>
      <c r="F1577" t="s">
        <v>44</v>
      </c>
      <c r="G1577">
        <v>-202.88890000000001</v>
      </c>
      <c r="H1577" s="1">
        <v>-3.5686520000000002E-6</v>
      </c>
      <c r="I1577">
        <v>362.05709999999999</v>
      </c>
      <c r="J1577">
        <v>-209.3741</v>
      </c>
      <c r="K1577">
        <v>1.1005780000000001</v>
      </c>
      <c r="L1577">
        <v>366.18900000000002</v>
      </c>
      <c r="M1577">
        <v>0.96515850000000003</v>
      </c>
      <c r="N1577">
        <v>-1.550901E-2</v>
      </c>
      <c r="O1577">
        <v>-0.26120589999999999</v>
      </c>
      <c r="P1577">
        <v>0.88133169999999905</v>
      </c>
      <c r="Q1577">
        <v>0.2961473</v>
      </c>
      <c r="R1577">
        <v>-0.36817309999999998</v>
      </c>
      <c r="S1577">
        <v>2.8219449999999999</v>
      </c>
      <c r="T1577">
        <v>-0.46944829999999999</v>
      </c>
      <c r="U1577">
        <v>-1.780457</v>
      </c>
      <c r="V1577">
        <v>0.1327933</v>
      </c>
      <c r="W1577">
        <v>0.30760989999999999</v>
      </c>
      <c r="X1577">
        <v>0.9422007</v>
      </c>
      <c r="Y1577">
        <v>0.292989</v>
      </c>
      <c r="Z1577">
        <v>1.003981E-2</v>
      </c>
      <c r="AA1577">
        <v>0.95606310000000005</v>
      </c>
      <c r="AB1577">
        <v>26</v>
      </c>
      <c r="AC1577">
        <v>6.4851999999999901</v>
      </c>
      <c r="AD1577">
        <v>-1.100581568652</v>
      </c>
      <c r="AE1577">
        <v>-4.1319000000000301</v>
      </c>
      <c r="AF1577">
        <v>2.2481879848603401</v>
      </c>
      <c r="AG1577">
        <v>-1.100581568652</v>
      </c>
      <c r="AH1577">
        <v>7.1920764935869403</v>
      </c>
      <c r="AI1577">
        <v>98.309711088150493</v>
      </c>
      <c r="AJ1577">
        <v>72.641155759637599</v>
      </c>
      <c r="AK1577">
        <v>7.61522115858316</v>
      </c>
      <c r="AL1577">
        <v>72.084749798316693</v>
      </c>
      <c r="AM1577">
        <v>81.977601554956394</v>
      </c>
      <c r="AN1577">
        <v>1.00000003509169</v>
      </c>
    </row>
    <row r="1578" spans="1:40" x14ac:dyDescent="0.25">
      <c r="A1578" t="str">
        <f>"20190304164121847"</f>
        <v>20190304164121847</v>
      </c>
      <c r="B1578" t="str">
        <f>"1551688881832470"</f>
        <v>1551688881832470</v>
      </c>
      <c r="C1578" t="s">
        <v>40</v>
      </c>
      <c r="D1578">
        <v>4.930142</v>
      </c>
      <c r="E1578">
        <v>0.5825555</v>
      </c>
      <c r="F1578" t="s">
        <v>44</v>
      </c>
      <c r="G1578">
        <v>-202.87370000000001</v>
      </c>
      <c r="H1578" s="1">
        <v>-3.5642079999999999E-6</v>
      </c>
      <c r="I1578">
        <v>362.04259999999999</v>
      </c>
      <c r="J1578">
        <v>-209.24440000000001</v>
      </c>
      <c r="K1578">
        <v>1.100538</v>
      </c>
      <c r="L1578">
        <v>366.1463</v>
      </c>
      <c r="M1578">
        <v>0.96321840000000003</v>
      </c>
      <c r="N1578">
        <v>-1.5533369999999999E-2</v>
      </c>
      <c r="O1578">
        <v>-0.26827069999999997</v>
      </c>
      <c r="P1578">
        <v>0.8796003</v>
      </c>
      <c r="Q1578">
        <v>0.295987099999999</v>
      </c>
      <c r="R1578">
        <v>-0.37241780000000002</v>
      </c>
      <c r="S1578">
        <v>2.8141630000000002</v>
      </c>
      <c r="T1578">
        <v>-0.47646529999999998</v>
      </c>
      <c r="U1578">
        <v>-1.7950440000000001</v>
      </c>
      <c r="V1578">
        <v>0.130430399999999</v>
      </c>
      <c r="W1578">
        <v>0.30752550000000001</v>
      </c>
      <c r="X1578">
        <v>0.94255820000000001</v>
      </c>
      <c r="Y1578">
        <v>0.29076170000000001</v>
      </c>
      <c r="Z1578">
        <v>1.1385859999999999E-2</v>
      </c>
      <c r="AA1578">
        <v>0.95672769999999996</v>
      </c>
      <c r="AB1578">
        <v>26</v>
      </c>
      <c r="AC1578">
        <v>6.3706999999999896</v>
      </c>
      <c r="AD1578">
        <v>-1.1005415642080001</v>
      </c>
      <c r="AE1578">
        <v>-4.1036999999999999</v>
      </c>
      <c r="AF1578">
        <v>2.1976074128377401</v>
      </c>
      <c r="AG1578">
        <v>-1.1005415642080001</v>
      </c>
      <c r="AH1578">
        <v>7.0886421405218298</v>
      </c>
      <c r="AI1578">
        <v>98.435002582376697</v>
      </c>
      <c r="AJ1578">
        <v>72.775617352491693</v>
      </c>
      <c r="AK1578">
        <v>7.5026340355831502</v>
      </c>
      <c r="AL1578">
        <v>72.089831102025897</v>
      </c>
      <c r="AM1578">
        <v>82.121492600468102</v>
      </c>
      <c r="AN1578">
        <v>0.99999999139082496</v>
      </c>
    </row>
    <row r="1579" spans="1:40" x14ac:dyDescent="0.25">
      <c r="A1579" t="str">
        <f>"20190304164121857"</f>
        <v>20190304164121857</v>
      </c>
      <c r="B1579" t="str">
        <f>"1551688881842231"</f>
        <v>1551688881842231</v>
      </c>
      <c r="C1579" t="s">
        <v>40</v>
      </c>
      <c r="D1579">
        <v>5.0653819999999996</v>
      </c>
      <c r="E1579">
        <v>0.58283219999999902</v>
      </c>
      <c r="F1579" t="s">
        <v>44</v>
      </c>
      <c r="G1579">
        <v>-202.7884</v>
      </c>
      <c r="H1579" s="1">
        <v>-3.5353580000000002E-6</v>
      </c>
      <c r="I1579">
        <v>361.97910000000002</v>
      </c>
      <c r="J1579">
        <v>-209.10669999999999</v>
      </c>
      <c r="K1579">
        <v>1.100511</v>
      </c>
      <c r="L1579">
        <v>366.09969999999998</v>
      </c>
      <c r="M1579">
        <v>0.96108910000000003</v>
      </c>
      <c r="N1579">
        <v>-1.5555970000000001E-2</v>
      </c>
      <c r="O1579">
        <v>-0.2758002</v>
      </c>
      <c r="P1579">
        <v>0.87736539999999996</v>
      </c>
      <c r="Q1579">
        <v>0.29600270000000001</v>
      </c>
      <c r="R1579">
        <v>-0.37764029999999998</v>
      </c>
      <c r="S1579">
        <v>2.8049469999999999</v>
      </c>
      <c r="T1579">
        <v>-0.4781551</v>
      </c>
      <c r="U1579">
        <v>-1.8105469999999999</v>
      </c>
      <c r="V1579">
        <v>0.12867029999999999</v>
      </c>
      <c r="W1579">
        <v>0.3076026</v>
      </c>
      <c r="X1579">
        <v>0.94277500000000003</v>
      </c>
      <c r="Y1579">
        <v>0.28851680000000002</v>
      </c>
      <c r="Z1579">
        <v>1.26237E-2</v>
      </c>
      <c r="AA1579">
        <v>0.95739160000000001</v>
      </c>
      <c r="AB1579">
        <v>26</v>
      </c>
      <c r="AC1579">
        <v>6.31829999999999</v>
      </c>
      <c r="AD1579">
        <v>-1.1005145353579999</v>
      </c>
      <c r="AE1579">
        <v>-4.1205999999999596</v>
      </c>
      <c r="AF1579">
        <v>2.17171830547891</v>
      </c>
      <c r="AG1579">
        <v>-1.1005145353579999</v>
      </c>
      <c r="AH1579">
        <v>7.0595208020043598</v>
      </c>
      <c r="AI1579">
        <v>98.474711293802997</v>
      </c>
      <c r="AJ1579">
        <v>72.900547715310196</v>
      </c>
      <c r="AK1579">
        <v>7.4675515796557299</v>
      </c>
      <c r="AL1579">
        <v>72.085189704768595</v>
      </c>
      <c r="AM1579">
        <v>82.228266695205804</v>
      </c>
      <c r="AN1579">
        <v>1.00000005312692</v>
      </c>
    </row>
    <row r="1580" spans="1:40" x14ac:dyDescent="0.25">
      <c r="A1580" t="str">
        <f>"20190304164121869"</f>
        <v>20190304164121869</v>
      </c>
      <c r="B1580" t="str">
        <f>"1551688881862727"</f>
        <v>1551688881862727</v>
      </c>
      <c r="C1580" t="s">
        <v>40</v>
      </c>
      <c r="D1580">
        <v>5.2430580000000004</v>
      </c>
      <c r="E1580">
        <v>0.58334680000000005</v>
      </c>
      <c r="F1580" t="s">
        <v>44</v>
      </c>
      <c r="G1580">
        <v>-202.56120000000001</v>
      </c>
      <c r="H1580" s="1">
        <v>-3.4591850000000001E-6</v>
      </c>
      <c r="I1580">
        <v>361.80709999999999</v>
      </c>
      <c r="J1580">
        <v>-208.98079999999999</v>
      </c>
      <c r="K1580">
        <v>1.100498</v>
      </c>
      <c r="L1580">
        <v>366.05590000000001</v>
      </c>
      <c r="M1580">
        <v>0.95908139999999997</v>
      </c>
      <c r="N1580">
        <v>-1.557364E-2</v>
      </c>
      <c r="O1580">
        <v>-0.282701599999999</v>
      </c>
      <c r="P1580">
        <v>0.87474810000000003</v>
      </c>
      <c r="Q1580">
        <v>0.29675879999999999</v>
      </c>
      <c r="R1580">
        <v>-0.38307989999999997</v>
      </c>
      <c r="S1580">
        <v>2.7900390000000002</v>
      </c>
      <c r="T1580">
        <v>-0.46910049999999998</v>
      </c>
      <c r="U1580">
        <v>-1.829742</v>
      </c>
      <c r="V1580">
        <v>0.12784089999999901</v>
      </c>
      <c r="W1580">
        <v>0.30839109999999997</v>
      </c>
      <c r="X1580">
        <v>0.94263019999999997</v>
      </c>
      <c r="Y1580">
        <v>0.28865299999999999</v>
      </c>
      <c r="Z1580">
        <v>1.316237E-2</v>
      </c>
      <c r="AA1580">
        <v>0.95734330000000001</v>
      </c>
      <c r="AB1580">
        <v>26</v>
      </c>
      <c r="AC1580">
        <v>6.4195999999999698</v>
      </c>
      <c r="AD1580">
        <v>-1.100501459185</v>
      </c>
      <c r="AE1580">
        <v>-4.2488000000000099</v>
      </c>
      <c r="AF1580">
        <v>2.21512020219224</v>
      </c>
      <c r="AG1580">
        <v>-1.100501459185</v>
      </c>
      <c r="AH1580">
        <v>7.21157946469478</v>
      </c>
      <c r="AI1580">
        <v>98.2995124923589</v>
      </c>
      <c r="AJ1580">
        <v>72.925053277446906</v>
      </c>
      <c r="AK1580">
        <v>7.6239582467007301</v>
      </c>
      <c r="AL1580">
        <v>72.0377031298774</v>
      </c>
      <c r="AM1580">
        <v>82.276584446308703</v>
      </c>
      <c r="AN1580">
        <v>1.00000003011202</v>
      </c>
    </row>
    <row r="1581" spans="1:40" x14ac:dyDescent="0.25">
      <c r="A1581" t="str">
        <f>"20190304164121879"</f>
        <v>20190304164121879</v>
      </c>
      <c r="B1581" t="str">
        <f>"1551688881872487"</f>
        <v>1551688881872487</v>
      </c>
      <c r="C1581" t="s">
        <v>40</v>
      </c>
      <c r="D1581">
        <v>5.1110189999999998</v>
      </c>
      <c r="E1581">
        <v>0.58342159999999998</v>
      </c>
      <c r="F1581" t="s">
        <v>44</v>
      </c>
      <c r="G1581">
        <v>-202.25210000000001</v>
      </c>
      <c r="H1581" s="1">
        <v>-3.3554410000000002E-6</v>
      </c>
      <c r="I1581">
        <v>361.57350000000002</v>
      </c>
      <c r="J1581">
        <v>-208.86680000000001</v>
      </c>
      <c r="K1581">
        <v>1.100498</v>
      </c>
      <c r="L1581">
        <v>366.01560000000001</v>
      </c>
      <c r="M1581">
        <v>0.95721480000000003</v>
      </c>
      <c r="N1581">
        <v>-1.558822E-2</v>
      </c>
      <c r="O1581">
        <v>-0.2889582</v>
      </c>
      <c r="P1581">
        <v>0.87233809999999901</v>
      </c>
      <c r="Q1581">
        <v>0.29731639999999998</v>
      </c>
      <c r="R1581">
        <v>-0.3881095</v>
      </c>
      <c r="S1581">
        <v>2.7741699999999998</v>
      </c>
      <c r="T1581">
        <v>-0.4537253</v>
      </c>
      <c r="U1581">
        <v>-1.8480529999999999</v>
      </c>
      <c r="V1581">
        <v>0.1271806</v>
      </c>
      <c r="W1581">
        <v>0.30897659999999899</v>
      </c>
      <c r="X1581">
        <v>0.94252769999999997</v>
      </c>
      <c r="Y1581">
        <v>0.28936770000000001</v>
      </c>
      <c r="Z1581">
        <v>1.326865E-2</v>
      </c>
      <c r="AA1581">
        <v>0.95712609999999998</v>
      </c>
      <c r="AB1581">
        <v>26</v>
      </c>
      <c r="AC1581">
        <v>6.6146999999999903</v>
      </c>
      <c r="AD1581">
        <v>-1.1005013554409999</v>
      </c>
      <c r="AE1581">
        <v>-4.4420999999999804</v>
      </c>
      <c r="AF1581">
        <v>2.2971350831639499</v>
      </c>
      <c r="AG1581">
        <v>-1.1005013554409999</v>
      </c>
      <c r="AH1581">
        <v>7.4736243940836902</v>
      </c>
      <c r="AI1581">
        <v>98.011902273028099</v>
      </c>
      <c r="AJ1581">
        <v>72.914372374811506</v>
      </c>
      <c r="AK1581">
        <v>7.8957580008174597</v>
      </c>
      <c r="AL1581">
        <v>72.002432674926197</v>
      </c>
      <c r="AM1581">
        <v>82.315172526007103</v>
      </c>
      <c r="AN1581">
        <v>0.999999954815603</v>
      </c>
    </row>
    <row r="1582" spans="1:40" x14ac:dyDescent="0.25">
      <c r="A1582" t="str">
        <f>"20190304164121889"</f>
        <v>20190304164121889</v>
      </c>
      <c r="B1582" t="str">
        <f>"1551688881882247"</f>
        <v>1551688881882247</v>
      </c>
      <c r="C1582" t="s">
        <v>40</v>
      </c>
      <c r="D1582">
        <v>4.9589290000000004</v>
      </c>
      <c r="E1582">
        <v>0.58351109999999995</v>
      </c>
      <c r="F1582" t="s">
        <v>44</v>
      </c>
      <c r="G1582">
        <v>-202.09970000000001</v>
      </c>
      <c r="H1582" s="1">
        <v>-3.305364E-6</v>
      </c>
      <c r="I1582">
        <v>361.45330000000001</v>
      </c>
      <c r="J1582">
        <v>-208.7534</v>
      </c>
      <c r="K1582">
        <v>1.100508</v>
      </c>
      <c r="L1582">
        <v>365.97430000000003</v>
      </c>
      <c r="M1582">
        <v>0.95531440000000001</v>
      </c>
      <c r="N1582">
        <v>-1.559959E-2</v>
      </c>
      <c r="O1582">
        <v>-0.29518030000000001</v>
      </c>
      <c r="P1582">
        <v>0.86968639999999997</v>
      </c>
      <c r="Q1582">
        <v>0.29799779999999998</v>
      </c>
      <c r="R1582">
        <v>-0.39350099999999999</v>
      </c>
      <c r="S1582">
        <v>2.7633209999999999</v>
      </c>
      <c r="T1582">
        <v>-0.44938729999999899</v>
      </c>
      <c r="U1582">
        <v>-1.862976</v>
      </c>
      <c r="V1582">
        <v>0.12695819999999999</v>
      </c>
      <c r="W1582">
        <v>0.30967450000000002</v>
      </c>
      <c r="X1582">
        <v>0.94232870000000002</v>
      </c>
      <c r="Y1582">
        <v>0.28849249999999999</v>
      </c>
      <c r="Z1582">
        <v>1.3925679999999999E-2</v>
      </c>
      <c r="AA1582">
        <v>0.95738089999999998</v>
      </c>
      <c r="AB1582">
        <v>26</v>
      </c>
      <c r="AC1582">
        <v>6.6536999999999802</v>
      </c>
      <c r="AD1582">
        <v>-1.1005113053640001</v>
      </c>
      <c r="AE1582">
        <v>-4.5210000000000097</v>
      </c>
      <c r="AF1582">
        <v>2.3119512454571098</v>
      </c>
      <c r="AG1582">
        <v>-1.1005113053640001</v>
      </c>
      <c r="AH1582">
        <v>7.5505059094318598</v>
      </c>
      <c r="AI1582">
        <v>97.934000493674205</v>
      </c>
      <c r="AJ1582">
        <v>72.975506642673807</v>
      </c>
      <c r="AK1582">
        <v>7.97285288858198</v>
      </c>
      <c r="AL1582">
        <v>71.960385103048694</v>
      </c>
      <c r="AM1582">
        <v>82.3268499955756</v>
      </c>
      <c r="AN1582">
        <v>1.00000002967058</v>
      </c>
    </row>
    <row r="1583" spans="1:40" x14ac:dyDescent="0.25">
      <c r="A1583" t="str">
        <f>"20190304164121899"</f>
        <v>20190304164121899</v>
      </c>
      <c r="B1583" t="str">
        <f>"1551688881892983"</f>
        <v>1551688881892983</v>
      </c>
      <c r="C1583" t="s">
        <v>40</v>
      </c>
      <c r="D1583">
        <v>5.1443379999999896</v>
      </c>
      <c r="E1583">
        <v>0.58361090000000004</v>
      </c>
      <c r="F1583" t="s">
        <v>44</v>
      </c>
      <c r="G1583">
        <v>-201.95590000000001</v>
      </c>
      <c r="H1583" s="1">
        <v>-3.2600250000000002E-6</v>
      </c>
      <c r="I1583">
        <v>361.33139999999997</v>
      </c>
      <c r="J1583">
        <v>-208.6353</v>
      </c>
      <c r="K1583">
        <v>1.1005199999999999</v>
      </c>
      <c r="L1583">
        <v>365.93079999999998</v>
      </c>
      <c r="M1583">
        <v>0.95328860000000004</v>
      </c>
      <c r="N1583">
        <v>-1.561046E-2</v>
      </c>
      <c r="O1583">
        <v>-0.30165730000000002</v>
      </c>
      <c r="P1583">
        <v>0.86720409999999903</v>
      </c>
      <c r="Q1583">
        <v>0.2986684</v>
      </c>
      <c r="R1583">
        <v>-0.3984396</v>
      </c>
      <c r="S1583">
        <v>2.7517849999999999</v>
      </c>
      <c r="T1583">
        <v>-0.44551059999999998</v>
      </c>
      <c r="U1583">
        <v>-1.8795470000000001</v>
      </c>
      <c r="V1583">
        <v>0.12598999999999999</v>
      </c>
      <c r="W1583">
        <v>0.31038259999999901</v>
      </c>
      <c r="X1583">
        <v>0.9422256</v>
      </c>
      <c r="Y1583">
        <v>0.28784920000000003</v>
      </c>
      <c r="Z1583">
        <v>1.459915E-2</v>
      </c>
      <c r="AA1583">
        <v>0.95756450000000004</v>
      </c>
      <c r="AB1583">
        <v>26</v>
      </c>
      <c r="AC1583">
        <v>6.6793999999999798</v>
      </c>
      <c r="AD1583">
        <v>-1.1005232600249999</v>
      </c>
      <c r="AE1583">
        <v>-4.5994000000000002</v>
      </c>
      <c r="AF1583">
        <v>2.3271004509792501</v>
      </c>
      <c r="AG1583">
        <v>-1.1005232600249999</v>
      </c>
      <c r="AH1583">
        <v>7.6155413761164201</v>
      </c>
      <c r="AI1583">
        <v>97.868541417694303</v>
      </c>
      <c r="AJ1583">
        <v>73.008285783991894</v>
      </c>
      <c r="AK1583">
        <v>8.038844345187</v>
      </c>
      <c r="AL1583">
        <v>71.9177100007783</v>
      </c>
      <c r="AM1583">
        <v>82.383853634340596</v>
      </c>
      <c r="AN1583">
        <v>0.99999995988905899</v>
      </c>
    </row>
    <row r="1584" spans="1:40" x14ac:dyDescent="0.25">
      <c r="A1584" t="str">
        <f>"20190304164121911"</f>
        <v>20190304164121911</v>
      </c>
      <c r="B1584" t="str">
        <f>"1551688881902743"</f>
        <v>1551688881902743</v>
      </c>
      <c r="C1584" t="s">
        <v>40</v>
      </c>
      <c r="D1584">
        <v>5.0651089999999996</v>
      </c>
      <c r="E1584">
        <v>0.58361359999999995</v>
      </c>
      <c r="F1584" t="s">
        <v>44</v>
      </c>
      <c r="G1584">
        <v>-201.78639999999999</v>
      </c>
      <c r="H1584" s="1">
        <v>-3.2058799999999898E-6</v>
      </c>
      <c r="I1584">
        <v>361.19110000000001</v>
      </c>
      <c r="J1584">
        <v>-208.5093</v>
      </c>
      <c r="K1584">
        <v>1.100557</v>
      </c>
      <c r="L1584">
        <v>365.88310000000001</v>
      </c>
      <c r="M1584">
        <v>0.95108159999999997</v>
      </c>
      <c r="N1584">
        <v>-1.5617560000000001E-2</v>
      </c>
      <c r="O1584">
        <v>-0.30854500000000001</v>
      </c>
      <c r="P1584">
        <v>0.86467959999999999</v>
      </c>
      <c r="Q1584">
        <v>0.299245599999999</v>
      </c>
      <c r="R1584">
        <v>-0.40346130000000002</v>
      </c>
      <c r="S1584">
        <v>2.7398380000000002</v>
      </c>
      <c r="T1584">
        <v>-0.44025979999999998</v>
      </c>
      <c r="U1584">
        <v>-1.896118</v>
      </c>
      <c r="V1584">
        <v>0.124682</v>
      </c>
      <c r="W1584">
        <v>0.31100809999999901</v>
      </c>
      <c r="X1584">
        <v>0.94219339999999996</v>
      </c>
      <c r="Y1584">
        <v>0.28685240000000001</v>
      </c>
      <c r="Z1584">
        <v>1.526839E-2</v>
      </c>
      <c r="AA1584">
        <v>0.95785310000000001</v>
      </c>
      <c r="AB1584">
        <v>26</v>
      </c>
      <c r="AC1584">
        <v>6.7229000000000099</v>
      </c>
      <c r="AD1584">
        <v>-1.1005602058799999</v>
      </c>
      <c r="AE1584">
        <v>-4.6920000000000002</v>
      </c>
      <c r="AF1584">
        <v>2.3461684925878199</v>
      </c>
      <c r="AG1584">
        <v>-1.1005602058799999</v>
      </c>
      <c r="AH1584">
        <v>7.7038445253777796</v>
      </c>
      <c r="AI1584">
        <v>97.781922822673295</v>
      </c>
      <c r="AJ1584">
        <v>73.062140088708901</v>
      </c>
      <c r="AK1584">
        <v>8.1280354227557101</v>
      </c>
      <c r="AL1584">
        <v>71.880006623628006</v>
      </c>
      <c r="AM1584">
        <v>82.461754189751801</v>
      </c>
      <c r="AN1584">
        <v>1.00000002119658</v>
      </c>
    </row>
    <row r="1585" spans="1:40" x14ac:dyDescent="0.25">
      <c r="A1585" t="str">
        <f>"20190304164121922"</f>
        <v>20190304164121922</v>
      </c>
      <c r="B1585" t="str">
        <f>"1551688881912503"</f>
        <v>1551688881912503</v>
      </c>
      <c r="C1585" t="s">
        <v>40</v>
      </c>
      <c r="D1585">
        <v>4.988632</v>
      </c>
      <c r="E1585">
        <v>0.58345729999999996</v>
      </c>
      <c r="F1585" t="s">
        <v>44</v>
      </c>
      <c r="G1585">
        <v>-201.61699999999999</v>
      </c>
      <c r="H1585" s="1">
        <v>-3.1518730000000002E-6</v>
      </c>
      <c r="I1585">
        <v>361.05009999999999</v>
      </c>
      <c r="J1585">
        <v>-208.38489999999999</v>
      </c>
      <c r="K1585">
        <v>1.1005959999999999</v>
      </c>
      <c r="L1585">
        <v>365.83539999999999</v>
      </c>
      <c r="M1585">
        <v>0.9488531</v>
      </c>
      <c r="N1585">
        <v>-1.562387E-2</v>
      </c>
      <c r="O1585">
        <v>-0.31533109999999998</v>
      </c>
      <c r="P1585">
        <v>0.86226199999999997</v>
      </c>
      <c r="Q1585">
        <v>0.30001030000000001</v>
      </c>
      <c r="R1585">
        <v>-0.40804230000000002</v>
      </c>
      <c r="S1585">
        <v>2.7277680000000002</v>
      </c>
      <c r="T1585">
        <v>-0.43556739999999999</v>
      </c>
      <c r="U1585">
        <v>-1.91272</v>
      </c>
      <c r="V1585">
        <v>0.1230147</v>
      </c>
      <c r="W1585">
        <v>0.3118301</v>
      </c>
      <c r="X1585">
        <v>0.94214089999999995</v>
      </c>
      <c r="Y1585">
        <v>0.28596500000000002</v>
      </c>
      <c r="Z1585">
        <v>1.5923360000000001E-2</v>
      </c>
      <c r="AA1585">
        <v>0.95810779999999995</v>
      </c>
      <c r="AB1585">
        <v>26</v>
      </c>
      <c r="AC1585">
        <v>6.7678999999999601</v>
      </c>
      <c r="AD1585">
        <v>-1.1005991518729901</v>
      </c>
      <c r="AE1585">
        <v>-4.7853000000000003</v>
      </c>
      <c r="AF1585">
        <v>2.3650133806941298</v>
      </c>
      <c r="AG1585">
        <v>-1.1005991518729901</v>
      </c>
      <c r="AH1585">
        <v>7.7942439102469496</v>
      </c>
      <c r="AI1585">
        <v>97.695379731393402</v>
      </c>
      <c r="AJ1585">
        <v>73.120588620441296</v>
      </c>
      <c r="AK1585">
        <v>8.2191754401757091</v>
      </c>
      <c r="AL1585">
        <v>71.830445491895802</v>
      </c>
      <c r="AM1585">
        <v>82.561012486402305</v>
      </c>
      <c r="AN1585">
        <v>1.0000000515674501</v>
      </c>
    </row>
    <row r="1586" spans="1:40" x14ac:dyDescent="0.25">
      <c r="A1586" t="str">
        <f>"20190304164121932"</f>
        <v>20190304164121932</v>
      </c>
      <c r="B1586" t="str">
        <f>"1551688881922264"</f>
        <v>1551688881922264</v>
      </c>
      <c r="C1586" t="s">
        <v>40</v>
      </c>
      <c r="D1586">
        <v>5.0607340000000001</v>
      </c>
      <c r="E1586">
        <v>0.58366629999999997</v>
      </c>
      <c r="F1586" t="s">
        <v>44</v>
      </c>
      <c r="G1586">
        <v>-201.53210000000001</v>
      </c>
      <c r="H1586" s="1">
        <v>-3.1261379999999998E-6</v>
      </c>
      <c r="I1586">
        <v>360.9735</v>
      </c>
      <c r="J1586">
        <v>-208.26679999999999</v>
      </c>
      <c r="K1586">
        <v>1.100651</v>
      </c>
      <c r="L1586">
        <v>365.7885</v>
      </c>
      <c r="M1586">
        <v>0.94669899999999996</v>
      </c>
      <c r="N1586">
        <v>-1.562416E-2</v>
      </c>
      <c r="O1586">
        <v>-0.32174049999999998</v>
      </c>
      <c r="P1586">
        <v>0.85964180000000001</v>
      </c>
      <c r="Q1586">
        <v>0.30081920000000001</v>
      </c>
      <c r="R1586">
        <v>-0.41294540000000002</v>
      </c>
      <c r="S1586">
        <v>2.718445</v>
      </c>
      <c r="T1586">
        <v>-0.43659569999999998</v>
      </c>
      <c r="U1586">
        <v>-1.92865</v>
      </c>
      <c r="V1586">
        <v>0.1220736</v>
      </c>
      <c r="W1586">
        <v>0.31267529999999999</v>
      </c>
      <c r="X1586">
        <v>0.94198309999999996</v>
      </c>
      <c r="Y1586">
        <v>0.28482170000000001</v>
      </c>
      <c r="Z1586">
        <v>1.683221E-2</v>
      </c>
      <c r="AA1586">
        <v>0.95843270000000003</v>
      </c>
      <c r="AB1586">
        <v>26</v>
      </c>
      <c r="AC1586">
        <v>6.7346999999999699</v>
      </c>
      <c r="AD1586">
        <v>-1.1006541261380001</v>
      </c>
      <c r="AE1586">
        <v>-4.8149999999999897</v>
      </c>
      <c r="AF1586">
        <v>2.35028102644001</v>
      </c>
      <c r="AG1586">
        <v>-1.1006541261380001</v>
      </c>
      <c r="AH1586">
        <v>7.7882259884015701</v>
      </c>
      <c r="AI1586">
        <v>97.705131028422599</v>
      </c>
      <c r="AJ1586">
        <v>73.2075719483407</v>
      </c>
      <c r="AK1586">
        <v>8.2092462781331008</v>
      </c>
      <c r="AL1586">
        <v>71.779469015948806</v>
      </c>
      <c r="AM1586">
        <v>82.616069703608105</v>
      </c>
      <c r="AN1586">
        <v>0.99999998386632905</v>
      </c>
    </row>
    <row r="1587" spans="1:40" x14ac:dyDescent="0.25">
      <c r="A1587" t="str">
        <f>"20190304164121944"</f>
        <v>20190304164121944</v>
      </c>
      <c r="B1587" t="str">
        <f>"1551688881932999"</f>
        <v>1551688881932999</v>
      </c>
      <c r="C1587" t="s">
        <v>40</v>
      </c>
      <c r="D1587">
        <v>5.1500629999999896</v>
      </c>
      <c r="E1587">
        <v>0.58403570000000005</v>
      </c>
      <c r="F1587" t="s">
        <v>44</v>
      </c>
      <c r="G1587">
        <v>-201.46619999999999</v>
      </c>
      <c r="H1587" s="1">
        <v>-3.108854E-6</v>
      </c>
      <c r="I1587">
        <v>360.90179999999998</v>
      </c>
      <c r="J1587">
        <v>-208.14060000000001</v>
      </c>
      <c r="K1587">
        <v>1.1007129999999901</v>
      </c>
      <c r="L1587">
        <v>365.73809999999997</v>
      </c>
      <c r="M1587">
        <v>0.94435290000000005</v>
      </c>
      <c r="N1587">
        <v>-1.5623939999999999E-2</v>
      </c>
      <c r="O1587">
        <v>-0.3285632</v>
      </c>
      <c r="P1587">
        <v>0.85675849999999898</v>
      </c>
      <c r="Q1587">
        <v>0.3017879</v>
      </c>
      <c r="R1587">
        <v>-0.4181975</v>
      </c>
      <c r="S1587">
        <v>2.7083439999999999</v>
      </c>
      <c r="T1587">
        <v>-0.43833299999999997</v>
      </c>
      <c r="U1587">
        <v>-1.9461360000000001</v>
      </c>
      <c r="V1587">
        <v>0.12112489999999999</v>
      </c>
      <c r="W1587">
        <v>0.31368059999999998</v>
      </c>
      <c r="X1587">
        <v>0.94177129999999998</v>
      </c>
      <c r="Y1587">
        <v>0.28373419999999999</v>
      </c>
      <c r="Z1587">
        <v>1.7829299999999999E-2</v>
      </c>
      <c r="AA1587">
        <v>0.95873719999999996</v>
      </c>
      <c r="AB1587">
        <v>26</v>
      </c>
      <c r="AC1587">
        <v>6.6744000000000101</v>
      </c>
      <c r="AD1587">
        <v>-1.1007161088539901</v>
      </c>
      <c r="AE1587">
        <v>-4.8362999999999898</v>
      </c>
      <c r="AF1587">
        <v>2.33289700310225</v>
      </c>
      <c r="AG1587">
        <v>-1.1007161088539901</v>
      </c>
      <c r="AH1587">
        <v>7.7546866930223803</v>
      </c>
      <c r="AI1587">
        <v>97.740461552168497</v>
      </c>
      <c r="AJ1587">
        <v>73.256766872262503</v>
      </c>
      <c r="AK1587">
        <v>8.1724629143430594</v>
      </c>
      <c r="AL1587">
        <v>71.718818261597406</v>
      </c>
      <c r="AM1587">
        <v>82.671198282209801</v>
      </c>
      <c r="AN1587">
        <v>0.99999997086002901</v>
      </c>
    </row>
    <row r="1588" spans="1:40" x14ac:dyDescent="0.25">
      <c r="A1588" t="str">
        <f>"20190304164121957"</f>
        <v>20190304164121957</v>
      </c>
      <c r="B1588" t="str">
        <f>"1551688881942759"</f>
        <v>1551688881942759</v>
      </c>
      <c r="C1588" t="s">
        <v>40</v>
      </c>
      <c r="D1588">
        <v>5.1460790000000003</v>
      </c>
      <c r="E1588">
        <v>0.58403570000000005</v>
      </c>
      <c r="F1588" t="s">
        <v>44</v>
      </c>
      <c r="G1588">
        <v>-201.4101</v>
      </c>
      <c r="H1588" s="1">
        <v>-3.09595E-6</v>
      </c>
      <c r="I1588">
        <v>360.83280000000002</v>
      </c>
      <c r="J1588">
        <v>-208.0017</v>
      </c>
      <c r="K1588">
        <v>1.1007899999999999</v>
      </c>
      <c r="L1588">
        <v>365.68099999999998</v>
      </c>
      <c r="M1588">
        <v>0.94172420000000001</v>
      </c>
      <c r="N1588">
        <v>-1.5618979999999999E-2</v>
      </c>
      <c r="O1588">
        <v>-0.33602320000000002</v>
      </c>
      <c r="P1588">
        <v>0.85342759999999995</v>
      </c>
      <c r="Q1588">
        <v>0.30278310000000003</v>
      </c>
      <c r="R1588">
        <v>-0.42424509999999999</v>
      </c>
      <c r="S1588">
        <v>2.6973880000000001</v>
      </c>
      <c r="T1588">
        <v>-0.44113330000000001</v>
      </c>
      <c r="U1588">
        <v>-1.9659120000000001</v>
      </c>
      <c r="V1588">
        <v>0.1204124</v>
      </c>
      <c r="W1588">
        <v>0.31470690000000001</v>
      </c>
      <c r="X1588">
        <v>0.94152029999999998</v>
      </c>
      <c r="Y1588">
        <v>0.28265309999999999</v>
      </c>
      <c r="Z1588">
        <v>1.8970850000000001E-2</v>
      </c>
      <c r="AA1588">
        <v>0.95903459999999996</v>
      </c>
      <c r="AB1588">
        <v>26</v>
      </c>
      <c r="AC1588">
        <v>6.5915999999999997</v>
      </c>
      <c r="AD1588">
        <v>-1.1007930959500001</v>
      </c>
      <c r="AE1588">
        <v>-4.8481999999999603</v>
      </c>
      <c r="AF1588">
        <v>2.3092307884201602</v>
      </c>
      <c r="AG1588">
        <v>-1.1007930959500001</v>
      </c>
      <c r="AH1588">
        <v>7.6982098291818799</v>
      </c>
      <c r="AI1588">
        <v>97.798931465600106</v>
      </c>
      <c r="AJ1588">
        <v>73.302341016931607</v>
      </c>
      <c r="AK1588">
        <v>8.1121345432870697</v>
      </c>
      <c r="AL1588">
        <v>71.656879989142595</v>
      </c>
      <c r="AM1588">
        <v>82.711922757723002</v>
      </c>
      <c r="AN1588">
        <v>1.00000002714672</v>
      </c>
    </row>
    <row r="1589" spans="1:40" x14ac:dyDescent="0.25">
      <c r="A1589" t="str">
        <f>"20190304164121969"</f>
        <v>20190304164121969</v>
      </c>
      <c r="B1589" t="str">
        <f>"1551688881962278"</f>
        <v>1551688881962278</v>
      </c>
      <c r="C1589" t="s">
        <v>40</v>
      </c>
      <c r="D1589">
        <v>5.1477500000000003</v>
      </c>
      <c r="E1589">
        <v>0.59067990000000004</v>
      </c>
      <c r="F1589" t="s">
        <v>44</v>
      </c>
      <c r="G1589">
        <v>-201.26050000000001</v>
      </c>
      <c r="H1589" s="1">
        <v>-3.0505179999999999E-6</v>
      </c>
      <c r="I1589">
        <v>360.69810000000001</v>
      </c>
      <c r="J1589">
        <v>-207.87719999999999</v>
      </c>
      <c r="K1589">
        <v>1.1008690000000001</v>
      </c>
      <c r="L1589">
        <v>365.62880000000001</v>
      </c>
      <c r="M1589">
        <v>0.93932950000000004</v>
      </c>
      <c r="N1589">
        <v>-1.561214E-2</v>
      </c>
      <c r="O1589">
        <v>-0.34266049999999998</v>
      </c>
      <c r="P1589">
        <v>0.85072389999999998</v>
      </c>
      <c r="Q1589">
        <v>0.30357840000000003</v>
      </c>
      <c r="R1589">
        <v>-0.4290794</v>
      </c>
      <c r="S1589">
        <v>2.6843870000000001</v>
      </c>
      <c r="T1589">
        <v>-0.4383436</v>
      </c>
      <c r="U1589">
        <v>-1.9842219999999999</v>
      </c>
      <c r="V1589">
        <v>0.1191588</v>
      </c>
      <c r="W1589">
        <v>0.31554539999999998</v>
      </c>
      <c r="X1589">
        <v>0.94139910000000004</v>
      </c>
      <c r="Y1589">
        <v>0.28238000000000002</v>
      </c>
      <c r="Z1589">
        <v>1.9640660000000001E-2</v>
      </c>
      <c r="AA1589">
        <v>0.9591016</v>
      </c>
      <c r="AB1589">
        <v>26</v>
      </c>
      <c r="AC1589">
        <v>6.6166999999999803</v>
      </c>
      <c r="AD1589">
        <v>-1.1008720505180001</v>
      </c>
      <c r="AE1589">
        <v>-4.9306999999999999</v>
      </c>
      <c r="AF1589">
        <v>2.3232097973204699</v>
      </c>
      <c r="AG1589">
        <v>-1.1008720505180001</v>
      </c>
      <c r="AH1589">
        <v>7.7675341379566403</v>
      </c>
      <c r="AI1589">
        <v>97.732562336067005</v>
      </c>
      <c r="AJ1589">
        <v>73.348479876677104</v>
      </c>
      <c r="AK1589">
        <v>8.18191967806451</v>
      </c>
      <c r="AL1589">
        <v>71.606257627095999</v>
      </c>
      <c r="AM1589">
        <v>82.786075993388806</v>
      </c>
      <c r="AN1589">
        <v>0.99999999227970504</v>
      </c>
    </row>
    <row r="1590" spans="1:40" x14ac:dyDescent="0.25">
      <c r="A1590" t="str">
        <f>"20190304164121980"</f>
        <v>20190304164121980</v>
      </c>
      <c r="B1590" t="str">
        <f>"1551688881973015"</f>
        <v>1551688881973015</v>
      </c>
      <c r="C1590" t="s">
        <v>40</v>
      </c>
      <c r="D1590">
        <v>5.1370740000000001</v>
      </c>
      <c r="E1590">
        <v>0.59051409999999904</v>
      </c>
      <c r="F1590" t="s">
        <v>44</v>
      </c>
      <c r="G1590">
        <v>-202.29409999999999</v>
      </c>
      <c r="H1590" s="1">
        <v>-3.4270570000000001E-6</v>
      </c>
      <c r="I1590">
        <v>361.3458</v>
      </c>
      <c r="J1590">
        <v>-207.74160000000001</v>
      </c>
      <c r="K1590">
        <v>1.100962</v>
      </c>
      <c r="L1590">
        <v>365.57130000000001</v>
      </c>
      <c r="M1590">
        <v>0.9366795</v>
      </c>
      <c r="N1590">
        <v>-1.5603250000000001E-2</v>
      </c>
      <c r="O1590">
        <v>-0.3498406</v>
      </c>
      <c r="P1590">
        <v>0.84802009999999906</v>
      </c>
      <c r="Q1590">
        <v>0.30450749999999999</v>
      </c>
      <c r="R1590">
        <v>-0.43374829999999998</v>
      </c>
      <c r="S1590">
        <v>2.6784669999999999</v>
      </c>
      <c r="T1590">
        <v>-0.52814220000000001</v>
      </c>
      <c r="U1590">
        <v>-2.0548099999999998</v>
      </c>
      <c r="V1590">
        <v>0.11718480000000001</v>
      </c>
      <c r="W1590">
        <v>0.3165367</v>
      </c>
      <c r="X1590">
        <v>0.94131410000000004</v>
      </c>
      <c r="Y1590">
        <v>0.29209230000000003</v>
      </c>
      <c r="Z1590">
        <v>2.501287E-2</v>
      </c>
      <c r="AA1590">
        <v>0.956063</v>
      </c>
      <c r="AB1590">
        <v>26</v>
      </c>
      <c r="AC1590">
        <v>5.4475000000000096</v>
      </c>
      <c r="AD1590">
        <v>-1.100965427057</v>
      </c>
      <c r="AE1590">
        <v>-4.22550000000001</v>
      </c>
      <c r="AF1590">
        <v>2.0013920067985</v>
      </c>
      <c r="AG1590">
        <v>-1.100965427057</v>
      </c>
      <c r="AH1590">
        <v>6.4179410079393904</v>
      </c>
      <c r="AI1590">
        <v>99.300587931368497</v>
      </c>
      <c r="AJ1590">
        <v>72.680259543258202</v>
      </c>
      <c r="AK1590">
        <v>6.8123169052710599</v>
      </c>
      <c r="AL1590">
        <v>71.546392028148503</v>
      </c>
      <c r="AM1590">
        <v>82.903720326440904</v>
      </c>
      <c r="AN1590">
        <v>0.99999999732836997</v>
      </c>
    </row>
    <row r="1591" spans="1:40" x14ac:dyDescent="0.25">
      <c r="A1591" t="str">
        <f>"20190304164121992"</f>
        <v>20190304164121992</v>
      </c>
      <c r="B1591" t="str">
        <f>"1551688881982775"</f>
        <v>1551688881982775</v>
      </c>
      <c r="C1591" t="s">
        <v>40</v>
      </c>
      <c r="D1591">
        <v>5.1477959999999996</v>
      </c>
      <c r="E1591">
        <v>0.59045950000000003</v>
      </c>
      <c r="F1591" t="s">
        <v>44</v>
      </c>
      <c r="G1591">
        <v>-202.17769999999999</v>
      </c>
      <c r="H1591" s="1">
        <v>-3.3889549999999999E-6</v>
      </c>
      <c r="I1591">
        <v>361.25330000000002</v>
      </c>
      <c r="J1591">
        <v>-207.61080000000001</v>
      </c>
      <c r="K1591">
        <v>1.101064</v>
      </c>
      <c r="L1591">
        <v>365.51409999999998</v>
      </c>
      <c r="M1591">
        <v>0.93409640000000005</v>
      </c>
      <c r="N1591">
        <v>-1.5590049999999999E-2</v>
      </c>
      <c r="O1591">
        <v>-0.35668040000000001</v>
      </c>
      <c r="P1591">
        <v>0.84580059999999901</v>
      </c>
      <c r="Q1591">
        <v>0.30536059999999998</v>
      </c>
      <c r="R1591">
        <v>-0.43746610000000002</v>
      </c>
      <c r="S1591">
        <v>2.6681210000000002</v>
      </c>
      <c r="T1591">
        <v>-0.52795409999999998</v>
      </c>
      <c r="U1591">
        <v>-2.0706180000000001</v>
      </c>
      <c r="V1591">
        <v>0.114471699999999</v>
      </c>
      <c r="W1591">
        <v>0.31746869999999999</v>
      </c>
      <c r="X1591">
        <v>0.94133409999999995</v>
      </c>
      <c r="Y1591">
        <v>0.29051320000000003</v>
      </c>
      <c r="Z1591">
        <v>2.6149720000000001E-2</v>
      </c>
      <c r="AA1591">
        <v>0.95651359999999996</v>
      </c>
      <c r="AB1591">
        <v>26</v>
      </c>
      <c r="AC1591">
        <v>5.43310000000002</v>
      </c>
      <c r="AD1591">
        <v>-1.101067388955</v>
      </c>
      <c r="AE1591">
        <v>-4.2607999999999597</v>
      </c>
      <c r="AF1591">
        <v>1.9917154534414001</v>
      </c>
      <c r="AG1591">
        <v>-1.101067388955</v>
      </c>
      <c r="AH1591">
        <v>6.4320148978545202</v>
      </c>
      <c r="AI1591">
        <v>99.2870895832407</v>
      </c>
      <c r="AJ1591">
        <v>72.794519235173098</v>
      </c>
      <c r="AK1591">
        <v>6.8227630391740801</v>
      </c>
      <c r="AL1591">
        <v>71.490088854323204</v>
      </c>
      <c r="AM1591">
        <v>83.066543577203007</v>
      </c>
      <c r="AN1591">
        <v>1.00000001670169</v>
      </c>
    </row>
    <row r="1592" spans="1:40" x14ac:dyDescent="0.25">
      <c r="A1592" t="str">
        <f>"20190304164122003"</f>
        <v>20190304164122003</v>
      </c>
      <c r="B1592" t="str">
        <f>"1551688881992536"</f>
        <v>1551688881992536</v>
      </c>
      <c r="C1592" t="s">
        <v>40</v>
      </c>
      <c r="D1592">
        <v>5.1597600000000003</v>
      </c>
      <c r="E1592">
        <v>0.5902425</v>
      </c>
      <c r="F1592" t="s">
        <v>44</v>
      </c>
      <c r="G1592">
        <v>-202.01589999999999</v>
      </c>
      <c r="H1592" s="1">
        <v>-3.336165E-6</v>
      </c>
      <c r="I1592">
        <v>361.12430000000001</v>
      </c>
      <c r="J1592">
        <v>-207.49789999999999</v>
      </c>
      <c r="K1592">
        <v>1.101159</v>
      </c>
      <c r="L1592">
        <v>365.46440000000001</v>
      </c>
      <c r="M1592">
        <v>0.93183340000000003</v>
      </c>
      <c r="N1592">
        <v>-1.5578720000000001E-2</v>
      </c>
      <c r="O1592">
        <v>-0.36255209999999999</v>
      </c>
      <c r="P1592">
        <v>0.84402719999999898</v>
      </c>
      <c r="Q1592">
        <v>0.30632759999999998</v>
      </c>
      <c r="R1592">
        <v>-0.4402066</v>
      </c>
      <c r="S1592">
        <v>2.657349</v>
      </c>
      <c r="T1592">
        <v>-0.52296209999999999</v>
      </c>
      <c r="U1592">
        <v>-2.084991</v>
      </c>
      <c r="V1592">
        <v>0.1116664</v>
      </c>
      <c r="W1592">
        <v>0.3185135</v>
      </c>
      <c r="X1592">
        <v>0.94131810000000005</v>
      </c>
      <c r="Y1592">
        <v>0.28963810000000001</v>
      </c>
      <c r="Z1592">
        <v>2.6777749999999999E-2</v>
      </c>
      <c r="AA1592">
        <v>0.95676159999999999</v>
      </c>
      <c r="AB1592">
        <v>26</v>
      </c>
      <c r="AC1592">
        <v>5.4819999999999904</v>
      </c>
      <c r="AD1592">
        <v>-1.101162336165</v>
      </c>
      <c r="AE1592">
        <v>-4.3400999999999996</v>
      </c>
      <c r="AF1592">
        <v>2.0072054647879098</v>
      </c>
      <c r="AG1592">
        <v>-1.101162336165</v>
      </c>
      <c r="AH1592">
        <v>6.5208995110359602</v>
      </c>
      <c r="AI1592">
        <v>99.168124912649702</v>
      </c>
      <c r="AJ1592">
        <v>72.891051881487897</v>
      </c>
      <c r="AK1592">
        <v>6.9111187735049002</v>
      </c>
      <c r="AL1592">
        <v>71.426948535253899</v>
      </c>
      <c r="AM1592">
        <v>83.234750037493498</v>
      </c>
      <c r="AN1592">
        <v>0.99999999997941003</v>
      </c>
    </row>
    <row r="1593" spans="1:40" x14ac:dyDescent="0.25">
      <c r="A1593" t="str">
        <f>"20190304164122014"</f>
        <v>20190304164122014</v>
      </c>
      <c r="B1593" t="str">
        <f>"1551688882002295"</f>
        <v>1551688882002295</v>
      </c>
      <c r="C1593" t="s">
        <v>40</v>
      </c>
      <c r="D1593">
        <v>5.1698019999999998</v>
      </c>
      <c r="E1593">
        <v>0.58992979999999995</v>
      </c>
      <c r="F1593" t="s">
        <v>44</v>
      </c>
      <c r="G1593">
        <v>-201.88579999999999</v>
      </c>
      <c r="H1593" s="1">
        <v>-3.292278E-6</v>
      </c>
      <c r="I1593">
        <v>361.02690000000001</v>
      </c>
      <c r="J1593">
        <v>-207.3837</v>
      </c>
      <c r="K1593">
        <v>1.101259</v>
      </c>
      <c r="L1593">
        <v>365.4128</v>
      </c>
      <c r="M1593">
        <v>0.92953370000000002</v>
      </c>
      <c r="N1593">
        <v>-1.556306E-2</v>
      </c>
      <c r="O1593">
        <v>-0.36840879999999998</v>
      </c>
      <c r="P1593">
        <v>0.84226399999999901</v>
      </c>
      <c r="Q1593">
        <v>0.30714750000000002</v>
      </c>
      <c r="R1593">
        <v>-0.44300329999999899</v>
      </c>
      <c r="S1593">
        <v>2.6501769999999998</v>
      </c>
      <c r="T1593">
        <v>-0.51999430000000002</v>
      </c>
      <c r="U1593">
        <v>-2.09552</v>
      </c>
      <c r="V1593">
        <v>0.108902399999999</v>
      </c>
      <c r="W1593">
        <v>0.31940829999999998</v>
      </c>
      <c r="X1593">
        <v>0.94133869999999997</v>
      </c>
      <c r="Y1593">
        <v>0.28729080000000001</v>
      </c>
      <c r="Z1593">
        <v>2.7640560000000002E-2</v>
      </c>
      <c r="AA1593">
        <v>0.95744450000000003</v>
      </c>
      <c r="AB1593">
        <v>26</v>
      </c>
      <c r="AC1593">
        <v>5.4979000000000102</v>
      </c>
      <c r="AD1593">
        <v>-1.101262292278</v>
      </c>
      <c r="AE1593">
        <v>-4.3858999999999897</v>
      </c>
      <c r="AF1593">
        <v>2.0025159549489602</v>
      </c>
      <c r="AG1593">
        <v>-1.101262292278</v>
      </c>
      <c r="AH1593">
        <v>6.5661079965607296</v>
      </c>
      <c r="AI1593">
        <v>99.113984488531401</v>
      </c>
      <c r="AJ1593">
        <v>73.039467543761901</v>
      </c>
      <c r="AK1593">
        <v>6.95245445930553</v>
      </c>
      <c r="AL1593">
        <v>71.372854290087005</v>
      </c>
      <c r="AM1593">
        <v>83.400853106261394</v>
      </c>
      <c r="AN1593">
        <v>0.99999997147616904</v>
      </c>
    </row>
    <row r="1594" spans="1:40" x14ac:dyDescent="0.25">
      <c r="A1594" t="str">
        <f>"20190304164122025"</f>
        <v>20190304164122025</v>
      </c>
      <c r="B1594" t="str">
        <f>"1551688882013031"</f>
        <v>1551688882013031</v>
      </c>
      <c r="C1594" t="s">
        <v>40</v>
      </c>
      <c r="D1594">
        <v>5.1801779999999997</v>
      </c>
      <c r="E1594">
        <v>0.58949830000000003</v>
      </c>
      <c r="F1594" t="s">
        <v>44</v>
      </c>
      <c r="G1594">
        <v>-201.78039999999999</v>
      </c>
      <c r="H1594" s="1">
        <v>-3.2563480000000001E-6</v>
      </c>
      <c r="I1594">
        <v>360.94979999999998</v>
      </c>
      <c r="J1594">
        <v>-207.25829999999999</v>
      </c>
      <c r="K1594">
        <v>1.101367</v>
      </c>
      <c r="L1594">
        <v>365.35570000000001</v>
      </c>
      <c r="M1594">
        <v>0.92697859999999999</v>
      </c>
      <c r="N1594">
        <v>-1.554557E-2</v>
      </c>
      <c r="O1594">
        <v>-0.37479200000000001</v>
      </c>
      <c r="P1594">
        <v>0.84021619999999997</v>
      </c>
      <c r="Q1594">
        <v>0.30791800000000003</v>
      </c>
      <c r="R1594">
        <v>-0.44634449999999998</v>
      </c>
      <c r="S1594">
        <v>2.6437529999999998</v>
      </c>
      <c r="T1594">
        <v>-0.51960059999999997</v>
      </c>
      <c r="U1594">
        <v>-2.1057429999999999</v>
      </c>
      <c r="V1594">
        <v>0.1061911</v>
      </c>
      <c r="W1594">
        <v>0.32025189999999998</v>
      </c>
      <c r="X1594">
        <v>0.94136189999999997</v>
      </c>
      <c r="Y1594">
        <v>0.28419410000000001</v>
      </c>
      <c r="Z1594">
        <v>2.8804989999999999E-2</v>
      </c>
      <c r="AA1594">
        <v>0.95833400000000002</v>
      </c>
      <c r="AB1594">
        <v>26</v>
      </c>
      <c r="AC1594">
        <v>5.4779</v>
      </c>
      <c r="AD1594">
        <v>-1.1013702563479999</v>
      </c>
      <c r="AE1594">
        <v>-4.4059000000000301</v>
      </c>
      <c r="AF1594">
        <v>1.9826816803404601</v>
      </c>
      <c r="AG1594">
        <v>-1.1013702563479999</v>
      </c>
      <c r="AH1594">
        <v>6.5687722903387904</v>
      </c>
      <c r="AI1594">
        <v>99.119054365466894</v>
      </c>
      <c r="AJ1594">
        <v>73.204377500737905</v>
      </c>
      <c r="AK1594">
        <v>6.9493030218467604</v>
      </c>
      <c r="AL1594">
        <v>71.3218411330067</v>
      </c>
      <c r="AM1594">
        <v>83.563910719374505</v>
      </c>
      <c r="AN1594">
        <v>1.0000000279722101</v>
      </c>
    </row>
    <row r="1595" spans="1:40" x14ac:dyDescent="0.25">
      <c r="A1595" t="str">
        <f>"20190304164122035"</f>
        <v>20190304164122035</v>
      </c>
      <c r="B1595" t="str">
        <f>"1551688882022791"</f>
        <v>1551688882022791</v>
      </c>
      <c r="C1595" t="s">
        <v>40</v>
      </c>
      <c r="D1595">
        <v>5.1691310000000001</v>
      </c>
      <c r="E1595">
        <v>0.58909800000000001</v>
      </c>
      <c r="F1595" t="s">
        <v>44</v>
      </c>
      <c r="G1595">
        <v>-201.6832</v>
      </c>
      <c r="H1595" s="1">
        <v>-3.222422E-6</v>
      </c>
      <c r="I1595">
        <v>360.88209999999998</v>
      </c>
      <c r="J1595">
        <v>-207.15100000000001</v>
      </c>
      <c r="K1595">
        <v>1.1014660000000001</v>
      </c>
      <c r="L1595">
        <v>365.30579999999998</v>
      </c>
      <c r="M1595">
        <v>0.92477719999999997</v>
      </c>
      <c r="N1595">
        <v>-1.5528139999999999E-2</v>
      </c>
      <c r="O1595">
        <v>-0.38019219999999998</v>
      </c>
      <c r="P1595">
        <v>0.83861819999999898</v>
      </c>
      <c r="Q1595">
        <v>0.30815550000000003</v>
      </c>
      <c r="R1595">
        <v>-0.4491773</v>
      </c>
      <c r="S1595">
        <v>2.6372529999999998</v>
      </c>
      <c r="T1595">
        <v>-0.52098770000000005</v>
      </c>
      <c r="U1595">
        <v>-2.1161500000000002</v>
      </c>
      <c r="V1595">
        <v>0.10382859999999999</v>
      </c>
      <c r="W1595">
        <v>0.32055169999999999</v>
      </c>
      <c r="X1595">
        <v>0.94152329999999995</v>
      </c>
      <c r="Y1595">
        <v>0.28212890000000002</v>
      </c>
      <c r="Z1595">
        <v>2.9863049999999999E-2</v>
      </c>
      <c r="AA1595">
        <v>0.95891159999999998</v>
      </c>
      <c r="AB1595">
        <v>26</v>
      </c>
      <c r="AC1595">
        <v>5.46779999999998</v>
      </c>
      <c r="AD1595">
        <v>-1.101469222422</v>
      </c>
      <c r="AE1595">
        <v>-4.4236999999999904</v>
      </c>
      <c r="AF1595">
        <v>1.9641895179406901</v>
      </c>
      <c r="AG1595">
        <v>-1.101469222422</v>
      </c>
      <c r="AH1595">
        <v>6.5778329668021103</v>
      </c>
      <c r="AI1595">
        <v>99.115470236189495</v>
      </c>
      <c r="AJ1595">
        <v>73.373986378056998</v>
      </c>
      <c r="AK1595">
        <v>6.9526370140745701</v>
      </c>
      <c r="AL1595">
        <v>71.303706346148701</v>
      </c>
      <c r="AM1595">
        <v>83.707006662622504</v>
      </c>
      <c r="AN1595">
        <v>0.99999994749686805</v>
      </c>
    </row>
    <row r="1596" spans="1:40" x14ac:dyDescent="0.25">
      <c r="A1596" t="str">
        <f>"20190304164122045"</f>
        <v>20190304164122045</v>
      </c>
      <c r="B1596" t="str">
        <f>"1551688882032551"</f>
        <v>1551688882032551</v>
      </c>
      <c r="C1596" t="s">
        <v>40</v>
      </c>
      <c r="D1596">
        <v>5.2424759999999999</v>
      </c>
      <c r="E1596">
        <v>0.58909800000000001</v>
      </c>
      <c r="F1596" t="s">
        <v>44</v>
      </c>
      <c r="G1596">
        <v>-201.61689999999999</v>
      </c>
      <c r="H1596" s="1">
        <v>-3.1988709999999998E-6</v>
      </c>
      <c r="I1596">
        <v>360.83780000000002</v>
      </c>
      <c r="J1596">
        <v>-207.0558</v>
      </c>
      <c r="K1596">
        <v>1.101553</v>
      </c>
      <c r="L1596">
        <v>365.2611</v>
      </c>
      <c r="M1596">
        <v>0.92280519999999999</v>
      </c>
      <c r="N1596">
        <v>-1.5512730000000001E-2</v>
      </c>
      <c r="O1596">
        <v>-0.38495439999999997</v>
      </c>
      <c r="P1596">
        <v>0.83735969999999904</v>
      </c>
      <c r="Q1596">
        <v>0.30836360000000002</v>
      </c>
      <c r="R1596">
        <v>-0.45137640000000001</v>
      </c>
      <c r="S1596">
        <v>2.6317439999999999</v>
      </c>
      <c r="T1596">
        <v>-0.52379560000000003</v>
      </c>
      <c r="U1596">
        <v>-2.124695</v>
      </c>
      <c r="V1596">
        <v>0.1014009</v>
      </c>
      <c r="W1596">
        <v>0.32082270000000002</v>
      </c>
      <c r="X1596">
        <v>0.94169559999999997</v>
      </c>
      <c r="Y1596">
        <v>0.28011839999999999</v>
      </c>
      <c r="Z1596">
        <v>3.093398E-2</v>
      </c>
      <c r="AA1596">
        <v>0.95946690000000001</v>
      </c>
      <c r="AB1596">
        <v>26</v>
      </c>
      <c r="AC1596">
        <v>5.4389000000000101</v>
      </c>
      <c r="AD1596">
        <v>-1.1015561988709901</v>
      </c>
      <c r="AE1596">
        <v>-4.4232999999999798</v>
      </c>
      <c r="AF1596">
        <v>1.94044616364483</v>
      </c>
      <c r="AG1596">
        <v>-1.1015561988709901</v>
      </c>
      <c r="AH1596">
        <v>6.5606432401347803</v>
      </c>
      <c r="AI1596">
        <v>99.146623632497295</v>
      </c>
      <c r="AJ1596">
        <v>73.523325643187505</v>
      </c>
      <c r="AK1596">
        <v>6.9297039689730804</v>
      </c>
      <c r="AL1596">
        <v>71.287313935721201</v>
      </c>
      <c r="AM1596">
        <v>83.854124496574499</v>
      </c>
      <c r="AN1596">
        <v>0.99999997520772899</v>
      </c>
    </row>
    <row r="1597" spans="1:40" x14ac:dyDescent="0.25">
      <c r="A1597" t="str">
        <f>"20190304164122055"</f>
        <v>20190304164122055</v>
      </c>
      <c r="B1597" t="str">
        <f>"1551688882042312"</f>
        <v>1551688882042312</v>
      </c>
      <c r="C1597" t="s">
        <v>40</v>
      </c>
      <c r="D1597">
        <v>5.1819240000000004</v>
      </c>
      <c r="E1597">
        <v>0.58411679999999999</v>
      </c>
      <c r="F1597" t="s">
        <v>44</v>
      </c>
      <c r="G1597">
        <v>-201.5153</v>
      </c>
      <c r="H1597" s="1">
        <v>-3.1663789999999999E-6</v>
      </c>
      <c r="I1597">
        <v>360.75380000000001</v>
      </c>
      <c r="J1597">
        <v>-206.9308</v>
      </c>
      <c r="K1597">
        <v>1.101666</v>
      </c>
      <c r="L1597">
        <v>365.2013</v>
      </c>
      <c r="M1597">
        <v>0.92020550000000001</v>
      </c>
      <c r="N1597">
        <v>-1.5490530000000001E-2</v>
      </c>
      <c r="O1597">
        <v>-0.391129</v>
      </c>
      <c r="P1597">
        <v>0.83564669999999897</v>
      </c>
      <c r="Q1597">
        <v>0.30816680000000002</v>
      </c>
      <c r="R1597">
        <v>-0.45467360000000001</v>
      </c>
      <c r="S1597">
        <v>2.6241150000000002</v>
      </c>
      <c r="T1597">
        <v>-0.52171729999999905</v>
      </c>
      <c r="U1597">
        <v>-2.134735</v>
      </c>
      <c r="V1597">
        <v>9.8668469999999994E-2</v>
      </c>
      <c r="W1597">
        <v>0.32069579999999998</v>
      </c>
      <c r="X1597">
        <v>0.94202909999999995</v>
      </c>
      <c r="Y1597">
        <v>0.27734219999999998</v>
      </c>
      <c r="Z1597">
        <v>3.1929850000000003E-2</v>
      </c>
      <c r="AA1597">
        <v>0.96024050000000005</v>
      </c>
      <c r="AB1597">
        <v>26</v>
      </c>
      <c r="AC1597">
        <v>5.4154999999999998</v>
      </c>
      <c r="AD1597">
        <v>-1.1016691663789999</v>
      </c>
      <c r="AE1597">
        <v>-4.44749999999999</v>
      </c>
      <c r="AF1597">
        <v>1.9270654093659201</v>
      </c>
      <c r="AG1597">
        <v>-1.1016691663789999</v>
      </c>
      <c r="AH1597">
        <v>6.5615604201065096</v>
      </c>
      <c r="AI1597">
        <v>99.151363287198095</v>
      </c>
      <c r="AJ1597">
        <v>73.633007956703693</v>
      </c>
      <c r="AK1597">
        <v>6.9268557939972402</v>
      </c>
      <c r="AL1597">
        <v>71.294991726244902</v>
      </c>
      <c r="AM1597">
        <v>84.020621324486001</v>
      </c>
      <c r="AN1597">
        <v>1.0000000441782899</v>
      </c>
    </row>
    <row r="1598" spans="1:40" x14ac:dyDescent="0.25">
      <c r="A1598" t="str">
        <f>"20190304164122067"</f>
        <v>20190304164122067</v>
      </c>
      <c r="B1598" t="str">
        <f>"1551688882062807"</f>
        <v>1551688882062807</v>
      </c>
      <c r="C1598" t="s">
        <v>40</v>
      </c>
      <c r="D1598">
        <v>5.052136</v>
      </c>
      <c r="E1598">
        <v>0.58474740000000003</v>
      </c>
      <c r="F1598" t="s">
        <v>41</v>
      </c>
      <c r="G1598">
        <v>-206.30959999999999</v>
      </c>
      <c r="H1598">
        <v>0.96795279999999995</v>
      </c>
      <c r="I1598">
        <v>364.70389999999998</v>
      </c>
      <c r="J1598">
        <v>-206.8117</v>
      </c>
      <c r="K1598">
        <v>1.1017790000000001</v>
      </c>
      <c r="L1598">
        <v>365.14359999999999</v>
      </c>
      <c r="M1598">
        <v>0.91770910000000006</v>
      </c>
      <c r="N1598">
        <v>-1.54691E-2</v>
      </c>
      <c r="O1598">
        <v>-0.39695200000000003</v>
      </c>
      <c r="P1598">
        <v>0.83457479999999995</v>
      </c>
      <c r="Q1598">
        <v>0.30730960000000002</v>
      </c>
      <c r="R1598">
        <v>-0.45721539999999999</v>
      </c>
      <c r="S1598">
        <v>2.6472929999999999</v>
      </c>
      <c r="T1598">
        <v>-0.56933259999999997</v>
      </c>
      <c r="U1598">
        <v>-2.1185299999999998</v>
      </c>
      <c r="V1598">
        <v>9.5323190000000002E-2</v>
      </c>
      <c r="W1598">
        <v>0.31992520000000002</v>
      </c>
      <c r="X1598">
        <v>0.94263529999999995</v>
      </c>
      <c r="Y1598">
        <v>0.26386670000000001</v>
      </c>
      <c r="Z1598">
        <v>3.7575009999999999E-2</v>
      </c>
      <c r="AA1598">
        <v>0.96382699999999999</v>
      </c>
      <c r="AB1598">
        <v>26</v>
      </c>
      <c r="AC1598">
        <v>0.50210000000001198</v>
      </c>
      <c r="AD1598">
        <v>-0.13382620000000001</v>
      </c>
      <c r="AE1598">
        <v>-0.43970000000001602</v>
      </c>
      <c r="AF1598">
        <v>0.19633753301611401</v>
      </c>
      <c r="AG1598">
        <v>-0.13382620000000001</v>
      </c>
      <c r="AH1598">
        <v>0.61083805315932305</v>
      </c>
      <c r="AI1598">
        <v>101.781650156781</v>
      </c>
      <c r="AJ1598">
        <v>72.181389067295001</v>
      </c>
      <c r="AK1598">
        <v>0.65542429453352302</v>
      </c>
      <c r="AL1598">
        <v>71.341598185186797</v>
      </c>
      <c r="AM1598">
        <v>84.225642857673904</v>
      </c>
      <c r="AN1598">
        <v>0.999999976476452</v>
      </c>
    </row>
    <row r="1599" spans="1:40" x14ac:dyDescent="0.25">
      <c r="A1599" t="str">
        <f>"20190304164122078"</f>
        <v>20190304164122078</v>
      </c>
      <c r="B1599" t="str">
        <f>"1551688882072567"</f>
        <v>1551688882072567</v>
      </c>
      <c r="C1599" t="s">
        <v>40</v>
      </c>
      <c r="D1599">
        <v>5.178223</v>
      </c>
      <c r="E1599">
        <v>0.58465109999999998</v>
      </c>
      <c r="F1599" t="s">
        <v>41</v>
      </c>
      <c r="G1599">
        <v>-206.1148</v>
      </c>
      <c r="H1599">
        <v>0.95138029999999996</v>
      </c>
      <c r="I1599">
        <v>364.57889999999998</v>
      </c>
      <c r="J1599">
        <v>-206.69300000000001</v>
      </c>
      <c r="K1599">
        <v>1.1018870000000001</v>
      </c>
      <c r="L1599">
        <v>365.08519999999999</v>
      </c>
      <c r="M1599">
        <v>0.91520159999999995</v>
      </c>
      <c r="N1599">
        <v>-1.544733E-2</v>
      </c>
      <c r="O1599">
        <v>-0.4027</v>
      </c>
      <c r="P1599">
        <v>0.83365210000000001</v>
      </c>
      <c r="Q1599">
        <v>0.30642180000000002</v>
      </c>
      <c r="R1599">
        <v>-0.45948870000000003</v>
      </c>
      <c r="S1599">
        <v>2.6345670000000001</v>
      </c>
      <c r="T1599">
        <v>-0.56848339999999997</v>
      </c>
      <c r="U1599">
        <v>-2.1345519999999998</v>
      </c>
      <c r="V1599">
        <v>9.1729039999999998E-2</v>
      </c>
      <c r="W1599">
        <v>0.31912629999999997</v>
      </c>
      <c r="X1599">
        <v>0.9432625</v>
      </c>
      <c r="Y1599">
        <v>0.26369179999999998</v>
      </c>
      <c r="Z1599">
        <v>3.8460590000000003E-2</v>
      </c>
      <c r="AA1599">
        <v>0.96383989999999997</v>
      </c>
      <c r="AB1599">
        <v>26</v>
      </c>
      <c r="AC1599">
        <v>0.57819999999998095</v>
      </c>
      <c r="AD1599">
        <v>-0.15050669999999999</v>
      </c>
      <c r="AE1599">
        <v>-0.50630000000000996</v>
      </c>
      <c r="AF1599">
        <v>0.22203756784460801</v>
      </c>
      <c r="AG1599">
        <v>-0.15050669999999999</v>
      </c>
      <c r="AH1599">
        <v>0.70606569945729203</v>
      </c>
      <c r="AI1599">
        <v>101.494087324571</v>
      </c>
      <c r="AJ1599">
        <v>72.543122188237504</v>
      </c>
      <c r="AK1599">
        <v>0.75530240316667496</v>
      </c>
      <c r="AL1599">
        <v>71.389904128461694</v>
      </c>
      <c r="AM1599">
        <v>84.445647172377903</v>
      </c>
      <c r="AN1599">
        <v>0.99999997801863005</v>
      </c>
    </row>
    <row r="1600" spans="1:40" x14ac:dyDescent="0.25">
      <c r="A1600" t="str">
        <f>"20190304164122090"</f>
        <v>20190304164122090</v>
      </c>
      <c r="B1600" t="str">
        <f>"1551688882082327"</f>
        <v>1551688882082327</v>
      </c>
      <c r="C1600" t="s">
        <v>40</v>
      </c>
      <c r="D1600">
        <v>5.065741</v>
      </c>
      <c r="E1600">
        <v>0.58469309999999997</v>
      </c>
      <c r="F1600" t="s">
        <v>41</v>
      </c>
      <c r="G1600">
        <v>-206.09899999999999</v>
      </c>
      <c r="H1600">
        <v>0.97229080000000001</v>
      </c>
      <c r="I1600">
        <v>364.6001</v>
      </c>
      <c r="J1600">
        <v>-206.57640000000001</v>
      </c>
      <c r="K1600">
        <v>1.1019939999999999</v>
      </c>
      <c r="L1600">
        <v>365.02690000000001</v>
      </c>
      <c r="M1600">
        <v>0.91273490000000002</v>
      </c>
      <c r="N1600">
        <v>-1.5424429999999999E-2</v>
      </c>
      <c r="O1600">
        <v>-0.40826109999999999</v>
      </c>
      <c r="P1600">
        <v>0.83259439999999996</v>
      </c>
      <c r="Q1600">
        <v>0.30566670000000001</v>
      </c>
      <c r="R1600">
        <v>-0.46190360000000003</v>
      </c>
      <c r="S1600">
        <v>2.6266940000000001</v>
      </c>
      <c r="T1600">
        <v>-0.57311109999999998</v>
      </c>
      <c r="U1600">
        <v>-2.1455989999999998</v>
      </c>
      <c r="V1600">
        <v>8.8496480000000002E-2</v>
      </c>
      <c r="W1600">
        <v>0.31844840000000002</v>
      </c>
      <c r="X1600">
        <v>0.94380030000000004</v>
      </c>
      <c r="Y1600">
        <v>0.26176909999999998</v>
      </c>
      <c r="Z1600">
        <v>3.9909750000000001E-2</v>
      </c>
      <c r="AA1600">
        <v>0.96430499999999997</v>
      </c>
      <c r="AB1600">
        <v>26</v>
      </c>
      <c r="AC1600">
        <v>0.477399999999988</v>
      </c>
      <c r="AD1600">
        <v>-0.12970319999999999</v>
      </c>
      <c r="AE1600">
        <v>-0.426800000000014</v>
      </c>
      <c r="AF1600">
        <v>0.18700284341634699</v>
      </c>
      <c r="AG1600">
        <v>-0.12970319999999999</v>
      </c>
      <c r="AH1600">
        <v>0.58601692741724998</v>
      </c>
      <c r="AI1600">
        <v>101.906671526254</v>
      </c>
      <c r="AJ1600">
        <v>72.301687247729703</v>
      </c>
      <c r="AK1600">
        <v>0.62865636301209304</v>
      </c>
      <c r="AL1600">
        <v>71.430883542076302</v>
      </c>
      <c r="AM1600">
        <v>84.643260130798396</v>
      </c>
      <c r="AN1600">
        <v>1.00000000835752</v>
      </c>
    </row>
    <row r="1601" spans="1:40" x14ac:dyDescent="0.25">
      <c r="A1601" t="str">
        <f>"20190304164122099"</f>
        <v>20190304164122099</v>
      </c>
      <c r="B1601" t="str">
        <f>"1551688882092086"</f>
        <v>1551688882092086</v>
      </c>
      <c r="C1601" t="s">
        <v>40</v>
      </c>
      <c r="D1601">
        <v>5.0596030000000001</v>
      </c>
      <c r="E1601">
        <v>0.58469819999999995</v>
      </c>
      <c r="F1601" t="s">
        <v>41</v>
      </c>
      <c r="G1601">
        <v>-205.90729999999999</v>
      </c>
      <c r="H1601">
        <v>0.95534799999999997</v>
      </c>
      <c r="I1601">
        <v>364.47500000000002</v>
      </c>
      <c r="J1601">
        <v>-206.4649</v>
      </c>
      <c r="K1601">
        <v>1.1020970000000001</v>
      </c>
      <c r="L1601">
        <v>364.97070000000002</v>
      </c>
      <c r="M1601">
        <v>0.91035359999999999</v>
      </c>
      <c r="N1601">
        <v>-1.540277E-2</v>
      </c>
      <c r="O1601">
        <v>-0.41354479999999999</v>
      </c>
      <c r="P1601">
        <v>0.83097540000000003</v>
      </c>
      <c r="Q1601">
        <v>0.30584109999999998</v>
      </c>
      <c r="R1601">
        <v>-0.46469460000000001</v>
      </c>
      <c r="S1601">
        <v>2.616425</v>
      </c>
      <c r="T1601">
        <v>-0.57322359999999895</v>
      </c>
      <c r="U1601">
        <v>-2.15802</v>
      </c>
      <c r="V1601">
        <v>8.6131869999999999E-2</v>
      </c>
      <c r="W1601">
        <v>0.31867489999999998</v>
      </c>
      <c r="X1601">
        <v>0.94394259999999997</v>
      </c>
      <c r="Y1601">
        <v>0.26082499999999997</v>
      </c>
      <c r="Z1601">
        <v>4.0875839999999997E-2</v>
      </c>
      <c r="AA1601">
        <v>0.9645203</v>
      </c>
      <c r="AB1601">
        <v>26</v>
      </c>
      <c r="AC1601">
        <v>0.55760000000000698</v>
      </c>
      <c r="AD1601">
        <v>-0.14674899999999899</v>
      </c>
      <c r="AE1601">
        <v>-0.49569999999999897</v>
      </c>
      <c r="AF1601">
        <v>0.212475553199057</v>
      </c>
      <c r="AG1601">
        <v>-0.14674899999999899</v>
      </c>
      <c r="AH1601">
        <v>0.68614601910586903</v>
      </c>
      <c r="AI1601">
        <v>101.546793107201</v>
      </c>
      <c r="AJ1601">
        <v>72.794065582709393</v>
      </c>
      <c r="AK1601">
        <v>0.73312856256121794</v>
      </c>
      <c r="AL1601">
        <v>71.417192849902605</v>
      </c>
      <c r="AM1601">
        <v>84.786373245270198</v>
      </c>
      <c r="AN1601">
        <v>1.0000000115072301</v>
      </c>
    </row>
    <row r="1602" spans="1:40" x14ac:dyDescent="0.25">
      <c r="A1602" t="str">
        <f>"20190304164122111"</f>
        <v>20190304164122111</v>
      </c>
      <c r="B1602" t="str">
        <f>"1551688882102823"</f>
        <v>1551688882102823</v>
      </c>
      <c r="C1602" t="s">
        <v>40</v>
      </c>
      <c r="D1602">
        <v>5.0814919999999999</v>
      </c>
      <c r="E1602">
        <v>0.58468180000000003</v>
      </c>
      <c r="F1602" t="s">
        <v>41</v>
      </c>
      <c r="G1602">
        <v>-205.89060000000001</v>
      </c>
      <c r="H1602">
        <v>0.97600089999999995</v>
      </c>
      <c r="I1602">
        <v>364.49290000000002</v>
      </c>
      <c r="J1602">
        <v>-206.35079999999999</v>
      </c>
      <c r="K1602">
        <v>1.1022110000000001</v>
      </c>
      <c r="L1602">
        <v>364.91199999999998</v>
      </c>
      <c r="M1602">
        <v>0.90792569999999995</v>
      </c>
      <c r="N1602">
        <v>-1.537793E-2</v>
      </c>
      <c r="O1602">
        <v>-0.41884919999999998</v>
      </c>
      <c r="P1602">
        <v>0.82888479999999998</v>
      </c>
      <c r="Q1602">
        <v>0.305954</v>
      </c>
      <c r="R1602">
        <v>-0.46834049999999999</v>
      </c>
      <c r="S1602">
        <v>2.6078640000000002</v>
      </c>
      <c r="T1602">
        <v>-0.57234259999999904</v>
      </c>
      <c r="U1602">
        <v>-2.1691590000000001</v>
      </c>
      <c r="V1602">
        <v>8.469699E-2</v>
      </c>
      <c r="W1602">
        <v>0.31881720000000002</v>
      </c>
      <c r="X1602">
        <v>0.94402439999999999</v>
      </c>
      <c r="Y1602">
        <v>0.2592563</v>
      </c>
      <c r="Z1602">
        <v>4.1808779999999997E-2</v>
      </c>
      <c r="AA1602">
        <v>0.96490319999999996</v>
      </c>
      <c r="AB1602">
        <v>26</v>
      </c>
      <c r="AC1602">
        <v>0.46019999999998601</v>
      </c>
      <c r="AD1602">
        <v>-0.12621009999999999</v>
      </c>
      <c r="AE1602">
        <v>-0.41909999999995701</v>
      </c>
      <c r="AF1602">
        <v>0.18036385276560599</v>
      </c>
      <c r="AG1602">
        <v>-0.12621009999999999</v>
      </c>
      <c r="AH1602">
        <v>0.57000181005286199</v>
      </c>
      <c r="AI1602">
        <v>101.920354198403</v>
      </c>
      <c r="AJ1602">
        <v>72.441232515029796</v>
      </c>
      <c r="AK1602">
        <v>0.611033691534274</v>
      </c>
      <c r="AL1602">
        <v>71.408591296325199</v>
      </c>
      <c r="AM1602">
        <v>84.873202688423206</v>
      </c>
      <c r="AN1602">
        <v>1.00000002746312</v>
      </c>
    </row>
    <row r="1603" spans="1:40" x14ac:dyDescent="0.25">
      <c r="A1603" t="str">
        <f>"20190304164122123"</f>
        <v>20190304164122123</v>
      </c>
      <c r="B1603" t="str">
        <f>"1551688882112584"</f>
        <v>1551688882112584</v>
      </c>
      <c r="C1603" t="s">
        <v>40</v>
      </c>
      <c r="D1603">
        <v>5.1564550000000002</v>
      </c>
      <c r="E1603">
        <v>0.58436440000000001</v>
      </c>
      <c r="F1603" t="s">
        <v>41</v>
      </c>
      <c r="G1603">
        <v>-205.7011</v>
      </c>
      <c r="H1603">
        <v>0.95876919999999999</v>
      </c>
      <c r="I1603">
        <v>364.36709999999999</v>
      </c>
      <c r="J1603">
        <v>-206.23330000000001</v>
      </c>
      <c r="K1603">
        <v>1.1023289999999999</v>
      </c>
      <c r="L1603">
        <v>364.85120000000001</v>
      </c>
      <c r="M1603">
        <v>0.90540410000000004</v>
      </c>
      <c r="N1603">
        <v>-1.5352940000000001E-2</v>
      </c>
      <c r="O1603">
        <v>-0.42427310000000001</v>
      </c>
      <c r="P1603">
        <v>0.82595649999999998</v>
      </c>
      <c r="Q1603">
        <v>0.3065059</v>
      </c>
      <c r="R1603">
        <v>-0.47312769999999998</v>
      </c>
      <c r="S1603">
        <v>2.5994570000000001</v>
      </c>
      <c r="T1603">
        <v>-0.57368560000000002</v>
      </c>
      <c r="U1603">
        <v>-2.1797789999999999</v>
      </c>
      <c r="V1603">
        <v>8.4517449999999994E-2</v>
      </c>
      <c r="W1603">
        <v>0.31936900000000001</v>
      </c>
      <c r="X1603">
        <v>0.94385390000000002</v>
      </c>
      <c r="Y1603">
        <v>0.25741560000000002</v>
      </c>
      <c r="Z1603">
        <v>4.2979740000000002E-2</v>
      </c>
      <c r="AA1603">
        <v>0.96534450000000005</v>
      </c>
      <c r="AB1603">
        <v>26</v>
      </c>
      <c r="AC1603">
        <v>0.53220000000001699</v>
      </c>
      <c r="AD1603">
        <v>-0.14355979999999999</v>
      </c>
      <c r="AE1603">
        <v>-0.48410000000001202</v>
      </c>
      <c r="AF1603">
        <v>0.20439444461291001</v>
      </c>
      <c r="AG1603">
        <v>-0.14355979999999999</v>
      </c>
      <c r="AH1603">
        <v>0.66100765118156901</v>
      </c>
      <c r="AI1603">
        <v>101.72197792886</v>
      </c>
      <c r="AJ1603">
        <v>72.817530502083997</v>
      </c>
      <c r="AK1603">
        <v>0.70662410097960504</v>
      </c>
      <c r="AL1603">
        <v>71.375230460903893</v>
      </c>
      <c r="AM1603">
        <v>84.883093440541501</v>
      </c>
      <c r="AN1603">
        <v>0.99999997103035498</v>
      </c>
    </row>
    <row r="1604" spans="1:40" x14ac:dyDescent="0.25">
      <c r="A1604" t="str">
        <f>"20190304164122134"</f>
        <v>20190304164122134</v>
      </c>
      <c r="B1604" t="str">
        <f>"1551688882122343"</f>
        <v>1551688882122343</v>
      </c>
      <c r="C1604" t="s">
        <v>40</v>
      </c>
      <c r="D1604">
        <v>5.0829800000000001</v>
      </c>
      <c r="E1604">
        <v>0.58415869999999903</v>
      </c>
      <c r="F1604" t="s">
        <v>41</v>
      </c>
      <c r="G1604">
        <v>-205.511</v>
      </c>
      <c r="H1604">
        <v>0.94121869999999996</v>
      </c>
      <c r="I1604">
        <v>364.24119999999999</v>
      </c>
      <c r="J1604">
        <v>-206.1174</v>
      </c>
      <c r="K1604">
        <v>1.102457</v>
      </c>
      <c r="L1604">
        <v>364.78989999999999</v>
      </c>
      <c r="M1604">
        <v>0.90293380000000001</v>
      </c>
      <c r="N1604">
        <v>-1.5324630000000001E-2</v>
      </c>
      <c r="O1604">
        <v>-0.42950650000000001</v>
      </c>
      <c r="P1604">
        <v>0.82329019999999997</v>
      </c>
      <c r="Q1604">
        <v>0.30659920000000002</v>
      </c>
      <c r="R1604">
        <v>-0.47769270000000003</v>
      </c>
      <c r="S1604">
        <v>2.5926969999999998</v>
      </c>
      <c r="T1604">
        <v>-0.57820559999999999</v>
      </c>
      <c r="U1604">
        <v>-2.189209</v>
      </c>
      <c r="V1604">
        <v>8.4195480000000003E-2</v>
      </c>
      <c r="W1604">
        <v>0.31946570000000002</v>
      </c>
      <c r="X1604">
        <v>0.94384999999999997</v>
      </c>
      <c r="Y1604">
        <v>0.25521729999999998</v>
      </c>
      <c r="Z1604">
        <v>4.443457E-2</v>
      </c>
      <c r="AA1604">
        <v>0.9658622</v>
      </c>
      <c r="AB1604">
        <v>26</v>
      </c>
      <c r="AC1604">
        <v>0.60640000000000704</v>
      </c>
      <c r="AD1604">
        <v>-0.1612383</v>
      </c>
      <c r="AE1604">
        <v>-0.54869999999999597</v>
      </c>
      <c r="AF1604">
        <v>0.22622079952266499</v>
      </c>
      <c r="AG1604">
        <v>-0.1612383</v>
      </c>
      <c r="AH1604">
        <v>0.75399150557126704</v>
      </c>
      <c r="AI1604">
        <v>101.575551320011</v>
      </c>
      <c r="AJ1604">
        <v>73.299128071497904</v>
      </c>
      <c r="AK1604">
        <v>0.80354018567660301</v>
      </c>
      <c r="AL1604">
        <v>71.369384565616301</v>
      </c>
      <c r="AM1604">
        <v>84.902462496386804</v>
      </c>
      <c r="AN1604">
        <v>1.0000000174144601</v>
      </c>
    </row>
    <row r="1605" spans="1:40" x14ac:dyDescent="0.25">
      <c r="A1605" t="str">
        <f>"20190304164122146"</f>
        <v>20190304164122146</v>
      </c>
      <c r="B1605" t="str">
        <f>"1551688882132103"</f>
        <v>1551688882132103</v>
      </c>
      <c r="C1605" t="s">
        <v>40</v>
      </c>
      <c r="D1605">
        <v>5.101248</v>
      </c>
      <c r="E1605">
        <v>0.58402860000000001</v>
      </c>
      <c r="F1605" t="s">
        <v>41</v>
      </c>
      <c r="G1605">
        <v>-205.49430000000001</v>
      </c>
      <c r="H1605">
        <v>0.96206639999999999</v>
      </c>
      <c r="I1605">
        <v>364.25959999999998</v>
      </c>
      <c r="J1605">
        <v>-205.99299999999999</v>
      </c>
      <c r="K1605">
        <v>1.1025969999999901</v>
      </c>
      <c r="L1605">
        <v>364.72359999999998</v>
      </c>
      <c r="M1605">
        <v>0.90027080000000004</v>
      </c>
      <c r="N1605">
        <v>-1.529426E-2</v>
      </c>
      <c r="O1605">
        <v>-0.4350618</v>
      </c>
      <c r="P1605">
        <v>0.82053469999999995</v>
      </c>
      <c r="Q1605">
        <v>0.30644300000000002</v>
      </c>
      <c r="R1605">
        <v>-0.48250939999999998</v>
      </c>
      <c r="S1605">
        <v>2.5846710000000002</v>
      </c>
      <c r="T1605">
        <v>-0.58235669999999995</v>
      </c>
      <c r="U1605">
        <v>-2.1994020000000001</v>
      </c>
      <c r="V1605">
        <v>8.377242E-2</v>
      </c>
      <c r="W1605">
        <v>0.31931700000000002</v>
      </c>
      <c r="X1605">
        <v>0.94393800000000005</v>
      </c>
      <c r="Y1605">
        <v>0.25305699999999998</v>
      </c>
      <c r="Z1605">
        <v>4.5929560000000001E-2</v>
      </c>
      <c r="AA1605">
        <v>0.96636049999999996</v>
      </c>
      <c r="AB1605">
        <v>26</v>
      </c>
      <c r="AC1605">
        <v>0.49869999999998499</v>
      </c>
      <c r="AD1605">
        <v>-0.14053059999999901</v>
      </c>
      <c r="AE1605">
        <v>-0.46399999999999803</v>
      </c>
      <c r="AF1605">
        <v>0.19258684043603999</v>
      </c>
      <c r="AG1605">
        <v>-0.14053059999999901</v>
      </c>
      <c r="AH1605">
        <v>0.62433653815534595</v>
      </c>
      <c r="AI1605">
        <v>102.138668501559</v>
      </c>
      <c r="AJ1605">
        <v>72.856763822015793</v>
      </c>
      <c r="AK1605">
        <v>0.66830730470442901</v>
      </c>
      <c r="AL1605">
        <v>71.378376111126997</v>
      </c>
      <c r="AM1605">
        <v>84.928412716701004</v>
      </c>
      <c r="AN1605">
        <v>1.00000005634282</v>
      </c>
    </row>
    <row r="1606" spans="1:40" x14ac:dyDescent="0.25">
      <c r="A1606" t="str">
        <f>"20190304164122159"</f>
        <v>20190304164122159</v>
      </c>
      <c r="B1606" t="str">
        <f>"1551688882152599"</f>
        <v>1551688882152599</v>
      </c>
      <c r="C1606" t="s">
        <v>40</v>
      </c>
      <c r="D1606">
        <v>5.1058329999999996</v>
      </c>
      <c r="E1606">
        <v>0.58360619999999996</v>
      </c>
      <c r="F1606" t="s">
        <v>41</v>
      </c>
      <c r="G1606">
        <v>-205.30609999999999</v>
      </c>
      <c r="H1606">
        <v>0.94621040000000001</v>
      </c>
      <c r="I1606">
        <v>364.13290000000001</v>
      </c>
      <c r="J1606">
        <v>-205.8587</v>
      </c>
      <c r="K1606">
        <v>1.102751</v>
      </c>
      <c r="L1606">
        <v>364.65100000000001</v>
      </c>
      <c r="M1606">
        <v>0.89739930000000001</v>
      </c>
      <c r="N1606">
        <v>-1.5259409999999999E-2</v>
      </c>
      <c r="O1606">
        <v>-0.44095519999999999</v>
      </c>
      <c r="P1606">
        <v>0.81844090000000003</v>
      </c>
      <c r="Q1606">
        <v>0.30567879999999997</v>
      </c>
      <c r="R1606">
        <v>-0.4865334</v>
      </c>
      <c r="S1606">
        <v>2.5737299999999999</v>
      </c>
      <c r="T1606">
        <v>-0.58570739999999999</v>
      </c>
      <c r="U1606">
        <v>-2.2127379999999999</v>
      </c>
      <c r="V1606">
        <v>8.1946469999999993E-2</v>
      </c>
      <c r="W1606">
        <v>0.31859080000000001</v>
      </c>
      <c r="X1606">
        <v>0.9443435</v>
      </c>
      <c r="Y1606">
        <v>0.25172250000000002</v>
      </c>
      <c r="Z1606">
        <v>4.7353640000000002E-2</v>
      </c>
      <c r="AA1606">
        <v>0.96664030000000001</v>
      </c>
      <c r="AB1606">
        <v>26</v>
      </c>
      <c r="AC1606">
        <v>0.55260000000001197</v>
      </c>
      <c r="AD1606">
        <v>-0.1565406</v>
      </c>
      <c r="AE1606">
        <v>-0.518100000000004</v>
      </c>
      <c r="AF1606">
        <v>0.212232722720614</v>
      </c>
      <c r="AG1606">
        <v>-0.1565406</v>
      </c>
      <c r="AH1606">
        <v>0.694774506126003</v>
      </c>
      <c r="AI1606">
        <v>102.16027634705701</v>
      </c>
      <c r="AJ1606">
        <v>73.013663644330407</v>
      </c>
      <c r="AK1606">
        <v>0.74314150900376796</v>
      </c>
      <c r="AL1606">
        <v>71.422275856176299</v>
      </c>
      <c r="AM1606">
        <v>85.040517810864898</v>
      </c>
      <c r="AN1606">
        <v>0.99999998389117495</v>
      </c>
    </row>
    <row r="1607" spans="1:40" x14ac:dyDescent="0.25">
      <c r="A1607" t="str">
        <f>"20190304164122171"</f>
        <v>20190304164122171</v>
      </c>
      <c r="B1607" t="str">
        <f>"1551688882162359"</f>
        <v>1551688882162359</v>
      </c>
      <c r="C1607" t="s">
        <v>40</v>
      </c>
      <c r="D1607">
        <v>5.1154159999999997</v>
      </c>
      <c r="E1607">
        <v>0.58360619999999996</v>
      </c>
      <c r="F1607" t="s">
        <v>41</v>
      </c>
      <c r="G1607">
        <v>-205.28469999999999</v>
      </c>
      <c r="H1607">
        <v>0.97052380000000005</v>
      </c>
      <c r="I1607">
        <v>364.1533</v>
      </c>
      <c r="J1607">
        <v>-205.73949999999999</v>
      </c>
      <c r="K1607">
        <v>1.102902</v>
      </c>
      <c r="L1607">
        <v>364.5856</v>
      </c>
      <c r="M1607">
        <v>0.89487190000000005</v>
      </c>
      <c r="N1607">
        <v>-1.522666E-2</v>
      </c>
      <c r="O1607">
        <v>-0.4460634</v>
      </c>
      <c r="P1607">
        <v>0.81707980000000002</v>
      </c>
      <c r="Q1607">
        <v>0.304714599999999</v>
      </c>
      <c r="R1607">
        <v>-0.4894173</v>
      </c>
      <c r="S1607">
        <v>2.5644070000000001</v>
      </c>
      <c r="T1607">
        <v>-0.59048429999999996</v>
      </c>
      <c r="U1607">
        <v>-2.2232669999999999</v>
      </c>
      <c r="V1607">
        <v>7.9586569999999995E-2</v>
      </c>
      <c r="W1607">
        <v>0.31767630000000002</v>
      </c>
      <c r="X1607">
        <v>0.94485330000000001</v>
      </c>
      <c r="Y1607">
        <v>0.25031189999999998</v>
      </c>
      <c r="Z1607">
        <v>4.8809270000000002E-2</v>
      </c>
      <c r="AA1607">
        <v>0.96693410000000002</v>
      </c>
      <c r="AB1607">
        <v>26</v>
      </c>
      <c r="AC1607">
        <v>0.45480000000000498</v>
      </c>
      <c r="AD1607">
        <v>-0.132378199999999</v>
      </c>
      <c r="AE1607">
        <v>-0.43229999999999702</v>
      </c>
      <c r="AF1607">
        <v>0.17616408998539301</v>
      </c>
      <c r="AG1607">
        <v>-0.132378199999999</v>
      </c>
      <c r="AH1607">
        <v>0.57432823221241003</v>
      </c>
      <c r="AI1607">
        <v>102.42704322144201</v>
      </c>
      <c r="AJ1607">
        <v>72.947616599734104</v>
      </c>
      <c r="AK1607">
        <v>0.61515095119153795</v>
      </c>
      <c r="AL1607">
        <v>71.477544697034403</v>
      </c>
      <c r="AM1607">
        <v>85.185246277038601</v>
      </c>
      <c r="AN1607">
        <v>1.00000000611347</v>
      </c>
    </row>
    <row r="1608" spans="1:40" x14ac:dyDescent="0.25">
      <c r="A1608" t="str">
        <f>"20190304164122182"</f>
        <v>20190304164122182</v>
      </c>
      <c r="B1608" t="str">
        <f>"1551688882172119"</f>
        <v>1551688882172119</v>
      </c>
      <c r="C1608" t="s">
        <v>40</v>
      </c>
      <c r="D1608">
        <v>5.1181219999999996</v>
      </c>
      <c r="E1608">
        <v>0.58072579999999996</v>
      </c>
      <c r="F1608" t="s">
        <v>41</v>
      </c>
      <c r="G1608">
        <v>-205.0986</v>
      </c>
      <c r="H1608">
        <v>0.95413170000000003</v>
      </c>
      <c r="I1608">
        <v>364.02429999999998</v>
      </c>
      <c r="J1608">
        <v>-205.62100000000001</v>
      </c>
      <c r="K1608">
        <v>1.1030500000000001</v>
      </c>
      <c r="L1608">
        <v>364.52010000000001</v>
      </c>
      <c r="M1608">
        <v>0.89234880000000005</v>
      </c>
      <c r="N1608">
        <v>-1.519469E-2</v>
      </c>
      <c r="O1608">
        <v>-0.45109060000000001</v>
      </c>
      <c r="P1608">
        <v>0.81584509999999999</v>
      </c>
      <c r="Q1608">
        <v>0.30343239999999999</v>
      </c>
      <c r="R1608">
        <v>-0.49226579999999898</v>
      </c>
      <c r="S1608">
        <v>2.5535890000000001</v>
      </c>
      <c r="T1608">
        <v>-0.59243979999999996</v>
      </c>
      <c r="U1608">
        <v>-2.2354129999999999</v>
      </c>
      <c r="V1608">
        <v>7.7197269999999998E-2</v>
      </c>
      <c r="W1608">
        <v>0.3164457</v>
      </c>
      <c r="X1608">
        <v>0.94546430000000004</v>
      </c>
      <c r="Y1608">
        <v>0.24957579999999999</v>
      </c>
      <c r="Z1608">
        <v>4.9934060000000002E-2</v>
      </c>
      <c r="AA1608">
        <v>0.96706689999999995</v>
      </c>
      <c r="AB1608">
        <v>26</v>
      </c>
      <c r="AC1608">
        <v>0.52239999999997599</v>
      </c>
      <c r="AD1608">
        <v>-0.1489183</v>
      </c>
      <c r="AE1608">
        <v>-0.49580000000003099</v>
      </c>
      <c r="AF1608">
        <v>0.19832188310187601</v>
      </c>
      <c r="AG1608">
        <v>-0.1489183</v>
      </c>
      <c r="AH1608">
        <v>0.66160785317180404</v>
      </c>
      <c r="AI1608">
        <v>102.167125965186</v>
      </c>
      <c r="AJ1608">
        <v>73.313506231305993</v>
      </c>
      <c r="AK1608">
        <v>0.70656435005636198</v>
      </c>
      <c r="AL1608">
        <v>71.551888940696998</v>
      </c>
      <c r="AM1608">
        <v>85.332147686799601</v>
      </c>
      <c r="AN1608">
        <v>1.0000000210592099</v>
      </c>
    </row>
    <row r="1609" spans="1:40" x14ac:dyDescent="0.25">
      <c r="A1609" t="str">
        <f>"20190304164122194"</f>
        <v>20190304164122194</v>
      </c>
      <c r="B1609" t="str">
        <f>"1551688882182856"</f>
        <v>1551688882182856</v>
      </c>
      <c r="C1609" t="s">
        <v>40</v>
      </c>
      <c r="D1609">
        <v>5.105982</v>
      </c>
      <c r="E1609">
        <v>0.58062740000000002</v>
      </c>
      <c r="F1609" t="s">
        <v>41</v>
      </c>
      <c r="G1609">
        <v>-204.9127</v>
      </c>
      <c r="H1609">
        <v>0.93069919999999995</v>
      </c>
      <c r="I1609">
        <v>363.904</v>
      </c>
      <c r="J1609">
        <v>-205.499</v>
      </c>
      <c r="K1609">
        <v>1.1032249999999999</v>
      </c>
      <c r="L1609">
        <v>364.45150000000001</v>
      </c>
      <c r="M1609">
        <v>0.88981350000000003</v>
      </c>
      <c r="N1609">
        <v>-1.515741E-2</v>
      </c>
      <c r="O1609">
        <v>-0.45607239999999999</v>
      </c>
      <c r="P1609">
        <v>0.81428049999999996</v>
      </c>
      <c r="Q1609">
        <v>0.30128529999999998</v>
      </c>
      <c r="R1609">
        <v>-0.49615999999999999</v>
      </c>
      <c r="S1609">
        <v>2.5637970000000001</v>
      </c>
      <c r="T1609">
        <v>-0.62357589999999996</v>
      </c>
      <c r="U1609">
        <v>-2.229584</v>
      </c>
      <c r="V1609">
        <v>7.5879370000000002E-2</v>
      </c>
      <c r="W1609">
        <v>0.31433169999999999</v>
      </c>
      <c r="X1609">
        <v>0.9462758</v>
      </c>
      <c r="Y1609">
        <v>0.2413611</v>
      </c>
      <c r="Z1609">
        <v>5.4549569999999999E-2</v>
      </c>
      <c r="AA1609">
        <v>0.96890100000000001</v>
      </c>
      <c r="AB1609">
        <v>26</v>
      </c>
      <c r="AC1609">
        <v>0.58630000000002203</v>
      </c>
      <c r="AD1609">
        <v>-0.17252579999999901</v>
      </c>
      <c r="AE1609">
        <v>-0.54750000000001298</v>
      </c>
      <c r="AF1609">
        <v>0.21008544880358401</v>
      </c>
      <c r="AG1609">
        <v>-0.17252579999999901</v>
      </c>
      <c r="AH1609">
        <v>0.73737867245445798</v>
      </c>
      <c r="AI1609">
        <v>102.681327015828</v>
      </c>
      <c r="AJ1609">
        <v>74.097297106318905</v>
      </c>
      <c r="AK1609">
        <v>0.78589334776122299</v>
      </c>
      <c r="AL1609">
        <v>71.679526012203397</v>
      </c>
      <c r="AM1609">
        <v>85.415411520654501</v>
      </c>
      <c r="AN1609">
        <v>0.99999999304106302</v>
      </c>
    </row>
    <row r="1610" spans="1:40" x14ac:dyDescent="0.25">
      <c r="A1610" t="str">
        <f>"20190304164122205"</f>
        <v>20190304164122205</v>
      </c>
      <c r="B1610" t="str">
        <f>"1551688882192617"</f>
        <v>1551688882192617</v>
      </c>
      <c r="C1610" t="s">
        <v>40</v>
      </c>
      <c r="D1610">
        <v>5.2954660000000002</v>
      </c>
      <c r="E1610">
        <v>0.58062740000000002</v>
      </c>
      <c r="F1610" t="s">
        <v>41</v>
      </c>
      <c r="G1610">
        <v>-204.89349999999999</v>
      </c>
      <c r="H1610">
        <v>0.95360259999999997</v>
      </c>
      <c r="I1610">
        <v>363.9203</v>
      </c>
      <c r="J1610">
        <v>-205.38570000000001</v>
      </c>
      <c r="K1610">
        <v>1.1033900000000001</v>
      </c>
      <c r="L1610">
        <v>364.38749999999999</v>
      </c>
      <c r="M1610">
        <v>0.88746119999999995</v>
      </c>
      <c r="N1610">
        <v>-1.5122999999999999E-2</v>
      </c>
      <c r="O1610">
        <v>-0.4606345</v>
      </c>
      <c r="P1610">
        <v>0.81262250000000003</v>
      </c>
      <c r="Q1610">
        <v>0.2994909</v>
      </c>
      <c r="R1610">
        <v>-0.49995030000000001</v>
      </c>
      <c r="S1610">
        <v>2.5530089999999999</v>
      </c>
      <c r="T1610">
        <v>-0.63063409999999998</v>
      </c>
      <c r="U1610">
        <v>-2.2394409999999998</v>
      </c>
      <c r="V1610">
        <v>7.4955690000000005E-2</v>
      </c>
      <c r="W1610">
        <v>0.31256070000000002</v>
      </c>
      <c r="X1610">
        <v>0.94693579999999999</v>
      </c>
      <c r="Y1610">
        <v>0.2406404</v>
      </c>
      <c r="Z1610">
        <v>5.6191539999999998E-2</v>
      </c>
      <c r="AA1610">
        <v>0.96898649999999997</v>
      </c>
      <c r="AB1610">
        <v>26</v>
      </c>
      <c r="AC1610">
        <v>0.49220000000002501</v>
      </c>
      <c r="AD1610">
        <v>-0.14978739999999899</v>
      </c>
      <c r="AE1610">
        <v>-0.46719999999999101</v>
      </c>
      <c r="AF1610">
        <v>0.17918935596536201</v>
      </c>
      <c r="AG1610">
        <v>-0.14978739999999899</v>
      </c>
      <c r="AH1610">
        <v>0.62179876377652599</v>
      </c>
      <c r="AI1610">
        <v>103.032935862082</v>
      </c>
      <c r="AJ1610">
        <v>73.924128634032101</v>
      </c>
      <c r="AK1610">
        <v>0.66421291249422199</v>
      </c>
      <c r="AL1610">
        <v>71.786381466476698</v>
      </c>
      <c r="AM1610">
        <v>85.474129675841596</v>
      </c>
      <c r="AN1610">
        <v>0.99999997798475204</v>
      </c>
    </row>
    <row r="1611" spans="1:40" x14ac:dyDescent="0.25">
      <c r="A1611" t="str">
        <f>"20190304164122217"</f>
        <v>20190304164122217</v>
      </c>
      <c r="B1611" t="str">
        <f>"1551688882213112"</f>
        <v>1551688882213112</v>
      </c>
      <c r="C1611" t="s">
        <v>40</v>
      </c>
      <c r="D1611">
        <v>5.3118809999999996</v>
      </c>
      <c r="E1611">
        <v>0.58098490000000003</v>
      </c>
      <c r="F1611" t="s">
        <v>41</v>
      </c>
      <c r="G1611">
        <v>-204.7106</v>
      </c>
      <c r="H1611">
        <v>0.93414459999999999</v>
      </c>
      <c r="I1611">
        <v>363.79079999999999</v>
      </c>
      <c r="J1611">
        <v>-205.27119999999999</v>
      </c>
      <c r="K1611">
        <v>1.103569</v>
      </c>
      <c r="L1611">
        <v>364.32190000000003</v>
      </c>
      <c r="M1611">
        <v>0.88512369999999996</v>
      </c>
      <c r="N1611">
        <v>-1.50858E-2</v>
      </c>
      <c r="O1611">
        <v>-0.46511150000000001</v>
      </c>
      <c r="P1611">
        <v>0.81101569999999901</v>
      </c>
      <c r="Q1611">
        <v>0.29715770000000002</v>
      </c>
      <c r="R1611">
        <v>-0.50393549999999998</v>
      </c>
      <c r="S1611">
        <v>2.543777</v>
      </c>
      <c r="T1611">
        <v>-0.63759089999999996</v>
      </c>
      <c r="U1611">
        <v>-2.247833</v>
      </c>
      <c r="V1611">
        <v>7.4237940000000002E-2</v>
      </c>
      <c r="W1611">
        <v>0.31024889999999999</v>
      </c>
      <c r="X1611">
        <v>0.94775229999999999</v>
      </c>
      <c r="Y1611">
        <v>0.2394049</v>
      </c>
      <c r="Z1611">
        <v>5.7874460000000003E-2</v>
      </c>
      <c r="AA1611">
        <v>0.96919339999999998</v>
      </c>
      <c r="AB1611">
        <v>26</v>
      </c>
      <c r="AC1611">
        <v>0.56059999999999299</v>
      </c>
      <c r="AD1611">
        <v>-0.1694244</v>
      </c>
      <c r="AE1611">
        <v>-0.53110000000003699</v>
      </c>
      <c r="AF1611">
        <v>0.19975628057293901</v>
      </c>
      <c r="AG1611">
        <v>-0.1694244</v>
      </c>
      <c r="AH1611">
        <v>0.70916987544286603</v>
      </c>
      <c r="AI1611">
        <v>102.95041326077001</v>
      </c>
      <c r="AJ1611">
        <v>74.268734881168797</v>
      </c>
      <c r="AK1611">
        <v>0.75599544388795403</v>
      </c>
      <c r="AL1611">
        <v>71.925769694653397</v>
      </c>
      <c r="AM1611">
        <v>85.521136561048493</v>
      </c>
      <c r="AN1611">
        <v>1.0000000369209701</v>
      </c>
    </row>
    <row r="1612" spans="1:40" x14ac:dyDescent="0.25">
      <c r="A1612" t="str">
        <f>"20190304164122227"</f>
        <v>20190304164122227</v>
      </c>
      <c r="B1612" t="str">
        <f>"1551688882222871"</f>
        <v>1551688882222871</v>
      </c>
      <c r="C1612" t="s">
        <v>40</v>
      </c>
      <c r="D1612">
        <v>5.5120009999999997</v>
      </c>
      <c r="E1612">
        <v>0.58098490000000003</v>
      </c>
      <c r="F1612" t="s">
        <v>41</v>
      </c>
      <c r="G1612">
        <v>-204.69229999999999</v>
      </c>
      <c r="H1612">
        <v>0.95632859999999997</v>
      </c>
      <c r="I1612">
        <v>363.80549999999999</v>
      </c>
      <c r="J1612">
        <v>-205.16460000000001</v>
      </c>
      <c r="K1612">
        <v>1.103745</v>
      </c>
      <c r="L1612">
        <v>364.26029999999997</v>
      </c>
      <c r="M1612">
        <v>0.88297429999999999</v>
      </c>
      <c r="N1612">
        <v>-1.505043E-2</v>
      </c>
      <c r="O1612">
        <v>-0.46918029999999999</v>
      </c>
      <c r="P1612">
        <v>0.81005729999999998</v>
      </c>
      <c r="Q1612">
        <v>0.29507889999999998</v>
      </c>
      <c r="R1612">
        <v>-0.506691</v>
      </c>
      <c r="S1612">
        <v>2.5317989999999999</v>
      </c>
      <c r="T1612">
        <v>-0.64373849999999999</v>
      </c>
      <c r="U1612">
        <v>-2.2580870000000002</v>
      </c>
      <c r="V1612">
        <v>7.2562570000000007E-2</v>
      </c>
      <c r="W1612">
        <v>0.30820690000000001</v>
      </c>
      <c r="X1612">
        <v>0.94854799999999995</v>
      </c>
      <c r="Y1612">
        <v>0.2394995</v>
      </c>
      <c r="Z1612">
        <v>5.9309580000000001E-2</v>
      </c>
      <c r="AA1612">
        <v>0.96908320000000003</v>
      </c>
      <c r="AB1612">
        <v>26</v>
      </c>
      <c r="AC1612">
        <v>0.47230000000001798</v>
      </c>
      <c r="AD1612">
        <v>-0.1474164</v>
      </c>
      <c r="AE1612">
        <v>-0.454799999999977</v>
      </c>
      <c r="AF1612">
        <v>0.171342027177184</v>
      </c>
      <c r="AG1612">
        <v>-0.1474164</v>
      </c>
      <c r="AH1612">
        <v>0.60014640290180898</v>
      </c>
      <c r="AI1612">
        <v>103.28949375561299</v>
      </c>
      <c r="AJ1612">
        <v>74.065935564171497</v>
      </c>
      <c r="AK1612">
        <v>0.64129976624206597</v>
      </c>
      <c r="AL1612">
        <v>72.048798050256593</v>
      </c>
      <c r="AM1612">
        <v>85.625474544664399</v>
      </c>
      <c r="AN1612">
        <v>1.0000000640383</v>
      </c>
    </row>
    <row r="1613" spans="1:40" x14ac:dyDescent="0.25">
      <c r="A1613" t="str">
        <f>"20190304164122238"</f>
        <v>20190304164122238</v>
      </c>
      <c r="B1613" t="str">
        <f>"1551688882232630"</f>
        <v>1551688882232630</v>
      </c>
      <c r="C1613" t="s">
        <v>40</v>
      </c>
      <c r="D1613">
        <v>5.5251780000000004</v>
      </c>
      <c r="E1613">
        <v>0.58423499999999995</v>
      </c>
      <c r="F1613" t="s">
        <v>41</v>
      </c>
      <c r="G1613">
        <v>-204.51159999999999</v>
      </c>
      <c r="H1613">
        <v>0.93531540000000002</v>
      </c>
      <c r="I1613">
        <v>363.67399999999998</v>
      </c>
      <c r="J1613">
        <v>-205.0523</v>
      </c>
      <c r="K1613">
        <v>1.1039369999999999</v>
      </c>
      <c r="L1613">
        <v>364.19499999999999</v>
      </c>
      <c r="M1613">
        <v>0.88074300000000005</v>
      </c>
      <c r="N1613">
        <v>-1.5012599999999999E-2</v>
      </c>
      <c r="O1613">
        <v>-0.47335680000000002</v>
      </c>
      <c r="P1613">
        <v>0.80928310000000003</v>
      </c>
      <c r="Q1613">
        <v>0.29296919999999999</v>
      </c>
      <c r="R1613">
        <v>-0.50914659999999901</v>
      </c>
      <c r="S1613">
        <v>2.5233310000000002</v>
      </c>
      <c r="T1613">
        <v>-0.65074730000000003</v>
      </c>
      <c r="U1613">
        <v>-2.2656559999999999</v>
      </c>
      <c r="V1613">
        <v>7.0391529999999994E-2</v>
      </c>
      <c r="W1613">
        <v>0.30614170000000002</v>
      </c>
      <c r="X1613">
        <v>0.94937990000000005</v>
      </c>
      <c r="Y1613">
        <v>0.23825840000000001</v>
      </c>
      <c r="Z1613">
        <v>6.0981710000000001E-2</v>
      </c>
      <c r="AA1613">
        <v>0.96928539999999996</v>
      </c>
      <c r="AB1613">
        <v>26</v>
      </c>
      <c r="AC1613">
        <v>0.54070000000001495</v>
      </c>
      <c r="AD1613">
        <v>-0.16862160000000001</v>
      </c>
      <c r="AE1613">
        <v>-0.52099999999995805</v>
      </c>
      <c r="AF1613">
        <v>0.19320240657884499</v>
      </c>
      <c r="AG1613">
        <v>-0.16862160000000001</v>
      </c>
      <c r="AH1613">
        <v>0.68821041049779996</v>
      </c>
      <c r="AI1613">
        <v>103.27315827369701</v>
      </c>
      <c r="AJ1613">
        <v>74.318890999046303</v>
      </c>
      <c r="AK1613">
        <v>0.73443446474955698</v>
      </c>
      <c r="AL1613">
        <v>72.173134604112803</v>
      </c>
      <c r="AM1613">
        <v>85.759578208047301</v>
      </c>
      <c r="AN1613">
        <v>0.99999995124931895</v>
      </c>
    </row>
    <row r="1614" spans="1:40" x14ac:dyDescent="0.25">
      <c r="A1614" t="str">
        <f>"20190304164122248"</f>
        <v>20190304164122248</v>
      </c>
      <c r="B1614" t="str">
        <f>"1551688882242392"</f>
        <v>1551688882242392</v>
      </c>
      <c r="C1614" t="s">
        <v>40</v>
      </c>
      <c r="D1614">
        <v>5.3814229999999998</v>
      </c>
      <c r="E1614">
        <v>0.58648940000000005</v>
      </c>
      <c r="F1614" t="s">
        <v>41</v>
      </c>
      <c r="G1614">
        <v>-204.49529999999999</v>
      </c>
      <c r="H1614">
        <v>0.95833829999999998</v>
      </c>
      <c r="I1614">
        <v>363.6832</v>
      </c>
      <c r="J1614">
        <v>-204.95740000000001</v>
      </c>
      <c r="K1614">
        <v>1.104112</v>
      </c>
      <c r="L1614">
        <v>364.13929999999999</v>
      </c>
      <c r="M1614">
        <v>0.87890480000000004</v>
      </c>
      <c r="N1614">
        <v>-1.497953E-2</v>
      </c>
      <c r="O1614">
        <v>-0.47676249999999998</v>
      </c>
      <c r="P1614">
        <v>0.80912769999999901</v>
      </c>
      <c r="Q1614">
        <v>0.29159639999999998</v>
      </c>
      <c r="R1614">
        <v>-0.51018090000000005</v>
      </c>
      <c r="S1614">
        <v>2.4990230000000002</v>
      </c>
      <c r="T1614">
        <v>-0.65307510000000002</v>
      </c>
      <c r="U1614">
        <v>-2.2958069999999999</v>
      </c>
      <c r="V1614">
        <v>6.7527100000000007E-2</v>
      </c>
      <c r="W1614">
        <v>0.30482100000000001</v>
      </c>
      <c r="X1614">
        <v>0.95001279999999999</v>
      </c>
      <c r="Y1614">
        <v>0.24548790000000001</v>
      </c>
      <c r="Z1614">
        <v>6.1157990000000002E-2</v>
      </c>
      <c r="AA1614">
        <v>0.96746860000000001</v>
      </c>
      <c r="AB1614">
        <v>26</v>
      </c>
      <c r="AC1614">
        <v>0.46210000000001999</v>
      </c>
      <c r="AD1614">
        <v>-0.14577370000000001</v>
      </c>
      <c r="AE1614">
        <v>-0.45609999999999201</v>
      </c>
      <c r="AF1614">
        <v>0.17191113041339001</v>
      </c>
      <c r="AG1614">
        <v>-0.14577370000000001</v>
      </c>
      <c r="AH1614">
        <v>0.59373442542918997</v>
      </c>
      <c r="AI1614">
        <v>103.26979761136499</v>
      </c>
      <c r="AJ1614">
        <v>73.852042819213594</v>
      </c>
      <c r="AK1614">
        <v>0.635077929321615</v>
      </c>
      <c r="AL1614">
        <v>72.252605489592497</v>
      </c>
      <c r="AM1614">
        <v>85.934242592172197</v>
      </c>
      <c r="AN1614">
        <v>1.0000000357196199</v>
      </c>
    </row>
    <row r="1615" spans="1:40" x14ac:dyDescent="0.25">
      <c r="A1615" t="str">
        <f>"20190304164122258"</f>
        <v>20190304164122258</v>
      </c>
      <c r="B1615" t="str">
        <f>"1551688882252151"</f>
        <v>1551688882252151</v>
      </c>
      <c r="C1615" t="s">
        <v>40</v>
      </c>
      <c r="D1615">
        <v>5.3510799999999996</v>
      </c>
      <c r="E1615">
        <v>0.58853759999999999</v>
      </c>
      <c r="F1615" t="s">
        <v>41</v>
      </c>
      <c r="G1615">
        <v>-204.31989999999999</v>
      </c>
      <c r="H1615">
        <v>0.93626730000000002</v>
      </c>
      <c r="I1615">
        <v>363.54410000000001</v>
      </c>
      <c r="J1615">
        <v>-204.85919999999999</v>
      </c>
      <c r="K1615">
        <v>1.1042989999999999</v>
      </c>
      <c r="L1615">
        <v>364.0813</v>
      </c>
      <c r="M1615">
        <v>0.87702829999999998</v>
      </c>
      <c r="N1615">
        <v>-1.4945440000000001E-2</v>
      </c>
      <c r="O1615">
        <v>-0.48020629999999997</v>
      </c>
      <c r="P1615">
        <v>0.80866740000000004</v>
      </c>
      <c r="Q1615">
        <v>0.29060429999999998</v>
      </c>
      <c r="R1615">
        <v>-0.51147449999999905</v>
      </c>
      <c r="S1615">
        <v>2.482208</v>
      </c>
      <c r="T1615">
        <v>-0.65341349999999998</v>
      </c>
      <c r="U1615">
        <v>-2.317078</v>
      </c>
      <c r="V1615">
        <v>6.4982349999999994E-2</v>
      </c>
      <c r="W1615">
        <v>0.30387209999999998</v>
      </c>
      <c r="X1615">
        <v>0.95049410000000001</v>
      </c>
      <c r="Y1615">
        <v>0.2493735</v>
      </c>
      <c r="Z1615">
        <v>6.145453E-2</v>
      </c>
      <c r="AA1615">
        <v>0.96645550000000002</v>
      </c>
      <c r="AB1615">
        <v>26</v>
      </c>
      <c r="AC1615">
        <v>0.539299999999997</v>
      </c>
      <c r="AD1615">
        <v>-0.16803169999999901</v>
      </c>
      <c r="AE1615">
        <v>-0.53719999999998402</v>
      </c>
      <c r="AF1615">
        <v>0.20232885970358599</v>
      </c>
      <c r="AG1615">
        <v>-0.16803169999999901</v>
      </c>
      <c r="AH1615">
        <v>0.69706299127957405</v>
      </c>
      <c r="AI1615">
        <v>103.03446248812099</v>
      </c>
      <c r="AJ1615">
        <v>73.814149509656602</v>
      </c>
      <c r="AK1615">
        <v>0.74502914941998799</v>
      </c>
      <c r="AL1615">
        <v>72.309680325352005</v>
      </c>
      <c r="AM1615">
        <v>86.088950157632794</v>
      </c>
      <c r="AN1615">
        <v>0.99999999655237104</v>
      </c>
    </row>
    <row r="1616" spans="1:40" x14ac:dyDescent="0.25">
      <c r="A1616" t="str">
        <f>"20190304164122269"</f>
        <v>20190304164122269</v>
      </c>
      <c r="B1616" t="str">
        <f>"1551688882262888"</f>
        <v>1551688882262888</v>
      </c>
      <c r="C1616" t="s">
        <v>40</v>
      </c>
      <c r="D1616">
        <v>5.3840399999999997</v>
      </c>
      <c r="E1616">
        <v>0.59053299999999997</v>
      </c>
      <c r="F1616" t="s">
        <v>41</v>
      </c>
      <c r="G1616">
        <v>-204.30359999999999</v>
      </c>
      <c r="H1616">
        <v>0.95746350000000002</v>
      </c>
      <c r="I1616">
        <v>363.5548</v>
      </c>
      <c r="J1616">
        <v>-204.74639999999999</v>
      </c>
      <c r="K1616">
        <v>1.1045240000000001</v>
      </c>
      <c r="L1616">
        <v>364.01420000000002</v>
      </c>
      <c r="M1616">
        <v>0.87493369999999904</v>
      </c>
      <c r="N1616">
        <v>-1.490526E-2</v>
      </c>
      <c r="O1616">
        <v>-0.48401349999999999</v>
      </c>
      <c r="P1616">
        <v>0.80728520000000004</v>
      </c>
      <c r="Q1616">
        <v>0.29051579999999999</v>
      </c>
      <c r="R1616">
        <v>-0.51370369999999999</v>
      </c>
      <c r="S1616">
        <v>2.4661870000000001</v>
      </c>
      <c r="T1616">
        <v>-0.65156639999999999</v>
      </c>
      <c r="U1616">
        <v>-2.3364259999999999</v>
      </c>
      <c r="V1616">
        <v>6.3284869999999993E-2</v>
      </c>
      <c r="W1616">
        <v>0.30380479999999999</v>
      </c>
      <c r="X1616">
        <v>0.95063010000000003</v>
      </c>
      <c r="Y1616">
        <v>0.25228719999999999</v>
      </c>
      <c r="Z1616">
        <v>6.1696019999999997E-2</v>
      </c>
      <c r="AA1616">
        <v>0.96568359999999998</v>
      </c>
      <c r="AB1616">
        <v>26</v>
      </c>
      <c r="AC1616">
        <v>0.44280000000000502</v>
      </c>
      <c r="AD1616">
        <v>-0.14706050000000001</v>
      </c>
      <c r="AE1616">
        <v>-0.45940000000001602</v>
      </c>
      <c r="AF1616">
        <v>0.178179069452683</v>
      </c>
      <c r="AG1616">
        <v>-0.14706050000000001</v>
      </c>
      <c r="AH1616">
        <v>0.57908246130791097</v>
      </c>
      <c r="AI1616">
        <v>103.643228132312</v>
      </c>
      <c r="AJ1616">
        <v>72.897284535513904</v>
      </c>
      <c r="AK1616">
        <v>0.62346697462311695</v>
      </c>
      <c r="AL1616">
        <v>72.313726992257102</v>
      </c>
      <c r="AM1616">
        <v>86.191353823708099</v>
      </c>
      <c r="AN1616">
        <v>0.99999995914998197</v>
      </c>
    </row>
    <row r="1617" spans="1:40" x14ac:dyDescent="0.25">
      <c r="A1617" t="str">
        <f>"20190304164122280"</f>
        <v>20190304164122280</v>
      </c>
      <c r="B1617" t="str">
        <f>"1551688882272648"</f>
        <v>1551688882272648</v>
      </c>
      <c r="C1617" t="s">
        <v>40</v>
      </c>
      <c r="D1617">
        <v>5.4016380000000002</v>
      </c>
      <c r="E1617">
        <v>0.59220119999999998</v>
      </c>
      <c r="F1617" t="s">
        <v>41</v>
      </c>
      <c r="G1617">
        <v>-204.12549999999999</v>
      </c>
      <c r="H1617">
        <v>0.94090929999999995</v>
      </c>
      <c r="I1617">
        <v>363.41680000000002</v>
      </c>
      <c r="J1617">
        <v>-204.63669999999999</v>
      </c>
      <c r="K1617">
        <v>1.1047439999999999</v>
      </c>
      <c r="L1617">
        <v>363.94850000000002</v>
      </c>
      <c r="M1617">
        <v>0.87292349999999996</v>
      </c>
      <c r="N1617">
        <v>-1.486663E-2</v>
      </c>
      <c r="O1617">
        <v>-0.48763089999999998</v>
      </c>
      <c r="P1617">
        <v>0.80568189999999995</v>
      </c>
      <c r="Q1617">
        <v>0.2905742</v>
      </c>
      <c r="R1617">
        <v>-0.51618180000000002</v>
      </c>
      <c r="S1617">
        <v>2.4492799999999999</v>
      </c>
      <c r="T1617">
        <v>-0.64512400000000003</v>
      </c>
      <c r="U1617">
        <v>-2.3556819999999998</v>
      </c>
      <c r="V1617">
        <v>6.2115419999999998E-2</v>
      </c>
      <c r="W1617">
        <v>0.30387570000000003</v>
      </c>
      <c r="X1617">
        <v>0.95068459999999999</v>
      </c>
      <c r="Y1617">
        <v>0.25550580000000001</v>
      </c>
      <c r="Z1617">
        <v>6.1391170000000002E-2</v>
      </c>
      <c r="AA1617">
        <v>0.96485639999999995</v>
      </c>
      <c r="AB1617">
        <v>26</v>
      </c>
      <c r="AC1617">
        <v>0.51120000000000199</v>
      </c>
      <c r="AD1617">
        <v>-0.163834699999999</v>
      </c>
      <c r="AE1617">
        <v>-0.53169999999999995</v>
      </c>
      <c r="AF1617">
        <v>0.204776776423852</v>
      </c>
      <c r="AG1617">
        <v>-0.163834699999999</v>
      </c>
      <c r="AH1617">
        <v>0.67241361056701998</v>
      </c>
      <c r="AI1617">
        <v>103.120403637191</v>
      </c>
      <c r="AJ1617">
        <v>73.062415191354901</v>
      </c>
      <c r="AK1617">
        <v>0.72174469223016202</v>
      </c>
      <c r="AL1617">
        <v>72.309463658371001</v>
      </c>
      <c r="AM1617">
        <v>86.261746581480494</v>
      </c>
      <c r="AN1617">
        <v>0.99999998756471298</v>
      </c>
    </row>
    <row r="1618" spans="1:40" x14ac:dyDescent="0.25">
      <c r="A1618" t="str">
        <f>"20190304164122292"</f>
        <v>20190304164122292</v>
      </c>
      <c r="B1618" t="str">
        <f>"1551688882282407"</f>
        <v>1551688882282407</v>
      </c>
      <c r="C1618" t="s">
        <v>40</v>
      </c>
      <c r="D1618">
        <v>5.3898739999999998</v>
      </c>
      <c r="E1618">
        <v>0.59332589999999996</v>
      </c>
      <c r="F1618" t="s">
        <v>41</v>
      </c>
      <c r="G1618">
        <v>-204.10579999999999</v>
      </c>
      <c r="H1618">
        <v>0.96516930000000001</v>
      </c>
      <c r="I1618">
        <v>363.43079999999998</v>
      </c>
      <c r="J1618">
        <v>-204.5273</v>
      </c>
      <c r="K1618">
        <v>1.104962</v>
      </c>
      <c r="L1618">
        <v>363.88240000000002</v>
      </c>
      <c r="M1618">
        <v>0.87100429999999995</v>
      </c>
      <c r="N1618">
        <v>-1.4827140000000001E-2</v>
      </c>
      <c r="O1618">
        <v>-0.49105140000000003</v>
      </c>
      <c r="P1618">
        <v>0.80337999999999998</v>
      </c>
      <c r="Q1618">
        <v>0.29135640000000002</v>
      </c>
      <c r="R1618">
        <v>-0.51931859999999996</v>
      </c>
      <c r="S1618">
        <v>2.4339750000000002</v>
      </c>
      <c r="T1618">
        <v>-0.63964509999999997</v>
      </c>
      <c r="U1618">
        <v>-2.3728940000000001</v>
      </c>
      <c r="V1618">
        <v>6.2083689999999997E-2</v>
      </c>
      <c r="W1618">
        <v>0.30464740000000001</v>
      </c>
      <c r="X1618">
        <v>0.95043960000000005</v>
      </c>
      <c r="Y1618">
        <v>0.25820690000000002</v>
      </c>
      <c r="Z1618">
        <v>6.1196100000000003E-2</v>
      </c>
      <c r="AA1618">
        <v>0.96414949999999999</v>
      </c>
      <c r="AB1618">
        <v>26</v>
      </c>
      <c r="AC1618">
        <v>0.42150000000000798</v>
      </c>
      <c r="AD1618">
        <v>-0.13979269999999899</v>
      </c>
      <c r="AE1618">
        <v>-0.45160000000004102</v>
      </c>
      <c r="AF1618">
        <v>0.17730793639158299</v>
      </c>
      <c r="AG1618">
        <v>-0.13979269999999899</v>
      </c>
      <c r="AH1618">
        <v>0.56026093541897903</v>
      </c>
      <c r="AI1618">
        <v>103.38109817811301</v>
      </c>
      <c r="AJ1618">
        <v>72.438782391563905</v>
      </c>
      <c r="AK1618">
        <v>0.60404670269548</v>
      </c>
      <c r="AL1618">
        <v>72.263046771723793</v>
      </c>
      <c r="AM1618">
        <v>86.262690347817795</v>
      </c>
      <c r="AN1618">
        <v>0.99999992806946503</v>
      </c>
    </row>
    <row r="1619" spans="1:40" x14ac:dyDescent="0.25">
      <c r="A1619" t="str">
        <f>"20190304164122303"</f>
        <v>20190304164122303</v>
      </c>
      <c r="B1619" t="str">
        <f>"1551688882292168"</f>
        <v>1551688882292168</v>
      </c>
      <c r="C1619" t="s">
        <v>40</v>
      </c>
      <c r="D1619">
        <v>5.3797670000000002</v>
      </c>
      <c r="E1619">
        <v>0.59439109999999995</v>
      </c>
      <c r="F1619" t="s">
        <v>41</v>
      </c>
      <c r="G1619">
        <v>-203.92920000000001</v>
      </c>
      <c r="H1619">
        <v>0.94785450000000004</v>
      </c>
      <c r="I1619">
        <v>363.29219999999998</v>
      </c>
      <c r="J1619">
        <v>-204.4074</v>
      </c>
      <c r="K1619">
        <v>1.105202</v>
      </c>
      <c r="L1619">
        <v>363.80970000000002</v>
      </c>
      <c r="M1619">
        <v>0.86892039999999904</v>
      </c>
      <c r="N1619">
        <v>-1.478528E-2</v>
      </c>
      <c r="O1619">
        <v>-0.49473109999999998</v>
      </c>
      <c r="P1619">
        <v>0.80073619999999901</v>
      </c>
      <c r="Q1619">
        <v>0.29232160000000001</v>
      </c>
      <c r="R1619">
        <v>-0.52284779999999997</v>
      </c>
      <c r="S1619">
        <v>2.4210509999999998</v>
      </c>
      <c r="T1619">
        <v>-0.63562700000000005</v>
      </c>
      <c r="U1619">
        <v>-2.3880919999999999</v>
      </c>
      <c r="V1619">
        <v>6.2260570000000001E-2</v>
      </c>
      <c r="W1619">
        <v>0.30559829999999999</v>
      </c>
      <c r="X1619">
        <v>0.95012280000000005</v>
      </c>
      <c r="Y1619">
        <v>0.2597565</v>
      </c>
      <c r="Z1619">
        <v>6.1298659999999998E-2</v>
      </c>
      <c r="AA1619">
        <v>0.96372659999999999</v>
      </c>
      <c r="AB1619">
        <v>26</v>
      </c>
      <c r="AC1619">
        <v>0.47819999999998603</v>
      </c>
      <c r="AD1619">
        <v>-0.157347499999999</v>
      </c>
      <c r="AE1619">
        <v>-0.51750000000004004</v>
      </c>
      <c r="AF1619">
        <v>0.20298675638588101</v>
      </c>
      <c r="AG1619">
        <v>-0.157347499999999</v>
      </c>
      <c r="AH1619">
        <v>0.63971360247207798</v>
      </c>
      <c r="AI1619">
        <v>103.194464915149</v>
      </c>
      <c r="AJ1619">
        <v>72.395308934270503</v>
      </c>
      <c r="AK1619">
        <v>0.68934414642623498</v>
      </c>
      <c r="AL1619">
        <v>72.205837638460196</v>
      </c>
      <c r="AM1619">
        <v>86.250826733313005</v>
      </c>
      <c r="AN1619">
        <v>1.0000000173097201</v>
      </c>
    </row>
    <row r="1620" spans="1:40" x14ac:dyDescent="0.25">
      <c r="A1620" t="str">
        <f>"20190304164122316"</f>
        <v>20190304164122316</v>
      </c>
      <c r="B1620" t="str">
        <f>"1551688882312664"</f>
        <v>1551688882312664</v>
      </c>
      <c r="C1620" t="s">
        <v>40</v>
      </c>
      <c r="D1620">
        <v>5.396077</v>
      </c>
      <c r="E1620">
        <v>0.61338429999999999</v>
      </c>
      <c r="F1620" t="s">
        <v>41</v>
      </c>
      <c r="G1620">
        <v>-203.74959999999999</v>
      </c>
      <c r="H1620">
        <v>0.93302969999999996</v>
      </c>
      <c r="I1620">
        <v>363.1524</v>
      </c>
      <c r="J1620">
        <v>-204.28290000000001</v>
      </c>
      <c r="K1620">
        <v>1.1054349999999999</v>
      </c>
      <c r="L1620">
        <v>363.73349999999999</v>
      </c>
      <c r="M1620">
        <v>0.86685179999999995</v>
      </c>
      <c r="N1620">
        <v>-1.474221E-2</v>
      </c>
      <c r="O1620">
        <v>-0.49834800000000001</v>
      </c>
      <c r="P1620">
        <v>0.79817950000000004</v>
      </c>
      <c r="Q1620">
        <v>0.29297659999999998</v>
      </c>
      <c r="R1620">
        <v>-0.52637860000000003</v>
      </c>
      <c r="S1620">
        <v>2.4064480000000001</v>
      </c>
      <c r="T1620">
        <v>-0.62990489999999999</v>
      </c>
      <c r="U1620">
        <v>-2.4045719999999999</v>
      </c>
      <c r="V1620">
        <v>6.2458180000000002E-2</v>
      </c>
      <c r="W1620">
        <v>0.30623850000000002</v>
      </c>
      <c r="X1620">
        <v>0.94990370000000002</v>
      </c>
      <c r="Y1620">
        <v>0.26193090000000002</v>
      </c>
      <c r="Z1620">
        <v>6.1144850000000001E-2</v>
      </c>
      <c r="AA1620">
        <v>0.96314770000000005</v>
      </c>
      <c r="AB1620">
        <v>25</v>
      </c>
      <c r="AC1620">
        <v>0.53330000000002498</v>
      </c>
      <c r="AD1620">
        <v>-0.17240530000000001</v>
      </c>
      <c r="AE1620">
        <v>-0.58109999999999196</v>
      </c>
      <c r="AF1620">
        <v>0.22713196271265501</v>
      </c>
      <c r="AG1620">
        <v>-0.17240530000000001</v>
      </c>
      <c r="AH1620">
        <v>0.71767298867125096</v>
      </c>
      <c r="AI1620">
        <v>102.900063599516</v>
      </c>
      <c r="AJ1620">
        <v>72.438257914182401</v>
      </c>
      <c r="AK1620">
        <v>0.77224803957155996</v>
      </c>
      <c r="AL1620">
        <v>72.167310207198398</v>
      </c>
      <c r="AM1620">
        <v>86.238096249686194</v>
      </c>
      <c r="AN1620">
        <v>1.0000000412024199</v>
      </c>
    </row>
    <row r="1621" spans="1:40" x14ac:dyDescent="0.25">
      <c r="A1621" t="str">
        <f>"20190304164122327"</f>
        <v>20190304164122327</v>
      </c>
      <c r="B1621" t="str">
        <f>"1551688882322426"</f>
        <v>1551688882322426</v>
      </c>
      <c r="C1621" t="s">
        <v>40</v>
      </c>
      <c r="D1621">
        <v>5.3904030000000001</v>
      </c>
      <c r="E1621">
        <v>0.61300469999999996</v>
      </c>
      <c r="F1621" t="s">
        <v>44</v>
      </c>
      <c r="G1621">
        <v>-199.51830000000001</v>
      </c>
      <c r="H1621" s="1">
        <v>-6.3934599999999996E-6</v>
      </c>
      <c r="I1621">
        <v>358.46390000000002</v>
      </c>
      <c r="J1621">
        <v>-204.18180000000001</v>
      </c>
      <c r="K1621">
        <v>1.105612</v>
      </c>
      <c r="L1621">
        <v>363.67129999999997</v>
      </c>
      <c r="M1621">
        <v>0.8651993</v>
      </c>
      <c r="N1621">
        <v>-1.470866E-2</v>
      </c>
      <c r="O1621">
        <v>-0.5012124</v>
      </c>
      <c r="P1621">
        <v>0.79600969999999904</v>
      </c>
      <c r="Q1621">
        <v>0.29360649999999999</v>
      </c>
      <c r="R1621">
        <v>-0.52930549999999998</v>
      </c>
      <c r="S1621">
        <v>2.2859340000000001</v>
      </c>
      <c r="T1621">
        <v>-0.530358</v>
      </c>
      <c r="U1621">
        <v>-2.5282290000000001</v>
      </c>
      <c r="V1621">
        <v>6.2801549999999998E-2</v>
      </c>
      <c r="W1621">
        <v>0.3068534</v>
      </c>
      <c r="X1621">
        <v>0.94968249999999999</v>
      </c>
      <c r="Y1621">
        <v>0.30619049999999998</v>
      </c>
      <c r="Z1621">
        <v>4.7121259999999998E-2</v>
      </c>
      <c r="AA1621">
        <v>0.95080330000000002</v>
      </c>
      <c r="AB1621">
        <v>25</v>
      </c>
      <c r="AC1621">
        <v>4.6634999999999902</v>
      </c>
      <c r="AD1621">
        <v>-1.1056183934599999</v>
      </c>
      <c r="AE1621">
        <v>-5.2073999999999501</v>
      </c>
      <c r="AF1621">
        <v>2.11535256858149</v>
      </c>
      <c r="AG1621">
        <v>-1.1056183934599999</v>
      </c>
      <c r="AH1621">
        <v>6.4834031232251004</v>
      </c>
      <c r="AI1621">
        <v>99.208653399283506</v>
      </c>
      <c r="AJ1621">
        <v>71.9299480616083</v>
      </c>
      <c r="AK1621">
        <v>6.9088077538462702</v>
      </c>
      <c r="AL1621">
        <v>72.130295332634404</v>
      </c>
      <c r="AM1621">
        <v>86.216596221036198</v>
      </c>
      <c r="AN1621">
        <v>0.999999947290104</v>
      </c>
    </row>
    <row r="1622" spans="1:40" x14ac:dyDescent="0.25">
      <c r="A1622" t="str">
        <f>"20190304164122339"</f>
        <v>20190304164122339</v>
      </c>
      <c r="B1622" t="str">
        <f>"1551688882332183"</f>
        <v>1551688882332183</v>
      </c>
      <c r="C1622" t="s">
        <v>40</v>
      </c>
      <c r="D1622">
        <v>5.3950639999999996</v>
      </c>
      <c r="E1622">
        <v>0.61269589999999996</v>
      </c>
      <c r="F1622" t="s">
        <v>44</v>
      </c>
      <c r="G1622">
        <v>-199.43299999999999</v>
      </c>
      <c r="H1622" s="1">
        <v>-6.3542449999999998E-6</v>
      </c>
      <c r="I1622">
        <v>358.38650000000001</v>
      </c>
      <c r="J1622">
        <v>-204.0617</v>
      </c>
      <c r="K1622">
        <v>1.105802</v>
      </c>
      <c r="L1622">
        <v>363.59699999999998</v>
      </c>
      <c r="M1622">
        <v>0.86328369999999999</v>
      </c>
      <c r="N1622">
        <v>-1.467015E-2</v>
      </c>
      <c r="O1622">
        <v>-0.50450589999999995</v>
      </c>
      <c r="P1622">
        <v>0.79340959999999905</v>
      </c>
      <c r="Q1622">
        <v>0.29414960000000001</v>
      </c>
      <c r="R1622">
        <v>-0.53289540000000002</v>
      </c>
      <c r="S1622">
        <v>2.2784420000000001</v>
      </c>
      <c r="T1622">
        <v>-0.53046629999999995</v>
      </c>
      <c r="U1622">
        <v>-2.5355829999999999</v>
      </c>
      <c r="V1622">
        <v>6.3443959999999994E-2</v>
      </c>
      <c r="W1622">
        <v>0.30737530000000002</v>
      </c>
      <c r="X1622">
        <v>0.94947110000000001</v>
      </c>
      <c r="Y1622">
        <v>0.30552449999999998</v>
      </c>
      <c r="Z1622">
        <v>4.7712549999999999E-2</v>
      </c>
      <c r="AA1622">
        <v>0.9509881</v>
      </c>
      <c r="AB1622">
        <v>25</v>
      </c>
      <c r="AC1622">
        <v>4.6287000000000003</v>
      </c>
      <c r="AD1622">
        <v>-1.1058083542449999</v>
      </c>
      <c r="AE1622">
        <v>-5.2104999999999597</v>
      </c>
      <c r="AF1622">
        <v>2.1100472817356701</v>
      </c>
      <c r="AG1622">
        <v>-1.1058083542449999</v>
      </c>
      <c r="AH1622">
        <v>6.4626306372307498</v>
      </c>
      <c r="AI1622">
        <v>99.238692502532103</v>
      </c>
      <c r="AJ1622">
        <v>71.918152581115905</v>
      </c>
      <c r="AK1622">
        <v>6.8877214229926302</v>
      </c>
      <c r="AL1622">
        <v>72.098875883771299</v>
      </c>
      <c r="AM1622">
        <v>86.177160686197993</v>
      </c>
      <c r="AN1622">
        <v>1.0000000404228899</v>
      </c>
    </row>
    <row r="1623" spans="1:40" x14ac:dyDescent="0.25">
      <c r="A1623" t="str">
        <f>"20190304164122349"</f>
        <v>20190304164122349</v>
      </c>
      <c r="B1623" t="str">
        <f>"1551688882342920"</f>
        <v>1551688882342920</v>
      </c>
      <c r="C1623" t="s">
        <v>40</v>
      </c>
      <c r="D1623">
        <v>5.4177569999999999</v>
      </c>
      <c r="E1623">
        <v>0.61289709999999997</v>
      </c>
      <c r="F1623" t="s">
        <v>44</v>
      </c>
      <c r="G1623">
        <v>-199.32980000000001</v>
      </c>
      <c r="H1623" s="1">
        <v>-6.30640999999999E-6</v>
      </c>
      <c r="I1623">
        <v>358.29169999999999</v>
      </c>
      <c r="J1623">
        <v>-203.959</v>
      </c>
      <c r="K1623">
        <v>1.105953</v>
      </c>
      <c r="L1623">
        <v>363.53289999999998</v>
      </c>
      <c r="M1623">
        <v>0.86168919999999904</v>
      </c>
      <c r="N1623">
        <v>-1.463861E-2</v>
      </c>
      <c r="O1623">
        <v>-0.50722520000000004</v>
      </c>
      <c r="P1623">
        <v>0.79042819999999903</v>
      </c>
      <c r="Q1623">
        <v>0.2949618</v>
      </c>
      <c r="R1623">
        <v>-0.53686210000000001</v>
      </c>
      <c r="S1623">
        <v>2.2690429999999999</v>
      </c>
      <c r="T1623">
        <v>-0.53025959999999905</v>
      </c>
      <c r="U1623">
        <v>-2.5439759999999998</v>
      </c>
      <c r="V1623">
        <v>6.5272090000000005E-2</v>
      </c>
      <c r="W1623">
        <v>0.30815110000000001</v>
      </c>
      <c r="X1623">
        <v>0.94909560000000004</v>
      </c>
      <c r="Y1623">
        <v>0.30605510000000002</v>
      </c>
      <c r="Z1623">
        <v>4.809103E-2</v>
      </c>
      <c r="AA1623">
        <v>0.95079840000000004</v>
      </c>
      <c r="AB1623">
        <v>25</v>
      </c>
      <c r="AC1623">
        <v>4.6291999999999902</v>
      </c>
      <c r="AD1623">
        <v>-1.10595930641</v>
      </c>
      <c r="AE1623">
        <v>-5.2411999999999903</v>
      </c>
      <c r="AF1623">
        <v>2.1155537753381299</v>
      </c>
      <c r="AG1623">
        <v>-1.10595930641</v>
      </c>
      <c r="AH1623">
        <v>6.48587905787506</v>
      </c>
      <c r="AI1623">
        <v>99.208237611163995</v>
      </c>
      <c r="AJ1623">
        <v>71.934791460883901</v>
      </c>
      <c r="AK1623">
        <v>6.91124742120875</v>
      </c>
      <c r="AL1623">
        <v>72.052157573528504</v>
      </c>
      <c r="AM1623">
        <v>86.065795833431096</v>
      </c>
      <c r="AN1623">
        <v>1.0000000020517601</v>
      </c>
    </row>
    <row r="1624" spans="1:40" x14ac:dyDescent="0.25">
      <c r="A1624" t="str">
        <f>"20190304164122361"</f>
        <v>20190304164122361</v>
      </c>
      <c r="B1624" t="str">
        <f>"1551688882352680"</f>
        <v>1551688882352680</v>
      </c>
      <c r="C1624" t="s">
        <v>40</v>
      </c>
      <c r="D1624">
        <v>5.4842559999999896</v>
      </c>
      <c r="E1624">
        <v>0.61238959999999998</v>
      </c>
      <c r="F1624" t="s">
        <v>44</v>
      </c>
      <c r="G1624">
        <v>-199.1994</v>
      </c>
      <c r="H1624" s="1">
        <v>-6.2339770000000004E-6</v>
      </c>
      <c r="I1624">
        <v>358.13619999999997</v>
      </c>
      <c r="J1624">
        <v>-203.8433</v>
      </c>
      <c r="K1624">
        <v>1.1061110000000001</v>
      </c>
      <c r="L1624">
        <v>363.46050000000002</v>
      </c>
      <c r="M1624">
        <v>0.85990940000000005</v>
      </c>
      <c r="N1624">
        <v>-1.460435E-2</v>
      </c>
      <c r="O1624">
        <v>-0.51023759999999996</v>
      </c>
      <c r="P1624">
        <v>0.78712369999999898</v>
      </c>
      <c r="Q1624">
        <v>0.2959869</v>
      </c>
      <c r="R1624">
        <v>-0.54113579999999994</v>
      </c>
      <c r="S1624">
        <v>2.2545929999999998</v>
      </c>
      <c r="T1624">
        <v>-0.52389010000000003</v>
      </c>
      <c r="U1624">
        <v>-2.5563959999999999</v>
      </c>
      <c r="V1624">
        <v>6.719754E-2</v>
      </c>
      <c r="W1624">
        <v>0.30913760000000001</v>
      </c>
      <c r="X1624">
        <v>0.94864029999999999</v>
      </c>
      <c r="Y1624">
        <v>0.30801699999999999</v>
      </c>
      <c r="Z1624">
        <v>4.7746660000000003E-2</v>
      </c>
      <c r="AA1624">
        <v>0.95018199999999997</v>
      </c>
      <c r="AB1624">
        <v>25</v>
      </c>
      <c r="AC1624">
        <v>4.6439000000000004</v>
      </c>
      <c r="AD1624">
        <v>-1.106117233977</v>
      </c>
      <c r="AE1624">
        <v>-5.3243000000000498</v>
      </c>
      <c r="AF1624">
        <v>2.1563034942298098</v>
      </c>
      <c r="AG1624">
        <v>-1.106117233977</v>
      </c>
      <c r="AH1624">
        <v>6.5501496564988297</v>
      </c>
      <c r="AI1624">
        <v>99.112679281518993</v>
      </c>
      <c r="AJ1624">
        <v>71.778500670062598</v>
      </c>
      <c r="AK1624">
        <v>6.9840962634445702</v>
      </c>
      <c r="AL1624">
        <v>71.992733893137995</v>
      </c>
      <c r="AM1624">
        <v>85.948184826808699</v>
      </c>
      <c r="AN1624">
        <v>0.99999999194995004</v>
      </c>
    </row>
    <row r="1625" spans="1:40" x14ac:dyDescent="0.25">
      <c r="A1625" t="str">
        <f>"20190304164122373"</f>
        <v>20190304164122373</v>
      </c>
      <c r="B1625" t="str">
        <f>"1551688882362439"</f>
        <v>1551688882362439</v>
      </c>
      <c r="C1625" t="s">
        <v>40</v>
      </c>
      <c r="D1625">
        <v>5.413265</v>
      </c>
      <c r="E1625">
        <v>0.61193839999999999</v>
      </c>
      <c r="F1625" t="s">
        <v>44</v>
      </c>
      <c r="G1625">
        <v>-199.11869999999999</v>
      </c>
      <c r="H1625" s="1">
        <v>-6.1960690000000001E-6</v>
      </c>
      <c r="I1625">
        <v>358.06060000000002</v>
      </c>
      <c r="J1625">
        <v>-203.73259999999999</v>
      </c>
      <c r="K1625">
        <v>1.106236</v>
      </c>
      <c r="L1625">
        <v>363.39060000000001</v>
      </c>
      <c r="M1625">
        <v>0.85826009999999997</v>
      </c>
      <c r="N1625">
        <v>-1.457336E-2</v>
      </c>
      <c r="O1625">
        <v>-0.51300829999999997</v>
      </c>
      <c r="P1625">
        <v>0.78392959999999901</v>
      </c>
      <c r="Q1625">
        <v>0.2967262</v>
      </c>
      <c r="R1625">
        <v>-0.54535169999999999</v>
      </c>
      <c r="S1625">
        <v>2.2449949999999999</v>
      </c>
      <c r="T1625">
        <v>-0.52558780000000005</v>
      </c>
      <c r="U1625">
        <v>-2.5658259999999999</v>
      </c>
      <c r="V1625">
        <v>6.9303760000000006E-2</v>
      </c>
      <c r="W1625">
        <v>0.30983670000000002</v>
      </c>
      <c r="X1625">
        <v>0.94826060000000001</v>
      </c>
      <c r="Y1625">
        <v>0.3087162</v>
      </c>
      <c r="Z1625">
        <v>4.8309310000000001E-2</v>
      </c>
      <c r="AA1625">
        <v>0.94992659999999995</v>
      </c>
      <c r="AB1625">
        <v>25</v>
      </c>
      <c r="AC1625">
        <v>4.6139000000000001</v>
      </c>
      <c r="AD1625">
        <v>-1.1062421960690001</v>
      </c>
      <c r="AE1625">
        <v>-5.3299999999999796</v>
      </c>
      <c r="AF1625">
        <v>2.1547318977001901</v>
      </c>
      <c r="AG1625">
        <v>-1.1062421960690001</v>
      </c>
      <c r="AH1625">
        <v>6.5340711273922603</v>
      </c>
      <c r="AI1625">
        <v>99.134219739788705</v>
      </c>
      <c r="AJ1625">
        <v>71.749063852573002</v>
      </c>
      <c r="AK1625">
        <v>6.9685527080701197</v>
      </c>
      <c r="AL1625">
        <v>71.950610048172393</v>
      </c>
      <c r="AM1625">
        <v>85.819961754957504</v>
      </c>
      <c r="AN1625">
        <v>0.99999997866469303</v>
      </c>
    </row>
    <row r="1626" spans="1:40" x14ac:dyDescent="0.25">
      <c r="A1626" t="str">
        <f>"20190304164122384"</f>
        <v>20190304164122384</v>
      </c>
      <c r="B1626" t="str">
        <f>"1551688882372199"</f>
        <v>1551688882372199</v>
      </c>
      <c r="C1626" t="s">
        <v>40</v>
      </c>
      <c r="D1626">
        <v>5.4227319999999999</v>
      </c>
      <c r="E1626">
        <v>0.61130960000000001</v>
      </c>
      <c r="F1626" t="s">
        <v>44</v>
      </c>
      <c r="G1626">
        <v>-199.042</v>
      </c>
      <c r="H1626" s="1">
        <v>-6.1584249999999901E-6</v>
      </c>
      <c r="I1626">
        <v>357.98390000000001</v>
      </c>
      <c r="J1626">
        <v>-203.6174</v>
      </c>
      <c r="K1626">
        <v>1.1063529999999999</v>
      </c>
      <c r="L1626">
        <v>363.3175</v>
      </c>
      <c r="M1626">
        <v>0.85654719999999995</v>
      </c>
      <c r="N1626">
        <v>-1.454241E-2</v>
      </c>
      <c r="O1626">
        <v>-0.51586379999999998</v>
      </c>
      <c r="P1626">
        <v>0.78109600000000001</v>
      </c>
      <c r="Q1626">
        <v>0.29709659999999999</v>
      </c>
      <c r="R1626">
        <v>-0.54920190000000002</v>
      </c>
      <c r="S1626">
        <v>2.2345730000000001</v>
      </c>
      <c r="T1626">
        <v>-0.52700689999999994</v>
      </c>
      <c r="U1626">
        <v>-2.5756839999999999</v>
      </c>
      <c r="V1626">
        <v>7.0812239999999999E-2</v>
      </c>
      <c r="W1626">
        <v>0.3101759</v>
      </c>
      <c r="X1626">
        <v>0.9480383</v>
      </c>
      <c r="Y1626">
        <v>0.30956299999999998</v>
      </c>
      <c r="Z1626">
        <v>4.8849070000000001E-2</v>
      </c>
      <c r="AA1626">
        <v>0.94962329999999995</v>
      </c>
      <c r="AB1626">
        <v>25</v>
      </c>
      <c r="AC1626">
        <v>4.5754000000000001</v>
      </c>
      <c r="AD1626">
        <v>-1.1063591584250001</v>
      </c>
      <c r="AE1626">
        <v>-5.3335999999999899</v>
      </c>
      <c r="AF1626">
        <v>2.1550136578604602</v>
      </c>
      <c r="AG1626">
        <v>-1.1063591584250001</v>
      </c>
      <c r="AH1626">
        <v>6.5098027800599798</v>
      </c>
      <c r="AI1626">
        <v>99.165231257628605</v>
      </c>
      <c r="AJ1626">
        <v>71.683323130653804</v>
      </c>
      <c r="AK1626">
        <v>6.94590862942154</v>
      </c>
      <c r="AL1626">
        <v>71.930169395135195</v>
      </c>
      <c r="AM1626">
        <v>85.728313528874907</v>
      </c>
      <c r="AN1626">
        <v>1.0000000402707501</v>
      </c>
    </row>
    <row r="1627" spans="1:40" x14ac:dyDescent="0.25">
      <c r="A1627" t="str">
        <f>"20190304164122396"</f>
        <v>20190304164122396</v>
      </c>
      <c r="B1627" t="str">
        <f>"1551688882392696"</f>
        <v>1551688882392696</v>
      </c>
      <c r="C1627" t="s">
        <v>40</v>
      </c>
      <c r="D1627">
        <v>5.4305059999999896</v>
      </c>
      <c r="E1627">
        <v>0.61074619999999902</v>
      </c>
      <c r="F1627" t="s">
        <v>44</v>
      </c>
      <c r="G1627">
        <v>-198.9819</v>
      </c>
      <c r="H1627" s="1">
        <v>-6.1340869999999997E-6</v>
      </c>
      <c r="I1627">
        <v>357.9393</v>
      </c>
      <c r="J1627">
        <v>-203.4992</v>
      </c>
      <c r="K1627">
        <v>1.106447</v>
      </c>
      <c r="L1627">
        <v>363.24200000000002</v>
      </c>
      <c r="M1627">
        <v>0.85481969999999996</v>
      </c>
      <c r="N1627">
        <v>-1.4512799999999999E-2</v>
      </c>
      <c r="O1627">
        <v>-0.51872220000000002</v>
      </c>
      <c r="P1627">
        <v>0.77883139999999995</v>
      </c>
      <c r="Q1627">
        <v>0.2970662</v>
      </c>
      <c r="R1627">
        <v>-0.55242500000000005</v>
      </c>
      <c r="S1627">
        <v>2.226486</v>
      </c>
      <c r="T1627">
        <v>-0.53140769999999904</v>
      </c>
      <c r="U1627">
        <v>-2.5832820000000001</v>
      </c>
      <c r="V1627">
        <v>7.1493409999999993E-2</v>
      </c>
      <c r="W1627">
        <v>0.31012380000000001</v>
      </c>
      <c r="X1627">
        <v>0.94800419999999996</v>
      </c>
      <c r="Y1627">
        <v>0.30951770000000001</v>
      </c>
      <c r="Z1627">
        <v>4.9790389999999997E-2</v>
      </c>
      <c r="AA1627">
        <v>0.94958929999999997</v>
      </c>
      <c r="AB1627">
        <v>25</v>
      </c>
      <c r="AC1627">
        <v>4.5172999999999996</v>
      </c>
      <c r="AD1627">
        <v>-1.1064531340870001</v>
      </c>
      <c r="AE1627">
        <v>-5.30269999999995</v>
      </c>
      <c r="AF1627">
        <v>2.1359703216017398</v>
      </c>
      <c r="AG1627">
        <v>-1.1064531340870001</v>
      </c>
      <c r="AH1627">
        <v>6.4500711991334798</v>
      </c>
      <c r="AI1627">
        <v>99.249111664964204</v>
      </c>
      <c r="AJ1627">
        <v>71.677476929328293</v>
      </c>
      <c r="AK1627">
        <v>6.8840414166814501</v>
      </c>
      <c r="AL1627">
        <v>71.933308985088004</v>
      </c>
      <c r="AM1627">
        <v>85.687222293648503</v>
      </c>
      <c r="AN1627">
        <v>1.0000000211087501</v>
      </c>
    </row>
    <row r="1628" spans="1:40" x14ac:dyDescent="0.25">
      <c r="A1628" t="str">
        <f>"20190304164122408"</f>
        <v>20190304164122408</v>
      </c>
      <c r="B1628" t="str">
        <f>"1551688882402455"</f>
        <v>1551688882402455</v>
      </c>
      <c r="C1628" t="s">
        <v>40</v>
      </c>
      <c r="D1628">
        <v>5.4333809999999998</v>
      </c>
      <c r="E1628">
        <v>0.61025759999999996</v>
      </c>
      <c r="F1628" t="s">
        <v>44</v>
      </c>
      <c r="G1628">
        <v>-198.90450000000001</v>
      </c>
      <c r="H1628" s="1">
        <v>-6.1012220000000003E-6</v>
      </c>
      <c r="I1628">
        <v>357.87720000000002</v>
      </c>
      <c r="J1628">
        <v>-203.392</v>
      </c>
      <c r="K1628">
        <v>1.1065199999999999</v>
      </c>
      <c r="L1628">
        <v>363.17309999999998</v>
      </c>
      <c r="M1628">
        <v>0.8532554</v>
      </c>
      <c r="N1628">
        <v>-1.4487720000000001E-2</v>
      </c>
      <c r="O1628">
        <v>-0.52129199999999998</v>
      </c>
      <c r="P1628">
        <v>0.77723809999999904</v>
      </c>
      <c r="Q1628">
        <v>0.29699789999999998</v>
      </c>
      <c r="R1628">
        <v>-0.55470090000000005</v>
      </c>
      <c r="S1628">
        <v>2.2184599999999999</v>
      </c>
      <c r="T1628">
        <v>-0.534224699999999</v>
      </c>
      <c r="U1628">
        <v>-2.5902400000000001</v>
      </c>
      <c r="V1628">
        <v>7.1349499999999996E-2</v>
      </c>
      <c r="W1628">
        <v>0.31004480000000001</v>
      </c>
      <c r="X1628">
        <v>0.94804080000000002</v>
      </c>
      <c r="Y1628">
        <v>0.30964709999999901</v>
      </c>
      <c r="Z1628">
        <v>5.0509310000000002E-2</v>
      </c>
      <c r="AA1628">
        <v>0.94950909999999999</v>
      </c>
      <c r="AB1628">
        <v>25</v>
      </c>
      <c r="AC1628">
        <v>4.4874999999999803</v>
      </c>
      <c r="AD1628">
        <v>-1.106526101222</v>
      </c>
      <c r="AE1628">
        <v>-5.2958999999999596</v>
      </c>
      <c r="AF1628">
        <v>2.1256711326239999</v>
      </c>
      <c r="AG1628">
        <v>-1.106526101222</v>
      </c>
      <c r="AH1628">
        <v>6.42706848550021</v>
      </c>
      <c r="AI1628">
        <v>99.283376121713701</v>
      </c>
      <c r="AJ1628">
        <v>71.699024016389004</v>
      </c>
      <c r="AK1628">
        <v>6.8593066044656901</v>
      </c>
      <c r="AL1628">
        <v>71.938068583500595</v>
      </c>
      <c r="AM1628">
        <v>85.696036423765804</v>
      </c>
      <c r="AN1628">
        <v>0.99999994381096302</v>
      </c>
    </row>
    <row r="1629" spans="1:40" x14ac:dyDescent="0.25">
      <c r="A1629" t="str">
        <f>"20190304164122419"</f>
        <v>20190304164122419</v>
      </c>
      <c r="B1629" t="str">
        <f>"1551688882412215"</f>
        <v>1551688882412215</v>
      </c>
      <c r="C1629" t="s">
        <v>40</v>
      </c>
      <c r="D1629">
        <v>5.4265299999999996</v>
      </c>
      <c r="E1629">
        <v>0.61015640000000004</v>
      </c>
      <c r="F1629" t="s">
        <v>44</v>
      </c>
      <c r="G1629">
        <v>-198.83150000000001</v>
      </c>
      <c r="H1629" s="1">
        <v>-6.0701469999999898E-6</v>
      </c>
      <c r="I1629">
        <v>357.8184</v>
      </c>
      <c r="J1629">
        <v>-203.28639999999999</v>
      </c>
      <c r="K1629">
        <v>1.1065830000000001</v>
      </c>
      <c r="L1629">
        <v>363.10480000000001</v>
      </c>
      <c r="M1629">
        <v>0.85171659999999905</v>
      </c>
      <c r="N1629">
        <v>-1.446442E-2</v>
      </c>
      <c r="O1629">
        <v>-0.52380309999999997</v>
      </c>
      <c r="P1629">
        <v>0.77536510000000003</v>
      </c>
      <c r="Q1629">
        <v>0.2973208</v>
      </c>
      <c r="R1629">
        <v>-0.55714399999999997</v>
      </c>
      <c r="S1629">
        <v>2.211624</v>
      </c>
      <c r="T1629">
        <v>-0.5366126</v>
      </c>
      <c r="U1629">
        <v>-2.5967410000000002</v>
      </c>
      <c r="V1629">
        <v>7.1568779999999999E-2</v>
      </c>
      <c r="W1629">
        <v>0.31035040000000003</v>
      </c>
      <c r="X1629">
        <v>0.94792430000000005</v>
      </c>
      <c r="Y1629">
        <v>0.30950220000000001</v>
      </c>
      <c r="Z1629">
        <v>5.118818E-2</v>
      </c>
      <c r="AA1629">
        <v>0.94951989999999997</v>
      </c>
      <c r="AB1629">
        <v>25</v>
      </c>
      <c r="AC1629">
        <v>4.4548999999999799</v>
      </c>
      <c r="AD1629">
        <v>-1.106589070147</v>
      </c>
      <c r="AE1629">
        <v>-5.2864000000000102</v>
      </c>
      <c r="AF1629">
        <v>2.1150586442818602</v>
      </c>
      <c r="AG1629">
        <v>-1.106589070147</v>
      </c>
      <c r="AH1629">
        <v>6.4000482469715303</v>
      </c>
      <c r="AI1629">
        <v>99.323118791841694</v>
      </c>
      <c r="AJ1629">
        <v>71.712548951768895</v>
      </c>
      <c r="AK1629">
        <v>6.8307122617252496</v>
      </c>
      <c r="AL1629">
        <v>71.919650951019506</v>
      </c>
      <c r="AM1629">
        <v>85.682330318114793</v>
      </c>
      <c r="AN1629">
        <v>0.99999996979066796</v>
      </c>
    </row>
    <row r="1630" spans="1:40" x14ac:dyDescent="0.25">
      <c r="A1630" t="str">
        <f>"20190304164122428"</f>
        <v>20190304164122428</v>
      </c>
      <c r="B1630" t="str">
        <f>"1551688882422951"</f>
        <v>1551688882422951</v>
      </c>
      <c r="C1630" t="s">
        <v>40</v>
      </c>
      <c r="D1630">
        <v>5.4674399999999999</v>
      </c>
      <c r="E1630">
        <v>0.60983189999999998</v>
      </c>
      <c r="F1630" t="s">
        <v>44</v>
      </c>
      <c r="G1630">
        <v>-198.7216</v>
      </c>
      <c r="H1630" s="1">
        <v>-6.0144850000000004E-6</v>
      </c>
      <c r="I1630">
        <v>357.70339999999999</v>
      </c>
      <c r="J1630">
        <v>-203.18899999999999</v>
      </c>
      <c r="K1630">
        <v>1.106625</v>
      </c>
      <c r="L1630">
        <v>363.04140000000001</v>
      </c>
      <c r="M1630">
        <v>0.85029179999999904</v>
      </c>
      <c r="N1630">
        <v>-1.4442689999999999E-2</v>
      </c>
      <c r="O1630">
        <v>-0.52611339999999995</v>
      </c>
      <c r="P1630">
        <v>0.77306180000000002</v>
      </c>
      <c r="Q1630">
        <v>0.29850070000000001</v>
      </c>
      <c r="R1630">
        <v>-0.55970779999999998</v>
      </c>
      <c r="S1630">
        <v>2.2017820000000001</v>
      </c>
      <c r="T1630">
        <v>-0.53374860000000002</v>
      </c>
      <c r="U1630">
        <v>-2.605286</v>
      </c>
      <c r="V1630">
        <v>7.2361919999999996E-2</v>
      </c>
      <c r="W1630">
        <v>0.31150060000000002</v>
      </c>
      <c r="X1630">
        <v>0.94748679999999996</v>
      </c>
      <c r="Y1630">
        <v>0.31054470000000001</v>
      </c>
      <c r="Z1630">
        <v>5.1162569999999997E-2</v>
      </c>
      <c r="AA1630">
        <v>0.94918089999999999</v>
      </c>
      <c r="AB1630">
        <v>25</v>
      </c>
      <c r="AC1630">
        <v>4.46740000000002</v>
      </c>
      <c r="AD1630">
        <v>-1.106631014485</v>
      </c>
      <c r="AE1630">
        <v>-5.3380000000000196</v>
      </c>
      <c r="AF1630">
        <v>2.1347700952155302</v>
      </c>
      <c r="AG1630">
        <v>-1.106631014485</v>
      </c>
      <c r="AH1630">
        <v>6.4447827045449699</v>
      </c>
      <c r="AI1630">
        <v>99.257800227305196</v>
      </c>
      <c r="AJ1630">
        <v>71.673061949577402</v>
      </c>
      <c r="AK1630">
        <v>6.8787425937047999</v>
      </c>
      <c r="AL1630">
        <v>71.850314105974505</v>
      </c>
      <c r="AM1630">
        <v>85.6326570729981</v>
      </c>
      <c r="AN1630">
        <v>1.00000005372034</v>
      </c>
    </row>
    <row r="1631" spans="1:40" x14ac:dyDescent="0.25">
      <c r="A1631" t="str">
        <f>"20190304164122438"</f>
        <v>20190304164122438</v>
      </c>
      <c r="B1631" t="str">
        <f>"1551688882432712"</f>
        <v>1551688882432712</v>
      </c>
      <c r="C1631" t="s">
        <v>40</v>
      </c>
      <c r="D1631">
        <v>5.4439849999999996</v>
      </c>
      <c r="E1631">
        <v>0.60949019999999898</v>
      </c>
      <c r="F1631" t="s">
        <v>44</v>
      </c>
      <c r="G1631">
        <v>-198.61969999999999</v>
      </c>
      <c r="H1631" s="1">
        <v>-5.9664409999999998E-6</v>
      </c>
      <c r="I1631">
        <v>357.60750000000002</v>
      </c>
      <c r="J1631">
        <v>-203.09700000000001</v>
      </c>
      <c r="K1631">
        <v>1.1066689999999999</v>
      </c>
      <c r="L1631">
        <v>362.98129999999998</v>
      </c>
      <c r="M1631">
        <v>0.84894049999999999</v>
      </c>
      <c r="N1631">
        <v>-1.442212E-2</v>
      </c>
      <c r="O1631">
        <v>-0.52829199999999998</v>
      </c>
      <c r="P1631">
        <v>0.76995069999999999</v>
      </c>
      <c r="Q1631">
        <v>0.29968220000000001</v>
      </c>
      <c r="R1631">
        <v>-0.56335329999999995</v>
      </c>
      <c r="S1631">
        <v>2.1955719999999999</v>
      </c>
      <c r="T1631">
        <v>-0.53174409999999905</v>
      </c>
      <c r="U1631">
        <v>-2.6110530000000001</v>
      </c>
      <c r="V1631">
        <v>7.4652250000000003E-2</v>
      </c>
      <c r="W1631">
        <v>0.31263629999999998</v>
      </c>
      <c r="X1631">
        <v>0.94693479999999997</v>
      </c>
      <c r="Y1631">
        <v>0.31047269999999999</v>
      </c>
      <c r="Z1631">
        <v>5.1291240000000002E-2</v>
      </c>
      <c r="AA1631">
        <v>0.94919750000000003</v>
      </c>
      <c r="AB1631">
        <v>25</v>
      </c>
      <c r="AC1631">
        <v>4.4773000000000103</v>
      </c>
      <c r="AD1631">
        <v>-1.1066749664410001</v>
      </c>
      <c r="AE1631">
        <v>-5.3737999999999504</v>
      </c>
      <c r="AF1631">
        <v>2.1432890555295798</v>
      </c>
      <c r="AG1631">
        <v>-1.1066749664410001</v>
      </c>
      <c r="AH1631">
        <v>6.4784099324606004</v>
      </c>
      <c r="AI1631">
        <v>99.212023627334801</v>
      </c>
      <c r="AJ1631">
        <v>71.693942827965003</v>
      </c>
      <c r="AK1631">
        <v>6.9129019022335498</v>
      </c>
      <c r="AL1631">
        <v>71.781821132954505</v>
      </c>
      <c r="AM1631">
        <v>85.492371167488898</v>
      </c>
      <c r="AN1631">
        <v>0.99999996497939503</v>
      </c>
    </row>
    <row r="1632" spans="1:40" x14ac:dyDescent="0.25">
      <c r="A1632" t="str">
        <f>"20190304164122448"</f>
        <v>20190304164122448</v>
      </c>
      <c r="B1632" t="str">
        <f>"1551688882442471"</f>
        <v>1551688882442471</v>
      </c>
      <c r="C1632" t="s">
        <v>40</v>
      </c>
      <c r="D1632">
        <v>5.4257600000000004</v>
      </c>
      <c r="E1632">
        <v>0.60922379999999998</v>
      </c>
      <c r="F1632" t="s">
        <v>44</v>
      </c>
      <c r="G1632">
        <v>-198.54689999999999</v>
      </c>
      <c r="H1632" s="1">
        <v>-5.9321369999999999E-6</v>
      </c>
      <c r="I1632">
        <v>357.53899999999999</v>
      </c>
      <c r="J1632">
        <v>-203.00899999999999</v>
      </c>
      <c r="K1632">
        <v>1.106689</v>
      </c>
      <c r="L1632">
        <v>362.92340000000002</v>
      </c>
      <c r="M1632">
        <v>0.84763429999999995</v>
      </c>
      <c r="N1632">
        <v>-1.4402770000000001E-2</v>
      </c>
      <c r="O1632">
        <v>-0.53038569999999996</v>
      </c>
      <c r="P1632">
        <v>0.76656899999999994</v>
      </c>
      <c r="Q1632">
        <v>0.30096400000000001</v>
      </c>
      <c r="R1632">
        <v>-0.56726799999999999</v>
      </c>
      <c r="S1632">
        <v>2.1883539999999999</v>
      </c>
      <c r="T1632">
        <v>-0.53225109999999998</v>
      </c>
      <c r="U1632">
        <v>-2.6174620000000002</v>
      </c>
      <c r="V1632">
        <v>7.7421190000000001E-2</v>
      </c>
      <c r="W1632">
        <v>0.3138649</v>
      </c>
      <c r="X1632">
        <v>0.94630590000000003</v>
      </c>
      <c r="Y1632">
        <v>0.31082700000000002</v>
      </c>
      <c r="Z1632">
        <v>5.1657620000000001E-2</v>
      </c>
      <c r="AA1632">
        <v>0.94906170000000001</v>
      </c>
      <c r="AB1632">
        <v>25</v>
      </c>
      <c r="AC1632">
        <v>4.4621000000000199</v>
      </c>
      <c r="AD1632">
        <v>-1.1066949321369901</v>
      </c>
      <c r="AE1632">
        <v>-5.3844000000000198</v>
      </c>
      <c r="AF1632">
        <v>2.1439007714889899</v>
      </c>
      <c r="AG1632">
        <v>-1.1066949321369901</v>
      </c>
      <c r="AH1632">
        <v>6.4765181348555299</v>
      </c>
      <c r="AI1632">
        <v>99.214315528085194</v>
      </c>
      <c r="AJ1632">
        <v>71.684074933313696</v>
      </c>
      <c r="AK1632">
        <v>6.9113219677512703</v>
      </c>
      <c r="AL1632">
        <v>71.707698242959395</v>
      </c>
      <c r="AM1632">
        <v>85.322812985441203</v>
      </c>
      <c r="AN1632">
        <v>1.0000000362439101</v>
      </c>
    </row>
    <row r="1633" spans="1:40" x14ac:dyDescent="0.25">
      <c r="A1633" t="str">
        <f>"20190304164122459"</f>
        <v>20190304164122459</v>
      </c>
      <c r="B1633" t="str">
        <f>"1551688882452231"</f>
        <v>1551688882452231</v>
      </c>
      <c r="C1633" t="s">
        <v>40</v>
      </c>
      <c r="D1633">
        <v>5.4427469999999998</v>
      </c>
      <c r="E1633">
        <v>0.60893209999999998</v>
      </c>
      <c r="F1633" t="s">
        <v>44</v>
      </c>
      <c r="G1633">
        <v>-198.47</v>
      </c>
      <c r="H1633" s="1">
        <v>-5.8927159999999999E-6</v>
      </c>
      <c r="I1633">
        <v>357.45710000000003</v>
      </c>
      <c r="J1633">
        <v>-202.90190000000001</v>
      </c>
      <c r="K1633">
        <v>1.1067020000000001</v>
      </c>
      <c r="L1633">
        <v>362.8526</v>
      </c>
      <c r="M1633">
        <v>0.84602860000000002</v>
      </c>
      <c r="N1633">
        <v>-1.4379319999999999E-2</v>
      </c>
      <c r="O1633">
        <v>-0.53294399999999997</v>
      </c>
      <c r="P1633">
        <v>0.7628627</v>
      </c>
      <c r="Q1633">
        <v>0.30179640000000002</v>
      </c>
      <c r="R1633">
        <v>-0.57180430000000004</v>
      </c>
      <c r="S1633">
        <v>2.1796720000000001</v>
      </c>
      <c r="T1633">
        <v>-0.53144239999999998</v>
      </c>
      <c r="U1633">
        <v>-2.6249690000000001</v>
      </c>
      <c r="V1633">
        <v>8.0367720000000004E-2</v>
      </c>
      <c r="W1633">
        <v>0.31463849999999999</v>
      </c>
      <c r="X1633">
        <v>0.94580319999999996</v>
      </c>
      <c r="Y1633">
        <v>0.3111622</v>
      </c>
      <c r="Z1633">
        <v>5.1953079999999999E-2</v>
      </c>
      <c r="AA1633">
        <v>0.94893570000000005</v>
      </c>
      <c r="AB1633">
        <v>25</v>
      </c>
      <c r="AC1633">
        <v>4.4319000000000104</v>
      </c>
      <c r="AD1633">
        <v>-1.1067078927159999</v>
      </c>
      <c r="AE1633">
        <v>-5.39549999999997</v>
      </c>
      <c r="AF1633">
        <v>2.14903097055744</v>
      </c>
      <c r="AG1633">
        <v>-1.1067078927159999</v>
      </c>
      <c r="AH1633">
        <v>6.4633220228674197</v>
      </c>
      <c r="AI1633">
        <v>99.228926376552195</v>
      </c>
      <c r="AJ1633">
        <v>71.608222147345003</v>
      </c>
      <c r="AK1633">
        <v>6.90055563295435</v>
      </c>
      <c r="AL1633">
        <v>71.661008712892297</v>
      </c>
      <c r="AM1633">
        <v>85.143073894743793</v>
      </c>
      <c r="AN1633">
        <v>1.0000000246152401</v>
      </c>
    </row>
    <row r="1634" spans="1:40" x14ac:dyDescent="0.25">
      <c r="A1634" t="str">
        <f>"20190304164122470"</f>
        <v>20190304164122470</v>
      </c>
      <c r="B1634" t="str">
        <f>"1551688882462967"</f>
        <v>1551688882462967</v>
      </c>
      <c r="C1634" t="s">
        <v>40</v>
      </c>
      <c r="D1634">
        <v>5.4370159999999998</v>
      </c>
      <c r="E1634">
        <v>0.60864980000000002</v>
      </c>
      <c r="F1634" t="s">
        <v>44</v>
      </c>
      <c r="G1634">
        <v>-198.39109999999999</v>
      </c>
      <c r="H1634" s="1">
        <v>-5.8515980000000004E-6</v>
      </c>
      <c r="I1634">
        <v>357.37099999999998</v>
      </c>
      <c r="J1634">
        <v>-202.79679999999999</v>
      </c>
      <c r="K1634">
        <v>1.106695</v>
      </c>
      <c r="L1634">
        <v>362.7824</v>
      </c>
      <c r="M1634">
        <v>0.84441630000000001</v>
      </c>
      <c r="N1634">
        <v>-1.4356880000000001E-2</v>
      </c>
      <c r="O1634">
        <v>-0.53549539999999995</v>
      </c>
      <c r="P1634">
        <v>0.75894439999999996</v>
      </c>
      <c r="Q1634">
        <v>0.30190879999999998</v>
      </c>
      <c r="R1634">
        <v>-0.57693539999999999</v>
      </c>
      <c r="S1634">
        <v>2.1681059999999999</v>
      </c>
      <c r="T1634">
        <v>-0.53194609999999998</v>
      </c>
      <c r="U1634">
        <v>-2.634735</v>
      </c>
      <c r="V1634">
        <v>8.3945399999999906E-2</v>
      </c>
      <c r="W1634">
        <v>0.31468559999999901</v>
      </c>
      <c r="X1634">
        <v>0.94547669999999995</v>
      </c>
      <c r="Y1634">
        <v>0.31251289999999998</v>
      </c>
      <c r="Z1634">
        <v>5.2319560000000001E-2</v>
      </c>
      <c r="AA1634">
        <v>0.94847159999999997</v>
      </c>
      <c r="AB1634">
        <v>25</v>
      </c>
      <c r="AC1634">
        <v>4.4056999999999897</v>
      </c>
      <c r="AD1634">
        <v>-1.1067008515979999</v>
      </c>
      <c r="AE1634">
        <v>-5.4114000000000102</v>
      </c>
      <c r="AF1634">
        <v>2.1562339586967498</v>
      </c>
      <c r="AG1634">
        <v>-1.1067008515979999</v>
      </c>
      <c r="AH1634">
        <v>6.4563101134217504</v>
      </c>
      <c r="AI1634">
        <v>99.234698353619805</v>
      </c>
      <c r="AJ1634">
        <v>71.532066730904305</v>
      </c>
      <c r="AK1634">
        <v>6.8962360705124297</v>
      </c>
      <c r="AL1634">
        <v>71.658165647059207</v>
      </c>
      <c r="AM1634">
        <v>84.926222697391097</v>
      </c>
      <c r="AN1634">
        <v>1.0000000236357001</v>
      </c>
    </row>
    <row r="1635" spans="1:40" x14ac:dyDescent="0.25">
      <c r="A1635" t="str">
        <f>"20190304164122480"</f>
        <v>20190304164122480</v>
      </c>
      <c r="B1635" t="str">
        <f>"1551688882472728"</f>
        <v>1551688882472728</v>
      </c>
      <c r="C1635" t="s">
        <v>40</v>
      </c>
      <c r="D1635">
        <v>5.4168260000000004</v>
      </c>
      <c r="E1635">
        <v>0.60836849999999998</v>
      </c>
      <c r="F1635" t="s">
        <v>44</v>
      </c>
      <c r="G1635">
        <v>-198.3322</v>
      </c>
      <c r="H1635" s="1">
        <v>-5.8144240000000004E-6</v>
      </c>
      <c r="I1635">
        <v>357.28750000000002</v>
      </c>
      <c r="J1635">
        <v>-202.7021</v>
      </c>
      <c r="K1635">
        <v>1.106676</v>
      </c>
      <c r="L1635">
        <v>362.71910000000003</v>
      </c>
      <c r="M1635">
        <v>0.84294919999999995</v>
      </c>
      <c r="N1635">
        <v>-1.4336679999999999E-2</v>
      </c>
      <c r="O1635">
        <v>-0.53780220000000001</v>
      </c>
      <c r="P1635">
        <v>0.75551869999999999</v>
      </c>
      <c r="Q1635">
        <v>0.30206539999999998</v>
      </c>
      <c r="R1635">
        <v>-0.58133269999999904</v>
      </c>
      <c r="S1635">
        <v>2.1518099999999998</v>
      </c>
      <c r="T1635">
        <v>-0.53339609999999904</v>
      </c>
      <c r="U1635">
        <v>-2.6483759999999998</v>
      </c>
      <c r="V1635">
        <v>8.6916010000000002E-2</v>
      </c>
      <c r="W1635">
        <v>0.31478420000000001</v>
      </c>
      <c r="X1635">
        <v>0.94517530000000005</v>
      </c>
      <c r="Y1635">
        <v>0.31581399999999998</v>
      </c>
      <c r="Z1635">
        <v>5.2604369999999998E-2</v>
      </c>
      <c r="AA1635">
        <v>0.94736180000000003</v>
      </c>
      <c r="AB1635">
        <v>25</v>
      </c>
      <c r="AC1635">
        <v>4.3699000000000003</v>
      </c>
      <c r="AD1635">
        <v>-1.106681814424</v>
      </c>
      <c r="AE1635">
        <v>-5.4316000000000004</v>
      </c>
      <c r="AF1635">
        <v>2.1738655542946299</v>
      </c>
      <c r="AG1635">
        <v>-1.106681814424</v>
      </c>
      <c r="AH1635">
        <v>6.4430352612618202</v>
      </c>
      <c r="AI1635">
        <v>99.243849527329402</v>
      </c>
      <c r="AJ1635">
        <v>71.355721189737096</v>
      </c>
      <c r="AK1635">
        <v>6.8893497127369496</v>
      </c>
      <c r="AL1635">
        <v>71.652211773749897</v>
      </c>
      <c r="AM1635">
        <v>84.7459965542688</v>
      </c>
      <c r="AN1635">
        <v>0.99999991654702103</v>
      </c>
    </row>
    <row r="1636" spans="1:40" x14ac:dyDescent="0.25">
      <c r="A1636" t="str">
        <f>"20190304164122492"</f>
        <v>20190304164122492</v>
      </c>
      <c r="B1636" t="str">
        <f>"1551688882482488"</f>
        <v>1551688882482488</v>
      </c>
      <c r="C1636" t="s">
        <v>40</v>
      </c>
      <c r="D1636">
        <v>5.4008770000000004</v>
      </c>
      <c r="E1636">
        <v>0.60812040000000001</v>
      </c>
      <c r="F1636" t="s">
        <v>44</v>
      </c>
      <c r="G1636">
        <v>-198.26929999999999</v>
      </c>
      <c r="H1636" s="1">
        <v>-5.7737320000000003E-6</v>
      </c>
      <c r="I1636">
        <v>357.19529999999997</v>
      </c>
      <c r="J1636">
        <v>-202.59270000000001</v>
      </c>
      <c r="K1636">
        <v>1.106625</v>
      </c>
      <c r="L1636">
        <v>362.64499999999998</v>
      </c>
      <c r="M1636">
        <v>0.84119080000000002</v>
      </c>
      <c r="N1636">
        <v>-1.4313579999999999E-2</v>
      </c>
      <c r="O1636">
        <v>-0.54054930000000001</v>
      </c>
      <c r="P1636">
        <v>0.75176330000000002</v>
      </c>
      <c r="Q1636">
        <v>0.30215710000000001</v>
      </c>
      <c r="R1636">
        <v>-0.5861345</v>
      </c>
      <c r="S1636">
        <v>2.1359710000000001</v>
      </c>
      <c r="T1636">
        <v>-0.53325959999999994</v>
      </c>
      <c r="U1636">
        <v>-2.6616520000000001</v>
      </c>
      <c r="V1636">
        <v>8.993044E-2</v>
      </c>
      <c r="W1636">
        <v>0.31480780000000003</v>
      </c>
      <c r="X1636">
        <v>0.94488550000000004</v>
      </c>
      <c r="Y1636">
        <v>0.3184497</v>
      </c>
      <c r="Z1636">
        <v>5.2828390000000003E-2</v>
      </c>
      <c r="AA1636">
        <v>0.94646660000000005</v>
      </c>
      <c r="AB1636">
        <v>25</v>
      </c>
      <c r="AC1636">
        <v>4.3234000000000199</v>
      </c>
      <c r="AD1636">
        <v>-1.106630773732</v>
      </c>
      <c r="AE1636">
        <v>-5.4497</v>
      </c>
      <c r="AF1636">
        <v>2.1919839191661299</v>
      </c>
      <c r="AG1636">
        <v>-1.106630773732</v>
      </c>
      <c r="AH1636">
        <v>6.4208173284556098</v>
      </c>
      <c r="AI1636">
        <v>99.263802193885397</v>
      </c>
      <c r="AJ1636">
        <v>71.150759551264699</v>
      </c>
      <c r="AK1636">
        <v>6.8743232639038299</v>
      </c>
      <c r="AL1636">
        <v>71.650789160522095</v>
      </c>
      <c r="AM1636">
        <v>84.563192743774593</v>
      </c>
      <c r="AN1636">
        <v>1.0000000215448399</v>
      </c>
    </row>
    <row r="1637" spans="1:40" x14ac:dyDescent="0.25">
      <c r="A1637" t="str">
        <f>"20190304164122503"</f>
        <v>20190304164122503</v>
      </c>
      <c r="B1637" t="str">
        <f>"1551688882493224"</f>
        <v>1551688882493224</v>
      </c>
      <c r="C1637" t="s">
        <v>40</v>
      </c>
      <c r="D1637">
        <v>5.4254610000000003</v>
      </c>
      <c r="E1637">
        <v>0.60778430000000006</v>
      </c>
      <c r="F1637" t="s">
        <v>44</v>
      </c>
      <c r="G1637">
        <v>-198.1833</v>
      </c>
      <c r="H1637" s="1">
        <v>-5.71715E-6</v>
      </c>
      <c r="I1637">
        <v>357.06639999999999</v>
      </c>
      <c r="J1637">
        <v>-202.48779999999999</v>
      </c>
      <c r="K1637">
        <v>1.106568</v>
      </c>
      <c r="L1637">
        <v>362.57380000000001</v>
      </c>
      <c r="M1637">
        <v>0.83947919999999998</v>
      </c>
      <c r="N1637">
        <v>-1.42915E-2</v>
      </c>
      <c r="O1637">
        <v>-0.54320409999999997</v>
      </c>
      <c r="P1637">
        <v>0.74755640000000001</v>
      </c>
      <c r="Q1637">
        <v>0.30305850000000001</v>
      </c>
      <c r="R1637">
        <v>-0.59102900000000003</v>
      </c>
      <c r="S1637">
        <v>2.1164399999999999</v>
      </c>
      <c r="T1637">
        <v>-0.53116750000000001</v>
      </c>
      <c r="U1637">
        <v>-2.677673</v>
      </c>
      <c r="V1637">
        <v>9.3381660000000005E-2</v>
      </c>
      <c r="W1637">
        <v>0.31563089999999999</v>
      </c>
      <c r="X1637">
        <v>0.94427589999999995</v>
      </c>
      <c r="Y1637">
        <v>0.32243050000000001</v>
      </c>
      <c r="Z1637">
        <v>5.2707999999999998E-2</v>
      </c>
      <c r="AA1637">
        <v>0.94512459999999998</v>
      </c>
      <c r="AB1637">
        <v>25</v>
      </c>
      <c r="AC1637">
        <v>4.3044999999999902</v>
      </c>
      <c r="AD1637">
        <v>-1.1065737171500001</v>
      </c>
      <c r="AE1637">
        <v>-5.5074000000000103</v>
      </c>
      <c r="AF1637">
        <v>2.22948473707077</v>
      </c>
      <c r="AG1637">
        <v>-1.1065737171500001</v>
      </c>
      <c r="AH1637">
        <v>6.4443496800909603</v>
      </c>
      <c r="AI1637">
        <v>99.2173491120911</v>
      </c>
      <c r="AJ1637">
        <v>70.916446421465594</v>
      </c>
      <c r="AK1637">
        <v>6.9083102408336599</v>
      </c>
      <c r="AL1637">
        <v>71.601094915630398</v>
      </c>
      <c r="AM1637">
        <v>84.352249214319798</v>
      </c>
      <c r="AN1637">
        <v>0.99999998738998697</v>
      </c>
    </row>
    <row r="1638" spans="1:40" x14ac:dyDescent="0.25">
      <c r="A1638" t="str">
        <f>"20190304164122514"</f>
        <v>20190304164122514</v>
      </c>
      <c r="B1638" t="str">
        <f>"1551688882502984"</f>
        <v>1551688882502984</v>
      </c>
      <c r="C1638" t="s">
        <v>40</v>
      </c>
      <c r="D1638">
        <v>5.4788360000000003</v>
      </c>
      <c r="E1638">
        <v>0.60778430000000006</v>
      </c>
      <c r="F1638" t="s">
        <v>44</v>
      </c>
      <c r="G1638">
        <v>-198.08869999999999</v>
      </c>
      <c r="H1638" s="1">
        <v>-5.6532710000000004E-6</v>
      </c>
      <c r="I1638">
        <v>356.91969999999998</v>
      </c>
      <c r="J1638">
        <v>-202.38229999999999</v>
      </c>
      <c r="K1638">
        <v>1.1064799999999999</v>
      </c>
      <c r="L1638">
        <v>362.50130000000001</v>
      </c>
      <c r="M1638">
        <v>0.83767340000000001</v>
      </c>
      <c r="N1638">
        <v>-1.427207E-2</v>
      </c>
      <c r="O1638">
        <v>-0.54598500000000005</v>
      </c>
      <c r="P1638">
        <v>0.7428053</v>
      </c>
      <c r="Q1638">
        <v>0.30443799999999999</v>
      </c>
      <c r="R1638">
        <v>-0.59628729999999996</v>
      </c>
      <c r="S1638">
        <v>2.0964809999999998</v>
      </c>
      <c r="T1638">
        <v>-0.52736159999999999</v>
      </c>
      <c r="U1638">
        <v>-2.6945800000000002</v>
      </c>
      <c r="V1638">
        <v>9.7319340000000004E-2</v>
      </c>
      <c r="W1638">
        <v>0.31691839999999999</v>
      </c>
      <c r="X1638">
        <v>0.94344669999999997</v>
      </c>
      <c r="Y1638">
        <v>0.32649139999999999</v>
      </c>
      <c r="Z1638">
        <v>5.238893E-2</v>
      </c>
      <c r="AA1638">
        <v>0.94374720000000001</v>
      </c>
      <c r="AB1638">
        <v>25</v>
      </c>
      <c r="AC1638">
        <v>4.2935999999999899</v>
      </c>
      <c r="AD1638">
        <v>-1.1064856532709999</v>
      </c>
      <c r="AE1638">
        <v>-5.5816000000000301</v>
      </c>
      <c r="AF1638">
        <v>2.2753772345739298</v>
      </c>
      <c r="AG1638">
        <v>-1.1064856532709999</v>
      </c>
      <c r="AH1638">
        <v>6.4846805955234998</v>
      </c>
      <c r="AI1638">
        <v>99.146510304557907</v>
      </c>
      <c r="AJ1638">
        <v>70.664792528244405</v>
      </c>
      <c r="AK1638">
        <v>6.9607998453102304</v>
      </c>
      <c r="AL1638">
        <v>71.523335252774501</v>
      </c>
      <c r="AM1638">
        <v>84.110599368230993</v>
      </c>
      <c r="AN1638">
        <v>1.00000000096874</v>
      </c>
    </row>
    <row r="1639" spans="1:40" x14ac:dyDescent="0.25">
      <c r="A1639" t="str">
        <f>"20190304164122526"</f>
        <v>20190304164122526</v>
      </c>
      <c r="B1639" t="str">
        <f>"1551688882522503"</f>
        <v>1551688882522503</v>
      </c>
      <c r="C1639" t="s">
        <v>40</v>
      </c>
      <c r="D1639">
        <v>5.4249280000000004</v>
      </c>
      <c r="E1639">
        <v>0.60198619999999903</v>
      </c>
      <c r="F1639" t="s">
        <v>44</v>
      </c>
      <c r="G1639">
        <v>-197.9699</v>
      </c>
      <c r="H1639" s="1">
        <v>-5.5699249999999999E-6</v>
      </c>
      <c r="I1639">
        <v>356.72609999999997</v>
      </c>
      <c r="J1639">
        <v>-202.2758</v>
      </c>
      <c r="K1639">
        <v>1.1063860000000001</v>
      </c>
      <c r="L1639">
        <v>362.42759999999998</v>
      </c>
      <c r="M1639">
        <v>0.83580699999999997</v>
      </c>
      <c r="N1639">
        <v>-1.4253180000000001E-2</v>
      </c>
      <c r="O1639">
        <v>-0.54883839999999995</v>
      </c>
      <c r="P1639">
        <v>0.73778840000000001</v>
      </c>
      <c r="Q1639">
        <v>0.30635109999999999</v>
      </c>
      <c r="R1639">
        <v>-0.60151269999999901</v>
      </c>
      <c r="S1639">
        <v>2.07341</v>
      </c>
      <c r="T1639">
        <v>-0.51994070000000003</v>
      </c>
      <c r="U1639">
        <v>-2.7137449999999999</v>
      </c>
      <c r="V1639">
        <v>0.10130790000000001</v>
      </c>
      <c r="W1639">
        <v>0.31873179999999901</v>
      </c>
      <c r="X1639">
        <v>0.94241540000000001</v>
      </c>
      <c r="Y1639">
        <v>0.33149139999999999</v>
      </c>
      <c r="Z1639">
        <v>5.1585209999999999E-2</v>
      </c>
      <c r="AA1639">
        <v>0.94204690000000002</v>
      </c>
      <c r="AB1639">
        <v>25</v>
      </c>
      <c r="AC1639">
        <v>4.3059000000000003</v>
      </c>
      <c r="AD1639">
        <v>-1.106391569925</v>
      </c>
      <c r="AE1639">
        <v>-5.7015000000000002</v>
      </c>
      <c r="AF1639">
        <v>2.3460960797834498</v>
      </c>
      <c r="AG1639">
        <v>-1.106391569925</v>
      </c>
      <c r="AH1639">
        <v>6.5712123853794502</v>
      </c>
      <c r="AI1639">
        <v>99.010172326224605</v>
      </c>
      <c r="AJ1639">
        <v>70.352095570300804</v>
      </c>
      <c r="AK1639">
        <v>7.0646373817302601</v>
      </c>
      <c r="AL1639">
        <v>71.413753502152701</v>
      </c>
      <c r="AM1639">
        <v>83.86437216921</v>
      </c>
      <c r="AN1639">
        <v>1.0000000185454001</v>
      </c>
    </row>
    <row r="1640" spans="1:40" x14ac:dyDescent="0.25">
      <c r="A1640" t="str">
        <f>"20190304164122538"</f>
        <v>20190304164122538</v>
      </c>
      <c r="B1640" t="str">
        <f>"1551688882532263"</f>
        <v>1551688882532263</v>
      </c>
      <c r="C1640" t="s">
        <v>40</v>
      </c>
      <c r="D1640">
        <v>5.4308389999999997</v>
      </c>
      <c r="E1640">
        <v>0.6016338</v>
      </c>
      <c r="F1640" t="s">
        <v>44</v>
      </c>
      <c r="G1640">
        <v>-198.0444</v>
      </c>
      <c r="H1640" s="1">
        <v>-5.6585320000000002E-6</v>
      </c>
      <c r="I1640">
        <v>356.95609999999999</v>
      </c>
      <c r="J1640">
        <v>-202.16069999999999</v>
      </c>
      <c r="K1640">
        <v>1.1062559999999999</v>
      </c>
      <c r="L1640">
        <v>362.34730000000002</v>
      </c>
      <c r="M1640">
        <v>0.83370639999999996</v>
      </c>
      <c r="N1640">
        <v>-1.4234760000000001E-2</v>
      </c>
      <c r="O1640">
        <v>-0.55202450000000003</v>
      </c>
      <c r="P1640">
        <v>0.73218000000000005</v>
      </c>
      <c r="Q1640">
        <v>0.308372599999999</v>
      </c>
      <c r="R1640">
        <v>-0.60730459999999997</v>
      </c>
      <c r="S1640">
        <v>2.08989</v>
      </c>
      <c r="T1640">
        <v>-0.54643790000000003</v>
      </c>
      <c r="U1640">
        <v>-2.7023619999999999</v>
      </c>
      <c r="V1640">
        <v>0.1057424</v>
      </c>
      <c r="W1640">
        <v>0.32063930000000002</v>
      </c>
      <c r="X1640">
        <v>0.94128049999999996</v>
      </c>
      <c r="Y1640">
        <v>0.32258680000000001</v>
      </c>
      <c r="Z1640">
        <v>5.5881489999999999E-2</v>
      </c>
      <c r="AA1640">
        <v>0.94488890000000003</v>
      </c>
      <c r="AB1640">
        <v>25</v>
      </c>
      <c r="AC1640">
        <v>4.1162999999999901</v>
      </c>
      <c r="AD1640">
        <v>-1.106261658532</v>
      </c>
      <c r="AE1640">
        <v>-5.39120000000002</v>
      </c>
      <c r="AF1640">
        <v>2.1650163191297702</v>
      </c>
      <c r="AG1640">
        <v>-1.106261658532</v>
      </c>
      <c r="AH1640">
        <v>6.2424630025720802</v>
      </c>
      <c r="AI1640">
        <v>99.504965283112696</v>
      </c>
      <c r="AJ1640">
        <v>70.872387794929196</v>
      </c>
      <c r="AK1640">
        <v>6.6992130028621597</v>
      </c>
      <c r="AL1640">
        <v>71.298408519766596</v>
      </c>
      <c r="AM1640">
        <v>83.590329380792198</v>
      </c>
      <c r="AN1640">
        <v>0.99999999777124904</v>
      </c>
    </row>
    <row r="1641" spans="1:40" x14ac:dyDescent="0.25">
      <c r="A1641" t="str">
        <f>"20190304164122548"</f>
        <v>20190304164122548</v>
      </c>
      <c r="B1641" t="str">
        <f>"1551688882543000"</f>
        <v>1551688882543000</v>
      </c>
      <c r="C1641" t="s">
        <v>40</v>
      </c>
      <c r="D1641">
        <v>5.4014800000000003</v>
      </c>
      <c r="E1641">
        <v>0.60156019999999999</v>
      </c>
      <c r="F1641" t="s">
        <v>44</v>
      </c>
      <c r="G1641">
        <v>-197.91970000000001</v>
      </c>
      <c r="H1641" s="1">
        <v>-5.5771910000000001E-6</v>
      </c>
      <c r="I1641">
        <v>356.7713</v>
      </c>
      <c r="J1641">
        <v>-202.06630000000001</v>
      </c>
      <c r="K1641">
        <v>1.1061369999999999</v>
      </c>
      <c r="L1641">
        <v>362.28070000000002</v>
      </c>
      <c r="M1641">
        <v>0.83190520000000001</v>
      </c>
      <c r="N1641">
        <v>-1.422202E-2</v>
      </c>
      <c r="O1641">
        <v>-0.5547356</v>
      </c>
      <c r="P1641">
        <v>0.72639030000000004</v>
      </c>
      <c r="Q1641">
        <v>0.3107202</v>
      </c>
      <c r="R1641">
        <v>-0.61303379999999996</v>
      </c>
      <c r="S1641">
        <v>2.0686490000000002</v>
      </c>
      <c r="T1641">
        <v>-0.53959860000000004</v>
      </c>
      <c r="U1641">
        <v>-2.7197879999999999</v>
      </c>
      <c r="V1641">
        <v>0.1107641</v>
      </c>
      <c r="W1641">
        <v>0.32286779999999998</v>
      </c>
      <c r="X1641">
        <v>0.9399402</v>
      </c>
      <c r="Y1641">
        <v>0.32704109999999997</v>
      </c>
      <c r="Z1641">
        <v>5.5156030000000002E-2</v>
      </c>
      <c r="AA1641">
        <v>0.94339910000000005</v>
      </c>
      <c r="AB1641">
        <v>25</v>
      </c>
      <c r="AC1641">
        <v>4.1466000000000003</v>
      </c>
      <c r="AD1641">
        <v>-1.1061425771910001</v>
      </c>
      <c r="AE1641">
        <v>-5.5094000000000198</v>
      </c>
      <c r="AF1641">
        <v>2.2259812835499</v>
      </c>
      <c r="AG1641">
        <v>-1.1061425771910001</v>
      </c>
      <c r="AH1641">
        <v>6.3432642972523601</v>
      </c>
      <c r="AI1641">
        <v>99.343912959140695</v>
      </c>
      <c r="AJ1641">
        <v>70.662983751996705</v>
      </c>
      <c r="AK1641">
        <v>6.81289556800819</v>
      </c>
      <c r="AL1641">
        <v>71.163552610257</v>
      </c>
      <c r="AM1641">
        <v>83.279166640439499</v>
      </c>
      <c r="AN1641">
        <v>0.99999994085084298</v>
      </c>
    </row>
    <row r="1642" spans="1:40" x14ac:dyDescent="0.25">
      <c r="A1642" t="str">
        <f>"20190304164122559"</f>
        <v>20190304164122559</v>
      </c>
      <c r="B1642" t="str">
        <f>"1551688882552760"</f>
        <v>1551688882552760</v>
      </c>
      <c r="C1642" t="s">
        <v>40</v>
      </c>
      <c r="D1642">
        <v>5.4193709999999999</v>
      </c>
      <c r="E1642">
        <v>0.60084799999999905</v>
      </c>
      <c r="F1642" t="s">
        <v>44</v>
      </c>
      <c r="G1642">
        <v>-197.7912</v>
      </c>
      <c r="H1642" s="1">
        <v>-5.486642E-6</v>
      </c>
      <c r="I1642">
        <v>356.5607</v>
      </c>
      <c r="J1642">
        <v>-201.96379999999999</v>
      </c>
      <c r="K1642">
        <v>1.1060000000000001</v>
      </c>
      <c r="L1642">
        <v>362.20780000000002</v>
      </c>
      <c r="M1642">
        <v>0.82989290000000004</v>
      </c>
      <c r="N1642">
        <v>-1.4209060000000001E-2</v>
      </c>
      <c r="O1642">
        <v>-0.55774169999999901</v>
      </c>
      <c r="P1642">
        <v>0.7205279</v>
      </c>
      <c r="Q1642">
        <v>0.31235930000000001</v>
      </c>
      <c r="R1642">
        <v>-0.61908920000000001</v>
      </c>
      <c r="S1642">
        <v>2.0460820000000002</v>
      </c>
      <c r="T1642">
        <v>-0.52940540000000003</v>
      </c>
      <c r="U1642">
        <v>-2.7376100000000001</v>
      </c>
      <c r="V1642">
        <v>0.1157743</v>
      </c>
      <c r="W1642">
        <v>0.324382</v>
      </c>
      <c r="X1642">
        <v>0.9388145</v>
      </c>
      <c r="Y1642">
        <v>0.33149000000000001</v>
      </c>
      <c r="Z1642">
        <v>5.4080549999999998E-2</v>
      </c>
      <c r="AA1642">
        <v>0.94190750000000001</v>
      </c>
      <c r="AB1642">
        <v>25</v>
      </c>
      <c r="AC1642">
        <v>4.1725999999999797</v>
      </c>
      <c r="AD1642">
        <v>-1.1060054866419999</v>
      </c>
      <c r="AE1642">
        <v>-5.6471000000000204</v>
      </c>
      <c r="AF1642">
        <v>2.3023667497312199</v>
      </c>
      <c r="AG1642">
        <v>-1.1060054866419999</v>
      </c>
      <c r="AH1642">
        <v>6.4529894585798004</v>
      </c>
      <c r="AI1642">
        <v>99.169989124040498</v>
      </c>
      <c r="AJ1642">
        <v>70.364071601814402</v>
      </c>
      <c r="AK1642">
        <v>6.9401162626639099</v>
      </c>
      <c r="AL1642">
        <v>71.071862494340394</v>
      </c>
      <c r="AM1642">
        <v>82.9697974830611</v>
      </c>
      <c r="AN1642">
        <v>1.00000001793736</v>
      </c>
    </row>
    <row r="1643" spans="1:40" x14ac:dyDescent="0.25">
      <c r="A1643" t="str">
        <f>"20190304164122572"</f>
        <v>20190304164122572</v>
      </c>
      <c r="B1643" t="str">
        <f>"1551688882562520"</f>
        <v>1551688882562520</v>
      </c>
      <c r="C1643" t="s">
        <v>40</v>
      </c>
      <c r="D1643">
        <v>5.4025179999999997</v>
      </c>
      <c r="E1643">
        <v>0.60031899999999905</v>
      </c>
      <c r="F1643" t="s">
        <v>44</v>
      </c>
      <c r="G1643">
        <v>-197.74039999999999</v>
      </c>
      <c r="H1643" s="1">
        <v>-5.4518710000000001E-6</v>
      </c>
      <c r="I1643">
        <v>356.48050000000001</v>
      </c>
      <c r="J1643">
        <v>-201.85059999999999</v>
      </c>
      <c r="K1643">
        <v>1.1058209999999999</v>
      </c>
      <c r="L1643">
        <v>362.12630000000001</v>
      </c>
      <c r="M1643">
        <v>0.82752700000000001</v>
      </c>
      <c r="N1643">
        <v>-1.4200620000000001E-2</v>
      </c>
      <c r="O1643">
        <v>-0.56124619999999903</v>
      </c>
      <c r="P1643">
        <v>0.71452959999999999</v>
      </c>
      <c r="Q1643">
        <v>0.31378250000000002</v>
      </c>
      <c r="R1643">
        <v>-0.62529040000000002</v>
      </c>
      <c r="S1643">
        <v>2.029404</v>
      </c>
      <c r="T1643">
        <v>-0.53145220000000004</v>
      </c>
      <c r="U1643">
        <v>-2.7520449999999999</v>
      </c>
      <c r="V1643">
        <v>0.1204462</v>
      </c>
      <c r="W1643">
        <v>0.32567489999999999</v>
      </c>
      <c r="X1643">
        <v>0.93777849999999996</v>
      </c>
      <c r="Y1643">
        <v>0.33357409999999998</v>
      </c>
      <c r="Z1643">
        <v>5.469893E-2</v>
      </c>
      <c r="AA1643">
        <v>0.94113559999999996</v>
      </c>
      <c r="AB1643">
        <v>25</v>
      </c>
      <c r="AC1643">
        <v>4.1101999999999901</v>
      </c>
      <c r="AD1643">
        <v>-1.1058264518709999</v>
      </c>
      <c r="AE1643">
        <v>-5.6458000000000004</v>
      </c>
      <c r="AF1643">
        <v>2.3075947249453601</v>
      </c>
      <c r="AG1643">
        <v>-1.1058264518709999</v>
      </c>
      <c r="AH1643">
        <v>6.40992272288912</v>
      </c>
      <c r="AI1643">
        <v>99.2198238109644</v>
      </c>
      <c r="AJ1643">
        <v>70.200945247783395</v>
      </c>
      <c r="AK1643">
        <v>6.9018080869916698</v>
      </c>
      <c r="AL1643">
        <v>70.9935308271466</v>
      </c>
      <c r="AM1643">
        <v>82.681125760633094</v>
      </c>
      <c r="AN1643">
        <v>0.99999997132334895</v>
      </c>
    </row>
    <row r="1644" spans="1:40" x14ac:dyDescent="0.25">
      <c r="A1644" t="str">
        <f>"20190304164122584"</f>
        <v>20190304164122584</v>
      </c>
      <c r="B1644" t="str">
        <f>"1551688882572279"</f>
        <v>1551688882572279</v>
      </c>
      <c r="C1644" t="s">
        <v>40</v>
      </c>
      <c r="D1644">
        <v>5.4218580000000003</v>
      </c>
      <c r="E1644">
        <v>0.60031899999999905</v>
      </c>
      <c r="F1644" t="s">
        <v>44</v>
      </c>
      <c r="G1644">
        <v>-197.67009999999999</v>
      </c>
      <c r="H1644" s="1">
        <v>-5.4063350000000001E-6</v>
      </c>
      <c r="I1644">
        <v>356.37729999999999</v>
      </c>
      <c r="J1644">
        <v>-201.732</v>
      </c>
      <c r="K1644">
        <v>1.105618</v>
      </c>
      <c r="L1644">
        <v>362.0403</v>
      </c>
      <c r="M1644">
        <v>0.82495689999999999</v>
      </c>
      <c r="N1644">
        <v>-1.4194409999999999E-2</v>
      </c>
      <c r="O1644">
        <v>-0.56501749999999995</v>
      </c>
      <c r="P1644">
        <v>0.70789429999999998</v>
      </c>
      <c r="Q1644">
        <v>0.31523980000000001</v>
      </c>
      <c r="R1644">
        <v>-0.63206799999999996</v>
      </c>
      <c r="S1644">
        <v>2.0114589999999999</v>
      </c>
      <c r="T1644">
        <v>-0.53207869999999902</v>
      </c>
      <c r="U1644">
        <v>-2.7662049999999998</v>
      </c>
      <c r="V1644">
        <v>0.1256678</v>
      </c>
      <c r="W1644">
        <v>0.32698519999999998</v>
      </c>
      <c r="X1644">
        <v>0.93663669999999999</v>
      </c>
      <c r="Y1644">
        <v>0.33556839999999999</v>
      </c>
      <c r="Z1644">
        <v>5.5213440000000003E-2</v>
      </c>
      <c r="AA1644">
        <v>0.94039640000000002</v>
      </c>
      <c r="AB1644">
        <v>25</v>
      </c>
      <c r="AC1644">
        <v>4.0618999999999996</v>
      </c>
      <c r="AD1644">
        <v>-1.1056234063349999</v>
      </c>
      <c r="AE1644">
        <v>-5.66300000000001</v>
      </c>
      <c r="AF1644">
        <v>2.3185704897555999</v>
      </c>
      <c r="AG1644">
        <v>-1.1056234063349999</v>
      </c>
      <c r="AH1644">
        <v>6.3904085132542496</v>
      </c>
      <c r="AI1644">
        <v>99.237645804645695</v>
      </c>
      <c r="AJ1644">
        <v>70.058196223670393</v>
      </c>
      <c r="AK1644">
        <v>6.8873429709049399</v>
      </c>
      <c r="AL1644">
        <v>70.914109051709005</v>
      </c>
      <c r="AM1644">
        <v>82.358306500364804</v>
      </c>
      <c r="AN1644">
        <v>1.0000000123813799</v>
      </c>
    </row>
    <row r="1645" spans="1:40" x14ac:dyDescent="0.25">
      <c r="A1645" t="str">
        <f>"20190304164122596"</f>
        <v>20190304164122596</v>
      </c>
      <c r="B1645" t="str">
        <f>"1551688882592775"</f>
        <v>1551688882592775</v>
      </c>
      <c r="C1645" t="s">
        <v>40</v>
      </c>
      <c r="D1645">
        <v>5.4033559999999996</v>
      </c>
      <c r="E1645">
        <v>0.59217180000000003</v>
      </c>
      <c r="F1645" t="s">
        <v>44</v>
      </c>
      <c r="G1645">
        <v>-197.57550000000001</v>
      </c>
      <c r="H1645" s="1">
        <v>-5.3381520000000004E-6</v>
      </c>
      <c r="I1645">
        <v>356.21769999999998</v>
      </c>
      <c r="J1645">
        <v>-201.6232</v>
      </c>
      <c r="K1645">
        <v>1.10541</v>
      </c>
      <c r="L1645">
        <v>361.96019999999999</v>
      </c>
      <c r="M1645">
        <v>0.82243659999999996</v>
      </c>
      <c r="N1645">
        <v>-1.4196139999999999E-2</v>
      </c>
      <c r="O1645">
        <v>-0.56867970000000001</v>
      </c>
      <c r="P1645">
        <v>0.70124169999999997</v>
      </c>
      <c r="Q1645">
        <v>0.31621749999999998</v>
      </c>
      <c r="R1645">
        <v>-0.63895769999999996</v>
      </c>
      <c r="S1645">
        <v>1.987457</v>
      </c>
      <c r="T1645">
        <v>-0.52866269999999904</v>
      </c>
      <c r="U1645">
        <v>-2.784119</v>
      </c>
      <c r="V1645">
        <v>0.1311156</v>
      </c>
      <c r="W1645">
        <v>0.32781329999999997</v>
      </c>
      <c r="X1645">
        <v>0.93559990000000004</v>
      </c>
      <c r="Y1645">
        <v>0.339584</v>
      </c>
      <c r="Z1645">
        <v>5.5068869999999999E-2</v>
      </c>
      <c r="AA1645">
        <v>0.93896230000000003</v>
      </c>
      <c r="AB1645">
        <v>25</v>
      </c>
      <c r="AC1645">
        <v>4.0476999999999901</v>
      </c>
      <c r="AD1645">
        <v>-1.105415338152</v>
      </c>
      <c r="AE1645">
        <v>-5.7424999999999997</v>
      </c>
      <c r="AF1645">
        <v>2.36274983757338</v>
      </c>
      <c r="AG1645">
        <v>-1.105415338152</v>
      </c>
      <c r="AH1645">
        <v>6.4359578270669298</v>
      </c>
      <c r="AI1645">
        <v>99.159218433707807</v>
      </c>
      <c r="AJ1645">
        <v>69.840953118760794</v>
      </c>
      <c r="AK1645">
        <v>6.9445001991906397</v>
      </c>
      <c r="AL1645">
        <v>70.863895001147199</v>
      </c>
      <c r="AM1645">
        <v>82.022484706487305</v>
      </c>
      <c r="AN1645">
        <v>1.0000000165501299</v>
      </c>
    </row>
    <row r="1646" spans="1:40" x14ac:dyDescent="0.25">
      <c r="A1646" t="str">
        <f>"20190304164122609"</f>
        <v>20190304164122609</v>
      </c>
      <c r="B1646" t="str">
        <f>"1551688882602537"</f>
        <v>1551688882602537</v>
      </c>
      <c r="C1646" t="s">
        <v>40</v>
      </c>
      <c r="D1646">
        <v>5.43912</v>
      </c>
      <c r="E1646">
        <v>0.59153029999999995</v>
      </c>
      <c r="F1646" t="s">
        <v>44</v>
      </c>
      <c r="G1646">
        <v>-197.90469999999999</v>
      </c>
      <c r="H1646" s="1">
        <v>-5.6117519999999997E-6</v>
      </c>
      <c r="I1646">
        <v>356.88150000000002</v>
      </c>
      <c r="J1646">
        <v>-201.51009999999999</v>
      </c>
      <c r="K1646">
        <v>1.105189</v>
      </c>
      <c r="L1646">
        <v>361.8759</v>
      </c>
      <c r="M1646">
        <v>0.81969110000000001</v>
      </c>
      <c r="N1646">
        <v>-1.420312E-2</v>
      </c>
      <c r="O1646">
        <v>-0.57262990000000002</v>
      </c>
      <c r="P1646">
        <v>0.69410070000000001</v>
      </c>
      <c r="Q1646">
        <v>0.31823990000000002</v>
      </c>
      <c r="R1646">
        <v>-0.64571509999999999</v>
      </c>
      <c r="S1646">
        <v>2.027145</v>
      </c>
      <c r="T1646">
        <v>-0.60262109999999902</v>
      </c>
      <c r="U1646">
        <v>-2.7686459999999999</v>
      </c>
      <c r="V1646">
        <v>0.136432</v>
      </c>
      <c r="W1646">
        <v>0.32967770000000002</v>
      </c>
      <c r="X1646">
        <v>0.9341836</v>
      </c>
      <c r="Y1646">
        <v>0.32426870000000002</v>
      </c>
      <c r="Z1646">
        <v>6.5797949999999994E-2</v>
      </c>
      <c r="AA1646">
        <v>0.94367389999999995</v>
      </c>
      <c r="AB1646">
        <v>25</v>
      </c>
      <c r="AC1646">
        <v>3.6053999999999999</v>
      </c>
      <c r="AD1646">
        <v>-1.105194611752</v>
      </c>
      <c r="AE1646">
        <v>-4.9943999999999802</v>
      </c>
      <c r="AF1646">
        <v>1.966213725597</v>
      </c>
      <c r="AG1646">
        <v>-1.105194611752</v>
      </c>
      <c r="AH1646">
        <v>5.6344591225979599</v>
      </c>
      <c r="AI1646">
        <v>100.492125915361</v>
      </c>
      <c r="AJ1646">
        <v>70.762939049029796</v>
      </c>
      <c r="AK1646">
        <v>6.0691499527363</v>
      </c>
      <c r="AL1646">
        <v>70.750786383028199</v>
      </c>
      <c r="AM1646">
        <v>81.691031008959996</v>
      </c>
      <c r="AN1646">
        <v>1.0000000375051199</v>
      </c>
    </row>
    <row r="1647" spans="1:40" x14ac:dyDescent="0.25">
      <c r="A1647" t="str">
        <f>"20190304164122622"</f>
        <v>20190304164122622</v>
      </c>
      <c r="B1647" t="str">
        <f>"1551688882612295"</f>
        <v>1551688882612295</v>
      </c>
      <c r="C1647" t="s">
        <v>40</v>
      </c>
      <c r="D1647">
        <v>5.432429</v>
      </c>
      <c r="E1647">
        <v>0.59092389999999995</v>
      </c>
      <c r="F1647" t="s">
        <v>44</v>
      </c>
      <c r="G1647">
        <v>-197.83029999999999</v>
      </c>
      <c r="H1647" s="1">
        <v>-5.5634629999999998E-6</v>
      </c>
      <c r="I1647">
        <v>356.77199999999999</v>
      </c>
      <c r="J1647">
        <v>-201.39060000000001</v>
      </c>
      <c r="K1647">
        <v>1.1049439999999999</v>
      </c>
      <c r="L1647">
        <v>361.786</v>
      </c>
      <c r="M1647">
        <v>0.81667209999999901</v>
      </c>
      <c r="N1647">
        <v>-1.4213969999999999E-2</v>
      </c>
      <c r="O1647">
        <v>-0.57692690000000002</v>
      </c>
      <c r="P1647">
        <v>0.68692559999999903</v>
      </c>
      <c r="Q1647">
        <v>0.31983590000000001</v>
      </c>
      <c r="R1647">
        <v>-0.65256320000000001</v>
      </c>
      <c r="S1647">
        <v>2.0078580000000001</v>
      </c>
      <c r="T1647">
        <v>-0.6030314</v>
      </c>
      <c r="U1647">
        <v>-2.7848820000000001</v>
      </c>
      <c r="V1647">
        <v>0.1414571</v>
      </c>
      <c r="W1647">
        <v>0.33111239999999997</v>
      </c>
      <c r="X1647">
        <v>0.93292790000000003</v>
      </c>
      <c r="Y1647">
        <v>0.32623000000000002</v>
      </c>
      <c r="Z1647">
        <v>6.6416879999999998E-2</v>
      </c>
      <c r="AA1647">
        <v>0.94295430000000002</v>
      </c>
      <c r="AB1647">
        <v>25</v>
      </c>
      <c r="AC1647">
        <v>3.56030000000001</v>
      </c>
      <c r="AD1647">
        <v>-1.104949563463</v>
      </c>
      <c r="AE1647">
        <v>-5.0140000000000002</v>
      </c>
      <c r="AF1647">
        <v>1.97713410636644</v>
      </c>
      <c r="AG1647">
        <v>-1.104949563463</v>
      </c>
      <c r="AH1647">
        <v>5.6194667959349198</v>
      </c>
      <c r="AI1647">
        <v>100.507993917232</v>
      </c>
      <c r="AJ1647">
        <v>70.616261787677402</v>
      </c>
      <c r="AK1647">
        <v>6.0587440846242604</v>
      </c>
      <c r="AL1647">
        <v>70.663692443934295</v>
      </c>
      <c r="AM1647">
        <v>81.378084809792597</v>
      </c>
      <c r="AN1647">
        <v>0.99999999958629004</v>
      </c>
    </row>
    <row r="1648" spans="1:40" x14ac:dyDescent="0.25">
      <c r="A1648" t="str">
        <f>"20190304164122632"</f>
        <v>20190304164122632</v>
      </c>
      <c r="B1648" t="str">
        <f>"1551688882623032"</f>
        <v>1551688882623032</v>
      </c>
      <c r="C1648" t="s">
        <v>40</v>
      </c>
      <c r="D1648">
        <v>5.4348299999999998</v>
      </c>
      <c r="E1648">
        <v>0.59027589999999996</v>
      </c>
      <c r="F1648" t="s">
        <v>44</v>
      </c>
      <c r="G1648">
        <v>-197.7465</v>
      </c>
      <c r="H1648" s="1">
        <v>-5.5082339999999997E-6</v>
      </c>
      <c r="I1648">
        <v>356.64609999999999</v>
      </c>
      <c r="J1648">
        <v>-201.2928</v>
      </c>
      <c r="K1648">
        <v>1.104735</v>
      </c>
      <c r="L1648">
        <v>361.71100000000001</v>
      </c>
      <c r="M1648">
        <v>0.81400600000000001</v>
      </c>
      <c r="N1648">
        <v>-1.423486E-2</v>
      </c>
      <c r="O1648">
        <v>-0.58068189999999997</v>
      </c>
      <c r="P1648">
        <v>0.68031750000000002</v>
      </c>
      <c r="Q1648">
        <v>0.32157550000000001</v>
      </c>
      <c r="R1648">
        <v>-0.65860269999999899</v>
      </c>
      <c r="S1648">
        <v>1.9862519999999999</v>
      </c>
      <c r="T1648">
        <v>-0.60226150000000001</v>
      </c>
      <c r="U1648">
        <v>-2.8015750000000001</v>
      </c>
      <c r="V1648">
        <v>0.146091</v>
      </c>
      <c r="W1648">
        <v>0.33271289999999998</v>
      </c>
      <c r="X1648">
        <v>0.93164349999999996</v>
      </c>
      <c r="Y1648">
        <v>0.3293586</v>
      </c>
      <c r="Z1648">
        <v>6.6704390000000002E-2</v>
      </c>
      <c r="AA1648">
        <v>0.94184579999999996</v>
      </c>
      <c r="AB1648">
        <v>25</v>
      </c>
      <c r="AC1648">
        <v>3.5463</v>
      </c>
      <c r="AD1648">
        <v>-1.1047405082340001</v>
      </c>
      <c r="AE1648">
        <v>-5.0649000000000202</v>
      </c>
      <c r="AF1648">
        <v>1.9999488847771201</v>
      </c>
      <c r="AG1648">
        <v>-1.1047405082340001</v>
      </c>
      <c r="AH1648">
        <v>5.6480845683906704</v>
      </c>
      <c r="AI1648">
        <v>100.446755544035</v>
      </c>
      <c r="AJ1648">
        <v>70.501286840987206</v>
      </c>
      <c r="AK1648">
        <v>6.0927092843781097</v>
      </c>
      <c r="AL1648">
        <v>70.566480214109006</v>
      </c>
      <c r="AM1648">
        <v>81.0880235976081</v>
      </c>
      <c r="AN1648">
        <v>1.00000003259982</v>
      </c>
    </row>
    <row r="1649" spans="1:40" x14ac:dyDescent="0.25">
      <c r="A1649" t="str">
        <f>"20190304164122644"</f>
        <v>20190304164122644</v>
      </c>
      <c r="B1649" t="str">
        <f>"1551688882632792"</f>
        <v>1551688882632792</v>
      </c>
      <c r="C1649" t="s">
        <v>40</v>
      </c>
      <c r="D1649">
        <v>5.4488349999999999</v>
      </c>
      <c r="E1649">
        <v>0.59027589999999996</v>
      </c>
      <c r="F1649" t="s">
        <v>44</v>
      </c>
      <c r="G1649">
        <v>-197.68389999999999</v>
      </c>
      <c r="H1649" s="1">
        <v>-5.4628740000000004E-6</v>
      </c>
      <c r="I1649">
        <v>356.53980000000001</v>
      </c>
      <c r="J1649">
        <v>-201.19309999999999</v>
      </c>
      <c r="K1649">
        <v>1.1045210000000001</v>
      </c>
      <c r="L1649">
        <v>361.63400000000001</v>
      </c>
      <c r="M1649">
        <v>0.81123129999999999</v>
      </c>
      <c r="N1649">
        <v>-1.425653E-2</v>
      </c>
      <c r="O1649">
        <v>-0.58455159999999995</v>
      </c>
      <c r="P1649">
        <v>0.67433599999999905</v>
      </c>
      <c r="Q1649">
        <v>0.32248399999999999</v>
      </c>
      <c r="R1649">
        <v>-0.66428569999999998</v>
      </c>
      <c r="S1649">
        <v>1.9664459999999999</v>
      </c>
      <c r="T1649">
        <v>-0.60196349999999998</v>
      </c>
      <c r="U1649">
        <v>-2.8177490000000001</v>
      </c>
      <c r="V1649">
        <v>0.1499296</v>
      </c>
      <c r="W1649">
        <v>0.33349420000000002</v>
      </c>
      <c r="X1649">
        <v>0.93075379999999996</v>
      </c>
      <c r="Y1649">
        <v>0.33185540000000002</v>
      </c>
      <c r="Z1649">
        <v>6.7106410000000005E-2</v>
      </c>
      <c r="AA1649">
        <v>0.94094029999999995</v>
      </c>
      <c r="AB1649">
        <v>25</v>
      </c>
      <c r="AC1649">
        <v>3.5091999999999901</v>
      </c>
      <c r="AD1649">
        <v>-1.1045264628739999</v>
      </c>
      <c r="AE1649">
        <v>-5.0941999999999998</v>
      </c>
      <c r="AF1649">
        <v>2.0171660838865302</v>
      </c>
      <c r="AG1649">
        <v>-1.1045264628739999</v>
      </c>
      <c r="AH1649">
        <v>5.64520666610301</v>
      </c>
      <c r="AI1649">
        <v>100.439564083626</v>
      </c>
      <c r="AJ1649">
        <v>70.336987498763193</v>
      </c>
      <c r="AK1649">
        <v>6.0956784708664697</v>
      </c>
      <c r="AL1649">
        <v>70.519001998839499</v>
      </c>
      <c r="AM1649">
        <v>80.849171716417402</v>
      </c>
      <c r="AN1649">
        <v>0.99999995130211805</v>
      </c>
    </row>
    <row r="1650" spans="1:40" x14ac:dyDescent="0.25">
      <c r="A1650" t="str">
        <f>"20190304164122660"</f>
        <v>20190304164122660</v>
      </c>
      <c r="B1650" t="str">
        <f>"1551688882652311"</f>
        <v>1551688882652311</v>
      </c>
      <c r="C1650" t="s">
        <v>40</v>
      </c>
      <c r="D1650">
        <v>5.3972670000000003</v>
      </c>
      <c r="E1650">
        <v>0.58761160000000001</v>
      </c>
      <c r="F1650" t="s">
        <v>44</v>
      </c>
      <c r="G1650">
        <v>-197.60900000000001</v>
      </c>
      <c r="H1650" s="1">
        <v>-5.40312199999999E-6</v>
      </c>
      <c r="I1650">
        <v>356.39620000000002</v>
      </c>
      <c r="J1650">
        <v>-201.05080000000001</v>
      </c>
      <c r="K1650">
        <v>1.104212</v>
      </c>
      <c r="L1650">
        <v>361.5222</v>
      </c>
      <c r="M1650">
        <v>0.80701420000000001</v>
      </c>
      <c r="N1650">
        <v>-1.4299269999999999E-2</v>
      </c>
      <c r="O1650">
        <v>-0.59035879999999996</v>
      </c>
      <c r="P1650">
        <v>0.66500059999999905</v>
      </c>
      <c r="Q1650">
        <v>0.32183079999999997</v>
      </c>
      <c r="R1650">
        <v>-0.67394270000000001</v>
      </c>
      <c r="S1650">
        <v>1.9408259999999999</v>
      </c>
      <c r="T1650">
        <v>-0.59810229999999998</v>
      </c>
      <c r="U1650">
        <v>-2.8362729999999998</v>
      </c>
      <c r="V1650">
        <v>0.15676119999999999</v>
      </c>
      <c r="W1650">
        <v>0.33264680000000002</v>
      </c>
      <c r="X1650">
        <v>0.92993119999999996</v>
      </c>
      <c r="Y1650">
        <v>0.33374310000000001</v>
      </c>
      <c r="Z1650">
        <v>6.7467639999999995E-2</v>
      </c>
      <c r="AA1650">
        <v>0.94024660000000004</v>
      </c>
      <c r="AB1650">
        <v>25</v>
      </c>
      <c r="AC1650">
        <v>3.4418000000000002</v>
      </c>
      <c r="AD1650">
        <v>-1.104217403122</v>
      </c>
      <c r="AE1650">
        <v>-5.1259999999999701</v>
      </c>
      <c r="AF1650">
        <v>2.0398309038991602</v>
      </c>
      <c r="AG1650">
        <v>-1.104217403122</v>
      </c>
      <c r="AH1650">
        <v>5.6244607105294104</v>
      </c>
      <c r="AI1650">
        <v>100.456910546185</v>
      </c>
      <c r="AJ1650">
        <v>70.065741141907395</v>
      </c>
      <c r="AK1650">
        <v>6.0839760415495201</v>
      </c>
      <c r="AL1650">
        <v>70.570495599898905</v>
      </c>
      <c r="AM1650">
        <v>80.431443447392795</v>
      </c>
      <c r="AN1650">
        <v>1.0000000020545501</v>
      </c>
    </row>
    <row r="1651" spans="1:40" x14ac:dyDescent="0.25">
      <c r="A1651" t="str">
        <f>"20190304164122671"</f>
        <v>20190304164122671</v>
      </c>
      <c r="B1651" t="str">
        <f>"1551688882662072"</f>
        <v>1551688882662072</v>
      </c>
      <c r="C1651" t="s">
        <v>40</v>
      </c>
      <c r="D1651">
        <v>5.428909</v>
      </c>
      <c r="E1651">
        <v>0.587848699999999</v>
      </c>
      <c r="F1651" t="s">
        <v>44</v>
      </c>
      <c r="G1651">
        <v>-197.84030000000001</v>
      </c>
      <c r="H1651" s="1">
        <v>-5.5562000000000003E-6</v>
      </c>
      <c r="I1651">
        <v>356.74560000000002</v>
      </c>
      <c r="J1651">
        <v>-200.94479999999999</v>
      </c>
      <c r="K1651">
        <v>1.103977</v>
      </c>
      <c r="L1651">
        <v>361.43720000000002</v>
      </c>
      <c r="M1651">
        <v>0.80366040000000005</v>
      </c>
      <c r="N1651">
        <v>-1.4337900000000001E-2</v>
      </c>
      <c r="O1651">
        <v>-0.59491549999999904</v>
      </c>
      <c r="P1651">
        <v>0.65912910000000002</v>
      </c>
      <c r="Q1651">
        <v>0.32063380000000002</v>
      </c>
      <c r="R1651">
        <v>-0.68025230000000003</v>
      </c>
      <c r="S1651">
        <v>1.926758</v>
      </c>
      <c r="T1651">
        <v>-0.66270509999999905</v>
      </c>
      <c r="U1651">
        <v>-2.8666990000000001</v>
      </c>
      <c r="V1651">
        <v>0.1602046</v>
      </c>
      <c r="W1651">
        <v>0.33133970000000001</v>
      </c>
      <c r="X1651">
        <v>0.92981100000000005</v>
      </c>
      <c r="Y1651">
        <v>0.33661729999999901</v>
      </c>
      <c r="Z1651">
        <v>7.5899389999999997E-2</v>
      </c>
      <c r="AA1651">
        <v>0.93857769999999996</v>
      </c>
      <c r="AB1651">
        <v>25</v>
      </c>
      <c r="AC1651">
        <v>3.1044999999999701</v>
      </c>
      <c r="AD1651">
        <v>-1.1039825562000001</v>
      </c>
      <c r="AE1651">
        <v>-4.6915999999999896</v>
      </c>
      <c r="AF1651">
        <v>1.85240123651668</v>
      </c>
      <c r="AG1651">
        <v>-1.1039825562000001</v>
      </c>
      <c r="AH1651">
        <v>5.0905786337134797</v>
      </c>
      <c r="AI1651">
        <v>101.51882283775799</v>
      </c>
      <c r="AJ1651">
        <v>70.004153084535204</v>
      </c>
      <c r="AK1651">
        <v>5.5284861084624897</v>
      </c>
      <c r="AL1651">
        <v>70.649890056594401</v>
      </c>
      <c r="AM1651">
        <v>80.224034567804694</v>
      </c>
      <c r="AN1651">
        <v>1.0000000031891201</v>
      </c>
    </row>
    <row r="1652" spans="1:40" x14ac:dyDescent="0.25">
      <c r="A1652" t="str">
        <f>"20190304164122683"</f>
        <v>20190304164122683</v>
      </c>
      <c r="B1652" t="str">
        <f>"1551688882672808"</f>
        <v>1551688882672808</v>
      </c>
      <c r="C1652" t="s">
        <v>40</v>
      </c>
      <c r="D1652">
        <v>5.4502699999999997</v>
      </c>
      <c r="E1652">
        <v>0.58770809999999996</v>
      </c>
      <c r="F1652" t="s">
        <v>44</v>
      </c>
      <c r="G1652">
        <v>-197.79040000000001</v>
      </c>
      <c r="H1652" s="1">
        <v>-5.5101690000000004E-6</v>
      </c>
      <c r="I1652">
        <v>356.63130000000001</v>
      </c>
      <c r="J1652">
        <v>-200.84800000000001</v>
      </c>
      <c r="K1652">
        <v>1.1037619999999999</v>
      </c>
      <c r="L1652">
        <v>361.35919999999999</v>
      </c>
      <c r="M1652">
        <v>0.80052290000000004</v>
      </c>
      <c r="N1652">
        <v>-1.437312E-2</v>
      </c>
      <c r="O1652">
        <v>-0.59912980000000005</v>
      </c>
      <c r="P1652">
        <v>0.65335290000000001</v>
      </c>
      <c r="Q1652">
        <v>0.31913859999999999</v>
      </c>
      <c r="R1652">
        <v>-0.68649869999999902</v>
      </c>
      <c r="S1652">
        <v>1.8947449999999999</v>
      </c>
      <c r="T1652">
        <v>-0.66313769999999905</v>
      </c>
      <c r="U1652">
        <v>-2.8867799999999999</v>
      </c>
      <c r="V1652">
        <v>0.16390170000000001</v>
      </c>
      <c r="W1652">
        <v>0.32972990000000002</v>
      </c>
      <c r="X1652">
        <v>0.92973890000000003</v>
      </c>
      <c r="Y1652">
        <v>0.34190710000000002</v>
      </c>
      <c r="Z1652">
        <v>7.6326729999999995E-2</v>
      </c>
      <c r="AA1652">
        <v>0.93662889999999999</v>
      </c>
      <c r="AB1652">
        <v>25</v>
      </c>
      <c r="AC1652">
        <v>3.0575999999999701</v>
      </c>
      <c r="AD1652">
        <v>-1.1037675101690001</v>
      </c>
      <c r="AE1652">
        <v>-4.7278999999999698</v>
      </c>
      <c r="AF1652">
        <v>1.88081515633971</v>
      </c>
      <c r="AG1652">
        <v>-1.1037675101690001</v>
      </c>
      <c r="AH1652">
        <v>5.0854180005780902</v>
      </c>
      <c r="AI1652">
        <v>101.50642345096399</v>
      </c>
      <c r="AJ1652">
        <v>69.703350669711099</v>
      </c>
      <c r="AK1652">
        <v>5.5332851552604403</v>
      </c>
      <c r="AL1652">
        <v>70.747617617460605</v>
      </c>
      <c r="AM1652">
        <v>80.002172744776203</v>
      </c>
      <c r="AN1652">
        <v>0.99999999819505503</v>
      </c>
    </row>
    <row r="1653" spans="1:40" x14ac:dyDescent="0.25">
      <c r="A1653" t="str">
        <f>"20190304164122699"</f>
        <v>20190304164122699</v>
      </c>
      <c r="B1653" t="str">
        <f>"1551688882692328"</f>
        <v>1551688882692328</v>
      </c>
      <c r="C1653" t="s">
        <v>40</v>
      </c>
      <c r="D1653">
        <v>5.4060119999999996</v>
      </c>
      <c r="E1653">
        <v>0.58803380000000005</v>
      </c>
      <c r="F1653" t="s">
        <v>44</v>
      </c>
      <c r="G1653">
        <v>-197.76419999999999</v>
      </c>
      <c r="H1653" s="1">
        <v>-5.4829189999999999E-6</v>
      </c>
      <c r="I1653">
        <v>356.56220000000002</v>
      </c>
      <c r="J1653">
        <v>-200.7056</v>
      </c>
      <c r="K1653">
        <v>1.103437</v>
      </c>
      <c r="L1653">
        <v>361.24180000000001</v>
      </c>
      <c r="M1653">
        <v>0.79557339999999999</v>
      </c>
      <c r="N1653">
        <v>-1.4433669999999999E-2</v>
      </c>
      <c r="O1653">
        <v>-0.60568549999999999</v>
      </c>
      <c r="P1653">
        <v>0.64544959999999996</v>
      </c>
      <c r="Q1653">
        <v>0.31795509999999999</v>
      </c>
      <c r="R1653">
        <v>-0.69447789999999998</v>
      </c>
      <c r="S1653">
        <v>1.8668370000000001</v>
      </c>
      <c r="T1653">
        <v>-0.66818330000000004</v>
      </c>
      <c r="U1653">
        <v>-2.903931</v>
      </c>
      <c r="V1653">
        <v>0.16759669999999999</v>
      </c>
      <c r="W1653">
        <v>0.32840740000000002</v>
      </c>
      <c r="X1653">
        <v>0.92954829999999999</v>
      </c>
      <c r="Y1653">
        <v>0.343149599999999</v>
      </c>
      <c r="Z1653">
        <v>7.8169669999999997E-2</v>
      </c>
      <c r="AA1653">
        <v>0.93602229999999997</v>
      </c>
      <c r="AB1653">
        <v>25</v>
      </c>
      <c r="AC1653">
        <v>2.94140000000001</v>
      </c>
      <c r="AD1653">
        <v>-1.1034424829189999</v>
      </c>
      <c r="AE1653">
        <v>-4.67959999999999</v>
      </c>
      <c r="AF1653">
        <v>1.86718744691837</v>
      </c>
      <c r="AG1653">
        <v>-1.1034424829189999</v>
      </c>
      <c r="AH1653">
        <v>4.9766597511184099</v>
      </c>
      <c r="AI1653">
        <v>101.72764590700901</v>
      </c>
      <c r="AJ1653">
        <v>69.434467073238594</v>
      </c>
      <c r="AK1653">
        <v>5.4287306576622401</v>
      </c>
      <c r="AL1653">
        <v>70.827861526102396</v>
      </c>
      <c r="AM1653">
        <v>79.779429102735804</v>
      </c>
      <c r="AN1653">
        <v>1.0000000581292601</v>
      </c>
    </row>
    <row r="1654" spans="1:40" x14ac:dyDescent="0.25">
      <c r="A1654" t="str">
        <f>"20190304164122709"</f>
        <v>20190304164122709</v>
      </c>
      <c r="B1654" t="str">
        <f>"1551688882702088"</f>
        <v>1551688882702088</v>
      </c>
      <c r="C1654" t="s">
        <v>40</v>
      </c>
      <c r="D1654">
        <v>5.4319300000000004</v>
      </c>
      <c r="E1654">
        <v>0.58782559999999995</v>
      </c>
      <c r="F1654" t="s">
        <v>44</v>
      </c>
      <c r="G1654">
        <v>-197.67580000000001</v>
      </c>
      <c r="H1654" s="1">
        <v>-5.4093370000000004E-6</v>
      </c>
      <c r="I1654">
        <v>356.3836</v>
      </c>
      <c r="J1654">
        <v>-200.6165</v>
      </c>
      <c r="K1654">
        <v>1.103224</v>
      </c>
      <c r="L1654">
        <v>361.16680000000002</v>
      </c>
      <c r="M1654">
        <v>0.79229450000000001</v>
      </c>
      <c r="N1654">
        <v>-1.4476640000000001E-2</v>
      </c>
      <c r="O1654">
        <v>-0.60996729999999999</v>
      </c>
      <c r="P1654">
        <v>0.6393451</v>
      </c>
      <c r="Q1654">
        <v>0.31687259999999901</v>
      </c>
      <c r="R1654">
        <v>-0.70059249999999995</v>
      </c>
      <c r="S1654">
        <v>1.825699</v>
      </c>
      <c r="T1654">
        <v>-0.66490709999999997</v>
      </c>
      <c r="U1654">
        <v>-2.9273989999999999</v>
      </c>
      <c r="V1654">
        <v>0.1712687</v>
      </c>
      <c r="W1654">
        <v>0.32721139999999999</v>
      </c>
      <c r="X1654">
        <v>0.92930069999999998</v>
      </c>
      <c r="Y1654">
        <v>0.35082809999999998</v>
      </c>
      <c r="Z1654">
        <v>7.7950359999999996E-2</v>
      </c>
      <c r="AA1654">
        <v>0.93318990000000002</v>
      </c>
      <c r="AB1654">
        <v>25</v>
      </c>
      <c r="AC1654">
        <v>2.9406999999999899</v>
      </c>
      <c r="AD1654">
        <v>-1.1032294093369901</v>
      </c>
      <c r="AE1654">
        <v>-4.7832000000000203</v>
      </c>
      <c r="AF1654">
        <v>1.9219814543184299</v>
      </c>
      <c r="AG1654">
        <v>-1.1032294093369901</v>
      </c>
      <c r="AH1654">
        <v>5.0529711663748902</v>
      </c>
      <c r="AI1654">
        <v>101.533930034336</v>
      </c>
      <c r="AJ1654">
        <v>69.174857027082297</v>
      </c>
      <c r="AK1654">
        <v>5.5175760482829803</v>
      </c>
      <c r="AL1654">
        <v>70.900394641279505</v>
      </c>
      <c r="AM1654">
        <v>79.557651127754596</v>
      </c>
      <c r="AN1654">
        <v>1.0000000294550599</v>
      </c>
    </row>
    <row r="1655" spans="1:40" x14ac:dyDescent="0.25">
      <c r="A1655" t="str">
        <f>"20190304164122720"</f>
        <v>20190304164122720</v>
      </c>
      <c r="B1655" t="str">
        <f>"1551688882712824"</f>
        <v>1551688882712824</v>
      </c>
      <c r="C1655" t="s">
        <v>40</v>
      </c>
      <c r="D1655">
        <v>5.4450589999999996</v>
      </c>
      <c r="E1655">
        <v>0.58755480000000004</v>
      </c>
      <c r="F1655" t="s">
        <v>44</v>
      </c>
      <c r="G1655">
        <v>-197.6507</v>
      </c>
      <c r="H1655" s="1">
        <v>-5.381797E-6</v>
      </c>
      <c r="I1655">
        <v>356.31299999999999</v>
      </c>
      <c r="J1655">
        <v>-200.5239</v>
      </c>
      <c r="K1655">
        <v>1.1030089999999999</v>
      </c>
      <c r="L1655">
        <v>361.08850000000001</v>
      </c>
      <c r="M1655">
        <v>0.78881330000000005</v>
      </c>
      <c r="N1655">
        <v>-1.452121E-2</v>
      </c>
      <c r="O1655">
        <v>-0.61446119999999904</v>
      </c>
      <c r="P1655">
        <v>0.63261160000000005</v>
      </c>
      <c r="Q1655">
        <v>0.31620239999999999</v>
      </c>
      <c r="R1655">
        <v>-0.70697840000000001</v>
      </c>
      <c r="S1655">
        <v>1.7984770000000001</v>
      </c>
      <c r="T1655">
        <v>-0.669018</v>
      </c>
      <c r="U1655">
        <v>-2.94339</v>
      </c>
      <c r="V1655">
        <v>0.17528920000000001</v>
      </c>
      <c r="W1655">
        <v>0.326412799999999</v>
      </c>
      <c r="X1655">
        <v>0.92883170000000004</v>
      </c>
      <c r="Y1655">
        <v>0.3540664</v>
      </c>
      <c r="Z1655">
        <v>7.9102110000000003E-2</v>
      </c>
      <c r="AA1655">
        <v>0.93186899999999995</v>
      </c>
      <c r="AB1655">
        <v>25</v>
      </c>
      <c r="AC1655">
        <v>2.87319999999999</v>
      </c>
      <c r="AD1655">
        <v>-1.103014381797</v>
      </c>
      <c r="AE1655">
        <v>-4.7754999999999601</v>
      </c>
      <c r="AF1655">
        <v>1.9262676688835401</v>
      </c>
      <c r="AG1655">
        <v>-1.103014381797</v>
      </c>
      <c r="AH1655">
        <v>5.0052711372968197</v>
      </c>
      <c r="AI1655">
        <v>101.621734257559</v>
      </c>
      <c r="AJ1655">
        <v>68.950888660507999</v>
      </c>
      <c r="AK1655">
        <v>5.4753892114162603</v>
      </c>
      <c r="AL1655">
        <v>70.948808434319304</v>
      </c>
      <c r="AM1655">
        <v>79.312827955084998</v>
      </c>
      <c r="AN1655">
        <v>0.99999997328268397</v>
      </c>
    </row>
    <row r="1656" spans="1:40" x14ac:dyDescent="0.25">
      <c r="A1656" t="str">
        <f>"20190304164122731"</f>
        <v>20190304164122731</v>
      </c>
      <c r="B1656" t="str">
        <f>"1551688882722584"</f>
        <v>1551688882722584</v>
      </c>
      <c r="C1656" t="s">
        <v>40</v>
      </c>
      <c r="D1656">
        <v>5.4346870000000003</v>
      </c>
      <c r="E1656">
        <v>0.58744750000000001</v>
      </c>
      <c r="F1656" t="s">
        <v>44</v>
      </c>
      <c r="G1656">
        <v>-197.61869999999999</v>
      </c>
      <c r="H1656" s="1">
        <v>-5.3535700000000003E-6</v>
      </c>
      <c r="I1656">
        <v>356.24369999999999</v>
      </c>
      <c r="J1656">
        <v>-200.43299999999999</v>
      </c>
      <c r="K1656">
        <v>1.1028</v>
      </c>
      <c r="L1656">
        <v>361.00979999999998</v>
      </c>
      <c r="M1656">
        <v>0.78517609999999904</v>
      </c>
      <c r="N1656">
        <v>-1.457199E-2</v>
      </c>
      <c r="O1656">
        <v>-0.61910129999999997</v>
      </c>
      <c r="P1656">
        <v>0.62540019999999996</v>
      </c>
      <c r="Q1656">
        <v>0.31549179999999999</v>
      </c>
      <c r="R1656">
        <v>-0.71368030000000005</v>
      </c>
      <c r="S1656">
        <v>1.7734989999999999</v>
      </c>
      <c r="T1656">
        <v>-0.67334930000000004</v>
      </c>
      <c r="U1656">
        <v>-2.9575809999999998</v>
      </c>
      <c r="V1656">
        <v>0.1796674</v>
      </c>
      <c r="W1656">
        <v>0.32556629999999998</v>
      </c>
      <c r="X1656">
        <v>0.92829209999999995</v>
      </c>
      <c r="Y1656">
        <v>0.35635050000000001</v>
      </c>
      <c r="Z1656">
        <v>8.0408770000000004E-2</v>
      </c>
      <c r="AA1656">
        <v>0.93088599999999999</v>
      </c>
      <c r="AB1656">
        <v>25</v>
      </c>
      <c r="AC1656">
        <v>2.8142999999999998</v>
      </c>
      <c r="AD1656">
        <v>-1.10280535357</v>
      </c>
      <c r="AE1656">
        <v>-4.76609999999999</v>
      </c>
      <c r="AF1656">
        <v>1.92373518113845</v>
      </c>
      <c r="AG1656">
        <v>-1.10280535357</v>
      </c>
      <c r="AH1656">
        <v>4.9639110428450701</v>
      </c>
      <c r="AI1656">
        <v>101.703426004816</v>
      </c>
      <c r="AJ1656">
        <v>68.816446200462394</v>
      </c>
      <c r="AK1656">
        <v>5.4366671349542504</v>
      </c>
      <c r="AL1656">
        <v>71.0001125054862</v>
      </c>
      <c r="AM1656">
        <v>79.046058645700597</v>
      </c>
      <c r="AN1656">
        <v>1.00000000662043</v>
      </c>
    </row>
    <row r="1657" spans="1:40" x14ac:dyDescent="0.25">
      <c r="A1657" t="str">
        <f>"20190304164122742"</f>
        <v>20190304164122742</v>
      </c>
      <c r="B1657" t="str">
        <f>"1551688882732344"</f>
        <v>1551688882732344</v>
      </c>
      <c r="C1657" t="s">
        <v>40</v>
      </c>
      <c r="D1657">
        <v>5.4666829999999997</v>
      </c>
      <c r="E1657">
        <v>0.58717949999999997</v>
      </c>
      <c r="F1657" t="s">
        <v>44</v>
      </c>
      <c r="G1657">
        <v>-197.5882</v>
      </c>
      <c r="H1657" s="1">
        <v>-5.3261800000000002E-6</v>
      </c>
      <c r="I1657">
        <v>356.17610000000002</v>
      </c>
      <c r="J1657">
        <v>-200.33590000000001</v>
      </c>
      <c r="K1657">
        <v>1.1025700000000001</v>
      </c>
      <c r="L1657">
        <v>360.92529999999999</v>
      </c>
      <c r="M1657">
        <v>0.78121790000000002</v>
      </c>
      <c r="N1657">
        <v>-1.462508E-2</v>
      </c>
      <c r="O1657">
        <v>-0.62408730000000001</v>
      </c>
      <c r="P1657">
        <v>0.61754229999999999</v>
      </c>
      <c r="Q1657">
        <v>0.31521739999999998</v>
      </c>
      <c r="R1657">
        <v>-0.72061059999999999</v>
      </c>
      <c r="S1657">
        <v>1.748505</v>
      </c>
      <c r="T1657">
        <v>-0.67781669999999905</v>
      </c>
      <c r="U1657">
        <v>-2.970917</v>
      </c>
      <c r="V1657">
        <v>0.18422160000000001</v>
      </c>
      <c r="W1657">
        <v>0.32513969999999998</v>
      </c>
      <c r="X1657">
        <v>0.9275487</v>
      </c>
      <c r="Y1657">
        <v>0.35809410000000003</v>
      </c>
      <c r="Z1657">
        <v>8.1879750000000001E-2</v>
      </c>
      <c r="AA1657">
        <v>0.93008829999999998</v>
      </c>
      <c r="AB1657">
        <v>25</v>
      </c>
      <c r="AC1657">
        <v>2.7477</v>
      </c>
      <c r="AD1657">
        <v>-1.10257532617999</v>
      </c>
      <c r="AE1657">
        <v>-4.7491999999999699</v>
      </c>
      <c r="AF1657">
        <v>1.91811247210026</v>
      </c>
      <c r="AG1657">
        <v>-1.10257532617999</v>
      </c>
      <c r="AH1657">
        <v>4.9126347099104599</v>
      </c>
      <c r="AI1657">
        <v>101.808512521024</v>
      </c>
      <c r="AJ1657">
        <v>68.672101168009704</v>
      </c>
      <c r="AK1657">
        <v>5.3878388615979</v>
      </c>
      <c r="AL1657">
        <v>71.025961247656198</v>
      </c>
      <c r="AM1657">
        <v>78.766597467611106</v>
      </c>
      <c r="AN1657">
        <v>1.0000000066471699</v>
      </c>
    </row>
    <row r="1658" spans="1:40" x14ac:dyDescent="0.25">
      <c r="A1658" t="str">
        <f>"20190304164122754"</f>
        <v>20190304164122754</v>
      </c>
      <c r="B1658" t="str">
        <f>"1551688882743080"</f>
        <v>1551688882743080</v>
      </c>
      <c r="C1658" t="s">
        <v>40</v>
      </c>
      <c r="D1658">
        <v>5.4628110000000003</v>
      </c>
      <c r="E1658">
        <v>0.58688680000000004</v>
      </c>
      <c r="F1658" t="s">
        <v>44</v>
      </c>
      <c r="G1658">
        <v>-197.55160000000001</v>
      </c>
      <c r="H1658" s="1">
        <v>-5.2954719999999996E-6</v>
      </c>
      <c r="I1658">
        <v>356.10140000000001</v>
      </c>
      <c r="J1658">
        <v>-200.23560000000001</v>
      </c>
      <c r="K1658">
        <v>1.1023259999999999</v>
      </c>
      <c r="L1658">
        <v>360.83569999999997</v>
      </c>
      <c r="M1658">
        <v>0.77683970000000002</v>
      </c>
      <c r="N1658">
        <v>-1.4689209999999999E-2</v>
      </c>
      <c r="O1658">
        <v>-0.6295269</v>
      </c>
      <c r="P1658">
        <v>0.60898269999999899</v>
      </c>
      <c r="Q1658">
        <v>0.31537690000000002</v>
      </c>
      <c r="R1658">
        <v>-0.72778920000000002</v>
      </c>
      <c r="S1658">
        <v>1.7229920000000001</v>
      </c>
      <c r="T1658">
        <v>-0.68228359999999899</v>
      </c>
      <c r="U1658">
        <v>-2.9850460000000001</v>
      </c>
      <c r="V1658">
        <v>0.1888726</v>
      </c>
      <c r="W1658">
        <v>0.3251406</v>
      </c>
      <c r="X1658">
        <v>0.92661249999999995</v>
      </c>
      <c r="Y1658">
        <v>0.35950090000000001</v>
      </c>
      <c r="Z1658">
        <v>8.346663E-2</v>
      </c>
      <c r="AA1658">
        <v>0.92940429999999996</v>
      </c>
      <c r="AB1658">
        <v>25</v>
      </c>
      <c r="AC1658">
        <v>2.6839999999999899</v>
      </c>
      <c r="AD1658">
        <v>-1.1023312954719999</v>
      </c>
      <c r="AE1658">
        <v>-4.7342999999999602</v>
      </c>
      <c r="AF1658">
        <v>1.9099941498742401</v>
      </c>
      <c r="AG1658">
        <v>-1.1023312954719999</v>
      </c>
      <c r="AH1658">
        <v>4.8663011464448704</v>
      </c>
      <c r="AI1658">
        <v>101.90713314644999</v>
      </c>
      <c r="AJ1658">
        <v>68.570289075772905</v>
      </c>
      <c r="AK1658">
        <v>5.3426677592211798</v>
      </c>
      <c r="AL1658">
        <v>71.025906528183896</v>
      </c>
      <c r="AM1658">
        <v>78.479151344156804</v>
      </c>
      <c r="AN1658">
        <v>0.99999999697768505</v>
      </c>
    </row>
    <row r="1659" spans="1:40" x14ac:dyDescent="0.25">
      <c r="A1659" t="str">
        <f>"20190304164122766"</f>
        <v>20190304164122766</v>
      </c>
      <c r="B1659" t="str">
        <f>"1551688882762599"</f>
        <v>1551688882762599</v>
      </c>
      <c r="C1659" t="s">
        <v>40</v>
      </c>
      <c r="D1659">
        <v>5.4692460000000001</v>
      </c>
      <c r="E1659">
        <v>0.58661359999999996</v>
      </c>
      <c r="F1659" t="s">
        <v>44</v>
      </c>
      <c r="G1659">
        <v>-197.50839999999999</v>
      </c>
      <c r="H1659" s="1">
        <v>-5.2569039999999997E-6</v>
      </c>
      <c r="I1659">
        <v>356.00639999999999</v>
      </c>
      <c r="J1659">
        <v>-200.142</v>
      </c>
      <c r="K1659">
        <v>1.1020909999999999</v>
      </c>
      <c r="L1659">
        <v>360.75119999999998</v>
      </c>
      <c r="M1659">
        <v>0.77264029999999995</v>
      </c>
      <c r="N1659">
        <v>-1.47495E-2</v>
      </c>
      <c r="O1659">
        <v>-0.63467289999999998</v>
      </c>
      <c r="P1659">
        <v>0.6010529</v>
      </c>
      <c r="Q1659">
        <v>0.31504019999999999</v>
      </c>
      <c r="R1659">
        <v>-0.7344965</v>
      </c>
      <c r="S1659">
        <v>1.6946410000000001</v>
      </c>
      <c r="T1659">
        <v>-0.6849653</v>
      </c>
      <c r="U1659">
        <v>-3.0008240000000002</v>
      </c>
      <c r="V1659">
        <v>0.19307389999999999</v>
      </c>
      <c r="W1659">
        <v>0.32465709999999998</v>
      </c>
      <c r="X1659">
        <v>0.92591590000000001</v>
      </c>
      <c r="Y1659">
        <v>0.36208119999999999</v>
      </c>
      <c r="Z1659">
        <v>8.4652900000000003E-2</v>
      </c>
      <c r="AA1659">
        <v>0.92829470000000003</v>
      </c>
      <c r="AB1659">
        <v>25</v>
      </c>
      <c r="AC1659">
        <v>2.6335999999999999</v>
      </c>
      <c r="AD1659">
        <v>-1.102096256904</v>
      </c>
      <c r="AE1659">
        <v>-4.7447999999999899</v>
      </c>
      <c r="AF1659">
        <v>1.91575115553748</v>
      </c>
      <c r="AG1659">
        <v>-1.102096256904</v>
      </c>
      <c r="AH1659">
        <v>4.8468620748894704</v>
      </c>
      <c r="AI1659">
        <v>101.940115353585</v>
      </c>
      <c r="AJ1659">
        <v>68.433294768510905</v>
      </c>
      <c r="AK1659">
        <v>5.3269870116630598</v>
      </c>
      <c r="AL1659">
        <v>71.055198373960096</v>
      </c>
      <c r="AM1659">
        <v>78.221347476847299</v>
      </c>
      <c r="AN1659">
        <v>1.0000000086572101</v>
      </c>
    </row>
    <row r="1660" spans="1:40" x14ac:dyDescent="0.25">
      <c r="A1660" t="str">
        <f>"20190304164122779"</f>
        <v>20190304164122779</v>
      </c>
      <c r="B1660" t="str">
        <f>"1551688882772361"</f>
        <v>1551688882772361</v>
      </c>
      <c r="C1660" t="s">
        <v>40</v>
      </c>
      <c r="D1660">
        <v>5.4457559999999896</v>
      </c>
      <c r="E1660">
        <v>0.58647019999999905</v>
      </c>
      <c r="F1660" t="s">
        <v>44</v>
      </c>
      <c r="G1660">
        <v>-197.46379999999999</v>
      </c>
      <c r="H1660" s="1">
        <v>-5.2149109999999999E-6</v>
      </c>
      <c r="I1660">
        <v>355.90170000000001</v>
      </c>
      <c r="J1660">
        <v>-200.02520000000001</v>
      </c>
      <c r="K1660">
        <v>1.101796</v>
      </c>
      <c r="L1660">
        <v>360.64370000000002</v>
      </c>
      <c r="M1660">
        <v>0.76713350000000002</v>
      </c>
      <c r="N1660">
        <v>-1.483071E-2</v>
      </c>
      <c r="O1660">
        <v>-0.641316</v>
      </c>
      <c r="P1660">
        <v>0.59251480000000001</v>
      </c>
      <c r="Q1660">
        <v>0.31413259999999998</v>
      </c>
      <c r="R1660">
        <v>-0.7417861</v>
      </c>
      <c r="S1660">
        <v>1.665375</v>
      </c>
      <c r="T1660">
        <v>-0.68530259999999998</v>
      </c>
      <c r="U1660">
        <v>-3.0155029999999998</v>
      </c>
      <c r="V1660">
        <v>0.1963134</v>
      </c>
      <c r="W1660">
        <v>0.3236174</v>
      </c>
      <c r="X1660">
        <v>0.92559860000000005</v>
      </c>
      <c r="Y1660">
        <v>0.362904</v>
      </c>
      <c r="Z1660">
        <v>8.6018230000000001E-2</v>
      </c>
      <c r="AA1660">
        <v>0.9278478</v>
      </c>
      <c r="AB1660">
        <v>25</v>
      </c>
      <c r="AC1660">
        <v>2.5614000000000199</v>
      </c>
      <c r="AD1660">
        <v>-1.1018012149109999</v>
      </c>
      <c r="AE1660">
        <v>-4.7420000000000098</v>
      </c>
      <c r="AF1660">
        <v>1.9152560488838399</v>
      </c>
      <c r="AG1660">
        <v>-1.1018012149109999</v>
      </c>
      <c r="AH1660">
        <v>4.80576128814584</v>
      </c>
      <c r="AI1660">
        <v>102.02301122158499</v>
      </c>
      <c r="AJ1660">
        <v>68.271070240552007</v>
      </c>
      <c r="AK1660">
        <v>5.2893773932861601</v>
      </c>
      <c r="AL1660">
        <v>71.118167806910293</v>
      </c>
      <c r="AM1660">
        <v>78.0253897494987</v>
      </c>
      <c r="AN1660">
        <v>0.99999997046213895</v>
      </c>
    </row>
    <row r="1661" spans="1:40" x14ac:dyDescent="0.25">
      <c r="A1661" t="str">
        <f>"20190304164122795"</f>
        <v>20190304164122795</v>
      </c>
      <c r="B1661" t="str">
        <f>"1551688882782119"</f>
        <v>1551688882782119</v>
      </c>
      <c r="C1661" t="s">
        <v>40</v>
      </c>
      <c r="D1661">
        <v>5.5116829999999997</v>
      </c>
      <c r="E1661">
        <v>0.58624279999999995</v>
      </c>
      <c r="F1661" t="s">
        <v>44</v>
      </c>
      <c r="G1661">
        <v>-197.4128</v>
      </c>
      <c r="H1661" s="1">
        <v>-5.1513979999999999E-6</v>
      </c>
      <c r="I1661">
        <v>355.78019999999998</v>
      </c>
      <c r="J1661">
        <v>-199.89959999999999</v>
      </c>
      <c r="K1661">
        <v>1.1014699999999999</v>
      </c>
      <c r="L1661">
        <v>360.52519999999998</v>
      </c>
      <c r="M1661">
        <v>0.76084490000000005</v>
      </c>
      <c r="N1661">
        <v>-1.49252E-2</v>
      </c>
      <c r="O1661">
        <v>-0.64876219999999996</v>
      </c>
      <c r="P1661">
        <v>0.58191419999999905</v>
      </c>
      <c r="Q1661">
        <v>0.3128379</v>
      </c>
      <c r="R1661">
        <v>-0.75067220000000001</v>
      </c>
      <c r="S1661">
        <v>1.6295010000000001</v>
      </c>
      <c r="T1661">
        <v>-0.68726369999999903</v>
      </c>
      <c r="U1661">
        <v>-3.0336910000000001</v>
      </c>
      <c r="V1661">
        <v>0.20109009999999999</v>
      </c>
      <c r="W1661">
        <v>0.32215070000000001</v>
      </c>
      <c r="X1661">
        <v>0.92508469999999998</v>
      </c>
      <c r="Y1661">
        <v>0.3647088</v>
      </c>
      <c r="Z1661">
        <v>8.7685180000000001E-2</v>
      </c>
      <c r="AA1661">
        <v>0.92698369999999997</v>
      </c>
      <c r="AB1661">
        <v>25</v>
      </c>
      <c r="AC1661">
        <v>2.4867999999999801</v>
      </c>
      <c r="AD1661">
        <v>-1.1014751513979999</v>
      </c>
      <c r="AE1661">
        <v>-4.7450000000000001</v>
      </c>
      <c r="AF1661">
        <v>1.9160876827921201</v>
      </c>
      <c r="AG1661">
        <v>-1.1014751513979999</v>
      </c>
      <c r="AH1661">
        <v>4.7693756491722201</v>
      </c>
      <c r="AI1661">
        <v>102.09553431742</v>
      </c>
      <c r="AJ1661">
        <v>68.112298040918802</v>
      </c>
      <c r="AK1661">
        <v>5.2565752729521398</v>
      </c>
      <c r="AL1661">
        <v>71.206959961175798</v>
      </c>
      <c r="AM1661">
        <v>77.736129329185204</v>
      </c>
      <c r="AN1661">
        <v>1.00000000200129</v>
      </c>
    </row>
    <row r="1662" spans="1:40" x14ac:dyDescent="0.25">
      <c r="A1662" t="str">
        <f>"20190304164122808"</f>
        <v>20190304164122808</v>
      </c>
      <c r="B1662" t="str">
        <f>"1551688882802616"</f>
        <v>1551688882802616</v>
      </c>
      <c r="C1662" t="s">
        <v>40</v>
      </c>
      <c r="D1662">
        <v>5.5295100000000001</v>
      </c>
      <c r="E1662">
        <v>0.5858508</v>
      </c>
      <c r="F1662" t="s">
        <v>44</v>
      </c>
      <c r="G1662">
        <v>-197.37010000000001</v>
      </c>
      <c r="H1662" s="1">
        <v>-5.068338E-6</v>
      </c>
      <c r="I1662">
        <v>355.62220000000002</v>
      </c>
      <c r="J1662">
        <v>-199.79239999999999</v>
      </c>
      <c r="K1662">
        <v>1.1012029999999999</v>
      </c>
      <c r="L1662">
        <v>360.42200000000003</v>
      </c>
      <c r="M1662">
        <v>0.755216</v>
      </c>
      <c r="N1662">
        <v>-1.5008860000000001E-2</v>
      </c>
      <c r="O1662">
        <v>-0.65530440000000001</v>
      </c>
      <c r="P1662">
        <v>0.57414540000000003</v>
      </c>
      <c r="Q1662">
        <v>0.31313780000000002</v>
      </c>
      <c r="R1662">
        <v>-0.75650629999999996</v>
      </c>
      <c r="S1662">
        <v>1.5784</v>
      </c>
      <c r="T1662">
        <v>-0.68729580000000001</v>
      </c>
      <c r="U1662">
        <v>-3.059326</v>
      </c>
      <c r="V1662">
        <v>0.20277220000000001</v>
      </c>
      <c r="W1662">
        <v>0.322357</v>
      </c>
      <c r="X1662">
        <v>0.92464550000000001</v>
      </c>
      <c r="Y1662">
        <v>0.3720176</v>
      </c>
      <c r="Z1662">
        <v>8.8412679999999993E-2</v>
      </c>
      <c r="AA1662">
        <v>0.92400539999999998</v>
      </c>
      <c r="AB1662">
        <v>25</v>
      </c>
      <c r="AC1662">
        <v>2.4222999999999701</v>
      </c>
      <c r="AD1662">
        <v>-1.1012080683379999</v>
      </c>
      <c r="AE1662">
        <v>-4.7997999999999399</v>
      </c>
      <c r="AF1662">
        <v>1.95572385183724</v>
      </c>
      <c r="AG1662">
        <v>-1.1012080683379999</v>
      </c>
      <c r="AH1662">
        <v>4.7749297370578097</v>
      </c>
      <c r="AI1662">
        <v>102.047082507434</v>
      </c>
      <c r="AJ1662">
        <v>67.726891506222501</v>
      </c>
      <c r="AK1662">
        <v>5.2761225334763404</v>
      </c>
      <c r="AL1662">
        <v>71.194472740455694</v>
      </c>
      <c r="AM1662">
        <v>77.6309938100718</v>
      </c>
      <c r="AN1662">
        <v>0.99999995060604296</v>
      </c>
    </row>
    <row r="1663" spans="1:40" x14ac:dyDescent="0.25">
      <c r="A1663" t="str">
        <f>"20190304164122821"</f>
        <v>20190304164122821</v>
      </c>
      <c r="B1663" t="str">
        <f>"1551688882812377"</f>
        <v>1551688882812377</v>
      </c>
      <c r="C1663" t="s">
        <v>40</v>
      </c>
      <c r="D1663">
        <v>5.4812810000000001</v>
      </c>
      <c r="E1663">
        <v>0.58570129999999998</v>
      </c>
      <c r="F1663" t="s">
        <v>44</v>
      </c>
      <c r="G1663">
        <v>-197.2989</v>
      </c>
      <c r="H1663" s="1">
        <v>-4.9702409999999999E-6</v>
      </c>
      <c r="I1663">
        <v>355.44549999999998</v>
      </c>
      <c r="J1663">
        <v>-199.68190000000001</v>
      </c>
      <c r="K1663">
        <v>1.100924</v>
      </c>
      <c r="L1663">
        <v>360.31389999999999</v>
      </c>
      <c r="M1663">
        <v>0.74916870000000002</v>
      </c>
      <c r="N1663">
        <v>-1.5097050000000001E-2</v>
      </c>
      <c r="O1663">
        <v>-0.66220730000000005</v>
      </c>
      <c r="P1663">
        <v>0.56590589999999996</v>
      </c>
      <c r="Q1663">
        <v>0.31342439999999999</v>
      </c>
      <c r="R1663">
        <v>-0.76257209999999997</v>
      </c>
      <c r="S1663">
        <v>1.5419160000000001</v>
      </c>
      <c r="T1663">
        <v>-0.68095240000000001</v>
      </c>
      <c r="U1663">
        <v>-3.0773009999999998</v>
      </c>
      <c r="V1663">
        <v>0.20446039999999999</v>
      </c>
      <c r="W1663">
        <v>0.32254650000000001</v>
      </c>
      <c r="X1663">
        <v>0.92420760000000002</v>
      </c>
      <c r="Y1663">
        <v>0.37440899999999999</v>
      </c>
      <c r="Z1663">
        <v>8.8725020000000002E-2</v>
      </c>
      <c r="AA1663">
        <v>0.92300910000000003</v>
      </c>
      <c r="AB1663">
        <v>25</v>
      </c>
      <c r="AC1663">
        <v>2.383</v>
      </c>
      <c r="AD1663">
        <v>-1.1009289702409999</v>
      </c>
      <c r="AE1663">
        <v>-4.8684000000000003</v>
      </c>
      <c r="AF1663">
        <v>1.9874578694635301</v>
      </c>
      <c r="AG1663">
        <v>-1.1009289702409999</v>
      </c>
      <c r="AH1663">
        <v>4.8112461125147101</v>
      </c>
      <c r="AI1663">
        <v>101.94152530042599</v>
      </c>
      <c r="AJ1663">
        <v>67.555170935860303</v>
      </c>
      <c r="AK1663">
        <v>5.3207257527142202</v>
      </c>
      <c r="AL1663">
        <v>71.183003362596196</v>
      </c>
      <c r="AM1663">
        <v>77.525499507057503</v>
      </c>
      <c r="AN1663">
        <v>0.999999993864085</v>
      </c>
    </row>
    <row r="1664" spans="1:40" x14ac:dyDescent="0.25">
      <c r="A1664" t="str">
        <f>"20190304164122833"</f>
        <v>20190304164122833</v>
      </c>
      <c r="B1664" t="str">
        <f>"1551688882822135"</f>
        <v>1551688882822135</v>
      </c>
      <c r="C1664" t="s">
        <v>40</v>
      </c>
      <c r="D1664">
        <v>5.4726189999999999</v>
      </c>
      <c r="E1664">
        <v>0.58556969999999997</v>
      </c>
      <c r="F1664" t="s">
        <v>44</v>
      </c>
      <c r="G1664">
        <v>-197.2321</v>
      </c>
      <c r="H1664" s="1">
        <v>-4.8791219999999998E-6</v>
      </c>
      <c r="I1664">
        <v>355.2817</v>
      </c>
      <c r="J1664">
        <v>-199.5925</v>
      </c>
      <c r="K1664">
        <v>1.1006990000000001</v>
      </c>
      <c r="L1664">
        <v>360.22370000000001</v>
      </c>
      <c r="M1664">
        <v>0.74393790000000004</v>
      </c>
      <c r="N1664">
        <v>-1.5177390000000001E-2</v>
      </c>
      <c r="O1664">
        <v>-0.66807640000000001</v>
      </c>
      <c r="P1664">
        <v>0.55832139999999997</v>
      </c>
      <c r="Q1664">
        <v>0.31338500000000002</v>
      </c>
      <c r="R1664">
        <v>-0.76815829999999996</v>
      </c>
      <c r="S1664">
        <v>1.5063930000000001</v>
      </c>
      <c r="T1664">
        <v>-0.67696519999999905</v>
      </c>
      <c r="U1664">
        <v>-3.0943299999999998</v>
      </c>
      <c r="V1664">
        <v>0.2065496</v>
      </c>
      <c r="W1664">
        <v>0.32241649999999999</v>
      </c>
      <c r="X1664">
        <v>0.92378830000000001</v>
      </c>
      <c r="Y1664">
        <v>0.377668</v>
      </c>
      <c r="Z1664">
        <v>8.9070739999999995E-2</v>
      </c>
      <c r="AA1664">
        <v>0.92164710000000005</v>
      </c>
      <c r="AB1664">
        <v>25</v>
      </c>
      <c r="AC1664">
        <v>2.3603999999999901</v>
      </c>
      <c r="AD1664">
        <v>-1.1007038791220001</v>
      </c>
      <c r="AE1664">
        <v>-4.9420000000000002</v>
      </c>
      <c r="AF1664">
        <v>2.01833117704071</v>
      </c>
      <c r="AG1664">
        <v>-1.1007038791220001</v>
      </c>
      <c r="AH1664">
        <v>4.8618286464332598</v>
      </c>
      <c r="AI1664">
        <v>101.810119374026</v>
      </c>
      <c r="AJ1664">
        <v>67.454791517032206</v>
      </c>
      <c r="AK1664">
        <v>5.3779724392197998</v>
      </c>
      <c r="AL1664">
        <v>71.190871929574499</v>
      </c>
      <c r="AM1664">
        <v>77.396547314145707</v>
      </c>
      <c r="AN1664">
        <v>0.99999997997464896</v>
      </c>
    </row>
    <row r="1665" spans="1:40" x14ac:dyDescent="0.25">
      <c r="A1665" t="str">
        <f>"20190304164122845"</f>
        <v>20190304164122845</v>
      </c>
      <c r="B1665" t="str">
        <f>"1551688882842632"</f>
        <v>1551688882842632</v>
      </c>
      <c r="C1665" t="s">
        <v>40</v>
      </c>
      <c r="D1665">
        <v>5.4915390000000004</v>
      </c>
      <c r="E1665">
        <v>0.58515229999999996</v>
      </c>
      <c r="F1665" t="s">
        <v>44</v>
      </c>
      <c r="G1665">
        <v>-197.18799999999999</v>
      </c>
      <c r="H1665" s="1">
        <v>-4.81658399999999E-6</v>
      </c>
      <c r="I1665">
        <v>355.16849999999999</v>
      </c>
      <c r="J1665">
        <v>-199.49510000000001</v>
      </c>
      <c r="K1665">
        <v>1.100449</v>
      </c>
      <c r="L1665">
        <v>360.12430000000001</v>
      </c>
      <c r="M1665">
        <v>0.73808469999999904</v>
      </c>
      <c r="N1665">
        <v>-1.526535E-2</v>
      </c>
      <c r="O1665">
        <v>-0.67453540000000001</v>
      </c>
      <c r="P1665">
        <v>0.5501414</v>
      </c>
      <c r="Q1665">
        <v>0.31264989999999998</v>
      </c>
      <c r="R1665">
        <v>-0.77433509999999905</v>
      </c>
      <c r="S1665">
        <v>1.4779819999999999</v>
      </c>
      <c r="T1665">
        <v>-0.67655189999999998</v>
      </c>
      <c r="U1665">
        <v>-3.107208</v>
      </c>
      <c r="V1665">
        <v>0.208699</v>
      </c>
      <c r="W1665">
        <v>0.32158680000000001</v>
      </c>
      <c r="X1665">
        <v>0.92359440000000004</v>
      </c>
      <c r="Y1665">
        <v>0.377996</v>
      </c>
      <c r="Z1665">
        <v>9.0318839999999997E-2</v>
      </c>
      <c r="AA1665">
        <v>0.92139110000000002</v>
      </c>
      <c r="AB1665">
        <v>25</v>
      </c>
      <c r="AC1665">
        <v>2.3071000000000201</v>
      </c>
      <c r="AD1665">
        <v>-1.1004538165840001</v>
      </c>
      <c r="AE1665">
        <v>-4.9558000000000098</v>
      </c>
      <c r="AF1665">
        <v>2.0199650501252799</v>
      </c>
      <c r="AG1665">
        <v>-1.1004538165840001</v>
      </c>
      <c r="AH1665">
        <v>4.8497489304861103</v>
      </c>
      <c r="AI1665">
        <v>101.830503966709</v>
      </c>
      <c r="AJ1665">
        <v>67.387822986720195</v>
      </c>
      <c r="AK1665">
        <v>5.3676179162560702</v>
      </c>
      <c r="AL1665">
        <v>71.241084596738801</v>
      </c>
      <c r="AM1665">
        <v>77.267060701336106</v>
      </c>
      <c r="AN1665">
        <v>0.99999997912329897</v>
      </c>
    </row>
    <row r="1666" spans="1:40" x14ac:dyDescent="0.25">
      <c r="A1666" t="str">
        <f>"20190304164122861"</f>
        <v>20190304164122861</v>
      </c>
      <c r="B1666" t="str">
        <f>"1551688882852392"</f>
        <v>1551688882852392</v>
      </c>
      <c r="C1666" t="s">
        <v>40</v>
      </c>
      <c r="D1666">
        <v>5.4762180000000003</v>
      </c>
      <c r="E1666">
        <v>0.58492200000000005</v>
      </c>
      <c r="F1666" t="s">
        <v>44</v>
      </c>
      <c r="G1666">
        <v>-197.14510000000001</v>
      </c>
      <c r="H1666" s="1">
        <v>-4.7643740000000002E-6</v>
      </c>
      <c r="I1666">
        <v>355.07679999999999</v>
      </c>
      <c r="J1666">
        <v>-199.3708</v>
      </c>
      <c r="K1666">
        <v>1.100133</v>
      </c>
      <c r="L1666">
        <v>359.99439999999998</v>
      </c>
      <c r="M1666">
        <v>0.73022039999999999</v>
      </c>
      <c r="N1666">
        <v>-1.5386550000000001E-2</v>
      </c>
      <c r="O1666">
        <v>-0.68303859999999905</v>
      </c>
      <c r="P1666">
        <v>0.53915429999999998</v>
      </c>
      <c r="Q1666">
        <v>0.30992249999999999</v>
      </c>
      <c r="R1666">
        <v>-0.78310999999999997</v>
      </c>
      <c r="S1666">
        <v>1.451416</v>
      </c>
      <c r="T1666">
        <v>-0.67966340000000003</v>
      </c>
      <c r="U1666">
        <v>-3.1174620000000002</v>
      </c>
      <c r="V1666">
        <v>0.21201980000000001</v>
      </c>
      <c r="W1666">
        <v>0.31873499999999999</v>
      </c>
      <c r="X1666">
        <v>0.92382660000000005</v>
      </c>
      <c r="Y1666">
        <v>0.375</v>
      </c>
      <c r="Z1666">
        <v>9.2839060000000001E-2</v>
      </c>
      <c r="AA1666">
        <v>0.92236439999999997</v>
      </c>
      <c r="AB1666">
        <v>24</v>
      </c>
      <c r="AC1666">
        <v>2.2256999999999798</v>
      </c>
      <c r="AD1666">
        <v>-1.100137764374</v>
      </c>
      <c r="AE1666">
        <v>-4.9175999999999904</v>
      </c>
      <c r="AF1666">
        <v>1.9883438003137099</v>
      </c>
      <c r="AG1666">
        <v>-1.100137764374</v>
      </c>
      <c r="AH1666">
        <v>4.7859478762448102</v>
      </c>
      <c r="AI1666">
        <v>101.984694276532</v>
      </c>
      <c r="AJ1666">
        <v>67.439336344594096</v>
      </c>
      <c r="AK1666">
        <v>5.2980289960493803</v>
      </c>
      <c r="AL1666">
        <v>71.413559542809395</v>
      </c>
      <c r="AM1666">
        <v>77.074353023686299</v>
      </c>
      <c r="AN1666">
        <v>0.9999999913423</v>
      </c>
    </row>
    <row r="1667" spans="1:40" x14ac:dyDescent="0.25">
      <c r="A1667" t="str">
        <f>"20190304164122872"</f>
        <v>20190304164122872</v>
      </c>
      <c r="B1667" t="str">
        <f>"1551688882862152"</f>
        <v>1551688882862152</v>
      </c>
      <c r="C1667" t="s">
        <v>40</v>
      </c>
      <c r="D1667">
        <v>5.4862690000000001</v>
      </c>
      <c r="E1667">
        <v>0.58469369999999998</v>
      </c>
      <c r="F1667" t="s">
        <v>44</v>
      </c>
      <c r="G1667">
        <v>-197.1225</v>
      </c>
      <c r="H1667" s="1">
        <v>-4.7333360000000002E-6</v>
      </c>
      <c r="I1667">
        <v>355.02089999999998</v>
      </c>
      <c r="J1667">
        <v>-199.2834</v>
      </c>
      <c r="K1667">
        <v>1.0999159999999999</v>
      </c>
      <c r="L1667">
        <v>359.90010000000001</v>
      </c>
      <c r="M1667">
        <v>0.72432280000000004</v>
      </c>
      <c r="N1667">
        <v>-1.5481719999999999E-2</v>
      </c>
      <c r="O1667">
        <v>-0.68928719999999999</v>
      </c>
      <c r="P1667">
        <v>0.53293970000000002</v>
      </c>
      <c r="Q1667">
        <v>0.3085446</v>
      </c>
      <c r="R1667">
        <v>-0.78789319999999996</v>
      </c>
      <c r="S1667">
        <v>1.4152370000000001</v>
      </c>
      <c r="T1667">
        <v>-0.69248969999999999</v>
      </c>
      <c r="U1667">
        <v>-3.1306150000000001</v>
      </c>
      <c r="V1667">
        <v>0.21191389999999999</v>
      </c>
      <c r="W1667">
        <v>0.31734800000000002</v>
      </c>
      <c r="X1667">
        <v>0.92432829999999999</v>
      </c>
      <c r="Y1667">
        <v>0.3774266</v>
      </c>
      <c r="Z1667">
        <v>9.5964869999999994E-2</v>
      </c>
      <c r="AA1667">
        <v>0.92105369999999998</v>
      </c>
      <c r="AB1667">
        <v>24</v>
      </c>
      <c r="AC1667">
        <v>2.1608999999999901</v>
      </c>
      <c r="AD1667">
        <v>-1.0999207333359999</v>
      </c>
      <c r="AE1667">
        <v>-4.8792000000000204</v>
      </c>
      <c r="AF1667">
        <v>1.9615426556240301</v>
      </c>
      <c r="AG1667">
        <v>-1.0999207333359999</v>
      </c>
      <c r="AH1667">
        <v>4.7280744144283799</v>
      </c>
      <c r="AI1667">
        <v>102.127183022309</v>
      </c>
      <c r="AJ1667">
        <v>67.467837956786994</v>
      </c>
      <c r="AK1667">
        <v>5.2356626016032903</v>
      </c>
      <c r="AL1667">
        <v>71.497381826516303</v>
      </c>
      <c r="AM1667">
        <v>77.087369673180902</v>
      </c>
      <c r="AN1667">
        <v>1.0000000301490399</v>
      </c>
    </row>
    <row r="1668" spans="1:40" x14ac:dyDescent="0.25">
      <c r="A1668" t="str">
        <f>"20190304164122885"</f>
        <v>20190304164122885</v>
      </c>
      <c r="B1668" t="str">
        <f>"1551688882872887"</f>
        <v>1551688882872887</v>
      </c>
      <c r="C1668" t="s">
        <v>40</v>
      </c>
      <c r="D1668">
        <v>5.5238259999999997</v>
      </c>
      <c r="E1668">
        <v>0.58469369999999998</v>
      </c>
      <c r="F1668" t="s">
        <v>44</v>
      </c>
      <c r="G1668">
        <v>-197.0873</v>
      </c>
      <c r="H1668" s="1">
        <v>-4.6901199999999897E-6</v>
      </c>
      <c r="I1668">
        <v>354.94490000000002</v>
      </c>
      <c r="J1668">
        <v>-199.19049999999999</v>
      </c>
      <c r="K1668">
        <v>1.0996900000000001</v>
      </c>
      <c r="L1668">
        <v>359.79880000000003</v>
      </c>
      <c r="M1668">
        <v>0.71789709999999995</v>
      </c>
      <c r="N1668">
        <v>-1.558233E-2</v>
      </c>
      <c r="O1668">
        <v>-0.69597509999999996</v>
      </c>
      <c r="P1668">
        <v>0.52659690000000003</v>
      </c>
      <c r="Q1668">
        <v>0.30813089999999999</v>
      </c>
      <c r="R1668">
        <v>-0.79230789999999995</v>
      </c>
      <c r="S1668">
        <v>1.3913879999999901</v>
      </c>
      <c r="T1668">
        <v>-0.696870199999999</v>
      </c>
      <c r="U1668">
        <v>-3.1394039999999999</v>
      </c>
      <c r="V1668">
        <v>0.211038</v>
      </c>
      <c r="W1668">
        <v>0.31694460000000002</v>
      </c>
      <c r="X1668">
        <v>0.92466700000000002</v>
      </c>
      <c r="Y1668">
        <v>0.37573790000000001</v>
      </c>
      <c r="Z1668">
        <v>9.8246050000000001E-2</v>
      </c>
      <c r="AA1668">
        <v>0.92150350000000003</v>
      </c>
      <c r="AB1668">
        <v>24</v>
      </c>
      <c r="AC1668">
        <v>2.1031999999999802</v>
      </c>
      <c r="AD1668">
        <v>-1.09969469012</v>
      </c>
      <c r="AE1668">
        <v>-4.8539000000000003</v>
      </c>
      <c r="AF1668">
        <v>1.93734779930658</v>
      </c>
      <c r="AG1668">
        <v>-1.09969469012</v>
      </c>
      <c r="AH1668">
        <v>4.6861537073296597</v>
      </c>
      <c r="AI1668">
        <v>102.236066662616</v>
      </c>
      <c r="AJ1668">
        <v>67.538839547551305</v>
      </c>
      <c r="AK1668">
        <v>5.18870711022271</v>
      </c>
      <c r="AL1668">
        <v>71.521752279447696</v>
      </c>
      <c r="AM1668">
        <v>77.143517288839206</v>
      </c>
      <c r="AN1668">
        <v>0.999999988901079</v>
      </c>
    </row>
    <row r="1669" spans="1:40" x14ac:dyDescent="0.25">
      <c r="A1669" t="str">
        <f>"20190304164122897"</f>
        <v>20190304164122897</v>
      </c>
      <c r="B1669" t="str">
        <f>"1551688882882648"</f>
        <v>1551688882882648</v>
      </c>
      <c r="C1669" t="s">
        <v>40</v>
      </c>
      <c r="D1669">
        <v>5.4190399999999999</v>
      </c>
      <c r="E1669">
        <v>0.57747789999999999</v>
      </c>
      <c r="F1669" t="s">
        <v>44</v>
      </c>
      <c r="G1669">
        <v>-197.04060000000001</v>
      </c>
      <c r="H1669" s="1">
        <v>-4.6287159999999998E-6</v>
      </c>
      <c r="I1669">
        <v>354.83530000000002</v>
      </c>
      <c r="J1669">
        <v>-199.09899999999999</v>
      </c>
      <c r="K1669">
        <v>1.0994740000000001</v>
      </c>
      <c r="L1669">
        <v>359.69630000000001</v>
      </c>
      <c r="M1669">
        <v>0.71124509999999996</v>
      </c>
      <c r="N1669">
        <v>-1.5687090000000001E-2</v>
      </c>
      <c r="O1669">
        <v>-0.70276919999999898</v>
      </c>
      <c r="P1669">
        <v>0.51971880000000004</v>
      </c>
      <c r="Q1669">
        <v>0.30865199999999998</v>
      </c>
      <c r="R1669">
        <v>-0.79663439999999996</v>
      </c>
      <c r="S1669">
        <v>1.3647769999999999</v>
      </c>
      <c r="T1669">
        <v>-0.69808769999999998</v>
      </c>
      <c r="U1669">
        <v>-3.1508180000000001</v>
      </c>
      <c r="V1669">
        <v>0.21028839999999999</v>
      </c>
      <c r="W1669">
        <v>0.31747589999999998</v>
      </c>
      <c r="X1669">
        <v>0.92465549999999996</v>
      </c>
      <c r="Y1669">
        <v>0.3747682</v>
      </c>
      <c r="Z1669">
        <v>9.9963640000000006E-2</v>
      </c>
      <c r="AA1669">
        <v>0.92171369999999997</v>
      </c>
      <c r="AB1669">
        <v>24</v>
      </c>
      <c r="AC1669">
        <v>2.0583999999999998</v>
      </c>
      <c r="AD1669">
        <v>-1.0994786287160001</v>
      </c>
      <c r="AE1669">
        <v>-4.86099999999999</v>
      </c>
      <c r="AF1669">
        <v>1.9274173594708</v>
      </c>
      <c r="AG1669">
        <v>-1.0994786287160001</v>
      </c>
      <c r="AH1669">
        <v>4.6778604591777802</v>
      </c>
      <c r="AI1669">
        <v>102.260595520519</v>
      </c>
      <c r="AJ1669">
        <v>67.606885067377704</v>
      </c>
      <c r="AK1669">
        <v>5.1774674705044301</v>
      </c>
      <c r="AL1669">
        <v>71.489653037914493</v>
      </c>
      <c r="AM1669">
        <v>77.187519273186396</v>
      </c>
      <c r="AN1669">
        <v>0.99999997596780899</v>
      </c>
    </row>
    <row r="1670" spans="1:40" x14ac:dyDescent="0.25">
      <c r="A1670" t="str">
        <f>"20190304164122909"</f>
        <v>20190304164122909</v>
      </c>
      <c r="B1670" t="str">
        <f>"1551688882902168"</f>
        <v>1551688882902168</v>
      </c>
      <c r="C1670" t="s">
        <v>40</v>
      </c>
      <c r="D1670">
        <v>5.4884040000000001</v>
      </c>
      <c r="E1670">
        <v>0.57778879999999999</v>
      </c>
      <c r="F1670" t="s">
        <v>44</v>
      </c>
      <c r="G1670">
        <v>-196.87909999999999</v>
      </c>
      <c r="H1670" s="1">
        <v>-4.5163209999999901E-6</v>
      </c>
      <c r="I1670">
        <v>354.67090000000002</v>
      </c>
      <c r="J1670">
        <v>-199.0121</v>
      </c>
      <c r="K1670">
        <v>1.0992729999999999</v>
      </c>
      <c r="L1670">
        <v>359.59679999999997</v>
      </c>
      <c r="M1670">
        <v>0.70465679999999997</v>
      </c>
      <c r="N1670">
        <v>-1.5788799999999999E-2</v>
      </c>
      <c r="O1670">
        <v>-0.70937280000000003</v>
      </c>
      <c r="P1670">
        <v>0.51249259999999996</v>
      </c>
      <c r="Q1670">
        <v>0.3095714</v>
      </c>
      <c r="R1670">
        <v>-0.80094779999999999</v>
      </c>
      <c r="S1670">
        <v>1.382309</v>
      </c>
      <c r="T1670">
        <v>-0.68462719999999999</v>
      </c>
      <c r="U1670">
        <v>-3.1292420000000001</v>
      </c>
      <c r="V1670">
        <v>0.2099596</v>
      </c>
      <c r="W1670">
        <v>0.31839600000000001</v>
      </c>
      <c r="X1670">
        <v>0.92441390000000001</v>
      </c>
      <c r="Y1670">
        <v>0.35957719999999999</v>
      </c>
      <c r="Z1670">
        <v>0.1008913</v>
      </c>
      <c r="AA1670">
        <v>0.92764500000000005</v>
      </c>
      <c r="AB1670">
        <v>24</v>
      </c>
      <c r="AC1670">
        <v>2.133</v>
      </c>
      <c r="AD1670">
        <v>-1.099277516321</v>
      </c>
      <c r="AE1670">
        <v>-4.9258999999999498</v>
      </c>
      <c r="AF1670">
        <v>1.8794020922617001</v>
      </c>
      <c r="AG1670">
        <v>-1.099277516321</v>
      </c>
      <c r="AH1670">
        <v>4.7967868007926597</v>
      </c>
      <c r="AI1670">
        <v>102.044928160178</v>
      </c>
      <c r="AJ1670">
        <v>68.604536380249002</v>
      </c>
      <c r="AK1670">
        <v>5.2678009543399797</v>
      </c>
      <c r="AL1670">
        <v>71.434051543462502</v>
      </c>
      <c r="AM1670">
        <v>77.203659256912104</v>
      </c>
      <c r="AN1670">
        <v>1.00000005248068</v>
      </c>
    </row>
    <row r="1671" spans="1:40" x14ac:dyDescent="0.25">
      <c r="A1671" t="str">
        <f>"20190304164122920"</f>
        <v>20190304164122920</v>
      </c>
      <c r="B1671" t="str">
        <f>"1551688882912904"</f>
        <v>1551688882912904</v>
      </c>
      <c r="C1671" t="s">
        <v>40</v>
      </c>
      <c r="D1671">
        <v>5.3223140000000004</v>
      </c>
      <c r="E1671">
        <v>0.57815589999999994</v>
      </c>
      <c r="F1671" t="s">
        <v>44</v>
      </c>
      <c r="G1671">
        <v>-196.79580000000001</v>
      </c>
      <c r="H1671" s="1">
        <v>-4.3875729999999996E-6</v>
      </c>
      <c r="I1671">
        <v>354.44650000000001</v>
      </c>
      <c r="J1671">
        <v>-198.92339999999999</v>
      </c>
      <c r="K1671">
        <v>1.099078</v>
      </c>
      <c r="L1671">
        <v>359.49369999999999</v>
      </c>
      <c r="M1671">
        <v>0.69772819999999902</v>
      </c>
      <c r="N1671">
        <v>-1.5892420000000001E-2</v>
      </c>
      <c r="O1671">
        <v>-0.71618649999999995</v>
      </c>
      <c r="P1671">
        <v>0.50376529999999997</v>
      </c>
      <c r="Q1671">
        <v>0.31119839999999999</v>
      </c>
      <c r="R1671">
        <v>-0.80583870000000002</v>
      </c>
      <c r="S1671">
        <v>1.3511959999999901</v>
      </c>
      <c r="T1671">
        <v>-0.67020150000000001</v>
      </c>
      <c r="U1671">
        <v>-3.140015</v>
      </c>
      <c r="V1671">
        <v>0.21078920000000001</v>
      </c>
      <c r="W1671">
        <v>0.3199843</v>
      </c>
      <c r="X1671">
        <v>0.92367630000000001</v>
      </c>
      <c r="Y1671">
        <v>0.35937350000000001</v>
      </c>
      <c r="Z1671">
        <v>0.10003339999999999</v>
      </c>
      <c r="AA1671">
        <v>0.9278168</v>
      </c>
      <c r="AB1671">
        <v>24</v>
      </c>
      <c r="AC1671">
        <v>2.12759999999997</v>
      </c>
      <c r="AD1671">
        <v>-1.099082387573</v>
      </c>
      <c r="AE1671">
        <v>-5.0471999999999699</v>
      </c>
      <c r="AF1671">
        <v>1.92072951792828</v>
      </c>
      <c r="AG1671">
        <v>-1.099082387573</v>
      </c>
      <c r="AH1671">
        <v>4.9024691192157404</v>
      </c>
      <c r="AI1671">
        <v>101.79065200067301</v>
      </c>
      <c r="AJ1671">
        <v>68.605340543607696</v>
      </c>
      <c r="AK1671">
        <v>5.3787905183766203</v>
      </c>
      <c r="AL1671">
        <v>71.338024061640795</v>
      </c>
      <c r="AM1671">
        <v>77.144855146425797</v>
      </c>
      <c r="AN1671">
        <v>0.99999997313240896</v>
      </c>
    </row>
    <row r="1672" spans="1:40" x14ac:dyDescent="0.25">
      <c r="A1672" t="str">
        <f>"20190304164122935"</f>
        <v>20190304164122935</v>
      </c>
      <c r="B1672" t="str">
        <f>"1551688882932424"</f>
        <v>1551688882932424</v>
      </c>
      <c r="C1672" t="s">
        <v>40</v>
      </c>
      <c r="D1672">
        <v>5.7232560000000001</v>
      </c>
      <c r="E1672">
        <v>0.57892140000000003</v>
      </c>
      <c r="F1672" t="s">
        <v>44</v>
      </c>
      <c r="G1672">
        <v>-196.72229999999999</v>
      </c>
      <c r="H1672" s="1">
        <v>-4.264155E-6</v>
      </c>
      <c r="I1672">
        <v>354.23360000000002</v>
      </c>
      <c r="J1672">
        <v>-198.82550000000001</v>
      </c>
      <c r="K1672">
        <v>1.0988739999999999</v>
      </c>
      <c r="L1672">
        <v>359.37610000000001</v>
      </c>
      <c r="M1672">
        <v>0.68963399999999997</v>
      </c>
      <c r="N1672">
        <v>-1.6011310000000001E-2</v>
      </c>
      <c r="O1672">
        <v>-0.72398119999999999</v>
      </c>
      <c r="P1672">
        <v>0.49310199999999998</v>
      </c>
      <c r="Q1672">
        <v>0.31262200000000001</v>
      </c>
      <c r="R1672">
        <v>-0.81186099999999894</v>
      </c>
      <c r="S1672">
        <v>1.319153</v>
      </c>
      <c r="T1672">
        <v>-0.65870689999999998</v>
      </c>
      <c r="U1672">
        <v>-3.1525270000000001</v>
      </c>
      <c r="V1672">
        <v>0.212424</v>
      </c>
      <c r="W1672">
        <v>0.32135330000000001</v>
      </c>
      <c r="X1672">
        <v>0.92282609999999998</v>
      </c>
      <c r="Y1672">
        <v>0.35821209999999998</v>
      </c>
      <c r="Z1672">
        <v>9.9820309999999995E-2</v>
      </c>
      <c r="AA1672">
        <v>0.92828880000000003</v>
      </c>
      <c r="AB1672">
        <v>24</v>
      </c>
      <c r="AC1672">
        <v>2.10320000000001</v>
      </c>
      <c r="AD1672">
        <v>-1.0988782641549999</v>
      </c>
      <c r="AE1672">
        <v>-5.1424999999999796</v>
      </c>
      <c r="AF1672">
        <v>1.94782907471218</v>
      </c>
      <c r="AG1672">
        <v>-1.0988782641549999</v>
      </c>
      <c r="AH1672">
        <v>4.9793890601529904</v>
      </c>
      <c r="AI1672">
        <v>101.613739447309</v>
      </c>
      <c r="AJ1672">
        <v>68.635639750353704</v>
      </c>
      <c r="AK1672">
        <v>5.4585608869094502</v>
      </c>
      <c r="AL1672">
        <v>71.255212637815802</v>
      </c>
      <c r="AM1672">
        <v>77.0369756721785</v>
      </c>
      <c r="AN1672">
        <v>0.99999995501904804</v>
      </c>
    </row>
    <row r="1673" spans="1:40" x14ac:dyDescent="0.25">
      <c r="A1673" t="str">
        <f>"20190304164122952"</f>
        <v>20190304164122952</v>
      </c>
      <c r="B1673" t="str">
        <f>"1551688882942184"</f>
        <v>1551688882942184</v>
      </c>
      <c r="C1673" t="s">
        <v>40</v>
      </c>
      <c r="D1673">
        <v>5.5707930000000001</v>
      </c>
      <c r="E1673">
        <v>0.59648409999999996</v>
      </c>
      <c r="F1673" t="s">
        <v>44</v>
      </c>
      <c r="G1673">
        <v>-196.65450000000001</v>
      </c>
      <c r="H1673" s="1">
        <v>-4.1302669999999998E-6</v>
      </c>
      <c r="I1673">
        <v>353.99740000000003</v>
      </c>
      <c r="J1673">
        <v>-198.70670000000001</v>
      </c>
      <c r="K1673">
        <v>1.098652</v>
      </c>
      <c r="L1673">
        <v>359.2296</v>
      </c>
      <c r="M1673">
        <v>0.67937060000000005</v>
      </c>
      <c r="N1673">
        <v>-1.6154680000000001E-2</v>
      </c>
      <c r="O1673">
        <v>-0.73361779999999999</v>
      </c>
      <c r="P1673">
        <v>0.47763909999999998</v>
      </c>
      <c r="Q1673">
        <v>0.31513550000000001</v>
      </c>
      <c r="R1673">
        <v>-0.8200923</v>
      </c>
      <c r="S1673">
        <v>1.27861</v>
      </c>
      <c r="T1673">
        <v>-0.64718580000000003</v>
      </c>
      <c r="U1673">
        <v>-3.167786</v>
      </c>
      <c r="V1673">
        <v>0.21654770000000001</v>
      </c>
      <c r="W1673">
        <v>0.32372570000000001</v>
      </c>
      <c r="X1673">
        <v>0.92103679999999999</v>
      </c>
      <c r="Y1673">
        <v>0.35683389999999998</v>
      </c>
      <c r="Z1673">
        <v>9.9933229999999998E-2</v>
      </c>
      <c r="AA1673">
        <v>0.9288073</v>
      </c>
      <c r="AB1673">
        <v>24</v>
      </c>
      <c r="AC1673">
        <v>2.0521999999999898</v>
      </c>
      <c r="AD1673">
        <v>-1.0986561302669999</v>
      </c>
      <c r="AE1673">
        <v>-5.2321999999999704</v>
      </c>
      <c r="AF1673">
        <v>1.9739106624804901</v>
      </c>
      <c r="AG1673">
        <v>-1.0986561302669999</v>
      </c>
      <c r="AH1673">
        <v>5.0407016758441197</v>
      </c>
      <c r="AI1673">
        <v>101.472410159764</v>
      </c>
      <c r="AJ1673">
        <v>68.614966013069406</v>
      </c>
      <c r="AK1673">
        <v>5.5237706307272703</v>
      </c>
      <c r="AL1673">
        <v>71.111610441004103</v>
      </c>
      <c r="AM1673">
        <v>76.769314859897605</v>
      </c>
      <c r="AN1673">
        <v>1.00000001108501</v>
      </c>
    </row>
    <row r="1674" spans="1:40" x14ac:dyDescent="0.25">
      <c r="A1674" t="str">
        <f>"20190304164122964"</f>
        <v>20190304164122964</v>
      </c>
      <c r="B1674" t="str">
        <f>"1551688882953048"</f>
        <v>1551688882953048</v>
      </c>
      <c r="C1674" t="s">
        <v>40</v>
      </c>
      <c r="D1674">
        <v>5.534605</v>
      </c>
      <c r="E1674">
        <v>0.59895430000000005</v>
      </c>
      <c r="F1674" t="s">
        <v>44</v>
      </c>
      <c r="G1674">
        <v>-196.54310000000001</v>
      </c>
      <c r="H1674" s="1">
        <v>-3.5110949999999998E-6</v>
      </c>
      <c r="I1674">
        <v>352.81610000000001</v>
      </c>
      <c r="J1674">
        <v>-198.62260000000001</v>
      </c>
      <c r="K1674">
        <v>1.0984940000000001</v>
      </c>
      <c r="L1674">
        <v>359.12360000000001</v>
      </c>
      <c r="M1674">
        <v>0.6718094</v>
      </c>
      <c r="N1674">
        <v>-1.6254890000000001E-2</v>
      </c>
      <c r="O1674">
        <v>-0.74054580000000003</v>
      </c>
      <c r="P1674">
        <v>0.46791650000000001</v>
      </c>
      <c r="Q1674">
        <v>0.3160655</v>
      </c>
      <c r="R1674">
        <v>-0.82532220000000001</v>
      </c>
      <c r="S1674">
        <v>1.0914919999999999</v>
      </c>
      <c r="T1674">
        <v>-0.55422969999999905</v>
      </c>
      <c r="U1674">
        <v>-3.235382</v>
      </c>
      <c r="V1674">
        <v>0.217915</v>
      </c>
      <c r="W1674">
        <v>0.32461250000000003</v>
      </c>
      <c r="X1674">
        <v>0.92040200000000005</v>
      </c>
      <c r="Y1674">
        <v>0.40023249999999999</v>
      </c>
      <c r="Z1674">
        <v>8.2233150000000005E-2</v>
      </c>
      <c r="AA1674">
        <v>0.91271659999999999</v>
      </c>
      <c r="AB1674">
        <v>24</v>
      </c>
      <c r="AC1674">
        <v>2.0794999999999901</v>
      </c>
      <c r="AD1674">
        <v>-1.0984975110949999</v>
      </c>
      <c r="AE1674">
        <v>-6.3075000000000001</v>
      </c>
      <c r="AF1674">
        <v>2.6259892045806401</v>
      </c>
      <c r="AG1674">
        <v>-1.0984975110949999</v>
      </c>
      <c r="AH1674">
        <v>5.9072164709506998</v>
      </c>
      <c r="AI1674">
        <v>99.643874953418901</v>
      </c>
      <c r="AJ1674">
        <v>66.032978257015202</v>
      </c>
      <c r="AK1674">
        <v>6.557264865714</v>
      </c>
      <c r="AL1674">
        <v>71.057900551140804</v>
      </c>
      <c r="AM1674">
        <v>76.679886545187102</v>
      </c>
      <c r="AN1674">
        <v>1.0000000319926201</v>
      </c>
    </row>
    <row r="1675" spans="1:40" x14ac:dyDescent="0.25">
      <c r="A1675" t="str">
        <f>"20190304164122977"</f>
        <v>20190304164122977</v>
      </c>
      <c r="B1675" t="str">
        <f>"1551688882972567"</f>
        <v>1551688882972567</v>
      </c>
      <c r="C1675" t="s">
        <v>40</v>
      </c>
      <c r="D1675">
        <v>5.5622579999999999</v>
      </c>
      <c r="E1675">
        <v>0.60111759999999903</v>
      </c>
      <c r="F1675" t="s">
        <v>44</v>
      </c>
      <c r="G1675">
        <v>-196.51429999999999</v>
      </c>
      <c r="H1675" s="1">
        <v>-3.3420360000000001E-6</v>
      </c>
      <c r="I1675">
        <v>352.49279999999999</v>
      </c>
      <c r="J1675">
        <v>-198.5307</v>
      </c>
      <c r="K1675">
        <v>1.0983350000000001</v>
      </c>
      <c r="L1675">
        <v>359.00400000000002</v>
      </c>
      <c r="M1675">
        <v>0.66314069999999903</v>
      </c>
      <c r="N1675">
        <v>-1.6362990000000001E-2</v>
      </c>
      <c r="O1675">
        <v>-0.74831619999999999</v>
      </c>
      <c r="P1675">
        <v>0.45764129999999997</v>
      </c>
      <c r="Q1675">
        <v>0.3167816</v>
      </c>
      <c r="R1675">
        <v>-0.83079169999999902</v>
      </c>
      <c r="S1675">
        <v>1.034821</v>
      </c>
      <c r="T1675">
        <v>-0.53919039999999996</v>
      </c>
      <c r="U1675">
        <v>-3.2546689999999998</v>
      </c>
      <c r="V1675">
        <v>0.2185995</v>
      </c>
      <c r="W1675">
        <v>0.32531599999999999</v>
      </c>
      <c r="X1675">
        <v>0.91999120000000001</v>
      </c>
      <c r="Y1675">
        <v>0.40550389999999997</v>
      </c>
      <c r="Z1675">
        <v>8.0599649999999995E-2</v>
      </c>
      <c r="AA1675">
        <v>0.91053300000000004</v>
      </c>
      <c r="AB1675">
        <v>24</v>
      </c>
      <c r="AC1675">
        <v>2.0164</v>
      </c>
      <c r="AD1675">
        <v>-1.098338342036</v>
      </c>
      <c r="AE1675">
        <v>-6.5112000000000299</v>
      </c>
      <c r="AF1675">
        <v>2.73821627285316</v>
      </c>
      <c r="AG1675">
        <v>-1.098338342036</v>
      </c>
      <c r="AH1675">
        <v>6.0532542801921796</v>
      </c>
      <c r="AI1675">
        <v>99.387147596774497</v>
      </c>
      <c r="AJ1675">
        <v>65.660172456688002</v>
      </c>
      <c r="AK1675">
        <v>6.7339485334511702</v>
      </c>
      <c r="AL1675">
        <v>71.015279639329407</v>
      </c>
      <c r="AM1675">
        <v>76.633792639887005</v>
      </c>
      <c r="AN1675">
        <v>1.0000000246668399</v>
      </c>
    </row>
    <row r="1676" spans="1:40" x14ac:dyDescent="0.25">
      <c r="A1676" t="str">
        <f>"20190304164122992"</f>
        <v>20190304164122992</v>
      </c>
      <c r="B1676" t="str">
        <f>"1551688882982327"</f>
        <v>1551688882982327</v>
      </c>
      <c r="C1676" t="s">
        <v>40</v>
      </c>
      <c r="D1676">
        <v>5.5535170000000003</v>
      </c>
      <c r="E1676">
        <v>0.60195359999999998</v>
      </c>
      <c r="F1676" t="s">
        <v>44</v>
      </c>
      <c r="G1676">
        <v>-196.4802</v>
      </c>
      <c r="H1676" s="1">
        <v>-3.151639E-6</v>
      </c>
      <c r="I1676">
        <v>352.12950000000001</v>
      </c>
      <c r="J1676">
        <v>-198.4367</v>
      </c>
      <c r="K1676">
        <v>1.0981780000000001</v>
      </c>
      <c r="L1676">
        <v>358.87849999999997</v>
      </c>
      <c r="M1676">
        <v>0.65390800000000004</v>
      </c>
      <c r="N1676">
        <v>-1.646918E-2</v>
      </c>
      <c r="O1676">
        <v>-0.75639480000000003</v>
      </c>
      <c r="P1676">
        <v>0.4470866</v>
      </c>
      <c r="Q1676">
        <v>0.31722299999999998</v>
      </c>
      <c r="R1676">
        <v>-0.83635110000000001</v>
      </c>
      <c r="S1676">
        <v>0.97616579999999997</v>
      </c>
      <c r="T1676">
        <v>-0.52288369999999995</v>
      </c>
      <c r="U1676">
        <v>-3.2727360000000001</v>
      </c>
      <c r="V1676">
        <v>0.21899460000000001</v>
      </c>
      <c r="W1676">
        <v>0.3257583</v>
      </c>
      <c r="X1676">
        <v>0.91974069999999997</v>
      </c>
      <c r="Y1676">
        <v>0.41059899999999999</v>
      </c>
      <c r="Z1676">
        <v>7.8774810000000001E-2</v>
      </c>
      <c r="AA1676">
        <v>0.90840690000000002</v>
      </c>
      <c r="AB1676">
        <v>24</v>
      </c>
      <c r="AC1676">
        <v>1.9564999999999999</v>
      </c>
      <c r="AD1676">
        <v>-1.0981811516390001</v>
      </c>
      <c r="AE1676">
        <v>-6.7489999999999597</v>
      </c>
      <c r="AF1676">
        <v>2.86379015192996</v>
      </c>
      <c r="AG1676">
        <v>-1.0981811516390001</v>
      </c>
      <c r="AH1676">
        <v>6.23291029878453</v>
      </c>
      <c r="AI1676">
        <v>99.095877697061994</v>
      </c>
      <c r="AJ1676">
        <v>65.322980812759695</v>
      </c>
      <c r="AK1676">
        <v>6.9466874601352604</v>
      </c>
      <c r="AL1676">
        <v>70.988477906294406</v>
      </c>
      <c r="AM1676">
        <v>76.606988228610504</v>
      </c>
      <c r="AN1676">
        <v>1.00000003004226</v>
      </c>
    </row>
    <row r="1677" spans="1:40" x14ac:dyDescent="0.25">
      <c r="A1677" t="str">
        <f>"20190304164123010"</f>
        <v>20190304164123010</v>
      </c>
      <c r="B1677" t="str">
        <f>"1551688883002823"</f>
        <v>1551688883002823</v>
      </c>
      <c r="C1677" t="s">
        <v>40</v>
      </c>
      <c r="D1677">
        <v>5.5449039999999998</v>
      </c>
      <c r="E1677">
        <v>0.60198450000000003</v>
      </c>
      <c r="F1677" t="s">
        <v>44</v>
      </c>
      <c r="G1677">
        <v>-196.45429999999999</v>
      </c>
      <c r="H1677" s="1">
        <v>-2.9981889999999998E-6</v>
      </c>
      <c r="I1677">
        <v>351.83600000000001</v>
      </c>
      <c r="J1677">
        <v>-198.3193</v>
      </c>
      <c r="K1677">
        <v>1.098001</v>
      </c>
      <c r="L1677">
        <v>358.71679999999998</v>
      </c>
      <c r="M1677">
        <v>0.64183800000000002</v>
      </c>
      <c r="N1677">
        <v>-1.6595260000000001E-2</v>
      </c>
      <c r="O1677">
        <v>-0.76666089999999998</v>
      </c>
      <c r="P1677">
        <v>0.43167420000000001</v>
      </c>
      <c r="Q1677">
        <v>0.31840089999999999</v>
      </c>
      <c r="R1677">
        <v>-0.84396569999999904</v>
      </c>
      <c r="S1677">
        <v>0.9252319</v>
      </c>
      <c r="T1677">
        <v>-0.51253939999999998</v>
      </c>
      <c r="U1677">
        <v>-3.2868650000000001</v>
      </c>
      <c r="V1677">
        <v>0.221196</v>
      </c>
      <c r="W1677">
        <v>0.32687739999999998</v>
      </c>
      <c r="X1677">
        <v>0.91881630000000003</v>
      </c>
      <c r="Y1677">
        <v>0.41022130000000001</v>
      </c>
      <c r="Z1677">
        <v>7.8661709999999996E-2</v>
      </c>
      <c r="AA1677">
        <v>0.90858729999999999</v>
      </c>
      <c r="AB1677">
        <v>24</v>
      </c>
      <c r="AC1677">
        <v>1.865</v>
      </c>
      <c r="AD1677">
        <v>-1.098003998189</v>
      </c>
      <c r="AE1677">
        <v>-6.8807999999999598</v>
      </c>
      <c r="AF1677">
        <v>2.9177341073069099</v>
      </c>
      <c r="AG1677">
        <v>-1.098003998189</v>
      </c>
      <c r="AH1677">
        <v>6.3231635423257897</v>
      </c>
      <c r="AI1677">
        <v>98.960140492951297</v>
      </c>
      <c r="AJ1677">
        <v>65.2297081492367</v>
      </c>
      <c r="AK1677">
        <v>7.0499065443436297</v>
      </c>
      <c r="AL1677">
        <v>70.920643427766294</v>
      </c>
      <c r="AM1677">
        <v>76.464174084336193</v>
      </c>
      <c r="AN1677">
        <v>0.99999994909622303</v>
      </c>
    </row>
    <row r="1678" spans="1:40" x14ac:dyDescent="0.25">
      <c r="A1678" t="str">
        <f>"20190304164123028"</f>
        <v>20190304164123028</v>
      </c>
      <c r="B1678" t="str">
        <f>"1551688883022343"</f>
        <v>1551688883022343</v>
      </c>
      <c r="C1678" t="s">
        <v>40</v>
      </c>
      <c r="D1678">
        <v>5.5391560000000002</v>
      </c>
      <c r="E1678">
        <v>0.60178849999999995</v>
      </c>
      <c r="F1678" t="s">
        <v>44</v>
      </c>
      <c r="G1678">
        <v>-196.4442</v>
      </c>
      <c r="H1678" s="1">
        <v>-2.8667060000000002E-6</v>
      </c>
      <c r="I1678">
        <v>351.57909999999998</v>
      </c>
      <c r="J1678">
        <v>-198.20179999999999</v>
      </c>
      <c r="K1678">
        <v>1.0978479999999999</v>
      </c>
      <c r="L1678">
        <v>358.54910000000001</v>
      </c>
      <c r="M1678">
        <v>0.62912389999999996</v>
      </c>
      <c r="N1678">
        <v>-1.6712790000000002E-2</v>
      </c>
      <c r="O1678">
        <v>-0.77712530000000002</v>
      </c>
      <c r="P1678">
        <v>0.41627609999999898</v>
      </c>
      <c r="Q1678">
        <v>0.31917839999999997</v>
      </c>
      <c r="R1678">
        <v>-0.85137549999999995</v>
      </c>
      <c r="S1678">
        <v>0.86756900000000003</v>
      </c>
      <c r="T1678">
        <v>-0.50804389999999999</v>
      </c>
      <c r="U1678">
        <v>-3.3025820000000001</v>
      </c>
      <c r="V1678">
        <v>0.22272529999999999</v>
      </c>
      <c r="W1678">
        <v>0.32762639999999998</v>
      </c>
      <c r="X1678">
        <v>0.91817990000000005</v>
      </c>
      <c r="Y1678">
        <v>0.41112340000000003</v>
      </c>
      <c r="Z1678">
        <v>7.9504270000000002E-2</v>
      </c>
      <c r="AA1678">
        <v>0.90810610000000003</v>
      </c>
      <c r="AB1678">
        <v>24</v>
      </c>
      <c r="AC1678">
        <v>1.7575999999999901</v>
      </c>
      <c r="AD1678">
        <v>-1.0978508667060001</v>
      </c>
      <c r="AE1678">
        <v>-6.9700000000000202</v>
      </c>
      <c r="AF1678">
        <v>2.9507105352351699</v>
      </c>
      <c r="AG1678">
        <v>-1.0978508667060001</v>
      </c>
      <c r="AH1678">
        <v>6.3745280201162604</v>
      </c>
      <c r="AI1678">
        <v>98.883034492768402</v>
      </c>
      <c r="AJ1678">
        <v>65.161014655735698</v>
      </c>
      <c r="AK1678">
        <v>7.1096115693842403</v>
      </c>
      <c r="AL1678">
        <v>70.875228666995895</v>
      </c>
      <c r="AM1678">
        <v>76.364976129166493</v>
      </c>
      <c r="AN1678">
        <v>0.99999997300052901</v>
      </c>
    </row>
    <row r="1679" spans="1:40" x14ac:dyDescent="0.25">
      <c r="A1679" t="str">
        <f>"20190304164123041"</f>
        <v>20190304164123041</v>
      </c>
      <c r="B1679" t="str">
        <f>"1551688883033080"</f>
        <v>1551688883033080</v>
      </c>
      <c r="C1679" t="s">
        <v>40</v>
      </c>
      <c r="D1679">
        <v>5.5454330000000001</v>
      </c>
      <c r="E1679">
        <v>0.60151489999999996</v>
      </c>
      <c r="F1679" t="s">
        <v>44</v>
      </c>
      <c r="G1679">
        <v>-196.4418</v>
      </c>
      <c r="H1679" s="1">
        <v>-2.7586889999999999E-6</v>
      </c>
      <c r="I1679">
        <v>351.36759999999998</v>
      </c>
      <c r="J1679">
        <v>-198.1148</v>
      </c>
      <c r="K1679">
        <v>1.0977539999999999</v>
      </c>
      <c r="L1679">
        <v>358.42129999999997</v>
      </c>
      <c r="M1679">
        <v>0.61932959999999904</v>
      </c>
      <c r="N1679">
        <v>-1.6794159999999999E-2</v>
      </c>
      <c r="O1679">
        <v>-0.78495159999999997</v>
      </c>
      <c r="P1679">
        <v>0.4030339</v>
      </c>
      <c r="Q1679">
        <v>0.32137850000000001</v>
      </c>
      <c r="R1679">
        <v>-0.85690129999999998</v>
      </c>
      <c r="S1679">
        <v>0.81271359999999904</v>
      </c>
      <c r="T1679">
        <v>-0.50698089999999996</v>
      </c>
      <c r="U1679">
        <v>-3.316376</v>
      </c>
      <c r="V1679">
        <v>0.22509460000000001</v>
      </c>
      <c r="W1679">
        <v>0.32975470000000001</v>
      </c>
      <c r="X1679">
        <v>0.91683930000000002</v>
      </c>
      <c r="Y1679">
        <v>0.41473559999999998</v>
      </c>
      <c r="Z1679">
        <v>8.0389559999999999E-2</v>
      </c>
      <c r="AA1679">
        <v>0.90638399999999997</v>
      </c>
      <c r="AB1679">
        <v>24</v>
      </c>
      <c r="AC1679">
        <v>1.673</v>
      </c>
      <c r="AD1679">
        <v>-1.097756758689</v>
      </c>
      <c r="AE1679">
        <v>-7.0536999999999903</v>
      </c>
      <c r="AF1679">
        <v>2.9872727615244998</v>
      </c>
      <c r="AG1679">
        <v>-1.097756758689</v>
      </c>
      <c r="AH1679">
        <v>6.4265160365626501</v>
      </c>
      <c r="AI1679">
        <v>98.805126873626094</v>
      </c>
      <c r="AJ1679">
        <v>65.069322594695393</v>
      </c>
      <c r="AK1679">
        <v>7.17139992060061</v>
      </c>
      <c r="AL1679">
        <v>70.746112970381404</v>
      </c>
      <c r="AM1679">
        <v>76.206054837405503</v>
      </c>
      <c r="AN1679">
        <v>1.0000000215728599</v>
      </c>
    </row>
    <row r="1680" spans="1:40" x14ac:dyDescent="0.25">
      <c r="A1680" t="str">
        <f>"20190304164123054"</f>
        <v>20190304164123054</v>
      </c>
      <c r="B1680" t="str">
        <f>"1551688883042839"</f>
        <v>1551688883042839</v>
      </c>
      <c r="C1680" t="s">
        <v>40</v>
      </c>
      <c r="D1680">
        <v>5.5206489999999997</v>
      </c>
      <c r="E1680">
        <v>0.60113000000000005</v>
      </c>
      <c r="F1680" t="s">
        <v>44</v>
      </c>
      <c r="G1680">
        <v>-196.43090000000001</v>
      </c>
      <c r="H1680" s="1">
        <v>-2.6378150000000002E-6</v>
      </c>
      <c r="I1680">
        <v>351.16829999999999</v>
      </c>
      <c r="J1680">
        <v>-198.04259999999999</v>
      </c>
      <c r="K1680">
        <v>1.097693</v>
      </c>
      <c r="L1680">
        <v>358.3109</v>
      </c>
      <c r="M1680">
        <v>0.61079479999999997</v>
      </c>
      <c r="N1680">
        <v>-1.6854089999999999E-2</v>
      </c>
      <c r="O1680">
        <v>-0.79160949999999997</v>
      </c>
      <c r="P1680">
        <v>0.39390849999999999</v>
      </c>
      <c r="Q1680">
        <v>0.3224361</v>
      </c>
      <c r="R1680">
        <v>-0.86073909999999998</v>
      </c>
      <c r="S1680">
        <v>0.77230829999999995</v>
      </c>
      <c r="T1680">
        <v>-0.50347810000000004</v>
      </c>
      <c r="U1680">
        <v>-3.3265380000000002</v>
      </c>
      <c r="V1680">
        <v>0.22475039999999999</v>
      </c>
      <c r="W1680">
        <v>0.33084249999999998</v>
      </c>
      <c r="X1680">
        <v>0.91653180000000001</v>
      </c>
      <c r="Y1680">
        <v>0.41594979999999998</v>
      </c>
      <c r="Z1680">
        <v>8.0759139999999993E-2</v>
      </c>
      <c r="AA1680">
        <v>0.90579460000000001</v>
      </c>
      <c r="AB1680">
        <v>24</v>
      </c>
      <c r="AC1680">
        <v>1.6116999999999799</v>
      </c>
      <c r="AD1680">
        <v>-1.097695637815</v>
      </c>
      <c r="AE1680">
        <v>-7.1426000000000096</v>
      </c>
      <c r="AF1680">
        <v>3.0194059413641701</v>
      </c>
      <c r="AG1680">
        <v>-1.097695637815</v>
      </c>
      <c r="AH1680">
        <v>6.4935737370912001</v>
      </c>
      <c r="AI1680">
        <v>98.714637594030904</v>
      </c>
      <c r="AJ1680">
        <v>65.062340242759305</v>
      </c>
      <c r="AK1680">
        <v>7.2448773510021498</v>
      </c>
      <c r="AL1680">
        <v>70.680080646714103</v>
      </c>
      <c r="AM1680">
        <v>76.221898725467597</v>
      </c>
      <c r="AN1680">
        <v>1.00000002125882</v>
      </c>
    </row>
    <row r="1681" spans="1:40" x14ac:dyDescent="0.25">
      <c r="A1681" t="str">
        <f>"20190304164123075"</f>
        <v>20190304164123075</v>
      </c>
      <c r="B1681" t="str">
        <f>"1551688883062359"</f>
        <v>1551688883062359</v>
      </c>
      <c r="C1681" t="s">
        <v>40</v>
      </c>
      <c r="D1681">
        <v>5.5174180000000002</v>
      </c>
      <c r="E1681">
        <v>0.60030850000000002</v>
      </c>
      <c r="F1681" t="s">
        <v>44</v>
      </c>
      <c r="G1681">
        <v>-196.42060000000001</v>
      </c>
      <c r="H1681" s="1">
        <v>-2.549548E-6</v>
      </c>
      <c r="I1681">
        <v>351.02379999999999</v>
      </c>
      <c r="J1681">
        <v>-197.91679999999999</v>
      </c>
      <c r="K1681">
        <v>1.0976109999999999</v>
      </c>
      <c r="L1681">
        <v>358.11349999999999</v>
      </c>
      <c r="M1681">
        <v>0.59540059999999995</v>
      </c>
      <c r="N1681">
        <v>-1.6946969999999999E-2</v>
      </c>
      <c r="O1681">
        <v>-0.80325029999999997</v>
      </c>
      <c r="P1681">
        <v>0.37988810000000001</v>
      </c>
      <c r="Q1681">
        <v>0.32554909999999998</v>
      </c>
      <c r="R1681">
        <v>-0.86585389999999995</v>
      </c>
      <c r="S1681">
        <v>0.74206539999999999</v>
      </c>
      <c r="T1681">
        <v>-0.50220969999999998</v>
      </c>
      <c r="U1681">
        <v>-3.333923</v>
      </c>
      <c r="V1681">
        <v>0.2213956</v>
      </c>
      <c r="W1681">
        <v>0.33410200000000001</v>
      </c>
      <c r="X1681">
        <v>0.91616580000000003</v>
      </c>
      <c r="Y1681">
        <v>0.4067093</v>
      </c>
      <c r="Z1681">
        <v>8.2972729999999995E-2</v>
      </c>
      <c r="AA1681">
        <v>0.90978190000000003</v>
      </c>
      <c r="AB1681">
        <v>24</v>
      </c>
      <c r="AC1681">
        <v>1.49619999999998</v>
      </c>
      <c r="AD1681">
        <v>-1.0976135495479999</v>
      </c>
      <c r="AE1681">
        <v>-7.0896999999999899</v>
      </c>
      <c r="AF1681">
        <v>2.9520816530771401</v>
      </c>
      <c r="AG1681">
        <v>-1.0976135495479999</v>
      </c>
      <c r="AH1681">
        <v>6.438837792587</v>
      </c>
      <c r="AI1681">
        <v>98.808355303264506</v>
      </c>
      <c r="AJ1681">
        <v>65.369466776570903</v>
      </c>
      <c r="AK1681">
        <v>7.1678569816809699</v>
      </c>
      <c r="AL1681">
        <v>70.482059015102706</v>
      </c>
      <c r="AM1681">
        <v>76.414666736234395</v>
      </c>
      <c r="AN1681">
        <v>0.99999996559649895</v>
      </c>
    </row>
    <row r="1682" spans="1:40" x14ac:dyDescent="0.25">
      <c r="A1682" t="str">
        <f>"20190304164123087"</f>
        <v>20190304164123087</v>
      </c>
      <c r="B1682" t="str">
        <f>"1551688883082856"</f>
        <v>1551688883082856</v>
      </c>
      <c r="C1682" t="s">
        <v>40</v>
      </c>
      <c r="D1682">
        <v>5.5533429999999999</v>
      </c>
      <c r="E1682">
        <v>0.59964019999999996</v>
      </c>
      <c r="F1682" t="s">
        <v>44</v>
      </c>
      <c r="G1682">
        <v>-196.37180000000001</v>
      </c>
      <c r="H1682" s="1">
        <v>-2.3292329999999999E-6</v>
      </c>
      <c r="I1682">
        <v>350.67349999999999</v>
      </c>
      <c r="J1682">
        <v>-197.845</v>
      </c>
      <c r="K1682">
        <v>1.0975760000000001</v>
      </c>
      <c r="L1682">
        <v>357.99689999999998</v>
      </c>
      <c r="M1682">
        <v>0.5862406</v>
      </c>
      <c r="N1682">
        <v>-1.6992259999999999E-2</v>
      </c>
      <c r="O1682">
        <v>-0.80995899999999998</v>
      </c>
      <c r="P1682">
        <v>0.37202550000000001</v>
      </c>
      <c r="Q1682">
        <v>0.32714029999999999</v>
      </c>
      <c r="R1682">
        <v>-0.86866379999999999</v>
      </c>
      <c r="S1682">
        <v>0.69471740000000004</v>
      </c>
      <c r="T1682">
        <v>-0.49356480000000003</v>
      </c>
      <c r="U1682">
        <v>-3.3455509999999999</v>
      </c>
      <c r="V1682">
        <v>0.2190117</v>
      </c>
      <c r="W1682">
        <v>0.3357967</v>
      </c>
      <c r="X1682">
        <v>0.91611920000000002</v>
      </c>
      <c r="Y1682">
        <v>0.409304</v>
      </c>
      <c r="Z1682">
        <v>8.2234849999999998E-2</v>
      </c>
      <c r="AA1682">
        <v>0.90868459999999995</v>
      </c>
      <c r="AB1682">
        <v>24</v>
      </c>
      <c r="AC1682">
        <v>1.4731999999999901</v>
      </c>
      <c r="AD1682">
        <v>-1.0975783292329999</v>
      </c>
      <c r="AE1682">
        <v>-7.3233999999999897</v>
      </c>
      <c r="AF1682">
        <v>3.0349702170122401</v>
      </c>
      <c r="AG1682">
        <v>-1.0975783292329999</v>
      </c>
      <c r="AH1682">
        <v>6.6526640655040197</v>
      </c>
      <c r="AI1682">
        <v>98.536443935173807</v>
      </c>
      <c r="AJ1682">
        <v>65.477351054994799</v>
      </c>
      <c r="AK1682">
        <v>7.3941640214023998</v>
      </c>
      <c r="AL1682">
        <v>70.379007222463699</v>
      </c>
      <c r="AM1682">
        <v>76.5549512561509</v>
      </c>
      <c r="AN1682">
        <v>0.99999996853820905</v>
      </c>
    </row>
    <row r="1683" spans="1:40" x14ac:dyDescent="0.25">
      <c r="A1683" t="str">
        <f>"20190304164123100"</f>
        <v>20190304164123100</v>
      </c>
      <c r="B1683" t="str">
        <f>"1551688883092616"</f>
        <v>1551688883092616</v>
      </c>
      <c r="C1683" t="s">
        <v>40</v>
      </c>
      <c r="D1683">
        <v>5.5729059999999997</v>
      </c>
      <c r="E1683">
        <v>0.5991744</v>
      </c>
      <c r="F1683" t="s">
        <v>44</v>
      </c>
      <c r="G1683">
        <v>-196.34049999999999</v>
      </c>
      <c r="H1683" s="1">
        <v>-2.1961679999999998E-6</v>
      </c>
      <c r="I1683">
        <v>350.46280000000002</v>
      </c>
      <c r="J1683">
        <v>-197.76910000000001</v>
      </c>
      <c r="K1683">
        <v>1.09755</v>
      </c>
      <c r="L1683">
        <v>357.87060000000002</v>
      </c>
      <c r="M1683">
        <v>0.57625579999999998</v>
      </c>
      <c r="N1683">
        <v>-1.7034589999999999E-2</v>
      </c>
      <c r="O1683">
        <v>-0.81709189999999998</v>
      </c>
      <c r="P1683">
        <v>0.36354570000000003</v>
      </c>
      <c r="Q1683">
        <v>0.32895829999999998</v>
      </c>
      <c r="R1683">
        <v>-0.87156239999999996</v>
      </c>
      <c r="S1683">
        <v>0.66914370000000001</v>
      </c>
      <c r="T1683">
        <v>-0.48814920000000001</v>
      </c>
      <c r="U1683">
        <v>-3.3508300000000002</v>
      </c>
      <c r="V1683">
        <v>0.21636330000000001</v>
      </c>
      <c r="W1683">
        <v>0.33772909999999901</v>
      </c>
      <c r="X1683">
        <v>0.91603820000000002</v>
      </c>
      <c r="Y1683">
        <v>0.4050764</v>
      </c>
      <c r="Z1683">
        <v>8.2578979999999996E-2</v>
      </c>
      <c r="AA1683">
        <v>0.91054590000000002</v>
      </c>
      <c r="AB1683">
        <v>24</v>
      </c>
      <c r="AC1683">
        <v>1.4286000000000101</v>
      </c>
      <c r="AD1683">
        <v>-1.0975521961679999</v>
      </c>
      <c r="AE1683">
        <v>-7.4077999999999999</v>
      </c>
      <c r="AF1683">
        <v>3.03764910901995</v>
      </c>
      <c r="AG1683">
        <v>-1.0975521961679999</v>
      </c>
      <c r="AH1683">
        <v>6.7345548310349601</v>
      </c>
      <c r="AI1683">
        <v>98.450065826188194</v>
      </c>
      <c r="AJ1683">
        <v>65.722045743509895</v>
      </c>
      <c r="AK1683">
        <v>7.4690134358601297</v>
      </c>
      <c r="AL1683">
        <v>70.261421240259594</v>
      </c>
      <c r="AM1683">
        <v>76.710601225160801</v>
      </c>
      <c r="AN1683">
        <v>1.00000000321647</v>
      </c>
    </row>
    <row r="1684" spans="1:40" x14ac:dyDescent="0.25">
      <c r="A1684" t="str">
        <f>"20190304164123113"</f>
        <v>20190304164123113</v>
      </c>
      <c r="B1684" t="str">
        <f>"1551688883102376"</f>
        <v>1551688883102376</v>
      </c>
      <c r="C1684" t="s">
        <v>40</v>
      </c>
      <c r="D1684">
        <v>5.5868060000000002</v>
      </c>
      <c r="E1684">
        <v>0.59866359999999996</v>
      </c>
      <c r="F1684" t="s">
        <v>44</v>
      </c>
      <c r="G1684">
        <v>-196.31569999999999</v>
      </c>
      <c r="H1684" s="1">
        <v>-2.056901E-6</v>
      </c>
      <c r="I1684">
        <v>350.23860000000002</v>
      </c>
      <c r="J1684">
        <v>-197.70230000000001</v>
      </c>
      <c r="K1684">
        <v>1.0975440000000001</v>
      </c>
      <c r="L1684">
        <v>357.75490000000002</v>
      </c>
      <c r="M1684">
        <v>0.56709989999999999</v>
      </c>
      <c r="N1684">
        <v>-1.7064940000000001E-2</v>
      </c>
      <c r="O1684">
        <v>-0.82347239999999999</v>
      </c>
      <c r="P1684">
        <v>0.35605209999999998</v>
      </c>
      <c r="Q1684">
        <v>0.33029540000000002</v>
      </c>
      <c r="R1684">
        <v>-0.87414650000000005</v>
      </c>
      <c r="S1684">
        <v>0.63941959999999998</v>
      </c>
      <c r="T1684">
        <v>-0.48286289999999998</v>
      </c>
      <c r="U1684">
        <v>-3.3576350000000001</v>
      </c>
      <c r="V1684">
        <v>0.2137471</v>
      </c>
      <c r="W1684">
        <v>0.33918120000000002</v>
      </c>
      <c r="X1684">
        <v>0.91611589999999998</v>
      </c>
      <c r="Y1684">
        <v>0.4030089</v>
      </c>
      <c r="Z1684">
        <v>8.2663210000000001E-2</v>
      </c>
      <c r="AA1684">
        <v>0.91145520000000002</v>
      </c>
      <c r="AB1684">
        <v>24</v>
      </c>
      <c r="AC1684">
        <v>1.38660000000001</v>
      </c>
      <c r="AD1684">
        <v>-1.097546056901</v>
      </c>
      <c r="AE1684">
        <v>-7.5163000000000002</v>
      </c>
      <c r="AF1684">
        <v>3.0580608531267499</v>
      </c>
      <c r="AG1684">
        <v>-1.097546056901</v>
      </c>
      <c r="AH1684">
        <v>6.8358610679004599</v>
      </c>
      <c r="AI1684">
        <v>98.337917307388693</v>
      </c>
      <c r="AJ1684">
        <v>65.898376728212099</v>
      </c>
      <c r="AK1684">
        <v>7.5687079523576903</v>
      </c>
      <c r="AL1684">
        <v>70.173004321642495</v>
      </c>
      <c r="AM1684">
        <v>76.866765172552803</v>
      </c>
      <c r="AN1684">
        <v>1.0000000257123201</v>
      </c>
    </row>
    <row r="1685" spans="1:40" x14ac:dyDescent="0.25">
      <c r="A1685" t="str">
        <f>"20190304164123125"</f>
        <v>20190304164123125</v>
      </c>
      <c r="B1685" t="str">
        <f>"1551688883122871"</f>
        <v>1551688883122871</v>
      </c>
      <c r="C1685" t="s">
        <v>40</v>
      </c>
      <c r="D1685">
        <v>5.5906359999999999</v>
      </c>
      <c r="E1685">
        <v>0.58751989999999998</v>
      </c>
      <c r="F1685" t="s">
        <v>44</v>
      </c>
      <c r="G1685">
        <v>-196.29859999999999</v>
      </c>
      <c r="H1685" s="1">
        <v>-1.9483629999999999E-6</v>
      </c>
      <c r="I1685">
        <v>350.06299999999999</v>
      </c>
      <c r="J1685">
        <v>-197.63059999999999</v>
      </c>
      <c r="K1685">
        <v>1.0975509999999999</v>
      </c>
      <c r="L1685">
        <v>357.62880000000001</v>
      </c>
      <c r="M1685">
        <v>0.55707930000000005</v>
      </c>
      <c r="N1685">
        <v>-1.7093690000000002E-2</v>
      </c>
      <c r="O1685">
        <v>-0.83028329999999995</v>
      </c>
      <c r="P1685">
        <v>0.34747289999999997</v>
      </c>
      <c r="Q1685">
        <v>0.3312544</v>
      </c>
      <c r="R1685">
        <v>-0.87723039999999997</v>
      </c>
      <c r="S1685">
        <v>0.61372380000000004</v>
      </c>
      <c r="T1685">
        <v>-0.47989179999999998</v>
      </c>
      <c r="U1685">
        <v>-3.3632200000000001</v>
      </c>
      <c r="V1685">
        <v>0.21143039999999999</v>
      </c>
      <c r="W1685">
        <v>0.34024939999999998</v>
      </c>
      <c r="X1685">
        <v>0.91625730000000005</v>
      </c>
      <c r="Y1685">
        <v>0.3989528</v>
      </c>
      <c r="Z1685">
        <v>8.3374630000000005E-2</v>
      </c>
      <c r="AA1685">
        <v>0.91317320000000002</v>
      </c>
      <c r="AB1685">
        <v>24</v>
      </c>
      <c r="AC1685">
        <v>1.3319999999999901</v>
      </c>
      <c r="AD1685">
        <v>-1.097552948363</v>
      </c>
      <c r="AE1685">
        <v>-7.5657999999999603</v>
      </c>
      <c r="AF1685">
        <v>3.0470709996213698</v>
      </c>
      <c r="AG1685">
        <v>-1.097552948363</v>
      </c>
      <c r="AH1685">
        <v>6.8842919373114899</v>
      </c>
      <c r="AI1685">
        <v>98.294526213893704</v>
      </c>
      <c r="AJ1685">
        <v>66.125238392232703</v>
      </c>
      <c r="AK1685">
        <v>7.6080706903475797</v>
      </c>
      <c r="AL1685">
        <v>70.107929457638306</v>
      </c>
      <c r="AM1685">
        <v>77.006190195003697</v>
      </c>
      <c r="AN1685">
        <v>0.99999995402390396</v>
      </c>
    </row>
    <row r="1686" spans="1:40" x14ac:dyDescent="0.25">
      <c r="A1686" t="str">
        <f>"20190304164123142"</f>
        <v>20190304164123142</v>
      </c>
      <c r="B1686" t="str">
        <f>"1551688883132631"</f>
        <v>1551688883132631</v>
      </c>
      <c r="C1686" t="s">
        <v>40</v>
      </c>
      <c r="D1686">
        <v>5.6437080000000002</v>
      </c>
      <c r="E1686">
        <v>0.586565</v>
      </c>
      <c r="F1686" t="s">
        <v>44</v>
      </c>
      <c r="G1686">
        <v>-196.26570000000001</v>
      </c>
      <c r="H1686" s="1">
        <v>-2.3976219999999999E-6</v>
      </c>
      <c r="I1686">
        <v>350.83670000000001</v>
      </c>
      <c r="J1686">
        <v>-197.542</v>
      </c>
      <c r="K1686">
        <v>1.097588</v>
      </c>
      <c r="L1686">
        <v>357.46769999999998</v>
      </c>
      <c r="M1686">
        <v>0.54425469999999998</v>
      </c>
      <c r="N1686">
        <v>-1.7120750000000001E-2</v>
      </c>
      <c r="O1686">
        <v>-0.83874530000000003</v>
      </c>
      <c r="P1686">
        <v>0.33801290000000001</v>
      </c>
      <c r="Q1686">
        <v>0.33300390000000002</v>
      </c>
      <c r="R1686">
        <v>-0.88025909999999996</v>
      </c>
      <c r="S1686">
        <v>0.67468260000000002</v>
      </c>
      <c r="T1686">
        <v>-0.54254159999999996</v>
      </c>
      <c r="U1686">
        <v>-3.3574519999999999</v>
      </c>
      <c r="V1686">
        <v>0.20685580000000001</v>
      </c>
      <c r="W1686">
        <v>0.34219559999999999</v>
      </c>
      <c r="X1686">
        <v>0.91657670000000002</v>
      </c>
      <c r="Y1686">
        <v>0.36869249999999998</v>
      </c>
      <c r="Z1686">
        <v>9.9164589999999997E-2</v>
      </c>
      <c r="AA1686">
        <v>0.92424680000000003</v>
      </c>
      <c r="AB1686">
        <v>24</v>
      </c>
      <c r="AC1686">
        <v>1.27629999999999</v>
      </c>
      <c r="AD1686">
        <v>-1.0975903976220001</v>
      </c>
      <c r="AE1686">
        <v>-6.63099999999997</v>
      </c>
      <c r="AF1686">
        <v>2.47348621276068</v>
      </c>
      <c r="AG1686">
        <v>-1.0975903976220001</v>
      </c>
      <c r="AH1686">
        <v>6.0962108299310396</v>
      </c>
      <c r="AI1686">
        <v>99.471703321733401</v>
      </c>
      <c r="AJ1686">
        <v>67.915559827810995</v>
      </c>
      <c r="AK1686">
        <v>6.6698294737300197</v>
      </c>
      <c r="AL1686">
        <v>69.989301510345996</v>
      </c>
      <c r="AM1686">
        <v>77.282373365331793</v>
      </c>
      <c r="AN1686">
        <v>0.99999999881794499</v>
      </c>
    </row>
    <row r="1687" spans="1:40" x14ac:dyDescent="0.25">
      <c r="A1687" t="str">
        <f>"20190304164123154"</f>
        <v>20190304164123154</v>
      </c>
      <c r="B1687" t="str">
        <f>"1551688883142391"</f>
        <v>1551688883142391</v>
      </c>
      <c r="C1687" t="s">
        <v>40</v>
      </c>
      <c r="D1687">
        <v>5.5695389999999998</v>
      </c>
      <c r="E1687">
        <v>0.58673599999999904</v>
      </c>
      <c r="F1687" t="s">
        <v>44</v>
      </c>
      <c r="G1687">
        <v>-196.22579999999999</v>
      </c>
      <c r="H1687" s="1">
        <v>-2.251371E-6</v>
      </c>
      <c r="I1687">
        <v>350.60759999999999</v>
      </c>
      <c r="J1687">
        <v>-197.4803</v>
      </c>
      <c r="K1687">
        <v>1.097629</v>
      </c>
      <c r="L1687">
        <v>357.35070000000002</v>
      </c>
      <c r="M1687">
        <v>0.5349602</v>
      </c>
      <c r="N1687">
        <v>-1.7130200000000002E-2</v>
      </c>
      <c r="O1687">
        <v>-0.84470369999999995</v>
      </c>
      <c r="P1687">
        <v>0.33003280000000002</v>
      </c>
      <c r="Q1687">
        <v>0.3332618</v>
      </c>
      <c r="R1687">
        <v>-0.88318479999999999</v>
      </c>
      <c r="S1687">
        <v>0.645401</v>
      </c>
      <c r="T1687">
        <v>-0.53820440000000003</v>
      </c>
      <c r="U1687">
        <v>-3.363861</v>
      </c>
      <c r="V1687">
        <v>0.20493980000000001</v>
      </c>
      <c r="W1687">
        <v>0.34255039999999998</v>
      </c>
      <c r="X1687">
        <v>0.91687450000000004</v>
      </c>
      <c r="Y1687">
        <v>0.36653200000000002</v>
      </c>
      <c r="Z1687">
        <v>9.9468050000000002E-2</v>
      </c>
      <c r="AA1687">
        <v>0.92507320000000004</v>
      </c>
      <c r="AB1687">
        <v>24</v>
      </c>
      <c r="AC1687">
        <v>1.2544999999999999</v>
      </c>
      <c r="AD1687">
        <v>-1.097631251371</v>
      </c>
      <c r="AE1687">
        <v>-6.7431000000000196</v>
      </c>
      <c r="AF1687">
        <v>2.4843575584801201</v>
      </c>
      <c r="AG1687">
        <v>-1.097631251371</v>
      </c>
      <c r="AH1687">
        <v>6.20894916697568</v>
      </c>
      <c r="AI1687">
        <v>99.320907594273393</v>
      </c>
      <c r="AJ1687">
        <v>68.192402562060593</v>
      </c>
      <c r="AK1687">
        <v>6.7770108897988104</v>
      </c>
      <c r="AL1687">
        <v>69.967664838411295</v>
      </c>
      <c r="AM1687">
        <v>77.400353067570705</v>
      </c>
      <c r="AN1687">
        <v>0.99999997345722402</v>
      </c>
    </row>
    <row r="1688" spans="1:40" x14ac:dyDescent="0.25">
      <c r="A1688" t="str">
        <f>"20190304164123168"</f>
        <v>20190304164123168</v>
      </c>
      <c r="B1688" t="str">
        <f>"1551688883163394"</f>
        <v>1551688883163394</v>
      </c>
      <c r="C1688" t="s">
        <v>40</v>
      </c>
      <c r="D1688">
        <v>5.5967969999999996</v>
      </c>
      <c r="E1688">
        <v>0.58605050000000003</v>
      </c>
      <c r="F1688" t="s">
        <v>44</v>
      </c>
      <c r="G1688">
        <v>-196.22300000000001</v>
      </c>
      <c r="H1688" s="1">
        <v>-2.1531449999999999E-6</v>
      </c>
      <c r="I1688">
        <v>350.44290000000001</v>
      </c>
      <c r="J1688">
        <v>-197.41399999999999</v>
      </c>
      <c r="K1688">
        <v>1.097683</v>
      </c>
      <c r="L1688">
        <v>357.22239999999999</v>
      </c>
      <c r="M1688">
        <v>0.52476259999999997</v>
      </c>
      <c r="N1688">
        <v>-1.7136209999999999E-2</v>
      </c>
      <c r="O1688">
        <v>-0.8510761</v>
      </c>
      <c r="P1688">
        <v>0.32116309999999998</v>
      </c>
      <c r="Q1688">
        <v>0.33377410000000002</v>
      </c>
      <c r="R1688">
        <v>-0.88625569999999898</v>
      </c>
      <c r="S1688">
        <v>0.61332699999999996</v>
      </c>
      <c r="T1688">
        <v>-0.53542780000000001</v>
      </c>
      <c r="U1688">
        <v>-3.3696290000000002</v>
      </c>
      <c r="V1688">
        <v>0.20296149999999999</v>
      </c>
      <c r="W1688">
        <v>0.34316229999999998</v>
      </c>
      <c r="X1688">
        <v>0.91708579999999995</v>
      </c>
      <c r="Y1688">
        <v>0.36416609999999999</v>
      </c>
      <c r="Z1688">
        <v>0.1002072</v>
      </c>
      <c r="AA1688">
        <v>0.92592739999999996</v>
      </c>
      <c r="AB1688">
        <v>24</v>
      </c>
      <c r="AC1688">
        <v>1.19100000000003</v>
      </c>
      <c r="AD1688">
        <v>-1.097685153145</v>
      </c>
      <c r="AE1688">
        <v>-6.7794999999999801</v>
      </c>
      <c r="AF1688">
        <v>2.4812694562123099</v>
      </c>
      <c r="AG1688">
        <v>-1.097685153145</v>
      </c>
      <c r="AH1688">
        <v>6.2371854628585499</v>
      </c>
      <c r="AI1688">
        <v>99.287135979602297</v>
      </c>
      <c r="AJ1688">
        <v>68.306408729806094</v>
      </c>
      <c r="AK1688">
        <v>6.8017713360463103</v>
      </c>
      <c r="AL1688">
        <v>69.930345010971095</v>
      </c>
      <c r="AM1688">
        <v>77.520934837414501</v>
      </c>
      <c r="AN1688">
        <v>1.00000004959258</v>
      </c>
    </row>
    <row r="1689" spans="1:40" x14ac:dyDescent="0.25">
      <c r="A1689" t="str">
        <f>"20190304164123180"</f>
        <v>20190304164123180</v>
      </c>
      <c r="B1689" t="str">
        <f>"1551688883173155"</f>
        <v>1551688883173155</v>
      </c>
      <c r="C1689" t="s">
        <v>40</v>
      </c>
      <c r="D1689">
        <v>5.6483290000000004</v>
      </c>
      <c r="E1689">
        <v>0.58545029999999998</v>
      </c>
      <c r="F1689" t="s">
        <v>44</v>
      </c>
      <c r="G1689">
        <v>-196.2234</v>
      </c>
      <c r="H1689" s="1">
        <v>-2.1000950000000001E-6</v>
      </c>
      <c r="I1689">
        <v>350.35309999999998</v>
      </c>
      <c r="J1689">
        <v>-197.3443</v>
      </c>
      <c r="K1689">
        <v>1.0977619999999999</v>
      </c>
      <c r="L1689">
        <v>357.08420000000001</v>
      </c>
      <c r="M1689">
        <v>0.51377249999999997</v>
      </c>
      <c r="N1689">
        <v>-1.7136390000000001E-2</v>
      </c>
      <c r="O1689">
        <v>-0.85775539999999995</v>
      </c>
      <c r="P1689">
        <v>0.31193280000000001</v>
      </c>
      <c r="Q1689">
        <v>0.33396550000000003</v>
      </c>
      <c r="R1689">
        <v>-0.88947500000000002</v>
      </c>
      <c r="S1689">
        <v>0.58517459999999999</v>
      </c>
      <c r="T1689">
        <v>-0.53948090000000004</v>
      </c>
      <c r="U1689">
        <v>-3.3760680000000001</v>
      </c>
      <c r="V1689">
        <v>0.20059370000000001</v>
      </c>
      <c r="W1689">
        <v>0.34347129999999998</v>
      </c>
      <c r="X1689">
        <v>0.91749099999999995</v>
      </c>
      <c r="Y1689">
        <v>0.36002820000000002</v>
      </c>
      <c r="Z1689">
        <v>0.102506</v>
      </c>
      <c r="AA1689">
        <v>0.92729289999999998</v>
      </c>
      <c r="AB1689">
        <v>24</v>
      </c>
      <c r="AC1689">
        <v>1.1209</v>
      </c>
      <c r="AD1689">
        <v>-1.097764100095</v>
      </c>
      <c r="AE1689">
        <v>-6.7311000000000201</v>
      </c>
      <c r="AF1689">
        <v>2.4341659679027901</v>
      </c>
      <c r="AG1689">
        <v>-1.097764100095</v>
      </c>
      <c r="AH1689">
        <v>6.19025234727075</v>
      </c>
      <c r="AI1689">
        <v>99.371419316703594</v>
      </c>
      <c r="AJ1689">
        <v>68.533975307837807</v>
      </c>
      <c r="AK1689">
        <v>6.7416225125443301</v>
      </c>
      <c r="AL1689">
        <v>69.911494923963801</v>
      </c>
      <c r="AM1689">
        <v>77.667316899043598</v>
      </c>
      <c r="AN1689">
        <v>1.00000005074218</v>
      </c>
    </row>
    <row r="1690" spans="1:40" x14ac:dyDescent="0.25">
      <c r="A1690" t="str">
        <f>"20190304164123200"</f>
        <v>20190304164123200</v>
      </c>
      <c r="B1690" t="str">
        <f>"1551688883192674"</f>
        <v>1551688883192674</v>
      </c>
      <c r="C1690" t="s">
        <v>40</v>
      </c>
      <c r="D1690">
        <v>5.5909180000000003</v>
      </c>
      <c r="E1690">
        <v>0.5845399</v>
      </c>
      <c r="F1690" t="s">
        <v>44</v>
      </c>
      <c r="G1690">
        <v>-196.2208</v>
      </c>
      <c r="H1690" s="1">
        <v>-2.02667E-6</v>
      </c>
      <c r="I1690">
        <v>350.2303</v>
      </c>
      <c r="J1690">
        <v>-197.25649999999999</v>
      </c>
      <c r="K1690">
        <v>1.0979000000000001</v>
      </c>
      <c r="L1690">
        <v>356.90230000000003</v>
      </c>
      <c r="M1690">
        <v>0.49943739999999998</v>
      </c>
      <c r="N1690">
        <v>-1.7118899999999999E-2</v>
      </c>
      <c r="O1690">
        <v>-0.86618099999999998</v>
      </c>
      <c r="P1690">
        <v>0.30293179999999997</v>
      </c>
      <c r="Q1690">
        <v>0.33443050000000002</v>
      </c>
      <c r="R1690">
        <v>-0.89240599999999903</v>
      </c>
      <c r="S1690">
        <v>0.554367099999999</v>
      </c>
      <c r="T1690">
        <v>-0.54163799999999995</v>
      </c>
      <c r="U1690">
        <v>-3.3817439999999999</v>
      </c>
      <c r="V1690">
        <v>0.19437670000000001</v>
      </c>
      <c r="W1690">
        <v>0.3441998</v>
      </c>
      <c r="X1690">
        <v>0.91855549999999997</v>
      </c>
      <c r="Y1690">
        <v>0.35304039999999998</v>
      </c>
      <c r="Z1690">
        <v>0.10493520000000001</v>
      </c>
      <c r="AA1690">
        <v>0.9297048</v>
      </c>
      <c r="AB1690">
        <v>24</v>
      </c>
      <c r="AC1690">
        <v>1.0356999999999901</v>
      </c>
      <c r="AD1690">
        <v>-1.0979020266699999</v>
      </c>
      <c r="AE1690">
        <v>-6.6720000000000201</v>
      </c>
      <c r="AF1690">
        <v>2.3727615510243401</v>
      </c>
      <c r="AG1690">
        <v>-1.0979020266699999</v>
      </c>
      <c r="AH1690">
        <v>6.1351311963801898</v>
      </c>
      <c r="AI1690">
        <v>99.4756431318918</v>
      </c>
      <c r="AJ1690">
        <v>68.856025241693402</v>
      </c>
      <c r="AK1690">
        <v>6.6689745114959704</v>
      </c>
      <c r="AL1690">
        <v>69.867043864848497</v>
      </c>
      <c r="AM1690">
        <v>78.051829687439806</v>
      </c>
      <c r="AN1690">
        <v>1.00000000520159</v>
      </c>
    </row>
    <row r="1691" spans="1:40" x14ac:dyDescent="0.25">
      <c r="A1691" t="str">
        <f>"20190304164123221"</f>
        <v>20190304164123221</v>
      </c>
      <c r="B1691" t="str">
        <f>"1551688883212194"</f>
        <v>1551688883212194</v>
      </c>
      <c r="C1691" t="s">
        <v>40</v>
      </c>
      <c r="D1691">
        <v>5.5565569999999997</v>
      </c>
      <c r="E1691">
        <v>0.58404460000000002</v>
      </c>
      <c r="F1691" t="s">
        <v>44</v>
      </c>
      <c r="G1691">
        <v>-196.2</v>
      </c>
      <c r="H1691" s="1">
        <v>-1.923628E-6</v>
      </c>
      <c r="I1691">
        <v>350.06549999999999</v>
      </c>
      <c r="J1691">
        <v>-197.1567</v>
      </c>
      <c r="K1691">
        <v>1.0981240000000001</v>
      </c>
      <c r="L1691">
        <v>356.6866</v>
      </c>
      <c r="M1691">
        <v>0.48265140000000001</v>
      </c>
      <c r="N1691">
        <v>-1.707419E-2</v>
      </c>
      <c r="O1691">
        <v>-0.87564619999999904</v>
      </c>
      <c r="P1691">
        <v>0.29256110000000002</v>
      </c>
      <c r="Q1691">
        <v>0.3349859</v>
      </c>
      <c r="R1691">
        <v>-0.89565209999999995</v>
      </c>
      <c r="S1691">
        <v>0.52354429999999996</v>
      </c>
      <c r="T1691">
        <v>-0.54404580000000002</v>
      </c>
      <c r="U1691">
        <v>-3.387848</v>
      </c>
      <c r="V1691">
        <v>0.18699959999999999</v>
      </c>
      <c r="W1691">
        <v>0.3450704</v>
      </c>
      <c r="X1691">
        <v>0.91975949999999995</v>
      </c>
      <c r="Y1691">
        <v>0.34358050000000001</v>
      </c>
      <c r="Z1691">
        <v>0.1077499</v>
      </c>
      <c r="AA1691">
        <v>0.93292140000000001</v>
      </c>
      <c r="AB1691">
        <v>24</v>
      </c>
      <c r="AC1691">
        <v>0.95670000000001199</v>
      </c>
      <c r="AD1691">
        <v>-1.0981259236280001</v>
      </c>
      <c r="AE1691">
        <v>-6.62110000000001</v>
      </c>
      <c r="AF1691">
        <v>2.2964201559534398</v>
      </c>
      <c r="AG1691">
        <v>-1.0981259236280001</v>
      </c>
      <c r="AH1691">
        <v>6.0961480756930797</v>
      </c>
      <c r="AI1691">
        <v>99.568432480556694</v>
      </c>
      <c r="AJ1691">
        <v>69.358598608385407</v>
      </c>
      <c r="AK1691">
        <v>6.6062430652822304</v>
      </c>
      <c r="AL1691">
        <v>69.813906373050898</v>
      </c>
      <c r="AM1691">
        <v>78.507632130741996</v>
      </c>
      <c r="AN1691">
        <v>0.99999998459828399</v>
      </c>
    </row>
    <row r="1692" spans="1:40" x14ac:dyDescent="0.25">
      <c r="A1692" t="str">
        <f>"20190304164123234"</f>
        <v>20190304164123234</v>
      </c>
      <c r="B1692" t="str">
        <f>"1551688883222930"</f>
        <v>1551688883222930</v>
      </c>
      <c r="C1692" t="s">
        <v>40</v>
      </c>
      <c r="D1692">
        <v>5.4973589999999897</v>
      </c>
      <c r="E1692">
        <v>0.58386559999999998</v>
      </c>
      <c r="F1692" t="s">
        <v>44</v>
      </c>
      <c r="G1692">
        <v>-196.17670000000001</v>
      </c>
      <c r="H1692" s="1">
        <v>-1.7656760000000001E-6</v>
      </c>
      <c r="I1692">
        <v>349.8091</v>
      </c>
      <c r="J1692">
        <v>-197.09970000000001</v>
      </c>
      <c r="K1692">
        <v>1.0983069999999999</v>
      </c>
      <c r="L1692">
        <v>356.55770000000001</v>
      </c>
      <c r="M1692">
        <v>0.47284169999999998</v>
      </c>
      <c r="N1692">
        <v>-1.702563E-2</v>
      </c>
      <c r="O1692">
        <v>-0.88098279999999995</v>
      </c>
      <c r="P1692">
        <v>0.28577560000000002</v>
      </c>
      <c r="Q1692">
        <v>0.33516020000000002</v>
      </c>
      <c r="R1692">
        <v>-0.89777510000000005</v>
      </c>
      <c r="S1692">
        <v>0.48365780000000003</v>
      </c>
      <c r="T1692">
        <v>-0.54196789999999995</v>
      </c>
      <c r="U1692">
        <v>-3.3942869999999998</v>
      </c>
      <c r="V1692">
        <v>0.18347630000000001</v>
      </c>
      <c r="W1692">
        <v>0.34540159999999998</v>
      </c>
      <c r="X1692">
        <v>0.92034459999999996</v>
      </c>
      <c r="Y1692">
        <v>0.34409519999999999</v>
      </c>
      <c r="Z1692">
        <v>0.1083301</v>
      </c>
      <c r="AA1692">
        <v>0.93266450000000001</v>
      </c>
      <c r="AB1692">
        <v>24</v>
      </c>
      <c r="AC1692">
        <v>0.92300000000000104</v>
      </c>
      <c r="AD1692">
        <v>-1.098308765676</v>
      </c>
      <c r="AE1692">
        <v>-6.7485999999999997</v>
      </c>
      <c r="AF1692">
        <v>2.31795064399298</v>
      </c>
      <c r="AG1692">
        <v>-1.098308765676</v>
      </c>
      <c r="AH1692">
        <v>6.2210129705682604</v>
      </c>
      <c r="AI1692">
        <v>99.393780870702997</v>
      </c>
      <c r="AJ1692">
        <v>69.564596605414806</v>
      </c>
      <c r="AK1692">
        <v>6.72905489000697</v>
      </c>
      <c r="AL1692">
        <v>69.793687162212194</v>
      </c>
      <c r="AM1692">
        <v>78.725546320473498</v>
      </c>
      <c r="AN1692">
        <v>1.0000000003467</v>
      </c>
    </row>
    <row r="1693" spans="1:40" x14ac:dyDescent="0.25">
      <c r="A1693" t="str">
        <f>"20190304164123254"</f>
        <v>20190304164123254</v>
      </c>
      <c r="B1693" t="str">
        <f>"1551688883242450"</f>
        <v>1551688883242450</v>
      </c>
      <c r="C1693" t="s">
        <v>40</v>
      </c>
      <c r="D1693">
        <v>5.4254989999999896</v>
      </c>
      <c r="E1693">
        <v>0.58331840000000001</v>
      </c>
      <c r="F1693" t="s">
        <v>44</v>
      </c>
      <c r="G1693">
        <v>-196.1686</v>
      </c>
      <c r="H1693" s="1">
        <v>-1.6778249999999999E-6</v>
      </c>
      <c r="I1693">
        <v>349.6644</v>
      </c>
      <c r="J1693">
        <v>-197.01230000000001</v>
      </c>
      <c r="K1693">
        <v>1.098646</v>
      </c>
      <c r="L1693">
        <v>356.35480000000001</v>
      </c>
      <c r="M1693">
        <v>0.4576424</v>
      </c>
      <c r="N1693">
        <v>-1.6930509999999999E-2</v>
      </c>
      <c r="O1693">
        <v>-0.88897510000000002</v>
      </c>
      <c r="P1693">
        <v>0.2781362</v>
      </c>
      <c r="Q1693">
        <v>0.33431040000000001</v>
      </c>
      <c r="R1693">
        <v>-0.90048719999999904</v>
      </c>
      <c r="S1693">
        <v>0.45890809999999999</v>
      </c>
      <c r="T1693">
        <v>-0.54134019999999905</v>
      </c>
      <c r="U1693">
        <v>-3.3976139999999999</v>
      </c>
      <c r="V1693">
        <v>0.17524779999999901</v>
      </c>
      <c r="W1693">
        <v>0.34489229999999998</v>
      </c>
      <c r="X1693">
        <v>0.9221374</v>
      </c>
      <c r="Y1693">
        <v>0.3348045</v>
      </c>
      <c r="Z1693">
        <v>0.1102583</v>
      </c>
      <c r="AA1693">
        <v>0.93581460000000005</v>
      </c>
      <c r="AB1693">
        <v>24</v>
      </c>
      <c r="AC1693">
        <v>0.843700000000012</v>
      </c>
      <c r="AD1693">
        <v>-1.0986476778250001</v>
      </c>
      <c r="AE1693">
        <v>-6.6904000000000101</v>
      </c>
      <c r="AF1693">
        <v>2.2523288710829399</v>
      </c>
      <c r="AG1693">
        <v>-1.0986476778250001</v>
      </c>
      <c r="AH1693">
        <v>6.1708238836291303</v>
      </c>
      <c r="AI1693">
        <v>99.494657746403206</v>
      </c>
      <c r="AJ1693">
        <v>69.948096850401299</v>
      </c>
      <c r="AK1693">
        <v>6.6602612160689096</v>
      </c>
      <c r="AL1693">
        <v>69.824777179620497</v>
      </c>
      <c r="AM1693">
        <v>79.239532593404505</v>
      </c>
      <c r="AN1693">
        <v>0.99999993724144298</v>
      </c>
    </row>
    <row r="1694" spans="1:40" x14ac:dyDescent="0.25">
      <c r="A1694" t="str">
        <f>"20190304164123269"</f>
        <v>20190304164123269</v>
      </c>
      <c r="B1694" t="str">
        <f>"1551688883262476"</f>
        <v>1551688883262476</v>
      </c>
      <c r="C1694" t="s">
        <v>40</v>
      </c>
      <c r="D1694">
        <v>5.4513499999999997</v>
      </c>
      <c r="E1694">
        <v>0.57846260000000005</v>
      </c>
      <c r="F1694" t="s">
        <v>42</v>
      </c>
      <c r="G1694">
        <v>-196.14609999999999</v>
      </c>
      <c r="H1694" s="1">
        <v>-5.3534369999999998E-6</v>
      </c>
      <c r="I1694">
        <v>349.5145</v>
      </c>
      <c r="J1694">
        <v>-196.9511</v>
      </c>
      <c r="K1694">
        <v>1.0989450000000001</v>
      </c>
      <c r="L1694">
        <v>356.2072</v>
      </c>
      <c r="M1694">
        <v>0.44686930000000002</v>
      </c>
      <c r="N1694">
        <v>-1.684424E-2</v>
      </c>
      <c r="O1694">
        <v>-0.89444080000000004</v>
      </c>
      <c r="P1694">
        <v>0.27146799999999999</v>
      </c>
      <c r="Q1694">
        <v>0.3333586</v>
      </c>
      <c r="R1694">
        <v>-0.90287150000000005</v>
      </c>
      <c r="S1694">
        <v>0.43075560000000002</v>
      </c>
      <c r="T1694">
        <v>-0.54629850000000002</v>
      </c>
      <c r="U1694">
        <v>-3.4013059999999999</v>
      </c>
      <c r="V1694">
        <v>0.17076479999999999</v>
      </c>
      <c r="W1694">
        <v>0.34413539999999998</v>
      </c>
      <c r="X1694">
        <v>0.92326070000000005</v>
      </c>
      <c r="Y1694">
        <v>0.33120919999999998</v>
      </c>
      <c r="Z1694">
        <v>0.112716</v>
      </c>
      <c r="AA1694">
        <v>0.93680070000000004</v>
      </c>
      <c r="AB1694">
        <v>24</v>
      </c>
      <c r="AC1694">
        <v>0.80500000000000604</v>
      </c>
      <c r="AD1694">
        <v>-1.098950353437</v>
      </c>
      <c r="AE1694">
        <v>-6.6927000000000003</v>
      </c>
      <c r="AF1694">
        <v>2.2122626700667798</v>
      </c>
      <c r="AG1694">
        <v>-1.098950353437</v>
      </c>
      <c r="AH1694">
        <v>6.1825365776811303</v>
      </c>
      <c r="AI1694">
        <v>99.500921671358</v>
      </c>
      <c r="AJ1694">
        <v>70.311549380288099</v>
      </c>
      <c r="AK1694">
        <v>6.6577441025512103</v>
      </c>
      <c r="AL1694">
        <v>69.870974851959204</v>
      </c>
      <c r="AM1694">
        <v>79.521087812943094</v>
      </c>
      <c r="AN1694">
        <v>1.0000000553083399</v>
      </c>
    </row>
    <row r="1695" spans="1:40" x14ac:dyDescent="0.25">
      <c r="A1695" t="str">
        <f>"20190304164123285"</f>
        <v>20190304164123285</v>
      </c>
      <c r="B1695" t="str">
        <f>"1551688883272237"</f>
        <v>1551688883272237</v>
      </c>
      <c r="C1695" t="s">
        <v>40</v>
      </c>
      <c r="D1695">
        <v>5.3880280000000003</v>
      </c>
      <c r="E1695">
        <v>0.57675050000000005</v>
      </c>
      <c r="F1695" t="s">
        <v>42</v>
      </c>
      <c r="G1695">
        <v>-195.74260000000001</v>
      </c>
      <c r="H1695" s="1">
        <v>-4.2587410000000001E-6</v>
      </c>
      <c r="I1695">
        <v>346.50799999999998</v>
      </c>
      <c r="J1695">
        <v>-196.88579999999999</v>
      </c>
      <c r="K1695">
        <v>1.0993090000000001</v>
      </c>
      <c r="L1695">
        <v>356.0455</v>
      </c>
      <c r="M1695">
        <v>0.43531629999999899</v>
      </c>
      <c r="N1695">
        <v>-1.673823E-2</v>
      </c>
      <c r="O1695">
        <v>-0.90012190000000003</v>
      </c>
      <c r="P1695">
        <v>0.26430569999999998</v>
      </c>
      <c r="Q1695">
        <v>0.33245269999999999</v>
      </c>
      <c r="R1695">
        <v>-0.90532749999999995</v>
      </c>
      <c r="S1695">
        <v>0.4158173</v>
      </c>
      <c r="T1695">
        <v>-0.37812459999999998</v>
      </c>
      <c r="U1695">
        <v>-3.3373110000000001</v>
      </c>
      <c r="V1695">
        <v>0.165961</v>
      </c>
      <c r="W1695">
        <v>0.34343410000000002</v>
      </c>
      <c r="X1695">
        <v>0.92439709999999997</v>
      </c>
      <c r="Y1695">
        <v>0.32069219999999998</v>
      </c>
      <c r="Z1695">
        <v>7.6423859999999996E-2</v>
      </c>
      <c r="AA1695">
        <v>0.94409529999999997</v>
      </c>
      <c r="AB1695">
        <v>24</v>
      </c>
      <c r="AC1695">
        <v>1.14319999999997</v>
      </c>
      <c r="AD1695">
        <v>-1.0993132587409999</v>
      </c>
      <c r="AE1695">
        <v>-9.5374999999999606</v>
      </c>
      <c r="AF1695">
        <v>3.0828705994621699</v>
      </c>
      <c r="AG1695">
        <v>-1.0993132587409999</v>
      </c>
      <c r="AH1695">
        <v>8.9664045048402397</v>
      </c>
      <c r="AI1695">
        <v>96.613453147707105</v>
      </c>
      <c r="AJ1695">
        <v>71.025768806914598</v>
      </c>
      <c r="AK1695">
        <v>9.5451029600676005</v>
      </c>
      <c r="AL1695">
        <v>69.913763660885905</v>
      </c>
      <c r="AM1695">
        <v>79.821872808948697</v>
      </c>
      <c r="AN1695">
        <v>1.0000000165261</v>
      </c>
    </row>
    <row r="1696" spans="1:40" x14ac:dyDescent="0.25">
      <c r="A1696" t="str">
        <f>"20190304164123301"</f>
        <v>20190304164123301</v>
      </c>
      <c r="B1696" t="str">
        <f>"1551688883292734"</f>
        <v>1551688883292734</v>
      </c>
      <c r="C1696" t="s">
        <v>40</v>
      </c>
      <c r="D1696">
        <v>5.2818199999999997</v>
      </c>
      <c r="E1696">
        <v>0.57571510000000004</v>
      </c>
      <c r="F1696" t="s">
        <v>42</v>
      </c>
      <c r="G1696">
        <v>-195.68520000000001</v>
      </c>
      <c r="H1696" s="1">
        <v>-4.0782780000000002E-6</v>
      </c>
      <c r="I1696">
        <v>346.00760000000002</v>
      </c>
      <c r="J1696">
        <v>-196.82390000000001</v>
      </c>
      <c r="K1696">
        <v>1.099696</v>
      </c>
      <c r="L1696">
        <v>355.88749999999999</v>
      </c>
      <c r="M1696">
        <v>0.42436810000000003</v>
      </c>
      <c r="N1696">
        <v>-1.6624030000000001E-2</v>
      </c>
      <c r="O1696">
        <v>-0.90533739999999996</v>
      </c>
      <c r="P1696">
        <v>0.26208720000000002</v>
      </c>
      <c r="Q1696">
        <v>0.33045289999999999</v>
      </c>
      <c r="R1696">
        <v>-0.90670399999999995</v>
      </c>
      <c r="S1696">
        <v>0.39846799999999999</v>
      </c>
      <c r="T1696">
        <v>-0.36483529999999997</v>
      </c>
      <c r="U1696">
        <v>-3.3313290000000002</v>
      </c>
      <c r="V1696">
        <v>0.15686359999999999</v>
      </c>
      <c r="W1696">
        <v>0.34176849999999998</v>
      </c>
      <c r="X1696">
        <v>0.92660030000000004</v>
      </c>
      <c r="Y1696">
        <v>0.31384089999999998</v>
      </c>
      <c r="Z1696">
        <v>7.4418819999999997E-2</v>
      </c>
      <c r="AA1696">
        <v>0.94655469999999997</v>
      </c>
      <c r="AB1696">
        <v>24</v>
      </c>
      <c r="AC1696">
        <v>1.1387</v>
      </c>
      <c r="AD1696">
        <v>-1.099700078278</v>
      </c>
      <c r="AE1696">
        <v>-9.8798999999999602</v>
      </c>
      <c r="AF1696">
        <v>3.1240459164173999</v>
      </c>
      <c r="AG1696">
        <v>-1.099700078278</v>
      </c>
      <c r="AH1696">
        <v>9.31527589864716</v>
      </c>
      <c r="AI1696">
        <v>96.386352526962895</v>
      </c>
      <c r="AJ1696">
        <v>71.460192674649704</v>
      </c>
      <c r="AK1696">
        <v>9.8865245773206691</v>
      </c>
      <c r="AL1696">
        <v>70.015342805406704</v>
      </c>
      <c r="AM1696">
        <v>80.391530639939106</v>
      </c>
      <c r="AN1696">
        <v>1.00000000627865</v>
      </c>
    </row>
    <row r="1697" spans="1:40" x14ac:dyDescent="0.25">
      <c r="A1697" t="str">
        <f>"20190304164123323"</f>
        <v>20190304164123323</v>
      </c>
      <c r="B1697" t="str">
        <f>"1551688883312253"</f>
        <v>1551688883312253</v>
      </c>
      <c r="C1697" t="s">
        <v>40</v>
      </c>
      <c r="D1697">
        <v>5.3859370000000002</v>
      </c>
      <c r="E1697">
        <v>0.57448030000000005</v>
      </c>
      <c r="F1697" t="s">
        <v>42</v>
      </c>
      <c r="G1697">
        <v>-195.61859999999999</v>
      </c>
      <c r="H1697" s="1">
        <v>-3.9637970000000002E-6</v>
      </c>
      <c r="I1697">
        <v>345.70589999999999</v>
      </c>
      <c r="J1697">
        <v>-196.73759999999999</v>
      </c>
      <c r="K1697">
        <v>1.100328</v>
      </c>
      <c r="L1697">
        <v>355.65910000000002</v>
      </c>
      <c r="M1697">
        <v>0.409244</v>
      </c>
      <c r="N1697">
        <v>-1.6441819999999999E-2</v>
      </c>
      <c r="O1697">
        <v>-0.912277</v>
      </c>
      <c r="P1697">
        <v>0.25584810000000002</v>
      </c>
      <c r="Q1697">
        <v>0.32853019999999999</v>
      </c>
      <c r="R1697">
        <v>-0.90918100000000002</v>
      </c>
      <c r="S1697">
        <v>0.39370729999999998</v>
      </c>
      <c r="T1697">
        <v>-0.35921510000000001</v>
      </c>
      <c r="U1697">
        <v>-3.325806</v>
      </c>
      <c r="V1697">
        <v>0.1474471</v>
      </c>
      <c r="W1697">
        <v>0.3401844</v>
      </c>
      <c r="X1697">
        <v>0.92872710000000003</v>
      </c>
      <c r="Y1697">
        <v>0.29918800000000001</v>
      </c>
      <c r="Z1697">
        <v>7.4694380000000005E-2</v>
      </c>
      <c r="AA1697">
        <v>0.95126619999999995</v>
      </c>
      <c r="AB1697">
        <v>24</v>
      </c>
      <c r="AC1697">
        <v>1.11899999999999</v>
      </c>
      <c r="AD1697">
        <v>-1.1003319637969999</v>
      </c>
      <c r="AE1697">
        <v>-9.9532000000000291</v>
      </c>
      <c r="AF1697">
        <v>3.01645635969673</v>
      </c>
      <c r="AG1697">
        <v>-1.1003319637969999</v>
      </c>
      <c r="AH1697">
        <v>9.4255516008414197</v>
      </c>
      <c r="AI1697">
        <v>96.344336048586698</v>
      </c>
      <c r="AJ1697">
        <v>72.253785274384398</v>
      </c>
      <c r="AK1697">
        <v>9.9574475836246599</v>
      </c>
      <c r="AL1697">
        <v>70.111891923018504</v>
      </c>
      <c r="AM1697">
        <v>80.978866260893398</v>
      </c>
      <c r="AN1697">
        <v>1.0000000497880801</v>
      </c>
    </row>
    <row r="1698" spans="1:40" x14ac:dyDescent="0.25">
      <c r="A1698" t="str">
        <f>"20190304164123345"</f>
        <v>20190304164123345</v>
      </c>
      <c r="B1698" t="str">
        <f>"1551688883332749"</f>
        <v>1551688883332749</v>
      </c>
      <c r="C1698" t="s">
        <v>40</v>
      </c>
      <c r="D1698">
        <v>5.2533479999999999</v>
      </c>
      <c r="E1698">
        <v>0.57329609999999998</v>
      </c>
      <c r="F1698" t="s">
        <v>42</v>
      </c>
      <c r="G1698">
        <v>-195.60140000000001</v>
      </c>
      <c r="H1698" s="1">
        <v>-3.9523110000000004E-6</v>
      </c>
      <c r="I1698">
        <v>345.68119999999999</v>
      </c>
      <c r="J1698">
        <v>-196.6567</v>
      </c>
      <c r="K1698">
        <v>1.1010230000000001</v>
      </c>
      <c r="L1698">
        <v>355.43689999999998</v>
      </c>
      <c r="M1698">
        <v>0.39543820000000002</v>
      </c>
      <c r="N1698">
        <v>-1.6239650000000001E-2</v>
      </c>
      <c r="O1698">
        <v>-0.91834910000000003</v>
      </c>
      <c r="P1698">
        <v>0.25252360000000001</v>
      </c>
      <c r="Q1698">
        <v>0.32754870000000003</v>
      </c>
      <c r="R1698">
        <v>-0.91046360000000004</v>
      </c>
      <c r="S1698">
        <v>0.37870789999999999</v>
      </c>
      <c r="T1698">
        <v>-0.36674079999999998</v>
      </c>
      <c r="U1698">
        <v>-3.325653</v>
      </c>
      <c r="V1698">
        <v>0.13629759999999999</v>
      </c>
      <c r="W1698">
        <v>0.33954759999999901</v>
      </c>
      <c r="X1698">
        <v>0.93066130000000002</v>
      </c>
      <c r="Y1698">
        <v>0.28904770000000002</v>
      </c>
      <c r="Z1698">
        <v>7.7918100000000004E-2</v>
      </c>
      <c r="AA1698">
        <v>0.9541385</v>
      </c>
      <c r="AB1698">
        <v>24</v>
      </c>
      <c r="AC1698">
        <v>1.0552999999999799</v>
      </c>
      <c r="AD1698">
        <v>-1.1010269523109999</v>
      </c>
      <c r="AE1698">
        <v>-9.7556999999999903</v>
      </c>
      <c r="AF1698">
        <v>2.8531027394011299</v>
      </c>
      <c r="AG1698">
        <v>-1.1010269523109999</v>
      </c>
      <c r="AH1698">
        <v>9.2610828263110605</v>
      </c>
      <c r="AI1698">
        <v>96.482032881012401</v>
      </c>
      <c r="AJ1698">
        <v>72.877273134274901</v>
      </c>
      <c r="AK1698">
        <v>9.7529539477579394</v>
      </c>
      <c r="AL1698">
        <v>70.150686836920102</v>
      </c>
      <c r="AM1698">
        <v>81.668125692675304</v>
      </c>
      <c r="AN1698">
        <v>1.0000000318746001</v>
      </c>
    </row>
    <row r="1699" spans="1:40" x14ac:dyDescent="0.25">
      <c r="A1699" t="str">
        <f>"20190304164123360"</f>
        <v>20190304164123360</v>
      </c>
      <c r="B1699" t="str">
        <f>"1551688883352269"</f>
        <v>1551688883352269</v>
      </c>
      <c r="C1699" t="s">
        <v>40</v>
      </c>
      <c r="D1699">
        <v>5.4120160000000004</v>
      </c>
      <c r="E1699">
        <v>0.57268479999999999</v>
      </c>
      <c r="F1699" t="s">
        <v>42</v>
      </c>
      <c r="G1699">
        <v>-195.55359999999999</v>
      </c>
      <c r="H1699" s="1">
        <v>-3.9065349999999997E-6</v>
      </c>
      <c r="I1699">
        <v>345.57150000000001</v>
      </c>
      <c r="J1699">
        <v>-196.60079999999999</v>
      </c>
      <c r="K1699">
        <v>1.101505</v>
      </c>
      <c r="L1699">
        <v>355.2792</v>
      </c>
      <c r="M1699">
        <v>0.38609159999999998</v>
      </c>
      <c r="N1699">
        <v>-1.6089309999999999E-2</v>
      </c>
      <c r="O1699">
        <v>-0.92231989999999997</v>
      </c>
      <c r="P1699">
        <v>0.2491757</v>
      </c>
      <c r="Q1699">
        <v>0.32761420000000002</v>
      </c>
      <c r="R1699">
        <v>-0.91136189999999995</v>
      </c>
      <c r="S1699">
        <v>0.3718262</v>
      </c>
      <c r="T1699">
        <v>-0.3711295</v>
      </c>
      <c r="U1699">
        <v>-3.3253780000000002</v>
      </c>
      <c r="V1699">
        <v>0.12981690000000001</v>
      </c>
      <c r="W1699">
        <v>0.3397849</v>
      </c>
      <c r="X1699">
        <v>0.93150089999999997</v>
      </c>
      <c r="Y1699">
        <v>0.28128550000000002</v>
      </c>
      <c r="Z1699">
        <v>7.9952999999999996E-2</v>
      </c>
      <c r="AA1699">
        <v>0.95628760000000002</v>
      </c>
      <c r="AB1699">
        <v>24</v>
      </c>
      <c r="AC1699">
        <v>1.0471999999999999</v>
      </c>
      <c r="AD1699">
        <v>-1.1015089065350001</v>
      </c>
      <c r="AE1699">
        <v>-9.7076999999999796</v>
      </c>
      <c r="AF1699">
        <v>2.7476006498057499</v>
      </c>
      <c r="AG1699">
        <v>-1.1015089065350001</v>
      </c>
      <c r="AH1699">
        <v>9.2415185630274301</v>
      </c>
      <c r="AI1699">
        <v>96.517714684824597</v>
      </c>
      <c r="AJ1699">
        <v>73.442232771922505</v>
      </c>
      <c r="AK1699">
        <v>9.7040350655162797</v>
      </c>
      <c r="AL1699">
        <v>70.136231809341197</v>
      </c>
      <c r="AM1699">
        <v>82.066180094168104</v>
      </c>
      <c r="AN1699">
        <v>1.0000000662472099</v>
      </c>
    </row>
    <row r="1700" spans="1:40" x14ac:dyDescent="0.25">
      <c r="A1700" t="str">
        <f>"20190304164123380"</f>
        <v>20190304164123380</v>
      </c>
      <c r="B1700" t="str">
        <f>"1551688883372764"</f>
        <v>1551688883372764</v>
      </c>
      <c r="C1700" t="s">
        <v>40</v>
      </c>
      <c r="D1700">
        <v>5.4329869999999998</v>
      </c>
      <c r="E1700">
        <v>0.57196159999999996</v>
      </c>
      <c r="F1700" t="s">
        <v>42</v>
      </c>
      <c r="G1700">
        <v>-195.50729999999999</v>
      </c>
      <c r="H1700" s="1">
        <v>-3.7894090000000001E-6</v>
      </c>
      <c r="I1700">
        <v>345.25150000000002</v>
      </c>
      <c r="J1700">
        <v>-196.53399999999999</v>
      </c>
      <c r="K1700">
        <v>1.102079</v>
      </c>
      <c r="L1700">
        <v>355.08569999999997</v>
      </c>
      <c r="M1700">
        <v>0.37524839999999998</v>
      </c>
      <c r="N1700">
        <v>-1.5902059999999999E-2</v>
      </c>
      <c r="O1700">
        <v>-0.92678799999999995</v>
      </c>
      <c r="P1700">
        <v>0.2496834</v>
      </c>
      <c r="Q1700">
        <v>0.32828220000000002</v>
      </c>
      <c r="R1700">
        <v>-0.91098270000000003</v>
      </c>
      <c r="S1700">
        <v>0.36247249999999998</v>
      </c>
      <c r="T1700">
        <v>-0.36512159999999999</v>
      </c>
      <c r="U1700">
        <v>-3.323944</v>
      </c>
      <c r="V1700">
        <v>0.1177416</v>
      </c>
      <c r="W1700">
        <v>0.3407269</v>
      </c>
      <c r="X1700">
        <v>0.93276049999999999</v>
      </c>
      <c r="Y1700">
        <v>0.27264840000000001</v>
      </c>
      <c r="Z1700">
        <v>7.9491179999999995E-2</v>
      </c>
      <c r="AA1700">
        <v>0.95882429999999996</v>
      </c>
      <c r="AB1700">
        <v>24</v>
      </c>
      <c r="AC1700">
        <v>1.0267000000000299</v>
      </c>
      <c r="AD1700">
        <v>-1.102082789409</v>
      </c>
      <c r="AE1700">
        <v>-9.8341999999999494</v>
      </c>
      <c r="AF1700">
        <v>2.7054693260840899</v>
      </c>
      <c r="AG1700">
        <v>-1.102082789409</v>
      </c>
      <c r="AH1700">
        <v>9.3841033141038395</v>
      </c>
      <c r="AI1700">
        <v>96.438321505430807</v>
      </c>
      <c r="AJ1700">
        <v>73.9175461969662</v>
      </c>
      <c r="AK1700">
        <v>9.8283033001056701</v>
      </c>
      <c r="AL1700">
        <v>70.078833647389601</v>
      </c>
      <c r="AM1700">
        <v>82.805650417110499</v>
      </c>
      <c r="AN1700">
        <v>1.0000000275572001</v>
      </c>
    </row>
    <row r="1701" spans="1:40" x14ac:dyDescent="0.25">
      <c r="A1701" t="str">
        <f>"20190304164123400"</f>
        <v>20190304164123400</v>
      </c>
      <c r="B1701" t="str">
        <f>"1551688883392284"</f>
        <v>1551688883392284</v>
      </c>
      <c r="C1701" t="s">
        <v>40</v>
      </c>
      <c r="D1701">
        <v>5.3125809999999998</v>
      </c>
      <c r="E1701">
        <v>0.571277699999999</v>
      </c>
      <c r="F1701" t="s">
        <v>42</v>
      </c>
      <c r="G1701">
        <v>-195.4152</v>
      </c>
      <c r="H1701" s="1">
        <v>-3.716106E-6</v>
      </c>
      <c r="I1701">
        <v>345.08409999999998</v>
      </c>
      <c r="J1701">
        <v>-196.46700000000001</v>
      </c>
      <c r="K1701">
        <v>1.102697</v>
      </c>
      <c r="L1701">
        <v>354.88639999999998</v>
      </c>
      <c r="M1701">
        <v>0.364875</v>
      </c>
      <c r="N1701">
        <v>-1.5707749999999999E-2</v>
      </c>
      <c r="O1701">
        <v>-0.93092410000000003</v>
      </c>
      <c r="P1701">
        <v>0.24487819999999999</v>
      </c>
      <c r="Q1701">
        <v>0.32842450000000001</v>
      </c>
      <c r="R1701">
        <v>-0.91223469999999995</v>
      </c>
      <c r="S1701">
        <v>0.37173460000000003</v>
      </c>
      <c r="T1701">
        <v>-0.36618400000000001</v>
      </c>
      <c r="U1701">
        <v>-3.3231809999999999</v>
      </c>
      <c r="V1701">
        <v>0.1116724</v>
      </c>
      <c r="W1701">
        <v>0.34098509999999999</v>
      </c>
      <c r="X1701">
        <v>0.93341229999999997</v>
      </c>
      <c r="Y1701">
        <v>0.25924649999999999</v>
      </c>
      <c r="Z1701">
        <v>8.0832500000000002E-2</v>
      </c>
      <c r="AA1701">
        <v>0.96242269999999996</v>
      </c>
      <c r="AB1701">
        <v>24</v>
      </c>
      <c r="AC1701">
        <v>1.0518000000000101</v>
      </c>
      <c r="AD1701">
        <v>-1.1027007161059901</v>
      </c>
      <c r="AE1701">
        <v>-9.8023000000000007</v>
      </c>
      <c r="AF1701">
        <v>2.56568949650184</v>
      </c>
      <c r="AG1701">
        <v>-1.1027007161059901</v>
      </c>
      <c r="AH1701">
        <v>9.3926352203860297</v>
      </c>
      <c r="AI1701">
        <v>96.461296036247106</v>
      </c>
      <c r="AJ1701">
        <v>74.721822411133402</v>
      </c>
      <c r="AK1701">
        <v>9.7989952467075305</v>
      </c>
      <c r="AL1701">
        <v>70.063097840120605</v>
      </c>
      <c r="AM1701">
        <v>83.177624524030193</v>
      </c>
      <c r="AN1701">
        <v>1.00000004256752</v>
      </c>
    </row>
    <row r="1702" spans="1:40" x14ac:dyDescent="0.25">
      <c r="A1702" t="str">
        <f>"20190304164123415"</f>
        <v>20190304164123415</v>
      </c>
      <c r="B1702" t="str">
        <f>"1551688883403020"</f>
        <v>1551688883403020</v>
      </c>
      <c r="C1702" t="s">
        <v>40</v>
      </c>
      <c r="D1702">
        <v>5.276999</v>
      </c>
      <c r="E1702">
        <v>0.57091959999999997</v>
      </c>
      <c r="F1702" t="s">
        <v>42</v>
      </c>
      <c r="G1702">
        <v>-195.38339999999999</v>
      </c>
      <c r="H1702" s="1">
        <v>-3.658545E-6</v>
      </c>
      <c r="I1702">
        <v>344.93150000000003</v>
      </c>
      <c r="J1702">
        <v>-196.4143</v>
      </c>
      <c r="K1702">
        <v>1.1032409999999999</v>
      </c>
      <c r="L1702">
        <v>354.72629999999998</v>
      </c>
      <c r="M1702">
        <v>0.35722579999999998</v>
      </c>
      <c r="N1702">
        <v>-1.554561E-2</v>
      </c>
      <c r="O1702">
        <v>-0.93388890000000002</v>
      </c>
      <c r="P1702">
        <v>0.25021880000000002</v>
      </c>
      <c r="Q1702">
        <v>0.32814490000000002</v>
      </c>
      <c r="R1702">
        <v>-0.91088530000000001</v>
      </c>
      <c r="S1702">
        <v>0.36183169999999998</v>
      </c>
      <c r="T1702">
        <v>-0.36820409999999998</v>
      </c>
      <c r="U1702">
        <v>-3.3240660000000002</v>
      </c>
      <c r="V1702">
        <v>9.8040859999999994E-2</v>
      </c>
      <c r="W1702">
        <v>0.340968099999999</v>
      </c>
      <c r="X1702">
        <v>0.93494849999999996</v>
      </c>
      <c r="Y1702">
        <v>0.2541988</v>
      </c>
      <c r="Z1702">
        <v>8.2043889999999994E-2</v>
      </c>
      <c r="AA1702">
        <v>0.96366580000000002</v>
      </c>
      <c r="AB1702">
        <v>24</v>
      </c>
      <c r="AC1702">
        <v>1.0308999999999999</v>
      </c>
      <c r="AD1702">
        <v>-1.103244658545</v>
      </c>
      <c r="AE1702">
        <v>-9.7947999999999507</v>
      </c>
      <c r="AF1702">
        <v>2.5050818831391499</v>
      </c>
      <c r="AG1702">
        <v>-1.103244658545</v>
      </c>
      <c r="AH1702">
        <v>9.3987335328228401</v>
      </c>
      <c r="AI1702">
        <v>96.470981479282301</v>
      </c>
      <c r="AJ1702">
        <v>75.075680562046202</v>
      </c>
      <c r="AK1702">
        <v>9.7892173353567191</v>
      </c>
      <c r="AL1702">
        <v>70.064132589274394</v>
      </c>
      <c r="AM1702">
        <v>84.013710156047395</v>
      </c>
      <c r="AN1702">
        <v>0.99999997654969897</v>
      </c>
    </row>
    <row r="1703" spans="1:40" x14ac:dyDescent="0.25">
      <c r="A1703" t="str">
        <f>"20190304164123435"</f>
        <v>20190304164123435</v>
      </c>
      <c r="B1703" t="str">
        <f>"1551688883422540"</f>
        <v>1551688883422540</v>
      </c>
      <c r="C1703" t="s">
        <v>40</v>
      </c>
      <c r="D1703">
        <v>5.416493</v>
      </c>
      <c r="E1703">
        <v>0.57045469999999998</v>
      </c>
      <c r="F1703" t="s">
        <v>42</v>
      </c>
      <c r="G1703">
        <v>-195.2808</v>
      </c>
      <c r="H1703" s="1">
        <v>-3.59519E-6</v>
      </c>
      <c r="I1703">
        <v>344.79880000000003</v>
      </c>
      <c r="J1703">
        <v>-196.3486</v>
      </c>
      <c r="K1703">
        <v>1.1039650000000001</v>
      </c>
      <c r="L1703">
        <v>354.52379999999999</v>
      </c>
      <c r="M1703">
        <v>0.34832239999999998</v>
      </c>
      <c r="N1703">
        <v>-1.5338620000000001E-2</v>
      </c>
      <c r="O1703">
        <v>-0.93724929999999995</v>
      </c>
      <c r="P1703">
        <v>0.25323410000000002</v>
      </c>
      <c r="Q1703">
        <v>0.3284475</v>
      </c>
      <c r="R1703">
        <v>-0.90994240000000004</v>
      </c>
      <c r="S1703">
        <v>0.37933349999999999</v>
      </c>
      <c r="T1703">
        <v>-0.36920890000000001</v>
      </c>
      <c r="U1703">
        <v>-3.3222960000000001</v>
      </c>
      <c r="V1703">
        <v>8.533048E-2</v>
      </c>
      <c r="W1703">
        <v>0.34146880000000002</v>
      </c>
      <c r="X1703">
        <v>0.9360117</v>
      </c>
      <c r="Y1703">
        <v>0.23993100000000001</v>
      </c>
      <c r="Z1703">
        <v>8.3289379999999996E-2</v>
      </c>
      <c r="AA1703">
        <v>0.96721040000000003</v>
      </c>
      <c r="AB1703">
        <v>24</v>
      </c>
      <c r="AC1703">
        <v>1.0678000000000001</v>
      </c>
      <c r="AD1703">
        <v>-1.10396859518999</v>
      </c>
      <c r="AE1703">
        <v>-9.7249999999999606</v>
      </c>
      <c r="AF1703">
        <v>2.35691084752618</v>
      </c>
      <c r="AG1703">
        <v>-1.10396859518999</v>
      </c>
      <c r="AH1703">
        <v>9.3685151751671398</v>
      </c>
      <c r="AI1703">
        <v>96.519323343604299</v>
      </c>
      <c r="AJ1703">
        <v>75.878702250295902</v>
      </c>
      <c r="AK1703">
        <v>9.7233148663246194</v>
      </c>
      <c r="AL1703">
        <v>70.0336148141661</v>
      </c>
      <c r="AM1703">
        <v>84.791091426602705</v>
      </c>
      <c r="AN1703">
        <v>1.00000006736367</v>
      </c>
    </row>
    <row r="1704" spans="1:40" x14ac:dyDescent="0.25">
      <c r="A1704" t="str">
        <f>"20190304164123455"</f>
        <v>20190304164123455</v>
      </c>
      <c r="B1704" t="str">
        <f>"1551688883443037"</f>
        <v>1551688883443037</v>
      </c>
      <c r="C1704" t="s">
        <v>40</v>
      </c>
      <c r="D1704">
        <v>5.3041320000000001</v>
      </c>
      <c r="E1704">
        <v>0.56996749999999996</v>
      </c>
      <c r="F1704" t="s">
        <v>42</v>
      </c>
      <c r="G1704">
        <v>-195.17679999999999</v>
      </c>
      <c r="H1704" s="1">
        <v>-3.5016769999999999E-6</v>
      </c>
      <c r="I1704">
        <v>344.57819999999998</v>
      </c>
      <c r="J1704">
        <v>-196.27959999999999</v>
      </c>
      <c r="K1704">
        <v>1.104779</v>
      </c>
      <c r="L1704">
        <v>354.3075</v>
      </c>
      <c r="M1704">
        <v>0.33979189999999998</v>
      </c>
      <c r="N1704">
        <v>-1.512222E-2</v>
      </c>
      <c r="O1704">
        <v>-0.94037939999999998</v>
      </c>
      <c r="P1704">
        <v>0.2524535</v>
      </c>
      <c r="Q1704">
        <v>0.32926359999999999</v>
      </c>
      <c r="R1704">
        <v>-0.90986449999999996</v>
      </c>
      <c r="S1704">
        <v>0.39129639999999999</v>
      </c>
      <c r="T1704">
        <v>-0.36863889999999999</v>
      </c>
      <c r="U1704">
        <v>-3.3210449999999998</v>
      </c>
      <c r="V1704">
        <v>7.6816720000000005E-2</v>
      </c>
      <c r="W1704">
        <v>0.34237069999999997</v>
      </c>
      <c r="X1704">
        <v>0.93641949999999996</v>
      </c>
      <c r="Y1704">
        <v>0.2276378</v>
      </c>
      <c r="Z1704">
        <v>8.4042119999999998E-2</v>
      </c>
      <c r="AA1704">
        <v>0.97011230000000004</v>
      </c>
      <c r="AB1704">
        <v>24</v>
      </c>
      <c r="AC1704">
        <v>1.1028</v>
      </c>
      <c r="AD1704">
        <v>-1.1047825016769901</v>
      </c>
      <c r="AE1704">
        <v>-9.7293000000000198</v>
      </c>
      <c r="AF1704">
        <v>2.24062140532835</v>
      </c>
      <c r="AG1704">
        <v>-1.1047825016769901</v>
      </c>
      <c r="AH1704">
        <v>9.40530748879989</v>
      </c>
      <c r="AI1704">
        <v>96.518686193966801</v>
      </c>
      <c r="AJ1704">
        <v>76.600224222342902</v>
      </c>
      <c r="AK1704">
        <v>9.7314303993247897</v>
      </c>
      <c r="AL1704">
        <v>69.978623932858198</v>
      </c>
      <c r="AM1704">
        <v>85.310391327198204</v>
      </c>
      <c r="AN1704">
        <v>0.99999999233514902</v>
      </c>
    </row>
    <row r="1705" spans="1:40" x14ac:dyDescent="0.25">
      <c r="A1705" t="str">
        <f>"20190304164123470"</f>
        <v>20190304164123470</v>
      </c>
      <c r="B1705" t="str">
        <f>"1551688883462556"</f>
        <v>1551688883462556</v>
      </c>
      <c r="C1705" t="s">
        <v>40</v>
      </c>
      <c r="D1705">
        <v>5.305993</v>
      </c>
      <c r="E1705">
        <v>0.56942380000000004</v>
      </c>
      <c r="F1705" t="s">
        <v>41</v>
      </c>
      <c r="G1705">
        <v>-196.1825</v>
      </c>
      <c r="H1705">
        <v>1.01502</v>
      </c>
      <c r="I1705">
        <v>353.49869999999999</v>
      </c>
      <c r="J1705">
        <v>-196.23320000000001</v>
      </c>
      <c r="K1705">
        <v>1.1053309999999901</v>
      </c>
      <c r="L1705">
        <v>354.16</v>
      </c>
      <c r="M1705">
        <v>0.33456580000000002</v>
      </c>
      <c r="N1705">
        <v>-1.4980769999999999E-2</v>
      </c>
      <c r="O1705">
        <v>-0.94225340000000002</v>
      </c>
      <c r="P1705">
        <v>0.25107180000000001</v>
      </c>
      <c r="Q1705">
        <v>0.32949669999999998</v>
      </c>
      <c r="R1705">
        <v>-0.91016209999999997</v>
      </c>
      <c r="S1705">
        <v>0.39903260000000002</v>
      </c>
      <c r="T1705">
        <v>-0.36835790000000002</v>
      </c>
      <c r="U1705">
        <v>-3.3198240000000001</v>
      </c>
      <c r="V1705">
        <v>7.2534070000000006E-2</v>
      </c>
      <c r="W1705">
        <v>0.34262789999999999</v>
      </c>
      <c r="X1705">
        <v>0.93666689999999997</v>
      </c>
      <c r="Y1705">
        <v>0.2199702</v>
      </c>
      <c r="Z1705">
        <v>8.4531780000000001E-2</v>
      </c>
      <c r="AA1705">
        <v>0.97183719999999996</v>
      </c>
      <c r="AB1705">
        <v>24</v>
      </c>
      <c r="AC1705">
        <v>5.0700000000006101E-2</v>
      </c>
      <c r="AD1705">
        <v>-9.0310999999999794E-2</v>
      </c>
      <c r="AE1705">
        <v>-0.66130000000003897</v>
      </c>
      <c r="AF1705">
        <v>0.17033730438622299</v>
      </c>
      <c r="AG1705">
        <v>-9.0310999999999794E-2</v>
      </c>
      <c r="AH1705">
        <v>0.628493388687559</v>
      </c>
      <c r="AI1705">
        <v>97.896036045894505</v>
      </c>
      <c r="AJ1705">
        <v>74.835711096249099</v>
      </c>
      <c r="AK1705">
        <v>0.65740004077466896</v>
      </c>
      <c r="AL1705">
        <v>69.962938436058593</v>
      </c>
      <c r="AM1705">
        <v>85.5719385447657</v>
      </c>
      <c r="AN1705">
        <v>0.99999997536239205</v>
      </c>
    </row>
    <row r="1706" spans="1:40" x14ac:dyDescent="0.25">
      <c r="A1706" t="str">
        <f>"20190304164123490"</f>
        <v>20190304164123490</v>
      </c>
      <c r="B1706" t="str">
        <f>"1551688883483053"</f>
        <v>1551688883483053</v>
      </c>
      <c r="C1706" t="s">
        <v>40</v>
      </c>
      <c r="D1706">
        <v>5.3117859999999997</v>
      </c>
      <c r="E1706">
        <v>0.56895200000000001</v>
      </c>
      <c r="F1706" t="s">
        <v>41</v>
      </c>
      <c r="G1706">
        <v>-196.12979999999999</v>
      </c>
      <c r="H1706">
        <v>1.0092989999999999</v>
      </c>
      <c r="I1706">
        <v>353.30259999999998</v>
      </c>
      <c r="J1706">
        <v>-196.16929999999999</v>
      </c>
      <c r="K1706">
        <v>1.106061</v>
      </c>
      <c r="L1706">
        <v>353.95569999999998</v>
      </c>
      <c r="M1706">
        <v>0.3280515</v>
      </c>
      <c r="N1706">
        <v>-1.479106E-2</v>
      </c>
      <c r="O1706">
        <v>-0.94454419999999994</v>
      </c>
      <c r="P1706">
        <v>0.25478590000000001</v>
      </c>
      <c r="Q1706">
        <v>0.32962970000000003</v>
      </c>
      <c r="R1706">
        <v>-0.90908120000000003</v>
      </c>
      <c r="S1706">
        <v>0.40028380000000002</v>
      </c>
      <c r="T1706">
        <v>-0.37187589999999998</v>
      </c>
      <c r="U1706">
        <v>-3.3203429999999998</v>
      </c>
      <c r="V1706">
        <v>6.1558380000000003E-2</v>
      </c>
      <c r="W1706">
        <v>0.34284109999999901</v>
      </c>
      <c r="X1706">
        <v>0.93737429999999999</v>
      </c>
      <c r="Y1706">
        <v>0.21290990000000001</v>
      </c>
      <c r="Z1706">
        <v>8.6094100000000007E-2</v>
      </c>
      <c r="AA1706">
        <v>0.97327140000000001</v>
      </c>
      <c r="AB1706">
        <v>24</v>
      </c>
      <c r="AC1706">
        <v>3.9500000000003803E-2</v>
      </c>
      <c r="AD1706">
        <v>-9.6762000000000001E-2</v>
      </c>
      <c r="AE1706">
        <v>-0.65309999999999402</v>
      </c>
      <c r="AF1706">
        <v>0.17317284197347199</v>
      </c>
      <c r="AG1706">
        <v>-9.6762000000000001E-2</v>
      </c>
      <c r="AH1706">
        <v>0.61642691512270198</v>
      </c>
      <c r="AI1706">
        <v>98.593637969637399</v>
      </c>
      <c r="AJ1706">
        <v>74.308351776063006</v>
      </c>
      <c r="AK1706">
        <v>0.64755992736491996</v>
      </c>
      <c r="AL1706">
        <v>69.949936265237397</v>
      </c>
      <c r="AM1706">
        <v>86.242719572860096</v>
      </c>
      <c r="AN1706">
        <v>1.0000000161489599</v>
      </c>
    </row>
    <row r="1707" spans="1:40" x14ac:dyDescent="0.25">
      <c r="A1707" t="str">
        <f>"20190304164123513"</f>
        <v>20190304164123513</v>
      </c>
      <c r="B1707" t="str">
        <f>"1551688883502573"</f>
        <v>1551688883502573</v>
      </c>
      <c r="C1707" t="s">
        <v>40</v>
      </c>
      <c r="D1707">
        <v>5.3040539999999998</v>
      </c>
      <c r="E1707">
        <v>0.56855119999999904</v>
      </c>
      <c r="F1707" t="s">
        <v>41</v>
      </c>
      <c r="G1707">
        <v>-196.0652</v>
      </c>
      <c r="H1707">
        <v>1.0108250000000001</v>
      </c>
      <c r="I1707">
        <v>353.10230000000001</v>
      </c>
      <c r="J1707">
        <v>-196.1001</v>
      </c>
      <c r="K1707">
        <v>1.1067830000000001</v>
      </c>
      <c r="L1707">
        <v>353.73239999999998</v>
      </c>
      <c r="M1707">
        <v>0.32188529999999999</v>
      </c>
      <c r="N1707">
        <v>-1.4587009999999999E-2</v>
      </c>
      <c r="O1707">
        <v>-0.94666640000000002</v>
      </c>
      <c r="P1707">
        <v>0.25705480000000003</v>
      </c>
      <c r="Q1707">
        <v>0.33195479999999999</v>
      </c>
      <c r="R1707">
        <v>-0.90759529999999999</v>
      </c>
      <c r="S1707">
        <v>0.40568539999999997</v>
      </c>
      <c r="T1707">
        <v>-0.3705716</v>
      </c>
      <c r="U1707">
        <v>-3.3207089999999901</v>
      </c>
      <c r="V1707">
        <v>5.2203930000000003E-2</v>
      </c>
      <c r="W1707">
        <v>0.34516350000000001</v>
      </c>
      <c r="X1707">
        <v>0.93708959999999997</v>
      </c>
      <c r="Y1707">
        <v>0.20499870000000001</v>
      </c>
      <c r="Z1707">
        <v>8.6363040000000002E-2</v>
      </c>
      <c r="AA1707">
        <v>0.97494460000000005</v>
      </c>
      <c r="AB1707">
        <v>24</v>
      </c>
      <c r="AC1707">
        <v>3.48999999999932E-2</v>
      </c>
      <c r="AD1707">
        <v>-9.5958000000000002E-2</v>
      </c>
      <c r="AE1707">
        <v>-0.63009999999997002</v>
      </c>
      <c r="AF1707">
        <v>0.16596205311621101</v>
      </c>
      <c r="AG1707">
        <v>-9.5958000000000002E-2</v>
      </c>
      <c r="AH1707">
        <v>0.59405749276854203</v>
      </c>
      <c r="AI1707">
        <v>98.842779919939105</v>
      </c>
      <c r="AJ1707">
        <v>74.391212231902799</v>
      </c>
      <c r="AK1707">
        <v>0.62422403474473398</v>
      </c>
      <c r="AL1707">
        <v>69.808223379073993</v>
      </c>
      <c r="AM1707">
        <v>86.8114293346827</v>
      </c>
      <c r="AN1707">
        <v>1.00000000523392</v>
      </c>
    </row>
    <row r="1708" spans="1:40" x14ac:dyDescent="0.25">
      <c r="A1708" t="str">
        <f>"20190304164123529"</f>
        <v>20190304164123529</v>
      </c>
      <c r="B1708" t="str">
        <f>"1551688883523069"</f>
        <v>1551688883523069</v>
      </c>
      <c r="C1708" t="s">
        <v>40</v>
      </c>
      <c r="D1708">
        <v>5.4015259999999996</v>
      </c>
      <c r="E1708">
        <v>0.56804940000000004</v>
      </c>
      <c r="F1708" t="s">
        <v>41</v>
      </c>
      <c r="G1708">
        <v>-195.99760000000001</v>
      </c>
      <c r="H1708">
        <v>1.0159769999999999</v>
      </c>
      <c r="I1708">
        <v>352.90050000000002</v>
      </c>
      <c r="J1708">
        <v>-196.04759999999999</v>
      </c>
      <c r="K1708">
        <v>1.1072630000000001</v>
      </c>
      <c r="L1708">
        <v>353.56189999999998</v>
      </c>
      <c r="M1708">
        <v>0.31779239999999997</v>
      </c>
      <c r="N1708">
        <v>-1.443287E-2</v>
      </c>
      <c r="O1708">
        <v>-0.94805079999999997</v>
      </c>
      <c r="P1708">
        <v>0.25509579999999998</v>
      </c>
      <c r="Q1708">
        <v>0.33354489999999998</v>
      </c>
      <c r="R1708">
        <v>-0.90756519999999996</v>
      </c>
      <c r="S1708">
        <v>0.40954590000000002</v>
      </c>
      <c r="T1708">
        <v>-0.36263469999999998</v>
      </c>
      <c r="U1708">
        <v>-3.3221129999999999</v>
      </c>
      <c r="V1708">
        <v>4.9584980000000001E-2</v>
      </c>
      <c r="W1708">
        <v>0.34668339999999997</v>
      </c>
      <c r="X1708">
        <v>0.93667069999999997</v>
      </c>
      <c r="Y1708">
        <v>0.1996925</v>
      </c>
      <c r="Z1708">
        <v>8.4612530000000005E-2</v>
      </c>
      <c r="AA1708">
        <v>0.97619860000000003</v>
      </c>
      <c r="AB1708">
        <v>24</v>
      </c>
      <c r="AC1708">
        <v>4.9999999999982898E-2</v>
      </c>
      <c r="AD1708">
        <v>-9.1285999999999701E-2</v>
      </c>
      <c r="AE1708">
        <v>-0.66139999999995702</v>
      </c>
      <c r="AF1708">
        <v>0.159775927941334</v>
      </c>
      <c r="AG1708">
        <v>-9.1285999999999701E-2</v>
      </c>
      <c r="AH1708">
        <v>0.63104451473237699</v>
      </c>
      <c r="AI1708">
        <v>97.982728468132095</v>
      </c>
      <c r="AJ1708">
        <v>75.791713124950903</v>
      </c>
      <c r="AK1708">
        <v>0.65732690536698402</v>
      </c>
      <c r="AL1708">
        <v>69.715409853923106</v>
      </c>
      <c r="AM1708">
        <v>86.9697347477085</v>
      </c>
      <c r="AN1708">
        <v>1.00000002515782</v>
      </c>
    </row>
    <row r="1709" spans="1:40" x14ac:dyDescent="0.25">
      <c r="A1709" t="str">
        <f>"20190304164123545"</f>
        <v>20190304164123545</v>
      </c>
      <c r="B1709" t="str">
        <f>"1551688883532830"</f>
        <v>1551688883532830</v>
      </c>
      <c r="C1709" t="s">
        <v>40</v>
      </c>
      <c r="D1709">
        <v>5.4021819999999998</v>
      </c>
      <c r="E1709">
        <v>0.56774630000000004</v>
      </c>
      <c r="F1709" t="s">
        <v>41</v>
      </c>
      <c r="G1709">
        <v>-195.9417</v>
      </c>
      <c r="H1709">
        <v>1.0134860000000001</v>
      </c>
      <c r="I1709">
        <v>352.69819999999999</v>
      </c>
      <c r="J1709">
        <v>-195.99860000000001</v>
      </c>
      <c r="K1709">
        <v>1.107675</v>
      </c>
      <c r="L1709">
        <v>353.40210000000002</v>
      </c>
      <c r="M1709">
        <v>0.3143764</v>
      </c>
      <c r="N1709">
        <v>-1.428954E-2</v>
      </c>
      <c r="O1709">
        <v>-0.9491908</v>
      </c>
      <c r="P1709">
        <v>0.25528869999999998</v>
      </c>
      <c r="Q1709">
        <v>0.33689010000000003</v>
      </c>
      <c r="R1709">
        <v>-0.90627440000000004</v>
      </c>
      <c r="S1709">
        <v>0.40809630000000002</v>
      </c>
      <c r="T1709">
        <v>-0.36096410000000001</v>
      </c>
      <c r="U1709">
        <v>-3.323547</v>
      </c>
      <c r="V1709">
        <v>4.5282900000000001E-2</v>
      </c>
      <c r="W1709">
        <v>0.34995880000000001</v>
      </c>
      <c r="X1709">
        <v>0.93567</v>
      </c>
      <c r="Y1709">
        <v>0.19663739999999999</v>
      </c>
      <c r="Z1709">
        <v>8.4473339999999994E-2</v>
      </c>
      <c r="AA1709">
        <v>0.97683059999999999</v>
      </c>
      <c r="AB1709">
        <v>23</v>
      </c>
      <c r="AC1709">
        <v>5.6900000000013003E-2</v>
      </c>
      <c r="AD1709">
        <v>-9.4188999999999801E-2</v>
      </c>
      <c r="AE1709">
        <v>-0.70390000000003194</v>
      </c>
      <c r="AF1709">
        <v>0.16437365067577001</v>
      </c>
      <c r="AG1709">
        <v>-9.4188999999999801E-2</v>
      </c>
      <c r="AH1709">
        <v>0.67410195787912897</v>
      </c>
      <c r="AI1709">
        <v>97.730519727855693</v>
      </c>
      <c r="AJ1709">
        <v>76.296365183832194</v>
      </c>
      <c r="AK1709">
        <v>0.70021690523291102</v>
      </c>
      <c r="AL1709">
        <v>69.515205392444301</v>
      </c>
      <c r="AM1709">
        <v>87.229262162091402</v>
      </c>
      <c r="AN1709">
        <v>1.00000002581492</v>
      </c>
    </row>
    <row r="1710" spans="1:40" x14ac:dyDescent="0.25">
      <c r="A1710" t="str">
        <f>"20190304164123560"</f>
        <v>20190304164123560</v>
      </c>
      <c r="B1710" t="str">
        <f>"1551688883553325"</f>
        <v>1551688883553325</v>
      </c>
      <c r="C1710" t="s">
        <v>40</v>
      </c>
      <c r="D1710">
        <v>5.3088179999999996</v>
      </c>
      <c r="E1710">
        <v>0.56096140000000005</v>
      </c>
      <c r="F1710" t="s">
        <v>41</v>
      </c>
      <c r="G1710">
        <v>-195.8869</v>
      </c>
      <c r="H1710">
        <v>1.01206</v>
      </c>
      <c r="I1710">
        <v>352.49450000000002</v>
      </c>
      <c r="J1710">
        <v>-195.9513</v>
      </c>
      <c r="K1710">
        <v>1.108036</v>
      </c>
      <c r="L1710">
        <v>353.2473</v>
      </c>
      <c r="M1710">
        <v>0.31145970000000001</v>
      </c>
      <c r="N1710">
        <v>-1.415045E-2</v>
      </c>
      <c r="O1710">
        <v>-0.9501541</v>
      </c>
      <c r="P1710">
        <v>0.25550270000000003</v>
      </c>
      <c r="Q1710">
        <v>0.3385417</v>
      </c>
      <c r="R1710">
        <v>-0.90559820000000002</v>
      </c>
      <c r="S1710">
        <v>0.40951539999999997</v>
      </c>
      <c r="T1710">
        <v>-0.35038859999999999</v>
      </c>
      <c r="U1710">
        <v>-3.3251339999999998</v>
      </c>
      <c r="V1710">
        <v>4.168446E-2</v>
      </c>
      <c r="W1710">
        <v>0.35153600000000002</v>
      </c>
      <c r="X1710">
        <v>0.93524589999999996</v>
      </c>
      <c r="Y1710">
        <v>0.1932528</v>
      </c>
      <c r="Z1710">
        <v>8.188732E-2</v>
      </c>
      <c r="AA1710">
        <v>0.97772590000000004</v>
      </c>
      <c r="AB1710">
        <v>23</v>
      </c>
      <c r="AC1710">
        <v>6.4400000000006202E-2</v>
      </c>
      <c r="AD1710">
        <v>-9.5976000000000006E-2</v>
      </c>
      <c r="AE1710">
        <v>-0.75279999999997904</v>
      </c>
      <c r="AF1710">
        <v>0.17054237836594499</v>
      </c>
      <c r="AG1710">
        <v>-9.5976000000000006E-2</v>
      </c>
      <c r="AH1710">
        <v>0.72372938093905903</v>
      </c>
      <c r="AI1710">
        <v>97.354946025060698</v>
      </c>
      <c r="AJ1710">
        <v>76.740494510453701</v>
      </c>
      <c r="AK1710">
        <v>0.74972015594430097</v>
      </c>
      <c r="AL1710">
        <v>69.418707957829795</v>
      </c>
      <c r="AM1710">
        <v>87.447982396523003</v>
      </c>
      <c r="AN1710">
        <v>1.00000002348415</v>
      </c>
    </row>
    <row r="1711" spans="1:40" x14ac:dyDescent="0.25">
      <c r="A1711" t="str">
        <f>"20190304164123579"</f>
        <v>20190304164123579</v>
      </c>
      <c r="B1711" t="str">
        <f>"1551688883572845"</f>
        <v>1551688883572845</v>
      </c>
      <c r="C1711" t="s">
        <v>40</v>
      </c>
      <c r="D1711">
        <v>5.33026</v>
      </c>
      <c r="E1711">
        <v>0.56097719999999995</v>
      </c>
      <c r="F1711" t="s">
        <v>41</v>
      </c>
      <c r="G1711">
        <v>-195.84809999999999</v>
      </c>
      <c r="H1711">
        <v>1.017566</v>
      </c>
      <c r="I1711">
        <v>352.50659999999999</v>
      </c>
      <c r="J1711">
        <v>-195.8913</v>
      </c>
      <c r="K1711">
        <v>1.108449</v>
      </c>
      <c r="L1711">
        <v>353.05029999999999</v>
      </c>
      <c r="M1711">
        <v>0.30822250000000001</v>
      </c>
      <c r="N1711">
        <v>-1.397522E-2</v>
      </c>
      <c r="O1711">
        <v>-0.95121160000000005</v>
      </c>
      <c r="P1711">
        <v>0.26012069999999998</v>
      </c>
      <c r="Q1711">
        <v>0.34152719999999998</v>
      </c>
      <c r="R1711">
        <v>-0.90315909999999999</v>
      </c>
      <c r="S1711">
        <v>0.46533200000000002</v>
      </c>
      <c r="T1711">
        <v>-0.40730179999999999</v>
      </c>
      <c r="U1711">
        <v>-3.3337400000000001</v>
      </c>
      <c r="V1711">
        <v>3.3008910000000002E-2</v>
      </c>
      <c r="W1711">
        <v>0.35443540000000001</v>
      </c>
      <c r="X1711">
        <v>0.93449769999999999</v>
      </c>
      <c r="Y1711">
        <v>0.17429020000000001</v>
      </c>
      <c r="Z1711">
        <v>9.7464830000000002E-2</v>
      </c>
      <c r="AA1711">
        <v>0.97985889999999998</v>
      </c>
      <c r="AB1711">
        <v>23</v>
      </c>
      <c r="AC1711">
        <v>4.3200000000012999E-2</v>
      </c>
      <c r="AD1711">
        <v>-9.0883000000000005E-2</v>
      </c>
      <c r="AE1711">
        <v>-0.54370000000000096</v>
      </c>
      <c r="AF1711">
        <v>0.123083065101958</v>
      </c>
      <c r="AG1711">
        <v>-9.0883000000000005E-2</v>
      </c>
      <c r="AH1711">
        <v>0.51620776073081698</v>
      </c>
      <c r="AI1711">
        <v>99.718086941117207</v>
      </c>
      <c r="AJ1711">
        <v>76.588968966750599</v>
      </c>
      <c r="AK1711">
        <v>0.53840469244111999</v>
      </c>
      <c r="AL1711">
        <v>69.241154589921194</v>
      </c>
      <c r="AM1711">
        <v>87.977003853844593</v>
      </c>
      <c r="AN1711">
        <v>0.99999999610891899</v>
      </c>
    </row>
    <row r="1712" spans="1:40" x14ac:dyDescent="0.25">
      <c r="A1712" t="str">
        <f>"20190304164123594"</f>
        <v>20190304164123594</v>
      </c>
      <c r="B1712" t="str">
        <f>"1551688883582605"</f>
        <v>1551688883582605</v>
      </c>
      <c r="C1712" t="s">
        <v>40</v>
      </c>
      <c r="D1712">
        <v>5.2435669999999996</v>
      </c>
      <c r="E1712">
        <v>0.56089829999999996</v>
      </c>
      <c r="F1712" t="s">
        <v>41</v>
      </c>
      <c r="G1712">
        <v>-195.78659999999999</v>
      </c>
      <c r="H1712">
        <v>1.020365</v>
      </c>
      <c r="I1712">
        <v>352.30369999999999</v>
      </c>
      <c r="J1712">
        <v>-195.84780000000001</v>
      </c>
      <c r="K1712">
        <v>1.108722</v>
      </c>
      <c r="L1712">
        <v>352.90719999999999</v>
      </c>
      <c r="M1712">
        <v>0.3061623</v>
      </c>
      <c r="N1712">
        <v>-1.3845669999999999E-2</v>
      </c>
      <c r="O1712">
        <v>-0.95187869999999997</v>
      </c>
      <c r="P1712">
        <v>0.26568170000000002</v>
      </c>
      <c r="Q1712">
        <v>0.3448234</v>
      </c>
      <c r="R1712">
        <v>-0.90028319999999995</v>
      </c>
      <c r="S1712">
        <v>0.46838380000000002</v>
      </c>
      <c r="T1712">
        <v>-0.39361000000000002</v>
      </c>
      <c r="U1712">
        <v>-3.3356020000000002</v>
      </c>
      <c r="V1712">
        <v>2.459428E-2</v>
      </c>
      <c r="W1712">
        <v>0.35766019999999998</v>
      </c>
      <c r="X1712">
        <v>0.93352789999999997</v>
      </c>
      <c r="Y1712">
        <v>0.1713142</v>
      </c>
      <c r="Z1712">
        <v>9.3981729999999999E-2</v>
      </c>
      <c r="AA1712">
        <v>0.98072369999999998</v>
      </c>
      <c r="AB1712">
        <v>23</v>
      </c>
      <c r="AC1712">
        <v>6.1200000000013598E-2</v>
      </c>
      <c r="AD1712">
        <v>-8.8357000000000005E-2</v>
      </c>
      <c r="AE1712">
        <v>-0.60349999999999604</v>
      </c>
      <c r="AF1712">
        <v>0.123897361829151</v>
      </c>
      <c r="AG1712">
        <v>-8.8357000000000005E-2</v>
      </c>
      <c r="AH1712">
        <v>0.58092722580541001</v>
      </c>
      <c r="AI1712">
        <v>98.460768243355503</v>
      </c>
      <c r="AJ1712">
        <v>77.960611496219997</v>
      </c>
      <c r="AK1712">
        <v>0.60052806545505699</v>
      </c>
      <c r="AL1712">
        <v>69.043430162624901</v>
      </c>
      <c r="AM1712">
        <v>88.490861862603893</v>
      </c>
      <c r="AN1712">
        <v>1.00000001867558</v>
      </c>
    </row>
    <row r="1713" spans="1:40" x14ac:dyDescent="0.25">
      <c r="A1713" t="str">
        <f>"20190304164123626"</f>
        <v>20190304164123626</v>
      </c>
      <c r="B1713" t="str">
        <f>"1551688883612860"</f>
        <v>1551688883612860</v>
      </c>
      <c r="C1713" t="s">
        <v>40</v>
      </c>
      <c r="D1713">
        <v>5.3287890000000004</v>
      </c>
      <c r="E1713">
        <v>0.56003740000000002</v>
      </c>
      <c r="F1713" t="s">
        <v>41</v>
      </c>
      <c r="G1713">
        <v>-195.73249999999999</v>
      </c>
      <c r="H1713">
        <v>1.0162639999999901</v>
      </c>
      <c r="I1713">
        <v>352.10199999999998</v>
      </c>
      <c r="J1713">
        <v>-195.75319999999999</v>
      </c>
      <c r="K1713">
        <v>1.1092439999999999</v>
      </c>
      <c r="L1713">
        <v>352.5949</v>
      </c>
      <c r="M1713">
        <v>0.30215570000000003</v>
      </c>
      <c r="N1713">
        <v>-1.35555E-2</v>
      </c>
      <c r="O1713">
        <v>-0.95316239999999997</v>
      </c>
      <c r="P1713">
        <v>0.27431440000000001</v>
      </c>
      <c r="Q1713">
        <v>0.35583959999999998</v>
      </c>
      <c r="R1713">
        <v>-0.89338150000000005</v>
      </c>
      <c r="S1713">
        <v>0.478653</v>
      </c>
      <c r="T1713">
        <v>-0.3831908</v>
      </c>
      <c r="U1713">
        <v>-3.3378299999999999</v>
      </c>
      <c r="V1713">
        <v>9.9756610000000003E-3</v>
      </c>
      <c r="W1713">
        <v>0.36843710000000002</v>
      </c>
      <c r="X1713">
        <v>0.92959919999999996</v>
      </c>
      <c r="Y1713">
        <v>0.16427919999999999</v>
      </c>
      <c r="Z1713">
        <v>9.1647129999999993E-2</v>
      </c>
      <c r="AA1713">
        <v>0.9821472</v>
      </c>
      <c r="AB1713">
        <v>23</v>
      </c>
      <c r="AC1713">
        <v>2.0700000000004999E-2</v>
      </c>
      <c r="AD1713">
        <v>-9.2980000000000201E-2</v>
      </c>
      <c r="AE1713">
        <v>-0.49290000000001999</v>
      </c>
      <c r="AF1713">
        <v>0.124781456379029</v>
      </c>
      <c r="AG1713">
        <v>-9.2980000000000201E-2</v>
      </c>
      <c r="AH1713">
        <v>0.45977977465983</v>
      </c>
      <c r="AI1713">
        <v>101.043450922093</v>
      </c>
      <c r="AJ1713">
        <v>74.816009464396501</v>
      </c>
      <c r="AK1713">
        <v>0.48539997264350498</v>
      </c>
      <c r="AL1713">
        <v>68.380739503324094</v>
      </c>
      <c r="AM1713">
        <v>89.385174455018898</v>
      </c>
      <c r="AN1713">
        <v>1.0000000415547099</v>
      </c>
    </row>
    <row r="1714" spans="1:40" x14ac:dyDescent="0.25">
      <c r="A1714" t="str">
        <f>"20190304164123646"</f>
        <v>20190304164123646</v>
      </c>
      <c r="B1714" t="str">
        <f>"1551688883632380"</f>
        <v>1551688883632380</v>
      </c>
      <c r="C1714" t="s">
        <v>40</v>
      </c>
      <c r="D1714">
        <v>5.2994399999999997</v>
      </c>
      <c r="E1714">
        <v>0.55978989999999995</v>
      </c>
      <c r="F1714" t="s">
        <v>41</v>
      </c>
      <c r="G1714">
        <v>-195.61619999999999</v>
      </c>
      <c r="H1714">
        <v>1.0142279999999999</v>
      </c>
      <c r="I1714">
        <v>351.69810000000001</v>
      </c>
      <c r="J1714">
        <v>-195.6909</v>
      </c>
      <c r="K1714">
        <v>1.109461</v>
      </c>
      <c r="L1714">
        <v>352.38799999999998</v>
      </c>
      <c r="M1714">
        <v>0.29979139999999999</v>
      </c>
      <c r="N1714">
        <v>-1.3365230000000001E-2</v>
      </c>
      <c r="O1714">
        <v>-0.95391139999999996</v>
      </c>
      <c r="P1714">
        <v>0.27658250000000001</v>
      </c>
      <c r="Q1714">
        <v>0.36253469999999999</v>
      </c>
      <c r="R1714">
        <v>-0.88998379999999999</v>
      </c>
      <c r="S1714">
        <v>0.51097109999999901</v>
      </c>
      <c r="T1714">
        <v>-0.35420289999999999</v>
      </c>
      <c r="U1714">
        <v>-3.3422239999999999</v>
      </c>
      <c r="V1714">
        <v>4.3307329999999998E-3</v>
      </c>
      <c r="W1714">
        <v>0.37494490000000003</v>
      </c>
      <c r="X1714">
        <v>0.927037</v>
      </c>
      <c r="Y1714">
        <v>0.15262790000000001</v>
      </c>
      <c r="Z1714">
        <v>8.4019570000000002E-2</v>
      </c>
      <c r="AA1714">
        <v>0.98470570000000002</v>
      </c>
      <c r="AB1714">
        <v>23</v>
      </c>
      <c r="AC1714">
        <v>7.4700000000007094E-2</v>
      </c>
      <c r="AD1714">
        <v>-9.5232999999999901E-2</v>
      </c>
      <c r="AE1714">
        <v>-0.68990000000002205</v>
      </c>
      <c r="AF1714">
        <v>0.133074665890451</v>
      </c>
      <c r="AG1714">
        <v>-9.5232999999999901E-2</v>
      </c>
      <c r="AH1714">
        <v>0.66797787802873398</v>
      </c>
      <c r="AI1714">
        <v>97.959575327669199</v>
      </c>
      <c r="AJ1714">
        <v>78.733036474285697</v>
      </c>
      <c r="AK1714">
        <v>0.68773006079902099</v>
      </c>
      <c r="AL1714">
        <v>67.979093015959094</v>
      </c>
      <c r="AM1714">
        <v>89.732339790038097</v>
      </c>
      <c r="AN1714">
        <v>1.00000001632666</v>
      </c>
    </row>
    <row r="1715" spans="1:40" x14ac:dyDescent="0.25">
      <c r="A1715" t="str">
        <f>"20190304164123669"</f>
        <v>20190304164123669</v>
      </c>
      <c r="B1715" t="str">
        <f>"1551688883662637"</f>
        <v>1551688883662637</v>
      </c>
      <c r="C1715" t="s">
        <v>40</v>
      </c>
      <c r="D1715">
        <v>5.3153689999999996</v>
      </c>
      <c r="E1715">
        <v>0.55653050000000004</v>
      </c>
      <c r="F1715" t="s">
        <v>41</v>
      </c>
      <c r="G1715">
        <v>-195.5504</v>
      </c>
      <c r="H1715">
        <v>1.0184930000000001</v>
      </c>
      <c r="I1715">
        <v>351.49579999999997</v>
      </c>
      <c r="J1715">
        <v>-195.62129999999999</v>
      </c>
      <c r="K1715">
        <v>1.1095489999999999</v>
      </c>
      <c r="L1715">
        <v>352.15550000000002</v>
      </c>
      <c r="M1715">
        <v>0.29724709999999899</v>
      </c>
      <c r="N1715">
        <v>-1.3165140000000001E-2</v>
      </c>
      <c r="O1715">
        <v>-0.95470980000000005</v>
      </c>
      <c r="P1715">
        <v>0.278642</v>
      </c>
      <c r="Q1715">
        <v>0.36745299999999997</v>
      </c>
      <c r="R1715">
        <v>-0.88732</v>
      </c>
      <c r="S1715">
        <v>0.52778630000000004</v>
      </c>
      <c r="T1715">
        <v>-0.34127929999999901</v>
      </c>
      <c r="U1715">
        <v>-3.3458559999999999</v>
      </c>
      <c r="V1715">
        <v>-9.7782860000000002E-4</v>
      </c>
      <c r="W1715">
        <v>0.37967070000000003</v>
      </c>
      <c r="X1715">
        <v>0.92512119999999998</v>
      </c>
      <c r="Y1715">
        <v>0.1452841</v>
      </c>
      <c r="Z1715">
        <v>8.0753480000000002E-2</v>
      </c>
      <c r="AA1715">
        <v>0.98608890000000005</v>
      </c>
      <c r="AB1715">
        <v>23</v>
      </c>
      <c r="AC1715">
        <v>7.0899999999994606E-2</v>
      </c>
      <c r="AD1715">
        <v>-9.1055999999999804E-2</v>
      </c>
      <c r="AE1715">
        <v>-0.65970000000004303</v>
      </c>
      <c r="AF1715">
        <v>0.12604227100096199</v>
      </c>
      <c r="AG1715">
        <v>-9.1055999999999804E-2</v>
      </c>
      <c r="AH1715">
        <v>0.63892004608165098</v>
      </c>
      <c r="AI1715">
        <v>97.959537290409301</v>
      </c>
      <c r="AJ1715">
        <v>78.840330645121895</v>
      </c>
      <c r="AK1715">
        <v>0.65756876028295197</v>
      </c>
      <c r="AL1715">
        <v>67.686713814464795</v>
      </c>
      <c r="AM1715">
        <v>90.060560098507594</v>
      </c>
      <c r="AN1715">
        <v>1.0000000156383499</v>
      </c>
    </row>
    <row r="1716" spans="1:40" x14ac:dyDescent="0.25">
      <c r="A1716" t="str">
        <f>"20190304164123691"</f>
        <v>20190304164123691</v>
      </c>
      <c r="B1716" t="str">
        <f>"1551688883683132"</f>
        <v>1551688883683132</v>
      </c>
      <c r="C1716" t="s">
        <v>40</v>
      </c>
      <c r="D1716">
        <v>5.3181250000000002</v>
      </c>
      <c r="E1716">
        <v>0.55683479999999996</v>
      </c>
      <c r="F1716" t="s">
        <v>41</v>
      </c>
      <c r="G1716">
        <v>-195.47730000000001</v>
      </c>
      <c r="H1716">
        <v>1.007226</v>
      </c>
      <c r="I1716">
        <v>351.30399999999997</v>
      </c>
      <c r="J1716">
        <v>-195.55179999999999</v>
      </c>
      <c r="K1716">
        <v>1.1095219999999999</v>
      </c>
      <c r="L1716">
        <v>351.92180000000002</v>
      </c>
      <c r="M1716">
        <v>0.29472470000000001</v>
      </c>
      <c r="N1716">
        <v>-1.296491E-2</v>
      </c>
      <c r="O1716">
        <v>-0.95549450000000002</v>
      </c>
      <c r="P1716">
        <v>0.282636</v>
      </c>
      <c r="Q1716">
        <v>0.37065300000000001</v>
      </c>
      <c r="R1716">
        <v>-0.88472220000000001</v>
      </c>
      <c r="S1716">
        <v>0.57006840000000003</v>
      </c>
      <c r="T1716">
        <v>-0.40498279999999998</v>
      </c>
      <c r="U1716">
        <v>-3.3696589999999902</v>
      </c>
      <c r="V1716">
        <v>-8.0003560000000001E-3</v>
      </c>
      <c r="W1716">
        <v>0.38269219999999998</v>
      </c>
      <c r="X1716">
        <v>0.92384120000000003</v>
      </c>
      <c r="Y1716">
        <v>0.1319351</v>
      </c>
      <c r="Z1716">
        <v>9.7611400000000001E-2</v>
      </c>
      <c r="AA1716">
        <v>0.98644069999999995</v>
      </c>
      <c r="AB1716">
        <v>24</v>
      </c>
      <c r="AC1716">
        <v>7.4499999999972005E-2</v>
      </c>
      <c r="AD1716">
        <v>-0.102295999999999</v>
      </c>
      <c r="AE1716">
        <v>-0.61779999999998803</v>
      </c>
      <c r="AF1716">
        <v>0.107987604307253</v>
      </c>
      <c r="AG1716">
        <v>-0.102295999999999</v>
      </c>
      <c r="AH1716">
        <v>0.59620100195519199</v>
      </c>
      <c r="AI1716">
        <v>99.583027068876902</v>
      </c>
      <c r="AJ1716">
        <v>79.733538752335406</v>
      </c>
      <c r="AK1716">
        <v>0.61447654880588798</v>
      </c>
      <c r="AL1716">
        <v>67.499454937184197</v>
      </c>
      <c r="AM1716">
        <v>90.496162300659293</v>
      </c>
      <c r="AN1716">
        <v>0.99999994422720095</v>
      </c>
    </row>
    <row r="1717" spans="1:40" x14ac:dyDescent="0.25">
      <c r="A1717" t="str">
        <f>"20190304164123713"</f>
        <v>20190304164123713</v>
      </c>
      <c r="B1717" t="str">
        <f>"1551688883702653"</f>
        <v>1551688883702653</v>
      </c>
      <c r="C1717" t="s">
        <v>40</v>
      </c>
      <c r="D1717">
        <v>5.3408559999999996</v>
      </c>
      <c r="E1717">
        <v>0.55747840000000004</v>
      </c>
      <c r="F1717" t="s">
        <v>41</v>
      </c>
      <c r="G1717">
        <v>-195.41200000000001</v>
      </c>
      <c r="H1717">
        <v>1.012014</v>
      </c>
      <c r="I1717">
        <v>351.101</v>
      </c>
      <c r="J1717">
        <v>-195.4871</v>
      </c>
      <c r="K1717">
        <v>1.1094360000000001</v>
      </c>
      <c r="L1717">
        <v>351.70170000000002</v>
      </c>
      <c r="M1717">
        <v>0.29232150000000001</v>
      </c>
      <c r="N1717">
        <v>-1.277236E-2</v>
      </c>
      <c r="O1717">
        <v>-0.95623480000000005</v>
      </c>
      <c r="P1717">
        <v>0.28694999999999998</v>
      </c>
      <c r="Q1717">
        <v>0.37132409999999999</v>
      </c>
      <c r="R1717">
        <v>-0.88305040000000001</v>
      </c>
      <c r="S1717">
        <v>0.5760651</v>
      </c>
      <c r="T1717">
        <v>-0.40097579999999999</v>
      </c>
      <c r="U1717">
        <v>-3.374908</v>
      </c>
      <c r="V1717">
        <v>-1.489388E-2</v>
      </c>
      <c r="W1717">
        <v>0.38320670000000001</v>
      </c>
      <c r="X1717">
        <v>0.92354250000000004</v>
      </c>
      <c r="Y1717">
        <v>0.1279806</v>
      </c>
      <c r="Z1717">
        <v>9.6698599999999996E-2</v>
      </c>
      <c r="AA1717">
        <v>0.98705140000000002</v>
      </c>
      <c r="AB1717">
        <v>24</v>
      </c>
      <c r="AC1717">
        <v>7.5099999999991895E-2</v>
      </c>
      <c r="AD1717">
        <v>-9.7422000000000106E-2</v>
      </c>
      <c r="AE1717">
        <v>-0.600700000000017</v>
      </c>
      <c r="AF1717">
        <v>0.101172608675645</v>
      </c>
      <c r="AG1717">
        <v>-9.7422000000000106E-2</v>
      </c>
      <c r="AH1717">
        <v>0.58135637972352405</v>
      </c>
      <c r="AI1717">
        <v>99.3747218461328</v>
      </c>
      <c r="AJ1717">
        <v>80.127769352867503</v>
      </c>
      <c r="AK1717">
        <v>0.59808208723843104</v>
      </c>
      <c r="AL1717">
        <v>67.467544389204605</v>
      </c>
      <c r="AM1717">
        <v>90.923923367529099</v>
      </c>
      <c r="AN1717">
        <v>0.99999997594629597</v>
      </c>
    </row>
    <row r="1718" spans="1:40" x14ac:dyDescent="0.25">
      <c r="A1718" t="str">
        <f>"20190304164123735"</f>
        <v>20190304164123735</v>
      </c>
      <c r="B1718" t="str">
        <f>"1551688883723149"</f>
        <v>1551688883723149</v>
      </c>
      <c r="C1718" t="s">
        <v>40</v>
      </c>
      <c r="D1718">
        <v>5.3124500000000001</v>
      </c>
      <c r="E1718">
        <v>0.56982480000000002</v>
      </c>
      <c r="F1718" t="s">
        <v>41</v>
      </c>
      <c r="G1718">
        <v>-195.3503</v>
      </c>
      <c r="H1718">
        <v>1.0151600000000001</v>
      </c>
      <c r="I1718">
        <v>350.89760000000001</v>
      </c>
      <c r="J1718">
        <v>-195.4228</v>
      </c>
      <c r="K1718">
        <v>1.10931</v>
      </c>
      <c r="L1718">
        <v>351.48110000000003</v>
      </c>
      <c r="M1718">
        <v>0.2898442</v>
      </c>
      <c r="N1718">
        <v>-1.258597E-2</v>
      </c>
      <c r="O1718">
        <v>-0.95699129999999999</v>
      </c>
      <c r="P1718">
        <v>0.28904200000000002</v>
      </c>
      <c r="Q1718">
        <v>0.36737300000000001</v>
      </c>
      <c r="R1718">
        <v>-0.88402069999999999</v>
      </c>
      <c r="S1718">
        <v>0.57507319999999995</v>
      </c>
      <c r="T1718">
        <v>-0.3960246</v>
      </c>
      <c r="U1718">
        <v>-3.3769840000000002</v>
      </c>
      <c r="V1718">
        <v>-1.8963879999999999E-2</v>
      </c>
      <c r="W1718">
        <v>0.37912099999999999</v>
      </c>
      <c r="X1718">
        <v>0.9251528</v>
      </c>
      <c r="Y1718">
        <v>0.12577969999999999</v>
      </c>
      <c r="Z1718">
        <v>9.5627790000000004E-2</v>
      </c>
      <c r="AA1718">
        <v>0.9874385</v>
      </c>
      <c r="AB1718">
        <v>24</v>
      </c>
      <c r="AC1718">
        <v>7.2499999999990905E-2</v>
      </c>
      <c r="AD1718">
        <v>-9.41499999999999E-2</v>
      </c>
      <c r="AE1718">
        <v>-0.58350000000001501</v>
      </c>
      <c r="AF1718">
        <v>9.7256516590132597E-2</v>
      </c>
      <c r="AG1718">
        <v>-9.41499999999999E-2</v>
      </c>
      <c r="AH1718">
        <v>0.56497828065280398</v>
      </c>
      <c r="AI1718">
        <v>99.326323224990503</v>
      </c>
      <c r="AJ1718">
        <v>80.232714196523204</v>
      </c>
      <c r="AK1718">
        <v>0.58096773587579298</v>
      </c>
      <c r="AL1718">
        <v>67.720754757732905</v>
      </c>
      <c r="AM1718">
        <v>91.174290502159394</v>
      </c>
      <c r="AN1718">
        <v>1.00000003236674</v>
      </c>
    </row>
    <row r="1719" spans="1:40" x14ac:dyDescent="0.25">
      <c r="A1719" t="str">
        <f>"20190304164123758"</f>
        <v>20190304164123758</v>
      </c>
      <c r="B1719" t="str">
        <f>"1551688883753405"</f>
        <v>1551688883753405</v>
      </c>
      <c r="C1719" t="s">
        <v>40</v>
      </c>
      <c r="D1719">
        <v>5.3581430000000001</v>
      </c>
      <c r="E1719">
        <v>0.57083280000000003</v>
      </c>
      <c r="F1719" t="s">
        <v>41</v>
      </c>
      <c r="G1719">
        <v>-195.3108</v>
      </c>
      <c r="H1719">
        <v>1.011779</v>
      </c>
      <c r="I1719">
        <v>350.6902</v>
      </c>
      <c r="J1719">
        <v>-195.35589999999999</v>
      </c>
      <c r="K1719">
        <v>1.1091770000000001</v>
      </c>
      <c r="L1719">
        <v>351.24930000000001</v>
      </c>
      <c r="M1719">
        <v>0.28714509999999899</v>
      </c>
      <c r="N1719">
        <v>-1.2404439999999999E-2</v>
      </c>
      <c r="O1719">
        <v>-0.95780679999999996</v>
      </c>
      <c r="P1719">
        <v>0.28897469999999997</v>
      </c>
      <c r="Q1719">
        <v>0.36120029999999997</v>
      </c>
      <c r="R1719">
        <v>-0.88658219999999999</v>
      </c>
      <c r="S1719">
        <v>0.48382570000000003</v>
      </c>
      <c r="T1719">
        <v>-0.42065930000000001</v>
      </c>
      <c r="U1719">
        <v>-3.4101870000000001</v>
      </c>
      <c r="V1719">
        <v>-2.0739250000000001E-2</v>
      </c>
      <c r="W1719">
        <v>0.3728207</v>
      </c>
      <c r="X1719">
        <v>0.92767160000000004</v>
      </c>
      <c r="Y1719">
        <v>0.1503843</v>
      </c>
      <c r="Z1719">
        <v>0.1014439</v>
      </c>
      <c r="AA1719">
        <v>0.98340919999999998</v>
      </c>
      <c r="AB1719">
        <v>24</v>
      </c>
      <c r="AC1719">
        <v>4.50999999999908E-2</v>
      </c>
      <c r="AD1719">
        <v>-9.7398000000000096E-2</v>
      </c>
      <c r="AE1719">
        <v>-0.55910000000000004</v>
      </c>
      <c r="AF1719">
        <v>0.11391994421768099</v>
      </c>
      <c r="AG1719">
        <v>-9.7398000000000096E-2</v>
      </c>
      <c r="AH1719">
        <v>0.53244826979847204</v>
      </c>
      <c r="AI1719">
        <v>100.141606370868</v>
      </c>
      <c r="AJ1719">
        <v>77.9233634041274</v>
      </c>
      <c r="AK1719">
        <v>0.55314128765257198</v>
      </c>
      <c r="AL1719">
        <v>68.110317181346304</v>
      </c>
      <c r="AM1719">
        <v>91.280704926160695</v>
      </c>
      <c r="AN1719">
        <v>0.99999999414280605</v>
      </c>
    </row>
    <row r="1720" spans="1:40" x14ac:dyDescent="0.25">
      <c r="A1720" t="str">
        <f>"20190304164123780"</f>
        <v>20190304164123780</v>
      </c>
      <c r="B1720" t="str">
        <f>"1551688883772925"</f>
        <v>1551688883772925</v>
      </c>
      <c r="C1720" t="s">
        <v>40</v>
      </c>
      <c r="D1720">
        <v>5.3031220000000001</v>
      </c>
      <c r="E1720">
        <v>0.57083309999999998</v>
      </c>
      <c r="F1720" t="s">
        <v>41</v>
      </c>
      <c r="G1720">
        <v>-195.25030000000001</v>
      </c>
      <c r="H1720">
        <v>1.0098510000000001</v>
      </c>
      <c r="I1720">
        <v>350.48880000000003</v>
      </c>
      <c r="J1720">
        <v>-195.2902</v>
      </c>
      <c r="K1720">
        <v>1.109076</v>
      </c>
      <c r="L1720">
        <v>351.01870000000002</v>
      </c>
      <c r="M1720">
        <v>0.28437669999999998</v>
      </c>
      <c r="N1720">
        <v>-1.2234190000000001E-2</v>
      </c>
      <c r="O1720">
        <v>-0.95863480000000001</v>
      </c>
      <c r="P1720">
        <v>0.2871725</v>
      </c>
      <c r="Q1720">
        <v>0.355282599999999</v>
      </c>
      <c r="R1720">
        <v>-0.88955419999999996</v>
      </c>
      <c r="S1720">
        <v>0.47393800000000003</v>
      </c>
      <c r="T1720">
        <v>-0.44553549999999997</v>
      </c>
      <c r="U1720">
        <v>-3.410828</v>
      </c>
      <c r="V1720">
        <v>-2.0827169999999999E-2</v>
      </c>
      <c r="W1720">
        <v>0.36677680000000001</v>
      </c>
      <c r="X1720">
        <v>0.93007580000000001</v>
      </c>
      <c r="Y1720">
        <v>0.15044679999999999</v>
      </c>
      <c r="Z1720">
        <v>0.1083775</v>
      </c>
      <c r="AA1720">
        <v>0.98265970000000002</v>
      </c>
      <c r="AB1720">
        <v>24</v>
      </c>
      <c r="AC1720">
        <v>3.9899999999988701E-2</v>
      </c>
      <c r="AD1720">
        <v>-9.9224999999999897E-2</v>
      </c>
      <c r="AE1720">
        <v>-0.52989999999999704</v>
      </c>
      <c r="AF1720">
        <v>0.108661509493938</v>
      </c>
      <c r="AG1720">
        <v>-9.9224999999999897E-2</v>
      </c>
      <c r="AH1720">
        <v>0.50186795713340004</v>
      </c>
      <c r="AI1720">
        <v>100.936698537892</v>
      </c>
      <c r="AJ1720">
        <v>77.783224824289505</v>
      </c>
      <c r="AK1720">
        <v>0.52299557423342802</v>
      </c>
      <c r="AL1720">
        <v>68.483028849542805</v>
      </c>
      <c r="AM1720">
        <v>91.282808928419698</v>
      </c>
      <c r="AN1720">
        <v>0.999999992887044</v>
      </c>
    </row>
    <row r="1721" spans="1:40" x14ac:dyDescent="0.25">
      <c r="A1721" t="str">
        <f>"20190304164123804"</f>
        <v>20190304164123804</v>
      </c>
      <c r="B1721" t="str">
        <f>"1551688883792445"</f>
        <v>1551688883792445</v>
      </c>
      <c r="C1721" t="s">
        <v>40</v>
      </c>
      <c r="D1721">
        <v>5.302619</v>
      </c>
      <c r="E1721">
        <v>0.57080129999999996</v>
      </c>
      <c r="F1721" t="s">
        <v>41</v>
      </c>
      <c r="G1721">
        <v>-195.1909</v>
      </c>
      <c r="H1721">
        <v>1.0075240000000001</v>
      </c>
      <c r="I1721">
        <v>350.2869</v>
      </c>
      <c r="J1721">
        <v>-195.22409999999999</v>
      </c>
      <c r="K1721">
        <v>1.109003</v>
      </c>
      <c r="L1721">
        <v>350.78399999999999</v>
      </c>
      <c r="M1721">
        <v>0.2814991</v>
      </c>
      <c r="N1721">
        <v>-1.20652E-2</v>
      </c>
      <c r="O1721">
        <v>-0.9594857</v>
      </c>
      <c r="P1721">
        <v>0.282997</v>
      </c>
      <c r="Q1721">
        <v>0.35255110000000001</v>
      </c>
      <c r="R1721">
        <v>-0.89197559999999998</v>
      </c>
      <c r="S1721">
        <v>0.4633331</v>
      </c>
      <c r="T1721">
        <v>-0.47346470000000002</v>
      </c>
      <c r="U1721">
        <v>-3.4119869999999999</v>
      </c>
      <c r="V1721">
        <v>-1.8910679999999999E-2</v>
      </c>
      <c r="W1721">
        <v>0.363896</v>
      </c>
      <c r="X1721">
        <v>0.93124759999999995</v>
      </c>
      <c r="Y1721">
        <v>0.15063750000000001</v>
      </c>
      <c r="Z1721">
        <v>0.1161058</v>
      </c>
      <c r="AA1721">
        <v>0.98174729999999999</v>
      </c>
      <c r="AB1721">
        <v>24</v>
      </c>
      <c r="AC1721">
        <v>3.3199999999993603E-2</v>
      </c>
      <c r="AD1721">
        <v>-0.101478999999999</v>
      </c>
      <c r="AE1721">
        <v>-0.497099999999989</v>
      </c>
      <c r="AF1721">
        <v>0.103780403103716</v>
      </c>
      <c r="AG1721">
        <v>-0.101478999999999</v>
      </c>
      <c r="AH1721">
        <v>0.46696751207303699</v>
      </c>
      <c r="AI1721">
        <v>101.977110469273</v>
      </c>
      <c r="AJ1721">
        <v>77.470041199216993</v>
      </c>
      <c r="AK1721">
        <v>0.48900615215051402</v>
      </c>
      <c r="AL1721">
        <v>68.660343613731996</v>
      </c>
      <c r="AM1721">
        <v>91.163335352521898</v>
      </c>
      <c r="AN1721">
        <v>1.0000000025699101</v>
      </c>
    </row>
    <row r="1722" spans="1:40" x14ac:dyDescent="0.25">
      <c r="A1722" t="str">
        <f>"20190304164123828"</f>
        <v>20190304164123828</v>
      </c>
      <c r="B1722" t="str">
        <f>"1551688883822700"</f>
        <v>1551688883822700</v>
      </c>
      <c r="C1722" t="s">
        <v>40</v>
      </c>
      <c r="D1722">
        <v>5.292726</v>
      </c>
      <c r="E1722">
        <v>0.57082480000000002</v>
      </c>
      <c r="F1722" t="s">
        <v>41</v>
      </c>
      <c r="G1722">
        <v>-195.10650000000001</v>
      </c>
      <c r="H1722">
        <v>0.98011649999999995</v>
      </c>
      <c r="I1722">
        <v>349.88330000000002</v>
      </c>
      <c r="J1722">
        <v>-195.1593</v>
      </c>
      <c r="K1722">
        <v>1.108938</v>
      </c>
      <c r="L1722">
        <v>350.55119999999999</v>
      </c>
      <c r="M1722">
        <v>0.27862120000000001</v>
      </c>
      <c r="N1722">
        <v>-1.1897100000000001E-2</v>
      </c>
      <c r="O1722">
        <v>-0.96032740000000005</v>
      </c>
      <c r="P1722">
        <v>0.2769046</v>
      </c>
      <c r="Q1722">
        <v>0.34982380000000002</v>
      </c>
      <c r="R1722">
        <v>-0.89495650000000004</v>
      </c>
      <c r="S1722">
        <v>0.44638060000000002</v>
      </c>
      <c r="T1722">
        <v>-0.48869620000000003</v>
      </c>
      <c r="U1722">
        <v>-3.4148860000000001</v>
      </c>
      <c r="V1722">
        <v>-1.501248E-2</v>
      </c>
      <c r="W1722">
        <v>0.36101100000000003</v>
      </c>
      <c r="X1722">
        <v>0.93244079999999996</v>
      </c>
      <c r="Y1722">
        <v>0.1526351</v>
      </c>
      <c r="Z1722">
        <v>0.12038450000000001</v>
      </c>
      <c r="AA1722">
        <v>0.98092310000000005</v>
      </c>
      <c r="AB1722">
        <v>24</v>
      </c>
      <c r="AC1722">
        <v>5.2799999999990598E-2</v>
      </c>
      <c r="AD1722">
        <v>-0.12882149999999901</v>
      </c>
      <c r="AE1722">
        <v>-0.66789999999997396</v>
      </c>
      <c r="AF1722">
        <v>0.13056829770578099</v>
      </c>
      <c r="AG1722">
        <v>-0.12882149999999901</v>
      </c>
      <c r="AH1722">
        <v>0.63276697415414795</v>
      </c>
      <c r="AI1722">
        <v>101.275989489507</v>
      </c>
      <c r="AJ1722">
        <v>78.340938820381893</v>
      </c>
      <c r="AK1722">
        <v>0.65881492303091604</v>
      </c>
      <c r="AL1722">
        <v>68.837703821108306</v>
      </c>
      <c r="AM1722">
        <v>90.922393608034596</v>
      </c>
      <c r="AN1722">
        <v>1.0000000810906899</v>
      </c>
    </row>
    <row r="1723" spans="1:40" x14ac:dyDescent="0.25">
      <c r="A1723" t="str">
        <f>"20190304164123847"</f>
        <v>20190304164123847</v>
      </c>
      <c r="B1723" t="str">
        <f>"1551688883842221"</f>
        <v>1551688883842221</v>
      </c>
      <c r="C1723" t="s">
        <v>40</v>
      </c>
      <c r="D1723">
        <v>5.2787169999999897</v>
      </c>
      <c r="E1723">
        <v>0.57072990000000001</v>
      </c>
      <c r="F1723" t="s">
        <v>41</v>
      </c>
      <c r="G1723">
        <v>-195.05009999999999</v>
      </c>
      <c r="H1723">
        <v>0.98014900000000005</v>
      </c>
      <c r="I1723">
        <v>349.67869999999999</v>
      </c>
      <c r="J1723">
        <v>-195.10059999999999</v>
      </c>
      <c r="K1723">
        <v>1.1088690000000001</v>
      </c>
      <c r="L1723">
        <v>350.33819999999997</v>
      </c>
      <c r="M1723">
        <v>0.27598709999999999</v>
      </c>
      <c r="N1723">
        <v>-1.174802E-2</v>
      </c>
      <c r="O1723">
        <v>-0.96108970000000005</v>
      </c>
      <c r="P1723">
        <v>0.26948060000000001</v>
      </c>
      <c r="Q1723">
        <v>0.34649730000000001</v>
      </c>
      <c r="R1723">
        <v>-0.89850989999999997</v>
      </c>
      <c r="S1723">
        <v>0.42767329999999998</v>
      </c>
      <c r="T1723">
        <v>-0.50450119999999998</v>
      </c>
      <c r="U1723">
        <v>-3.4170229999999999</v>
      </c>
      <c r="V1723">
        <v>-9.454212E-3</v>
      </c>
      <c r="W1723">
        <v>0.35753819999999997</v>
      </c>
      <c r="X1723">
        <v>0.93385059999999998</v>
      </c>
      <c r="Y1723">
        <v>0.15534999999999999</v>
      </c>
      <c r="Z1723">
        <v>0.12480090000000001</v>
      </c>
      <c r="AA1723">
        <v>0.9799445</v>
      </c>
      <c r="AB1723">
        <v>24</v>
      </c>
      <c r="AC1723">
        <v>5.0499999999999497E-2</v>
      </c>
      <c r="AD1723">
        <v>-0.12872</v>
      </c>
      <c r="AE1723">
        <v>-0.65949999999997999</v>
      </c>
      <c r="AF1723">
        <v>0.12861662699357401</v>
      </c>
      <c r="AG1723">
        <v>-0.12872</v>
      </c>
      <c r="AH1723">
        <v>0.62418133440881496</v>
      </c>
      <c r="AI1723">
        <v>101.41890494077001</v>
      </c>
      <c r="AJ1723">
        <v>78.356793662882396</v>
      </c>
      <c r="AK1723">
        <v>0.65016414340039796</v>
      </c>
      <c r="AL1723">
        <v>69.050913574753196</v>
      </c>
      <c r="AM1723">
        <v>90.580037043326499</v>
      </c>
      <c r="AN1723">
        <v>0.999999944852068</v>
      </c>
    </row>
    <row r="1724" spans="1:40" x14ac:dyDescent="0.25">
      <c r="A1724" t="str">
        <f>"20190304164123869"</f>
        <v>20190304164123869</v>
      </c>
      <c r="B1724" t="str">
        <f>"1551688883862717"</f>
        <v>1551688883862717</v>
      </c>
      <c r="C1724" t="s">
        <v>40</v>
      </c>
      <c r="D1724">
        <v>5.2438330000000004</v>
      </c>
      <c r="E1724">
        <v>0.57367760000000001</v>
      </c>
      <c r="F1724" t="s">
        <v>41</v>
      </c>
      <c r="G1724">
        <v>-194.99879999999999</v>
      </c>
      <c r="H1724">
        <v>0.97750090000000001</v>
      </c>
      <c r="I1724">
        <v>349.47370000000001</v>
      </c>
      <c r="J1724">
        <v>-195.0368</v>
      </c>
      <c r="K1724">
        <v>1.10880499999999</v>
      </c>
      <c r="L1724">
        <v>350.10359999999997</v>
      </c>
      <c r="M1724">
        <v>0.27308359999999998</v>
      </c>
      <c r="N1724">
        <v>-1.1585359999999999E-2</v>
      </c>
      <c r="O1724">
        <v>-0.96192060000000001</v>
      </c>
      <c r="P1724">
        <v>0.26115919999999998</v>
      </c>
      <c r="Q1724">
        <v>0.344097599999999</v>
      </c>
      <c r="R1724">
        <v>-0.90188299999999999</v>
      </c>
      <c r="S1724">
        <v>0.40373229999999999</v>
      </c>
      <c r="T1724">
        <v>-0.51954279999999997</v>
      </c>
      <c r="U1724">
        <v>-3.4181210000000002</v>
      </c>
      <c r="V1724">
        <v>-3.3454410000000002E-3</v>
      </c>
      <c r="W1724">
        <v>0.35497050000000002</v>
      </c>
      <c r="X1724">
        <v>0.93487160000000002</v>
      </c>
      <c r="Y1724">
        <v>0.15922559999999999</v>
      </c>
      <c r="Z1724">
        <v>0.12907589999999999</v>
      </c>
      <c r="AA1724">
        <v>0.97876790000000002</v>
      </c>
      <c r="AB1724">
        <v>24</v>
      </c>
      <c r="AC1724">
        <v>3.80000000000109E-2</v>
      </c>
      <c r="AD1724">
        <v>-0.13130409999999901</v>
      </c>
      <c r="AE1724">
        <v>-0.62989999999996305</v>
      </c>
      <c r="AF1724">
        <v>0.12984964724277501</v>
      </c>
      <c r="AG1724">
        <v>-0.13130409999999901</v>
      </c>
      <c r="AH1724">
        <v>0.59075564726897101</v>
      </c>
      <c r="AI1724">
        <v>102.247879643901</v>
      </c>
      <c r="AJ1724">
        <v>77.603368113715803</v>
      </c>
      <c r="AK1724">
        <v>0.61894582343373505</v>
      </c>
      <c r="AL1724">
        <v>69.208365295462102</v>
      </c>
      <c r="AM1724">
        <v>90.205032254397096</v>
      </c>
      <c r="AN1724">
        <v>1.00000007816614</v>
      </c>
    </row>
    <row r="1725" spans="1:40" x14ac:dyDescent="0.25">
      <c r="A1725" t="str">
        <f>"20190304164123892"</f>
        <v>20190304164123892</v>
      </c>
      <c r="B1725" t="str">
        <f>"1551688883882237"</f>
        <v>1551688883882237</v>
      </c>
      <c r="C1725" t="s">
        <v>40</v>
      </c>
      <c r="D1725">
        <v>5.2299610000000003</v>
      </c>
      <c r="E1725">
        <v>0.57353100000000001</v>
      </c>
      <c r="F1725" t="s">
        <v>41</v>
      </c>
      <c r="G1725">
        <v>-194.95009999999999</v>
      </c>
      <c r="H1725">
        <v>0.98929319999999998</v>
      </c>
      <c r="I1725">
        <v>349.26029999999997</v>
      </c>
      <c r="J1725">
        <v>-194.97319999999999</v>
      </c>
      <c r="K1725">
        <v>1.108751</v>
      </c>
      <c r="L1725">
        <v>349.86680000000001</v>
      </c>
      <c r="M1725">
        <v>0.27014139999999998</v>
      </c>
      <c r="N1725">
        <v>-1.1415170000000001E-2</v>
      </c>
      <c r="O1725">
        <v>-0.96275299999999997</v>
      </c>
      <c r="P1725">
        <v>0.25143140000000003</v>
      </c>
      <c r="Q1725">
        <v>0.34444960000000002</v>
      </c>
      <c r="R1725">
        <v>-0.90450920000000001</v>
      </c>
      <c r="S1725">
        <v>0.35084530000000003</v>
      </c>
      <c r="T1725">
        <v>-0.48316959999999998</v>
      </c>
      <c r="U1725">
        <v>-3.4090880000000001</v>
      </c>
      <c r="V1725">
        <v>3.8904600000000001E-3</v>
      </c>
      <c r="W1725">
        <v>0.35512949999999999</v>
      </c>
      <c r="X1725">
        <v>0.934809</v>
      </c>
      <c r="Y1725">
        <v>0.170771799999999</v>
      </c>
      <c r="Z1725">
        <v>0.1200456</v>
      </c>
      <c r="AA1725">
        <v>0.97797040000000002</v>
      </c>
      <c r="AB1725">
        <v>24</v>
      </c>
      <c r="AC1725">
        <v>2.3099999999999399E-2</v>
      </c>
      <c r="AD1725">
        <v>-0.1194578</v>
      </c>
      <c r="AE1725">
        <v>-0.60650000000003901</v>
      </c>
      <c r="AF1725">
        <v>0.13632925900885401</v>
      </c>
      <c r="AG1725">
        <v>-0.1194578</v>
      </c>
      <c r="AH1725">
        <v>0.56817828426098005</v>
      </c>
      <c r="AI1725">
        <v>101.554566893268</v>
      </c>
      <c r="AJ1725">
        <v>76.507463742085605</v>
      </c>
      <c r="AK1725">
        <v>0.59639114308354202</v>
      </c>
      <c r="AL1725">
        <v>69.198618264553104</v>
      </c>
      <c r="AM1725">
        <v>89.761549523552503</v>
      </c>
      <c r="AN1725">
        <v>0.99999998196512996</v>
      </c>
    </row>
    <row r="1726" spans="1:40" x14ac:dyDescent="0.25">
      <c r="A1726" t="str">
        <f>"20190304164123914"</f>
        <v>20190304164123914</v>
      </c>
      <c r="B1726" t="str">
        <f>"1551688883902733"</f>
        <v>1551688883902733</v>
      </c>
      <c r="C1726" t="s">
        <v>40</v>
      </c>
      <c r="D1726">
        <v>5.2214010000000002</v>
      </c>
      <c r="E1726">
        <v>0.57308950000000003</v>
      </c>
      <c r="F1726" t="s">
        <v>41</v>
      </c>
      <c r="G1726">
        <v>-194.89599999999999</v>
      </c>
      <c r="H1726">
        <v>0.99287460000000005</v>
      </c>
      <c r="I1726">
        <v>349.0523</v>
      </c>
      <c r="J1726">
        <v>-194.91569999999999</v>
      </c>
      <c r="K1726">
        <v>1.1087039999999999</v>
      </c>
      <c r="L1726">
        <v>349.65019999999998</v>
      </c>
      <c r="M1726">
        <v>0.26741910000000002</v>
      </c>
      <c r="N1726">
        <v>-1.1252760000000001E-2</v>
      </c>
      <c r="O1726">
        <v>-0.96351469999999995</v>
      </c>
      <c r="P1726">
        <v>0.2425824</v>
      </c>
      <c r="Q1726">
        <v>0.34675810000000001</v>
      </c>
      <c r="R1726">
        <v>-0.90604249999999997</v>
      </c>
      <c r="S1726">
        <v>0.32388309999999998</v>
      </c>
      <c r="T1726">
        <v>-0.48544759999999998</v>
      </c>
      <c r="U1726">
        <v>-3.4114990000000001</v>
      </c>
      <c r="V1726">
        <v>1.021948E-2</v>
      </c>
      <c r="W1726">
        <v>0.35724689999999998</v>
      </c>
      <c r="X1726">
        <v>0.93395410000000001</v>
      </c>
      <c r="Y1726">
        <v>0.17571349999999999</v>
      </c>
      <c r="Z1726">
        <v>0.120852</v>
      </c>
      <c r="AA1726">
        <v>0.97699519999999995</v>
      </c>
      <c r="AB1726">
        <v>24</v>
      </c>
      <c r="AC1726">
        <v>1.97000000000002E-2</v>
      </c>
      <c r="AD1726">
        <v>-0.1158294</v>
      </c>
      <c r="AE1726">
        <v>-0.597899999999981</v>
      </c>
      <c r="AF1726">
        <v>0.13582552323312599</v>
      </c>
      <c r="AG1726">
        <v>-0.1158294</v>
      </c>
      <c r="AH1726">
        <v>0.56038193336157505</v>
      </c>
      <c r="AI1726">
        <v>101.35844709109701</v>
      </c>
      <c r="AJ1726">
        <v>76.375384855331404</v>
      </c>
      <c r="AK1726">
        <v>0.58812663084064598</v>
      </c>
      <c r="AL1726">
        <v>69.0687858243016</v>
      </c>
      <c r="AM1726">
        <v>89.373085138037098</v>
      </c>
      <c r="AN1726">
        <v>1.0000000231189401</v>
      </c>
    </row>
    <row r="1727" spans="1:40" x14ac:dyDescent="0.25">
      <c r="A1727" t="str">
        <f>"20190304164123935"</f>
        <v>20190304164123935</v>
      </c>
      <c r="B1727" t="str">
        <f>"1551688883922252"</f>
        <v>1551688883922252</v>
      </c>
      <c r="C1727" t="s">
        <v>40</v>
      </c>
      <c r="D1727">
        <v>5.2007690000000002</v>
      </c>
      <c r="E1727">
        <v>0.572806699999999</v>
      </c>
      <c r="F1727" t="s">
        <v>41</v>
      </c>
      <c r="G1727">
        <v>-194.84440000000001</v>
      </c>
      <c r="H1727">
        <v>0.99623700000000004</v>
      </c>
      <c r="I1727">
        <v>348.84350000000001</v>
      </c>
      <c r="J1727">
        <v>-194.85650000000001</v>
      </c>
      <c r="K1727">
        <v>1.108646</v>
      </c>
      <c r="L1727">
        <v>349.42439999999999</v>
      </c>
      <c r="M1727">
        <v>0.26452379999999998</v>
      </c>
      <c r="N1727">
        <v>-1.108134E-2</v>
      </c>
      <c r="O1727">
        <v>-0.96431560000000005</v>
      </c>
      <c r="P1727">
        <v>0.23480300000000001</v>
      </c>
      <c r="Q1727">
        <v>0.3503097</v>
      </c>
      <c r="R1727">
        <v>-0.90672520000000001</v>
      </c>
      <c r="S1727">
        <v>0.30186459999999998</v>
      </c>
      <c r="T1727">
        <v>-0.47572920000000002</v>
      </c>
      <c r="U1727">
        <v>-3.4123540000000001</v>
      </c>
      <c r="V1727">
        <v>1.5152179999999999E-2</v>
      </c>
      <c r="W1727">
        <v>0.36059819999999998</v>
      </c>
      <c r="X1727">
        <v>0.93259820000000004</v>
      </c>
      <c r="Y1727">
        <v>0.17900559999999999</v>
      </c>
      <c r="Z1727">
        <v>0.1185403</v>
      </c>
      <c r="AA1727">
        <v>0.97668069999999896</v>
      </c>
      <c r="AB1727">
        <v>24</v>
      </c>
      <c r="AC1727">
        <v>1.21000000000037E-2</v>
      </c>
      <c r="AD1727">
        <v>-0.112408999999999</v>
      </c>
      <c r="AE1727">
        <v>-0.58089999999998498</v>
      </c>
      <c r="AF1727">
        <v>0.13687908030759899</v>
      </c>
      <c r="AG1727">
        <v>-0.112408999999999</v>
      </c>
      <c r="AH1727">
        <v>0.54307916196808104</v>
      </c>
      <c r="AI1727">
        <v>101.34891491305</v>
      </c>
      <c r="AJ1727">
        <v>75.853661842929597</v>
      </c>
      <c r="AK1727">
        <v>0.57123256390966304</v>
      </c>
      <c r="AL1727">
        <v>68.863062514949405</v>
      </c>
      <c r="AM1727">
        <v>89.069181576451101</v>
      </c>
      <c r="AN1727">
        <v>1.0000000265226101</v>
      </c>
    </row>
    <row r="1728" spans="1:40" x14ac:dyDescent="0.25">
      <c r="A1728" t="str">
        <f>"20190304164123959"</f>
        <v>20190304164123959</v>
      </c>
      <c r="B1728" t="str">
        <f>"1551688883952509"</f>
        <v>1551688883952509</v>
      </c>
      <c r="C1728" t="s">
        <v>40</v>
      </c>
      <c r="D1728">
        <v>5.3912570000000004</v>
      </c>
      <c r="E1728">
        <v>0.57205689999999998</v>
      </c>
      <c r="F1728" t="s">
        <v>41</v>
      </c>
      <c r="G1728">
        <v>-194.79140000000001</v>
      </c>
      <c r="H1728">
        <v>1.0022489999999999</v>
      </c>
      <c r="I1728">
        <v>348.63330000000002</v>
      </c>
      <c r="J1728">
        <v>-194.79249999999999</v>
      </c>
      <c r="K1728">
        <v>1.10854599999999</v>
      </c>
      <c r="L1728">
        <v>349.17689999999999</v>
      </c>
      <c r="M1728">
        <v>0.26124910000000001</v>
      </c>
      <c r="N1728">
        <v>-1.0894249999999999E-2</v>
      </c>
      <c r="O1728">
        <v>-0.96521009999999996</v>
      </c>
      <c r="P1728">
        <v>0.22798350000000001</v>
      </c>
      <c r="Q1728">
        <v>0.35313559999999999</v>
      </c>
      <c r="R1728">
        <v>-0.90736939999999999</v>
      </c>
      <c r="S1728">
        <v>0.28186040000000001</v>
      </c>
      <c r="T1728">
        <v>-0.45905230000000002</v>
      </c>
      <c r="U1728">
        <v>-3.4129640000000001</v>
      </c>
      <c r="V1728">
        <v>1.8811789999999998E-2</v>
      </c>
      <c r="W1728">
        <v>0.36321599999999998</v>
      </c>
      <c r="X1728">
        <v>0.93151499999999998</v>
      </c>
      <c r="Y1728">
        <v>0.18132770000000001</v>
      </c>
      <c r="Z1728">
        <v>0.1144059</v>
      </c>
      <c r="AA1728">
        <v>0.97674539999999999</v>
      </c>
      <c r="AB1728">
        <v>24</v>
      </c>
      <c r="AC1728">
        <v>1.09999999997967E-3</v>
      </c>
      <c r="AD1728">
        <v>-0.106296999999999</v>
      </c>
      <c r="AE1728">
        <v>-0.543599999999969</v>
      </c>
      <c r="AF1728">
        <v>0.13577020687994601</v>
      </c>
      <c r="AG1728">
        <v>-0.106296999999999</v>
      </c>
      <c r="AH1728">
        <v>0.50567141022762996</v>
      </c>
      <c r="AI1728">
        <v>101.47616875336099</v>
      </c>
      <c r="AJ1728">
        <v>74.9708304308338</v>
      </c>
      <c r="AK1728">
        <v>0.53426227305212504</v>
      </c>
      <c r="AL1728">
        <v>68.702165880644301</v>
      </c>
      <c r="AM1728">
        <v>88.843078551792999</v>
      </c>
      <c r="AN1728">
        <v>0.99999997066200097</v>
      </c>
    </row>
    <row r="1729" spans="1:40" x14ac:dyDescent="0.25">
      <c r="A1729" t="str">
        <f>"20190304164123982"</f>
        <v>20190304164123982</v>
      </c>
      <c r="B1729" t="str">
        <f>"1551688883973005"</f>
        <v>1551688883973005</v>
      </c>
      <c r="C1729" t="s">
        <v>40</v>
      </c>
      <c r="D1729">
        <v>5.1476949999999997</v>
      </c>
      <c r="E1729">
        <v>0.57161809999999902</v>
      </c>
      <c r="F1729" t="s">
        <v>41</v>
      </c>
      <c r="G1729">
        <v>-194.73310000000001</v>
      </c>
      <c r="H1729">
        <v>1.0101719999999901</v>
      </c>
      <c r="I1729">
        <v>348.42329999999998</v>
      </c>
      <c r="J1729">
        <v>-194.73220000000001</v>
      </c>
      <c r="K1729">
        <v>1.1084229999999999</v>
      </c>
      <c r="L1729">
        <v>348.93990000000002</v>
      </c>
      <c r="M1729">
        <v>0.25797979999999998</v>
      </c>
      <c r="N1729">
        <v>-1.0707799999999899E-2</v>
      </c>
      <c r="O1729">
        <v>-0.96609089999999997</v>
      </c>
      <c r="P1729">
        <v>0.22254560000000001</v>
      </c>
      <c r="Q1729">
        <v>0.35561730000000003</v>
      </c>
      <c r="R1729">
        <v>-0.90774980000000005</v>
      </c>
      <c r="S1729">
        <v>0.26951599999999998</v>
      </c>
      <c r="T1729">
        <v>-0.44542379999999998</v>
      </c>
      <c r="U1729">
        <v>-3.4119259999999998</v>
      </c>
      <c r="V1729">
        <v>2.1098519999999999E-2</v>
      </c>
      <c r="W1729">
        <v>0.36549710000000002</v>
      </c>
      <c r="X1729">
        <v>0.93057330000000005</v>
      </c>
      <c r="Y1729">
        <v>0.18146100000000001</v>
      </c>
      <c r="Z1729">
        <v>0.1111449</v>
      </c>
      <c r="AA1729">
        <v>0.97709710000000005</v>
      </c>
      <c r="AB1729">
        <v>24</v>
      </c>
      <c r="AC1729">
        <v>-9.0000000000145497E-4</v>
      </c>
      <c r="AD1729">
        <v>-9.8251000000000005E-2</v>
      </c>
      <c r="AE1729">
        <v>-0.51660000000003903</v>
      </c>
      <c r="AF1729">
        <v>0.129466575301036</v>
      </c>
      <c r="AG1729">
        <v>-9.8251000000000005E-2</v>
      </c>
      <c r="AH1729">
        <v>0.48146385041875001</v>
      </c>
      <c r="AI1729">
        <v>101.148245641336</v>
      </c>
      <c r="AJ1729">
        <v>74.949079138721402</v>
      </c>
      <c r="AK1729">
        <v>0.50815577570389503</v>
      </c>
      <c r="AL1729">
        <v>68.561821089898999</v>
      </c>
      <c r="AM1729">
        <v>88.701177996883303</v>
      </c>
      <c r="AN1729">
        <v>0.99999997216374403</v>
      </c>
    </row>
    <row r="1730" spans="1:40" x14ac:dyDescent="0.25">
      <c r="A1730" t="str">
        <f>"20190304164124005"</f>
        <v>20190304164124005</v>
      </c>
      <c r="B1730" t="str">
        <f>"1551688883992525"</f>
        <v>1551688883992525</v>
      </c>
      <c r="C1730" t="s">
        <v>40</v>
      </c>
      <c r="D1730">
        <v>5.2779199999999999</v>
      </c>
      <c r="E1730">
        <v>0.57126440000000001</v>
      </c>
      <c r="F1730" t="s">
        <v>41</v>
      </c>
      <c r="G1730">
        <v>-194.66120000000001</v>
      </c>
      <c r="H1730">
        <v>0.98909959999999997</v>
      </c>
      <c r="I1730">
        <v>348.00709999999998</v>
      </c>
      <c r="J1730">
        <v>-194.6728</v>
      </c>
      <c r="K1730">
        <v>1.108268</v>
      </c>
      <c r="L1730">
        <v>348.702</v>
      </c>
      <c r="M1730">
        <v>0.25452859999999999</v>
      </c>
      <c r="N1730">
        <v>-1.05054E-2</v>
      </c>
      <c r="O1730">
        <v>-0.96700850000000005</v>
      </c>
      <c r="P1730">
        <v>0.2190318</v>
      </c>
      <c r="Q1730">
        <v>0.35635800000000001</v>
      </c>
      <c r="R1730">
        <v>-0.90831430000000002</v>
      </c>
      <c r="S1730">
        <v>0.25979609999999997</v>
      </c>
      <c r="T1730">
        <v>-0.43650729999999999</v>
      </c>
      <c r="U1730">
        <v>-3.4121700000000001</v>
      </c>
      <c r="V1730">
        <v>2.1411429999999999E-2</v>
      </c>
      <c r="W1730">
        <v>0.36603950000000002</v>
      </c>
      <c r="X1730">
        <v>0.93035299999999999</v>
      </c>
      <c r="Y1730">
        <v>0.1807096</v>
      </c>
      <c r="Z1730">
        <v>0.109123499999999</v>
      </c>
      <c r="AA1730">
        <v>0.97746409999999995</v>
      </c>
      <c r="AB1730">
        <v>24</v>
      </c>
      <c r="AC1730">
        <v>1.15999999999871E-2</v>
      </c>
      <c r="AD1730">
        <v>-0.11916839999999999</v>
      </c>
      <c r="AE1730">
        <v>-0.69490000000001795</v>
      </c>
      <c r="AF1730">
        <v>0.16093220897966201</v>
      </c>
      <c r="AG1730">
        <v>-0.11916839999999999</v>
      </c>
      <c r="AH1730">
        <v>0.65568619383660898</v>
      </c>
      <c r="AI1730">
        <v>100.010020867023</v>
      </c>
      <c r="AJ1730">
        <v>76.209870550680705</v>
      </c>
      <c r="AK1730">
        <v>0.685583450962444</v>
      </c>
      <c r="AL1730">
        <v>68.528431467827303</v>
      </c>
      <c r="AM1730">
        <v>88.681610045955097</v>
      </c>
      <c r="AN1730">
        <v>1.00000003475194</v>
      </c>
    </row>
    <row r="1731" spans="1:40" x14ac:dyDescent="0.25">
      <c r="A1731" t="str">
        <f>"20190304164124027"</f>
        <v>20190304164124027</v>
      </c>
      <c r="B1731" t="str">
        <f>"1551688884022780"</f>
        <v>1551688884022780</v>
      </c>
      <c r="C1731" t="s">
        <v>40</v>
      </c>
      <c r="D1731">
        <v>5.1396129999999998</v>
      </c>
      <c r="E1731">
        <v>0.57090019999999997</v>
      </c>
      <c r="F1731" t="s">
        <v>41</v>
      </c>
      <c r="G1731">
        <v>-194.6063</v>
      </c>
      <c r="H1731">
        <v>0.99385480000000004</v>
      </c>
      <c r="I1731">
        <v>347.79629999999997</v>
      </c>
      <c r="J1731">
        <v>-194.6139</v>
      </c>
      <c r="K1731">
        <v>1.108106</v>
      </c>
      <c r="L1731">
        <v>348.46190000000001</v>
      </c>
      <c r="M1731">
        <v>0.25090590000000002</v>
      </c>
      <c r="N1731">
        <v>-1.0301050000000001E-2</v>
      </c>
      <c r="O1731">
        <v>-0.96795679999999995</v>
      </c>
      <c r="P1731">
        <v>0.2170559</v>
      </c>
      <c r="Q1731">
        <v>0.35524600000000001</v>
      </c>
      <c r="R1731">
        <v>-0.90922360000000002</v>
      </c>
      <c r="S1731">
        <v>0.25082399999999999</v>
      </c>
      <c r="T1731">
        <v>-0.4309576</v>
      </c>
      <c r="U1731">
        <v>-3.4114070000000001</v>
      </c>
      <c r="V1731">
        <v>2.014842E-2</v>
      </c>
      <c r="W1731">
        <v>0.36474380000000001</v>
      </c>
      <c r="X1731">
        <v>0.93088990000000005</v>
      </c>
      <c r="Y1731">
        <v>0.17956250000000001</v>
      </c>
      <c r="Z1731">
        <v>0.10804850000000001</v>
      </c>
      <c r="AA1731">
        <v>0.97779490000000002</v>
      </c>
      <c r="AB1731">
        <v>24</v>
      </c>
      <c r="AC1731">
        <v>7.5999999999964898E-3</v>
      </c>
      <c r="AD1731">
        <v>-0.1142512</v>
      </c>
      <c r="AE1731">
        <v>-0.66560000000004005</v>
      </c>
      <c r="AF1731">
        <v>0.15508605279833501</v>
      </c>
      <c r="AG1731">
        <v>-0.1142512</v>
      </c>
      <c r="AH1731">
        <v>0.62772026139282899</v>
      </c>
      <c r="AI1731">
        <v>100.020551091</v>
      </c>
      <c r="AJ1731">
        <v>76.122278918869497</v>
      </c>
      <c r="AK1731">
        <v>0.65661080332042199</v>
      </c>
      <c r="AL1731">
        <v>68.608183477084197</v>
      </c>
      <c r="AM1731">
        <v>88.760069038519006</v>
      </c>
      <c r="AN1731">
        <v>1.0000000021944699</v>
      </c>
    </row>
    <row r="1732" spans="1:40" x14ac:dyDescent="0.25">
      <c r="A1732" t="str">
        <f>"20190304164124051"</f>
        <v>20190304164124051</v>
      </c>
      <c r="B1732" t="str">
        <f>"1551688884042301"</f>
        <v>1551688884042301</v>
      </c>
      <c r="C1732" t="s">
        <v>40</v>
      </c>
      <c r="D1732">
        <v>5.1965000000000003</v>
      </c>
      <c r="E1732">
        <v>0.57062979999999996</v>
      </c>
      <c r="F1732" t="s">
        <v>41</v>
      </c>
      <c r="G1732">
        <v>-194.55099999999999</v>
      </c>
      <c r="H1732">
        <v>0.99730339999999995</v>
      </c>
      <c r="I1732">
        <v>347.58580000000001</v>
      </c>
      <c r="J1732">
        <v>-194.55549999999999</v>
      </c>
      <c r="K1732">
        <v>1.107944</v>
      </c>
      <c r="L1732">
        <v>348.21890000000002</v>
      </c>
      <c r="M1732">
        <v>0.24708849999999999</v>
      </c>
      <c r="N1732">
        <v>-1.009265E-2</v>
      </c>
      <c r="O1732">
        <v>-0.96894040000000003</v>
      </c>
      <c r="P1732">
        <v>0.2142482</v>
      </c>
      <c r="Q1732">
        <v>0.35311540000000002</v>
      </c>
      <c r="R1732">
        <v>-0.91071809999999997</v>
      </c>
      <c r="S1732">
        <v>0.2454529</v>
      </c>
      <c r="T1732">
        <v>-0.43118519999999999</v>
      </c>
      <c r="U1732">
        <v>-3.4093930000000001</v>
      </c>
      <c r="V1732">
        <v>1.9636359999999999E-2</v>
      </c>
      <c r="W1732">
        <v>0.36242550000000001</v>
      </c>
      <c r="X1732">
        <v>0.93180580000000002</v>
      </c>
      <c r="Y1732">
        <v>0.17718249999999999</v>
      </c>
      <c r="Z1732">
        <v>0.1085969</v>
      </c>
      <c r="AA1732">
        <v>0.97816820000000004</v>
      </c>
      <c r="AB1732">
        <v>24</v>
      </c>
      <c r="AC1732">
        <v>4.5000000000072699E-3</v>
      </c>
      <c r="AD1732">
        <v>-0.11064060000000001</v>
      </c>
      <c r="AE1732">
        <v>-0.63310000000001299</v>
      </c>
      <c r="AF1732">
        <v>0.14757244228216801</v>
      </c>
      <c r="AG1732">
        <v>-0.11064060000000001</v>
      </c>
      <c r="AH1732">
        <v>0.59636658009715005</v>
      </c>
      <c r="AI1732">
        <v>100.209113398258</v>
      </c>
      <c r="AJ1732">
        <v>76.101209996495101</v>
      </c>
      <c r="AK1732">
        <v>0.62423718725037103</v>
      </c>
      <c r="AL1732">
        <v>68.750769444556298</v>
      </c>
      <c r="AM1732">
        <v>88.792759122526206</v>
      </c>
      <c r="AN1732">
        <v>0.99999993929896702</v>
      </c>
    </row>
    <row r="1733" spans="1:40" x14ac:dyDescent="0.25">
      <c r="A1733" t="str">
        <f>"20190304164124071"</f>
        <v>20190304164124071</v>
      </c>
      <c r="B1733" t="str">
        <f>"1551688884062797"</f>
        <v>1551688884062797</v>
      </c>
      <c r="C1733" t="s">
        <v>40</v>
      </c>
      <c r="D1733">
        <v>5.1599849999999998</v>
      </c>
      <c r="E1733">
        <v>0.54755120000000002</v>
      </c>
      <c r="F1733" t="s">
        <v>41</v>
      </c>
      <c r="G1733">
        <v>-194.49600000000001</v>
      </c>
      <c r="H1733">
        <v>0.99878599999999995</v>
      </c>
      <c r="I1733">
        <v>347.37540000000001</v>
      </c>
      <c r="J1733">
        <v>-194.50389999999999</v>
      </c>
      <c r="K1733">
        <v>1.1078030000000001</v>
      </c>
      <c r="L1733">
        <v>348.00060000000002</v>
      </c>
      <c r="M1733">
        <v>0.2435291</v>
      </c>
      <c r="N1733">
        <v>-9.8988860000000008E-3</v>
      </c>
      <c r="O1733">
        <v>-0.96984300000000001</v>
      </c>
      <c r="P1733">
        <v>0.2118746</v>
      </c>
      <c r="Q1733">
        <v>0.35087590000000002</v>
      </c>
      <c r="R1733">
        <v>-0.91213789999999995</v>
      </c>
      <c r="S1733">
        <v>0.24096679999999901</v>
      </c>
      <c r="T1733">
        <v>-0.44102940000000002</v>
      </c>
      <c r="U1733">
        <v>-3.408417</v>
      </c>
      <c r="V1733">
        <v>1.8916140000000001E-2</v>
      </c>
      <c r="W1733">
        <v>0.36001470000000002</v>
      </c>
      <c r="X1733">
        <v>0.93275490000000005</v>
      </c>
      <c r="Y1733">
        <v>0.1748546</v>
      </c>
      <c r="Z1733">
        <v>0.111689</v>
      </c>
      <c r="AA1733">
        <v>0.97823890000000002</v>
      </c>
      <c r="AB1733">
        <v>24</v>
      </c>
      <c r="AC1733">
        <v>7.9000000000064505E-3</v>
      </c>
      <c r="AD1733">
        <v>-0.109017</v>
      </c>
      <c r="AE1733">
        <v>-0.62520000000000597</v>
      </c>
      <c r="AF1733">
        <v>0.140333515320261</v>
      </c>
      <c r="AG1733">
        <v>-0.109017</v>
      </c>
      <c r="AH1733">
        <v>0.59035254025853501</v>
      </c>
      <c r="AI1733">
        <v>100.184994737103</v>
      </c>
      <c r="AJ1733">
        <v>76.628317745610502</v>
      </c>
      <c r="AK1733">
        <v>0.61651790209275104</v>
      </c>
      <c r="AL1733">
        <v>68.898902390482903</v>
      </c>
      <c r="AM1733">
        <v>88.838208791898595</v>
      </c>
      <c r="AN1733">
        <v>1.0000000540212901</v>
      </c>
    </row>
    <row r="1734" spans="1:40" x14ac:dyDescent="0.25">
      <c r="A1734" t="str">
        <f>"20190304164124093"</f>
        <v>20190304164124093</v>
      </c>
      <c r="B1734" t="str">
        <f>"1551688884082317"</f>
        <v>1551688884082317</v>
      </c>
      <c r="C1734" t="s">
        <v>40</v>
      </c>
      <c r="D1734">
        <v>5.0968229999999997</v>
      </c>
      <c r="E1734">
        <v>0.53972379999999998</v>
      </c>
      <c r="F1734" t="s">
        <v>41</v>
      </c>
      <c r="G1734">
        <v>-194.4025</v>
      </c>
      <c r="H1734">
        <v>0.99986699999999995</v>
      </c>
      <c r="I1734">
        <v>347.17489999999998</v>
      </c>
      <c r="J1734">
        <v>-194.4503</v>
      </c>
      <c r="K1734">
        <v>1.107666</v>
      </c>
      <c r="L1734">
        <v>347.76949999999999</v>
      </c>
      <c r="M1734">
        <v>0.23963490000000001</v>
      </c>
      <c r="N1734">
        <v>-9.6851060000000006E-3</v>
      </c>
      <c r="O1734">
        <v>-0.97081490000000004</v>
      </c>
      <c r="P1734">
        <v>0.21000750000000001</v>
      </c>
      <c r="Q1734">
        <v>0.34918549999999998</v>
      </c>
      <c r="R1734">
        <v>-0.91321750000000002</v>
      </c>
      <c r="S1734">
        <v>0.41297909999999999</v>
      </c>
      <c r="T1734">
        <v>-0.43956050000000002</v>
      </c>
      <c r="U1734">
        <v>-3.3621829999999999</v>
      </c>
      <c r="V1734">
        <v>1.7300490000000002E-2</v>
      </c>
      <c r="W1734">
        <v>0.35813840000000002</v>
      </c>
      <c r="X1734">
        <v>0.93350820000000001</v>
      </c>
      <c r="Y1734">
        <v>0.12022140000000001</v>
      </c>
      <c r="Z1734">
        <v>0.1136238</v>
      </c>
      <c r="AA1734">
        <v>0.98622330000000002</v>
      </c>
      <c r="AB1734">
        <v>24</v>
      </c>
      <c r="AC1734">
        <v>4.7799999999995103E-2</v>
      </c>
      <c r="AD1734">
        <v>-0.10779899999999901</v>
      </c>
      <c r="AE1734">
        <v>-0.59460000000001401</v>
      </c>
      <c r="AF1734">
        <v>9.3047753012006199E-2</v>
      </c>
      <c r="AG1734">
        <v>-0.10779899999999901</v>
      </c>
      <c r="AH1734">
        <v>0.57011028708681</v>
      </c>
      <c r="AI1734">
        <v>100.57068030490601</v>
      </c>
      <c r="AJ1734">
        <v>80.730479590238801</v>
      </c>
      <c r="AK1734">
        <v>0.58762594240195698</v>
      </c>
      <c r="AL1734">
        <v>69.014087050074195</v>
      </c>
      <c r="AM1734">
        <v>88.938272209708103</v>
      </c>
      <c r="AN1734">
        <v>0.99999998998801998</v>
      </c>
    </row>
    <row r="1735" spans="1:40" x14ac:dyDescent="0.25">
      <c r="A1735" t="str">
        <f>"20190304164124115"</f>
        <v>20190304164124115</v>
      </c>
      <c r="B1735" t="str">
        <f>"1551688884102813"</f>
        <v>1551688884102813</v>
      </c>
      <c r="C1735" t="s">
        <v>40</v>
      </c>
      <c r="D1735">
        <v>5.0782309999999997</v>
      </c>
      <c r="E1735">
        <v>0.53641300000000003</v>
      </c>
      <c r="F1735" t="s">
        <v>41</v>
      </c>
      <c r="G1735">
        <v>-194.33860000000001</v>
      </c>
      <c r="H1735">
        <v>1.002826</v>
      </c>
      <c r="I1735">
        <v>346.96429999999998</v>
      </c>
      <c r="J1735">
        <v>-194.3973</v>
      </c>
      <c r="K1735">
        <v>1.1075469999999901</v>
      </c>
      <c r="L1735">
        <v>347.53609999999998</v>
      </c>
      <c r="M1735">
        <v>0.23559579999999999</v>
      </c>
      <c r="N1735">
        <v>-9.4673459999999997E-3</v>
      </c>
      <c r="O1735">
        <v>-0.97180509999999998</v>
      </c>
      <c r="P1735">
        <v>0.2082398</v>
      </c>
      <c r="Q1735">
        <v>0.34833910000000001</v>
      </c>
      <c r="R1735">
        <v>-0.91394540000000002</v>
      </c>
      <c r="S1735">
        <v>0.46502690000000002</v>
      </c>
      <c r="T1735">
        <v>-0.43550899999999998</v>
      </c>
      <c r="U1735">
        <v>-3.3446660000000001</v>
      </c>
      <c r="V1735">
        <v>1.536498E-2</v>
      </c>
      <c r="W1735">
        <v>0.35710170000000002</v>
      </c>
      <c r="X1735">
        <v>0.93393910000000002</v>
      </c>
      <c r="Y1735">
        <v>0.10037409999999999</v>
      </c>
      <c r="Z1735">
        <v>0.11357150000000001</v>
      </c>
      <c r="AA1735">
        <v>0.98844650000000001</v>
      </c>
      <c r="AB1735">
        <v>24</v>
      </c>
      <c r="AC1735">
        <v>5.8699999999987498E-2</v>
      </c>
      <c r="AD1735">
        <v>-0.104720999999999</v>
      </c>
      <c r="AE1735">
        <v>-0.57179999999999598</v>
      </c>
      <c r="AF1735">
        <v>7.5176960912688204E-2</v>
      </c>
      <c r="AG1735">
        <v>-0.104720999999999</v>
      </c>
      <c r="AH1735">
        <v>0.55123675690248897</v>
      </c>
      <c r="AI1735">
        <v>100.660177992546</v>
      </c>
      <c r="AJ1735">
        <v>82.233985777565394</v>
      </c>
      <c r="AK1735">
        <v>0.56610955251915795</v>
      </c>
      <c r="AL1735">
        <v>69.077691625934307</v>
      </c>
      <c r="AM1735">
        <v>89.057466280570495</v>
      </c>
      <c r="AN1735">
        <v>0.99999997463104995</v>
      </c>
    </row>
    <row r="1736" spans="1:40" x14ac:dyDescent="0.25">
      <c r="A1736" t="str">
        <f>"20190304164124137"</f>
        <v>20190304164124137</v>
      </c>
      <c r="B1736" t="str">
        <f>"1551688884133069"</f>
        <v>1551688884133069</v>
      </c>
      <c r="C1736" t="s">
        <v>40</v>
      </c>
      <c r="D1736">
        <v>5.0246149999999998</v>
      </c>
      <c r="E1736">
        <v>0.53429569999999904</v>
      </c>
      <c r="F1736" t="s">
        <v>41</v>
      </c>
      <c r="G1736">
        <v>-194.2842</v>
      </c>
      <c r="H1736">
        <v>1.0061580000000001</v>
      </c>
      <c r="I1736">
        <v>346.75020000000001</v>
      </c>
      <c r="J1736">
        <v>-194.3434</v>
      </c>
      <c r="K1736">
        <v>1.1074219999999999</v>
      </c>
      <c r="L1736">
        <v>347.2937</v>
      </c>
      <c r="M1736">
        <v>0.23131389999999999</v>
      </c>
      <c r="N1736">
        <v>-9.2510419999999993E-3</v>
      </c>
      <c r="O1736">
        <v>-0.97283540000000002</v>
      </c>
      <c r="P1736">
        <v>0.2074443</v>
      </c>
      <c r="Q1736">
        <v>0.3462191</v>
      </c>
      <c r="R1736">
        <v>-0.91493139999999995</v>
      </c>
      <c r="S1736">
        <v>0.48040769999999999</v>
      </c>
      <c r="T1736">
        <v>-0.43043920000000002</v>
      </c>
      <c r="U1736">
        <v>-3.337097</v>
      </c>
      <c r="V1736">
        <v>1.229594E-2</v>
      </c>
      <c r="W1736">
        <v>0.35480600000000001</v>
      </c>
      <c r="X1736">
        <v>0.93485910000000005</v>
      </c>
      <c r="Y1736">
        <v>9.121187E-2</v>
      </c>
      <c r="Z1736">
        <v>0.1128581</v>
      </c>
      <c r="AA1736">
        <v>0.98941570000000001</v>
      </c>
      <c r="AB1736">
        <v>24</v>
      </c>
      <c r="AC1736">
        <v>5.9200000000004097E-2</v>
      </c>
      <c r="AD1736">
        <v>-0.10126400000000001</v>
      </c>
      <c r="AE1736">
        <v>-0.54349999999999399</v>
      </c>
      <c r="AF1736">
        <v>6.5870306245679994E-2</v>
      </c>
      <c r="AG1736">
        <v>-0.10126400000000001</v>
      </c>
      <c r="AH1736">
        <v>0.52446002272959602</v>
      </c>
      <c r="AI1736">
        <v>100.84516554161399</v>
      </c>
      <c r="AJ1736">
        <v>82.841338971051897</v>
      </c>
      <c r="AK1736">
        <v>0.53819291186565099</v>
      </c>
      <c r="AL1736">
        <v>69.218445227307498</v>
      </c>
      <c r="AM1736">
        <v>89.246448105089698</v>
      </c>
      <c r="AN1736">
        <v>1.00000001231464</v>
      </c>
    </row>
    <row r="1737" spans="1:40" x14ac:dyDescent="0.25">
      <c r="A1737" t="str">
        <f>"20190304164124151"</f>
        <v>20190304164124151</v>
      </c>
      <c r="B1737" t="str">
        <f>"1551688884142829"</f>
        <v>1551688884142829</v>
      </c>
      <c r="C1737" t="s">
        <v>40</v>
      </c>
      <c r="D1737">
        <v>5.0241150000000001</v>
      </c>
      <c r="E1737">
        <v>0.53386859999999903</v>
      </c>
      <c r="F1737" t="s">
        <v>41</v>
      </c>
      <c r="G1737">
        <v>-194.23159999999999</v>
      </c>
      <c r="H1737">
        <v>1.0091300000000001</v>
      </c>
      <c r="I1737">
        <v>346.5351</v>
      </c>
      <c r="J1737">
        <v>-194.31120000000001</v>
      </c>
      <c r="K1737">
        <v>1.107359</v>
      </c>
      <c r="L1737">
        <v>347.14580000000001</v>
      </c>
      <c r="M1737">
        <v>0.2286668</v>
      </c>
      <c r="N1737">
        <v>-9.1289739999999998E-3</v>
      </c>
      <c r="O1737">
        <v>-0.9734621</v>
      </c>
      <c r="P1737">
        <v>0.20674310000000001</v>
      </c>
      <c r="Q1737">
        <v>0.34554259999999998</v>
      </c>
      <c r="R1737">
        <v>-0.91534570000000004</v>
      </c>
      <c r="S1737">
        <v>0.4912262</v>
      </c>
      <c r="T1737">
        <v>-0.43164859999999999</v>
      </c>
      <c r="U1737">
        <v>-3.3309329999999999</v>
      </c>
      <c r="V1737">
        <v>1.055386E-2</v>
      </c>
      <c r="W1737">
        <v>0.35402919999999999</v>
      </c>
      <c r="X1737">
        <v>0.93517479999999997</v>
      </c>
      <c r="Y1737">
        <v>8.5114289999999995E-2</v>
      </c>
      <c r="Z1737">
        <v>0.1136629</v>
      </c>
      <c r="AA1737">
        <v>0.98986680000000005</v>
      </c>
      <c r="AB1737">
        <v>24</v>
      </c>
      <c r="AC1737">
        <v>7.9600000000027593E-2</v>
      </c>
      <c r="AD1737">
        <v>-9.8229000000000094E-2</v>
      </c>
      <c r="AE1737">
        <v>-0.61070000000000801</v>
      </c>
      <c r="AF1737">
        <v>6.0619682509052697E-2</v>
      </c>
      <c r="AG1737">
        <v>-9.8229000000000094E-2</v>
      </c>
      <c r="AH1737">
        <v>0.59752005352214099</v>
      </c>
      <c r="AI1737">
        <v>99.288764961070001</v>
      </c>
      <c r="AJ1737">
        <v>84.207041578201</v>
      </c>
      <c r="AK1737">
        <v>0.60856708480626898</v>
      </c>
      <c r="AL1737">
        <v>69.2660415962483</v>
      </c>
      <c r="AM1737">
        <v>89.353419311426507</v>
      </c>
      <c r="AN1737">
        <v>0.99999998248428901</v>
      </c>
    </row>
    <row r="1738" spans="1:40" x14ac:dyDescent="0.25">
      <c r="A1738" t="str">
        <f>"20190304164124172"</f>
        <v>20190304164124172</v>
      </c>
      <c r="B1738" t="str">
        <f>"1551688884162349"</f>
        <v>1551688884162349</v>
      </c>
      <c r="C1738" t="s">
        <v>40</v>
      </c>
      <c r="D1738">
        <v>5.0223269999999998</v>
      </c>
      <c r="E1738">
        <v>0.53319280000000002</v>
      </c>
      <c r="F1738" t="s">
        <v>41</v>
      </c>
      <c r="G1738">
        <v>-194.18969999999999</v>
      </c>
      <c r="H1738">
        <v>1.000669</v>
      </c>
      <c r="I1738">
        <v>346.32240000000002</v>
      </c>
      <c r="J1738">
        <v>-194.26300000000001</v>
      </c>
      <c r="K1738">
        <v>1.107275</v>
      </c>
      <c r="L1738">
        <v>346.9212</v>
      </c>
      <c r="M1738">
        <v>0.22461</v>
      </c>
      <c r="N1738">
        <v>-8.956851E-3</v>
      </c>
      <c r="O1738">
        <v>-0.97440780000000005</v>
      </c>
      <c r="P1738">
        <v>0.2061403</v>
      </c>
      <c r="Q1738">
        <v>0.3449007</v>
      </c>
      <c r="R1738">
        <v>-0.91572370000000003</v>
      </c>
      <c r="S1738">
        <v>0.49136350000000001</v>
      </c>
      <c r="T1738">
        <v>-0.4313631</v>
      </c>
      <c r="U1738">
        <v>-3.3293149999999998</v>
      </c>
      <c r="V1738">
        <v>7.3603330000000002E-3</v>
      </c>
      <c r="W1738">
        <v>0.35325050000000002</v>
      </c>
      <c r="X1738">
        <v>0.93549979999999999</v>
      </c>
      <c r="Y1738">
        <v>8.0862299999999998E-2</v>
      </c>
      <c r="Z1738">
        <v>0.1140077</v>
      </c>
      <c r="AA1738">
        <v>0.99018360000000005</v>
      </c>
      <c r="AB1738">
        <v>24</v>
      </c>
      <c r="AC1738">
        <v>7.3300000000017407E-2</v>
      </c>
      <c r="AD1738">
        <v>-0.10660599999999899</v>
      </c>
      <c r="AE1738">
        <v>-0.59879999999998201</v>
      </c>
      <c r="AF1738">
        <v>6.1164853689917101E-2</v>
      </c>
      <c r="AG1738">
        <v>-0.10660599999999899</v>
      </c>
      <c r="AH1738">
        <v>0.58179510438477899</v>
      </c>
      <c r="AI1738">
        <v>100.327797806639</v>
      </c>
      <c r="AJ1738">
        <v>83.998468392219806</v>
      </c>
      <c r="AK1738">
        <v>0.594635621241281</v>
      </c>
      <c r="AL1738">
        <v>69.313740026679298</v>
      </c>
      <c r="AM1738">
        <v>89.549217097332601</v>
      </c>
      <c r="AN1738">
        <v>0.99999998302607995</v>
      </c>
    </row>
    <row r="1739" spans="1:40" x14ac:dyDescent="0.25">
      <c r="A1739" t="str">
        <f>"20190304164124193"</f>
        <v>20190304164124193</v>
      </c>
      <c r="B1739" t="str">
        <f>"1551688884182846"</f>
        <v>1551688884182846</v>
      </c>
      <c r="C1739" t="s">
        <v>40</v>
      </c>
      <c r="D1739">
        <v>5.0066329999999999</v>
      </c>
      <c r="E1739">
        <v>0.53273709999999996</v>
      </c>
      <c r="F1739" t="s">
        <v>41</v>
      </c>
      <c r="G1739">
        <v>-194.1414</v>
      </c>
      <c r="H1739">
        <v>1.0022120000000001</v>
      </c>
      <c r="I1739">
        <v>346.10550000000001</v>
      </c>
      <c r="J1739">
        <v>-194.21469999999999</v>
      </c>
      <c r="K1739">
        <v>1.10721</v>
      </c>
      <c r="L1739">
        <v>346.69099999999997</v>
      </c>
      <c r="M1739">
        <v>0.2204197</v>
      </c>
      <c r="N1739">
        <v>-8.7974590000000005E-3</v>
      </c>
      <c r="O1739">
        <v>-0.9753655</v>
      </c>
      <c r="P1739">
        <v>0.20476659999999999</v>
      </c>
      <c r="Q1739">
        <v>0.34522789999999998</v>
      </c>
      <c r="R1739">
        <v>-0.91590859999999996</v>
      </c>
      <c r="S1739">
        <v>0.49597170000000002</v>
      </c>
      <c r="T1739">
        <v>-0.42833789999999999</v>
      </c>
      <c r="U1739">
        <v>-3.3257750000000001</v>
      </c>
      <c r="V1739">
        <v>4.7458279999999997E-3</v>
      </c>
      <c r="W1739">
        <v>0.35344589999999998</v>
      </c>
      <c r="X1739">
        <v>0.93544289999999997</v>
      </c>
      <c r="Y1739">
        <v>7.5079450000000006E-2</v>
      </c>
      <c r="Z1739">
        <v>0.1136375</v>
      </c>
      <c r="AA1739">
        <v>0.99068140000000005</v>
      </c>
      <c r="AB1739">
        <v>25</v>
      </c>
      <c r="AC1739">
        <v>7.3299999999988999E-2</v>
      </c>
      <c r="AD1739">
        <v>-0.10499799999999899</v>
      </c>
      <c r="AE1739">
        <v>-0.58549999999996705</v>
      </c>
      <c r="AF1739">
        <v>5.5796959692060999E-2</v>
      </c>
      <c r="AG1739">
        <v>-0.10499799999999899</v>
      </c>
      <c r="AH1739">
        <v>0.56923226650003</v>
      </c>
      <c r="AI1739">
        <v>100.402289666204</v>
      </c>
      <c r="AJ1739">
        <v>84.401670115405295</v>
      </c>
      <c r="AK1739">
        <v>0.58151805985681804</v>
      </c>
      <c r="AL1739">
        <v>69.301772209364202</v>
      </c>
      <c r="AM1739">
        <v>89.709321026654607</v>
      </c>
      <c r="AN1739">
        <v>0.99999997313531197</v>
      </c>
    </row>
    <row r="1740" spans="1:40" x14ac:dyDescent="0.25">
      <c r="A1740" t="str">
        <f>"20190304164124209"</f>
        <v>20190304164124209</v>
      </c>
      <c r="B1740" t="str">
        <f>"1551688884202367"</f>
        <v>1551688884202367</v>
      </c>
      <c r="C1740" t="s">
        <v>40</v>
      </c>
      <c r="D1740">
        <v>5.003679</v>
      </c>
      <c r="E1740">
        <v>0.53245120000000001</v>
      </c>
      <c r="F1740" t="s">
        <v>41</v>
      </c>
      <c r="G1740">
        <v>-194.0942</v>
      </c>
      <c r="H1740">
        <v>1.00465</v>
      </c>
      <c r="I1740">
        <v>345.88720000000001</v>
      </c>
      <c r="J1740">
        <v>-194.1806</v>
      </c>
      <c r="K1740">
        <v>1.107178</v>
      </c>
      <c r="L1740">
        <v>346.52589999999998</v>
      </c>
      <c r="M1740">
        <v>0.2174024</v>
      </c>
      <c r="N1740">
        <v>-8.6929920000000001E-3</v>
      </c>
      <c r="O1740">
        <v>-0.97604349999999995</v>
      </c>
      <c r="P1740">
        <v>0.20286560000000001</v>
      </c>
      <c r="Q1740">
        <v>0.34585569999999999</v>
      </c>
      <c r="R1740">
        <v>-0.91609499999999999</v>
      </c>
      <c r="S1740">
        <v>0.49867250000000002</v>
      </c>
      <c r="T1740">
        <v>-0.4240968</v>
      </c>
      <c r="U1740">
        <v>-3.3237610000000002</v>
      </c>
      <c r="V1740">
        <v>3.764019E-3</v>
      </c>
      <c r="W1740">
        <v>0.35398109999999999</v>
      </c>
      <c r="X1740">
        <v>0.93524499999999999</v>
      </c>
      <c r="Y1740">
        <v>7.1107429999999999E-2</v>
      </c>
      <c r="Z1740">
        <v>0.11275499999999999</v>
      </c>
      <c r="AA1740">
        <v>0.99107520000000005</v>
      </c>
      <c r="AB1740">
        <v>25</v>
      </c>
      <c r="AC1740">
        <v>8.6399999999997507E-2</v>
      </c>
      <c r="AD1740">
        <v>-0.10252799999999899</v>
      </c>
      <c r="AE1740">
        <v>-0.63869999999997096</v>
      </c>
      <c r="AF1740">
        <v>5.3181031938747403E-2</v>
      </c>
      <c r="AG1740">
        <v>-0.10252799999999899</v>
      </c>
      <c r="AH1740">
        <v>0.62635643334553603</v>
      </c>
      <c r="AI1740">
        <v>99.263527008851696</v>
      </c>
      <c r="AJ1740">
        <v>85.146919476180003</v>
      </c>
      <c r="AK1740">
        <v>0.63691647375100202</v>
      </c>
      <c r="AL1740">
        <v>69.268988692022504</v>
      </c>
      <c r="AM1740">
        <v>89.769406692034494</v>
      </c>
      <c r="AN1740">
        <v>0.99999999851062105</v>
      </c>
    </row>
    <row r="1741" spans="1:40" x14ac:dyDescent="0.25">
      <c r="A1741" t="str">
        <f>"20190304164124227"</f>
        <v>20190304164124227</v>
      </c>
      <c r="B1741" t="str">
        <f>"1551688884222861"</f>
        <v>1551688884222861</v>
      </c>
      <c r="C1741" t="s">
        <v>40</v>
      </c>
      <c r="D1741">
        <v>4.9960639999999996</v>
      </c>
      <c r="E1741">
        <v>0.53223450000000005</v>
      </c>
      <c r="F1741" t="s">
        <v>41</v>
      </c>
      <c r="G1741">
        <v>-194.05340000000001</v>
      </c>
      <c r="H1741">
        <v>0.99925010000000003</v>
      </c>
      <c r="I1741">
        <v>345.67079999999999</v>
      </c>
      <c r="J1741">
        <v>-194.1387</v>
      </c>
      <c r="K1741">
        <v>1.1071439999999999</v>
      </c>
      <c r="L1741">
        <v>346.31869999999998</v>
      </c>
      <c r="M1741">
        <v>0.2136112</v>
      </c>
      <c r="N1741">
        <v>-8.5747740000000003E-3</v>
      </c>
      <c r="O1741">
        <v>-0.97688129999999995</v>
      </c>
      <c r="P1741">
        <v>0.20152539999999999</v>
      </c>
      <c r="Q1741">
        <v>0.34736139999999999</v>
      </c>
      <c r="R1741">
        <v>-0.915821</v>
      </c>
      <c r="S1741">
        <v>0.49496459999999998</v>
      </c>
      <c r="T1741">
        <v>-0.41947509999999999</v>
      </c>
      <c r="U1741">
        <v>-3.3235779999999999</v>
      </c>
      <c r="V1741">
        <v>1.4010260000000001E-3</v>
      </c>
      <c r="W1741">
        <v>0.35538900000000001</v>
      </c>
      <c r="X1741">
        <v>0.93471740000000003</v>
      </c>
      <c r="Y1741">
        <v>6.8292179999999994E-2</v>
      </c>
      <c r="Z1741">
        <v>0.1117474</v>
      </c>
      <c r="AA1741">
        <v>0.99138720000000002</v>
      </c>
      <c r="AB1741">
        <v>25</v>
      </c>
      <c r="AC1741">
        <v>8.5299999999989495E-2</v>
      </c>
      <c r="AD1741">
        <v>-0.1078939</v>
      </c>
      <c r="AE1741">
        <v>-0.64789999999999204</v>
      </c>
      <c r="AF1741">
        <v>5.3611329944823601E-2</v>
      </c>
      <c r="AG1741">
        <v>-0.1078939</v>
      </c>
      <c r="AH1741">
        <v>0.63388694805664003</v>
      </c>
      <c r="AI1741">
        <v>99.626019479748805</v>
      </c>
      <c r="AJ1741">
        <v>85.165683349610205</v>
      </c>
      <c r="AK1741">
        <v>0.64523478771081799</v>
      </c>
      <c r="AL1741">
        <v>69.182711981434295</v>
      </c>
      <c r="AM1741">
        <v>89.914120763480298</v>
      </c>
      <c r="AN1741">
        <v>0.99999996102880495</v>
      </c>
    </row>
    <row r="1742" spans="1:40" x14ac:dyDescent="0.25">
      <c r="A1742" t="str">
        <f>"20190304164124251"</f>
        <v>20190304164124251</v>
      </c>
      <c r="B1742" t="str">
        <f>"1551688884242382"</f>
        <v>1551688884242382</v>
      </c>
      <c r="C1742" t="s">
        <v>40</v>
      </c>
      <c r="D1742">
        <v>4.9610190000000003</v>
      </c>
      <c r="E1742">
        <v>0.53198500000000004</v>
      </c>
      <c r="F1742" t="s">
        <v>41</v>
      </c>
      <c r="G1742">
        <v>-194.0102</v>
      </c>
      <c r="H1742">
        <v>0.99991439999999998</v>
      </c>
      <c r="I1742">
        <v>345.4511</v>
      </c>
      <c r="J1742">
        <v>-194.08760000000001</v>
      </c>
      <c r="K1742">
        <v>1.107124</v>
      </c>
      <c r="L1742">
        <v>346.06</v>
      </c>
      <c r="M1742">
        <v>0.2088815</v>
      </c>
      <c r="N1742">
        <v>-8.4524479999999996E-3</v>
      </c>
      <c r="O1742">
        <v>-0.97790460000000001</v>
      </c>
      <c r="P1742">
        <v>0.19983500000000001</v>
      </c>
      <c r="Q1742">
        <v>0.34823860000000001</v>
      </c>
      <c r="R1742">
        <v>-0.91585839999999996</v>
      </c>
      <c r="S1742">
        <v>0.49240109999999898</v>
      </c>
      <c r="T1742">
        <v>-0.41071770000000002</v>
      </c>
      <c r="U1742">
        <v>-3.3231809999999999</v>
      </c>
      <c r="V1742">
        <v>-1.453275E-3</v>
      </c>
      <c r="W1742">
        <v>0.35617019999999999</v>
      </c>
      <c r="X1742">
        <v>0.93442000000000003</v>
      </c>
      <c r="Y1742">
        <v>6.4161679999999999E-2</v>
      </c>
      <c r="Z1742">
        <v>0.1096118</v>
      </c>
      <c r="AA1742">
        <v>0.99190149999999999</v>
      </c>
      <c r="AB1742">
        <v>25</v>
      </c>
      <c r="AC1742">
        <v>7.7400000000011404E-2</v>
      </c>
      <c r="AD1742">
        <v>-0.1072096</v>
      </c>
      <c r="AE1742">
        <v>-0.60890000000000499</v>
      </c>
      <c r="AF1742">
        <v>4.9975312294950898E-2</v>
      </c>
      <c r="AG1742">
        <v>-0.1072096</v>
      </c>
      <c r="AH1742">
        <v>0.59352792085624695</v>
      </c>
      <c r="AI1742">
        <v>100.20365023875</v>
      </c>
      <c r="AJ1742">
        <v>85.187022921008307</v>
      </c>
      <c r="AK1742">
        <v>0.60519982072624401</v>
      </c>
      <c r="AL1742">
        <v>69.134820366328199</v>
      </c>
      <c r="AM1742">
        <v>90.089110311032698</v>
      </c>
      <c r="AN1742">
        <v>1.00000002988813</v>
      </c>
    </row>
    <row r="1743" spans="1:40" x14ac:dyDescent="0.25">
      <c r="A1743" t="str">
        <f>"20190304164124273"</f>
        <v>20190304164124273</v>
      </c>
      <c r="B1743" t="str">
        <f>"1551688884262877"</f>
        <v>1551688884262877</v>
      </c>
      <c r="C1743" t="s">
        <v>40</v>
      </c>
      <c r="D1743">
        <v>4.9513490000000004</v>
      </c>
      <c r="E1743">
        <v>0.53177030000000003</v>
      </c>
      <c r="F1743" t="s">
        <v>41</v>
      </c>
      <c r="G1743">
        <v>-193.9659</v>
      </c>
      <c r="H1743">
        <v>1.0055430000000001</v>
      </c>
      <c r="I1743">
        <v>345.2285</v>
      </c>
      <c r="J1743">
        <v>-194.03989999999999</v>
      </c>
      <c r="K1743">
        <v>1.107116</v>
      </c>
      <c r="L1743">
        <v>345.81310000000002</v>
      </c>
      <c r="M1743">
        <v>0.20437569999999999</v>
      </c>
      <c r="N1743">
        <v>-8.3653990000000008E-3</v>
      </c>
      <c r="O1743">
        <v>-0.97885670000000002</v>
      </c>
      <c r="P1743">
        <v>0.19959589999999999</v>
      </c>
      <c r="Q1743">
        <v>0.34885240000000001</v>
      </c>
      <c r="R1743">
        <v>-0.91567670000000001</v>
      </c>
      <c r="S1743">
        <v>0.48689270000000001</v>
      </c>
      <c r="T1743">
        <v>-0.40606730000000002</v>
      </c>
      <c r="U1743">
        <v>-3.3237920000000001</v>
      </c>
      <c r="V1743">
        <v>-5.5574219999999898E-3</v>
      </c>
      <c r="W1743">
        <v>0.35673159999999998</v>
      </c>
      <c r="X1743">
        <v>0.93419039999999998</v>
      </c>
      <c r="Y1743">
        <v>6.118494E-2</v>
      </c>
      <c r="Z1743">
        <v>0.1085503</v>
      </c>
      <c r="AA1743">
        <v>0.99220629999999999</v>
      </c>
      <c r="AB1743">
        <v>25</v>
      </c>
      <c r="AC1743">
        <v>7.3999999999983801E-2</v>
      </c>
      <c r="AD1743">
        <v>-0.101572999999999</v>
      </c>
      <c r="AE1743">
        <v>-0.58460000000002299</v>
      </c>
      <c r="AF1743">
        <v>4.56868301770635E-2</v>
      </c>
      <c r="AG1743">
        <v>-0.101572999999999</v>
      </c>
      <c r="AH1743">
        <v>0.57043512262186702</v>
      </c>
      <c r="AI1743">
        <v>100.064833375801</v>
      </c>
      <c r="AJ1743">
        <v>85.420886963323298</v>
      </c>
      <c r="AK1743">
        <v>0.58120615094925798</v>
      </c>
      <c r="AL1743">
        <v>69.100392726485396</v>
      </c>
      <c r="AM1743">
        <v>90.340843868054705</v>
      </c>
      <c r="AN1743">
        <v>1.0000000114150001</v>
      </c>
    </row>
    <row r="1744" spans="1:40" x14ac:dyDescent="0.25">
      <c r="A1744" t="str">
        <f>"20190304164124296"</f>
        <v>20190304164124296</v>
      </c>
      <c r="B1744" t="str">
        <f>"1551688884282398"</f>
        <v>1551688884282398</v>
      </c>
      <c r="C1744" t="s">
        <v>40</v>
      </c>
      <c r="D1744">
        <v>5.0784070000000003</v>
      </c>
      <c r="E1744">
        <v>0.53151789999999999</v>
      </c>
      <c r="F1744" t="s">
        <v>41</v>
      </c>
      <c r="G1744">
        <v>-193.92230000000001</v>
      </c>
      <c r="H1744">
        <v>1.009436</v>
      </c>
      <c r="I1744">
        <v>345.0061</v>
      </c>
      <c r="J1744">
        <v>-193.99440000000001</v>
      </c>
      <c r="K1744">
        <v>1.107108</v>
      </c>
      <c r="L1744">
        <v>345.57159999999999</v>
      </c>
      <c r="M1744">
        <v>0.19998089999999999</v>
      </c>
      <c r="N1744">
        <v>-8.3125969999999997E-3</v>
      </c>
      <c r="O1744">
        <v>-0.97976470000000004</v>
      </c>
      <c r="P1744">
        <v>0.2018509</v>
      </c>
      <c r="Q1744">
        <v>0.34926469999999998</v>
      </c>
      <c r="R1744">
        <v>-0.91502490000000003</v>
      </c>
      <c r="S1744">
        <v>0.48471069999999999</v>
      </c>
      <c r="T1744">
        <v>-0.40225509999999998</v>
      </c>
      <c r="U1744">
        <v>-3.3238530000000002</v>
      </c>
      <c r="V1744">
        <v>-1.208916E-2</v>
      </c>
      <c r="W1744">
        <v>0.35714190000000001</v>
      </c>
      <c r="X1744">
        <v>0.93397189999999997</v>
      </c>
      <c r="Y1744">
        <v>5.7333429999999998E-2</v>
      </c>
      <c r="Z1744">
        <v>0.1076951</v>
      </c>
      <c r="AA1744">
        <v>0.99252940000000001</v>
      </c>
      <c r="AB1744">
        <v>25</v>
      </c>
      <c r="AC1744">
        <v>7.2100000000006007E-2</v>
      </c>
      <c r="AD1744">
        <v>-9.7671999999999898E-2</v>
      </c>
      <c r="AE1744">
        <v>-0.56549999999998501</v>
      </c>
      <c r="AF1744">
        <v>4.1239078861327001E-2</v>
      </c>
      <c r="AG1744">
        <v>-9.7671999999999898E-2</v>
      </c>
      <c r="AH1744">
        <v>0.55228321384914603</v>
      </c>
      <c r="AI1744">
        <v>100.00185233066701</v>
      </c>
      <c r="AJ1744">
        <v>85.729639562581994</v>
      </c>
      <c r="AK1744">
        <v>0.56236752174078497</v>
      </c>
      <c r="AL1744">
        <v>69.075226224603895</v>
      </c>
      <c r="AM1744">
        <v>90.741584587897805</v>
      </c>
      <c r="AN1744">
        <v>0.99999999725736199</v>
      </c>
    </row>
    <row r="1745" spans="1:40" x14ac:dyDescent="0.25">
      <c r="A1745" t="str">
        <f>"20190304164124318"</f>
        <v>20190304164124318</v>
      </c>
      <c r="B1745" t="str">
        <f>"1551688884312654"</f>
        <v>1551688884312654</v>
      </c>
      <c r="C1745" t="s">
        <v>40</v>
      </c>
      <c r="D1745">
        <v>4.9672010000000002</v>
      </c>
      <c r="E1745">
        <v>0.46667649999999999</v>
      </c>
      <c r="F1745" t="s">
        <v>41</v>
      </c>
      <c r="G1745">
        <v>-193.87799999999999</v>
      </c>
      <c r="H1745">
        <v>1.0124610000000001</v>
      </c>
      <c r="I1745">
        <v>344.78359999999998</v>
      </c>
      <c r="J1745">
        <v>-193.94839999999999</v>
      </c>
      <c r="K1745">
        <v>1.1071029999999999</v>
      </c>
      <c r="L1745">
        <v>345.32080000000002</v>
      </c>
      <c r="M1745">
        <v>0.19542860000000001</v>
      </c>
      <c r="N1745">
        <v>-8.2881009999999904E-3</v>
      </c>
      <c r="O1745">
        <v>-0.98068299999999997</v>
      </c>
      <c r="P1745">
        <v>0.2044137</v>
      </c>
      <c r="Q1745">
        <v>0.35036689999999998</v>
      </c>
      <c r="R1745">
        <v>-0.91403420000000002</v>
      </c>
      <c r="S1745">
        <v>0.49163820000000003</v>
      </c>
      <c r="T1745">
        <v>-0.39910030000000002</v>
      </c>
      <c r="U1745">
        <v>-3.322479</v>
      </c>
      <c r="V1745">
        <v>-1.912759E-2</v>
      </c>
      <c r="W1745">
        <v>0.35827059999999999</v>
      </c>
      <c r="X1745">
        <v>0.93342179999999997</v>
      </c>
      <c r="Y1745">
        <v>5.0603860000000001E-2</v>
      </c>
      <c r="Z1745">
        <v>0.107034199999999</v>
      </c>
      <c r="AA1745">
        <v>0.99296669999999998</v>
      </c>
      <c r="AB1745">
        <v>25</v>
      </c>
      <c r="AC1745">
        <v>7.0400000000006402E-2</v>
      </c>
      <c r="AD1745">
        <v>-9.4642000000000101E-2</v>
      </c>
      <c r="AE1745">
        <v>-0.53720000000004098</v>
      </c>
      <c r="AF1745">
        <v>3.4881029035994097E-2</v>
      </c>
      <c r="AG1745">
        <v>-9.4642000000000101E-2</v>
      </c>
      <c r="AH1745">
        <v>0.52459214532651499</v>
      </c>
      <c r="AI1745">
        <v>100.204702827258</v>
      </c>
      <c r="AJ1745">
        <v>86.195905178711499</v>
      </c>
      <c r="AK1745">
        <v>0.53420100457495001</v>
      </c>
      <c r="AL1745">
        <v>69.005973812234103</v>
      </c>
      <c r="AM1745">
        <v>91.173935317962403</v>
      </c>
      <c r="AN1745">
        <v>0.99999997211940295</v>
      </c>
    </row>
    <row r="1746" spans="1:40" x14ac:dyDescent="0.25">
      <c r="A1746" t="str">
        <f>"20190304164124339"</f>
        <v>20190304164124339</v>
      </c>
      <c r="B1746" t="str">
        <f>"1551688884333150"</f>
        <v>1551688884333150</v>
      </c>
      <c r="C1746" t="s">
        <v>40</v>
      </c>
      <c r="D1746">
        <v>4.8782069999999997</v>
      </c>
      <c r="E1746">
        <v>0.45909919999999999</v>
      </c>
      <c r="F1746" t="s">
        <v>42</v>
      </c>
      <c r="G1746">
        <v>-189.97739999999999</v>
      </c>
      <c r="H1746" s="1">
        <v>-1.3244040000000001E-6</v>
      </c>
      <c r="I1746">
        <v>332.69040000000001</v>
      </c>
      <c r="J1746">
        <v>-193.90469999999999</v>
      </c>
      <c r="K1746">
        <v>1.107105</v>
      </c>
      <c r="L1746">
        <v>345.07709999999997</v>
      </c>
      <c r="M1746">
        <v>0.1910152</v>
      </c>
      <c r="N1746">
        <v>-8.2901729999999996E-3</v>
      </c>
      <c r="O1746">
        <v>-0.98155219999999999</v>
      </c>
      <c r="P1746">
        <v>0.20560049999999999</v>
      </c>
      <c r="Q1746">
        <v>0.35185759999999899</v>
      </c>
      <c r="R1746">
        <v>-0.91319510000000004</v>
      </c>
      <c r="S1746">
        <v>0.99534610000000001</v>
      </c>
      <c r="T1746">
        <v>-0.27750279999999999</v>
      </c>
      <c r="U1746">
        <v>-3.1658940000000002</v>
      </c>
      <c r="V1746">
        <v>-2.4641489999999999E-2</v>
      </c>
      <c r="W1746">
        <v>0.3597997</v>
      </c>
      <c r="X1746">
        <v>0.93270410000000004</v>
      </c>
      <c r="Y1746">
        <v>-0.1112793</v>
      </c>
      <c r="Z1746">
        <v>7.4664069999999999E-2</v>
      </c>
      <c r="AA1746">
        <v>0.99098039999999998</v>
      </c>
      <c r="AB1746">
        <v>25</v>
      </c>
      <c r="AC1746">
        <v>3.9272999999999998</v>
      </c>
      <c r="AD1746">
        <v>-1.107106324404</v>
      </c>
      <c r="AE1746">
        <v>-12.3866999999999</v>
      </c>
      <c r="AF1746">
        <v>-1.4781234878682701</v>
      </c>
      <c r="AG1746">
        <v>-1.107106324404</v>
      </c>
      <c r="AH1746">
        <v>12.815780875358801</v>
      </c>
      <c r="AI1746">
        <v>94.904950153413196</v>
      </c>
      <c r="AJ1746">
        <v>96.579207185180707</v>
      </c>
      <c r="AK1746">
        <v>12.948157123858801</v>
      </c>
      <c r="AL1746">
        <v>68.912104188653501</v>
      </c>
      <c r="AM1746">
        <v>91.513368528346504</v>
      </c>
      <c r="AN1746">
        <v>0.99999998265316004</v>
      </c>
    </row>
    <row r="1747" spans="1:40" x14ac:dyDescent="0.25">
      <c r="A1747" t="str">
        <f>"20190304164124362"</f>
        <v>20190304164124362</v>
      </c>
      <c r="B1747" t="str">
        <f>"1551688884352670"</f>
        <v>1551688884352670</v>
      </c>
      <c r="C1747" t="s">
        <v>40</v>
      </c>
      <c r="D1747">
        <v>4.878018</v>
      </c>
      <c r="E1747">
        <v>0.45573710000000001</v>
      </c>
      <c r="F1747" t="s">
        <v>42</v>
      </c>
      <c r="G1747">
        <v>-189.28</v>
      </c>
      <c r="H1747" s="1">
        <v>-8.6509059999999903E-7</v>
      </c>
      <c r="I1747">
        <v>331.35160000000002</v>
      </c>
      <c r="J1747">
        <v>-193.8603</v>
      </c>
      <c r="K1747">
        <v>1.1071070000000001</v>
      </c>
      <c r="L1747">
        <v>344.82220000000001</v>
      </c>
      <c r="M1747">
        <v>0.18640760000000001</v>
      </c>
      <c r="N1747">
        <v>-8.324349E-3</v>
      </c>
      <c r="O1747">
        <v>-0.98243720000000001</v>
      </c>
      <c r="P1747">
        <v>0.20653440000000001</v>
      </c>
      <c r="Q1747">
        <v>0.3537131</v>
      </c>
      <c r="R1747">
        <v>-0.91226700000000005</v>
      </c>
      <c r="S1747">
        <v>1.0594790000000001</v>
      </c>
      <c r="T1747">
        <v>-0.25362459999999998</v>
      </c>
      <c r="U1747">
        <v>-3.1443479999999999</v>
      </c>
      <c r="V1747">
        <v>-3.0094989999999999E-2</v>
      </c>
      <c r="W1747">
        <v>0.36172270000000001</v>
      </c>
      <c r="X1747">
        <v>0.93179979999999996</v>
      </c>
      <c r="Y1747">
        <v>-0.13626269999999999</v>
      </c>
      <c r="Z1747">
        <v>6.7805740000000003E-2</v>
      </c>
      <c r="AA1747">
        <v>0.98834960000000005</v>
      </c>
      <c r="AB1747">
        <v>25</v>
      </c>
      <c r="AC1747">
        <v>4.5802999999999896</v>
      </c>
      <c r="AD1747">
        <v>-1.1071078650906001</v>
      </c>
      <c r="AE1747">
        <v>-13.4705999999999</v>
      </c>
      <c r="AF1747">
        <v>-1.9769341450322799</v>
      </c>
      <c r="AG1747">
        <v>-1.1071078650906001</v>
      </c>
      <c r="AH1747">
        <v>14.003522887926</v>
      </c>
      <c r="AI1747">
        <v>94.476156380697205</v>
      </c>
      <c r="AJ1747">
        <v>98.035575151091294</v>
      </c>
      <c r="AK1747">
        <v>14.185648018733801</v>
      </c>
      <c r="AL1747">
        <v>68.793968070098103</v>
      </c>
      <c r="AM1747">
        <v>91.849878823791599</v>
      </c>
      <c r="AN1747">
        <v>0.99999994369921297</v>
      </c>
    </row>
    <row r="1748" spans="1:40" x14ac:dyDescent="0.25">
      <c r="A1748" t="str">
        <f>"20190304164124376"</f>
        <v>20190304164124376</v>
      </c>
      <c r="B1748" t="str">
        <f>"1551688884362429"</f>
        <v>1551688884362429</v>
      </c>
      <c r="C1748" t="s">
        <v>40</v>
      </c>
      <c r="D1748">
        <v>4.9498699999999998</v>
      </c>
      <c r="E1748">
        <v>0.45535209999999998</v>
      </c>
      <c r="F1748" t="s">
        <v>42</v>
      </c>
      <c r="G1748">
        <v>-188.8201</v>
      </c>
      <c r="H1748" s="1">
        <v>-5.2864769999999897E-7</v>
      </c>
      <c r="I1748">
        <v>330.279</v>
      </c>
      <c r="J1748">
        <v>-193.8338</v>
      </c>
      <c r="K1748">
        <v>1.107119</v>
      </c>
      <c r="L1748">
        <v>344.66590000000002</v>
      </c>
      <c r="M1748">
        <v>0.18359410000000001</v>
      </c>
      <c r="N1748">
        <v>-8.3683869999999997E-3</v>
      </c>
      <c r="O1748">
        <v>-0.98296660000000002</v>
      </c>
      <c r="P1748">
        <v>0.20706859999999999</v>
      </c>
      <c r="Q1748">
        <v>0.35429929999999998</v>
      </c>
      <c r="R1748">
        <v>-0.91191809999999995</v>
      </c>
      <c r="S1748">
        <v>1.0865020000000001</v>
      </c>
      <c r="T1748">
        <v>-0.23865700000000001</v>
      </c>
      <c r="U1748">
        <v>-3.13504</v>
      </c>
      <c r="V1748">
        <v>-3.3351489999999998E-2</v>
      </c>
      <c r="W1748">
        <v>0.36237219999999998</v>
      </c>
      <c r="X1748">
        <v>0.93143659999999995</v>
      </c>
      <c r="Y1748">
        <v>-0.14769839999999901</v>
      </c>
      <c r="Z1748">
        <v>6.3412140000000006E-2</v>
      </c>
      <c r="AA1748">
        <v>0.98699749999999997</v>
      </c>
      <c r="AB1748">
        <v>25</v>
      </c>
      <c r="AC1748">
        <v>5.0137</v>
      </c>
      <c r="AD1748">
        <v>-1.1071195286477</v>
      </c>
      <c r="AE1748">
        <v>-14.386900000000001</v>
      </c>
      <c r="AF1748">
        <v>-2.27501632488244</v>
      </c>
      <c r="AG1748">
        <v>-1.1071195286477</v>
      </c>
      <c r="AH1748">
        <v>14.983732315606201</v>
      </c>
      <c r="AI1748">
        <v>94.178085344365002</v>
      </c>
      <c r="AJ1748">
        <v>98.633417496682</v>
      </c>
      <c r="AK1748">
        <v>15.195843084045601</v>
      </c>
      <c r="AL1748">
        <v>68.754048208495803</v>
      </c>
      <c r="AM1748">
        <v>92.050685560985698</v>
      </c>
      <c r="AN1748">
        <v>1.0000000365188</v>
      </c>
    </row>
    <row r="1749" spans="1:40" x14ac:dyDescent="0.25">
      <c r="A1749" t="str">
        <f>"20190304164124394"</f>
        <v>20190304164124394</v>
      </c>
      <c r="B1749" t="str">
        <f>"1551688884382925"</f>
        <v>1551688884382925</v>
      </c>
      <c r="C1749" t="s">
        <v>40</v>
      </c>
      <c r="D1749">
        <v>4.8690059999999997</v>
      </c>
      <c r="E1749">
        <v>0.45434269999999999</v>
      </c>
      <c r="F1749" t="s">
        <v>42</v>
      </c>
      <c r="G1749">
        <v>-188.7354</v>
      </c>
      <c r="H1749" s="1">
        <v>-4.5556469999999999E-7</v>
      </c>
      <c r="I1749">
        <v>329.99799999999999</v>
      </c>
      <c r="J1749">
        <v>-193.8004</v>
      </c>
      <c r="K1749">
        <v>1.1071329999999999</v>
      </c>
      <c r="L1749">
        <v>344.46600000000001</v>
      </c>
      <c r="M1749">
        <v>0.17999889999999999</v>
      </c>
      <c r="N1749">
        <v>-8.4339580000000001E-3</v>
      </c>
      <c r="O1749">
        <v>-0.98363069999999997</v>
      </c>
      <c r="P1749">
        <v>0.2101625</v>
      </c>
      <c r="Q1749">
        <v>0.35466690000000001</v>
      </c>
      <c r="R1749">
        <v>-0.91106710000000002</v>
      </c>
      <c r="S1749">
        <v>1.089432</v>
      </c>
      <c r="T1749">
        <v>-0.23657239999999999</v>
      </c>
      <c r="U1749">
        <v>-3.134277</v>
      </c>
      <c r="V1749">
        <v>-3.995684E-2</v>
      </c>
      <c r="W1749">
        <v>0.36284810000000001</v>
      </c>
      <c r="X1749">
        <v>0.93099129999999997</v>
      </c>
      <c r="Y1749">
        <v>-0.15222269999999999</v>
      </c>
      <c r="Z1749">
        <v>6.2775090000000006E-2</v>
      </c>
      <c r="AA1749">
        <v>0.98635059999999997</v>
      </c>
      <c r="AB1749">
        <v>25</v>
      </c>
      <c r="AC1749">
        <v>5.0649999999999897</v>
      </c>
      <c r="AD1749">
        <v>-1.1071334555647001</v>
      </c>
      <c r="AE1749">
        <v>-14.4679999999999</v>
      </c>
      <c r="AF1749">
        <v>-2.3656098196288502</v>
      </c>
      <c r="AG1749">
        <v>-1.1071334555647001</v>
      </c>
      <c r="AH1749">
        <v>15.064816617435399</v>
      </c>
      <c r="AI1749">
        <v>94.152483956216102</v>
      </c>
      <c r="AJ1749">
        <v>98.924211531061999</v>
      </c>
      <c r="AK1749">
        <v>15.2895570251107</v>
      </c>
      <c r="AL1749">
        <v>68.724790078127697</v>
      </c>
      <c r="AM1749">
        <v>92.457546247394603</v>
      </c>
      <c r="AN1749">
        <v>1.0000000467060399</v>
      </c>
    </row>
    <row r="1750" spans="1:40" x14ac:dyDescent="0.25">
      <c r="A1750" t="str">
        <f>"20190304164124409"</f>
        <v>20190304164124409</v>
      </c>
      <c r="B1750" t="str">
        <f>"1551688884402446"</f>
        <v>1551688884402446</v>
      </c>
      <c r="C1750" t="s">
        <v>40</v>
      </c>
      <c r="D1750">
        <v>4.8363699999999996</v>
      </c>
      <c r="E1750">
        <v>0.4535322</v>
      </c>
      <c r="F1750" t="s">
        <v>42</v>
      </c>
      <c r="G1750">
        <v>-188.5599</v>
      </c>
      <c r="H1750" s="1">
        <v>-3.7539469999999998E-7</v>
      </c>
      <c r="I1750">
        <v>329.62520000000001</v>
      </c>
      <c r="J1750">
        <v>-193.77369999999999</v>
      </c>
      <c r="K1750">
        <v>1.1071420000000001</v>
      </c>
      <c r="L1750">
        <v>344.30270000000002</v>
      </c>
      <c r="M1750">
        <v>0.1770736</v>
      </c>
      <c r="N1750">
        <v>-8.4971279999999996E-3</v>
      </c>
      <c r="O1750">
        <v>-0.98416110000000001</v>
      </c>
      <c r="P1750">
        <v>0.2110725</v>
      </c>
      <c r="Q1750">
        <v>0.3539138</v>
      </c>
      <c r="R1750">
        <v>-0.91114949999999995</v>
      </c>
      <c r="S1750">
        <v>1.1048279999999999</v>
      </c>
      <c r="T1750">
        <v>-0.23341190000000001</v>
      </c>
      <c r="U1750">
        <v>-3.1288149999999999</v>
      </c>
      <c r="V1750">
        <v>-4.3619980000000003E-2</v>
      </c>
      <c r="W1750">
        <v>0.36218280000000003</v>
      </c>
      <c r="X1750">
        <v>0.93108590000000002</v>
      </c>
      <c r="Y1750">
        <v>-0.160029799999999</v>
      </c>
      <c r="Z1750">
        <v>6.1842189999999998E-2</v>
      </c>
      <c r="AA1750">
        <v>0.98517310000000002</v>
      </c>
      <c r="AB1750">
        <v>25</v>
      </c>
      <c r="AC1750">
        <v>5.2137999999999902</v>
      </c>
      <c r="AD1750">
        <v>-1.1071423753947001</v>
      </c>
      <c r="AE1750">
        <v>-14.6775</v>
      </c>
      <c r="AF1750">
        <v>-2.5195825669999401</v>
      </c>
      <c r="AG1750">
        <v>-1.1071423753947001</v>
      </c>
      <c r="AH1750">
        <v>15.291544934910799</v>
      </c>
      <c r="AI1750">
        <v>94.086211348911405</v>
      </c>
      <c r="AJ1750">
        <v>99.356536552420195</v>
      </c>
      <c r="AK1750">
        <v>15.537226491485599</v>
      </c>
      <c r="AL1750">
        <v>68.7656905071442</v>
      </c>
      <c r="AM1750">
        <v>92.682260284246496</v>
      </c>
      <c r="AN1750">
        <v>1.00000001822492</v>
      </c>
    </row>
    <row r="1751" spans="1:40" x14ac:dyDescent="0.25">
      <c r="A1751" t="str">
        <f>"20190304164124423"</f>
        <v>20190304164124423</v>
      </c>
      <c r="B1751" t="str">
        <f>"1551688884412206"</f>
        <v>1551688884412206</v>
      </c>
      <c r="C1751" t="s">
        <v>40</v>
      </c>
      <c r="D1751">
        <v>4.8376619999999999</v>
      </c>
      <c r="E1751">
        <v>0.45316650000000003</v>
      </c>
      <c r="F1751" t="s">
        <v>42</v>
      </c>
      <c r="G1751">
        <v>-188.54050000000001</v>
      </c>
      <c r="H1751" s="1">
        <v>-4.531342E-6</v>
      </c>
      <c r="I1751">
        <v>329.59199999999998</v>
      </c>
      <c r="J1751">
        <v>-193.74590000000001</v>
      </c>
      <c r="K1751">
        <v>1.1071599999999999</v>
      </c>
      <c r="L1751">
        <v>344.1302</v>
      </c>
      <c r="M1751">
        <v>0.17399729999999999</v>
      </c>
      <c r="N1751">
        <v>-8.5734829999999998E-3</v>
      </c>
      <c r="O1751">
        <v>-0.98470880000000005</v>
      </c>
      <c r="P1751">
        <v>0.21165919999999999</v>
      </c>
      <c r="Q1751">
        <v>0.35316550000000002</v>
      </c>
      <c r="R1751">
        <v>-0.91130389999999994</v>
      </c>
      <c r="S1751">
        <v>1.112152</v>
      </c>
      <c r="T1751">
        <v>-0.2352899</v>
      </c>
      <c r="U1751">
        <v>-3.126312</v>
      </c>
      <c r="V1751">
        <v>-4.7099420000000003E-2</v>
      </c>
      <c r="W1751">
        <v>0.36153249999999998</v>
      </c>
      <c r="X1751">
        <v>0.93116909999999997</v>
      </c>
      <c r="Y1751">
        <v>-0.16539589999999901</v>
      </c>
      <c r="Z1751">
        <v>6.237989E-2</v>
      </c>
      <c r="AA1751">
        <v>0.98425249999999997</v>
      </c>
      <c r="AB1751">
        <v>25</v>
      </c>
      <c r="AC1751">
        <v>5.2053999999999903</v>
      </c>
      <c r="AD1751">
        <v>-1.107164531342</v>
      </c>
      <c r="AE1751">
        <v>-14.5382</v>
      </c>
      <c r="AF1751">
        <v>-2.5830127453030398</v>
      </c>
      <c r="AG1751">
        <v>-1.107164531342</v>
      </c>
      <c r="AH1751">
        <v>15.144327076557801</v>
      </c>
      <c r="AI1751">
        <v>94.121998566066594</v>
      </c>
      <c r="AJ1751">
        <v>99.679213302827804</v>
      </c>
      <c r="AK1751">
        <v>15.402870211217801</v>
      </c>
      <c r="AL1751">
        <v>68.805658004311596</v>
      </c>
      <c r="AM1751">
        <v>92.895607377890897</v>
      </c>
      <c r="AN1751">
        <v>0.99999999835769804</v>
      </c>
    </row>
    <row r="1752" spans="1:40" x14ac:dyDescent="0.25">
      <c r="A1752" t="str">
        <f>"20190304164124440"</f>
        <v>20190304164124440</v>
      </c>
      <c r="B1752" t="str">
        <f>"1551688884432702"</f>
        <v>1551688884432702</v>
      </c>
      <c r="C1752" t="s">
        <v>40</v>
      </c>
      <c r="D1752">
        <v>4.7914830000000004</v>
      </c>
      <c r="E1752">
        <v>0.45289170000000001</v>
      </c>
      <c r="F1752" t="s">
        <v>42</v>
      </c>
      <c r="G1752">
        <v>-188.55009999999999</v>
      </c>
      <c r="H1752" s="1">
        <v>-4.5210530000000004E-6</v>
      </c>
      <c r="I1752">
        <v>329.57199999999898</v>
      </c>
      <c r="J1752">
        <v>-193.71619999999999</v>
      </c>
      <c r="K1752">
        <v>1.107191</v>
      </c>
      <c r="L1752">
        <v>343.94080000000002</v>
      </c>
      <c r="M1752">
        <v>0.17064689999999999</v>
      </c>
      <c r="N1752">
        <v>-8.672529E-3</v>
      </c>
      <c r="O1752">
        <v>-0.985294</v>
      </c>
      <c r="P1752">
        <v>0.21563579999999999</v>
      </c>
      <c r="Q1752">
        <v>0.35215800000000003</v>
      </c>
      <c r="R1752">
        <v>-0.91076109999999999</v>
      </c>
      <c r="S1752">
        <v>1.115326</v>
      </c>
      <c r="T1752">
        <v>-0.23766029999999999</v>
      </c>
      <c r="U1752">
        <v>-3.1250309999999999</v>
      </c>
      <c r="V1752">
        <v>-5.4306899999999998E-2</v>
      </c>
      <c r="W1752">
        <v>0.3606703</v>
      </c>
      <c r="X1752">
        <v>0.93111100000000002</v>
      </c>
      <c r="Y1752">
        <v>-0.16974639999999999</v>
      </c>
      <c r="Z1752">
        <v>6.3040680000000002E-2</v>
      </c>
      <c r="AA1752">
        <v>0.98346940000000005</v>
      </c>
      <c r="AB1752">
        <v>25</v>
      </c>
      <c r="AC1752">
        <v>5.1661000000000001</v>
      </c>
      <c r="AD1752">
        <v>-1.107195521053</v>
      </c>
      <c r="AE1752">
        <v>-14.3688</v>
      </c>
      <c r="AF1752">
        <v>-2.6244365849196498</v>
      </c>
      <c r="AG1752">
        <v>-1.107195521053</v>
      </c>
      <c r="AH1752">
        <v>14.960975014818301</v>
      </c>
      <c r="AI1752">
        <v>94.169062265389599</v>
      </c>
      <c r="AJ1752">
        <v>99.949527415613005</v>
      </c>
      <c r="AK1752">
        <v>15.2297184052799</v>
      </c>
      <c r="AL1752">
        <v>68.858632846795601</v>
      </c>
      <c r="AM1752">
        <v>93.337985555692995</v>
      </c>
      <c r="AN1752">
        <v>0.99999999950535001</v>
      </c>
    </row>
    <row r="1753" spans="1:40" x14ac:dyDescent="0.25">
      <c r="A1753" t="str">
        <f>"20190304164124462"</f>
        <v>20190304164124462</v>
      </c>
      <c r="B1753" t="str">
        <f>"1551688884452221"</f>
        <v>1551688884452221</v>
      </c>
      <c r="C1753" t="s">
        <v>40</v>
      </c>
      <c r="D1753">
        <v>4.8230680000000001</v>
      </c>
      <c r="E1753">
        <v>0.45276339999999998</v>
      </c>
      <c r="F1753" t="s">
        <v>42</v>
      </c>
      <c r="G1753">
        <v>-188.54599999999999</v>
      </c>
      <c r="H1753" s="1">
        <v>-3.8260619999999999E-7</v>
      </c>
      <c r="I1753">
        <v>329.63549999999998</v>
      </c>
      <c r="J1753">
        <v>-193.67850000000001</v>
      </c>
      <c r="K1753">
        <v>1.1072310000000001</v>
      </c>
      <c r="L1753">
        <v>343.69580000000002</v>
      </c>
      <c r="M1753">
        <v>0.16635559999999999</v>
      </c>
      <c r="N1753">
        <v>-8.8070579999999996E-3</v>
      </c>
      <c r="O1753">
        <v>-0.98602659999999998</v>
      </c>
      <c r="P1753">
        <v>0.21868599999999999</v>
      </c>
      <c r="Q1753">
        <v>0.3511765</v>
      </c>
      <c r="R1753">
        <v>-0.91041329999999998</v>
      </c>
      <c r="S1753">
        <v>1.1277469999999901</v>
      </c>
      <c r="T1753">
        <v>-0.24150530000000001</v>
      </c>
      <c r="U1753">
        <v>-3.1203310000000002</v>
      </c>
      <c r="V1753">
        <v>-6.1470440000000001E-2</v>
      </c>
      <c r="W1753">
        <v>0.3598634</v>
      </c>
      <c r="X1753">
        <v>0.93097779999999997</v>
      </c>
      <c r="Y1753">
        <v>-0.17793789999999901</v>
      </c>
      <c r="Z1753">
        <v>6.4139420000000003E-2</v>
      </c>
      <c r="AA1753">
        <v>0.98194919999999997</v>
      </c>
      <c r="AB1753">
        <v>25</v>
      </c>
      <c r="AC1753">
        <v>5.1325000000000198</v>
      </c>
      <c r="AD1753">
        <v>-1.1072313826061999</v>
      </c>
      <c r="AE1753">
        <v>-14.0603</v>
      </c>
      <c r="AF1753">
        <v>-2.7070635798240499</v>
      </c>
      <c r="AG1753">
        <v>-1.1072313826061999</v>
      </c>
      <c r="AH1753">
        <v>14.638116569506099</v>
      </c>
      <c r="AI1753">
        <v>94.253775666285094</v>
      </c>
      <c r="AJ1753">
        <v>100.47747894814999</v>
      </c>
      <c r="AK1753">
        <v>14.9274449006615</v>
      </c>
      <c r="AL1753">
        <v>68.908192210881296</v>
      </c>
      <c r="AM1753">
        <v>93.777632368112407</v>
      </c>
      <c r="AN1753">
        <v>0.99999997287309605</v>
      </c>
    </row>
    <row r="1754" spans="1:40" x14ac:dyDescent="0.25">
      <c r="A1754" t="str">
        <f>"20190304164124476"</f>
        <v>20190304164124476</v>
      </c>
      <c r="B1754" t="str">
        <f>"1551688884462958"</f>
        <v>1551688884462958</v>
      </c>
      <c r="C1754" t="s">
        <v>40</v>
      </c>
      <c r="D1754">
        <v>4.820055</v>
      </c>
      <c r="E1754">
        <v>0.45269150000000002</v>
      </c>
      <c r="F1754" t="s">
        <v>42</v>
      </c>
      <c r="G1754">
        <v>-188.56569999999999</v>
      </c>
      <c r="H1754" s="1">
        <v>-3.859404E-7</v>
      </c>
      <c r="I1754">
        <v>329.66070000000002</v>
      </c>
      <c r="J1754">
        <v>-193.65440000000001</v>
      </c>
      <c r="K1754">
        <v>1.107264</v>
      </c>
      <c r="L1754">
        <v>343.53460000000001</v>
      </c>
      <c r="M1754">
        <v>0.16357910000000001</v>
      </c>
      <c r="N1754">
        <v>-8.8950509999999993E-3</v>
      </c>
      <c r="O1754">
        <v>-0.98649010000000004</v>
      </c>
      <c r="P1754">
        <v>0.21961990000000001</v>
      </c>
      <c r="Q1754">
        <v>0.35100979999999998</v>
      </c>
      <c r="R1754">
        <v>-0.91025230000000001</v>
      </c>
      <c r="S1754">
        <v>1.1356200000000001</v>
      </c>
      <c r="T1754">
        <v>-0.24592800000000001</v>
      </c>
      <c r="U1754">
        <v>-3.11734</v>
      </c>
      <c r="V1754">
        <v>-6.5072350000000001E-2</v>
      </c>
      <c r="W1754">
        <v>0.35979929999999999</v>
      </c>
      <c r="X1754">
        <v>0.93075779999999997</v>
      </c>
      <c r="Y1754">
        <v>-0.18316550000000001</v>
      </c>
      <c r="Z1754">
        <v>6.5427379999999993E-2</v>
      </c>
      <c r="AA1754">
        <v>0.98090250000000001</v>
      </c>
      <c r="AB1754">
        <v>25</v>
      </c>
      <c r="AC1754">
        <v>5.08870000000001</v>
      </c>
      <c r="AD1754">
        <v>-1.1072643859403899</v>
      </c>
      <c r="AE1754">
        <v>-13.8738999999999</v>
      </c>
      <c r="AF1754">
        <v>-2.7352247982268798</v>
      </c>
      <c r="AG1754">
        <v>-1.1072643859403899</v>
      </c>
      <c r="AH1754">
        <v>14.438384312846701</v>
      </c>
      <c r="AI1754">
        <v>94.309025791178499</v>
      </c>
      <c r="AJ1754">
        <v>100.727062381979</v>
      </c>
      <c r="AK1754">
        <v>14.7368392365074</v>
      </c>
      <c r="AL1754">
        <v>68.912129458673206</v>
      </c>
      <c r="AM1754">
        <v>93.9992296320181</v>
      </c>
      <c r="AN1754">
        <v>1.00000001463792</v>
      </c>
    </row>
    <row r="1755" spans="1:40" x14ac:dyDescent="0.25">
      <c r="A1755" t="str">
        <f>"20190304164124494"</f>
        <v>20190304164124494</v>
      </c>
      <c r="B1755" t="str">
        <f>"1551688884482478"</f>
        <v>1551688884482478</v>
      </c>
      <c r="C1755" t="s">
        <v>40</v>
      </c>
      <c r="D1755">
        <v>4.827826</v>
      </c>
      <c r="E1755">
        <v>0.4525943</v>
      </c>
      <c r="F1755" t="s">
        <v>42</v>
      </c>
      <c r="G1755">
        <v>-188.56720000000001</v>
      </c>
      <c r="H1755" s="1">
        <v>-4.5270260000000003E-6</v>
      </c>
      <c r="I1755">
        <v>329.59300000000002</v>
      </c>
      <c r="J1755">
        <v>-193.62549999999999</v>
      </c>
      <c r="K1755">
        <v>1.107308</v>
      </c>
      <c r="L1755">
        <v>343.33730000000003</v>
      </c>
      <c r="M1755">
        <v>0.16021469999999999</v>
      </c>
      <c r="N1755">
        <v>-8.9995700000000001E-3</v>
      </c>
      <c r="O1755">
        <v>-0.98704119999999995</v>
      </c>
      <c r="P1755">
        <v>0.2238019</v>
      </c>
      <c r="Q1755">
        <v>0.35052620000000001</v>
      </c>
      <c r="R1755">
        <v>-0.9094198</v>
      </c>
      <c r="S1755">
        <v>1.137329</v>
      </c>
      <c r="T1755">
        <v>-0.24754509999999999</v>
      </c>
      <c r="U1755">
        <v>-3.1168520000000002</v>
      </c>
      <c r="V1755">
        <v>-7.2552989999999998E-2</v>
      </c>
      <c r="W1755">
        <v>0.359458099999999</v>
      </c>
      <c r="X1755">
        <v>0.93033650000000001</v>
      </c>
      <c r="Y1755">
        <v>-0.18702779999999999</v>
      </c>
      <c r="Z1755">
        <v>6.5844390000000003E-2</v>
      </c>
      <c r="AA1755">
        <v>0.9801455</v>
      </c>
      <c r="AB1755">
        <v>25</v>
      </c>
      <c r="AC1755">
        <v>5.0582999999999698</v>
      </c>
      <c r="AD1755">
        <v>-1.107312527026</v>
      </c>
      <c r="AE1755">
        <v>-13.744300000000001</v>
      </c>
      <c r="AF1755">
        <v>-2.7749614971376602</v>
      </c>
      <c r="AG1755">
        <v>-1.107312527026</v>
      </c>
      <c r="AH1755">
        <v>14.2954662923181</v>
      </c>
      <c r="AI1755">
        <v>94.348382471999003</v>
      </c>
      <c r="AJ1755">
        <v>100.985340257041</v>
      </c>
      <c r="AK1755">
        <v>14.6043455470592</v>
      </c>
      <c r="AL1755">
        <v>68.933080894338502</v>
      </c>
      <c r="AM1755">
        <v>94.459228957560498</v>
      </c>
      <c r="AN1755">
        <v>1.0000000326228899</v>
      </c>
    </row>
    <row r="1756" spans="1:40" x14ac:dyDescent="0.25">
      <c r="A1756" t="str">
        <f>"20190304164124509"</f>
        <v>20190304164124509</v>
      </c>
      <c r="B1756" t="str">
        <f>"1551688884502975"</f>
        <v>1551688884502975</v>
      </c>
      <c r="C1756" t="s">
        <v>40</v>
      </c>
      <c r="D1756">
        <v>4.8138719999999999</v>
      </c>
      <c r="E1756">
        <v>0.45269140000000002</v>
      </c>
      <c r="F1756" t="s">
        <v>42</v>
      </c>
      <c r="G1756">
        <v>-188.5395</v>
      </c>
      <c r="H1756" s="1">
        <v>-4.5165069999999999E-6</v>
      </c>
      <c r="I1756">
        <v>329.55700000000002</v>
      </c>
      <c r="J1756">
        <v>-193.60069999999999</v>
      </c>
      <c r="K1756">
        <v>1.1073500000000001</v>
      </c>
      <c r="L1756">
        <v>343.1653</v>
      </c>
      <c r="M1756">
        <v>0.1573251</v>
      </c>
      <c r="N1756">
        <v>-9.0899870000000008E-3</v>
      </c>
      <c r="O1756">
        <v>-0.98750519999999997</v>
      </c>
      <c r="P1756">
        <v>0.22444749999999999</v>
      </c>
      <c r="Q1756">
        <v>0.35076980000000002</v>
      </c>
      <c r="R1756">
        <v>-0.90916680000000005</v>
      </c>
      <c r="S1756">
        <v>1.1487579999999999</v>
      </c>
      <c r="T1756">
        <v>-0.2501082</v>
      </c>
      <c r="U1756">
        <v>-3.112549</v>
      </c>
      <c r="V1756">
        <v>-7.5991740000000002E-2</v>
      </c>
      <c r="W1756">
        <v>0.35980109999999998</v>
      </c>
      <c r="X1756">
        <v>0.92992929999999996</v>
      </c>
      <c r="Y1756">
        <v>-0.19348560000000001</v>
      </c>
      <c r="Z1756">
        <v>6.6579029999999997E-2</v>
      </c>
      <c r="AA1756">
        <v>0.97884139999999997</v>
      </c>
      <c r="AB1756">
        <v>25</v>
      </c>
      <c r="AC1756">
        <v>5.0611999999999799</v>
      </c>
      <c r="AD1756">
        <v>-1.107354516507</v>
      </c>
      <c r="AE1756">
        <v>-13.6083</v>
      </c>
      <c r="AF1756">
        <v>-2.8406277751090698</v>
      </c>
      <c r="AG1756">
        <v>-1.107354516507</v>
      </c>
      <c r="AH1756">
        <v>14.1527797404714</v>
      </c>
      <c r="AI1756">
        <v>94.386737066747997</v>
      </c>
      <c r="AJ1756">
        <v>101.349133398033</v>
      </c>
      <c r="AK1756">
        <v>14.4774505547161</v>
      </c>
      <c r="AL1756">
        <v>68.912019474188597</v>
      </c>
      <c r="AM1756">
        <v>94.671702366104</v>
      </c>
      <c r="AN1756">
        <v>1.0000000395539601</v>
      </c>
    </row>
    <row r="1757" spans="1:40" x14ac:dyDescent="0.25">
      <c r="A1757" t="str">
        <f>"20190304164124524"</f>
        <v>20190304164124524</v>
      </c>
      <c r="B1757" t="str">
        <f>"1551688884512733"</f>
        <v>1551688884512733</v>
      </c>
      <c r="C1757" t="s">
        <v>40</v>
      </c>
      <c r="D1757">
        <v>4.8254449999999904</v>
      </c>
      <c r="E1757">
        <v>0.45269120000000002</v>
      </c>
      <c r="F1757" t="s">
        <v>42</v>
      </c>
      <c r="G1757">
        <v>-188.49180000000001</v>
      </c>
      <c r="H1757" s="1">
        <v>-4.4285449999999998E-6</v>
      </c>
      <c r="I1757">
        <v>329.3322</v>
      </c>
      <c r="J1757">
        <v>-193.57679999999999</v>
      </c>
      <c r="K1757">
        <v>1.107399</v>
      </c>
      <c r="L1757">
        <v>342.99650000000003</v>
      </c>
      <c r="M1757">
        <v>0.1545279</v>
      </c>
      <c r="N1757">
        <v>-9.1795209999999995E-3</v>
      </c>
      <c r="O1757">
        <v>-0.98794610000000005</v>
      </c>
      <c r="P1757">
        <v>0.2249776</v>
      </c>
      <c r="Q1757">
        <v>0.35114440000000002</v>
      </c>
      <c r="R1757">
        <v>-0.90889109999999995</v>
      </c>
      <c r="S1757">
        <v>1.149384</v>
      </c>
      <c r="T1757">
        <v>-0.24912809999999999</v>
      </c>
      <c r="U1757">
        <v>-3.1121219999999998</v>
      </c>
      <c r="V1757">
        <v>-7.9231960000000004E-2</v>
      </c>
      <c r="W1757">
        <v>0.36027090000000001</v>
      </c>
      <c r="X1757">
        <v>0.92947690000000005</v>
      </c>
      <c r="Y1757">
        <v>-0.1964862</v>
      </c>
      <c r="Z1757">
        <v>6.622836E-2</v>
      </c>
      <c r="AA1757">
        <v>0.97826729999999995</v>
      </c>
      <c r="AB1757">
        <v>25</v>
      </c>
      <c r="AC1757">
        <v>5.0849999999999804</v>
      </c>
      <c r="AD1757">
        <v>-1.1074034285450001</v>
      </c>
      <c r="AE1757">
        <v>-13.664300000000001</v>
      </c>
      <c r="AF1757">
        <v>-2.8956070314142601</v>
      </c>
      <c r="AG1757">
        <v>-1.1074034285450001</v>
      </c>
      <c r="AH1757">
        <v>14.204019055661099</v>
      </c>
      <c r="AI1757">
        <v>94.368504407523403</v>
      </c>
      <c r="AJ1757">
        <v>101.522335166795</v>
      </c>
      <c r="AK1757">
        <v>14.5383988034278</v>
      </c>
      <c r="AL1757">
        <v>68.883167617610795</v>
      </c>
      <c r="AM1757">
        <v>94.872319947135196</v>
      </c>
      <c r="AN1757">
        <v>1.00000006625292</v>
      </c>
    </row>
    <row r="1758" spans="1:40" x14ac:dyDescent="0.25">
      <c r="A1758" t="str">
        <f>"20190304164124542"</f>
        <v>20190304164124542</v>
      </c>
      <c r="B1758" t="str">
        <f>"1551688884532253"</f>
        <v>1551688884532253</v>
      </c>
      <c r="C1758" t="s">
        <v>40</v>
      </c>
      <c r="D1758">
        <v>4.7658430000000003</v>
      </c>
      <c r="E1758">
        <v>0.45294040000000002</v>
      </c>
      <c r="F1758" t="s">
        <v>42</v>
      </c>
      <c r="G1758">
        <v>-188.4126</v>
      </c>
      <c r="H1758" s="1">
        <v>-4.3247560000000001E-6</v>
      </c>
      <c r="I1758">
        <v>329.0575</v>
      </c>
      <c r="J1758">
        <v>-193.548</v>
      </c>
      <c r="K1758">
        <v>1.107467</v>
      </c>
      <c r="L1758">
        <v>342.78899999999999</v>
      </c>
      <c r="M1758">
        <v>0.15116479999999999</v>
      </c>
      <c r="N1758">
        <v>-9.2887920000000006E-3</v>
      </c>
      <c r="O1758">
        <v>-0.98846509999999999</v>
      </c>
      <c r="P1758">
        <v>0.22792080000000001</v>
      </c>
      <c r="Q1758">
        <v>0.35106549999999997</v>
      </c>
      <c r="R1758">
        <v>-0.90818810000000005</v>
      </c>
      <c r="S1758">
        <v>1.1525729999999901</v>
      </c>
      <c r="T1758">
        <v>-0.24715580000000001</v>
      </c>
      <c r="U1758">
        <v>-3.1109619999999998</v>
      </c>
      <c r="V1758">
        <v>-8.5470480000000001E-2</v>
      </c>
      <c r="W1758">
        <v>0.36032160000000002</v>
      </c>
      <c r="X1758">
        <v>0.92890430000000002</v>
      </c>
      <c r="Y1758">
        <v>-0.20083480000000001</v>
      </c>
      <c r="Z1758">
        <v>6.5564090000000005E-2</v>
      </c>
      <c r="AA1758">
        <v>0.97742859999999998</v>
      </c>
      <c r="AB1758">
        <v>25</v>
      </c>
      <c r="AC1758">
        <v>5.1353999999999997</v>
      </c>
      <c r="AD1758">
        <v>-1.107471324756</v>
      </c>
      <c r="AE1758">
        <v>-13.731499999999899</v>
      </c>
      <c r="AF1758">
        <v>-2.98354735230635</v>
      </c>
      <c r="AG1758">
        <v>-1.107471324756</v>
      </c>
      <c r="AH1758">
        <v>14.2685922117819</v>
      </c>
      <c r="AI1758">
        <v>94.344582198697395</v>
      </c>
      <c r="AJ1758">
        <v>101.810323225126</v>
      </c>
      <c r="AK1758">
        <v>14.619191880700299</v>
      </c>
      <c r="AL1758">
        <v>68.880052740135994</v>
      </c>
      <c r="AM1758">
        <v>95.257105132379706</v>
      </c>
      <c r="AN1758">
        <v>1.00000002846823</v>
      </c>
    </row>
    <row r="1759" spans="1:40" x14ac:dyDescent="0.25">
      <c r="A1759" t="str">
        <f>"20190304164124555"</f>
        <v>20190304164124555</v>
      </c>
      <c r="B1759" t="str">
        <f>"1551688884542990"</f>
        <v>1551688884542990</v>
      </c>
      <c r="C1759" t="s">
        <v>40</v>
      </c>
      <c r="D1759">
        <v>4.823645</v>
      </c>
      <c r="E1759">
        <v>0.45301799999999998</v>
      </c>
      <c r="F1759" t="s">
        <v>42</v>
      </c>
      <c r="G1759">
        <v>-188.28710000000001</v>
      </c>
      <c r="H1759" s="1">
        <v>-4.2284930000000003E-6</v>
      </c>
      <c r="I1759">
        <v>328.78129999999999</v>
      </c>
      <c r="J1759">
        <v>-193.5274</v>
      </c>
      <c r="K1759">
        <v>1.1075170000000001</v>
      </c>
      <c r="L1759">
        <v>342.63619999999997</v>
      </c>
      <c r="M1759">
        <v>0.14874970000000001</v>
      </c>
      <c r="N1759">
        <v>-9.3637519999999995E-3</v>
      </c>
      <c r="O1759">
        <v>-0.98883049999999995</v>
      </c>
      <c r="P1759">
        <v>0.22888900000000001</v>
      </c>
      <c r="Q1759">
        <v>0.35055720000000001</v>
      </c>
      <c r="R1759">
        <v>-0.90814079999999997</v>
      </c>
      <c r="S1759">
        <v>1.1663209999999999</v>
      </c>
      <c r="T1759">
        <v>-0.2455223</v>
      </c>
      <c r="U1759">
        <v>-3.1054689999999998</v>
      </c>
      <c r="V1759">
        <v>-8.8754050000000001E-2</v>
      </c>
      <c r="W1759">
        <v>0.35989450000000001</v>
      </c>
      <c r="X1759">
        <v>0.92876190000000003</v>
      </c>
      <c r="Y1759">
        <v>-0.20759279999999999</v>
      </c>
      <c r="Z1759">
        <v>6.505466E-2</v>
      </c>
      <c r="AA1759">
        <v>0.97604970000000002</v>
      </c>
      <c r="AB1759">
        <v>26</v>
      </c>
      <c r="AC1759">
        <v>5.2402999999999897</v>
      </c>
      <c r="AD1759">
        <v>-1.1075212284930001</v>
      </c>
      <c r="AE1759">
        <v>-13.854899999999899</v>
      </c>
      <c r="AF1759">
        <v>-3.1036431293826099</v>
      </c>
      <c r="AG1759">
        <v>-1.1075212284930001</v>
      </c>
      <c r="AH1759">
        <v>14.3997781097878</v>
      </c>
      <c r="AI1759">
        <v>94.299740836926503</v>
      </c>
      <c r="AJ1759">
        <v>102.163126244672</v>
      </c>
      <c r="AK1759">
        <v>14.772028078678</v>
      </c>
      <c r="AL1759">
        <v>68.906282942523902</v>
      </c>
      <c r="AM1759">
        <v>95.458705012184396</v>
      </c>
      <c r="AN1759">
        <v>0.999999999706631</v>
      </c>
    </row>
    <row r="1760" spans="1:40" x14ac:dyDescent="0.25">
      <c r="A1760" t="str">
        <f>"20190304164124573"</f>
        <v>20190304164124573</v>
      </c>
      <c r="B1760" t="str">
        <f>"1551688884562478"</f>
        <v>1551688884562478</v>
      </c>
      <c r="C1760" t="s">
        <v>40</v>
      </c>
      <c r="D1760">
        <v>4.8139089999999998</v>
      </c>
      <c r="E1760">
        <v>0.45328489999999999</v>
      </c>
      <c r="F1760" t="s">
        <v>42</v>
      </c>
      <c r="G1760">
        <v>-188.27529999999999</v>
      </c>
      <c r="H1760" s="1">
        <v>-4.1971830000000004E-6</v>
      </c>
      <c r="I1760">
        <v>328.70339999999999</v>
      </c>
      <c r="J1760">
        <v>-193.50069999999999</v>
      </c>
      <c r="K1760">
        <v>1.1075809999999999</v>
      </c>
      <c r="L1760">
        <v>342.4359</v>
      </c>
      <c r="M1760">
        <v>0.14563499999999999</v>
      </c>
      <c r="N1760">
        <v>-9.4586080000000003E-3</v>
      </c>
      <c r="O1760">
        <v>-0.98929319999999998</v>
      </c>
      <c r="P1760">
        <v>0.23582449999999999</v>
      </c>
      <c r="Q1760">
        <v>0.34894890000000001</v>
      </c>
      <c r="R1760">
        <v>-0.90698480000000004</v>
      </c>
      <c r="S1760">
        <v>1.1699980000000001</v>
      </c>
      <c r="T1760">
        <v>-0.24672060000000001</v>
      </c>
      <c r="U1760">
        <v>-3.10379</v>
      </c>
      <c r="V1760">
        <v>-9.8781510000000003E-2</v>
      </c>
      <c r="W1760">
        <v>0.3584251</v>
      </c>
      <c r="X1760">
        <v>0.92831770000000002</v>
      </c>
      <c r="Y1760">
        <v>-0.21184790000000001</v>
      </c>
      <c r="Z1760">
        <v>6.5358280000000005E-2</v>
      </c>
      <c r="AA1760">
        <v>0.97511479999999995</v>
      </c>
      <c r="AB1760">
        <v>26</v>
      </c>
      <c r="AC1760">
        <v>5.2253999999999996</v>
      </c>
      <c r="AD1760">
        <v>-1.107585197183</v>
      </c>
      <c r="AE1760">
        <v>-13.7325</v>
      </c>
      <c r="AF1760">
        <v>-3.15175234932491</v>
      </c>
      <c r="AG1760">
        <v>-1.107585197183</v>
      </c>
      <c r="AH1760">
        <v>14.2660465340341</v>
      </c>
      <c r="AI1760">
        <v>94.335289353427001</v>
      </c>
      <c r="AJ1760">
        <v>102.45806022319999</v>
      </c>
      <c r="AK1760">
        <v>14.651975005156199</v>
      </c>
      <c r="AL1760">
        <v>68.996493518760005</v>
      </c>
      <c r="AM1760">
        <v>96.0739398961001</v>
      </c>
      <c r="AN1760">
        <v>1.00000004558058</v>
      </c>
    </row>
    <row r="1761" spans="1:40" x14ac:dyDescent="0.25">
      <c r="A1761" t="str">
        <f>"20190304164124595"</f>
        <v>20190304164124595</v>
      </c>
      <c r="B1761" t="str">
        <f>"1551688884582974"</f>
        <v>1551688884582974</v>
      </c>
      <c r="C1761" t="s">
        <v>40</v>
      </c>
      <c r="D1761">
        <v>4.7509969999999999</v>
      </c>
      <c r="E1761">
        <v>0.4535595</v>
      </c>
      <c r="F1761" t="s">
        <v>42</v>
      </c>
      <c r="G1761">
        <v>-188.27379999999999</v>
      </c>
      <c r="H1761" s="1">
        <v>-4.2592739999999997E-6</v>
      </c>
      <c r="I1761">
        <v>328.84750000000003</v>
      </c>
      <c r="J1761">
        <v>-193.46770000000001</v>
      </c>
      <c r="K1761">
        <v>1.1076619999999999</v>
      </c>
      <c r="L1761">
        <v>342.1823</v>
      </c>
      <c r="M1761">
        <v>0.141796799999999</v>
      </c>
      <c r="N1761">
        <v>-9.5721480000000008E-3</v>
      </c>
      <c r="O1761">
        <v>-0.9898496</v>
      </c>
      <c r="P1761">
        <v>0.23845040000000001</v>
      </c>
      <c r="Q1761">
        <v>0.34748659999999998</v>
      </c>
      <c r="R1761">
        <v>-0.90685990000000005</v>
      </c>
      <c r="S1761">
        <v>1.1905669999999999</v>
      </c>
      <c r="T1761">
        <v>-0.25228430000000002</v>
      </c>
      <c r="U1761">
        <v>-3.095154</v>
      </c>
      <c r="V1761">
        <v>-0.1050898</v>
      </c>
      <c r="W1761">
        <v>0.35708879999999998</v>
      </c>
      <c r="X1761">
        <v>0.92813990000000002</v>
      </c>
      <c r="Y1761">
        <v>-0.2221352</v>
      </c>
      <c r="Z1761">
        <v>6.7004300000000003E-2</v>
      </c>
      <c r="AA1761">
        <v>0.97271079999999999</v>
      </c>
      <c r="AB1761">
        <v>26</v>
      </c>
      <c r="AC1761">
        <v>5.19390000000001</v>
      </c>
      <c r="AD1761">
        <v>-1.1076662592739901</v>
      </c>
      <c r="AE1761">
        <v>-13.3347999999999</v>
      </c>
      <c r="AF1761">
        <v>-3.2311386217990798</v>
      </c>
      <c r="AG1761">
        <v>-1.1076662592739901</v>
      </c>
      <c r="AH1761">
        <v>13.8535648541925</v>
      </c>
      <c r="AI1761">
        <v>94.452379563993901</v>
      </c>
      <c r="AJ1761">
        <v>103.128688515742</v>
      </c>
      <c r="AK1761">
        <v>14.268442119044799</v>
      </c>
      <c r="AL1761">
        <v>69.078482933010406</v>
      </c>
      <c r="AM1761">
        <v>96.459874388560493</v>
      </c>
      <c r="AN1761">
        <v>0.99999997556074405</v>
      </c>
    </row>
    <row r="1762" spans="1:40" x14ac:dyDescent="0.25">
      <c r="A1762" t="str">
        <f>"20190304164124619"</f>
        <v>20190304164124619</v>
      </c>
      <c r="B1762" t="str">
        <f>"1551688884602494"</f>
        <v>1551688884602494</v>
      </c>
      <c r="C1762" t="s">
        <v>40</v>
      </c>
      <c r="D1762">
        <v>4.7047210000000002</v>
      </c>
      <c r="E1762">
        <v>0.45390160000000002</v>
      </c>
      <c r="F1762" t="s">
        <v>42</v>
      </c>
      <c r="G1762">
        <v>-188.35919999999999</v>
      </c>
      <c r="H1762" s="1">
        <v>-4.2841799999999999E-6</v>
      </c>
      <c r="I1762">
        <v>328.9409</v>
      </c>
      <c r="J1762">
        <v>-193.43379999999999</v>
      </c>
      <c r="K1762">
        <v>1.107753</v>
      </c>
      <c r="L1762">
        <v>341.91430000000003</v>
      </c>
      <c r="M1762">
        <v>0.1378857</v>
      </c>
      <c r="N1762">
        <v>-9.6859749999999994E-3</v>
      </c>
      <c r="O1762">
        <v>-0.99040090000000003</v>
      </c>
      <c r="P1762">
        <v>0.24062159999999999</v>
      </c>
      <c r="Q1762">
        <v>0.34781079999999998</v>
      </c>
      <c r="R1762">
        <v>-0.90616180000000002</v>
      </c>
      <c r="S1762">
        <v>1.193451</v>
      </c>
      <c r="T1762">
        <v>-0.25877250000000002</v>
      </c>
      <c r="U1762">
        <v>-3.093445</v>
      </c>
      <c r="V1762">
        <v>-0.1110915</v>
      </c>
      <c r="W1762">
        <v>0.3575257</v>
      </c>
      <c r="X1762">
        <v>0.9272724</v>
      </c>
      <c r="Y1762">
        <v>-0.22690160000000001</v>
      </c>
      <c r="Z1762">
        <v>6.8887899999999905E-2</v>
      </c>
      <c r="AA1762">
        <v>0.97147830000000002</v>
      </c>
      <c r="AB1762">
        <v>26</v>
      </c>
      <c r="AC1762">
        <v>5.0746000000000002</v>
      </c>
      <c r="AD1762">
        <v>-1.1077572841800001</v>
      </c>
      <c r="AE1762">
        <v>-12.9734</v>
      </c>
      <c r="AF1762">
        <v>-3.2168520652888</v>
      </c>
      <c r="AG1762">
        <v>-1.1077572841800001</v>
      </c>
      <c r="AH1762">
        <v>13.464076918388701</v>
      </c>
      <c r="AI1762">
        <v>94.575215967370795</v>
      </c>
      <c r="AJ1762">
        <v>103.437269263869</v>
      </c>
      <c r="AK1762">
        <v>13.887283055907499</v>
      </c>
      <c r="AL1762">
        <v>69.051682235277298</v>
      </c>
      <c r="AM1762">
        <v>96.831736552897297</v>
      </c>
      <c r="AN1762">
        <v>1.0000000256672399</v>
      </c>
    </row>
    <row r="1763" spans="1:40" x14ac:dyDescent="0.25">
      <c r="A1763" t="str">
        <f>"20190304164124641"</f>
        <v>20190304164124641</v>
      </c>
      <c r="B1763" t="str">
        <f>"1551688884632750"</f>
        <v>1551688884632750</v>
      </c>
      <c r="C1763" t="s">
        <v>40</v>
      </c>
      <c r="D1763">
        <v>4.7727389999999996</v>
      </c>
      <c r="E1763">
        <v>0.45441480000000001</v>
      </c>
      <c r="F1763" t="s">
        <v>42</v>
      </c>
      <c r="G1763">
        <v>-188.27889999999999</v>
      </c>
      <c r="H1763" s="1">
        <v>-4.1508890000000003E-6</v>
      </c>
      <c r="I1763">
        <v>328.59699999999998</v>
      </c>
      <c r="J1763">
        <v>-193.40180000000001</v>
      </c>
      <c r="K1763">
        <v>1.107861</v>
      </c>
      <c r="L1763">
        <v>341.65460000000002</v>
      </c>
      <c r="M1763">
        <v>0.1342325</v>
      </c>
      <c r="N1763">
        <v>-9.7896779999999996E-3</v>
      </c>
      <c r="O1763">
        <v>-0.99090160000000005</v>
      </c>
      <c r="P1763">
        <v>0.24346329999999999</v>
      </c>
      <c r="Q1763">
        <v>0.34866940000000002</v>
      </c>
      <c r="R1763">
        <v>-0.90507199999999999</v>
      </c>
      <c r="S1763">
        <v>1.19667099999999</v>
      </c>
      <c r="T1763">
        <v>-0.25715680000000002</v>
      </c>
      <c r="U1763">
        <v>-3.0915219999999999</v>
      </c>
      <c r="V1763">
        <v>-0.1175581</v>
      </c>
      <c r="W1763">
        <v>0.35848380000000002</v>
      </c>
      <c r="X1763">
        <v>0.92610440000000005</v>
      </c>
      <c r="Y1763">
        <v>-0.23158409999999999</v>
      </c>
      <c r="Z1763">
        <v>6.8341269999999996E-2</v>
      </c>
      <c r="AA1763">
        <v>0.97041140000000004</v>
      </c>
      <c r="AB1763">
        <v>26</v>
      </c>
      <c r="AC1763">
        <v>5.1229000000000102</v>
      </c>
      <c r="AD1763">
        <v>-1.1078651508890001</v>
      </c>
      <c r="AE1763">
        <v>-13.057600000000001</v>
      </c>
      <c r="AF1763">
        <v>-3.3030886446619498</v>
      </c>
      <c r="AG1763">
        <v>-1.1078651508890001</v>
      </c>
      <c r="AH1763">
        <v>13.5426244806862</v>
      </c>
      <c r="AI1763">
        <v>94.544086819954401</v>
      </c>
      <c r="AJ1763">
        <v>103.706998951798</v>
      </c>
      <c r="AK1763">
        <v>13.9835774253919</v>
      </c>
      <c r="AL1763">
        <v>68.992888762118994</v>
      </c>
      <c r="AM1763">
        <v>97.234336880114199</v>
      </c>
      <c r="AN1763">
        <v>0.99999995071870296</v>
      </c>
    </row>
    <row r="1764" spans="1:40" x14ac:dyDescent="0.25">
      <c r="A1764" t="str">
        <f>"20190304164124686"</f>
        <v>20190304164124686</v>
      </c>
      <c r="B1764" t="str">
        <f>"1551688884682527"</f>
        <v>1551688884682527</v>
      </c>
      <c r="C1764" t="s">
        <v>40</v>
      </c>
      <c r="D1764">
        <v>4.6830959999999999</v>
      </c>
      <c r="E1764">
        <v>0.3102895</v>
      </c>
      <c r="F1764" t="s">
        <v>42</v>
      </c>
      <c r="G1764">
        <v>-188.15110000000001</v>
      </c>
      <c r="H1764" s="1">
        <v>-3.988624E-6</v>
      </c>
      <c r="I1764">
        <v>328.16590000000002</v>
      </c>
      <c r="J1764">
        <v>-193.3424</v>
      </c>
      <c r="K1764">
        <v>1.1080639999999999</v>
      </c>
      <c r="L1764">
        <v>341.1533</v>
      </c>
      <c r="M1764">
        <v>0.12757309999999999</v>
      </c>
      <c r="N1764">
        <v>-9.9922459999999998E-3</v>
      </c>
      <c r="O1764">
        <v>-0.99177899999999997</v>
      </c>
      <c r="P1764">
        <v>0.25238850000000002</v>
      </c>
      <c r="Q1764">
        <v>0.35021000000000002</v>
      </c>
      <c r="R1764">
        <v>-0.90202720000000003</v>
      </c>
      <c r="S1764">
        <v>1.202423</v>
      </c>
      <c r="T1764">
        <v>-0.25370160000000003</v>
      </c>
      <c r="U1764">
        <v>-3.0889280000000001</v>
      </c>
      <c r="V1764">
        <v>-0.13318070000000001</v>
      </c>
      <c r="W1764">
        <v>0.36022419999999999</v>
      </c>
      <c r="X1764">
        <v>0.92330999999999996</v>
      </c>
      <c r="Y1764">
        <v>-0.239979</v>
      </c>
      <c r="Z1764">
        <v>6.7150000000000001E-2</v>
      </c>
      <c r="AA1764">
        <v>0.96845289999999995</v>
      </c>
      <c r="AB1764">
        <v>26</v>
      </c>
      <c r="AC1764">
        <v>5.1912999999999796</v>
      </c>
      <c r="AD1764">
        <v>-1.1080679886239999</v>
      </c>
      <c r="AE1764">
        <v>-12.9873999999999</v>
      </c>
      <c r="AF1764">
        <v>-3.4701728049683598</v>
      </c>
      <c r="AG1764">
        <v>-1.1080679886239999</v>
      </c>
      <c r="AH1764">
        <v>13.4590992581672</v>
      </c>
      <c r="AI1764">
        <v>94.558057582651699</v>
      </c>
      <c r="AJ1764">
        <v>104.457748443407</v>
      </c>
      <c r="AK1764">
        <v>13.943359236746</v>
      </c>
      <c r="AL1764">
        <v>68.886033668459305</v>
      </c>
      <c r="AM1764">
        <v>98.207884401245906</v>
      </c>
      <c r="AN1764">
        <v>0.99999996460906404</v>
      </c>
    </row>
    <row r="1765" spans="1:40" x14ac:dyDescent="0.25">
      <c r="A1765" t="str">
        <f>"20190304164124706"</f>
        <v>20190304164124706</v>
      </c>
      <c r="B1765" t="str">
        <f>"1551688884703023"</f>
        <v>1551688884703023</v>
      </c>
      <c r="C1765" t="s">
        <v>40</v>
      </c>
      <c r="D1765">
        <v>4.8117049999999999</v>
      </c>
      <c r="E1765">
        <v>0.31069659999999999</v>
      </c>
      <c r="F1765" t="s">
        <v>43</v>
      </c>
      <c r="G1765">
        <v>-163.90199999999999</v>
      </c>
      <c r="H1765">
        <v>-0.05</v>
      </c>
      <c r="I1765">
        <v>306.8331</v>
      </c>
      <c r="J1765">
        <v>-193.3141</v>
      </c>
      <c r="K1765">
        <v>1.108152</v>
      </c>
      <c r="L1765">
        <v>340.9051</v>
      </c>
      <c r="M1765">
        <v>0.124429399999999</v>
      </c>
      <c r="N1765">
        <v>-1.010203E-2</v>
      </c>
      <c r="O1765">
        <v>-0.99217719999999998</v>
      </c>
      <c r="P1765">
        <v>0.25521129999999997</v>
      </c>
      <c r="Q1765">
        <v>0.35138360000000002</v>
      </c>
      <c r="R1765">
        <v>-0.90077580000000002</v>
      </c>
      <c r="S1765">
        <v>2.3253020000000002</v>
      </c>
      <c r="T1765">
        <v>-9.1467740000000006E-2</v>
      </c>
      <c r="U1765">
        <v>-2.7107239999999999</v>
      </c>
      <c r="V1765">
        <v>-0.1391281</v>
      </c>
      <c r="W1765">
        <v>0.36149559999999997</v>
      </c>
      <c r="X1765">
        <v>0.92193510000000001</v>
      </c>
      <c r="Y1765">
        <v>-0.55140199999999995</v>
      </c>
      <c r="Z1765">
        <v>1.6718420000000001E-2</v>
      </c>
      <c r="AA1765">
        <v>0.83407209999999998</v>
      </c>
      <c r="AB1765">
        <v>26</v>
      </c>
      <c r="AC1765">
        <v>29.412099999999899</v>
      </c>
      <c r="AD1765">
        <v>-1.1581520000000001</v>
      </c>
      <c r="AE1765">
        <v>-34.071999999999903</v>
      </c>
      <c r="AF1765">
        <v>-24.9272219572476</v>
      </c>
      <c r="AG1765">
        <v>-1.1581520000000001</v>
      </c>
      <c r="AH1765">
        <v>37.442308229330997</v>
      </c>
      <c r="AI1765">
        <v>91.474901030762496</v>
      </c>
      <c r="AJ1765">
        <v>123.653696928127</v>
      </c>
      <c r="AK1765">
        <v>44.995934884178403</v>
      </c>
      <c r="AL1765">
        <v>68.807925903742998</v>
      </c>
      <c r="AM1765">
        <v>98.5816822169554</v>
      </c>
      <c r="AN1765">
        <v>1.00000001282049</v>
      </c>
    </row>
    <row r="1766" spans="1:40" x14ac:dyDescent="0.25">
      <c r="A1766" t="str">
        <f>"20190304164124730"</f>
        <v>20190304164124730</v>
      </c>
      <c r="B1766" t="str">
        <f>"1551688884722543"</f>
        <v>1551688884722543</v>
      </c>
      <c r="C1766" t="s">
        <v>40</v>
      </c>
      <c r="D1766">
        <v>4.7899699999999896</v>
      </c>
      <c r="E1766">
        <v>0.31244379999999999</v>
      </c>
      <c r="F1766" t="s">
        <v>43</v>
      </c>
      <c r="G1766">
        <v>-168.44319999999999</v>
      </c>
      <c r="H1766">
        <v>-0.05</v>
      </c>
      <c r="I1766">
        <v>312.0052</v>
      </c>
      <c r="J1766">
        <v>-193.28440000000001</v>
      </c>
      <c r="K1766">
        <v>1.108233</v>
      </c>
      <c r="L1766">
        <v>340.63810000000001</v>
      </c>
      <c r="M1766">
        <v>0.1211472</v>
      </c>
      <c r="N1766">
        <v>-1.0220450000000001E-2</v>
      </c>
      <c r="O1766">
        <v>-0.99258210000000002</v>
      </c>
      <c r="P1766">
        <v>0.25580190000000003</v>
      </c>
      <c r="Q1766">
        <v>0.35352650000000002</v>
      </c>
      <c r="R1766">
        <v>-0.8997695</v>
      </c>
      <c r="S1766">
        <v>2.3336030000000001</v>
      </c>
      <c r="T1766">
        <v>-0.1086681</v>
      </c>
      <c r="U1766">
        <v>-2.7116389999999999</v>
      </c>
      <c r="V1766">
        <v>-0.14294019999999999</v>
      </c>
      <c r="W1766">
        <v>0.36373260000000002</v>
      </c>
      <c r="X1766">
        <v>0.92047089999999998</v>
      </c>
      <c r="Y1766">
        <v>-0.55541149999999995</v>
      </c>
      <c r="Z1766">
        <v>2.1487409999999998E-2</v>
      </c>
      <c r="AA1766">
        <v>0.83129799999999998</v>
      </c>
      <c r="AB1766">
        <v>26</v>
      </c>
      <c r="AC1766">
        <v>24.841200000000001</v>
      </c>
      <c r="AD1766">
        <v>-1.1582330000000001</v>
      </c>
      <c r="AE1766">
        <v>-28.632899999999999</v>
      </c>
      <c r="AF1766">
        <v>-21.169474415715801</v>
      </c>
      <c r="AG1766">
        <v>-1.1582330000000001</v>
      </c>
      <c r="AH1766">
        <v>31.402265491916999</v>
      </c>
      <c r="AI1766">
        <v>91.751745262426496</v>
      </c>
      <c r="AJ1766">
        <v>123.985424210963</v>
      </c>
      <c r="AK1766">
        <v>37.889186171581699</v>
      </c>
      <c r="AL1766">
        <v>68.670394267834993</v>
      </c>
      <c r="AM1766">
        <v>98.8269748711364</v>
      </c>
      <c r="AN1766">
        <v>0.99999999141280405</v>
      </c>
    </row>
    <row r="1767" spans="1:40" x14ac:dyDescent="0.25">
      <c r="A1767" t="str">
        <f>"20190304164124752"</f>
        <v>20190304164124752</v>
      </c>
      <c r="B1767" t="str">
        <f>"1551688884743039"</f>
        <v>1551688884743039</v>
      </c>
      <c r="C1767" t="s">
        <v>40</v>
      </c>
      <c r="D1767">
        <v>4.7648659999999996</v>
      </c>
      <c r="E1767">
        <v>0.31424760000000002</v>
      </c>
      <c r="F1767" t="s">
        <v>43</v>
      </c>
      <c r="G1767">
        <v>-168.25829999999999</v>
      </c>
      <c r="H1767">
        <v>-0.05</v>
      </c>
      <c r="I1767">
        <v>311.40190000000001</v>
      </c>
      <c r="J1767">
        <v>-193.2561</v>
      </c>
      <c r="K1767">
        <v>1.108306</v>
      </c>
      <c r="L1767">
        <v>340.37729999999999</v>
      </c>
      <c r="M1767">
        <v>0.1180499</v>
      </c>
      <c r="N1767">
        <v>-1.0343939999999999E-2</v>
      </c>
      <c r="O1767">
        <v>-0.9929538</v>
      </c>
      <c r="P1767">
        <v>0.25620500000000002</v>
      </c>
      <c r="Q1767">
        <v>0.35437920000000001</v>
      </c>
      <c r="R1767">
        <v>-0.89931899999999998</v>
      </c>
      <c r="S1767">
        <v>2.324554</v>
      </c>
      <c r="T1767">
        <v>-0.1075826</v>
      </c>
      <c r="U1767">
        <v>-2.7156069999999999</v>
      </c>
      <c r="V1767">
        <v>-0.14632510000000001</v>
      </c>
      <c r="W1767">
        <v>0.36468650000000002</v>
      </c>
      <c r="X1767">
        <v>0.91956110000000002</v>
      </c>
      <c r="Y1767">
        <v>-0.55581359999999902</v>
      </c>
      <c r="Z1767">
        <v>2.1052959999999999E-2</v>
      </c>
      <c r="AA1767">
        <v>0.83104029999999995</v>
      </c>
      <c r="AB1767">
        <v>26</v>
      </c>
      <c r="AC1767">
        <v>24.997800000000002</v>
      </c>
      <c r="AD1767">
        <v>-1.1583060000000001</v>
      </c>
      <c r="AE1767">
        <v>-28.975399999999901</v>
      </c>
      <c r="AF1767">
        <v>-21.382672385414899</v>
      </c>
      <c r="AG1767">
        <v>-1.1583060000000001</v>
      </c>
      <c r="AH1767">
        <v>31.694880802926999</v>
      </c>
      <c r="AI1767">
        <v>91.735287736061807</v>
      </c>
      <c r="AJ1767">
        <v>124.005224643978</v>
      </c>
      <c r="AK1767">
        <v>38.250827706644102</v>
      </c>
      <c r="AL1767">
        <v>68.6117081638249</v>
      </c>
      <c r="AM1767">
        <v>99.041384193445197</v>
      </c>
      <c r="AN1767">
        <v>0.99999994740273301</v>
      </c>
    </row>
    <row r="1768" spans="1:40" x14ac:dyDescent="0.25">
      <c r="A1768" t="str">
        <f>"20190304164124773"</f>
        <v>20190304164124773</v>
      </c>
      <c r="B1768" t="str">
        <f>"1551688884763065"</f>
        <v>1551688884763065</v>
      </c>
      <c r="C1768" t="s">
        <v>40</v>
      </c>
      <c r="D1768">
        <v>4.7116280000000001</v>
      </c>
      <c r="E1768">
        <v>0.31388519999999998</v>
      </c>
      <c r="F1768" t="s">
        <v>43</v>
      </c>
      <c r="G1768">
        <v>-167.8176</v>
      </c>
      <c r="H1768">
        <v>-0.05</v>
      </c>
      <c r="I1768">
        <v>310.4966</v>
      </c>
      <c r="J1768">
        <v>-193.2304</v>
      </c>
      <c r="K1768">
        <v>1.108392</v>
      </c>
      <c r="L1768">
        <v>340.13420000000002</v>
      </c>
      <c r="M1768">
        <v>0.115273</v>
      </c>
      <c r="N1768">
        <v>-1.046798E-2</v>
      </c>
      <c r="O1768">
        <v>-0.99327869999999996</v>
      </c>
      <c r="P1768">
        <v>0.25785190000000002</v>
      </c>
      <c r="Q1768">
        <v>0.35366009999999998</v>
      </c>
      <c r="R1768">
        <v>-0.89913120000000002</v>
      </c>
      <c r="S1768">
        <v>2.3140260000000001</v>
      </c>
      <c r="T1768">
        <v>-0.1053656</v>
      </c>
      <c r="U1768">
        <v>-2.7181090000000001</v>
      </c>
      <c r="V1768">
        <v>-0.15062879999999901</v>
      </c>
      <c r="W1768">
        <v>0.36407319999999999</v>
      </c>
      <c r="X1768">
        <v>0.91910919999999896</v>
      </c>
      <c r="Y1768">
        <v>-0.55590640000000002</v>
      </c>
      <c r="Z1768">
        <v>2.0311510000000001E-2</v>
      </c>
      <c r="AA1768">
        <v>0.83099669999999903</v>
      </c>
      <c r="AB1768">
        <v>26</v>
      </c>
      <c r="AC1768">
        <v>25.412800000000001</v>
      </c>
      <c r="AD1768">
        <v>-1.1583920000000001</v>
      </c>
      <c r="AE1768">
        <v>-29.637599999999999</v>
      </c>
      <c r="AF1768">
        <v>-21.807574645868701</v>
      </c>
      <c r="AG1768">
        <v>-1.1583920000000001</v>
      </c>
      <c r="AH1768">
        <v>32.341107302111801</v>
      </c>
      <c r="AI1768">
        <v>91.701030409468402</v>
      </c>
      <c r="AJ1768">
        <v>123.99174648372799</v>
      </c>
      <c r="AK1768">
        <v>39.023831250756402</v>
      </c>
      <c r="AL1768">
        <v>68.649443602398307</v>
      </c>
      <c r="AM1768">
        <v>99.307218095602096</v>
      </c>
      <c r="AN1768">
        <v>1.0000000259361499</v>
      </c>
    </row>
    <row r="1769" spans="1:40" x14ac:dyDescent="0.25">
      <c r="A1769" t="str">
        <f>"20190304164124797"</f>
        <v>20190304164124797</v>
      </c>
      <c r="B1769" t="str">
        <f>"1551688884782585"</f>
        <v>1551688884782585</v>
      </c>
      <c r="C1769" t="s">
        <v>40</v>
      </c>
      <c r="D1769">
        <v>4.6902350000000004</v>
      </c>
      <c r="E1769">
        <v>0.31388709999999997</v>
      </c>
      <c r="F1769" t="s">
        <v>43</v>
      </c>
      <c r="G1769">
        <v>-164.50190000000001</v>
      </c>
      <c r="H1769">
        <v>-0.05</v>
      </c>
      <c r="I1769">
        <v>306.65879999999999</v>
      </c>
      <c r="J1769">
        <v>-193.20349999999999</v>
      </c>
      <c r="K1769">
        <v>1.108509</v>
      </c>
      <c r="L1769">
        <v>339.87349999999998</v>
      </c>
      <c r="M1769">
        <v>0.1124372</v>
      </c>
      <c r="N1769">
        <v>-1.060757E-2</v>
      </c>
      <c r="O1769">
        <v>-0.99360250000000006</v>
      </c>
      <c r="P1769">
        <v>0.2589844</v>
      </c>
      <c r="Q1769">
        <v>0.35240189999999999</v>
      </c>
      <c r="R1769">
        <v>-0.8993004</v>
      </c>
      <c r="S1769">
        <v>2.3232729999999999</v>
      </c>
      <c r="T1769">
        <v>-9.3679070000000003E-2</v>
      </c>
      <c r="U1769">
        <v>-2.7071529999999999</v>
      </c>
      <c r="V1769">
        <v>-0.15446170000000001</v>
      </c>
      <c r="W1769">
        <v>0.36292410000000003</v>
      </c>
      <c r="X1769">
        <v>0.91892750000000001</v>
      </c>
      <c r="Y1769">
        <v>-0.56160739999999998</v>
      </c>
      <c r="Z1769">
        <v>1.6820660000000001E-2</v>
      </c>
      <c r="AA1769">
        <v>0.82723279999999999</v>
      </c>
      <c r="AB1769">
        <v>26</v>
      </c>
      <c r="AC1769">
        <v>28.7015999999999</v>
      </c>
      <c r="AD1769">
        <v>-1.158509</v>
      </c>
      <c r="AE1769">
        <v>-33.214699999999901</v>
      </c>
      <c r="AF1769">
        <v>-24.767550534784</v>
      </c>
      <c r="AG1769">
        <v>-1.158509</v>
      </c>
      <c r="AH1769">
        <v>36.206147195379899</v>
      </c>
      <c r="AI1769">
        <v>91.512804603060999</v>
      </c>
      <c r="AJ1769">
        <v>124.374872499726</v>
      </c>
      <c r="AK1769">
        <v>43.882328987072697</v>
      </c>
      <c r="AL1769">
        <v>68.720116787439594</v>
      </c>
      <c r="AM1769">
        <v>99.541600825964494</v>
      </c>
      <c r="AN1769">
        <v>1.00000003469197</v>
      </c>
    </row>
    <row r="1770" spans="1:40" x14ac:dyDescent="0.25">
      <c r="A1770" t="str">
        <f>"20190304164124821"</f>
        <v>20190304164124821</v>
      </c>
      <c r="B1770" t="str">
        <f>"1551688884812840"</f>
        <v>1551688884812840</v>
      </c>
      <c r="C1770" t="s">
        <v>40</v>
      </c>
      <c r="D1770">
        <v>4.7182909999999998</v>
      </c>
      <c r="E1770">
        <v>0.31378349999999999</v>
      </c>
      <c r="F1770" t="s">
        <v>43</v>
      </c>
      <c r="G1770">
        <v>-163.04589999999999</v>
      </c>
      <c r="H1770">
        <v>-0.05</v>
      </c>
      <c r="I1770">
        <v>304.8492</v>
      </c>
      <c r="J1770">
        <v>-193.17439999999999</v>
      </c>
      <c r="K1770">
        <v>1.1086670000000001</v>
      </c>
      <c r="L1770">
        <v>339.58600000000001</v>
      </c>
      <c r="M1770">
        <v>0.1095006</v>
      </c>
      <c r="N1770">
        <v>-1.077089E-2</v>
      </c>
      <c r="O1770">
        <v>-0.99392840000000005</v>
      </c>
      <c r="P1770">
        <v>0.25907980000000003</v>
      </c>
      <c r="Q1770">
        <v>0.35105500000000001</v>
      </c>
      <c r="R1770">
        <v>-0.89979900000000002</v>
      </c>
      <c r="S1770">
        <v>2.3258209999999999</v>
      </c>
      <c r="T1770">
        <v>-8.934665E-2</v>
      </c>
      <c r="U1770">
        <v>-2.7011409999999998</v>
      </c>
      <c r="V1770">
        <v>-0.157356</v>
      </c>
      <c r="W1770">
        <v>0.36168810000000001</v>
      </c>
      <c r="X1770">
        <v>0.91892370000000001</v>
      </c>
      <c r="Y1770">
        <v>-0.56541850000000005</v>
      </c>
      <c r="Z1770">
        <v>1.541943E-2</v>
      </c>
      <c r="AA1770">
        <v>0.82465999999999995</v>
      </c>
      <c r="AB1770">
        <v>26</v>
      </c>
      <c r="AC1770">
        <v>30.128499999999999</v>
      </c>
      <c r="AD1770">
        <v>-1.1586669999999999</v>
      </c>
      <c r="AE1770">
        <v>-34.736800000000002</v>
      </c>
      <c r="AF1770">
        <v>-26.1267980473304</v>
      </c>
      <c r="AG1770">
        <v>-1.1586669999999999</v>
      </c>
      <c r="AH1770">
        <v>37.803171122862601</v>
      </c>
      <c r="AI1770">
        <v>91.444355998021607</v>
      </c>
      <c r="AJ1770">
        <v>124.649403693862</v>
      </c>
      <c r="AK1770">
        <v>45.967725986471301</v>
      </c>
      <c r="AL1770">
        <v>68.796095272078801</v>
      </c>
      <c r="AM1770">
        <v>99.717052378312104</v>
      </c>
      <c r="AN1770">
        <v>0.99999997941964902</v>
      </c>
    </row>
    <row r="1771" spans="1:40" x14ac:dyDescent="0.25">
      <c r="A1771" t="str">
        <f>"20190304164124844"</f>
        <v>20190304164124844</v>
      </c>
      <c r="B1771" t="str">
        <f>"1551688884832362"</f>
        <v>1551688884832362</v>
      </c>
      <c r="C1771" t="s">
        <v>40</v>
      </c>
      <c r="D1771">
        <v>4.7005290000000004</v>
      </c>
      <c r="E1771">
        <v>0.31389739999999999</v>
      </c>
      <c r="F1771" t="s">
        <v>43</v>
      </c>
      <c r="G1771">
        <v>-162.9778</v>
      </c>
      <c r="H1771">
        <v>-0.05</v>
      </c>
      <c r="I1771">
        <v>304.51650000000001</v>
      </c>
      <c r="J1771">
        <v>-193.15010000000001</v>
      </c>
      <c r="K1771">
        <v>1.1088229999999999</v>
      </c>
      <c r="L1771">
        <v>339.34129999999999</v>
      </c>
      <c r="M1771">
        <v>0.1072002</v>
      </c>
      <c r="N1771">
        <v>-1.091578E-2</v>
      </c>
      <c r="O1771">
        <v>-0.99417770000000005</v>
      </c>
      <c r="P1771">
        <v>0.25829740000000001</v>
      </c>
      <c r="Q1771">
        <v>0.35022140000000002</v>
      </c>
      <c r="R1771">
        <v>-0.90034890000000001</v>
      </c>
      <c r="S1771">
        <v>2.3244479999999998</v>
      </c>
      <c r="T1771">
        <v>-8.919096E-2</v>
      </c>
      <c r="U1771">
        <v>-2.699554</v>
      </c>
      <c r="V1771">
        <v>-0.15877929999999901</v>
      </c>
      <c r="W1771">
        <v>0.36094019999999999</v>
      </c>
      <c r="X1771">
        <v>0.91897300000000004</v>
      </c>
      <c r="Y1771">
        <v>-0.56732399999999905</v>
      </c>
      <c r="Z1771">
        <v>1.5233419999999999E-2</v>
      </c>
      <c r="AA1771">
        <v>0.82335380000000002</v>
      </c>
      <c r="AB1771">
        <v>26</v>
      </c>
      <c r="AC1771">
        <v>30.1723</v>
      </c>
      <c r="AD1771">
        <v>-1.1588229999999999</v>
      </c>
      <c r="AE1771">
        <v>-34.824799999999897</v>
      </c>
      <c r="AF1771">
        <v>-26.248360770616401</v>
      </c>
      <c r="AG1771">
        <v>-1.1588229999999999</v>
      </c>
      <c r="AH1771">
        <v>37.834835054783603</v>
      </c>
      <c r="AI1771">
        <v>91.441564057259797</v>
      </c>
      <c r="AJ1771">
        <v>124.75143307840401</v>
      </c>
      <c r="AK1771">
        <v>46.062935832537299</v>
      </c>
      <c r="AL1771">
        <v>68.842052612631704</v>
      </c>
      <c r="AM1771">
        <v>99.802730413775294</v>
      </c>
      <c r="AN1771">
        <v>1.0000000344067601</v>
      </c>
    </row>
    <row r="1772" spans="1:40" x14ac:dyDescent="0.25">
      <c r="A1772" t="str">
        <f>"20190304164124865"</f>
        <v>20190304164124865</v>
      </c>
      <c r="B1772" t="str">
        <f>"1551688884852857"</f>
        <v>1551688884852857</v>
      </c>
      <c r="C1772" t="s">
        <v>40</v>
      </c>
      <c r="D1772">
        <v>4.6958849999999996</v>
      </c>
      <c r="E1772">
        <v>0.31423289999999998</v>
      </c>
      <c r="F1772" t="s">
        <v>43</v>
      </c>
      <c r="G1772">
        <v>-164.37610000000001</v>
      </c>
      <c r="H1772">
        <v>-0.05</v>
      </c>
      <c r="I1772">
        <v>305.81529999999998</v>
      </c>
      <c r="J1772">
        <v>-193.1259</v>
      </c>
      <c r="K1772">
        <v>1.1089929999999999</v>
      </c>
      <c r="L1772">
        <v>339.09280000000001</v>
      </c>
      <c r="M1772">
        <v>0.1050842</v>
      </c>
      <c r="N1772">
        <v>-1.105649E-2</v>
      </c>
      <c r="O1772">
        <v>-0.9944018</v>
      </c>
      <c r="P1772">
        <v>0.255907</v>
      </c>
      <c r="Q1772">
        <v>0.35014529999999999</v>
      </c>
      <c r="R1772">
        <v>-0.90106050000000004</v>
      </c>
      <c r="S1772">
        <v>2.3197779999999999</v>
      </c>
      <c r="T1772">
        <v>-9.3424800000000002E-2</v>
      </c>
      <c r="U1772">
        <v>-2.7028810000000001</v>
      </c>
      <c r="V1772">
        <v>-0.15842879999999901</v>
      </c>
      <c r="W1772">
        <v>0.3609327</v>
      </c>
      <c r="X1772">
        <v>0.91903639999999998</v>
      </c>
      <c r="Y1772">
        <v>-0.56774069999999899</v>
      </c>
      <c r="Z1772">
        <v>1.6302540000000001E-2</v>
      </c>
      <c r="AA1772">
        <v>0.82304599999999895</v>
      </c>
      <c r="AB1772">
        <v>26</v>
      </c>
      <c r="AC1772">
        <v>28.7498</v>
      </c>
      <c r="AD1772">
        <v>-1.1589929999999999</v>
      </c>
      <c r="AE1772">
        <v>-33.277500000000003</v>
      </c>
      <c r="AF1772">
        <v>-25.076031670310002</v>
      </c>
      <c r="AG1772">
        <v>-1.1589929999999999</v>
      </c>
      <c r="AH1772">
        <v>36.089498594581897</v>
      </c>
      <c r="AI1772">
        <v>91.510714839293797</v>
      </c>
      <c r="AJ1772">
        <v>124.792695052176</v>
      </c>
      <c r="AK1772">
        <v>43.961375523438399</v>
      </c>
      <c r="AL1772">
        <v>68.842512663575803</v>
      </c>
      <c r="AM1772">
        <v>99.780847923188503</v>
      </c>
      <c r="AN1772">
        <v>1.00000000156184</v>
      </c>
    </row>
    <row r="1773" spans="1:40" x14ac:dyDescent="0.25">
      <c r="A1773" t="str">
        <f>"20190304164124886"</f>
        <v>20190304164124886</v>
      </c>
      <c r="B1773" t="str">
        <f>"1551688884882645"</f>
        <v>1551688884882645</v>
      </c>
      <c r="C1773" t="s">
        <v>40</v>
      </c>
      <c r="D1773">
        <v>4.6939769999999896</v>
      </c>
      <c r="E1773">
        <v>0.31418049999999997</v>
      </c>
      <c r="F1773" t="s">
        <v>43</v>
      </c>
      <c r="G1773">
        <v>-165.29640000000001</v>
      </c>
      <c r="H1773">
        <v>-0.05</v>
      </c>
      <c r="I1773">
        <v>306.43200000000002</v>
      </c>
      <c r="J1773">
        <v>-193.10220000000001</v>
      </c>
      <c r="K1773">
        <v>1.1091500000000001</v>
      </c>
      <c r="L1773">
        <v>338.84739999999999</v>
      </c>
      <c r="M1773">
        <v>0.1031685</v>
      </c>
      <c r="N1773">
        <v>-1.1183449999999999E-2</v>
      </c>
      <c r="O1773">
        <v>-0.99460110000000002</v>
      </c>
      <c r="P1773">
        <v>0.25396419999999997</v>
      </c>
      <c r="Q1773">
        <v>0.34971069999999999</v>
      </c>
      <c r="R1773">
        <v>-0.90177859999999999</v>
      </c>
      <c r="S1773">
        <v>2.3097989999999999</v>
      </c>
      <c r="T1773">
        <v>-9.6194390000000005E-2</v>
      </c>
      <c r="U1773">
        <v>-2.710785</v>
      </c>
      <c r="V1773">
        <v>-0.15832560000000001</v>
      </c>
      <c r="W1773">
        <v>0.36056129999999997</v>
      </c>
      <c r="X1773">
        <v>0.91919989999999996</v>
      </c>
      <c r="Y1773">
        <v>-0.56637510000000002</v>
      </c>
      <c r="Z1773">
        <v>1.6959080000000001E-2</v>
      </c>
      <c r="AA1773">
        <v>0.82397310000000001</v>
      </c>
      <c r="AB1773">
        <v>26</v>
      </c>
      <c r="AC1773">
        <v>27.805800000000001</v>
      </c>
      <c r="AD1773">
        <v>-1.1591499999999999</v>
      </c>
      <c r="AE1773">
        <v>-32.415399999999899</v>
      </c>
      <c r="AF1773">
        <v>-24.295052163909101</v>
      </c>
      <c r="AG1773">
        <v>-1.1591499999999999</v>
      </c>
      <c r="AH1773">
        <v>35.0854217621686</v>
      </c>
      <c r="AI1773">
        <v>91.555866559215104</v>
      </c>
      <c r="AJ1773">
        <v>124.70083264388499</v>
      </c>
      <c r="AK1773">
        <v>42.691685473858001</v>
      </c>
      <c r="AL1773">
        <v>68.865327550142297</v>
      </c>
      <c r="AM1773">
        <v>99.772894551820897</v>
      </c>
      <c r="AN1773">
        <v>0.99999995141652798</v>
      </c>
    </row>
    <row r="1774" spans="1:40" x14ac:dyDescent="0.25">
      <c r="A1774" t="str">
        <f>"20190304164124908"</f>
        <v>20190304164124908</v>
      </c>
      <c r="B1774" t="str">
        <f>"1551688884903141"</f>
        <v>1551688884903141</v>
      </c>
      <c r="C1774" t="s">
        <v>40</v>
      </c>
      <c r="D1774">
        <v>4.6878769999999896</v>
      </c>
      <c r="E1774">
        <v>0.31407950000000001</v>
      </c>
      <c r="F1774" t="s">
        <v>43</v>
      </c>
      <c r="G1774">
        <v>-166.63339999999999</v>
      </c>
      <c r="H1774">
        <v>-0.05</v>
      </c>
      <c r="I1774">
        <v>307.62279999999998</v>
      </c>
      <c r="J1774">
        <v>-193.077</v>
      </c>
      <c r="K1774">
        <v>1.109289</v>
      </c>
      <c r="L1774">
        <v>338.58240000000001</v>
      </c>
      <c r="M1774">
        <v>0.10128239999999999</v>
      </c>
      <c r="N1774">
        <v>-1.130712E-2</v>
      </c>
      <c r="O1774">
        <v>-0.9947937</v>
      </c>
      <c r="P1774">
        <v>0.25147219999999998</v>
      </c>
      <c r="Q1774">
        <v>0.34769129999999998</v>
      </c>
      <c r="R1774">
        <v>-0.90325679999999997</v>
      </c>
      <c r="S1774">
        <v>2.3033600000000001</v>
      </c>
      <c r="T1774">
        <v>-0.10087119999999999</v>
      </c>
      <c r="U1774">
        <v>-2.7172239999999999</v>
      </c>
      <c r="V1774">
        <v>-0.1575647</v>
      </c>
      <c r="W1774">
        <v>0.3586143</v>
      </c>
      <c r="X1774">
        <v>0.92009189999999996</v>
      </c>
      <c r="Y1774">
        <v>-0.56581919999999897</v>
      </c>
      <c r="Z1774">
        <v>1.815976E-2</v>
      </c>
      <c r="AA1774">
        <v>0.82432929999999904</v>
      </c>
      <c r="AB1774">
        <v>26</v>
      </c>
      <c r="AC1774">
        <v>26.4436</v>
      </c>
      <c r="AD1774">
        <v>-1.159289</v>
      </c>
      <c r="AE1774">
        <v>-30.959599999999998</v>
      </c>
      <c r="AF1774">
        <v>-23.1529696597763</v>
      </c>
      <c r="AG1774">
        <v>-1.159289</v>
      </c>
      <c r="AH1774">
        <v>33.451699092668797</v>
      </c>
      <c r="AI1774">
        <v>91.632254383304002</v>
      </c>
      <c r="AJ1774">
        <v>124.68832289471401</v>
      </c>
      <c r="AK1774">
        <v>40.6991416032145</v>
      </c>
      <c r="AL1774">
        <v>68.984879700397698</v>
      </c>
      <c r="AM1774">
        <v>99.717576171328702</v>
      </c>
      <c r="AN1774">
        <v>0.99999997764809401</v>
      </c>
    </row>
    <row r="1775" spans="1:40" x14ac:dyDescent="0.25">
      <c r="A1775" t="str">
        <f>"20190304164124933"</f>
        <v>20190304164124933</v>
      </c>
      <c r="B1775" t="str">
        <f>"1551688884922661"</f>
        <v>1551688884922661</v>
      </c>
      <c r="C1775" t="s">
        <v>40</v>
      </c>
      <c r="D1775">
        <v>4.6952400000000001</v>
      </c>
      <c r="E1775">
        <v>0.31355509999999998</v>
      </c>
      <c r="F1775" t="s">
        <v>43</v>
      </c>
      <c r="G1775">
        <v>-168.6139</v>
      </c>
      <c r="H1775">
        <v>-0.05</v>
      </c>
      <c r="I1775">
        <v>309.5514</v>
      </c>
      <c r="J1775">
        <v>-193.05109999999999</v>
      </c>
      <c r="K1775">
        <v>1.1094040000000001</v>
      </c>
      <c r="L1775">
        <v>338.30709999999999</v>
      </c>
      <c r="M1775">
        <v>9.9509829999999994E-2</v>
      </c>
      <c r="N1775">
        <v>-1.142257E-2</v>
      </c>
      <c r="O1775">
        <v>-0.9949713</v>
      </c>
      <c r="P1775">
        <v>0.24746470000000001</v>
      </c>
      <c r="Q1775">
        <v>0.34493430000000003</v>
      </c>
      <c r="R1775">
        <v>-0.90541819999999895</v>
      </c>
      <c r="S1775">
        <v>2.295471</v>
      </c>
      <c r="T1775">
        <v>-0.1087809</v>
      </c>
      <c r="U1775">
        <v>-2.724091</v>
      </c>
      <c r="V1775">
        <v>-0.15511259999999999</v>
      </c>
      <c r="W1775">
        <v>0.35593010000000003</v>
      </c>
      <c r="X1775">
        <v>0.92154970000000003</v>
      </c>
      <c r="Y1775">
        <v>-0.56483399999999995</v>
      </c>
      <c r="Z1775">
        <v>2.0301429999999999E-2</v>
      </c>
      <c r="AA1775">
        <v>0.82495479999999999</v>
      </c>
      <c r="AB1775">
        <v>26</v>
      </c>
      <c r="AC1775">
        <v>24.437199999999901</v>
      </c>
      <c r="AD1775">
        <v>-1.1594040000000001</v>
      </c>
      <c r="AE1775">
        <v>-28.755699999999901</v>
      </c>
      <c r="AF1775">
        <v>-21.433999229313098</v>
      </c>
      <c r="AG1775">
        <v>-1.1594040000000001</v>
      </c>
      <c r="AH1775">
        <v>31.015577857727301</v>
      </c>
      <c r="AI1775">
        <v>91.761428874927006</v>
      </c>
      <c r="AJ1775">
        <v>124.64726733983299</v>
      </c>
      <c r="AK1775">
        <v>37.719048376730797</v>
      </c>
      <c r="AL1775">
        <v>69.149541221305597</v>
      </c>
      <c r="AM1775">
        <v>99.554306254118899</v>
      </c>
      <c r="AN1775">
        <v>1.00000000216743</v>
      </c>
    </row>
    <row r="1776" spans="1:40" x14ac:dyDescent="0.25">
      <c r="A1776" t="str">
        <f>"20190304164124952"</f>
        <v>20190304164124952</v>
      </c>
      <c r="B1776" t="str">
        <f>"1551688884943157"</f>
        <v>1551688884943157</v>
      </c>
      <c r="C1776" t="s">
        <v>40</v>
      </c>
      <c r="D1776">
        <v>5.1655389999999999</v>
      </c>
      <c r="E1776">
        <v>0.31348530000000002</v>
      </c>
      <c r="F1776" t="s">
        <v>43</v>
      </c>
      <c r="G1776">
        <v>-170.6362</v>
      </c>
      <c r="H1776">
        <v>-0.05</v>
      </c>
      <c r="I1776">
        <v>311.50510000000003</v>
      </c>
      <c r="J1776">
        <v>-193.02979999999999</v>
      </c>
      <c r="K1776">
        <v>1.1094790000000001</v>
      </c>
      <c r="L1776">
        <v>338.07709999999997</v>
      </c>
      <c r="M1776">
        <v>9.8150269999999998E-2</v>
      </c>
      <c r="N1776">
        <v>-1.150895E-2</v>
      </c>
      <c r="O1776">
        <v>-0.99510509999999996</v>
      </c>
      <c r="P1776">
        <v>0.24079130000000001</v>
      </c>
      <c r="Q1776">
        <v>0.34400969999999997</v>
      </c>
      <c r="R1776">
        <v>-0.90756680000000001</v>
      </c>
      <c r="S1776">
        <v>2.286133</v>
      </c>
      <c r="T1776">
        <v>-0.1182493</v>
      </c>
      <c r="U1776">
        <v>-2.7335820000000002</v>
      </c>
      <c r="V1776">
        <v>-0.14959500000000001</v>
      </c>
      <c r="W1776">
        <v>0.35505560000000003</v>
      </c>
      <c r="X1776">
        <v>0.92279840000000002</v>
      </c>
      <c r="Y1776">
        <v>-0.56284679999999998</v>
      </c>
      <c r="Z1776">
        <v>2.2907879999999999E-2</v>
      </c>
      <c r="AA1776">
        <v>0.82624370000000003</v>
      </c>
      <c r="AB1776">
        <v>26</v>
      </c>
      <c r="AC1776">
        <v>22.3935999999999</v>
      </c>
      <c r="AD1776">
        <v>-1.1594789999999999</v>
      </c>
      <c r="AE1776">
        <v>-26.5719999999999</v>
      </c>
      <c r="AF1776">
        <v>-19.6553560865643</v>
      </c>
      <c r="AG1776">
        <v>-1.1594789999999999</v>
      </c>
      <c r="AH1776">
        <v>28.6099140605548</v>
      </c>
      <c r="AI1776">
        <v>91.913179584302696</v>
      </c>
      <c r="AJ1776">
        <v>124.489534789773</v>
      </c>
      <c r="AK1776">
        <v>34.730456331488298</v>
      </c>
      <c r="AL1776">
        <v>69.203148314531802</v>
      </c>
      <c r="AM1776">
        <v>99.208123581277405</v>
      </c>
      <c r="AN1776">
        <v>1.0000000150794599</v>
      </c>
    </row>
    <row r="1777" spans="1:40" x14ac:dyDescent="0.25">
      <c r="A1777" t="str">
        <f>"20190304164124975"</f>
        <v>20190304164124975</v>
      </c>
      <c r="B1777" t="str">
        <f>"1551688884962677"</f>
        <v>1551688884962677</v>
      </c>
      <c r="C1777" t="s">
        <v>40</v>
      </c>
      <c r="D1777">
        <v>4.4222739999999998</v>
      </c>
      <c r="E1777">
        <v>0.3694557</v>
      </c>
      <c r="F1777" t="s">
        <v>43</v>
      </c>
      <c r="G1777">
        <v>-171.50309999999999</v>
      </c>
      <c r="H1777">
        <v>-0.05</v>
      </c>
      <c r="I1777">
        <v>311.94850000000002</v>
      </c>
      <c r="J1777">
        <v>-193.00649999999999</v>
      </c>
      <c r="K1777">
        <v>1.1095539999999999</v>
      </c>
      <c r="L1777">
        <v>337.82350000000002</v>
      </c>
      <c r="M1777">
        <v>9.6744049999999998E-2</v>
      </c>
      <c r="N1777">
        <v>-1.159371E-2</v>
      </c>
      <c r="O1777">
        <v>-0.99524199999999996</v>
      </c>
      <c r="P1777">
        <v>0.23322599999999999</v>
      </c>
      <c r="Q1777">
        <v>0.34374359999999998</v>
      </c>
      <c r="R1777">
        <v>-0.90964100000000003</v>
      </c>
      <c r="S1777">
        <v>2.2661440000000002</v>
      </c>
      <c r="T1777">
        <v>-0.1220598</v>
      </c>
      <c r="U1777">
        <v>-2.7505799999999998</v>
      </c>
      <c r="V1777">
        <v>-0.14323739999999999</v>
      </c>
      <c r="W1777">
        <v>0.35483809999999999</v>
      </c>
      <c r="X1777">
        <v>0.92389010000000005</v>
      </c>
      <c r="Y1777">
        <v>-0.55790410000000001</v>
      </c>
      <c r="Z1777">
        <v>2.3886839999999999E-2</v>
      </c>
      <c r="AA1777">
        <v>0.82956169999999996</v>
      </c>
      <c r="AB1777">
        <v>26</v>
      </c>
      <c r="AC1777">
        <v>21.503399999999999</v>
      </c>
      <c r="AD1777">
        <v>-1.159554</v>
      </c>
      <c r="AE1777">
        <v>-25.875</v>
      </c>
      <c r="AF1777">
        <v>-18.8766772794033</v>
      </c>
      <c r="AG1777">
        <v>-1.159554</v>
      </c>
      <c r="AH1777">
        <v>27.801052937354601</v>
      </c>
      <c r="AI1777">
        <v>91.976289703407005</v>
      </c>
      <c r="AJ1777">
        <v>124.17616938395101</v>
      </c>
      <c r="AK1777">
        <v>33.623980356514203</v>
      </c>
      <c r="AL1777">
        <v>69.216477189500793</v>
      </c>
      <c r="AM1777">
        <v>98.812818355836399</v>
      </c>
      <c r="AN1777">
        <v>0.999999973424189</v>
      </c>
    </row>
    <row r="1778" spans="1:40" x14ac:dyDescent="0.25">
      <c r="A1778" t="str">
        <f>"20190304164124999"</f>
        <v>20190304164124999</v>
      </c>
      <c r="B1778" t="str">
        <f>"1551688884992933"</f>
        <v>1551688884992933</v>
      </c>
      <c r="C1778" t="s">
        <v>40</v>
      </c>
      <c r="D1778">
        <v>4.8200960000000004</v>
      </c>
      <c r="E1778">
        <v>0.50198279999999995</v>
      </c>
      <c r="F1778" t="s">
        <v>43</v>
      </c>
      <c r="G1778">
        <v>-171.6968</v>
      </c>
      <c r="H1778">
        <v>-0.05</v>
      </c>
      <c r="I1778">
        <v>303.95830000000001</v>
      </c>
      <c r="J1778">
        <v>-192.9811</v>
      </c>
      <c r="K1778">
        <v>1.109626</v>
      </c>
      <c r="L1778">
        <v>337.54349999999999</v>
      </c>
      <c r="M1778">
        <v>9.5263299999999995E-2</v>
      </c>
      <c r="N1778">
        <v>-1.1684089999999999E-2</v>
      </c>
      <c r="O1778">
        <v>-0.99538369999999998</v>
      </c>
      <c r="P1778">
        <v>0.22813510000000001</v>
      </c>
      <c r="Q1778">
        <v>0.34422390000000003</v>
      </c>
      <c r="R1778">
        <v>-0.91074949999999999</v>
      </c>
      <c r="S1778">
        <v>1.8070980000000001</v>
      </c>
      <c r="T1778">
        <v>-9.8332290000000003E-2</v>
      </c>
      <c r="U1778">
        <v>-2.871826</v>
      </c>
      <c r="V1778">
        <v>-0.13949549999999999</v>
      </c>
      <c r="W1778">
        <v>0.35537609999999997</v>
      </c>
      <c r="X1778">
        <v>0.92425579999999996</v>
      </c>
      <c r="Y1778">
        <v>-0.44934220000000002</v>
      </c>
      <c r="Z1778">
        <v>1.8128060000000001E-2</v>
      </c>
      <c r="AA1778">
        <v>0.89317579999999996</v>
      </c>
      <c r="AB1778">
        <v>26</v>
      </c>
      <c r="AC1778">
        <v>21.284300000000002</v>
      </c>
      <c r="AD1778">
        <v>-1.159626</v>
      </c>
      <c r="AE1778">
        <v>-33.585199999999901</v>
      </c>
      <c r="AF1778">
        <v>-17.972546435971001</v>
      </c>
      <c r="AG1778">
        <v>-1.159626</v>
      </c>
      <c r="AH1778">
        <v>35.430052535627802</v>
      </c>
      <c r="AI1778">
        <v>91.671946429265503</v>
      </c>
      <c r="AJ1778">
        <v>116.89724104642301</v>
      </c>
      <c r="AK1778">
        <v>39.744757900009397</v>
      </c>
      <c r="AL1778">
        <v>69.183503028499601</v>
      </c>
      <c r="AM1778">
        <v>98.582723873492796</v>
      </c>
      <c r="AN1778">
        <v>0.99999997540254904</v>
      </c>
    </row>
    <row r="1779" spans="1:40" x14ac:dyDescent="0.25">
      <c r="A1779" t="str">
        <f>"20190304164125021"</f>
        <v>20190304164125021</v>
      </c>
      <c r="B1779" t="str">
        <f>"1551688885012453"</f>
        <v>1551688885012453</v>
      </c>
      <c r="C1779" t="s">
        <v>40</v>
      </c>
      <c r="D1779">
        <v>4.8493459999999997</v>
      </c>
      <c r="E1779">
        <v>0.57318630000000004</v>
      </c>
      <c r="F1779" t="s">
        <v>42</v>
      </c>
      <c r="G1779">
        <v>-188.59909999999999</v>
      </c>
      <c r="H1779" s="1">
        <v>-4.9437779999999998E-6</v>
      </c>
      <c r="I1779">
        <v>319.56400000000002</v>
      </c>
      <c r="J1779">
        <v>-192.959</v>
      </c>
      <c r="K1779">
        <v>1.109672</v>
      </c>
      <c r="L1779">
        <v>337.29739999999998</v>
      </c>
      <c r="M1779">
        <v>9.3999120000000005E-2</v>
      </c>
      <c r="N1779">
        <v>-1.177396E-2</v>
      </c>
      <c r="O1779">
        <v>-0.99550249999999996</v>
      </c>
      <c r="P1779">
        <v>0.22649569999999999</v>
      </c>
      <c r="Q1779">
        <v>0.34353939999999999</v>
      </c>
      <c r="R1779">
        <v>-0.91141660000000002</v>
      </c>
      <c r="S1779">
        <v>0.77362059999999999</v>
      </c>
      <c r="T1779">
        <v>-0.19590160000000001</v>
      </c>
      <c r="U1779">
        <v>-3.1742249999999999</v>
      </c>
      <c r="V1779">
        <v>-0.13901169999999999</v>
      </c>
      <c r="W1779">
        <v>0.35476540000000001</v>
      </c>
      <c r="X1779">
        <v>0.92456329999999998</v>
      </c>
      <c r="Y1779">
        <v>-0.144069899999999</v>
      </c>
      <c r="Z1779">
        <v>4.8372060000000001E-2</v>
      </c>
      <c r="AA1779">
        <v>0.9883845</v>
      </c>
      <c r="AB1779">
        <v>26</v>
      </c>
      <c r="AC1779">
        <v>4.3598999999999997</v>
      </c>
      <c r="AD1779">
        <v>-1.1096769437780001</v>
      </c>
      <c r="AE1779">
        <v>-17.7333999999999</v>
      </c>
      <c r="AF1779">
        <v>-2.6637173153124998</v>
      </c>
      <c r="AG1779">
        <v>-1.1096769437780001</v>
      </c>
      <c r="AH1779">
        <v>17.998267182958799</v>
      </c>
      <c r="AI1779">
        <v>93.490164602871104</v>
      </c>
      <c r="AJ1779">
        <v>98.418581173818097</v>
      </c>
      <c r="AK1779">
        <v>18.228120979536499</v>
      </c>
      <c r="AL1779">
        <v>69.220933429968994</v>
      </c>
      <c r="AM1779">
        <v>98.550595487511302</v>
      </c>
      <c r="AN1779">
        <v>1.0000000187404601</v>
      </c>
    </row>
    <row r="1780" spans="1:40" x14ac:dyDescent="0.25">
      <c r="A1780" t="str">
        <f>"20190304164125044"</f>
        <v>20190304164125044</v>
      </c>
      <c r="B1780" t="str">
        <f>"1551688885032949"</f>
        <v>1551688885032949</v>
      </c>
      <c r="C1780" t="s">
        <v>40</v>
      </c>
      <c r="D1780">
        <v>4.8360659999999998</v>
      </c>
      <c r="E1780">
        <v>0.57534339999999995</v>
      </c>
      <c r="F1780" t="s">
        <v>41</v>
      </c>
      <c r="G1780">
        <v>-192.9084</v>
      </c>
      <c r="H1780">
        <v>1.026216</v>
      </c>
      <c r="I1780">
        <v>336.56009999999998</v>
      </c>
      <c r="J1780">
        <v>-192.9358</v>
      </c>
      <c r="K1780">
        <v>1.1097030000000001</v>
      </c>
      <c r="L1780">
        <v>337.03449999999998</v>
      </c>
      <c r="M1780">
        <v>9.2668009999999995E-2</v>
      </c>
      <c r="N1780">
        <v>-1.190865E-2</v>
      </c>
      <c r="O1780">
        <v>-0.99562620000000002</v>
      </c>
      <c r="P1780">
        <v>0.22562840000000001</v>
      </c>
      <c r="Q1780">
        <v>0.34265899999999999</v>
      </c>
      <c r="R1780">
        <v>-0.91196339999999998</v>
      </c>
      <c r="S1780">
        <v>0.23260500000000001</v>
      </c>
      <c r="T1780">
        <v>-0.38250410000000001</v>
      </c>
      <c r="U1780">
        <v>-3.3779599999999999</v>
      </c>
      <c r="V1780">
        <v>-0.13935649999999999</v>
      </c>
      <c r="W1780">
        <v>0.35400740000000003</v>
      </c>
      <c r="X1780">
        <v>0.92480189999999995</v>
      </c>
      <c r="Y1780">
        <v>2.4381159999999999E-2</v>
      </c>
      <c r="Z1780">
        <v>9.9842379999999994E-2</v>
      </c>
      <c r="AA1780">
        <v>0.99470449999999999</v>
      </c>
      <c r="AB1780">
        <v>26</v>
      </c>
      <c r="AC1780">
        <v>2.7400000000000001E-2</v>
      </c>
      <c r="AD1780">
        <v>-8.3487000000000006E-2</v>
      </c>
      <c r="AE1780">
        <v>-0.47440000000000199</v>
      </c>
      <c r="AF1780">
        <v>1.6183187970858999E-2</v>
      </c>
      <c r="AG1780">
        <v>-8.3487000000000006E-2</v>
      </c>
      <c r="AH1780">
        <v>0.46067769371142397</v>
      </c>
      <c r="AI1780">
        <v>100.26582872456</v>
      </c>
      <c r="AJ1780">
        <v>87.988078762405294</v>
      </c>
      <c r="AK1780">
        <v>0.46846121741845098</v>
      </c>
      <c r="AL1780">
        <v>69.267377814878401</v>
      </c>
      <c r="AM1780">
        <v>98.569310837486498</v>
      </c>
      <c r="AN1780">
        <v>1.00000001379531</v>
      </c>
    </row>
    <row r="1781" spans="1:40" x14ac:dyDescent="0.25">
      <c r="A1781" t="str">
        <f>"20190304164125065"</f>
        <v>20190304164125065</v>
      </c>
      <c r="B1781" t="str">
        <f>"1551688885052469"</f>
        <v>1551688885052469</v>
      </c>
      <c r="C1781" t="s">
        <v>40</v>
      </c>
      <c r="D1781">
        <v>4.7670709999999996</v>
      </c>
      <c r="E1781">
        <v>0.57617810000000003</v>
      </c>
      <c r="F1781" t="s">
        <v>41</v>
      </c>
      <c r="G1781">
        <v>-192.8768</v>
      </c>
      <c r="H1781">
        <v>0.99236009999999997</v>
      </c>
      <c r="I1781">
        <v>336.11779999999999</v>
      </c>
      <c r="J1781">
        <v>-192.91380000000001</v>
      </c>
      <c r="K1781">
        <v>1.1097349999999999</v>
      </c>
      <c r="L1781">
        <v>336.78129999999999</v>
      </c>
      <c r="M1781">
        <v>9.138077E-2</v>
      </c>
      <c r="N1781">
        <v>-1.208073E-2</v>
      </c>
      <c r="O1781">
        <v>-0.99574289999999999</v>
      </c>
      <c r="P1781">
        <v>0.22497829999999999</v>
      </c>
      <c r="Q1781">
        <v>0.34192299999999998</v>
      </c>
      <c r="R1781">
        <v>-0.91239990000000004</v>
      </c>
      <c r="S1781">
        <v>0.21936040000000001</v>
      </c>
      <c r="T1781">
        <v>-0.43516359999999898</v>
      </c>
      <c r="U1781">
        <v>-3.3988339999999901</v>
      </c>
      <c r="V1781">
        <v>-0.13987359999999999</v>
      </c>
      <c r="W1781">
        <v>0.35343340000000001</v>
      </c>
      <c r="X1781">
        <v>0.92494339999999997</v>
      </c>
      <c r="Y1781">
        <v>2.7460749999999999E-2</v>
      </c>
      <c r="Z1781">
        <v>0.1140936</v>
      </c>
      <c r="AA1781">
        <v>0.99309040000000004</v>
      </c>
      <c r="AB1781">
        <v>26</v>
      </c>
      <c r="AC1781">
        <v>3.7000000000006097E-2</v>
      </c>
      <c r="AD1781">
        <v>-0.1173749</v>
      </c>
      <c r="AE1781">
        <v>-0.66349999999999898</v>
      </c>
      <c r="AF1781">
        <v>2.3070639080859299E-2</v>
      </c>
      <c r="AG1781">
        <v>-0.1173749</v>
      </c>
      <c r="AH1781">
        <v>0.64401324104064295</v>
      </c>
      <c r="AI1781">
        <v>100.32261560529599</v>
      </c>
      <c r="AJ1781">
        <v>87.948357028385701</v>
      </c>
      <c r="AK1781">
        <v>0.65502837814348402</v>
      </c>
      <c r="AL1781">
        <v>69.302539327334003</v>
      </c>
      <c r="AM1781">
        <v>98.599337628300503</v>
      </c>
      <c r="AN1781">
        <v>1.00000004270803</v>
      </c>
    </row>
    <row r="1782" spans="1:40" x14ac:dyDescent="0.25">
      <c r="A1782" t="str">
        <f>"20190304164125087"</f>
        <v>20190304164125087</v>
      </c>
      <c r="B1782" t="str">
        <f>"1551688885072496"</f>
        <v>1551688885072496</v>
      </c>
      <c r="C1782" t="s">
        <v>40</v>
      </c>
      <c r="D1782">
        <v>4.76464</v>
      </c>
      <c r="E1782">
        <v>0.57679859999999905</v>
      </c>
      <c r="F1782" t="s">
        <v>41</v>
      </c>
      <c r="G1782">
        <v>-192.8579</v>
      </c>
      <c r="H1782">
        <v>0.99104689999999995</v>
      </c>
      <c r="I1782">
        <v>335.88959999999997</v>
      </c>
      <c r="J1782">
        <v>-192.89320000000001</v>
      </c>
      <c r="K1782">
        <v>1.109756</v>
      </c>
      <c r="L1782">
        <v>336.54149999999998</v>
      </c>
      <c r="M1782">
        <v>9.0140949999999997E-2</v>
      </c>
      <c r="N1782">
        <v>-1.225274E-2</v>
      </c>
      <c r="O1782">
        <v>-0.99585400000000002</v>
      </c>
      <c r="P1782">
        <v>0.2222586</v>
      </c>
      <c r="Q1782">
        <v>0.34102860000000002</v>
      </c>
      <c r="R1782">
        <v>-0.91340109999999997</v>
      </c>
      <c r="S1782">
        <v>0.2138824</v>
      </c>
      <c r="T1782">
        <v>-0.45335140000000002</v>
      </c>
      <c r="U1782">
        <v>-3.4052120000000001</v>
      </c>
      <c r="V1782">
        <v>-0.13822789999999999</v>
      </c>
      <c r="W1782">
        <v>0.35270299999999999</v>
      </c>
      <c r="X1782">
        <v>0.9254694</v>
      </c>
      <c r="Y1782">
        <v>2.7960769999999999E-2</v>
      </c>
      <c r="Z1782">
        <v>0.1188946</v>
      </c>
      <c r="AA1782">
        <v>0.99251310000000004</v>
      </c>
      <c r="AB1782">
        <v>26</v>
      </c>
      <c r="AC1782">
        <v>3.53000000000065E-2</v>
      </c>
      <c r="AD1782">
        <v>-0.118709099999999</v>
      </c>
      <c r="AE1782">
        <v>-0.65190000000001103</v>
      </c>
      <c r="AF1782">
        <v>2.2855350190690099E-2</v>
      </c>
      <c r="AG1782">
        <v>-0.118709099999999</v>
      </c>
      <c r="AH1782">
        <v>0.63154746174530496</v>
      </c>
      <c r="AI1782">
        <v>100.638610293952</v>
      </c>
      <c r="AJ1782">
        <v>87.927402209215003</v>
      </c>
      <c r="AK1782">
        <v>0.64301354098656904</v>
      </c>
      <c r="AL1782">
        <v>69.347267595222405</v>
      </c>
      <c r="AM1782">
        <v>98.494887160087899</v>
      </c>
      <c r="AN1782">
        <v>0.99999998444188398</v>
      </c>
    </row>
    <row r="1783" spans="1:40" x14ac:dyDescent="0.25">
      <c r="A1783" t="str">
        <f>"20190304164125102"</f>
        <v>20190304164125102</v>
      </c>
      <c r="B1783" t="str">
        <f>"1551688885092992"</f>
        <v>1551688885092992</v>
      </c>
      <c r="C1783" t="s">
        <v>40</v>
      </c>
      <c r="D1783">
        <v>4.767379</v>
      </c>
      <c r="E1783">
        <v>0.57686459999999995</v>
      </c>
      <c r="F1783" t="s">
        <v>41</v>
      </c>
      <c r="G1783">
        <v>-192.8417</v>
      </c>
      <c r="H1783">
        <v>0.99089320000000003</v>
      </c>
      <c r="I1783">
        <v>335.661</v>
      </c>
      <c r="J1783">
        <v>-192.87790000000001</v>
      </c>
      <c r="K1783">
        <v>1.1097669999999999</v>
      </c>
      <c r="L1783">
        <v>336.36059999999998</v>
      </c>
      <c r="M1783">
        <v>8.9190420000000006E-2</v>
      </c>
      <c r="N1783">
        <v>-1.238028E-2</v>
      </c>
      <c r="O1783">
        <v>-0.99593779999999998</v>
      </c>
      <c r="P1783">
        <v>0.21976219999999999</v>
      </c>
      <c r="Q1783">
        <v>0.3407269</v>
      </c>
      <c r="R1783">
        <v>-0.91411699999999996</v>
      </c>
      <c r="S1783">
        <v>0.20013429999999999</v>
      </c>
      <c r="T1783">
        <v>-0.46005649999999998</v>
      </c>
      <c r="U1783">
        <v>-3.4074710000000001</v>
      </c>
      <c r="V1783">
        <v>-0.13655709999999999</v>
      </c>
      <c r="W1783">
        <v>0.35252319999999998</v>
      </c>
      <c r="X1783">
        <v>0.92578590000000005</v>
      </c>
      <c r="Y1783">
        <v>3.1046339999999999E-2</v>
      </c>
      <c r="Z1783">
        <v>0.1206125</v>
      </c>
      <c r="AA1783">
        <v>0.99221409999999999</v>
      </c>
      <c r="AB1783">
        <v>26</v>
      </c>
      <c r="AC1783">
        <v>3.6200000000007997E-2</v>
      </c>
      <c r="AD1783">
        <v>-0.1188738</v>
      </c>
      <c r="AE1783">
        <v>-0.69959999999997502</v>
      </c>
      <c r="AF1783">
        <v>2.5609275125331898E-2</v>
      </c>
      <c r="AG1783">
        <v>-0.1188738</v>
      </c>
      <c r="AH1783">
        <v>0.68044710157045896</v>
      </c>
      <c r="AI1783">
        <v>99.902669487523298</v>
      </c>
      <c r="AJ1783">
        <v>87.844636017589707</v>
      </c>
      <c r="AK1783">
        <v>0.69122722265151204</v>
      </c>
      <c r="AL1783">
        <v>69.358276614362197</v>
      </c>
      <c r="AM1783">
        <v>98.390849899274102</v>
      </c>
      <c r="AN1783">
        <v>0.99999999036873</v>
      </c>
    </row>
    <row r="1784" spans="1:40" x14ac:dyDescent="0.25">
      <c r="A1784" t="str">
        <f>"20190304164125121"</f>
        <v>20190304164125121</v>
      </c>
      <c r="B1784" t="str">
        <f>"1551688885112512"</f>
        <v>1551688885112512</v>
      </c>
      <c r="C1784" t="s">
        <v>40</v>
      </c>
      <c r="D1784">
        <v>4.7843280000000004</v>
      </c>
      <c r="E1784">
        <v>0.57687290000000002</v>
      </c>
      <c r="F1784" t="s">
        <v>41</v>
      </c>
      <c r="G1784">
        <v>-192.82589999999999</v>
      </c>
      <c r="H1784">
        <v>0.98425499999999999</v>
      </c>
      <c r="I1784">
        <v>335.4359</v>
      </c>
      <c r="J1784">
        <v>-192.85990000000001</v>
      </c>
      <c r="K1784">
        <v>1.109775</v>
      </c>
      <c r="L1784">
        <v>336.14490000000001</v>
      </c>
      <c r="M1784">
        <v>8.8038379999999999E-2</v>
      </c>
      <c r="N1784">
        <v>-1.252463E-2</v>
      </c>
      <c r="O1784">
        <v>-0.99603850000000005</v>
      </c>
      <c r="P1784">
        <v>0.21497720000000001</v>
      </c>
      <c r="Q1784">
        <v>0.34022370000000002</v>
      </c>
      <c r="R1784">
        <v>-0.91544130000000001</v>
      </c>
      <c r="S1784">
        <v>0.1921997</v>
      </c>
      <c r="T1784">
        <v>-0.46266059999999998</v>
      </c>
      <c r="U1784">
        <v>-3.4080810000000001</v>
      </c>
      <c r="V1784">
        <v>-0.13273740000000001</v>
      </c>
      <c r="W1784">
        <v>0.35215960000000002</v>
      </c>
      <c r="X1784">
        <v>0.92647959999999996</v>
      </c>
      <c r="Y1784">
        <v>3.2205629999999999E-2</v>
      </c>
      <c r="Z1784">
        <v>0.1212109</v>
      </c>
      <c r="AA1784">
        <v>0.99210419999999999</v>
      </c>
      <c r="AB1784">
        <v>26</v>
      </c>
      <c r="AC1784">
        <v>3.4000000000020202E-2</v>
      </c>
      <c r="AD1784">
        <v>-0.12551999999999999</v>
      </c>
      <c r="AE1784">
        <v>-0.70900000000000296</v>
      </c>
      <c r="AF1784">
        <v>2.7690247894159602E-2</v>
      </c>
      <c r="AG1784">
        <v>-0.12551999999999999</v>
      </c>
      <c r="AH1784">
        <v>0.68773427628931505</v>
      </c>
      <c r="AI1784">
        <v>100.335148886593</v>
      </c>
      <c r="AJ1784">
        <v>87.694345170362794</v>
      </c>
      <c r="AK1784">
        <v>0.69964309116265</v>
      </c>
      <c r="AL1784">
        <v>69.380537627971094</v>
      </c>
      <c r="AM1784">
        <v>98.153323347611604</v>
      </c>
      <c r="AN1784">
        <v>1.0000000252235299</v>
      </c>
    </row>
    <row r="1785" spans="1:40" x14ac:dyDescent="0.25">
      <c r="A1785" t="str">
        <f>"20190304164125143"</f>
        <v>20190304164125143</v>
      </c>
      <c r="B1785" t="str">
        <f>"1551688885133008"</f>
        <v>1551688885133008</v>
      </c>
      <c r="C1785" t="s">
        <v>40</v>
      </c>
      <c r="D1785">
        <v>4.7675710000000002</v>
      </c>
      <c r="E1785">
        <v>0.57662959999999996</v>
      </c>
      <c r="F1785" t="s">
        <v>41</v>
      </c>
      <c r="G1785">
        <v>-192.82300000000001</v>
      </c>
      <c r="H1785">
        <v>1.0115259999999999</v>
      </c>
      <c r="I1785">
        <v>335.42270000000002</v>
      </c>
      <c r="J1785">
        <v>-192.8398</v>
      </c>
      <c r="K1785">
        <v>1.1097709999999901</v>
      </c>
      <c r="L1785">
        <v>335.89920000000001</v>
      </c>
      <c r="M1785">
        <v>8.6708489999999999E-2</v>
      </c>
      <c r="N1785">
        <v>-1.2679350000000001E-2</v>
      </c>
      <c r="O1785">
        <v>-0.99615319999999996</v>
      </c>
      <c r="P1785">
        <v>0.21011250000000001</v>
      </c>
      <c r="Q1785">
        <v>0.34041909999999997</v>
      </c>
      <c r="R1785">
        <v>-0.91649780000000003</v>
      </c>
      <c r="S1785">
        <v>0.17485049999999999</v>
      </c>
      <c r="T1785">
        <v>-0.463752</v>
      </c>
      <c r="U1785">
        <v>-3.4083860000000001</v>
      </c>
      <c r="V1785">
        <v>-0.1290258</v>
      </c>
      <c r="W1785">
        <v>0.35250090000000001</v>
      </c>
      <c r="X1785">
        <v>0.92687399999999998</v>
      </c>
      <c r="Y1785">
        <v>3.5908509999999998E-2</v>
      </c>
      <c r="Z1785">
        <v>0.12138549999999999</v>
      </c>
      <c r="AA1785">
        <v>0.9919557</v>
      </c>
      <c r="AB1785">
        <v>26</v>
      </c>
      <c r="AC1785">
        <v>1.6800000000017599E-2</v>
      </c>
      <c r="AD1785">
        <v>-9.8244999999999902E-2</v>
      </c>
      <c r="AE1785">
        <v>-0.47649999999998699</v>
      </c>
      <c r="AF1785">
        <v>2.3581960107012401E-2</v>
      </c>
      <c r="AG1785">
        <v>-9.8244999999999902E-2</v>
      </c>
      <c r="AH1785">
        <v>0.45676859687342303</v>
      </c>
      <c r="AI1785">
        <v>102.122978894234</v>
      </c>
      <c r="AJ1785">
        <v>87.044568629041905</v>
      </c>
      <c r="AK1785">
        <v>0.46780951246976998</v>
      </c>
      <c r="AL1785">
        <v>69.359641660667506</v>
      </c>
      <c r="AM1785">
        <v>97.924949487320603</v>
      </c>
      <c r="AN1785">
        <v>0.99999997672122398</v>
      </c>
    </row>
    <row r="1786" spans="1:40" x14ac:dyDescent="0.25">
      <c r="A1786" t="str">
        <f>"20190304164125157"</f>
        <v>20190304164125157</v>
      </c>
      <c r="B1786" t="str">
        <f>"1551688885142768"</f>
        <v>1551688885142768</v>
      </c>
      <c r="C1786" t="s">
        <v>40</v>
      </c>
      <c r="D1786">
        <v>4.796246</v>
      </c>
      <c r="E1786">
        <v>0.5764321</v>
      </c>
      <c r="F1786" t="s">
        <v>41</v>
      </c>
      <c r="G1786">
        <v>-192.79689999999999</v>
      </c>
      <c r="H1786">
        <v>0.98458800000000002</v>
      </c>
      <c r="I1786">
        <v>334.9794</v>
      </c>
      <c r="J1786">
        <v>-192.82650000000001</v>
      </c>
      <c r="K1786">
        <v>1.1097709999999901</v>
      </c>
      <c r="L1786">
        <v>335.73500000000001</v>
      </c>
      <c r="M1786">
        <v>8.5810730000000002E-2</v>
      </c>
      <c r="N1786">
        <v>-1.2775999999999999E-2</v>
      </c>
      <c r="O1786">
        <v>-0.9962297</v>
      </c>
      <c r="P1786">
        <v>0.20752390000000001</v>
      </c>
      <c r="Q1786">
        <v>0.3402867</v>
      </c>
      <c r="R1786">
        <v>-0.91713639999999996</v>
      </c>
      <c r="S1786">
        <v>0.15933229999999901</v>
      </c>
      <c r="T1786">
        <v>-0.46407389999999998</v>
      </c>
      <c r="U1786">
        <v>-3.4091800000000001</v>
      </c>
      <c r="V1786">
        <v>-0.127223</v>
      </c>
      <c r="W1786">
        <v>0.35246070000000002</v>
      </c>
      <c r="X1786">
        <v>0.92713840000000003</v>
      </c>
      <c r="Y1786">
        <v>3.9520060000000003E-2</v>
      </c>
      <c r="Z1786">
        <v>0.1213688</v>
      </c>
      <c r="AA1786">
        <v>0.99182049999999999</v>
      </c>
      <c r="AB1786">
        <v>26</v>
      </c>
      <c r="AC1786">
        <v>2.96000000000162E-2</v>
      </c>
      <c r="AD1786">
        <v>-0.12518299999999899</v>
      </c>
      <c r="AE1786">
        <v>-0.75560000000001504</v>
      </c>
      <c r="AF1786">
        <v>3.4410037111707398E-2</v>
      </c>
      <c r="AG1786">
        <v>-0.12518299999999899</v>
      </c>
      <c r="AH1786">
        <v>0.73520391079088798</v>
      </c>
      <c r="AI1786">
        <v>99.652699629948302</v>
      </c>
      <c r="AJ1786">
        <v>87.320318673772206</v>
      </c>
      <c r="AK1786">
        <v>0.74657861246170598</v>
      </c>
      <c r="AL1786">
        <v>69.362101795634302</v>
      </c>
      <c r="AM1786">
        <v>97.8133956053601</v>
      </c>
      <c r="AN1786">
        <v>0.999999924764022</v>
      </c>
    </row>
    <row r="1787" spans="1:40" x14ac:dyDescent="0.25">
      <c r="A1787" t="str">
        <f>"20190304164125175"</f>
        <v>20190304164125175</v>
      </c>
      <c r="B1787" t="str">
        <f>"1551688885173025"</f>
        <v>1551688885173025</v>
      </c>
      <c r="C1787" t="s">
        <v>40</v>
      </c>
      <c r="D1787">
        <v>4.7796620000000001</v>
      </c>
      <c r="E1787">
        <v>0.57638769999999995</v>
      </c>
      <c r="F1787" t="s">
        <v>41</v>
      </c>
      <c r="G1787">
        <v>-192.79239999999999</v>
      </c>
      <c r="H1787">
        <v>1.0053110000000001</v>
      </c>
      <c r="I1787">
        <v>334.96960000000001</v>
      </c>
      <c r="J1787">
        <v>-192.80969999999999</v>
      </c>
      <c r="K1787">
        <v>1.109774</v>
      </c>
      <c r="L1787">
        <v>335.52449999999999</v>
      </c>
      <c r="M1787">
        <v>8.4653010000000001E-2</v>
      </c>
      <c r="N1787">
        <v>-1.289243E-2</v>
      </c>
      <c r="O1787">
        <v>-0.99632739999999997</v>
      </c>
      <c r="P1787">
        <v>0.2028228</v>
      </c>
      <c r="Q1787">
        <v>0.34070040000000001</v>
      </c>
      <c r="R1787">
        <v>-0.91803409999999996</v>
      </c>
      <c r="S1787">
        <v>0.1524353</v>
      </c>
      <c r="T1787">
        <v>-0.46536349999999999</v>
      </c>
      <c r="U1787">
        <v>-3.4092709999999999</v>
      </c>
      <c r="V1787">
        <v>-0.123535199999999</v>
      </c>
      <c r="W1787">
        <v>0.3529815</v>
      </c>
      <c r="X1787">
        <v>0.92743900000000001</v>
      </c>
      <c r="Y1787">
        <v>4.0362670000000003E-2</v>
      </c>
      <c r="Z1787">
        <v>0.12163839999999999</v>
      </c>
      <c r="AA1787">
        <v>0.99175349999999995</v>
      </c>
      <c r="AB1787">
        <v>26</v>
      </c>
      <c r="AC1787">
        <v>1.73000000000058E-2</v>
      </c>
      <c r="AD1787">
        <v>-0.104462999999999</v>
      </c>
      <c r="AE1787">
        <v>-0.55489999999997497</v>
      </c>
      <c r="AF1787">
        <v>2.87229947643181E-2</v>
      </c>
      <c r="AG1787">
        <v>-0.104462999999999</v>
      </c>
      <c r="AH1787">
        <v>0.53541568397661798</v>
      </c>
      <c r="AI1787">
        <v>101.024615772231</v>
      </c>
      <c r="AJ1787">
        <v>86.929245046694007</v>
      </c>
      <c r="AK1787">
        <v>0.54626686101701205</v>
      </c>
      <c r="AL1787">
        <v>69.330214033158995</v>
      </c>
      <c r="AM1787">
        <v>97.587156980336204</v>
      </c>
      <c r="AN1787">
        <v>0.99999999185114496</v>
      </c>
    </row>
    <row r="1788" spans="1:40" x14ac:dyDescent="0.25">
      <c r="A1788" t="str">
        <f>"20190304164125199"</f>
        <v>20190304164125199</v>
      </c>
      <c r="B1788" t="str">
        <f>"1551688885192545"</f>
        <v>1551688885192545</v>
      </c>
      <c r="C1788" t="s">
        <v>40</v>
      </c>
      <c r="D1788">
        <v>4.7748559999999998</v>
      </c>
      <c r="E1788">
        <v>0.57622450000000003</v>
      </c>
      <c r="F1788" t="s">
        <v>41</v>
      </c>
      <c r="G1788">
        <v>-192.77780000000001</v>
      </c>
      <c r="H1788">
        <v>1.003576</v>
      </c>
      <c r="I1788">
        <v>334.74270000000001</v>
      </c>
      <c r="J1788">
        <v>-192.7893</v>
      </c>
      <c r="K1788">
        <v>1.1097779999999999</v>
      </c>
      <c r="L1788">
        <v>335.26420000000002</v>
      </c>
      <c r="M1788">
        <v>8.3211729999999998E-2</v>
      </c>
      <c r="N1788">
        <v>-1.302334E-2</v>
      </c>
      <c r="O1788">
        <v>-0.99644699999999997</v>
      </c>
      <c r="P1788">
        <v>0.1974235</v>
      </c>
      <c r="Q1788">
        <v>0.34057890000000002</v>
      </c>
      <c r="R1788">
        <v>-0.91925539999999994</v>
      </c>
      <c r="S1788">
        <v>0.139679</v>
      </c>
      <c r="T1788">
        <v>-0.46321000000000001</v>
      </c>
      <c r="U1788">
        <v>-3.4089360000000002</v>
      </c>
      <c r="V1788">
        <v>-0.1193946</v>
      </c>
      <c r="W1788">
        <v>0.3529814</v>
      </c>
      <c r="X1788">
        <v>0.9279811</v>
      </c>
      <c r="Y1788">
        <v>4.2611309999999999E-2</v>
      </c>
      <c r="Z1788">
        <v>0.1209361</v>
      </c>
      <c r="AA1788">
        <v>0.99174530000000005</v>
      </c>
      <c r="AB1788">
        <v>25</v>
      </c>
      <c r="AC1788">
        <v>1.1499999999983799E-2</v>
      </c>
      <c r="AD1788">
        <v>-0.106202</v>
      </c>
      <c r="AE1788">
        <v>-0.52150000000000296</v>
      </c>
      <c r="AF1788">
        <v>3.0667258930177702E-2</v>
      </c>
      <c r="AG1788">
        <v>-0.106202</v>
      </c>
      <c r="AH1788">
        <v>0.499925184619605</v>
      </c>
      <c r="AI1788">
        <v>101.971526543679</v>
      </c>
      <c r="AJ1788">
        <v>86.489663854976797</v>
      </c>
      <c r="AK1788">
        <v>0.51200052323336298</v>
      </c>
      <c r="AL1788">
        <v>69.3302188330657</v>
      </c>
      <c r="AM1788">
        <v>97.33143235544</v>
      </c>
      <c r="AN1788">
        <v>0.99999993060616199</v>
      </c>
    </row>
    <row r="1789" spans="1:40" x14ac:dyDescent="0.25">
      <c r="A1789" t="str">
        <f>"20190304164125213"</f>
        <v>20190304164125213</v>
      </c>
      <c r="B1789" t="str">
        <f>"1551688885203280"</f>
        <v>1551688885203280</v>
      </c>
      <c r="C1789" t="s">
        <v>40</v>
      </c>
      <c r="D1789">
        <v>4.7744730000000004</v>
      </c>
      <c r="E1789">
        <v>0.57615660000000002</v>
      </c>
      <c r="F1789" t="s">
        <v>41</v>
      </c>
      <c r="G1789">
        <v>-192.76150000000001</v>
      </c>
      <c r="H1789">
        <v>1.007504</v>
      </c>
      <c r="I1789">
        <v>334.51350000000002</v>
      </c>
      <c r="J1789">
        <v>-192.77719999999999</v>
      </c>
      <c r="K1789">
        <v>1.1097840000000001</v>
      </c>
      <c r="L1789">
        <v>335.10829999999999</v>
      </c>
      <c r="M1789">
        <v>8.2344580000000001E-2</v>
      </c>
      <c r="N1789">
        <v>-1.3093830000000001E-2</v>
      </c>
      <c r="O1789">
        <v>-0.99651800000000001</v>
      </c>
      <c r="P1789">
        <v>0.19436390000000001</v>
      </c>
      <c r="Q1789">
        <v>0.34023789999999998</v>
      </c>
      <c r="R1789">
        <v>-0.92003330000000005</v>
      </c>
      <c r="S1789">
        <v>0.12661739999999999</v>
      </c>
      <c r="T1789">
        <v>-0.46444269999999999</v>
      </c>
      <c r="U1789">
        <v>-3.4083559999999999</v>
      </c>
      <c r="V1789">
        <v>-0.1170921</v>
      </c>
      <c r="W1789">
        <v>0.35270610000000002</v>
      </c>
      <c r="X1789">
        <v>0.92837910000000001</v>
      </c>
      <c r="Y1789">
        <v>4.5527789999999999E-2</v>
      </c>
      <c r="Z1789">
        <v>0.12125229999999999</v>
      </c>
      <c r="AA1789">
        <v>0.99157709999999999</v>
      </c>
      <c r="AB1789">
        <v>25</v>
      </c>
      <c r="AC1789">
        <v>1.5699999999981101E-2</v>
      </c>
      <c r="AD1789">
        <v>-0.102279999999999</v>
      </c>
      <c r="AE1789">
        <v>-0.59479999999996302</v>
      </c>
      <c r="AF1789">
        <v>3.2379314334783298E-2</v>
      </c>
      <c r="AG1789">
        <v>-0.102279999999999</v>
      </c>
      <c r="AH1789">
        <v>0.57702237605310702</v>
      </c>
      <c r="AI1789">
        <v>100.03608346719599</v>
      </c>
      <c r="AJ1789">
        <v>86.788245023770102</v>
      </c>
      <c r="AK1789">
        <v>0.58691093094503199</v>
      </c>
      <c r="AL1789">
        <v>69.347077102633307</v>
      </c>
      <c r="AM1789">
        <v>97.188491005920298</v>
      </c>
      <c r="AN1789">
        <v>0.99999995308821299</v>
      </c>
    </row>
    <row r="1790" spans="1:40" x14ac:dyDescent="0.25">
      <c r="A1790" t="str">
        <f>"20190304164125234"</f>
        <v>20190304164125234</v>
      </c>
      <c r="B1790" t="str">
        <f>"1551688885222800"</f>
        <v>1551688885222800</v>
      </c>
      <c r="C1790" t="s">
        <v>40</v>
      </c>
      <c r="D1790">
        <v>4.7846299999999999</v>
      </c>
      <c r="E1790">
        <v>0.57600079999999998</v>
      </c>
      <c r="F1790" t="s">
        <v>41</v>
      </c>
      <c r="G1790">
        <v>-192.7492</v>
      </c>
      <c r="H1790">
        <v>0.9981989</v>
      </c>
      <c r="I1790">
        <v>334.29079999999999</v>
      </c>
      <c r="J1790">
        <v>-192.75899999999999</v>
      </c>
      <c r="K1790">
        <v>1.1097859999999999</v>
      </c>
      <c r="L1790">
        <v>334.86919999999998</v>
      </c>
      <c r="M1790">
        <v>8.1013660000000001E-2</v>
      </c>
      <c r="N1790">
        <v>-1.319296E-2</v>
      </c>
      <c r="O1790">
        <v>-0.99662569999999995</v>
      </c>
      <c r="P1790">
        <v>0.18783240000000001</v>
      </c>
      <c r="Q1790">
        <v>0.33919349999999998</v>
      </c>
      <c r="R1790">
        <v>-0.92177390000000003</v>
      </c>
      <c r="S1790">
        <v>0.1179047</v>
      </c>
      <c r="T1790">
        <v>-0.46542800000000001</v>
      </c>
      <c r="U1790">
        <v>-3.4079280000000001</v>
      </c>
      <c r="V1790">
        <v>-0.1116887</v>
      </c>
      <c r="W1790">
        <v>0.35175469999999998</v>
      </c>
      <c r="X1790">
        <v>0.92940529999999999</v>
      </c>
      <c r="Y1790">
        <v>4.6720190000000002E-2</v>
      </c>
      <c r="Z1790">
        <v>0.1214732</v>
      </c>
      <c r="AA1790">
        <v>0.9914946</v>
      </c>
      <c r="AB1790">
        <v>25</v>
      </c>
      <c r="AC1790">
        <v>9.8000000000126805E-3</v>
      </c>
      <c r="AD1790">
        <v>-0.11158709999999999</v>
      </c>
      <c r="AE1790">
        <v>-0.57839999999998704</v>
      </c>
      <c r="AF1790">
        <v>3.57638627115133E-2</v>
      </c>
      <c r="AG1790">
        <v>-0.11158709999999999</v>
      </c>
      <c r="AH1790">
        <v>0.55658264139898195</v>
      </c>
      <c r="AI1790">
        <v>101.313982713486</v>
      </c>
      <c r="AJ1790">
        <v>86.323447703989601</v>
      </c>
      <c r="AK1790">
        <v>0.56878376512443296</v>
      </c>
      <c r="AL1790">
        <v>69.405321401943098</v>
      </c>
      <c r="AM1790">
        <v>96.852500729442596</v>
      </c>
      <c r="AN1790">
        <v>0.99999997317393396</v>
      </c>
    </row>
    <row r="1791" spans="1:40" x14ac:dyDescent="0.25">
      <c r="A1791" t="str">
        <f>"20190304164125256"</f>
        <v>20190304164125256</v>
      </c>
      <c r="B1791" t="str">
        <f>"1551688885242321"</f>
        <v>1551688885242321</v>
      </c>
      <c r="C1791" t="s">
        <v>40</v>
      </c>
      <c r="D1791">
        <v>4.7802800000000003</v>
      </c>
      <c r="E1791">
        <v>0.57580469999999995</v>
      </c>
      <c r="F1791" t="s">
        <v>41</v>
      </c>
      <c r="G1791">
        <v>-192.7363</v>
      </c>
      <c r="H1791">
        <v>0.99899789999999999</v>
      </c>
      <c r="I1791">
        <v>334.06349999999998</v>
      </c>
      <c r="J1791">
        <v>-192.74019999999999</v>
      </c>
      <c r="K1791">
        <v>1.1097950000000001</v>
      </c>
      <c r="L1791">
        <v>334.61680000000001</v>
      </c>
      <c r="M1791">
        <v>7.9609769999999996E-2</v>
      </c>
      <c r="N1791">
        <v>-1.3285430000000001E-2</v>
      </c>
      <c r="O1791">
        <v>-0.9967376</v>
      </c>
      <c r="P1791">
        <v>0.1805523</v>
      </c>
      <c r="Q1791">
        <v>0.33824720000000003</v>
      </c>
      <c r="R1791">
        <v>-0.92357460000000002</v>
      </c>
      <c r="S1791">
        <v>9.6588129999999994E-2</v>
      </c>
      <c r="T1791">
        <v>-0.46857070000000001</v>
      </c>
      <c r="U1791">
        <v>-3.4072879999999999</v>
      </c>
      <c r="V1791">
        <v>-0.1056074</v>
      </c>
      <c r="W1791">
        <v>0.35089350000000002</v>
      </c>
      <c r="X1791">
        <v>0.93044119999999997</v>
      </c>
      <c r="Y1791">
        <v>5.1500379999999998E-2</v>
      </c>
      <c r="Z1791">
        <v>0.1223162</v>
      </c>
      <c r="AA1791">
        <v>0.99115410000000004</v>
      </c>
      <c r="AB1791">
        <v>25</v>
      </c>
      <c r="AC1791">
        <v>3.8999999999873498E-3</v>
      </c>
      <c r="AD1791">
        <v>-0.1107971</v>
      </c>
      <c r="AE1791">
        <v>-0.55330000000003499</v>
      </c>
      <c r="AF1791">
        <v>3.8615961290135198E-2</v>
      </c>
      <c r="AG1791">
        <v>-0.1107971</v>
      </c>
      <c r="AH1791">
        <v>0.53057934193086798</v>
      </c>
      <c r="AI1791">
        <v>101.76492007948301</v>
      </c>
      <c r="AJ1791">
        <v>85.837309940725007</v>
      </c>
      <c r="AK1791">
        <v>0.54339822222617196</v>
      </c>
      <c r="AL1791">
        <v>69.458024677683795</v>
      </c>
      <c r="AM1791">
        <v>96.475501397283907</v>
      </c>
      <c r="AN1791">
        <v>0.99999999896722402</v>
      </c>
    </row>
    <row r="1792" spans="1:40" x14ac:dyDescent="0.25">
      <c r="A1792" t="str">
        <f>"20190304164125277"</f>
        <v>20190304164125277</v>
      </c>
      <c r="B1792" t="str">
        <f>"1551688885272576"</f>
        <v>1551688885272576</v>
      </c>
      <c r="C1792" t="s">
        <v>40</v>
      </c>
      <c r="D1792">
        <v>4.776789</v>
      </c>
      <c r="E1792">
        <v>0.57543869999999997</v>
      </c>
      <c r="F1792" t="s">
        <v>41</v>
      </c>
      <c r="G1792">
        <v>-192.7235</v>
      </c>
      <c r="H1792">
        <v>1.0018039999999999</v>
      </c>
      <c r="I1792">
        <v>333.83550000000002</v>
      </c>
      <c r="J1792">
        <v>-192.72239999999999</v>
      </c>
      <c r="K1792">
        <v>1.109801</v>
      </c>
      <c r="L1792">
        <v>334.37509999999997</v>
      </c>
      <c r="M1792">
        <v>7.8269110000000003E-2</v>
      </c>
      <c r="N1792">
        <v>-1.336306E-2</v>
      </c>
      <c r="O1792">
        <v>-0.99684300000000003</v>
      </c>
      <c r="P1792">
        <v>0.17334759999999999</v>
      </c>
      <c r="Q1792">
        <v>0.33780270000000001</v>
      </c>
      <c r="R1792">
        <v>-0.92511659999999996</v>
      </c>
      <c r="S1792">
        <v>7.3226929999999996E-2</v>
      </c>
      <c r="T1792">
        <v>-0.47090219999999999</v>
      </c>
      <c r="U1792">
        <v>-3.4064329999999998</v>
      </c>
      <c r="V1792">
        <v>-9.9564109999999997E-2</v>
      </c>
      <c r="W1792">
        <v>0.35051710000000003</v>
      </c>
      <c r="X1792">
        <v>0.93124899999999999</v>
      </c>
      <c r="Y1792">
        <v>5.6937840000000003E-2</v>
      </c>
      <c r="Z1792">
        <v>0.1229444</v>
      </c>
      <c r="AA1792">
        <v>0.99077890000000002</v>
      </c>
      <c r="AB1792">
        <v>25</v>
      </c>
      <c r="AC1792">
        <v>-1.1000000000080899E-3</v>
      </c>
      <c r="AD1792">
        <v>-0.107996999999999</v>
      </c>
      <c r="AE1792">
        <v>-0.53959999999995001</v>
      </c>
      <c r="AF1792">
        <v>4.1665407120023597E-2</v>
      </c>
      <c r="AG1792">
        <v>-0.107996999999999</v>
      </c>
      <c r="AH1792">
        <v>0.517143086762898</v>
      </c>
      <c r="AI1792">
        <v>101.75873576751999</v>
      </c>
      <c r="AJ1792">
        <v>85.393718620753305</v>
      </c>
      <c r="AK1792">
        <v>0.529939930884751</v>
      </c>
      <c r="AL1792">
        <v>69.481052942011004</v>
      </c>
      <c r="AM1792">
        <v>96.102573247390595</v>
      </c>
      <c r="AN1792">
        <v>0.99999997469674995</v>
      </c>
    </row>
    <row r="1793" spans="1:40" x14ac:dyDescent="0.25">
      <c r="A1793" t="str">
        <f>"20190304164125293"</f>
        <v>20190304164125293</v>
      </c>
      <c r="B1793" t="str">
        <f>"1551688885282336"</f>
        <v>1551688885282336</v>
      </c>
      <c r="C1793" t="s">
        <v>40</v>
      </c>
      <c r="D1793">
        <v>4.7765300000000002</v>
      </c>
      <c r="E1793">
        <v>0.57530019999999904</v>
      </c>
      <c r="F1793" t="s">
        <v>41</v>
      </c>
      <c r="G1793">
        <v>-192.71100000000001</v>
      </c>
      <c r="H1793">
        <v>1.003592</v>
      </c>
      <c r="I1793">
        <v>333.60820000000001</v>
      </c>
      <c r="J1793">
        <v>-192.71</v>
      </c>
      <c r="K1793">
        <v>1.109809</v>
      </c>
      <c r="L1793">
        <v>334.20269999999999</v>
      </c>
      <c r="M1793">
        <v>7.7315190000000006E-2</v>
      </c>
      <c r="N1793">
        <v>-1.3412159999999999E-2</v>
      </c>
      <c r="O1793">
        <v>-0.99691669999999999</v>
      </c>
      <c r="P1793">
        <v>0.1692845</v>
      </c>
      <c r="Q1793">
        <v>0.33767849999999999</v>
      </c>
      <c r="R1793">
        <v>-0.92591400000000001</v>
      </c>
      <c r="S1793">
        <v>5.178833E-2</v>
      </c>
      <c r="T1793">
        <v>-0.47184769999999998</v>
      </c>
      <c r="U1793">
        <v>-3.4054869999999999</v>
      </c>
      <c r="V1793">
        <v>-9.6349050000000006E-2</v>
      </c>
      <c r="W1793">
        <v>0.35043580000000002</v>
      </c>
      <c r="X1793">
        <v>0.93161769999999999</v>
      </c>
      <c r="Y1793">
        <v>6.220552E-2</v>
      </c>
      <c r="Z1793">
        <v>0.1231997</v>
      </c>
      <c r="AA1793">
        <v>0.99043040000000004</v>
      </c>
      <c r="AB1793">
        <v>25</v>
      </c>
      <c r="AC1793">
        <v>-9.9999999997635292E-4</v>
      </c>
      <c r="AD1793">
        <v>-0.10621700000000001</v>
      </c>
      <c r="AE1793">
        <v>-0.59449999999998204</v>
      </c>
      <c r="AF1793">
        <v>4.5512194460497403E-2</v>
      </c>
      <c r="AG1793">
        <v>-0.10621700000000001</v>
      </c>
      <c r="AH1793">
        <v>0.57431001196405795</v>
      </c>
      <c r="AI1793">
        <v>100.44626434307401</v>
      </c>
      <c r="AJ1793">
        <v>85.468965632504805</v>
      </c>
      <c r="AK1793">
        <v>0.58582028027012301</v>
      </c>
      <c r="AL1793">
        <v>69.486026331804297</v>
      </c>
      <c r="AM1793">
        <v>95.904607999366107</v>
      </c>
      <c r="AN1793">
        <v>0.99999996415541503</v>
      </c>
    </row>
    <row r="1794" spans="1:40" x14ac:dyDescent="0.25">
      <c r="A1794" t="str">
        <f>"20190304164125312"</f>
        <v>20190304164125312</v>
      </c>
      <c r="B1794" t="str">
        <f>"1551688885302832"</f>
        <v>1551688885302832</v>
      </c>
      <c r="C1794" t="s">
        <v>40</v>
      </c>
      <c r="D1794">
        <v>4.7902259999999997</v>
      </c>
      <c r="E1794">
        <v>0.57518639999999999</v>
      </c>
      <c r="F1794" t="s">
        <v>41</v>
      </c>
      <c r="G1794">
        <v>-192.70070000000001</v>
      </c>
      <c r="H1794">
        <v>0.99653599999999998</v>
      </c>
      <c r="I1794">
        <v>333.38549999999998</v>
      </c>
      <c r="J1794">
        <v>-192.6943</v>
      </c>
      <c r="K1794">
        <v>1.1098209999999999</v>
      </c>
      <c r="L1794">
        <v>333.98160000000001</v>
      </c>
      <c r="M1794">
        <v>7.6093919999999995E-2</v>
      </c>
      <c r="N1794">
        <v>-1.3468920000000001E-2</v>
      </c>
      <c r="O1794">
        <v>-0.99700979999999995</v>
      </c>
      <c r="P1794">
        <v>0.1626224</v>
      </c>
      <c r="Q1794">
        <v>0.33815060000000002</v>
      </c>
      <c r="R1794">
        <v>-0.92693510000000001</v>
      </c>
      <c r="S1794">
        <v>3.9276119999999998E-2</v>
      </c>
      <c r="T1794">
        <v>-0.4721687</v>
      </c>
      <c r="U1794">
        <v>-3.4050600000000002</v>
      </c>
      <c r="V1794">
        <v>-9.0776179999999998E-2</v>
      </c>
      <c r="W1794">
        <v>0.35095199999999999</v>
      </c>
      <c r="X1794">
        <v>0.93198309999999995</v>
      </c>
      <c r="Y1794">
        <v>6.4616850000000003E-2</v>
      </c>
      <c r="Z1794">
        <v>0.1232615</v>
      </c>
      <c r="AA1794">
        <v>0.99026829999999999</v>
      </c>
      <c r="AB1794">
        <v>25</v>
      </c>
      <c r="AC1794">
        <v>-6.4000000000134999E-3</v>
      </c>
      <c r="AD1794">
        <v>-0.113284999999999</v>
      </c>
      <c r="AE1794">
        <v>-0.59610000000003505</v>
      </c>
      <c r="AF1794">
        <v>4.99416235190768E-2</v>
      </c>
      <c r="AG1794">
        <v>-0.113284999999999</v>
      </c>
      <c r="AH1794">
        <v>0.57318523894006701</v>
      </c>
      <c r="AI1794">
        <v>101.138781000233</v>
      </c>
      <c r="AJ1794">
        <v>85.020395070852004</v>
      </c>
      <c r="AK1794">
        <v>0.58640342352641694</v>
      </c>
      <c r="AL1794">
        <v>69.454446546958593</v>
      </c>
      <c r="AM1794">
        <v>95.563123885697195</v>
      </c>
      <c r="AN1794">
        <v>1.0000000599224901</v>
      </c>
    </row>
    <row r="1795" spans="1:40" x14ac:dyDescent="0.25">
      <c r="A1795" t="str">
        <f>"20190304164125335"</f>
        <v>20190304164125335</v>
      </c>
      <c r="B1795" t="str">
        <f>"1551688885322352"</f>
        <v>1551688885322352</v>
      </c>
      <c r="C1795" t="s">
        <v>40</v>
      </c>
      <c r="D1795">
        <v>5.1542919999999999</v>
      </c>
      <c r="E1795">
        <v>0.57520509999999903</v>
      </c>
      <c r="F1795" t="s">
        <v>41</v>
      </c>
      <c r="G1795">
        <v>-192.6902</v>
      </c>
      <c r="H1795">
        <v>0.99675879999999994</v>
      </c>
      <c r="I1795">
        <v>333.15949999999998</v>
      </c>
      <c r="J1795">
        <v>-192.67699999999999</v>
      </c>
      <c r="K1795">
        <v>1.1098300000000001</v>
      </c>
      <c r="L1795">
        <v>333.73399999999998</v>
      </c>
      <c r="M1795">
        <v>7.4727810000000006E-2</v>
      </c>
      <c r="N1795">
        <v>-1.352447E-2</v>
      </c>
      <c r="O1795">
        <v>-0.99711249999999996</v>
      </c>
      <c r="P1795">
        <v>0.155219</v>
      </c>
      <c r="Q1795">
        <v>0.33862599999999998</v>
      </c>
      <c r="R1795">
        <v>-0.92803020000000003</v>
      </c>
      <c r="S1795">
        <v>1.721191E-2</v>
      </c>
      <c r="T1795">
        <v>-0.4682193</v>
      </c>
      <c r="U1795">
        <v>-3.4042659999999998</v>
      </c>
      <c r="V1795">
        <v>-8.4595489999999995E-2</v>
      </c>
      <c r="W1795">
        <v>0.35146949999999999</v>
      </c>
      <c r="X1795">
        <v>0.93236949999999996</v>
      </c>
      <c r="Y1795">
        <v>6.9658049999999999E-2</v>
      </c>
      <c r="Z1795">
        <v>0.122111999999999</v>
      </c>
      <c r="AA1795">
        <v>0.99006890000000003</v>
      </c>
      <c r="AB1795">
        <v>25</v>
      </c>
      <c r="AC1795">
        <v>-1.31999999999834E-2</v>
      </c>
      <c r="AD1795">
        <v>-0.113071199999999</v>
      </c>
      <c r="AE1795">
        <v>-0.57450000000005697</v>
      </c>
      <c r="AF1795">
        <v>5.4007166798528003E-2</v>
      </c>
      <c r="AG1795">
        <v>-0.113071199999999</v>
      </c>
      <c r="AH1795">
        <v>0.55059003708837495</v>
      </c>
      <c r="AI1795">
        <v>101.551185271184</v>
      </c>
      <c r="AJ1795">
        <v>84.397800290612906</v>
      </c>
      <c r="AK1795">
        <v>0.56466915913304705</v>
      </c>
      <c r="AL1795">
        <v>69.422778311374501</v>
      </c>
      <c r="AM1795">
        <v>95.184349539058502</v>
      </c>
      <c r="AN1795">
        <v>1.00000004544441</v>
      </c>
    </row>
    <row r="1796" spans="1:40" x14ac:dyDescent="0.25">
      <c r="A1796" t="str">
        <f>"20190304164125355"</f>
        <v>20190304164125355</v>
      </c>
      <c r="B1796" t="str">
        <f>"1551688885342848"</f>
        <v>1551688885342848</v>
      </c>
      <c r="C1796" t="s">
        <v>40</v>
      </c>
      <c r="D1796">
        <v>4.8021989999999999</v>
      </c>
      <c r="E1796">
        <v>0.57535049999999999</v>
      </c>
      <c r="F1796" t="s">
        <v>41</v>
      </c>
      <c r="G1796">
        <v>-192.67910000000001</v>
      </c>
      <c r="H1796">
        <v>1.0001230000000001</v>
      </c>
      <c r="I1796">
        <v>332.9323</v>
      </c>
      <c r="J1796">
        <v>-192.6602</v>
      </c>
      <c r="K1796">
        <v>1.1098429999999999</v>
      </c>
      <c r="L1796">
        <v>333.48849999999999</v>
      </c>
      <c r="M1796">
        <v>7.3373530000000006E-2</v>
      </c>
      <c r="N1796">
        <v>-1.3572219999999999E-2</v>
      </c>
      <c r="O1796">
        <v>-0.99721219999999999</v>
      </c>
      <c r="P1796">
        <v>0.1467696</v>
      </c>
      <c r="Q1796">
        <v>0.3391787</v>
      </c>
      <c r="R1796">
        <v>-0.92920210000000003</v>
      </c>
      <c r="S1796">
        <v>-8.1329350000000009E-3</v>
      </c>
      <c r="T1796">
        <v>-0.46593839999999997</v>
      </c>
      <c r="U1796">
        <v>-3.4040219999999999</v>
      </c>
      <c r="V1796">
        <v>-7.7357399999999896E-2</v>
      </c>
      <c r="W1796">
        <v>0.3520547</v>
      </c>
      <c r="X1796">
        <v>0.93277719999999997</v>
      </c>
      <c r="Y1796">
        <v>7.5667079999999998E-2</v>
      </c>
      <c r="Z1796">
        <v>0.12141250000000001</v>
      </c>
      <c r="AA1796">
        <v>0.98971379999999998</v>
      </c>
      <c r="AB1796">
        <v>25</v>
      </c>
      <c r="AC1796">
        <v>-1.8900000000002099E-2</v>
      </c>
      <c r="AD1796">
        <v>-0.10972</v>
      </c>
      <c r="AE1796">
        <v>-0.55619999999998904</v>
      </c>
      <c r="AF1796">
        <v>5.7430855760742902E-2</v>
      </c>
      <c r="AG1796">
        <v>-0.10972</v>
      </c>
      <c r="AH1796">
        <v>0.53261130459432904</v>
      </c>
      <c r="AI1796">
        <v>101.575042853323</v>
      </c>
      <c r="AJ1796">
        <v>83.845641772670106</v>
      </c>
      <c r="AK1796">
        <v>0.54681951627121395</v>
      </c>
      <c r="AL1796">
        <v>69.3869584777553</v>
      </c>
      <c r="AM1796">
        <v>94.740824409384999</v>
      </c>
      <c r="AN1796">
        <v>0.99999999198334499</v>
      </c>
    </row>
    <row r="1797" spans="1:40" x14ac:dyDescent="0.25">
      <c r="A1797" t="str">
        <f>"20190304164125377"</f>
        <v>20190304164125377</v>
      </c>
      <c r="B1797" t="str">
        <f>"1551688885373104"</f>
        <v>1551688885373104</v>
      </c>
      <c r="C1797" t="s">
        <v>40</v>
      </c>
      <c r="D1797">
        <v>4.7642009999999999</v>
      </c>
      <c r="E1797">
        <v>0.58121009999999995</v>
      </c>
      <c r="F1797" t="s">
        <v>41</v>
      </c>
      <c r="G1797">
        <v>-192.66900000000001</v>
      </c>
      <c r="H1797">
        <v>1.0035989999999999</v>
      </c>
      <c r="I1797">
        <v>332.70519999999999</v>
      </c>
      <c r="J1797">
        <v>-192.6438</v>
      </c>
      <c r="K1797">
        <v>1.1098520000000001</v>
      </c>
      <c r="L1797">
        <v>333.24270000000001</v>
      </c>
      <c r="M1797">
        <v>7.2018170000000006E-2</v>
      </c>
      <c r="N1797">
        <v>-1.3613500000000001E-2</v>
      </c>
      <c r="O1797">
        <v>-0.99731040000000004</v>
      </c>
      <c r="P1797">
        <v>0.13699220000000001</v>
      </c>
      <c r="Q1797">
        <v>0.33988439999999998</v>
      </c>
      <c r="R1797">
        <v>-0.93043620000000005</v>
      </c>
      <c r="S1797">
        <v>-3.8208010000000001E-2</v>
      </c>
      <c r="T1797">
        <v>-0.46149849999999998</v>
      </c>
      <c r="U1797">
        <v>-3.4031069999999999</v>
      </c>
      <c r="V1797">
        <v>-6.8791580000000005E-2</v>
      </c>
      <c r="W1797">
        <v>0.35278379999999998</v>
      </c>
      <c r="X1797">
        <v>0.93317269999999997</v>
      </c>
      <c r="Y1797">
        <v>8.3050990000000005E-2</v>
      </c>
      <c r="Z1797">
        <v>0.1201146</v>
      </c>
      <c r="AA1797">
        <v>0.98928000000000005</v>
      </c>
      <c r="AB1797">
        <v>25</v>
      </c>
      <c r="AC1797">
        <v>-2.5200000000012299E-2</v>
      </c>
      <c r="AD1797">
        <v>-0.106253</v>
      </c>
      <c r="AE1797">
        <v>-0.53750000000002196</v>
      </c>
      <c r="AF1797">
        <v>6.1451797274546999E-2</v>
      </c>
      <c r="AG1797">
        <v>-0.106253</v>
      </c>
      <c r="AH1797">
        <v>0.51423799830712202</v>
      </c>
      <c r="AI1797">
        <v>101.594061888173</v>
      </c>
      <c r="AJ1797">
        <v>83.185430312824195</v>
      </c>
      <c r="AK1797">
        <v>0.52868397204775097</v>
      </c>
      <c r="AL1797">
        <v>69.342320179443405</v>
      </c>
      <c r="AM1797">
        <v>94.216101303706793</v>
      </c>
      <c r="AN1797">
        <v>0.99999998952331304</v>
      </c>
    </row>
    <row r="1798" spans="1:40" x14ac:dyDescent="0.25">
      <c r="A1798" t="str">
        <f>"20190304164125401"</f>
        <v>20190304164125401</v>
      </c>
      <c r="B1798" t="str">
        <f>"1551688885392624"</f>
        <v>1551688885392624</v>
      </c>
      <c r="C1798" t="s">
        <v>40</v>
      </c>
      <c r="D1798">
        <v>4.7782099999999996</v>
      </c>
      <c r="E1798">
        <v>0.58057539999999996</v>
      </c>
      <c r="F1798" t="s">
        <v>41</v>
      </c>
      <c r="G1798">
        <v>-192.67420000000001</v>
      </c>
      <c r="H1798">
        <v>1.0394080000000001</v>
      </c>
      <c r="I1798">
        <v>332.46120000000002</v>
      </c>
      <c r="J1798">
        <v>-192.62690000000001</v>
      </c>
      <c r="K1798">
        <v>1.109866</v>
      </c>
      <c r="L1798">
        <v>332.98680000000002</v>
      </c>
      <c r="M1798">
        <v>7.0608359999999995E-2</v>
      </c>
      <c r="N1798">
        <v>-1.365073E-2</v>
      </c>
      <c r="O1798">
        <v>-0.99741080000000004</v>
      </c>
      <c r="P1798">
        <v>0.12682479999999999</v>
      </c>
      <c r="Q1798">
        <v>0.34066030000000003</v>
      </c>
      <c r="R1798">
        <v>-0.93159340000000002</v>
      </c>
      <c r="S1798">
        <v>-0.1300354</v>
      </c>
      <c r="T1798">
        <v>-0.30243370000000003</v>
      </c>
      <c r="U1798">
        <v>-3.3539430000000001</v>
      </c>
      <c r="V1798">
        <v>-5.9895370000000003E-2</v>
      </c>
      <c r="W1798">
        <v>0.35357739999999999</v>
      </c>
      <c r="X1798">
        <v>0.93348569999999997</v>
      </c>
      <c r="Y1798">
        <v>0.1090179</v>
      </c>
      <c r="Z1798">
        <v>7.554864E-2</v>
      </c>
      <c r="AA1798">
        <v>0.99116470000000001</v>
      </c>
      <c r="AB1798">
        <v>25</v>
      </c>
      <c r="AC1798">
        <v>-4.7300000000007003E-2</v>
      </c>
      <c r="AD1798">
        <v>-7.0458000000000104E-2</v>
      </c>
      <c r="AE1798">
        <v>-0.52559999999999696</v>
      </c>
      <c r="AF1798">
        <v>8.2820791830169604E-2</v>
      </c>
      <c r="AG1798">
        <v>-7.0458000000000104E-2</v>
      </c>
      <c r="AH1798">
        <v>0.51182420118333105</v>
      </c>
      <c r="AI1798">
        <v>97.738687162802194</v>
      </c>
      <c r="AJ1798">
        <v>80.808360291205702</v>
      </c>
      <c r="AK1798">
        <v>0.523247194202063</v>
      </c>
      <c r="AL1798">
        <v>69.293718159895306</v>
      </c>
      <c r="AM1798">
        <v>93.671244358475505</v>
      </c>
      <c r="AN1798">
        <v>0.99999999262134298</v>
      </c>
    </row>
    <row r="1799" spans="1:40" x14ac:dyDescent="0.25">
      <c r="A1799" t="str">
        <f>"20190304164125423"</f>
        <v>20190304164125423</v>
      </c>
      <c r="B1799" t="str">
        <f>"1551688885413120"</f>
        <v>1551688885413120</v>
      </c>
      <c r="C1799" t="s">
        <v>40</v>
      </c>
      <c r="D1799">
        <v>4.7659250000000002</v>
      </c>
      <c r="E1799">
        <v>0.57599060000000002</v>
      </c>
      <c r="F1799" t="s">
        <v>41</v>
      </c>
      <c r="G1799">
        <v>-192.66290000000001</v>
      </c>
      <c r="H1799">
        <v>1.0425709999999999</v>
      </c>
      <c r="I1799">
        <v>332.23489999999998</v>
      </c>
      <c r="J1799">
        <v>-192.6104</v>
      </c>
      <c r="K1799">
        <v>1.1098870000000001</v>
      </c>
      <c r="L1799">
        <v>332.72890000000001</v>
      </c>
      <c r="M1799">
        <v>6.9198519999999999E-2</v>
      </c>
      <c r="N1799">
        <v>-1.368228E-2</v>
      </c>
      <c r="O1799">
        <v>-0.99750919999999998</v>
      </c>
      <c r="P1799">
        <v>0.1170065</v>
      </c>
      <c r="Q1799">
        <v>0.341833099999999</v>
      </c>
      <c r="R1799">
        <v>-0.9324481</v>
      </c>
      <c r="S1799">
        <v>-0.1599121</v>
      </c>
      <c r="T1799">
        <v>-0.30004969999999997</v>
      </c>
      <c r="U1799">
        <v>-3.3517760000000001</v>
      </c>
      <c r="V1799">
        <v>-5.1371939999999998E-2</v>
      </c>
      <c r="W1799">
        <v>0.35475959999999901</v>
      </c>
      <c r="X1799">
        <v>0.93354519999999996</v>
      </c>
      <c r="Y1799">
        <v>0.1164505</v>
      </c>
      <c r="Z1799">
        <v>7.4830590000000002E-2</v>
      </c>
      <c r="AA1799">
        <v>0.99037350000000002</v>
      </c>
      <c r="AB1799">
        <v>25</v>
      </c>
      <c r="AC1799">
        <v>-5.2500000000008998E-2</v>
      </c>
      <c r="AD1799">
        <v>-6.7316000000000098E-2</v>
      </c>
      <c r="AE1799">
        <v>-0.49400000000002797</v>
      </c>
      <c r="AF1799">
        <v>8.5000665368557701E-2</v>
      </c>
      <c r="AG1799">
        <v>-6.7316000000000098E-2</v>
      </c>
      <c r="AH1799">
        <v>0.48036224460009103</v>
      </c>
      <c r="AI1799">
        <v>97.856750961625906</v>
      </c>
      <c r="AJ1799">
        <v>79.965318211572395</v>
      </c>
      <c r="AK1799">
        <v>0.49244740125858599</v>
      </c>
      <c r="AL1799">
        <v>69.221289440015596</v>
      </c>
      <c r="AM1799">
        <v>93.149745393493006</v>
      </c>
      <c r="AN1799">
        <v>1.0000000452272799</v>
      </c>
    </row>
    <row r="1800" spans="1:40" x14ac:dyDescent="0.25">
      <c r="A1800" t="str">
        <f>"20190304164125446"</f>
        <v>20190304164125446</v>
      </c>
      <c r="B1800" t="str">
        <f>"1551688885432639"</f>
        <v>1551688885432639</v>
      </c>
      <c r="C1800" t="s">
        <v>40</v>
      </c>
      <c r="D1800">
        <v>4.761209</v>
      </c>
      <c r="E1800">
        <v>0.57562800000000003</v>
      </c>
      <c r="F1800" t="s">
        <v>41</v>
      </c>
      <c r="G1800">
        <v>-192.65170000000001</v>
      </c>
      <c r="H1800">
        <v>1.0085919999999999</v>
      </c>
      <c r="I1800">
        <v>331.80239999999998</v>
      </c>
      <c r="J1800">
        <v>-192.59479999999999</v>
      </c>
      <c r="K1800">
        <v>1.10991</v>
      </c>
      <c r="L1800">
        <v>332.48129999999998</v>
      </c>
      <c r="M1800">
        <v>6.7867200000000003E-2</v>
      </c>
      <c r="N1800">
        <v>-1.3708110000000001E-2</v>
      </c>
      <c r="O1800">
        <v>-0.9976003</v>
      </c>
      <c r="P1800">
        <v>0.10852539999999999</v>
      </c>
      <c r="Q1800">
        <v>0.34252480000000002</v>
      </c>
      <c r="R1800">
        <v>-0.9332201</v>
      </c>
      <c r="S1800">
        <v>-0.150177</v>
      </c>
      <c r="T1800">
        <v>-0.3686199</v>
      </c>
      <c r="U1800">
        <v>-3.3713380000000002</v>
      </c>
      <c r="V1800">
        <v>-4.4122479999999999E-2</v>
      </c>
      <c r="W1800">
        <v>0.35545860000000001</v>
      </c>
      <c r="X1800">
        <v>0.93365010000000004</v>
      </c>
      <c r="Y1800">
        <v>0.1119106</v>
      </c>
      <c r="Z1800">
        <v>9.426387E-2</v>
      </c>
      <c r="AA1800">
        <v>0.98923720000000004</v>
      </c>
      <c r="AB1800">
        <v>25</v>
      </c>
      <c r="AC1800">
        <v>-5.6900000000013003E-2</v>
      </c>
      <c r="AD1800">
        <v>-0.10131800000000001</v>
      </c>
      <c r="AE1800">
        <v>-0.67889999999999795</v>
      </c>
      <c r="AF1800">
        <v>0.100622702563661</v>
      </c>
      <c r="AG1800">
        <v>-0.10131800000000001</v>
      </c>
      <c r="AH1800">
        <v>0.65889967467711896</v>
      </c>
      <c r="AI1800">
        <v>98.643149772520601</v>
      </c>
      <c r="AJ1800">
        <v>81.317258990487105</v>
      </c>
      <c r="AK1800">
        <v>0.674195110249865</v>
      </c>
      <c r="AL1800">
        <v>69.178447767599593</v>
      </c>
      <c r="AM1800">
        <v>92.705673606096397</v>
      </c>
      <c r="AN1800">
        <v>1.0000000593926499</v>
      </c>
    </row>
    <row r="1801" spans="1:40" x14ac:dyDescent="0.25">
      <c r="A1801" t="str">
        <f>"20190304164125469"</f>
        <v>20190304164125469</v>
      </c>
      <c r="B1801" t="str">
        <f>"1551688885462896"</f>
        <v>1551688885462896</v>
      </c>
      <c r="C1801" t="s">
        <v>40</v>
      </c>
      <c r="D1801">
        <v>4.7917949999999996</v>
      </c>
      <c r="E1801">
        <v>0.57440630000000004</v>
      </c>
      <c r="F1801" t="s">
        <v>41</v>
      </c>
      <c r="G1801">
        <v>-192.64150000000001</v>
      </c>
      <c r="H1801">
        <v>1.0121500000000001</v>
      </c>
      <c r="I1801">
        <v>331.57670000000002</v>
      </c>
      <c r="J1801">
        <v>-192.57839999999999</v>
      </c>
      <c r="K1801">
        <v>1.1099300000000001</v>
      </c>
      <c r="L1801">
        <v>332.21550000000002</v>
      </c>
      <c r="M1801">
        <v>6.6466769999999994E-2</v>
      </c>
      <c r="N1801">
        <v>-1.373129E-2</v>
      </c>
      <c r="O1801">
        <v>-0.99769430000000003</v>
      </c>
      <c r="P1801">
        <v>0.10227840000000001</v>
      </c>
      <c r="Q1801">
        <v>0.34257929999999998</v>
      </c>
      <c r="R1801">
        <v>-0.93390510000000004</v>
      </c>
      <c r="S1801">
        <v>-0.17333979999999999</v>
      </c>
      <c r="T1801">
        <v>-0.36423149999999999</v>
      </c>
      <c r="U1801">
        <v>-3.3685299999999998</v>
      </c>
      <c r="V1801">
        <v>-3.9180909999999999E-2</v>
      </c>
      <c r="W1801">
        <v>0.35552399999999901</v>
      </c>
      <c r="X1801">
        <v>0.93384560000000005</v>
      </c>
      <c r="Y1801">
        <v>0.1173394</v>
      </c>
      <c r="Z1801">
        <v>9.3018290000000003E-2</v>
      </c>
      <c r="AA1801">
        <v>0.98872599999999999</v>
      </c>
      <c r="AB1801">
        <v>25</v>
      </c>
      <c r="AC1801">
        <v>-6.3100000000019904E-2</v>
      </c>
      <c r="AD1801">
        <v>-9.77799999999997E-2</v>
      </c>
      <c r="AE1801">
        <v>-0.63880000000000303</v>
      </c>
      <c r="AF1801">
        <v>0.103032688903407</v>
      </c>
      <c r="AG1801">
        <v>-9.77799999999997E-2</v>
      </c>
      <c r="AH1801">
        <v>0.61883357164245201</v>
      </c>
      <c r="AI1801">
        <v>98.858924695491297</v>
      </c>
      <c r="AJ1801">
        <v>80.547248597251496</v>
      </c>
      <c r="AK1801">
        <v>0.63492649399314005</v>
      </c>
      <c r="AL1801">
        <v>69.174438144703004</v>
      </c>
      <c r="AM1801">
        <v>92.4025223228697</v>
      </c>
      <c r="AN1801">
        <v>1.00000003146189</v>
      </c>
    </row>
    <row r="1802" spans="1:40" x14ac:dyDescent="0.25">
      <c r="A1802" t="str">
        <f>"20190304164125490"</f>
        <v>20190304164125490</v>
      </c>
      <c r="B1802" t="str">
        <f>"1551688885482416"</f>
        <v>1551688885482416</v>
      </c>
      <c r="C1802" t="s">
        <v>40</v>
      </c>
      <c r="D1802">
        <v>4.7629190000000001</v>
      </c>
      <c r="E1802">
        <v>0.57372919999999905</v>
      </c>
      <c r="F1802" t="s">
        <v>41</v>
      </c>
      <c r="G1802">
        <v>-192.62540000000001</v>
      </c>
      <c r="H1802">
        <v>1.0166409999999999</v>
      </c>
      <c r="I1802">
        <v>331.35129999999998</v>
      </c>
      <c r="J1802">
        <v>-192.56450000000001</v>
      </c>
      <c r="K1802">
        <v>1.109955</v>
      </c>
      <c r="L1802">
        <v>331.98559999999998</v>
      </c>
      <c r="M1802">
        <v>6.5291459999999996E-2</v>
      </c>
      <c r="N1802">
        <v>-1.3748399999999999E-2</v>
      </c>
      <c r="O1802">
        <v>-0.99777139999999997</v>
      </c>
      <c r="P1802">
        <v>9.8640169999999999E-2</v>
      </c>
      <c r="Q1802">
        <v>0.34169519999999998</v>
      </c>
      <c r="R1802">
        <v>-0.9346198</v>
      </c>
      <c r="S1802">
        <v>-0.18251039999999999</v>
      </c>
      <c r="T1802">
        <v>-0.36351630000000001</v>
      </c>
      <c r="U1802">
        <v>-3.3656920000000001</v>
      </c>
      <c r="V1802">
        <v>-3.6636410000000001E-2</v>
      </c>
      <c r="W1802">
        <v>0.35465340000000001</v>
      </c>
      <c r="X1802">
        <v>0.93427979999999999</v>
      </c>
      <c r="Y1802">
        <v>0.1188982</v>
      </c>
      <c r="Z1802">
        <v>9.2876700000000006E-2</v>
      </c>
      <c r="AA1802">
        <v>0.98855300000000002</v>
      </c>
      <c r="AB1802">
        <v>25</v>
      </c>
      <c r="AC1802">
        <v>-6.0900000000003701E-2</v>
      </c>
      <c r="AD1802">
        <v>-9.3314000000000105E-2</v>
      </c>
      <c r="AE1802">
        <v>-0.63429999999999598</v>
      </c>
      <c r="AF1802">
        <v>0.100042935271152</v>
      </c>
      <c r="AG1802">
        <v>-9.3314000000000105E-2</v>
      </c>
      <c r="AH1802">
        <v>0.61576480521602395</v>
      </c>
      <c r="AI1802">
        <v>98.507246352952606</v>
      </c>
      <c r="AJ1802">
        <v>80.771822197378697</v>
      </c>
      <c r="AK1802">
        <v>0.63077919023727802</v>
      </c>
      <c r="AL1802">
        <v>69.227796490291396</v>
      </c>
      <c r="AM1802">
        <v>92.245619273493404</v>
      </c>
      <c r="AN1802">
        <v>1.00000000267864</v>
      </c>
    </row>
    <row r="1803" spans="1:40" x14ac:dyDescent="0.25">
      <c r="A1803" t="str">
        <f>"20190304164125512"</f>
        <v>20190304164125512</v>
      </c>
      <c r="B1803" t="str">
        <f>"1551688885502912"</f>
        <v>1551688885502912</v>
      </c>
      <c r="C1803" t="s">
        <v>40</v>
      </c>
      <c r="D1803">
        <v>4.8907720000000001</v>
      </c>
      <c r="E1803">
        <v>0.57175399999999998</v>
      </c>
      <c r="F1803" t="s">
        <v>41</v>
      </c>
      <c r="G1803">
        <v>-192.6129</v>
      </c>
      <c r="H1803">
        <v>1.016988</v>
      </c>
      <c r="I1803">
        <v>331.12810000000002</v>
      </c>
      <c r="J1803">
        <v>-192.5496</v>
      </c>
      <c r="K1803">
        <v>1.1099889999999999</v>
      </c>
      <c r="L1803">
        <v>331.73610000000002</v>
      </c>
      <c r="M1803">
        <v>6.4070160000000001E-2</v>
      </c>
      <c r="N1803">
        <v>-1.3763890000000001E-2</v>
      </c>
      <c r="O1803">
        <v>-0.99785080000000004</v>
      </c>
      <c r="P1803">
        <v>9.6717659999999997E-2</v>
      </c>
      <c r="Q1803">
        <v>0.34068720000000002</v>
      </c>
      <c r="R1803">
        <v>-0.93518920000000005</v>
      </c>
      <c r="S1803">
        <v>-0.18904109999999999</v>
      </c>
      <c r="T1803">
        <v>-0.36486469999999999</v>
      </c>
      <c r="U1803">
        <v>-3.363251</v>
      </c>
      <c r="V1803">
        <v>-3.5866309999999998E-2</v>
      </c>
      <c r="W1803">
        <v>0.35366039999999999</v>
      </c>
      <c r="X1803">
        <v>0.93468600000000002</v>
      </c>
      <c r="Y1803">
        <v>0.1196319</v>
      </c>
      <c r="Z1803">
        <v>9.3331269999999994E-2</v>
      </c>
      <c r="AA1803">
        <v>0.98842169999999896</v>
      </c>
      <c r="AB1803">
        <v>25</v>
      </c>
      <c r="AC1803">
        <v>-6.3299999999998094E-2</v>
      </c>
      <c r="AD1803">
        <v>-9.3000999999999806E-2</v>
      </c>
      <c r="AE1803">
        <v>-0.60800000000000398</v>
      </c>
      <c r="AF1803">
        <v>9.9817817536046904E-2</v>
      </c>
      <c r="AG1803">
        <v>-9.3000999999999806E-2</v>
      </c>
      <c r="AH1803">
        <v>0.58905984713324999</v>
      </c>
      <c r="AI1803">
        <v>98.847733430969996</v>
      </c>
      <c r="AJ1803">
        <v>80.3824312248626</v>
      </c>
      <c r="AK1803">
        <v>0.60465220267795905</v>
      </c>
      <c r="AL1803">
        <v>69.288634172921107</v>
      </c>
      <c r="AM1803">
        <v>92.197508526119094</v>
      </c>
      <c r="AN1803">
        <v>0.99999999465858802</v>
      </c>
    </row>
    <row r="1804" spans="1:40" x14ac:dyDescent="0.25">
      <c r="A1804" t="str">
        <f>"20190304164125535"</f>
        <v>20190304164125535</v>
      </c>
      <c r="B1804" t="str">
        <f>"1551688885522432"</f>
        <v>1551688885522432</v>
      </c>
      <c r="C1804" t="s">
        <v>40</v>
      </c>
      <c r="D1804">
        <v>4.7227050000000004</v>
      </c>
      <c r="E1804">
        <v>0.54412530000000003</v>
      </c>
      <c r="F1804" t="s">
        <v>41</v>
      </c>
      <c r="G1804">
        <v>-192.5943</v>
      </c>
      <c r="H1804">
        <v>1.0197339999999999</v>
      </c>
      <c r="I1804">
        <v>330.90440000000001</v>
      </c>
      <c r="J1804">
        <v>-192.5352</v>
      </c>
      <c r="K1804">
        <v>1.110031</v>
      </c>
      <c r="L1804">
        <v>331.4914</v>
      </c>
      <c r="M1804">
        <v>6.2932070000000007E-2</v>
      </c>
      <c r="N1804">
        <v>-1.3776419999999999E-2</v>
      </c>
      <c r="O1804">
        <v>-0.9979228</v>
      </c>
      <c r="P1804">
        <v>9.4586959999999998E-2</v>
      </c>
      <c r="Q1804">
        <v>0.33996700000000002</v>
      </c>
      <c r="R1804">
        <v>-0.93566879999999997</v>
      </c>
      <c r="S1804">
        <v>-0.18037410000000001</v>
      </c>
      <c r="T1804">
        <v>-0.36457620000000002</v>
      </c>
      <c r="U1804">
        <v>-3.359375</v>
      </c>
      <c r="V1804">
        <v>-3.4821310000000001E-2</v>
      </c>
      <c r="W1804">
        <v>0.35294979999999998</v>
      </c>
      <c r="X1804">
        <v>0.93499410000000005</v>
      </c>
      <c r="Y1804">
        <v>0.1160231</v>
      </c>
      <c r="Z1804">
        <v>9.3400780000000003E-2</v>
      </c>
      <c r="AA1804">
        <v>0.98884519999999998</v>
      </c>
      <c r="AB1804">
        <v>25</v>
      </c>
      <c r="AC1804">
        <v>-5.9100000000000798E-2</v>
      </c>
      <c r="AD1804">
        <v>-9.0297000000000002E-2</v>
      </c>
      <c r="AE1804">
        <v>-0.58699999999998898</v>
      </c>
      <c r="AF1804">
        <v>9.37317389070388E-2</v>
      </c>
      <c r="AG1804">
        <v>-9.0297000000000002E-2</v>
      </c>
      <c r="AH1804">
        <v>0.56879230991914498</v>
      </c>
      <c r="AI1804">
        <v>98.902444967866998</v>
      </c>
      <c r="AJ1804">
        <v>80.642283981062505</v>
      </c>
      <c r="AK1804">
        <v>0.58349282678598002</v>
      </c>
      <c r="AL1804">
        <v>69.332155991465697</v>
      </c>
      <c r="AM1804">
        <v>92.132839627217393</v>
      </c>
      <c r="AN1804">
        <v>1.0000000259924799</v>
      </c>
    </row>
    <row r="1805" spans="1:40" x14ac:dyDescent="0.25">
      <c r="A1805" t="str">
        <f>"20190304164125568"</f>
        <v>20190304164125568</v>
      </c>
      <c r="B1805" t="str">
        <f>"1551688885562448"</f>
        <v>1551688885562448</v>
      </c>
      <c r="C1805" t="s">
        <v>40</v>
      </c>
      <c r="D1805">
        <v>4.6840140000000003</v>
      </c>
      <c r="E1805">
        <v>0.54348350000000001</v>
      </c>
      <c r="F1805" t="s">
        <v>41</v>
      </c>
      <c r="G1805">
        <v>-192.52930000000001</v>
      </c>
      <c r="H1805">
        <v>1.042964</v>
      </c>
      <c r="I1805">
        <v>330.67340000000002</v>
      </c>
      <c r="J1805">
        <v>-192.5138</v>
      </c>
      <c r="K1805">
        <v>1.110112</v>
      </c>
      <c r="L1805">
        <v>331.11970000000002</v>
      </c>
      <c r="M1805">
        <v>6.1304160000000003E-2</v>
      </c>
      <c r="N1805">
        <v>-1.3791339999999999E-2</v>
      </c>
      <c r="O1805">
        <v>-0.99802400000000002</v>
      </c>
      <c r="P1805">
        <v>9.4042680000000003E-2</v>
      </c>
      <c r="Q1805">
        <v>0.3402519</v>
      </c>
      <c r="R1805">
        <v>-0.93562020000000001</v>
      </c>
      <c r="S1805">
        <v>2.4658200000000002E-2</v>
      </c>
      <c r="T1805">
        <v>-0.2709259</v>
      </c>
      <c r="U1805">
        <v>-3.302216</v>
      </c>
      <c r="V1805">
        <v>-3.5868770000000001E-2</v>
      </c>
      <c r="W1805">
        <v>0.35324329999999998</v>
      </c>
      <c r="X1805">
        <v>0.9348436</v>
      </c>
      <c r="Y1805">
        <v>5.3836830000000002E-2</v>
      </c>
      <c r="Z1805">
        <v>6.7728300000000005E-2</v>
      </c>
      <c r="AA1805">
        <v>0.99625019999999997</v>
      </c>
      <c r="AB1805">
        <v>25</v>
      </c>
      <c r="AC1805">
        <v>-1.55000000000029E-2</v>
      </c>
      <c r="AD1805">
        <v>-6.7147999999999902E-2</v>
      </c>
      <c r="AE1805">
        <v>-0.44630000000000702</v>
      </c>
      <c r="AF1805">
        <v>4.1886458411365797E-2</v>
      </c>
      <c r="AG1805">
        <v>-6.7147999999999902E-2</v>
      </c>
      <c r="AH1805">
        <v>0.434682203873552</v>
      </c>
      <c r="AI1805">
        <v>98.741554939964402</v>
      </c>
      <c r="AJ1805">
        <v>84.495909283566306</v>
      </c>
      <c r="AK1805">
        <v>0.44182796161698001</v>
      </c>
      <c r="AL1805">
        <v>69.3141808557112</v>
      </c>
      <c r="AM1805">
        <v>92.1972889733984</v>
      </c>
      <c r="AN1805">
        <v>0.99999997705858101</v>
      </c>
    </row>
    <row r="1806" spans="1:40" x14ac:dyDescent="0.25">
      <c r="A1806" t="str">
        <f>"20190304164125590"</f>
        <v>20190304164125590</v>
      </c>
      <c r="B1806" t="str">
        <f>"1551688885582944"</f>
        <v>1551688885582944</v>
      </c>
      <c r="C1806" t="s">
        <v>40</v>
      </c>
      <c r="D1806">
        <v>4.670528</v>
      </c>
      <c r="E1806">
        <v>0.5426668</v>
      </c>
      <c r="F1806" t="s">
        <v>41</v>
      </c>
      <c r="G1806">
        <v>-192.5067</v>
      </c>
      <c r="H1806">
        <v>1.0361549999999999</v>
      </c>
      <c r="I1806">
        <v>330.23259999999999</v>
      </c>
      <c r="J1806">
        <v>-192.49959999999999</v>
      </c>
      <c r="K1806">
        <v>1.110155</v>
      </c>
      <c r="L1806">
        <v>330.86840000000001</v>
      </c>
      <c r="M1806">
        <v>6.0255669999999997E-2</v>
      </c>
      <c r="N1806">
        <v>-1.379912E-2</v>
      </c>
      <c r="O1806">
        <v>-0.99808779999999997</v>
      </c>
      <c r="P1806">
        <v>9.4581509999999994E-2</v>
      </c>
      <c r="Q1806">
        <v>0.34106799999999998</v>
      </c>
      <c r="R1806">
        <v>-0.93526869999999995</v>
      </c>
      <c r="S1806">
        <v>2.709961E-2</v>
      </c>
      <c r="T1806">
        <v>-0.27567779999999997</v>
      </c>
      <c r="U1806">
        <v>-3.303925</v>
      </c>
      <c r="V1806">
        <v>-3.7439269999999997E-2</v>
      </c>
      <c r="W1806">
        <v>0.35406130000000002</v>
      </c>
      <c r="X1806">
        <v>0.93447250000000004</v>
      </c>
      <c r="Y1806">
        <v>5.2056909999999998E-2</v>
      </c>
      <c r="Z1806">
        <v>6.911059E-2</v>
      </c>
      <c r="AA1806">
        <v>0.99624990000000002</v>
      </c>
      <c r="AB1806">
        <v>25</v>
      </c>
      <c r="AC1806">
        <v>-7.1000000000083201E-3</v>
      </c>
      <c r="AD1806">
        <v>-7.3999999999999996E-2</v>
      </c>
      <c r="AE1806">
        <v>-0.63580000000001702</v>
      </c>
      <c r="AF1806">
        <v>4.4794564316487102E-2</v>
      </c>
      <c r="AG1806">
        <v>-7.3999999999999996E-2</v>
      </c>
      <c r="AH1806">
        <v>0.62574120627766305</v>
      </c>
      <c r="AI1806">
        <v>96.727402590752902</v>
      </c>
      <c r="AJ1806">
        <v>85.905385946194301</v>
      </c>
      <c r="AK1806">
        <v>0.63169186335279703</v>
      </c>
      <c r="AL1806">
        <v>69.264074929958596</v>
      </c>
      <c r="AM1806">
        <v>92.294305616153395</v>
      </c>
      <c r="AN1806">
        <v>0.99999997817603603</v>
      </c>
    </row>
    <row r="1807" spans="1:40" x14ac:dyDescent="0.25">
      <c r="A1807" t="str">
        <f>"20190304164125613"</f>
        <v>20190304164125613</v>
      </c>
      <c r="B1807" t="str">
        <f>"1551688885602463"</f>
        <v>1551688885602463</v>
      </c>
      <c r="C1807" t="s">
        <v>40</v>
      </c>
      <c r="D1807">
        <v>4.6225269999999998</v>
      </c>
      <c r="E1807">
        <v>0.54229969999999905</v>
      </c>
      <c r="F1807" t="s">
        <v>41</v>
      </c>
      <c r="G1807">
        <v>-192.49109999999999</v>
      </c>
      <c r="H1807">
        <v>1.039031</v>
      </c>
      <c r="I1807">
        <v>330.00959999999998</v>
      </c>
      <c r="J1807">
        <v>-192.48570000000001</v>
      </c>
      <c r="K1807">
        <v>1.1101760000000001</v>
      </c>
      <c r="L1807">
        <v>330.61750000000001</v>
      </c>
      <c r="M1807">
        <v>5.9235009999999998E-2</v>
      </c>
      <c r="N1807">
        <v>-1.380543E-2</v>
      </c>
      <c r="O1807">
        <v>-0.9981487</v>
      </c>
      <c r="P1807">
        <v>9.5696329999999996E-2</v>
      </c>
      <c r="Q1807">
        <v>0.34206589999999998</v>
      </c>
      <c r="R1807">
        <v>-0.93479069999999997</v>
      </c>
      <c r="S1807">
        <v>3.329468E-2</v>
      </c>
      <c r="T1807">
        <v>-0.27384320000000001</v>
      </c>
      <c r="U1807">
        <v>-3.304138</v>
      </c>
      <c r="V1807">
        <v>-3.9553949999999997E-2</v>
      </c>
      <c r="W1807">
        <v>0.35506090000000001</v>
      </c>
      <c r="X1807">
        <v>0.934006</v>
      </c>
      <c r="Y1807">
        <v>4.9170039999999998E-2</v>
      </c>
      <c r="Z1807">
        <v>6.8564349999999996E-2</v>
      </c>
      <c r="AA1807">
        <v>0.9964343</v>
      </c>
      <c r="AB1807">
        <v>25</v>
      </c>
      <c r="AC1807">
        <v>-5.3999999999802999E-3</v>
      </c>
      <c r="AD1807">
        <v>-7.1145E-2</v>
      </c>
      <c r="AE1807">
        <v>-0.60790000000002897</v>
      </c>
      <c r="AF1807">
        <v>4.0843518739629901E-2</v>
      </c>
      <c r="AG1807">
        <v>-7.1145E-2</v>
      </c>
      <c r="AH1807">
        <v>0.59831796805637605</v>
      </c>
      <c r="AI1807">
        <v>96.7655074796847</v>
      </c>
      <c r="AJ1807">
        <v>86.094825027376601</v>
      </c>
      <c r="AK1807">
        <v>0.60391571841370795</v>
      </c>
      <c r="AL1807">
        <v>69.202822780888496</v>
      </c>
      <c r="AM1807">
        <v>92.424953442628706</v>
      </c>
      <c r="AN1807">
        <v>0.99999998285270597</v>
      </c>
    </row>
    <row r="1808" spans="1:40" x14ac:dyDescent="0.25">
      <c r="A1808" t="str">
        <f>"20190304164125635"</f>
        <v>20190304164125635</v>
      </c>
      <c r="B1808" t="str">
        <f>"1551688885622960"</f>
        <v>1551688885622960</v>
      </c>
      <c r="C1808" t="s">
        <v>40</v>
      </c>
      <c r="D1808">
        <v>4.6170309999999999</v>
      </c>
      <c r="E1808">
        <v>0.54210319999999901</v>
      </c>
      <c r="F1808" t="s">
        <v>41</v>
      </c>
      <c r="G1808">
        <v>-192.4761</v>
      </c>
      <c r="H1808">
        <v>1.0425409999999999</v>
      </c>
      <c r="I1808">
        <v>329.78609999999998</v>
      </c>
      <c r="J1808">
        <v>-192.4725</v>
      </c>
      <c r="K1808">
        <v>1.1101810000000001</v>
      </c>
      <c r="L1808">
        <v>330.3766</v>
      </c>
      <c r="M1808">
        <v>5.8268029999999998E-2</v>
      </c>
      <c r="N1808">
        <v>-1.381052E-2</v>
      </c>
      <c r="O1808">
        <v>-0.99820549999999997</v>
      </c>
      <c r="P1808">
        <v>9.7006099999999998E-2</v>
      </c>
      <c r="Q1808">
        <v>0.34194190000000002</v>
      </c>
      <c r="R1808">
        <v>-0.93470089999999995</v>
      </c>
      <c r="S1808">
        <v>3.8604739999999999E-2</v>
      </c>
      <c r="T1808">
        <v>-0.26895140000000001</v>
      </c>
      <c r="U1808">
        <v>-3.3037719999999999</v>
      </c>
      <c r="V1808">
        <v>-4.1782649999999998E-2</v>
      </c>
      <c r="W1808">
        <v>0.35494409999999998</v>
      </c>
      <c r="X1808">
        <v>0.93395329999999999</v>
      </c>
      <c r="Y1808">
        <v>4.6600889999999999E-2</v>
      </c>
      <c r="Z1808">
        <v>6.7117590000000005E-2</v>
      </c>
      <c r="AA1808">
        <v>0.99665619999999999</v>
      </c>
      <c r="AB1808">
        <v>25</v>
      </c>
      <c r="AC1808">
        <v>-3.6000000000058199E-3</v>
      </c>
      <c r="AD1808">
        <v>-6.7639999999999895E-2</v>
      </c>
      <c r="AE1808">
        <v>-0.59050000000002001</v>
      </c>
      <c r="AF1808">
        <v>3.7512253320547598E-2</v>
      </c>
      <c r="AG1808">
        <v>-6.7639999999999895E-2</v>
      </c>
      <c r="AH1808">
        <v>0.58165512805048603</v>
      </c>
      <c r="AI1808">
        <v>96.619437675571902</v>
      </c>
      <c r="AJ1808">
        <v>86.309975983646794</v>
      </c>
      <c r="AK1808">
        <v>0.58677510746163397</v>
      </c>
      <c r="AL1808">
        <v>69.209980153430806</v>
      </c>
      <c r="AM1808">
        <v>92.561556655698496</v>
      </c>
      <c r="AN1808">
        <v>0.99999993527335895</v>
      </c>
    </row>
    <row r="1809" spans="1:40" x14ac:dyDescent="0.25">
      <c r="A1809" t="str">
        <f>"20190304164125659"</f>
        <v>20190304164125659</v>
      </c>
      <c r="B1809" t="str">
        <f>"1551688885653216"</f>
        <v>1551688885653216</v>
      </c>
      <c r="C1809" t="s">
        <v>40</v>
      </c>
      <c r="D1809">
        <v>4.5608890000000004</v>
      </c>
      <c r="E1809">
        <v>0.54196659999999997</v>
      </c>
      <c r="F1809" t="s">
        <v>41</v>
      </c>
      <c r="G1809">
        <v>-192.46170000000001</v>
      </c>
      <c r="H1809">
        <v>1.043898</v>
      </c>
      <c r="I1809">
        <v>329.56360000000001</v>
      </c>
      <c r="J1809">
        <v>-192.45859999999999</v>
      </c>
      <c r="K1809">
        <v>1.110179</v>
      </c>
      <c r="L1809">
        <v>330.1173</v>
      </c>
      <c r="M1809">
        <v>5.7228510000000003E-2</v>
      </c>
      <c r="N1809">
        <v>-1.381509E-2</v>
      </c>
      <c r="O1809">
        <v>-0.99826579999999998</v>
      </c>
      <c r="P1809">
        <v>9.7542970000000007E-2</v>
      </c>
      <c r="Q1809">
        <v>0.34176109999999998</v>
      </c>
      <c r="R1809">
        <v>-0.93471159999999998</v>
      </c>
      <c r="S1809">
        <v>4.4326780000000003E-2</v>
      </c>
      <c r="T1809">
        <v>-0.26942149999999998</v>
      </c>
      <c r="U1809">
        <v>-3.3035580000000002</v>
      </c>
      <c r="V1809">
        <v>-4.3296710000000002E-2</v>
      </c>
      <c r="W1809">
        <v>0.35477029999999998</v>
      </c>
      <c r="X1809">
        <v>0.93395039999999996</v>
      </c>
      <c r="Y1809">
        <v>4.383563E-2</v>
      </c>
      <c r="Z1809">
        <v>6.7270960000000005E-2</v>
      </c>
      <c r="AA1809">
        <v>0.99677130000000003</v>
      </c>
      <c r="AB1809">
        <v>25</v>
      </c>
      <c r="AC1809">
        <v>-3.1000000000176399E-3</v>
      </c>
      <c r="AD1809">
        <v>-6.6281000000000007E-2</v>
      </c>
      <c r="AE1809">
        <v>-0.55369999999999198</v>
      </c>
      <c r="AF1809">
        <v>3.4293962094100003E-2</v>
      </c>
      <c r="AG1809">
        <v>-6.6281000000000007E-2</v>
      </c>
      <c r="AH1809">
        <v>0.54480839457750396</v>
      </c>
      <c r="AI1809">
        <v>96.922907004449101</v>
      </c>
      <c r="AJ1809">
        <v>86.398164406427298</v>
      </c>
      <c r="AK1809">
        <v>0.54989583886335203</v>
      </c>
      <c r="AL1809">
        <v>69.220631877250895</v>
      </c>
      <c r="AM1809">
        <v>92.654256490434506</v>
      </c>
      <c r="AN1809">
        <v>0.99999996025953597</v>
      </c>
    </row>
    <row r="1810" spans="1:40" x14ac:dyDescent="0.25">
      <c r="A1810" t="str">
        <f>"20190304164125681"</f>
        <v>20190304164125681</v>
      </c>
      <c r="B1810" t="str">
        <f>"1551688885672736"</f>
        <v>1551688885672736</v>
      </c>
      <c r="C1810" t="s">
        <v>40</v>
      </c>
      <c r="D1810">
        <v>4.5619699999999996</v>
      </c>
      <c r="E1810">
        <v>0.54202299999999903</v>
      </c>
      <c r="F1810" t="s">
        <v>41</v>
      </c>
      <c r="G1810">
        <v>-192.44739999999999</v>
      </c>
      <c r="H1810">
        <v>1.046961</v>
      </c>
      <c r="I1810">
        <v>329.33980000000003</v>
      </c>
      <c r="J1810">
        <v>-192.44560000000001</v>
      </c>
      <c r="K1810">
        <v>1.110182</v>
      </c>
      <c r="L1810">
        <v>329.87</v>
      </c>
      <c r="M1810">
        <v>5.6229359999999999E-2</v>
      </c>
      <c r="N1810">
        <v>-1.3818540000000001E-2</v>
      </c>
      <c r="O1810">
        <v>-0.9983223</v>
      </c>
      <c r="P1810">
        <v>9.886897E-2</v>
      </c>
      <c r="Q1810">
        <v>0.34167439999999999</v>
      </c>
      <c r="R1810">
        <v>-0.93460359999999998</v>
      </c>
      <c r="S1810">
        <v>4.8492430000000003E-2</v>
      </c>
      <c r="T1810">
        <v>-0.26874880000000001</v>
      </c>
      <c r="U1810">
        <v>-3.302765</v>
      </c>
      <c r="V1810">
        <v>-4.5565750000000002E-2</v>
      </c>
      <c r="W1810">
        <v>0.35468959999999999</v>
      </c>
      <c r="X1810">
        <v>0.93387319999999996</v>
      </c>
      <c r="Y1810">
        <v>4.1576849999999999E-2</v>
      </c>
      <c r="Z1810">
        <v>6.709611E-2</v>
      </c>
      <c r="AA1810">
        <v>0.99687990000000004</v>
      </c>
      <c r="AB1810">
        <v>25</v>
      </c>
      <c r="AC1810">
        <v>-1.79999999997448E-3</v>
      </c>
      <c r="AD1810">
        <v>-6.3220999999999902E-2</v>
      </c>
      <c r="AE1810">
        <v>-0.53019999999997902</v>
      </c>
      <c r="AF1810">
        <v>3.11696339092426E-2</v>
      </c>
      <c r="AG1810">
        <v>-6.3220999999999902E-2</v>
      </c>
      <c r="AH1810">
        <v>0.52184025550291202</v>
      </c>
      <c r="AI1810">
        <v>96.895554046711197</v>
      </c>
      <c r="AJ1810">
        <v>86.581771624110004</v>
      </c>
      <c r="AK1810">
        <v>0.52657923732557199</v>
      </c>
      <c r="AL1810">
        <v>69.225579240064903</v>
      </c>
      <c r="AM1810">
        <v>92.793373181337799</v>
      </c>
      <c r="AN1810">
        <v>1.0000000517997201</v>
      </c>
    </row>
    <row r="1811" spans="1:40" x14ac:dyDescent="0.25">
      <c r="A1811" t="str">
        <f>"20190304164125702"</f>
        <v>20190304164125702</v>
      </c>
      <c r="B1811" t="str">
        <f>"1551688885693233"</f>
        <v>1551688885693233</v>
      </c>
      <c r="C1811" t="s">
        <v>40</v>
      </c>
      <c r="D1811">
        <v>4.5363819999999997</v>
      </c>
      <c r="E1811">
        <v>0.54202459999999997</v>
      </c>
      <c r="F1811" t="s">
        <v>41</v>
      </c>
      <c r="G1811">
        <v>-192.43369999999999</v>
      </c>
      <c r="H1811">
        <v>1.0488189999999999</v>
      </c>
      <c r="I1811">
        <v>329.11630000000002</v>
      </c>
      <c r="J1811">
        <v>-192.4333</v>
      </c>
      <c r="K1811">
        <v>1.110188</v>
      </c>
      <c r="L1811">
        <v>329.6318</v>
      </c>
      <c r="M1811">
        <v>5.525629E-2</v>
      </c>
      <c r="N1811">
        <v>-1.382106E-2</v>
      </c>
      <c r="O1811">
        <v>-0.99837670000000001</v>
      </c>
      <c r="P1811">
        <v>9.9334779999999998E-2</v>
      </c>
      <c r="Q1811">
        <v>0.34188109999999999</v>
      </c>
      <c r="R1811">
        <v>-0.93447860000000005</v>
      </c>
      <c r="S1811">
        <v>5.2520749999999998E-2</v>
      </c>
      <c r="T1811">
        <v>-0.26889659999999999</v>
      </c>
      <c r="U1811">
        <v>-3.302673</v>
      </c>
      <c r="V1811">
        <v>-4.6951060000000003E-2</v>
      </c>
      <c r="W1811">
        <v>0.35489870000000001</v>
      </c>
      <c r="X1811">
        <v>0.93372509999999997</v>
      </c>
      <c r="Y1811">
        <v>3.9388369999999999E-2</v>
      </c>
      <c r="Z1811">
        <v>6.7149860000000006E-2</v>
      </c>
      <c r="AA1811">
        <v>0.99696510000000005</v>
      </c>
      <c r="AB1811">
        <v>25</v>
      </c>
      <c r="AC1811">
        <v>-3.9999999998485599E-4</v>
      </c>
      <c r="AD1811">
        <v>-6.1369E-2</v>
      </c>
      <c r="AE1811">
        <v>-0.51549999999997398</v>
      </c>
      <c r="AF1811">
        <v>2.8483052254957699E-2</v>
      </c>
      <c r="AG1811">
        <v>-6.1369E-2</v>
      </c>
      <c r="AH1811">
        <v>0.50749775327943503</v>
      </c>
      <c r="AI1811">
        <v>96.884265645939095</v>
      </c>
      <c r="AJ1811">
        <v>86.787673701691304</v>
      </c>
      <c r="AK1811">
        <v>0.51198770298751595</v>
      </c>
      <c r="AL1811">
        <v>69.212764494824299</v>
      </c>
      <c r="AM1811">
        <v>92.878613592460795</v>
      </c>
      <c r="AN1811">
        <v>1.0000000258334101</v>
      </c>
    </row>
    <row r="1812" spans="1:40" x14ac:dyDescent="0.25">
      <c r="A1812" t="str">
        <f>"20190304164125724"</f>
        <v>20190304164125724</v>
      </c>
      <c r="B1812" t="str">
        <f>"1551688885712752"</f>
        <v>1551688885712752</v>
      </c>
      <c r="C1812" t="s">
        <v>40</v>
      </c>
      <c r="D1812">
        <v>4.5399940000000001</v>
      </c>
      <c r="E1812">
        <v>0.54207550000000004</v>
      </c>
      <c r="F1812" t="s">
        <v>41</v>
      </c>
      <c r="G1812">
        <v>-192.41820000000001</v>
      </c>
      <c r="H1812">
        <v>1.0334570000000001</v>
      </c>
      <c r="I1812">
        <v>328.68779999999998</v>
      </c>
      <c r="J1812">
        <v>-192.42140000000001</v>
      </c>
      <c r="K1812">
        <v>1.110198</v>
      </c>
      <c r="L1812">
        <v>329.3954</v>
      </c>
      <c r="M1812">
        <v>5.4281129999999997E-2</v>
      </c>
      <c r="N1812">
        <v>-1.3822889999999999E-2</v>
      </c>
      <c r="O1812">
        <v>-0.99843009999999999</v>
      </c>
      <c r="P1812">
        <v>9.8745260000000001E-2</v>
      </c>
      <c r="Q1812">
        <v>0.34264250000000002</v>
      </c>
      <c r="R1812">
        <v>-0.93426200000000004</v>
      </c>
      <c r="S1812">
        <v>5.3237920000000001E-2</v>
      </c>
      <c r="T1812">
        <v>-0.26857419999999999</v>
      </c>
      <c r="U1812">
        <v>-3.3029480000000002</v>
      </c>
      <c r="V1812">
        <v>-4.7288179999999999E-2</v>
      </c>
      <c r="W1812">
        <v>0.35565859999999999</v>
      </c>
      <c r="X1812">
        <v>0.93341890000000005</v>
      </c>
      <c r="Y1812">
        <v>3.8198019999999999E-2</v>
      </c>
      <c r="Z1812">
        <v>6.7053100000000004E-2</v>
      </c>
      <c r="AA1812">
        <v>0.99701799999999996</v>
      </c>
      <c r="AB1812">
        <v>25</v>
      </c>
      <c r="AC1812">
        <v>3.19999999999254E-3</v>
      </c>
      <c r="AD1812">
        <v>-7.6740999999999907E-2</v>
      </c>
      <c r="AE1812">
        <v>-0.707600000000013</v>
      </c>
      <c r="AF1812">
        <v>3.4808307722539199E-2</v>
      </c>
      <c r="AG1812">
        <v>-7.6740999999999907E-2</v>
      </c>
      <c r="AH1812">
        <v>0.69851457285320095</v>
      </c>
      <c r="AI1812">
        <v>96.261842170000904</v>
      </c>
      <c r="AJ1812">
        <v>87.147202307143104</v>
      </c>
      <c r="AK1812">
        <v>0.70357899901560195</v>
      </c>
      <c r="AL1812">
        <v>69.166186749848706</v>
      </c>
      <c r="AM1812">
        <v>92.900197047144403</v>
      </c>
      <c r="AN1812">
        <v>1.00000002729944</v>
      </c>
    </row>
    <row r="1813" spans="1:40" x14ac:dyDescent="0.25">
      <c r="A1813" t="str">
        <f>"20190304164125745"</f>
        <v>20190304164125745</v>
      </c>
      <c r="B1813" t="str">
        <f>"1551688885733249"</f>
        <v>1551688885733249</v>
      </c>
      <c r="C1813" t="s">
        <v>40</v>
      </c>
      <c r="D1813">
        <v>4.5144710000000003</v>
      </c>
      <c r="E1813">
        <v>0.54209580000000002</v>
      </c>
      <c r="F1813" t="s">
        <v>41</v>
      </c>
      <c r="G1813">
        <v>-192.4074</v>
      </c>
      <c r="H1813">
        <v>1.035374</v>
      </c>
      <c r="I1813">
        <v>328.46690000000001</v>
      </c>
      <c r="J1813">
        <v>-192.40969999999999</v>
      </c>
      <c r="K1813">
        <v>1.1101939999999999</v>
      </c>
      <c r="L1813">
        <v>329.15980000000002</v>
      </c>
      <c r="M1813">
        <v>5.3303250000000003E-2</v>
      </c>
      <c r="N1813">
        <v>-1.382421E-2</v>
      </c>
      <c r="O1813">
        <v>-0.9984826</v>
      </c>
      <c r="P1813">
        <v>9.8298670000000005E-2</v>
      </c>
      <c r="Q1813">
        <v>0.34331990000000001</v>
      </c>
      <c r="R1813">
        <v>-0.93406060000000002</v>
      </c>
      <c r="S1813">
        <v>5.0415040000000001E-2</v>
      </c>
      <c r="T1813">
        <v>-0.2664802</v>
      </c>
      <c r="U1813">
        <v>-3.3034970000000001</v>
      </c>
      <c r="V1813">
        <v>-4.7769520000000003E-2</v>
      </c>
      <c r="W1813">
        <v>0.35633409999999999</v>
      </c>
      <c r="X1813">
        <v>0.93313670000000004</v>
      </c>
      <c r="Y1813">
        <v>3.8073360000000001E-2</v>
      </c>
      <c r="Z1813">
        <v>6.6418359999999996E-2</v>
      </c>
      <c r="AA1813">
        <v>0.99706519999999998</v>
      </c>
      <c r="AB1813">
        <v>25</v>
      </c>
      <c r="AC1813">
        <v>2.29999999999108E-3</v>
      </c>
      <c r="AD1813">
        <v>-7.4820000000000095E-2</v>
      </c>
      <c r="AE1813">
        <v>-0.69290000000000795</v>
      </c>
      <c r="AF1813">
        <v>3.4241378649493497E-2</v>
      </c>
      <c r="AG1813">
        <v>-7.4820000000000095E-2</v>
      </c>
      <c r="AH1813">
        <v>0.68406138454689802</v>
      </c>
      <c r="AI1813">
        <v>96.234235608473696</v>
      </c>
      <c r="AJ1813">
        <v>87.134394054771306</v>
      </c>
      <c r="AK1813">
        <v>0.68899236733075497</v>
      </c>
      <c r="AL1813">
        <v>69.124769746990594</v>
      </c>
      <c r="AM1813">
        <v>92.930551039823399</v>
      </c>
      <c r="AN1813">
        <v>1.00000000937536</v>
      </c>
    </row>
    <row r="1814" spans="1:40" x14ac:dyDescent="0.25">
      <c r="A1814" t="str">
        <f>"20190304164125768"</f>
        <v>20190304164125768</v>
      </c>
      <c r="B1814" t="str">
        <f>"1551688885762529"</f>
        <v>1551688885762529</v>
      </c>
      <c r="C1814" t="s">
        <v>40</v>
      </c>
      <c r="D1814">
        <v>4.7387129999999997</v>
      </c>
      <c r="E1814">
        <v>0.542157</v>
      </c>
      <c r="F1814" t="s">
        <v>41</v>
      </c>
      <c r="G1814">
        <v>-192.3964</v>
      </c>
      <c r="H1814">
        <v>1.0371330000000001</v>
      </c>
      <c r="I1814">
        <v>328.24650000000003</v>
      </c>
      <c r="J1814">
        <v>-192.3973</v>
      </c>
      <c r="K1814">
        <v>1.1101920000000001</v>
      </c>
      <c r="L1814">
        <v>328.904</v>
      </c>
      <c r="M1814">
        <v>5.223767E-2</v>
      </c>
      <c r="N1814">
        <v>-1.3825209999999999E-2</v>
      </c>
      <c r="O1814">
        <v>-0.99853890000000001</v>
      </c>
      <c r="P1814">
        <v>9.8606239999999998E-2</v>
      </c>
      <c r="Q1814">
        <v>0.34376869999999998</v>
      </c>
      <c r="R1814">
        <v>-0.93386290000000005</v>
      </c>
      <c r="S1814">
        <v>4.7988889999999999E-2</v>
      </c>
      <c r="T1814">
        <v>-0.26430330000000002</v>
      </c>
      <c r="U1814">
        <v>-3.303925</v>
      </c>
      <c r="V1814">
        <v>-4.9085990000000003E-2</v>
      </c>
      <c r="W1814">
        <v>0.35678320000000002</v>
      </c>
      <c r="X1814">
        <v>0.93289670000000002</v>
      </c>
      <c r="Y1814">
        <v>3.7740679999999999E-2</v>
      </c>
      <c r="Z1814">
        <v>6.5762790000000002E-2</v>
      </c>
      <c r="AA1814">
        <v>0.99712129999999999</v>
      </c>
      <c r="AB1814">
        <v>25</v>
      </c>
      <c r="AC1814">
        <v>9.0000000000145497E-4</v>
      </c>
      <c r="AD1814">
        <v>-7.3058999999999902E-2</v>
      </c>
      <c r="AE1814">
        <v>-0.65749999999997</v>
      </c>
      <c r="AF1814">
        <v>3.3042808968522297E-2</v>
      </c>
      <c r="AG1814">
        <v>-7.3058999999999902E-2</v>
      </c>
      <c r="AH1814">
        <v>0.64864050164131604</v>
      </c>
      <c r="AI1814">
        <v>96.418117844455196</v>
      </c>
      <c r="AJ1814">
        <v>87.083780035210907</v>
      </c>
      <c r="AK1814">
        <v>0.65357780338306204</v>
      </c>
      <c r="AL1814">
        <v>69.097227100898806</v>
      </c>
      <c r="AM1814">
        <v>93.011940065059093</v>
      </c>
      <c r="AN1814">
        <v>0.99999996954370396</v>
      </c>
    </row>
    <row r="1815" spans="1:40" x14ac:dyDescent="0.25">
      <c r="A1815" t="str">
        <f>"20190304164125791"</f>
        <v>20190304164125791</v>
      </c>
      <c r="B1815" t="str">
        <f>"1551688885783024"</f>
        <v>1551688885783024</v>
      </c>
      <c r="C1815" t="s">
        <v>40</v>
      </c>
      <c r="D1815">
        <v>4.5574760000000003</v>
      </c>
      <c r="E1815">
        <v>0.50701300000000005</v>
      </c>
      <c r="F1815" t="s">
        <v>41</v>
      </c>
      <c r="G1815">
        <v>-192.38489999999999</v>
      </c>
      <c r="H1815">
        <v>1.0403770000000001</v>
      </c>
      <c r="I1815">
        <v>328.02539999999999</v>
      </c>
      <c r="J1815">
        <v>-192.3853</v>
      </c>
      <c r="K1815">
        <v>1.1102030000000001</v>
      </c>
      <c r="L1815">
        <v>328.6524</v>
      </c>
      <c r="M1815">
        <v>5.1185330000000001E-2</v>
      </c>
      <c r="N1815">
        <v>-1.3825580000000001E-2</v>
      </c>
      <c r="O1815">
        <v>-0.99859370000000003</v>
      </c>
      <c r="P1815">
        <v>9.9595299999999998E-2</v>
      </c>
      <c r="Q1815">
        <v>0.34451779999999999</v>
      </c>
      <c r="R1815">
        <v>-0.93348229999999999</v>
      </c>
      <c r="S1815">
        <v>4.705811E-2</v>
      </c>
      <c r="T1815">
        <v>-0.26276339999999998</v>
      </c>
      <c r="U1815">
        <v>-3.30423</v>
      </c>
      <c r="V1815">
        <v>-5.1077789999999998E-2</v>
      </c>
      <c r="W1815">
        <v>0.35753099999999999</v>
      </c>
      <c r="X1815">
        <v>0.93250339999999998</v>
      </c>
      <c r="Y1815">
        <v>3.6969910000000002E-2</v>
      </c>
      <c r="Z1815">
        <v>6.5301699999999893E-2</v>
      </c>
      <c r="AA1815">
        <v>0.99718050000000003</v>
      </c>
      <c r="AB1815">
        <v>25</v>
      </c>
      <c r="AC1815">
        <v>4.0000000001327803E-4</v>
      </c>
      <c r="AD1815">
        <v>-6.9825999999999902E-2</v>
      </c>
      <c r="AE1815">
        <v>-0.62700000000000899</v>
      </c>
      <c r="AF1815">
        <v>3.1308492129711298E-2</v>
      </c>
      <c r="AG1815">
        <v>-6.9825999999999902E-2</v>
      </c>
      <c r="AH1815">
        <v>0.61852732441324398</v>
      </c>
      <c r="AI1815">
        <v>96.432726637922798</v>
      </c>
      <c r="AJ1815">
        <v>87.102286831496897</v>
      </c>
      <c r="AK1815">
        <v>0.62324308500074299</v>
      </c>
      <c r="AL1815">
        <v>69.051355937665093</v>
      </c>
      <c r="AM1815">
        <v>93.135238140606702</v>
      </c>
      <c r="AN1815">
        <v>0.99999997380192096</v>
      </c>
    </row>
    <row r="1816" spans="1:40" x14ac:dyDescent="0.25">
      <c r="A1816" t="str">
        <f>"20190304164125812"</f>
        <v>20190304164125812</v>
      </c>
      <c r="B1816" t="str">
        <f>"1551688885802544"</f>
        <v>1551688885802544</v>
      </c>
      <c r="C1816" t="s">
        <v>40</v>
      </c>
      <c r="D1816">
        <v>4.5277830000000003</v>
      </c>
      <c r="E1816">
        <v>0.50053479999999995</v>
      </c>
      <c r="F1816" t="s">
        <v>42</v>
      </c>
      <c r="G1816">
        <v>-190.61099999999999</v>
      </c>
      <c r="H1816" s="1">
        <v>-7.9028880000000001E-7</v>
      </c>
      <c r="I1816">
        <v>310.91950000000003</v>
      </c>
      <c r="J1816">
        <v>-192.37469999999999</v>
      </c>
      <c r="K1816">
        <v>1.1102099999999999</v>
      </c>
      <c r="L1816">
        <v>328.42329999999998</v>
      </c>
      <c r="M1816">
        <v>5.0220140000000003E-2</v>
      </c>
      <c r="N1816">
        <v>-1.382559E-2</v>
      </c>
      <c r="O1816">
        <v>-0.99864260000000005</v>
      </c>
      <c r="P1816">
        <v>0.10059410000000001</v>
      </c>
      <c r="Q1816">
        <v>0.34581040000000002</v>
      </c>
      <c r="R1816">
        <v>-0.93289690000000003</v>
      </c>
      <c r="S1816">
        <v>0.32560729999999999</v>
      </c>
      <c r="T1816">
        <v>-0.20373830000000001</v>
      </c>
      <c r="U1816">
        <v>-3.2542420000000001</v>
      </c>
      <c r="V1816">
        <v>-5.3004299999999997E-2</v>
      </c>
      <c r="W1816">
        <v>0.358819</v>
      </c>
      <c r="X1816">
        <v>0.93190099999999998</v>
      </c>
      <c r="Y1816">
        <v>-4.9315360000000003E-2</v>
      </c>
      <c r="Z1816">
        <v>4.8403939999999999E-2</v>
      </c>
      <c r="AA1816">
        <v>0.99760970000000004</v>
      </c>
      <c r="AB1816">
        <v>25</v>
      </c>
      <c r="AC1816">
        <v>1.7637</v>
      </c>
      <c r="AD1816">
        <v>-1.1102107902888001</v>
      </c>
      <c r="AE1816">
        <v>-17.503799999999899</v>
      </c>
      <c r="AF1816">
        <v>-0.87884685425720199</v>
      </c>
      <c r="AG1816">
        <v>-1.1102107902888001</v>
      </c>
      <c r="AH1816">
        <v>17.500594068477302</v>
      </c>
      <c r="AI1816">
        <v>93.6253357729545</v>
      </c>
      <c r="AJ1816">
        <v>92.874871023094798</v>
      </c>
      <c r="AK1816">
        <v>17.557782677255499</v>
      </c>
      <c r="AL1816">
        <v>68.972315571821596</v>
      </c>
      <c r="AM1816">
        <v>93.255339515683005</v>
      </c>
      <c r="AN1816">
        <v>1.00000000219024</v>
      </c>
    </row>
    <row r="1817" spans="1:40" x14ac:dyDescent="0.25">
      <c r="A1817" t="str">
        <f>"20190304164125834"</f>
        <v>20190304164125834</v>
      </c>
      <c r="B1817" t="str">
        <f>"1551688885823040"</f>
        <v>1551688885823040</v>
      </c>
      <c r="C1817" t="s">
        <v>40</v>
      </c>
      <c r="D1817">
        <v>4.5266999999999999</v>
      </c>
      <c r="E1817">
        <v>0.49782929999999997</v>
      </c>
      <c r="F1817" t="s">
        <v>42</v>
      </c>
      <c r="G1817">
        <v>-190.13200000000001</v>
      </c>
      <c r="H1817" s="1">
        <v>-4.210717E-6</v>
      </c>
      <c r="I1817">
        <v>309.32249999999999</v>
      </c>
      <c r="J1817">
        <v>-192.36359999999999</v>
      </c>
      <c r="K1817">
        <v>1.110212</v>
      </c>
      <c r="L1817">
        <v>328.17989999999998</v>
      </c>
      <c r="M1817">
        <v>4.9184520000000002E-2</v>
      </c>
      <c r="N1817">
        <v>-1.3825280000000001E-2</v>
      </c>
      <c r="O1817">
        <v>-0.99869410000000003</v>
      </c>
      <c r="P1817">
        <v>0.1019357</v>
      </c>
      <c r="Q1817">
        <v>0.34762890000000002</v>
      </c>
      <c r="R1817">
        <v>-0.93207479999999998</v>
      </c>
      <c r="S1817">
        <v>0.38095089999999998</v>
      </c>
      <c r="T1817">
        <v>-0.1885887</v>
      </c>
      <c r="U1817">
        <v>-3.2445979999999999</v>
      </c>
      <c r="V1817">
        <v>-5.5346689999999997E-2</v>
      </c>
      <c r="W1817">
        <v>0.36063119999999999</v>
      </c>
      <c r="X1817">
        <v>0.93106489999999997</v>
      </c>
      <c r="Y1817">
        <v>-6.7469290000000001E-2</v>
      </c>
      <c r="Z1817">
        <v>4.3889440000000002E-2</v>
      </c>
      <c r="AA1817">
        <v>0.99675550000000002</v>
      </c>
      <c r="AB1817">
        <v>24</v>
      </c>
      <c r="AC1817">
        <v>2.2315999999999798</v>
      </c>
      <c r="AD1817">
        <v>-1.1102162107169999</v>
      </c>
      <c r="AE1817">
        <v>-18.857399999999899</v>
      </c>
      <c r="AF1817">
        <v>-1.2968846978350801</v>
      </c>
      <c r="AG1817">
        <v>-1.1102162107169999</v>
      </c>
      <c r="AH1817">
        <v>18.8798063017868</v>
      </c>
      <c r="AI1817">
        <v>93.357476299138099</v>
      </c>
      <c r="AJ1817">
        <v>93.929567724463496</v>
      </c>
      <c r="AK1817">
        <v>18.956834544485702</v>
      </c>
      <c r="AL1817">
        <v>68.861034398266199</v>
      </c>
      <c r="AM1817">
        <v>93.4019158324909</v>
      </c>
      <c r="AN1817">
        <v>0.99999998325970196</v>
      </c>
    </row>
    <row r="1818" spans="1:40" x14ac:dyDescent="0.25">
      <c r="A1818" t="str">
        <f>"20190304164125860"</f>
        <v>20190304164125860</v>
      </c>
      <c r="B1818" t="str">
        <f>"1551688885853297"</f>
        <v>1551688885853297</v>
      </c>
      <c r="C1818" t="s">
        <v>40</v>
      </c>
      <c r="D1818">
        <v>4.489725</v>
      </c>
      <c r="E1818">
        <v>0.4963689</v>
      </c>
      <c r="F1818" t="s">
        <v>42</v>
      </c>
      <c r="G1818">
        <v>-189.989</v>
      </c>
      <c r="H1818" s="1">
        <v>-4.1447479999999999E-6</v>
      </c>
      <c r="I1818">
        <v>309.25740000000002</v>
      </c>
      <c r="J1818">
        <v>-192.35169999999999</v>
      </c>
      <c r="K1818">
        <v>1.1102080000000001</v>
      </c>
      <c r="L1818">
        <v>327.91160000000002</v>
      </c>
      <c r="M1818">
        <v>4.802915E-2</v>
      </c>
      <c r="N1818">
        <v>-1.382471E-2</v>
      </c>
      <c r="O1818">
        <v>-0.99875040000000004</v>
      </c>
      <c r="P1818">
        <v>0.1040903</v>
      </c>
      <c r="Q1818">
        <v>0.34826319999999999</v>
      </c>
      <c r="R1818">
        <v>-0.93159959999999997</v>
      </c>
      <c r="S1818">
        <v>0.40722659999999999</v>
      </c>
      <c r="T1818">
        <v>-0.1903965</v>
      </c>
      <c r="U1818">
        <v>-3.245117</v>
      </c>
      <c r="V1818">
        <v>-5.859495E-2</v>
      </c>
      <c r="W1818">
        <v>0.36126570000000002</v>
      </c>
      <c r="X1818">
        <v>0.93062009999999995</v>
      </c>
      <c r="Y1818">
        <v>-7.6548019999999994E-2</v>
      </c>
      <c r="Z1818">
        <v>4.4391310000000003E-2</v>
      </c>
      <c r="AA1818">
        <v>0.9960772</v>
      </c>
      <c r="AB1818">
        <v>24</v>
      </c>
      <c r="AC1818">
        <v>2.3626999999999798</v>
      </c>
      <c r="AD1818">
        <v>-1.110212144748</v>
      </c>
      <c r="AE1818">
        <v>-18.654199999999999</v>
      </c>
      <c r="AF1818">
        <v>-1.45885609418692</v>
      </c>
      <c r="AG1818">
        <v>-1.110212144748</v>
      </c>
      <c r="AH1818">
        <v>18.681032010111402</v>
      </c>
      <c r="AI1818">
        <v>93.390783522542606</v>
      </c>
      <c r="AJ1818">
        <v>94.465331414614695</v>
      </c>
      <c r="AK1818">
        <v>18.770769538639101</v>
      </c>
      <c r="AL1818">
        <v>68.8220531421332</v>
      </c>
      <c r="AM1818">
        <v>93.602777753713198</v>
      </c>
      <c r="AN1818">
        <v>1.0000000223429999</v>
      </c>
    </row>
    <row r="1819" spans="1:40" x14ac:dyDescent="0.25">
      <c r="A1819" t="str">
        <f>"20190304164125881"</f>
        <v>20190304164125881</v>
      </c>
      <c r="B1819" t="str">
        <f>"1551688885872818"</f>
        <v>1551688885872818</v>
      </c>
      <c r="C1819" t="s">
        <v>40</v>
      </c>
      <c r="D1819">
        <v>4.4807290000000002</v>
      </c>
      <c r="E1819">
        <v>0.49594250000000001</v>
      </c>
      <c r="F1819" t="s">
        <v>42</v>
      </c>
      <c r="G1819">
        <v>-189.904</v>
      </c>
      <c r="H1819" s="1">
        <v>-4.150803E-6</v>
      </c>
      <c r="I1819">
        <v>309.26870000000002</v>
      </c>
      <c r="J1819">
        <v>-192.34119999999999</v>
      </c>
      <c r="K1819">
        <v>1.110204</v>
      </c>
      <c r="L1819">
        <v>327.66800000000001</v>
      </c>
      <c r="M1819">
        <v>4.6966239999999999E-2</v>
      </c>
      <c r="N1819">
        <v>-1.382389E-2</v>
      </c>
      <c r="O1819">
        <v>-0.99880100000000005</v>
      </c>
      <c r="P1819">
        <v>0.1062617</v>
      </c>
      <c r="Q1819">
        <v>0.3490105</v>
      </c>
      <c r="R1819">
        <v>-0.93107490000000004</v>
      </c>
      <c r="S1819">
        <v>0.42604059999999999</v>
      </c>
      <c r="T1819">
        <v>-0.19324060000000001</v>
      </c>
      <c r="U1819">
        <v>-3.2449340000000002</v>
      </c>
      <c r="V1819">
        <v>-6.1775330000000003E-2</v>
      </c>
      <c r="W1819">
        <v>0.3620121</v>
      </c>
      <c r="X1819">
        <v>0.93012419999999996</v>
      </c>
      <c r="Y1819">
        <v>-8.3287100000000003E-2</v>
      </c>
      <c r="Z1819">
        <v>4.522955E-2</v>
      </c>
      <c r="AA1819">
        <v>0.99549869999999996</v>
      </c>
      <c r="AB1819">
        <v>24</v>
      </c>
      <c r="AC1819">
        <v>2.4371999999999598</v>
      </c>
      <c r="AD1819">
        <v>-1.1102081508029999</v>
      </c>
      <c r="AE1819">
        <v>-18.399299999999901</v>
      </c>
      <c r="AF1819">
        <v>-1.5646830302286201</v>
      </c>
      <c r="AG1819">
        <v>-1.1102081508029999</v>
      </c>
      <c r="AH1819">
        <v>18.427533608993201</v>
      </c>
      <c r="AI1819">
        <v>93.435413317808994</v>
      </c>
      <c r="AJ1819">
        <v>94.853346803977303</v>
      </c>
      <c r="AK1819">
        <v>18.527136584852201</v>
      </c>
      <c r="AL1819">
        <v>68.776182273234895</v>
      </c>
      <c r="AM1819">
        <v>93.799788339327307</v>
      </c>
      <c r="AN1819">
        <v>0.99999998968432902</v>
      </c>
    </row>
    <row r="1820" spans="1:40" x14ac:dyDescent="0.25">
      <c r="A1820" t="str">
        <f>"20190304164125902"</f>
        <v>20190304164125902</v>
      </c>
      <c r="B1820" t="str">
        <f>"1551688885892336"</f>
        <v>1551688885892336</v>
      </c>
      <c r="C1820" t="s">
        <v>40</v>
      </c>
      <c r="D1820">
        <v>4.4551230000000004</v>
      </c>
      <c r="E1820">
        <v>0.49580010000000002</v>
      </c>
      <c r="F1820" t="s">
        <v>42</v>
      </c>
      <c r="G1820">
        <v>-189.83879999999999</v>
      </c>
      <c r="H1820" s="1">
        <v>-4.10067799999999E-6</v>
      </c>
      <c r="I1820">
        <v>309.12490000000003</v>
      </c>
      <c r="J1820">
        <v>-192.33179999999999</v>
      </c>
      <c r="K1820">
        <v>1.1102080000000001</v>
      </c>
      <c r="L1820">
        <v>327.44380000000001</v>
      </c>
      <c r="M1820">
        <v>4.5976910000000003E-2</v>
      </c>
      <c r="N1820">
        <v>-1.3822799999999901E-2</v>
      </c>
      <c r="O1820">
        <v>-0.99884689999999998</v>
      </c>
      <c r="P1820">
        <v>0.10787289999999999</v>
      </c>
      <c r="Q1820">
        <v>0.349433099999999</v>
      </c>
      <c r="R1820">
        <v>-0.93073090000000003</v>
      </c>
      <c r="S1820">
        <v>0.43791200000000002</v>
      </c>
      <c r="T1820">
        <v>-0.19428190000000001</v>
      </c>
      <c r="U1820">
        <v>-3.2449650000000001</v>
      </c>
      <c r="V1820">
        <v>-6.4319749999999995E-2</v>
      </c>
      <c r="W1820">
        <v>0.3624348</v>
      </c>
      <c r="X1820">
        <v>0.92978700000000003</v>
      </c>
      <c r="Y1820">
        <v>-8.7846270000000004E-2</v>
      </c>
      <c r="Z1820">
        <v>4.5525589999999998E-2</v>
      </c>
      <c r="AA1820">
        <v>0.99509320000000001</v>
      </c>
      <c r="AB1820">
        <v>24</v>
      </c>
      <c r="AC1820">
        <v>2.4929999999999901</v>
      </c>
      <c r="AD1820">
        <v>-1.1102121006779999</v>
      </c>
      <c r="AE1820">
        <v>-18.3188999999999</v>
      </c>
      <c r="AF1820">
        <v>-1.6421145878871399</v>
      </c>
      <c r="AG1820">
        <v>-1.1102121006779999</v>
      </c>
      <c r="AH1820">
        <v>18.347989937414699</v>
      </c>
      <c r="AI1820">
        <v>93.4489166288853</v>
      </c>
      <c r="AJ1820">
        <v>95.114251063284797</v>
      </c>
      <c r="AK1820">
        <v>18.454751311565101</v>
      </c>
      <c r="AL1820">
        <v>68.750197737014503</v>
      </c>
      <c r="AM1820">
        <v>93.957238079942002</v>
      </c>
      <c r="AN1820">
        <v>0.99999993993004899</v>
      </c>
    </row>
    <row r="1821" spans="1:40" x14ac:dyDescent="0.25">
      <c r="A1821" t="str">
        <f>"20190304164125925"</f>
        <v>20190304164125925</v>
      </c>
      <c r="B1821" t="str">
        <f>"1551688885912833"</f>
        <v>1551688885912833</v>
      </c>
      <c r="C1821" t="s">
        <v>40</v>
      </c>
      <c r="D1821">
        <v>4.4418119999999996</v>
      </c>
      <c r="E1821">
        <v>0.49569039999999998</v>
      </c>
      <c r="F1821" t="s">
        <v>42</v>
      </c>
      <c r="G1821">
        <v>-189.7997</v>
      </c>
      <c r="H1821" s="1">
        <v>-4.0587090000000002E-6</v>
      </c>
      <c r="I1821">
        <v>309.01089999999999</v>
      </c>
      <c r="J1821">
        <v>-192.32169999999999</v>
      </c>
      <c r="K1821">
        <v>1.1102030000000001</v>
      </c>
      <c r="L1821">
        <v>327.19659999999999</v>
      </c>
      <c r="M1821">
        <v>4.4877180000000003E-2</v>
      </c>
      <c r="N1821">
        <v>-1.3821490000000001E-2</v>
      </c>
      <c r="O1821">
        <v>-0.99889700000000003</v>
      </c>
      <c r="P1821">
        <v>0.109294</v>
      </c>
      <c r="Q1821">
        <v>0.34998309999999999</v>
      </c>
      <c r="R1821">
        <v>-0.93035849999999998</v>
      </c>
      <c r="S1821">
        <v>0.44575500000000001</v>
      </c>
      <c r="T1821">
        <v>-0.1954465</v>
      </c>
      <c r="U1821">
        <v>-3.2449949999999999</v>
      </c>
      <c r="V1821">
        <v>-6.6780370000000006E-2</v>
      </c>
      <c r="W1821">
        <v>0.36298320000000001</v>
      </c>
      <c r="X1821">
        <v>0.92939959999999999</v>
      </c>
      <c r="Y1821">
        <v>-9.1298459999999998E-2</v>
      </c>
      <c r="Z1821">
        <v>4.5865969999999999E-2</v>
      </c>
      <c r="AA1821">
        <v>0.99476679999999995</v>
      </c>
      <c r="AB1821">
        <v>24</v>
      </c>
      <c r="AC1821">
        <v>2.52199999999999</v>
      </c>
      <c r="AD1821">
        <v>-1.110207058709</v>
      </c>
      <c r="AE1821">
        <v>-18.185700000000001</v>
      </c>
      <c r="AF1821">
        <v>-1.69705241560493</v>
      </c>
      <c r="AG1821">
        <v>-1.110207058709</v>
      </c>
      <c r="AH1821">
        <v>18.213964900373799</v>
      </c>
      <c r="AI1821">
        <v>93.473063930571399</v>
      </c>
      <c r="AJ1821">
        <v>95.323059964047403</v>
      </c>
      <c r="AK1821">
        <v>18.326512598052201</v>
      </c>
      <c r="AL1821">
        <v>68.716482442157499</v>
      </c>
      <c r="AM1821">
        <v>94.109824099316299</v>
      </c>
      <c r="AN1821">
        <v>1.0000000188898599</v>
      </c>
    </row>
    <row r="1822" spans="1:40" x14ac:dyDescent="0.25">
      <c r="A1822" t="str">
        <f>"20190304164125946"</f>
        <v>20190304164125946</v>
      </c>
      <c r="B1822" t="str">
        <f>"1551688885932352"</f>
        <v>1551688885932352</v>
      </c>
      <c r="C1822" t="s">
        <v>40</v>
      </c>
      <c r="D1822">
        <v>4.4163110000000003</v>
      </c>
      <c r="E1822">
        <v>0.49568509999999999</v>
      </c>
      <c r="F1822" t="s">
        <v>42</v>
      </c>
      <c r="G1822">
        <v>-189.77340000000001</v>
      </c>
      <c r="H1822" s="1">
        <v>-4.0222129999999999E-6</v>
      </c>
      <c r="I1822">
        <v>308.91500000000002</v>
      </c>
      <c r="J1822">
        <v>-192.31229999999999</v>
      </c>
      <c r="K1822">
        <v>1.110214</v>
      </c>
      <c r="L1822">
        <v>326.96030000000002</v>
      </c>
      <c r="M1822">
        <v>4.3819139999999999E-2</v>
      </c>
      <c r="N1822">
        <v>-1.382011E-2</v>
      </c>
      <c r="O1822">
        <v>-0.99894419999999995</v>
      </c>
      <c r="P1822">
        <v>0.1105053</v>
      </c>
      <c r="Q1822">
        <v>0.35064879999999998</v>
      </c>
      <c r="R1822">
        <v>-0.92996480000000004</v>
      </c>
      <c r="S1822">
        <v>0.45240780000000003</v>
      </c>
      <c r="T1822">
        <v>-0.197099</v>
      </c>
      <c r="U1822">
        <v>-3.2456049999999999</v>
      </c>
      <c r="V1822">
        <v>-6.8995059999999997E-2</v>
      </c>
      <c r="W1822">
        <v>0.36364600000000002</v>
      </c>
      <c r="X1822">
        <v>0.92897859999999999</v>
      </c>
      <c r="Y1822">
        <v>-9.4323450000000003E-2</v>
      </c>
      <c r="Z1822">
        <v>4.6345820000000003E-2</v>
      </c>
      <c r="AA1822">
        <v>0.99446230000000002</v>
      </c>
      <c r="AB1822">
        <v>24</v>
      </c>
      <c r="AC1822">
        <v>2.53889999999998</v>
      </c>
      <c r="AD1822">
        <v>-1.110218022213</v>
      </c>
      <c r="AE1822">
        <v>-18.045300000000001</v>
      </c>
      <c r="AF1822">
        <v>-1.73920064166789</v>
      </c>
      <c r="AG1822">
        <v>-1.110218022213</v>
      </c>
      <c r="AH1822">
        <v>18.072148066220301</v>
      </c>
      <c r="AI1822">
        <v>93.4992811325357</v>
      </c>
      <c r="AJ1822">
        <v>95.497017997805997</v>
      </c>
      <c r="AK1822">
        <v>18.189555757527899</v>
      </c>
      <c r="AL1822">
        <v>68.675720711101107</v>
      </c>
      <c r="AM1822">
        <v>94.247548028384898</v>
      </c>
      <c r="AN1822">
        <v>0.99999998543918101</v>
      </c>
    </row>
    <row r="1823" spans="1:40" x14ac:dyDescent="0.25">
      <c r="A1823" t="str">
        <f>"20190304164125970"</f>
        <v>20190304164125970</v>
      </c>
      <c r="B1823" t="str">
        <f>"1551688885962609"</f>
        <v>1551688885962609</v>
      </c>
      <c r="C1823" t="s">
        <v>40</v>
      </c>
      <c r="D1823">
        <v>4.4358040000000001</v>
      </c>
      <c r="E1823">
        <v>0.49574259999999898</v>
      </c>
      <c r="F1823" t="s">
        <v>42</v>
      </c>
      <c r="G1823">
        <v>-189.76349999999999</v>
      </c>
      <c r="H1823" s="1">
        <v>-3.9703480000000004E-6</v>
      </c>
      <c r="I1823">
        <v>308.79000000000002</v>
      </c>
      <c r="J1823">
        <v>-192.30260000000001</v>
      </c>
      <c r="K1823">
        <v>1.110214</v>
      </c>
      <c r="L1823">
        <v>326.70870000000002</v>
      </c>
      <c r="M1823">
        <v>4.2689989999999997E-2</v>
      </c>
      <c r="N1823">
        <v>-1.3818260000000001E-2</v>
      </c>
      <c r="O1823">
        <v>-0.99899300000000002</v>
      </c>
      <c r="P1823">
        <v>0.1121809</v>
      </c>
      <c r="Q1823">
        <v>0.35088429999999998</v>
      </c>
      <c r="R1823">
        <v>-0.92967549999999999</v>
      </c>
      <c r="S1823">
        <v>0.45541379999999998</v>
      </c>
      <c r="T1823">
        <v>-0.19836999999999999</v>
      </c>
      <c r="U1823">
        <v>-3.246613</v>
      </c>
      <c r="V1823">
        <v>-7.1737690000000007E-2</v>
      </c>
      <c r="W1823">
        <v>0.36388009999999998</v>
      </c>
      <c r="X1823">
        <v>0.92867920000000004</v>
      </c>
      <c r="Y1823">
        <v>-9.6305849999999998E-2</v>
      </c>
      <c r="Z1823">
        <v>4.6709590000000002E-2</v>
      </c>
      <c r="AA1823">
        <v>0.99425520000000001</v>
      </c>
      <c r="AB1823">
        <v>24</v>
      </c>
      <c r="AC1823">
        <v>2.5391000000000101</v>
      </c>
      <c r="AD1823">
        <v>-1.110217970348</v>
      </c>
      <c r="AE1823">
        <v>-17.918700000000001</v>
      </c>
      <c r="AF1823">
        <v>-1.7651201274758399</v>
      </c>
      <c r="AG1823">
        <v>-1.110217970348</v>
      </c>
      <c r="AH1823">
        <v>17.943240170816601</v>
      </c>
      <c r="AI1823">
        <v>93.523633671258395</v>
      </c>
      <c r="AJ1823">
        <v>95.618248708392898</v>
      </c>
      <c r="AK1823">
        <v>18.064000133794099</v>
      </c>
      <c r="AL1823">
        <v>68.661322505681099</v>
      </c>
      <c r="AM1823">
        <v>94.417155630130907</v>
      </c>
      <c r="AN1823">
        <v>1.0000000399275899</v>
      </c>
    </row>
    <row r="1824" spans="1:40" x14ac:dyDescent="0.25">
      <c r="A1824" t="str">
        <f>"20190304164125991"</f>
        <v>20190304164125991</v>
      </c>
      <c r="B1824" t="str">
        <f>"1551688885983104"</f>
        <v>1551688885983104</v>
      </c>
      <c r="C1824" t="s">
        <v>40</v>
      </c>
      <c r="D1824">
        <v>4.3998619999999997</v>
      </c>
      <c r="E1824">
        <v>0.4959093</v>
      </c>
      <c r="F1824" t="s">
        <v>42</v>
      </c>
      <c r="G1824">
        <v>-189.75450000000001</v>
      </c>
      <c r="H1824" s="1">
        <v>-3.9396579999999998E-6</v>
      </c>
      <c r="I1824">
        <v>308.71469999999999</v>
      </c>
      <c r="J1824">
        <v>-192.2938</v>
      </c>
      <c r="K1824">
        <v>1.1102080000000001</v>
      </c>
      <c r="L1824">
        <v>326.47430000000003</v>
      </c>
      <c r="M1824">
        <v>4.163762E-2</v>
      </c>
      <c r="N1824">
        <v>-1.3816510000000001E-2</v>
      </c>
      <c r="O1824">
        <v>-0.99903739999999996</v>
      </c>
      <c r="P1824">
        <v>0.11416220000000001</v>
      </c>
      <c r="Q1824">
        <v>0.35074359999999999</v>
      </c>
      <c r="R1824">
        <v>-0.9294869</v>
      </c>
      <c r="S1824">
        <v>0.4598083</v>
      </c>
      <c r="T1824">
        <v>-0.20034440000000001</v>
      </c>
      <c r="U1824">
        <v>-3.2471009999999998</v>
      </c>
      <c r="V1824">
        <v>-7.471042E-2</v>
      </c>
      <c r="W1824">
        <v>0.36374010000000001</v>
      </c>
      <c r="X1824">
        <v>0.92849959999999998</v>
      </c>
      <c r="Y1824">
        <v>-9.8647470000000001E-2</v>
      </c>
      <c r="Z1824">
        <v>4.7293019999999998E-2</v>
      </c>
      <c r="AA1824">
        <v>0.99399800000000005</v>
      </c>
      <c r="AB1824">
        <v>24</v>
      </c>
      <c r="AC1824">
        <v>2.5392999999999901</v>
      </c>
      <c r="AD1824">
        <v>-1.1102119396579999</v>
      </c>
      <c r="AE1824">
        <v>-17.759599999999999</v>
      </c>
      <c r="AF1824">
        <v>-1.79070177543539</v>
      </c>
      <c r="AG1824">
        <v>-1.1102119396579999</v>
      </c>
      <c r="AH1824">
        <v>17.781838251097199</v>
      </c>
      <c r="AI1824">
        <v>93.554701121698201</v>
      </c>
      <c r="AJ1824">
        <v>95.750525728244398</v>
      </c>
      <c r="AK1824">
        <v>17.906226709937801</v>
      </c>
      <c r="AL1824">
        <v>68.669933303381796</v>
      </c>
      <c r="AM1824">
        <v>94.600313665585801</v>
      </c>
      <c r="AN1824">
        <v>1.00000000720237</v>
      </c>
    </row>
    <row r="1825" spans="1:40" x14ac:dyDescent="0.25">
      <c r="A1825" t="str">
        <f>"20190304164126013"</f>
        <v>20190304164126013</v>
      </c>
      <c r="B1825" t="str">
        <f>"1551688886002624"</f>
        <v>1551688886002624</v>
      </c>
      <c r="C1825" t="s">
        <v>40</v>
      </c>
      <c r="D1825">
        <v>4.3833960000000003</v>
      </c>
      <c r="E1825">
        <v>0.49605749999999998</v>
      </c>
      <c r="F1825" t="s">
        <v>42</v>
      </c>
      <c r="G1825">
        <v>-189.7628</v>
      </c>
      <c r="H1825" s="1">
        <v>-3.9671999999999999E-6</v>
      </c>
      <c r="I1825">
        <v>308.78230000000002</v>
      </c>
      <c r="J1825">
        <v>-192.2852</v>
      </c>
      <c r="K1825">
        <v>1.1102110000000001</v>
      </c>
      <c r="L1825">
        <v>326.24029999999999</v>
      </c>
      <c r="M1825">
        <v>4.0588590000000001E-2</v>
      </c>
      <c r="N1825">
        <v>-1.3814669999999999E-2</v>
      </c>
      <c r="O1825">
        <v>-0.99908070000000004</v>
      </c>
      <c r="P1825">
        <v>0.116674</v>
      </c>
      <c r="Q1825">
        <v>0.34992990000000002</v>
      </c>
      <c r="R1825">
        <v>-0.92948209999999998</v>
      </c>
      <c r="S1825">
        <v>0.46456910000000001</v>
      </c>
      <c r="T1825">
        <v>-0.20378479999999999</v>
      </c>
      <c r="U1825">
        <v>-3.2474370000000001</v>
      </c>
      <c r="V1825">
        <v>-7.8203930000000005E-2</v>
      </c>
      <c r="W1825">
        <v>0.36293120000000001</v>
      </c>
      <c r="X1825">
        <v>0.92852849999999998</v>
      </c>
      <c r="Y1825">
        <v>-0.1010971</v>
      </c>
      <c r="Z1825">
        <v>4.8323039999999998E-2</v>
      </c>
      <c r="AA1825">
        <v>0.99370230000000004</v>
      </c>
      <c r="AB1825">
        <v>24</v>
      </c>
      <c r="AC1825">
        <v>2.5224000000000002</v>
      </c>
      <c r="AD1825">
        <v>-1.1102149671999999</v>
      </c>
      <c r="AE1825">
        <v>-17.457999999999899</v>
      </c>
      <c r="AF1825">
        <v>-1.8045095159761</v>
      </c>
      <c r="AG1825">
        <v>-1.1102149671999999</v>
      </c>
      <c r="AH1825">
        <v>17.476768235241199</v>
      </c>
      <c r="AI1825">
        <v>93.615670187868801</v>
      </c>
      <c r="AJ1825">
        <v>95.895008482672793</v>
      </c>
      <c r="AK1825">
        <v>17.604722656576602</v>
      </c>
      <c r="AL1825">
        <v>68.719680405596094</v>
      </c>
      <c r="AM1825">
        <v>94.814289601438006</v>
      </c>
      <c r="AN1825">
        <v>1.0000000429565601</v>
      </c>
    </row>
    <row r="1826" spans="1:40" x14ac:dyDescent="0.25">
      <c r="A1826" t="str">
        <f>"20190304164126035"</f>
        <v>20190304164126035</v>
      </c>
      <c r="B1826" t="str">
        <f>"1551688886023121"</f>
        <v>1551688886023121</v>
      </c>
      <c r="C1826" t="s">
        <v>40</v>
      </c>
      <c r="D1826">
        <v>4.4052499999999997</v>
      </c>
      <c r="E1826">
        <v>0.49623929999999999</v>
      </c>
      <c r="F1826" t="s">
        <v>42</v>
      </c>
      <c r="G1826">
        <v>-189.77260000000001</v>
      </c>
      <c r="H1826" s="1">
        <v>-4.0293079999999999E-6</v>
      </c>
      <c r="I1826">
        <v>308.93119999999999</v>
      </c>
      <c r="J1826">
        <v>-192.27670000000001</v>
      </c>
      <c r="K1826">
        <v>1.110214</v>
      </c>
      <c r="L1826">
        <v>325.99950000000001</v>
      </c>
      <c r="M1826">
        <v>3.9510900000000002E-2</v>
      </c>
      <c r="N1826">
        <v>-1.3812690000000001E-2</v>
      </c>
      <c r="O1826">
        <v>-0.99912389999999995</v>
      </c>
      <c r="P1826">
        <v>0.1199726</v>
      </c>
      <c r="Q1826">
        <v>0.34922930000000002</v>
      </c>
      <c r="R1826">
        <v>-0.92932550000000003</v>
      </c>
      <c r="S1826">
        <v>0.4713135</v>
      </c>
      <c r="T1826">
        <v>-0.20825089999999999</v>
      </c>
      <c r="U1826">
        <v>-3.2467959999999998</v>
      </c>
      <c r="V1826">
        <v>-8.2516510000000001E-2</v>
      </c>
      <c r="W1826">
        <v>0.36223440000000001</v>
      </c>
      <c r="X1826">
        <v>0.92842729999999996</v>
      </c>
      <c r="Y1826">
        <v>-0.1042072</v>
      </c>
      <c r="Z1826">
        <v>4.9677510000000001E-2</v>
      </c>
      <c r="AA1826">
        <v>0.99331409999999998</v>
      </c>
      <c r="AB1826">
        <v>24</v>
      </c>
      <c r="AC1826">
        <v>2.50409999999999</v>
      </c>
      <c r="AD1826">
        <v>-1.110218029308</v>
      </c>
      <c r="AE1826">
        <v>-17.068300000000001</v>
      </c>
      <c r="AF1826">
        <v>-1.8201574972987999</v>
      </c>
      <c r="AG1826">
        <v>-1.110218029308</v>
      </c>
      <c r="AH1826">
        <v>17.0831633894209</v>
      </c>
      <c r="AI1826">
        <v>93.6974977977343</v>
      </c>
      <c r="AJ1826">
        <v>96.081741138228793</v>
      </c>
      <c r="AK1826">
        <v>17.215691353449198</v>
      </c>
      <c r="AL1826">
        <v>68.762518109999604</v>
      </c>
      <c r="AM1826">
        <v>95.078973459522004</v>
      </c>
      <c r="AN1826">
        <v>0.99999999317561405</v>
      </c>
    </row>
    <row r="1827" spans="1:40" x14ac:dyDescent="0.25">
      <c r="A1827" t="str">
        <f>"20190304164126059"</f>
        <v>20190304164126059</v>
      </c>
      <c r="B1827" t="str">
        <f>"1551688886052401"</f>
        <v>1551688886052401</v>
      </c>
      <c r="C1827" t="s">
        <v>40</v>
      </c>
      <c r="D1827">
        <v>4.5125539999999997</v>
      </c>
      <c r="E1827">
        <v>0.46533950000000002</v>
      </c>
      <c r="F1827" t="s">
        <v>42</v>
      </c>
      <c r="G1827">
        <v>-189.74870000000001</v>
      </c>
      <c r="H1827" s="1">
        <v>-4.0497639999999996E-6</v>
      </c>
      <c r="I1827">
        <v>308.96899999999999</v>
      </c>
      <c r="J1827">
        <v>-192.2681</v>
      </c>
      <c r="K1827">
        <v>1.1102240000000001</v>
      </c>
      <c r="L1827">
        <v>325.75009999999997</v>
      </c>
      <c r="M1827">
        <v>3.8397279999999999E-2</v>
      </c>
      <c r="N1827">
        <v>-1.381055E-2</v>
      </c>
      <c r="O1827">
        <v>-0.99916700000000003</v>
      </c>
      <c r="P1827">
        <v>0.12254</v>
      </c>
      <c r="Q1827">
        <v>0.35005500000000001</v>
      </c>
      <c r="R1827">
        <v>-0.92867920000000004</v>
      </c>
      <c r="S1827">
        <v>0.48175050000000003</v>
      </c>
      <c r="T1827">
        <v>-0.21157129999999999</v>
      </c>
      <c r="U1827">
        <v>-3.2454529999999999</v>
      </c>
      <c r="V1827">
        <v>-8.6148420000000003E-2</v>
      </c>
      <c r="W1827">
        <v>0.36305520000000002</v>
      </c>
      <c r="X1827">
        <v>0.92777659999999995</v>
      </c>
      <c r="Y1827">
        <v>-0.10848969999999999</v>
      </c>
      <c r="Z1827">
        <v>5.0688089999999998E-2</v>
      </c>
      <c r="AA1827">
        <v>0.99280449999999998</v>
      </c>
      <c r="AB1827">
        <v>24</v>
      </c>
      <c r="AC1827">
        <v>2.5193999999999899</v>
      </c>
      <c r="AD1827">
        <v>-1.11022804976399</v>
      </c>
      <c r="AE1827">
        <v>-16.781099999999899</v>
      </c>
      <c r="AF1827">
        <v>-1.86514766950197</v>
      </c>
      <c r="AG1827">
        <v>-1.11022804976399</v>
      </c>
      <c r="AH1827">
        <v>16.793583419492698</v>
      </c>
      <c r="AI1827">
        <v>93.759287096160307</v>
      </c>
      <c r="AJ1827">
        <v>96.337475235717605</v>
      </c>
      <c r="AK1827">
        <v>16.9332757084679</v>
      </c>
      <c r="AL1827">
        <v>68.712055236002996</v>
      </c>
      <c r="AM1827">
        <v>95.3049709683294</v>
      </c>
      <c r="AN1827">
        <v>1.0000000240115401</v>
      </c>
    </row>
    <row r="1828" spans="1:40" x14ac:dyDescent="0.25">
      <c r="A1828" t="str">
        <f>"20190304164126082"</f>
        <v>20190304164126082</v>
      </c>
      <c r="B1828" t="str">
        <f>"1551688886072897"</f>
        <v>1551688886072897</v>
      </c>
      <c r="C1828" t="s">
        <v>40</v>
      </c>
      <c r="D1828">
        <v>4.3625319999999999</v>
      </c>
      <c r="E1828">
        <v>0.41164600000000001</v>
      </c>
      <c r="F1828" t="s">
        <v>45</v>
      </c>
      <c r="G1828">
        <v>-185.67</v>
      </c>
      <c r="H1828" s="1">
        <v>9.097778E-7</v>
      </c>
      <c r="I1828">
        <v>297.04270000000002</v>
      </c>
      <c r="J1828">
        <v>-192.25960000000001</v>
      </c>
      <c r="K1828">
        <v>1.110231</v>
      </c>
      <c r="L1828">
        <v>325.49590000000001</v>
      </c>
      <c r="M1828">
        <v>3.7265439999999997E-2</v>
      </c>
      <c r="N1828">
        <v>-1.3808269999999999E-2</v>
      </c>
      <c r="O1828">
        <v>-0.99921009999999999</v>
      </c>
      <c r="P1828">
        <v>0.1267133</v>
      </c>
      <c r="Q1828">
        <v>0.35151579999999999</v>
      </c>
      <c r="R1828">
        <v>-0.92756700000000003</v>
      </c>
      <c r="S1828">
        <v>0.73095699999999997</v>
      </c>
      <c r="T1828">
        <v>-0.1229941</v>
      </c>
      <c r="U1828">
        <v>-3.1802980000000001</v>
      </c>
      <c r="V1828">
        <v>-9.1417319999999996E-2</v>
      </c>
      <c r="W1828">
        <v>0.36450759999999899</v>
      </c>
      <c r="X1828">
        <v>0.92670229999999998</v>
      </c>
      <c r="Y1828">
        <v>-0.1873909</v>
      </c>
      <c r="Z1828">
        <v>2.402719E-2</v>
      </c>
      <c r="AA1828">
        <v>0.98199150000000002</v>
      </c>
      <c r="AB1828">
        <v>24</v>
      </c>
      <c r="AC1828">
        <v>6.5896000000000097</v>
      </c>
      <c r="AD1828">
        <v>-1.1102300902222</v>
      </c>
      <c r="AE1828">
        <v>-28.453199999999899</v>
      </c>
      <c r="AF1828">
        <v>-5.5166283727879204</v>
      </c>
      <c r="AG1828">
        <v>-1.1102300902222</v>
      </c>
      <c r="AH1828">
        <v>28.6376385417365</v>
      </c>
      <c r="AI1828">
        <v>92.180101286432205</v>
      </c>
      <c r="AJ1828">
        <v>100.903643047589</v>
      </c>
      <c r="AK1828">
        <v>29.1852726679714</v>
      </c>
      <c r="AL1828">
        <v>68.622718067856198</v>
      </c>
      <c r="AM1828">
        <v>95.633885470660502</v>
      </c>
      <c r="AN1828">
        <v>1.0000000348395099</v>
      </c>
    </row>
    <row r="1829" spans="1:40" x14ac:dyDescent="0.25">
      <c r="A1829" t="str">
        <f>"20190304164126104"</f>
        <v>20190304164126104</v>
      </c>
      <c r="B1829" t="str">
        <f>"1551688886092417"</f>
        <v>1551688886092417</v>
      </c>
      <c r="C1829" t="s">
        <v>40</v>
      </c>
      <c r="D1829">
        <v>4.3556520000000001</v>
      </c>
      <c r="E1829">
        <v>0.40998960000000001</v>
      </c>
      <c r="F1829" t="s">
        <v>43</v>
      </c>
      <c r="G1829">
        <v>-168.3563</v>
      </c>
      <c r="H1829">
        <v>-0.05</v>
      </c>
      <c r="I1829">
        <v>262.09399999999999</v>
      </c>
      <c r="J1829">
        <v>-192.25219999999999</v>
      </c>
      <c r="K1829">
        <v>1.110247</v>
      </c>
      <c r="L1829">
        <v>325.26249999999999</v>
      </c>
      <c r="M1829">
        <v>3.6231329999999999E-2</v>
      </c>
      <c r="N1829">
        <v>-1.380609E-2</v>
      </c>
      <c r="O1829">
        <v>-0.99924820000000003</v>
      </c>
      <c r="P1829">
        <v>0.12944510000000001</v>
      </c>
      <c r="Q1829">
        <v>0.35308040000000002</v>
      </c>
      <c r="R1829">
        <v>-0.9265951</v>
      </c>
      <c r="S1829">
        <v>1.1673279999999999</v>
      </c>
      <c r="T1829">
        <v>-5.6660290000000002E-2</v>
      </c>
      <c r="U1829">
        <v>-3.0962519999999998</v>
      </c>
      <c r="V1829">
        <v>-9.5148220000000006E-2</v>
      </c>
      <c r="W1829">
        <v>0.36606159999999999</v>
      </c>
      <c r="X1829">
        <v>0.92571360000000003</v>
      </c>
      <c r="Y1829">
        <v>-0.31856960000000001</v>
      </c>
      <c r="Z1829">
        <v>3.4962090000000001E-3</v>
      </c>
      <c r="AA1829">
        <v>0.94789299999999999</v>
      </c>
      <c r="AB1829">
        <v>24</v>
      </c>
      <c r="AC1829">
        <v>23.895899999999902</v>
      </c>
      <c r="AD1829">
        <v>-1.160247</v>
      </c>
      <c r="AE1829">
        <v>-63.168500000000002</v>
      </c>
      <c r="AF1829">
        <v>-21.584940695119201</v>
      </c>
      <c r="AG1829">
        <v>-1.160247</v>
      </c>
      <c r="AH1829">
        <v>63.973999480019003</v>
      </c>
      <c r="AI1829">
        <v>90.984499372136497</v>
      </c>
      <c r="AJ1829">
        <v>108.64448599565701</v>
      </c>
      <c r="AK1829">
        <v>67.527242261048201</v>
      </c>
      <c r="AL1829">
        <v>68.527069424142795</v>
      </c>
      <c r="AM1829">
        <v>95.868461338783405</v>
      </c>
      <c r="AN1829">
        <v>0.99999997399434304</v>
      </c>
    </row>
    <row r="1830" spans="1:40" x14ac:dyDescent="0.25">
      <c r="A1830" t="str">
        <f>"20190304164126117"</f>
        <v>20190304164126117</v>
      </c>
      <c r="B1830" t="str">
        <f>"1551688886103153"</f>
        <v>1551688886103153</v>
      </c>
      <c r="C1830" t="s">
        <v>40</v>
      </c>
      <c r="D1830">
        <v>4.3436959999999996</v>
      </c>
      <c r="E1830">
        <v>0.4097634</v>
      </c>
      <c r="F1830" t="s">
        <v>43</v>
      </c>
      <c r="G1830">
        <v>-168.5488</v>
      </c>
      <c r="H1830">
        <v>-0.05</v>
      </c>
      <c r="I1830">
        <v>263.75920000000002</v>
      </c>
      <c r="J1830">
        <v>-192.24760000000001</v>
      </c>
      <c r="K1830">
        <v>1.110257</v>
      </c>
      <c r="L1830">
        <v>325.11520000000002</v>
      </c>
      <c r="M1830">
        <v>3.5581519999999998E-2</v>
      </c>
      <c r="N1830">
        <v>-1.380467E-2</v>
      </c>
      <c r="O1830">
        <v>-0.99927160000000004</v>
      </c>
      <c r="P1830">
        <v>0.1303252</v>
      </c>
      <c r="Q1830">
        <v>0.35333249999999999</v>
      </c>
      <c r="R1830">
        <v>-0.92637570000000002</v>
      </c>
      <c r="S1830">
        <v>1.1921539999999999</v>
      </c>
      <c r="T1830">
        <v>-5.8354379999999997E-2</v>
      </c>
      <c r="U1830">
        <v>-3.0932919999999999</v>
      </c>
      <c r="V1830">
        <v>-9.6644019999999997E-2</v>
      </c>
      <c r="W1830">
        <v>0.366311</v>
      </c>
      <c r="X1830">
        <v>0.92545999999999995</v>
      </c>
      <c r="Y1830">
        <v>-0.3261134</v>
      </c>
      <c r="Z1830">
        <v>3.9809679999999997E-3</v>
      </c>
      <c r="AA1830">
        <v>0.94532229999999995</v>
      </c>
      <c r="AB1830">
        <v>24</v>
      </c>
      <c r="AC1830">
        <v>23.698799999999999</v>
      </c>
      <c r="AD1830">
        <v>-1.1602569999999901</v>
      </c>
      <c r="AE1830">
        <v>-61.356000000000002</v>
      </c>
      <c r="AF1830">
        <v>-21.4937548225599</v>
      </c>
      <c r="AG1830">
        <v>-1.1602569999999901</v>
      </c>
      <c r="AH1830">
        <v>62.141123458111601</v>
      </c>
      <c r="AI1830">
        <v>91.010913492085805</v>
      </c>
      <c r="AJ1830">
        <v>109.07979489760601</v>
      </c>
      <c r="AK1830">
        <v>65.763568313425907</v>
      </c>
      <c r="AL1830">
        <v>68.511714129822096</v>
      </c>
      <c r="AM1830">
        <v>95.961680315618295</v>
      </c>
      <c r="AN1830">
        <v>1.00000001346138</v>
      </c>
    </row>
    <row r="1831" spans="1:40" x14ac:dyDescent="0.25">
      <c r="A1831" t="str">
        <f>"20190304164126136"</f>
        <v>20190304164126136</v>
      </c>
      <c r="B1831" t="str">
        <f>"1551688886122672"</f>
        <v>1551688886122672</v>
      </c>
      <c r="C1831" t="s">
        <v>40</v>
      </c>
      <c r="D1831">
        <v>4.3392920000000004</v>
      </c>
      <c r="E1831">
        <v>0.41048879999999999</v>
      </c>
      <c r="F1831" t="s">
        <v>43</v>
      </c>
      <c r="G1831">
        <v>-166.83320000000001</v>
      </c>
      <c r="H1831">
        <v>-0.05</v>
      </c>
      <c r="I1831">
        <v>259.52249999999998</v>
      </c>
      <c r="J1831">
        <v>-192.2415</v>
      </c>
      <c r="K1831">
        <v>1.1102700000000001</v>
      </c>
      <c r="L1831">
        <v>324.91629999999998</v>
      </c>
      <c r="M1831">
        <v>3.470724E-2</v>
      </c>
      <c r="N1831">
        <v>-1.3802740000000001E-2</v>
      </c>
      <c r="O1831">
        <v>-0.99930229999999998</v>
      </c>
      <c r="P1831">
        <v>0.13096940000000001</v>
      </c>
      <c r="Q1831">
        <v>0.35461959999999998</v>
      </c>
      <c r="R1831">
        <v>-0.92579270000000002</v>
      </c>
      <c r="S1831">
        <v>1.1975709999999999</v>
      </c>
      <c r="T1831">
        <v>-5.4673430000000002E-2</v>
      </c>
      <c r="U1831">
        <v>-3.0908509999999998</v>
      </c>
      <c r="V1831">
        <v>-9.8125530000000002E-2</v>
      </c>
      <c r="W1831">
        <v>0.36758849999999998</v>
      </c>
      <c r="X1831">
        <v>0.92479739999999999</v>
      </c>
      <c r="Y1831">
        <v>-0.3286345</v>
      </c>
      <c r="Z1831">
        <v>2.865626E-3</v>
      </c>
      <c r="AA1831">
        <v>0.94445279999999998</v>
      </c>
      <c r="AB1831">
        <v>24</v>
      </c>
      <c r="AC1831">
        <v>25.408300000000001</v>
      </c>
      <c r="AD1831">
        <v>-1.1602699999999999</v>
      </c>
      <c r="AE1831">
        <v>-65.393799999999999</v>
      </c>
      <c r="AF1831">
        <v>-23.1168120120414</v>
      </c>
      <c r="AG1831">
        <v>-1.1602699999999999</v>
      </c>
      <c r="AH1831">
        <v>66.218218346800697</v>
      </c>
      <c r="AI1831">
        <v>90.94774849241</v>
      </c>
      <c r="AJ1831">
        <v>109.244119294811</v>
      </c>
      <c r="AK1831">
        <v>70.1468863535477</v>
      </c>
      <c r="AL1831">
        <v>68.433031267744994</v>
      </c>
      <c r="AM1831">
        <v>96.056701161854406</v>
      </c>
      <c r="AN1831">
        <v>1.00000007800839</v>
      </c>
    </row>
    <row r="1832" spans="1:40" x14ac:dyDescent="0.25">
      <c r="A1832" t="str">
        <f>"20190304164126150"</f>
        <v>20190304164126150</v>
      </c>
      <c r="B1832" t="str">
        <f>"1551688886143168"</f>
        <v>1551688886143168</v>
      </c>
      <c r="C1832" t="s">
        <v>40</v>
      </c>
      <c r="D1832">
        <v>4.3303510000000003</v>
      </c>
      <c r="E1832">
        <v>0.4115103</v>
      </c>
      <c r="F1832" t="s">
        <v>43</v>
      </c>
      <c r="G1832">
        <v>-163.0984</v>
      </c>
      <c r="H1832">
        <v>-0.05</v>
      </c>
      <c r="I1832">
        <v>249.62260000000001</v>
      </c>
      <c r="J1832">
        <v>-192.23679999999999</v>
      </c>
      <c r="K1832">
        <v>1.110279</v>
      </c>
      <c r="L1832">
        <v>324.75819999999999</v>
      </c>
      <c r="M1832">
        <v>3.4018359999999997E-2</v>
      </c>
      <c r="N1832">
        <v>-1.380118E-2</v>
      </c>
      <c r="O1832">
        <v>-0.99932589999999999</v>
      </c>
      <c r="P1832">
        <v>0.1311755</v>
      </c>
      <c r="Q1832">
        <v>0.3551204</v>
      </c>
      <c r="R1832">
        <v>-0.92557149999999999</v>
      </c>
      <c r="S1832">
        <v>1.1958470000000001</v>
      </c>
      <c r="T1832">
        <v>-4.7610039999999999E-2</v>
      </c>
      <c r="U1832">
        <v>-3.089569</v>
      </c>
      <c r="V1832">
        <v>-9.8984379999999997E-2</v>
      </c>
      <c r="W1832">
        <v>0.36808380000000002</v>
      </c>
      <c r="X1832">
        <v>0.92450880000000002</v>
      </c>
      <c r="Y1832">
        <v>-0.32896510000000001</v>
      </c>
      <c r="Z1832">
        <v>7.3038369999999897E-4</v>
      </c>
      <c r="AA1832">
        <v>0.94434180000000001</v>
      </c>
      <c r="AB1832">
        <v>24</v>
      </c>
      <c r="AC1832">
        <v>29.138399999999901</v>
      </c>
      <c r="AD1832">
        <v>-1.1602790000000001</v>
      </c>
      <c r="AE1832">
        <v>-75.135599999999897</v>
      </c>
      <c r="AF1832">
        <v>-26.559792667043101</v>
      </c>
      <c r="AG1832">
        <v>-1.1602790000000001</v>
      </c>
      <c r="AH1832">
        <v>76.067670515543597</v>
      </c>
      <c r="AI1832">
        <v>90.825040726882307</v>
      </c>
      <c r="AJ1832">
        <v>109.247162107967</v>
      </c>
      <c r="AK1832">
        <v>80.579521787706497</v>
      </c>
      <c r="AL1832">
        <v>68.402512564867493</v>
      </c>
      <c r="AM1832">
        <v>96.111206338989206</v>
      </c>
      <c r="AN1832">
        <v>1.00000005629193</v>
      </c>
    </row>
    <row r="1833" spans="1:40" x14ac:dyDescent="0.25">
      <c r="A1833" t="str">
        <f>"20190304164126165"</f>
        <v>20190304164126165</v>
      </c>
      <c r="B1833" t="str">
        <f>"1551688886152929"</f>
        <v>1551688886152929</v>
      </c>
      <c r="C1833" t="s">
        <v>40</v>
      </c>
      <c r="D1833">
        <v>4.3358780000000001</v>
      </c>
      <c r="E1833">
        <v>0.4118559</v>
      </c>
      <c r="F1833" t="s">
        <v>43</v>
      </c>
      <c r="G1833">
        <v>-162.9255</v>
      </c>
      <c r="H1833">
        <v>-0.05</v>
      </c>
      <c r="I1833">
        <v>248.5668</v>
      </c>
      <c r="J1833">
        <v>-192.23230000000001</v>
      </c>
      <c r="K1833">
        <v>1.1102890000000001</v>
      </c>
      <c r="L1833">
        <v>324.60640000000001</v>
      </c>
      <c r="M1833">
        <v>3.3361019999999998E-2</v>
      </c>
      <c r="N1833">
        <v>-1.379962E-2</v>
      </c>
      <c r="O1833">
        <v>-0.99934809999999996</v>
      </c>
      <c r="P1833">
        <v>0.13088359999999999</v>
      </c>
      <c r="Q1833">
        <v>0.35524070000000002</v>
      </c>
      <c r="R1833">
        <v>-0.92556669999999996</v>
      </c>
      <c r="S1833">
        <v>1.1890559999999999</v>
      </c>
      <c r="T1833">
        <v>-4.7068480000000003E-2</v>
      </c>
      <c r="U1833">
        <v>-3.0908199999999999</v>
      </c>
      <c r="V1833">
        <v>-9.931007E-2</v>
      </c>
      <c r="W1833">
        <v>0.36820039999999998</v>
      </c>
      <c r="X1833">
        <v>0.92442740000000001</v>
      </c>
      <c r="Y1833">
        <v>-0.327652099999999</v>
      </c>
      <c r="Z1833">
        <v>5.6937610000000005E-4</v>
      </c>
      <c r="AA1833">
        <v>0.94479829999999998</v>
      </c>
      <c r="AB1833">
        <v>24</v>
      </c>
      <c r="AC1833">
        <v>29.306799999999999</v>
      </c>
      <c r="AD1833">
        <v>-1.1602889999999999</v>
      </c>
      <c r="AE1833">
        <v>-76.039599999999993</v>
      </c>
      <c r="AF1833">
        <v>-26.748061096580599</v>
      </c>
      <c r="AG1833">
        <v>-1.1602889999999999</v>
      </c>
      <c r="AH1833">
        <v>76.959462052360195</v>
      </c>
      <c r="AI1833">
        <v>90.815893943849701</v>
      </c>
      <c r="AJ1833">
        <v>109.165426880417</v>
      </c>
      <c r="AK1833">
        <v>81.483518838956599</v>
      </c>
      <c r="AL1833">
        <v>68.395326453519402</v>
      </c>
      <c r="AM1833">
        <v>96.131697007099902</v>
      </c>
      <c r="AN1833">
        <v>1.00000002121716</v>
      </c>
    </row>
    <row r="1834" spans="1:40" x14ac:dyDescent="0.25">
      <c r="A1834" t="str">
        <f>"20190304164126182"</f>
        <v>20190304164126182</v>
      </c>
      <c r="B1834" t="str">
        <f>"1551688886172449"</f>
        <v>1551688886172449</v>
      </c>
      <c r="C1834" t="s">
        <v>40</v>
      </c>
      <c r="D1834">
        <v>4.341812</v>
      </c>
      <c r="E1834">
        <v>0.41268529999999998</v>
      </c>
      <c r="F1834" t="s">
        <v>43</v>
      </c>
      <c r="G1834">
        <v>-163.88839999999999</v>
      </c>
      <c r="H1834">
        <v>-0.05</v>
      </c>
      <c r="I1834">
        <v>250.67019999999999</v>
      </c>
      <c r="J1834">
        <v>-192.227</v>
      </c>
      <c r="K1834">
        <v>1.110303</v>
      </c>
      <c r="L1834">
        <v>324.42020000000002</v>
      </c>
      <c r="M1834">
        <v>3.2563639999999998E-2</v>
      </c>
      <c r="N1834">
        <v>-1.379756E-2</v>
      </c>
      <c r="O1834">
        <v>-0.99937469999999995</v>
      </c>
      <c r="P1834">
        <v>0.13091179999999999</v>
      </c>
      <c r="Q1834">
        <v>0.3557729</v>
      </c>
      <c r="R1834">
        <v>-0.92535869999999998</v>
      </c>
      <c r="S1834">
        <v>1.185425</v>
      </c>
      <c r="T1834">
        <v>-4.8526640000000003E-2</v>
      </c>
      <c r="U1834">
        <v>-3.0922239999999999</v>
      </c>
      <c r="V1834">
        <v>-0.1000939</v>
      </c>
      <c r="W1834">
        <v>0.36872519999999998</v>
      </c>
      <c r="X1834">
        <v>0.9241336</v>
      </c>
      <c r="Y1834">
        <v>-0.32729409999999998</v>
      </c>
      <c r="Z1834">
        <v>1.0098629999999999E-3</v>
      </c>
      <c r="AA1834">
        <v>0.94492200000000004</v>
      </c>
      <c r="AB1834">
        <v>24</v>
      </c>
      <c r="AC1834">
        <v>28.3386</v>
      </c>
      <c r="AD1834">
        <v>-1.1603030000000001</v>
      </c>
      <c r="AE1834">
        <v>-73.75</v>
      </c>
      <c r="AF1834">
        <v>-25.916182157934401</v>
      </c>
      <c r="AG1834">
        <v>-1.1603030000000001</v>
      </c>
      <c r="AH1834">
        <v>74.617682335179097</v>
      </c>
      <c r="AI1834">
        <v>90.841569066212102</v>
      </c>
      <c r="AJ1834">
        <v>109.153115377861</v>
      </c>
      <c r="AK1834">
        <v>78.998691873781993</v>
      </c>
      <c r="AL1834">
        <v>68.362981156144201</v>
      </c>
      <c r="AM1834">
        <v>96.181669423665895</v>
      </c>
      <c r="AN1834">
        <v>0.99999998629060405</v>
      </c>
    </row>
    <row r="1835" spans="1:40" x14ac:dyDescent="0.25">
      <c r="A1835" t="str">
        <f>"20190304164126196"</f>
        <v>20190304164126196</v>
      </c>
      <c r="B1835" t="str">
        <f>"1551688886183185"</f>
        <v>1551688886183185</v>
      </c>
      <c r="C1835" t="s">
        <v>40</v>
      </c>
      <c r="D1835">
        <v>4.3463760000000002</v>
      </c>
      <c r="E1835">
        <v>0.4129756</v>
      </c>
      <c r="F1835" t="s">
        <v>43</v>
      </c>
      <c r="G1835">
        <v>-163.81899999999999</v>
      </c>
      <c r="H1835">
        <v>-0.05</v>
      </c>
      <c r="I1835">
        <v>249.91480000000001</v>
      </c>
      <c r="J1835">
        <v>-192.22280000000001</v>
      </c>
      <c r="K1835">
        <v>1.110311</v>
      </c>
      <c r="L1835">
        <v>324.26589999999999</v>
      </c>
      <c r="M1835">
        <v>3.1912160000000002E-2</v>
      </c>
      <c r="N1835">
        <v>-1.3796009999999999E-2</v>
      </c>
      <c r="O1835">
        <v>-0.99939540000000004</v>
      </c>
      <c r="P1835">
        <v>0.13057270000000001</v>
      </c>
      <c r="Q1835">
        <v>0.35574650000000002</v>
      </c>
      <c r="R1835">
        <v>-0.92541660000000003</v>
      </c>
      <c r="S1835">
        <v>1.1795500000000001</v>
      </c>
      <c r="T1835">
        <v>-4.817784E-2</v>
      </c>
      <c r="U1835">
        <v>-3.0935969999999999</v>
      </c>
      <c r="V1835">
        <v>-0.1003666</v>
      </c>
      <c r="W1835">
        <v>0.36869550000000001</v>
      </c>
      <c r="X1835">
        <v>0.92411589999999999</v>
      </c>
      <c r="Y1835">
        <v>-0.32620450000000001</v>
      </c>
      <c r="Z1835">
        <v>9.0554470000000001E-4</v>
      </c>
      <c r="AA1835">
        <v>0.94529879999999999</v>
      </c>
      <c r="AB1835">
        <v>24</v>
      </c>
      <c r="AC1835">
        <v>28.4038</v>
      </c>
      <c r="AD1835">
        <v>-1.1603110000000001</v>
      </c>
      <c r="AE1835">
        <v>-74.351099999999903</v>
      </c>
      <c r="AF1835">
        <v>-26.010872391823</v>
      </c>
      <c r="AG1835">
        <v>-1.1603110000000001</v>
      </c>
      <c r="AH1835">
        <v>75.203754281112296</v>
      </c>
      <c r="AI1835">
        <v>90.8353913568086</v>
      </c>
      <c r="AJ1835">
        <v>109.079069723942</v>
      </c>
      <c r="AK1835">
        <v>79.583393130566805</v>
      </c>
      <c r="AL1835">
        <v>68.364812391610698</v>
      </c>
      <c r="AM1835">
        <v>96.198497898837104</v>
      </c>
      <c r="AN1835">
        <v>1.0000000113743099</v>
      </c>
    </row>
    <row r="1836" spans="1:40" x14ac:dyDescent="0.25">
      <c r="A1836" t="str">
        <f>"20190304164126214"</f>
        <v>20190304164126214</v>
      </c>
      <c r="B1836" t="str">
        <f>"1551688886202705"</f>
        <v>1551688886202705</v>
      </c>
      <c r="C1836" t="s">
        <v>40</v>
      </c>
      <c r="D1836">
        <v>4.3341539999999998</v>
      </c>
      <c r="E1836">
        <v>0.41356300000000001</v>
      </c>
      <c r="F1836" t="s">
        <v>43</v>
      </c>
      <c r="G1836">
        <v>-164.52500000000001</v>
      </c>
      <c r="H1836">
        <v>-0.05</v>
      </c>
      <c r="I1836">
        <v>251.39009999999999</v>
      </c>
      <c r="J1836">
        <v>-192.21780000000001</v>
      </c>
      <c r="K1836">
        <v>1.1103229999999999</v>
      </c>
      <c r="L1836">
        <v>324.08150000000001</v>
      </c>
      <c r="M1836">
        <v>3.1141209999999999E-2</v>
      </c>
      <c r="N1836">
        <v>-1.3793969999999999E-2</v>
      </c>
      <c r="O1836">
        <v>-0.99941990000000003</v>
      </c>
      <c r="P1836">
        <v>0.1303733</v>
      </c>
      <c r="Q1836">
        <v>0.35564990000000002</v>
      </c>
      <c r="R1836">
        <v>-0.92548200000000003</v>
      </c>
      <c r="S1836">
        <v>1.1762079999999999</v>
      </c>
      <c r="T1836">
        <v>-4.9273490000000003E-2</v>
      </c>
      <c r="U1836">
        <v>-3.0947269999999998</v>
      </c>
      <c r="V1836">
        <v>-0.1008917</v>
      </c>
      <c r="W1836">
        <v>0.36859579999999997</v>
      </c>
      <c r="X1836">
        <v>0.92409850000000004</v>
      </c>
      <c r="Y1836">
        <v>-0.32592650000000001</v>
      </c>
      <c r="Z1836">
        <v>1.2368240000000001E-3</v>
      </c>
      <c r="AA1836">
        <v>0.94539430000000002</v>
      </c>
      <c r="AB1836">
        <v>24</v>
      </c>
      <c r="AC1836">
        <v>27.692799999999998</v>
      </c>
      <c r="AD1836">
        <v>-1.160323</v>
      </c>
      <c r="AE1836">
        <v>-72.691400000000002</v>
      </c>
      <c r="AF1836">
        <v>-25.409799208673402</v>
      </c>
      <c r="AG1836">
        <v>-1.160323</v>
      </c>
      <c r="AH1836">
        <v>73.502252410926502</v>
      </c>
      <c r="AI1836">
        <v>90.854780958825401</v>
      </c>
      <c r="AJ1836">
        <v>109.070316803887</v>
      </c>
      <c r="AK1836">
        <v>77.779080444352005</v>
      </c>
      <c r="AL1836">
        <v>68.370957744300597</v>
      </c>
      <c r="AM1836">
        <v>96.230789314273295</v>
      </c>
      <c r="AN1836">
        <v>1.00000001830439</v>
      </c>
    </row>
    <row r="1837" spans="1:40" x14ac:dyDescent="0.25">
      <c r="A1837" t="str">
        <f>"20190304164126236"</f>
        <v>20190304164126236</v>
      </c>
      <c r="B1837" t="str">
        <f>"1551688886223201"</f>
        <v>1551688886223201</v>
      </c>
      <c r="C1837" t="s">
        <v>40</v>
      </c>
      <c r="D1837">
        <v>4.367591</v>
      </c>
      <c r="E1837">
        <v>0.41389049999999999</v>
      </c>
      <c r="F1837" t="s">
        <v>43</v>
      </c>
      <c r="G1837">
        <v>-165.2602</v>
      </c>
      <c r="H1837">
        <v>-0.05</v>
      </c>
      <c r="I1837">
        <v>252.87899999999999</v>
      </c>
      <c r="J1837">
        <v>-192.2114</v>
      </c>
      <c r="K1837">
        <v>1.110333</v>
      </c>
      <c r="L1837">
        <v>323.84010000000001</v>
      </c>
      <c r="M1837">
        <v>3.014677E-2</v>
      </c>
      <c r="N1837">
        <v>-1.3791390000000001E-2</v>
      </c>
      <c r="O1837">
        <v>-0.99945039999999996</v>
      </c>
      <c r="P1837">
        <v>0.12955739999999999</v>
      </c>
      <c r="Q1837">
        <v>0.35524280000000003</v>
      </c>
      <c r="R1837">
        <v>-0.92575240000000003</v>
      </c>
      <c r="S1837">
        <v>1.172104</v>
      </c>
      <c r="T1837">
        <v>-5.0450330000000002E-2</v>
      </c>
      <c r="U1837">
        <v>-3.0958559999999999</v>
      </c>
      <c r="V1837">
        <v>-0.1010054</v>
      </c>
      <c r="W1837">
        <v>0.36818489999999998</v>
      </c>
      <c r="X1837">
        <v>0.92424989999999996</v>
      </c>
      <c r="Y1837">
        <v>-0.3256559</v>
      </c>
      <c r="Z1837">
        <v>1.593386E-3</v>
      </c>
      <c r="AA1837">
        <v>0.94548699999999997</v>
      </c>
      <c r="AB1837">
        <v>24</v>
      </c>
      <c r="AC1837">
        <v>26.9512</v>
      </c>
      <c r="AD1837">
        <v>-1.1603330000000001</v>
      </c>
      <c r="AE1837">
        <v>-70.961099999999902</v>
      </c>
      <c r="AF1837">
        <v>-24.7937030396468</v>
      </c>
      <c r="AG1837">
        <v>-1.1603330000000001</v>
      </c>
      <c r="AH1837">
        <v>71.724649754588697</v>
      </c>
      <c r="AI1837">
        <v>90.8759758333603</v>
      </c>
      <c r="AJ1837">
        <v>109.069191362151</v>
      </c>
      <c r="AK1837">
        <v>75.897954290662597</v>
      </c>
      <c r="AL1837">
        <v>68.396282169450302</v>
      </c>
      <c r="AM1837">
        <v>96.236742041821799</v>
      </c>
      <c r="AN1837">
        <v>1.0000000445335799</v>
      </c>
    </row>
    <row r="1838" spans="1:40" x14ac:dyDescent="0.25">
      <c r="A1838" t="str">
        <f>"20190304164126250"</f>
        <v>20190304164126250</v>
      </c>
      <c r="B1838" t="str">
        <f>"1551688886242721"</f>
        <v>1551688886242721</v>
      </c>
      <c r="C1838" t="s">
        <v>40</v>
      </c>
      <c r="D1838">
        <v>4.3711440000000001</v>
      </c>
      <c r="E1838">
        <v>0.41407529999999998</v>
      </c>
      <c r="F1838" t="s">
        <v>43</v>
      </c>
      <c r="G1838">
        <v>-166.56370000000001</v>
      </c>
      <c r="H1838">
        <v>-0.05</v>
      </c>
      <c r="I1838">
        <v>255.8424</v>
      </c>
      <c r="J1838">
        <v>-192.20769999999999</v>
      </c>
      <c r="K1838">
        <v>1.110341</v>
      </c>
      <c r="L1838">
        <v>323.69479999999999</v>
      </c>
      <c r="M1838">
        <v>2.9559100000000001E-2</v>
      </c>
      <c r="N1838">
        <v>-1.378982E-2</v>
      </c>
      <c r="O1838">
        <v>-0.99946800000000002</v>
      </c>
      <c r="P1838">
        <v>0.12924330000000001</v>
      </c>
      <c r="Q1838">
        <v>0.35508319999999999</v>
      </c>
      <c r="R1838">
        <v>-0.92585770000000001</v>
      </c>
      <c r="S1838">
        <v>1.1682889999999999</v>
      </c>
      <c r="T1838">
        <v>-5.2854659999999998E-2</v>
      </c>
      <c r="U1838">
        <v>-3.0973820000000001</v>
      </c>
      <c r="V1838">
        <v>-0.1012429</v>
      </c>
      <c r="W1838">
        <v>0.36802210000000002</v>
      </c>
      <c r="X1838">
        <v>0.92428869999999996</v>
      </c>
      <c r="Y1838">
        <v>-0.32503660000000001</v>
      </c>
      <c r="Z1838">
        <v>2.320856E-3</v>
      </c>
      <c r="AA1838">
        <v>0.94569859999999994</v>
      </c>
      <c r="AB1838">
        <v>24</v>
      </c>
      <c r="AC1838">
        <v>25.643999999999899</v>
      </c>
      <c r="AD1838">
        <v>-1.1603410000000001</v>
      </c>
      <c r="AE1838">
        <v>-67.852399999999903</v>
      </c>
      <c r="AF1838">
        <v>-23.620901508055201</v>
      </c>
      <c r="AG1838">
        <v>-1.1603410000000001</v>
      </c>
      <c r="AH1838">
        <v>68.563285980715705</v>
      </c>
      <c r="AI1838">
        <v>90.916695175096095</v>
      </c>
      <c r="AJ1838">
        <v>109.009464221521</v>
      </c>
      <c r="AK1838">
        <v>72.527357347161995</v>
      </c>
      <c r="AL1838">
        <v>68.406313229496305</v>
      </c>
      <c r="AM1838">
        <v>96.251030554288107</v>
      </c>
      <c r="AN1838">
        <v>0.99999999591825495</v>
      </c>
    </row>
    <row r="1839" spans="1:40" x14ac:dyDescent="0.25">
      <c r="A1839" t="str">
        <f>"20190304164126264"</f>
        <v>20190304164126264</v>
      </c>
      <c r="B1839" t="str">
        <f>"1551688886252482"</f>
        <v>1551688886252482</v>
      </c>
      <c r="C1839" t="s">
        <v>40</v>
      </c>
      <c r="D1839">
        <v>4.3696279999999996</v>
      </c>
      <c r="E1839">
        <v>0.41414590000000001</v>
      </c>
      <c r="F1839" t="s">
        <v>43</v>
      </c>
      <c r="G1839">
        <v>-167.3639</v>
      </c>
      <c r="H1839">
        <v>-0.05</v>
      </c>
      <c r="I1839">
        <v>257.70280000000002</v>
      </c>
      <c r="J1839">
        <v>-192.20410000000001</v>
      </c>
      <c r="K1839">
        <v>1.110347</v>
      </c>
      <c r="L1839">
        <v>323.54899999999998</v>
      </c>
      <c r="M1839">
        <v>2.897481E-2</v>
      </c>
      <c r="N1839">
        <v>-1.3788190000000001E-2</v>
      </c>
      <c r="O1839">
        <v>-0.99948510000000002</v>
      </c>
      <c r="P1839">
        <v>0.12884319999999999</v>
      </c>
      <c r="Q1839">
        <v>0.35491309999999998</v>
      </c>
      <c r="R1839">
        <v>-0.92597870000000004</v>
      </c>
      <c r="S1839">
        <v>1.1663969999999999</v>
      </c>
      <c r="T1839">
        <v>-5.4476980000000001E-2</v>
      </c>
      <c r="U1839">
        <v>-3.0982669999999999</v>
      </c>
      <c r="V1839">
        <v>-0.1013915</v>
      </c>
      <c r="W1839">
        <v>0.36784919999999999</v>
      </c>
      <c r="X1839">
        <v>0.92434130000000003</v>
      </c>
      <c r="Y1839">
        <v>-0.32499309999999998</v>
      </c>
      <c r="Z1839">
        <v>2.8108920000000002E-3</v>
      </c>
      <c r="AA1839">
        <v>0.9457122</v>
      </c>
      <c r="AB1839">
        <v>24</v>
      </c>
      <c r="AC1839">
        <v>24.840199999999999</v>
      </c>
      <c r="AD1839">
        <v>-1.160347</v>
      </c>
      <c r="AE1839">
        <v>-65.846199999999996</v>
      </c>
      <c r="AF1839">
        <v>-22.915476694916901</v>
      </c>
      <c r="AG1839">
        <v>-1.160347</v>
      </c>
      <c r="AH1839">
        <v>66.520273643943497</v>
      </c>
      <c r="AI1839">
        <v>90.944856066351406</v>
      </c>
      <c r="AJ1839">
        <v>109.00824635275799</v>
      </c>
      <c r="AK1839">
        <v>70.366272339671497</v>
      </c>
      <c r="AL1839">
        <v>68.416968348753898</v>
      </c>
      <c r="AM1839">
        <v>96.259779350240095</v>
      </c>
      <c r="AN1839">
        <v>1.00000005454928</v>
      </c>
    </row>
    <row r="1840" spans="1:40" x14ac:dyDescent="0.25">
      <c r="A1840" t="str">
        <f>"20190304164126284"</f>
        <v>20190304164126284</v>
      </c>
      <c r="B1840" t="str">
        <f>"1551688886272977"</f>
        <v>1551688886272977</v>
      </c>
      <c r="C1840" t="s">
        <v>40</v>
      </c>
      <c r="D1840">
        <v>4.3741050000000001</v>
      </c>
      <c r="E1840">
        <v>0.41413810000000001</v>
      </c>
      <c r="F1840" t="s">
        <v>43</v>
      </c>
      <c r="G1840">
        <v>-167.72059999999999</v>
      </c>
      <c r="H1840">
        <v>-0.05</v>
      </c>
      <c r="I1840">
        <v>258.423</v>
      </c>
      <c r="J1840">
        <v>-192.19890000000001</v>
      </c>
      <c r="K1840">
        <v>1.1103620000000001</v>
      </c>
      <c r="L1840">
        <v>323.33550000000002</v>
      </c>
      <c r="M1840">
        <v>2.813765E-2</v>
      </c>
      <c r="N1840">
        <v>-1.3785820000000001E-2</v>
      </c>
      <c r="O1840">
        <v>-0.99950910000000004</v>
      </c>
      <c r="P1840">
        <v>0.12775039999999999</v>
      </c>
      <c r="Q1840">
        <v>0.35477829999999999</v>
      </c>
      <c r="R1840">
        <v>-0.9261817</v>
      </c>
      <c r="S1840">
        <v>1.1649929999999999</v>
      </c>
      <c r="T1840">
        <v>-5.5212619999999997E-2</v>
      </c>
      <c r="U1840">
        <v>-3.0988769999999999</v>
      </c>
      <c r="V1840">
        <v>-0.10108449999999999</v>
      </c>
      <c r="W1840">
        <v>0.36770950000000002</v>
      </c>
      <c r="X1840">
        <v>0.92443039999999999</v>
      </c>
      <c r="Y1840">
        <v>-0.32534760000000001</v>
      </c>
      <c r="Z1840">
        <v>3.0319710000000001E-3</v>
      </c>
      <c r="AA1840">
        <v>0.94558960000000003</v>
      </c>
      <c r="AB1840">
        <v>24</v>
      </c>
      <c r="AC1840">
        <v>24.478300000000001</v>
      </c>
      <c r="AD1840">
        <v>-1.1603619999999999</v>
      </c>
      <c r="AE1840">
        <v>-64.912499999999994</v>
      </c>
      <c r="AF1840">
        <v>-22.635615012756499</v>
      </c>
      <c r="AG1840">
        <v>-1.1603619999999999</v>
      </c>
      <c r="AH1840">
        <v>65.557280372324499</v>
      </c>
      <c r="AI1840">
        <v>90.958511422879795</v>
      </c>
      <c r="AJ1840">
        <v>109.04876739158399</v>
      </c>
      <c r="AK1840">
        <v>69.364793063861498</v>
      </c>
      <c r="AL1840">
        <v>68.425573664908399</v>
      </c>
      <c r="AM1840">
        <v>96.240378577904096</v>
      </c>
      <c r="AN1840">
        <v>0.99999995848732903</v>
      </c>
    </row>
    <row r="1841" spans="1:40" x14ac:dyDescent="0.25">
      <c r="A1841" t="str">
        <f>"20190304164126307"</f>
        <v>20190304164126307</v>
      </c>
      <c r="B1841" t="str">
        <f>"1551688886292496"</f>
        <v>1551688886292496</v>
      </c>
      <c r="C1841" t="s">
        <v>40</v>
      </c>
      <c r="D1841">
        <v>4.3745240000000001</v>
      </c>
      <c r="E1841">
        <v>0.4141031</v>
      </c>
      <c r="F1841" t="s">
        <v>43</v>
      </c>
      <c r="G1841">
        <v>-167.95439999999999</v>
      </c>
      <c r="H1841">
        <v>-0.05</v>
      </c>
      <c r="I1841">
        <v>258.6628</v>
      </c>
      <c r="J1841">
        <v>-192.1934</v>
      </c>
      <c r="K1841">
        <v>1.1103809999999901</v>
      </c>
      <c r="L1841">
        <v>323.10109999999997</v>
      </c>
      <c r="M1841">
        <v>2.7239090000000001E-2</v>
      </c>
      <c r="N1841">
        <v>-1.378327E-2</v>
      </c>
      <c r="O1841">
        <v>-0.99953429999999999</v>
      </c>
      <c r="P1841">
        <v>0.12668769999999999</v>
      </c>
      <c r="Q1841">
        <v>0.35400559999999998</v>
      </c>
      <c r="R1841">
        <v>-0.92662359999999999</v>
      </c>
      <c r="S1841">
        <v>1.1621549999999901</v>
      </c>
      <c r="T1841">
        <v>-5.5621619999999997E-2</v>
      </c>
      <c r="U1841">
        <v>-3.1000670000000001</v>
      </c>
      <c r="V1841">
        <v>-0.1008612</v>
      </c>
      <c r="W1841">
        <v>0.36693429999999999</v>
      </c>
      <c r="X1841">
        <v>0.9247628</v>
      </c>
      <c r="Y1841">
        <v>-0.32531890000000002</v>
      </c>
      <c r="Z1841">
        <v>3.153426E-3</v>
      </c>
      <c r="AA1841">
        <v>0.94559910000000003</v>
      </c>
      <c r="AB1841">
        <v>24</v>
      </c>
      <c r="AC1841">
        <v>24.239000000000001</v>
      </c>
      <c r="AD1841">
        <v>-1.1603810000000001</v>
      </c>
      <c r="AE1841">
        <v>-64.438299999999899</v>
      </c>
      <c r="AF1841">
        <v>-22.4682148651242</v>
      </c>
      <c r="AG1841">
        <v>-1.1603810000000001</v>
      </c>
      <c r="AH1841">
        <v>65.056215134474897</v>
      </c>
      <c r="AI1841">
        <v>90.9658826481826</v>
      </c>
      <c r="AJ1841">
        <v>109.053179918544</v>
      </c>
      <c r="AK1841">
        <v>68.836605748058403</v>
      </c>
      <c r="AL1841">
        <v>68.473328573983096</v>
      </c>
      <c r="AM1841">
        <v>96.2244811411651</v>
      </c>
      <c r="AN1841">
        <v>0.99999999922288496</v>
      </c>
    </row>
    <row r="1842" spans="1:40" x14ac:dyDescent="0.25">
      <c r="A1842" t="str">
        <f>"20190304164126327"</f>
        <v>20190304164126327</v>
      </c>
      <c r="B1842" t="str">
        <f>"1551688886312993"</f>
        <v>1551688886312993</v>
      </c>
      <c r="C1842" t="s">
        <v>40</v>
      </c>
      <c r="D1842">
        <v>4.3922869999999996</v>
      </c>
      <c r="E1842">
        <v>0.41396749999999999</v>
      </c>
      <c r="F1842" t="s">
        <v>43</v>
      </c>
      <c r="G1842">
        <v>-169.2491</v>
      </c>
      <c r="H1842">
        <v>-0.05</v>
      </c>
      <c r="I1842">
        <v>261.76909999999998</v>
      </c>
      <c r="J1842">
        <v>-192.18819999999999</v>
      </c>
      <c r="K1842">
        <v>1.11039</v>
      </c>
      <c r="L1842">
        <v>322.87759999999997</v>
      </c>
      <c r="M1842">
        <v>2.6401600000000001E-2</v>
      </c>
      <c r="N1842">
        <v>-1.378062E-2</v>
      </c>
      <c r="O1842">
        <v>-0.99955669999999996</v>
      </c>
      <c r="P1842">
        <v>0.1254248</v>
      </c>
      <c r="Q1842">
        <v>0.3525548</v>
      </c>
      <c r="R1842">
        <v>-0.92734799999999995</v>
      </c>
      <c r="S1842">
        <v>1.160202</v>
      </c>
      <c r="T1842">
        <v>-5.8675890000000001E-2</v>
      </c>
      <c r="U1842">
        <v>-3.101318</v>
      </c>
      <c r="V1842">
        <v>-0.1003754</v>
      </c>
      <c r="W1842">
        <v>0.36548510000000001</v>
      </c>
      <c r="X1842">
        <v>0.92538929999999997</v>
      </c>
      <c r="Y1842">
        <v>-0.32546039999999998</v>
      </c>
      <c r="Z1842">
        <v>4.0753100000000004E-3</v>
      </c>
      <c r="AA1842">
        <v>0.94554689999999997</v>
      </c>
      <c r="AB1842">
        <v>24</v>
      </c>
      <c r="AC1842">
        <v>22.9391</v>
      </c>
      <c r="AD1842">
        <v>-1.16039</v>
      </c>
      <c r="AE1842">
        <v>-61.1084999999999</v>
      </c>
      <c r="AF1842">
        <v>-21.310852115736601</v>
      </c>
      <c r="AG1842">
        <v>-1.16039</v>
      </c>
      <c r="AH1842">
        <v>61.6733891512201</v>
      </c>
      <c r="AI1842">
        <v>91.018803150197101</v>
      </c>
      <c r="AJ1842">
        <v>109.062268813318</v>
      </c>
      <c r="AK1842">
        <v>65.261825382444897</v>
      </c>
      <c r="AL1842">
        <v>68.562559647217199</v>
      </c>
      <c r="AM1842">
        <v>96.190573115413002</v>
      </c>
      <c r="AN1842">
        <v>0.99999996790082901</v>
      </c>
    </row>
    <row r="1843" spans="1:40" x14ac:dyDescent="0.25">
      <c r="A1843" t="str">
        <f>"20190304164126350"</f>
        <v>20190304164126350</v>
      </c>
      <c r="B1843" t="str">
        <f>"1551688886343250"</f>
        <v>1551688886343250</v>
      </c>
      <c r="C1843" t="s">
        <v>40</v>
      </c>
      <c r="D1843">
        <v>4.3883729999999996</v>
      </c>
      <c r="E1843">
        <v>0.4137593</v>
      </c>
      <c r="F1843" t="s">
        <v>43</v>
      </c>
      <c r="G1843">
        <v>-171.15360000000001</v>
      </c>
      <c r="H1843">
        <v>-0.05</v>
      </c>
      <c r="I1843">
        <v>266.52010000000001</v>
      </c>
      <c r="J1843">
        <v>-192.18299999999999</v>
      </c>
      <c r="K1843">
        <v>1.110403</v>
      </c>
      <c r="L1843">
        <v>322.63729999999998</v>
      </c>
      <c r="M1843">
        <v>2.5526279999999998E-2</v>
      </c>
      <c r="N1843">
        <v>-1.3777889999999999E-2</v>
      </c>
      <c r="O1843">
        <v>-0.9995792</v>
      </c>
      <c r="P1843">
        <v>0.1240453</v>
      </c>
      <c r="Q1843">
        <v>0.35181119999999999</v>
      </c>
      <c r="R1843">
        <v>-0.92781559999999996</v>
      </c>
      <c r="S1843">
        <v>1.1580509999999999</v>
      </c>
      <c r="T1843">
        <v>-6.3884499999999997E-2</v>
      </c>
      <c r="U1843">
        <v>-3.102722</v>
      </c>
      <c r="V1843">
        <v>-9.9816370000000001E-2</v>
      </c>
      <c r="W1843">
        <v>0.36473850000000002</v>
      </c>
      <c r="X1843">
        <v>0.92574440000000002</v>
      </c>
      <c r="Y1843">
        <v>-0.32556659999999998</v>
      </c>
      <c r="Z1843">
        <v>5.6489440000000004E-3</v>
      </c>
      <c r="AA1843">
        <v>0.94550219999999896</v>
      </c>
      <c r="AB1843">
        <v>24</v>
      </c>
      <c r="AC1843">
        <v>21.0293999999999</v>
      </c>
      <c r="AD1843">
        <v>-1.1604030000000001</v>
      </c>
      <c r="AE1843">
        <v>-56.117199999999897</v>
      </c>
      <c r="AF1843">
        <v>-19.582604737412399</v>
      </c>
      <c r="AG1843">
        <v>-1.1604030000000001</v>
      </c>
      <c r="AH1843">
        <v>56.614537315861199</v>
      </c>
      <c r="AI1843">
        <v>91.109710108207906</v>
      </c>
      <c r="AJ1843">
        <v>109.08017416678599</v>
      </c>
      <c r="AK1843">
        <v>59.9168655631549</v>
      </c>
      <c r="AL1843">
        <v>68.608511529756299</v>
      </c>
      <c r="AM1843">
        <v>96.154017520180503</v>
      </c>
      <c r="AN1843">
        <v>1.0000000876167801</v>
      </c>
    </row>
    <row r="1844" spans="1:40" x14ac:dyDescent="0.25">
      <c r="A1844" t="str">
        <f>"20190304164126372"</f>
        <v>20190304164126372</v>
      </c>
      <c r="B1844" t="str">
        <f>"1551688886362769"</f>
        <v>1551688886362769</v>
      </c>
      <c r="C1844" t="s">
        <v>40</v>
      </c>
      <c r="D1844">
        <v>4.3744800000000001</v>
      </c>
      <c r="E1844">
        <v>0.4136783</v>
      </c>
      <c r="F1844" t="s">
        <v>43</v>
      </c>
      <c r="G1844">
        <v>-172.10599999999999</v>
      </c>
      <c r="H1844">
        <v>-0.05</v>
      </c>
      <c r="I1844">
        <v>268.68040000000002</v>
      </c>
      <c r="J1844">
        <v>-192.17779999999999</v>
      </c>
      <c r="K1844">
        <v>1.1104290000000001</v>
      </c>
      <c r="L1844">
        <v>322.39800000000002</v>
      </c>
      <c r="M1844">
        <v>2.468358E-2</v>
      </c>
      <c r="N1844">
        <v>-1.377513E-2</v>
      </c>
      <c r="O1844">
        <v>-0.99960039999999994</v>
      </c>
      <c r="P1844">
        <v>0.12220019999999999</v>
      </c>
      <c r="Q1844">
        <v>0.35231259999999998</v>
      </c>
      <c r="R1844">
        <v>-0.92787019999999998</v>
      </c>
      <c r="S1844">
        <v>1.1550750000000001</v>
      </c>
      <c r="T1844">
        <v>-6.6760899999999998E-2</v>
      </c>
      <c r="U1844">
        <v>-3.104279</v>
      </c>
      <c r="V1844">
        <v>-9.8772189999999996E-2</v>
      </c>
      <c r="W1844">
        <v>0.3652299</v>
      </c>
      <c r="X1844">
        <v>0.9256626</v>
      </c>
      <c r="Y1844">
        <v>-0.3254088</v>
      </c>
      <c r="Z1844">
        <v>6.5160189999999996E-3</v>
      </c>
      <c r="AA1844">
        <v>0.94555100000000003</v>
      </c>
      <c r="AB1844">
        <v>24</v>
      </c>
      <c r="AC1844">
        <v>20.0718</v>
      </c>
      <c r="AD1844">
        <v>-1.1604289999999999</v>
      </c>
      <c r="AE1844">
        <v>-53.717599999999898</v>
      </c>
      <c r="AF1844">
        <v>-18.731944170108999</v>
      </c>
      <c r="AG1844">
        <v>-1.1604289999999999</v>
      </c>
      <c r="AH1844">
        <v>54.174536777302102</v>
      </c>
      <c r="AI1844">
        <v>91.159747810504001</v>
      </c>
      <c r="AJ1844">
        <v>109.073863942434</v>
      </c>
      <c r="AK1844">
        <v>57.333347738392</v>
      </c>
      <c r="AL1844">
        <v>68.578269012033005</v>
      </c>
      <c r="AM1844">
        <v>96.090660745902895</v>
      </c>
      <c r="AN1844">
        <v>1.0000000372050799</v>
      </c>
    </row>
    <row r="1845" spans="1:40" x14ac:dyDescent="0.25">
      <c r="A1845" t="str">
        <f>"20190304164126386"</f>
        <v>20190304164126386</v>
      </c>
      <c r="B1845" t="str">
        <f>"1551688886372529"</f>
        <v>1551688886372529</v>
      </c>
      <c r="C1845" t="s">
        <v>40</v>
      </c>
      <c r="D1845">
        <v>4.3813630000000003</v>
      </c>
      <c r="E1845">
        <v>0.41362189999999999</v>
      </c>
      <c r="F1845" t="s">
        <v>43</v>
      </c>
      <c r="G1845">
        <v>-172.45419999999999</v>
      </c>
      <c r="H1845">
        <v>-0.05</v>
      </c>
      <c r="I1845">
        <v>269.03859999999997</v>
      </c>
      <c r="J1845">
        <v>-192.17500000000001</v>
      </c>
      <c r="K1845">
        <v>1.1104449999999999</v>
      </c>
      <c r="L1845">
        <v>322.2602</v>
      </c>
      <c r="M1845">
        <v>2.4211650000000001E-2</v>
      </c>
      <c r="N1845">
        <v>-1.3773519999999999E-2</v>
      </c>
      <c r="O1845">
        <v>-0.99961199999999995</v>
      </c>
      <c r="P1845">
        <v>0.12114510000000001</v>
      </c>
      <c r="Q1845">
        <v>0.35271809999999998</v>
      </c>
      <c r="R1845">
        <v>-0.92785419999999996</v>
      </c>
      <c r="S1845">
        <v>1.1486970000000001</v>
      </c>
      <c r="T1845">
        <v>-6.7583080000000004E-2</v>
      </c>
      <c r="U1845">
        <v>-3.1076350000000001</v>
      </c>
      <c r="V1845">
        <v>-9.8168599999999995E-2</v>
      </c>
      <c r="W1845">
        <v>0.36562899999999998</v>
      </c>
      <c r="X1845">
        <v>0.92556919999999998</v>
      </c>
      <c r="Y1845">
        <v>-0.32381399999999999</v>
      </c>
      <c r="Z1845">
        <v>6.7576110000000002E-3</v>
      </c>
      <c r="AA1845">
        <v>0.94609659999999995</v>
      </c>
      <c r="AB1845">
        <v>24</v>
      </c>
      <c r="AC1845">
        <v>19.720800000000001</v>
      </c>
      <c r="AD1845">
        <v>-1.1604449999999999</v>
      </c>
      <c r="AE1845">
        <v>-53.221600000000002</v>
      </c>
      <c r="AF1845">
        <v>-18.418613530239501</v>
      </c>
      <c r="AG1845">
        <v>-1.1604449999999999</v>
      </c>
      <c r="AH1845">
        <v>53.661082335788201</v>
      </c>
      <c r="AI1845">
        <v>91.171770442125506</v>
      </c>
      <c r="AJ1845">
        <v>108.944255194859</v>
      </c>
      <c r="AK1845">
        <v>56.745957692355397</v>
      </c>
      <c r="AL1845">
        <v>68.553702256019093</v>
      </c>
      <c r="AM1845">
        <v>96.054324711422396</v>
      </c>
      <c r="AN1845">
        <v>0.99999999182779997</v>
      </c>
    </row>
    <row r="1846" spans="1:40" x14ac:dyDescent="0.25">
      <c r="A1846" t="str">
        <f>"20190304164126404"</f>
        <v>20190304164126404</v>
      </c>
      <c r="B1846" t="str">
        <f>"1551688886393025"</f>
        <v>1551688886393025</v>
      </c>
      <c r="C1846" t="s">
        <v>40</v>
      </c>
      <c r="D1846">
        <v>4.4349980000000002</v>
      </c>
      <c r="E1846">
        <v>0.41356280000000001</v>
      </c>
      <c r="F1846" t="s">
        <v>43</v>
      </c>
      <c r="G1846">
        <v>-172.48410000000001</v>
      </c>
      <c r="H1846">
        <v>-0.05</v>
      </c>
      <c r="I1846">
        <v>268.77370000000002</v>
      </c>
      <c r="J1846">
        <v>-192.17089999999999</v>
      </c>
      <c r="K1846">
        <v>1.1104780000000001</v>
      </c>
      <c r="L1846">
        <v>322.05959999999999</v>
      </c>
      <c r="M1846">
        <v>2.3547530000000001E-2</v>
      </c>
      <c r="N1846">
        <v>-1.3771149999999999E-2</v>
      </c>
      <c r="O1846">
        <v>-0.99962810000000002</v>
      </c>
      <c r="P1846">
        <v>0.1189071</v>
      </c>
      <c r="Q1846">
        <v>0.35311100000000001</v>
      </c>
      <c r="R1846">
        <v>-0.92799480000000001</v>
      </c>
      <c r="S1846">
        <v>1.14473</v>
      </c>
      <c r="T1846">
        <v>-6.7462439999999999E-2</v>
      </c>
      <c r="U1846">
        <v>-3.1094360000000001</v>
      </c>
      <c r="V1846">
        <v>-9.6563969999999999E-2</v>
      </c>
      <c r="W1846">
        <v>0.36601280000000003</v>
      </c>
      <c r="X1846">
        <v>0.92558629999999997</v>
      </c>
      <c r="Y1846">
        <v>-0.32320209999999999</v>
      </c>
      <c r="Z1846">
        <v>6.7175580000000002E-3</v>
      </c>
      <c r="AA1846">
        <v>0.94630610000000004</v>
      </c>
      <c r="AB1846">
        <v>24</v>
      </c>
      <c r="AC1846">
        <v>19.686799999999899</v>
      </c>
      <c r="AD1846">
        <v>-1.1604779999999999</v>
      </c>
      <c r="AE1846">
        <v>-53.285899999999899</v>
      </c>
      <c r="AF1846">
        <v>-18.418783422507701</v>
      </c>
      <c r="AG1846">
        <v>-1.1604779999999999</v>
      </c>
      <c r="AH1846">
        <v>53.712325559785803</v>
      </c>
      <c r="AI1846">
        <v>91.170802636060699</v>
      </c>
      <c r="AJ1846">
        <v>108.927630977573</v>
      </c>
      <c r="AK1846">
        <v>56.794473401856202</v>
      </c>
      <c r="AL1846">
        <v>68.530074207963807</v>
      </c>
      <c r="AM1846">
        <v>95.9559708081553</v>
      </c>
      <c r="AN1846">
        <v>0.99999998440684501</v>
      </c>
    </row>
    <row r="1847" spans="1:40" x14ac:dyDescent="0.25">
      <c r="A1847" t="str">
        <f>"20190304164126419"</f>
        <v>20190304164126419</v>
      </c>
      <c r="B1847" t="str">
        <f>"1551688886412545"</f>
        <v>1551688886412545</v>
      </c>
      <c r="C1847" t="s">
        <v>40</v>
      </c>
      <c r="D1847">
        <v>5.0550379999999997</v>
      </c>
      <c r="E1847">
        <v>0.455509</v>
      </c>
      <c r="F1847" t="s">
        <v>45</v>
      </c>
      <c r="G1847">
        <v>-175.36580000000001</v>
      </c>
      <c r="H1847">
        <v>8.0004359999999997E-2</v>
      </c>
      <c r="I1847">
        <v>275.96839999999997</v>
      </c>
      <c r="J1847">
        <v>-192.1677</v>
      </c>
      <c r="K1847">
        <v>1.110498</v>
      </c>
      <c r="L1847">
        <v>321.89890000000003</v>
      </c>
      <c r="M1847">
        <v>2.303492E-2</v>
      </c>
      <c r="N1847">
        <v>-1.376933E-2</v>
      </c>
      <c r="O1847">
        <v>-0.99963970000000002</v>
      </c>
      <c r="P1847">
        <v>0.1171008</v>
      </c>
      <c r="Q1847">
        <v>0.35329929999999998</v>
      </c>
      <c r="R1847">
        <v>-0.92815259999999999</v>
      </c>
      <c r="S1847">
        <v>1.1353</v>
      </c>
      <c r="T1847">
        <v>-6.9615360000000001E-2</v>
      </c>
      <c r="U1847">
        <v>-3.1137700000000001</v>
      </c>
      <c r="V1847">
        <v>-9.5247509999999994E-2</v>
      </c>
      <c r="W1847">
        <v>0.36619429999999997</v>
      </c>
      <c r="X1847">
        <v>0.925651</v>
      </c>
      <c r="Y1847">
        <v>-0.32072979999999901</v>
      </c>
      <c r="Z1847">
        <v>7.36199199999999E-3</v>
      </c>
      <c r="AA1847">
        <v>0.94714209999999999</v>
      </c>
      <c r="AB1847">
        <v>24</v>
      </c>
      <c r="AC1847">
        <v>16.8018999999999</v>
      </c>
      <c r="AD1847">
        <v>-1.03049364</v>
      </c>
      <c r="AE1847">
        <v>-45.930500000000002</v>
      </c>
      <c r="AF1847">
        <v>-15.732350557056201</v>
      </c>
      <c r="AG1847">
        <v>-1.03049364</v>
      </c>
      <c r="AH1847">
        <v>46.284829037588302</v>
      </c>
      <c r="AI1847">
        <v>91.207601264262294</v>
      </c>
      <c r="AJ1847">
        <v>108.773049407694</v>
      </c>
      <c r="AK1847">
        <v>48.896361523440198</v>
      </c>
      <c r="AL1847">
        <v>68.518900975081905</v>
      </c>
      <c r="AM1847">
        <v>95.874936952304907</v>
      </c>
      <c r="AN1847">
        <v>1.0000000636573401</v>
      </c>
    </row>
    <row r="1848" spans="1:40" x14ac:dyDescent="0.25">
      <c r="A1848" t="str">
        <f>"20190304164126438"</f>
        <v>20190304164126438</v>
      </c>
      <c r="B1848" t="str">
        <f>"1551688886433041"</f>
        <v>1551688886433041</v>
      </c>
      <c r="C1848" t="s">
        <v>40</v>
      </c>
      <c r="D1848">
        <v>4.5083070000000003</v>
      </c>
      <c r="E1848">
        <v>0.52846219999999999</v>
      </c>
      <c r="F1848" t="s">
        <v>45</v>
      </c>
      <c r="G1848">
        <v>-184.75970000000001</v>
      </c>
      <c r="H1848" s="1">
        <v>2.0520250000000001E-6</v>
      </c>
      <c r="I1848">
        <v>292.50720000000001</v>
      </c>
      <c r="J1848">
        <v>-192.16380000000001</v>
      </c>
      <c r="K1848">
        <v>1.110514</v>
      </c>
      <c r="L1848">
        <v>321.69639999999998</v>
      </c>
      <c r="M1848">
        <v>2.2412000000000001E-2</v>
      </c>
      <c r="N1848">
        <v>-1.3766769999999999E-2</v>
      </c>
      <c r="O1848">
        <v>-0.99965440000000005</v>
      </c>
      <c r="P1848">
        <v>0.114061999999999</v>
      </c>
      <c r="Q1848">
        <v>0.35342319999999999</v>
      </c>
      <c r="R1848">
        <v>-0.92848419999999998</v>
      </c>
      <c r="S1848">
        <v>0.800705</v>
      </c>
      <c r="T1848">
        <v>-0.12003</v>
      </c>
      <c r="U1848">
        <v>-3.1768489999999998</v>
      </c>
      <c r="V1848">
        <v>-9.2802179999999998E-2</v>
      </c>
      <c r="W1848">
        <v>0.36631059999999999</v>
      </c>
      <c r="X1848">
        <v>0.92585329999999999</v>
      </c>
      <c r="Y1848">
        <v>-0.2224642</v>
      </c>
      <c r="Z1848">
        <v>2.2973070000000002E-2</v>
      </c>
      <c r="AA1848">
        <v>0.97467020000000004</v>
      </c>
      <c r="AB1848">
        <v>24</v>
      </c>
      <c r="AC1848">
        <v>7.4040999999999997</v>
      </c>
      <c r="AD1848">
        <v>-1.1105119479750001</v>
      </c>
      <c r="AE1848">
        <v>-29.1891999999999</v>
      </c>
      <c r="AF1848">
        <v>-6.7388253599387804</v>
      </c>
      <c r="AG1848">
        <v>-1.1105119479750001</v>
      </c>
      <c r="AH1848">
        <v>29.307966066083299</v>
      </c>
      <c r="AI1848">
        <v>92.114831785304304</v>
      </c>
      <c r="AJ1848">
        <v>102.94903829721299</v>
      </c>
      <c r="AK1848">
        <v>30.093219816912899</v>
      </c>
      <c r="AL1848">
        <v>68.511738833240301</v>
      </c>
      <c r="AM1848">
        <v>95.723879571282097</v>
      </c>
      <c r="AN1848">
        <v>1.0000000167030001</v>
      </c>
    </row>
    <row r="1849" spans="1:40" x14ac:dyDescent="0.25">
      <c r="A1849" t="str">
        <f>"20190304164126461"</f>
        <v>20190304164126461</v>
      </c>
      <c r="B1849" t="str">
        <f>"1551688886452561"</f>
        <v>1551688886452561</v>
      </c>
      <c r="C1849" t="s">
        <v>40</v>
      </c>
      <c r="D1849">
        <v>4.5411590000000004</v>
      </c>
      <c r="E1849">
        <v>0.5533074</v>
      </c>
      <c r="F1849" t="s">
        <v>42</v>
      </c>
      <c r="G1849">
        <v>-190.9426</v>
      </c>
      <c r="H1849" s="1">
        <v>-1.83585E-6</v>
      </c>
      <c r="I1849">
        <v>303.28390000000002</v>
      </c>
      <c r="J1849">
        <v>-192.15940000000001</v>
      </c>
      <c r="K1849">
        <v>1.11053</v>
      </c>
      <c r="L1849">
        <v>321.46469999999999</v>
      </c>
      <c r="M1849">
        <v>2.1729310000000002E-2</v>
      </c>
      <c r="N1849">
        <v>-1.3763940000000001E-2</v>
      </c>
      <c r="O1849">
        <v>-0.99966909999999998</v>
      </c>
      <c r="P1849">
        <v>0.1123396</v>
      </c>
      <c r="Q1849">
        <v>0.35263359999999999</v>
      </c>
      <c r="R1849">
        <v>-0.92899359999999997</v>
      </c>
      <c r="S1849">
        <v>0.21752929999999901</v>
      </c>
      <c r="T1849">
        <v>-0.19780529999999999</v>
      </c>
      <c r="U1849">
        <v>-3.279633</v>
      </c>
      <c r="V1849">
        <v>-9.1727820000000002E-2</v>
      </c>
      <c r="W1849">
        <v>0.3655175</v>
      </c>
      <c r="X1849">
        <v>0.92627369999999998</v>
      </c>
      <c r="Y1849">
        <v>-4.4388850000000001E-2</v>
      </c>
      <c r="Z1849">
        <v>4.6352299999999999E-2</v>
      </c>
      <c r="AA1849">
        <v>0.9979384</v>
      </c>
      <c r="AB1849">
        <v>24</v>
      </c>
      <c r="AC1849">
        <v>1.2168000000000001</v>
      </c>
      <c r="AD1849">
        <v>-1.11053183585</v>
      </c>
      <c r="AE1849">
        <v>-18.180799999999898</v>
      </c>
      <c r="AF1849">
        <v>-0.818379134021053</v>
      </c>
      <c r="AG1849">
        <v>-1.11053183585</v>
      </c>
      <c r="AH1849">
        <v>18.135585452521202</v>
      </c>
      <c r="AI1849">
        <v>93.500575797753697</v>
      </c>
      <c r="AJ1849">
        <v>92.583753467595301</v>
      </c>
      <c r="AK1849">
        <v>18.187976387469199</v>
      </c>
      <c r="AL1849">
        <v>68.560566031789406</v>
      </c>
      <c r="AM1849">
        <v>95.655496022308299</v>
      </c>
      <c r="AN1849">
        <v>1.00000000153994</v>
      </c>
    </row>
    <row r="1850" spans="1:40" x14ac:dyDescent="0.25">
      <c r="A1850" t="str">
        <f>"20190304164126476"</f>
        <v>20190304164126476</v>
      </c>
      <c r="B1850" t="str">
        <f>"1551688886463297"</f>
        <v>1551688886463297</v>
      </c>
      <c r="C1850" t="s">
        <v>40</v>
      </c>
      <c r="D1850">
        <v>4.5928259999999996</v>
      </c>
      <c r="E1850">
        <v>0.55950580000000005</v>
      </c>
      <c r="F1850" t="s">
        <v>42</v>
      </c>
      <c r="G1850">
        <v>-192.0745</v>
      </c>
      <c r="H1850" s="1">
        <v>-4.2488199999999996E-6</v>
      </c>
      <c r="I1850">
        <v>308.39080000000001</v>
      </c>
      <c r="J1850">
        <v>-192.15639999999999</v>
      </c>
      <c r="K1850">
        <v>1.110547</v>
      </c>
      <c r="L1850">
        <v>321.30270000000002</v>
      </c>
      <c r="M1850">
        <v>2.1273810000000001E-2</v>
      </c>
      <c r="N1850">
        <v>-1.376198E-2</v>
      </c>
      <c r="O1850">
        <v>-0.99967910000000004</v>
      </c>
      <c r="P1850">
        <v>0.112</v>
      </c>
      <c r="Q1850">
        <v>0.35191800000000001</v>
      </c>
      <c r="R1850">
        <v>-0.92930630000000003</v>
      </c>
      <c r="S1850">
        <v>2.165222E-2</v>
      </c>
      <c r="T1850">
        <v>-0.28321950000000001</v>
      </c>
      <c r="U1850">
        <v>-3.3342290000000001</v>
      </c>
      <c r="V1850">
        <v>-9.1820490000000005E-2</v>
      </c>
      <c r="W1850">
        <v>0.36480020000000002</v>
      </c>
      <c r="X1850">
        <v>0.92654729999999996</v>
      </c>
      <c r="Y1850">
        <v>1.478937E-2</v>
      </c>
      <c r="Z1850">
        <v>7.0884359999999993E-2</v>
      </c>
      <c r="AA1850">
        <v>0.99737489999999995</v>
      </c>
      <c r="AB1850">
        <v>24</v>
      </c>
      <c r="AC1850">
        <v>8.18999999999903E-2</v>
      </c>
      <c r="AD1850">
        <v>-1.11055124882</v>
      </c>
      <c r="AE1850">
        <v>-12.911899999999999</v>
      </c>
      <c r="AF1850">
        <v>0.19141385815765699</v>
      </c>
      <c r="AG1850">
        <v>-1.11055124882</v>
      </c>
      <c r="AH1850">
        <v>12.8159152819401</v>
      </c>
      <c r="AI1850">
        <v>94.9519916990442</v>
      </c>
      <c r="AJ1850">
        <v>89.144314660026595</v>
      </c>
      <c r="AK1850">
        <v>12.865366215355699</v>
      </c>
      <c r="AL1850">
        <v>68.604713790867905</v>
      </c>
      <c r="AM1850">
        <v>95.659511680571896</v>
      </c>
      <c r="AN1850">
        <v>1.00000004372058</v>
      </c>
    </row>
    <row r="1851" spans="1:40" x14ac:dyDescent="0.25">
      <c r="A1851" t="str">
        <f>"20190304164126495"</f>
        <v>20190304164126495</v>
      </c>
      <c r="B1851" t="str">
        <f>"1551688886482817"</f>
        <v>1551688886482817</v>
      </c>
      <c r="C1851" t="s">
        <v>40</v>
      </c>
      <c r="D1851">
        <v>4.5570320000000004</v>
      </c>
      <c r="E1851">
        <v>0.56659989999999905</v>
      </c>
      <c r="F1851" t="s">
        <v>41</v>
      </c>
      <c r="G1851">
        <v>-192.1626</v>
      </c>
      <c r="H1851">
        <v>1.036419</v>
      </c>
      <c r="I1851">
        <v>320.51639999999998</v>
      </c>
      <c r="J1851">
        <v>-192.15289999999999</v>
      </c>
      <c r="K1851">
        <v>1.1105579999999999</v>
      </c>
      <c r="L1851">
        <v>321.10919999999999</v>
      </c>
      <c r="M1851">
        <v>2.074432E-2</v>
      </c>
      <c r="N1851">
        <v>-1.375965E-2</v>
      </c>
      <c r="O1851">
        <v>-0.99969019999999997</v>
      </c>
      <c r="P1851">
        <v>0.11179600000000001</v>
      </c>
      <c r="Q1851">
        <v>0.35058830000000002</v>
      </c>
      <c r="R1851">
        <v>-0.92983320000000003</v>
      </c>
      <c r="S1851">
        <v>-2.6489260000000001E-2</v>
      </c>
      <c r="T1851">
        <v>-0.31596299999999999</v>
      </c>
      <c r="U1851">
        <v>-3.3510439999999999</v>
      </c>
      <c r="V1851">
        <v>-9.2114860000000007E-2</v>
      </c>
      <c r="W1851">
        <v>0.3634714</v>
      </c>
      <c r="X1851">
        <v>0.92704010000000003</v>
      </c>
      <c r="Y1851">
        <v>2.8601789999999998E-2</v>
      </c>
      <c r="Z1851">
        <v>8.0111779999999994E-2</v>
      </c>
      <c r="AA1851">
        <v>0.99637540000000002</v>
      </c>
      <c r="AB1851">
        <v>23</v>
      </c>
      <c r="AC1851">
        <v>-9.7000000000093695E-3</v>
      </c>
      <c r="AD1851">
        <v>-7.4138999999999899E-2</v>
      </c>
      <c r="AE1851">
        <v>-0.59280000000001098</v>
      </c>
      <c r="AF1851">
        <v>2.16576422469059E-2</v>
      </c>
      <c r="AG1851">
        <v>-7.4138999999999899E-2</v>
      </c>
      <c r="AH1851">
        <v>0.58334918857190898</v>
      </c>
      <c r="AI1851">
        <v>97.238069369209995</v>
      </c>
      <c r="AJ1851">
        <v>87.873791795217599</v>
      </c>
      <c r="AK1851">
        <v>0.588440243861856</v>
      </c>
      <c r="AL1851">
        <v>68.686459189022898</v>
      </c>
      <c r="AM1851">
        <v>95.674538935243007</v>
      </c>
      <c r="AN1851">
        <v>0.99999997652939399</v>
      </c>
    </row>
    <row r="1852" spans="1:40" x14ac:dyDescent="0.25">
      <c r="A1852" t="str">
        <f>"20190304164126516"</f>
        <v>20190304164126516</v>
      </c>
      <c r="B1852" t="str">
        <f>"1551688886503314"</f>
        <v>1551688886503314</v>
      </c>
      <c r="C1852" t="s">
        <v>40</v>
      </c>
      <c r="D1852">
        <v>4.5828189999999998</v>
      </c>
      <c r="E1852">
        <v>0.56975120000000001</v>
      </c>
      <c r="F1852" t="s">
        <v>41</v>
      </c>
      <c r="G1852">
        <v>-192.17230000000001</v>
      </c>
      <c r="H1852">
        <v>1.0270509999999999</v>
      </c>
      <c r="I1852">
        <v>320.31110000000001</v>
      </c>
      <c r="J1852">
        <v>-192.149</v>
      </c>
      <c r="K1852">
        <v>1.1105750000000001</v>
      </c>
      <c r="L1852">
        <v>320.88619999999997</v>
      </c>
      <c r="M1852">
        <v>2.015163E-2</v>
      </c>
      <c r="N1852">
        <v>-1.3756930000000001E-2</v>
      </c>
      <c r="O1852">
        <v>-0.99970210000000004</v>
      </c>
      <c r="P1852">
        <v>0.1107394</v>
      </c>
      <c r="Q1852">
        <v>0.34981010000000001</v>
      </c>
      <c r="R1852">
        <v>-0.93025230000000003</v>
      </c>
      <c r="S1852">
        <v>-8.1298830000000002E-2</v>
      </c>
      <c r="T1852">
        <v>-0.35274909999999998</v>
      </c>
      <c r="U1852">
        <v>-3.3691710000000001</v>
      </c>
      <c r="V1852">
        <v>-9.1615569999999993E-2</v>
      </c>
      <c r="W1852">
        <v>0.36269210000000002</v>
      </c>
      <c r="X1852">
        <v>0.92739470000000002</v>
      </c>
      <c r="Y1852">
        <v>4.413131E-2</v>
      </c>
      <c r="Z1852">
        <v>9.033716E-2</v>
      </c>
      <c r="AA1852">
        <v>0.99493290000000001</v>
      </c>
      <c r="AB1852">
        <v>23</v>
      </c>
      <c r="AC1852">
        <v>-2.3300000000006E-2</v>
      </c>
      <c r="AD1852">
        <v>-8.3524000000000098E-2</v>
      </c>
      <c r="AE1852">
        <v>-0.57509999999996297</v>
      </c>
      <c r="AF1852">
        <v>3.4166088903646197E-2</v>
      </c>
      <c r="AG1852">
        <v>-8.3524000000000098E-2</v>
      </c>
      <c r="AH1852">
        <v>0.562664846105979</v>
      </c>
      <c r="AI1852">
        <v>98.428233152327707</v>
      </c>
      <c r="AJ1852">
        <v>86.525156914901899</v>
      </c>
      <c r="AK1852">
        <v>0.569855516118285</v>
      </c>
      <c r="AL1852">
        <v>68.734379468990198</v>
      </c>
      <c r="AM1852">
        <v>95.641836247347797</v>
      </c>
      <c r="AN1852">
        <v>0.99999995082846105</v>
      </c>
    </row>
    <row r="1853" spans="1:40" x14ac:dyDescent="0.25">
      <c r="A1853" t="str">
        <f>"20190304164126529"</f>
        <v>20190304164126529</v>
      </c>
      <c r="B1853" t="str">
        <f>"1551688886522834"</f>
        <v>1551688886522834</v>
      </c>
      <c r="C1853" t="s">
        <v>40</v>
      </c>
      <c r="D1853">
        <v>4.6143900000000002</v>
      </c>
      <c r="E1853">
        <v>0.57181669999999996</v>
      </c>
      <c r="F1853" t="s">
        <v>41</v>
      </c>
      <c r="G1853">
        <v>-192.17439999999999</v>
      </c>
      <c r="H1853">
        <v>1.0228349999999999</v>
      </c>
      <c r="I1853">
        <v>320.1037</v>
      </c>
      <c r="J1853">
        <v>-192.1465</v>
      </c>
      <c r="K1853">
        <v>1.1105860000000001</v>
      </c>
      <c r="L1853">
        <v>320.74290000000002</v>
      </c>
      <c r="M1853">
        <v>1.977723E-2</v>
      </c>
      <c r="N1853">
        <v>-1.375519E-2</v>
      </c>
      <c r="O1853">
        <v>-0.99970999999999999</v>
      </c>
      <c r="P1853">
        <v>0.1098976</v>
      </c>
      <c r="Q1853">
        <v>0.34984959999999998</v>
      </c>
      <c r="R1853">
        <v>-0.93033790000000005</v>
      </c>
      <c r="S1853">
        <v>-0.10911559999999999</v>
      </c>
      <c r="T1853">
        <v>-0.3791757</v>
      </c>
      <c r="U1853">
        <v>-3.380493</v>
      </c>
      <c r="V1853">
        <v>-9.1126860000000004E-2</v>
      </c>
      <c r="W1853">
        <v>0.36272860000000001</v>
      </c>
      <c r="X1853">
        <v>0.92742869999999999</v>
      </c>
      <c r="Y1853">
        <v>5.1824540000000002E-2</v>
      </c>
      <c r="Z1853">
        <v>9.7646150000000001E-2</v>
      </c>
      <c r="AA1853">
        <v>0.9938709</v>
      </c>
      <c r="AB1853">
        <v>23</v>
      </c>
      <c r="AC1853">
        <v>-2.7899999999988202E-2</v>
      </c>
      <c r="AD1853">
        <v>-8.7751000000000107E-2</v>
      </c>
      <c r="AE1853">
        <v>-0.63920000000001598</v>
      </c>
      <c r="AF1853">
        <v>3.9788885720330798E-2</v>
      </c>
      <c r="AG1853">
        <v>-8.7751000000000107E-2</v>
      </c>
      <c r="AH1853">
        <v>0.62673384317251302</v>
      </c>
      <c r="AI1853">
        <v>97.954542564504607</v>
      </c>
      <c r="AJ1853">
        <v>86.367389728364898</v>
      </c>
      <c r="AK1853">
        <v>0.63409676202110798</v>
      </c>
      <c r="AL1853">
        <v>68.732137959987199</v>
      </c>
      <c r="AM1853">
        <v>95.611728888526898</v>
      </c>
      <c r="AN1853">
        <v>1.00000006772755</v>
      </c>
    </row>
    <row r="1854" spans="1:40" x14ac:dyDescent="0.25">
      <c r="A1854" t="str">
        <f>"20190304164126543"</f>
        <v>20190304164126543</v>
      </c>
      <c r="B1854" t="str">
        <f>"1551688886532594"</f>
        <v>1551688886532594</v>
      </c>
      <c r="C1854" t="s">
        <v>40</v>
      </c>
      <c r="D1854">
        <v>4.6002369999999999</v>
      </c>
      <c r="E1854">
        <v>0.572577</v>
      </c>
      <c r="F1854" t="s">
        <v>41</v>
      </c>
      <c r="G1854">
        <v>-192.1788</v>
      </c>
      <c r="H1854">
        <v>1.013493</v>
      </c>
      <c r="I1854">
        <v>319.89909999999998</v>
      </c>
      <c r="J1854">
        <v>-192.14420000000001</v>
      </c>
      <c r="K1854">
        <v>1.110592</v>
      </c>
      <c r="L1854">
        <v>320.60410000000002</v>
      </c>
      <c r="M1854">
        <v>1.9416989999999999E-2</v>
      </c>
      <c r="N1854">
        <v>-1.375352E-2</v>
      </c>
      <c r="O1854">
        <v>-0.99971690000000002</v>
      </c>
      <c r="P1854">
        <v>0.1089806</v>
      </c>
      <c r="Q1854">
        <v>0.35002719999999998</v>
      </c>
      <c r="R1854">
        <v>-0.9303787</v>
      </c>
      <c r="S1854">
        <v>-0.12887570000000001</v>
      </c>
      <c r="T1854">
        <v>-0.38979710000000001</v>
      </c>
      <c r="U1854">
        <v>-3.3864749999999999</v>
      </c>
      <c r="V1854">
        <v>-9.0548859999999995E-2</v>
      </c>
      <c r="W1854">
        <v>0.36290319999999998</v>
      </c>
      <c r="X1854">
        <v>0.92741689999999999</v>
      </c>
      <c r="Y1854">
        <v>5.7182740000000003E-2</v>
      </c>
      <c r="Z1854">
        <v>0.1005032</v>
      </c>
      <c r="AA1854">
        <v>0.99329219999999896</v>
      </c>
      <c r="AB1854">
        <v>23</v>
      </c>
      <c r="AC1854">
        <v>-3.4599999999983297E-2</v>
      </c>
      <c r="AD1854">
        <v>-9.7099000000000005E-2</v>
      </c>
      <c r="AE1854">
        <v>-0.70500000000004004</v>
      </c>
      <c r="AF1854">
        <v>4.7387009720265598E-2</v>
      </c>
      <c r="AG1854">
        <v>-9.7099000000000005E-2</v>
      </c>
      <c r="AH1854">
        <v>0.69111667432255397</v>
      </c>
      <c r="AI1854">
        <v>97.978978872836606</v>
      </c>
      <c r="AJ1854">
        <v>86.077604623787906</v>
      </c>
      <c r="AK1854">
        <v>0.699511259393225</v>
      </c>
      <c r="AL1854">
        <v>68.721400384399303</v>
      </c>
      <c r="AM1854">
        <v>95.576430340029702</v>
      </c>
      <c r="AN1854">
        <v>0.99999996751157405</v>
      </c>
    </row>
    <row r="1855" spans="1:40" x14ac:dyDescent="0.25">
      <c r="A1855" t="str">
        <f>"20190304164126561"</f>
        <v>20190304164126561</v>
      </c>
      <c r="B1855" t="str">
        <f>"1551688886553089"</f>
        <v>1551688886553089</v>
      </c>
      <c r="C1855" t="s">
        <v>40</v>
      </c>
      <c r="D1855">
        <v>4.6129410000000002</v>
      </c>
      <c r="E1855">
        <v>0.57375500000000001</v>
      </c>
      <c r="F1855" t="s">
        <v>41</v>
      </c>
      <c r="G1855">
        <v>-192.1816</v>
      </c>
      <c r="H1855">
        <v>1.0052829999999999</v>
      </c>
      <c r="I1855">
        <v>319.69409999999999</v>
      </c>
      <c r="J1855">
        <v>-192.14099999999999</v>
      </c>
      <c r="K1855">
        <v>1.1106009999999999</v>
      </c>
      <c r="L1855">
        <v>320.40789999999998</v>
      </c>
      <c r="M1855">
        <v>1.8910610000000001E-2</v>
      </c>
      <c r="N1855">
        <v>-1.3751330000000001E-2</v>
      </c>
      <c r="O1855">
        <v>-0.99972689999999997</v>
      </c>
      <c r="P1855">
        <v>0.1059329</v>
      </c>
      <c r="Q1855">
        <v>0.35094890000000001</v>
      </c>
      <c r="R1855">
        <v>-0.93038370000000004</v>
      </c>
      <c r="S1855">
        <v>-0.13917539999999901</v>
      </c>
      <c r="T1855">
        <v>-0.39217600000000002</v>
      </c>
      <c r="U1855">
        <v>-3.3883359999999998</v>
      </c>
      <c r="V1855">
        <v>-8.7974659999999996E-2</v>
      </c>
      <c r="W1855">
        <v>0.36381829999999998</v>
      </c>
      <c r="X1855">
        <v>0.92730619999999997</v>
      </c>
      <c r="Y1855">
        <v>5.9665749999999997E-2</v>
      </c>
      <c r="Z1855">
        <v>0.101118</v>
      </c>
      <c r="AA1855">
        <v>0.99308370000000001</v>
      </c>
      <c r="AB1855">
        <v>23</v>
      </c>
      <c r="AC1855">
        <v>-4.0600000000011897E-2</v>
      </c>
      <c r="AD1855">
        <v>-0.10531799999999999</v>
      </c>
      <c r="AE1855">
        <v>-0.713799999999992</v>
      </c>
      <c r="AF1855">
        <v>5.2943556644092102E-2</v>
      </c>
      <c r="AG1855">
        <v>-0.10531799999999999</v>
      </c>
      <c r="AH1855">
        <v>0.69776338598885401</v>
      </c>
      <c r="AI1855">
        <v>98.559001523408995</v>
      </c>
      <c r="AJ1855">
        <v>85.660934527917107</v>
      </c>
      <c r="AK1855">
        <v>0.70765008594697199</v>
      </c>
      <c r="AL1855">
        <v>68.665123998389802</v>
      </c>
      <c r="AM1855">
        <v>95.419499211826306</v>
      </c>
      <c r="AN1855">
        <v>1.00000004238772</v>
      </c>
    </row>
    <row r="1856" spans="1:40" x14ac:dyDescent="0.25">
      <c r="A1856" t="str">
        <f>"20190304164126576"</f>
        <v>20190304164126576</v>
      </c>
      <c r="B1856" t="str">
        <f>"1551688886562849"</f>
        <v>1551688886562849</v>
      </c>
      <c r="C1856" t="s">
        <v>40</v>
      </c>
      <c r="D1856">
        <v>4.6068509999999998</v>
      </c>
      <c r="E1856">
        <v>0.57420340000000003</v>
      </c>
      <c r="F1856" t="s">
        <v>41</v>
      </c>
      <c r="G1856">
        <v>-192.1756</v>
      </c>
      <c r="H1856">
        <v>1.0260739999999999</v>
      </c>
      <c r="I1856">
        <v>319.68389999999999</v>
      </c>
      <c r="J1856">
        <v>-192.1387</v>
      </c>
      <c r="K1856">
        <v>1.1106</v>
      </c>
      <c r="L1856">
        <v>320.26560000000001</v>
      </c>
      <c r="M1856">
        <v>1.85431E-2</v>
      </c>
      <c r="N1856">
        <v>-1.3749870000000001E-2</v>
      </c>
      <c r="O1856">
        <v>-0.99973380000000001</v>
      </c>
      <c r="P1856">
        <v>0.10397480000000001</v>
      </c>
      <c r="Q1856">
        <v>0.35131390000000001</v>
      </c>
      <c r="R1856">
        <v>-0.93046669999999998</v>
      </c>
      <c r="S1856">
        <v>-0.16165160000000001</v>
      </c>
      <c r="T1856">
        <v>-0.3961829</v>
      </c>
      <c r="U1856">
        <v>-3.3923030000000001</v>
      </c>
      <c r="V1856">
        <v>-8.6357630000000005E-2</v>
      </c>
      <c r="W1856">
        <v>0.36418080000000003</v>
      </c>
      <c r="X1856">
        <v>0.92731589999999997</v>
      </c>
      <c r="Y1856">
        <v>6.5806110000000001E-2</v>
      </c>
      <c r="Z1856">
        <v>0.10210569999999999</v>
      </c>
      <c r="AA1856">
        <v>0.99259450000000005</v>
      </c>
      <c r="AB1856">
        <v>23</v>
      </c>
      <c r="AC1856">
        <v>-3.6900000000002799E-2</v>
      </c>
      <c r="AD1856">
        <v>-8.4526000000000101E-2</v>
      </c>
      <c r="AE1856">
        <v>-0.58170000000001199</v>
      </c>
      <c r="AF1856">
        <v>4.6699111830296298E-2</v>
      </c>
      <c r="AG1856">
        <v>-8.4526000000000101E-2</v>
      </c>
      <c r="AH1856">
        <v>0.568950651010244</v>
      </c>
      <c r="AI1856">
        <v>98.422408316196297</v>
      </c>
      <c r="AJ1856">
        <v>85.307716905711999</v>
      </c>
      <c r="AK1856">
        <v>0.57708777062654704</v>
      </c>
      <c r="AL1856">
        <v>68.642824391426103</v>
      </c>
      <c r="AM1856">
        <v>95.320407003303202</v>
      </c>
      <c r="AN1856">
        <v>1.0000000368703299</v>
      </c>
    </row>
    <row r="1857" spans="1:40" x14ac:dyDescent="0.25">
      <c r="A1857" t="str">
        <f>"20190304164126594"</f>
        <v>20190304164126594</v>
      </c>
      <c r="B1857" t="str">
        <f>"1551688886582876"</f>
        <v>1551688886582876</v>
      </c>
      <c r="C1857" t="s">
        <v>40</v>
      </c>
      <c r="D1857">
        <v>4.5507090000000003</v>
      </c>
      <c r="E1857">
        <v>0.57507509999999995</v>
      </c>
      <c r="F1857" t="s">
        <v>41</v>
      </c>
      <c r="G1857">
        <v>-192.1789</v>
      </c>
      <c r="H1857">
        <v>1.018591</v>
      </c>
      <c r="I1857">
        <v>319.47890000000001</v>
      </c>
      <c r="J1857">
        <v>-192.13570000000001</v>
      </c>
      <c r="K1857">
        <v>1.110603</v>
      </c>
      <c r="L1857">
        <v>320.07220000000001</v>
      </c>
      <c r="M1857">
        <v>1.8041649999999999E-2</v>
      </c>
      <c r="N1857">
        <v>-1.37479E-2</v>
      </c>
      <c r="O1857">
        <v>-0.99974289999999999</v>
      </c>
      <c r="P1857">
        <v>9.9236080000000004E-2</v>
      </c>
      <c r="Q1857">
        <v>0.35041709999999998</v>
      </c>
      <c r="R1857">
        <v>-0.93132179999999998</v>
      </c>
      <c r="S1857">
        <v>-0.17294309999999999</v>
      </c>
      <c r="T1857">
        <v>-0.39702549999999998</v>
      </c>
      <c r="U1857">
        <v>-3.3934329999999999</v>
      </c>
      <c r="V1857">
        <v>-8.2071740000000004E-2</v>
      </c>
      <c r="W1857">
        <v>0.36328840000000001</v>
      </c>
      <c r="X1857">
        <v>0.92805479999999996</v>
      </c>
      <c r="Y1857">
        <v>6.85809E-2</v>
      </c>
      <c r="Z1857">
        <v>0.102294</v>
      </c>
      <c r="AA1857">
        <v>0.99238729999999997</v>
      </c>
      <c r="AB1857">
        <v>23</v>
      </c>
      <c r="AC1857">
        <v>-4.3199999999984501E-2</v>
      </c>
      <c r="AD1857">
        <v>-9.2011999999999899E-2</v>
      </c>
      <c r="AE1857">
        <v>-0.59329999999999905</v>
      </c>
      <c r="AF1857">
        <v>5.2638729922087901E-2</v>
      </c>
      <c r="AG1857">
        <v>-9.2011999999999899E-2</v>
      </c>
      <c r="AH1857">
        <v>0.57858163497103599</v>
      </c>
      <c r="AI1857">
        <v>98.999538244811802</v>
      </c>
      <c r="AJ1857">
        <v>84.801603231150494</v>
      </c>
      <c r="AK1857">
        <v>0.58821233611474699</v>
      </c>
      <c r="AL1857">
        <v>68.697713558358998</v>
      </c>
      <c r="AM1857">
        <v>95.053756615529693</v>
      </c>
      <c r="AN1857">
        <v>0.99999997194211299</v>
      </c>
    </row>
    <row r="1858" spans="1:40" x14ac:dyDescent="0.25">
      <c r="A1858" t="str">
        <f>"20190304164126617"</f>
        <v>20190304164126617</v>
      </c>
      <c r="B1858" t="str">
        <f>"1551688886602396"</f>
        <v>1551688886602396</v>
      </c>
      <c r="C1858" t="s">
        <v>40</v>
      </c>
      <c r="D1858">
        <v>4.5701199999999904</v>
      </c>
      <c r="E1858">
        <v>0.57573830000000004</v>
      </c>
      <c r="F1858" t="s">
        <v>41</v>
      </c>
      <c r="G1858">
        <v>-192.18260000000001</v>
      </c>
      <c r="H1858">
        <v>1.0160119999999999</v>
      </c>
      <c r="I1858">
        <v>319.27159999999998</v>
      </c>
      <c r="J1858">
        <v>-192.13220000000001</v>
      </c>
      <c r="K1858">
        <v>1.1105959999999999</v>
      </c>
      <c r="L1858">
        <v>319.83909999999997</v>
      </c>
      <c r="M1858">
        <v>1.7432820000000002E-2</v>
      </c>
      <c r="N1858">
        <v>-1.3745520000000001E-2</v>
      </c>
      <c r="O1858">
        <v>-0.99975380000000003</v>
      </c>
      <c r="P1858">
        <v>9.5606880000000005E-2</v>
      </c>
      <c r="Q1858">
        <v>0.349821299999999</v>
      </c>
      <c r="R1858">
        <v>-0.93192540000000001</v>
      </c>
      <c r="S1858">
        <v>-0.19798279999999999</v>
      </c>
      <c r="T1858">
        <v>-0.40111350000000001</v>
      </c>
      <c r="U1858">
        <v>-3.3932500000000001</v>
      </c>
      <c r="V1858">
        <v>-7.899892E-2</v>
      </c>
      <c r="W1858">
        <v>0.36269469999999998</v>
      </c>
      <c r="X1858">
        <v>0.92855350000000003</v>
      </c>
      <c r="Y1858">
        <v>7.5262200000000001E-2</v>
      </c>
      <c r="Z1858">
        <v>0.1034318</v>
      </c>
      <c r="AA1858">
        <v>0.99178500000000003</v>
      </c>
      <c r="AB1858">
        <v>23</v>
      </c>
      <c r="AC1858">
        <v>-5.0399999999996198E-2</v>
      </c>
      <c r="AD1858">
        <v>-9.4583999999999696E-2</v>
      </c>
      <c r="AE1858">
        <v>-0.56749999999999501</v>
      </c>
      <c r="AF1858">
        <v>5.8669421674949797E-2</v>
      </c>
      <c r="AG1858">
        <v>-9.4583999999999696E-2</v>
      </c>
      <c r="AH1858">
        <v>0.55133969103009495</v>
      </c>
      <c r="AI1858">
        <v>99.680892181915397</v>
      </c>
      <c r="AJ1858">
        <v>83.925872437930593</v>
      </c>
      <c r="AK1858">
        <v>0.56246216672842397</v>
      </c>
      <c r="AL1858">
        <v>68.734219341830396</v>
      </c>
      <c r="AM1858">
        <v>94.862865923421893</v>
      </c>
      <c r="AN1858">
        <v>0.99999993856575098</v>
      </c>
    </row>
    <row r="1859" spans="1:40" x14ac:dyDescent="0.25">
      <c r="A1859" t="str">
        <f>"20190304164126639"</f>
        <v>20190304164126639</v>
      </c>
      <c r="B1859" t="str">
        <f>"1551688886632654"</f>
        <v>1551688886632654</v>
      </c>
      <c r="C1859" t="s">
        <v>40</v>
      </c>
      <c r="D1859">
        <v>4.5810519999999997</v>
      </c>
      <c r="E1859">
        <v>0.57642130000000003</v>
      </c>
      <c r="F1859" t="s">
        <v>41</v>
      </c>
      <c r="G1859">
        <v>-192.1816</v>
      </c>
      <c r="H1859">
        <v>1.0181880000000001</v>
      </c>
      <c r="I1859">
        <v>319.06240000000003</v>
      </c>
      <c r="J1859">
        <v>-192.12880000000001</v>
      </c>
      <c r="K1859">
        <v>1.110595</v>
      </c>
      <c r="L1859">
        <v>319.596</v>
      </c>
      <c r="M1859">
        <v>1.6792359999999999E-2</v>
      </c>
      <c r="N1859">
        <v>-1.374301E-2</v>
      </c>
      <c r="O1859">
        <v>-0.9997646</v>
      </c>
      <c r="P1859">
        <v>9.1225470000000003E-2</v>
      </c>
      <c r="Q1859">
        <v>0.34918919999999998</v>
      </c>
      <c r="R1859">
        <v>-0.93260100000000001</v>
      </c>
      <c r="S1859">
        <v>-0.2150116</v>
      </c>
      <c r="T1859">
        <v>-0.40384520000000002</v>
      </c>
      <c r="U1859">
        <v>-3.3928219999999998</v>
      </c>
      <c r="V1859">
        <v>-7.5202699999999997E-2</v>
      </c>
      <c r="W1859">
        <v>0.36206460000000001</v>
      </c>
      <c r="X1859">
        <v>0.92911449999999995</v>
      </c>
      <c r="Y1859">
        <v>7.9579960000000005E-2</v>
      </c>
      <c r="Z1859">
        <v>0.10420069999999999</v>
      </c>
      <c r="AA1859">
        <v>0.99136729999999995</v>
      </c>
      <c r="AB1859">
        <v>23</v>
      </c>
      <c r="AC1859">
        <v>-5.2799999999990598E-2</v>
      </c>
      <c r="AD1859">
        <v>-9.24070000000001E-2</v>
      </c>
      <c r="AE1859">
        <v>-0.53359999999997798</v>
      </c>
      <c r="AF1859">
        <v>5.99726556789573E-2</v>
      </c>
      <c r="AG1859">
        <v>-9.24070000000001E-2</v>
      </c>
      <c r="AH1859">
        <v>0.51727530194846305</v>
      </c>
      <c r="AI1859">
        <v>100.06256636072401</v>
      </c>
      <c r="AJ1859">
        <v>83.386680768111304</v>
      </c>
      <c r="AK1859">
        <v>0.52887570475874601</v>
      </c>
      <c r="AL1859">
        <v>68.772955288786093</v>
      </c>
      <c r="AM1859">
        <v>94.627443339564493</v>
      </c>
      <c r="AN1859">
        <v>0.99999998738534901</v>
      </c>
    </row>
    <row r="1860" spans="1:40" x14ac:dyDescent="0.25">
      <c r="A1860" t="str">
        <f>"20190304164126661"</f>
        <v>20190304164126661</v>
      </c>
      <c r="B1860" t="str">
        <f>"1551688886653149"</f>
        <v>1551688886653149</v>
      </c>
      <c r="C1860" t="s">
        <v>40</v>
      </c>
      <c r="D1860">
        <v>4.5805049999999996</v>
      </c>
      <c r="E1860">
        <v>0.57673319999999995</v>
      </c>
      <c r="F1860" t="s">
        <v>41</v>
      </c>
      <c r="G1860">
        <v>-192.18020000000001</v>
      </c>
      <c r="H1860">
        <v>1.021552</v>
      </c>
      <c r="I1860">
        <v>318.8528</v>
      </c>
      <c r="J1860">
        <v>-192.12569999999999</v>
      </c>
      <c r="K1860">
        <v>1.1105929999999999</v>
      </c>
      <c r="L1860">
        <v>319.36989999999997</v>
      </c>
      <c r="M1860">
        <v>1.6191509999999999E-2</v>
      </c>
      <c r="N1860">
        <v>-1.374059E-2</v>
      </c>
      <c r="O1860">
        <v>-0.99977479999999996</v>
      </c>
      <c r="P1860">
        <v>8.647241E-2</v>
      </c>
      <c r="Q1860">
        <v>0.34887780000000002</v>
      </c>
      <c r="R1860">
        <v>-0.93317070000000002</v>
      </c>
      <c r="S1860">
        <v>-0.23455809999999999</v>
      </c>
      <c r="T1860">
        <v>-0.40646949999999998</v>
      </c>
      <c r="U1860">
        <v>-3.391937</v>
      </c>
      <c r="V1860">
        <v>-7.1000980000000005E-2</v>
      </c>
      <c r="W1860">
        <v>0.3617534</v>
      </c>
      <c r="X1860">
        <v>0.92956620000000001</v>
      </c>
      <c r="Y1860">
        <v>8.467355E-2</v>
      </c>
      <c r="Z1860">
        <v>0.104944</v>
      </c>
      <c r="AA1860">
        <v>0.99086680000000005</v>
      </c>
      <c r="AB1860">
        <v>23</v>
      </c>
      <c r="AC1860">
        <v>-5.4500000000018603E-2</v>
      </c>
      <c r="AD1860">
        <v>-8.9040999999999898E-2</v>
      </c>
      <c r="AE1860">
        <v>-0.51709999999997003</v>
      </c>
      <c r="AF1860">
        <v>6.1075259219735598E-2</v>
      </c>
      <c r="AG1860">
        <v>-8.9040999999999898E-2</v>
      </c>
      <c r="AH1860">
        <v>0.50144496437060204</v>
      </c>
      <c r="AI1860">
        <v>99.996622932175001</v>
      </c>
      <c r="AJ1860">
        <v>83.055662988771303</v>
      </c>
      <c r="AK1860">
        <v>0.51293814369999102</v>
      </c>
      <c r="AL1860">
        <v>68.792082367200393</v>
      </c>
      <c r="AM1860">
        <v>94.367814824890303</v>
      </c>
      <c r="AN1860">
        <v>0.99999999087748004</v>
      </c>
    </row>
    <row r="1861" spans="1:40" x14ac:dyDescent="0.25">
      <c r="A1861" t="str">
        <f>"20190304164126684"</f>
        <v>20190304164126684</v>
      </c>
      <c r="B1861" t="str">
        <f>"1551688886673175"</f>
        <v>1551688886673175</v>
      </c>
      <c r="C1861" t="s">
        <v>40</v>
      </c>
      <c r="D1861">
        <v>4.6084809999999896</v>
      </c>
      <c r="E1861">
        <v>0.57695730000000001</v>
      </c>
      <c r="F1861" t="s">
        <v>41</v>
      </c>
      <c r="G1861">
        <v>-192.18020000000001</v>
      </c>
      <c r="H1861">
        <v>1.023388</v>
      </c>
      <c r="I1861">
        <v>318.64429999999999</v>
      </c>
      <c r="J1861">
        <v>-192.12260000000001</v>
      </c>
      <c r="K1861">
        <v>1.110595</v>
      </c>
      <c r="L1861">
        <v>319.13479999999998</v>
      </c>
      <c r="M1861">
        <v>1.5563169999999999E-2</v>
      </c>
      <c r="N1861">
        <v>-1.373826E-2</v>
      </c>
      <c r="O1861">
        <v>-0.99978480000000003</v>
      </c>
      <c r="P1861">
        <v>8.0908949999999993E-2</v>
      </c>
      <c r="Q1861">
        <v>0.34924240000000001</v>
      </c>
      <c r="R1861">
        <v>-0.9335331</v>
      </c>
      <c r="S1861">
        <v>-0.25434879999999999</v>
      </c>
      <c r="T1861">
        <v>-0.40757670000000001</v>
      </c>
      <c r="U1861">
        <v>-3.3908079999999998</v>
      </c>
      <c r="V1861">
        <v>-6.6017199999999998E-2</v>
      </c>
      <c r="W1861">
        <v>0.36211480000000001</v>
      </c>
      <c r="X1861">
        <v>0.92979279999999997</v>
      </c>
      <c r="Y1861">
        <v>8.9814829999999998E-2</v>
      </c>
      <c r="Z1861">
        <v>0.105254399999999</v>
      </c>
      <c r="AA1861">
        <v>0.99038110000000001</v>
      </c>
      <c r="AB1861">
        <v>23</v>
      </c>
      <c r="AC1861">
        <v>-5.7600000000007798E-2</v>
      </c>
      <c r="AD1861">
        <v>-8.7207000000000007E-2</v>
      </c>
      <c r="AE1861">
        <v>-0.49049999999999699</v>
      </c>
      <c r="AF1861">
        <v>6.3255176874645005E-2</v>
      </c>
      <c r="AG1861">
        <v>-8.7207000000000007E-2</v>
      </c>
      <c r="AH1861">
        <v>0.47474159897095097</v>
      </c>
      <c r="AI1861">
        <v>100.319612542629</v>
      </c>
      <c r="AJ1861">
        <v>82.4105390053722</v>
      </c>
      <c r="AK1861">
        <v>0.48681193909346399</v>
      </c>
      <c r="AL1861">
        <v>68.769870497191306</v>
      </c>
      <c r="AM1861">
        <v>94.061302531057706</v>
      </c>
      <c r="AN1861">
        <v>1.0000000250033501</v>
      </c>
    </row>
    <row r="1862" spans="1:40" x14ac:dyDescent="0.25">
      <c r="A1862" t="str">
        <f>"20190304164126706"</f>
        <v>20190304164126706</v>
      </c>
      <c r="B1862" t="str">
        <f>"1551688886692695"</f>
        <v>1551688886692695</v>
      </c>
      <c r="C1862" t="s">
        <v>40</v>
      </c>
      <c r="D1862">
        <v>4.5832569999999997</v>
      </c>
      <c r="E1862">
        <v>0.5771056</v>
      </c>
      <c r="F1862" t="s">
        <v>41</v>
      </c>
      <c r="G1862">
        <v>-192.19579999999999</v>
      </c>
      <c r="H1862">
        <v>1.003328</v>
      </c>
      <c r="I1862">
        <v>318.23939999999999</v>
      </c>
      <c r="J1862">
        <v>-192.1198</v>
      </c>
      <c r="K1862">
        <v>1.1105879999999999</v>
      </c>
      <c r="L1862">
        <v>318.90519999999998</v>
      </c>
      <c r="M1862">
        <v>1.4947490000000001E-2</v>
      </c>
      <c r="N1862">
        <v>-1.373597E-2</v>
      </c>
      <c r="O1862">
        <v>-0.99979410000000002</v>
      </c>
      <c r="P1862">
        <v>7.3887460000000002E-2</v>
      </c>
      <c r="Q1862">
        <v>0.3500914</v>
      </c>
      <c r="R1862">
        <v>-0.93379690000000004</v>
      </c>
      <c r="S1862">
        <v>-0.27674870000000001</v>
      </c>
      <c r="T1862">
        <v>-0.40610980000000002</v>
      </c>
      <c r="U1862">
        <v>-3.389526</v>
      </c>
      <c r="V1862">
        <v>-5.9566019999999997E-2</v>
      </c>
      <c r="W1862">
        <v>0.36295690000000003</v>
      </c>
      <c r="X1862">
        <v>0.92990010000000001</v>
      </c>
      <c r="Y1862">
        <v>9.5731479999999994E-2</v>
      </c>
      <c r="Z1862">
        <v>0.1048166</v>
      </c>
      <c r="AA1862">
        <v>0.98987320000000001</v>
      </c>
      <c r="AB1862">
        <v>23</v>
      </c>
      <c r="AC1862">
        <v>-7.5999999999993406E-2</v>
      </c>
      <c r="AD1862">
        <v>-0.107259999999999</v>
      </c>
      <c r="AE1862">
        <v>-0.66579999999998996</v>
      </c>
      <c r="AF1862">
        <v>8.3797653972994102E-2</v>
      </c>
      <c r="AG1862">
        <v>-0.107259999999999</v>
      </c>
      <c r="AH1862">
        <v>0.64798853138216705</v>
      </c>
      <c r="AI1862">
        <v>99.322561396602495</v>
      </c>
      <c r="AJ1862">
        <v>82.631424211761797</v>
      </c>
      <c r="AK1862">
        <v>0.66212981447311003</v>
      </c>
      <c r="AL1862">
        <v>68.718099389732302</v>
      </c>
      <c r="AM1862">
        <v>93.665151853151102</v>
      </c>
      <c r="AN1862">
        <v>1.00000000898813</v>
      </c>
    </row>
    <row r="1863" spans="1:40" x14ac:dyDescent="0.25">
      <c r="A1863" t="str">
        <f>"20190304164126729"</f>
        <v>20190304164126729</v>
      </c>
      <c r="B1863" t="str">
        <f>"1551688886722951"</f>
        <v>1551688886722951</v>
      </c>
      <c r="C1863" t="s">
        <v>40</v>
      </c>
      <c r="D1863">
        <v>4.5927879999999996</v>
      </c>
      <c r="E1863">
        <v>0.57729659999999905</v>
      </c>
      <c r="F1863" t="s">
        <v>41</v>
      </c>
      <c r="G1863">
        <v>-192.1979</v>
      </c>
      <c r="H1863">
        <v>1.006443</v>
      </c>
      <c r="I1863">
        <v>318.03089999999997</v>
      </c>
      <c r="J1863">
        <v>-192.11699999999999</v>
      </c>
      <c r="K1863">
        <v>1.110579</v>
      </c>
      <c r="L1863">
        <v>318.6669</v>
      </c>
      <c r="M1863">
        <v>1.4308420000000001E-2</v>
      </c>
      <c r="N1863">
        <v>-1.373364E-2</v>
      </c>
      <c r="O1863">
        <v>-0.99980369999999996</v>
      </c>
      <c r="P1863">
        <v>6.7337240000000007E-2</v>
      </c>
      <c r="Q1863">
        <v>0.34880539999999999</v>
      </c>
      <c r="R1863">
        <v>-0.93477350000000003</v>
      </c>
      <c r="S1863">
        <v>-0.30267329999999998</v>
      </c>
      <c r="T1863">
        <v>-0.40368009999999999</v>
      </c>
      <c r="U1863">
        <v>-3.3879999999999999</v>
      </c>
      <c r="V1863">
        <v>-5.3600769999999999E-2</v>
      </c>
      <c r="W1863">
        <v>0.36167519999999997</v>
      </c>
      <c r="X1863">
        <v>0.93076210000000004</v>
      </c>
      <c r="Y1863">
        <v>0.1026493</v>
      </c>
      <c r="Z1863">
        <v>0.1040939</v>
      </c>
      <c r="AA1863">
        <v>0.98925609999999997</v>
      </c>
      <c r="AB1863">
        <v>23</v>
      </c>
      <c r="AC1863">
        <v>-8.0899999999985497E-2</v>
      </c>
      <c r="AD1863">
        <v>-0.10413599999999899</v>
      </c>
      <c r="AE1863">
        <v>-0.63600000000002399</v>
      </c>
      <c r="AF1863">
        <v>8.7679516922435002E-2</v>
      </c>
      <c r="AG1863">
        <v>-0.10413599999999899</v>
      </c>
      <c r="AH1863">
        <v>0.618460648459073</v>
      </c>
      <c r="AI1863">
        <v>99.464866954545002</v>
      </c>
      <c r="AJ1863">
        <v>81.930917980561105</v>
      </c>
      <c r="AK1863">
        <v>0.63326580349500095</v>
      </c>
      <c r="AL1863">
        <v>68.7968894004227</v>
      </c>
      <c r="AM1863">
        <v>93.295911662283601</v>
      </c>
      <c r="AN1863">
        <v>1.00000003981802</v>
      </c>
    </row>
    <row r="1864" spans="1:40" x14ac:dyDescent="0.25">
      <c r="A1864" t="str">
        <f>"20190304164126751"</f>
        <v>20190304164126751</v>
      </c>
      <c r="B1864" t="str">
        <f>"1551688886742471"</f>
        <v>1551688886742471</v>
      </c>
      <c r="C1864" t="s">
        <v>40</v>
      </c>
      <c r="D1864">
        <v>4.5872109999999999</v>
      </c>
      <c r="E1864">
        <v>0.57732550000000005</v>
      </c>
      <c r="F1864" t="s">
        <v>41</v>
      </c>
      <c r="G1864">
        <v>-192.1987</v>
      </c>
      <c r="H1864">
        <v>1.008893</v>
      </c>
      <c r="I1864">
        <v>317.82319999999999</v>
      </c>
      <c r="J1864">
        <v>-192.1146</v>
      </c>
      <c r="K1864">
        <v>1.1105700000000001</v>
      </c>
      <c r="L1864">
        <v>318.44130000000001</v>
      </c>
      <c r="M1864">
        <v>1.370363E-2</v>
      </c>
      <c r="N1864">
        <v>-1.3731299999999899E-2</v>
      </c>
      <c r="O1864">
        <v>-0.99981200000000003</v>
      </c>
      <c r="P1864">
        <v>6.2224160000000001E-2</v>
      </c>
      <c r="Q1864">
        <v>0.34734110000000001</v>
      </c>
      <c r="R1864">
        <v>-0.93567219999999995</v>
      </c>
      <c r="S1864">
        <v>-0.32714840000000001</v>
      </c>
      <c r="T1864">
        <v>-0.40812589999999999</v>
      </c>
      <c r="U1864">
        <v>-3.3852229999999999</v>
      </c>
      <c r="V1864">
        <v>-4.904294E-2</v>
      </c>
      <c r="W1864">
        <v>0.36021520000000001</v>
      </c>
      <c r="X1864">
        <v>0.93157920000000005</v>
      </c>
      <c r="Y1864">
        <v>0.10918799999999999</v>
      </c>
      <c r="Z1864">
        <v>0.105393</v>
      </c>
      <c r="AA1864">
        <v>0.98841809999999997</v>
      </c>
      <c r="AB1864">
        <v>23</v>
      </c>
      <c r="AC1864">
        <v>-8.4100000000006503E-2</v>
      </c>
      <c r="AD1864">
        <v>-0.101677</v>
      </c>
      <c r="AE1864">
        <v>-0.61810000000002596</v>
      </c>
      <c r="AF1864">
        <v>9.0167527348923596E-2</v>
      </c>
      <c r="AG1864">
        <v>-0.101677</v>
      </c>
      <c r="AH1864">
        <v>0.60092392521738403</v>
      </c>
      <c r="AI1864">
        <v>99.4991832129285</v>
      </c>
      <c r="AJ1864">
        <v>81.466535943854893</v>
      </c>
      <c r="AK1864">
        <v>0.61609898491710502</v>
      </c>
      <c r="AL1864">
        <v>68.886587290385407</v>
      </c>
      <c r="AM1864">
        <v>93.013551467376004</v>
      </c>
      <c r="AN1864">
        <v>1.0000000030737599</v>
      </c>
    </row>
    <row r="1865" spans="1:40" x14ac:dyDescent="0.25">
      <c r="A1865" t="str">
        <f>"20190304164126773"</f>
        <v>20190304164126773</v>
      </c>
      <c r="B1865" t="str">
        <f>"1551688886762967"</f>
        <v>1551688886762967</v>
      </c>
      <c r="C1865" t="s">
        <v>40</v>
      </c>
      <c r="D1865">
        <v>4.6960499999999996</v>
      </c>
      <c r="E1865">
        <v>0.57738480000000003</v>
      </c>
      <c r="F1865" t="s">
        <v>41</v>
      </c>
      <c r="G1865">
        <v>-192.19820000000001</v>
      </c>
      <c r="H1865">
        <v>1.009565</v>
      </c>
      <c r="I1865">
        <v>317.61649999999997</v>
      </c>
      <c r="J1865">
        <v>-192.1122</v>
      </c>
      <c r="K1865">
        <v>1.1105659999999999</v>
      </c>
      <c r="L1865">
        <v>318.21899999999999</v>
      </c>
      <c r="M1865">
        <v>1.3107540000000001E-2</v>
      </c>
      <c r="N1865">
        <v>-1.372892E-2</v>
      </c>
      <c r="O1865">
        <v>-0.99982009999999999</v>
      </c>
      <c r="P1865">
        <v>5.7537209999999998E-2</v>
      </c>
      <c r="Q1865">
        <v>0.34774660000000002</v>
      </c>
      <c r="R1865">
        <v>-0.93582180000000004</v>
      </c>
      <c r="S1865">
        <v>-0.34317019999999998</v>
      </c>
      <c r="T1865">
        <v>-0.41419739999999999</v>
      </c>
      <c r="U1865">
        <v>-3.3828429999999998</v>
      </c>
      <c r="V1865">
        <v>-4.4912750000000001E-2</v>
      </c>
      <c r="W1865">
        <v>0.36061520000000002</v>
      </c>
      <c r="X1865">
        <v>0.93163280000000004</v>
      </c>
      <c r="Y1865">
        <v>0.113272499999999</v>
      </c>
      <c r="Z1865">
        <v>0.107172699999999</v>
      </c>
      <c r="AA1865">
        <v>0.9877669</v>
      </c>
      <c r="AB1865">
        <v>23</v>
      </c>
      <c r="AC1865">
        <v>-8.6000000000012705E-2</v>
      </c>
      <c r="AD1865">
        <v>-0.10100099999999899</v>
      </c>
      <c r="AE1865">
        <v>-0.60250000000002002</v>
      </c>
      <c r="AF1865">
        <v>9.1374122440923702E-2</v>
      </c>
      <c r="AG1865">
        <v>-0.10100099999999899</v>
      </c>
      <c r="AH1865">
        <v>0.58520385061601299</v>
      </c>
      <c r="AI1865">
        <v>99.677276284827002</v>
      </c>
      <c r="AJ1865">
        <v>81.125455703485301</v>
      </c>
      <c r="AK1865">
        <v>0.60084438836412402</v>
      </c>
      <c r="AL1865">
        <v>68.862019316581694</v>
      </c>
      <c r="AM1865">
        <v>92.760014756600398</v>
      </c>
      <c r="AN1865">
        <v>1.0000000758097101</v>
      </c>
    </row>
    <row r="1866" spans="1:40" x14ac:dyDescent="0.25">
      <c r="A1866" t="str">
        <f>"20190304164126794"</f>
        <v>20190304164126794</v>
      </c>
      <c r="B1866" t="str">
        <f>"1551688886782994"</f>
        <v>1551688886782994</v>
      </c>
      <c r="C1866" t="s">
        <v>40</v>
      </c>
      <c r="D1866">
        <v>4.8235669999999997</v>
      </c>
      <c r="E1866">
        <v>0.57751859999999999</v>
      </c>
      <c r="F1866" t="s">
        <v>41</v>
      </c>
      <c r="G1866">
        <v>-192.19800000000001</v>
      </c>
      <c r="H1866">
        <v>1.0114540000000001</v>
      </c>
      <c r="I1866">
        <v>317.40949999999998</v>
      </c>
      <c r="J1866">
        <v>-192.11</v>
      </c>
      <c r="K1866">
        <v>1.1105719999999999</v>
      </c>
      <c r="L1866">
        <v>317.99489999999997</v>
      </c>
      <c r="M1866">
        <v>1.25075E-2</v>
      </c>
      <c r="N1866">
        <v>-1.372637E-2</v>
      </c>
      <c r="O1866">
        <v>-0.99982769999999999</v>
      </c>
      <c r="P1866">
        <v>5.1165580000000002E-2</v>
      </c>
      <c r="Q1866">
        <v>0.34887869999999999</v>
      </c>
      <c r="R1866">
        <v>-0.9357704</v>
      </c>
      <c r="S1866">
        <v>-0.35734559999999999</v>
      </c>
      <c r="T1866">
        <v>-0.41427900000000001</v>
      </c>
      <c r="U1866">
        <v>-3.381653</v>
      </c>
      <c r="V1866">
        <v>-3.910396E-2</v>
      </c>
      <c r="W1866">
        <v>0.36173660000000002</v>
      </c>
      <c r="X1866">
        <v>0.93145990000000001</v>
      </c>
      <c r="Y1866">
        <v>0.1168035</v>
      </c>
      <c r="Z1866">
        <v>0.1071915</v>
      </c>
      <c r="AA1866">
        <v>0.9873535</v>
      </c>
      <c r="AB1866">
        <v>23</v>
      </c>
      <c r="AC1866">
        <v>-8.7999999999965398E-2</v>
      </c>
      <c r="AD1866">
        <v>-9.9117999999999803E-2</v>
      </c>
      <c r="AE1866">
        <v>-0.58539999999999204</v>
      </c>
      <c r="AF1866">
        <v>9.2716423420757796E-2</v>
      </c>
      <c r="AG1866">
        <v>-9.9117999999999803E-2</v>
      </c>
      <c r="AH1866">
        <v>0.56832077129773495</v>
      </c>
      <c r="AI1866">
        <v>99.766585367915795</v>
      </c>
      <c r="AJ1866">
        <v>80.734335219497495</v>
      </c>
      <c r="AK1866">
        <v>0.58430232943604599</v>
      </c>
      <c r="AL1866">
        <v>68.793115426842107</v>
      </c>
      <c r="AM1866">
        <v>92.403943551198395</v>
      </c>
      <c r="AN1866">
        <v>1.0000000163876199</v>
      </c>
    </row>
    <row r="1867" spans="1:40" x14ac:dyDescent="0.25">
      <c r="A1867" t="str">
        <f>"20190304164126819"</f>
        <v>20190304164126819</v>
      </c>
      <c r="B1867" t="str">
        <f>"1551688886813250"</f>
        <v>1551688886813250</v>
      </c>
      <c r="C1867" t="s">
        <v>40</v>
      </c>
      <c r="D1867">
        <v>4.7832319999999999</v>
      </c>
      <c r="E1867">
        <v>0.58567579999999997</v>
      </c>
      <c r="F1867" t="s">
        <v>41</v>
      </c>
      <c r="G1867">
        <v>-192.1985</v>
      </c>
      <c r="H1867">
        <v>1.013719</v>
      </c>
      <c r="I1867">
        <v>317.20260000000002</v>
      </c>
      <c r="J1867">
        <v>-192.10769999999999</v>
      </c>
      <c r="K1867">
        <v>1.110582</v>
      </c>
      <c r="L1867">
        <v>317.7448</v>
      </c>
      <c r="M1867">
        <v>1.183821E-2</v>
      </c>
      <c r="N1867">
        <v>-1.3723620000000001E-2</v>
      </c>
      <c r="O1867">
        <v>-0.99983580000000005</v>
      </c>
      <c r="P1867">
        <v>4.3680740000000003E-2</v>
      </c>
      <c r="Q1867">
        <v>0.34910750000000002</v>
      </c>
      <c r="R1867">
        <v>-0.93606409999999995</v>
      </c>
      <c r="S1867">
        <v>-0.37718200000000002</v>
      </c>
      <c r="T1867">
        <v>-0.41332219999999997</v>
      </c>
      <c r="U1867">
        <v>-3.3806759999999998</v>
      </c>
      <c r="V1867">
        <v>-3.2243569999999999E-2</v>
      </c>
      <c r="W1867">
        <v>0.36195830000000001</v>
      </c>
      <c r="X1867">
        <v>0.93163649999999998</v>
      </c>
      <c r="Y1867">
        <v>0.121892</v>
      </c>
      <c r="Z1867">
        <v>0.1068799</v>
      </c>
      <c r="AA1867">
        <v>0.98677199999999998</v>
      </c>
      <c r="AB1867">
        <v>23</v>
      </c>
      <c r="AC1867">
        <v>-9.0800000000001505E-2</v>
      </c>
      <c r="AD1867">
        <v>-9.6862999999999894E-2</v>
      </c>
      <c r="AE1867">
        <v>-0.54219999999997903</v>
      </c>
      <c r="AF1867">
        <v>9.4285859765455102E-2</v>
      </c>
      <c r="AG1867">
        <v>-9.6862999999999894E-2</v>
      </c>
      <c r="AH1867">
        <v>0.52479498685174397</v>
      </c>
      <c r="AI1867">
        <v>100.29631624616501</v>
      </c>
      <c r="AJ1867">
        <v>79.814770483623207</v>
      </c>
      <c r="AK1867">
        <v>0.541924388033454</v>
      </c>
      <c r="AL1867">
        <v>68.779489566781905</v>
      </c>
      <c r="AM1867">
        <v>91.982193031839202</v>
      </c>
      <c r="AN1867">
        <v>1.0000000134387399</v>
      </c>
    </row>
    <row r="1868" spans="1:40" x14ac:dyDescent="0.25">
      <c r="A1868" t="str">
        <f>"20190304164126841"</f>
        <v>20190304164126841</v>
      </c>
      <c r="B1868" t="str">
        <f>"1551688886832770"</f>
        <v>1551688886832770</v>
      </c>
      <c r="C1868" t="s">
        <v>40</v>
      </c>
      <c r="D1868">
        <v>4.810994</v>
      </c>
      <c r="E1868">
        <v>0.58582409999999996</v>
      </c>
      <c r="F1868" t="s">
        <v>41</v>
      </c>
      <c r="G1868">
        <v>-192.20959999999999</v>
      </c>
      <c r="H1868">
        <v>1.006062</v>
      </c>
      <c r="I1868">
        <v>317.00049999999999</v>
      </c>
      <c r="J1868">
        <v>-192.10579999999999</v>
      </c>
      <c r="K1868">
        <v>1.1105929999999999</v>
      </c>
      <c r="L1868">
        <v>317.51799999999997</v>
      </c>
      <c r="M1868">
        <v>1.1231710000000001E-2</v>
      </c>
      <c r="N1868">
        <v>-1.3721219999999999E-2</v>
      </c>
      <c r="O1868">
        <v>-0.99984289999999998</v>
      </c>
      <c r="P1868">
        <v>3.3495200000000003E-2</v>
      </c>
      <c r="Q1868">
        <v>0.34901749999999998</v>
      </c>
      <c r="R1868">
        <v>-0.93651759999999995</v>
      </c>
      <c r="S1868">
        <v>-0.46511839999999999</v>
      </c>
      <c r="T1868">
        <v>-0.47828280000000001</v>
      </c>
      <c r="U1868">
        <v>-3.4049990000000001</v>
      </c>
      <c r="V1868">
        <v>-2.26225E-2</v>
      </c>
      <c r="W1868">
        <v>0.36186099999999999</v>
      </c>
      <c r="X1868">
        <v>0.93195749999999999</v>
      </c>
      <c r="Y1868">
        <v>0.14526349999999999</v>
      </c>
      <c r="Z1868">
        <v>0.1241091</v>
      </c>
      <c r="AA1868">
        <v>0.98157810000000001</v>
      </c>
      <c r="AB1868">
        <v>23</v>
      </c>
      <c r="AC1868">
        <v>-0.103800000000006</v>
      </c>
      <c r="AD1868">
        <v>-0.104530999999999</v>
      </c>
      <c r="AE1868">
        <v>-0.51749999999998397</v>
      </c>
      <c r="AF1868">
        <v>0.105469589355788</v>
      </c>
      <c r="AG1868">
        <v>-0.104530999999999</v>
      </c>
      <c r="AH1868">
        <v>0.49681489169084603</v>
      </c>
      <c r="AI1868">
        <v>101.629964815983</v>
      </c>
      <c r="AJ1868">
        <v>78.014530019898501</v>
      </c>
      <c r="AK1868">
        <v>0.51853215989528201</v>
      </c>
      <c r="AL1868">
        <v>68.785468892226305</v>
      </c>
      <c r="AM1868">
        <v>91.390534738002899</v>
      </c>
      <c r="AN1868">
        <v>0.999999971316749</v>
      </c>
    </row>
    <row r="1869" spans="1:40" x14ac:dyDescent="0.25">
      <c r="A1869" t="str">
        <f>"20190304164126863"</f>
        <v>20190304164126863</v>
      </c>
      <c r="B1869" t="str">
        <f>"1551688886853266"</f>
        <v>1551688886853266</v>
      </c>
      <c r="C1869" t="s">
        <v>40</v>
      </c>
      <c r="D1869">
        <v>4.8140199999999904</v>
      </c>
      <c r="E1869">
        <v>0.58546100000000001</v>
      </c>
      <c r="F1869" t="s">
        <v>41</v>
      </c>
      <c r="G1869">
        <v>-192.2132</v>
      </c>
      <c r="H1869">
        <v>1.0096810000000001</v>
      </c>
      <c r="I1869">
        <v>316.79340000000002</v>
      </c>
      <c r="J1869">
        <v>-192.10409999999999</v>
      </c>
      <c r="K1869">
        <v>1.1105969999999901</v>
      </c>
      <c r="L1869">
        <v>317.30099999999999</v>
      </c>
      <c r="M1869">
        <v>1.065145E-2</v>
      </c>
      <c r="N1869">
        <v>-1.3718910000000001E-2</v>
      </c>
      <c r="O1869">
        <v>-0.9998494</v>
      </c>
      <c r="P1869">
        <v>2.2331360000000001E-2</v>
      </c>
      <c r="Q1869">
        <v>0.34936820000000002</v>
      </c>
      <c r="R1869">
        <v>-0.93671979999999999</v>
      </c>
      <c r="S1869">
        <v>-0.50314329999999996</v>
      </c>
      <c r="T1869">
        <v>-0.47312359999999998</v>
      </c>
      <c r="U1869">
        <v>-3.397675</v>
      </c>
      <c r="V1869">
        <v>-1.2001710000000001E-2</v>
      </c>
      <c r="W1869">
        <v>0.36220010000000002</v>
      </c>
      <c r="X1869">
        <v>0.93202309999999999</v>
      </c>
      <c r="Y1869">
        <v>0.15574689999999999</v>
      </c>
      <c r="Z1869">
        <v>0.1227235</v>
      </c>
      <c r="AA1869">
        <v>0.98014380000000001</v>
      </c>
      <c r="AB1869">
        <v>23</v>
      </c>
      <c r="AC1869">
        <v>-0.10910000000001201</v>
      </c>
      <c r="AD1869">
        <v>-0.10091599999999901</v>
      </c>
      <c r="AE1869">
        <v>-0.50759999999996797</v>
      </c>
      <c r="AF1869">
        <v>0.110332610654786</v>
      </c>
      <c r="AG1869">
        <v>-0.10091599999999901</v>
      </c>
      <c r="AH1869">
        <v>0.48797331159387197</v>
      </c>
      <c r="AI1869">
        <v>101.404358878069</v>
      </c>
      <c r="AJ1869">
        <v>77.259436130603802</v>
      </c>
      <c r="AK1869">
        <v>0.510367785873865</v>
      </c>
      <c r="AL1869">
        <v>68.764626820436902</v>
      </c>
      <c r="AM1869">
        <v>90.737759960575502</v>
      </c>
      <c r="AN1869">
        <v>1.0000000062082699</v>
      </c>
    </row>
    <row r="1870" spans="1:40" x14ac:dyDescent="0.25">
      <c r="A1870" t="str">
        <f>"20190304164126886"</f>
        <v>20190304164126886</v>
      </c>
      <c r="B1870" t="str">
        <f>"1551688886872786"</f>
        <v>1551688886872786</v>
      </c>
      <c r="C1870" t="s">
        <v>40</v>
      </c>
      <c r="D1870">
        <v>4.8046410000000002</v>
      </c>
      <c r="E1870">
        <v>0.58492460000000002</v>
      </c>
      <c r="F1870" t="s">
        <v>41</v>
      </c>
      <c r="G1870">
        <v>-192.24809999999999</v>
      </c>
      <c r="H1870">
        <v>0.98431230000000003</v>
      </c>
      <c r="I1870">
        <v>316.3947</v>
      </c>
      <c r="J1870">
        <v>-192.10239999999999</v>
      </c>
      <c r="K1870">
        <v>1.1106049999999901</v>
      </c>
      <c r="L1870">
        <v>317.06020000000001</v>
      </c>
      <c r="M1870">
        <v>1.000763E-2</v>
      </c>
      <c r="N1870">
        <v>-1.3716310000000001E-2</v>
      </c>
      <c r="O1870">
        <v>-0.99985610000000003</v>
      </c>
      <c r="P1870">
        <v>1.152855E-2</v>
      </c>
      <c r="Q1870">
        <v>0.34987289999999999</v>
      </c>
      <c r="R1870">
        <v>-0.93672659999999996</v>
      </c>
      <c r="S1870">
        <v>-0.53831479999999998</v>
      </c>
      <c r="T1870">
        <v>-0.47270109999999899</v>
      </c>
      <c r="U1870">
        <v>-3.3918149999999998</v>
      </c>
      <c r="V1870">
        <v>-1.8035289999999999E-3</v>
      </c>
      <c r="W1870">
        <v>0.36269129999999999</v>
      </c>
      <c r="X1870">
        <v>0.93190759999999995</v>
      </c>
      <c r="Y1870">
        <v>0.16527030000000001</v>
      </c>
      <c r="Z1870">
        <v>0.1226255</v>
      </c>
      <c r="AA1870">
        <v>0.97859529999999995</v>
      </c>
      <c r="AB1870">
        <v>23</v>
      </c>
      <c r="AC1870">
        <v>-0.14570000000000499</v>
      </c>
      <c r="AD1870">
        <v>-0.12629269999999901</v>
      </c>
      <c r="AE1870">
        <v>-0.66550000000000797</v>
      </c>
      <c r="AF1870">
        <v>0.14729160042353401</v>
      </c>
      <c r="AG1870">
        <v>-0.12629269999999901</v>
      </c>
      <c r="AH1870">
        <v>0.64194733739426302</v>
      </c>
      <c r="AI1870">
        <v>100.854771189689</v>
      </c>
      <c r="AJ1870">
        <v>77.077441187229496</v>
      </c>
      <c r="AK1870">
        <v>0.67062735227263204</v>
      </c>
      <c r="AL1870">
        <v>68.734429826452896</v>
      </c>
      <c r="AM1870">
        <v>90.110884889144799</v>
      </c>
      <c r="AN1870">
        <v>1.0000000033751499</v>
      </c>
    </row>
    <row r="1871" spans="1:40" x14ac:dyDescent="0.25">
      <c r="A1871" t="str">
        <f>"20190304164126909"</f>
        <v>20190304164126909</v>
      </c>
      <c r="B1871" t="str">
        <f>"1551688886903043"</f>
        <v>1551688886903043</v>
      </c>
      <c r="C1871" t="s">
        <v>40</v>
      </c>
      <c r="D1871">
        <v>4.7281050000000002</v>
      </c>
      <c r="E1871">
        <v>0.58414390000000005</v>
      </c>
      <c r="F1871" t="s">
        <v>41</v>
      </c>
      <c r="G1871">
        <v>-192.24930000000001</v>
      </c>
      <c r="H1871">
        <v>0.9887688</v>
      </c>
      <c r="I1871">
        <v>316.18810000000002</v>
      </c>
      <c r="J1871">
        <v>-192.10079999999999</v>
      </c>
      <c r="K1871">
        <v>1.110608</v>
      </c>
      <c r="L1871">
        <v>316.82</v>
      </c>
      <c r="M1871">
        <v>9.3653079999999993E-3</v>
      </c>
      <c r="N1871">
        <v>-1.371372E-2</v>
      </c>
      <c r="O1871">
        <v>-0.99986229999999998</v>
      </c>
      <c r="P1871">
        <v>1.9238269999999999E-3</v>
      </c>
      <c r="Q1871">
        <v>0.35077449999999999</v>
      </c>
      <c r="R1871">
        <v>-0.93645800000000001</v>
      </c>
      <c r="S1871">
        <v>-0.56997679999999995</v>
      </c>
      <c r="T1871">
        <v>-0.47319149999999999</v>
      </c>
      <c r="U1871">
        <v>-3.386444</v>
      </c>
      <c r="V1871">
        <v>7.1965010000000001E-3</v>
      </c>
      <c r="W1871">
        <v>0.36357669999999997</v>
      </c>
      <c r="X1871">
        <v>0.93153649999999999</v>
      </c>
      <c r="Y1871">
        <v>0.17376949999999999</v>
      </c>
      <c r="Z1871">
        <v>0.12277730000000001</v>
      </c>
      <c r="AA1871">
        <v>0.97710280000000005</v>
      </c>
      <c r="AB1871">
        <v>23</v>
      </c>
      <c r="AC1871">
        <v>-0.14850000000001201</v>
      </c>
      <c r="AD1871">
        <v>-0.12183919999999999</v>
      </c>
      <c r="AE1871">
        <v>-0.63189999999997304</v>
      </c>
      <c r="AF1871">
        <v>0.14915695540216101</v>
      </c>
      <c r="AG1871">
        <v>-0.12183919999999999</v>
      </c>
      <c r="AH1871">
        <v>0.609024550881895</v>
      </c>
      <c r="AI1871">
        <v>100.996314368608</v>
      </c>
      <c r="AJ1871">
        <v>76.238497236399297</v>
      </c>
      <c r="AK1871">
        <v>0.63875151003999697</v>
      </c>
      <c r="AL1871">
        <v>68.679984029167599</v>
      </c>
      <c r="AM1871">
        <v>89.557375441556999</v>
      </c>
      <c r="AN1871">
        <v>1.0000000286208901</v>
      </c>
    </row>
    <row r="1872" spans="1:40" x14ac:dyDescent="0.25">
      <c r="A1872" t="str">
        <f>"20190304164126930"</f>
        <v>20190304164126930</v>
      </c>
      <c r="B1872" t="str">
        <f>"1551688886922562"</f>
        <v>1551688886922562</v>
      </c>
      <c r="C1872" t="s">
        <v>40</v>
      </c>
      <c r="D1872">
        <v>4.7301739999999999</v>
      </c>
      <c r="E1872">
        <v>0.58578339999999995</v>
      </c>
      <c r="F1872" t="s">
        <v>41</v>
      </c>
      <c r="G1872">
        <v>-192.24809999999999</v>
      </c>
      <c r="H1872">
        <v>0.99368239999999997</v>
      </c>
      <c r="I1872">
        <v>315.98149999999998</v>
      </c>
      <c r="J1872">
        <v>-192.09950000000001</v>
      </c>
      <c r="K1872">
        <v>1.1105969999999901</v>
      </c>
      <c r="L1872">
        <v>316.60129999999998</v>
      </c>
      <c r="M1872">
        <v>8.7803710000000004E-3</v>
      </c>
      <c r="N1872">
        <v>-1.3711330000000001E-2</v>
      </c>
      <c r="O1872">
        <v>-0.99986770000000003</v>
      </c>
      <c r="P1872">
        <v>-7.2774569999999898E-3</v>
      </c>
      <c r="Q1872">
        <v>0.35057569999999999</v>
      </c>
      <c r="R1872">
        <v>-0.93650670000000003</v>
      </c>
      <c r="S1872">
        <v>-0.59410099999999999</v>
      </c>
      <c r="T1872">
        <v>-0.47154390000000002</v>
      </c>
      <c r="U1872">
        <v>-3.3814389999999999</v>
      </c>
      <c r="V1872">
        <v>1.5848879999999999E-2</v>
      </c>
      <c r="W1872">
        <v>0.363367</v>
      </c>
      <c r="X1872">
        <v>0.93151130000000004</v>
      </c>
      <c r="Y1872">
        <v>0.18019959999999999</v>
      </c>
      <c r="Z1872">
        <v>0.12234970000000001</v>
      </c>
      <c r="AA1872">
        <v>0.9759911</v>
      </c>
      <c r="AB1872">
        <v>23</v>
      </c>
      <c r="AC1872">
        <v>-0.14859999999998699</v>
      </c>
      <c r="AD1872">
        <v>-0.11691459999999899</v>
      </c>
      <c r="AE1872">
        <v>-0.61979999999999702</v>
      </c>
      <c r="AF1872">
        <v>0.14902252224638499</v>
      </c>
      <c r="AG1872">
        <v>-0.11691459999999899</v>
      </c>
      <c r="AH1872">
        <v>0.59833824133013802</v>
      </c>
      <c r="AI1872">
        <v>100.736208193881</v>
      </c>
      <c r="AJ1872">
        <v>76.014421592409406</v>
      </c>
      <c r="AK1872">
        <v>0.62760288946743803</v>
      </c>
      <c r="AL1872">
        <v>68.692881137332705</v>
      </c>
      <c r="AM1872">
        <v>89.025254631185405</v>
      </c>
      <c r="AN1872">
        <v>1.00000003285697</v>
      </c>
    </row>
    <row r="1873" spans="1:40" x14ac:dyDescent="0.25">
      <c r="A1873" t="str">
        <f>"20190304164126952"</f>
        <v>20190304164126952</v>
      </c>
      <c r="B1873" t="str">
        <f>"1551688886943057"</f>
        <v>1551688886943057</v>
      </c>
      <c r="C1873" t="s">
        <v>40</v>
      </c>
      <c r="D1873">
        <v>4.6838129999999998</v>
      </c>
      <c r="E1873">
        <v>0.58541009999999905</v>
      </c>
      <c r="F1873" t="s">
        <v>41</v>
      </c>
      <c r="G1873">
        <v>-192.25970000000001</v>
      </c>
      <c r="H1873">
        <v>1.0149250000000001</v>
      </c>
      <c r="I1873">
        <v>315.76690000000002</v>
      </c>
      <c r="J1873">
        <v>-192.09819999999999</v>
      </c>
      <c r="K1873">
        <v>1.110584</v>
      </c>
      <c r="L1873">
        <v>316.37689999999998</v>
      </c>
      <c r="M1873">
        <v>8.1791069999999997E-3</v>
      </c>
      <c r="N1873">
        <v>-1.370885E-2</v>
      </c>
      <c r="O1873">
        <v>-0.99987269999999995</v>
      </c>
      <c r="P1873">
        <v>-1.579297E-2</v>
      </c>
      <c r="Q1873">
        <v>0.34931649999999997</v>
      </c>
      <c r="R1873">
        <v>-0.93687180000000003</v>
      </c>
      <c r="S1873">
        <v>-0.64060969999999995</v>
      </c>
      <c r="T1873">
        <v>-0.38341809999999998</v>
      </c>
      <c r="U1873">
        <v>-3.34198</v>
      </c>
      <c r="V1873">
        <v>2.380233E-2</v>
      </c>
      <c r="W1873">
        <v>0.36210239999999999</v>
      </c>
      <c r="X1873">
        <v>0.93183439999999995</v>
      </c>
      <c r="Y1873">
        <v>0.19520660000000001</v>
      </c>
      <c r="Z1873">
        <v>9.8231029999999997E-2</v>
      </c>
      <c r="AA1873">
        <v>0.97583039999999999</v>
      </c>
      <c r="AB1873">
        <v>23</v>
      </c>
      <c r="AC1873">
        <v>-0.16150000000001699</v>
      </c>
      <c r="AD1873">
        <v>-9.5658999999999897E-2</v>
      </c>
      <c r="AE1873">
        <v>-0.60999999999995602</v>
      </c>
      <c r="AF1873">
        <v>0.16274428663597201</v>
      </c>
      <c r="AG1873">
        <v>-9.5658999999999897E-2</v>
      </c>
      <c r="AH1873">
        <v>0.59498516136387203</v>
      </c>
      <c r="AI1873">
        <v>98.815142780884102</v>
      </c>
      <c r="AJ1873">
        <v>74.702260861160198</v>
      </c>
      <c r="AK1873">
        <v>0.62421445782426799</v>
      </c>
      <c r="AL1873">
        <v>68.770632668299896</v>
      </c>
      <c r="AM1873">
        <v>88.536782329550903</v>
      </c>
      <c r="AN1873">
        <v>1.0000000240112701</v>
      </c>
    </row>
    <row r="1874" spans="1:40" x14ac:dyDescent="0.25">
      <c r="A1874" t="str">
        <f>"20190304164126974"</f>
        <v>20190304164126974</v>
      </c>
      <c r="B1874" t="str">
        <f>"1551688886962577"</f>
        <v>1551688886962577</v>
      </c>
      <c r="C1874" t="s">
        <v>40</v>
      </c>
      <c r="D1874">
        <v>4.686966</v>
      </c>
      <c r="E1874">
        <v>0.57872969999999901</v>
      </c>
      <c r="F1874" t="s">
        <v>41</v>
      </c>
      <c r="G1874">
        <v>-192.26009999999999</v>
      </c>
      <c r="H1874">
        <v>1.014486</v>
      </c>
      <c r="I1874">
        <v>315.5634</v>
      </c>
      <c r="J1874">
        <v>-192.09719999999999</v>
      </c>
      <c r="K1874">
        <v>1.110571</v>
      </c>
      <c r="L1874">
        <v>316.15589999999997</v>
      </c>
      <c r="M1874">
        <v>7.5809759999999997E-3</v>
      </c>
      <c r="N1874">
        <v>-1.370644E-2</v>
      </c>
      <c r="O1874">
        <v>-0.99987729999999997</v>
      </c>
      <c r="P1874">
        <v>-2.3356109999999999E-2</v>
      </c>
      <c r="Q1874">
        <v>0.34764980000000001</v>
      </c>
      <c r="R1874">
        <v>-0.93733350000000004</v>
      </c>
      <c r="S1874">
        <v>-0.66320800000000002</v>
      </c>
      <c r="T1874">
        <v>-0.39453349999999998</v>
      </c>
      <c r="U1874">
        <v>-3.3380740000000002</v>
      </c>
      <c r="V1874">
        <v>3.080857E-2</v>
      </c>
      <c r="W1874">
        <v>0.3604328</v>
      </c>
      <c r="X1874">
        <v>0.9322762</v>
      </c>
      <c r="Y1874">
        <v>0.20111879999999999</v>
      </c>
      <c r="Z1874">
        <v>0.1014277</v>
      </c>
      <c r="AA1874">
        <v>0.97430159999999999</v>
      </c>
      <c r="AB1874">
        <v>23</v>
      </c>
      <c r="AC1874">
        <v>-0.16290000000000701</v>
      </c>
      <c r="AD1874">
        <v>-9.6084999999999907E-2</v>
      </c>
      <c r="AE1874">
        <v>-0.59249999999997205</v>
      </c>
      <c r="AF1874">
        <v>0.163392442391778</v>
      </c>
      <c r="AG1874">
        <v>-9.6084999999999907E-2</v>
      </c>
      <c r="AH1874">
        <v>0.57713663754146105</v>
      </c>
      <c r="AI1874">
        <v>99.100878664181806</v>
      </c>
      <c r="AJ1874">
        <v>74.192717254210507</v>
      </c>
      <c r="AK1874">
        <v>0.60746696687837598</v>
      </c>
      <c r="AL1874">
        <v>68.873220593200003</v>
      </c>
      <c r="AM1874">
        <v>88.107257403820995</v>
      </c>
      <c r="AN1874">
        <v>0.99999994219386001</v>
      </c>
    </row>
    <row r="1875" spans="1:40" x14ac:dyDescent="0.25">
      <c r="A1875" t="str">
        <f>"20190304164126996"</f>
        <v>20190304164126996</v>
      </c>
      <c r="B1875" t="str">
        <f>"1551688886983074"</f>
        <v>1551688886983074</v>
      </c>
      <c r="C1875" t="s">
        <v>40</v>
      </c>
      <c r="D1875">
        <v>4.5952979999999997</v>
      </c>
      <c r="E1875">
        <v>0.57879040000000004</v>
      </c>
      <c r="F1875" t="s">
        <v>41</v>
      </c>
      <c r="G1875">
        <v>-192.2448</v>
      </c>
      <c r="H1875">
        <v>0.99818269999999998</v>
      </c>
      <c r="I1875">
        <v>315.36849999999998</v>
      </c>
      <c r="J1875">
        <v>-192.09630000000001</v>
      </c>
      <c r="K1875">
        <v>1.110568</v>
      </c>
      <c r="L1875">
        <v>315.9323</v>
      </c>
      <c r="M1875">
        <v>6.961226E-3</v>
      </c>
      <c r="N1875">
        <v>-1.3704040000000001E-2</v>
      </c>
      <c r="O1875">
        <v>-0.99988180000000004</v>
      </c>
      <c r="P1875">
        <v>-3.1259580000000002E-2</v>
      </c>
      <c r="Q1875">
        <v>0.3470589</v>
      </c>
      <c r="R1875">
        <v>-0.93732230000000005</v>
      </c>
      <c r="S1875">
        <v>-0.62983699999999998</v>
      </c>
      <c r="T1875">
        <v>-0.48013450000000002</v>
      </c>
      <c r="U1875">
        <v>-3.362946</v>
      </c>
      <c r="V1875">
        <v>3.813656E-2</v>
      </c>
      <c r="W1875">
        <v>0.35983090000000001</v>
      </c>
      <c r="X1875">
        <v>0.93223780000000001</v>
      </c>
      <c r="Y1875">
        <v>0.1892752</v>
      </c>
      <c r="Z1875">
        <v>0.1252828</v>
      </c>
      <c r="AA1875">
        <v>0.97389890000000001</v>
      </c>
      <c r="AB1875">
        <v>23</v>
      </c>
      <c r="AC1875">
        <v>-0.14849999999998401</v>
      </c>
      <c r="AD1875">
        <v>-0.11238529999999999</v>
      </c>
      <c r="AE1875">
        <v>-0.56380000000001396</v>
      </c>
      <c r="AF1875">
        <v>0.14696090528743699</v>
      </c>
      <c r="AG1875">
        <v>-0.11238529999999999</v>
      </c>
      <c r="AH1875">
        <v>0.54259150749788299</v>
      </c>
      <c r="AI1875">
        <v>101.305718491306</v>
      </c>
      <c r="AJ1875">
        <v>74.845042726316095</v>
      </c>
      <c r="AK1875">
        <v>0.573265651637893</v>
      </c>
      <c r="AL1875">
        <v>68.910188504518004</v>
      </c>
      <c r="AM1875">
        <v>87.657415046710099</v>
      </c>
      <c r="AN1875">
        <v>0.99999999477614099</v>
      </c>
    </row>
    <row r="1876" spans="1:40" x14ac:dyDescent="0.25">
      <c r="A1876" t="str">
        <f>"20190304164127021"</f>
        <v>20190304164127021</v>
      </c>
      <c r="B1876" t="str">
        <f>"1551688887012354"</f>
        <v>1551688887012354</v>
      </c>
      <c r="C1876" t="s">
        <v>40</v>
      </c>
      <c r="D1876">
        <v>4.6163679999999996</v>
      </c>
      <c r="E1876">
        <v>0.58302310000000002</v>
      </c>
      <c r="F1876" t="s">
        <v>41</v>
      </c>
      <c r="G1876">
        <v>-192.24709999999999</v>
      </c>
      <c r="H1876">
        <v>1.00186</v>
      </c>
      <c r="I1876">
        <v>315.1635</v>
      </c>
      <c r="J1876">
        <v>-192.09540000000001</v>
      </c>
      <c r="K1876">
        <v>1.11056</v>
      </c>
      <c r="L1876">
        <v>315.6891</v>
      </c>
      <c r="M1876">
        <v>6.2629319999999997E-3</v>
      </c>
      <c r="N1876">
        <v>-1.370153E-2</v>
      </c>
      <c r="O1876">
        <v>-0.99988679999999996</v>
      </c>
      <c r="P1876">
        <v>-3.9896809999999998E-2</v>
      </c>
      <c r="Q1876">
        <v>0.3478676</v>
      </c>
      <c r="R1876">
        <v>-0.93669480000000005</v>
      </c>
      <c r="S1876">
        <v>-0.65788269999999904</v>
      </c>
      <c r="T1876">
        <v>-0.4743327</v>
      </c>
      <c r="U1876">
        <v>-3.3542480000000001</v>
      </c>
      <c r="V1876">
        <v>4.612931E-2</v>
      </c>
      <c r="W1876">
        <v>0.36061870000000001</v>
      </c>
      <c r="X1876">
        <v>0.93157199999999996</v>
      </c>
      <c r="Y1876">
        <v>0.19692470000000001</v>
      </c>
      <c r="Z1876">
        <v>0.1237718</v>
      </c>
      <c r="AA1876">
        <v>0.97257450000000001</v>
      </c>
      <c r="AB1876">
        <v>23</v>
      </c>
      <c r="AC1876">
        <v>-0.15169999999997599</v>
      </c>
      <c r="AD1876">
        <v>-0.1087</v>
      </c>
      <c r="AE1876">
        <v>-0.52559999999999696</v>
      </c>
      <c r="AF1876">
        <v>0.14910228257182301</v>
      </c>
      <c r="AG1876">
        <v>-0.1087</v>
      </c>
      <c r="AH1876">
        <v>0.50471248779005096</v>
      </c>
      <c r="AI1876">
        <v>101.670090974993</v>
      </c>
      <c r="AJ1876">
        <v>73.541793135412803</v>
      </c>
      <c r="AK1876">
        <v>0.53738429080068095</v>
      </c>
      <c r="AL1876">
        <v>68.861804310277094</v>
      </c>
      <c r="AM1876">
        <v>87.165159836947595</v>
      </c>
      <c r="AN1876">
        <v>1.0000000756073799</v>
      </c>
    </row>
    <row r="1877" spans="1:40" x14ac:dyDescent="0.25">
      <c r="A1877" t="str">
        <f>"20190304164127043"</f>
        <v>20190304164127043</v>
      </c>
      <c r="B1877" t="str">
        <f>"1551688887032850"</f>
        <v>1551688887032850</v>
      </c>
      <c r="C1877" t="s">
        <v>40</v>
      </c>
      <c r="D1877">
        <v>4.6147099999999996</v>
      </c>
      <c r="E1877">
        <v>0.58286490000000002</v>
      </c>
      <c r="F1877" t="s">
        <v>42</v>
      </c>
      <c r="G1877">
        <v>-194.37430000000001</v>
      </c>
      <c r="H1877" s="1">
        <v>-3.609249E-6</v>
      </c>
      <c r="I1877">
        <v>305.31270000000001</v>
      </c>
      <c r="J1877">
        <v>-192.09479999999999</v>
      </c>
      <c r="K1877">
        <v>1.110552</v>
      </c>
      <c r="L1877">
        <v>315.46300000000002</v>
      </c>
      <c r="M1877">
        <v>5.5807819999999899E-3</v>
      </c>
      <c r="N1877">
        <v>-1.3699299999999999E-2</v>
      </c>
      <c r="O1877">
        <v>-0.99989039999999996</v>
      </c>
      <c r="P1877">
        <v>-5.066404E-2</v>
      </c>
      <c r="Q1877">
        <v>0.3501553</v>
      </c>
      <c r="R1877">
        <v>-0.93532040000000005</v>
      </c>
      <c r="S1877">
        <v>-0.72543329999999995</v>
      </c>
      <c r="T1877">
        <v>-0.35352109999999998</v>
      </c>
      <c r="U1877">
        <v>-3.3031009999999998</v>
      </c>
      <c r="V1877">
        <v>5.6271069999999999E-2</v>
      </c>
      <c r="W1877">
        <v>0.36287209999999998</v>
      </c>
      <c r="X1877">
        <v>0.93013840000000003</v>
      </c>
      <c r="Y1877">
        <v>0.21890609999999999</v>
      </c>
      <c r="Z1877">
        <v>9.0261220000000003E-2</v>
      </c>
      <c r="AA1877">
        <v>0.97156209999999998</v>
      </c>
      <c r="AB1877">
        <v>23</v>
      </c>
      <c r="AC1877">
        <v>-2.2795000000000099</v>
      </c>
      <c r="AD1877">
        <v>-1.1105556092490001</v>
      </c>
      <c r="AE1877">
        <v>-10.1502999999999</v>
      </c>
      <c r="AF1877">
        <v>2.3097939162929202</v>
      </c>
      <c r="AG1877">
        <v>-1.1105556092490001</v>
      </c>
      <c r="AH1877">
        <v>10.023194529592001</v>
      </c>
      <c r="AI1877">
        <v>96.162286416407099</v>
      </c>
      <c r="AJ1877">
        <v>77.023028452390705</v>
      </c>
      <c r="AK1877">
        <v>10.3456710886738</v>
      </c>
      <c r="AL1877">
        <v>68.723313778308395</v>
      </c>
      <c r="AM1877">
        <v>86.537966723758103</v>
      </c>
      <c r="AN1877">
        <v>1.0000000187159499</v>
      </c>
    </row>
    <row r="1878" spans="1:40" x14ac:dyDescent="0.25">
      <c r="A1878" t="str">
        <f>"20190304164127064"</f>
        <v>20190304164127064</v>
      </c>
      <c r="B1878" t="str">
        <f>"1551688887052370"</f>
        <v>1551688887052370</v>
      </c>
      <c r="C1878" t="s">
        <v>40</v>
      </c>
      <c r="D1878">
        <v>4.6091379999999997</v>
      </c>
      <c r="E1878">
        <v>0.57741849999999995</v>
      </c>
      <c r="F1878" t="s">
        <v>42</v>
      </c>
      <c r="G1878">
        <v>-194.49469999999999</v>
      </c>
      <c r="H1878" s="1">
        <v>-3.5358830000000001E-6</v>
      </c>
      <c r="I1878">
        <v>305.04360000000003</v>
      </c>
      <c r="J1878">
        <v>-192.09450000000001</v>
      </c>
      <c r="K1878">
        <v>1.1105339999999999</v>
      </c>
      <c r="L1878">
        <v>315.2516</v>
      </c>
      <c r="M1878">
        <v>4.9053179999999997E-3</v>
      </c>
      <c r="N1878">
        <v>-1.369716E-2</v>
      </c>
      <c r="O1878">
        <v>-0.99989430000000001</v>
      </c>
      <c r="P1878">
        <v>-6.3059160000000003E-2</v>
      </c>
      <c r="Q1878">
        <v>0.35187040000000003</v>
      </c>
      <c r="R1878">
        <v>-0.93392260000000005</v>
      </c>
      <c r="S1878">
        <v>-0.75958249999999905</v>
      </c>
      <c r="T1878">
        <v>-0.3515025</v>
      </c>
      <c r="U1878">
        <v>-3.2978519999999998</v>
      </c>
      <c r="V1878">
        <v>6.8051899999999901E-2</v>
      </c>
      <c r="W1878">
        <v>0.36454839999999999</v>
      </c>
      <c r="X1878">
        <v>0.92869440000000003</v>
      </c>
      <c r="Y1878">
        <v>0.22814280000000001</v>
      </c>
      <c r="Z1878">
        <v>8.9610270000000006E-2</v>
      </c>
      <c r="AA1878">
        <v>0.9694952</v>
      </c>
      <c r="AB1878">
        <v>23</v>
      </c>
      <c r="AC1878">
        <v>-2.4001999999999799</v>
      </c>
      <c r="AD1878">
        <v>-1.1105375358830001</v>
      </c>
      <c r="AE1878">
        <v>-10.207999999999901</v>
      </c>
      <c r="AF1878">
        <v>2.4230735363919802</v>
      </c>
      <c r="AG1878">
        <v>-1.1105375358830001</v>
      </c>
      <c r="AH1878">
        <v>10.0830171662659</v>
      </c>
      <c r="AI1878">
        <v>96.112541485193702</v>
      </c>
      <c r="AJ1878">
        <v>76.487346344131396</v>
      </c>
      <c r="AK1878">
        <v>10.429372663616</v>
      </c>
      <c r="AL1878">
        <v>68.620205601251698</v>
      </c>
      <c r="AM1878">
        <v>85.809030049170104</v>
      </c>
      <c r="AN1878">
        <v>0.99999994281376303</v>
      </c>
    </row>
    <row r="1879" spans="1:40" x14ac:dyDescent="0.25">
      <c r="A1879" t="str">
        <f>"20190304164127087"</f>
        <v>20190304164127087</v>
      </c>
      <c r="B1879" t="str">
        <f>"1551688887072866"</f>
        <v>1551688887072866</v>
      </c>
      <c r="C1879" t="s">
        <v>40</v>
      </c>
      <c r="D1879">
        <v>4.6086600000000004</v>
      </c>
      <c r="E1879">
        <v>0.57704529999999998</v>
      </c>
      <c r="F1879" t="s">
        <v>42</v>
      </c>
      <c r="G1879">
        <v>-194.07069999999999</v>
      </c>
      <c r="H1879" s="1">
        <v>-3.9772370000000002E-6</v>
      </c>
      <c r="I1879">
        <v>306.55220000000003</v>
      </c>
      <c r="J1879">
        <v>-192.0943</v>
      </c>
      <c r="K1879">
        <v>1.1105050000000001</v>
      </c>
      <c r="L1879">
        <v>315.01560000000001</v>
      </c>
      <c r="M1879">
        <v>4.110888E-3</v>
      </c>
      <c r="N1879">
        <v>-1.3694980000000001E-2</v>
      </c>
      <c r="O1879">
        <v>-0.99989799999999995</v>
      </c>
      <c r="P1879">
        <v>-7.7558849999999999E-2</v>
      </c>
      <c r="Q1879">
        <v>0.35217850000000001</v>
      </c>
      <c r="R1879">
        <v>-0.93271420000000005</v>
      </c>
      <c r="S1879">
        <v>-0.7544556</v>
      </c>
      <c r="T1879">
        <v>-0.42396089999999997</v>
      </c>
      <c r="U1879">
        <v>-3.321075</v>
      </c>
      <c r="V1879">
        <v>8.1830109999999998E-2</v>
      </c>
      <c r="W1879">
        <v>0.36481659999999999</v>
      </c>
      <c r="X1879">
        <v>0.92747650000000004</v>
      </c>
      <c r="Y1879">
        <v>0.2239836</v>
      </c>
      <c r="Z1879">
        <v>0.1098674</v>
      </c>
      <c r="AA1879">
        <v>0.96838029999999997</v>
      </c>
      <c r="AB1879">
        <v>23</v>
      </c>
      <c r="AC1879">
        <v>-1.97639999999998</v>
      </c>
      <c r="AD1879">
        <v>-1.11050897723699</v>
      </c>
      <c r="AE1879">
        <v>-8.4633999999999698</v>
      </c>
      <c r="AF1879">
        <v>1.97887052867155</v>
      </c>
      <c r="AG1879">
        <v>-1.11050897723699</v>
      </c>
      <c r="AH1879">
        <v>8.3193763075297795</v>
      </c>
      <c r="AI1879">
        <v>97.399107682160704</v>
      </c>
      <c r="AJ1879">
        <v>76.620103642509207</v>
      </c>
      <c r="AK1879">
        <v>8.6232929269541003</v>
      </c>
      <c r="AL1879">
        <v>68.603703344260794</v>
      </c>
      <c r="AM1879">
        <v>84.957919896659703</v>
      </c>
      <c r="AN1879">
        <v>0.99999998829521097</v>
      </c>
    </row>
    <row r="1880" spans="1:40" x14ac:dyDescent="0.25">
      <c r="A1880" t="str">
        <f>"20190304164127121"</f>
        <v>20190304164127121</v>
      </c>
      <c r="B1880" t="str">
        <f>"1551688887112882"</f>
        <v>1551688887112882</v>
      </c>
      <c r="C1880" t="s">
        <v>40</v>
      </c>
      <c r="D1880">
        <v>4.6310190000000002</v>
      </c>
      <c r="E1880">
        <v>0.57340369999999996</v>
      </c>
      <c r="F1880" t="s">
        <v>42</v>
      </c>
      <c r="G1880">
        <v>-194.20439999999999</v>
      </c>
      <c r="H1880" s="1">
        <v>-3.9057440000000001E-6</v>
      </c>
      <c r="I1880">
        <v>306.27249999999998</v>
      </c>
      <c r="J1880">
        <v>-192.09450000000001</v>
      </c>
      <c r="K1880">
        <v>1.110452</v>
      </c>
      <c r="L1880">
        <v>314.6653</v>
      </c>
      <c r="M1880">
        <v>2.8467399999999999E-3</v>
      </c>
      <c r="N1880">
        <v>-1.36918E-2</v>
      </c>
      <c r="O1880">
        <v>-0.99990239999999997</v>
      </c>
      <c r="P1880">
        <v>-9.2432799999999996E-2</v>
      </c>
      <c r="Q1880">
        <v>0.35048439999999997</v>
      </c>
      <c r="R1880">
        <v>-0.9319963</v>
      </c>
      <c r="S1880">
        <v>-0.79850769999999904</v>
      </c>
      <c r="T1880">
        <v>-0.42024719999999999</v>
      </c>
      <c r="U1880">
        <v>-3.3086549999999999</v>
      </c>
      <c r="V1880">
        <v>9.5557240000000002E-2</v>
      </c>
      <c r="W1880">
        <v>0.36308489999999999</v>
      </c>
      <c r="X1880">
        <v>0.92684310000000003</v>
      </c>
      <c r="Y1880">
        <v>0.23575589999999999</v>
      </c>
      <c r="Z1880">
        <v>0.108894</v>
      </c>
      <c r="AA1880">
        <v>0.96569210000000005</v>
      </c>
      <c r="AB1880">
        <v>23</v>
      </c>
      <c r="AC1880">
        <v>-2.1098999999999801</v>
      </c>
      <c r="AD1880">
        <v>-1.110455905744</v>
      </c>
      <c r="AE1880">
        <v>-8.3928000000000207</v>
      </c>
      <c r="AF1880">
        <v>2.0992211247627801</v>
      </c>
      <c r="AG1880">
        <v>-1.110455905744</v>
      </c>
      <c r="AH1880">
        <v>8.2509040096582602</v>
      </c>
      <c r="AI1880">
        <v>97.4311776113978</v>
      </c>
      <c r="AJ1880">
        <v>75.725484688749205</v>
      </c>
      <c r="AK1880">
        <v>8.5858755305354109</v>
      </c>
      <c r="AL1880">
        <v>68.710227975445903</v>
      </c>
      <c r="AM1880">
        <v>84.113620388682705</v>
      </c>
      <c r="AN1880">
        <v>0.99999998137101798</v>
      </c>
    </row>
    <row r="1881" spans="1:40" x14ac:dyDescent="0.25">
      <c r="A1881" t="str">
        <f>"20190304164127144"</f>
        <v>20190304164127144</v>
      </c>
      <c r="B1881" t="str">
        <f>"1551688887132402"</f>
        <v>1551688887132402</v>
      </c>
      <c r="C1881" t="s">
        <v>40</v>
      </c>
      <c r="D1881">
        <v>4.6022379999999998</v>
      </c>
      <c r="E1881">
        <v>0.57361200000000001</v>
      </c>
      <c r="F1881" t="s">
        <v>42</v>
      </c>
      <c r="G1881">
        <v>-194.2483</v>
      </c>
      <c r="H1881" s="1">
        <v>-3.814337E-6</v>
      </c>
      <c r="I1881">
        <v>305.98099999999999</v>
      </c>
      <c r="J1881">
        <v>-192.0949</v>
      </c>
      <c r="K1881">
        <v>1.1104229999999999</v>
      </c>
      <c r="L1881">
        <v>314.4504</v>
      </c>
      <c r="M1881">
        <v>2.0043650000000001E-3</v>
      </c>
      <c r="N1881">
        <v>-1.3689959999999999E-2</v>
      </c>
      <c r="O1881">
        <v>-0.99990440000000003</v>
      </c>
      <c r="P1881">
        <v>-0.104878</v>
      </c>
      <c r="Q1881">
        <v>0.3501399</v>
      </c>
      <c r="R1881">
        <v>-0.93080790000000002</v>
      </c>
      <c r="S1881">
        <v>-0.81752009999999997</v>
      </c>
      <c r="T1881">
        <v>-0.42150100000000001</v>
      </c>
      <c r="U1881">
        <v>-3.2963260000000001</v>
      </c>
      <c r="V1881">
        <v>0.1072401</v>
      </c>
      <c r="W1881">
        <v>0.36270059999999998</v>
      </c>
      <c r="X1881">
        <v>0.92571479999999995</v>
      </c>
      <c r="Y1881">
        <v>0.2409888</v>
      </c>
      <c r="Z1881">
        <v>0.10953590000000001</v>
      </c>
      <c r="AA1881">
        <v>0.96432689999999999</v>
      </c>
      <c r="AB1881">
        <v>23</v>
      </c>
      <c r="AC1881">
        <v>-2.1534</v>
      </c>
      <c r="AD1881">
        <v>-1.110426814337</v>
      </c>
      <c r="AE1881">
        <v>-8.4694000000000091</v>
      </c>
      <c r="AF1881">
        <v>2.1358866664843399</v>
      </c>
      <c r="AG1881">
        <v>-1.110426814337</v>
      </c>
      <c r="AH1881">
        <v>8.3305598397085099</v>
      </c>
      <c r="AI1881">
        <v>97.357278474186003</v>
      </c>
      <c r="AJ1881">
        <v>75.619601303385195</v>
      </c>
      <c r="AK1881">
        <v>8.6714062760909005</v>
      </c>
      <c r="AL1881">
        <v>68.733858581965904</v>
      </c>
      <c r="AM1881">
        <v>83.391984331208207</v>
      </c>
      <c r="AN1881">
        <v>1.0000000276137</v>
      </c>
    </row>
    <row r="1882" spans="1:40" x14ac:dyDescent="0.25">
      <c r="A1882" t="str">
        <f>"20190304164127165"</f>
        <v>20190304164127165</v>
      </c>
      <c r="B1882" t="str">
        <f>"1551688887152898"</f>
        <v>1551688887152898</v>
      </c>
      <c r="C1882" t="s">
        <v>40</v>
      </c>
      <c r="D1882">
        <v>4.6285369999999997</v>
      </c>
      <c r="E1882">
        <v>0.57281490000000002</v>
      </c>
      <c r="F1882" t="s">
        <v>42</v>
      </c>
      <c r="G1882">
        <v>-194.38829999999999</v>
      </c>
      <c r="H1882" s="1">
        <v>-3.738474E-6</v>
      </c>
      <c r="I1882">
        <v>305.68509999999998</v>
      </c>
      <c r="J1882">
        <v>-192.09559999999999</v>
      </c>
      <c r="K1882">
        <v>1.1103769999999999</v>
      </c>
      <c r="L1882">
        <v>314.22980000000001</v>
      </c>
      <c r="M1882">
        <v>1.0692E-3</v>
      </c>
      <c r="N1882">
        <v>-1.3688250000000001E-2</v>
      </c>
      <c r="O1882">
        <v>-0.99990570000000001</v>
      </c>
      <c r="P1882">
        <v>-0.1159309</v>
      </c>
      <c r="Q1882">
        <v>0.35026439999999998</v>
      </c>
      <c r="R1882">
        <v>-0.92944870000000002</v>
      </c>
      <c r="S1882">
        <v>-0.85890200000000005</v>
      </c>
      <c r="T1882">
        <v>-0.41586269999999997</v>
      </c>
      <c r="U1882">
        <v>-3.2826840000000002</v>
      </c>
      <c r="V1882">
        <v>0.1174574</v>
      </c>
      <c r="W1882">
        <v>0.36278050000000001</v>
      </c>
      <c r="X1882">
        <v>0.92444249999999994</v>
      </c>
      <c r="Y1882">
        <v>0.2524459</v>
      </c>
      <c r="Z1882">
        <v>0.1080333</v>
      </c>
      <c r="AA1882">
        <v>0.96156109999999995</v>
      </c>
      <c r="AB1882">
        <v>23</v>
      </c>
      <c r="AC1882">
        <v>-2.2926999999999902</v>
      </c>
      <c r="AD1882">
        <v>-1.1103807384740001</v>
      </c>
      <c r="AE1882">
        <v>-8.5447000000000308</v>
      </c>
      <c r="AF1882">
        <v>2.2661375452034198</v>
      </c>
      <c r="AG1882">
        <v>-1.1103807384740001</v>
      </c>
      <c r="AH1882">
        <v>8.4097662310929895</v>
      </c>
      <c r="AI1882">
        <v>97.265290316781105</v>
      </c>
      <c r="AJ1882">
        <v>74.918999891245406</v>
      </c>
      <c r="AK1882">
        <v>8.7802330732040801</v>
      </c>
      <c r="AL1882">
        <v>68.728943967874798</v>
      </c>
      <c r="AM1882">
        <v>82.758937890726301</v>
      </c>
      <c r="AN1882">
        <v>0.99999993390062702</v>
      </c>
    </row>
    <row r="1883" spans="1:40" x14ac:dyDescent="0.25">
      <c r="A1883" t="str">
        <f>"20190304164127188"</f>
        <v>20190304164127188</v>
      </c>
      <c r="B1883" t="str">
        <f>"1551688887172418"</f>
        <v>1551688887172418</v>
      </c>
      <c r="C1883" t="s">
        <v>40</v>
      </c>
      <c r="D1883">
        <v>4.6436539999999997</v>
      </c>
      <c r="E1883">
        <v>0.57188930000000004</v>
      </c>
      <c r="F1883" t="s">
        <v>42</v>
      </c>
      <c r="G1883">
        <v>-194.47059999999999</v>
      </c>
      <c r="H1883" s="1">
        <v>-3.684385E-6</v>
      </c>
      <c r="I1883">
        <v>305.48320000000001</v>
      </c>
      <c r="J1883">
        <v>-192.0966</v>
      </c>
      <c r="K1883">
        <v>1.1103259999999999</v>
      </c>
      <c r="L1883">
        <v>313.99979999999999</v>
      </c>
      <c r="M1883" s="1">
        <v>2.6866179999999999E-5</v>
      </c>
      <c r="N1883">
        <v>-1.3686749999999999E-2</v>
      </c>
      <c r="O1883">
        <v>-0.99990659999999998</v>
      </c>
      <c r="P1883">
        <v>-0.1269766</v>
      </c>
      <c r="Q1883">
        <v>0.35126550000000001</v>
      </c>
      <c r="R1883">
        <v>-0.92762610000000001</v>
      </c>
      <c r="S1883">
        <v>-0.88887019999999906</v>
      </c>
      <c r="T1883">
        <v>-0.4155643</v>
      </c>
      <c r="U1883">
        <v>-3.2734380000000001</v>
      </c>
      <c r="V1883">
        <v>0.12757859999999999</v>
      </c>
      <c r="W1883">
        <v>0.36372690000000002</v>
      </c>
      <c r="X1883">
        <v>0.92272779999999999</v>
      </c>
      <c r="Y1883">
        <v>0.26030500000000001</v>
      </c>
      <c r="Z1883">
        <v>0.10800999999999999</v>
      </c>
      <c r="AA1883">
        <v>0.95946609999999999</v>
      </c>
      <c r="AB1883">
        <v>22</v>
      </c>
      <c r="AC1883">
        <v>-2.3739999999999899</v>
      </c>
      <c r="AD1883">
        <v>-1.1103296843849999</v>
      </c>
      <c r="AE1883">
        <v>-8.5165999999999809</v>
      </c>
      <c r="AF1883">
        <v>2.3373650801068302</v>
      </c>
      <c r="AG1883">
        <v>-1.1103296843849999</v>
      </c>
      <c r="AH1883">
        <v>8.3843031888528596</v>
      </c>
      <c r="AI1883">
        <v>97.269689020252898</v>
      </c>
      <c r="AJ1883">
        <v>74.4226626069334</v>
      </c>
      <c r="AK1883">
        <v>8.7745454291568592</v>
      </c>
      <c r="AL1883">
        <v>68.670746736748399</v>
      </c>
      <c r="AM1883">
        <v>82.128053723694293</v>
      </c>
      <c r="AN1883">
        <v>1.0000000749272</v>
      </c>
    </row>
    <row r="1884" spans="1:40" x14ac:dyDescent="0.25">
      <c r="A1884" t="str">
        <f>"20190304164127212"</f>
        <v>20190304164127212</v>
      </c>
      <c r="B1884" t="str">
        <f>"1551688887202674"</f>
        <v>1551688887202674</v>
      </c>
      <c r="C1884" t="s">
        <v>40</v>
      </c>
      <c r="D1884">
        <v>4.6593669999999996</v>
      </c>
      <c r="E1884">
        <v>0.56625749999999997</v>
      </c>
      <c r="F1884" t="s">
        <v>42</v>
      </c>
      <c r="G1884">
        <v>-194.58109999999999</v>
      </c>
      <c r="H1884" s="1">
        <v>-3.6007960000000002E-6</v>
      </c>
      <c r="I1884">
        <v>305.18</v>
      </c>
      <c r="J1884">
        <v>-192.09800000000001</v>
      </c>
      <c r="K1884">
        <v>1.110271</v>
      </c>
      <c r="L1884">
        <v>313.75760000000002</v>
      </c>
      <c r="M1884">
        <v>-1.1543809999999999E-3</v>
      </c>
      <c r="N1884">
        <v>-1.3685320000000001E-2</v>
      </c>
      <c r="O1884">
        <v>-0.99990559999999995</v>
      </c>
      <c r="P1884">
        <v>-0.13968720000000001</v>
      </c>
      <c r="Q1884">
        <v>0.352881</v>
      </c>
      <c r="R1884">
        <v>-0.92518239999999996</v>
      </c>
      <c r="S1884">
        <v>-0.91941830000000002</v>
      </c>
      <c r="T1884">
        <v>-0.410881</v>
      </c>
      <c r="U1884">
        <v>-3.2637939999999999</v>
      </c>
      <c r="V1884">
        <v>0.1392486</v>
      </c>
      <c r="W1884">
        <v>0.3652725</v>
      </c>
      <c r="X1884">
        <v>0.920427</v>
      </c>
      <c r="Y1884">
        <v>0.26824569999999998</v>
      </c>
      <c r="Z1884">
        <v>0.1067207</v>
      </c>
      <c r="AA1884">
        <v>0.95742099999999997</v>
      </c>
      <c r="AB1884">
        <v>22</v>
      </c>
      <c r="AC1884">
        <v>-2.4830999999999999</v>
      </c>
      <c r="AD1884">
        <v>-1.110274600796</v>
      </c>
      <c r="AE1884">
        <v>-8.5776000000000092</v>
      </c>
      <c r="AF1884">
        <v>2.4355447126733099</v>
      </c>
      <c r="AG1884">
        <v>-1.110274600796</v>
      </c>
      <c r="AH1884">
        <v>8.4498356795060605</v>
      </c>
      <c r="AI1884">
        <v>97.195859726654206</v>
      </c>
      <c r="AJ1884">
        <v>73.921127395064005</v>
      </c>
      <c r="AK1884">
        <v>8.8636510957537897</v>
      </c>
      <c r="AL1884">
        <v>68.575646606385803</v>
      </c>
      <c r="AM1884">
        <v>81.397133413239104</v>
      </c>
      <c r="AN1884">
        <v>1.0000000170936001</v>
      </c>
    </row>
    <row r="1885" spans="1:40" x14ac:dyDescent="0.25">
      <c r="A1885" t="str">
        <f>"20190304164127232"</f>
        <v>20190304164127232</v>
      </c>
      <c r="B1885" t="str">
        <f>"1551688887223170"</f>
        <v>1551688887223170</v>
      </c>
      <c r="C1885" t="s">
        <v>40</v>
      </c>
      <c r="D1885">
        <v>4.7769830000000004</v>
      </c>
      <c r="E1885">
        <v>0.5715713</v>
      </c>
      <c r="F1885" t="s">
        <v>42</v>
      </c>
      <c r="G1885">
        <v>-194.6172</v>
      </c>
      <c r="H1885" s="1">
        <v>-3.4749349999999999E-6</v>
      </c>
      <c r="I1885">
        <v>304.82560000000001</v>
      </c>
      <c r="J1885">
        <v>-192.09950000000001</v>
      </c>
      <c r="K1885">
        <v>1.1102190000000001</v>
      </c>
      <c r="L1885">
        <v>313.54840000000002</v>
      </c>
      <c r="M1885">
        <v>-2.2613619999999998E-3</v>
      </c>
      <c r="N1885">
        <v>-1.368426E-2</v>
      </c>
      <c r="O1885">
        <v>-0.99990389999999996</v>
      </c>
      <c r="P1885">
        <v>-0.15250759999999999</v>
      </c>
      <c r="Q1885">
        <v>0.35416029999999998</v>
      </c>
      <c r="R1885">
        <v>-0.92266579999999998</v>
      </c>
      <c r="S1885">
        <v>-0.91899109999999995</v>
      </c>
      <c r="T1885">
        <v>-0.40502050000000001</v>
      </c>
      <c r="U1885">
        <v>-3.2583310000000001</v>
      </c>
      <c r="V1885">
        <v>0.1511007</v>
      </c>
      <c r="W1885">
        <v>0.36647869999999999</v>
      </c>
      <c r="X1885">
        <v>0.91807510000000003</v>
      </c>
      <c r="Y1885">
        <v>0.26752890000000001</v>
      </c>
      <c r="Z1885">
        <v>0.10523299999999999</v>
      </c>
      <c r="AA1885">
        <v>0.95778609999999997</v>
      </c>
      <c r="AB1885">
        <v>22</v>
      </c>
      <c r="AC1885">
        <v>-2.5176999999999898</v>
      </c>
      <c r="AD1885">
        <v>-1.110222474935</v>
      </c>
      <c r="AE1885">
        <v>-8.7227999999999994</v>
      </c>
      <c r="AF1885">
        <v>2.4611622442338001</v>
      </c>
      <c r="AG1885">
        <v>-1.110222474935</v>
      </c>
      <c r="AH1885">
        <v>8.5998697523552803</v>
      </c>
      <c r="AI1885">
        <v>97.075081408307398</v>
      </c>
      <c r="AJ1885">
        <v>74.029620264659101</v>
      </c>
      <c r="AK1885">
        <v>9.0137491252956501</v>
      </c>
      <c r="AL1885">
        <v>68.501386622192399</v>
      </c>
      <c r="AM1885">
        <v>80.653805948149</v>
      </c>
      <c r="AN1885">
        <v>0.99999997416709396</v>
      </c>
    </row>
    <row r="1886" spans="1:40" x14ac:dyDescent="0.25">
      <c r="A1886" t="str">
        <f>"20190304164127255"</f>
        <v>20190304164127255</v>
      </c>
      <c r="B1886" t="str">
        <f>"1551688887242690"</f>
        <v>1551688887242690</v>
      </c>
      <c r="C1886" t="s">
        <v>40</v>
      </c>
      <c r="D1886">
        <v>4.8564850000000002</v>
      </c>
      <c r="E1886">
        <v>0.57524160000000002</v>
      </c>
      <c r="F1886" t="s">
        <v>42</v>
      </c>
      <c r="G1886">
        <v>-194.75720000000001</v>
      </c>
      <c r="H1886" s="1">
        <v>-3.5606100000000001E-6</v>
      </c>
      <c r="I1886">
        <v>304.9701</v>
      </c>
      <c r="J1886">
        <v>-192.10149999999999</v>
      </c>
      <c r="K1886">
        <v>1.1101589999999999</v>
      </c>
      <c r="L1886">
        <v>313.32709999999997</v>
      </c>
      <c r="M1886">
        <v>-3.537938E-3</v>
      </c>
      <c r="N1886">
        <v>-1.368345E-2</v>
      </c>
      <c r="O1886">
        <v>-0.99990020000000002</v>
      </c>
      <c r="P1886">
        <v>-0.16512399999999999</v>
      </c>
      <c r="Q1886">
        <v>0.3552052</v>
      </c>
      <c r="R1886">
        <v>-0.92008880000000004</v>
      </c>
      <c r="S1886">
        <v>-1.005814</v>
      </c>
      <c r="T1886">
        <v>-0.42017009999999999</v>
      </c>
      <c r="U1886">
        <v>-3.2464900000000001</v>
      </c>
      <c r="V1886">
        <v>0.16260820000000001</v>
      </c>
      <c r="W1886">
        <v>0.36744300000000002</v>
      </c>
      <c r="X1886">
        <v>0.9157206</v>
      </c>
      <c r="Y1886">
        <v>0.29052060000000002</v>
      </c>
      <c r="Z1886">
        <v>0.1091741</v>
      </c>
      <c r="AA1886">
        <v>0.95062020000000003</v>
      </c>
      <c r="AB1886">
        <v>22</v>
      </c>
      <c r="AC1886">
        <v>-2.6557000000000199</v>
      </c>
      <c r="AD1886">
        <v>-1.1101625606100001</v>
      </c>
      <c r="AE1886">
        <v>-8.3569999999999691</v>
      </c>
      <c r="AF1886">
        <v>2.5846856165016199</v>
      </c>
      <c r="AG1886">
        <v>-1.1101625606100001</v>
      </c>
      <c r="AH1886">
        <v>8.2343604202529903</v>
      </c>
      <c r="AI1886">
        <v>97.329858991106605</v>
      </c>
      <c r="AJ1886">
        <v>72.573434391960404</v>
      </c>
      <c r="AK1886">
        <v>8.7015948065719293</v>
      </c>
      <c r="AL1886">
        <v>68.441993376646195</v>
      </c>
      <c r="AM1886">
        <v>79.930718484373102</v>
      </c>
      <c r="AN1886">
        <v>1.0000000011102901</v>
      </c>
    </row>
    <row r="1887" spans="1:40" x14ac:dyDescent="0.25">
      <c r="A1887" t="str">
        <f>"20190304164127277"</f>
        <v>20190304164127277</v>
      </c>
      <c r="B1887" t="str">
        <f>"1551688887263186"</f>
        <v>1551688887263186</v>
      </c>
      <c r="C1887" t="s">
        <v>40</v>
      </c>
      <c r="D1887">
        <v>4.8259150000000002</v>
      </c>
      <c r="E1887">
        <v>0.57741669999999901</v>
      </c>
      <c r="F1887" t="s">
        <v>42</v>
      </c>
      <c r="G1887">
        <v>-194.8169</v>
      </c>
      <c r="H1887" s="1">
        <v>-3.6414579999999999E-6</v>
      </c>
      <c r="I1887">
        <v>305.17660000000001</v>
      </c>
      <c r="J1887">
        <v>-192.10400000000001</v>
      </c>
      <c r="K1887">
        <v>1.110088</v>
      </c>
      <c r="L1887">
        <v>313.1003</v>
      </c>
      <c r="M1887">
        <v>-4.9714809999999998E-3</v>
      </c>
      <c r="N1887">
        <v>-1.368311E-2</v>
      </c>
      <c r="O1887">
        <v>-0.99989410000000001</v>
      </c>
      <c r="P1887">
        <v>-0.1764733</v>
      </c>
      <c r="Q1887">
        <v>0.35468349999999998</v>
      </c>
      <c r="R1887">
        <v>-0.91818140000000004</v>
      </c>
      <c r="S1887">
        <v>-1.078522</v>
      </c>
      <c r="T1887">
        <v>-0.44094100000000003</v>
      </c>
      <c r="U1887">
        <v>-3.2372740000000002</v>
      </c>
      <c r="V1887">
        <v>0.17271549999999999</v>
      </c>
      <c r="W1887">
        <v>0.36684559999999999</v>
      </c>
      <c r="X1887">
        <v>0.91410820000000004</v>
      </c>
      <c r="Y1887">
        <v>0.30897659999999899</v>
      </c>
      <c r="Z1887">
        <v>0.1146908</v>
      </c>
      <c r="AA1887">
        <v>0.94412890000000005</v>
      </c>
      <c r="AB1887">
        <v>22</v>
      </c>
      <c r="AC1887">
        <v>-2.7128999999999901</v>
      </c>
      <c r="AD1887">
        <v>-1.110091641458</v>
      </c>
      <c r="AE1887">
        <v>-7.9236999999999904</v>
      </c>
      <c r="AF1887">
        <v>2.6273136589011399</v>
      </c>
      <c r="AG1887">
        <v>-1.110091641458</v>
      </c>
      <c r="AH1887">
        <v>7.8000591525846703</v>
      </c>
      <c r="AI1887">
        <v>97.681290123052904</v>
      </c>
      <c r="AJ1887">
        <v>71.384800708738297</v>
      </c>
      <c r="AK1887">
        <v>8.3051793056202801</v>
      </c>
      <c r="AL1887">
        <v>68.478793276421399</v>
      </c>
      <c r="AM1887">
        <v>79.300425900671797</v>
      </c>
      <c r="AN1887">
        <v>1.0000000697434199</v>
      </c>
    </row>
    <row r="1888" spans="1:40" x14ac:dyDescent="0.25">
      <c r="A1888" t="str">
        <f>"20190304164127304"</f>
        <v>20190304164127304</v>
      </c>
      <c r="B1888" t="str">
        <f>"1551688887292466"</f>
        <v>1551688887292466</v>
      </c>
      <c r="C1888" t="s">
        <v>40</v>
      </c>
      <c r="D1888">
        <v>4.7152669999999999</v>
      </c>
      <c r="E1888">
        <v>0.57905890000000004</v>
      </c>
      <c r="F1888" t="s">
        <v>42</v>
      </c>
      <c r="G1888">
        <v>-194.87610000000001</v>
      </c>
      <c r="H1888" s="1">
        <v>-3.661521E-6</v>
      </c>
      <c r="I1888">
        <v>305.2047</v>
      </c>
      <c r="J1888">
        <v>-192.10740000000001</v>
      </c>
      <c r="K1888">
        <v>1.10999</v>
      </c>
      <c r="L1888">
        <v>312.84399999999999</v>
      </c>
      <c r="M1888">
        <v>-6.7545720000000004E-3</v>
      </c>
      <c r="N1888">
        <v>-1.368336E-2</v>
      </c>
      <c r="O1888">
        <v>-0.99988370000000004</v>
      </c>
      <c r="P1888">
        <v>-0.1876661</v>
      </c>
      <c r="Q1888">
        <v>0.35423840000000001</v>
      </c>
      <c r="R1888">
        <v>-0.91613160000000005</v>
      </c>
      <c r="S1888">
        <v>-1.132233</v>
      </c>
      <c r="T1888">
        <v>-0.45340629999999998</v>
      </c>
      <c r="U1888">
        <v>-3.2248839999999999</v>
      </c>
      <c r="V1888">
        <v>0.18237030000000001</v>
      </c>
      <c r="W1888">
        <v>0.36631269999999999</v>
      </c>
      <c r="X1888">
        <v>0.91244510000000001</v>
      </c>
      <c r="Y1888">
        <v>0.3222563</v>
      </c>
      <c r="Z1888">
        <v>0.1180929</v>
      </c>
      <c r="AA1888">
        <v>0.93925769999999997</v>
      </c>
      <c r="AB1888">
        <v>22</v>
      </c>
      <c r="AC1888">
        <v>-2.7686999999999902</v>
      </c>
      <c r="AD1888">
        <v>-1.109993661521</v>
      </c>
      <c r="AE1888">
        <v>-7.6392999999999898</v>
      </c>
      <c r="AF1888">
        <v>2.66725806665068</v>
      </c>
      <c r="AG1888">
        <v>-1.109993661521</v>
      </c>
      <c r="AH1888">
        <v>7.5175438529612304</v>
      </c>
      <c r="AI1888">
        <v>97.922092996755495</v>
      </c>
      <c r="AJ1888">
        <v>70.465088131443494</v>
      </c>
      <c r="AK1888">
        <v>8.0535592817042794</v>
      </c>
      <c r="AL1888">
        <v>68.511608933277003</v>
      </c>
      <c r="AM1888">
        <v>78.697235844625894</v>
      </c>
      <c r="AN1888">
        <v>0.99999999050869504</v>
      </c>
    </row>
    <row r="1889" spans="1:40" x14ac:dyDescent="0.25">
      <c r="A1889" t="str">
        <f>"20190304164127324"</f>
        <v>20190304164127324</v>
      </c>
      <c r="B1889" t="str">
        <f>"1551688887312962"</f>
        <v>1551688887312962</v>
      </c>
      <c r="C1889" t="s">
        <v>40</v>
      </c>
      <c r="D1889">
        <v>4.632841</v>
      </c>
      <c r="E1889">
        <v>0.57928659999999998</v>
      </c>
      <c r="F1889" t="s">
        <v>42</v>
      </c>
      <c r="G1889">
        <v>-194.96629999999999</v>
      </c>
      <c r="H1889" s="1">
        <v>-3.6360169999999998E-6</v>
      </c>
      <c r="I1889">
        <v>305.08269999999999</v>
      </c>
      <c r="J1889">
        <v>-192.11070000000001</v>
      </c>
      <c r="K1889">
        <v>1.10991</v>
      </c>
      <c r="L1889">
        <v>312.63229999999999</v>
      </c>
      <c r="M1889">
        <v>-8.3738249999999997E-3</v>
      </c>
      <c r="N1889">
        <v>-1.3684139999999999E-2</v>
      </c>
      <c r="O1889">
        <v>-0.99987159999999997</v>
      </c>
      <c r="P1889">
        <v>-0.19808619999999999</v>
      </c>
      <c r="Q1889">
        <v>0.35430339999999999</v>
      </c>
      <c r="R1889">
        <v>-0.91391</v>
      </c>
      <c r="S1889">
        <v>-1.182404</v>
      </c>
      <c r="T1889">
        <v>-0.45907819999999999</v>
      </c>
      <c r="U1889">
        <v>-3.2099609999999998</v>
      </c>
      <c r="V1889">
        <v>0.1913996</v>
      </c>
      <c r="W1889">
        <v>0.36629099999999998</v>
      </c>
      <c r="X1889">
        <v>0.91060260000000004</v>
      </c>
      <c r="Y1889">
        <v>0.33496939999999997</v>
      </c>
      <c r="Z1889">
        <v>0.11964710000000001</v>
      </c>
      <c r="AA1889">
        <v>0.93460149999999997</v>
      </c>
      <c r="AB1889">
        <v>22</v>
      </c>
      <c r="AC1889">
        <v>-2.8555999999999799</v>
      </c>
      <c r="AD1889">
        <v>-1.1099136360170001</v>
      </c>
      <c r="AE1889">
        <v>-7.5495999999999901</v>
      </c>
      <c r="AF1889">
        <v>2.7404569056677102</v>
      </c>
      <c r="AG1889">
        <v>-1.1099136360170001</v>
      </c>
      <c r="AH1889">
        <v>7.4327081590678903</v>
      </c>
      <c r="AI1889">
        <v>97.975701146298405</v>
      </c>
      <c r="AJ1889">
        <v>69.760951311543806</v>
      </c>
      <c r="AK1889">
        <v>7.9991976415833497</v>
      </c>
      <c r="AL1889">
        <v>68.512945321339501</v>
      </c>
      <c r="AM1889">
        <v>78.129792502894205</v>
      </c>
      <c r="AN1889">
        <v>0.99999999934396</v>
      </c>
    </row>
    <row r="1890" spans="1:40" x14ac:dyDescent="0.25">
      <c r="A1890" t="str">
        <f>"20190304164127349"</f>
        <v>20190304164127349</v>
      </c>
      <c r="B1890" t="str">
        <f>"1551688887343217"</f>
        <v>1551688887343217</v>
      </c>
      <c r="C1890" t="s">
        <v>40</v>
      </c>
      <c r="D1890">
        <v>4.5933149999999996</v>
      </c>
      <c r="E1890">
        <v>0.57948980000000005</v>
      </c>
      <c r="F1890" t="s">
        <v>42</v>
      </c>
      <c r="G1890">
        <v>-195.03030000000001</v>
      </c>
      <c r="H1890" s="1">
        <v>-3.607577E-6</v>
      </c>
      <c r="I1890">
        <v>304.9658</v>
      </c>
      <c r="J1890">
        <v>-192.1148</v>
      </c>
      <c r="K1890">
        <v>1.109834</v>
      </c>
      <c r="L1890">
        <v>312.4042</v>
      </c>
      <c r="M1890">
        <v>-1.0239420000000001E-2</v>
      </c>
      <c r="N1890">
        <v>-1.368487E-2</v>
      </c>
      <c r="O1890">
        <v>-0.99985409999999997</v>
      </c>
      <c r="P1890">
        <v>-0.20714959999999999</v>
      </c>
      <c r="Q1890">
        <v>0.3546475</v>
      </c>
      <c r="R1890">
        <v>-0.91176469999999998</v>
      </c>
      <c r="S1890">
        <v>-1.2179719999999901</v>
      </c>
      <c r="T1890">
        <v>-0.46301039999999999</v>
      </c>
      <c r="U1890">
        <v>-3.1981510000000002</v>
      </c>
      <c r="V1890">
        <v>0.1988489</v>
      </c>
      <c r="W1890">
        <v>0.36655369999999998</v>
      </c>
      <c r="X1890">
        <v>0.90889909999999996</v>
      </c>
      <c r="Y1890">
        <v>0.34337030000000002</v>
      </c>
      <c r="Z1890">
        <v>0.1207671</v>
      </c>
      <c r="AA1890">
        <v>0.93140330000000005</v>
      </c>
      <c r="AB1890">
        <v>22</v>
      </c>
      <c r="AC1890">
        <v>-2.9155000000000002</v>
      </c>
      <c r="AD1890">
        <v>-1.109837607577</v>
      </c>
      <c r="AE1890">
        <v>-7.4383999999999997</v>
      </c>
      <c r="AF1890">
        <v>2.7854241974533802</v>
      </c>
      <c r="AG1890">
        <v>-1.109837607577</v>
      </c>
      <c r="AH1890">
        <v>7.32648508918854</v>
      </c>
      <c r="AI1890">
        <v>98.059223524074497</v>
      </c>
      <c r="AJ1890">
        <v>69.183916805863007</v>
      </c>
      <c r="AK1890">
        <v>7.9162940342721697</v>
      </c>
      <c r="AL1890">
        <v>68.496769457401797</v>
      </c>
      <c r="AM1890">
        <v>77.659275066303906</v>
      </c>
      <c r="AN1890">
        <v>1.0000000369978499</v>
      </c>
    </row>
    <row r="1891" spans="1:40" x14ac:dyDescent="0.25">
      <c r="A1891" t="str">
        <f>"20190304164127369"</f>
        <v>20190304164127369</v>
      </c>
      <c r="B1891" t="str">
        <f>"1551688887352978"</f>
        <v>1551688887352978</v>
      </c>
      <c r="C1891" t="s">
        <v>40</v>
      </c>
      <c r="D1891">
        <v>4.5302449999999999</v>
      </c>
      <c r="E1891">
        <v>0.57957890000000001</v>
      </c>
      <c r="F1891" t="s">
        <v>42</v>
      </c>
      <c r="G1891">
        <v>-195.1079</v>
      </c>
      <c r="H1891" s="1">
        <v>-3.5539770000000002E-6</v>
      </c>
      <c r="I1891">
        <v>304.76780000000002</v>
      </c>
      <c r="J1891">
        <v>-192.1191</v>
      </c>
      <c r="K1891">
        <v>1.1097729999999999</v>
      </c>
      <c r="L1891">
        <v>312.19049999999999</v>
      </c>
      <c r="M1891">
        <v>-1.209617E-2</v>
      </c>
      <c r="N1891">
        <v>-1.36852999999999E-2</v>
      </c>
      <c r="O1891">
        <v>-0.99983330000000004</v>
      </c>
      <c r="P1891">
        <v>-0.2149789</v>
      </c>
      <c r="Q1891">
        <v>0.35512349999999998</v>
      </c>
      <c r="R1891">
        <v>-0.90976460000000003</v>
      </c>
      <c r="S1891">
        <v>-1.2490540000000001</v>
      </c>
      <c r="T1891">
        <v>-0.4631383</v>
      </c>
      <c r="U1891">
        <v>-3.1866759999999998</v>
      </c>
      <c r="V1891">
        <v>0.20506350000000001</v>
      </c>
      <c r="W1891">
        <v>0.36695949999999999</v>
      </c>
      <c r="X1891">
        <v>0.90735310000000002</v>
      </c>
      <c r="Y1891">
        <v>0.35062310000000002</v>
      </c>
      <c r="Z1891">
        <v>0.1208375</v>
      </c>
      <c r="AA1891">
        <v>0.92868819999999996</v>
      </c>
      <c r="AB1891">
        <v>22</v>
      </c>
      <c r="AC1891">
        <v>-2.9887999999999901</v>
      </c>
      <c r="AD1891">
        <v>-1.1097765539769999</v>
      </c>
      <c r="AE1891">
        <v>-7.4226999999999599</v>
      </c>
      <c r="AF1891">
        <v>2.84408082770002</v>
      </c>
      <c r="AG1891">
        <v>-1.1097765539769999</v>
      </c>
      <c r="AH1891">
        <v>7.3175601627415299</v>
      </c>
      <c r="AI1891">
        <v>98.045903567226205</v>
      </c>
      <c r="AJ1891">
        <v>68.7606291679799</v>
      </c>
      <c r="AK1891">
        <v>7.9288767482910103</v>
      </c>
      <c r="AL1891">
        <v>68.471776032208595</v>
      </c>
      <c r="AM1891">
        <v>77.2649911577236</v>
      </c>
      <c r="AN1891">
        <v>0.99999998087605402</v>
      </c>
    </row>
    <row r="1892" spans="1:40" x14ac:dyDescent="0.25">
      <c r="A1892" t="str">
        <f>"20190304164127390"</f>
        <v>20190304164127390</v>
      </c>
      <c r="B1892" t="str">
        <f>"1551688887383234"</f>
        <v>1551688887383234</v>
      </c>
      <c r="C1892" t="s">
        <v>40</v>
      </c>
      <c r="D1892">
        <v>4.5101310000000003</v>
      </c>
      <c r="E1892">
        <v>0.57954969999999995</v>
      </c>
      <c r="F1892" t="s">
        <v>42</v>
      </c>
      <c r="G1892">
        <v>-195.18539999999999</v>
      </c>
      <c r="H1892" s="1">
        <v>-3.4929629999999999E-6</v>
      </c>
      <c r="I1892">
        <v>304.54820000000001</v>
      </c>
      <c r="J1892">
        <v>-192.12389999999999</v>
      </c>
      <c r="K1892">
        <v>1.109707</v>
      </c>
      <c r="L1892">
        <v>311.9803</v>
      </c>
      <c r="M1892">
        <v>-1.4024170000000001E-2</v>
      </c>
      <c r="N1892">
        <v>-1.368582E-2</v>
      </c>
      <c r="O1892">
        <v>-0.99980800000000003</v>
      </c>
      <c r="P1892">
        <v>-0.2225781</v>
      </c>
      <c r="Q1892">
        <v>0.35441339999999999</v>
      </c>
      <c r="R1892">
        <v>-0.90821280000000004</v>
      </c>
      <c r="S1892">
        <v>-1.2744599999999999</v>
      </c>
      <c r="T1892">
        <v>-0.46126630000000002</v>
      </c>
      <c r="U1892">
        <v>-3.176453</v>
      </c>
      <c r="V1892">
        <v>0.21097160000000001</v>
      </c>
      <c r="W1892">
        <v>0.36618889999999998</v>
      </c>
      <c r="X1892">
        <v>0.90630940000000004</v>
      </c>
      <c r="Y1892">
        <v>0.35626069999999999</v>
      </c>
      <c r="Z1892">
        <v>0.1203631</v>
      </c>
      <c r="AA1892">
        <v>0.92660189999999998</v>
      </c>
      <c r="AB1892">
        <v>22</v>
      </c>
      <c r="AC1892">
        <v>-3.0614999999999899</v>
      </c>
      <c r="AD1892">
        <v>-1.109710492963</v>
      </c>
      <c r="AE1892">
        <v>-7.4320999999999904</v>
      </c>
      <c r="AF1892">
        <v>2.9016540102503598</v>
      </c>
      <c r="AG1892">
        <v>-1.109710492963</v>
      </c>
      <c r="AH1892">
        <v>7.3345108558584702</v>
      </c>
      <c r="AI1892">
        <v>98.008383515652199</v>
      </c>
      <c r="AJ1892">
        <v>68.415427729500706</v>
      </c>
      <c r="AK1892">
        <v>7.9653062005236199</v>
      </c>
      <c r="AL1892">
        <v>68.519232652314699</v>
      </c>
      <c r="AM1892">
        <v>76.895994228225703</v>
      </c>
      <c r="AN1892">
        <v>1.0000000275090599</v>
      </c>
    </row>
    <row r="1893" spans="1:40" x14ac:dyDescent="0.25">
      <c r="A1893" t="str">
        <f>"20190304164127412"</f>
        <v>20190304164127412</v>
      </c>
      <c r="B1893" t="str">
        <f>"1551688887402754"</f>
        <v>1551688887402754</v>
      </c>
      <c r="C1893" t="s">
        <v>40</v>
      </c>
      <c r="D1893">
        <v>4.4971079999999999</v>
      </c>
      <c r="E1893">
        <v>0.5796173</v>
      </c>
      <c r="F1893" t="s">
        <v>42</v>
      </c>
      <c r="G1893">
        <v>-195.22640000000001</v>
      </c>
      <c r="H1893" s="1">
        <v>-3.4508979999999998E-6</v>
      </c>
      <c r="I1893">
        <v>304.40320000000003</v>
      </c>
      <c r="J1893">
        <v>-192.1293</v>
      </c>
      <c r="K1893">
        <v>1.109648</v>
      </c>
      <c r="L1893">
        <v>311.7638</v>
      </c>
      <c r="M1893">
        <v>-1.6104770000000001E-2</v>
      </c>
      <c r="N1893">
        <v>-1.3686530000000001E-2</v>
      </c>
      <c r="O1893">
        <v>-0.99977680000000002</v>
      </c>
      <c r="P1893">
        <v>-0.22928270000000001</v>
      </c>
      <c r="Q1893">
        <v>0.35358460000000003</v>
      </c>
      <c r="R1893">
        <v>-0.90686710000000004</v>
      </c>
      <c r="S1893">
        <v>-1.2965089999999999</v>
      </c>
      <c r="T1893">
        <v>-0.4637384</v>
      </c>
      <c r="U1893">
        <v>-3.1664119999999998</v>
      </c>
      <c r="V1893">
        <v>0.2158436</v>
      </c>
      <c r="W1893">
        <v>0.36530760000000001</v>
      </c>
      <c r="X1893">
        <v>0.90551749999999998</v>
      </c>
      <c r="Y1893">
        <v>0.36082530000000002</v>
      </c>
      <c r="Z1893">
        <v>0.12116730000000001</v>
      </c>
      <c r="AA1893">
        <v>0.92472889999999996</v>
      </c>
      <c r="AB1893">
        <v>22</v>
      </c>
      <c r="AC1893">
        <v>-3.09710000000001</v>
      </c>
      <c r="AD1893">
        <v>-1.109651450898</v>
      </c>
      <c r="AE1893">
        <v>-7.3605999999999696</v>
      </c>
      <c r="AF1893">
        <v>2.92173149456768</v>
      </c>
      <c r="AG1893">
        <v>-1.109651450898</v>
      </c>
      <c r="AH1893">
        <v>7.2691695685798097</v>
      </c>
      <c r="AI1893">
        <v>98.061686631810701</v>
      </c>
      <c r="AJ1893">
        <v>68.103093809707602</v>
      </c>
      <c r="AK1893">
        <v>7.9125639008854503</v>
      </c>
      <c r="AL1893">
        <v>68.573486351506205</v>
      </c>
      <c r="AM1893">
        <v>76.592880836424897</v>
      </c>
      <c r="AN1893">
        <v>1.0000000225424801</v>
      </c>
    </row>
    <row r="1894" spans="1:40" x14ac:dyDescent="0.25">
      <c r="A1894" t="str">
        <f>"20190304164127433"</f>
        <v>20190304164127433</v>
      </c>
      <c r="B1894" t="str">
        <f>"1551688887423250"</f>
        <v>1551688887423250</v>
      </c>
      <c r="C1894" t="s">
        <v>40</v>
      </c>
      <c r="D1894">
        <v>4.4804320000000004</v>
      </c>
      <c r="E1894">
        <v>0.57967930000000001</v>
      </c>
      <c r="F1894" t="s">
        <v>42</v>
      </c>
      <c r="G1894">
        <v>-195.28219999999999</v>
      </c>
      <c r="H1894" s="1">
        <v>-3.3883720000000001E-6</v>
      </c>
      <c r="I1894">
        <v>304.21140000000003</v>
      </c>
      <c r="J1894">
        <v>-192.1352</v>
      </c>
      <c r="K1894">
        <v>1.1095980000000001</v>
      </c>
      <c r="L1894">
        <v>311.5505</v>
      </c>
      <c r="M1894">
        <v>-1.823112E-2</v>
      </c>
      <c r="N1894">
        <v>-1.368713E-2</v>
      </c>
      <c r="O1894">
        <v>-0.99974019999999997</v>
      </c>
      <c r="P1894">
        <v>-0.23523230000000001</v>
      </c>
      <c r="Q1894">
        <v>0.35249049999999998</v>
      </c>
      <c r="R1894">
        <v>-0.90576860000000003</v>
      </c>
      <c r="S1894">
        <v>-1.317429</v>
      </c>
      <c r="T1894">
        <v>-0.46367219999999998</v>
      </c>
      <c r="U1894">
        <v>-3.1558229999999998</v>
      </c>
      <c r="V1894">
        <v>0.21991260000000001</v>
      </c>
      <c r="W1894">
        <v>0.36416920000000003</v>
      </c>
      <c r="X1894">
        <v>0.90499680000000005</v>
      </c>
      <c r="Y1894">
        <v>0.365151</v>
      </c>
      <c r="Z1894">
        <v>0.1212785</v>
      </c>
      <c r="AA1894">
        <v>0.92301480000000002</v>
      </c>
      <c r="AB1894">
        <v>22</v>
      </c>
      <c r="AC1894">
        <v>-3.14699999999999</v>
      </c>
      <c r="AD1894">
        <v>-1.109601388372</v>
      </c>
      <c r="AE1894">
        <v>-7.33909999999997</v>
      </c>
      <c r="AF1894">
        <v>2.9555966824912199</v>
      </c>
      <c r="AG1894">
        <v>-1.109601388372</v>
      </c>
      <c r="AH1894">
        <v>7.2551733949152704</v>
      </c>
      <c r="AI1894">
        <v>98.0616030458213</v>
      </c>
      <c r="AJ1894">
        <v>67.835108368181594</v>
      </c>
      <c r="AK1894">
        <v>7.9122884161863398</v>
      </c>
      <c r="AL1894">
        <v>68.643536819173406</v>
      </c>
      <c r="AM1894">
        <v>76.341948862705905</v>
      </c>
      <c r="AN1894">
        <v>0.99999998293881898</v>
      </c>
    </row>
    <row r="1895" spans="1:40" x14ac:dyDescent="0.25">
      <c r="A1895" t="str">
        <f>"20190304164127456"</f>
        <v>20190304164127456</v>
      </c>
      <c r="B1895" t="str">
        <f>"1551688887452530"</f>
        <v>1551688887452530</v>
      </c>
      <c r="C1895" t="s">
        <v>40</v>
      </c>
      <c r="D1895">
        <v>4.4718839999999904</v>
      </c>
      <c r="E1895">
        <v>0.57967650000000004</v>
      </c>
      <c r="F1895" t="s">
        <v>42</v>
      </c>
      <c r="G1895">
        <v>-195.32599999999999</v>
      </c>
      <c r="H1895" s="1">
        <v>-3.3255779999999998E-6</v>
      </c>
      <c r="I1895">
        <v>304.0378</v>
      </c>
      <c r="J1895">
        <v>-192.14189999999999</v>
      </c>
      <c r="K1895">
        <v>1.1095569999999999</v>
      </c>
      <c r="L1895">
        <v>311.32670000000002</v>
      </c>
      <c r="M1895">
        <v>-2.0525180000000001E-2</v>
      </c>
      <c r="N1895">
        <v>-1.368755E-2</v>
      </c>
      <c r="O1895">
        <v>-0.99969589999999997</v>
      </c>
      <c r="P1895">
        <v>-0.23902979999999999</v>
      </c>
      <c r="Q1895">
        <v>0.3508484</v>
      </c>
      <c r="R1895">
        <v>-0.90541179999999999</v>
      </c>
      <c r="S1895">
        <v>-1.3361050000000001</v>
      </c>
      <c r="T1895">
        <v>-0.4646285</v>
      </c>
      <c r="U1895">
        <v>-3.1458439999999999</v>
      </c>
      <c r="V1895">
        <v>0.22165760000000001</v>
      </c>
      <c r="W1895">
        <v>0.36250329999999997</v>
      </c>
      <c r="X1895">
        <v>0.90523989999999999</v>
      </c>
      <c r="Y1895">
        <v>0.36868380000000001</v>
      </c>
      <c r="Z1895">
        <v>0.1216927</v>
      </c>
      <c r="AA1895">
        <v>0.92155469999999895</v>
      </c>
      <c r="AB1895">
        <v>22</v>
      </c>
      <c r="AC1895">
        <v>-3.1840999999999999</v>
      </c>
      <c r="AD1895">
        <v>-1.109560325578</v>
      </c>
      <c r="AE1895">
        <v>-7.2889000000000097</v>
      </c>
      <c r="AF1895">
        <v>2.9759001476293099</v>
      </c>
      <c r="AG1895">
        <v>-1.109560325578</v>
      </c>
      <c r="AH1895">
        <v>7.2123765984946901</v>
      </c>
      <c r="AI1895">
        <v>98.093828033932198</v>
      </c>
      <c r="AJ1895">
        <v>67.578456895429397</v>
      </c>
      <c r="AK1895">
        <v>7.8807031414253199</v>
      </c>
      <c r="AL1895">
        <v>68.745988058881693</v>
      </c>
      <c r="AM1895">
        <v>76.241233422847301</v>
      </c>
      <c r="AN1895">
        <v>1.00000000535033</v>
      </c>
    </row>
    <row r="1896" spans="1:40" x14ac:dyDescent="0.25">
      <c r="A1896" t="str">
        <f>"20190304164127478"</f>
        <v>20190304164127478</v>
      </c>
      <c r="B1896" t="str">
        <f>"1551688887473026"</f>
        <v>1551688887473026</v>
      </c>
      <c r="C1896" t="s">
        <v>40</v>
      </c>
      <c r="D1896">
        <v>4.4569190000000001</v>
      </c>
      <c r="E1896">
        <v>0.57972959999999996</v>
      </c>
      <c r="F1896" t="s">
        <v>42</v>
      </c>
      <c r="G1896">
        <v>-195.34800000000001</v>
      </c>
      <c r="H1896" s="1">
        <v>-3.2535280000000002E-6</v>
      </c>
      <c r="I1896">
        <v>303.8562</v>
      </c>
      <c r="J1896">
        <v>-192.14920000000001</v>
      </c>
      <c r="K1896">
        <v>1.109532</v>
      </c>
      <c r="L1896">
        <v>311.1046</v>
      </c>
      <c r="M1896">
        <v>-2.2845520000000001E-2</v>
      </c>
      <c r="N1896">
        <v>-1.368757E-2</v>
      </c>
      <c r="O1896">
        <v>-0.99964549999999996</v>
      </c>
      <c r="P1896">
        <v>-0.24166460000000001</v>
      </c>
      <c r="Q1896">
        <v>0.34982649999999998</v>
      </c>
      <c r="R1896">
        <v>-0.90510789999999997</v>
      </c>
      <c r="S1896">
        <v>-1.346954</v>
      </c>
      <c r="T1896">
        <v>-0.46614689999999998</v>
      </c>
      <c r="U1896">
        <v>-3.1384889999999999</v>
      </c>
      <c r="V1896">
        <v>0.22220580000000001</v>
      </c>
      <c r="W1896">
        <v>0.36146889999999998</v>
      </c>
      <c r="X1896">
        <v>0.90551910000000002</v>
      </c>
      <c r="Y1896">
        <v>0.36996810000000002</v>
      </c>
      <c r="Z1896">
        <v>0.1222879</v>
      </c>
      <c r="AA1896">
        <v>0.92096109999999998</v>
      </c>
      <c r="AB1896">
        <v>22</v>
      </c>
      <c r="AC1896">
        <v>-3.1987999999999701</v>
      </c>
      <c r="AD1896">
        <v>-1.1095352535280001</v>
      </c>
      <c r="AE1896">
        <v>-7.2484000000000002</v>
      </c>
      <c r="AF1896">
        <v>2.9740297670744198</v>
      </c>
      <c r="AG1896">
        <v>-1.1095352535280001</v>
      </c>
      <c r="AH1896">
        <v>7.17880324207644</v>
      </c>
      <c r="AI1896">
        <v>98.126267816017204</v>
      </c>
      <c r="AJ1896">
        <v>67.496783914643103</v>
      </c>
      <c r="AK1896">
        <v>7.8492762419673703</v>
      </c>
      <c r="AL1896">
        <v>68.809566628230996</v>
      </c>
      <c r="AM1896">
        <v>76.212593256580604</v>
      </c>
      <c r="AN1896">
        <v>1.00000001184283</v>
      </c>
    </row>
    <row r="1897" spans="1:40" x14ac:dyDescent="0.25">
      <c r="A1897" t="str">
        <f>"20190304164127502"</f>
        <v>20190304164127502</v>
      </c>
      <c r="B1897" t="str">
        <f>"1551688887492546"</f>
        <v>1551688887492546</v>
      </c>
      <c r="C1897" t="s">
        <v>40</v>
      </c>
      <c r="D1897">
        <v>4.4802369999999998</v>
      </c>
      <c r="E1897">
        <v>0.57977209999999901</v>
      </c>
      <c r="F1897" t="s">
        <v>42</v>
      </c>
      <c r="G1897">
        <v>-195.37540000000001</v>
      </c>
      <c r="H1897" s="1">
        <v>-3.1707949999999999E-6</v>
      </c>
      <c r="I1897">
        <v>303.6463</v>
      </c>
      <c r="J1897">
        <v>-192.15719999999999</v>
      </c>
      <c r="K1897">
        <v>1.109526</v>
      </c>
      <c r="L1897">
        <v>310.875</v>
      </c>
      <c r="M1897">
        <v>-2.5276549999999998E-2</v>
      </c>
      <c r="N1897">
        <v>-1.3687070000000001E-2</v>
      </c>
      <c r="O1897">
        <v>-0.99958689999999994</v>
      </c>
      <c r="P1897">
        <v>-0.2442454</v>
      </c>
      <c r="Q1897">
        <v>0.35039239999999999</v>
      </c>
      <c r="R1897">
        <v>-0.90419550000000004</v>
      </c>
      <c r="S1897">
        <v>-1.3551789999999999</v>
      </c>
      <c r="T1897">
        <v>-0.46605239999999998</v>
      </c>
      <c r="U1897">
        <v>-3.1328130000000001</v>
      </c>
      <c r="V1897">
        <v>0.22260679999999999</v>
      </c>
      <c r="W1897">
        <v>0.36202190000000001</v>
      </c>
      <c r="X1897">
        <v>0.90519959999999999</v>
      </c>
      <c r="Y1897">
        <v>0.3703495</v>
      </c>
      <c r="Z1897">
        <v>0.1224013</v>
      </c>
      <c r="AA1897">
        <v>0.92079270000000002</v>
      </c>
      <c r="AB1897">
        <v>22</v>
      </c>
      <c r="AC1897">
        <v>-3.2182000000000199</v>
      </c>
      <c r="AD1897">
        <v>-1.1095291707949999</v>
      </c>
      <c r="AE1897">
        <v>-7.2286999999999999</v>
      </c>
      <c r="AF1897">
        <v>2.9759252844681199</v>
      </c>
      <c r="AG1897">
        <v>-1.1095291707949999</v>
      </c>
      <c r="AH1897">
        <v>7.16682849422331</v>
      </c>
      <c r="AI1897">
        <v>98.1369014934983</v>
      </c>
      <c r="AJ1897">
        <v>67.450015163158994</v>
      </c>
      <c r="AK1897">
        <v>7.8390443897960402</v>
      </c>
      <c r="AL1897">
        <v>68.775579694721898</v>
      </c>
      <c r="AM1897">
        <v>76.183975832752196</v>
      </c>
      <c r="AN1897">
        <v>0.99999997966300402</v>
      </c>
    </row>
    <row r="1898" spans="1:40" x14ac:dyDescent="0.25">
      <c r="A1898" t="str">
        <f>"20190304164127525"</f>
        <v>20190304164127525</v>
      </c>
      <c r="B1898" t="str">
        <f>"1551688887513042"</f>
        <v>1551688887513042</v>
      </c>
      <c r="C1898" t="s">
        <v>40</v>
      </c>
      <c r="D1898">
        <v>4.4731899999999998</v>
      </c>
      <c r="E1898">
        <v>0.57980859999999901</v>
      </c>
      <c r="F1898" t="s">
        <v>42</v>
      </c>
      <c r="G1898">
        <v>-195.45089999999999</v>
      </c>
      <c r="H1898" s="1">
        <v>-3.0552509999999999E-6</v>
      </c>
      <c r="I1898">
        <v>303.33019999999999</v>
      </c>
      <c r="J1898">
        <v>-192.16579999999999</v>
      </c>
      <c r="K1898">
        <v>1.10954</v>
      </c>
      <c r="L1898">
        <v>310.649</v>
      </c>
      <c r="M1898">
        <v>-2.7685689999999999E-2</v>
      </c>
      <c r="N1898">
        <v>-1.368611E-2</v>
      </c>
      <c r="O1898">
        <v>-0.99952319999999995</v>
      </c>
      <c r="P1898">
        <v>-0.24851760000000001</v>
      </c>
      <c r="Q1898">
        <v>0.351717</v>
      </c>
      <c r="R1898">
        <v>-0.90251590000000004</v>
      </c>
      <c r="S1898">
        <v>-1.3652340000000001</v>
      </c>
      <c r="T1898">
        <v>-0.45989609999999898</v>
      </c>
      <c r="U1898">
        <v>-3.127319</v>
      </c>
      <c r="V1898">
        <v>0.2247304</v>
      </c>
      <c r="W1898">
        <v>0.36332619999999999</v>
      </c>
      <c r="X1898">
        <v>0.9041517</v>
      </c>
      <c r="Y1898">
        <v>0.37127769999999999</v>
      </c>
      <c r="Z1898">
        <v>0.12073879999999999</v>
      </c>
      <c r="AA1898">
        <v>0.92063839999999997</v>
      </c>
      <c r="AB1898">
        <v>22</v>
      </c>
      <c r="AC1898">
        <v>-3.2850999999999999</v>
      </c>
      <c r="AD1898">
        <v>-1.1095430552509999</v>
      </c>
      <c r="AE1898">
        <v>-7.3188000000000004</v>
      </c>
      <c r="AF1898">
        <v>3.0233613791420502</v>
      </c>
      <c r="AG1898">
        <v>-1.1095430552509999</v>
      </c>
      <c r="AH1898">
        <v>7.2679239611668596</v>
      </c>
      <c r="AI1898">
        <v>98.023194916451502</v>
      </c>
      <c r="AJ1898">
        <v>67.4133278313071</v>
      </c>
      <c r="AK1898">
        <v>7.9494980046319199</v>
      </c>
      <c r="AL1898">
        <v>68.695389303712005</v>
      </c>
      <c r="AM1898">
        <v>76.041766468629802</v>
      </c>
      <c r="AN1898">
        <v>0.99999998845174498</v>
      </c>
    </row>
    <row r="1899" spans="1:40" x14ac:dyDescent="0.25">
      <c r="A1899" t="str">
        <f>"20190304164127545"</f>
        <v>20190304164127545</v>
      </c>
      <c r="B1899" t="str">
        <f>"1551688887532562"</f>
        <v>1551688887532562</v>
      </c>
      <c r="C1899" t="s">
        <v>40</v>
      </c>
      <c r="D1899">
        <v>4.4744729999999997</v>
      </c>
      <c r="E1899">
        <v>0.57983390000000001</v>
      </c>
      <c r="F1899" t="s">
        <v>42</v>
      </c>
      <c r="G1899">
        <v>-195.55350000000001</v>
      </c>
      <c r="H1899" s="1">
        <v>-2.9380480000000001E-6</v>
      </c>
      <c r="I1899">
        <v>302.99329999999998</v>
      </c>
      <c r="J1899">
        <v>-192.1738</v>
      </c>
      <c r="K1899">
        <v>1.109564</v>
      </c>
      <c r="L1899">
        <v>310.44889999999998</v>
      </c>
      <c r="M1899">
        <v>-2.982042E-2</v>
      </c>
      <c r="N1899">
        <v>-1.3684959999999999E-2</v>
      </c>
      <c r="O1899">
        <v>-0.99946170000000001</v>
      </c>
      <c r="P1899">
        <v>-0.2538281</v>
      </c>
      <c r="Q1899">
        <v>0.35310429999999998</v>
      </c>
      <c r="R1899">
        <v>-0.90049389999999996</v>
      </c>
      <c r="S1899">
        <v>-1.380676</v>
      </c>
      <c r="T1899">
        <v>-0.45219490000000001</v>
      </c>
      <c r="U1899">
        <v>-3.1200869999999998</v>
      </c>
      <c r="V1899">
        <v>0.22815089999999999</v>
      </c>
      <c r="W1899">
        <v>0.36468780000000001</v>
      </c>
      <c r="X1899">
        <v>0.90274580000000004</v>
      </c>
      <c r="Y1899">
        <v>0.37400260000000002</v>
      </c>
      <c r="Z1899">
        <v>0.1186021</v>
      </c>
      <c r="AA1899">
        <v>0.91981279999999999</v>
      </c>
      <c r="AB1899">
        <v>22</v>
      </c>
      <c r="AC1899">
        <v>-3.3797000000000099</v>
      </c>
      <c r="AD1899">
        <v>-1.109566938048</v>
      </c>
      <c r="AE1899">
        <v>-7.4555999999999996</v>
      </c>
      <c r="AF1899">
        <v>3.0989107207801601</v>
      </c>
      <c r="AG1899">
        <v>-1.109566938048</v>
      </c>
      <c r="AH1899">
        <v>7.4168087511345204</v>
      </c>
      <c r="AI1899">
        <v>97.8592783188179</v>
      </c>
      <c r="AJ1899">
        <v>67.323722809480998</v>
      </c>
      <c r="AK1899">
        <v>8.1143969890732492</v>
      </c>
      <c r="AL1899">
        <v>68.611629395987407</v>
      </c>
      <c r="AM1899">
        <v>75.816637655972102</v>
      </c>
      <c r="AN1899">
        <v>1.0000000020286399</v>
      </c>
    </row>
    <row r="1900" spans="1:40" x14ac:dyDescent="0.25">
      <c r="A1900" t="str">
        <f>"20190304164127568"</f>
        <v>20190304164127568</v>
      </c>
      <c r="B1900" t="str">
        <f>"1551688887562818"</f>
        <v>1551688887562818</v>
      </c>
      <c r="C1900" t="s">
        <v>40</v>
      </c>
      <c r="D1900">
        <v>4.4917069999999999</v>
      </c>
      <c r="E1900">
        <v>0.57987619999999995</v>
      </c>
      <c r="F1900" t="s">
        <v>42</v>
      </c>
      <c r="G1900">
        <v>-195.6678</v>
      </c>
      <c r="H1900" s="1">
        <v>-2.8365310000000001E-6</v>
      </c>
      <c r="I1900">
        <v>302.68579999999997</v>
      </c>
      <c r="J1900">
        <v>-192.18350000000001</v>
      </c>
      <c r="K1900">
        <v>1.1095889999999999</v>
      </c>
      <c r="L1900">
        <v>310.21969999999999</v>
      </c>
      <c r="M1900">
        <v>-3.2254640000000001E-2</v>
      </c>
      <c r="N1900">
        <v>-1.3683590000000001E-2</v>
      </c>
      <c r="O1900">
        <v>-0.9993862</v>
      </c>
      <c r="P1900">
        <v>-0.25918089999999999</v>
      </c>
      <c r="Q1900">
        <v>0.3542265</v>
      </c>
      <c r="R1900">
        <v>-0.89852609999999999</v>
      </c>
      <c r="S1900">
        <v>-1.4002840000000001</v>
      </c>
      <c r="T1900">
        <v>-0.44467319999999999</v>
      </c>
      <c r="U1900">
        <v>-3.111145</v>
      </c>
      <c r="V1900">
        <v>0.23134009999999999</v>
      </c>
      <c r="W1900">
        <v>0.36579089999999997</v>
      </c>
      <c r="X1900">
        <v>0.90148689999999998</v>
      </c>
      <c r="Y1900">
        <v>0.37765720000000003</v>
      </c>
      <c r="Z1900">
        <v>0.1165146</v>
      </c>
      <c r="AA1900">
        <v>0.91858550000000005</v>
      </c>
      <c r="AB1900">
        <v>22</v>
      </c>
      <c r="AC1900">
        <v>-3.48429999999999</v>
      </c>
      <c r="AD1900">
        <v>-1.109591836531</v>
      </c>
      <c r="AE1900">
        <v>-7.5339000000000098</v>
      </c>
      <c r="AF1900">
        <v>3.1825901554066101</v>
      </c>
      <c r="AG1900">
        <v>-1.109591836531</v>
      </c>
      <c r="AH1900">
        <v>7.5082082454569203</v>
      </c>
      <c r="AI1900">
        <v>97.748353735533698</v>
      </c>
      <c r="AJ1900">
        <v>67.028813394075499</v>
      </c>
      <c r="AK1900">
        <v>8.2300221869770596</v>
      </c>
      <c r="AL1900">
        <v>68.543734227104906</v>
      </c>
      <c r="AM1900">
        <v>75.607298207514106</v>
      </c>
      <c r="AN1900">
        <v>0.99999992763121204</v>
      </c>
    </row>
    <row r="1901" spans="1:40" x14ac:dyDescent="0.25">
      <c r="A1901" t="str">
        <f>"20190304164127591"</f>
        <v>20190304164127591</v>
      </c>
      <c r="B1901" t="str">
        <f>"1551688887583315"</f>
        <v>1551688887583315</v>
      </c>
      <c r="C1901" t="s">
        <v>40</v>
      </c>
      <c r="D1901">
        <v>4.5059170000000002</v>
      </c>
      <c r="E1901">
        <v>0.5798799</v>
      </c>
      <c r="F1901" t="s">
        <v>42</v>
      </c>
      <c r="G1901">
        <v>-195.78819999999999</v>
      </c>
      <c r="H1901" s="1">
        <v>-2.7258109999999999E-6</v>
      </c>
      <c r="I1901">
        <v>302.35309999999998</v>
      </c>
      <c r="J1901">
        <v>-192.1934</v>
      </c>
      <c r="K1901">
        <v>1.1096159999999999</v>
      </c>
      <c r="L1901">
        <v>309.9984</v>
      </c>
      <c r="M1901">
        <v>-3.4591190000000001E-2</v>
      </c>
      <c r="N1901">
        <v>-1.3682059999999999E-2</v>
      </c>
      <c r="O1901">
        <v>-0.99930790000000003</v>
      </c>
      <c r="P1901">
        <v>-0.26238070000000002</v>
      </c>
      <c r="Q1901">
        <v>0.35366379999999997</v>
      </c>
      <c r="R1901">
        <v>-0.89781869999999997</v>
      </c>
      <c r="S1901">
        <v>-1.4210969999999901</v>
      </c>
      <c r="T1901">
        <v>-0.43744719999999998</v>
      </c>
      <c r="U1901">
        <v>-3.1013489999999999</v>
      </c>
      <c r="V1901">
        <v>0.2324242</v>
      </c>
      <c r="W1901">
        <v>0.36523250000000002</v>
      </c>
      <c r="X1901">
        <v>0.90143450000000003</v>
      </c>
      <c r="Y1901">
        <v>0.38178319999999999</v>
      </c>
      <c r="Z1901">
        <v>0.1145133</v>
      </c>
      <c r="AA1901">
        <v>0.91713049999999996</v>
      </c>
      <c r="AB1901">
        <v>22</v>
      </c>
      <c r="AC1901">
        <v>-3.59479999999999</v>
      </c>
      <c r="AD1901">
        <v>-1.109618725811</v>
      </c>
      <c r="AE1901">
        <v>-7.6453000000000104</v>
      </c>
      <c r="AF1901">
        <v>3.2717232429113401</v>
      </c>
      <c r="AG1901">
        <v>-1.109618725811</v>
      </c>
      <c r="AH1901">
        <v>7.6334006066925797</v>
      </c>
      <c r="AI1901">
        <v>97.610136788732802</v>
      </c>
      <c r="AJ1901">
        <v>66.799723758019297</v>
      </c>
      <c r="AK1901">
        <v>8.3787965434858993</v>
      </c>
      <c r="AL1901">
        <v>68.578107540186096</v>
      </c>
      <c r="AM1901">
        <v>75.541866794492805</v>
      </c>
      <c r="AN1901">
        <v>0.999999972796069</v>
      </c>
    </row>
    <row r="1902" spans="1:40" x14ac:dyDescent="0.25">
      <c r="A1902" t="str">
        <f>"20190304164127612"</f>
        <v>20190304164127612</v>
      </c>
      <c r="B1902" t="str">
        <f>"1551688887602834"</f>
        <v>1551688887602834</v>
      </c>
      <c r="C1902" t="s">
        <v>40</v>
      </c>
      <c r="D1902">
        <v>4.4876069999999997</v>
      </c>
      <c r="E1902">
        <v>0.57991300000000001</v>
      </c>
      <c r="F1902" t="s">
        <v>42</v>
      </c>
      <c r="G1902">
        <v>-195.82210000000001</v>
      </c>
      <c r="H1902" s="1">
        <v>-2.6498349999999999E-6</v>
      </c>
      <c r="I1902">
        <v>302.15499999999997</v>
      </c>
      <c r="J1902">
        <v>-192.20339999999999</v>
      </c>
      <c r="K1902">
        <v>1.109621</v>
      </c>
      <c r="L1902">
        <v>309.78699999999998</v>
      </c>
      <c r="M1902">
        <v>-3.680928E-2</v>
      </c>
      <c r="N1902">
        <v>-1.3680370000000001E-2</v>
      </c>
      <c r="O1902">
        <v>-0.99922880000000003</v>
      </c>
      <c r="P1902">
        <v>-0.26332990000000001</v>
      </c>
      <c r="Q1902">
        <v>0.35025410000000001</v>
      </c>
      <c r="R1902">
        <v>-0.89887700000000004</v>
      </c>
      <c r="S1902">
        <v>-1.432037</v>
      </c>
      <c r="T1902">
        <v>-0.43791200000000002</v>
      </c>
      <c r="U1902">
        <v>-3.0954280000000001</v>
      </c>
      <c r="V1902">
        <v>0.231296</v>
      </c>
      <c r="W1902">
        <v>0.36185620000000002</v>
      </c>
      <c r="X1902">
        <v>0.90308489999999997</v>
      </c>
      <c r="Y1902">
        <v>0.38305980000000001</v>
      </c>
      <c r="Z1902">
        <v>0.1147358</v>
      </c>
      <c r="AA1902">
        <v>0.9165702</v>
      </c>
      <c r="AB1902">
        <v>22</v>
      </c>
      <c r="AC1902">
        <v>-3.6187000000000098</v>
      </c>
      <c r="AD1902">
        <v>-1.1096236498350001</v>
      </c>
      <c r="AE1902">
        <v>-7.6320000000000601</v>
      </c>
      <c r="AF1902">
        <v>3.2787068656274498</v>
      </c>
      <c r="AG1902">
        <v>-1.1096236498350001</v>
      </c>
      <c r="AH1902">
        <v>7.6283864060083397</v>
      </c>
      <c r="AI1902">
        <v>97.611848877950493</v>
      </c>
      <c r="AJ1902">
        <v>66.741799586850902</v>
      </c>
      <c r="AK1902">
        <v>8.3769602192178603</v>
      </c>
      <c r="AL1902">
        <v>68.785765494967805</v>
      </c>
      <c r="AM1902">
        <v>75.634336331787694</v>
      </c>
      <c r="AN1902">
        <v>1.0000000428512199</v>
      </c>
    </row>
    <row r="1903" spans="1:40" x14ac:dyDescent="0.25">
      <c r="A1903" t="str">
        <f>"20190304164127636"</f>
        <v>20190304164127636</v>
      </c>
      <c r="B1903" t="str">
        <f>"1551688887623331"</f>
        <v>1551688887623331</v>
      </c>
      <c r="C1903" t="s">
        <v>40</v>
      </c>
      <c r="D1903">
        <v>4.3655819999999999</v>
      </c>
      <c r="E1903">
        <v>0.57989709999999905</v>
      </c>
      <c r="F1903" t="s">
        <v>42</v>
      </c>
      <c r="G1903">
        <v>-195.74799999999999</v>
      </c>
      <c r="H1903" s="1">
        <v>-2.6237299999999999E-6</v>
      </c>
      <c r="I1903">
        <v>302.14</v>
      </c>
      <c r="J1903">
        <v>-192.21420000000001</v>
      </c>
      <c r="K1903">
        <v>1.109612</v>
      </c>
      <c r="L1903">
        <v>309.56670000000003</v>
      </c>
      <c r="M1903">
        <v>-3.9109049999999999E-2</v>
      </c>
      <c r="N1903">
        <v>-1.3678340000000001E-2</v>
      </c>
      <c r="O1903">
        <v>-0.99914139999999996</v>
      </c>
      <c r="P1903">
        <v>-0.26323590000000002</v>
      </c>
      <c r="Q1903">
        <v>0.3467114</v>
      </c>
      <c r="R1903">
        <v>-0.90027699999999999</v>
      </c>
      <c r="S1903">
        <v>-1.4334260000000001</v>
      </c>
      <c r="T1903">
        <v>-0.4487178</v>
      </c>
      <c r="U1903">
        <v>-3.092346</v>
      </c>
      <c r="V1903">
        <v>0.22903270000000001</v>
      </c>
      <c r="W1903">
        <v>0.35835430000000001</v>
      </c>
      <c r="X1903">
        <v>0.90505590000000002</v>
      </c>
      <c r="Y1903">
        <v>0.38145689999999999</v>
      </c>
      <c r="Z1903">
        <v>0.1179887</v>
      </c>
      <c r="AA1903">
        <v>0.91682569999999997</v>
      </c>
      <c r="AB1903">
        <v>22</v>
      </c>
      <c r="AC1903">
        <v>-3.5337999999999798</v>
      </c>
      <c r="AD1903">
        <v>-1.10961462373</v>
      </c>
      <c r="AE1903">
        <v>-7.4267000000000296</v>
      </c>
      <c r="AF1903">
        <v>3.18268657000944</v>
      </c>
      <c r="AG1903">
        <v>-1.10961462373</v>
      </c>
      <c r="AH1903">
        <v>7.4241006212357501</v>
      </c>
      <c r="AI1903">
        <v>97.821780110773801</v>
      </c>
      <c r="AJ1903">
        <v>66.795351641891102</v>
      </c>
      <c r="AK1903">
        <v>8.1534047152307494</v>
      </c>
      <c r="AL1903">
        <v>69.000837304213306</v>
      </c>
      <c r="AM1903">
        <v>75.798908252779995</v>
      </c>
      <c r="AN1903">
        <v>0.99999998206129403</v>
      </c>
    </row>
    <row r="1904" spans="1:40" x14ac:dyDescent="0.25">
      <c r="A1904" t="str">
        <f>"20190304164127669"</f>
        <v>20190304164127669</v>
      </c>
      <c r="B1904" t="str">
        <f>"1551688887663346"</f>
        <v>1551688887663346</v>
      </c>
      <c r="C1904" t="s">
        <v>40</v>
      </c>
      <c r="D1904">
        <v>4.4798269999999896</v>
      </c>
      <c r="E1904">
        <v>0.54050050000000005</v>
      </c>
      <c r="F1904" t="s">
        <v>42</v>
      </c>
      <c r="G1904">
        <v>-195.65610000000001</v>
      </c>
      <c r="H1904" s="1">
        <v>-2.5933530000000002E-6</v>
      </c>
      <c r="I1904">
        <v>302.12619999999998</v>
      </c>
      <c r="J1904">
        <v>-192.23070000000001</v>
      </c>
      <c r="K1904">
        <v>1.109623</v>
      </c>
      <c r="L1904">
        <v>309.24799999999999</v>
      </c>
      <c r="M1904">
        <v>-4.2423330000000002E-2</v>
      </c>
      <c r="N1904">
        <v>-1.3675349999999999E-2</v>
      </c>
      <c r="O1904">
        <v>-0.99900650000000002</v>
      </c>
      <c r="P1904">
        <v>-0.26018010000000003</v>
      </c>
      <c r="Q1904">
        <v>0.34615170000000001</v>
      </c>
      <c r="R1904">
        <v>-0.90138039999999997</v>
      </c>
      <c r="S1904">
        <v>-1.430191</v>
      </c>
      <c r="T1904">
        <v>-0.46107179999999998</v>
      </c>
      <c r="U1904">
        <v>-3.091675</v>
      </c>
      <c r="V1904">
        <v>0.2228974</v>
      </c>
      <c r="W1904">
        <v>0.35784450000000001</v>
      </c>
      <c r="X1904">
        <v>0.90678780000000003</v>
      </c>
      <c r="Y1904">
        <v>0.37748540000000003</v>
      </c>
      <c r="Z1904">
        <v>0.12169679999999999</v>
      </c>
      <c r="AA1904">
        <v>0.91798400000000002</v>
      </c>
      <c r="AB1904">
        <v>22</v>
      </c>
      <c r="AC1904">
        <v>-3.42539999999999</v>
      </c>
      <c r="AD1904">
        <v>-1.1096255933529999</v>
      </c>
      <c r="AE1904">
        <v>-7.1218000000000004</v>
      </c>
      <c r="AF1904">
        <v>3.0598324050270498</v>
      </c>
      <c r="AG1904">
        <v>-1.1096255933529999</v>
      </c>
      <c r="AH1904">
        <v>7.1203401147645504</v>
      </c>
      <c r="AI1904">
        <v>98.148134987155004</v>
      </c>
      <c r="AJ1904">
        <v>66.745293567831993</v>
      </c>
      <c r="AK1904">
        <v>7.8289901426814197</v>
      </c>
      <c r="AL1904">
        <v>69.032122300115404</v>
      </c>
      <c r="AM1904">
        <v>76.189932428409406</v>
      </c>
      <c r="AN1904">
        <v>1.00000002566792</v>
      </c>
    </row>
    <row r="1905" spans="1:40" x14ac:dyDescent="0.25">
      <c r="A1905" t="str">
        <f>"20190304164127691"</f>
        <v>20190304164127691</v>
      </c>
      <c r="B1905" t="str">
        <f>"1551688887682867"</f>
        <v>1551688887682867</v>
      </c>
      <c r="C1905" t="s">
        <v>40</v>
      </c>
      <c r="D1905">
        <v>4.4599960000000003</v>
      </c>
      <c r="E1905">
        <v>0.53812799999999905</v>
      </c>
      <c r="F1905" t="s">
        <v>45</v>
      </c>
      <c r="G1905">
        <v>-196.63470000000001</v>
      </c>
      <c r="H1905" s="1">
        <v>4.7355510000000003E-7</v>
      </c>
      <c r="I1905">
        <v>296.92739999999998</v>
      </c>
      <c r="J1905">
        <v>-192.2431</v>
      </c>
      <c r="K1905">
        <v>1.1096330000000001</v>
      </c>
      <c r="L1905">
        <v>309.02100000000002</v>
      </c>
      <c r="M1905">
        <v>-4.4781870000000001E-2</v>
      </c>
      <c r="N1905">
        <v>-1.3673090000000001E-2</v>
      </c>
      <c r="O1905">
        <v>-0.9989034</v>
      </c>
      <c r="P1905">
        <v>-0.25752540000000002</v>
      </c>
      <c r="Q1905">
        <v>0.34862459999999901</v>
      </c>
      <c r="R1905">
        <v>-0.90118929999999997</v>
      </c>
      <c r="S1905">
        <v>-1.113327</v>
      </c>
      <c r="T1905">
        <v>-0.28051479999999901</v>
      </c>
      <c r="U1905">
        <v>-3.114655</v>
      </c>
      <c r="V1905">
        <v>0.2181014</v>
      </c>
      <c r="W1905">
        <v>0.36033900000000002</v>
      </c>
      <c r="X1905">
        <v>0.90696619999999994</v>
      </c>
      <c r="Y1905">
        <v>0.29303079999999998</v>
      </c>
      <c r="Z1905">
        <v>7.1462349999999994E-2</v>
      </c>
      <c r="AA1905">
        <v>0.95342859999999996</v>
      </c>
      <c r="AB1905">
        <v>22</v>
      </c>
      <c r="AC1905">
        <v>-4.3916000000000102</v>
      </c>
      <c r="AD1905">
        <v>-1.1096325264448901</v>
      </c>
      <c r="AE1905">
        <v>-12.093599999999901</v>
      </c>
      <c r="AF1905">
        <v>3.8171770336669502</v>
      </c>
      <c r="AG1905">
        <v>-1.1096325264448901</v>
      </c>
      <c r="AH1905">
        <v>12.1874979785593</v>
      </c>
      <c r="AI1905">
        <v>94.965667583990296</v>
      </c>
      <c r="AJ1905">
        <v>72.609218367550596</v>
      </c>
      <c r="AK1905">
        <v>12.819408403958599</v>
      </c>
      <c r="AL1905">
        <v>68.878984516599999</v>
      </c>
      <c r="AM1905">
        <v>76.478613687904797</v>
      </c>
      <c r="AN1905">
        <v>1.0000000517726899</v>
      </c>
    </row>
    <row r="1906" spans="1:40" x14ac:dyDescent="0.25">
      <c r="A1906" t="str">
        <f>"20190304164127714"</f>
        <v>20190304164127714</v>
      </c>
      <c r="B1906" t="str">
        <f>"1551688887703362"</f>
        <v>1551688887703362</v>
      </c>
      <c r="C1906" t="s">
        <v>40</v>
      </c>
      <c r="D1906">
        <v>4.4449489999999896</v>
      </c>
      <c r="E1906">
        <v>0.53744729999999996</v>
      </c>
      <c r="F1906" t="s">
        <v>45</v>
      </c>
      <c r="G1906">
        <v>-196.44929999999999</v>
      </c>
      <c r="H1906" s="1">
        <v>4.6818250000000002E-7</v>
      </c>
      <c r="I1906">
        <v>296.9579</v>
      </c>
      <c r="J1906">
        <v>-192.25569999999999</v>
      </c>
      <c r="K1906">
        <v>1.109653</v>
      </c>
      <c r="L1906">
        <v>308.80020000000002</v>
      </c>
      <c r="M1906">
        <v>-4.7081110000000002E-2</v>
      </c>
      <c r="N1906">
        <v>-1.3670939999999999E-2</v>
      </c>
      <c r="O1906">
        <v>-0.9987975</v>
      </c>
      <c r="P1906">
        <v>-0.25409150000000003</v>
      </c>
      <c r="Q1906">
        <v>0.34988849999999999</v>
      </c>
      <c r="R1906">
        <v>-0.90167379999999997</v>
      </c>
      <c r="S1906">
        <v>-1.0908659999999999</v>
      </c>
      <c r="T1906">
        <v>-0.28778179999999998</v>
      </c>
      <c r="U1906">
        <v>-3.1285400000000001</v>
      </c>
      <c r="V1906">
        <v>0.21254790000000001</v>
      </c>
      <c r="W1906">
        <v>0.36163339999999999</v>
      </c>
      <c r="X1906">
        <v>0.9077691</v>
      </c>
      <c r="Y1906">
        <v>0.28333829999999999</v>
      </c>
      <c r="Z1906">
        <v>7.3507810000000007E-2</v>
      </c>
      <c r="AA1906">
        <v>0.95619869999999996</v>
      </c>
      <c r="AB1906">
        <v>22</v>
      </c>
      <c r="AC1906">
        <v>-4.1936</v>
      </c>
      <c r="AD1906">
        <v>-1.1096525318174999</v>
      </c>
      <c r="AE1906">
        <v>-11.8423</v>
      </c>
      <c r="AF1906">
        <v>3.6032362656214398</v>
      </c>
      <c r="AG1906">
        <v>-1.1096525318174999</v>
      </c>
      <c r="AH1906">
        <v>11.9335201849677</v>
      </c>
      <c r="AI1906">
        <v>95.0868837627674</v>
      </c>
      <c r="AJ1906">
        <v>73.198705920359799</v>
      </c>
      <c r="AK1906">
        <v>12.514932853686799</v>
      </c>
      <c r="AL1906">
        <v>68.799458077105797</v>
      </c>
      <c r="AM1906">
        <v>76.821983236575704</v>
      </c>
      <c r="AN1906">
        <v>1.0000000323523801</v>
      </c>
    </row>
    <row r="1907" spans="1:40" x14ac:dyDescent="0.25">
      <c r="A1907" t="str">
        <f>"20190304164127736"</f>
        <v>20190304164127736</v>
      </c>
      <c r="B1907" t="str">
        <f>"1551688887722883"</f>
        <v>1551688887722883</v>
      </c>
      <c r="C1907" t="s">
        <v>40</v>
      </c>
      <c r="D1907">
        <v>4.4527229999999998</v>
      </c>
      <c r="E1907">
        <v>0.53746179999999999</v>
      </c>
      <c r="F1907" t="s">
        <v>45</v>
      </c>
      <c r="G1907">
        <v>-196.3485</v>
      </c>
      <c r="H1907" s="1">
        <v>4.7053330000000002E-7</v>
      </c>
      <c r="I1907">
        <v>296.94459999999998</v>
      </c>
      <c r="J1907">
        <v>-192.26849999999999</v>
      </c>
      <c r="K1907">
        <v>1.109658</v>
      </c>
      <c r="L1907">
        <v>308.58479999999997</v>
      </c>
      <c r="M1907">
        <v>-4.9337069999999997E-2</v>
      </c>
      <c r="N1907">
        <v>-1.3668929999999999E-2</v>
      </c>
      <c r="O1907">
        <v>-0.99868849999999998</v>
      </c>
      <c r="P1907">
        <v>-0.2518822</v>
      </c>
      <c r="Q1907">
        <v>0.35005219999999998</v>
      </c>
      <c r="R1907">
        <v>-0.90222999999999998</v>
      </c>
      <c r="S1907">
        <v>-1.082581</v>
      </c>
      <c r="T1907">
        <v>-0.29351389999999999</v>
      </c>
      <c r="U1907">
        <v>-3.1359249999999999</v>
      </c>
      <c r="V1907">
        <v>0.2082522</v>
      </c>
      <c r="W1907">
        <v>0.36182189999999997</v>
      </c>
      <c r="X1907">
        <v>0.90868910000000003</v>
      </c>
      <c r="Y1907">
        <v>0.27817399999999998</v>
      </c>
      <c r="Z1907">
        <v>7.5129870000000001E-2</v>
      </c>
      <c r="AA1907">
        <v>0.95758799999999999</v>
      </c>
      <c r="AB1907">
        <v>22</v>
      </c>
      <c r="AC1907">
        <v>-4.0800000000000098</v>
      </c>
      <c r="AD1907">
        <v>-1.1096575294666999</v>
      </c>
      <c r="AE1907">
        <v>-11.640199999999901</v>
      </c>
      <c r="AF1907">
        <v>3.47257821009894</v>
      </c>
      <c r="AG1907">
        <v>-1.1096575294666999</v>
      </c>
      <c r="AH1907">
        <v>11.7323806127865</v>
      </c>
      <c r="AI1907">
        <v>95.182070003587498</v>
      </c>
      <c r="AJ1907">
        <v>73.512173295899103</v>
      </c>
      <c r="AK1907">
        <v>12.285719112092901</v>
      </c>
      <c r="AL1907">
        <v>68.787872036089297</v>
      </c>
      <c r="AM1907">
        <v>77.091935472895202</v>
      </c>
      <c r="AN1907">
        <v>0.99999997329162904</v>
      </c>
    </row>
    <row r="1908" spans="1:40" x14ac:dyDescent="0.25">
      <c r="A1908" t="str">
        <f>"20190304164127758"</f>
        <v>20190304164127758</v>
      </c>
      <c r="B1908" t="str">
        <f>"1551688887753139"</f>
        <v>1551688887753139</v>
      </c>
      <c r="C1908" t="s">
        <v>40</v>
      </c>
      <c r="D1908">
        <v>4.4729979999999996</v>
      </c>
      <c r="E1908">
        <v>0.53785859999999996</v>
      </c>
      <c r="F1908" t="s">
        <v>45</v>
      </c>
      <c r="G1908">
        <v>-196.2782</v>
      </c>
      <c r="H1908" s="1">
        <v>4.6974669999999997E-7</v>
      </c>
      <c r="I1908">
        <v>296.94909999999999</v>
      </c>
      <c r="J1908">
        <v>-192.28149999999999</v>
      </c>
      <c r="K1908">
        <v>1.1096569999999999</v>
      </c>
      <c r="L1908">
        <v>308.37430000000001</v>
      </c>
      <c r="M1908">
        <v>-5.1564400000000003E-2</v>
      </c>
      <c r="N1908">
        <v>-1.3667210000000001E-2</v>
      </c>
      <c r="O1908">
        <v>-0.99857629999999997</v>
      </c>
      <c r="P1908">
        <v>-0.25046400000000002</v>
      </c>
      <c r="Q1908">
        <v>0.35082190000000002</v>
      </c>
      <c r="R1908">
        <v>-0.90232570000000001</v>
      </c>
      <c r="S1908">
        <v>-1.081772</v>
      </c>
      <c r="T1908">
        <v>-0.29937550000000002</v>
      </c>
      <c r="U1908">
        <v>-3.139221</v>
      </c>
      <c r="V1908">
        <v>0.20480219999999999</v>
      </c>
      <c r="W1908">
        <v>0.3626046</v>
      </c>
      <c r="X1908">
        <v>0.9091612</v>
      </c>
      <c r="Y1908">
        <v>0.27545740000000002</v>
      </c>
      <c r="Z1908">
        <v>7.6829049999999996E-2</v>
      </c>
      <c r="AA1908">
        <v>0.95823820000000004</v>
      </c>
      <c r="AB1908">
        <v>22</v>
      </c>
      <c r="AC1908">
        <v>-3.9967000000000001</v>
      </c>
      <c r="AD1908">
        <v>-1.1096565302532999</v>
      </c>
      <c r="AE1908">
        <v>-11.4252</v>
      </c>
      <c r="AF1908">
        <v>3.3738380383007498</v>
      </c>
      <c r="AG1908">
        <v>-1.1096565302532999</v>
      </c>
      <c r="AH1908">
        <v>11.519290331556</v>
      </c>
      <c r="AI1908">
        <v>95.281794132229294</v>
      </c>
      <c r="AJ1908">
        <v>73.675434793867694</v>
      </c>
      <c r="AK1908">
        <v>12.0543838692194</v>
      </c>
      <c r="AL1908">
        <v>68.739761545554302</v>
      </c>
      <c r="AM1908">
        <v>77.305165430575798</v>
      </c>
      <c r="AN1908">
        <v>1.0000000623257099</v>
      </c>
    </row>
    <row r="1909" spans="1:40" x14ac:dyDescent="0.25">
      <c r="A1909" t="str">
        <f>"20190304164127780"</f>
        <v>20190304164127780</v>
      </c>
      <c r="B1909" t="str">
        <f>"1551688887773635"</f>
        <v>1551688887773635</v>
      </c>
      <c r="C1909" t="s">
        <v>40</v>
      </c>
      <c r="D1909">
        <v>4.4428830000000001</v>
      </c>
      <c r="E1909">
        <v>0.53812539999999998</v>
      </c>
      <c r="F1909" t="s">
        <v>45</v>
      </c>
      <c r="G1909">
        <v>-196.20060000000001</v>
      </c>
      <c r="H1909" s="1">
        <v>4.6073579999999999E-7</v>
      </c>
      <c r="I1909">
        <v>297.00020000000001</v>
      </c>
      <c r="J1909">
        <v>-192.29519999999999</v>
      </c>
      <c r="K1909">
        <v>1.109664</v>
      </c>
      <c r="L1909">
        <v>308.161</v>
      </c>
      <c r="M1909">
        <v>-5.3851040000000003E-2</v>
      </c>
      <c r="N1909">
        <v>-1.3665709999999999E-2</v>
      </c>
      <c r="O1909">
        <v>-0.9984556</v>
      </c>
      <c r="P1909">
        <v>-0.24994540000000001</v>
      </c>
      <c r="Q1909">
        <v>0.35282550000000001</v>
      </c>
      <c r="R1909">
        <v>-0.90168839999999995</v>
      </c>
      <c r="S1909">
        <v>-1.0830690000000001</v>
      </c>
      <c r="T1909">
        <v>-0.30666480000000002</v>
      </c>
      <c r="U1909">
        <v>-3.1433409999999999</v>
      </c>
      <c r="V1909">
        <v>0.2022458</v>
      </c>
      <c r="W1909">
        <v>0.3646044</v>
      </c>
      <c r="X1909">
        <v>0.90893360000000001</v>
      </c>
      <c r="Y1909">
        <v>0.2731674</v>
      </c>
      <c r="Z1909">
        <v>7.8912510000000005E-2</v>
      </c>
      <c r="AA1909">
        <v>0.95872440000000003</v>
      </c>
      <c r="AB1909">
        <v>22</v>
      </c>
      <c r="AC1909">
        <v>-3.90540000000001</v>
      </c>
      <c r="AD1909">
        <v>-1.10966353926419</v>
      </c>
      <c r="AE1909">
        <v>-11.160799999999901</v>
      </c>
      <c r="AF1909">
        <v>3.2698578237686098</v>
      </c>
      <c r="AG1909">
        <v>-1.10966353926419</v>
      </c>
      <c r="AH1909">
        <v>11.255802277506101</v>
      </c>
      <c r="AI1909">
        <v>95.408187226040496</v>
      </c>
      <c r="AJ1909">
        <v>73.801197158035805</v>
      </c>
      <c r="AK1909">
        <v>11.773546970575399</v>
      </c>
      <c r="AL1909">
        <v>68.616761402582497</v>
      </c>
      <c r="AM1909">
        <v>77.455541707438002</v>
      </c>
      <c r="AN1909">
        <v>1.0000000106629801</v>
      </c>
    </row>
    <row r="1910" spans="1:40" x14ac:dyDescent="0.25">
      <c r="A1910" t="str">
        <f>"20190304164127802"</f>
        <v>20190304164127802</v>
      </c>
      <c r="B1910" t="str">
        <f>"1551688887793155"</f>
        <v>1551688887793155</v>
      </c>
      <c r="C1910" t="s">
        <v>40</v>
      </c>
      <c r="D1910">
        <v>4.4803119999999996</v>
      </c>
      <c r="E1910">
        <v>0.5384234</v>
      </c>
      <c r="F1910" t="s">
        <v>45</v>
      </c>
      <c r="G1910">
        <v>-196.25450000000001</v>
      </c>
      <c r="H1910" s="1">
        <v>5.1510180000000002E-7</v>
      </c>
      <c r="I1910">
        <v>296.69150000000002</v>
      </c>
      <c r="J1910">
        <v>-192.3098</v>
      </c>
      <c r="K1910">
        <v>1.1096440000000001</v>
      </c>
      <c r="L1910">
        <v>307.94139999999999</v>
      </c>
      <c r="M1910">
        <v>-5.6242670000000002E-2</v>
      </c>
      <c r="N1910">
        <v>-1.366439E-2</v>
      </c>
      <c r="O1910">
        <v>-0.99832390000000004</v>
      </c>
      <c r="P1910">
        <v>-0.2513358</v>
      </c>
      <c r="Q1910">
        <v>0.35501500000000002</v>
      </c>
      <c r="R1910">
        <v>-0.90044190000000002</v>
      </c>
      <c r="S1910">
        <v>-1.085739</v>
      </c>
      <c r="T1910">
        <v>-0.30429200000000001</v>
      </c>
      <c r="U1910">
        <v>-3.1451720000000001</v>
      </c>
      <c r="V1910">
        <v>0.2015421</v>
      </c>
      <c r="W1910">
        <v>0.36677419999999999</v>
      </c>
      <c r="X1910">
        <v>0.90821669999999999</v>
      </c>
      <c r="Y1910">
        <v>0.27144109999999899</v>
      </c>
      <c r="Z1910">
        <v>7.8152079999999999E-2</v>
      </c>
      <c r="AA1910">
        <v>0.95927680000000004</v>
      </c>
      <c r="AB1910">
        <v>22</v>
      </c>
      <c r="AC1910">
        <v>-3.9447000000000099</v>
      </c>
      <c r="AD1910">
        <v>-1.1096434848982</v>
      </c>
      <c r="AE1910">
        <v>-11.249899999999901</v>
      </c>
      <c r="AF1910">
        <v>3.2772778539775498</v>
      </c>
      <c r="AG1910">
        <v>-1.1096434848982</v>
      </c>
      <c r="AH1910">
        <v>11.355587980511</v>
      </c>
      <c r="AI1910">
        <v>95.363550308632298</v>
      </c>
      <c r="AJ1910">
        <v>73.901603147420204</v>
      </c>
      <c r="AK1910">
        <v>11.8710251107002</v>
      </c>
      <c r="AL1910">
        <v>68.483190336078906</v>
      </c>
      <c r="AM1910">
        <v>77.488256704479795</v>
      </c>
      <c r="AN1910">
        <v>1.0000000530084601</v>
      </c>
    </row>
    <row r="1911" spans="1:40" x14ac:dyDescent="0.25">
      <c r="A1911" t="str">
        <f>"20190304164127825"</f>
        <v>20190304164127825</v>
      </c>
      <c r="B1911" t="str">
        <f>"1551688887812674"</f>
        <v>1551688887812674</v>
      </c>
      <c r="C1911" t="s">
        <v>40</v>
      </c>
      <c r="D1911">
        <v>4.4996130000000001</v>
      </c>
      <c r="E1911">
        <v>0.53885479999999997</v>
      </c>
      <c r="F1911" t="s">
        <v>45</v>
      </c>
      <c r="G1911">
        <v>-196.34030000000001</v>
      </c>
      <c r="H1911" s="1">
        <v>5.8882339999999899E-7</v>
      </c>
      <c r="I1911">
        <v>296.34930000000003</v>
      </c>
      <c r="J1911">
        <v>-192.32509999999999</v>
      </c>
      <c r="K1911">
        <v>1.1096239999999999</v>
      </c>
      <c r="L1911">
        <v>307.72140000000002</v>
      </c>
      <c r="M1911">
        <v>-5.867787E-2</v>
      </c>
      <c r="N1911">
        <v>-1.366304E-2</v>
      </c>
      <c r="O1911">
        <v>-0.99818379999999995</v>
      </c>
      <c r="P1911">
        <v>-0.25396079999999999</v>
      </c>
      <c r="Q1911">
        <v>0.35531550000000001</v>
      </c>
      <c r="R1911">
        <v>-0.89958640000000001</v>
      </c>
      <c r="S1911">
        <v>-1.0935520000000001</v>
      </c>
      <c r="T1911">
        <v>-0.30107080000000003</v>
      </c>
      <c r="U1911">
        <v>-3.145203</v>
      </c>
      <c r="V1911">
        <v>0.20200609999999999</v>
      </c>
      <c r="W1911">
        <v>0.36705759999999998</v>
      </c>
      <c r="X1911">
        <v>0.907999</v>
      </c>
      <c r="Y1911">
        <v>0.2712464</v>
      </c>
      <c r="Z1911">
        <v>7.7143840000000005E-2</v>
      </c>
      <c r="AA1911">
        <v>0.95941350000000003</v>
      </c>
      <c r="AB1911">
        <v>22</v>
      </c>
      <c r="AC1911">
        <v>-4.0152000000000196</v>
      </c>
      <c r="AD1911">
        <v>-1.1096234111765999</v>
      </c>
      <c r="AE1911">
        <v>-11.3720999999999</v>
      </c>
      <c r="AF1911">
        <v>3.3128828139528999</v>
      </c>
      <c r="AG1911">
        <v>-1.1096234111765999</v>
      </c>
      <c r="AH1911">
        <v>11.4908524008965</v>
      </c>
      <c r="AI1911">
        <v>95.301099105588506</v>
      </c>
      <c r="AJ1911">
        <v>73.917405946637501</v>
      </c>
      <c r="AK1911">
        <v>12.010251685656</v>
      </c>
      <c r="AL1911">
        <v>68.465733307856695</v>
      </c>
      <c r="AM1911">
        <v>77.457450261622</v>
      </c>
      <c r="AN1911">
        <v>0.99999996507798405</v>
      </c>
    </row>
    <row r="1912" spans="1:40" x14ac:dyDescent="0.25">
      <c r="A1912" t="str">
        <f>"20190304164127847"</f>
        <v>20190304164127847</v>
      </c>
      <c r="B1912" t="str">
        <f>"1551688887842930"</f>
        <v>1551688887842930</v>
      </c>
      <c r="C1912" t="s">
        <v>40</v>
      </c>
      <c r="D1912">
        <v>4.4686000000000003</v>
      </c>
      <c r="E1912">
        <v>0.53928449999999994</v>
      </c>
      <c r="F1912" t="s">
        <v>45</v>
      </c>
      <c r="G1912">
        <v>-196.33930000000001</v>
      </c>
      <c r="H1912" s="1">
        <v>6.0720269999999898E-7</v>
      </c>
      <c r="I1912">
        <v>296.29750000000001</v>
      </c>
      <c r="J1912">
        <v>-192.34020000000001</v>
      </c>
      <c r="K1912">
        <v>1.1096029999999999</v>
      </c>
      <c r="L1912">
        <v>307.51179999999999</v>
      </c>
      <c r="M1912">
        <v>-6.1026360000000002E-2</v>
      </c>
      <c r="N1912">
        <v>-1.366176E-2</v>
      </c>
      <c r="O1912">
        <v>-0.99804309999999996</v>
      </c>
      <c r="P1912">
        <v>-0.25715759999999999</v>
      </c>
      <c r="Q1912">
        <v>0.35324299999999997</v>
      </c>
      <c r="R1912">
        <v>-0.89949449999999997</v>
      </c>
      <c r="S1912">
        <v>-1.104614</v>
      </c>
      <c r="T1912">
        <v>-0.30534149999999999</v>
      </c>
      <c r="U1912">
        <v>-3.1435849999999999</v>
      </c>
      <c r="V1912">
        <v>0.2030613</v>
      </c>
      <c r="W1912">
        <v>0.36498039999999998</v>
      </c>
      <c r="X1912">
        <v>0.90860079999999999</v>
      </c>
      <c r="Y1912">
        <v>0.27210899999999999</v>
      </c>
      <c r="Z1912">
        <v>7.8389500000000001E-2</v>
      </c>
      <c r="AA1912">
        <v>0.95906820000000004</v>
      </c>
      <c r="AB1912">
        <v>22</v>
      </c>
      <c r="AC1912">
        <v>-3.9990999999999901</v>
      </c>
      <c r="AD1912">
        <v>-1.1096023927973</v>
      </c>
      <c r="AE1912">
        <v>-11.2142999999999</v>
      </c>
      <c r="AF1912">
        <v>3.2787355343692601</v>
      </c>
      <c r="AG1912">
        <v>-1.1096023927973</v>
      </c>
      <c r="AH1912">
        <v>11.3389813398906</v>
      </c>
      <c r="AI1912">
        <v>95.370377146259997</v>
      </c>
      <c r="AJ1912">
        <v>73.8724524225983</v>
      </c>
      <c r="AK1912">
        <v>11.855539717820699</v>
      </c>
      <c r="AL1912">
        <v>68.593623482559195</v>
      </c>
      <c r="AM1912">
        <v>77.4021045409431</v>
      </c>
      <c r="AN1912">
        <v>0.99999999885124502</v>
      </c>
    </row>
    <row r="1913" spans="1:40" x14ac:dyDescent="0.25">
      <c r="A1913" t="str">
        <f>"20190304164127870"</f>
        <v>20190304164127870</v>
      </c>
      <c r="B1913" t="str">
        <f>"1551688887863427"</f>
        <v>1551688887863427</v>
      </c>
      <c r="C1913" t="s">
        <v>40</v>
      </c>
      <c r="D1913">
        <v>4.4373129999999996</v>
      </c>
      <c r="E1913">
        <v>0.53951110000000002</v>
      </c>
      <c r="F1913" t="s">
        <v>45</v>
      </c>
      <c r="G1913">
        <v>-196.1901</v>
      </c>
      <c r="H1913" s="1">
        <v>5.1877140000000003E-7</v>
      </c>
      <c r="I1913">
        <v>296.67070000000001</v>
      </c>
      <c r="J1913">
        <v>-192.35669999999999</v>
      </c>
      <c r="K1913">
        <v>1.1095759999999999</v>
      </c>
      <c r="L1913">
        <v>307.29050000000001</v>
      </c>
      <c r="M1913">
        <v>-6.3531470000000007E-2</v>
      </c>
      <c r="N1913">
        <v>-1.3660240000000001E-2</v>
      </c>
      <c r="O1913">
        <v>-0.9978863</v>
      </c>
      <c r="P1913">
        <v>-0.25982519999999998</v>
      </c>
      <c r="Q1913">
        <v>0.3503695</v>
      </c>
      <c r="R1913">
        <v>-0.89985130000000002</v>
      </c>
      <c r="S1913">
        <v>-1.1159520000000001</v>
      </c>
      <c r="T1913">
        <v>-0.32163639999999999</v>
      </c>
      <c r="U1913">
        <v>-3.142487</v>
      </c>
      <c r="V1913">
        <v>0.2034049</v>
      </c>
      <c r="W1913">
        <v>0.3621144</v>
      </c>
      <c r="X1913">
        <v>0.90967010000000004</v>
      </c>
      <c r="Y1913">
        <v>0.27273560000000002</v>
      </c>
      <c r="Z1913">
        <v>8.3204040000000007E-2</v>
      </c>
      <c r="AA1913">
        <v>0.95848440000000001</v>
      </c>
      <c r="AB1913">
        <v>21</v>
      </c>
      <c r="AC1913">
        <v>-3.8334000000000099</v>
      </c>
      <c r="AD1913">
        <v>-1.1095754812286001</v>
      </c>
      <c r="AE1913">
        <v>-10.6197999999999</v>
      </c>
      <c r="AF1913">
        <v>3.1207595898154601</v>
      </c>
      <c r="AG1913">
        <v>-1.1095754812286001</v>
      </c>
      <c r="AH1913">
        <v>10.738196751163199</v>
      </c>
      <c r="AI1913">
        <v>95.666590857981802</v>
      </c>
      <c r="AJ1913">
        <v>73.794956530057803</v>
      </c>
      <c r="AK1913">
        <v>11.2374003947827</v>
      </c>
      <c r="AL1913">
        <v>68.769895449817298</v>
      </c>
      <c r="AM1913">
        <v>77.395828386497698</v>
      </c>
      <c r="AN1913">
        <v>1.00000004143268</v>
      </c>
    </row>
    <row r="1914" spans="1:40" x14ac:dyDescent="0.25">
      <c r="A1914" t="str">
        <f>"20190304164127892"</f>
        <v>20190304164127892</v>
      </c>
      <c r="B1914" t="str">
        <f>"1551688887882946"</f>
        <v>1551688887882946</v>
      </c>
      <c r="C1914" t="s">
        <v>40</v>
      </c>
      <c r="D1914">
        <v>4.4861969999999998</v>
      </c>
      <c r="E1914">
        <v>0.53979279999999996</v>
      </c>
      <c r="F1914" t="s">
        <v>45</v>
      </c>
      <c r="G1914">
        <v>-196.0676</v>
      </c>
      <c r="H1914" s="1">
        <v>4.7222750000000002E-7</v>
      </c>
      <c r="I1914">
        <v>296.935</v>
      </c>
      <c r="J1914">
        <v>-192.3733</v>
      </c>
      <c r="K1914">
        <v>1.1095649999999999</v>
      </c>
      <c r="L1914">
        <v>307.07440000000003</v>
      </c>
      <c r="M1914">
        <v>-6.5992410000000001E-2</v>
      </c>
      <c r="N1914">
        <v>-1.365857E-2</v>
      </c>
      <c r="O1914">
        <v>-0.99772680000000002</v>
      </c>
      <c r="P1914">
        <v>-0.26103320000000002</v>
      </c>
      <c r="Q1914">
        <v>0.34785919999999998</v>
      </c>
      <c r="R1914">
        <v>-0.90047569999999999</v>
      </c>
      <c r="S1914">
        <v>-1.125229</v>
      </c>
      <c r="T1914">
        <v>-0.33644429999999997</v>
      </c>
      <c r="U1914">
        <v>-3.1399840000000001</v>
      </c>
      <c r="V1914">
        <v>0.20230529999999999</v>
      </c>
      <c r="W1914">
        <v>0.35962230000000001</v>
      </c>
      <c r="X1914">
        <v>0.91090309999999997</v>
      </c>
      <c r="Y1914">
        <v>0.27298080000000002</v>
      </c>
      <c r="Z1914">
        <v>8.7621260000000006E-2</v>
      </c>
      <c r="AA1914">
        <v>0.95802089999999995</v>
      </c>
      <c r="AB1914">
        <v>21</v>
      </c>
      <c r="AC1914">
        <v>-3.6942999999999899</v>
      </c>
      <c r="AD1914">
        <v>-1.1095645277724999</v>
      </c>
      <c r="AE1914">
        <v>-10.1394</v>
      </c>
      <c r="AF1914">
        <v>2.9854977621580199</v>
      </c>
      <c r="AG1914">
        <v>-1.1095645277724999</v>
      </c>
      <c r="AH1914">
        <v>10.2527227362944</v>
      </c>
      <c r="AI1914">
        <v>95.932080825913502</v>
      </c>
      <c r="AJ1914">
        <v>73.764930053592195</v>
      </c>
      <c r="AK1914">
        <v>10.7360446085357</v>
      </c>
      <c r="AL1914">
        <v>68.922999009777698</v>
      </c>
      <c r="AM1914">
        <v>77.478242090433596</v>
      </c>
      <c r="AN1914">
        <v>1.00000004532749</v>
      </c>
    </row>
    <row r="1915" spans="1:40" x14ac:dyDescent="0.25">
      <c r="A1915" t="str">
        <f>"20190304164127915"</f>
        <v>20190304164127915</v>
      </c>
      <c r="B1915" t="str">
        <f>"1551688887902466"</f>
        <v>1551688887902466</v>
      </c>
      <c r="C1915" t="s">
        <v>40</v>
      </c>
      <c r="D1915">
        <v>4.4363760000000001</v>
      </c>
      <c r="E1915">
        <v>0.54001940000000004</v>
      </c>
      <c r="F1915" t="s">
        <v>45</v>
      </c>
      <c r="G1915">
        <v>-195.95419999999999</v>
      </c>
      <c r="H1915" s="1">
        <v>4.3768220000000003E-7</v>
      </c>
      <c r="I1915">
        <v>297.1311</v>
      </c>
      <c r="J1915">
        <v>-192.3905</v>
      </c>
      <c r="K1915">
        <v>1.109556</v>
      </c>
      <c r="L1915">
        <v>306.8587</v>
      </c>
      <c r="M1915">
        <v>-6.8456199999999995E-2</v>
      </c>
      <c r="N1915">
        <v>-1.365659E-2</v>
      </c>
      <c r="O1915">
        <v>-0.99756060000000002</v>
      </c>
      <c r="P1915">
        <v>-0.26173229999999997</v>
      </c>
      <c r="Q1915">
        <v>0.34716419999999998</v>
      </c>
      <c r="R1915">
        <v>-0.90054049999999997</v>
      </c>
      <c r="S1915">
        <v>-1.1305240000000001</v>
      </c>
      <c r="T1915">
        <v>-0.35030349999999999</v>
      </c>
      <c r="U1915">
        <v>-3.139221</v>
      </c>
      <c r="V1915">
        <v>0.2007302</v>
      </c>
      <c r="W1915">
        <v>0.35894140000000002</v>
      </c>
      <c r="X1915">
        <v>0.91151990000000005</v>
      </c>
      <c r="Y1915">
        <v>0.27197890000000002</v>
      </c>
      <c r="Z1915">
        <v>9.1735349999999993E-2</v>
      </c>
      <c r="AA1915">
        <v>0.95792069999999996</v>
      </c>
      <c r="AB1915">
        <v>21</v>
      </c>
      <c r="AC1915">
        <v>-3.5636999999999799</v>
      </c>
      <c r="AD1915">
        <v>-1.1095555623177999</v>
      </c>
      <c r="AE1915">
        <v>-9.72759999999999</v>
      </c>
      <c r="AF1915">
        <v>2.85659443237342</v>
      </c>
      <c r="AG1915">
        <v>-1.1095555623177999</v>
      </c>
      <c r="AH1915">
        <v>9.8359304224461592</v>
      </c>
      <c r="AI1915">
        <v>96.182753453175593</v>
      </c>
      <c r="AJ1915">
        <v>73.805412268410393</v>
      </c>
      <c r="AK1915">
        <v>10.3022702630119</v>
      </c>
      <c r="AL1915">
        <v>68.964802766586303</v>
      </c>
      <c r="AM1915">
        <v>77.580841384293294</v>
      </c>
      <c r="AN1915">
        <v>1.0000000349610001</v>
      </c>
    </row>
    <row r="1916" spans="1:40" x14ac:dyDescent="0.25">
      <c r="A1916" t="str">
        <f>"20190304164127937"</f>
        <v>20190304164127937</v>
      </c>
      <c r="B1916" t="str">
        <f>"1551688887922962"</f>
        <v>1551688887922962</v>
      </c>
      <c r="C1916" t="s">
        <v>40</v>
      </c>
      <c r="D1916">
        <v>4.4641500000000001</v>
      </c>
      <c r="E1916">
        <v>0.54027720000000001</v>
      </c>
      <c r="F1916" t="s">
        <v>45</v>
      </c>
      <c r="G1916">
        <v>-195.94159999999999</v>
      </c>
      <c r="H1916" s="1">
        <v>4.4838949999999999E-7</v>
      </c>
      <c r="I1916">
        <v>297.07029999999997</v>
      </c>
      <c r="J1916">
        <v>-192.4074</v>
      </c>
      <c r="K1916">
        <v>1.109567</v>
      </c>
      <c r="L1916">
        <v>306.65289999999999</v>
      </c>
      <c r="M1916">
        <v>-7.0805590000000002E-2</v>
      </c>
      <c r="N1916">
        <v>-1.365471E-2</v>
      </c>
      <c r="O1916">
        <v>-0.99739690000000003</v>
      </c>
      <c r="P1916">
        <v>-0.26254319999999998</v>
      </c>
      <c r="Q1916">
        <v>0.34707310000000002</v>
      </c>
      <c r="R1916">
        <v>-0.90033969999999897</v>
      </c>
      <c r="S1916">
        <v>-1.13829</v>
      </c>
      <c r="T1916">
        <v>-0.35566449999999999</v>
      </c>
      <c r="U1916">
        <v>-3.1376339999999998</v>
      </c>
      <c r="V1916">
        <v>0.1993886</v>
      </c>
      <c r="W1916">
        <v>0.35886089999999998</v>
      </c>
      <c r="X1916">
        <v>0.91184600000000005</v>
      </c>
      <c r="Y1916">
        <v>0.27191199999999999</v>
      </c>
      <c r="Z1916">
        <v>9.3318250000000005E-2</v>
      </c>
      <c r="AA1916">
        <v>0.95778680000000005</v>
      </c>
      <c r="AB1916">
        <v>21</v>
      </c>
      <c r="AC1916">
        <v>-3.53419999999999</v>
      </c>
      <c r="AD1916">
        <v>-1.1095665516105</v>
      </c>
      <c r="AE1916">
        <v>-9.58260000000001</v>
      </c>
      <c r="AF1916">
        <v>2.8135578564829702</v>
      </c>
      <c r="AG1916">
        <v>-1.1095665516105</v>
      </c>
      <c r="AH1916">
        <v>9.6943964298941001</v>
      </c>
      <c r="AI1916">
        <v>96.272698251021197</v>
      </c>
      <c r="AJ1916">
        <v>73.815941214411794</v>
      </c>
      <c r="AK1916">
        <v>10.1552236747485</v>
      </c>
      <c r="AL1916">
        <v>68.969744492647905</v>
      </c>
      <c r="AM1916">
        <v>77.665572872534199</v>
      </c>
      <c r="AN1916">
        <v>1.0000000435373799</v>
      </c>
    </row>
    <row r="1917" spans="1:40" x14ac:dyDescent="0.25">
      <c r="A1917" t="str">
        <f>"20190304164127959"</f>
        <v>20190304164127959</v>
      </c>
      <c r="B1917" t="str">
        <f>"1551688887953219"</f>
        <v>1551688887953219</v>
      </c>
      <c r="C1917" t="s">
        <v>40</v>
      </c>
      <c r="D1917">
        <v>4.4453420000000001</v>
      </c>
      <c r="E1917">
        <v>0.54061380000000003</v>
      </c>
      <c r="F1917" t="s">
        <v>45</v>
      </c>
      <c r="G1917">
        <v>-195.95939999999999</v>
      </c>
      <c r="H1917" s="1">
        <v>4.7087539999999998E-7</v>
      </c>
      <c r="I1917">
        <v>296.9427</v>
      </c>
      <c r="J1917">
        <v>-192.42570000000001</v>
      </c>
      <c r="K1917">
        <v>1.109569</v>
      </c>
      <c r="L1917">
        <v>306.4357</v>
      </c>
      <c r="M1917">
        <v>-7.3280419999999999E-2</v>
      </c>
      <c r="N1917">
        <v>-1.3652620000000001E-2</v>
      </c>
      <c r="O1917">
        <v>-0.9972181</v>
      </c>
      <c r="P1917">
        <v>-0.26457969999999997</v>
      </c>
      <c r="Q1917">
        <v>0.34746460000000001</v>
      </c>
      <c r="R1917">
        <v>-0.89959219999999895</v>
      </c>
      <c r="S1917">
        <v>-1.1470640000000001</v>
      </c>
      <c r="T1917">
        <v>-0.35830889999999999</v>
      </c>
      <c r="U1917">
        <v>-3.1357119999999998</v>
      </c>
      <c r="V1917">
        <v>0.1991946</v>
      </c>
      <c r="W1917">
        <v>0.35925289999999999</v>
      </c>
      <c r="X1917">
        <v>0.91173400000000004</v>
      </c>
      <c r="Y1917">
        <v>0.27205269999999998</v>
      </c>
      <c r="Z1917">
        <v>9.4093380000000004E-2</v>
      </c>
      <c r="AA1917">
        <v>0.95767100000000005</v>
      </c>
      <c r="AB1917">
        <v>21</v>
      </c>
      <c r="AC1917">
        <v>-3.5336999999999801</v>
      </c>
      <c r="AD1917">
        <v>-1.1095685291246</v>
      </c>
      <c r="AE1917">
        <v>-9.4929999999999897</v>
      </c>
      <c r="AF1917">
        <v>2.79494525536863</v>
      </c>
      <c r="AG1917">
        <v>-1.1095685291246</v>
      </c>
      <c r="AH1917">
        <v>9.6111237542188306</v>
      </c>
      <c r="AI1917">
        <v>96.325646867473694</v>
      </c>
      <c r="AJ1917">
        <v>73.7854017625924</v>
      </c>
      <c r="AK1917">
        <v>10.0705789863463</v>
      </c>
      <c r="AL1917">
        <v>68.945679088571495</v>
      </c>
      <c r="AM1917">
        <v>77.675739599773905</v>
      </c>
      <c r="AN1917">
        <v>1.0000000107917799</v>
      </c>
    </row>
    <row r="1918" spans="1:40" x14ac:dyDescent="0.25">
      <c r="A1918" t="str">
        <f>"20190304164127981"</f>
        <v>20190304164127981</v>
      </c>
      <c r="B1918" t="str">
        <f>"1551688887972739"</f>
        <v>1551688887972739</v>
      </c>
      <c r="C1918" t="s">
        <v>40</v>
      </c>
      <c r="D1918">
        <v>4.4406939999999997</v>
      </c>
      <c r="E1918">
        <v>0.540848</v>
      </c>
      <c r="F1918" t="s">
        <v>45</v>
      </c>
      <c r="G1918">
        <v>-195.983</v>
      </c>
      <c r="H1918" s="1">
        <v>4.9522370000000004E-7</v>
      </c>
      <c r="I1918">
        <v>296.80439999999999</v>
      </c>
      <c r="J1918">
        <v>-192.44370000000001</v>
      </c>
      <c r="K1918">
        <v>1.109583</v>
      </c>
      <c r="L1918">
        <v>306.22789999999998</v>
      </c>
      <c r="M1918">
        <v>-7.5646649999999996E-2</v>
      </c>
      <c r="N1918">
        <v>-1.3650519999999999E-2</v>
      </c>
      <c r="O1918">
        <v>-0.99704150000000002</v>
      </c>
      <c r="P1918">
        <v>-0.26702819999999999</v>
      </c>
      <c r="Q1918">
        <v>0.34854649999999998</v>
      </c>
      <c r="R1918">
        <v>-0.89844979999999997</v>
      </c>
      <c r="S1918">
        <v>-1.1575009999999999</v>
      </c>
      <c r="T1918">
        <v>-0.36104000000000003</v>
      </c>
      <c r="U1918">
        <v>-3.1339109999999999</v>
      </c>
      <c r="V1918">
        <v>0.1995469</v>
      </c>
      <c r="W1918">
        <v>0.36032690000000001</v>
      </c>
      <c r="X1918">
        <v>0.91123299999999996</v>
      </c>
      <c r="Y1918">
        <v>0.27272980000000002</v>
      </c>
      <c r="Z1918">
        <v>9.4871869999999997E-2</v>
      </c>
      <c r="AA1918">
        <v>0.95740159999999996</v>
      </c>
      <c r="AB1918">
        <v>21</v>
      </c>
      <c r="AC1918">
        <v>-3.5392999999999901</v>
      </c>
      <c r="AD1918">
        <v>-1.1095825047762999</v>
      </c>
      <c r="AE1918">
        <v>-9.42349999999999</v>
      </c>
      <c r="AF1918">
        <v>2.7824272537914698</v>
      </c>
      <c r="AG1918">
        <v>-1.1095825047762999</v>
      </c>
      <c r="AH1918">
        <v>9.5482411846968294</v>
      </c>
      <c r="AI1918">
        <v>96.366020965125998</v>
      </c>
      <c r="AJ1918">
        <v>73.753491399982096</v>
      </c>
      <c r="AK1918">
        <v>10.0070967057727</v>
      </c>
      <c r="AL1918">
        <v>68.879726801676298</v>
      </c>
      <c r="AM1918">
        <v>77.648031229421505</v>
      </c>
      <c r="AN1918">
        <v>1.00000001022611</v>
      </c>
    </row>
    <row r="1919" spans="1:40" x14ac:dyDescent="0.25">
      <c r="A1919" t="str">
        <f>"20190304164128003"</f>
        <v>20190304164128003</v>
      </c>
      <c r="B1919" t="str">
        <f>"1551688887993235"</f>
        <v>1551688887993235</v>
      </c>
      <c r="C1919" t="s">
        <v>40</v>
      </c>
      <c r="D1919">
        <v>4.4304819999999996</v>
      </c>
      <c r="E1919">
        <v>0.54109300000000005</v>
      </c>
      <c r="F1919" t="s">
        <v>45</v>
      </c>
      <c r="G1919">
        <v>-196.04079999999999</v>
      </c>
      <c r="H1919" s="1">
        <v>5.3722739999999999E-7</v>
      </c>
      <c r="I1919">
        <v>296.57040000000001</v>
      </c>
      <c r="J1919">
        <v>-192.4623</v>
      </c>
      <c r="K1919">
        <v>1.10958</v>
      </c>
      <c r="L1919">
        <v>306.01990000000001</v>
      </c>
      <c r="M1919">
        <v>-7.8015849999999998E-2</v>
      </c>
      <c r="N1919">
        <v>-1.364835E-2</v>
      </c>
      <c r="O1919">
        <v>-0.99685869999999999</v>
      </c>
      <c r="P1919">
        <v>-0.26857520000000001</v>
      </c>
      <c r="Q1919">
        <v>0.3486185</v>
      </c>
      <c r="R1919">
        <v>-0.89796039999999899</v>
      </c>
      <c r="S1919">
        <v>-1.16655</v>
      </c>
      <c r="T1919">
        <v>-0.35984840000000001</v>
      </c>
      <c r="U1919">
        <v>-3.1320190000000001</v>
      </c>
      <c r="V1919">
        <v>0.19894919999999999</v>
      </c>
      <c r="W1919">
        <v>0.36040080000000002</v>
      </c>
      <c r="X1919">
        <v>0.91133450000000005</v>
      </c>
      <c r="Y1919">
        <v>0.2730765</v>
      </c>
      <c r="Z1919">
        <v>9.450095E-2</v>
      </c>
      <c r="AA1919">
        <v>0.95733939999999995</v>
      </c>
      <c r="AB1919">
        <v>21</v>
      </c>
      <c r="AC1919">
        <v>-3.5784999999999898</v>
      </c>
      <c r="AD1919">
        <v>-1.1095794627725999</v>
      </c>
      <c r="AE1919">
        <v>-9.4495000000000005</v>
      </c>
      <c r="AF1919">
        <v>2.7965887624835299</v>
      </c>
      <c r="AG1919">
        <v>-1.1095794627725999</v>
      </c>
      <c r="AH1919">
        <v>9.5843259321089196</v>
      </c>
      <c r="AI1919">
        <v>96.341588373977203</v>
      </c>
      <c r="AJ1919">
        <v>73.733402592904696</v>
      </c>
      <c r="AK1919">
        <v>10.045465587196601</v>
      </c>
      <c r="AL1919">
        <v>68.875188456199396</v>
      </c>
      <c r="AM1919">
        <v>77.685227942963195</v>
      </c>
      <c r="AN1919">
        <v>1.0000000458557601</v>
      </c>
    </row>
    <row r="1920" spans="1:40" x14ac:dyDescent="0.25">
      <c r="A1920" t="str">
        <f>"20190304164128026"</f>
        <v>20190304164128026</v>
      </c>
      <c r="B1920" t="str">
        <f>"1551688888012754"</f>
        <v>1551688888012754</v>
      </c>
      <c r="C1920" t="s">
        <v>40</v>
      </c>
      <c r="D1920">
        <v>4.4161760000000001</v>
      </c>
      <c r="E1920">
        <v>0.54130800000000001</v>
      </c>
      <c r="F1920" t="s">
        <v>45</v>
      </c>
      <c r="G1920">
        <v>-196.05670000000001</v>
      </c>
      <c r="H1920" s="1">
        <v>5.8714450000000002E-7</v>
      </c>
      <c r="I1920">
        <v>296.42520000000002</v>
      </c>
      <c r="J1920">
        <v>-192.48249999999999</v>
      </c>
      <c r="K1920">
        <v>1.1095649999999999</v>
      </c>
      <c r="L1920">
        <v>305.80059999999997</v>
      </c>
      <c r="M1920">
        <v>-8.0522930000000006E-2</v>
      </c>
      <c r="N1920">
        <v>-1.3646459999999999E-2</v>
      </c>
      <c r="O1920">
        <v>-0.99665950000000003</v>
      </c>
      <c r="P1920">
        <v>-0.26982879999999998</v>
      </c>
      <c r="Q1920">
        <v>0.34805439999999999</v>
      </c>
      <c r="R1920">
        <v>-0.89780349999999998</v>
      </c>
      <c r="S1920">
        <v>-1.172806</v>
      </c>
      <c r="T1920">
        <v>-0.3620411</v>
      </c>
      <c r="U1920">
        <v>-3.130646</v>
      </c>
      <c r="V1920">
        <v>0.19790579999999999</v>
      </c>
      <c r="W1920">
        <v>0.35984379999999999</v>
      </c>
      <c r="X1920">
        <v>0.91178159999999997</v>
      </c>
      <c r="Y1920">
        <v>0.27245200000000003</v>
      </c>
      <c r="Z1920">
        <v>9.5145110000000005E-2</v>
      </c>
      <c r="AA1920">
        <v>0.95745349999999996</v>
      </c>
      <c r="AB1920">
        <v>21</v>
      </c>
      <c r="AC1920">
        <v>-3.57420000000001</v>
      </c>
      <c r="AD1920">
        <v>-1.1095644128555</v>
      </c>
      <c r="AE1920">
        <v>-9.3753999999999493</v>
      </c>
      <c r="AF1920">
        <v>2.7736674294308998</v>
      </c>
      <c r="AG1920">
        <v>-1.1095644128555</v>
      </c>
      <c r="AH1920">
        <v>9.5164055575507405</v>
      </c>
      <c r="AI1920">
        <v>96.386945996525796</v>
      </c>
      <c r="AJ1920">
        <v>73.750620637636402</v>
      </c>
      <c r="AK1920">
        <v>9.9742838806173797</v>
      </c>
      <c r="AL1920">
        <v>68.909395911814698</v>
      </c>
      <c r="AM1920">
        <v>77.753684166994503</v>
      </c>
      <c r="AN1920">
        <v>0.99999997608531899</v>
      </c>
    </row>
    <row r="1921" spans="1:40" x14ac:dyDescent="0.25">
      <c r="A1921" t="str">
        <f>"20190304164128047"</f>
        <v>20190304164128047</v>
      </c>
      <c r="B1921" t="str">
        <f>"1551688888033251"</f>
        <v>1551688888033251</v>
      </c>
      <c r="C1921" t="s">
        <v>40</v>
      </c>
      <c r="D1921">
        <v>4.4004560000000001</v>
      </c>
      <c r="E1921">
        <v>0.5415375</v>
      </c>
      <c r="F1921" t="s">
        <v>45</v>
      </c>
      <c r="G1921">
        <v>-196.05549999999999</v>
      </c>
      <c r="H1921" s="1">
        <v>6.2353019999999895E-7</v>
      </c>
      <c r="I1921">
        <v>296.32249999999999</v>
      </c>
      <c r="J1921">
        <v>-192.5016</v>
      </c>
      <c r="K1921">
        <v>1.1095469999999901</v>
      </c>
      <c r="L1921">
        <v>305.59899999999999</v>
      </c>
      <c r="M1921">
        <v>-8.2836430000000003E-2</v>
      </c>
      <c r="N1921">
        <v>-1.364462E-2</v>
      </c>
      <c r="O1921">
        <v>-0.99646979999999996</v>
      </c>
      <c r="P1921">
        <v>-0.27191310000000002</v>
      </c>
      <c r="Q1921">
        <v>0.34598709999999899</v>
      </c>
      <c r="R1921">
        <v>-0.89797340000000003</v>
      </c>
      <c r="S1921">
        <v>-1.179565</v>
      </c>
      <c r="T1921">
        <v>-0.3663034</v>
      </c>
      <c r="U1921">
        <v>-3.1290279999999999</v>
      </c>
      <c r="V1921">
        <v>0.19783519999999999</v>
      </c>
      <c r="W1921">
        <v>0.35778529999999997</v>
      </c>
      <c r="X1921">
        <v>0.91260669999999999</v>
      </c>
      <c r="Y1921">
        <v>0.27214969999999999</v>
      </c>
      <c r="Z1921">
        <v>9.6403160000000002E-2</v>
      </c>
      <c r="AA1921">
        <v>0.95741370000000003</v>
      </c>
      <c r="AB1921">
        <v>21</v>
      </c>
      <c r="AC1921">
        <v>-3.5538999999999898</v>
      </c>
      <c r="AD1921">
        <v>-1.1095463764697999</v>
      </c>
      <c r="AE1921">
        <v>-9.2765000000000004</v>
      </c>
      <c r="AF1921">
        <v>2.7390103279192002</v>
      </c>
      <c r="AG1921">
        <v>-1.1095463764697999</v>
      </c>
      <c r="AH1921">
        <v>9.4214973949918299</v>
      </c>
      <c r="AI1921">
        <v>96.451916252706894</v>
      </c>
      <c r="AJ1921">
        <v>73.789837056280405</v>
      </c>
      <c r="AK1921">
        <v>9.8741016756879301</v>
      </c>
      <c r="AL1921">
        <v>69.0357549745667</v>
      </c>
      <c r="AM1921">
        <v>77.768655951088405</v>
      </c>
      <c r="AN1921">
        <v>1.00000003807</v>
      </c>
    </row>
    <row r="1922" spans="1:40" x14ac:dyDescent="0.25">
      <c r="A1922" t="str">
        <f>"20190304164128071"</f>
        <v>20190304164128071</v>
      </c>
      <c r="B1922" t="str">
        <f>"1551688888062531"</f>
        <v>1551688888062531</v>
      </c>
      <c r="C1922" t="s">
        <v>40</v>
      </c>
      <c r="D1922">
        <v>4.3991030000000002</v>
      </c>
      <c r="E1922">
        <v>0.54613880000000004</v>
      </c>
      <c r="F1922" t="s">
        <v>45</v>
      </c>
      <c r="G1922">
        <v>-196.0016</v>
      </c>
      <c r="H1922" s="1">
        <v>6.1078809999999997E-7</v>
      </c>
      <c r="I1922">
        <v>296.37209999999999</v>
      </c>
      <c r="J1922">
        <v>-192.5231</v>
      </c>
      <c r="K1922">
        <v>1.1095440000000001</v>
      </c>
      <c r="L1922">
        <v>305.37779999999998</v>
      </c>
      <c r="M1922">
        <v>-8.5382830000000007E-2</v>
      </c>
      <c r="N1922">
        <v>-1.364252E-2</v>
      </c>
      <c r="O1922">
        <v>-0.996255</v>
      </c>
      <c r="P1922">
        <v>-0.27515319999999999</v>
      </c>
      <c r="Q1922">
        <v>0.34465459999999998</v>
      </c>
      <c r="R1922">
        <v>-0.89749869999999898</v>
      </c>
      <c r="S1922">
        <v>-1.185989</v>
      </c>
      <c r="T1922">
        <v>-0.37597799999999998</v>
      </c>
      <c r="U1922">
        <v>-3.1265869999999998</v>
      </c>
      <c r="V1922">
        <v>0.19875480000000001</v>
      </c>
      <c r="W1922">
        <v>0.35645139999999997</v>
      </c>
      <c r="X1922">
        <v>0.91292879999999998</v>
      </c>
      <c r="Y1922">
        <v>0.27155380000000001</v>
      </c>
      <c r="Z1922">
        <v>9.9293519999999996E-2</v>
      </c>
      <c r="AA1922">
        <v>0.95728749999999996</v>
      </c>
      <c r="AB1922">
        <v>21</v>
      </c>
      <c r="AC1922">
        <v>-3.4784999999999902</v>
      </c>
      <c r="AD1922">
        <v>-1.1095433892119</v>
      </c>
      <c r="AE1922">
        <v>-9.0056999999999903</v>
      </c>
      <c r="AF1922">
        <v>2.6616345648658202</v>
      </c>
      <c r="AG1922">
        <v>-1.1095433892119</v>
      </c>
      <c r="AH1922">
        <v>9.1489923568006297</v>
      </c>
      <c r="AI1922">
        <v>96.642021424425906</v>
      </c>
      <c r="AJ1922">
        <v>73.779173975299301</v>
      </c>
      <c r="AK1922">
        <v>9.5926766980978098</v>
      </c>
      <c r="AL1922">
        <v>69.117577129637795</v>
      </c>
      <c r="AM1922">
        <v>77.717727341876895</v>
      </c>
      <c r="AN1922">
        <v>1.00000003247721</v>
      </c>
    </row>
    <row r="1923" spans="1:40" x14ac:dyDescent="0.25">
      <c r="A1923" t="str">
        <f>"20190304164128092"</f>
        <v>20190304164128092</v>
      </c>
      <c r="B1923" t="str">
        <f>"1551688888083026"</f>
        <v>1551688888083026</v>
      </c>
      <c r="C1923" t="s">
        <v>40</v>
      </c>
      <c r="D1923">
        <v>4.4259040000000001</v>
      </c>
      <c r="E1923">
        <v>0.54633330000000002</v>
      </c>
      <c r="F1923" t="s">
        <v>45</v>
      </c>
      <c r="G1923">
        <v>-195.70490000000001</v>
      </c>
      <c r="H1923" s="1">
        <v>4.126802E-7</v>
      </c>
      <c r="I1923">
        <v>297.2731</v>
      </c>
      <c r="J1923">
        <v>-192.54390000000001</v>
      </c>
      <c r="K1923">
        <v>1.1095469999999901</v>
      </c>
      <c r="L1923">
        <v>305.16840000000002</v>
      </c>
      <c r="M1923">
        <v>-8.7802399999999906E-2</v>
      </c>
      <c r="N1923">
        <v>-1.3640350000000001E-2</v>
      </c>
      <c r="O1923">
        <v>-0.9960445</v>
      </c>
      <c r="P1923">
        <v>-0.27892610000000001</v>
      </c>
      <c r="Q1923">
        <v>0.344968099999999</v>
      </c>
      <c r="R1923">
        <v>-0.89621289999999998</v>
      </c>
      <c r="S1923">
        <v>-1.2289429999999999</v>
      </c>
      <c r="T1923">
        <v>-0.42854880000000001</v>
      </c>
      <c r="U1923">
        <v>-3.1303709999999998</v>
      </c>
      <c r="V1923">
        <v>0.20039609999999999</v>
      </c>
      <c r="W1923">
        <v>0.356751599999999</v>
      </c>
      <c r="X1923">
        <v>0.91245259999999995</v>
      </c>
      <c r="Y1923">
        <v>0.2796381</v>
      </c>
      <c r="Z1923">
        <v>0.1141968</v>
      </c>
      <c r="AA1923">
        <v>0.95328990000000002</v>
      </c>
      <c r="AB1923">
        <v>21</v>
      </c>
      <c r="AC1923">
        <v>-3.161</v>
      </c>
      <c r="AD1923">
        <v>-1.1095465873197901</v>
      </c>
      <c r="AE1923">
        <v>-7.8953000000000104</v>
      </c>
      <c r="AF1923">
        <v>2.4144031671039299</v>
      </c>
      <c r="AG1923">
        <v>-1.1095465873197901</v>
      </c>
      <c r="AH1923">
        <v>8.0060989125419209</v>
      </c>
      <c r="AI1923">
        <v>97.558166126320998</v>
      </c>
      <c r="AJ1923">
        <v>73.218238817744094</v>
      </c>
      <c r="AK1923">
        <v>8.4355234621308099</v>
      </c>
      <c r="AL1923">
        <v>69.099166380914397</v>
      </c>
      <c r="AM1923">
        <v>77.613155103020404</v>
      </c>
      <c r="AN1923">
        <v>1.00000002412226</v>
      </c>
    </row>
    <row r="1924" spans="1:40" x14ac:dyDescent="0.25">
      <c r="A1924" t="str">
        <f>"20190304164128115"</f>
        <v>20190304164128115</v>
      </c>
      <c r="B1924" t="str">
        <f>"1551688888102546"</f>
        <v>1551688888102546</v>
      </c>
      <c r="C1924" t="s">
        <v>40</v>
      </c>
      <c r="D1924">
        <v>4.4463059999999999</v>
      </c>
      <c r="E1924">
        <v>0.54659690000000005</v>
      </c>
      <c r="F1924" t="s">
        <v>45</v>
      </c>
      <c r="G1924">
        <v>-195.76589999999999</v>
      </c>
      <c r="H1924" s="1">
        <v>4.5424129999999997E-7</v>
      </c>
      <c r="I1924">
        <v>297.03710000000001</v>
      </c>
      <c r="J1924">
        <v>-192.56530000000001</v>
      </c>
      <c r="K1924">
        <v>1.1095630000000001</v>
      </c>
      <c r="L1924">
        <v>304.9579</v>
      </c>
      <c r="M1924">
        <v>-9.0240029999999999E-2</v>
      </c>
      <c r="N1924">
        <v>-1.363808E-2</v>
      </c>
      <c r="O1924">
        <v>-0.99582669999999995</v>
      </c>
      <c r="P1924">
        <v>-0.2825491</v>
      </c>
      <c r="Q1924">
        <v>0.346001</v>
      </c>
      <c r="R1924">
        <v>-0.89467849999999904</v>
      </c>
      <c r="S1924">
        <v>-1.2387239999999999</v>
      </c>
      <c r="T1924">
        <v>-0.42656820000000001</v>
      </c>
      <c r="U1924">
        <v>-3.126099</v>
      </c>
      <c r="V1924">
        <v>0.20189750000000001</v>
      </c>
      <c r="W1924">
        <v>0.3577688</v>
      </c>
      <c r="X1924">
        <v>0.91172299999999995</v>
      </c>
      <c r="Y1924">
        <v>0.28033649999999999</v>
      </c>
      <c r="Z1924">
        <v>0.1136614</v>
      </c>
      <c r="AA1924">
        <v>0.95314869999999996</v>
      </c>
      <c r="AB1924">
        <v>21</v>
      </c>
      <c r="AC1924">
        <v>-3.2005999999999699</v>
      </c>
      <c r="AD1924">
        <v>-1.1095625457586999</v>
      </c>
      <c r="AE1924">
        <v>-7.9207999999999803</v>
      </c>
      <c r="AF1924">
        <v>2.4316802231550798</v>
      </c>
      <c r="AG1924">
        <v>-1.1095625457586999</v>
      </c>
      <c r="AH1924">
        <v>8.0416737453123304</v>
      </c>
      <c r="AI1924">
        <v>97.523544949946697</v>
      </c>
      <c r="AJ1924">
        <v>73.175479271057995</v>
      </c>
      <c r="AK1924">
        <v>8.4742382770771592</v>
      </c>
      <c r="AL1924">
        <v>69.036765912267697</v>
      </c>
      <c r="AM1924">
        <v>77.513575297656004</v>
      </c>
      <c r="AN1924">
        <v>0.99999997174434396</v>
      </c>
    </row>
    <row r="1925" spans="1:40" x14ac:dyDescent="0.25">
      <c r="A1925" t="str">
        <f>"20190304164128138"</f>
        <v>20190304164128138</v>
      </c>
      <c r="B1925" t="str">
        <f>"1551688888132803"</f>
        <v>1551688888132803</v>
      </c>
      <c r="C1925" t="s">
        <v>40</v>
      </c>
      <c r="D1925">
        <v>4.4595409999999998</v>
      </c>
      <c r="E1925">
        <v>0.54408780000000001</v>
      </c>
      <c r="F1925" t="s">
        <v>45</v>
      </c>
      <c r="G1925">
        <v>-195.857</v>
      </c>
      <c r="H1925" s="1">
        <v>5.0402299999999996E-7</v>
      </c>
      <c r="I1925">
        <v>296.75439999999998</v>
      </c>
      <c r="J1925">
        <v>-192.58760000000001</v>
      </c>
      <c r="K1925">
        <v>1.109575</v>
      </c>
      <c r="L1925">
        <v>304.7448</v>
      </c>
      <c r="M1925">
        <v>-9.2712909999999996E-2</v>
      </c>
      <c r="N1925">
        <v>-1.3635700000000001E-2</v>
      </c>
      <c r="O1925">
        <v>-0.99559940000000002</v>
      </c>
      <c r="P1925">
        <v>-0.2853658</v>
      </c>
      <c r="Q1925">
        <v>0.34758929999999999</v>
      </c>
      <c r="R1925">
        <v>-0.89316739999999994</v>
      </c>
      <c r="S1925">
        <v>-1.2522740000000001</v>
      </c>
      <c r="T1925">
        <v>-0.42212129999999998</v>
      </c>
      <c r="U1925">
        <v>-3.1209410000000002</v>
      </c>
      <c r="V1925">
        <v>0.20256640000000001</v>
      </c>
      <c r="W1925">
        <v>0.35934500000000003</v>
      </c>
      <c r="X1925">
        <v>0.91095440000000005</v>
      </c>
      <c r="Y1925">
        <v>0.28211779999999997</v>
      </c>
      <c r="Z1925">
        <v>0.11238620000000001</v>
      </c>
      <c r="AA1925">
        <v>0.95277429999999996</v>
      </c>
      <c r="AB1925">
        <v>21</v>
      </c>
      <c r="AC1925">
        <v>-3.2693999999999899</v>
      </c>
      <c r="AD1925">
        <v>-1.109574495977</v>
      </c>
      <c r="AE1925">
        <v>-7.9904000000000197</v>
      </c>
      <c r="AF1925">
        <v>2.4735756695833899</v>
      </c>
      <c r="AG1925">
        <v>-1.109574495977</v>
      </c>
      <c r="AH1925">
        <v>8.1249167394494695</v>
      </c>
      <c r="AI1925">
        <v>97.443202109924997</v>
      </c>
      <c r="AJ1925">
        <v>73.067485687239497</v>
      </c>
      <c r="AK1925">
        <v>8.5652789901009001</v>
      </c>
      <c r="AL1925">
        <v>68.940023147629802</v>
      </c>
      <c r="AM1925">
        <v>77.463275575375206</v>
      </c>
      <c r="AN1925">
        <v>0.99999994715665796</v>
      </c>
    </row>
    <row r="1926" spans="1:40" x14ac:dyDescent="0.25">
      <c r="A1926" t="str">
        <f>"20190304164128162"</f>
        <v>20190304164128162</v>
      </c>
      <c r="B1926" t="str">
        <f>"1551688888153299"</f>
        <v>1551688888153299</v>
      </c>
      <c r="C1926" t="s">
        <v>40</v>
      </c>
      <c r="D1926">
        <v>4.4518959999999996</v>
      </c>
      <c r="E1926">
        <v>0.54201129999999997</v>
      </c>
      <c r="F1926" t="s">
        <v>45</v>
      </c>
      <c r="G1926">
        <v>-196.0008</v>
      </c>
      <c r="H1926" s="1">
        <v>6.7419589999999999E-7</v>
      </c>
      <c r="I1926">
        <v>296.19290000000001</v>
      </c>
      <c r="J1926">
        <v>-192.61189999999999</v>
      </c>
      <c r="K1926">
        <v>1.109578</v>
      </c>
      <c r="L1926">
        <v>304.51749999999998</v>
      </c>
      <c r="M1926">
        <v>-9.5351019999999995E-2</v>
      </c>
      <c r="N1926">
        <v>-1.363294E-2</v>
      </c>
      <c r="O1926">
        <v>-0.99535059999999997</v>
      </c>
      <c r="P1926">
        <v>-0.2884389</v>
      </c>
      <c r="Q1926">
        <v>0.3469352</v>
      </c>
      <c r="R1926">
        <v>-0.89243459999999997</v>
      </c>
      <c r="S1926">
        <v>-1.2447360000000001</v>
      </c>
      <c r="T1926">
        <v>-0.40463710000000003</v>
      </c>
      <c r="U1926">
        <v>-3.1186829999999999</v>
      </c>
      <c r="V1926">
        <v>0.2032603</v>
      </c>
      <c r="W1926">
        <v>0.35869040000000002</v>
      </c>
      <c r="X1926">
        <v>0.91105789999999998</v>
      </c>
      <c r="Y1926">
        <v>0.27804410000000002</v>
      </c>
      <c r="Z1926">
        <v>0.1074204</v>
      </c>
      <c r="AA1926">
        <v>0.95454300000000003</v>
      </c>
      <c r="AB1926">
        <v>21</v>
      </c>
      <c r="AC1926">
        <v>-3.3889</v>
      </c>
      <c r="AD1926">
        <v>-1.1095773258041</v>
      </c>
      <c r="AE1926">
        <v>-8.32459999999997</v>
      </c>
      <c r="AF1926">
        <v>2.5408997159330302</v>
      </c>
      <c r="AG1926">
        <v>-1.1095773258041</v>
      </c>
      <c r="AH1926">
        <v>8.4805825574005596</v>
      </c>
      <c r="AI1926">
        <v>97.143790776759104</v>
      </c>
      <c r="AJ1926">
        <v>73.321057573176105</v>
      </c>
      <c r="AK1926">
        <v>8.9223098870894209</v>
      </c>
      <c r="AL1926">
        <v>68.980209777852593</v>
      </c>
      <c r="AM1926">
        <v>77.423078327883104</v>
      </c>
      <c r="AN1926">
        <v>1.00000002488032</v>
      </c>
    </row>
    <row r="1927" spans="1:40" x14ac:dyDescent="0.25">
      <c r="A1927" t="str">
        <f>"20190304164128183"</f>
        <v>20190304164128183</v>
      </c>
      <c r="B1927" t="str">
        <f>"1551688888172818"</f>
        <v>1551688888172818</v>
      </c>
      <c r="C1927" t="s">
        <v>40</v>
      </c>
      <c r="D1927">
        <v>4.4627109999999997</v>
      </c>
      <c r="E1927">
        <v>0.5403888</v>
      </c>
      <c r="F1927" t="s">
        <v>45</v>
      </c>
      <c r="G1927">
        <v>-196.08019999999999</v>
      </c>
      <c r="H1927" s="1">
        <v>8.0630969999999899E-7</v>
      </c>
      <c r="I1927">
        <v>295.79930000000002</v>
      </c>
      <c r="J1927">
        <v>-192.63310000000001</v>
      </c>
      <c r="K1927">
        <v>1.1095790000000001</v>
      </c>
      <c r="L1927">
        <v>304.32389999999998</v>
      </c>
      <c r="M1927">
        <v>-9.7596539999999996E-2</v>
      </c>
      <c r="N1927">
        <v>-1.363084E-2</v>
      </c>
      <c r="O1927">
        <v>-0.99513280000000004</v>
      </c>
      <c r="P1927">
        <v>-0.29152610000000001</v>
      </c>
      <c r="Q1927">
        <v>0.34626960000000001</v>
      </c>
      <c r="R1927">
        <v>-0.89168939999999997</v>
      </c>
      <c r="S1927">
        <v>-1.2392879999999999</v>
      </c>
      <c r="T1927">
        <v>-0.39646940000000003</v>
      </c>
      <c r="U1927">
        <v>-3.115173</v>
      </c>
      <c r="V1927">
        <v>0.20433219999999999</v>
      </c>
      <c r="W1927">
        <v>0.35802129999999999</v>
      </c>
      <c r="X1927">
        <v>0.91108129999999998</v>
      </c>
      <c r="Y1927">
        <v>0.27490100000000001</v>
      </c>
      <c r="Z1927">
        <v>0.1051974</v>
      </c>
      <c r="AA1927">
        <v>0.95570029999999995</v>
      </c>
      <c r="AB1927">
        <v>21</v>
      </c>
      <c r="AC1927">
        <v>-3.4470999999999701</v>
      </c>
      <c r="AD1927">
        <v>-1.1095781936903</v>
      </c>
      <c r="AE1927">
        <v>-8.5245999999999604</v>
      </c>
      <c r="AF1927">
        <v>2.5612965935954799</v>
      </c>
      <c r="AG1927">
        <v>-1.1095781936903</v>
      </c>
      <c r="AH1927">
        <v>8.6937616584743402</v>
      </c>
      <c r="AI1927">
        <v>96.979797215970194</v>
      </c>
      <c r="AJ1927">
        <v>73.584332791554104</v>
      </c>
      <c r="AK1927">
        <v>9.1308759592185602</v>
      </c>
      <c r="AL1927">
        <v>69.021273468815494</v>
      </c>
      <c r="AM1927">
        <v>77.359193922994294</v>
      </c>
      <c r="AN1927">
        <v>1.0000000172101</v>
      </c>
    </row>
    <row r="1928" spans="1:40" x14ac:dyDescent="0.25">
      <c r="A1928" t="str">
        <f>"20190304164128204"</f>
        <v>20190304164128204</v>
      </c>
      <c r="B1928" t="str">
        <f>"1551688888193221"</f>
        <v>1551688888193221</v>
      </c>
      <c r="C1928" t="s">
        <v>40</v>
      </c>
      <c r="D1928">
        <v>4.4698859999999998</v>
      </c>
      <c r="E1928">
        <v>0.53904770000000002</v>
      </c>
      <c r="F1928" t="s">
        <v>45</v>
      </c>
      <c r="G1928">
        <v>-196.12889999999999</v>
      </c>
      <c r="H1928" s="1">
        <v>8.9891069999999899E-7</v>
      </c>
      <c r="I1928">
        <v>295.52510000000001</v>
      </c>
      <c r="J1928">
        <v>-192.65610000000001</v>
      </c>
      <c r="K1928">
        <v>1.109583</v>
      </c>
      <c r="L1928">
        <v>304.11860000000001</v>
      </c>
      <c r="M1928">
        <v>-9.9975789999999995E-2</v>
      </c>
      <c r="N1928">
        <v>-1.3628319999999999E-2</v>
      </c>
      <c r="O1928">
        <v>-0.99489649999999996</v>
      </c>
      <c r="P1928">
        <v>-0.29444160000000003</v>
      </c>
      <c r="Q1928">
        <v>0.34579029999999999</v>
      </c>
      <c r="R1928">
        <v>-0.89091719999999897</v>
      </c>
      <c r="S1928">
        <v>-1.236618</v>
      </c>
      <c r="T1928">
        <v>-0.39250560000000001</v>
      </c>
      <c r="U1928">
        <v>-3.1125180000000001</v>
      </c>
      <c r="V1928">
        <v>0.20511389999999999</v>
      </c>
      <c r="W1928">
        <v>0.35753950000000001</v>
      </c>
      <c r="X1928">
        <v>0.91109479999999998</v>
      </c>
      <c r="Y1928">
        <v>0.27221889999999999</v>
      </c>
      <c r="Z1928">
        <v>0.1041497</v>
      </c>
      <c r="AA1928">
        <v>0.9565823</v>
      </c>
      <c r="AB1928">
        <v>21</v>
      </c>
      <c r="AC1928">
        <v>-3.4727999999999701</v>
      </c>
      <c r="AD1928">
        <v>-1.1095821010893001</v>
      </c>
      <c r="AE1928">
        <v>-8.5935000000000006</v>
      </c>
      <c r="AF1928">
        <v>2.5594951856336401</v>
      </c>
      <c r="AG1928">
        <v>-1.1095821010893001</v>
      </c>
      <c r="AH1928">
        <v>8.7719530595764805</v>
      </c>
      <c r="AI1928">
        <v>96.923449897469894</v>
      </c>
      <c r="AJ1928">
        <v>73.733722429625601</v>
      </c>
      <c r="AK1928">
        <v>9.2048546171980696</v>
      </c>
      <c r="AL1928">
        <v>69.050834376625403</v>
      </c>
      <c r="AM1928">
        <v>77.312579373742096</v>
      </c>
      <c r="AN1928">
        <v>0.99999997031024901</v>
      </c>
    </row>
    <row r="1929" spans="1:40" x14ac:dyDescent="0.25">
      <c r="A1929" t="str">
        <f>"20190304164128226"</f>
        <v>20190304164128226</v>
      </c>
      <c r="B1929" t="str">
        <f>"1551688888212742"</f>
        <v>1551688888212742</v>
      </c>
      <c r="C1929" t="s">
        <v>40</v>
      </c>
      <c r="D1929">
        <v>4.4586709999999998</v>
      </c>
      <c r="E1929">
        <v>0.53804859999999999</v>
      </c>
      <c r="F1929" t="s">
        <v>45</v>
      </c>
      <c r="G1929">
        <v>-196.24180000000001</v>
      </c>
      <c r="H1929" s="1">
        <v>1.040468E-6</v>
      </c>
      <c r="I1929">
        <v>295.09629999999999</v>
      </c>
      <c r="J1929">
        <v>-192.67910000000001</v>
      </c>
      <c r="K1929">
        <v>1.1095950000000001</v>
      </c>
      <c r="L1929">
        <v>303.91759999999999</v>
      </c>
      <c r="M1929">
        <v>-0.10230359999999999</v>
      </c>
      <c r="N1929">
        <v>-1.3626060000000001E-2</v>
      </c>
      <c r="O1929">
        <v>-0.99465999999999999</v>
      </c>
      <c r="P1929">
        <v>-0.29636449999999998</v>
      </c>
      <c r="Q1929">
        <v>0.3464139</v>
      </c>
      <c r="R1929">
        <v>-0.89003709999999903</v>
      </c>
      <c r="S1929">
        <v>-1.2350159999999999</v>
      </c>
      <c r="T1929">
        <v>-0.38217459999999998</v>
      </c>
      <c r="U1929">
        <v>-3.1075439999999999</v>
      </c>
      <c r="V1929">
        <v>0.2049713</v>
      </c>
      <c r="W1929">
        <v>0.35816110000000001</v>
      </c>
      <c r="X1929">
        <v>0.91088279999999999</v>
      </c>
      <c r="Y1929">
        <v>0.27018370000000003</v>
      </c>
      <c r="Z1929">
        <v>0.101276</v>
      </c>
      <c r="AA1929">
        <v>0.95746739999999997</v>
      </c>
      <c r="AB1929">
        <v>21</v>
      </c>
      <c r="AC1929">
        <v>-3.5627</v>
      </c>
      <c r="AD1929">
        <v>-1.1095939595319999</v>
      </c>
      <c r="AE1929">
        <v>-8.8213000000000008</v>
      </c>
      <c r="AF1929">
        <v>2.6060192414526</v>
      </c>
      <c r="AG1929">
        <v>-1.1095939595319999</v>
      </c>
      <c r="AH1929">
        <v>9.0168608597850799</v>
      </c>
      <c r="AI1929">
        <v>96.742170740152304</v>
      </c>
      <c r="AJ1929">
        <v>73.879847252752697</v>
      </c>
      <c r="AK1929">
        <v>9.4512599586814492</v>
      </c>
      <c r="AL1929">
        <v>69.012695157646505</v>
      </c>
      <c r="AM1929">
        <v>77.3182592526951</v>
      </c>
      <c r="AN1929">
        <v>1.0000000413563599</v>
      </c>
    </row>
    <row r="1930" spans="1:40" x14ac:dyDescent="0.25">
      <c r="A1930" t="str">
        <f>"20190304164128248"</f>
        <v>20190304164128248</v>
      </c>
      <c r="B1930" t="str">
        <f>"1551688888243974"</f>
        <v>1551688888243974</v>
      </c>
      <c r="C1930" t="s">
        <v>40</v>
      </c>
      <c r="D1930">
        <v>4.4555199999999999</v>
      </c>
      <c r="E1930">
        <v>0.53705689999999995</v>
      </c>
      <c r="F1930" t="s">
        <v>45</v>
      </c>
      <c r="G1930">
        <v>-196.37</v>
      </c>
      <c r="H1930" s="1">
        <v>1.1927700000000001E-6</v>
      </c>
      <c r="I1930">
        <v>294.63330000000002</v>
      </c>
      <c r="J1930">
        <v>-192.7038</v>
      </c>
      <c r="K1930">
        <v>1.1095930000000001</v>
      </c>
      <c r="L1930">
        <v>303.70580000000001</v>
      </c>
      <c r="M1930">
        <v>-0.1047551</v>
      </c>
      <c r="N1930">
        <v>-1.362348E-2</v>
      </c>
      <c r="O1930">
        <v>-0.99440470000000003</v>
      </c>
      <c r="P1930">
        <v>-0.29811779999999999</v>
      </c>
      <c r="Q1930">
        <v>0.34725339999999999</v>
      </c>
      <c r="R1930">
        <v>-0.88912349999999996</v>
      </c>
      <c r="S1930">
        <v>-1.2340089999999999</v>
      </c>
      <c r="T1930">
        <v>-0.37098320000000001</v>
      </c>
      <c r="U1930">
        <v>-3.1041259999999999</v>
      </c>
      <c r="V1930">
        <v>0.2045517</v>
      </c>
      <c r="W1930">
        <v>0.35899880000000001</v>
      </c>
      <c r="X1930">
        <v>0.91064730000000005</v>
      </c>
      <c r="Y1930">
        <v>0.2680303</v>
      </c>
      <c r="Z1930">
        <v>9.8079369999999999E-2</v>
      </c>
      <c r="AA1930">
        <v>0.95840499999999995</v>
      </c>
      <c r="AB1930">
        <v>21</v>
      </c>
      <c r="AC1930">
        <v>-3.6661999999999999</v>
      </c>
      <c r="AD1930">
        <v>-1.1095918072299999</v>
      </c>
      <c r="AE1930">
        <v>-9.0724999999999891</v>
      </c>
      <c r="AF1930">
        <v>2.6613261085639399</v>
      </c>
      <c r="AG1930">
        <v>-1.1095918072299999</v>
      </c>
      <c r="AH1930">
        <v>9.2872453253082501</v>
      </c>
      <c r="AI1930">
        <v>96.551842992782298</v>
      </c>
      <c r="AJ1930">
        <v>74.009968728942297</v>
      </c>
      <c r="AK1930">
        <v>9.7245450468006993</v>
      </c>
      <c r="AL1930">
        <v>68.961278821058997</v>
      </c>
      <c r="AM1930">
        <v>77.340215485139893</v>
      </c>
      <c r="AN1930">
        <v>1.0000000206858</v>
      </c>
    </row>
    <row r="1931" spans="1:40" x14ac:dyDescent="0.25">
      <c r="A1931" t="str">
        <f>"20190304164128272"</f>
        <v>20190304164128272</v>
      </c>
      <c r="B1931" t="str">
        <f>"1551688888262517"</f>
        <v>1551688888262517</v>
      </c>
      <c r="C1931" t="s">
        <v>40</v>
      </c>
      <c r="D1931">
        <v>4.4469909999999997</v>
      </c>
      <c r="E1931">
        <v>0.53662529999999997</v>
      </c>
      <c r="F1931" t="s">
        <v>45</v>
      </c>
      <c r="G1931">
        <v>-196.46719999999999</v>
      </c>
      <c r="H1931" s="1">
        <v>1.256862E-6</v>
      </c>
      <c r="I1931">
        <v>294.23750000000001</v>
      </c>
      <c r="J1931">
        <v>-192.72980000000001</v>
      </c>
      <c r="K1931">
        <v>1.1095999999999999</v>
      </c>
      <c r="L1931">
        <v>303.48849999999999</v>
      </c>
      <c r="M1931">
        <v>-0.1072705</v>
      </c>
      <c r="N1931">
        <v>-1.3621100000000001E-2</v>
      </c>
      <c r="O1931">
        <v>-0.99413649999999998</v>
      </c>
      <c r="P1931">
        <v>-0.30070439999999998</v>
      </c>
      <c r="Q1931">
        <v>0.34678500000000001</v>
      </c>
      <c r="R1931">
        <v>-0.88843510000000003</v>
      </c>
      <c r="S1931">
        <v>-1.233231</v>
      </c>
      <c r="T1931">
        <v>-0.36360350000000002</v>
      </c>
      <c r="U1931">
        <v>-3.1026609999999999</v>
      </c>
      <c r="V1931">
        <v>0.2048749</v>
      </c>
      <c r="W1931">
        <v>0.35853099999999999</v>
      </c>
      <c r="X1931">
        <v>0.91075890000000004</v>
      </c>
      <c r="Y1931">
        <v>0.26562350000000001</v>
      </c>
      <c r="Z1931">
        <v>9.5942620000000006E-2</v>
      </c>
      <c r="AA1931">
        <v>0.959291</v>
      </c>
      <c r="AB1931">
        <v>21</v>
      </c>
      <c r="AC1931">
        <v>-3.7373999999999801</v>
      </c>
      <c r="AD1931">
        <v>-1.1095987431380001</v>
      </c>
      <c r="AE1931">
        <v>-9.2509999999999692</v>
      </c>
      <c r="AF1931">
        <v>2.6901083174003801</v>
      </c>
      <c r="AG1931">
        <v>-1.1095987431380001</v>
      </c>
      <c r="AH1931">
        <v>9.4812973090472497</v>
      </c>
      <c r="AI1931">
        <v>96.423668864043705</v>
      </c>
      <c r="AJ1931">
        <v>74.159882628965505</v>
      </c>
      <c r="AK1931">
        <v>9.9178067531418801</v>
      </c>
      <c r="AL1931">
        <v>68.989992659616902</v>
      </c>
      <c r="AM1931">
        <v>77.322362120276097</v>
      </c>
      <c r="AN1931">
        <v>0.99999998827010905</v>
      </c>
    </row>
    <row r="1932" spans="1:40" x14ac:dyDescent="0.25">
      <c r="A1932" t="str">
        <f>"20190304164128294"</f>
        <v>20190304164128294</v>
      </c>
      <c r="B1932" t="str">
        <f>"1551688888283014"</f>
        <v>1551688888283014</v>
      </c>
      <c r="C1932" t="s">
        <v>40</v>
      </c>
      <c r="D1932">
        <v>4.4825589999999904</v>
      </c>
      <c r="E1932">
        <v>0.53624490000000002</v>
      </c>
      <c r="F1932" t="s">
        <v>45</v>
      </c>
      <c r="G1932">
        <v>-196.48589999999999</v>
      </c>
      <c r="H1932" s="1">
        <v>1.284087E-6</v>
      </c>
      <c r="I1932">
        <v>294.07350000000002</v>
      </c>
      <c r="J1932">
        <v>-192.7551</v>
      </c>
      <c r="K1932">
        <v>1.1096029999999999</v>
      </c>
      <c r="L1932">
        <v>303.28059999999999</v>
      </c>
      <c r="M1932">
        <v>-0.1096762</v>
      </c>
      <c r="N1932">
        <v>-1.3618770000000001E-2</v>
      </c>
      <c r="O1932">
        <v>-0.99387429999999999</v>
      </c>
      <c r="P1932">
        <v>-0.30324959999999901</v>
      </c>
      <c r="Q1932">
        <v>0.34650399999999998</v>
      </c>
      <c r="R1932">
        <v>-0.88767960000000001</v>
      </c>
      <c r="S1932">
        <v>-1.237045</v>
      </c>
      <c r="T1932">
        <v>-0.36543439999999999</v>
      </c>
      <c r="U1932">
        <v>-3.100708</v>
      </c>
      <c r="V1932">
        <v>0.20526630000000001</v>
      </c>
      <c r="W1932">
        <v>0.35824879999999998</v>
      </c>
      <c r="X1932">
        <v>0.91078190000000003</v>
      </c>
      <c r="Y1932">
        <v>0.26449660000000003</v>
      </c>
      <c r="Z1932">
        <v>9.6509360000000002E-2</v>
      </c>
      <c r="AA1932">
        <v>0.95954550000000005</v>
      </c>
      <c r="AB1932">
        <v>21</v>
      </c>
      <c r="AC1932">
        <v>-3.7307999999999799</v>
      </c>
      <c r="AD1932">
        <v>-1.1096017159130001</v>
      </c>
      <c r="AE1932">
        <v>-9.2070999999999596</v>
      </c>
      <c r="AF1932">
        <v>2.6651466942285502</v>
      </c>
      <c r="AG1932">
        <v>-1.1096017159130001</v>
      </c>
      <c r="AH1932">
        <v>9.4429574878552298</v>
      </c>
      <c r="AI1932">
        <v>96.452047185841906</v>
      </c>
      <c r="AJ1932">
        <v>74.238999867188397</v>
      </c>
      <c r="AK1932">
        <v>9.8743946137044603</v>
      </c>
      <c r="AL1932">
        <v>69.007313662123593</v>
      </c>
      <c r="AM1932">
        <v>77.299237633454993</v>
      </c>
      <c r="AN1932">
        <v>1.00000006299236</v>
      </c>
    </row>
    <row r="1933" spans="1:40" x14ac:dyDescent="0.25">
      <c r="A1933" t="str">
        <f>"20190304164128319"</f>
        <v>20190304164128319</v>
      </c>
      <c r="B1933" t="str">
        <f>"1551688888313270"</f>
        <v>1551688888313270</v>
      </c>
      <c r="C1933" t="s">
        <v>40</v>
      </c>
      <c r="D1933">
        <v>4.4716050000000003</v>
      </c>
      <c r="E1933">
        <v>0.53576889999999999</v>
      </c>
      <c r="F1933" t="s">
        <v>45</v>
      </c>
      <c r="G1933">
        <v>-196.51900000000001</v>
      </c>
      <c r="H1933" s="1">
        <v>1.314368E-6</v>
      </c>
      <c r="I1933">
        <v>293.88499999999999</v>
      </c>
      <c r="J1933">
        <v>-192.7833</v>
      </c>
      <c r="K1933">
        <v>1.1096060000000001</v>
      </c>
      <c r="L1933">
        <v>303.05329999999998</v>
      </c>
      <c r="M1933">
        <v>-0.112307</v>
      </c>
      <c r="N1933">
        <v>-1.361627E-2</v>
      </c>
      <c r="O1933">
        <v>-0.99358029999999997</v>
      </c>
      <c r="P1933">
        <v>-0.30571870000000001</v>
      </c>
      <c r="Q1933">
        <v>0.34720069999999997</v>
      </c>
      <c r="R1933">
        <v>-0.88655949999999994</v>
      </c>
      <c r="S1933">
        <v>-1.241241</v>
      </c>
      <c r="T1933">
        <v>-0.3659192</v>
      </c>
      <c r="U1933">
        <v>-3.0984500000000001</v>
      </c>
      <c r="V1933">
        <v>0.20541909999999999</v>
      </c>
      <c r="W1933">
        <v>0.35894140000000002</v>
      </c>
      <c r="X1933">
        <v>0.91047469999999997</v>
      </c>
      <c r="Y1933">
        <v>0.26329989999999998</v>
      </c>
      <c r="Z1933">
        <v>9.66804E-2</v>
      </c>
      <c r="AA1933">
        <v>0.95985730000000002</v>
      </c>
      <c r="AB1933">
        <v>21</v>
      </c>
      <c r="AC1933">
        <v>-3.7357</v>
      </c>
      <c r="AD1933">
        <v>-1.1096046856320001</v>
      </c>
      <c r="AE1933">
        <v>-9.1682999999999808</v>
      </c>
      <c r="AF1933">
        <v>2.6490256722774901</v>
      </c>
      <c r="AG1933">
        <v>-1.1096046856320001</v>
      </c>
      <c r="AH1933">
        <v>9.4116433882248103</v>
      </c>
      <c r="AI1933">
        <v>96.474646468081204</v>
      </c>
      <c r="AJ1933">
        <v>74.280074321449405</v>
      </c>
      <c r="AK1933">
        <v>9.8401011599412698</v>
      </c>
      <c r="AL1933">
        <v>68.964803259015497</v>
      </c>
      <c r="AM1933">
        <v>77.285941180984295</v>
      </c>
      <c r="AN1933">
        <v>1.0000000573094201</v>
      </c>
    </row>
    <row r="1934" spans="1:40" x14ac:dyDescent="0.25">
      <c r="A1934" t="str">
        <f>"20190304164128340"</f>
        <v>20190304164128340</v>
      </c>
      <c r="B1934" t="str">
        <f>"1551688888332790"</f>
        <v>1551688888332790</v>
      </c>
      <c r="C1934" t="s">
        <v>40</v>
      </c>
      <c r="D1934">
        <v>4.5379509999999996</v>
      </c>
      <c r="E1934">
        <v>0.53572310000000001</v>
      </c>
      <c r="F1934" t="s">
        <v>45</v>
      </c>
      <c r="G1934">
        <v>-196.5838</v>
      </c>
      <c r="H1934" s="1">
        <v>1.360641E-6</v>
      </c>
      <c r="I1934">
        <v>293.58960000000002</v>
      </c>
      <c r="J1934">
        <v>-192.80850000000001</v>
      </c>
      <c r="K1934">
        <v>1.1096170000000001</v>
      </c>
      <c r="L1934">
        <v>302.85469999999998</v>
      </c>
      <c r="M1934">
        <v>-0.1146069</v>
      </c>
      <c r="N1934">
        <v>-1.361387E-2</v>
      </c>
      <c r="O1934">
        <v>-0.99331800000000003</v>
      </c>
      <c r="P1934">
        <v>-0.30793589999999998</v>
      </c>
      <c r="Q1934">
        <v>0.34854879999999999</v>
      </c>
      <c r="R1934">
        <v>-0.88526260000000001</v>
      </c>
      <c r="S1934">
        <v>-1.2437590000000001</v>
      </c>
      <c r="T1934">
        <v>-0.36313810000000002</v>
      </c>
      <c r="U1934">
        <v>-3.0971679999999999</v>
      </c>
      <c r="V1934">
        <v>0.20565169999999999</v>
      </c>
      <c r="W1934">
        <v>0.36028019999999999</v>
      </c>
      <c r="X1934">
        <v>0.90989319999999896</v>
      </c>
      <c r="Y1934">
        <v>0.26190819999999998</v>
      </c>
      <c r="Z1934">
        <v>9.5866519999999997E-2</v>
      </c>
      <c r="AA1934">
        <v>0.96031960000000005</v>
      </c>
      <c r="AB1934">
        <v>21</v>
      </c>
      <c r="AC1934">
        <v>-3.7752999999999801</v>
      </c>
      <c r="AD1934">
        <v>-1.109615639359</v>
      </c>
      <c r="AE1934">
        <v>-9.2650999999999595</v>
      </c>
      <c r="AF1934">
        <v>2.6558086900741902</v>
      </c>
      <c r="AG1934">
        <v>-1.109615639359</v>
      </c>
      <c r="AH1934">
        <v>9.5196563266757508</v>
      </c>
      <c r="AI1934">
        <v>96.405952960458904</v>
      </c>
      <c r="AJ1934">
        <v>74.411877266529302</v>
      </c>
      <c r="AK1934">
        <v>9.9452714011937005</v>
      </c>
      <c r="AL1934">
        <v>68.882595822819397</v>
      </c>
      <c r="AM1934">
        <v>77.2641444770059</v>
      </c>
      <c r="AN1934">
        <v>1.0000000398155799</v>
      </c>
    </row>
    <row r="1935" spans="1:40" x14ac:dyDescent="0.25">
      <c r="A1935" t="str">
        <f>"20190304164128364"</f>
        <v>20190304164128364</v>
      </c>
      <c r="B1935" t="str">
        <f>"1551688888353286"</f>
        <v>1551688888353286</v>
      </c>
      <c r="C1935" t="s">
        <v>40</v>
      </c>
      <c r="D1935">
        <v>4.6191509999999996</v>
      </c>
      <c r="E1935">
        <v>0.53603710000000004</v>
      </c>
      <c r="F1935" t="s">
        <v>45</v>
      </c>
      <c r="G1935">
        <v>-196.67789999999999</v>
      </c>
      <c r="H1935" s="1">
        <v>1.4063889999999999E-6</v>
      </c>
      <c r="I1935">
        <v>293.2824</v>
      </c>
      <c r="J1935">
        <v>-192.83629999999999</v>
      </c>
      <c r="K1935">
        <v>1.109631</v>
      </c>
      <c r="L1935">
        <v>302.64030000000002</v>
      </c>
      <c r="M1935">
        <v>-0.1170918</v>
      </c>
      <c r="N1935">
        <v>-1.3611409999999999E-2</v>
      </c>
      <c r="O1935">
        <v>-0.99302789999999996</v>
      </c>
      <c r="P1935">
        <v>-0.310085099999999</v>
      </c>
      <c r="Q1935">
        <v>0.34967720000000002</v>
      </c>
      <c r="R1935">
        <v>-0.88406659999999904</v>
      </c>
      <c r="S1935">
        <v>-1.2510380000000001</v>
      </c>
      <c r="T1935">
        <v>-0.35875889999999999</v>
      </c>
      <c r="U1935">
        <v>-3.0948790000000002</v>
      </c>
      <c r="V1935">
        <v>0.20563790000000001</v>
      </c>
      <c r="W1935">
        <v>0.36140220000000001</v>
      </c>
      <c r="X1935">
        <v>0.90945120000000002</v>
      </c>
      <c r="Y1935">
        <v>0.26173239999999998</v>
      </c>
      <c r="Z1935">
        <v>9.4558920000000005E-2</v>
      </c>
      <c r="AA1935">
        <v>0.96049709999999999</v>
      </c>
      <c r="AB1935">
        <v>21</v>
      </c>
      <c r="AC1935">
        <v>-3.8416000000000001</v>
      </c>
      <c r="AD1935">
        <v>-1.1096295936110001</v>
      </c>
      <c r="AE1935">
        <v>-9.3579000000000292</v>
      </c>
      <c r="AF1935">
        <v>2.6870025861801299</v>
      </c>
      <c r="AG1935">
        <v>-1.1096295936110001</v>
      </c>
      <c r="AH1935">
        <v>9.6275328330490506</v>
      </c>
      <c r="AI1935">
        <v>96.334654489672999</v>
      </c>
      <c r="AJ1935">
        <v>74.405812968396603</v>
      </c>
      <c r="AK1935">
        <v>10.056870745147</v>
      </c>
      <c r="AL1935">
        <v>68.813664870541999</v>
      </c>
      <c r="AM1935">
        <v>77.258983895725606</v>
      </c>
      <c r="AN1935">
        <v>0.99999999063134504</v>
      </c>
    </row>
    <row r="1936" spans="1:40" x14ac:dyDescent="0.25">
      <c r="A1936" t="str">
        <f>"20190304164128384"</f>
        <v>20190304164128384</v>
      </c>
      <c r="B1936" t="str">
        <f>"1551688888372806"</f>
        <v>1551688888372806</v>
      </c>
      <c r="C1936" t="s">
        <v>40</v>
      </c>
      <c r="D1936">
        <v>4.5494700000000003</v>
      </c>
      <c r="E1936">
        <v>0.57078189999999995</v>
      </c>
      <c r="F1936" t="s">
        <v>45</v>
      </c>
      <c r="G1936">
        <v>-196.78229999999999</v>
      </c>
      <c r="H1936" s="1">
        <v>1.4522219999999901E-6</v>
      </c>
      <c r="I1936">
        <v>292.96960000000001</v>
      </c>
      <c r="J1936">
        <v>-192.8612</v>
      </c>
      <c r="K1936">
        <v>1.1096429999999999</v>
      </c>
      <c r="L1936">
        <v>302.45100000000002</v>
      </c>
      <c r="M1936">
        <v>-0.1192918</v>
      </c>
      <c r="N1936">
        <v>-1.360944E-2</v>
      </c>
      <c r="O1936">
        <v>-0.99276609999999998</v>
      </c>
      <c r="P1936">
        <v>-0.31288929999999998</v>
      </c>
      <c r="Q1936">
        <v>0.35088619999999998</v>
      </c>
      <c r="R1936">
        <v>-0.8825982</v>
      </c>
      <c r="S1936">
        <v>-1.2613529999999999</v>
      </c>
      <c r="T1936">
        <v>-0.35469679999999998</v>
      </c>
      <c r="U1936">
        <v>-3.0912480000000002</v>
      </c>
      <c r="V1936">
        <v>0.20657420000000001</v>
      </c>
      <c r="W1936">
        <v>0.36259750000000002</v>
      </c>
      <c r="X1936">
        <v>0.90876299999999999</v>
      </c>
      <c r="Y1936">
        <v>0.26278179999999901</v>
      </c>
      <c r="Z1936">
        <v>9.3354759999999995E-2</v>
      </c>
      <c r="AA1936">
        <v>0.96032839999999997</v>
      </c>
      <c r="AB1936">
        <v>21</v>
      </c>
      <c r="AC1936">
        <v>-3.9210999999999898</v>
      </c>
      <c r="AD1936">
        <v>-1.1096415477779999</v>
      </c>
      <c r="AE1936">
        <v>-9.4813999999999492</v>
      </c>
      <c r="AF1936">
        <v>2.7300060108705799</v>
      </c>
      <c r="AG1936">
        <v>-1.1096415477779999</v>
      </c>
      <c r="AH1936">
        <v>9.7672396851342693</v>
      </c>
      <c r="AI1936">
        <v>96.244174470162704</v>
      </c>
      <c r="AJ1936">
        <v>74.383982001306293</v>
      </c>
      <c r="AK1936">
        <v>10.202117831646801</v>
      </c>
      <c r="AL1936">
        <v>68.740197078409295</v>
      </c>
      <c r="AM1936">
        <v>77.193506486117897</v>
      </c>
      <c r="AN1936">
        <v>1.0000000186404401</v>
      </c>
    </row>
    <row r="1937" spans="1:40" x14ac:dyDescent="0.25">
      <c r="A1937" t="str">
        <f>"20190304164128405"</f>
        <v>20190304164128405</v>
      </c>
      <c r="B1937" t="str">
        <f>"1551688888393302"</f>
        <v>1551688888393302</v>
      </c>
      <c r="C1937" t="s">
        <v>40</v>
      </c>
      <c r="D1937">
        <v>4.7479630000000004</v>
      </c>
      <c r="E1937">
        <v>0.57179360000000001</v>
      </c>
      <c r="F1937" t="s">
        <v>45</v>
      </c>
      <c r="G1937">
        <v>-196.7021</v>
      </c>
      <c r="H1937" s="1">
        <v>1.075541E-6</v>
      </c>
      <c r="I1937">
        <v>294.88159999999999</v>
      </c>
      <c r="J1937">
        <v>-192.8878</v>
      </c>
      <c r="K1937">
        <v>1.1096410000000001</v>
      </c>
      <c r="L1937">
        <v>302.25259999999997</v>
      </c>
      <c r="M1937">
        <v>-0.1216052</v>
      </c>
      <c r="N1937">
        <v>-1.3607319999999999E-2</v>
      </c>
      <c r="O1937">
        <v>-0.99248550000000002</v>
      </c>
      <c r="P1937">
        <v>-0.31617299999999998</v>
      </c>
      <c r="Q1937">
        <v>0.35134710000000002</v>
      </c>
      <c r="R1937">
        <v>-0.88124380000000002</v>
      </c>
      <c r="S1937">
        <v>-1.53775</v>
      </c>
      <c r="T1937">
        <v>-0.44425510000000001</v>
      </c>
      <c r="U1937">
        <v>-3.0304869999999999</v>
      </c>
      <c r="V1937">
        <v>0.20787130000000001</v>
      </c>
      <c r="W1937">
        <v>0.3630449</v>
      </c>
      <c r="X1937">
        <v>0.90828850000000005</v>
      </c>
      <c r="Y1937">
        <v>0.33720420000000001</v>
      </c>
      <c r="Z1937">
        <v>0.11830590000000001</v>
      </c>
      <c r="AA1937">
        <v>0.93396840000000003</v>
      </c>
      <c r="AB1937">
        <v>21</v>
      </c>
      <c r="AC1937">
        <v>-3.8142999999999998</v>
      </c>
      <c r="AD1937">
        <v>-1.1096399244589901</v>
      </c>
      <c r="AE1937">
        <v>-7.37099999999998</v>
      </c>
      <c r="AF1937">
        <v>2.83880619695675</v>
      </c>
      <c r="AG1937">
        <v>-1.1096399244589901</v>
      </c>
      <c r="AH1937">
        <v>7.64353293501319</v>
      </c>
      <c r="AI1937">
        <v>97.749816862582193</v>
      </c>
      <c r="AJ1937">
        <v>69.625016106527497</v>
      </c>
      <c r="AK1937">
        <v>8.2288344930776702</v>
      </c>
      <c r="AL1937">
        <v>68.712688909374805</v>
      </c>
      <c r="AM1937">
        <v>77.109262814506593</v>
      </c>
      <c r="AN1937">
        <v>1.0000000380059699</v>
      </c>
    </row>
    <row r="1938" spans="1:40" x14ac:dyDescent="0.25">
      <c r="A1938" t="str">
        <f>"20190304164128428"</f>
        <v>20190304164128428</v>
      </c>
      <c r="B1938" t="str">
        <f>"1551688888422582"</f>
        <v>1551688888422582</v>
      </c>
      <c r="C1938" t="s">
        <v>40</v>
      </c>
      <c r="D1938">
        <v>4.6178150000000002</v>
      </c>
      <c r="E1938">
        <v>0.57173189999999996</v>
      </c>
      <c r="F1938" t="s">
        <v>45</v>
      </c>
      <c r="G1938">
        <v>-196.73750000000001</v>
      </c>
      <c r="H1938" s="1">
        <v>1.109626E-6</v>
      </c>
      <c r="I1938">
        <v>294.77629999999999</v>
      </c>
      <c r="J1938">
        <v>-192.91640000000001</v>
      </c>
      <c r="K1938">
        <v>1.109637</v>
      </c>
      <c r="L1938">
        <v>302.04320000000001</v>
      </c>
      <c r="M1938">
        <v>-0.1240604</v>
      </c>
      <c r="N1938">
        <v>-1.360521E-2</v>
      </c>
      <c r="O1938">
        <v>-0.9921816</v>
      </c>
      <c r="P1938">
        <v>-0.31964759999999998</v>
      </c>
      <c r="Q1938">
        <v>0.35139920000000002</v>
      </c>
      <c r="R1938">
        <v>-0.87996859999999999</v>
      </c>
      <c r="S1938">
        <v>-1.557358</v>
      </c>
      <c r="T1938">
        <v>-0.44890069999999999</v>
      </c>
      <c r="U1938">
        <v>-3.0245060000000001</v>
      </c>
      <c r="V1938">
        <v>0.20922170000000001</v>
      </c>
      <c r="W1938">
        <v>0.36308400000000002</v>
      </c>
      <c r="X1938">
        <v>0.90796270000000001</v>
      </c>
      <c r="Y1938">
        <v>0.34034409999999998</v>
      </c>
      <c r="Z1938">
        <v>0.1195806</v>
      </c>
      <c r="AA1938">
        <v>0.9326662</v>
      </c>
      <c r="AB1938">
        <v>21</v>
      </c>
      <c r="AC1938">
        <v>-3.8210999999999999</v>
      </c>
      <c r="AD1938">
        <v>-1.109635890374</v>
      </c>
      <c r="AE1938">
        <v>-7.2669000000000201</v>
      </c>
      <c r="AF1938">
        <v>2.8381162106484599</v>
      </c>
      <c r="AG1938">
        <v>-1.109635890374</v>
      </c>
      <c r="AH1938">
        <v>7.5469874549208296</v>
      </c>
      <c r="AI1938">
        <v>97.835867698821303</v>
      </c>
      <c r="AJ1938">
        <v>69.390753398134194</v>
      </c>
      <c r="AK1938">
        <v>8.1389934929992496</v>
      </c>
      <c r="AL1938">
        <v>68.7102834597503</v>
      </c>
      <c r="AM1938">
        <v>77.023847012894507</v>
      </c>
      <c r="AN1938">
        <v>0.99999998769908904</v>
      </c>
    </row>
    <row r="1939" spans="1:40" x14ac:dyDescent="0.25">
      <c r="A1939" t="str">
        <f>"20190304164128450"</f>
        <v>20190304164128450</v>
      </c>
      <c r="B1939" t="str">
        <f>"1551688888443078"</f>
        <v>1551688888443078</v>
      </c>
      <c r="C1939" t="s">
        <v>40</v>
      </c>
      <c r="D1939">
        <v>4.6099860000000001</v>
      </c>
      <c r="E1939">
        <v>0.57179029999999997</v>
      </c>
      <c r="F1939" t="s">
        <v>45</v>
      </c>
      <c r="G1939">
        <v>-196.7107</v>
      </c>
      <c r="H1939" s="1">
        <v>1.1264820000000001E-6</v>
      </c>
      <c r="I1939">
        <v>294.73540000000003</v>
      </c>
      <c r="J1939">
        <v>-192.94489999999999</v>
      </c>
      <c r="K1939">
        <v>1.1096299999999999</v>
      </c>
      <c r="L1939">
        <v>301.83859999999999</v>
      </c>
      <c r="M1939">
        <v>-0.12648219999999999</v>
      </c>
      <c r="N1939">
        <v>-1.3603240000000001E-2</v>
      </c>
      <c r="O1939">
        <v>-0.99187559999999997</v>
      </c>
      <c r="P1939">
        <v>-0.32321729999999999</v>
      </c>
      <c r="Q1939">
        <v>0.35102709999999998</v>
      </c>
      <c r="R1939">
        <v>-0.87881219999999904</v>
      </c>
      <c r="S1939">
        <v>-1.5692900000000001</v>
      </c>
      <c r="T1939">
        <v>-0.45893840000000002</v>
      </c>
      <c r="U1939">
        <v>-3.022491</v>
      </c>
      <c r="V1939">
        <v>0.21068700000000001</v>
      </c>
      <c r="W1939">
        <v>0.36269790000000002</v>
      </c>
      <c r="X1939">
        <v>0.90777819999999998</v>
      </c>
      <c r="Y1939">
        <v>0.34104440000000003</v>
      </c>
      <c r="Z1939">
        <v>0.12239170000000001</v>
      </c>
      <c r="AA1939">
        <v>0.93204560000000003</v>
      </c>
      <c r="AB1939">
        <v>21</v>
      </c>
      <c r="AC1939">
        <v>-3.7658000000000098</v>
      </c>
      <c r="AD1939">
        <v>-1.109628873518</v>
      </c>
      <c r="AE1939">
        <v>-7.1031999999999504</v>
      </c>
      <c r="AF1939">
        <v>2.7840062361889601</v>
      </c>
      <c r="AG1939">
        <v>-1.109628873518</v>
      </c>
      <c r="AH1939">
        <v>7.3818747971956604</v>
      </c>
      <c r="AI1939">
        <v>98.006016464657193</v>
      </c>
      <c r="AJ1939">
        <v>69.336493580182307</v>
      </c>
      <c r="AK1939">
        <v>7.9670598392102097</v>
      </c>
      <c r="AL1939">
        <v>68.734024403674496</v>
      </c>
      <c r="AM1939">
        <v>76.933510396833498</v>
      </c>
      <c r="AN1939">
        <v>1.0000000195143199</v>
      </c>
    </row>
    <row r="1940" spans="1:40" x14ac:dyDescent="0.25">
      <c r="A1940" t="str">
        <f>"20190304164128474"</f>
        <v>20190304164128474</v>
      </c>
      <c r="B1940" t="str">
        <f>"1551688888462597"</f>
        <v>1551688888462597</v>
      </c>
      <c r="C1940" t="s">
        <v>40</v>
      </c>
      <c r="D1940">
        <v>4.6001269999999996</v>
      </c>
      <c r="E1940">
        <v>0.5717103</v>
      </c>
      <c r="F1940" t="s">
        <v>45</v>
      </c>
      <c r="G1940">
        <v>-196.73</v>
      </c>
      <c r="H1940" s="1">
        <v>1.1673410000000001E-6</v>
      </c>
      <c r="I1940">
        <v>294.61360000000002</v>
      </c>
      <c r="J1940">
        <v>-192.976</v>
      </c>
      <c r="K1940">
        <v>1.109605</v>
      </c>
      <c r="L1940">
        <v>301.61959999999999</v>
      </c>
      <c r="M1940">
        <v>-0.12910849999999999</v>
      </c>
      <c r="N1940">
        <v>-1.3601500000000001E-2</v>
      </c>
      <c r="O1940">
        <v>-0.99153729999999995</v>
      </c>
      <c r="P1940">
        <v>-0.3263645</v>
      </c>
      <c r="Q1940">
        <v>0.35046880000000002</v>
      </c>
      <c r="R1940">
        <v>-0.87787169999999903</v>
      </c>
      <c r="S1940">
        <v>-1.5807800000000001</v>
      </c>
      <c r="T1940">
        <v>-0.46342559999999999</v>
      </c>
      <c r="U1940">
        <v>-3.0174560000000001</v>
      </c>
      <c r="V1940">
        <v>0.21152499999999999</v>
      </c>
      <c r="W1940">
        <v>0.36212640000000001</v>
      </c>
      <c r="X1940">
        <v>0.90781149999999999</v>
      </c>
      <c r="Y1940">
        <v>0.34190399999999999</v>
      </c>
      <c r="Z1940">
        <v>0.1237004</v>
      </c>
      <c r="AA1940">
        <v>0.93155779999999999</v>
      </c>
      <c r="AB1940">
        <v>21</v>
      </c>
      <c r="AC1940">
        <v>-3.7539999999999898</v>
      </c>
      <c r="AD1940">
        <v>-1.1096038326590001</v>
      </c>
      <c r="AE1940">
        <v>-7.00599999999997</v>
      </c>
      <c r="AF1940">
        <v>2.76408908927346</v>
      </c>
      <c r="AG1940">
        <v>-1.1096038326590001</v>
      </c>
      <c r="AH1940">
        <v>7.2899986556395797</v>
      </c>
      <c r="AI1940">
        <v>98.100057636786204</v>
      </c>
      <c r="AJ1940">
        <v>69.235185637631005</v>
      </c>
      <c r="AK1940">
        <v>7.8749914005108002</v>
      </c>
      <c r="AL1940">
        <v>68.769157749395006</v>
      </c>
      <c r="AM1940">
        <v>76.883796937415596</v>
      </c>
      <c r="AN1940">
        <v>1.0000000373671001</v>
      </c>
    </row>
    <row r="1941" spans="1:40" x14ac:dyDescent="0.25">
      <c r="A1941" t="str">
        <f>"20190304164128494"</f>
        <v>20190304164128494</v>
      </c>
      <c r="B1941" t="str">
        <f>"1551688888483094"</f>
        <v>1551688888483094</v>
      </c>
      <c r="C1941" t="s">
        <v>40</v>
      </c>
      <c r="D1941">
        <v>4.6112780000000004</v>
      </c>
      <c r="E1941">
        <v>0.57188619999999901</v>
      </c>
      <c r="F1941" t="s">
        <v>45</v>
      </c>
      <c r="G1941">
        <v>-196.74430000000001</v>
      </c>
      <c r="H1941" s="1">
        <v>1.1885429999999901E-6</v>
      </c>
      <c r="I1941">
        <v>294.48599999999999</v>
      </c>
      <c r="J1941">
        <v>-193.00299999999999</v>
      </c>
      <c r="K1941">
        <v>1.10958</v>
      </c>
      <c r="L1941">
        <v>301.4332</v>
      </c>
      <c r="M1941">
        <v>-0.13138569999999999</v>
      </c>
      <c r="N1941">
        <v>-1.360042E-2</v>
      </c>
      <c r="O1941">
        <v>-0.99123799999999995</v>
      </c>
      <c r="P1941">
        <v>-0.3275112</v>
      </c>
      <c r="Q1941">
        <v>0.34991830000000002</v>
      </c>
      <c r="R1941">
        <v>-0.87766359999999999</v>
      </c>
      <c r="S1941">
        <v>-1.591461</v>
      </c>
      <c r="T1941">
        <v>-0.46862690000000001</v>
      </c>
      <c r="U1941">
        <v>-3.0127869999999999</v>
      </c>
      <c r="V1941">
        <v>0.2106104</v>
      </c>
      <c r="W1941">
        <v>0.36157210000000001</v>
      </c>
      <c r="X1941">
        <v>0.90824499999999997</v>
      </c>
      <c r="Y1941">
        <v>0.34283449999999999</v>
      </c>
      <c r="Z1941">
        <v>0.12521189999999999</v>
      </c>
      <c r="AA1941">
        <v>0.93101369999999894</v>
      </c>
      <c r="AB1941">
        <v>21</v>
      </c>
      <c r="AC1941">
        <v>-3.7413000000000198</v>
      </c>
      <c r="AD1941">
        <v>-1.109578811457</v>
      </c>
      <c r="AE1941">
        <v>-6.9471999999999996</v>
      </c>
      <c r="AF1941">
        <v>2.7417975821220901</v>
      </c>
      <c r="AG1941">
        <v>-1.109578811457</v>
      </c>
      <c r="AH1941">
        <v>7.2354879827685501</v>
      </c>
      <c r="AI1941">
        <v>98.1606799395</v>
      </c>
      <c r="AJ1941">
        <v>69.246424108934093</v>
      </c>
      <c r="AK1941">
        <v>7.8167068173849898</v>
      </c>
      <c r="AL1941">
        <v>68.803225660262299</v>
      </c>
      <c r="AM1941">
        <v>76.944581336563601</v>
      </c>
      <c r="AN1941">
        <v>1.0000000520557799</v>
      </c>
    </row>
    <row r="1942" spans="1:40" x14ac:dyDescent="0.25">
      <c r="A1942" t="str">
        <f>"20190304164128520"</f>
        <v>20190304164128520</v>
      </c>
      <c r="B1942" t="str">
        <f>"1551688888513350"</f>
        <v>1551688888513350</v>
      </c>
      <c r="C1942" t="s">
        <v>40</v>
      </c>
      <c r="D1942">
        <v>4.5982379999999896</v>
      </c>
      <c r="E1942">
        <v>0.57231679999999996</v>
      </c>
      <c r="F1942" t="s">
        <v>45</v>
      </c>
      <c r="G1942">
        <v>-196.7748</v>
      </c>
      <c r="H1942" s="1">
        <v>1.211333E-6</v>
      </c>
      <c r="I1942">
        <v>294.34120000000001</v>
      </c>
      <c r="J1942">
        <v>-193.03720000000001</v>
      </c>
      <c r="K1942">
        <v>1.109537</v>
      </c>
      <c r="L1942">
        <v>301.20100000000002</v>
      </c>
      <c r="M1942">
        <v>-0.13429289999999999</v>
      </c>
      <c r="N1942">
        <v>-1.3599780000000001E-2</v>
      </c>
      <c r="O1942">
        <v>-0.99084850000000002</v>
      </c>
      <c r="P1942">
        <v>-0.3291232</v>
      </c>
      <c r="Q1942">
        <v>0.35023559999999998</v>
      </c>
      <c r="R1942">
        <v>-0.876934199999999</v>
      </c>
      <c r="S1942">
        <v>-1.6001590000000001</v>
      </c>
      <c r="T1942">
        <v>-0.4707325</v>
      </c>
      <c r="U1942">
        <v>-3.0087280000000001</v>
      </c>
      <c r="V1942">
        <v>0.20966489999999999</v>
      </c>
      <c r="W1942">
        <v>0.36187209999999997</v>
      </c>
      <c r="X1942">
        <v>0.90834420000000005</v>
      </c>
      <c r="Y1942">
        <v>0.3426632</v>
      </c>
      <c r="Z1942">
        <v>0.1258321</v>
      </c>
      <c r="AA1942">
        <v>0.93099310000000002</v>
      </c>
      <c r="AB1942">
        <v>21</v>
      </c>
      <c r="AC1942">
        <v>-3.73759999999998</v>
      </c>
      <c r="AD1942">
        <v>-1.1095357886669901</v>
      </c>
      <c r="AE1942">
        <v>-6.8597999999999502</v>
      </c>
      <c r="AF1942">
        <v>2.72741059726697</v>
      </c>
      <c r="AG1942">
        <v>-1.1095357886669901</v>
      </c>
      <c r="AH1942">
        <v>7.1552882100319204</v>
      </c>
      <c r="AI1942">
        <v>98.244538938155301</v>
      </c>
      <c r="AJ1942">
        <v>69.134448795411203</v>
      </c>
      <c r="AK1942">
        <v>7.73744063634991</v>
      </c>
      <c r="AL1942">
        <v>68.784787009760393</v>
      </c>
      <c r="AM1942">
        <v>77.002568049309005</v>
      </c>
      <c r="AN1942">
        <v>0.99999998636202903</v>
      </c>
    </row>
    <row r="1943" spans="1:40" x14ac:dyDescent="0.25">
      <c r="A1943" t="str">
        <f>"20190304164128542"</f>
        <v>20190304164128542</v>
      </c>
      <c r="B1943" t="str">
        <f>"1551688888532869"</f>
        <v>1551688888532869</v>
      </c>
      <c r="C1943" t="s">
        <v>40</v>
      </c>
      <c r="D1943">
        <v>4.5402649999999998</v>
      </c>
      <c r="E1943">
        <v>0.57269999999999999</v>
      </c>
      <c r="F1943" t="s">
        <v>45</v>
      </c>
      <c r="G1943">
        <v>-196.9042</v>
      </c>
      <c r="H1943" s="1">
        <v>1.258988E-6</v>
      </c>
      <c r="I1943">
        <v>294.00540000000001</v>
      </c>
      <c r="J1943">
        <v>-193.06720000000001</v>
      </c>
      <c r="K1943">
        <v>1.1094980000000001</v>
      </c>
      <c r="L1943">
        <v>301.0025</v>
      </c>
      <c r="M1943">
        <v>-0.1368712</v>
      </c>
      <c r="N1943">
        <v>-1.3600009999999999E-2</v>
      </c>
      <c r="O1943">
        <v>-0.99049589999999998</v>
      </c>
      <c r="P1943">
        <v>-0.33119559999999998</v>
      </c>
      <c r="Q1943">
        <v>0.35039169999999997</v>
      </c>
      <c r="R1943">
        <v>-0.87609099999999995</v>
      </c>
      <c r="S1943">
        <v>-1.6125640000000001</v>
      </c>
      <c r="T1943">
        <v>-0.46268710000000002</v>
      </c>
      <c r="U1943">
        <v>-3.0006409999999999</v>
      </c>
      <c r="V1943">
        <v>0.2095023</v>
      </c>
      <c r="W1943">
        <v>0.36200280000000001</v>
      </c>
      <c r="X1943">
        <v>0.90832970000000002</v>
      </c>
      <c r="Y1943">
        <v>0.34438920000000001</v>
      </c>
      <c r="Z1943">
        <v>0.1235921</v>
      </c>
      <c r="AA1943">
        <v>0.93065629999999999</v>
      </c>
      <c r="AB1943">
        <v>21</v>
      </c>
      <c r="AC1943">
        <v>-3.8369999999999802</v>
      </c>
      <c r="AD1943">
        <v>-1.10949674101199</v>
      </c>
      <c r="AE1943">
        <v>-6.9970999999999801</v>
      </c>
      <c r="AF1943">
        <v>2.78917781743163</v>
      </c>
      <c r="AG1943">
        <v>-1.10949674101199</v>
      </c>
      <c r="AH1943">
        <v>7.3150589456714696</v>
      </c>
      <c r="AI1943">
        <v>98.066269157818994</v>
      </c>
      <c r="AJ1943">
        <v>69.128521371902394</v>
      </c>
      <c r="AK1943">
        <v>7.9069958450866302</v>
      </c>
      <c r="AL1943">
        <v>68.7767550671675</v>
      </c>
      <c r="AM1943">
        <v>77.012105680756406</v>
      </c>
      <c r="AN1943">
        <v>1.0000000424076001</v>
      </c>
    </row>
    <row r="1944" spans="1:40" x14ac:dyDescent="0.25">
      <c r="A1944" t="str">
        <f>"20190304164128564"</f>
        <v>20190304164128564</v>
      </c>
      <c r="B1944" t="str">
        <f>"1551688888553366"</f>
        <v>1551688888553366</v>
      </c>
      <c r="C1944" t="s">
        <v>40</v>
      </c>
      <c r="D1944">
        <v>4.5349539999999999</v>
      </c>
      <c r="E1944">
        <v>0.57296879999999994</v>
      </c>
      <c r="F1944" t="s">
        <v>45</v>
      </c>
      <c r="G1944">
        <v>-197.00129999999999</v>
      </c>
      <c r="H1944" s="1">
        <v>1.295166E-6</v>
      </c>
      <c r="I1944">
        <v>293.75110000000001</v>
      </c>
      <c r="J1944">
        <v>-193.0976</v>
      </c>
      <c r="K1944">
        <v>1.1094329999999999</v>
      </c>
      <c r="L1944">
        <v>300.80489999999998</v>
      </c>
      <c r="M1944">
        <v>-0.1395546</v>
      </c>
      <c r="N1944">
        <v>-1.359897E-2</v>
      </c>
      <c r="O1944">
        <v>-0.99012100000000003</v>
      </c>
      <c r="P1944">
        <v>-0.33321309999999998</v>
      </c>
      <c r="Q1944">
        <v>0.3513445</v>
      </c>
      <c r="R1944">
        <v>-0.87494359999999904</v>
      </c>
      <c r="S1944">
        <v>-1.6241000000000001</v>
      </c>
      <c r="T1944">
        <v>-0.45802739999999997</v>
      </c>
      <c r="U1944">
        <v>-2.9935610000000001</v>
      </c>
      <c r="V1944">
        <v>0.20925050000000001</v>
      </c>
      <c r="W1944">
        <v>0.3629156</v>
      </c>
      <c r="X1944">
        <v>0.90802340000000004</v>
      </c>
      <c r="Y1944">
        <v>0.345618599999999</v>
      </c>
      <c r="Z1944">
        <v>0.1223079</v>
      </c>
      <c r="AA1944">
        <v>0.93037009999999998</v>
      </c>
      <c r="AB1944">
        <v>21</v>
      </c>
      <c r="AC1944">
        <v>-3.9036999999999802</v>
      </c>
      <c r="AD1944">
        <v>-1.1094317048340001</v>
      </c>
      <c r="AE1944">
        <v>-7.0537999999999599</v>
      </c>
      <c r="AF1944">
        <v>2.8274665047676999</v>
      </c>
      <c r="AG1944">
        <v>-1.1094317048340001</v>
      </c>
      <c r="AH1944">
        <v>7.3896499188850404</v>
      </c>
      <c r="AI1944">
        <v>97.981941312110095</v>
      </c>
      <c r="AJ1944">
        <v>69.061888321215704</v>
      </c>
      <c r="AK1944">
        <v>7.9895138442180498</v>
      </c>
      <c r="AL1944">
        <v>68.720638654896206</v>
      </c>
      <c r="AM1944">
        <v>77.022959457156603</v>
      </c>
      <c r="AN1944">
        <v>0.99999999971058495</v>
      </c>
    </row>
    <row r="1945" spans="1:40" x14ac:dyDescent="0.25">
      <c r="A1945" t="str">
        <f>"20190304164128585"</f>
        <v>20190304164128585</v>
      </c>
      <c r="B1945" t="str">
        <f>"1551688888572886"</f>
        <v>1551688888572886</v>
      </c>
      <c r="C1945" t="s">
        <v>40</v>
      </c>
      <c r="D1945">
        <v>4.8199620000000003</v>
      </c>
      <c r="E1945">
        <v>0.57319069999999905</v>
      </c>
      <c r="F1945" t="s">
        <v>45</v>
      </c>
      <c r="G1945">
        <v>-197.09180000000001</v>
      </c>
      <c r="H1945" s="1">
        <v>1.3310259999999999E-6</v>
      </c>
      <c r="I1945">
        <v>293.50189999999998</v>
      </c>
      <c r="J1945">
        <v>-193.12809999999999</v>
      </c>
      <c r="K1945">
        <v>1.109364</v>
      </c>
      <c r="L1945">
        <v>300.61180000000002</v>
      </c>
      <c r="M1945">
        <v>-0.14230789999999999</v>
      </c>
      <c r="N1945">
        <v>-1.359204E-2</v>
      </c>
      <c r="O1945">
        <v>-0.98972910000000003</v>
      </c>
      <c r="P1945">
        <v>-0.335279299999999</v>
      </c>
      <c r="Q1945">
        <v>0.35297460000000003</v>
      </c>
      <c r="R1945">
        <v>-0.87349669999999902</v>
      </c>
      <c r="S1945">
        <v>-1.6345369999999999</v>
      </c>
      <c r="T1945">
        <v>-0.45401560000000002</v>
      </c>
      <c r="U1945">
        <v>-2.9886170000000001</v>
      </c>
      <c r="V1945">
        <v>0.20904239999999999</v>
      </c>
      <c r="W1945">
        <v>0.36449019999999999</v>
      </c>
      <c r="X1945">
        <v>0.90744040000000004</v>
      </c>
      <c r="Y1945">
        <v>0.34623169999999998</v>
      </c>
      <c r="Z1945">
        <v>0.1211551</v>
      </c>
      <c r="AA1945">
        <v>0.93029300000000004</v>
      </c>
      <c r="AB1945">
        <v>21</v>
      </c>
      <c r="AC1945">
        <v>-3.96370000000001</v>
      </c>
      <c r="AD1945">
        <v>-1.1093626689739999</v>
      </c>
      <c r="AE1945">
        <v>-7.1099000000000396</v>
      </c>
      <c r="AF1945">
        <v>2.8583743130656498</v>
      </c>
      <c r="AG1945">
        <v>-1.1093626689739999</v>
      </c>
      <c r="AH1945">
        <v>7.4630311802236102</v>
      </c>
      <c r="AI1945">
        <v>97.902980907751299</v>
      </c>
      <c r="AJ1945">
        <v>69.042936725034593</v>
      </c>
      <c r="AK1945">
        <v>8.0683222321556194</v>
      </c>
      <c r="AL1945">
        <v>68.623786882027503</v>
      </c>
      <c r="AM1945">
        <v>77.027381284529397</v>
      </c>
      <c r="AN1945">
        <v>0.99999995522297802</v>
      </c>
    </row>
    <row r="1946" spans="1:40" x14ac:dyDescent="0.25">
      <c r="A1946" t="str">
        <f>"20190304164128607"</f>
        <v>20190304164128607</v>
      </c>
      <c r="B1946" t="str">
        <f>"1551688888603141"</f>
        <v>1551688888603141</v>
      </c>
      <c r="C1946" t="s">
        <v>40</v>
      </c>
      <c r="D1946">
        <v>4.4584070000000002</v>
      </c>
      <c r="E1946">
        <v>0.57340719999999901</v>
      </c>
      <c r="F1946" t="s">
        <v>45</v>
      </c>
      <c r="G1946">
        <v>-197.21770000000001</v>
      </c>
      <c r="H1946" s="1">
        <v>1.3741469999999999E-6</v>
      </c>
      <c r="I1946">
        <v>293.19369999999998</v>
      </c>
      <c r="J1946">
        <v>-193.15989999999999</v>
      </c>
      <c r="K1946">
        <v>1.109278</v>
      </c>
      <c r="L1946">
        <v>300.41489999999999</v>
      </c>
      <c r="M1946">
        <v>-0.14523429999999901</v>
      </c>
      <c r="N1946">
        <v>-1.3579910000000001E-2</v>
      </c>
      <c r="O1946">
        <v>-0.98930419999999997</v>
      </c>
      <c r="P1946">
        <v>-0.33760499999999999</v>
      </c>
      <c r="Q1946">
        <v>0.35434359999999998</v>
      </c>
      <c r="R1946">
        <v>-0.87204590000000004</v>
      </c>
      <c r="S1946">
        <v>-1.6447909999999999</v>
      </c>
      <c r="T1946">
        <v>-0.44617099999999998</v>
      </c>
      <c r="U1946">
        <v>-2.9834589999999999</v>
      </c>
      <c r="V1946">
        <v>0.20893700000000001</v>
      </c>
      <c r="W1946">
        <v>0.36579840000000002</v>
      </c>
      <c r="X1946">
        <v>0.90693809999999997</v>
      </c>
      <c r="Y1946">
        <v>0.34672999999999998</v>
      </c>
      <c r="Z1946">
        <v>0.11889959999999999</v>
      </c>
      <c r="AA1946">
        <v>0.93039839999999996</v>
      </c>
      <c r="AB1946">
        <v>20</v>
      </c>
      <c r="AC1946">
        <v>-4.0578000000000101</v>
      </c>
      <c r="AD1946">
        <v>-1.109276625853</v>
      </c>
      <c r="AE1946">
        <v>-7.2211999999999996</v>
      </c>
      <c r="AF1946">
        <v>2.91365169387631</v>
      </c>
      <c r="AG1946">
        <v>-1.109276625853</v>
      </c>
      <c r="AH1946">
        <v>7.5977477211114604</v>
      </c>
      <c r="AI1946">
        <v>97.762740505726001</v>
      </c>
      <c r="AJ1946">
        <v>69.018737087520407</v>
      </c>
      <c r="AK1946">
        <v>8.2125289198605902</v>
      </c>
      <c r="AL1946">
        <v>68.543272525212899</v>
      </c>
      <c r="AM1946">
        <v>77.026762638558296</v>
      </c>
      <c r="AN1946">
        <v>0.99999992832158202</v>
      </c>
    </row>
    <row r="1947" spans="1:40" x14ac:dyDescent="0.25">
      <c r="A1947" t="str">
        <f>"20190304164128630"</f>
        <v>20190304164128630</v>
      </c>
      <c r="B1947" t="str">
        <f>"1551688888622661"</f>
        <v>1551688888622661</v>
      </c>
      <c r="C1947" t="s">
        <v>40</v>
      </c>
      <c r="D1947">
        <v>4.4323100000000002</v>
      </c>
      <c r="E1947">
        <v>0.57354799999999995</v>
      </c>
      <c r="F1947" t="s">
        <v>45</v>
      </c>
      <c r="G1947">
        <v>-197.3278</v>
      </c>
      <c r="H1947" s="1">
        <v>1.4129930000000001E-6</v>
      </c>
      <c r="I1947">
        <v>292.91759999999999</v>
      </c>
      <c r="J1947">
        <v>-193.19569999999999</v>
      </c>
      <c r="K1947">
        <v>1.109186</v>
      </c>
      <c r="L1947">
        <v>300.19869999999997</v>
      </c>
      <c r="M1947">
        <v>-0.1486036</v>
      </c>
      <c r="N1947">
        <v>-1.35595E-2</v>
      </c>
      <c r="O1947">
        <v>-0.98880400000000002</v>
      </c>
      <c r="P1947">
        <v>-0.34159850000000003</v>
      </c>
      <c r="Q1947">
        <v>0.3546434</v>
      </c>
      <c r="R1947">
        <v>-0.87036729999999995</v>
      </c>
      <c r="S1947">
        <v>-1.6556850000000001</v>
      </c>
      <c r="T1947">
        <v>-0.44064969999999998</v>
      </c>
      <c r="U1947">
        <v>-2.9782410000000001</v>
      </c>
      <c r="V1947">
        <v>0.21011079999999999</v>
      </c>
      <c r="W1947">
        <v>0.3660235</v>
      </c>
      <c r="X1947">
        <v>0.90657619999999906</v>
      </c>
      <c r="Y1947">
        <v>0.34692729999999999</v>
      </c>
      <c r="Z1947">
        <v>0.11731519999999999</v>
      </c>
      <c r="AA1947">
        <v>0.93052599999999996</v>
      </c>
      <c r="AB1947">
        <v>20</v>
      </c>
      <c r="AC1947">
        <v>-4.1321000000000003</v>
      </c>
      <c r="AD1947">
        <v>-1.1091845870070001</v>
      </c>
      <c r="AE1947">
        <v>-7.2810999999999799</v>
      </c>
      <c r="AF1947">
        <v>2.9522925515476302</v>
      </c>
      <c r="AG1947">
        <v>-1.1091845870070001</v>
      </c>
      <c r="AH1947">
        <v>7.6795415762827703</v>
      </c>
      <c r="AI1947">
        <v>97.678018189508407</v>
      </c>
      <c r="AJ1947">
        <v>68.971441022024607</v>
      </c>
      <c r="AK1947">
        <v>8.3019082493022704</v>
      </c>
      <c r="AL1947">
        <v>68.529417552008994</v>
      </c>
      <c r="AM1947">
        <v>76.951336326819899</v>
      </c>
      <c r="AN1947">
        <v>1.0000000786176599</v>
      </c>
    </row>
    <row r="1948" spans="1:40" x14ac:dyDescent="0.25">
      <c r="A1948" t="str">
        <f>"20190304164128651"</f>
        <v>20190304164128651</v>
      </c>
      <c r="B1948" t="str">
        <f>"1551688888643158"</f>
        <v>1551688888643158</v>
      </c>
      <c r="C1948" t="s">
        <v>40</v>
      </c>
      <c r="D1948">
        <v>4.4272609999999997</v>
      </c>
      <c r="E1948">
        <v>0.57362539999999995</v>
      </c>
      <c r="F1948" t="s">
        <v>45</v>
      </c>
      <c r="G1948">
        <v>-197.38579999999999</v>
      </c>
      <c r="H1948" s="1">
        <v>1.439411E-6</v>
      </c>
      <c r="I1948">
        <v>292.73849999999999</v>
      </c>
      <c r="J1948">
        <v>-193.22880000000001</v>
      </c>
      <c r="K1948">
        <v>1.1090960000000001</v>
      </c>
      <c r="L1948">
        <v>300.00349999999997</v>
      </c>
      <c r="M1948">
        <v>-0.1517955</v>
      </c>
      <c r="N1948">
        <v>-1.3532020000000001E-2</v>
      </c>
      <c r="O1948">
        <v>-0.98831930000000001</v>
      </c>
      <c r="P1948">
        <v>-0.34602309999999997</v>
      </c>
      <c r="Q1948">
        <v>0.35415150000000001</v>
      </c>
      <c r="R1948">
        <v>-0.86881799999999998</v>
      </c>
      <c r="S1948">
        <v>-1.6691130000000001</v>
      </c>
      <c r="T1948">
        <v>-0.44184089999999998</v>
      </c>
      <c r="U1948">
        <v>-2.9717709999999999</v>
      </c>
      <c r="V1948">
        <v>0.2118459</v>
      </c>
      <c r="W1948">
        <v>0.36545450000000002</v>
      </c>
      <c r="X1948">
        <v>0.90640189999999998</v>
      </c>
      <c r="Y1948">
        <v>0.34794190000000003</v>
      </c>
      <c r="Z1948">
        <v>0.11769259999999999</v>
      </c>
      <c r="AA1948">
        <v>0.93009940000000002</v>
      </c>
      <c r="AB1948">
        <v>20</v>
      </c>
      <c r="AC1948">
        <v>-4.1569999999999796</v>
      </c>
      <c r="AD1948">
        <v>-1.1090945605889999</v>
      </c>
      <c r="AE1948">
        <v>-7.2649999999999801</v>
      </c>
      <c r="AF1948">
        <v>2.9540584559605501</v>
      </c>
      <c r="AG1948">
        <v>-1.1090945605889999</v>
      </c>
      <c r="AH1948">
        <v>7.6770787916411001</v>
      </c>
      <c r="AI1948">
        <v>97.678937630001997</v>
      </c>
      <c r="AJ1948">
        <v>68.953804531693905</v>
      </c>
      <c r="AK1948">
        <v>8.3002464348129905</v>
      </c>
      <c r="AL1948">
        <v>68.564444831843502</v>
      </c>
      <c r="AM1948">
        <v>76.844870253091202</v>
      </c>
      <c r="AN1948">
        <v>1.00000004062033</v>
      </c>
    </row>
    <row r="1949" spans="1:40" x14ac:dyDescent="0.25">
      <c r="A1949" t="str">
        <f>"20190304164128674"</f>
        <v>20190304164128674</v>
      </c>
      <c r="B1949" t="str">
        <f>"1551688888662677"</f>
        <v>1551688888662677</v>
      </c>
      <c r="C1949" t="s">
        <v>40</v>
      </c>
      <c r="D1949">
        <v>4.3958550000000001</v>
      </c>
      <c r="E1949">
        <v>0.57381700000000002</v>
      </c>
      <c r="F1949" t="s">
        <v>45</v>
      </c>
      <c r="G1949">
        <v>-197.40379999999999</v>
      </c>
      <c r="H1949" s="1">
        <v>1.4550269999999999E-6</v>
      </c>
      <c r="I1949">
        <v>292.64069999999998</v>
      </c>
      <c r="J1949">
        <v>-193.2636</v>
      </c>
      <c r="K1949">
        <v>1.108994</v>
      </c>
      <c r="L1949">
        <v>299.80309999999997</v>
      </c>
      <c r="M1949">
        <v>-0.15523519999999999</v>
      </c>
      <c r="N1949">
        <v>-1.349186E-2</v>
      </c>
      <c r="O1949">
        <v>-0.98778560000000004</v>
      </c>
      <c r="P1949">
        <v>-0.35177459999999899</v>
      </c>
      <c r="Q1949">
        <v>0.35255910000000001</v>
      </c>
      <c r="R1949">
        <v>-0.8671548</v>
      </c>
      <c r="S1949">
        <v>-1.681503</v>
      </c>
      <c r="T1949">
        <v>-0.44668770000000002</v>
      </c>
      <c r="U1949">
        <v>-2.965363</v>
      </c>
      <c r="V1949">
        <v>0.21468409999999999</v>
      </c>
      <c r="W1949">
        <v>0.36376500000000001</v>
      </c>
      <c r="X1949">
        <v>0.90641369999999999</v>
      </c>
      <c r="Y1949">
        <v>0.34839680000000001</v>
      </c>
      <c r="Z1949">
        <v>0.1191559</v>
      </c>
      <c r="AA1949">
        <v>0.92974279999999998</v>
      </c>
      <c r="AB1949">
        <v>20</v>
      </c>
      <c r="AC1949">
        <v>-4.1401999999999903</v>
      </c>
      <c r="AD1949">
        <v>-1.108992544973</v>
      </c>
      <c r="AE1949">
        <v>-7.1623999999999901</v>
      </c>
      <c r="AF1949">
        <v>2.9254740993999602</v>
      </c>
      <c r="AG1949">
        <v>-1.108992544973</v>
      </c>
      <c r="AH1949">
        <v>7.5820742040438001</v>
      </c>
      <c r="AI1949">
        <v>97.770571971055901</v>
      </c>
      <c r="AJ1949">
        <v>68.901347356969097</v>
      </c>
      <c r="AK1949">
        <v>8.2022016804448405</v>
      </c>
      <c r="AL1949">
        <v>68.668401932544796</v>
      </c>
      <c r="AM1949">
        <v>76.675039522348897</v>
      </c>
      <c r="AN1949">
        <v>1.0000000167827401</v>
      </c>
    </row>
    <row r="1950" spans="1:40" x14ac:dyDescent="0.25">
      <c r="A1950" t="str">
        <f>"20190304164128707"</f>
        <v>20190304164128707</v>
      </c>
      <c r="B1950" t="str">
        <f>"1551688888702693"</f>
        <v>1551688888702693</v>
      </c>
      <c r="C1950" t="s">
        <v>40</v>
      </c>
      <c r="D1950">
        <v>4.387931</v>
      </c>
      <c r="E1950">
        <v>0.57413930000000002</v>
      </c>
      <c r="F1950" t="s">
        <v>45</v>
      </c>
      <c r="G1950">
        <v>-197.40299999999999</v>
      </c>
      <c r="H1950" s="1">
        <v>1.462754E-6</v>
      </c>
      <c r="I1950">
        <v>292.59719999999999</v>
      </c>
      <c r="J1950">
        <v>-193.31790000000001</v>
      </c>
      <c r="K1950">
        <v>1.1088309999999999</v>
      </c>
      <c r="L1950">
        <v>299.50099999999998</v>
      </c>
      <c r="M1950">
        <v>-0.1607372</v>
      </c>
      <c r="N1950">
        <v>-1.3405830000000001E-2</v>
      </c>
      <c r="O1950">
        <v>-0.98690619999999996</v>
      </c>
      <c r="P1950">
        <v>-0.35914970000000002</v>
      </c>
      <c r="Q1950">
        <v>0.35050589999999998</v>
      </c>
      <c r="R1950">
        <v>-0.86496070000000003</v>
      </c>
      <c r="S1950">
        <v>-1.6979219999999999</v>
      </c>
      <c r="T1950">
        <v>-0.45489930000000001</v>
      </c>
      <c r="U1950">
        <v>-2.9557799999999999</v>
      </c>
      <c r="V1950">
        <v>0.21735660000000001</v>
      </c>
      <c r="W1950">
        <v>0.3615449</v>
      </c>
      <c r="X1950">
        <v>0.90666500000000005</v>
      </c>
      <c r="Y1950">
        <v>0.34820879999999998</v>
      </c>
      <c r="Z1950">
        <v>0.1216732</v>
      </c>
      <c r="AA1950">
        <v>0.92948710000000001</v>
      </c>
      <c r="AB1950">
        <v>20</v>
      </c>
      <c r="AC1950">
        <v>-4.0850999999999802</v>
      </c>
      <c r="AD1950">
        <v>-1.108829537246</v>
      </c>
      <c r="AE1950">
        <v>-6.9037999999999897</v>
      </c>
      <c r="AF1950">
        <v>2.8673902582497899</v>
      </c>
      <c r="AG1950">
        <v>-1.108829537246</v>
      </c>
      <c r="AH1950">
        <v>7.3306400939038197</v>
      </c>
      <c r="AI1950">
        <v>98.0183082693503</v>
      </c>
      <c r="AJ1950">
        <v>68.6369769120992</v>
      </c>
      <c r="AK1950">
        <v>7.9491958097737898</v>
      </c>
      <c r="AL1950">
        <v>68.804896345063696</v>
      </c>
      <c r="AM1950">
        <v>76.518787401330798</v>
      </c>
      <c r="AN1950">
        <v>1.00000001425228</v>
      </c>
    </row>
    <row r="1951" spans="1:40" x14ac:dyDescent="0.25">
      <c r="A1951" t="str">
        <f>"20190304164128730"</f>
        <v>20190304164128730</v>
      </c>
      <c r="B1951" t="str">
        <f>"1551688888723190"</f>
        <v>1551688888723190</v>
      </c>
      <c r="C1951" t="s">
        <v>40</v>
      </c>
      <c r="D1951">
        <v>4.3797860000000002</v>
      </c>
      <c r="E1951">
        <v>0.57417489999999904</v>
      </c>
      <c r="F1951" t="s">
        <v>45</v>
      </c>
      <c r="G1951">
        <v>-197.45400000000001</v>
      </c>
      <c r="H1951" s="1">
        <v>1.483467E-6</v>
      </c>
      <c r="I1951">
        <v>292.45389999999998</v>
      </c>
      <c r="J1951">
        <v>-193.3561</v>
      </c>
      <c r="K1951">
        <v>1.108727</v>
      </c>
      <c r="L1951">
        <v>299.29500000000002</v>
      </c>
      <c r="M1951">
        <v>-0.16470409999999999</v>
      </c>
      <c r="N1951">
        <v>-1.333204E-2</v>
      </c>
      <c r="O1951">
        <v>-0.98625300000000005</v>
      </c>
      <c r="P1951">
        <v>-0.3650004</v>
      </c>
      <c r="Q1951">
        <v>0.35082459999999999</v>
      </c>
      <c r="R1951">
        <v>-0.86237900000000001</v>
      </c>
      <c r="S1951">
        <v>-1.7252350000000001</v>
      </c>
      <c r="T1951">
        <v>-0.46250249999999998</v>
      </c>
      <c r="U1951">
        <v>-2.9393919999999998</v>
      </c>
      <c r="V1951">
        <v>0.21998090000000001</v>
      </c>
      <c r="W1951">
        <v>0.3617165</v>
      </c>
      <c r="X1951">
        <v>0.90596330000000003</v>
      </c>
      <c r="Y1951">
        <v>0.3529678</v>
      </c>
      <c r="Z1951">
        <v>0.12406399999999999</v>
      </c>
      <c r="AA1951">
        <v>0.92737360000000002</v>
      </c>
      <c r="AB1951">
        <v>20</v>
      </c>
      <c r="AC1951">
        <v>-4.0979000000000099</v>
      </c>
      <c r="AD1951">
        <v>-1.1087255165330001</v>
      </c>
      <c r="AE1951">
        <v>-6.8411000000000399</v>
      </c>
      <c r="AF1951">
        <v>2.8597875919500502</v>
      </c>
      <c r="AG1951">
        <v>-1.1087255165330001</v>
      </c>
      <c r="AH1951">
        <v>7.2818950997672802</v>
      </c>
      <c r="AI1951">
        <v>98.066271908781005</v>
      </c>
      <c r="AJ1951">
        <v>68.558786515608602</v>
      </c>
      <c r="AK1951">
        <v>7.9014969205902696</v>
      </c>
      <c r="AL1951">
        <v>68.794349508309296</v>
      </c>
      <c r="AM1951">
        <v>76.351895574554902</v>
      </c>
      <c r="AN1951">
        <v>0.99999996184197404</v>
      </c>
    </row>
    <row r="1952" spans="1:40" x14ac:dyDescent="0.25">
      <c r="A1952" t="str">
        <f>"20190304164128754"</f>
        <v>20190304164128754</v>
      </c>
      <c r="B1952" t="str">
        <f>"1551688888742710"</f>
        <v>1551688888742710</v>
      </c>
      <c r="C1952" t="s">
        <v>40</v>
      </c>
      <c r="D1952">
        <v>4.3608460000000004</v>
      </c>
      <c r="E1952">
        <v>0.57429609999999998</v>
      </c>
      <c r="F1952" t="s">
        <v>45</v>
      </c>
      <c r="G1952">
        <v>-197.54470000000001</v>
      </c>
      <c r="H1952" s="1">
        <v>1.5068990000000001E-6</v>
      </c>
      <c r="I1952">
        <v>292.27519999999998</v>
      </c>
      <c r="J1952">
        <v>-193.3964</v>
      </c>
      <c r="K1952">
        <v>1.1086180000000001</v>
      </c>
      <c r="L1952">
        <v>299.084</v>
      </c>
      <c r="M1952">
        <v>-0.16892750000000001</v>
      </c>
      <c r="N1952">
        <v>-1.3244489999999999E-2</v>
      </c>
      <c r="O1952">
        <v>-0.98553959999999996</v>
      </c>
      <c r="P1952">
        <v>-0.37196010000000002</v>
      </c>
      <c r="Q1952">
        <v>0.35213800000000001</v>
      </c>
      <c r="R1952">
        <v>-0.85886249999999997</v>
      </c>
      <c r="S1952">
        <v>-1.7468109999999999</v>
      </c>
      <c r="T1952">
        <v>-0.46238889999999999</v>
      </c>
      <c r="U1952">
        <v>-2.9275509999999998</v>
      </c>
      <c r="V1952">
        <v>0.22362580000000001</v>
      </c>
      <c r="W1952">
        <v>0.36285919999999999</v>
      </c>
      <c r="X1952">
        <v>0.904613</v>
      </c>
      <c r="Y1952">
        <v>0.3556511</v>
      </c>
      <c r="Z1952">
        <v>0.1241482</v>
      </c>
      <c r="AA1952">
        <v>0.92633659999999995</v>
      </c>
      <c r="AB1952">
        <v>20</v>
      </c>
      <c r="AC1952">
        <v>-4.1482999999999999</v>
      </c>
      <c r="AD1952">
        <v>-1.1086164931010001</v>
      </c>
      <c r="AE1952">
        <v>-6.8088000000000104</v>
      </c>
      <c r="AF1952">
        <v>2.8826445419213198</v>
      </c>
      <c r="AG1952">
        <v>-1.1086164931010001</v>
      </c>
      <c r="AH1952">
        <v>7.27117197580964</v>
      </c>
      <c r="AI1952">
        <v>98.067102211774397</v>
      </c>
      <c r="AJ1952">
        <v>68.374228624703306</v>
      </c>
      <c r="AK1952">
        <v>7.8999121505016596</v>
      </c>
      <c r="AL1952">
        <v>68.724106283952395</v>
      </c>
      <c r="AM1952">
        <v>76.114520666738699</v>
      </c>
      <c r="AN1952">
        <v>0.99999998860964001</v>
      </c>
    </row>
    <row r="1953" spans="1:40" x14ac:dyDescent="0.25">
      <c r="A1953" t="str">
        <f>"20190304164128773"</f>
        <v>20190304164128773</v>
      </c>
      <c r="B1953" t="str">
        <f>"1551688888763206"</f>
        <v>1551688888763206</v>
      </c>
      <c r="C1953" t="s">
        <v>40</v>
      </c>
      <c r="D1953">
        <v>4.3553540000000002</v>
      </c>
      <c r="E1953">
        <v>0.57443699999999998</v>
      </c>
      <c r="F1953" t="s">
        <v>45</v>
      </c>
      <c r="G1953">
        <v>-197.67689999999999</v>
      </c>
      <c r="H1953" s="1">
        <v>1.537388E-6</v>
      </c>
      <c r="I1953">
        <v>292.03550000000001</v>
      </c>
      <c r="J1953">
        <v>-193.4324</v>
      </c>
      <c r="K1953">
        <v>1.1085149999999999</v>
      </c>
      <c r="L1953">
        <v>298.90069999999997</v>
      </c>
      <c r="M1953">
        <v>-0.172756299999999</v>
      </c>
      <c r="N1953">
        <v>-1.314573E-2</v>
      </c>
      <c r="O1953">
        <v>-0.98487690000000006</v>
      </c>
      <c r="P1953">
        <v>-0.37870690000000001</v>
      </c>
      <c r="Q1953">
        <v>0.35233500000000001</v>
      </c>
      <c r="R1953">
        <v>-0.85582809999999898</v>
      </c>
      <c r="S1953">
        <v>-1.7699130000000001</v>
      </c>
      <c r="T1953">
        <v>-0.45839950000000002</v>
      </c>
      <c r="U1953">
        <v>-2.9144589999999999</v>
      </c>
      <c r="V1953">
        <v>0.22733809999999999</v>
      </c>
      <c r="W1953">
        <v>0.36288359999999997</v>
      </c>
      <c r="X1953">
        <v>0.90367739999999996</v>
      </c>
      <c r="Y1953">
        <v>0.35930210000000001</v>
      </c>
      <c r="Z1953">
        <v>0.1231295</v>
      </c>
      <c r="AA1953">
        <v>0.92506279999999996</v>
      </c>
      <c r="AB1953">
        <v>20</v>
      </c>
      <c r="AC1953">
        <v>-4.24449999999998</v>
      </c>
      <c r="AD1953">
        <v>-1.1085134626119999</v>
      </c>
      <c r="AE1953">
        <v>-6.8651999999999598</v>
      </c>
      <c r="AF1953">
        <v>2.9391241777047101</v>
      </c>
      <c r="AG1953">
        <v>-1.1085134626119999</v>
      </c>
      <c r="AH1953">
        <v>7.3565291400092097</v>
      </c>
      <c r="AI1953">
        <v>97.965661316623695</v>
      </c>
      <c r="AJ1953">
        <v>68.222009827866799</v>
      </c>
      <c r="AK1953">
        <v>7.9991108266209903</v>
      </c>
      <c r="AL1953">
        <v>68.722605838543799</v>
      </c>
      <c r="AM1953">
        <v>75.879126319838406</v>
      </c>
      <c r="AN1953">
        <v>0.99999998106566401</v>
      </c>
    </row>
    <row r="1954" spans="1:40" x14ac:dyDescent="0.25">
      <c r="A1954" t="str">
        <f>"20190304164128796"</f>
        <v>20190304164128796</v>
      </c>
      <c r="B1954" t="str">
        <f>"1551688888782726"</f>
        <v>1551688888782726</v>
      </c>
      <c r="C1954" t="s">
        <v>40</v>
      </c>
      <c r="D1954">
        <v>4.4477190000000002</v>
      </c>
      <c r="E1954">
        <v>0.57447139999999997</v>
      </c>
      <c r="F1954" t="s">
        <v>45</v>
      </c>
      <c r="G1954">
        <v>-197.76589999999999</v>
      </c>
      <c r="H1954" s="1">
        <v>1.556567E-6</v>
      </c>
      <c r="I1954">
        <v>291.8818</v>
      </c>
      <c r="J1954">
        <v>-193.47219999999999</v>
      </c>
      <c r="K1954">
        <v>1.10839</v>
      </c>
      <c r="L1954">
        <v>298.70280000000002</v>
      </c>
      <c r="M1954">
        <v>-0.1770793</v>
      </c>
      <c r="N1954">
        <v>-1.301456E-2</v>
      </c>
      <c r="O1954">
        <v>-0.9841105</v>
      </c>
      <c r="P1954">
        <v>-0.38595940000000001</v>
      </c>
      <c r="Q1954">
        <v>0.353211</v>
      </c>
      <c r="R1954">
        <v>-0.85221939999999996</v>
      </c>
      <c r="S1954">
        <v>-1.7913209999999999</v>
      </c>
      <c r="T1954">
        <v>-0.45822289999999999</v>
      </c>
      <c r="U1954">
        <v>-2.901367</v>
      </c>
      <c r="V1954">
        <v>0.2312234</v>
      </c>
      <c r="W1954">
        <v>0.36354209999999998</v>
      </c>
      <c r="X1954">
        <v>0.90242610000000001</v>
      </c>
      <c r="Y1954">
        <v>0.36200900000000003</v>
      </c>
      <c r="Z1954">
        <v>0.12326719999999999</v>
      </c>
      <c r="AA1954">
        <v>0.92398849999999999</v>
      </c>
      <c r="AB1954">
        <v>20</v>
      </c>
      <c r="AC1954">
        <v>-4.2937000000000003</v>
      </c>
      <c r="AD1954">
        <v>-1.108388443433</v>
      </c>
      <c r="AE1954">
        <v>-6.8210000000000202</v>
      </c>
      <c r="AF1954">
        <v>2.9618599208566998</v>
      </c>
      <c r="AG1954">
        <v>-1.108388443433</v>
      </c>
      <c r="AH1954">
        <v>7.3348632826763804</v>
      </c>
      <c r="AI1954">
        <v>97.976334557904593</v>
      </c>
      <c r="AJ1954">
        <v>68.0108607929713</v>
      </c>
      <c r="AK1954">
        <v>7.9875752583538997</v>
      </c>
      <c r="AL1954">
        <v>68.6821112776164</v>
      </c>
      <c r="AM1954">
        <v>75.628608799216593</v>
      </c>
      <c r="AN1954">
        <v>0.99999999257059002</v>
      </c>
    </row>
    <row r="1955" spans="1:40" x14ac:dyDescent="0.25">
      <c r="A1955" t="str">
        <f>"20190304164128820"</f>
        <v>20190304164128820</v>
      </c>
      <c r="B1955" t="str">
        <f>"1551688888812982"</f>
        <v>1551688888812982</v>
      </c>
      <c r="C1955" t="s">
        <v>40</v>
      </c>
      <c r="D1955">
        <v>4.3782779999999999</v>
      </c>
      <c r="E1955">
        <v>0.57460519999999904</v>
      </c>
      <c r="F1955" t="s">
        <v>45</v>
      </c>
      <c r="G1955">
        <v>-197.8776</v>
      </c>
      <c r="H1955" s="1">
        <v>1.5809110000000001E-6</v>
      </c>
      <c r="I1955">
        <v>291.68729999999999</v>
      </c>
      <c r="J1955">
        <v>-193.518</v>
      </c>
      <c r="K1955">
        <v>1.1082299999999901</v>
      </c>
      <c r="L1955">
        <v>298.48149999999998</v>
      </c>
      <c r="M1955">
        <v>-0.18215909999999999</v>
      </c>
      <c r="N1955">
        <v>-1.2851889999999999E-2</v>
      </c>
      <c r="O1955">
        <v>-0.98318519999999998</v>
      </c>
      <c r="P1955">
        <v>-0.39415810000000001</v>
      </c>
      <c r="Q1955">
        <v>0.35234209999999999</v>
      </c>
      <c r="R1955">
        <v>-0.84881989999999996</v>
      </c>
      <c r="S1955">
        <v>-1.8135220000000001</v>
      </c>
      <c r="T1955">
        <v>-0.45627450000000003</v>
      </c>
      <c r="U1955">
        <v>-2.8879700000000001</v>
      </c>
      <c r="V1955">
        <v>0.23533560000000001</v>
      </c>
      <c r="W1955">
        <v>0.36241079999999998</v>
      </c>
      <c r="X1955">
        <v>0.90181789999999995</v>
      </c>
      <c r="Y1955">
        <v>0.36425469999999999</v>
      </c>
      <c r="Z1955">
        <v>0.1229013</v>
      </c>
      <c r="AA1955">
        <v>0.92315420000000004</v>
      </c>
      <c r="AB1955">
        <v>20</v>
      </c>
      <c r="AC1955">
        <v>-4.3596000000000004</v>
      </c>
      <c r="AD1955">
        <v>-1.1082284190889899</v>
      </c>
      <c r="AE1955">
        <v>-6.7941999999999796</v>
      </c>
      <c r="AF1955">
        <v>2.99252192129096</v>
      </c>
      <c r="AG1955">
        <v>-1.1082284190889899</v>
      </c>
      <c r="AH1955">
        <v>7.3364482573969001</v>
      </c>
      <c r="AI1955">
        <v>97.962281206515399</v>
      </c>
      <c r="AJ1955">
        <v>67.809555160791206</v>
      </c>
      <c r="AK1955">
        <v>8.0004269080934396</v>
      </c>
      <c r="AL1955">
        <v>68.751674006220597</v>
      </c>
      <c r="AM1955">
        <v>75.374441241430205</v>
      </c>
      <c r="AN1955">
        <v>0.99999997867220403</v>
      </c>
    </row>
    <row r="1956" spans="1:40" x14ac:dyDescent="0.25">
      <c r="A1956" t="str">
        <f>"20190304164128841"</f>
        <v>20190304164128841</v>
      </c>
      <c r="B1956" t="str">
        <f>"1551688888832502"</f>
        <v>1551688888832502</v>
      </c>
      <c r="C1956" t="s">
        <v>40</v>
      </c>
      <c r="D1956">
        <v>4.4147460000000001</v>
      </c>
      <c r="E1956">
        <v>0.57474950000000002</v>
      </c>
      <c r="F1956" t="s">
        <v>45</v>
      </c>
      <c r="G1956">
        <v>-197.9359</v>
      </c>
      <c r="H1956" s="1">
        <v>1.5959240000000001E-6</v>
      </c>
      <c r="I1956">
        <v>291.5727</v>
      </c>
      <c r="J1956">
        <v>-193.5582</v>
      </c>
      <c r="K1956">
        <v>1.108077</v>
      </c>
      <c r="L1956">
        <v>298.29349999999999</v>
      </c>
      <c r="M1956">
        <v>-0.18670600000000001</v>
      </c>
      <c r="N1956">
        <v>-1.271269E-2</v>
      </c>
      <c r="O1956">
        <v>-0.98233360000000003</v>
      </c>
      <c r="P1956">
        <v>-0.40030450000000001</v>
      </c>
      <c r="Q1956">
        <v>0.35194320000000001</v>
      </c>
      <c r="R1956">
        <v>-0.84610419999999997</v>
      </c>
      <c r="S1956">
        <v>-1.8368990000000001</v>
      </c>
      <c r="T1956">
        <v>-0.46078940000000002</v>
      </c>
      <c r="U1956">
        <v>-2.8725890000000001</v>
      </c>
      <c r="V1956">
        <v>0.2378064</v>
      </c>
      <c r="W1956">
        <v>0.36178320000000003</v>
      </c>
      <c r="X1956">
        <v>0.90142169999999999</v>
      </c>
      <c r="Y1956">
        <v>0.3674192</v>
      </c>
      <c r="Z1956">
        <v>0.12443849999999999</v>
      </c>
      <c r="AA1956">
        <v>0.92169310000000004</v>
      </c>
      <c r="AB1956">
        <v>20</v>
      </c>
      <c r="AC1956">
        <v>-4.3776999999999999</v>
      </c>
      <c r="AD1956">
        <v>-1.1080754040759999</v>
      </c>
      <c r="AE1956">
        <v>-6.7207999999999899</v>
      </c>
      <c r="AF1956">
        <v>2.9887525354370599</v>
      </c>
      <c r="AG1956">
        <v>-1.1080754040759999</v>
      </c>
      <c r="AH1956">
        <v>7.2810479901727403</v>
      </c>
      <c r="AI1956">
        <v>98.013813620882502</v>
      </c>
      <c r="AJ1956">
        <v>67.682642341657996</v>
      </c>
      <c r="AK1956">
        <v>7.9482156899770997</v>
      </c>
      <c r="AL1956">
        <v>68.790251651019801</v>
      </c>
      <c r="AM1956">
        <v>75.221360636388795</v>
      </c>
      <c r="AN1956">
        <v>1.0000000244570399</v>
      </c>
    </row>
    <row r="1957" spans="1:40" x14ac:dyDescent="0.25">
      <c r="A1957" t="str">
        <f>"20190304164128864"</f>
        <v>20190304164128864</v>
      </c>
      <c r="B1957" t="str">
        <f>"1551688888852997"</f>
        <v>1551688888852997</v>
      </c>
      <c r="C1957" t="s">
        <v>40</v>
      </c>
      <c r="D1957">
        <v>4.6063999999999998</v>
      </c>
      <c r="E1957">
        <v>0.57491119999999996</v>
      </c>
      <c r="F1957" t="s">
        <v>45</v>
      </c>
      <c r="G1957">
        <v>-198.02600000000001</v>
      </c>
      <c r="H1957" s="1">
        <v>1.612554E-6</v>
      </c>
      <c r="I1957">
        <v>291.43290000000002</v>
      </c>
      <c r="J1957">
        <v>-193.6028</v>
      </c>
      <c r="K1957">
        <v>1.1079019999999999</v>
      </c>
      <c r="L1957">
        <v>298.09100000000001</v>
      </c>
      <c r="M1957">
        <v>-0.19188430000000001</v>
      </c>
      <c r="N1957">
        <v>-1.257307E-2</v>
      </c>
      <c r="O1957">
        <v>-0.98133720000000002</v>
      </c>
      <c r="P1957">
        <v>-0.4069642</v>
      </c>
      <c r="Q1957">
        <v>0.35407349999999999</v>
      </c>
      <c r="R1957">
        <v>-0.84202900000000003</v>
      </c>
      <c r="S1957">
        <v>-1.8607480000000001</v>
      </c>
      <c r="T1957">
        <v>-0.46148339999999999</v>
      </c>
      <c r="U1957">
        <v>-2.8572690000000001</v>
      </c>
      <c r="V1957">
        <v>0.24051320000000001</v>
      </c>
      <c r="W1957">
        <v>0.36364780000000002</v>
      </c>
      <c r="X1957">
        <v>0.89995210000000003</v>
      </c>
      <c r="Y1957">
        <v>0.37015579999999998</v>
      </c>
      <c r="Z1957">
        <v>0.1248377</v>
      </c>
      <c r="AA1957">
        <v>0.92054340000000001</v>
      </c>
      <c r="AB1957">
        <v>20</v>
      </c>
      <c r="AC1957">
        <v>-4.42319999999998</v>
      </c>
      <c r="AD1957">
        <v>-1.1079003874459901</v>
      </c>
      <c r="AE1957">
        <v>-6.6580999999999904</v>
      </c>
      <c r="AF1957">
        <v>3.0055694691487602</v>
      </c>
      <c r="AG1957">
        <v>-1.1079003874459901</v>
      </c>
      <c r="AH1957">
        <v>7.2440064091058796</v>
      </c>
      <c r="AI1957">
        <v>98.040620604822706</v>
      </c>
      <c r="AJ1957">
        <v>67.466227312986703</v>
      </c>
      <c r="AK1957">
        <v>7.9206388604423399</v>
      </c>
      <c r="AL1957">
        <v>68.675611489019801</v>
      </c>
      <c r="AM1957">
        <v>75.037324244484907</v>
      </c>
      <c r="AN1957">
        <v>1.00000005205674</v>
      </c>
    </row>
    <row r="1958" spans="1:40" x14ac:dyDescent="0.25">
      <c r="A1958" t="str">
        <f>"20190304164128885"</f>
        <v>20190304164128885</v>
      </c>
      <c r="B1958" t="str">
        <f>"1551688888872518"</f>
        <v>1551688888872518</v>
      </c>
      <c r="C1958" t="s">
        <v>40</v>
      </c>
      <c r="D1958">
        <v>4.618919</v>
      </c>
      <c r="E1958">
        <v>0.58621069999999997</v>
      </c>
      <c r="F1958" t="s">
        <v>45</v>
      </c>
      <c r="G1958">
        <v>-198.21789999999999</v>
      </c>
      <c r="H1958" s="1">
        <v>1.6449619999999999E-6</v>
      </c>
      <c r="I1958">
        <v>291.15230000000003</v>
      </c>
      <c r="J1958">
        <v>-193.64609999999999</v>
      </c>
      <c r="K1958">
        <v>1.1077189999999999</v>
      </c>
      <c r="L1958">
        <v>297.90050000000002</v>
      </c>
      <c r="M1958">
        <v>-0.19704269999999999</v>
      </c>
      <c r="N1958">
        <v>-1.2450579999999999E-2</v>
      </c>
      <c r="O1958">
        <v>-0.98031599999999997</v>
      </c>
      <c r="P1958">
        <v>-0.41544819999999999</v>
      </c>
      <c r="Q1958">
        <v>0.35595739999999998</v>
      </c>
      <c r="R1958">
        <v>-0.83707699999999996</v>
      </c>
      <c r="S1958">
        <v>-1.8892059999999999</v>
      </c>
      <c r="T1958">
        <v>-0.4535247</v>
      </c>
      <c r="U1958">
        <v>-2.8404240000000001</v>
      </c>
      <c r="V1958">
        <v>0.24522340000000001</v>
      </c>
      <c r="W1958">
        <v>0.36525340000000001</v>
      </c>
      <c r="X1958">
        <v>0.89802859999999995</v>
      </c>
      <c r="Y1958">
        <v>0.37434699999999999</v>
      </c>
      <c r="Z1958">
        <v>0.12266100000000001</v>
      </c>
      <c r="AA1958">
        <v>0.91914010000000002</v>
      </c>
      <c r="AB1958">
        <v>20</v>
      </c>
      <c r="AC1958">
        <v>-4.5717999999999899</v>
      </c>
      <c r="AD1958">
        <v>-1.107717355038</v>
      </c>
      <c r="AE1958">
        <v>-6.74819999999999</v>
      </c>
      <c r="AF1958">
        <v>3.0952052683249498</v>
      </c>
      <c r="AG1958">
        <v>-1.107717355038</v>
      </c>
      <c r="AH1958">
        <v>7.38048342815999</v>
      </c>
      <c r="AI1958">
        <v>97.880165149235793</v>
      </c>
      <c r="AJ1958">
        <v>67.247942037382003</v>
      </c>
      <c r="AK1958">
        <v>8.0795339608830901</v>
      </c>
      <c r="AL1958">
        <v>68.576820995390406</v>
      </c>
      <c r="AM1958">
        <v>74.726680927585306</v>
      </c>
      <c r="AN1958">
        <v>0.99999996426853899</v>
      </c>
    </row>
    <row r="1959" spans="1:40" x14ac:dyDescent="0.25">
      <c r="A1959" t="str">
        <f>"20190304164128908"</f>
        <v>20190304164128908</v>
      </c>
      <c r="B1959" t="str">
        <f>"1551688888902774"</f>
        <v>1551688888902774</v>
      </c>
      <c r="C1959" t="s">
        <v>40</v>
      </c>
      <c r="D1959">
        <v>4.633127</v>
      </c>
      <c r="E1959">
        <v>0.58734509999999995</v>
      </c>
      <c r="F1959" t="s">
        <v>45</v>
      </c>
      <c r="G1959">
        <v>-197.80889999999999</v>
      </c>
      <c r="H1959" s="1">
        <v>1.5221640000000001E-6</v>
      </c>
      <c r="I1959">
        <v>292.05549999999999</v>
      </c>
      <c r="J1959">
        <v>-193.69579999999999</v>
      </c>
      <c r="K1959">
        <v>1.107507</v>
      </c>
      <c r="L1959">
        <v>297.68939999999998</v>
      </c>
      <c r="M1959">
        <v>-0.2030547</v>
      </c>
      <c r="N1959">
        <v>-1.232512E-2</v>
      </c>
      <c r="O1959">
        <v>-0.97908980000000001</v>
      </c>
      <c r="P1959">
        <v>-0.42471890000000001</v>
      </c>
      <c r="Q1959">
        <v>0.35712559999999999</v>
      </c>
      <c r="R1959">
        <v>-0.8319107</v>
      </c>
      <c r="S1959">
        <v>-2.0052340000000002</v>
      </c>
      <c r="T1959">
        <v>-0.53359840000000003</v>
      </c>
      <c r="U1959">
        <v>-2.815582</v>
      </c>
      <c r="V1959">
        <v>0.24998890000000001</v>
      </c>
      <c r="W1959">
        <v>0.3661335</v>
      </c>
      <c r="X1959">
        <v>0.89635469999999895</v>
      </c>
      <c r="Y1959">
        <v>0.39612019999999998</v>
      </c>
      <c r="Z1959">
        <v>0.14443989999999901</v>
      </c>
      <c r="AA1959">
        <v>0.90676670000000004</v>
      </c>
      <c r="AB1959">
        <v>20</v>
      </c>
      <c r="AC1959">
        <v>-4.1131000000000002</v>
      </c>
      <c r="AD1959">
        <v>-1.1075054778360001</v>
      </c>
      <c r="AE1959">
        <v>-5.6338999999999801</v>
      </c>
      <c r="AF1959">
        <v>2.8124285128131001</v>
      </c>
      <c r="AG1959">
        <v>-1.1075054778360001</v>
      </c>
      <c r="AH1959">
        <v>6.1955842893819097</v>
      </c>
      <c r="AI1959">
        <v>99.245049242566196</v>
      </c>
      <c r="AJ1959">
        <v>65.584763509938099</v>
      </c>
      <c r="AK1959">
        <v>6.8935902989630096</v>
      </c>
      <c r="AL1959">
        <v>68.522642415848907</v>
      </c>
      <c r="AM1959">
        <v>74.416476100256503</v>
      </c>
      <c r="AN1959">
        <v>0.99999996907877398</v>
      </c>
    </row>
    <row r="1960" spans="1:40" x14ac:dyDescent="0.25">
      <c r="A1960" t="str">
        <f>"20190304164128932"</f>
        <v>20190304164128932</v>
      </c>
      <c r="B1960" t="str">
        <f>"1551688888923270"</f>
        <v>1551688888923270</v>
      </c>
      <c r="C1960" t="s">
        <v>40</v>
      </c>
      <c r="D1960">
        <v>4.6280349999999997</v>
      </c>
      <c r="E1960">
        <v>0.58733029999999997</v>
      </c>
      <c r="F1960" t="s">
        <v>45</v>
      </c>
      <c r="G1960">
        <v>-198.02449999999999</v>
      </c>
      <c r="H1960" s="1">
        <v>1.5522980000000001E-6</v>
      </c>
      <c r="I1960">
        <v>291.7758</v>
      </c>
      <c r="J1960">
        <v>-193.74639999999999</v>
      </c>
      <c r="K1960">
        <v>1.1073040000000001</v>
      </c>
      <c r="L1960">
        <v>297.4812</v>
      </c>
      <c r="M1960">
        <v>-0.2093053</v>
      </c>
      <c r="N1960">
        <v>-1.2215149999999999E-2</v>
      </c>
      <c r="O1960">
        <v>-0.97777400000000003</v>
      </c>
      <c r="P1960">
        <v>-0.43280180000000001</v>
      </c>
      <c r="Q1960">
        <v>0.3589984</v>
      </c>
      <c r="R1960">
        <v>-0.82692379999999999</v>
      </c>
      <c r="S1960">
        <v>-2.0410309999999998</v>
      </c>
      <c r="T1960">
        <v>-0.52220239999999996</v>
      </c>
      <c r="U1960">
        <v>-2.7883300000000002</v>
      </c>
      <c r="V1960">
        <v>0.25336120000000001</v>
      </c>
      <c r="W1960">
        <v>0.36774410000000002</v>
      </c>
      <c r="X1960">
        <v>0.89474709999999902</v>
      </c>
      <c r="Y1960">
        <v>0.4023215</v>
      </c>
      <c r="Z1960">
        <v>0.1414802</v>
      </c>
      <c r="AA1960">
        <v>0.90450030000000003</v>
      </c>
      <c r="AB1960">
        <v>20</v>
      </c>
      <c r="AC1960">
        <v>-4.2780999999999896</v>
      </c>
      <c r="AD1960">
        <v>-1.1073024477019999</v>
      </c>
      <c r="AE1960">
        <v>-5.7053999999999903</v>
      </c>
      <c r="AF1960">
        <v>2.9186958441169799</v>
      </c>
      <c r="AG1960">
        <v>-1.1073024477019999</v>
      </c>
      <c r="AH1960">
        <v>6.32207450534999</v>
      </c>
      <c r="AI1960">
        <v>99.035520482241907</v>
      </c>
      <c r="AJ1960">
        <v>65.218768359707497</v>
      </c>
      <c r="AK1960">
        <v>7.0507822397482096</v>
      </c>
      <c r="AL1960">
        <v>68.423442733100302</v>
      </c>
      <c r="AM1960">
        <v>74.189726363922603</v>
      </c>
      <c r="AN1960">
        <v>0.99999999685432905</v>
      </c>
    </row>
    <row r="1961" spans="1:40" x14ac:dyDescent="0.25">
      <c r="A1961" t="str">
        <f>"20190304164128955"</f>
        <v>20190304164128955</v>
      </c>
      <c r="B1961" t="str">
        <f>"1551688888942790"</f>
        <v>1551688888942790</v>
      </c>
      <c r="C1961" t="s">
        <v>40</v>
      </c>
      <c r="D1961">
        <v>4.6560129999999997</v>
      </c>
      <c r="E1961">
        <v>0.58716239999999997</v>
      </c>
      <c r="F1961" t="s">
        <v>45</v>
      </c>
      <c r="G1961">
        <v>-198.19229999999999</v>
      </c>
      <c r="H1961" s="1">
        <v>1.580155E-6</v>
      </c>
      <c r="I1961">
        <v>291.53309999999999</v>
      </c>
      <c r="J1961">
        <v>-193.7987</v>
      </c>
      <c r="K1961">
        <v>1.1070990000000001</v>
      </c>
      <c r="L1961">
        <v>297.27379999999999</v>
      </c>
      <c r="M1961">
        <v>-0.2158979</v>
      </c>
      <c r="N1961">
        <v>-1.2123159999999999E-2</v>
      </c>
      <c r="O1961">
        <v>-0.97634080000000001</v>
      </c>
      <c r="P1961">
        <v>-0.44045339999999999</v>
      </c>
      <c r="Q1961">
        <v>0.36102099999999998</v>
      </c>
      <c r="R1961">
        <v>-0.82198819999999995</v>
      </c>
      <c r="S1961">
        <v>-2.0693510000000002</v>
      </c>
      <c r="T1961">
        <v>-0.51540160000000002</v>
      </c>
      <c r="U1961">
        <v>-2.7685849999999999</v>
      </c>
      <c r="V1961">
        <v>0.25602269999999999</v>
      </c>
      <c r="W1961">
        <v>0.3695194</v>
      </c>
      <c r="X1961">
        <v>0.89325689999999902</v>
      </c>
      <c r="Y1961">
        <v>0.40534949999999997</v>
      </c>
      <c r="Z1961">
        <v>0.13966289999999901</v>
      </c>
      <c r="AA1961">
        <v>0.90343019999999996</v>
      </c>
      <c r="AB1961">
        <v>20</v>
      </c>
      <c r="AC1961">
        <v>-4.3935999999999904</v>
      </c>
      <c r="AD1961">
        <v>-1.1070974198450001</v>
      </c>
      <c r="AE1961">
        <v>-5.7407000000000004</v>
      </c>
      <c r="AF1961">
        <v>2.9805650107165702</v>
      </c>
      <c r="AG1961">
        <v>-1.1070974198450001</v>
      </c>
      <c r="AH1961">
        <v>6.4037394349510404</v>
      </c>
      <c r="AI1961">
        <v>98.907903054197703</v>
      </c>
      <c r="AJ1961">
        <v>65.040784925313503</v>
      </c>
      <c r="AK1961">
        <v>7.1496371398052396</v>
      </c>
      <c r="AL1961">
        <v>68.314020635529602</v>
      </c>
      <c r="AM1961">
        <v>74.006792154825803</v>
      </c>
      <c r="AN1961">
        <v>1.00000004964462</v>
      </c>
    </row>
    <row r="1962" spans="1:40" x14ac:dyDescent="0.25">
      <c r="A1962" t="str">
        <f>"20190304164128975"</f>
        <v>20190304164128975</v>
      </c>
      <c r="B1962" t="str">
        <f>"1551688888973046"</f>
        <v>1551688888973046</v>
      </c>
      <c r="C1962" t="s">
        <v>40</v>
      </c>
      <c r="D1962">
        <v>4.6238640000000002</v>
      </c>
      <c r="E1962">
        <v>0.58646330000000002</v>
      </c>
      <c r="F1962" t="s">
        <v>45</v>
      </c>
      <c r="G1962">
        <v>-198.37620000000001</v>
      </c>
      <c r="H1962" s="1">
        <v>1.609309E-6</v>
      </c>
      <c r="I1962">
        <v>291.27499999999998</v>
      </c>
      <c r="J1962">
        <v>-193.84819999999999</v>
      </c>
      <c r="K1962">
        <v>1.1068830000000001</v>
      </c>
      <c r="L1962">
        <v>297.084</v>
      </c>
      <c r="M1962">
        <v>-0.22227920000000001</v>
      </c>
      <c r="N1962">
        <v>-1.2056839999999999E-2</v>
      </c>
      <c r="O1962">
        <v>-0.97490880000000002</v>
      </c>
      <c r="P1962">
        <v>-0.44890219999999997</v>
      </c>
      <c r="Q1962">
        <v>0.36289529999999998</v>
      </c>
      <c r="R1962">
        <v>-0.81657489999999999</v>
      </c>
      <c r="S1962">
        <v>-2.0973820000000001</v>
      </c>
      <c r="T1962">
        <v>-0.50726019999999905</v>
      </c>
      <c r="U1962">
        <v>-2.748596</v>
      </c>
      <c r="V1962">
        <v>0.2597891</v>
      </c>
      <c r="W1962">
        <v>0.37115029999999999</v>
      </c>
      <c r="X1962">
        <v>0.89149149999999999</v>
      </c>
      <c r="Y1962">
        <v>0.40857130000000003</v>
      </c>
      <c r="Z1962">
        <v>0.1374359</v>
      </c>
      <c r="AA1962">
        <v>0.90231969999999995</v>
      </c>
      <c r="AB1962">
        <v>20</v>
      </c>
      <c r="AC1962">
        <v>-4.52800000000002</v>
      </c>
      <c r="AD1962">
        <v>-1.106881390691</v>
      </c>
      <c r="AE1962">
        <v>-5.8090000000000197</v>
      </c>
      <c r="AF1962">
        <v>3.0544088034530201</v>
      </c>
      <c r="AG1962">
        <v>-1.106881390691</v>
      </c>
      <c r="AH1962">
        <v>6.5228874915760802</v>
      </c>
      <c r="AI1962">
        <v>98.736749764499905</v>
      </c>
      <c r="AJ1962">
        <v>64.908175991895305</v>
      </c>
      <c r="AK1962">
        <v>7.2871572495335304</v>
      </c>
      <c r="AL1962">
        <v>68.213423422748207</v>
      </c>
      <c r="AM1962">
        <v>73.753375146994102</v>
      </c>
      <c r="AN1962">
        <v>1.00000000812057</v>
      </c>
    </row>
    <row r="1963" spans="1:40" x14ac:dyDescent="0.25">
      <c r="A1963" t="str">
        <f>"20190304164128998"</f>
        <v>20190304164128998</v>
      </c>
      <c r="B1963" t="str">
        <f>"1551688888992566"</f>
        <v>1551688888992566</v>
      </c>
      <c r="C1963" t="s">
        <v>40</v>
      </c>
      <c r="D1963">
        <v>4.6219010000000003</v>
      </c>
      <c r="E1963">
        <v>0.58586000000000005</v>
      </c>
      <c r="F1963" t="s">
        <v>45</v>
      </c>
      <c r="G1963">
        <v>-198.49299999999999</v>
      </c>
      <c r="H1963" s="1">
        <v>1.628563E-6</v>
      </c>
      <c r="I1963">
        <v>291.10680000000002</v>
      </c>
      <c r="J1963">
        <v>-193.90119999999999</v>
      </c>
      <c r="K1963">
        <v>1.106636</v>
      </c>
      <c r="L1963">
        <v>296.8877</v>
      </c>
      <c r="M1963">
        <v>-0.22924120000000001</v>
      </c>
      <c r="N1963">
        <v>-1.200524E-2</v>
      </c>
      <c r="O1963">
        <v>-0.97329580000000004</v>
      </c>
      <c r="P1963">
        <v>-0.45854329999999999</v>
      </c>
      <c r="Q1963">
        <v>0.36374269999999997</v>
      </c>
      <c r="R1963">
        <v>-0.81082049999999894</v>
      </c>
      <c r="S1963">
        <v>-2.1227870000000002</v>
      </c>
      <c r="T1963">
        <v>-0.50587479999999996</v>
      </c>
      <c r="U1963">
        <v>-2.7317200000000001</v>
      </c>
      <c r="V1963">
        <v>0.26430579999999998</v>
      </c>
      <c r="W1963">
        <v>0.37173729999999999</v>
      </c>
      <c r="X1963">
        <v>0.88991790000000004</v>
      </c>
      <c r="Y1963">
        <v>0.41003450000000002</v>
      </c>
      <c r="Z1963">
        <v>0.13704849999999999</v>
      </c>
      <c r="AA1963">
        <v>0.90171469999999998</v>
      </c>
      <c r="AB1963">
        <v>20</v>
      </c>
      <c r="AC1963">
        <v>-4.5918000000000001</v>
      </c>
      <c r="AD1963">
        <v>-1.1066343714369999</v>
      </c>
      <c r="AE1963">
        <v>-5.7808999999999697</v>
      </c>
      <c r="AF1963">
        <v>3.0750908794657801</v>
      </c>
      <c r="AG1963">
        <v>-1.1066343714369999</v>
      </c>
      <c r="AH1963">
        <v>6.5328487544498799</v>
      </c>
      <c r="AI1963">
        <v>98.713619907509496</v>
      </c>
      <c r="AJ1963">
        <v>64.793066952368093</v>
      </c>
      <c r="AK1963">
        <v>7.3047201450525598</v>
      </c>
      <c r="AL1963">
        <v>68.177199478358304</v>
      </c>
      <c r="AM1963">
        <v>73.458569618655901</v>
      </c>
      <c r="AN1963">
        <v>1.00000002243266</v>
      </c>
    </row>
    <row r="1964" spans="1:40" x14ac:dyDescent="0.25">
      <c r="A1964" t="str">
        <f>"20190304164129022"</f>
        <v>20190304164129022</v>
      </c>
      <c r="B1964" t="str">
        <f>"1551688889013063"</f>
        <v>1551688889013063</v>
      </c>
      <c r="C1964" t="s">
        <v>40</v>
      </c>
      <c r="D1964">
        <v>4.6590369999999997</v>
      </c>
      <c r="E1964">
        <v>0.5855629</v>
      </c>
      <c r="F1964" t="s">
        <v>45</v>
      </c>
      <c r="G1964">
        <v>-198.5686</v>
      </c>
      <c r="H1964" s="1">
        <v>1.6416220000000001E-6</v>
      </c>
      <c r="I1964">
        <v>290.99459999999999</v>
      </c>
      <c r="J1964">
        <v>-193.9624</v>
      </c>
      <c r="K1964">
        <v>1.1063590000000001</v>
      </c>
      <c r="L1964">
        <v>296.66899999999998</v>
      </c>
      <c r="M1964">
        <v>-0.23742360000000001</v>
      </c>
      <c r="N1964">
        <v>-1.1964499999999999E-2</v>
      </c>
      <c r="O1964">
        <v>-0.9713328</v>
      </c>
      <c r="P1964">
        <v>-0.46757199999999999</v>
      </c>
      <c r="Q1964">
        <v>0.36378280000000002</v>
      </c>
      <c r="R1964">
        <v>-0.80562979999999995</v>
      </c>
      <c r="S1964">
        <v>-2.1489560000000001</v>
      </c>
      <c r="T1964">
        <v>-0.50951429999999998</v>
      </c>
      <c r="U1964">
        <v>-2.7132869999999998</v>
      </c>
      <c r="V1964">
        <v>0.26702920000000002</v>
      </c>
      <c r="W1964">
        <v>0.37152299999999999</v>
      </c>
      <c r="X1964">
        <v>0.88919409999999899</v>
      </c>
      <c r="Y1964">
        <v>0.41061199999999998</v>
      </c>
      <c r="Z1964">
        <v>0.1380922</v>
      </c>
      <c r="AA1964">
        <v>0.9012926</v>
      </c>
      <c r="AB1964">
        <v>20</v>
      </c>
      <c r="AC1964">
        <v>-4.6062000000000003</v>
      </c>
      <c r="AD1964">
        <v>-1.106357358378</v>
      </c>
      <c r="AE1964">
        <v>-5.6744000000000403</v>
      </c>
      <c r="AF1964">
        <v>3.05708646453727</v>
      </c>
      <c r="AG1964">
        <v>-1.106357358378</v>
      </c>
      <c r="AH1964">
        <v>6.4578409298987598</v>
      </c>
      <c r="AI1964">
        <v>98.8021111793486</v>
      </c>
      <c r="AJ1964">
        <v>64.667527168237896</v>
      </c>
      <c r="AK1964">
        <v>7.2300424433034802</v>
      </c>
      <c r="AL1964">
        <v>68.190425587000902</v>
      </c>
      <c r="AM1964">
        <v>73.284738649364101</v>
      </c>
      <c r="AN1964">
        <v>1.0000000403282201</v>
      </c>
    </row>
    <row r="1965" spans="1:40" x14ac:dyDescent="0.25">
      <c r="A1965" t="str">
        <f>"20190304164129042"</f>
        <v>20190304164129042</v>
      </c>
      <c r="B1965" t="str">
        <f>"1551688889032582"</f>
        <v>1551688889032582</v>
      </c>
      <c r="C1965" t="s">
        <v>40</v>
      </c>
      <c r="D1965">
        <v>4.6281089999999896</v>
      </c>
      <c r="E1965">
        <v>0.58523069999999999</v>
      </c>
      <c r="F1965" t="s">
        <v>45</v>
      </c>
      <c r="G1965">
        <v>-198.67439999999999</v>
      </c>
      <c r="H1965" s="1">
        <v>1.658773E-6</v>
      </c>
      <c r="I1965">
        <v>290.84390000000002</v>
      </c>
      <c r="J1965">
        <v>-194.0154</v>
      </c>
      <c r="K1965">
        <v>1.106136</v>
      </c>
      <c r="L1965">
        <v>296.48719999999997</v>
      </c>
      <c r="M1965">
        <v>-0.24460499999999999</v>
      </c>
      <c r="N1965">
        <v>-1.194287E-2</v>
      </c>
      <c r="O1965">
        <v>-0.96954929999999995</v>
      </c>
      <c r="P1965">
        <v>-0.47386650000000002</v>
      </c>
      <c r="Q1965">
        <v>0.36566690000000002</v>
      </c>
      <c r="R1965">
        <v>-0.80108579999999996</v>
      </c>
      <c r="S1965">
        <v>-2.1769099999999999</v>
      </c>
      <c r="T1965">
        <v>-0.51112899999999994</v>
      </c>
      <c r="U1965">
        <v>-2.6911619999999998</v>
      </c>
      <c r="V1965">
        <v>0.26785809999999999</v>
      </c>
      <c r="W1965">
        <v>0.37321660000000001</v>
      </c>
      <c r="X1965">
        <v>0.888235</v>
      </c>
      <c r="Y1965">
        <v>0.41311029999999999</v>
      </c>
      <c r="Z1965">
        <v>0.13863139999999999</v>
      </c>
      <c r="AA1965">
        <v>0.90006730000000001</v>
      </c>
      <c r="AB1965">
        <v>20</v>
      </c>
      <c r="AC1965">
        <v>-4.65899999999999</v>
      </c>
      <c r="AD1965">
        <v>-1.1061343412269999</v>
      </c>
      <c r="AE1965">
        <v>-5.6432999999999502</v>
      </c>
      <c r="AF1965">
        <v>3.0669045240639501</v>
      </c>
      <c r="AG1965">
        <v>-1.1061343412269999</v>
      </c>
      <c r="AH1965">
        <v>6.4638630115516102</v>
      </c>
      <c r="AI1965">
        <v>98.788684289630794</v>
      </c>
      <c r="AJ1965">
        <v>64.617096518625502</v>
      </c>
      <c r="AK1965">
        <v>7.2395415305577604</v>
      </c>
      <c r="AL1965">
        <v>68.085869443288303</v>
      </c>
      <c r="AM1965">
        <v>73.218674214673896</v>
      </c>
      <c r="AN1965">
        <v>1.0000000037380801</v>
      </c>
    </row>
    <row r="1966" spans="1:40" x14ac:dyDescent="0.25">
      <c r="A1966" t="str">
        <f>"20190304164129064"</f>
        <v>20190304164129064</v>
      </c>
      <c r="B1966" t="str">
        <f>"1551688889053078"</f>
        <v>1551688889053078</v>
      </c>
      <c r="C1966" t="s">
        <v>40</v>
      </c>
      <c r="D1966">
        <v>4.6616109999999997</v>
      </c>
      <c r="E1966">
        <v>0.58492769999999905</v>
      </c>
      <c r="F1966" t="s">
        <v>45</v>
      </c>
      <c r="G1966">
        <v>-198.84549999999999</v>
      </c>
      <c r="H1966" s="1">
        <v>1.6815319999999999E-6</v>
      </c>
      <c r="I1966">
        <v>290.62849999999997</v>
      </c>
      <c r="J1966">
        <v>-194.07320000000001</v>
      </c>
      <c r="K1966">
        <v>1.1059319999999999</v>
      </c>
      <c r="L1966">
        <v>296.2962</v>
      </c>
      <c r="M1966">
        <v>-0.25244810000000001</v>
      </c>
      <c r="N1966">
        <v>-1.192677E-2</v>
      </c>
      <c r="O1966">
        <v>-0.96753710000000004</v>
      </c>
      <c r="P1966">
        <v>-0.48144589999999998</v>
      </c>
      <c r="Q1966">
        <v>0.3657376</v>
      </c>
      <c r="R1966">
        <v>-0.79652119999999904</v>
      </c>
      <c r="S1966">
        <v>-2.2029109999999998</v>
      </c>
      <c r="T1966">
        <v>-0.50449200000000005</v>
      </c>
      <c r="U1966">
        <v>-2.6720579999999998</v>
      </c>
      <c r="V1966">
        <v>0.26929969999999998</v>
      </c>
      <c r="W1966">
        <v>0.37311529999999998</v>
      </c>
      <c r="X1966">
        <v>0.88784159999999901</v>
      </c>
      <c r="Y1966">
        <v>0.41430519999999998</v>
      </c>
      <c r="Z1966">
        <v>0.1367013</v>
      </c>
      <c r="AA1966">
        <v>0.89981329999999904</v>
      </c>
      <c r="AB1966">
        <v>20</v>
      </c>
      <c r="AC1966">
        <v>-4.7722999999999702</v>
      </c>
      <c r="AD1966">
        <v>-1.1059303184679901</v>
      </c>
      <c r="AE1966">
        <v>-5.6677000000000204</v>
      </c>
      <c r="AF1966">
        <v>3.1173509367368699</v>
      </c>
      <c r="AG1966">
        <v>-1.1059303184679901</v>
      </c>
      <c r="AH1966">
        <v>6.5431655710450096</v>
      </c>
      <c r="AI1966">
        <v>98.675728696126001</v>
      </c>
      <c r="AJ1966">
        <v>64.525536347394095</v>
      </c>
      <c r="AK1966">
        <v>7.3317101976407804</v>
      </c>
      <c r="AL1966">
        <v>68.092126038283197</v>
      </c>
      <c r="AM1966">
        <v>73.126424511597193</v>
      </c>
      <c r="AN1966">
        <v>1.00000003110236</v>
      </c>
    </row>
    <row r="1967" spans="1:40" x14ac:dyDescent="0.25">
      <c r="A1967" t="str">
        <f>"20190304164129087"</f>
        <v>20190304164129087</v>
      </c>
      <c r="B1967" t="str">
        <f>"1551688889083334"</f>
        <v>1551688889083334</v>
      </c>
      <c r="C1967" t="s">
        <v>40</v>
      </c>
      <c r="D1967">
        <v>4.68736</v>
      </c>
      <c r="E1967">
        <v>0.58429189999999998</v>
      </c>
      <c r="F1967" t="s">
        <v>45</v>
      </c>
      <c r="G1967">
        <v>-198.9477</v>
      </c>
      <c r="H1967" s="1">
        <v>1.695963E-6</v>
      </c>
      <c r="I1967">
        <v>290.49509999999998</v>
      </c>
      <c r="J1967">
        <v>-194.1369</v>
      </c>
      <c r="K1967">
        <v>1.105745</v>
      </c>
      <c r="L1967">
        <v>296.09300000000002</v>
      </c>
      <c r="M1967">
        <v>-0.26112160000000001</v>
      </c>
      <c r="N1967">
        <v>-1.191508E-2</v>
      </c>
      <c r="O1967">
        <v>-0.9652326</v>
      </c>
      <c r="P1967">
        <v>-0.49021209999999998</v>
      </c>
      <c r="Q1967">
        <v>0.36518339999999999</v>
      </c>
      <c r="R1967">
        <v>-0.79141240000000002</v>
      </c>
      <c r="S1967">
        <v>-2.2281650000000002</v>
      </c>
      <c r="T1967">
        <v>-0.50552580000000003</v>
      </c>
      <c r="U1967">
        <v>-2.6517029999999999</v>
      </c>
      <c r="V1967">
        <v>0.27123999999999998</v>
      </c>
      <c r="W1967">
        <v>0.37240200000000001</v>
      </c>
      <c r="X1967">
        <v>0.88755039999999996</v>
      </c>
      <c r="Y1967">
        <v>0.41455249999999999</v>
      </c>
      <c r="Z1967">
        <v>0.13698659999999999</v>
      </c>
      <c r="AA1967">
        <v>0.89965599999999901</v>
      </c>
      <c r="AB1967">
        <v>20</v>
      </c>
      <c r="AC1967">
        <v>-4.8108000000000004</v>
      </c>
      <c r="AD1967">
        <v>-1.1057433040369999</v>
      </c>
      <c r="AE1967">
        <v>-5.5979000000000303</v>
      </c>
      <c r="AF1967">
        <v>3.11218860337542</v>
      </c>
      <c r="AG1967">
        <v>-1.1057433040369999</v>
      </c>
      <c r="AH1967">
        <v>6.5137661543101197</v>
      </c>
      <c r="AI1967">
        <v>98.708309197930404</v>
      </c>
      <c r="AJ1967">
        <v>64.462165396119602</v>
      </c>
      <c r="AK1967">
        <v>7.3032551420882603</v>
      </c>
      <c r="AL1967">
        <v>68.136169827630198</v>
      </c>
      <c r="AM1967">
        <v>73.006576249840506</v>
      </c>
      <c r="AN1967">
        <v>1.00000004987207</v>
      </c>
    </row>
    <row r="1968" spans="1:40" x14ac:dyDescent="0.25">
      <c r="A1968" t="str">
        <f>"20190304164129109"</f>
        <v>20190304164129109</v>
      </c>
      <c r="B1968" t="str">
        <f>"1551688889102854"</f>
        <v>1551688889102854</v>
      </c>
      <c r="C1968" t="s">
        <v>40</v>
      </c>
      <c r="D1968">
        <v>4.6813690000000001</v>
      </c>
      <c r="E1968">
        <v>0.58397169999999998</v>
      </c>
      <c r="F1968" t="s">
        <v>45</v>
      </c>
      <c r="G1968">
        <v>-199.00810000000001</v>
      </c>
      <c r="H1968" s="1">
        <v>1.705461E-6</v>
      </c>
      <c r="I1968">
        <v>290.41079999999999</v>
      </c>
      <c r="J1968">
        <v>-194.20339999999999</v>
      </c>
      <c r="K1968">
        <v>1.1055790000000001</v>
      </c>
      <c r="L1968">
        <v>295.8886</v>
      </c>
      <c r="M1968">
        <v>-0.270177</v>
      </c>
      <c r="N1968">
        <v>-1.191012E-2</v>
      </c>
      <c r="O1968">
        <v>-0.96273710000000001</v>
      </c>
      <c r="P1968">
        <v>-0.49863160000000001</v>
      </c>
      <c r="Q1968">
        <v>0.36526920000000002</v>
      </c>
      <c r="R1968">
        <v>-0.78609499999999999</v>
      </c>
      <c r="S1968">
        <v>-2.2547760000000001</v>
      </c>
      <c r="T1968">
        <v>-0.511826</v>
      </c>
      <c r="U1968">
        <v>-2.630188</v>
      </c>
      <c r="V1968">
        <v>0.27254260000000002</v>
      </c>
      <c r="W1968">
        <v>0.3723552</v>
      </c>
      <c r="X1968">
        <v>0.88717089999999998</v>
      </c>
      <c r="Y1968">
        <v>0.41473880000000002</v>
      </c>
      <c r="Z1968">
        <v>0.13874909999999999</v>
      </c>
      <c r="AA1968">
        <v>0.89929999999999999</v>
      </c>
      <c r="AB1968">
        <v>20</v>
      </c>
      <c r="AC1968">
        <v>-4.80470000000002</v>
      </c>
      <c r="AD1968">
        <v>-1.1055772945389899</v>
      </c>
      <c r="AE1968">
        <v>-5.4778000000000002</v>
      </c>
      <c r="AF1968">
        <v>3.0751132122074498</v>
      </c>
      <c r="AG1968">
        <v>-1.1055772945389899</v>
      </c>
      <c r="AH1968">
        <v>6.42436097918951</v>
      </c>
      <c r="AI1968">
        <v>98.823330152648794</v>
      </c>
      <c r="AJ1968">
        <v>64.421218867292396</v>
      </c>
      <c r="AK1968">
        <v>7.2077067374460899</v>
      </c>
      <c r="AL1968">
        <v>68.139058714387303</v>
      </c>
      <c r="AM1968">
        <v>72.922823889922498</v>
      </c>
      <c r="AN1968">
        <v>1.0000000347943001</v>
      </c>
    </row>
    <row r="1969" spans="1:40" x14ac:dyDescent="0.25">
      <c r="A1969" t="str">
        <f>"20190304164129133"</f>
        <v>20190304164129133</v>
      </c>
      <c r="B1969" t="str">
        <f>"1551688889123351"</f>
        <v>1551688889123351</v>
      </c>
      <c r="C1969" t="s">
        <v>40</v>
      </c>
      <c r="D1969">
        <v>4.6981849999999996</v>
      </c>
      <c r="E1969">
        <v>0.5836015</v>
      </c>
      <c r="F1969" t="s">
        <v>45</v>
      </c>
      <c r="G1969">
        <v>-199.1208</v>
      </c>
      <c r="H1969" s="1">
        <v>1.7196279999999999E-6</v>
      </c>
      <c r="I1969">
        <v>290.27359999999999</v>
      </c>
      <c r="J1969">
        <v>-194.27119999999999</v>
      </c>
      <c r="K1969">
        <v>1.1054170000000001</v>
      </c>
      <c r="L1969">
        <v>295.68759999999997</v>
      </c>
      <c r="M1969">
        <v>-0.279389099999999</v>
      </c>
      <c r="N1969">
        <v>-1.191421E-2</v>
      </c>
      <c r="O1969">
        <v>-0.96010390000000001</v>
      </c>
      <c r="P1969">
        <v>-0.50810509999999998</v>
      </c>
      <c r="Q1969">
        <v>0.3644945</v>
      </c>
      <c r="R1969">
        <v>-0.78036709999999998</v>
      </c>
      <c r="S1969">
        <v>-2.2828979999999999</v>
      </c>
      <c r="T1969">
        <v>-0.5132679</v>
      </c>
      <c r="U1969">
        <v>-2.6067809999999998</v>
      </c>
      <c r="V1969">
        <v>0.27481480000000003</v>
      </c>
      <c r="W1969">
        <v>0.37144820000000001</v>
      </c>
      <c r="X1969">
        <v>0.88685009999999997</v>
      </c>
      <c r="Y1969">
        <v>0.41549580000000003</v>
      </c>
      <c r="Z1969">
        <v>0.13911519999999999</v>
      </c>
      <c r="AA1969">
        <v>0.89889390000000002</v>
      </c>
      <c r="AB1969">
        <v>20</v>
      </c>
      <c r="AC1969">
        <v>-4.8495999999999997</v>
      </c>
      <c r="AD1969">
        <v>-1.1054152803720001</v>
      </c>
      <c r="AE1969">
        <v>-5.4139999999999802</v>
      </c>
      <c r="AF1969">
        <v>3.0726611039408702</v>
      </c>
      <c r="AG1969">
        <v>-1.1054152803720001</v>
      </c>
      <c r="AH1969">
        <v>6.4052425601547602</v>
      </c>
      <c r="AI1969">
        <v>98.844425028992006</v>
      </c>
      <c r="AJ1969">
        <v>64.3724841083136</v>
      </c>
      <c r="AK1969">
        <v>7.1895981428845497</v>
      </c>
      <c r="AL1969">
        <v>68.195041169678504</v>
      </c>
      <c r="AM1969">
        <v>72.782972814823793</v>
      </c>
      <c r="AN1969">
        <v>1.0000000197261401</v>
      </c>
    </row>
    <row r="1970" spans="1:40" x14ac:dyDescent="0.25">
      <c r="A1970" t="str">
        <f>"20190304164129156"</f>
        <v>20190304164129156</v>
      </c>
      <c r="B1970" t="str">
        <f>"1551688889142870"</f>
        <v>1551688889142870</v>
      </c>
      <c r="C1970" t="s">
        <v>40</v>
      </c>
      <c r="D1970">
        <v>4.6736909999999998</v>
      </c>
      <c r="E1970">
        <v>0.58330740000000003</v>
      </c>
      <c r="F1970" t="s">
        <v>45</v>
      </c>
      <c r="G1970">
        <v>-199.1874</v>
      </c>
      <c r="H1970" s="1">
        <v>1.728014E-6</v>
      </c>
      <c r="I1970">
        <v>290.19240000000002</v>
      </c>
      <c r="J1970">
        <v>-194.34270000000001</v>
      </c>
      <c r="K1970">
        <v>1.10524</v>
      </c>
      <c r="L1970">
        <v>295.48320000000001</v>
      </c>
      <c r="M1970">
        <v>-0.28906769999999998</v>
      </c>
      <c r="N1970">
        <v>-1.192765E-2</v>
      </c>
      <c r="O1970">
        <v>-0.95723449999999999</v>
      </c>
      <c r="P1970">
        <v>-0.51901569999999997</v>
      </c>
      <c r="Q1970">
        <v>0.36170219999999997</v>
      </c>
      <c r="R1970">
        <v>-0.77446400000000004</v>
      </c>
      <c r="S1970">
        <v>-2.3105319999999998</v>
      </c>
      <c r="T1970">
        <v>-0.51952209999999999</v>
      </c>
      <c r="U1970">
        <v>-2.5826419999999999</v>
      </c>
      <c r="V1970">
        <v>0.27806750000000002</v>
      </c>
      <c r="W1970">
        <v>0.3685155</v>
      </c>
      <c r="X1970">
        <v>0.88705959999999995</v>
      </c>
      <c r="Y1970">
        <v>0.41567710000000002</v>
      </c>
      <c r="Z1970">
        <v>0.1408402</v>
      </c>
      <c r="AA1970">
        <v>0.89854140000000005</v>
      </c>
      <c r="AB1970">
        <v>21</v>
      </c>
      <c r="AC1970">
        <v>-4.84469999999998</v>
      </c>
      <c r="AD1970">
        <v>-1.1052382719859899</v>
      </c>
      <c r="AE1970">
        <v>-5.2907999999999902</v>
      </c>
      <c r="AF1970">
        <v>3.0362658814548702</v>
      </c>
      <c r="AG1970">
        <v>-1.1052382719859899</v>
      </c>
      <c r="AH1970">
        <v>6.3155348454079201</v>
      </c>
      <c r="AI1970">
        <v>98.962995678617304</v>
      </c>
      <c r="AJ1970">
        <v>64.323545014936798</v>
      </c>
      <c r="AK1970">
        <v>7.0941132302995502</v>
      </c>
      <c r="AL1970">
        <v>68.375905922764105</v>
      </c>
      <c r="AM1970">
        <v>72.595302484543893</v>
      </c>
      <c r="AN1970">
        <v>0.99999997112432903</v>
      </c>
    </row>
    <row r="1971" spans="1:40" x14ac:dyDescent="0.25">
      <c r="A1971" t="str">
        <f>"20190304164129178"</f>
        <v>20190304164129178</v>
      </c>
      <c r="B1971" t="str">
        <f>"1551688889173126"</f>
        <v>1551688889173126</v>
      </c>
      <c r="C1971" t="s">
        <v>40</v>
      </c>
      <c r="D1971">
        <v>4.681095</v>
      </c>
      <c r="E1971">
        <v>0.58287599999999995</v>
      </c>
      <c r="F1971" t="s">
        <v>45</v>
      </c>
      <c r="G1971">
        <v>-199.1986</v>
      </c>
      <c r="H1971" s="1">
        <v>1.7287179999999999E-6</v>
      </c>
      <c r="I1971">
        <v>290.18279999999999</v>
      </c>
      <c r="J1971">
        <v>-194.4119</v>
      </c>
      <c r="K1971">
        <v>1.1050610000000001</v>
      </c>
      <c r="L1971">
        <v>295.29230000000001</v>
      </c>
      <c r="M1971">
        <v>-0.29838510000000001</v>
      </c>
      <c r="N1971">
        <v>-1.194724E-2</v>
      </c>
      <c r="O1971">
        <v>-0.95437099999999997</v>
      </c>
      <c r="P1971">
        <v>-0.52769379999999999</v>
      </c>
      <c r="Q1971">
        <v>0.35864390000000002</v>
      </c>
      <c r="R1971">
        <v>-0.77000930000000001</v>
      </c>
      <c r="S1971">
        <v>-2.3399809999999999</v>
      </c>
      <c r="T1971">
        <v>-0.53259559999999995</v>
      </c>
      <c r="U1971">
        <v>-2.5541689999999999</v>
      </c>
      <c r="V1971">
        <v>0.27908729999999998</v>
      </c>
      <c r="W1971">
        <v>0.3653573</v>
      </c>
      <c r="X1971">
        <v>0.88804530000000004</v>
      </c>
      <c r="Y1971">
        <v>0.41705959999999997</v>
      </c>
      <c r="Z1971">
        <v>0.1445951</v>
      </c>
      <c r="AA1971">
        <v>0.89730350000000003</v>
      </c>
      <c r="AB1971">
        <v>21</v>
      </c>
      <c r="AC1971">
        <v>-4.78669999999999</v>
      </c>
      <c r="AD1971">
        <v>-1.105059271282</v>
      </c>
      <c r="AE1971">
        <v>-5.1095000000000201</v>
      </c>
      <c r="AF1971">
        <v>2.96992002980845</v>
      </c>
      <c r="AG1971">
        <v>-1.105059271282</v>
      </c>
      <c r="AH1971">
        <v>6.1518349687804701</v>
      </c>
      <c r="AI1971">
        <v>99.188916054041798</v>
      </c>
      <c r="AJ1971">
        <v>64.230153728118594</v>
      </c>
      <c r="AK1971">
        <v>6.9200183857858297</v>
      </c>
      <c r="AL1971">
        <v>68.570428284244201</v>
      </c>
      <c r="AM1971">
        <v>72.553554458791595</v>
      </c>
      <c r="AN1971">
        <v>1.0000000662683299</v>
      </c>
    </row>
    <row r="1972" spans="1:40" x14ac:dyDescent="0.25">
      <c r="A1972" t="str">
        <f>"20190304164129200"</f>
        <v>20190304164129200</v>
      </c>
      <c r="B1972" t="str">
        <f>"1551688889193623"</f>
        <v>1551688889193623</v>
      </c>
      <c r="C1972" t="s">
        <v>40</v>
      </c>
      <c r="D1972">
        <v>4.6633570000000004</v>
      </c>
      <c r="E1972">
        <v>0.58268640000000005</v>
      </c>
      <c r="F1972" t="s">
        <v>45</v>
      </c>
      <c r="G1972">
        <v>-199.21360000000001</v>
      </c>
      <c r="H1972" s="1">
        <v>1.7300099999999901E-6</v>
      </c>
      <c r="I1972">
        <v>290.16789999999997</v>
      </c>
      <c r="J1972">
        <v>-194.48609999999999</v>
      </c>
      <c r="K1972">
        <v>1.104857</v>
      </c>
      <c r="L1972">
        <v>295.09480000000002</v>
      </c>
      <c r="M1972">
        <v>-0.30832270000000001</v>
      </c>
      <c r="N1972">
        <v>-1.1974E-2</v>
      </c>
      <c r="O1972">
        <v>-0.95120660000000001</v>
      </c>
      <c r="P1972">
        <v>-0.53569909999999998</v>
      </c>
      <c r="Q1972">
        <v>0.35722769999999998</v>
      </c>
      <c r="R1972">
        <v>-0.76512380000000002</v>
      </c>
      <c r="S1972">
        <v>-2.3679199999999998</v>
      </c>
      <c r="T1972">
        <v>-0.54495729999999998</v>
      </c>
      <c r="U1972">
        <v>-2.527069</v>
      </c>
      <c r="V1972">
        <v>0.27903929999999999</v>
      </c>
      <c r="W1972">
        <v>0.36384359999999999</v>
      </c>
      <c r="X1972">
        <v>0.88868150000000001</v>
      </c>
      <c r="Y1972">
        <v>0.41730909999999899</v>
      </c>
      <c r="Z1972">
        <v>0.148063</v>
      </c>
      <c r="AA1972">
        <v>0.89662169999999897</v>
      </c>
      <c r="AB1972">
        <v>21</v>
      </c>
      <c r="AC1972">
        <v>-4.7275000000000196</v>
      </c>
      <c r="AD1972">
        <v>-1.1048552699900001</v>
      </c>
      <c r="AE1972">
        <v>-4.9269000000000398</v>
      </c>
      <c r="AF1972">
        <v>2.9019869953297901</v>
      </c>
      <c r="AG1972">
        <v>-1.1048552699900001</v>
      </c>
      <c r="AH1972">
        <v>5.9877626875399397</v>
      </c>
      <c r="AI1972">
        <v>99.427686716792294</v>
      </c>
      <c r="AJ1972">
        <v>64.142713721419099</v>
      </c>
      <c r="AK1972">
        <v>6.7450378568977198</v>
      </c>
      <c r="AL1972">
        <v>68.663565742630297</v>
      </c>
      <c r="AM1972">
        <v>72.568104071881393</v>
      </c>
      <c r="AN1972">
        <v>0.99999995232384797</v>
      </c>
    </row>
    <row r="1973" spans="1:40" x14ac:dyDescent="0.25">
      <c r="A1973" t="str">
        <f>"20190304164129221"</f>
        <v>20190304164129221</v>
      </c>
      <c r="B1973" t="str">
        <f>"1551688889213143"</f>
        <v>1551688889213143</v>
      </c>
      <c r="C1973" t="s">
        <v>40</v>
      </c>
      <c r="D1973">
        <v>4.6436710000000003</v>
      </c>
      <c r="E1973">
        <v>0.58251070000000005</v>
      </c>
      <c r="F1973" t="s">
        <v>45</v>
      </c>
      <c r="G1973">
        <v>-199.30709999999999</v>
      </c>
      <c r="H1973" s="1">
        <v>1.739467E-6</v>
      </c>
      <c r="I1973">
        <v>290.06709999999998</v>
      </c>
      <c r="J1973">
        <v>-194.56020000000001</v>
      </c>
      <c r="K1973">
        <v>1.104641</v>
      </c>
      <c r="L1973">
        <v>294.90469999999999</v>
      </c>
      <c r="M1973">
        <v>-0.31821539999999998</v>
      </c>
      <c r="N1973">
        <v>-1.200734E-2</v>
      </c>
      <c r="O1973">
        <v>-0.94794239999999996</v>
      </c>
      <c r="P1973">
        <v>-0.54576000000000002</v>
      </c>
      <c r="Q1973">
        <v>0.356197599999999</v>
      </c>
      <c r="R1973">
        <v>-0.75846519999999995</v>
      </c>
      <c r="S1973">
        <v>-2.396652</v>
      </c>
      <c r="T1973">
        <v>-0.5492551</v>
      </c>
      <c r="U1973">
        <v>-2.4994200000000002</v>
      </c>
      <c r="V1973">
        <v>0.28154489999999999</v>
      </c>
      <c r="W1973">
        <v>0.36266409999999999</v>
      </c>
      <c r="X1973">
        <v>0.88837339999999998</v>
      </c>
      <c r="Y1973">
        <v>0.41805829999999999</v>
      </c>
      <c r="Z1973">
        <v>0.14919579999999999</v>
      </c>
      <c r="AA1973">
        <v>0.89608480000000001</v>
      </c>
      <c r="AB1973">
        <v>21</v>
      </c>
      <c r="AC1973">
        <v>-4.7468999999999797</v>
      </c>
      <c r="AD1973">
        <v>-1.104639260533</v>
      </c>
      <c r="AE1973">
        <v>-4.8376000000000001</v>
      </c>
      <c r="AF1973">
        <v>2.88399207022663</v>
      </c>
      <c r="AG1973">
        <v>-1.104639260533</v>
      </c>
      <c r="AH1973">
        <v>5.9389793971590104</v>
      </c>
      <c r="AI1973">
        <v>99.498412012581795</v>
      </c>
      <c r="AJ1973">
        <v>64.098605575172201</v>
      </c>
      <c r="AK1973">
        <v>6.69396104238142</v>
      </c>
      <c r="AL1973">
        <v>68.736102925147705</v>
      </c>
      <c r="AM1973">
        <v>72.415456228209806</v>
      </c>
      <c r="AN1973">
        <v>1.0000000389861801</v>
      </c>
    </row>
    <row r="1974" spans="1:40" x14ac:dyDescent="0.25">
      <c r="A1974" t="str">
        <f>"20190304164129245"</f>
        <v>20190304164129245</v>
      </c>
      <c r="B1974" t="str">
        <f>"1551688889232662"</f>
        <v>1551688889232662</v>
      </c>
      <c r="C1974" t="s">
        <v>40</v>
      </c>
      <c r="D1974">
        <v>4.643351</v>
      </c>
      <c r="E1974">
        <v>0.5823469</v>
      </c>
      <c r="F1974" t="s">
        <v>45</v>
      </c>
      <c r="G1974">
        <v>-199.40790000000001</v>
      </c>
      <c r="H1974" s="1">
        <v>1.7461009999999999E-6</v>
      </c>
      <c r="I1974">
        <v>289.97859999999997</v>
      </c>
      <c r="J1974">
        <v>-194.64269999999999</v>
      </c>
      <c r="K1974">
        <v>1.1043959999999999</v>
      </c>
      <c r="L1974">
        <v>294.70119999999997</v>
      </c>
      <c r="M1974">
        <v>-0.32924910000000002</v>
      </c>
      <c r="N1974">
        <v>-1.204848E-2</v>
      </c>
      <c r="O1974">
        <v>-0.94416639999999996</v>
      </c>
      <c r="P1974">
        <v>-0.55793669999999995</v>
      </c>
      <c r="Q1974">
        <v>0.35641</v>
      </c>
      <c r="R1974">
        <v>-0.74945220000000001</v>
      </c>
      <c r="S1974">
        <v>-2.428528</v>
      </c>
      <c r="T1974">
        <v>-0.55337419999999904</v>
      </c>
      <c r="U1974">
        <v>-2.467743</v>
      </c>
      <c r="V1974">
        <v>0.2858</v>
      </c>
      <c r="W1974">
        <v>0.36266500000000002</v>
      </c>
      <c r="X1974">
        <v>0.88701319999999995</v>
      </c>
      <c r="Y1974">
        <v>0.41899199999999998</v>
      </c>
      <c r="Z1974">
        <v>0.1502551</v>
      </c>
      <c r="AA1974">
        <v>0.89547149999999998</v>
      </c>
      <c r="AB1974">
        <v>21</v>
      </c>
      <c r="AC1974">
        <v>-4.7652000000000196</v>
      </c>
      <c r="AD1974">
        <v>-1.1043942538989999</v>
      </c>
      <c r="AE1974">
        <v>-4.7225999999999999</v>
      </c>
      <c r="AF1974">
        <v>2.8667595027220099</v>
      </c>
      <c r="AG1974">
        <v>-1.1043942538989999</v>
      </c>
      <c r="AH1974">
        <v>5.8692492653744397</v>
      </c>
      <c r="AI1974">
        <v>99.596565607152201</v>
      </c>
      <c r="AJ1974">
        <v>63.967397285059</v>
      </c>
      <c r="AK1974">
        <v>6.62465724800842</v>
      </c>
      <c r="AL1974">
        <v>68.736046267690696</v>
      </c>
      <c r="AM1974">
        <v>72.140805034565503</v>
      </c>
      <c r="AN1974">
        <v>0.99999997959961895</v>
      </c>
    </row>
    <row r="1975" spans="1:40" x14ac:dyDescent="0.25">
      <c r="A1975" t="str">
        <f>"20190304164129265"</f>
        <v>20190304164129265</v>
      </c>
      <c r="B1975" t="str">
        <f>"1551688889253158"</f>
        <v>1551688889253158</v>
      </c>
      <c r="C1975" t="s">
        <v>40</v>
      </c>
      <c r="D1975">
        <v>4.5327970000000004</v>
      </c>
      <c r="E1975">
        <v>0.58221140000000005</v>
      </c>
      <c r="F1975" t="s">
        <v>45</v>
      </c>
      <c r="G1975">
        <v>-199.55709999999999</v>
      </c>
      <c r="H1975" s="1">
        <v>1.7549969999999901E-6</v>
      </c>
      <c r="I1975">
        <v>289.85300000000001</v>
      </c>
      <c r="J1975">
        <v>-194.7165</v>
      </c>
      <c r="K1975">
        <v>1.104168</v>
      </c>
      <c r="L1975">
        <v>294.5258</v>
      </c>
      <c r="M1975">
        <v>-0.33910659999999998</v>
      </c>
      <c r="N1975">
        <v>-1.2084360000000001E-2</v>
      </c>
      <c r="O1975">
        <v>-0.94067049999999997</v>
      </c>
      <c r="P1975">
        <v>-0.56869599999999998</v>
      </c>
      <c r="Q1975">
        <v>0.35697289999999998</v>
      </c>
      <c r="R1975">
        <v>-0.74105049999999995</v>
      </c>
      <c r="S1975">
        <v>-2.4646759999999999</v>
      </c>
      <c r="T1975">
        <v>-0.5538883</v>
      </c>
      <c r="U1975">
        <v>-2.4314879999999999</v>
      </c>
      <c r="V1975">
        <v>0.28964269999999998</v>
      </c>
      <c r="W1975">
        <v>0.36302489999999998</v>
      </c>
      <c r="X1975">
        <v>0.88561840000000003</v>
      </c>
      <c r="Y1975">
        <v>0.42273630000000001</v>
      </c>
      <c r="Z1975">
        <v>0.150368</v>
      </c>
      <c r="AA1975">
        <v>0.89369089999999995</v>
      </c>
      <c r="AB1975">
        <v>21</v>
      </c>
      <c r="AC1975">
        <v>-4.8405999999999896</v>
      </c>
      <c r="AD1975">
        <v>-1.1041662450030001</v>
      </c>
      <c r="AE1975">
        <v>-4.6727999999999899</v>
      </c>
      <c r="AF1975">
        <v>2.89117915183928</v>
      </c>
      <c r="AG1975">
        <v>-1.1041662450030001</v>
      </c>
      <c r="AH1975">
        <v>5.8791388268345104</v>
      </c>
      <c r="AI1975">
        <v>99.566409621670203</v>
      </c>
      <c r="AJ1975">
        <v>63.8134635296271</v>
      </c>
      <c r="AK1975">
        <v>6.64397270688458</v>
      </c>
      <c r="AL1975">
        <v>68.713917010827998</v>
      </c>
      <c r="AM1975">
        <v>71.889596978118703</v>
      </c>
      <c r="AN1975">
        <v>0.99999996105092903</v>
      </c>
    </row>
    <row r="1976" spans="1:40" x14ac:dyDescent="0.25">
      <c r="A1976" t="str">
        <f>"20190304164129290"</f>
        <v>20190304164129290</v>
      </c>
      <c r="B1976" t="str">
        <f>"1551688889283414"</f>
        <v>1551688889283414</v>
      </c>
      <c r="C1976" t="s">
        <v>40</v>
      </c>
      <c r="D1976">
        <v>4.4977099999999997</v>
      </c>
      <c r="E1976">
        <v>0.58210019999999996</v>
      </c>
      <c r="F1976" t="s">
        <v>45</v>
      </c>
      <c r="G1976">
        <v>-199.71129999999999</v>
      </c>
      <c r="H1976" s="1">
        <v>1.7644659999999999E-6</v>
      </c>
      <c r="I1976">
        <v>289.73059999999998</v>
      </c>
      <c r="J1976">
        <v>-194.8126</v>
      </c>
      <c r="K1976">
        <v>1.103888</v>
      </c>
      <c r="L1976">
        <v>294.30630000000002</v>
      </c>
      <c r="M1976">
        <v>-0.35189789999999999</v>
      </c>
      <c r="N1976">
        <v>-1.2128750000000001E-2</v>
      </c>
      <c r="O1976">
        <v>-0.93595980000000001</v>
      </c>
      <c r="P1976">
        <v>-0.58075889999999997</v>
      </c>
      <c r="Q1976">
        <v>0.35671320000000001</v>
      </c>
      <c r="R1976">
        <v>-0.73176149999999995</v>
      </c>
      <c r="S1976">
        <v>-2.497452</v>
      </c>
      <c r="T1976">
        <v>-0.55209229999999998</v>
      </c>
      <c r="U1976">
        <v>-2.3976440000000001</v>
      </c>
      <c r="V1976">
        <v>0.29228280000000001</v>
      </c>
      <c r="W1976">
        <v>0.36256189999999999</v>
      </c>
      <c r="X1976">
        <v>0.88494039999999996</v>
      </c>
      <c r="Y1976">
        <v>0.42265059999999899</v>
      </c>
      <c r="Z1976">
        <v>0.14962929999999999</v>
      </c>
      <c r="AA1976">
        <v>0.89385539999999997</v>
      </c>
      <c r="AB1976">
        <v>21</v>
      </c>
      <c r="AC1976">
        <v>-4.8986999999999901</v>
      </c>
      <c r="AD1976">
        <v>-1.103886235534</v>
      </c>
      <c r="AE1976">
        <v>-4.5757000000000403</v>
      </c>
      <c r="AF1976">
        <v>2.8964768785542998</v>
      </c>
      <c r="AG1976">
        <v>-1.103886235534</v>
      </c>
      <c r="AH1976">
        <v>5.8483549261097396</v>
      </c>
      <c r="AI1976">
        <v>99.600359151415603</v>
      </c>
      <c r="AJ1976">
        <v>63.652463884777099</v>
      </c>
      <c r="AK1976">
        <v>6.6190179385429397</v>
      </c>
      <c r="AL1976">
        <v>68.7423839660037</v>
      </c>
      <c r="AM1976">
        <v>71.722370458204495</v>
      </c>
      <c r="AN1976">
        <v>0.999999939029803</v>
      </c>
    </row>
    <row r="1977" spans="1:40" x14ac:dyDescent="0.25">
      <c r="A1977" t="str">
        <f>"20190304164129311"</f>
        <v>20190304164129311</v>
      </c>
      <c r="B1977" t="str">
        <f>"1551688889302935"</f>
        <v>1551688889302935</v>
      </c>
      <c r="C1977" t="s">
        <v>40</v>
      </c>
      <c r="D1977">
        <v>4.505261</v>
      </c>
      <c r="E1977">
        <v>0.58200799999999997</v>
      </c>
      <c r="F1977" t="s">
        <v>45</v>
      </c>
      <c r="G1977">
        <v>-199.9127</v>
      </c>
      <c r="H1977" s="1">
        <v>1.7723219999999999E-6</v>
      </c>
      <c r="I1977">
        <v>289.57990000000001</v>
      </c>
      <c r="J1977">
        <v>-194.8954</v>
      </c>
      <c r="K1977">
        <v>1.103661</v>
      </c>
      <c r="L1977">
        <v>294.12419999999997</v>
      </c>
      <c r="M1977">
        <v>-0.36289090000000002</v>
      </c>
      <c r="N1977">
        <v>-1.216295E-2</v>
      </c>
      <c r="O1977">
        <v>-0.93175249999999998</v>
      </c>
      <c r="P1977">
        <v>-0.59054629999999997</v>
      </c>
      <c r="Q1977">
        <v>0.35879620000000001</v>
      </c>
      <c r="R1977">
        <v>-0.72285600000000005</v>
      </c>
      <c r="S1977">
        <v>-2.5387569999999999</v>
      </c>
      <c r="T1977">
        <v>-0.54949519999999996</v>
      </c>
      <c r="U1977">
        <v>-2.3526919999999998</v>
      </c>
      <c r="V1977">
        <v>0.29438300000000001</v>
      </c>
      <c r="W1977">
        <v>0.36446279999999998</v>
      </c>
      <c r="X1977">
        <v>0.88346229999999903</v>
      </c>
      <c r="Y1977">
        <v>0.4278421</v>
      </c>
      <c r="Z1977">
        <v>0.148899</v>
      </c>
      <c r="AA1977">
        <v>0.89150450000000003</v>
      </c>
      <c r="AB1977">
        <v>21</v>
      </c>
      <c r="AC1977">
        <v>-5.0172999999999996</v>
      </c>
      <c r="AD1977">
        <v>-1.103659227678</v>
      </c>
      <c r="AE1977">
        <v>-4.5442999999999598</v>
      </c>
      <c r="AF1977">
        <v>2.9476668156152899</v>
      </c>
      <c r="AG1977">
        <v>-1.103659227678</v>
      </c>
      <c r="AH1977">
        <v>5.8985503651019799</v>
      </c>
      <c r="AI1977">
        <v>99.50162208575</v>
      </c>
      <c r="AJ1977">
        <v>63.4474485297605</v>
      </c>
      <c r="AK1977">
        <v>6.68578340633041</v>
      </c>
      <c r="AL1977">
        <v>68.625475089244901</v>
      </c>
      <c r="AM1977">
        <v>71.571146990422704</v>
      </c>
      <c r="AN1977">
        <v>1.0000000593970599</v>
      </c>
    </row>
    <row r="1978" spans="1:40" x14ac:dyDescent="0.25">
      <c r="A1978" t="str">
        <f>"20190304164129334"</f>
        <v>20190304164129334</v>
      </c>
      <c r="B1978" t="str">
        <f>"1551688889323431"</f>
        <v>1551688889323431</v>
      </c>
      <c r="C1978" t="s">
        <v>40</v>
      </c>
      <c r="D1978">
        <v>4.5034669999999997</v>
      </c>
      <c r="E1978">
        <v>0.58186850000000001</v>
      </c>
      <c r="F1978" t="s">
        <v>45</v>
      </c>
      <c r="G1978">
        <v>-200.1807</v>
      </c>
      <c r="H1978" s="1">
        <v>1.8802509999999999E-6</v>
      </c>
      <c r="I1978">
        <v>289.38479999999998</v>
      </c>
      <c r="J1978">
        <v>-194.9847</v>
      </c>
      <c r="K1978">
        <v>1.10341</v>
      </c>
      <c r="L1978">
        <v>293.9348</v>
      </c>
      <c r="M1978">
        <v>-0.37474439999999998</v>
      </c>
      <c r="N1978">
        <v>-1.219959E-2</v>
      </c>
      <c r="O1978">
        <v>-0.92704810000000004</v>
      </c>
      <c r="P1978">
        <v>-0.60143570000000002</v>
      </c>
      <c r="Q1978">
        <v>0.3635121</v>
      </c>
      <c r="R1978">
        <v>-0.71143129999999999</v>
      </c>
      <c r="S1978">
        <v>-2.577744</v>
      </c>
      <c r="T1978">
        <v>-0.53827209999999903</v>
      </c>
      <c r="U1978">
        <v>-2.3114620000000001</v>
      </c>
      <c r="V1978">
        <v>0.29771930000000002</v>
      </c>
      <c r="W1978">
        <v>0.36894060000000001</v>
      </c>
      <c r="X1978">
        <v>0.88048059999999995</v>
      </c>
      <c r="Y1978">
        <v>0.4313398</v>
      </c>
      <c r="Z1978">
        <v>0.14555000000000001</v>
      </c>
      <c r="AA1978">
        <v>0.89037140000000004</v>
      </c>
      <c r="AB1978">
        <v>21</v>
      </c>
      <c r="AC1978">
        <v>-5.19599999999999</v>
      </c>
      <c r="AD1978">
        <v>-1.103408119749</v>
      </c>
      <c r="AE1978">
        <v>-4.5500000000000096</v>
      </c>
      <c r="AF1978">
        <v>3.0346305615635201</v>
      </c>
      <c r="AG1978">
        <v>-1.103408119749</v>
      </c>
      <c r="AH1978">
        <v>6.01224304388683</v>
      </c>
      <c r="AI1978">
        <v>99.304642582505593</v>
      </c>
      <c r="AJ1978">
        <v>63.218011816504202</v>
      </c>
      <c r="AK1978">
        <v>6.82448229118289</v>
      </c>
      <c r="AL1978">
        <v>68.349704223051802</v>
      </c>
      <c r="AM1978">
        <v>71.317922402376695</v>
      </c>
      <c r="AN1978">
        <v>1.0000000174485999</v>
      </c>
    </row>
    <row r="1979" spans="1:40" x14ac:dyDescent="0.25">
      <c r="A1979" t="str">
        <f>"20190304164129358"</f>
        <v>20190304164129358</v>
      </c>
      <c r="B1979" t="str">
        <f>"1551688889342951"</f>
        <v>1551688889342951</v>
      </c>
      <c r="C1979" t="s">
        <v>40</v>
      </c>
      <c r="D1979">
        <v>4.4989080000000001</v>
      </c>
      <c r="E1979">
        <v>0.58172760000000001</v>
      </c>
      <c r="F1979" t="s">
        <v>45</v>
      </c>
      <c r="G1979">
        <v>-200.5352</v>
      </c>
      <c r="H1979" s="1">
        <v>2.0606709999999999E-6</v>
      </c>
      <c r="I1979">
        <v>289.11919999999998</v>
      </c>
      <c r="J1979">
        <v>-195.08629999999999</v>
      </c>
      <c r="K1979">
        <v>1.1031040000000001</v>
      </c>
      <c r="L1979">
        <v>293.72800000000001</v>
      </c>
      <c r="M1979">
        <v>-0.38822069999999997</v>
      </c>
      <c r="N1979">
        <v>-1.2248759999999999E-2</v>
      </c>
      <c r="O1979">
        <v>-0.92148490000000005</v>
      </c>
      <c r="P1979">
        <v>-0.61380679999999999</v>
      </c>
      <c r="Q1979">
        <v>0.36634090000000002</v>
      </c>
      <c r="R1979">
        <v>-0.69931069999999995</v>
      </c>
      <c r="S1979">
        <v>-2.6169280000000001</v>
      </c>
      <c r="T1979">
        <v>-0.5202329</v>
      </c>
      <c r="U1979">
        <v>-2.2704469999999999</v>
      </c>
      <c r="V1979">
        <v>0.30121540000000002</v>
      </c>
      <c r="W1979">
        <v>0.37150670000000002</v>
      </c>
      <c r="X1979">
        <v>0.87820959999999904</v>
      </c>
      <c r="Y1979">
        <v>0.4334153</v>
      </c>
      <c r="Z1979">
        <v>0.14010899999999901</v>
      </c>
      <c r="AA1979">
        <v>0.89023629999999998</v>
      </c>
      <c r="AB1979">
        <v>21</v>
      </c>
      <c r="AC1979">
        <v>-5.4489000000000001</v>
      </c>
      <c r="AD1979">
        <v>-1.103101939329</v>
      </c>
      <c r="AE1979">
        <v>-4.6088000000000298</v>
      </c>
      <c r="AF1979">
        <v>3.1566725418963699</v>
      </c>
      <c r="AG1979">
        <v>-1.103101939329</v>
      </c>
      <c r="AH1979">
        <v>6.2143236034973599</v>
      </c>
      <c r="AI1979">
        <v>98.993146424453997</v>
      </c>
      <c r="AJ1979">
        <v>63.070924429822398</v>
      </c>
      <c r="AK1979">
        <v>7.0568571810897804</v>
      </c>
      <c r="AL1979">
        <v>68.191431117442605</v>
      </c>
      <c r="AM1979">
        <v>71.068644263266194</v>
      </c>
      <c r="AN1979">
        <v>1.0000000234371</v>
      </c>
    </row>
    <row r="1980" spans="1:40" x14ac:dyDescent="0.25">
      <c r="A1980" t="str">
        <f>"20190304164129380"</f>
        <v>20190304164129380</v>
      </c>
      <c r="B1980" t="str">
        <f>"1551688889373206"</f>
        <v>1551688889373206</v>
      </c>
      <c r="C1980" t="s">
        <v>40</v>
      </c>
      <c r="D1980">
        <v>4.544225</v>
      </c>
      <c r="E1980">
        <v>0.58153520000000003</v>
      </c>
      <c r="F1980" t="s">
        <v>45</v>
      </c>
      <c r="G1980">
        <v>-200.82259999999999</v>
      </c>
      <c r="H1980" s="1">
        <v>2.2060309999999999E-6</v>
      </c>
      <c r="I1980">
        <v>288.9144</v>
      </c>
      <c r="J1980">
        <v>-195.1763</v>
      </c>
      <c r="K1980">
        <v>1.1028340000000001</v>
      </c>
      <c r="L1980">
        <v>293.55200000000002</v>
      </c>
      <c r="M1980">
        <v>-0.40016449999999998</v>
      </c>
      <c r="N1980">
        <v>-1.2302240000000001E-2</v>
      </c>
      <c r="O1980">
        <v>-0.91636099999999998</v>
      </c>
      <c r="P1980">
        <v>-0.62244919999999904</v>
      </c>
      <c r="Q1980">
        <v>0.36695689999999997</v>
      </c>
      <c r="R1980">
        <v>-0.69130329999999995</v>
      </c>
      <c r="S1980">
        <v>-2.6544340000000002</v>
      </c>
      <c r="T1980">
        <v>-0.51045269999999998</v>
      </c>
      <c r="U1980">
        <v>-2.2274780000000001</v>
      </c>
      <c r="V1980">
        <v>0.30111019999999999</v>
      </c>
      <c r="W1980">
        <v>0.37196790000000002</v>
      </c>
      <c r="X1980">
        <v>0.87805040000000001</v>
      </c>
      <c r="Y1980">
        <v>0.43671310000000002</v>
      </c>
      <c r="Z1980">
        <v>0.13714119999999999</v>
      </c>
      <c r="AA1980">
        <v>0.88908600000000004</v>
      </c>
      <c r="AB1980">
        <v>21</v>
      </c>
      <c r="AC1980">
        <v>-5.6462999999999903</v>
      </c>
      <c r="AD1980">
        <v>-1.102831793969</v>
      </c>
      <c r="AE1980">
        <v>-4.6376000000000097</v>
      </c>
      <c r="AF1980">
        <v>3.2445814837548901</v>
      </c>
      <c r="AG1980">
        <v>-1.102831793969</v>
      </c>
      <c r="AH1980">
        <v>6.3646617656198101</v>
      </c>
      <c r="AI1980">
        <v>98.7756211451876</v>
      </c>
      <c r="AJ1980">
        <v>62.988392456957101</v>
      </c>
      <c r="AK1980">
        <v>7.2285867471627299</v>
      </c>
      <c r="AL1980">
        <v>68.162965657395802</v>
      </c>
      <c r="AM1980">
        <v>71.071598378247401</v>
      </c>
      <c r="AN1980">
        <v>0.99999998805730494</v>
      </c>
    </row>
    <row r="1981" spans="1:40" x14ac:dyDescent="0.25">
      <c r="A1981" t="str">
        <f>"20190304164129400"</f>
        <v>20190304164129400</v>
      </c>
      <c r="B1981" t="str">
        <f>"1551688889392727"</f>
        <v>1551688889392727</v>
      </c>
      <c r="C1981" t="s">
        <v>40</v>
      </c>
      <c r="D1981">
        <v>4.8308720000000003</v>
      </c>
      <c r="E1981">
        <v>0.58162239999999998</v>
      </c>
      <c r="F1981" t="s">
        <v>45</v>
      </c>
      <c r="G1981">
        <v>-201.0136</v>
      </c>
      <c r="H1981" s="1">
        <v>2.3022510000000001E-6</v>
      </c>
      <c r="I1981">
        <v>288.78269999999998</v>
      </c>
      <c r="J1981">
        <v>-195.27070000000001</v>
      </c>
      <c r="K1981">
        <v>1.102536</v>
      </c>
      <c r="L1981">
        <v>293.37450000000001</v>
      </c>
      <c r="M1981">
        <v>-0.41264030000000002</v>
      </c>
      <c r="N1981">
        <v>-1.236597E-2</v>
      </c>
      <c r="O1981">
        <v>-0.91081020000000001</v>
      </c>
      <c r="P1981">
        <v>-0.63005339999999999</v>
      </c>
      <c r="Q1981">
        <v>0.36667689999999997</v>
      </c>
      <c r="R1981">
        <v>-0.68452990000000002</v>
      </c>
      <c r="S1981">
        <v>-2.6834560000000001</v>
      </c>
      <c r="T1981">
        <v>-0.50698350000000003</v>
      </c>
      <c r="U1981">
        <v>-2.1925050000000001</v>
      </c>
      <c r="V1981">
        <v>0.29901889999999998</v>
      </c>
      <c r="W1981">
        <v>0.37158330000000001</v>
      </c>
      <c r="X1981">
        <v>0.87892749999999997</v>
      </c>
      <c r="Y1981">
        <v>0.43625609999999998</v>
      </c>
      <c r="Z1981">
        <v>0.13581079999999901</v>
      </c>
      <c r="AA1981">
        <v>0.88951449999999999</v>
      </c>
      <c r="AB1981">
        <v>21</v>
      </c>
      <c r="AC1981">
        <v>-5.7428999999999899</v>
      </c>
      <c r="AD1981">
        <v>-1.1025336977489999</v>
      </c>
      <c r="AE1981">
        <v>-4.5918000000000303</v>
      </c>
      <c r="AF1981">
        <v>3.26282537014455</v>
      </c>
      <c r="AG1981">
        <v>-1.1025336977489999</v>
      </c>
      <c r="AH1981">
        <v>6.40842709809254</v>
      </c>
      <c r="AI1981">
        <v>98.7164958170939</v>
      </c>
      <c r="AJ1981">
        <v>63.0172600905005</v>
      </c>
      <c r="AK1981">
        <v>7.2752696047842598</v>
      </c>
      <c r="AL1981">
        <v>68.1867033413467</v>
      </c>
      <c r="AM1981">
        <v>71.211242011748794</v>
      </c>
      <c r="AN1981">
        <v>1.00000000082617</v>
      </c>
    </row>
    <row r="1982" spans="1:40" x14ac:dyDescent="0.25">
      <c r="A1982" t="str">
        <f>"20190304164129423"</f>
        <v>20190304164129423</v>
      </c>
      <c r="B1982" t="str">
        <f>"1551688889413223"</f>
        <v>1551688889413223</v>
      </c>
      <c r="C1982" t="s">
        <v>40</v>
      </c>
      <c r="D1982">
        <v>4.7921319999999996</v>
      </c>
      <c r="E1982">
        <v>0.5920784</v>
      </c>
      <c r="F1982" t="s">
        <v>45</v>
      </c>
      <c r="G1982">
        <v>-201.1789</v>
      </c>
      <c r="H1982" s="1">
        <v>2.384984E-6</v>
      </c>
      <c r="I1982">
        <v>288.67500000000001</v>
      </c>
      <c r="J1982">
        <v>-195.37629999999999</v>
      </c>
      <c r="K1982">
        <v>1.102225</v>
      </c>
      <c r="L1982">
        <v>293.18369999999999</v>
      </c>
      <c r="M1982">
        <v>-0.42652630000000002</v>
      </c>
      <c r="N1982">
        <v>-1.2442089999999999E-2</v>
      </c>
      <c r="O1982">
        <v>-0.90438960000000002</v>
      </c>
      <c r="P1982">
        <v>-0.63920589999999999</v>
      </c>
      <c r="Q1982">
        <v>0.36658479999999999</v>
      </c>
      <c r="R1982">
        <v>-0.676041</v>
      </c>
      <c r="S1982">
        <v>-2.712234</v>
      </c>
      <c r="T1982">
        <v>-0.50612769999999996</v>
      </c>
      <c r="U1982">
        <v>-2.157349</v>
      </c>
      <c r="V1982">
        <v>0.2976549</v>
      </c>
      <c r="W1982">
        <v>0.37136760000000002</v>
      </c>
      <c r="X1982">
        <v>0.87948139999999997</v>
      </c>
      <c r="Y1982">
        <v>0.43424689999999999</v>
      </c>
      <c r="Z1982">
        <v>0.13507629999999901</v>
      </c>
      <c r="AA1982">
        <v>0.89060879999999998</v>
      </c>
      <c r="AB1982">
        <v>21</v>
      </c>
      <c r="AC1982">
        <v>-5.8026000000000098</v>
      </c>
      <c r="AD1982">
        <v>-1.1022226150159999</v>
      </c>
      <c r="AE1982">
        <v>-4.50869999999997</v>
      </c>
      <c r="AF1982">
        <v>3.2518275206248699</v>
      </c>
      <c r="AG1982">
        <v>-1.1022226150159999</v>
      </c>
      <c r="AH1982">
        <v>6.4088984099548201</v>
      </c>
      <c r="AI1982">
        <v>98.719521946120693</v>
      </c>
      <c r="AJ1982">
        <v>63.097100717951598</v>
      </c>
      <c r="AK1982">
        <v>7.2707121897423104</v>
      </c>
      <c r="AL1982">
        <v>68.200013008933396</v>
      </c>
      <c r="AM1982">
        <v>71.301936504494805</v>
      </c>
      <c r="AN1982">
        <v>0.99999993338486204</v>
      </c>
    </row>
    <row r="1983" spans="1:40" x14ac:dyDescent="0.25">
      <c r="A1983" t="str">
        <f>"20190304164129444"</f>
        <v>20190304164129444</v>
      </c>
      <c r="B1983" t="str">
        <f>"1551688889432742"</f>
        <v>1551688889432742</v>
      </c>
      <c r="C1983" t="s">
        <v>40</v>
      </c>
      <c r="D1983">
        <v>4.7821220000000002</v>
      </c>
      <c r="E1983">
        <v>0.5924374</v>
      </c>
      <c r="F1983" t="s">
        <v>45</v>
      </c>
      <c r="G1983">
        <v>-201.78229999999999</v>
      </c>
      <c r="H1983" s="1">
        <v>2.669406E-6</v>
      </c>
      <c r="I1983">
        <v>288.48230000000001</v>
      </c>
      <c r="J1983">
        <v>-195.47630000000001</v>
      </c>
      <c r="K1983">
        <v>1.101969</v>
      </c>
      <c r="L1983">
        <v>293.0102</v>
      </c>
      <c r="M1983">
        <v>-0.43956610000000002</v>
      </c>
      <c r="N1983">
        <v>-1.251382E-2</v>
      </c>
      <c r="O1983">
        <v>-0.89812309999999995</v>
      </c>
      <c r="P1983">
        <v>-0.64778910000000001</v>
      </c>
      <c r="Q1983">
        <v>0.36770419999999998</v>
      </c>
      <c r="R1983">
        <v>-0.66720579999999996</v>
      </c>
      <c r="S1983">
        <v>-2.7977599999999998</v>
      </c>
      <c r="T1983">
        <v>-0.48138120000000001</v>
      </c>
      <c r="U1983">
        <v>-2.0532840000000001</v>
      </c>
      <c r="V1983">
        <v>0.29669240000000002</v>
      </c>
      <c r="W1983">
        <v>0.37238310000000002</v>
      </c>
      <c r="X1983">
        <v>0.87937730000000003</v>
      </c>
      <c r="Y1983">
        <v>0.45646619999999999</v>
      </c>
      <c r="Z1983">
        <v>0.12839239999999999</v>
      </c>
      <c r="AA1983">
        <v>0.8804284</v>
      </c>
      <c r="AB1983">
        <v>21</v>
      </c>
      <c r="AC1983">
        <v>-6.3059999999999796</v>
      </c>
      <c r="AD1983">
        <v>-1.101966330594</v>
      </c>
      <c r="AE1983">
        <v>-4.5278999999999803</v>
      </c>
      <c r="AF1983">
        <v>3.60098425487555</v>
      </c>
      <c r="AG1983">
        <v>-1.101966330594</v>
      </c>
      <c r="AH1983">
        <v>6.7039724268413297</v>
      </c>
      <c r="AI1983">
        <v>98.239570300105697</v>
      </c>
      <c r="AJ1983">
        <v>61.757892929061803</v>
      </c>
      <c r="AK1983">
        <v>7.6892563813071897</v>
      </c>
      <c r="AL1983">
        <v>68.137335369068694</v>
      </c>
      <c r="AM1983">
        <v>71.356160854429802</v>
      </c>
      <c r="AN1983">
        <v>0.99999999456932998</v>
      </c>
    </row>
    <row r="1984" spans="1:40" x14ac:dyDescent="0.25">
      <c r="A1984" t="str">
        <f>"20190304164129467"</f>
        <v>20190304164129467</v>
      </c>
      <c r="B1984" t="str">
        <f>"1551688889462999"</f>
        <v>1551688889462999</v>
      </c>
      <c r="C1984" t="s">
        <v>40</v>
      </c>
      <c r="D1984">
        <v>4.7703249999999997</v>
      </c>
      <c r="E1984">
        <v>0.59263599999999905</v>
      </c>
      <c r="F1984" t="s">
        <v>45</v>
      </c>
      <c r="G1984">
        <v>-202.00210000000001</v>
      </c>
      <c r="H1984" s="1">
        <v>2.7778880000000002E-6</v>
      </c>
      <c r="I1984">
        <v>288.35610000000003</v>
      </c>
      <c r="J1984">
        <v>-195.58709999999999</v>
      </c>
      <c r="K1984">
        <v>1.1017490000000001</v>
      </c>
      <c r="L1984">
        <v>292.82560000000001</v>
      </c>
      <c r="M1984">
        <v>-0.45380120000000002</v>
      </c>
      <c r="N1984">
        <v>-1.2585519999999999E-2</v>
      </c>
      <c r="O1984">
        <v>-0.89101430000000004</v>
      </c>
      <c r="P1984">
        <v>-0.65736930000000005</v>
      </c>
      <c r="Q1984">
        <v>0.36814029999999998</v>
      </c>
      <c r="R1984">
        <v>-0.65752489999999997</v>
      </c>
      <c r="S1984">
        <v>-2.8260800000000001</v>
      </c>
      <c r="T1984">
        <v>-0.47722320000000001</v>
      </c>
      <c r="U1984">
        <v>-2.015533</v>
      </c>
      <c r="V1984">
        <v>0.2957381</v>
      </c>
      <c r="W1984">
        <v>0.37274550000000001</v>
      </c>
      <c r="X1984">
        <v>0.87954519999999903</v>
      </c>
      <c r="Y1984">
        <v>0.45448549999999899</v>
      </c>
      <c r="Z1984">
        <v>0.12668889999999999</v>
      </c>
      <c r="AA1984">
        <v>0.8816988</v>
      </c>
      <c r="AB1984">
        <v>21</v>
      </c>
      <c r="AC1984">
        <v>-6.4150000000000196</v>
      </c>
      <c r="AD1984">
        <v>-1.10174622211199</v>
      </c>
      <c r="AE1984">
        <v>-4.4694999999999796</v>
      </c>
      <c r="AF1984">
        <v>3.6160783645070098</v>
      </c>
      <c r="AG1984">
        <v>-1.10174622211199</v>
      </c>
      <c r="AH1984">
        <v>6.7598362149061</v>
      </c>
      <c r="AI1984">
        <v>98.178198647808401</v>
      </c>
      <c r="AJ1984">
        <v>61.856078886513103</v>
      </c>
      <c r="AK1984">
        <v>7.7450147274585497</v>
      </c>
      <c r="AL1984">
        <v>68.1149605473707</v>
      </c>
      <c r="AM1984">
        <v>71.415306765792295</v>
      </c>
      <c r="AN1984">
        <v>0.99999999520244998</v>
      </c>
    </row>
    <row r="1985" spans="1:40" x14ac:dyDescent="0.25">
      <c r="A1985" t="str">
        <f>"20190304164129491"</f>
        <v>20190304164129491</v>
      </c>
      <c r="B1985" t="str">
        <f>"1551688889483495"</f>
        <v>1551688889483495</v>
      </c>
      <c r="C1985" t="s">
        <v>40</v>
      </c>
      <c r="D1985">
        <v>4.7675580000000002</v>
      </c>
      <c r="E1985">
        <v>0.59219290000000002</v>
      </c>
      <c r="F1985" t="s">
        <v>45</v>
      </c>
      <c r="G1985">
        <v>-202.23179999999999</v>
      </c>
      <c r="H1985" s="1">
        <v>2.8905839999999999E-6</v>
      </c>
      <c r="I1985">
        <v>288.23200000000003</v>
      </c>
      <c r="J1985">
        <v>-195.70920000000001</v>
      </c>
      <c r="K1985">
        <v>1.1015569999999999</v>
      </c>
      <c r="L1985">
        <v>292.63040000000001</v>
      </c>
      <c r="M1985">
        <v>-0.4691806</v>
      </c>
      <c r="N1985">
        <v>-1.265177E-2</v>
      </c>
      <c r="O1985">
        <v>-0.88301180000000001</v>
      </c>
      <c r="P1985">
        <v>-0.66766930000000002</v>
      </c>
      <c r="Q1985">
        <v>0.36669030000000002</v>
      </c>
      <c r="R1985">
        <v>-0.64788630000000003</v>
      </c>
      <c r="S1985">
        <v>-2.8547210000000001</v>
      </c>
      <c r="T1985">
        <v>-0.47334290000000001</v>
      </c>
      <c r="U1985">
        <v>-1.973541</v>
      </c>
      <c r="V1985">
        <v>0.29410950000000002</v>
      </c>
      <c r="W1985">
        <v>0.37128359999999999</v>
      </c>
      <c r="X1985">
        <v>0.88070890000000002</v>
      </c>
      <c r="Y1985">
        <v>0.45215169999999999</v>
      </c>
      <c r="Z1985">
        <v>0.12504879999999999</v>
      </c>
      <c r="AA1985">
        <v>0.88313169999999996</v>
      </c>
      <c r="AB1985">
        <v>21</v>
      </c>
      <c r="AC1985">
        <v>-6.5225999999999802</v>
      </c>
      <c r="AD1985">
        <v>-1.101554109416</v>
      </c>
      <c r="AE1985">
        <v>-4.3983999999999801</v>
      </c>
      <c r="AF1985">
        <v>3.6251100178151501</v>
      </c>
      <c r="AG1985">
        <v>-1.101554109416</v>
      </c>
      <c r="AH1985">
        <v>6.8111319041071896</v>
      </c>
      <c r="AI1985">
        <v>98.125028495191302</v>
      </c>
      <c r="AJ1985">
        <v>61.976612962658898</v>
      </c>
      <c r="AK1985">
        <v>7.7939952471362099</v>
      </c>
      <c r="AL1985">
        <v>68.205198855864097</v>
      </c>
      <c r="AM1985">
        <v>71.533447372490201</v>
      </c>
      <c r="AN1985">
        <v>1.0000000380792</v>
      </c>
    </row>
    <row r="1986" spans="1:40" x14ac:dyDescent="0.25">
      <c r="A1986" t="str">
        <f>"20190304164129511"</f>
        <v>20190304164129511</v>
      </c>
      <c r="B1986" t="str">
        <f>"1551688889503015"</f>
        <v>1551688889503015</v>
      </c>
      <c r="C1986" t="s">
        <v>40</v>
      </c>
      <c r="D1986">
        <v>4.7672059999999998</v>
      </c>
      <c r="E1986">
        <v>0.59211990000000003</v>
      </c>
      <c r="F1986" t="s">
        <v>45</v>
      </c>
      <c r="G1986">
        <v>-202.3158</v>
      </c>
      <c r="H1986" s="1">
        <v>2.9301839999999999E-6</v>
      </c>
      <c r="I1986">
        <v>288.20519999999999</v>
      </c>
      <c r="J1986">
        <v>-195.8169</v>
      </c>
      <c r="K1986">
        <v>1.101461</v>
      </c>
      <c r="L1986">
        <v>292.46449999999999</v>
      </c>
      <c r="M1986">
        <v>-0.4824522</v>
      </c>
      <c r="N1986">
        <v>-1.2701280000000001E-2</v>
      </c>
      <c r="O1986">
        <v>-0.8758302</v>
      </c>
      <c r="P1986">
        <v>-0.67639510000000003</v>
      </c>
      <c r="Q1986">
        <v>0.36561900000000003</v>
      </c>
      <c r="R1986">
        <v>-0.63938459999999997</v>
      </c>
      <c r="S1986">
        <v>-2.88327</v>
      </c>
      <c r="T1986">
        <v>-0.48074630000000002</v>
      </c>
      <c r="U1986">
        <v>-1.9312739999999999</v>
      </c>
      <c r="V1986">
        <v>0.29252</v>
      </c>
      <c r="W1986">
        <v>0.37024099999999999</v>
      </c>
      <c r="X1986">
        <v>0.88167659999999903</v>
      </c>
      <c r="Y1986">
        <v>0.45148569999999999</v>
      </c>
      <c r="Z1986">
        <v>0.12665689999999999</v>
      </c>
      <c r="AA1986">
        <v>0.88324329999999995</v>
      </c>
      <c r="AB1986">
        <v>21</v>
      </c>
      <c r="AC1986">
        <v>-6.4988999999999901</v>
      </c>
      <c r="AD1986">
        <v>-1.1014580698159999</v>
      </c>
      <c r="AE1986">
        <v>-4.2592999999999899</v>
      </c>
      <c r="AF1986">
        <v>3.5656698170555399</v>
      </c>
      <c r="AG1986">
        <v>-1.1014580698159999</v>
      </c>
      <c r="AH1986">
        <v>6.7311320994193</v>
      </c>
      <c r="AI1986">
        <v>98.227991949484803</v>
      </c>
      <c r="AJ1986">
        <v>62.088573983870603</v>
      </c>
      <c r="AK1986">
        <v>7.6964505107001502</v>
      </c>
      <c r="AL1986">
        <v>68.269518578296797</v>
      </c>
      <c r="AM1986">
        <v>71.645343824897495</v>
      </c>
      <c r="AN1986">
        <v>0.99999998773427901</v>
      </c>
    </row>
    <row r="1987" spans="1:40" x14ac:dyDescent="0.25">
      <c r="A1987" t="str">
        <f>"20190304164129535"</f>
        <v>20190304164129535</v>
      </c>
      <c r="B1987" t="str">
        <f>"1551688889522534"</f>
        <v>1551688889522534</v>
      </c>
      <c r="C1987" t="s">
        <v>40</v>
      </c>
      <c r="D1987">
        <v>4.8105539999999998</v>
      </c>
      <c r="E1987">
        <v>0.59181019999999995</v>
      </c>
      <c r="F1987" t="s">
        <v>45</v>
      </c>
      <c r="G1987">
        <v>-202.4588</v>
      </c>
      <c r="H1987" s="1">
        <v>2.9985670000000001E-6</v>
      </c>
      <c r="I1987">
        <v>288.14879999999999</v>
      </c>
      <c r="J1987">
        <v>-195.93709999999999</v>
      </c>
      <c r="K1987">
        <v>1.101413</v>
      </c>
      <c r="L1987">
        <v>292.28570000000002</v>
      </c>
      <c r="M1987">
        <v>-0.49689090000000002</v>
      </c>
      <c r="N1987">
        <v>-1.275023E-2</v>
      </c>
      <c r="O1987">
        <v>-0.86771960000000004</v>
      </c>
      <c r="P1987">
        <v>-0.68641160000000001</v>
      </c>
      <c r="Q1987">
        <v>0.36540400000000001</v>
      </c>
      <c r="R1987">
        <v>-0.62874449999999904</v>
      </c>
      <c r="S1987">
        <v>-2.9092410000000002</v>
      </c>
      <c r="T1987">
        <v>-0.48245290000000002</v>
      </c>
      <c r="U1987">
        <v>-1.89032</v>
      </c>
      <c r="V1987">
        <v>0.29181459999999998</v>
      </c>
      <c r="W1987">
        <v>0.37006030000000001</v>
      </c>
      <c r="X1987">
        <v>0.881986099999999</v>
      </c>
      <c r="Y1987">
        <v>0.44906649999999998</v>
      </c>
      <c r="Z1987">
        <v>0.12653699999999901</v>
      </c>
      <c r="AA1987">
        <v>0.88449290000000003</v>
      </c>
      <c r="AB1987">
        <v>21</v>
      </c>
      <c r="AC1987">
        <v>-6.5217000000000098</v>
      </c>
      <c r="AD1987">
        <v>-1.1014100014329999</v>
      </c>
      <c r="AE1987">
        <v>-4.1369000000000202</v>
      </c>
      <c r="AF1987">
        <v>3.5318789594012499</v>
      </c>
      <c r="AG1987">
        <v>-1.1014100014329999</v>
      </c>
      <c r="AH1987">
        <v>6.6946392964313404</v>
      </c>
      <c r="AI1987">
        <v>98.279150968016594</v>
      </c>
      <c r="AJ1987">
        <v>62.185295215814399</v>
      </c>
      <c r="AK1987">
        <v>7.6488867349726597</v>
      </c>
      <c r="AL1987">
        <v>68.280662294746804</v>
      </c>
      <c r="AM1987">
        <v>71.692646321905599</v>
      </c>
      <c r="AN1987">
        <v>0.99999993350122696</v>
      </c>
    </row>
    <row r="1988" spans="1:40" x14ac:dyDescent="0.25">
      <c r="A1988" t="str">
        <f>"20190304164129558"</f>
        <v>20190304164129558</v>
      </c>
      <c r="B1988" t="str">
        <f>"1551688889552791"</f>
        <v>1551688889552791</v>
      </c>
      <c r="C1988" t="s">
        <v>40</v>
      </c>
      <c r="D1988">
        <v>4.8032769999999996</v>
      </c>
      <c r="E1988">
        <v>0.59137759999999995</v>
      </c>
      <c r="F1988" t="s">
        <v>45</v>
      </c>
      <c r="G1988">
        <v>-202.6131</v>
      </c>
      <c r="H1988" s="1">
        <v>3.0722999999999998E-6</v>
      </c>
      <c r="I1988">
        <v>288.08800000000002</v>
      </c>
      <c r="J1988">
        <v>-196.066</v>
      </c>
      <c r="K1988">
        <v>1.101415</v>
      </c>
      <c r="L1988">
        <v>292.101</v>
      </c>
      <c r="M1988">
        <v>-0.51189629999999997</v>
      </c>
      <c r="N1988">
        <v>-1.279334E-2</v>
      </c>
      <c r="O1988">
        <v>-0.85895219999999906</v>
      </c>
      <c r="P1988">
        <v>-0.69690469999999904</v>
      </c>
      <c r="Q1988">
        <v>0.36453279999999999</v>
      </c>
      <c r="R1988">
        <v>-0.61760800000000005</v>
      </c>
      <c r="S1988">
        <v>-2.9369960000000002</v>
      </c>
      <c r="T1988">
        <v>-0.48454839999999999</v>
      </c>
      <c r="U1988">
        <v>-1.8467100000000001</v>
      </c>
      <c r="V1988">
        <v>0.29104930000000001</v>
      </c>
      <c r="W1988">
        <v>0.36925839999999999</v>
      </c>
      <c r="X1988">
        <v>0.882575</v>
      </c>
      <c r="Y1988">
        <v>0.44672859999999998</v>
      </c>
      <c r="Z1988">
        <v>0.12643080000000001</v>
      </c>
      <c r="AA1988">
        <v>0.88569120000000001</v>
      </c>
      <c r="AB1988">
        <v>21</v>
      </c>
      <c r="AC1988">
        <v>-6.5471000000000199</v>
      </c>
      <c r="AD1988">
        <v>-1.1014119276999901</v>
      </c>
      <c r="AE1988">
        <v>-4.0130000000000301</v>
      </c>
      <c r="AF1988">
        <v>3.4977417632080599</v>
      </c>
      <c r="AG1988">
        <v>-1.1014119276999901</v>
      </c>
      <c r="AH1988">
        <v>6.6619171335410297</v>
      </c>
      <c r="AI1988">
        <v>98.327830590125998</v>
      </c>
      <c r="AJ1988">
        <v>62.298940994977897</v>
      </c>
      <c r="AK1988">
        <v>7.6045016648520303</v>
      </c>
      <c r="AL1988">
        <v>68.330112877554399</v>
      </c>
      <c r="AM1988">
        <v>71.748845893932199</v>
      </c>
      <c r="AN1988">
        <v>1.00000004581302</v>
      </c>
    </row>
    <row r="1989" spans="1:40" x14ac:dyDescent="0.25">
      <c r="A1989" t="str">
        <f>"20190304164129581"</f>
        <v>20190304164129581</v>
      </c>
      <c r="B1989" t="str">
        <f>"1551688889573286"</f>
        <v>1551688889573286</v>
      </c>
      <c r="C1989" t="s">
        <v>40</v>
      </c>
      <c r="D1989">
        <v>4.8227330000000004</v>
      </c>
      <c r="E1989">
        <v>0.59121269999999904</v>
      </c>
      <c r="F1989" t="s">
        <v>45</v>
      </c>
      <c r="G1989">
        <v>-202.75149999999999</v>
      </c>
      <c r="H1989" s="1">
        <v>3.137592E-6</v>
      </c>
      <c r="I1989">
        <v>288.04309999999998</v>
      </c>
      <c r="J1989">
        <v>-196.19329999999999</v>
      </c>
      <c r="K1989">
        <v>1.1014469999999901</v>
      </c>
      <c r="L1989">
        <v>291.92500000000001</v>
      </c>
      <c r="M1989">
        <v>-0.52621090000000004</v>
      </c>
      <c r="N1989">
        <v>-1.28226E-2</v>
      </c>
      <c r="O1989">
        <v>-0.8502575</v>
      </c>
      <c r="P1989">
        <v>-0.70602919999999902</v>
      </c>
      <c r="Q1989">
        <v>0.36450850000000001</v>
      </c>
      <c r="R1989">
        <v>-0.60717080000000001</v>
      </c>
      <c r="S1989">
        <v>-2.9652400000000001</v>
      </c>
      <c r="T1989">
        <v>-0.48851410000000001</v>
      </c>
      <c r="U1989">
        <v>-1.7998350000000001</v>
      </c>
      <c r="V1989">
        <v>0.28935709999999998</v>
      </c>
      <c r="W1989">
        <v>0.36933860000000002</v>
      </c>
      <c r="X1989">
        <v>0.88309760000000004</v>
      </c>
      <c r="Y1989">
        <v>0.44565379999999899</v>
      </c>
      <c r="Z1989">
        <v>0.1269004</v>
      </c>
      <c r="AA1989">
        <v>0.88616530000000004</v>
      </c>
      <c r="AB1989">
        <v>21</v>
      </c>
      <c r="AC1989">
        <v>-6.5581999999999896</v>
      </c>
      <c r="AD1989">
        <v>-1.1014438624080001</v>
      </c>
      <c r="AE1989">
        <v>-3.8819000000000199</v>
      </c>
      <c r="AF1989">
        <v>3.4614469133560202</v>
      </c>
      <c r="AG1989">
        <v>-1.1014438624080001</v>
      </c>
      <c r="AH1989">
        <v>6.6140096390315204</v>
      </c>
      <c r="AI1989">
        <v>98.393265826827104</v>
      </c>
      <c r="AJ1989">
        <v>62.374654873620699</v>
      </c>
      <c r="AK1989">
        <v>7.5458542804125299</v>
      </c>
      <c r="AL1989">
        <v>68.325166085275001</v>
      </c>
      <c r="AM1989">
        <v>71.858021111451706</v>
      </c>
      <c r="AN1989">
        <v>0.99999995194806302</v>
      </c>
    </row>
    <row r="1990" spans="1:40" x14ac:dyDescent="0.25">
      <c r="A1990" t="str">
        <f>"20190304164129602"</f>
        <v>20190304164129602</v>
      </c>
      <c r="B1990" t="str">
        <f>"1551688889592808"</f>
        <v>1551688889592808</v>
      </c>
      <c r="C1990" t="s">
        <v>40</v>
      </c>
      <c r="D1990">
        <v>4.830171</v>
      </c>
      <c r="E1990">
        <v>0.59021749999999995</v>
      </c>
      <c r="F1990" t="s">
        <v>45</v>
      </c>
      <c r="G1990">
        <v>-202.9512</v>
      </c>
      <c r="H1990" s="1">
        <v>3.2328109999999999E-6</v>
      </c>
      <c r="I1990">
        <v>287.9667</v>
      </c>
      <c r="J1990">
        <v>-196.3177</v>
      </c>
      <c r="K1990">
        <v>1.101504</v>
      </c>
      <c r="L1990">
        <v>291.75869999999998</v>
      </c>
      <c r="M1990">
        <v>-0.53969160000000005</v>
      </c>
      <c r="N1990">
        <v>-1.284187E-2</v>
      </c>
      <c r="O1990">
        <v>-0.84176489999999904</v>
      </c>
      <c r="P1990">
        <v>-0.71523579999999998</v>
      </c>
      <c r="Q1990">
        <v>0.36471330000000002</v>
      </c>
      <c r="R1990">
        <v>-0.59617259999999905</v>
      </c>
      <c r="S1990">
        <v>-2.9932560000000001</v>
      </c>
      <c r="T1990">
        <v>-0.48786069999999998</v>
      </c>
      <c r="U1990">
        <v>-1.7532350000000001</v>
      </c>
      <c r="V1990">
        <v>0.28879959999999999</v>
      </c>
      <c r="W1990">
        <v>0.36962479999999998</v>
      </c>
      <c r="X1990">
        <v>0.88316039999999996</v>
      </c>
      <c r="Y1990">
        <v>0.44537900000000002</v>
      </c>
      <c r="Z1990">
        <v>0.12610379999999999</v>
      </c>
      <c r="AA1990">
        <v>0.88641719999999902</v>
      </c>
      <c r="AB1990">
        <v>21</v>
      </c>
      <c r="AC1990">
        <v>-6.63349999999999</v>
      </c>
      <c r="AD1990">
        <v>-1.101500767189</v>
      </c>
      <c r="AE1990">
        <v>-3.7919999999999701</v>
      </c>
      <c r="AF1990">
        <v>3.4656064260428998</v>
      </c>
      <c r="AG1990">
        <v>-1.101500767189</v>
      </c>
      <c r="AH1990">
        <v>6.6346930602568497</v>
      </c>
      <c r="AI1990">
        <v>98.371300766925401</v>
      </c>
      <c r="AJ1990">
        <v>62.419856943744698</v>
      </c>
      <c r="AK1990">
        <v>7.5659027117831901</v>
      </c>
      <c r="AL1990">
        <v>68.307520336537706</v>
      </c>
      <c r="AM1990">
        <v>71.891894860855601</v>
      </c>
      <c r="AN1990">
        <v>0.99999999693167996</v>
      </c>
    </row>
    <row r="1991" spans="1:40" x14ac:dyDescent="0.25">
      <c r="A1991" t="str">
        <f>"20190304164129625"</f>
        <v>20190304164129625</v>
      </c>
      <c r="B1991" t="str">
        <f>"1551688889613303"</f>
        <v>1551688889613303</v>
      </c>
      <c r="C1991" t="s">
        <v>40</v>
      </c>
      <c r="D1991">
        <v>4.8620020000000004</v>
      </c>
      <c r="E1991">
        <v>0.58977930000000001</v>
      </c>
      <c r="F1991" t="s">
        <v>45</v>
      </c>
      <c r="G1991">
        <v>-203.03360000000001</v>
      </c>
      <c r="H1991" s="1">
        <v>3.2719719999999998E-6</v>
      </c>
      <c r="I1991">
        <v>287.93700000000001</v>
      </c>
      <c r="J1991">
        <v>-196.4485</v>
      </c>
      <c r="K1991">
        <v>1.101591</v>
      </c>
      <c r="L1991">
        <v>291.58969999999999</v>
      </c>
      <c r="M1991">
        <v>-0.55331090000000005</v>
      </c>
      <c r="N1991">
        <v>-1.2853689999999999E-2</v>
      </c>
      <c r="O1991">
        <v>-0.83287579999999894</v>
      </c>
      <c r="P1991">
        <v>-0.72472190000000003</v>
      </c>
      <c r="Q1991">
        <v>0.36445949999999999</v>
      </c>
      <c r="R1991">
        <v>-0.58476269999999997</v>
      </c>
      <c r="S1991">
        <v>-3.0160680000000002</v>
      </c>
      <c r="T1991">
        <v>-0.49467129999999998</v>
      </c>
      <c r="U1991">
        <v>-1.716278</v>
      </c>
      <c r="V1991">
        <v>0.28844069999999999</v>
      </c>
      <c r="W1991">
        <v>0.36946050000000003</v>
      </c>
      <c r="X1991">
        <v>0.88334639999999998</v>
      </c>
      <c r="Y1991">
        <v>0.4417664</v>
      </c>
      <c r="Z1991">
        <v>0.1270859</v>
      </c>
      <c r="AA1991">
        <v>0.88808310000000001</v>
      </c>
      <c r="AB1991">
        <v>21</v>
      </c>
      <c r="AC1991">
        <v>-6.5851000000000104</v>
      </c>
      <c r="AD1991">
        <v>-1.101587728028</v>
      </c>
      <c r="AE1991">
        <v>-3.6526999999999799</v>
      </c>
      <c r="AF1991">
        <v>3.3912060451832202</v>
      </c>
      <c r="AG1991">
        <v>-1.101587728028</v>
      </c>
      <c r="AH1991">
        <v>6.5463142913912202</v>
      </c>
      <c r="AI1991">
        <v>98.498119240007597</v>
      </c>
      <c r="AJ1991">
        <v>62.6143580555214</v>
      </c>
      <c r="AK1991">
        <v>7.4543949965843703</v>
      </c>
      <c r="AL1991">
        <v>68.317650779855398</v>
      </c>
      <c r="AM1991">
        <v>71.916492535291596</v>
      </c>
      <c r="AN1991">
        <v>0.99999998043484895</v>
      </c>
    </row>
    <row r="1992" spans="1:40" x14ac:dyDescent="0.25">
      <c r="A1992" t="str">
        <f>"20190304164129645"</f>
        <v>20190304164129645</v>
      </c>
      <c r="B1992" t="str">
        <f>"1551688889632822"</f>
        <v>1551688889632822</v>
      </c>
      <c r="C1992" t="s">
        <v>40</v>
      </c>
      <c r="D1992">
        <v>4.8547140000000004</v>
      </c>
      <c r="E1992">
        <v>0.58942280000000002</v>
      </c>
      <c r="F1992" t="s">
        <v>45</v>
      </c>
      <c r="G1992">
        <v>-203.16149999999999</v>
      </c>
      <c r="H1992" s="1">
        <v>3.3327540000000001E-6</v>
      </c>
      <c r="I1992">
        <v>287.8904</v>
      </c>
      <c r="J1992">
        <v>-196.57300000000001</v>
      </c>
      <c r="K1992">
        <v>1.10168</v>
      </c>
      <c r="L1992">
        <v>291.43369999999999</v>
      </c>
      <c r="M1992">
        <v>-0.56579369999999995</v>
      </c>
      <c r="N1992">
        <v>-1.2858359999999999E-2</v>
      </c>
      <c r="O1992">
        <v>-0.82444680000000004</v>
      </c>
      <c r="P1992">
        <v>-0.73203399999999996</v>
      </c>
      <c r="Q1992">
        <v>0.3639946</v>
      </c>
      <c r="R1992">
        <v>-0.57587739999999998</v>
      </c>
      <c r="S1992">
        <v>-3.0390169999999999</v>
      </c>
      <c r="T1992">
        <v>-0.4986989</v>
      </c>
      <c r="U1992">
        <v>-1.6747129999999999</v>
      </c>
      <c r="V1992">
        <v>0.28599039999999998</v>
      </c>
      <c r="W1992">
        <v>0.36913289999999999</v>
      </c>
      <c r="X1992">
        <v>0.88427960000000005</v>
      </c>
      <c r="Y1992">
        <v>0.44034030000000002</v>
      </c>
      <c r="Z1992">
        <v>0.12748080000000001</v>
      </c>
      <c r="AA1992">
        <v>0.88873449999999998</v>
      </c>
      <c r="AB1992">
        <v>21</v>
      </c>
      <c r="AC1992">
        <v>-6.5885000000000096</v>
      </c>
      <c r="AD1992">
        <v>-1.1016766672460001</v>
      </c>
      <c r="AE1992">
        <v>-3.5432999999999799</v>
      </c>
      <c r="AF1992">
        <v>3.3546210510826802</v>
      </c>
      <c r="AG1992">
        <v>-1.1016766672460001</v>
      </c>
      <c r="AH1992">
        <v>6.5083933276483101</v>
      </c>
      <c r="AI1992">
        <v>98.5565281558425</v>
      </c>
      <c r="AJ1992">
        <v>62.732064256625101</v>
      </c>
      <c r="AK1992">
        <v>7.4044822629876297</v>
      </c>
      <c r="AL1992">
        <v>68.337849279806903</v>
      </c>
      <c r="AM1992">
        <v>72.077949314169203</v>
      </c>
      <c r="AN1992">
        <v>1.00000000886536</v>
      </c>
    </row>
    <row r="1993" spans="1:40" x14ac:dyDescent="0.25">
      <c r="A1993" t="str">
        <f>"20190304164129669"</f>
        <v>20190304164129669</v>
      </c>
      <c r="B1993" t="str">
        <f>"1551688889663079"</f>
        <v>1551688889663079</v>
      </c>
      <c r="C1993" t="s">
        <v>40</v>
      </c>
      <c r="D1993">
        <v>4.853796</v>
      </c>
      <c r="E1993">
        <v>0.58860500000000004</v>
      </c>
      <c r="F1993" t="s">
        <v>45</v>
      </c>
      <c r="G1993">
        <v>-203.31780000000001</v>
      </c>
      <c r="H1993" s="1">
        <v>3.407684E-6</v>
      </c>
      <c r="I1993">
        <v>287.82600000000002</v>
      </c>
      <c r="J1993">
        <v>-196.72200000000001</v>
      </c>
      <c r="K1993">
        <v>1.1017950000000001</v>
      </c>
      <c r="L1993">
        <v>291.25290000000001</v>
      </c>
      <c r="M1993">
        <v>-0.58013149999999902</v>
      </c>
      <c r="N1993">
        <v>-1.2855399999999999E-2</v>
      </c>
      <c r="O1993">
        <v>-0.81442159999999997</v>
      </c>
      <c r="P1993">
        <v>-0.73974189999999995</v>
      </c>
      <c r="Q1993">
        <v>0.36469249999999998</v>
      </c>
      <c r="R1993">
        <v>-0.56549240000000001</v>
      </c>
      <c r="S1993">
        <v>-3.0593409999999999</v>
      </c>
      <c r="T1993">
        <v>-0.49970920000000002</v>
      </c>
      <c r="U1993">
        <v>-1.6363829999999999</v>
      </c>
      <c r="V1993">
        <v>0.28260990000000002</v>
      </c>
      <c r="W1993">
        <v>0.36998950000000003</v>
      </c>
      <c r="X1993">
        <v>0.88500820000000002</v>
      </c>
      <c r="Y1993">
        <v>0.43581799999999998</v>
      </c>
      <c r="Z1993">
        <v>0.12675710000000001</v>
      </c>
      <c r="AA1993">
        <v>0.89106409999999903</v>
      </c>
      <c r="AB1993">
        <v>21</v>
      </c>
      <c r="AC1993">
        <v>-6.5957999999999899</v>
      </c>
      <c r="AD1993">
        <v>-1.101791592316</v>
      </c>
      <c r="AE1993">
        <v>-3.4269000000000398</v>
      </c>
      <c r="AF1993">
        <v>3.31123213537396</v>
      </c>
      <c r="AG1993">
        <v>-1.101791592316</v>
      </c>
      <c r="AH1993">
        <v>6.4756321989220096</v>
      </c>
      <c r="AI1993">
        <v>98.614152938132307</v>
      </c>
      <c r="AJ1993">
        <v>62.9176463657206</v>
      </c>
      <c r="AK1993">
        <v>7.3560869586314004</v>
      </c>
      <c r="AL1993">
        <v>68.285031415419695</v>
      </c>
      <c r="AM1993">
        <v>72.290143906577597</v>
      </c>
      <c r="AN1993">
        <v>1.0000000498777399</v>
      </c>
    </row>
    <row r="1994" spans="1:40" x14ac:dyDescent="0.25">
      <c r="A1994" t="str">
        <f>"20190304164129690"</f>
        <v>20190304164129690</v>
      </c>
      <c r="B1994" t="str">
        <f>"1551688889682599"</f>
        <v>1551688889682599</v>
      </c>
      <c r="C1994" t="s">
        <v>40</v>
      </c>
      <c r="D1994">
        <v>4.8677049999999999</v>
      </c>
      <c r="E1994">
        <v>0.58817790000000003</v>
      </c>
      <c r="F1994" t="s">
        <v>45</v>
      </c>
      <c r="G1994">
        <v>-203.5317</v>
      </c>
      <c r="H1994" s="1">
        <v>3.5108279999999998E-6</v>
      </c>
      <c r="I1994">
        <v>287.73149999999998</v>
      </c>
      <c r="J1994">
        <v>-196.85329999999999</v>
      </c>
      <c r="K1994">
        <v>1.101899</v>
      </c>
      <c r="L1994">
        <v>291.09840000000003</v>
      </c>
      <c r="M1994">
        <v>-0.59226420000000002</v>
      </c>
      <c r="N1994">
        <v>-1.284647E-2</v>
      </c>
      <c r="O1994">
        <v>-0.80564169999999902</v>
      </c>
      <c r="P1994">
        <v>-0.74634149999999999</v>
      </c>
      <c r="Q1994">
        <v>0.36632819999999999</v>
      </c>
      <c r="R1994">
        <v>-0.55567819999999901</v>
      </c>
      <c r="S1994">
        <v>-3.082748</v>
      </c>
      <c r="T1994">
        <v>-0.49877929999999998</v>
      </c>
      <c r="U1994">
        <v>-1.594147</v>
      </c>
      <c r="V1994">
        <v>0.2803291</v>
      </c>
      <c r="W1994">
        <v>0.37173420000000001</v>
      </c>
      <c r="X1994">
        <v>0.88500239999999997</v>
      </c>
      <c r="Y1994">
        <v>0.43485970000000002</v>
      </c>
      <c r="Z1994">
        <v>0.1257259</v>
      </c>
      <c r="AA1994">
        <v>0.89167819999999998</v>
      </c>
      <c r="AB1994">
        <v>21</v>
      </c>
      <c r="AC1994">
        <v>-6.6784000000000097</v>
      </c>
      <c r="AD1994">
        <v>-1.1018954891720001</v>
      </c>
      <c r="AE1994">
        <v>-3.3669000000000402</v>
      </c>
      <c r="AF1994">
        <v>3.3146341683031899</v>
      </c>
      <c r="AG1994">
        <v>-1.1018954891720001</v>
      </c>
      <c r="AH1994">
        <v>6.5267704309190702</v>
      </c>
      <c r="AI1994">
        <v>98.560336989175497</v>
      </c>
      <c r="AJ1994">
        <v>63.076165963263897</v>
      </c>
      <c r="AK1994">
        <v>7.4026823244456503</v>
      </c>
      <c r="AL1994">
        <v>68.177389921600394</v>
      </c>
      <c r="AM1994">
        <v>72.424131779785995</v>
      </c>
      <c r="AN1994">
        <v>0.999999983881104</v>
      </c>
    </row>
    <row r="1995" spans="1:40" x14ac:dyDescent="0.25">
      <c r="A1995" t="str">
        <f>"20190304164129712"</f>
        <v>20190304164129712</v>
      </c>
      <c r="B1995" t="str">
        <f>"1551688889703095"</f>
        <v>1551688889703095</v>
      </c>
      <c r="C1995" t="s">
        <v>40</v>
      </c>
      <c r="D1995">
        <v>4.8658089999999996</v>
      </c>
      <c r="E1995">
        <v>0.58778129999999995</v>
      </c>
      <c r="F1995" t="s">
        <v>45</v>
      </c>
      <c r="G1995">
        <v>-203.78450000000001</v>
      </c>
      <c r="H1995" s="1">
        <v>3.6326970000000001E-6</v>
      </c>
      <c r="I1995">
        <v>287.61989999999997</v>
      </c>
      <c r="J1995">
        <v>-196.99289999999999</v>
      </c>
      <c r="K1995">
        <v>1.1020030000000001</v>
      </c>
      <c r="L1995">
        <v>290.93880000000001</v>
      </c>
      <c r="M1995">
        <v>-0.60466370000000003</v>
      </c>
      <c r="N1995">
        <v>-1.2830569999999999E-2</v>
      </c>
      <c r="O1995">
        <v>-0.79637769999999997</v>
      </c>
      <c r="P1995">
        <v>-0.75241269999999905</v>
      </c>
      <c r="Q1995">
        <v>0.36778460000000002</v>
      </c>
      <c r="R1995">
        <v>-0.5464521</v>
      </c>
      <c r="S1995">
        <v>-3.1024479999999999</v>
      </c>
      <c r="T1995">
        <v>-0.49321229999999999</v>
      </c>
      <c r="U1995">
        <v>-1.557007</v>
      </c>
      <c r="V1995">
        <v>0.27687319999999999</v>
      </c>
      <c r="W1995">
        <v>0.37332720000000003</v>
      </c>
      <c r="X1995">
        <v>0.88541970000000003</v>
      </c>
      <c r="Y1995">
        <v>0.43202449999999998</v>
      </c>
      <c r="Z1995">
        <v>0.123336</v>
      </c>
      <c r="AA1995">
        <v>0.89338850000000003</v>
      </c>
      <c r="AB1995">
        <v>21</v>
      </c>
      <c r="AC1995">
        <v>-6.7916000000000096</v>
      </c>
      <c r="AD1995">
        <v>-1.101999367303</v>
      </c>
      <c r="AE1995">
        <v>-3.3189000000000402</v>
      </c>
      <c r="AF1995">
        <v>3.3313398704706398</v>
      </c>
      <c r="AG1995">
        <v>-1.101999367303</v>
      </c>
      <c r="AH1995">
        <v>6.6098099981379503</v>
      </c>
      <c r="AI1995">
        <v>98.468084251417295</v>
      </c>
      <c r="AJ1995">
        <v>63.2519260346536</v>
      </c>
      <c r="AK1995">
        <v>7.4834361191639696</v>
      </c>
      <c r="AL1995">
        <v>68.079038882168007</v>
      </c>
      <c r="AM1995">
        <v>72.635391303259595</v>
      </c>
      <c r="AN1995">
        <v>1.00000000614308</v>
      </c>
    </row>
    <row r="1996" spans="1:40" x14ac:dyDescent="0.25">
      <c r="A1996" t="str">
        <f>"20190304164129747"</f>
        <v>20190304164129747</v>
      </c>
      <c r="B1996" t="str">
        <f>"1551688889733351"</f>
        <v>1551688889733351</v>
      </c>
      <c r="C1996" t="s">
        <v>40</v>
      </c>
      <c r="D1996">
        <v>4.8809500000000003</v>
      </c>
      <c r="E1996">
        <v>0.58773129999999996</v>
      </c>
      <c r="F1996" t="s">
        <v>45</v>
      </c>
      <c r="G1996">
        <v>-204.05080000000001</v>
      </c>
      <c r="H1996" s="1">
        <v>3.761219E-6</v>
      </c>
      <c r="I1996">
        <v>287.50020000000001</v>
      </c>
      <c r="J1996">
        <v>-197.215</v>
      </c>
      <c r="K1996">
        <v>1.102187</v>
      </c>
      <c r="L1996">
        <v>290.69420000000002</v>
      </c>
      <c r="M1996">
        <v>-0.62342219999999904</v>
      </c>
      <c r="N1996">
        <v>-1.279479E-2</v>
      </c>
      <c r="O1996">
        <v>-0.7817807</v>
      </c>
      <c r="P1996">
        <v>-0.75995639999999998</v>
      </c>
      <c r="Q1996">
        <v>0.37005100000000002</v>
      </c>
      <c r="R1996">
        <v>-0.53434859999999995</v>
      </c>
      <c r="S1996">
        <v>-3.121048</v>
      </c>
      <c r="T1996">
        <v>-0.48730990000000002</v>
      </c>
      <c r="U1996">
        <v>-1.5205690000000001</v>
      </c>
      <c r="V1996">
        <v>0.26897520000000003</v>
      </c>
      <c r="W1996">
        <v>0.37585839999999998</v>
      </c>
      <c r="X1996">
        <v>0.88678230000000002</v>
      </c>
      <c r="Y1996">
        <v>0.42149350000000002</v>
      </c>
      <c r="Z1996">
        <v>0.1200151</v>
      </c>
      <c r="AA1996">
        <v>0.89885459999999995</v>
      </c>
      <c r="AB1996">
        <v>21</v>
      </c>
      <c r="AC1996">
        <v>-6.8357999999999999</v>
      </c>
      <c r="AD1996">
        <v>-1.102183238781</v>
      </c>
      <c r="AE1996">
        <v>-3.1940000000000102</v>
      </c>
      <c r="AF1996">
        <v>3.2831033080915399</v>
      </c>
      <c r="AG1996">
        <v>-1.102183238781</v>
      </c>
      <c r="AH1996">
        <v>6.6179322094854296</v>
      </c>
      <c r="AI1996">
        <v>98.485642531769599</v>
      </c>
      <c r="AJ1996">
        <v>63.6143576426431</v>
      </c>
      <c r="AK1996">
        <v>7.4693106745399298</v>
      </c>
      <c r="AL1996">
        <v>67.922623362688597</v>
      </c>
      <c r="AM1996">
        <v>73.126613469605203</v>
      </c>
      <c r="AN1996">
        <v>1.00000002132944</v>
      </c>
    </row>
    <row r="1997" spans="1:40" x14ac:dyDescent="0.25">
      <c r="A1997" t="str">
        <f>"20190304164129769"</f>
        <v>20190304164129769</v>
      </c>
      <c r="B1997" t="str">
        <f>"1551688889762631"</f>
        <v>1551688889762631</v>
      </c>
      <c r="C1997" t="s">
        <v>40</v>
      </c>
      <c r="D1997">
        <v>5.0452180000000002</v>
      </c>
      <c r="E1997">
        <v>0.58743409999999996</v>
      </c>
      <c r="F1997" t="s">
        <v>45</v>
      </c>
      <c r="G1997">
        <v>-204.62960000000001</v>
      </c>
      <c r="H1997" s="1">
        <v>4.0394919999999998E-6</v>
      </c>
      <c r="I1997">
        <v>287.25310000000002</v>
      </c>
      <c r="J1997">
        <v>-197.35990000000001</v>
      </c>
      <c r="K1997">
        <v>1.1022989999999999</v>
      </c>
      <c r="L1997">
        <v>290.5403</v>
      </c>
      <c r="M1997">
        <v>-0.63506850000000004</v>
      </c>
      <c r="N1997">
        <v>-1.276797E-2</v>
      </c>
      <c r="O1997">
        <v>-0.77235030000000005</v>
      </c>
      <c r="P1997">
        <v>-0.76476569999999899</v>
      </c>
      <c r="Q1997">
        <v>0.37192619999999998</v>
      </c>
      <c r="R1997">
        <v>-0.52612199999999998</v>
      </c>
      <c r="S1997">
        <v>-3.148193</v>
      </c>
      <c r="T1997">
        <v>-0.46797899999999998</v>
      </c>
      <c r="U1997">
        <v>-1.4610289999999999</v>
      </c>
      <c r="V1997">
        <v>0.26446730000000002</v>
      </c>
      <c r="W1997">
        <v>0.3778764</v>
      </c>
      <c r="X1997">
        <v>0.88728030000000002</v>
      </c>
      <c r="Y1997">
        <v>0.42556660000000002</v>
      </c>
      <c r="Z1997">
        <v>0.11450979999999999</v>
      </c>
      <c r="AA1997">
        <v>0.89765280000000003</v>
      </c>
      <c r="AB1997">
        <v>21</v>
      </c>
      <c r="AC1997">
        <v>-7.2697000000000003</v>
      </c>
      <c r="AD1997">
        <v>-1.1022949605079999</v>
      </c>
      <c r="AE1997">
        <v>-3.2871999999999799</v>
      </c>
      <c r="AF1997">
        <v>3.46137341328923</v>
      </c>
      <c r="AG1997">
        <v>-1.1022949605079999</v>
      </c>
      <c r="AH1997">
        <v>7.0221690539668202</v>
      </c>
      <c r="AI1997">
        <v>98.014440687586699</v>
      </c>
      <c r="AJ1997">
        <v>63.760351921525903</v>
      </c>
      <c r="AK1997">
        <v>7.9061380147753697</v>
      </c>
      <c r="AL1997">
        <v>67.797794457695503</v>
      </c>
      <c r="AM1997">
        <v>73.402517231751602</v>
      </c>
      <c r="AN1997">
        <v>0.99999992860716702</v>
      </c>
    </row>
    <row r="1998" spans="1:40" x14ac:dyDescent="0.25">
      <c r="A1998" t="str">
        <f>"20190304164129790"</f>
        <v>20190304164129790</v>
      </c>
      <c r="B1998" t="str">
        <f>"1551688889783127"</f>
        <v>1551688889783127</v>
      </c>
      <c r="C1998" t="s">
        <v>40</v>
      </c>
      <c r="D1998">
        <v>4.9777199999999997</v>
      </c>
      <c r="E1998">
        <v>0.58741119999999902</v>
      </c>
      <c r="F1998" t="s">
        <v>45</v>
      </c>
      <c r="G1998">
        <v>-204.9768</v>
      </c>
      <c r="H1998" s="1">
        <v>4.2061880000000002E-6</v>
      </c>
      <c r="I1998">
        <v>287.10789999999997</v>
      </c>
      <c r="J1998">
        <v>-197.5094</v>
      </c>
      <c r="K1998">
        <v>1.1023989999999999</v>
      </c>
      <c r="L1998">
        <v>290.3861</v>
      </c>
      <c r="M1998">
        <v>-0.64664509999999997</v>
      </c>
      <c r="N1998">
        <v>-1.274089E-2</v>
      </c>
      <c r="O1998">
        <v>-0.76268459999999905</v>
      </c>
      <c r="P1998">
        <v>-0.76973000000000003</v>
      </c>
      <c r="Q1998">
        <v>0.37359369999999997</v>
      </c>
      <c r="R1998">
        <v>-0.51763269999999995</v>
      </c>
      <c r="S1998">
        <v>-3.1644739999999998</v>
      </c>
      <c r="T1998">
        <v>-0.45795200000000003</v>
      </c>
      <c r="U1998">
        <v>-1.4260250000000001</v>
      </c>
      <c r="V1998">
        <v>0.26020840000000001</v>
      </c>
      <c r="W1998">
        <v>0.37967289999999998</v>
      </c>
      <c r="X1998">
        <v>0.88777249999999996</v>
      </c>
      <c r="Y1998">
        <v>0.42233619999999999</v>
      </c>
      <c r="Z1998">
        <v>0.110983</v>
      </c>
      <c r="AA1998">
        <v>0.89961930000000001</v>
      </c>
      <c r="AB1998">
        <v>21</v>
      </c>
      <c r="AC1998">
        <v>-7.4673999999999898</v>
      </c>
      <c r="AD1998">
        <v>-1.102394793812</v>
      </c>
      <c r="AE1998">
        <v>-3.27820000000002</v>
      </c>
      <c r="AF1998">
        <v>3.5115644371487602</v>
      </c>
      <c r="AG1998">
        <v>-1.102394793812</v>
      </c>
      <c r="AH1998">
        <v>7.1980591759390196</v>
      </c>
      <c r="AI1998">
        <v>97.837258650311099</v>
      </c>
      <c r="AJ1998">
        <v>63.9946219715791</v>
      </c>
      <c r="AK1998">
        <v>8.0844551441635009</v>
      </c>
      <c r="AL1998">
        <v>67.686576419713404</v>
      </c>
      <c r="AM1998">
        <v>73.664003529472893</v>
      </c>
      <c r="AN1998">
        <v>0.99999996709060901</v>
      </c>
    </row>
    <row r="1999" spans="1:40" x14ac:dyDescent="0.25">
      <c r="A1999" t="str">
        <f>"20190304164129814"</f>
        <v>20190304164129814</v>
      </c>
      <c r="B1999" t="str">
        <f>"1551688889802647"</f>
        <v>1551688889802647</v>
      </c>
      <c r="C1999" t="s">
        <v>40</v>
      </c>
      <c r="D1999">
        <v>5.011336</v>
      </c>
      <c r="E1999">
        <v>0.58737130000000004</v>
      </c>
      <c r="F1999" t="s">
        <v>45</v>
      </c>
      <c r="G1999">
        <v>-205.2456</v>
      </c>
      <c r="H1999" s="1">
        <v>4.3342919999999999E-6</v>
      </c>
      <c r="I1999">
        <v>287.00580000000002</v>
      </c>
      <c r="J1999">
        <v>-197.6628</v>
      </c>
      <c r="K1999">
        <v>1.1024890000000001</v>
      </c>
      <c r="L1999">
        <v>290.23230000000001</v>
      </c>
      <c r="M1999">
        <v>-0.65808120000000003</v>
      </c>
      <c r="N1999">
        <v>-1.271283E-2</v>
      </c>
      <c r="O1999">
        <v>-0.7528397</v>
      </c>
      <c r="P1999">
        <v>-0.77477850000000004</v>
      </c>
      <c r="Q1999">
        <v>0.37452429999999998</v>
      </c>
      <c r="R1999">
        <v>-0.50936229999999905</v>
      </c>
      <c r="S1999">
        <v>-3.1824490000000001</v>
      </c>
      <c r="T1999">
        <v>-0.45349489999999998</v>
      </c>
      <c r="U1999">
        <v>-1.3905639999999999</v>
      </c>
      <c r="V1999">
        <v>0.25589060000000002</v>
      </c>
      <c r="W1999">
        <v>0.3807315</v>
      </c>
      <c r="X1999">
        <v>0.88857389999999903</v>
      </c>
      <c r="Y1999">
        <v>0.41919269999999997</v>
      </c>
      <c r="Z1999">
        <v>0.1088319</v>
      </c>
      <c r="AA1999">
        <v>0.90135069999999995</v>
      </c>
      <c r="AB1999">
        <v>21</v>
      </c>
      <c r="AC1999">
        <v>-7.58279999999999</v>
      </c>
      <c r="AD1999">
        <v>-1.1024846657080001</v>
      </c>
      <c r="AE1999">
        <v>-3.2264999999999802</v>
      </c>
      <c r="AF1999">
        <v>3.5225746508748101</v>
      </c>
      <c r="AG1999">
        <v>-1.1024846657080001</v>
      </c>
      <c r="AH1999">
        <v>7.2892676613594096</v>
      </c>
      <c r="AI1999">
        <v>97.754827987593004</v>
      </c>
      <c r="AJ1999">
        <v>64.207614357089795</v>
      </c>
      <c r="AK1999">
        <v>8.1705218712177299</v>
      </c>
      <c r="AL1999">
        <v>67.620999780943194</v>
      </c>
      <c r="AM1999">
        <v>73.934711905252101</v>
      </c>
      <c r="AN1999">
        <v>1.0000000250109</v>
      </c>
    </row>
    <row r="2000" spans="1:40" x14ac:dyDescent="0.25">
      <c r="A2000" t="str">
        <f>"20190304164129836"</f>
        <v>20190304164129836</v>
      </c>
      <c r="B2000" t="str">
        <f>"1551688889832903"</f>
        <v>1551688889832903</v>
      </c>
      <c r="C2000" t="s">
        <v>40</v>
      </c>
      <c r="D2000">
        <v>5.0040800000000001</v>
      </c>
      <c r="E2000">
        <v>0.58728469999999999</v>
      </c>
      <c r="F2000" t="s">
        <v>45</v>
      </c>
      <c r="G2000">
        <v>-205.49639999999999</v>
      </c>
      <c r="H2000" s="1">
        <v>4.453232E-6</v>
      </c>
      <c r="I2000">
        <v>286.91730000000001</v>
      </c>
      <c r="J2000">
        <v>-197.82149999999999</v>
      </c>
      <c r="K2000">
        <v>1.1025799999999999</v>
      </c>
      <c r="L2000">
        <v>290.07749999999999</v>
      </c>
      <c r="M2000">
        <v>-0.6694504</v>
      </c>
      <c r="N2000">
        <v>-1.2680550000000001E-2</v>
      </c>
      <c r="O2000">
        <v>-0.74274859999999998</v>
      </c>
      <c r="P2000">
        <v>-0.77962699999999996</v>
      </c>
      <c r="Q2000">
        <v>0.3742529</v>
      </c>
      <c r="R2000">
        <v>-0.50211229999999996</v>
      </c>
      <c r="S2000">
        <v>-3.1996000000000002</v>
      </c>
      <c r="T2000">
        <v>-0.4503105</v>
      </c>
      <c r="U2000">
        <v>-1.354004</v>
      </c>
      <c r="V2000">
        <v>0.250643</v>
      </c>
      <c r="W2000">
        <v>0.38061329999999999</v>
      </c>
      <c r="X2000">
        <v>0.89011890000000005</v>
      </c>
      <c r="Y2000">
        <v>0.4160645</v>
      </c>
      <c r="Z2000">
        <v>0.107014899999999</v>
      </c>
      <c r="AA2000">
        <v>0.90301609999999999</v>
      </c>
      <c r="AB2000">
        <v>21</v>
      </c>
      <c r="AC2000">
        <v>-7.6749000000000001</v>
      </c>
      <c r="AD2000">
        <v>-1.1025755467679901</v>
      </c>
      <c r="AE2000">
        <v>-3.1601999999999699</v>
      </c>
      <c r="AF2000">
        <v>3.5230433202637599</v>
      </c>
      <c r="AG2000">
        <v>-1.1025755467679901</v>
      </c>
      <c r="AH2000">
        <v>7.3559940965815498</v>
      </c>
      <c r="AI2000">
        <v>97.698780869605997</v>
      </c>
      <c r="AJ2000">
        <v>64.408606586792402</v>
      </c>
      <c r="AK2000">
        <v>8.2303193268383303</v>
      </c>
      <c r="AL2000">
        <v>67.628323592238203</v>
      </c>
      <c r="AM2000">
        <v>74.273644045881696</v>
      </c>
      <c r="AN2000">
        <v>1.0000000268615401</v>
      </c>
    </row>
    <row r="2001" spans="1:40" x14ac:dyDescent="0.25">
      <c r="A2001" t="str">
        <f>"20190304164129858"</f>
        <v>20190304164129858</v>
      </c>
      <c r="B2001" t="str">
        <f>"1551688889853399"</f>
        <v>1551688889853399</v>
      </c>
      <c r="C2001" t="s">
        <v>40</v>
      </c>
      <c r="D2001">
        <v>4.9937630000000004</v>
      </c>
      <c r="E2001">
        <v>0.58726599999999995</v>
      </c>
      <c r="F2001" t="s">
        <v>45</v>
      </c>
      <c r="G2001">
        <v>-205.64680000000001</v>
      </c>
      <c r="H2001" s="1">
        <v>4.5239710000000001E-6</v>
      </c>
      <c r="I2001">
        <v>286.87150000000003</v>
      </c>
      <c r="J2001">
        <v>-197.97049999999999</v>
      </c>
      <c r="K2001">
        <v>1.1026750000000001</v>
      </c>
      <c r="L2001">
        <v>289.93619999999999</v>
      </c>
      <c r="M2001">
        <v>-0.67970649999999999</v>
      </c>
      <c r="N2001">
        <v>-1.2645089999999999E-2</v>
      </c>
      <c r="O2001">
        <v>-0.73337529999999995</v>
      </c>
      <c r="P2001">
        <v>-0.78421099999999999</v>
      </c>
      <c r="Q2001">
        <v>0.37347069999999999</v>
      </c>
      <c r="R2001">
        <v>-0.49551309999999898</v>
      </c>
      <c r="S2001">
        <v>-3.2167659999999998</v>
      </c>
      <c r="T2001">
        <v>-0.45323590000000002</v>
      </c>
      <c r="U2001">
        <v>-1.3179019999999999</v>
      </c>
      <c r="V2001">
        <v>0.2459239</v>
      </c>
      <c r="W2001">
        <v>0.3799729</v>
      </c>
      <c r="X2001">
        <v>0.89170740000000004</v>
      </c>
      <c r="Y2001">
        <v>0.41379650000000001</v>
      </c>
      <c r="Z2001">
        <v>0.10680870000000001</v>
      </c>
      <c r="AA2001">
        <v>0.9040821</v>
      </c>
      <c r="AB2001">
        <v>21</v>
      </c>
      <c r="AC2001">
        <v>-7.6763000000000199</v>
      </c>
      <c r="AD2001">
        <v>-1.102670476029</v>
      </c>
      <c r="AE2001">
        <v>-3.0646999999999598</v>
      </c>
      <c r="AF2001">
        <v>3.4847756591655599</v>
      </c>
      <c r="AG2001">
        <v>-1.102670476029</v>
      </c>
      <c r="AH2001">
        <v>7.3352541670534199</v>
      </c>
      <c r="AI2001">
        <v>97.732401028026402</v>
      </c>
      <c r="AJ2001">
        <v>64.588904696738496</v>
      </c>
      <c r="AK2001">
        <v>8.1954558914494395</v>
      </c>
      <c r="AL2001">
        <v>67.667996633473194</v>
      </c>
      <c r="AM2001">
        <v>74.581680993258104</v>
      </c>
      <c r="AN2001">
        <v>1.00000002827018</v>
      </c>
    </row>
    <row r="2002" spans="1:40" x14ac:dyDescent="0.25">
      <c r="A2002" t="str">
        <f>"20190304164129880"</f>
        <v>20190304164129880</v>
      </c>
      <c r="B2002" t="str">
        <f>"1551688889872919"</f>
        <v>1551688889872919</v>
      </c>
      <c r="C2002" t="s">
        <v>40</v>
      </c>
      <c r="D2002">
        <v>4.9599409999999997</v>
      </c>
      <c r="E2002">
        <v>0.58705399999999996</v>
      </c>
      <c r="F2002" t="s">
        <v>45</v>
      </c>
      <c r="G2002">
        <v>-205.77619999999999</v>
      </c>
      <c r="H2002" s="1">
        <v>4.5847560000000002E-6</v>
      </c>
      <c r="I2002">
        <v>286.83229999999998</v>
      </c>
      <c r="J2002">
        <v>-198.1317</v>
      </c>
      <c r="K2002">
        <v>1.1027910000000001</v>
      </c>
      <c r="L2002">
        <v>289.78719999999998</v>
      </c>
      <c r="M2002">
        <v>-0.69036869999999995</v>
      </c>
      <c r="N2002">
        <v>-1.259332E-2</v>
      </c>
      <c r="O2002">
        <v>-0.72334830000000006</v>
      </c>
      <c r="P2002">
        <v>-0.78928969999999998</v>
      </c>
      <c r="Q2002">
        <v>0.3734266</v>
      </c>
      <c r="R2002">
        <v>-0.48741649999999997</v>
      </c>
      <c r="S2002">
        <v>-3.2310490000000001</v>
      </c>
      <c r="T2002">
        <v>-0.45643230000000001</v>
      </c>
      <c r="U2002">
        <v>-1.284821</v>
      </c>
      <c r="V2002">
        <v>0.2419212</v>
      </c>
      <c r="W2002">
        <v>0.38004789999999999</v>
      </c>
      <c r="X2002">
        <v>0.8927697</v>
      </c>
      <c r="Y2002">
        <v>0.409831</v>
      </c>
      <c r="Z2002">
        <v>0.1065362</v>
      </c>
      <c r="AA2002">
        <v>0.90591869999999997</v>
      </c>
      <c r="AB2002">
        <v>21</v>
      </c>
      <c r="AC2002">
        <v>-7.6444999999999901</v>
      </c>
      <c r="AD2002">
        <v>-1.1027864152439999</v>
      </c>
      <c r="AE2002">
        <v>-2.9548999999999999</v>
      </c>
      <c r="AF2002">
        <v>3.4278786469768598</v>
      </c>
      <c r="AG2002">
        <v>-1.1027864152439999</v>
      </c>
      <c r="AH2002">
        <v>7.2836586443819202</v>
      </c>
      <c r="AI2002">
        <v>97.800541699498694</v>
      </c>
      <c r="AJ2002">
        <v>64.797108049225798</v>
      </c>
      <c r="AK2002">
        <v>8.1251568073438492</v>
      </c>
      <c r="AL2002">
        <v>67.663350399114705</v>
      </c>
      <c r="AM2002">
        <v>74.838194801507697</v>
      </c>
      <c r="AN2002">
        <v>1.0000000052709599</v>
      </c>
    </row>
    <row r="2003" spans="1:40" x14ac:dyDescent="0.25">
      <c r="A2003" t="str">
        <f>"20190304164129904"</f>
        <v>20190304164129904</v>
      </c>
      <c r="B2003" t="str">
        <f>"1551688889893415"</f>
        <v>1551688889893415</v>
      </c>
      <c r="C2003" t="s">
        <v>40</v>
      </c>
      <c r="D2003">
        <v>4.9948069999999998</v>
      </c>
      <c r="E2003">
        <v>0.58687109999999998</v>
      </c>
      <c r="F2003" t="s">
        <v>45</v>
      </c>
      <c r="G2003">
        <v>-205.92519999999999</v>
      </c>
      <c r="H2003" s="1">
        <v>4.6549180000000002E-6</v>
      </c>
      <c r="I2003">
        <v>286.78579999999999</v>
      </c>
      <c r="J2003">
        <v>-198.29409999999999</v>
      </c>
      <c r="K2003">
        <v>1.102938</v>
      </c>
      <c r="L2003">
        <v>289.64109999999999</v>
      </c>
      <c r="M2003">
        <v>-0.70063330000000001</v>
      </c>
      <c r="N2003">
        <v>-1.252472E-2</v>
      </c>
      <c r="O2003">
        <v>-0.71341169999999998</v>
      </c>
      <c r="P2003">
        <v>-0.79461559999999998</v>
      </c>
      <c r="Q2003">
        <v>0.37258940000000002</v>
      </c>
      <c r="R2003">
        <v>-0.4793366</v>
      </c>
      <c r="S2003">
        <v>-3.2462010000000001</v>
      </c>
      <c r="T2003">
        <v>-0.45933839999999998</v>
      </c>
      <c r="U2003">
        <v>-1.2501530000000001</v>
      </c>
      <c r="V2003">
        <v>0.23837739999999999</v>
      </c>
      <c r="W2003">
        <v>0.37932009999999999</v>
      </c>
      <c r="X2003">
        <v>0.89403159999999904</v>
      </c>
      <c r="Y2003">
        <v>0.4066477</v>
      </c>
      <c r="Z2003">
        <v>0.1062023</v>
      </c>
      <c r="AA2003">
        <v>0.90739110000000001</v>
      </c>
      <c r="AB2003">
        <v>21</v>
      </c>
      <c r="AC2003">
        <v>-7.6311</v>
      </c>
      <c r="AD2003">
        <v>-1.102933345082</v>
      </c>
      <c r="AE2003">
        <v>-2.8553000000000002</v>
      </c>
      <c r="AF2003">
        <v>3.3818978938322601</v>
      </c>
      <c r="AG2003">
        <v>-1.102933345082</v>
      </c>
      <c r="AH2003">
        <v>7.2513131238169999</v>
      </c>
      <c r="AI2003">
        <v>97.848557389723695</v>
      </c>
      <c r="AJ2003">
        <v>64.996397709447507</v>
      </c>
      <c r="AK2003">
        <v>8.0768333737697997</v>
      </c>
      <c r="AL2003">
        <v>67.708425843423001</v>
      </c>
      <c r="AM2003">
        <v>75.070439232766105</v>
      </c>
      <c r="AN2003">
        <v>1.0000000124466599</v>
      </c>
    </row>
    <row r="2004" spans="1:40" x14ac:dyDescent="0.25">
      <c r="A2004" t="str">
        <f>"20190304164129925"</f>
        <v>20190304164129925</v>
      </c>
      <c r="B2004" t="str">
        <f>"1551688889912935"</f>
        <v>1551688889912935</v>
      </c>
      <c r="C2004" t="s">
        <v>40</v>
      </c>
      <c r="D2004">
        <v>4.9946380000000001</v>
      </c>
      <c r="E2004">
        <v>0.58672469999999999</v>
      </c>
      <c r="F2004" t="s">
        <v>45</v>
      </c>
      <c r="G2004">
        <v>-206.03229999999999</v>
      </c>
      <c r="H2004" s="1">
        <v>4.7048009999999996E-6</v>
      </c>
      <c r="I2004">
        <v>286.75850000000003</v>
      </c>
      <c r="J2004">
        <v>-198.45179999999999</v>
      </c>
      <c r="K2004">
        <v>1.1030990000000001</v>
      </c>
      <c r="L2004">
        <v>289.50290000000001</v>
      </c>
      <c r="M2004">
        <v>-0.710148</v>
      </c>
      <c r="N2004">
        <v>-1.245106E-2</v>
      </c>
      <c r="O2004">
        <v>-0.70394230000000002</v>
      </c>
      <c r="P2004">
        <v>-0.79937049999999998</v>
      </c>
      <c r="Q2004">
        <v>0.37288860000000001</v>
      </c>
      <c r="R2004">
        <v>-0.47112749999999998</v>
      </c>
      <c r="S2004">
        <v>-3.2605900000000001</v>
      </c>
      <c r="T2004">
        <v>-0.46473419999999999</v>
      </c>
      <c r="U2004">
        <v>-1.214661</v>
      </c>
      <c r="V2004">
        <v>0.23531479999999999</v>
      </c>
      <c r="W2004">
        <v>0.37971529999999998</v>
      </c>
      <c r="X2004">
        <v>0.894675</v>
      </c>
      <c r="Y2004">
        <v>0.40427800000000003</v>
      </c>
      <c r="Z2004">
        <v>0.10655100000000001</v>
      </c>
      <c r="AA2004">
        <v>0.90840860000000001</v>
      </c>
      <c r="AB2004">
        <v>21</v>
      </c>
      <c r="AC2004">
        <v>-7.5804999999999998</v>
      </c>
      <c r="AD2004">
        <v>-1.1030942951989999</v>
      </c>
      <c r="AE2004">
        <v>-2.7443999999999802</v>
      </c>
      <c r="AF2004">
        <v>3.3253122524801002</v>
      </c>
      <c r="AG2004">
        <v>-1.1030942951989999</v>
      </c>
      <c r="AH2004">
        <v>7.1812986979094102</v>
      </c>
      <c r="AI2004">
        <v>97.935223248479801</v>
      </c>
      <c r="AJ2004">
        <v>65.153426257198902</v>
      </c>
      <c r="AK2004">
        <v>7.9903422698398998</v>
      </c>
      <c r="AL2004">
        <v>67.683952605577403</v>
      </c>
      <c r="AM2004">
        <v>75.263983332733304</v>
      </c>
      <c r="AN2004">
        <v>1.0000000598890599</v>
      </c>
    </row>
    <row r="2005" spans="1:40" x14ac:dyDescent="0.25">
      <c r="A2005" t="str">
        <f>"20190304164129946"</f>
        <v>20190304164129946</v>
      </c>
      <c r="B2005" t="str">
        <f>"1551688889943191"</f>
        <v>1551688889943191</v>
      </c>
      <c r="C2005" t="s">
        <v>40</v>
      </c>
      <c r="D2005">
        <v>4.9551080000000001</v>
      </c>
      <c r="E2005">
        <v>0.58646880000000001</v>
      </c>
      <c r="F2005" t="s">
        <v>45</v>
      </c>
      <c r="G2005">
        <v>-206.1942</v>
      </c>
      <c r="H2005" s="1">
        <v>4.7810730000000002E-6</v>
      </c>
      <c r="I2005">
        <v>286.7072</v>
      </c>
      <c r="J2005">
        <v>-198.60740000000001</v>
      </c>
      <c r="K2005">
        <v>1.103251</v>
      </c>
      <c r="L2005">
        <v>289.36970000000002</v>
      </c>
      <c r="M2005">
        <v>-0.71914419999999901</v>
      </c>
      <c r="N2005">
        <v>-1.2378770000000001E-2</v>
      </c>
      <c r="O2005">
        <v>-0.6947508</v>
      </c>
      <c r="P2005">
        <v>-0.80485030000000002</v>
      </c>
      <c r="Q2005">
        <v>0.37248940000000003</v>
      </c>
      <c r="R2005">
        <v>-0.46202589999999999</v>
      </c>
      <c r="S2005">
        <v>-3.2737880000000001</v>
      </c>
      <c r="T2005">
        <v>-0.46643299999999999</v>
      </c>
      <c r="U2005">
        <v>-1.182159</v>
      </c>
      <c r="V2005">
        <v>0.2339215</v>
      </c>
      <c r="W2005">
        <v>0.37937389999999999</v>
      </c>
      <c r="X2005">
        <v>0.89518500000000001</v>
      </c>
      <c r="Y2005">
        <v>0.4016999</v>
      </c>
      <c r="Z2005">
        <v>0.10597910000000001</v>
      </c>
      <c r="AA2005">
        <v>0.90961840000000005</v>
      </c>
      <c r="AB2005">
        <v>21</v>
      </c>
      <c r="AC2005">
        <v>-7.5867999999999798</v>
      </c>
      <c r="AD2005">
        <v>-1.103246218927</v>
      </c>
      <c r="AE2005">
        <v>-2.6625000000000201</v>
      </c>
      <c r="AF2005">
        <v>3.2944452869826701</v>
      </c>
      <c r="AG2005">
        <v>-1.103246218927</v>
      </c>
      <c r="AH2005">
        <v>7.1713197631430301</v>
      </c>
      <c r="AI2005">
        <v>97.958132449497796</v>
      </c>
      <c r="AJ2005">
        <v>65.326339165037595</v>
      </c>
      <c r="AK2005">
        <v>7.9685851387649</v>
      </c>
      <c r="AL2005">
        <v>67.705094119729495</v>
      </c>
      <c r="AM2005">
        <v>75.355458999525595</v>
      </c>
      <c r="AN2005">
        <v>1.0000000041942201</v>
      </c>
    </row>
    <row r="2006" spans="1:40" x14ac:dyDescent="0.25">
      <c r="A2006" t="str">
        <f>"20190304164129970"</f>
        <v>20190304164129970</v>
      </c>
      <c r="B2006" t="str">
        <f>"1551688889962711"</f>
        <v>1551688889962711</v>
      </c>
      <c r="C2006" t="s">
        <v>40</v>
      </c>
      <c r="D2006">
        <v>4.926323</v>
      </c>
      <c r="E2006">
        <v>0.58630409999999999</v>
      </c>
      <c r="F2006" t="s">
        <v>45</v>
      </c>
      <c r="G2006">
        <v>-206.245</v>
      </c>
      <c r="H2006" s="1">
        <v>4.8050679999999999E-6</v>
      </c>
      <c r="I2006">
        <v>286.69049999999999</v>
      </c>
      <c r="J2006">
        <v>-198.79079999999999</v>
      </c>
      <c r="K2006">
        <v>1.10341</v>
      </c>
      <c r="L2006">
        <v>289.2165</v>
      </c>
      <c r="M2006">
        <v>-0.7292611</v>
      </c>
      <c r="N2006">
        <v>-1.228213E-2</v>
      </c>
      <c r="O2006">
        <v>-0.68412519999999999</v>
      </c>
      <c r="P2006">
        <v>-0.81182129999999997</v>
      </c>
      <c r="Q2006">
        <v>0.37083630000000001</v>
      </c>
      <c r="R2006">
        <v>-0.4510284</v>
      </c>
      <c r="S2006">
        <v>-3.2854459999999999</v>
      </c>
      <c r="T2006">
        <v>-0.47457769999999999</v>
      </c>
      <c r="U2006">
        <v>-1.152496</v>
      </c>
      <c r="V2006">
        <v>0.23328260000000001</v>
      </c>
      <c r="W2006">
        <v>0.37775720000000002</v>
      </c>
      <c r="X2006">
        <v>0.89603500000000003</v>
      </c>
      <c r="Y2006">
        <v>0.39643060000000002</v>
      </c>
      <c r="Z2006">
        <v>0.10663</v>
      </c>
      <c r="AA2006">
        <v>0.91185130000000003</v>
      </c>
      <c r="AB2006">
        <v>21</v>
      </c>
      <c r="AC2006">
        <v>-7.4542000000000099</v>
      </c>
      <c r="AD2006">
        <v>-1.1034051949320001</v>
      </c>
      <c r="AE2006">
        <v>-2.52600000000001</v>
      </c>
      <c r="AF2006">
        <v>3.1949439283880601</v>
      </c>
      <c r="AG2006">
        <v>-1.1034051949320001</v>
      </c>
      <c r="AH2006">
        <v>7.0265960768225098</v>
      </c>
      <c r="AI2006">
        <v>98.135279132795205</v>
      </c>
      <c r="AJ2006">
        <v>65.549040255471596</v>
      </c>
      <c r="AK2006">
        <v>7.7973214732088696</v>
      </c>
      <c r="AL2006">
        <v>67.805172459244204</v>
      </c>
      <c r="AM2006">
        <v>75.407008383750394</v>
      </c>
      <c r="AN2006">
        <v>0.99999999741979995</v>
      </c>
    </row>
    <row r="2007" spans="1:40" x14ac:dyDescent="0.25">
      <c r="A2007" t="str">
        <f>"20190304164129993"</f>
        <v>20190304164129993</v>
      </c>
      <c r="B2007" t="str">
        <f>"1551688889983207"</f>
        <v>1551688889983207</v>
      </c>
      <c r="C2007" t="s">
        <v>40</v>
      </c>
      <c r="D2007">
        <v>4.9102399999999999</v>
      </c>
      <c r="E2007">
        <v>0.58616299999999999</v>
      </c>
      <c r="F2007" t="s">
        <v>45</v>
      </c>
      <c r="G2007">
        <v>-206.2938</v>
      </c>
      <c r="H2007" s="1">
        <v>4.8270349999999996E-6</v>
      </c>
      <c r="I2007">
        <v>286.6866</v>
      </c>
      <c r="J2007">
        <v>-198.95760000000001</v>
      </c>
      <c r="K2007">
        <v>1.1035600000000001</v>
      </c>
      <c r="L2007">
        <v>289.08049999999997</v>
      </c>
      <c r="M2007">
        <v>-0.73801680000000003</v>
      </c>
      <c r="N2007">
        <v>-1.217847E-2</v>
      </c>
      <c r="O2007">
        <v>-0.67467259999999996</v>
      </c>
      <c r="P2007">
        <v>-0.81725599999999998</v>
      </c>
      <c r="Q2007">
        <v>0.36908849999999999</v>
      </c>
      <c r="R2007">
        <v>-0.44256820000000002</v>
      </c>
      <c r="S2007">
        <v>-3.2990110000000001</v>
      </c>
      <c r="T2007">
        <v>-0.48515710000000001</v>
      </c>
      <c r="U2007">
        <v>-1.112366</v>
      </c>
      <c r="V2007">
        <v>0.2313857</v>
      </c>
      <c r="W2007">
        <v>0.37605499999999997</v>
      </c>
      <c r="X2007">
        <v>0.89724210000000004</v>
      </c>
      <c r="Y2007">
        <v>0.39541379999999998</v>
      </c>
      <c r="Z2007">
        <v>0.1082072</v>
      </c>
      <c r="AA2007">
        <v>0.912107</v>
      </c>
      <c r="AB2007">
        <v>21</v>
      </c>
      <c r="AC2007">
        <v>-7.3361999999999901</v>
      </c>
      <c r="AD2007">
        <v>-1.1035551729649999</v>
      </c>
      <c r="AE2007">
        <v>-2.3938999999999702</v>
      </c>
      <c r="AF2007">
        <v>3.1192406453886701</v>
      </c>
      <c r="AG2007">
        <v>-1.1035551729649999</v>
      </c>
      <c r="AH2007">
        <v>6.8889757272759997</v>
      </c>
      <c r="AI2007">
        <v>98.302537003120705</v>
      </c>
      <c r="AJ2007">
        <v>65.6395867210028</v>
      </c>
      <c r="AK2007">
        <v>7.6423479896312196</v>
      </c>
      <c r="AL2007">
        <v>67.910467767564796</v>
      </c>
      <c r="AM2007">
        <v>75.539324407509298</v>
      </c>
      <c r="AN2007">
        <v>1.0000000456009399</v>
      </c>
    </row>
    <row r="2008" spans="1:40" x14ac:dyDescent="0.25">
      <c r="A2008" t="str">
        <f>"20190304164130013"</f>
        <v>20190304164130013</v>
      </c>
      <c r="B2008" t="str">
        <f>"1551688890003180"</f>
        <v>1551688890003180</v>
      </c>
      <c r="C2008" t="s">
        <v>40</v>
      </c>
      <c r="D2008">
        <v>4.9167620000000003</v>
      </c>
      <c r="E2008">
        <v>0.58605379999999996</v>
      </c>
      <c r="F2008" t="s">
        <v>45</v>
      </c>
      <c r="G2008">
        <v>-206.37</v>
      </c>
      <c r="H2008" s="1">
        <v>4.861925E-6</v>
      </c>
      <c r="I2008">
        <v>286.67430000000002</v>
      </c>
      <c r="J2008">
        <v>-199.1165</v>
      </c>
      <c r="K2008">
        <v>1.10371</v>
      </c>
      <c r="L2008">
        <v>288.9538</v>
      </c>
      <c r="M2008">
        <v>-0.74595489999999998</v>
      </c>
      <c r="N2008">
        <v>-1.206481E-2</v>
      </c>
      <c r="O2008">
        <v>-0.66588729999999996</v>
      </c>
      <c r="P2008">
        <v>-0.821796999999999</v>
      </c>
      <c r="Q2008">
        <v>0.36974630000000003</v>
      </c>
      <c r="R2008">
        <v>-0.4335176</v>
      </c>
      <c r="S2008">
        <v>-3.31134</v>
      </c>
      <c r="T2008">
        <v>-0.49299100000000001</v>
      </c>
      <c r="U2008">
        <v>-1.074921</v>
      </c>
      <c r="V2008">
        <v>0.2303289</v>
      </c>
      <c r="W2008">
        <v>0.37671680000000002</v>
      </c>
      <c r="X2008">
        <v>0.89723629999999999</v>
      </c>
      <c r="Y2008">
        <v>0.39467029999999997</v>
      </c>
      <c r="Z2008">
        <v>0.1091739</v>
      </c>
      <c r="AA2008">
        <v>0.91231379999999995</v>
      </c>
      <c r="AB2008">
        <v>21</v>
      </c>
      <c r="AC2008">
        <v>-7.2534999999999998</v>
      </c>
      <c r="AD2008">
        <v>-1.103705138075</v>
      </c>
      <c r="AE2008">
        <v>-2.2794999999999801</v>
      </c>
      <c r="AF2008">
        <v>3.0652457080612501</v>
      </c>
      <c r="AG2008">
        <v>-1.103705138075</v>
      </c>
      <c r="AH2008">
        <v>6.7861786764030096</v>
      </c>
      <c r="AI2008">
        <v>98.431064330004304</v>
      </c>
      <c r="AJ2008">
        <v>65.691805239544095</v>
      </c>
      <c r="AK2008">
        <v>7.5276900381636302</v>
      </c>
      <c r="AL2008">
        <v>67.869537787007005</v>
      </c>
      <c r="AM2008">
        <v>75.602529778468295</v>
      </c>
      <c r="AN2008">
        <v>0.99999996380756895</v>
      </c>
    </row>
    <row r="2009" spans="1:40" x14ac:dyDescent="0.25">
      <c r="A2009" t="str">
        <f>"20190304164130036"</f>
        <v>20190304164130036</v>
      </c>
      <c r="B2009" t="str">
        <f>"1551688890033436"</f>
        <v>1551688890033436</v>
      </c>
      <c r="C2009" t="s">
        <v>40</v>
      </c>
      <c r="D2009">
        <v>4.8828659999999999</v>
      </c>
      <c r="E2009">
        <v>0.58587559999999905</v>
      </c>
      <c r="F2009" t="s">
        <v>45</v>
      </c>
      <c r="G2009">
        <v>-206.58840000000001</v>
      </c>
      <c r="H2009" s="1">
        <v>4.9631479999999996E-6</v>
      </c>
      <c r="I2009">
        <v>286.62389999999999</v>
      </c>
      <c r="J2009">
        <v>-199.29040000000001</v>
      </c>
      <c r="K2009">
        <v>1.1038829999999999</v>
      </c>
      <c r="L2009">
        <v>288.81810000000002</v>
      </c>
      <c r="M2009">
        <v>-0.75423119999999999</v>
      </c>
      <c r="N2009">
        <v>-1.1922769999999999E-2</v>
      </c>
      <c r="O2009">
        <v>-0.6565008</v>
      </c>
      <c r="P2009">
        <v>-0.82697289999999901</v>
      </c>
      <c r="Q2009">
        <v>0.37193939999999998</v>
      </c>
      <c r="R2009">
        <v>-0.42163630000000002</v>
      </c>
      <c r="S2009">
        <v>-3.3246150000000001</v>
      </c>
      <c r="T2009">
        <v>-0.49109340000000001</v>
      </c>
      <c r="U2009">
        <v>-1.036713</v>
      </c>
      <c r="V2009">
        <v>0.23125080000000001</v>
      </c>
      <c r="W2009">
        <v>0.37885410000000003</v>
      </c>
      <c r="X2009">
        <v>0.89609859999999897</v>
      </c>
      <c r="Y2009">
        <v>0.39392270000000001</v>
      </c>
      <c r="Z2009">
        <v>0.1077857</v>
      </c>
      <c r="AA2009">
        <v>0.9128018</v>
      </c>
      <c r="AB2009">
        <v>21</v>
      </c>
      <c r="AC2009">
        <v>-7.298</v>
      </c>
      <c r="AD2009">
        <v>-1.103878036852</v>
      </c>
      <c r="AE2009">
        <v>-2.1942000000000199</v>
      </c>
      <c r="AF2009">
        <v>3.07197470480935</v>
      </c>
      <c r="AG2009">
        <v>-1.103878036852</v>
      </c>
      <c r="AH2009">
        <v>6.80263242705953</v>
      </c>
      <c r="AI2009">
        <v>98.412584089537702</v>
      </c>
      <c r="AJ2009">
        <v>65.696723103953602</v>
      </c>
      <c r="AK2009">
        <v>7.5452888112327798</v>
      </c>
      <c r="AL2009">
        <v>67.737279708735699</v>
      </c>
      <c r="AM2009">
        <v>75.529732972707606</v>
      </c>
      <c r="AN2009">
        <v>1.0000000312546999</v>
      </c>
    </row>
    <row r="2010" spans="1:40" x14ac:dyDescent="0.25">
      <c r="A2010" t="str">
        <f>"20190304164130060"</f>
        <v>20190304164130060</v>
      </c>
      <c r="B2010" t="str">
        <f>"1551688890052956"</f>
        <v>1551688890052956</v>
      </c>
      <c r="C2010" t="s">
        <v>40</v>
      </c>
      <c r="D2010">
        <v>4.8525510000000001</v>
      </c>
      <c r="E2010">
        <v>0.58575529999999998</v>
      </c>
      <c r="F2010" t="s">
        <v>45</v>
      </c>
      <c r="G2010">
        <v>-206.86609999999999</v>
      </c>
      <c r="H2010" s="1">
        <v>5.0919039999999996E-6</v>
      </c>
      <c r="I2010">
        <v>286.55970000000002</v>
      </c>
      <c r="J2010">
        <v>-199.46960000000001</v>
      </c>
      <c r="K2010">
        <v>1.104052</v>
      </c>
      <c r="L2010">
        <v>288.68130000000002</v>
      </c>
      <c r="M2010">
        <v>-0.76234349999999995</v>
      </c>
      <c r="N2010">
        <v>-1.1762750000000001E-2</v>
      </c>
      <c r="O2010">
        <v>-0.64706580000000002</v>
      </c>
      <c r="P2010">
        <v>-0.83347109999999902</v>
      </c>
      <c r="Q2010">
        <v>0.3729711</v>
      </c>
      <c r="R2010">
        <v>-0.4076996</v>
      </c>
      <c r="S2010">
        <v>-3.3390049999999998</v>
      </c>
      <c r="T2010">
        <v>-0.48653819999999998</v>
      </c>
      <c r="U2010">
        <v>-0.99539180000000005</v>
      </c>
      <c r="V2010">
        <v>0.23469599999999999</v>
      </c>
      <c r="W2010">
        <v>0.37977440000000001</v>
      </c>
      <c r="X2010">
        <v>0.8948123</v>
      </c>
      <c r="Y2010">
        <v>0.39418500000000001</v>
      </c>
      <c r="Z2010">
        <v>0.1058431</v>
      </c>
      <c r="AA2010">
        <v>0.9129159</v>
      </c>
      <c r="AB2010">
        <v>21</v>
      </c>
      <c r="AC2010">
        <v>-7.3964999999999703</v>
      </c>
      <c r="AD2010">
        <v>-1.104046908096</v>
      </c>
      <c r="AE2010">
        <v>-2.1215999999999999</v>
      </c>
      <c r="AF2010">
        <v>3.10493327039236</v>
      </c>
      <c r="AG2010">
        <v>-1.104046908096</v>
      </c>
      <c r="AH2010">
        <v>6.8705323503463998</v>
      </c>
      <c r="AI2010">
        <v>98.330843542781594</v>
      </c>
      <c r="AJ2010">
        <v>65.680821921995403</v>
      </c>
      <c r="AK2010">
        <v>7.6199570186466401</v>
      </c>
      <c r="AL2010">
        <v>67.680289170637593</v>
      </c>
      <c r="AM2010">
        <v>75.303211852735402</v>
      </c>
      <c r="AN2010">
        <v>0.99999992977132202</v>
      </c>
    </row>
    <row r="2011" spans="1:40" x14ac:dyDescent="0.25">
      <c r="A2011" t="str">
        <f>"20190304164130082"</f>
        <v>20190304164130082</v>
      </c>
      <c r="B2011" t="str">
        <f>"1551688890073453"</f>
        <v>1551688890073453</v>
      </c>
      <c r="C2011" t="s">
        <v>40</v>
      </c>
      <c r="D2011">
        <v>4.8469129999999998</v>
      </c>
      <c r="E2011">
        <v>0.58559799999999995</v>
      </c>
      <c r="F2011" t="s">
        <v>45</v>
      </c>
      <c r="G2011">
        <v>-207.0557</v>
      </c>
      <c r="H2011" s="1">
        <v>5.1788379999999899E-6</v>
      </c>
      <c r="I2011">
        <v>286.52719999999999</v>
      </c>
      <c r="J2011">
        <v>-199.64420000000001</v>
      </c>
      <c r="K2011">
        <v>1.1042099999999999</v>
      </c>
      <c r="L2011">
        <v>288.55079999999998</v>
      </c>
      <c r="M2011">
        <v>-0.76987490000000003</v>
      </c>
      <c r="N2011">
        <v>-1.1603560000000001E-2</v>
      </c>
      <c r="O2011">
        <v>-0.63808940000000003</v>
      </c>
      <c r="P2011">
        <v>-0.83949099999999999</v>
      </c>
      <c r="Q2011">
        <v>0.37160290000000001</v>
      </c>
      <c r="R2011">
        <v>-0.39644210000000002</v>
      </c>
      <c r="S2011">
        <v>-3.3520970000000001</v>
      </c>
      <c r="T2011">
        <v>-0.48785070000000003</v>
      </c>
      <c r="U2011">
        <v>-0.95184329999999995</v>
      </c>
      <c r="V2011">
        <v>0.23647119999999999</v>
      </c>
      <c r="W2011">
        <v>0.37833109999999998</v>
      </c>
      <c r="X2011">
        <v>0.89495639999999999</v>
      </c>
      <c r="Y2011">
        <v>0.39534930000000001</v>
      </c>
      <c r="Z2011">
        <v>0.10537680000000001</v>
      </c>
      <c r="AA2011">
        <v>0.91246629999999995</v>
      </c>
      <c r="AB2011">
        <v>21</v>
      </c>
      <c r="AC2011">
        <v>-7.4114999999999798</v>
      </c>
      <c r="AD2011">
        <v>-1.1042048211619999</v>
      </c>
      <c r="AE2011">
        <v>-2.0235999999999801</v>
      </c>
      <c r="AF2011">
        <v>3.1073073718179902</v>
      </c>
      <c r="AG2011">
        <v>-1.1042048211619999</v>
      </c>
      <c r="AH2011">
        <v>6.8560136475787496</v>
      </c>
      <c r="AI2011">
        <v>98.345385302763006</v>
      </c>
      <c r="AJ2011">
        <v>65.618843260504605</v>
      </c>
      <c r="AK2011">
        <v>7.6078611005865504</v>
      </c>
      <c r="AL2011">
        <v>67.769654688174796</v>
      </c>
      <c r="AM2011">
        <v>75.199190952111707</v>
      </c>
      <c r="AN2011">
        <v>1.0000000037787999</v>
      </c>
    </row>
    <row r="2012" spans="1:40" x14ac:dyDescent="0.25">
      <c r="A2012" t="str">
        <f>"20190304164130105"</f>
        <v>20190304164130105</v>
      </c>
      <c r="B2012" t="str">
        <f>"1551688890093480"</f>
        <v>1551688890093480</v>
      </c>
      <c r="C2012" t="s">
        <v>40</v>
      </c>
      <c r="D2012">
        <v>4.8403999999999998</v>
      </c>
      <c r="E2012">
        <v>0.58546909999999996</v>
      </c>
      <c r="F2012" t="s">
        <v>45</v>
      </c>
      <c r="G2012">
        <v>-207.14019999999999</v>
      </c>
      <c r="H2012" s="1">
        <v>5.2166099999999899E-6</v>
      </c>
      <c r="I2012">
        <v>286.524</v>
      </c>
      <c r="J2012">
        <v>-199.82149999999999</v>
      </c>
      <c r="K2012">
        <v>1.104336</v>
      </c>
      <c r="L2012">
        <v>288.4212</v>
      </c>
      <c r="M2012">
        <v>-0.777161199999999</v>
      </c>
      <c r="N2012">
        <v>-1.1444350000000001E-2</v>
      </c>
      <c r="O2012">
        <v>-0.62919759999999902</v>
      </c>
      <c r="P2012">
        <v>-0.84478339999999996</v>
      </c>
      <c r="Q2012">
        <v>0.3703303</v>
      </c>
      <c r="R2012">
        <v>-0.38625979999999999</v>
      </c>
      <c r="S2012">
        <v>-3.3634339999999998</v>
      </c>
      <c r="T2012">
        <v>-0.49545280000000003</v>
      </c>
      <c r="U2012">
        <v>-0.9094238</v>
      </c>
      <c r="V2012">
        <v>0.23720630000000001</v>
      </c>
      <c r="W2012">
        <v>0.37698880000000001</v>
      </c>
      <c r="X2012">
        <v>0.89532819999999902</v>
      </c>
      <c r="Y2012">
        <v>0.39608719999999997</v>
      </c>
      <c r="Z2012">
        <v>0.106305</v>
      </c>
      <c r="AA2012">
        <v>0.91203840000000003</v>
      </c>
      <c r="AB2012">
        <v>21</v>
      </c>
      <c r="AC2012">
        <v>-7.3186999999999998</v>
      </c>
      <c r="AD2012">
        <v>-1.10433078339</v>
      </c>
      <c r="AE2012">
        <v>-1.89719999999999</v>
      </c>
      <c r="AF2012">
        <v>3.06528629472154</v>
      </c>
      <c r="AG2012">
        <v>-1.10433078339</v>
      </c>
      <c r="AH2012">
        <v>6.7382162037025397</v>
      </c>
      <c r="AI2012">
        <v>98.484813868059206</v>
      </c>
      <c r="AJ2012">
        <v>65.538706480295403</v>
      </c>
      <c r="AK2012">
        <v>7.48458977871132</v>
      </c>
      <c r="AL2012">
        <v>67.852713379461704</v>
      </c>
      <c r="AM2012">
        <v>75.161101963495597</v>
      </c>
      <c r="AN2012">
        <v>0.99999998490018405</v>
      </c>
    </row>
    <row r="2013" spans="1:40" x14ac:dyDescent="0.25">
      <c r="A2013" t="str">
        <f>"20190304164130125"</f>
        <v>20190304164130125</v>
      </c>
      <c r="B2013" t="str">
        <f>"1551688890112999"</f>
        <v>1551688890112999</v>
      </c>
      <c r="C2013" t="s">
        <v>40</v>
      </c>
      <c r="D2013">
        <v>4.8172490000000003</v>
      </c>
      <c r="E2013">
        <v>0.58531669999999902</v>
      </c>
      <c r="F2013" t="s">
        <v>45</v>
      </c>
      <c r="G2013">
        <v>-207.26490000000001</v>
      </c>
      <c r="H2013" s="1">
        <v>5.2731959999999996E-6</v>
      </c>
      <c r="I2013">
        <v>286.5093</v>
      </c>
      <c r="J2013">
        <v>-199.98830000000001</v>
      </c>
      <c r="K2013">
        <v>1.1044290000000001</v>
      </c>
      <c r="L2013">
        <v>288.30180000000001</v>
      </c>
      <c r="M2013">
        <v>-0.78373380000000004</v>
      </c>
      <c r="N2013">
        <v>-1.130217E-2</v>
      </c>
      <c r="O2013">
        <v>-0.6209943</v>
      </c>
      <c r="P2013">
        <v>-0.85036869999999998</v>
      </c>
      <c r="Q2013">
        <v>0.36858619999999997</v>
      </c>
      <c r="R2013">
        <v>-0.3755232</v>
      </c>
      <c r="S2013">
        <v>-3.37439</v>
      </c>
      <c r="T2013">
        <v>-0.50063729999999995</v>
      </c>
      <c r="U2013">
        <v>-0.86676030000000004</v>
      </c>
      <c r="V2013">
        <v>0.23949309999999999</v>
      </c>
      <c r="W2013">
        <v>0.37514419999999998</v>
      </c>
      <c r="X2013">
        <v>0.89549419999999902</v>
      </c>
      <c r="Y2013">
        <v>0.3978352</v>
      </c>
      <c r="Z2013">
        <v>0.10679180000000001</v>
      </c>
      <c r="AA2013">
        <v>0.91122040000000004</v>
      </c>
      <c r="AB2013">
        <v>21</v>
      </c>
      <c r="AC2013">
        <v>-7.2766000000000002</v>
      </c>
      <c r="AD2013">
        <v>-1.104423726804</v>
      </c>
      <c r="AE2013">
        <v>-1.79250000000001</v>
      </c>
      <c r="AF2013">
        <v>3.0478872370436201</v>
      </c>
      <c r="AG2013">
        <v>-1.104423726804</v>
      </c>
      <c r="AH2013">
        <v>6.6715872610936797</v>
      </c>
      <c r="AI2013">
        <v>98.562846199666197</v>
      </c>
      <c r="AJ2013">
        <v>65.446903960896094</v>
      </c>
      <c r="AK2013">
        <v>7.41750935020971</v>
      </c>
      <c r="AL2013">
        <v>67.966774188873003</v>
      </c>
      <c r="AM2013">
        <v>75.027096460457599</v>
      </c>
      <c r="AN2013">
        <v>0.99999998898744402</v>
      </c>
    </row>
    <row r="2014" spans="1:40" x14ac:dyDescent="0.25">
      <c r="A2014" t="str">
        <f>"20190304164130148"</f>
        <v>20190304164130148</v>
      </c>
      <c r="B2014" t="str">
        <f>"1551688890143257"</f>
        <v>1551688890143257</v>
      </c>
      <c r="C2014" t="s">
        <v>40</v>
      </c>
      <c r="D2014">
        <v>4.8154019999999997</v>
      </c>
      <c r="E2014">
        <v>0.58504679999999998</v>
      </c>
      <c r="F2014" t="s">
        <v>45</v>
      </c>
      <c r="G2014">
        <v>-207.33019999999999</v>
      </c>
      <c r="H2014" s="1">
        <v>5.3021359999999997E-6</v>
      </c>
      <c r="I2014">
        <v>286.5093</v>
      </c>
      <c r="J2014">
        <v>-200.1679</v>
      </c>
      <c r="K2014">
        <v>1.1044909999999999</v>
      </c>
      <c r="L2014">
        <v>288.17579999999998</v>
      </c>
      <c r="M2014">
        <v>-0.79054679999999999</v>
      </c>
      <c r="N2014">
        <v>-1.1161620000000001E-2</v>
      </c>
      <c r="O2014">
        <v>-0.61229999999999996</v>
      </c>
      <c r="P2014">
        <v>-0.85530659999999903</v>
      </c>
      <c r="Q2014">
        <v>0.36745499999999998</v>
      </c>
      <c r="R2014">
        <v>-0.36527749999999998</v>
      </c>
      <c r="S2014">
        <v>-3.3836979999999999</v>
      </c>
      <c r="T2014">
        <v>-0.5090036</v>
      </c>
      <c r="U2014">
        <v>-0.82611080000000003</v>
      </c>
      <c r="V2014">
        <v>0.24057690000000001</v>
      </c>
      <c r="W2014">
        <v>0.373915</v>
      </c>
      <c r="X2014">
        <v>0.89571769999999995</v>
      </c>
      <c r="Y2014">
        <v>0.39837620000000001</v>
      </c>
      <c r="Z2014">
        <v>0.1078321</v>
      </c>
      <c r="AA2014">
        <v>0.91086149999999999</v>
      </c>
      <c r="AB2014">
        <v>21</v>
      </c>
      <c r="AC2014">
        <v>-7.1622999999999797</v>
      </c>
      <c r="AD2014">
        <v>-1.1044856978640001</v>
      </c>
      <c r="AE2014">
        <v>-1.6664999999999801</v>
      </c>
      <c r="AF2014">
        <v>3.0005323508613801</v>
      </c>
      <c r="AG2014">
        <v>-1.1044856978640001</v>
      </c>
      <c r="AH2014">
        <v>6.5355133508518097</v>
      </c>
      <c r="AI2014">
        <v>98.731510767760199</v>
      </c>
      <c r="AJ2014">
        <v>65.339578716063102</v>
      </c>
      <c r="AK2014">
        <v>7.2757142470354097</v>
      </c>
      <c r="AL2014">
        <v>68.0427294193683</v>
      </c>
      <c r="AM2014">
        <v>74.965983098606998</v>
      </c>
      <c r="AN2014">
        <v>0.99999993506594698</v>
      </c>
    </row>
    <row r="2015" spans="1:40" x14ac:dyDescent="0.25">
      <c r="A2015" t="str">
        <f>"20190304164130172"</f>
        <v>20190304164130172</v>
      </c>
      <c r="B2015" t="str">
        <f>"1551688890162776"</f>
        <v>1551688890162776</v>
      </c>
      <c r="C2015" t="s">
        <v>40</v>
      </c>
      <c r="D2015">
        <v>4.7833730000000001</v>
      </c>
      <c r="E2015">
        <v>0.58487100000000003</v>
      </c>
      <c r="F2015" t="s">
        <v>45</v>
      </c>
      <c r="G2015">
        <v>-207.44329999999999</v>
      </c>
      <c r="H2015" s="1">
        <v>5.354312E-6</v>
      </c>
      <c r="I2015">
        <v>286.4864</v>
      </c>
      <c r="J2015">
        <v>-200.37020000000001</v>
      </c>
      <c r="K2015">
        <v>1.104527</v>
      </c>
      <c r="L2015">
        <v>288.03699999999998</v>
      </c>
      <c r="M2015">
        <v>-0.7979366</v>
      </c>
      <c r="N2015">
        <v>-1.101334E-2</v>
      </c>
      <c r="O2015">
        <v>-0.60264069999999903</v>
      </c>
      <c r="P2015">
        <v>-0.85996159999999999</v>
      </c>
      <c r="Q2015">
        <v>0.36638019999999999</v>
      </c>
      <c r="R2015">
        <v>-0.35529100000000002</v>
      </c>
      <c r="S2015">
        <v>-3.3923489999999998</v>
      </c>
      <c r="T2015">
        <v>-0.51499629999999996</v>
      </c>
      <c r="U2015">
        <v>-0.78771969999999902</v>
      </c>
      <c r="V2015">
        <v>0.2403295</v>
      </c>
      <c r="W2015">
        <v>0.3727433</v>
      </c>
      <c r="X2015">
        <v>0.89627239999999997</v>
      </c>
      <c r="Y2015">
        <v>0.39739390000000002</v>
      </c>
      <c r="Z2015">
        <v>0.1080914</v>
      </c>
      <c r="AA2015">
        <v>0.91125979999999995</v>
      </c>
      <c r="AB2015">
        <v>21</v>
      </c>
      <c r="AC2015">
        <v>-7.0730999999999797</v>
      </c>
      <c r="AD2015">
        <v>-1.104521645688</v>
      </c>
      <c r="AE2015">
        <v>-1.55060000000003</v>
      </c>
      <c r="AF2015">
        <v>2.9566483132438499</v>
      </c>
      <c r="AG2015">
        <v>-1.104521645688</v>
      </c>
      <c r="AH2015">
        <v>6.4291513476734403</v>
      </c>
      <c r="AI2015">
        <v>98.871416428241105</v>
      </c>
      <c r="AJ2015">
        <v>65.303169783305293</v>
      </c>
      <c r="AK2015">
        <v>7.1621033478505698</v>
      </c>
      <c r="AL2015">
        <v>68.115097087912204</v>
      </c>
      <c r="AM2015">
        <v>74.989620325500098</v>
      </c>
      <c r="AN2015">
        <v>1.00000002563344</v>
      </c>
    </row>
    <row r="2016" spans="1:40" x14ac:dyDescent="0.25">
      <c r="A2016" t="str">
        <f>"20190304164130196"</f>
        <v>20190304164130196</v>
      </c>
      <c r="B2016" t="str">
        <f>"1551688890183272"</f>
        <v>1551688890183272</v>
      </c>
      <c r="C2016" t="s">
        <v>40</v>
      </c>
      <c r="D2016">
        <v>4.7976739999999998</v>
      </c>
      <c r="E2016">
        <v>0.58469259999999901</v>
      </c>
      <c r="F2016" t="s">
        <v>45</v>
      </c>
      <c r="G2016">
        <v>-207.60929999999999</v>
      </c>
      <c r="H2016" s="1">
        <v>5.431109E-6</v>
      </c>
      <c r="I2016">
        <v>286.44970000000001</v>
      </c>
      <c r="J2016">
        <v>-200.55449999999999</v>
      </c>
      <c r="K2016">
        <v>1.1045469999999999</v>
      </c>
      <c r="L2016">
        <v>287.91340000000002</v>
      </c>
      <c r="M2016">
        <v>-0.80443750000000003</v>
      </c>
      <c r="N2016">
        <v>-1.0881190000000001E-2</v>
      </c>
      <c r="O2016">
        <v>-0.59393790000000002</v>
      </c>
      <c r="P2016">
        <v>-0.86397549999999901</v>
      </c>
      <c r="Q2016">
        <v>0.36496529999999999</v>
      </c>
      <c r="R2016">
        <v>-0.34691050000000001</v>
      </c>
      <c r="S2016">
        <v>-3.4014890000000002</v>
      </c>
      <c r="T2016">
        <v>-0.51899309999999998</v>
      </c>
      <c r="U2016">
        <v>-0.7458496</v>
      </c>
      <c r="V2016">
        <v>0.23961859999999999</v>
      </c>
      <c r="W2016">
        <v>0.37124059999999998</v>
      </c>
      <c r="X2016">
        <v>0.89708600000000005</v>
      </c>
      <c r="Y2016">
        <v>0.39856540000000001</v>
      </c>
      <c r="Z2016">
        <v>0.1081362</v>
      </c>
      <c r="AA2016">
        <v>0.91074259999999996</v>
      </c>
      <c r="AB2016">
        <v>22</v>
      </c>
      <c r="AC2016">
        <v>-7.0548000000000002</v>
      </c>
      <c r="AD2016">
        <v>-1.1045415688910001</v>
      </c>
      <c r="AE2016">
        <v>-1.46370000000001</v>
      </c>
      <c r="AF2016">
        <v>2.9436561768319298</v>
      </c>
      <c r="AG2016">
        <v>-1.1045415688910001</v>
      </c>
      <c r="AH2016">
        <v>6.3945978814738504</v>
      </c>
      <c r="AI2016">
        <v>98.917232997952894</v>
      </c>
      <c r="AJ2016">
        <v>65.281737535364201</v>
      </c>
      <c r="AK2016">
        <v>7.1257284421004199</v>
      </c>
      <c r="AL2016">
        <v>68.207850746385603</v>
      </c>
      <c r="AM2016">
        <v>75.044992395910299</v>
      </c>
      <c r="AN2016">
        <v>0.99999997397515905</v>
      </c>
    </row>
    <row r="2017" spans="1:40" x14ac:dyDescent="0.25">
      <c r="A2017" t="str">
        <f>"20190304164130215"</f>
        <v>20190304164130215</v>
      </c>
      <c r="B2017" t="str">
        <f>"1551688890203299"</f>
        <v>1551688890203299</v>
      </c>
      <c r="C2017" t="s">
        <v>40</v>
      </c>
      <c r="D2017">
        <v>4.8159999999999998</v>
      </c>
      <c r="E2017">
        <v>0.58453549999999999</v>
      </c>
      <c r="F2017" t="s">
        <v>45</v>
      </c>
      <c r="G2017">
        <v>-207.7131</v>
      </c>
      <c r="H2017" s="1">
        <v>5.4804330000000004E-6</v>
      </c>
      <c r="I2017">
        <v>286.41210000000001</v>
      </c>
      <c r="J2017">
        <v>-200.71809999999999</v>
      </c>
      <c r="K2017">
        <v>1.104557</v>
      </c>
      <c r="L2017">
        <v>287.80599999999998</v>
      </c>
      <c r="M2017">
        <v>-0.81004330000000002</v>
      </c>
      <c r="N2017">
        <v>-1.0762549999999999E-2</v>
      </c>
      <c r="O2017">
        <v>-0.58627149999999995</v>
      </c>
      <c r="P2017">
        <v>-0.86667819999999995</v>
      </c>
      <c r="Q2017">
        <v>0.364647</v>
      </c>
      <c r="R2017">
        <v>-0.34044390000000002</v>
      </c>
      <c r="S2017">
        <v>-3.407486</v>
      </c>
      <c r="T2017">
        <v>-0.52576119999999904</v>
      </c>
      <c r="U2017">
        <v>-0.7145996</v>
      </c>
      <c r="V2017">
        <v>0.23785880000000001</v>
      </c>
      <c r="W2017">
        <v>0.37085259999999998</v>
      </c>
      <c r="X2017">
        <v>0.89771460000000003</v>
      </c>
      <c r="Y2017">
        <v>0.39800550000000001</v>
      </c>
      <c r="Z2017">
        <v>0.1087447</v>
      </c>
      <c r="AA2017">
        <v>0.91091509999999998</v>
      </c>
      <c r="AB2017">
        <v>22</v>
      </c>
      <c r="AC2017">
        <v>-6.9950000000000001</v>
      </c>
      <c r="AD2017">
        <v>-1.1045515195669999</v>
      </c>
      <c r="AE2017">
        <v>-1.3938999999999699</v>
      </c>
      <c r="AF2017">
        <v>2.9024159096788198</v>
      </c>
      <c r="AG2017">
        <v>-1.1045515195669999</v>
      </c>
      <c r="AH2017">
        <v>6.3319781638470403</v>
      </c>
      <c r="AI2017">
        <v>99.010650076112697</v>
      </c>
      <c r="AJ2017">
        <v>65.374496619000993</v>
      </c>
      <c r="AK2017">
        <v>7.0525172555315496</v>
      </c>
      <c r="AL2017">
        <v>68.231790633475995</v>
      </c>
      <c r="AM2017">
        <v>75.159894159427594</v>
      </c>
      <c r="AN2017">
        <v>0.99999998135867896</v>
      </c>
    </row>
    <row r="2018" spans="1:40" x14ac:dyDescent="0.25">
      <c r="A2018" t="str">
        <f>"20190304164130237"</f>
        <v>20190304164130237</v>
      </c>
      <c r="B2018" t="str">
        <f>"1551688890222819"</f>
        <v>1551688890222819</v>
      </c>
      <c r="C2018" t="s">
        <v>40</v>
      </c>
      <c r="D2018">
        <v>4.7693130000000004</v>
      </c>
      <c r="E2018">
        <v>0.58438210000000002</v>
      </c>
      <c r="F2018" t="s">
        <v>45</v>
      </c>
      <c r="G2018">
        <v>-207.87639999999999</v>
      </c>
      <c r="H2018" s="1">
        <v>5.5572169999999998E-6</v>
      </c>
      <c r="I2018">
        <v>286.36200000000002</v>
      </c>
      <c r="J2018">
        <v>-200.9066</v>
      </c>
      <c r="K2018">
        <v>1.104557</v>
      </c>
      <c r="L2018">
        <v>287.6848</v>
      </c>
      <c r="M2018">
        <v>-0.81633669999999903</v>
      </c>
      <c r="N2018">
        <v>-1.0621490000000001E-2</v>
      </c>
      <c r="O2018">
        <v>-0.57747890000000002</v>
      </c>
      <c r="P2018">
        <v>-0.86852719999999894</v>
      </c>
      <c r="Q2018">
        <v>0.36693599999999998</v>
      </c>
      <c r="R2018">
        <v>-0.33319480000000001</v>
      </c>
      <c r="S2018">
        <v>-3.4126590000000001</v>
      </c>
      <c r="T2018">
        <v>-0.52659129999999998</v>
      </c>
      <c r="U2018">
        <v>-0.68841549999999996</v>
      </c>
      <c r="V2018">
        <v>0.2351164</v>
      </c>
      <c r="W2018">
        <v>0.37305159999999998</v>
      </c>
      <c r="X2018">
        <v>0.89752589999999999</v>
      </c>
      <c r="Y2018">
        <v>0.39515719999999999</v>
      </c>
      <c r="Z2018">
        <v>0.1077605</v>
      </c>
      <c r="AA2018">
        <v>0.91227100000000005</v>
      </c>
      <c r="AB2018">
        <v>22</v>
      </c>
      <c r="AC2018">
        <v>-6.9697999999999896</v>
      </c>
      <c r="AD2018">
        <v>-1.1045514427830001</v>
      </c>
      <c r="AE2018">
        <v>-1.32279999999997</v>
      </c>
      <c r="AF2018">
        <v>2.87552045251332</v>
      </c>
      <c r="AG2018">
        <v>-1.1045514427830001</v>
      </c>
      <c r="AH2018">
        <v>6.3012038437449398</v>
      </c>
      <c r="AI2018">
        <v>99.060767221975297</v>
      </c>
      <c r="AJ2018">
        <v>65.470670189399499</v>
      </c>
      <c r="AK2018">
        <v>7.0138307395461501</v>
      </c>
      <c r="AL2018">
        <v>68.096058617047504</v>
      </c>
      <c r="AM2018">
        <v>75.320614372391205</v>
      </c>
      <c r="AN2018">
        <v>0.99999997949116404</v>
      </c>
    </row>
    <row r="2019" spans="1:40" x14ac:dyDescent="0.25">
      <c r="A2019" t="str">
        <f>"20190304164130259"</f>
        <v>20190304164130259</v>
      </c>
      <c r="B2019" t="str">
        <f>"1551688890253076"</f>
        <v>1551688890253076</v>
      </c>
      <c r="C2019" t="s">
        <v>40</v>
      </c>
      <c r="D2019">
        <v>4.6437549999999996</v>
      </c>
      <c r="E2019">
        <v>0.5842482</v>
      </c>
      <c r="F2019" t="s">
        <v>45</v>
      </c>
      <c r="G2019">
        <v>-208.2131</v>
      </c>
      <c r="H2019" s="1">
        <v>5.7139810000000004E-6</v>
      </c>
      <c r="I2019">
        <v>286.27679999999998</v>
      </c>
      <c r="J2019">
        <v>-201.09520000000001</v>
      </c>
      <c r="K2019">
        <v>1.104535</v>
      </c>
      <c r="L2019">
        <v>287.56619999999998</v>
      </c>
      <c r="M2019">
        <v>-0.82249119999999998</v>
      </c>
      <c r="N2019">
        <v>-1.0475369999999999E-2</v>
      </c>
      <c r="O2019">
        <v>-0.56868149999999995</v>
      </c>
      <c r="P2019">
        <v>-0.86997400000000003</v>
      </c>
      <c r="Q2019">
        <v>0.37043579999999998</v>
      </c>
      <c r="R2019">
        <v>-0.32545740000000001</v>
      </c>
      <c r="S2019">
        <v>-3.419724</v>
      </c>
      <c r="T2019">
        <v>-0.51697420000000005</v>
      </c>
      <c r="U2019">
        <v>-0.65899659999999904</v>
      </c>
      <c r="V2019">
        <v>0.23268459999999999</v>
      </c>
      <c r="W2019">
        <v>0.37643409999999999</v>
      </c>
      <c r="X2019">
        <v>0.89674709999999902</v>
      </c>
      <c r="Y2019">
        <v>0.39367839999999998</v>
      </c>
      <c r="Z2019">
        <v>0.1046483</v>
      </c>
      <c r="AA2019">
        <v>0.91327210000000003</v>
      </c>
      <c r="AB2019">
        <v>22</v>
      </c>
      <c r="AC2019">
        <v>-7.1178999999999899</v>
      </c>
      <c r="AD2019">
        <v>-1.1045292860189999</v>
      </c>
      <c r="AE2019">
        <v>-1.2894000000000001</v>
      </c>
      <c r="AF2019">
        <v>2.91939697102982</v>
      </c>
      <c r="AG2019">
        <v>-1.1045292860189999</v>
      </c>
      <c r="AH2019">
        <v>6.4379311305044196</v>
      </c>
      <c r="AI2019">
        <v>98.880724503802895</v>
      </c>
      <c r="AJ2019">
        <v>65.607219772689405</v>
      </c>
      <c r="AK2019">
        <v>7.1547062035592903</v>
      </c>
      <c r="AL2019">
        <v>67.887024612983893</v>
      </c>
      <c r="AM2019">
        <v>75.453894399360493</v>
      </c>
      <c r="AN2019">
        <v>1.0000000580391799</v>
      </c>
    </row>
    <row r="2020" spans="1:40" x14ac:dyDescent="0.25">
      <c r="A2020" t="str">
        <f>"20190304164130284"</f>
        <v>20190304164130284</v>
      </c>
      <c r="B2020" t="str">
        <f>"1551688890273572"</f>
        <v>1551688890273572</v>
      </c>
      <c r="C2020" t="s">
        <v>40</v>
      </c>
      <c r="D2020">
        <v>4.5979049999999999</v>
      </c>
      <c r="E2020">
        <v>0.58411389999999996</v>
      </c>
      <c r="F2020" t="s">
        <v>45</v>
      </c>
      <c r="G2020">
        <v>-208.62989999999999</v>
      </c>
      <c r="H2020" s="1">
        <v>5.9072330000000002E-6</v>
      </c>
      <c r="I2020">
        <v>286.18060000000003</v>
      </c>
      <c r="J2020">
        <v>-201.29470000000001</v>
      </c>
      <c r="K2020">
        <v>1.104465</v>
      </c>
      <c r="L2020">
        <v>287.44380000000001</v>
      </c>
      <c r="M2020">
        <v>-0.82887049999999995</v>
      </c>
      <c r="N2020">
        <v>-1.032284E-2</v>
      </c>
      <c r="O2020">
        <v>-0.55934519999999999</v>
      </c>
      <c r="P2020">
        <v>-0.87164279999999905</v>
      </c>
      <c r="Q2020">
        <v>0.37502740000000001</v>
      </c>
      <c r="R2020">
        <v>-0.31558380000000003</v>
      </c>
      <c r="S2020">
        <v>-3.4265289999999999</v>
      </c>
      <c r="T2020">
        <v>-0.50230520000000001</v>
      </c>
      <c r="U2020">
        <v>-0.63012699999999999</v>
      </c>
      <c r="V2020">
        <v>0.23172760000000001</v>
      </c>
      <c r="W2020">
        <v>0.38085180000000002</v>
      </c>
      <c r="X2020">
        <v>0.89512809999999898</v>
      </c>
      <c r="Y2020">
        <v>0.3916905</v>
      </c>
      <c r="Z2020">
        <v>0.1004346</v>
      </c>
      <c r="AA2020">
        <v>0.9145991</v>
      </c>
      <c r="AB2020">
        <v>22</v>
      </c>
      <c r="AC2020">
        <v>-7.33519999999998</v>
      </c>
      <c r="AD2020">
        <v>-1.1044590927669999</v>
      </c>
      <c r="AE2020">
        <v>-1.2631999999999799</v>
      </c>
      <c r="AF2020">
        <v>2.99020357391881</v>
      </c>
      <c r="AG2020">
        <v>-1.1044590927669999</v>
      </c>
      <c r="AH2020">
        <v>6.6406422579571096</v>
      </c>
      <c r="AI2020">
        <v>98.623352004539996</v>
      </c>
      <c r="AJ2020">
        <v>65.758519035996102</v>
      </c>
      <c r="AK2020">
        <v>7.3660896613629596</v>
      </c>
      <c r="AL2020">
        <v>67.613545966502102</v>
      </c>
      <c r="AM2020">
        <v>75.486097867821897</v>
      </c>
      <c r="AN2020">
        <v>1.0000000447873001</v>
      </c>
    </row>
    <row r="2021" spans="1:40" x14ac:dyDescent="0.25">
      <c r="A2021" t="str">
        <f>"20190304164130305"</f>
        <v>20190304164130305</v>
      </c>
      <c r="B2021" t="str">
        <f>"1551688890292624"</f>
        <v>1551688890292624</v>
      </c>
      <c r="C2021" t="s">
        <v>40</v>
      </c>
      <c r="D2021">
        <v>4.5699719999999999</v>
      </c>
      <c r="E2021">
        <v>0.58398470000000002</v>
      </c>
      <c r="F2021" t="s">
        <v>45</v>
      </c>
      <c r="G2021">
        <v>-209.10069999999999</v>
      </c>
      <c r="H2021" s="1">
        <v>6.1244110000000003E-6</v>
      </c>
      <c r="I2021">
        <v>286.08479999999997</v>
      </c>
      <c r="J2021">
        <v>-201.48220000000001</v>
      </c>
      <c r="K2021">
        <v>1.104366</v>
      </c>
      <c r="L2021">
        <v>287.33170000000001</v>
      </c>
      <c r="M2021">
        <v>-0.83477500000000004</v>
      </c>
      <c r="N2021">
        <v>-1.018494E-2</v>
      </c>
      <c r="O2021">
        <v>-0.55049720000000002</v>
      </c>
      <c r="P2021">
        <v>-0.87241420000000003</v>
      </c>
      <c r="Q2021">
        <v>0.38140239999999997</v>
      </c>
      <c r="R2021">
        <v>-0.3056566</v>
      </c>
      <c r="S2021">
        <v>-3.4343720000000002</v>
      </c>
      <c r="T2021">
        <v>-0.4859232</v>
      </c>
      <c r="U2021">
        <v>-0.59793090000000004</v>
      </c>
      <c r="V2021">
        <v>0.23105010000000001</v>
      </c>
      <c r="W2021">
        <v>0.38703480000000001</v>
      </c>
      <c r="X2021">
        <v>0.89264769999999904</v>
      </c>
      <c r="Y2021">
        <v>0.39123869999999999</v>
      </c>
      <c r="Z2021">
        <v>9.6072710000000006E-2</v>
      </c>
      <c r="AA2021">
        <v>0.91526079999999999</v>
      </c>
      <c r="AB2021">
        <v>22</v>
      </c>
      <c r="AC2021">
        <v>-7.6184999999999796</v>
      </c>
      <c r="AD2021">
        <v>-1.1043598755890001</v>
      </c>
      <c r="AE2021">
        <v>-1.2469000000000301</v>
      </c>
      <c r="AF2021">
        <v>3.0900095899600899</v>
      </c>
      <c r="AG2021">
        <v>-1.1043598755890001</v>
      </c>
      <c r="AH2021">
        <v>6.9052013267653196</v>
      </c>
      <c r="AI2021">
        <v>98.305477294536004</v>
      </c>
      <c r="AJ2021">
        <v>65.8919542180235</v>
      </c>
      <c r="AK2021">
        <v>7.6452321981753997</v>
      </c>
      <c r="AL2021">
        <v>67.229878656837599</v>
      </c>
      <c r="AM2021">
        <v>75.488226338670898</v>
      </c>
      <c r="AN2021">
        <v>1.00000000071817</v>
      </c>
    </row>
    <row r="2022" spans="1:40" x14ac:dyDescent="0.25">
      <c r="A2022" t="str">
        <f>"20190304164130328"</f>
        <v>20190304164130328</v>
      </c>
      <c r="B2022" t="str">
        <f>"1551688890322879"</f>
        <v>1551688890322879</v>
      </c>
      <c r="C2022" t="s">
        <v>40</v>
      </c>
      <c r="D2022">
        <v>4.5672050000000004</v>
      </c>
      <c r="E2022">
        <v>0.58381839999999996</v>
      </c>
      <c r="F2022" t="s">
        <v>45</v>
      </c>
      <c r="G2022">
        <v>-209.70740000000001</v>
      </c>
      <c r="H2022" s="1">
        <v>6.4023989999999997E-6</v>
      </c>
      <c r="I2022">
        <v>285.98230000000001</v>
      </c>
      <c r="J2022">
        <v>-201.67400000000001</v>
      </c>
      <c r="K2022">
        <v>1.1042419999999999</v>
      </c>
      <c r="L2022">
        <v>287.22000000000003</v>
      </c>
      <c r="M2022">
        <v>-0.84072530000000001</v>
      </c>
      <c r="N2022">
        <v>-1.005318E-2</v>
      </c>
      <c r="O2022">
        <v>-0.54136850000000003</v>
      </c>
      <c r="P2022">
        <v>-0.87354589999999999</v>
      </c>
      <c r="Q2022">
        <v>0.38553399999999999</v>
      </c>
      <c r="R2022">
        <v>-0.29712169999999999</v>
      </c>
      <c r="S2022">
        <v>-3.442917</v>
      </c>
      <c r="T2022">
        <v>-0.46226679999999998</v>
      </c>
      <c r="U2022">
        <v>-0.56484990000000002</v>
      </c>
      <c r="V2022">
        <v>0.22923540000000001</v>
      </c>
      <c r="W2022">
        <v>0.3909958</v>
      </c>
      <c r="X2022">
        <v>0.89138850000000003</v>
      </c>
      <c r="Y2022">
        <v>0.39100780000000002</v>
      </c>
      <c r="Z2022">
        <v>9.0271959999999998E-2</v>
      </c>
      <c r="AA2022">
        <v>0.91594969999999998</v>
      </c>
      <c r="AB2022">
        <v>22</v>
      </c>
      <c r="AC2022">
        <v>-8.0334000000000003</v>
      </c>
      <c r="AD2022">
        <v>-1.1042355976010001</v>
      </c>
      <c r="AE2022">
        <v>-1.23770000000001</v>
      </c>
      <c r="AF2022">
        <v>3.2486739576508601</v>
      </c>
      <c r="AG2022">
        <v>-1.1042355976010001</v>
      </c>
      <c r="AH2022">
        <v>7.2897702303932199</v>
      </c>
      <c r="AI2022">
        <v>97.877426867787605</v>
      </c>
      <c r="AJ2022">
        <v>65.979936763618895</v>
      </c>
      <c r="AK2022">
        <v>8.0569205500647296</v>
      </c>
      <c r="AL2022">
        <v>66.983525329758194</v>
      </c>
      <c r="AM2022">
        <v>75.577947861022693</v>
      </c>
      <c r="AN2022">
        <v>1.0000000210815201</v>
      </c>
    </row>
    <row r="2023" spans="1:40" x14ac:dyDescent="0.25">
      <c r="A2023" t="str">
        <f>"20190304164130350"</f>
        <v>20190304164130350</v>
      </c>
      <c r="B2023" t="str">
        <f>"1551688890343376"</f>
        <v>1551688890343376</v>
      </c>
      <c r="C2023" t="s">
        <v>40</v>
      </c>
      <c r="D2023">
        <v>4.5671980000000003</v>
      </c>
      <c r="E2023">
        <v>0.58363520000000002</v>
      </c>
      <c r="F2023" t="s">
        <v>46</v>
      </c>
      <c r="G2023">
        <v>-210.25360000000001</v>
      </c>
      <c r="H2023" s="1">
        <v>-1.4018540000000001E-6</v>
      </c>
      <c r="I2023">
        <v>285.90280000000001</v>
      </c>
      <c r="J2023">
        <v>-201.87450000000001</v>
      </c>
      <c r="K2023">
        <v>1.104074</v>
      </c>
      <c r="L2023">
        <v>287.1062</v>
      </c>
      <c r="M2023">
        <v>-0.84687520000000005</v>
      </c>
      <c r="N2023">
        <v>-9.9267230000000001E-3</v>
      </c>
      <c r="O2023">
        <v>-0.53169929999999999</v>
      </c>
      <c r="P2023">
        <v>-0.87508399999999997</v>
      </c>
      <c r="Q2023">
        <v>0.38774700000000001</v>
      </c>
      <c r="R2023">
        <v>-0.28962100000000002</v>
      </c>
      <c r="S2023">
        <v>-3.4501040000000001</v>
      </c>
      <c r="T2023">
        <v>-0.4440501</v>
      </c>
      <c r="U2023">
        <v>-0.52966309999999905</v>
      </c>
      <c r="V2023">
        <v>0.22631370000000001</v>
      </c>
      <c r="W2023">
        <v>0.39305570000000001</v>
      </c>
      <c r="X2023">
        <v>0.891229099999999</v>
      </c>
      <c r="Y2023">
        <v>0.3905267</v>
      </c>
      <c r="Z2023">
        <v>8.5619539999999994E-2</v>
      </c>
      <c r="AA2023">
        <v>0.91660140000000001</v>
      </c>
      <c r="AB2023">
        <v>22</v>
      </c>
      <c r="AC2023">
        <v>-8.3790999999999904</v>
      </c>
      <c r="AD2023">
        <v>-1.104075401854</v>
      </c>
      <c r="AE2023">
        <v>-1.20339999999998</v>
      </c>
      <c r="AF2023">
        <v>3.3787245141558002</v>
      </c>
      <c r="AG2023">
        <v>-1.104075401854</v>
      </c>
      <c r="AH2023">
        <v>7.6068766018945402</v>
      </c>
      <c r="AI2023">
        <v>97.555938501354404</v>
      </c>
      <c r="AJ2023">
        <v>66.050780697104699</v>
      </c>
      <c r="AK2023">
        <v>8.3963881206139508</v>
      </c>
      <c r="AL2023">
        <v>66.855231688078902</v>
      </c>
      <c r="AM2023">
        <v>75.751791094112093</v>
      </c>
      <c r="AN2023">
        <v>0.99999999139849405</v>
      </c>
    </row>
    <row r="2024" spans="1:40" x14ac:dyDescent="0.25">
      <c r="A2024" t="str">
        <f>"20190304164130372"</f>
        <v>20190304164130372</v>
      </c>
      <c r="B2024" t="str">
        <f>"1551688890362895"</f>
        <v>1551688890362895</v>
      </c>
      <c r="C2024" t="s">
        <v>40</v>
      </c>
      <c r="D2024">
        <v>4.5204139999999997</v>
      </c>
      <c r="E2024">
        <v>0.58345130000000001</v>
      </c>
      <c r="F2024" t="s">
        <v>46</v>
      </c>
      <c r="G2024">
        <v>-210.68819999999999</v>
      </c>
      <c r="H2024" s="1">
        <v>-1.1705639999999999E-6</v>
      </c>
      <c r="I2024">
        <v>285.84530000000001</v>
      </c>
      <c r="J2024">
        <v>-202.07490000000001</v>
      </c>
      <c r="K2024">
        <v>1.1038840000000001</v>
      </c>
      <c r="L2024">
        <v>286.9957</v>
      </c>
      <c r="M2024">
        <v>-0.85297409999999996</v>
      </c>
      <c r="N2024">
        <v>-9.8135310000000003E-3</v>
      </c>
      <c r="O2024">
        <v>-0.52186129999999997</v>
      </c>
      <c r="P2024">
        <v>-0.87685859999999904</v>
      </c>
      <c r="Q2024">
        <v>0.3889225</v>
      </c>
      <c r="R2024">
        <v>-0.28259230000000002</v>
      </c>
      <c r="S2024">
        <v>-3.4564360000000001</v>
      </c>
      <c r="T2024">
        <v>-0.43298150000000002</v>
      </c>
      <c r="U2024">
        <v>-0.49447629999999998</v>
      </c>
      <c r="V2024">
        <v>0.223053</v>
      </c>
      <c r="W2024">
        <v>0.39408900000000002</v>
      </c>
      <c r="X2024">
        <v>0.89159480000000002</v>
      </c>
      <c r="Y2024">
        <v>0.38966440000000002</v>
      </c>
      <c r="Z2024">
        <v>8.2421540000000001E-2</v>
      </c>
      <c r="AA2024">
        <v>0.9172614</v>
      </c>
      <c r="AB2024">
        <v>22</v>
      </c>
      <c r="AC2024">
        <v>-8.6132999999999793</v>
      </c>
      <c r="AD2024">
        <v>-1.103885170564</v>
      </c>
      <c r="AE2024">
        <v>-1.1503999999999901</v>
      </c>
      <c r="AF2024">
        <v>3.4580516683336402</v>
      </c>
      <c r="AG2024">
        <v>-1.103885170564</v>
      </c>
      <c r="AH2024">
        <v>7.8214358881727897</v>
      </c>
      <c r="AI2024">
        <v>97.355209073398697</v>
      </c>
      <c r="AJ2024">
        <v>66.148584281256902</v>
      </c>
      <c r="AK2024">
        <v>8.6227340886434298</v>
      </c>
      <c r="AL2024">
        <v>66.790831405034695</v>
      </c>
      <c r="AM2024">
        <v>75.954424539063297</v>
      </c>
      <c r="AN2024">
        <v>1.00000003405851</v>
      </c>
    </row>
    <row r="2025" spans="1:40" x14ac:dyDescent="0.25">
      <c r="A2025" t="str">
        <f>"20190304164130395"</f>
        <v>20190304164130395</v>
      </c>
      <c r="B2025" t="str">
        <f>"1551688890383391"</f>
        <v>1551688890383391</v>
      </c>
      <c r="C2025" t="s">
        <v>40</v>
      </c>
      <c r="D2025">
        <v>4.531199</v>
      </c>
      <c r="E2025">
        <v>0.58322079999999998</v>
      </c>
      <c r="F2025" t="s">
        <v>46</v>
      </c>
      <c r="G2025">
        <v>-211.07429999999999</v>
      </c>
      <c r="H2025" s="1">
        <v>-9.651167000000001E-7</v>
      </c>
      <c r="I2025">
        <v>285.79750000000001</v>
      </c>
      <c r="J2025">
        <v>-202.27449999999999</v>
      </c>
      <c r="K2025">
        <v>1.103661</v>
      </c>
      <c r="L2025">
        <v>286.8888</v>
      </c>
      <c r="M2025">
        <v>-0.85901620000000001</v>
      </c>
      <c r="N2025">
        <v>-9.7197410000000005E-3</v>
      </c>
      <c r="O2025">
        <v>-0.51185619999999998</v>
      </c>
      <c r="P2025">
        <v>-0.87906589999999996</v>
      </c>
      <c r="Q2025">
        <v>0.3892407</v>
      </c>
      <c r="R2025">
        <v>-0.27519919999999998</v>
      </c>
      <c r="S2025">
        <v>-3.46109</v>
      </c>
      <c r="T2025">
        <v>-0.42454389999999997</v>
      </c>
      <c r="U2025">
        <v>-0.46084589999999998</v>
      </c>
      <c r="V2025">
        <v>0.22025639999999999</v>
      </c>
      <c r="W2025">
        <v>0.39426729999999999</v>
      </c>
      <c r="X2025">
        <v>0.89221099999999998</v>
      </c>
      <c r="Y2025">
        <v>0.38814379999999998</v>
      </c>
      <c r="Z2025">
        <v>7.9745289999999996E-2</v>
      </c>
      <c r="AA2025">
        <v>0.91814220000000002</v>
      </c>
      <c r="AB2025">
        <v>22</v>
      </c>
      <c r="AC2025">
        <v>-8.7997999999999994</v>
      </c>
      <c r="AD2025">
        <v>-1.1036619651166999</v>
      </c>
      <c r="AE2025">
        <v>-1.09129999999998</v>
      </c>
      <c r="AF2025">
        <v>3.5125410556270902</v>
      </c>
      <c r="AG2025">
        <v>-1.1036619651166999</v>
      </c>
      <c r="AH2025">
        <v>7.9942976120914304</v>
      </c>
      <c r="AI2025">
        <v>97.203627623777507</v>
      </c>
      <c r="AJ2025">
        <v>66.280234382597797</v>
      </c>
      <c r="AK2025">
        <v>8.8014094729992998</v>
      </c>
      <c r="AL2025">
        <v>66.779715391112305</v>
      </c>
      <c r="AM2025">
        <v>76.132892813230598</v>
      </c>
      <c r="AN2025">
        <v>1.00000002705562</v>
      </c>
    </row>
    <row r="2026" spans="1:40" x14ac:dyDescent="0.25">
      <c r="A2026" t="str">
        <f>"20190304164130416"</f>
        <v>20190304164130416</v>
      </c>
      <c r="B2026" t="str">
        <f>"1551688890403420"</f>
        <v>1551688890403420</v>
      </c>
      <c r="C2026" t="s">
        <v>40</v>
      </c>
      <c r="D2026">
        <v>4.5242709999999997</v>
      </c>
      <c r="E2026">
        <v>0.56763790000000003</v>
      </c>
      <c r="F2026" t="s">
        <v>46</v>
      </c>
      <c r="G2026">
        <v>-211.34809999999999</v>
      </c>
      <c r="H2026" s="1">
        <v>-8.193938E-7</v>
      </c>
      <c r="I2026">
        <v>285.76080000000002</v>
      </c>
      <c r="J2026">
        <v>-202.45760000000001</v>
      </c>
      <c r="K2026">
        <v>1.103442</v>
      </c>
      <c r="L2026">
        <v>286.7937</v>
      </c>
      <c r="M2026">
        <v>-0.86453719999999901</v>
      </c>
      <c r="N2026">
        <v>-9.6527880000000007E-3</v>
      </c>
      <c r="O2026">
        <v>-0.50247619999999904</v>
      </c>
      <c r="P2026">
        <v>-0.88101679999999905</v>
      </c>
      <c r="Q2026">
        <v>0.38962999999999998</v>
      </c>
      <c r="R2026">
        <v>-0.26832489999999998</v>
      </c>
      <c r="S2026">
        <v>-3.4644620000000002</v>
      </c>
      <c r="T2026">
        <v>-0.42139549999999998</v>
      </c>
      <c r="U2026">
        <v>-0.43069459999999998</v>
      </c>
      <c r="V2026">
        <v>0.21761929999999999</v>
      </c>
      <c r="W2026">
        <v>0.3945398</v>
      </c>
      <c r="X2026">
        <v>0.89273740000000001</v>
      </c>
      <c r="Y2026">
        <v>0.38625540000000003</v>
      </c>
      <c r="Z2026">
        <v>7.8158169999999999E-2</v>
      </c>
      <c r="AA2026">
        <v>0.91907459999999996</v>
      </c>
      <c r="AB2026">
        <v>22</v>
      </c>
      <c r="AC2026">
        <v>-8.8904999999999692</v>
      </c>
      <c r="AD2026">
        <v>-1.1034428193938</v>
      </c>
      <c r="AE2026">
        <v>-1.0328999999999799</v>
      </c>
      <c r="AF2026">
        <v>3.5209347220975999</v>
      </c>
      <c r="AG2026">
        <v>-1.1034428193938</v>
      </c>
      <c r="AH2026">
        <v>8.0827058934207798</v>
      </c>
      <c r="AI2026">
        <v>97.134009974368993</v>
      </c>
      <c r="AJ2026">
        <v>66.461414981949702</v>
      </c>
      <c r="AK2026">
        <v>8.8850831134257398</v>
      </c>
      <c r="AL2026">
        <v>66.762722850323797</v>
      </c>
      <c r="AM2026">
        <v>76.300401019228303</v>
      </c>
      <c r="AN2026">
        <v>0.99999993943764298</v>
      </c>
    </row>
    <row r="2027" spans="1:40" x14ac:dyDescent="0.25">
      <c r="A2027" t="str">
        <f>"20190304164130438"</f>
        <v>20190304164130438</v>
      </c>
      <c r="B2027" t="str">
        <f>"1551688890432701"</f>
        <v>1551688890432701</v>
      </c>
      <c r="C2027" t="s">
        <v>40</v>
      </c>
      <c r="D2027">
        <v>4.5242979999999999</v>
      </c>
      <c r="E2027">
        <v>0.56781349999999997</v>
      </c>
      <c r="F2027" t="s">
        <v>46</v>
      </c>
      <c r="G2027">
        <v>-210.97989999999999</v>
      </c>
      <c r="H2027" s="1">
        <v>-1.015361E-6</v>
      </c>
      <c r="I2027">
        <v>285.4932</v>
      </c>
      <c r="J2027">
        <v>-202.6678</v>
      </c>
      <c r="K2027">
        <v>1.1031820000000001</v>
      </c>
      <c r="L2027">
        <v>286.68770000000001</v>
      </c>
      <c r="M2027">
        <v>-0.87083729999999904</v>
      </c>
      <c r="N2027">
        <v>-9.5944069999999992E-3</v>
      </c>
      <c r="O2027">
        <v>-0.49147780000000002</v>
      </c>
      <c r="P2027">
        <v>-0.88340659999999904</v>
      </c>
      <c r="Q2027">
        <v>0.39008120000000002</v>
      </c>
      <c r="R2027">
        <v>-0.25967200000000001</v>
      </c>
      <c r="S2027">
        <v>-3.442307</v>
      </c>
      <c r="T2027">
        <v>-0.44570159999999998</v>
      </c>
      <c r="U2027">
        <v>-0.52526859999999997</v>
      </c>
      <c r="V2027">
        <v>0.2151911</v>
      </c>
      <c r="W2027">
        <v>0.39486139999999997</v>
      </c>
      <c r="X2027">
        <v>0.89318379999999997</v>
      </c>
      <c r="Y2027">
        <v>0.3484257</v>
      </c>
      <c r="Z2027">
        <v>7.94044E-2</v>
      </c>
      <c r="AA2027">
        <v>0.93396710000000005</v>
      </c>
      <c r="AB2027">
        <v>22</v>
      </c>
      <c r="AC2027">
        <v>-8.3120999999999796</v>
      </c>
      <c r="AD2027">
        <v>-1.1031830153609901</v>
      </c>
      <c r="AE2027">
        <v>-1.1944999999999999</v>
      </c>
      <c r="AF2027">
        <v>2.99347542340815</v>
      </c>
      <c r="AG2027">
        <v>-1.1031830153609901</v>
      </c>
      <c r="AH2027">
        <v>7.6931467668079101</v>
      </c>
      <c r="AI2027">
        <v>97.611782100701504</v>
      </c>
      <c r="AJ2027">
        <v>68.738522630466605</v>
      </c>
      <c r="AK2027">
        <v>8.3284101154768209</v>
      </c>
      <c r="AL2027">
        <v>66.742670218581793</v>
      </c>
      <c r="AM2027">
        <v>76.454117034225803</v>
      </c>
      <c r="AN2027">
        <v>1.0000000176557999</v>
      </c>
    </row>
    <row r="2028" spans="1:40" x14ac:dyDescent="0.25">
      <c r="A2028" t="str">
        <f>"20190304164130452"</f>
        <v>20190304164130452</v>
      </c>
      <c r="B2028" t="str">
        <f>"1551688890443436"</f>
        <v>1551688890443436</v>
      </c>
      <c r="C2028" t="s">
        <v>40</v>
      </c>
      <c r="D2028">
        <v>4.5283850000000001</v>
      </c>
      <c r="E2028">
        <v>0.56770509999999996</v>
      </c>
      <c r="F2028" t="s">
        <v>46</v>
      </c>
      <c r="G2028">
        <v>-211.26689999999999</v>
      </c>
      <c r="H2028" s="1">
        <v>-8.6262540000000003E-7</v>
      </c>
      <c r="I2028">
        <v>285.46210000000002</v>
      </c>
      <c r="J2028">
        <v>-202.7978</v>
      </c>
      <c r="K2028">
        <v>1.1030260000000001</v>
      </c>
      <c r="L2028">
        <v>286.62430000000001</v>
      </c>
      <c r="M2028">
        <v>-0.87471589999999999</v>
      </c>
      <c r="N2028">
        <v>-9.5670479999999999E-3</v>
      </c>
      <c r="O2028">
        <v>-0.48454170000000002</v>
      </c>
      <c r="P2028">
        <v>-0.885019</v>
      </c>
      <c r="Q2028">
        <v>0.39012910000000001</v>
      </c>
      <c r="R2028">
        <v>-0.25404900000000002</v>
      </c>
      <c r="S2028">
        <v>-3.4468079999999999</v>
      </c>
      <c r="T2028">
        <v>-0.44219269999999999</v>
      </c>
      <c r="U2028">
        <v>-0.49127199999999999</v>
      </c>
      <c r="V2028">
        <v>0.2138979</v>
      </c>
      <c r="W2028">
        <v>0.3948373</v>
      </c>
      <c r="X2028">
        <v>0.89350499999999899</v>
      </c>
      <c r="Y2028">
        <v>0.35030709999999998</v>
      </c>
      <c r="Z2028">
        <v>7.8190209999999996E-2</v>
      </c>
      <c r="AA2028">
        <v>0.93336549999999996</v>
      </c>
      <c r="AB2028">
        <v>22</v>
      </c>
      <c r="AC2028">
        <v>-8.4690999999999903</v>
      </c>
      <c r="AD2028">
        <v>-1.1030268626253901</v>
      </c>
      <c r="AE2028">
        <v>-1.1621999999999799</v>
      </c>
      <c r="AF2028">
        <v>3.0366209065588401</v>
      </c>
      <c r="AG2028">
        <v>-1.1030268626253901</v>
      </c>
      <c r="AH2028">
        <v>7.8410081631822797</v>
      </c>
      <c r="AI2028">
        <v>97.473407095100697</v>
      </c>
      <c r="AJ2028">
        <v>68.829895007844698</v>
      </c>
      <c r="AK2028">
        <v>8.4805155388640507</v>
      </c>
      <c r="AL2028">
        <v>66.744172611273299</v>
      </c>
      <c r="AM2028">
        <v>76.537212802390002</v>
      </c>
      <c r="AN2028">
        <v>0.99999999506034898</v>
      </c>
    </row>
    <row r="2029" spans="1:40" x14ac:dyDescent="0.25">
      <c r="A2029" t="str">
        <f>"20190304164130471"</f>
        <v>20190304164130471</v>
      </c>
      <c r="B2029" t="str">
        <f>"1551688890462956"</f>
        <v>1551688890462956</v>
      </c>
      <c r="C2029" t="s">
        <v>40</v>
      </c>
      <c r="D2029">
        <v>4.6027490000000002</v>
      </c>
      <c r="E2029">
        <v>0.56690319999999905</v>
      </c>
      <c r="F2029" t="s">
        <v>46</v>
      </c>
      <c r="G2029">
        <v>-211.35599999999999</v>
      </c>
      <c r="H2029" s="1">
        <v>-8.1517499999999999E-7</v>
      </c>
      <c r="I2029">
        <v>285.45499999999998</v>
      </c>
      <c r="J2029">
        <v>-202.9786</v>
      </c>
      <c r="K2029">
        <v>1.1028150000000001</v>
      </c>
      <c r="L2029">
        <v>286.53809999999999</v>
      </c>
      <c r="M2029">
        <v>-0.88005940000000005</v>
      </c>
      <c r="N2029">
        <v>-9.5348129999999996E-3</v>
      </c>
      <c r="O2029">
        <v>-0.47476800000000002</v>
      </c>
      <c r="P2029">
        <v>-0.88824720000000001</v>
      </c>
      <c r="Q2029">
        <v>0.3879243</v>
      </c>
      <c r="R2029">
        <v>-0.24603240000000001</v>
      </c>
      <c r="S2029">
        <v>-3.450485</v>
      </c>
      <c r="T2029">
        <v>-0.44471559999999999</v>
      </c>
      <c r="U2029">
        <v>-0.47140500000000002</v>
      </c>
      <c r="V2029">
        <v>0.21262059999999999</v>
      </c>
      <c r="W2029">
        <v>0.39254359999999999</v>
      </c>
      <c r="X2029">
        <v>0.89481959999999905</v>
      </c>
      <c r="Y2029">
        <v>0.34532770000000002</v>
      </c>
      <c r="Z2029">
        <v>7.7293920000000002E-2</v>
      </c>
      <c r="AA2029">
        <v>0.93529379999999995</v>
      </c>
      <c r="AB2029">
        <v>22</v>
      </c>
      <c r="AC2029">
        <v>-8.3773999999999909</v>
      </c>
      <c r="AD2029">
        <v>-1.1028158151749901</v>
      </c>
      <c r="AE2029">
        <v>-1.0831</v>
      </c>
      <c r="AF2029">
        <v>2.9735827390181599</v>
      </c>
      <c r="AG2029">
        <v>-1.1028158151749901</v>
      </c>
      <c r="AH2029">
        <v>7.7550075463885104</v>
      </c>
      <c r="AI2029">
        <v>97.563514835365396</v>
      </c>
      <c r="AJ2029">
        <v>69.021161179769393</v>
      </c>
      <c r="AK2029">
        <v>8.3784568431501594</v>
      </c>
      <c r="AL2029">
        <v>66.887138904954398</v>
      </c>
      <c r="AM2029">
        <v>76.6336632663579</v>
      </c>
      <c r="AN2029">
        <v>1.00000005699473</v>
      </c>
    </row>
    <row r="2030" spans="1:40" x14ac:dyDescent="0.25">
      <c r="A2030" t="str">
        <f>"20190304164130493"</f>
        <v>20190304164130493</v>
      </c>
      <c r="B2030" t="str">
        <f>"1551688890483452"</f>
        <v>1551688890483452</v>
      </c>
      <c r="C2030" t="s">
        <v>40</v>
      </c>
      <c r="D2030">
        <v>4.603281</v>
      </c>
      <c r="E2030">
        <v>0.56617910000000005</v>
      </c>
      <c r="F2030" t="s">
        <v>46</v>
      </c>
      <c r="G2030">
        <v>-211.19</v>
      </c>
      <c r="H2030" s="1">
        <v>-9.0351379999999999E-7</v>
      </c>
      <c r="I2030">
        <v>285.4649</v>
      </c>
      <c r="J2030">
        <v>-203.18389999999999</v>
      </c>
      <c r="K2030">
        <v>1.102611</v>
      </c>
      <c r="L2030">
        <v>286.4434</v>
      </c>
      <c r="M2030">
        <v>-0.88605159999999905</v>
      </c>
      <c r="N2030">
        <v>-9.50521E-3</v>
      </c>
      <c r="O2030">
        <v>-0.4634896</v>
      </c>
      <c r="P2030">
        <v>-0.89157580000000003</v>
      </c>
      <c r="Q2030">
        <v>0.38553559999999998</v>
      </c>
      <c r="R2030">
        <v>-0.23760310000000001</v>
      </c>
      <c r="S2030">
        <v>-3.4550169999999998</v>
      </c>
      <c r="T2030">
        <v>-0.46401619999999999</v>
      </c>
      <c r="U2030">
        <v>-0.45156859999999999</v>
      </c>
      <c r="V2030">
        <v>0.2102754</v>
      </c>
      <c r="W2030">
        <v>0.39009319999999997</v>
      </c>
      <c r="X2030">
        <v>0.89644380000000001</v>
      </c>
      <c r="Y2030">
        <v>0.33839350000000001</v>
      </c>
      <c r="Z2030">
        <v>7.9000500000000001E-2</v>
      </c>
      <c r="AA2030">
        <v>0.93768260000000003</v>
      </c>
      <c r="AB2030">
        <v>22</v>
      </c>
      <c r="AC2030">
        <v>-8.0061</v>
      </c>
      <c r="AD2030">
        <v>-1.1026119035138</v>
      </c>
      <c r="AE2030">
        <v>-0.97849999999999604</v>
      </c>
      <c r="AF2030">
        <v>2.79169909123158</v>
      </c>
      <c r="AG2030">
        <v>-1.1026119035138</v>
      </c>
      <c r="AH2030">
        <v>7.4092179220304804</v>
      </c>
      <c r="AI2030">
        <v>97.927965124099003</v>
      </c>
      <c r="AJ2030">
        <v>69.354228918312998</v>
      </c>
      <c r="AK2030">
        <v>7.99411327427197</v>
      </c>
      <c r="AL2030">
        <v>67.039700511315999</v>
      </c>
      <c r="AM2030">
        <v>76.799006164282204</v>
      </c>
      <c r="AN2030">
        <v>0.99999996754491904</v>
      </c>
    </row>
    <row r="2031" spans="1:40" x14ac:dyDescent="0.25">
      <c r="A2031" t="str">
        <f>"20190304164130508"</f>
        <v>20190304164130508</v>
      </c>
      <c r="B2031" t="str">
        <f>"1551688890503479"</f>
        <v>1551688890503479</v>
      </c>
      <c r="C2031" t="s">
        <v>40</v>
      </c>
      <c r="D2031">
        <v>4.6298849999999998</v>
      </c>
      <c r="E2031">
        <v>0.5656561</v>
      </c>
      <c r="F2031" t="s">
        <v>46</v>
      </c>
      <c r="G2031">
        <v>-211.13300000000001</v>
      </c>
      <c r="H2031" s="1">
        <v>-9.3384809999999995E-7</v>
      </c>
      <c r="I2031">
        <v>285.47030000000001</v>
      </c>
      <c r="J2031">
        <v>-203.31970000000001</v>
      </c>
      <c r="K2031">
        <v>1.1024969999999901</v>
      </c>
      <c r="L2031">
        <v>286.3827</v>
      </c>
      <c r="M2031">
        <v>-0.88995740000000001</v>
      </c>
      <c r="N2031">
        <v>-9.4886009999999993E-3</v>
      </c>
      <c r="O2031">
        <v>-0.4559454</v>
      </c>
      <c r="P2031">
        <v>-0.89344299999999999</v>
      </c>
      <c r="Q2031">
        <v>0.38479419999999998</v>
      </c>
      <c r="R2031">
        <v>-0.2317186</v>
      </c>
      <c r="S2031">
        <v>-3.459473</v>
      </c>
      <c r="T2031">
        <v>-0.47985840000000002</v>
      </c>
      <c r="U2031">
        <v>-0.42349239999999999</v>
      </c>
      <c r="V2031">
        <v>0.20879690000000001</v>
      </c>
      <c r="W2031">
        <v>0.38931900000000003</v>
      </c>
      <c r="X2031">
        <v>0.89712569999999903</v>
      </c>
      <c r="Y2031">
        <v>0.3376691</v>
      </c>
      <c r="Z2031">
        <v>8.0843419999999999E-2</v>
      </c>
      <c r="AA2031">
        <v>0.93778669999999997</v>
      </c>
      <c r="AB2031">
        <v>22</v>
      </c>
      <c r="AC2031">
        <v>-7.8132999999999697</v>
      </c>
      <c r="AD2031">
        <v>-1.10249793384809</v>
      </c>
      <c r="AE2031">
        <v>-0.91239999999999</v>
      </c>
      <c r="AF2031">
        <v>2.6975762485536401</v>
      </c>
      <c r="AG2031">
        <v>-1.10249793384809</v>
      </c>
      <c r="AH2031">
        <v>7.2278631980129804</v>
      </c>
      <c r="AI2031">
        <v>98.132841688463202</v>
      </c>
      <c r="AJ2031">
        <v>69.533467565007797</v>
      </c>
      <c r="AK2031">
        <v>7.7932294794963202</v>
      </c>
      <c r="AL2031">
        <v>67.087867173902794</v>
      </c>
      <c r="AM2031">
        <v>76.898230324231804</v>
      </c>
      <c r="AN2031">
        <v>0.99999997540554897</v>
      </c>
    </row>
    <row r="2032" spans="1:40" x14ac:dyDescent="0.25">
      <c r="A2032" t="str">
        <f>"20190304164130528"</f>
        <v>20190304164130528</v>
      </c>
      <c r="B2032" t="str">
        <f>"1551688890522999"</f>
        <v>1551688890522999</v>
      </c>
      <c r="C2032" t="s">
        <v>40</v>
      </c>
      <c r="D2032">
        <v>4.6344190000000003</v>
      </c>
      <c r="E2032">
        <v>0.56524669999999999</v>
      </c>
      <c r="F2032" t="s">
        <v>46</v>
      </c>
      <c r="G2032">
        <v>-211.203</v>
      </c>
      <c r="H2032" s="1">
        <v>-8.9660280000000001E-7</v>
      </c>
      <c r="I2032">
        <v>285.4631</v>
      </c>
      <c r="J2032">
        <v>-203.5067</v>
      </c>
      <c r="K2032">
        <v>1.102371</v>
      </c>
      <c r="L2032">
        <v>286.30130000000003</v>
      </c>
      <c r="M2032">
        <v>-0.89525619999999995</v>
      </c>
      <c r="N2032">
        <v>-9.4692790000000006E-3</v>
      </c>
      <c r="O2032">
        <v>-0.44545129999999999</v>
      </c>
      <c r="P2032">
        <v>-0.89666900000000005</v>
      </c>
      <c r="Q2032">
        <v>0.38210169999999999</v>
      </c>
      <c r="R2032">
        <v>-0.22356870000000001</v>
      </c>
      <c r="S2032">
        <v>-3.4615779999999998</v>
      </c>
      <c r="T2032">
        <v>-0.48410609999999998</v>
      </c>
      <c r="U2032">
        <v>-0.40377809999999997</v>
      </c>
      <c r="V2032">
        <v>0.20699029999999999</v>
      </c>
      <c r="W2032">
        <v>0.38659949999999998</v>
      </c>
      <c r="X2032">
        <v>0.89871900000000005</v>
      </c>
      <c r="Y2032">
        <v>0.33195960000000002</v>
      </c>
      <c r="Z2032">
        <v>7.9962749999999999E-2</v>
      </c>
      <c r="AA2032">
        <v>0.93989829999999996</v>
      </c>
      <c r="AB2032">
        <v>23</v>
      </c>
      <c r="AC2032">
        <v>-7.6962999999999999</v>
      </c>
      <c r="AD2032">
        <v>-1.1023718966028</v>
      </c>
      <c r="AE2032">
        <v>-0.83820000000002803</v>
      </c>
      <c r="AF2032">
        <v>2.6248233320290799</v>
      </c>
      <c r="AG2032">
        <v>-1.1023718966028</v>
      </c>
      <c r="AH2032">
        <v>7.1195109891936301</v>
      </c>
      <c r="AI2032">
        <v>98.266047997198996</v>
      </c>
      <c r="AJ2032">
        <v>69.762063913650707</v>
      </c>
      <c r="AK2032">
        <v>7.6676174948958398</v>
      </c>
      <c r="AL2032">
        <v>67.256924851370002</v>
      </c>
      <c r="AM2032">
        <v>77.029984272246793</v>
      </c>
      <c r="AN2032">
        <v>0.99999999932767003</v>
      </c>
    </row>
    <row r="2033" spans="1:40" x14ac:dyDescent="0.25">
      <c r="A2033" t="str">
        <f>"20190304164130549"</f>
        <v>20190304164130549</v>
      </c>
      <c r="B2033" t="str">
        <f>"1551688890543496"</f>
        <v>1551688890543496</v>
      </c>
      <c r="C2033" t="s">
        <v>40</v>
      </c>
      <c r="D2033">
        <v>4.568276</v>
      </c>
      <c r="E2033">
        <v>0.56502779999999997</v>
      </c>
      <c r="F2033" t="s">
        <v>46</v>
      </c>
      <c r="G2033">
        <v>-211.2441</v>
      </c>
      <c r="H2033" s="1">
        <v>-8.7473749999999899E-7</v>
      </c>
      <c r="I2033">
        <v>285.46800000000002</v>
      </c>
      <c r="J2033">
        <v>-203.7122</v>
      </c>
      <c r="K2033">
        <v>1.1022459999999901</v>
      </c>
      <c r="L2033">
        <v>286.21510000000001</v>
      </c>
      <c r="M2033">
        <v>-0.90095000000000003</v>
      </c>
      <c r="N2033">
        <v>-9.4524039999999993E-3</v>
      </c>
      <c r="O2033">
        <v>-0.43381979999999998</v>
      </c>
      <c r="P2033">
        <v>-0.9001865</v>
      </c>
      <c r="Q2033">
        <v>0.37969930000000002</v>
      </c>
      <c r="R2033">
        <v>-0.2132906</v>
      </c>
      <c r="S2033">
        <v>-3.4629819999999998</v>
      </c>
      <c r="T2033">
        <v>-0.49338419999999999</v>
      </c>
      <c r="U2033">
        <v>-0.37295529999999999</v>
      </c>
      <c r="V2033">
        <v>0.2061279</v>
      </c>
      <c r="W2033">
        <v>0.38415739999999998</v>
      </c>
      <c r="X2033">
        <v>0.89996350000000003</v>
      </c>
      <c r="Y2033">
        <v>0.32792169999999998</v>
      </c>
      <c r="Z2033">
        <v>7.9907549999999994E-2</v>
      </c>
      <c r="AA2033">
        <v>0.94131929999999997</v>
      </c>
      <c r="AB2033">
        <v>23</v>
      </c>
      <c r="AC2033">
        <v>-7.5319000000000003</v>
      </c>
      <c r="AD2033">
        <v>-1.1022468747374901</v>
      </c>
      <c r="AE2033">
        <v>-0.747099999999989</v>
      </c>
      <c r="AF2033">
        <v>2.5406225553135999</v>
      </c>
      <c r="AG2033">
        <v>-1.1022468747374901</v>
      </c>
      <c r="AH2033">
        <v>6.9626278594058197</v>
      </c>
      <c r="AI2033">
        <v>98.458893777261693</v>
      </c>
      <c r="AJ2033">
        <v>69.953267039871605</v>
      </c>
      <c r="AK2033">
        <v>7.4931900983500297</v>
      </c>
      <c r="AL2033">
        <v>67.408558468313998</v>
      </c>
      <c r="AM2033">
        <v>77.099471133903094</v>
      </c>
      <c r="AN2033">
        <v>0.99999996023270898</v>
      </c>
    </row>
    <row r="2034" spans="1:40" x14ac:dyDescent="0.25">
      <c r="A2034" t="str">
        <f>"20190304164130573"</f>
        <v>20190304164130573</v>
      </c>
      <c r="B2034" t="str">
        <f>"1551688890563015"</f>
        <v>1551688890563015</v>
      </c>
      <c r="C2034" t="s">
        <v>40</v>
      </c>
      <c r="D2034">
        <v>4.554697</v>
      </c>
      <c r="E2034">
        <v>0.56461139999999999</v>
      </c>
      <c r="F2034" t="s">
        <v>46</v>
      </c>
      <c r="G2034">
        <v>-211.3066</v>
      </c>
      <c r="H2034" s="1">
        <v>-8.4149720000000002E-7</v>
      </c>
      <c r="I2034">
        <v>285.47680000000003</v>
      </c>
      <c r="J2034">
        <v>-203.94149999999999</v>
      </c>
      <c r="K2034">
        <v>1.102141</v>
      </c>
      <c r="L2034">
        <v>286.12259999999998</v>
      </c>
      <c r="M2034">
        <v>-0.90713270000000001</v>
      </c>
      <c r="N2034">
        <v>-9.4361859999999992E-3</v>
      </c>
      <c r="O2034">
        <v>-0.42073909999999998</v>
      </c>
      <c r="P2034">
        <v>-0.90331790000000001</v>
      </c>
      <c r="Q2034">
        <v>0.37881290000000001</v>
      </c>
      <c r="R2034">
        <v>-0.20129040000000001</v>
      </c>
      <c r="S2034">
        <v>-3.4649510000000001</v>
      </c>
      <c r="T2034">
        <v>-0.50290389999999996</v>
      </c>
      <c r="U2034">
        <v>-0.33685300000000001</v>
      </c>
      <c r="V2034">
        <v>0.2053104</v>
      </c>
      <c r="W2034">
        <v>0.38323099999999999</v>
      </c>
      <c r="X2034">
        <v>0.90054519999999905</v>
      </c>
      <c r="Y2034">
        <v>0.32390279999999999</v>
      </c>
      <c r="Z2034">
        <v>7.9632649999999999E-2</v>
      </c>
      <c r="AA2034">
        <v>0.94273300000000004</v>
      </c>
      <c r="AB2034">
        <v>23</v>
      </c>
      <c r="AC2034">
        <v>-7.3651000000000098</v>
      </c>
      <c r="AD2034">
        <v>-1.1021418414972</v>
      </c>
      <c r="AE2034">
        <v>-0.64579999999995097</v>
      </c>
      <c r="AF2034">
        <v>2.4584384652478</v>
      </c>
      <c r="AG2034">
        <v>-1.1021418414972</v>
      </c>
      <c r="AH2034">
        <v>6.80198867697331</v>
      </c>
      <c r="AI2034">
        <v>98.664340187297199</v>
      </c>
      <c r="AJ2034">
        <v>70.128656053823605</v>
      </c>
      <c r="AK2034">
        <v>7.3161250869474603</v>
      </c>
      <c r="AL2034">
        <v>67.466037799269301</v>
      </c>
      <c r="AM2034">
        <v>77.156958159261094</v>
      </c>
      <c r="AN2034">
        <v>1.0000000084760901</v>
      </c>
    </row>
    <row r="2035" spans="1:40" x14ac:dyDescent="0.25">
      <c r="A2035" t="str">
        <f>"20190304164130596"</f>
        <v>20190304164130596</v>
      </c>
      <c r="B2035" t="str">
        <f>"1551688890583511"</f>
        <v>1551688890583511</v>
      </c>
      <c r="C2035" t="s">
        <v>40</v>
      </c>
      <c r="D2035">
        <v>4.5554940000000004</v>
      </c>
      <c r="E2035">
        <v>0.56430669999999905</v>
      </c>
      <c r="F2035" t="s">
        <v>46</v>
      </c>
      <c r="G2035">
        <v>-211.49420000000001</v>
      </c>
      <c r="H2035" s="1">
        <v>-7.4167069999999899E-7</v>
      </c>
      <c r="I2035">
        <v>285.47329999999999</v>
      </c>
      <c r="J2035">
        <v>-204.1601</v>
      </c>
      <c r="K2035">
        <v>1.10205</v>
      </c>
      <c r="L2035">
        <v>286.03809999999999</v>
      </c>
      <c r="M2035">
        <v>-0.91284739999999998</v>
      </c>
      <c r="N2035">
        <v>-9.4177089999999998E-3</v>
      </c>
      <c r="O2035">
        <v>-0.40819230000000001</v>
      </c>
      <c r="P2035">
        <v>-0.90552129999999997</v>
      </c>
      <c r="Q2035">
        <v>0.37926369999999998</v>
      </c>
      <c r="R2035">
        <v>-0.19023760000000001</v>
      </c>
      <c r="S2035">
        <v>-3.466812</v>
      </c>
      <c r="T2035">
        <v>-0.50590649999999904</v>
      </c>
      <c r="U2035">
        <v>-0.29806519999999997</v>
      </c>
      <c r="V2035">
        <v>0.20390059999999999</v>
      </c>
      <c r="W2035">
        <v>0.38365589999999999</v>
      </c>
      <c r="X2035">
        <v>0.900684499999999</v>
      </c>
      <c r="Y2035">
        <v>0.3214265</v>
      </c>
      <c r="Z2035">
        <v>7.8426699999999905E-2</v>
      </c>
      <c r="AA2035">
        <v>0.9436812</v>
      </c>
      <c r="AB2035">
        <v>23</v>
      </c>
      <c r="AC2035">
        <v>-7.3341000000000003</v>
      </c>
      <c r="AD2035">
        <v>-1.1020507416706999</v>
      </c>
      <c r="AE2035">
        <v>-0.56479999999999098</v>
      </c>
      <c r="AF2035">
        <v>2.42385073729002</v>
      </c>
      <c r="AG2035">
        <v>-1.1020507416706999</v>
      </c>
      <c r="AH2035">
        <v>6.7737242761633203</v>
      </c>
      <c r="AI2035">
        <v>98.709053584410995</v>
      </c>
      <c r="AJ2035">
        <v>70.311199489623704</v>
      </c>
      <c r="AK2035">
        <v>7.2782490204281096</v>
      </c>
      <c r="AL2035">
        <v>67.439676278422496</v>
      </c>
      <c r="AM2035">
        <v>77.244160118567294</v>
      </c>
      <c r="AN2035">
        <v>0.99999993641270701</v>
      </c>
    </row>
    <row r="2036" spans="1:40" x14ac:dyDescent="0.25">
      <c r="A2036" t="str">
        <f>"20190304164130616"</f>
        <v>20190304164130616</v>
      </c>
      <c r="B2036" t="str">
        <f>"1551688890603031"</f>
        <v>1551688890603031</v>
      </c>
      <c r="C2036" t="s">
        <v>40</v>
      </c>
      <c r="D2036">
        <v>4.5657240000000003</v>
      </c>
      <c r="E2036">
        <v>0.56401349999999995</v>
      </c>
      <c r="F2036" t="s">
        <v>46</v>
      </c>
      <c r="G2036">
        <v>-211.76609999999999</v>
      </c>
      <c r="H2036" s="1">
        <v>-5.9696669999999997E-7</v>
      </c>
      <c r="I2036">
        <v>285.46789999999999</v>
      </c>
      <c r="J2036">
        <v>-204.36750000000001</v>
      </c>
      <c r="K2036">
        <v>1.1019559999999999</v>
      </c>
      <c r="L2036">
        <v>285.96100000000001</v>
      </c>
      <c r="M2036">
        <v>-0.91810610000000004</v>
      </c>
      <c r="N2036">
        <v>-9.3948139999999996E-3</v>
      </c>
      <c r="O2036">
        <v>-0.3962233</v>
      </c>
      <c r="P2036">
        <v>-0.90746170000000004</v>
      </c>
      <c r="Q2036">
        <v>0.37999050000000001</v>
      </c>
      <c r="R2036">
        <v>-0.17922189999999999</v>
      </c>
      <c r="S2036">
        <v>-3.4688870000000001</v>
      </c>
      <c r="T2036">
        <v>-0.50261659999999997</v>
      </c>
      <c r="U2036">
        <v>-0.2600403</v>
      </c>
      <c r="V2036">
        <v>0.20303070000000001</v>
      </c>
      <c r="W2036">
        <v>0.3843432</v>
      </c>
      <c r="X2036">
        <v>0.90058799999999894</v>
      </c>
      <c r="Y2036">
        <v>0.31960129999999998</v>
      </c>
      <c r="Z2036">
        <v>7.6323070000000007E-2</v>
      </c>
      <c r="AA2036">
        <v>0.94447329999999996</v>
      </c>
      <c r="AB2036">
        <v>23</v>
      </c>
      <c r="AC2036">
        <v>-7.3985999999999796</v>
      </c>
      <c r="AD2036">
        <v>-1.1019565969667</v>
      </c>
      <c r="AE2036">
        <v>-0.49310000000002602</v>
      </c>
      <c r="AF2036">
        <v>2.4253247761142398</v>
      </c>
      <c r="AG2036">
        <v>-1.1019565969667</v>
      </c>
      <c r="AH2036">
        <v>6.8373798024752901</v>
      </c>
      <c r="AI2036">
        <v>98.636848396964695</v>
      </c>
      <c r="AJ2036">
        <v>70.469613902474293</v>
      </c>
      <c r="AK2036">
        <v>7.3380018516302599</v>
      </c>
      <c r="AL2036">
        <v>67.397027512147304</v>
      </c>
      <c r="AM2036">
        <v>77.295493753109596</v>
      </c>
      <c r="AN2036">
        <v>0.99999995313636303</v>
      </c>
    </row>
    <row r="2037" spans="1:40" x14ac:dyDescent="0.25">
      <c r="A2037" t="str">
        <f>"20190304164130640"</f>
        <v>20190304164130640</v>
      </c>
      <c r="B2037" t="str">
        <f>"1551688890633287"</f>
        <v>1551688890633287</v>
      </c>
      <c r="C2037" t="s">
        <v>40</v>
      </c>
      <c r="D2037">
        <v>4.629321</v>
      </c>
      <c r="E2037">
        <v>0.56351039999999997</v>
      </c>
      <c r="F2037" t="s">
        <v>46</v>
      </c>
      <c r="G2037">
        <v>-212.05289999999999</v>
      </c>
      <c r="H2037" s="1">
        <v>-4.4433919999999998E-7</v>
      </c>
      <c r="I2037">
        <v>285.46480000000003</v>
      </c>
      <c r="J2037">
        <v>-204.59780000000001</v>
      </c>
      <c r="K2037">
        <v>1.1018509999999999</v>
      </c>
      <c r="L2037">
        <v>285.87900000000002</v>
      </c>
      <c r="M2037">
        <v>-0.9237571</v>
      </c>
      <c r="N2037">
        <v>-9.3640779999999996E-3</v>
      </c>
      <c r="O2037">
        <v>-0.38286490000000001</v>
      </c>
      <c r="P2037">
        <v>-0.90918469999999996</v>
      </c>
      <c r="Q2037">
        <v>0.38160090000000002</v>
      </c>
      <c r="R2037">
        <v>-0.16662550000000001</v>
      </c>
      <c r="S2037">
        <v>-3.4700009999999999</v>
      </c>
      <c r="T2037">
        <v>-0.49754209999999899</v>
      </c>
      <c r="U2037">
        <v>-0.22406010000000001</v>
      </c>
      <c r="V2037">
        <v>0.20230999999999999</v>
      </c>
      <c r="W2037">
        <v>0.38589309999999899</v>
      </c>
      <c r="X2037">
        <v>0.90008739999999998</v>
      </c>
      <c r="Y2037">
        <v>0.31592910000000002</v>
      </c>
      <c r="Z2037">
        <v>7.3662939999999996E-2</v>
      </c>
      <c r="AA2037">
        <v>0.94591890000000001</v>
      </c>
      <c r="AB2037">
        <v>23</v>
      </c>
      <c r="AC2037">
        <v>-7.4550999999999803</v>
      </c>
      <c r="AD2037">
        <v>-1.1018514443392</v>
      </c>
      <c r="AE2037">
        <v>-0.41419999999999302</v>
      </c>
      <c r="AF2037">
        <v>2.4191026964357798</v>
      </c>
      <c r="AG2037">
        <v>-1.1018514443392</v>
      </c>
      <c r="AH2037">
        <v>6.8954290594782996</v>
      </c>
      <c r="AI2037">
        <v>98.574715791949103</v>
      </c>
      <c r="AJ2037">
        <v>70.667752057990498</v>
      </c>
      <c r="AK2037">
        <v>7.3900660602996702</v>
      </c>
      <c r="AL2037">
        <v>67.300805580362507</v>
      </c>
      <c r="AM2037">
        <v>77.332320430115104</v>
      </c>
      <c r="AN2037">
        <v>1.00000007418318</v>
      </c>
    </row>
    <row r="2038" spans="1:40" x14ac:dyDescent="0.25">
      <c r="A2038" t="str">
        <f>"20190304164130662"</f>
        <v>20190304164130662</v>
      </c>
      <c r="B2038" t="str">
        <f>"1551688890653784"</f>
        <v>1551688890653784</v>
      </c>
      <c r="C2038" t="s">
        <v>40</v>
      </c>
      <c r="D2038">
        <v>4.5737249999999996</v>
      </c>
      <c r="E2038">
        <v>0.56332939999999998</v>
      </c>
      <c r="F2038" t="s">
        <v>46</v>
      </c>
      <c r="G2038">
        <v>-212.4162</v>
      </c>
      <c r="H2038" s="1">
        <v>-2.5102760000000002E-7</v>
      </c>
      <c r="I2038">
        <v>285.46129999999999</v>
      </c>
      <c r="J2038">
        <v>-204.82239999999999</v>
      </c>
      <c r="K2038">
        <v>1.1017429999999999</v>
      </c>
      <c r="L2038">
        <v>285.80270000000002</v>
      </c>
      <c r="M2038">
        <v>-0.92907969999999895</v>
      </c>
      <c r="N2038">
        <v>-9.3296060000000007E-3</v>
      </c>
      <c r="O2038">
        <v>-0.36976170000000003</v>
      </c>
      <c r="P2038">
        <v>-0.91070510000000005</v>
      </c>
      <c r="Q2038">
        <v>0.3825402</v>
      </c>
      <c r="R2038">
        <v>-0.15581729999999899</v>
      </c>
      <c r="S2038">
        <v>-3.4709780000000001</v>
      </c>
      <c r="T2038">
        <v>-0.48916860000000001</v>
      </c>
      <c r="U2038">
        <v>-0.18545529999999999</v>
      </c>
      <c r="V2038">
        <v>0.20022570000000001</v>
      </c>
      <c r="W2038">
        <v>0.38679999999999998</v>
      </c>
      <c r="X2038">
        <v>0.90016409999999902</v>
      </c>
      <c r="Y2038">
        <v>0.31338149999999998</v>
      </c>
      <c r="Z2038">
        <v>7.0661370000000001E-2</v>
      </c>
      <c r="AA2038">
        <v>0.94699469999999997</v>
      </c>
      <c r="AB2038">
        <v>23</v>
      </c>
      <c r="AC2038">
        <v>-7.5938000000000097</v>
      </c>
      <c r="AD2038">
        <v>-1.1017432510276</v>
      </c>
      <c r="AE2038">
        <v>-0.34140000000002102</v>
      </c>
      <c r="AF2038">
        <v>2.4395689775581402</v>
      </c>
      <c r="AG2038">
        <v>-1.1017432510276</v>
      </c>
      <c r="AH2038">
        <v>7.0340307801162103</v>
      </c>
      <c r="AI2038">
        <v>98.417704252235794</v>
      </c>
      <c r="AJ2038">
        <v>70.872239106818199</v>
      </c>
      <c r="AK2038">
        <v>7.52614934764593</v>
      </c>
      <c r="AL2038">
        <v>67.244467723298897</v>
      </c>
      <c r="AM2038">
        <v>77.459714842751893</v>
      </c>
      <c r="AN2038">
        <v>0.99999998893464903</v>
      </c>
    </row>
    <row r="2039" spans="1:40" x14ac:dyDescent="0.25">
      <c r="A2039" t="str">
        <f>"20190304164130676"</f>
        <v>20190304164130676</v>
      </c>
      <c r="B2039" t="str">
        <f>"1551688890663544"</f>
        <v>1551688890663544</v>
      </c>
      <c r="C2039" t="s">
        <v>40</v>
      </c>
      <c r="D2039">
        <v>4.5745610000000001</v>
      </c>
      <c r="E2039">
        <v>0.55781359999999902</v>
      </c>
      <c r="F2039" t="s">
        <v>46</v>
      </c>
      <c r="G2039">
        <v>-212.70490000000001</v>
      </c>
      <c r="H2039" s="1">
        <v>-9.7379920000000003E-8</v>
      </c>
      <c r="I2039">
        <v>285.464</v>
      </c>
      <c r="J2039">
        <v>-204.96420000000001</v>
      </c>
      <c r="K2039">
        <v>1.1016699999999999</v>
      </c>
      <c r="L2039">
        <v>285.7568</v>
      </c>
      <c r="M2039">
        <v>-0.93234689999999998</v>
      </c>
      <c r="N2039">
        <v>-9.3057569999999996E-3</v>
      </c>
      <c r="O2039">
        <v>-0.36144539999999997</v>
      </c>
      <c r="P2039">
        <v>-0.91166290000000005</v>
      </c>
      <c r="Q2039">
        <v>0.38297039999999999</v>
      </c>
      <c r="R2039">
        <v>-0.14901249999999999</v>
      </c>
      <c r="S2039">
        <v>-3.4724879999999998</v>
      </c>
      <c r="T2039">
        <v>-0.48535099999999998</v>
      </c>
      <c r="U2039">
        <v>-0.149231</v>
      </c>
      <c r="V2039">
        <v>0.19890579999999999</v>
      </c>
      <c r="W2039">
        <v>0.38720670000000001</v>
      </c>
      <c r="X2039">
        <v>0.90028189999999997</v>
      </c>
      <c r="Y2039">
        <v>0.31493369999999998</v>
      </c>
      <c r="Z2039">
        <v>6.9226670000000004E-2</v>
      </c>
      <c r="AA2039">
        <v>0.94658569999999997</v>
      </c>
      <c r="AB2039">
        <v>23</v>
      </c>
      <c r="AC2039">
        <v>-7.7407000000000004</v>
      </c>
      <c r="AD2039">
        <v>-1.1016700973799101</v>
      </c>
      <c r="AE2039">
        <v>-0.29279999999999901</v>
      </c>
      <c r="AF2039">
        <v>2.4748997473301602</v>
      </c>
      <c r="AG2039">
        <v>-1.1016700973799101</v>
      </c>
      <c r="AH2039">
        <v>7.17797979524713</v>
      </c>
      <c r="AI2039">
        <v>98.255812348679697</v>
      </c>
      <c r="AJ2039">
        <v>70.976289455273204</v>
      </c>
      <c r="AK2039">
        <v>7.6721704688941799</v>
      </c>
      <c r="AL2039">
        <v>67.2191971511307</v>
      </c>
      <c r="AM2039">
        <v>77.541370640080203</v>
      </c>
      <c r="AN2039">
        <v>1.0000000226330601</v>
      </c>
    </row>
    <row r="2040" spans="1:40" x14ac:dyDescent="0.25">
      <c r="A2040" t="str">
        <f>"20190304164130694"</f>
        <v>20190304164130694</v>
      </c>
      <c r="B2040" t="str">
        <f>"1551688890683063"</f>
        <v>1551688890683063</v>
      </c>
      <c r="C2040" t="s">
        <v>40</v>
      </c>
      <c r="D2040">
        <v>4.5243570000000002</v>
      </c>
      <c r="E2040">
        <v>0.55797030000000003</v>
      </c>
      <c r="F2040" t="s">
        <v>46</v>
      </c>
      <c r="G2040">
        <v>-213.2397</v>
      </c>
      <c r="H2040" s="1">
        <v>1.8719379999999999E-7</v>
      </c>
      <c r="I2040">
        <v>285.36180000000002</v>
      </c>
      <c r="J2040">
        <v>-205.15020000000001</v>
      </c>
      <c r="K2040">
        <v>1.1015710000000001</v>
      </c>
      <c r="L2040">
        <v>285.69830000000002</v>
      </c>
      <c r="M2040">
        <v>-0.9365175</v>
      </c>
      <c r="N2040">
        <v>-9.2736599999999995E-3</v>
      </c>
      <c r="O2040">
        <v>-0.35049839999999999</v>
      </c>
      <c r="P2040">
        <v>-0.912686</v>
      </c>
      <c r="Q2040">
        <v>0.38332119999999997</v>
      </c>
      <c r="R2040">
        <v>-0.1416664</v>
      </c>
      <c r="S2040">
        <v>-3.4570470000000002</v>
      </c>
      <c r="T2040">
        <v>-0.4602194</v>
      </c>
      <c r="U2040">
        <v>-0.16497800000000001</v>
      </c>
      <c r="V2040">
        <v>0.195633</v>
      </c>
      <c r="W2040">
        <v>0.38756360000000001</v>
      </c>
      <c r="X2040">
        <v>0.90084520000000001</v>
      </c>
      <c r="Y2040">
        <v>0.3001045</v>
      </c>
      <c r="Z2040">
        <v>6.3549750000000002E-2</v>
      </c>
      <c r="AA2040">
        <v>0.9517871</v>
      </c>
      <c r="AB2040">
        <v>23</v>
      </c>
      <c r="AC2040">
        <v>-8.0894999999999797</v>
      </c>
      <c r="AD2040">
        <v>-1.1015708128061901</v>
      </c>
      <c r="AE2040">
        <v>-0.33650000000000002</v>
      </c>
      <c r="AF2040">
        <v>2.4745209086070501</v>
      </c>
      <c r="AG2040">
        <v>-1.1015708128061901</v>
      </c>
      <c r="AH2040">
        <v>7.5543916897096803</v>
      </c>
      <c r="AI2040">
        <v>97.889449311072497</v>
      </c>
      <c r="AJ2040">
        <v>71.863243970734999</v>
      </c>
      <c r="AK2040">
        <v>8.0253065850666907</v>
      </c>
      <c r="AL2040">
        <v>67.1970144862224</v>
      </c>
      <c r="AM2040">
        <v>77.747550185451601</v>
      </c>
      <c r="AN2040">
        <v>0.99999994454849805</v>
      </c>
    </row>
    <row r="2041" spans="1:40" x14ac:dyDescent="0.25">
      <c r="A2041" t="str">
        <f>"20190304164130709"</f>
        <v>20190304164130709</v>
      </c>
      <c r="B2041" t="str">
        <f>"1551688890703559"</f>
        <v>1551688890703559</v>
      </c>
      <c r="C2041" t="s">
        <v>40</v>
      </c>
      <c r="D2041">
        <v>4.5320729999999996</v>
      </c>
      <c r="E2041">
        <v>0.55827569999999904</v>
      </c>
      <c r="F2041" t="s">
        <v>46</v>
      </c>
      <c r="G2041">
        <v>-213.78460000000001</v>
      </c>
      <c r="H2041" s="1">
        <v>4.7716909999999999E-7</v>
      </c>
      <c r="I2041">
        <v>285.36099999999999</v>
      </c>
      <c r="J2041">
        <v>-205.29650000000001</v>
      </c>
      <c r="K2041">
        <v>1.1014969999999999</v>
      </c>
      <c r="L2041">
        <v>285.65390000000002</v>
      </c>
      <c r="M2041">
        <v>-0.93970969999999998</v>
      </c>
      <c r="N2041">
        <v>-9.2489459999999992E-3</v>
      </c>
      <c r="O2041">
        <v>-0.34184819999999999</v>
      </c>
      <c r="P2041">
        <v>-0.91374339999999998</v>
      </c>
      <c r="Q2041">
        <v>0.38307289999999999</v>
      </c>
      <c r="R2041">
        <v>-0.13538210000000001</v>
      </c>
      <c r="S2041">
        <v>-3.4510040000000002</v>
      </c>
      <c r="T2041">
        <v>-0.44027640000000001</v>
      </c>
      <c r="U2041">
        <v>-0.13482669999999999</v>
      </c>
      <c r="V2041">
        <v>0.1936108</v>
      </c>
      <c r="W2041">
        <v>0.38731130000000003</v>
      </c>
      <c r="X2041">
        <v>0.90139049999999998</v>
      </c>
      <c r="Y2041">
        <v>0.30003829999999998</v>
      </c>
      <c r="Z2041">
        <v>5.9917440000000002E-2</v>
      </c>
      <c r="AA2041">
        <v>0.95204350000000004</v>
      </c>
      <c r="AB2041">
        <v>23</v>
      </c>
      <c r="AC2041">
        <v>-8.4880999999999993</v>
      </c>
      <c r="AD2041">
        <v>-1.1014965228308999</v>
      </c>
      <c r="AE2041">
        <v>-0.29290000000003102</v>
      </c>
      <c r="AF2041">
        <v>2.58306559484428</v>
      </c>
      <c r="AG2041">
        <v>-1.1014965228308999</v>
      </c>
      <c r="AH2041">
        <v>7.9432168183404901</v>
      </c>
      <c r="AI2041">
        <v>97.512460412719506</v>
      </c>
      <c r="AJ2041">
        <v>71.985921530456594</v>
      </c>
      <c r="AK2041">
        <v>8.4249757198608002</v>
      </c>
      <c r="AL2041">
        <v>67.212696473925504</v>
      </c>
      <c r="AM2041">
        <v>77.877551895305601</v>
      </c>
      <c r="AN2041">
        <v>1.0000000092372801</v>
      </c>
    </row>
    <row r="2042" spans="1:40" x14ac:dyDescent="0.25">
      <c r="A2042" t="str">
        <f>"20190304164130727"</f>
        <v>20190304164130727</v>
      </c>
      <c r="B2042" t="str">
        <f>"1551688890723079"</f>
        <v>1551688890723079</v>
      </c>
      <c r="C2042" t="s">
        <v>40</v>
      </c>
      <c r="D2042">
        <v>4.505878</v>
      </c>
      <c r="E2042">
        <v>0.55785759999999995</v>
      </c>
      <c r="F2042" t="s">
        <v>46</v>
      </c>
      <c r="G2042">
        <v>-214.255</v>
      </c>
      <c r="H2042" s="1">
        <v>7.2750949999999997E-7</v>
      </c>
      <c r="I2042">
        <v>285.37799999999999</v>
      </c>
      <c r="J2042">
        <v>-205.49270000000001</v>
      </c>
      <c r="K2042">
        <v>1.101389</v>
      </c>
      <c r="L2042">
        <v>285.5967</v>
      </c>
      <c r="M2042">
        <v>-0.94386179999999997</v>
      </c>
      <c r="N2042">
        <v>-9.2168860000000005E-3</v>
      </c>
      <c r="O2042">
        <v>-0.33021230000000001</v>
      </c>
      <c r="P2042">
        <v>-0.91487039999999997</v>
      </c>
      <c r="Q2042">
        <v>0.38235039999999998</v>
      </c>
      <c r="R2042">
        <v>-0.12969439999999999</v>
      </c>
      <c r="S2042">
        <v>-3.445068</v>
      </c>
      <c r="T2042">
        <v>-0.42359190000000002</v>
      </c>
      <c r="U2042">
        <v>-0.1061096</v>
      </c>
      <c r="V2042">
        <v>0.18822269999999999</v>
      </c>
      <c r="W2042">
        <v>0.3866522</v>
      </c>
      <c r="X2042">
        <v>0.90281359999999999</v>
      </c>
      <c r="Y2042">
        <v>0.2965738</v>
      </c>
      <c r="Z2042">
        <v>5.625583E-2</v>
      </c>
      <c r="AA2042">
        <v>0.95335159999999997</v>
      </c>
      <c r="AB2042">
        <v>23</v>
      </c>
      <c r="AC2042">
        <v>-8.7622999999999802</v>
      </c>
      <c r="AD2042">
        <v>-1.1013882724905</v>
      </c>
      <c r="AE2042">
        <v>-0.218700000000012</v>
      </c>
      <c r="AF2042">
        <v>2.6453413386323099</v>
      </c>
      <c r="AG2042">
        <v>-1.1013882724905</v>
      </c>
      <c r="AH2042">
        <v>8.2132857643862298</v>
      </c>
      <c r="AI2042">
        <v>97.273969529866093</v>
      </c>
      <c r="AJ2042">
        <v>72.147248927278397</v>
      </c>
      <c r="AK2042">
        <v>8.6987901441594797</v>
      </c>
      <c r="AL2042">
        <v>67.253652035611296</v>
      </c>
      <c r="AM2042">
        <v>78.223406861718999</v>
      </c>
      <c r="AN2042">
        <v>1.0000000524525401</v>
      </c>
    </row>
    <row r="2043" spans="1:40" x14ac:dyDescent="0.25">
      <c r="A2043" t="str">
        <f>"20190304164130741"</f>
        <v>20190304164130741</v>
      </c>
      <c r="B2043" t="str">
        <f>"1551688890732839"</f>
        <v>1551688890732839</v>
      </c>
      <c r="C2043" t="s">
        <v>40</v>
      </c>
      <c r="D2043">
        <v>4.4868220000000001</v>
      </c>
      <c r="E2043">
        <v>0.55746319999999905</v>
      </c>
      <c r="F2043" t="s">
        <v>46</v>
      </c>
      <c r="G2043">
        <v>-214.33449999999999</v>
      </c>
      <c r="H2043" s="1">
        <v>7.6980479999999997E-7</v>
      </c>
      <c r="I2043">
        <v>285.38150000000002</v>
      </c>
      <c r="J2043">
        <v>-205.63829999999999</v>
      </c>
      <c r="K2043">
        <v>1.101318</v>
      </c>
      <c r="L2043">
        <v>285.5557</v>
      </c>
      <c r="M2043">
        <v>-0.94685010000000003</v>
      </c>
      <c r="N2043">
        <v>-9.1926750000000008E-3</v>
      </c>
      <c r="O2043">
        <v>-0.32154389999999999</v>
      </c>
      <c r="P2043">
        <v>-0.91561650000000006</v>
      </c>
      <c r="Q2043">
        <v>0.3816465</v>
      </c>
      <c r="R2043">
        <v>-0.12646109999999999</v>
      </c>
      <c r="S2043">
        <v>-3.446701</v>
      </c>
      <c r="T2043">
        <v>-0.42934260000000002</v>
      </c>
      <c r="U2043">
        <v>-8.3892820000000007E-2</v>
      </c>
      <c r="V2043">
        <v>0.18324760000000001</v>
      </c>
      <c r="W2043">
        <v>0.38602199999999998</v>
      </c>
      <c r="X2043">
        <v>0.90410579999999996</v>
      </c>
      <c r="Y2043">
        <v>0.29393380000000002</v>
      </c>
      <c r="Z2043">
        <v>5.5911299999999997E-2</v>
      </c>
      <c r="AA2043">
        <v>0.95418910000000001</v>
      </c>
      <c r="AB2043">
        <v>23</v>
      </c>
      <c r="AC2043">
        <v>-8.6961999999999993</v>
      </c>
      <c r="AD2043">
        <v>-1.1013172301951999</v>
      </c>
      <c r="AE2043">
        <v>-0.17419999999998401</v>
      </c>
      <c r="AF2043">
        <v>2.5898588445982802</v>
      </c>
      <c r="AG2043">
        <v>-1.1013172301951999</v>
      </c>
      <c r="AH2043">
        <v>8.1595456748145292</v>
      </c>
      <c r="AI2043">
        <v>97.330725932631296</v>
      </c>
      <c r="AJ2043">
        <v>72.390440233927507</v>
      </c>
      <c r="AK2043">
        <v>8.6312486985286903</v>
      </c>
      <c r="AL2043">
        <v>67.292797644406406</v>
      </c>
      <c r="AM2043">
        <v>78.542287906774504</v>
      </c>
      <c r="AN2043">
        <v>0.99999998249169897</v>
      </c>
    </row>
    <row r="2044" spans="1:40" x14ac:dyDescent="0.25">
      <c r="A2044" t="str">
        <f>"20190304164130755"</f>
        <v>20190304164130755</v>
      </c>
      <c r="B2044" t="str">
        <f>"1551688890742600"</f>
        <v>1551688890742600</v>
      </c>
      <c r="C2044" t="s">
        <v>40</v>
      </c>
      <c r="D2044">
        <v>4.6737299999999999</v>
      </c>
      <c r="E2044">
        <v>0.55710389999999999</v>
      </c>
      <c r="F2044" t="s">
        <v>46</v>
      </c>
      <c r="G2044">
        <v>-214.44980000000001</v>
      </c>
      <c r="H2044" s="1">
        <v>8.3116669999999999E-7</v>
      </c>
      <c r="I2044">
        <v>285.37200000000001</v>
      </c>
      <c r="J2044">
        <v>-205.76740000000001</v>
      </c>
      <c r="K2044">
        <v>1.101261</v>
      </c>
      <c r="L2044">
        <v>285.52120000000002</v>
      </c>
      <c r="M2044">
        <v>-0.94943080000000002</v>
      </c>
      <c r="N2044">
        <v>-9.1714169999999994E-3</v>
      </c>
      <c r="O2044">
        <v>-0.31384240000000002</v>
      </c>
      <c r="P2044">
        <v>-0.91623379999999999</v>
      </c>
      <c r="Q2044">
        <v>0.38122040000000001</v>
      </c>
      <c r="R2044">
        <v>-0.123234</v>
      </c>
      <c r="S2044">
        <v>-3.446091</v>
      </c>
      <c r="T2044">
        <v>-0.43071579999999898</v>
      </c>
      <c r="U2044">
        <v>-7.1838379999999993E-2</v>
      </c>
      <c r="V2044">
        <v>0.17916290000000001</v>
      </c>
      <c r="W2044">
        <v>0.38565559999999899</v>
      </c>
      <c r="X2044">
        <v>0.90508040000000001</v>
      </c>
      <c r="Y2044">
        <v>0.28955989999999998</v>
      </c>
      <c r="Z2044">
        <v>5.4979609999999998E-2</v>
      </c>
      <c r="AA2044">
        <v>0.95557959999999997</v>
      </c>
      <c r="AB2044">
        <v>23</v>
      </c>
      <c r="AC2044">
        <v>-8.6823999999999995</v>
      </c>
      <c r="AD2044">
        <v>-1.1012601688332999</v>
      </c>
      <c r="AE2044">
        <v>-0.14920000000000699</v>
      </c>
      <c r="AF2044">
        <v>2.5424678355843202</v>
      </c>
      <c r="AG2044">
        <v>-1.1012601688332999</v>
      </c>
      <c r="AH2044">
        <v>8.1592846200896005</v>
      </c>
      <c r="AI2044">
        <v>97.342623721984396</v>
      </c>
      <c r="AJ2044">
        <v>72.692743444160499</v>
      </c>
      <c r="AK2044">
        <v>8.6168928371002895</v>
      </c>
      <c r="AL2044">
        <v>67.315554660030202</v>
      </c>
      <c r="AM2044">
        <v>78.802914577343799</v>
      </c>
      <c r="AN2044">
        <v>1.0000000585059601</v>
      </c>
    </row>
    <row r="2045" spans="1:40" x14ac:dyDescent="0.25">
      <c r="A2045" t="str">
        <f>"20190304164130773"</f>
        <v>20190304164130773</v>
      </c>
      <c r="B2045" t="str">
        <f>"1551688890763095"</f>
        <v>1551688890763095</v>
      </c>
      <c r="C2045" t="s">
        <v>40</v>
      </c>
      <c r="D2045">
        <v>4.4661229999999996</v>
      </c>
      <c r="E2045">
        <v>0.55647469999999999</v>
      </c>
      <c r="F2045" t="s">
        <v>46</v>
      </c>
      <c r="G2045">
        <v>-214.6069</v>
      </c>
      <c r="H2045" s="1">
        <v>9.1477660000000004E-7</v>
      </c>
      <c r="I2045">
        <v>285.37110000000001</v>
      </c>
      <c r="J2045">
        <v>-205.9682</v>
      </c>
      <c r="K2045">
        <v>1.101186</v>
      </c>
      <c r="L2045">
        <v>285.4692</v>
      </c>
      <c r="M2045">
        <v>-0.95331589999999999</v>
      </c>
      <c r="N2045">
        <v>-9.1365170000000002E-3</v>
      </c>
      <c r="O2045">
        <v>-0.3018363</v>
      </c>
      <c r="P2045">
        <v>-0.91654290000000005</v>
      </c>
      <c r="Q2045">
        <v>0.38119130000000001</v>
      </c>
      <c r="R2045">
        <v>-0.12100470000000001</v>
      </c>
      <c r="S2045">
        <v>-3.4449920000000001</v>
      </c>
      <c r="T2045">
        <v>-0.42919180000000001</v>
      </c>
      <c r="U2045">
        <v>-5.85021999999999E-2</v>
      </c>
      <c r="V2045">
        <v>0.1699666</v>
      </c>
      <c r="W2045">
        <v>0.38578839999999998</v>
      </c>
      <c r="X2045">
        <v>0.90679589999999999</v>
      </c>
      <c r="Y2045">
        <v>0.28134530000000002</v>
      </c>
      <c r="Z2045">
        <v>5.2949009999999998E-2</v>
      </c>
      <c r="AA2045">
        <v>0.95814469999999996</v>
      </c>
      <c r="AB2045">
        <v>23</v>
      </c>
      <c r="AC2045">
        <v>-8.6387</v>
      </c>
      <c r="AD2045">
        <v>-1.10118508522339</v>
      </c>
      <c r="AE2045">
        <v>-9.8099999999988002E-2</v>
      </c>
      <c r="AF2045">
        <v>2.4738656955409999</v>
      </c>
      <c r="AG2045">
        <v>-1.10118508522339</v>
      </c>
      <c r="AH2045">
        <v>8.1332269645851305</v>
      </c>
      <c r="AI2045">
        <v>97.380643407047899</v>
      </c>
      <c r="AJ2045">
        <v>73.081928080301694</v>
      </c>
      <c r="AK2045">
        <v>8.5721643083265597</v>
      </c>
      <c r="AL2045">
        <v>67.307307844051806</v>
      </c>
      <c r="AM2045">
        <v>79.383862516309804</v>
      </c>
      <c r="AN2045">
        <v>1.0000000694734601</v>
      </c>
    </row>
    <row r="2046" spans="1:40" x14ac:dyDescent="0.25">
      <c r="A2046" t="str">
        <f>"20190304164130795"</f>
        <v>20190304164130795</v>
      </c>
      <c r="B2046" t="str">
        <f>"1551688890782615"</f>
        <v>1551688890782615</v>
      </c>
      <c r="C2046" t="s">
        <v>40</v>
      </c>
      <c r="D2046">
        <v>4.5518159999999996</v>
      </c>
      <c r="E2046">
        <v>0.55589</v>
      </c>
      <c r="F2046" t="s">
        <v>46</v>
      </c>
      <c r="G2046">
        <v>-214.767</v>
      </c>
      <c r="H2046" s="1">
        <v>9.9998739999999999E-7</v>
      </c>
      <c r="I2046">
        <v>285.34179999999998</v>
      </c>
      <c r="J2046">
        <v>-206.19669999999999</v>
      </c>
      <c r="K2046">
        <v>1.10111</v>
      </c>
      <c r="L2046">
        <v>285.41320000000002</v>
      </c>
      <c r="M2046">
        <v>-0.95754450000000002</v>
      </c>
      <c r="N2046">
        <v>-9.0954790000000001E-3</v>
      </c>
      <c r="O2046">
        <v>-0.28814240000000002</v>
      </c>
      <c r="P2046">
        <v>-0.91682240000000004</v>
      </c>
      <c r="Q2046">
        <v>0.3812952</v>
      </c>
      <c r="R2046">
        <v>-0.11853569999999999</v>
      </c>
      <c r="S2046">
        <v>-3.4459379999999999</v>
      </c>
      <c r="T2046">
        <v>-0.43126379999999997</v>
      </c>
      <c r="U2046">
        <v>-4.9896240000000001E-2</v>
      </c>
      <c r="V2046">
        <v>0.15941549999999999</v>
      </c>
      <c r="W2046">
        <v>0.38608229999999999</v>
      </c>
      <c r="X2046">
        <v>0.90858530000000004</v>
      </c>
      <c r="Y2046">
        <v>0.270123</v>
      </c>
      <c r="Z2046">
        <v>5.0939440000000002E-2</v>
      </c>
      <c r="AA2046">
        <v>0.96147729999999998</v>
      </c>
      <c r="AB2046">
        <v>23</v>
      </c>
      <c r="AC2046">
        <v>-8.5702999999999996</v>
      </c>
      <c r="AD2046">
        <v>-1.1011090000126</v>
      </c>
      <c r="AE2046">
        <v>-7.1400000000039598E-2</v>
      </c>
      <c r="AF2046">
        <v>2.3622068892190602</v>
      </c>
      <c r="AG2046">
        <v>-1.1011090000126</v>
      </c>
      <c r="AH2046">
        <v>8.0937617478000199</v>
      </c>
      <c r="AI2046">
        <v>97.440477338111805</v>
      </c>
      <c r="AJ2046">
        <v>73.729837680330306</v>
      </c>
      <c r="AK2046">
        <v>8.5030254408377193</v>
      </c>
      <c r="AL2046">
        <v>67.289053878863101</v>
      </c>
      <c r="AM2046">
        <v>80.048481948056903</v>
      </c>
      <c r="AN2046">
        <v>1.0000000456948099</v>
      </c>
    </row>
    <row r="2047" spans="1:40" x14ac:dyDescent="0.25">
      <c r="A2047" t="str">
        <f>"20190304164130817"</f>
        <v>20190304164130817</v>
      </c>
      <c r="B2047" t="str">
        <f>"1551688890812871"</f>
        <v>1551688890812871</v>
      </c>
      <c r="C2047" t="s">
        <v>40</v>
      </c>
      <c r="D2047">
        <v>4.5263809999999998</v>
      </c>
      <c r="E2047">
        <v>0.55079909999999999</v>
      </c>
      <c r="F2047" t="s">
        <v>46</v>
      </c>
      <c r="G2047">
        <v>-215.04750000000001</v>
      </c>
      <c r="H2047" s="1">
        <v>1.1492440000000001E-6</v>
      </c>
      <c r="I2047">
        <v>285.30739999999997</v>
      </c>
      <c r="J2047">
        <v>-206.4307</v>
      </c>
      <c r="K2047">
        <v>1.101046</v>
      </c>
      <c r="L2047">
        <v>285.35939999999999</v>
      </c>
      <c r="M2047">
        <v>-0.96166059999999998</v>
      </c>
      <c r="N2047">
        <v>-9.0518370000000001E-3</v>
      </c>
      <c r="O2047">
        <v>-0.27409309999999998</v>
      </c>
      <c r="P2047">
        <v>-0.91656519999999997</v>
      </c>
      <c r="Q2047">
        <v>0.38291530000000001</v>
      </c>
      <c r="R2047">
        <v>-0.11525539999999899</v>
      </c>
      <c r="S2047">
        <v>-3.445084</v>
      </c>
      <c r="T2047">
        <v>-0.42859360000000002</v>
      </c>
      <c r="U2047">
        <v>-4.1168209999999997E-2</v>
      </c>
      <c r="V2047">
        <v>0.14922489999999999</v>
      </c>
      <c r="W2047">
        <v>0.38788139999999999</v>
      </c>
      <c r="X2047">
        <v>0.90954930000000001</v>
      </c>
      <c r="Y2047">
        <v>0.25868449999999998</v>
      </c>
      <c r="Z2047">
        <v>4.8327460000000003E-2</v>
      </c>
      <c r="AA2047">
        <v>0.96475219999999995</v>
      </c>
      <c r="AB2047">
        <v>24</v>
      </c>
      <c r="AC2047">
        <v>-8.6168000000000102</v>
      </c>
      <c r="AD2047">
        <v>-1.101044850756</v>
      </c>
      <c r="AE2047">
        <v>-5.2000000000020898E-2</v>
      </c>
      <c r="AF2047">
        <v>2.27475415332639</v>
      </c>
      <c r="AG2047">
        <v>-1.101044850756</v>
      </c>
      <c r="AH2047">
        <v>8.1676773061159107</v>
      </c>
      <c r="AI2047">
        <v>97.399176978857099</v>
      </c>
      <c r="AJ2047">
        <v>74.437115367725795</v>
      </c>
      <c r="AK2047">
        <v>8.5497227322465204</v>
      </c>
      <c r="AL2047">
        <v>67.177261766683301</v>
      </c>
      <c r="AM2047">
        <v>80.682793210852694</v>
      </c>
      <c r="AN2047">
        <v>0.99999999018822905</v>
      </c>
    </row>
    <row r="2048" spans="1:40" x14ac:dyDescent="0.25">
      <c r="A2048" t="str">
        <f>"20190304164130841"</f>
        <v>20190304164130841</v>
      </c>
      <c r="B2048" t="str">
        <f>"1551688890833368"</f>
        <v>1551688890833368</v>
      </c>
      <c r="C2048" t="s">
        <v>40</v>
      </c>
      <c r="D2048">
        <v>4.5025019999999998</v>
      </c>
      <c r="E2048">
        <v>0.55046649999999997</v>
      </c>
      <c r="F2048" t="s">
        <v>46</v>
      </c>
      <c r="G2048">
        <v>-217.8665</v>
      </c>
      <c r="H2048" s="1">
        <v>2.6493939999999998E-6</v>
      </c>
      <c r="I2048">
        <v>285.16199999999998</v>
      </c>
      <c r="J2048">
        <v>-206.67859999999999</v>
      </c>
      <c r="K2048">
        <v>1.1009979999999999</v>
      </c>
      <c r="L2048">
        <v>285.30619999999999</v>
      </c>
      <c r="M2048">
        <v>-0.96578039999999998</v>
      </c>
      <c r="N2048">
        <v>-9.0045500000000001E-3</v>
      </c>
      <c r="O2048">
        <v>-0.25920549999999998</v>
      </c>
      <c r="P2048">
        <v>-0.91593349999999996</v>
      </c>
      <c r="Q2048">
        <v>0.3859051</v>
      </c>
      <c r="R2048">
        <v>-0.1101955</v>
      </c>
      <c r="S2048">
        <v>-3.4025729999999998</v>
      </c>
      <c r="T2048">
        <v>-0.32760080000000003</v>
      </c>
      <c r="U2048">
        <v>-5.8715820000000002E-2</v>
      </c>
      <c r="V2048">
        <v>0.1399485</v>
      </c>
      <c r="W2048">
        <v>0.39102300000000001</v>
      </c>
      <c r="X2048">
        <v>0.90967880000000001</v>
      </c>
      <c r="Y2048">
        <v>0.24033860000000001</v>
      </c>
      <c r="Z2048">
        <v>3.4942880000000003E-2</v>
      </c>
      <c r="AA2048">
        <v>0.97006000000000003</v>
      </c>
      <c r="AB2048">
        <v>24</v>
      </c>
      <c r="AC2048">
        <v>-11.187900000000001</v>
      </c>
      <c r="AD2048">
        <v>-1.100995350606</v>
      </c>
      <c r="AE2048">
        <v>-0.144199999999955</v>
      </c>
      <c r="AF2048">
        <v>2.7343350559323101</v>
      </c>
      <c r="AG2048">
        <v>-1.100995350606</v>
      </c>
      <c r="AH2048">
        <v>10.738886973143201</v>
      </c>
      <c r="AI2048">
        <v>95.673949993721905</v>
      </c>
      <c r="AJ2048">
        <v>75.714894826782299</v>
      </c>
      <c r="AK2048">
        <v>11.136088738066899</v>
      </c>
      <c r="AL2048">
        <v>66.981832641463399</v>
      </c>
      <c r="AM2048">
        <v>81.253966000401903</v>
      </c>
      <c r="AN2048">
        <v>1.0000000441753401</v>
      </c>
    </row>
    <row r="2049" spans="1:40" x14ac:dyDescent="0.25">
      <c r="A2049" t="str">
        <f>"20190304164130862"</f>
        <v>20190304164130862</v>
      </c>
      <c r="B2049" t="str">
        <f>"1551688890852887"</f>
        <v>1551688890852887</v>
      </c>
      <c r="C2049" t="s">
        <v>40</v>
      </c>
      <c r="D2049">
        <v>4.5575219999999996</v>
      </c>
      <c r="E2049">
        <v>0.55058130000000005</v>
      </c>
      <c r="F2049" t="s">
        <v>46</v>
      </c>
      <c r="G2049">
        <v>-218.696</v>
      </c>
      <c r="H2049" s="1">
        <v>3.0907980000000001E-6</v>
      </c>
      <c r="I2049">
        <v>285.1764</v>
      </c>
      <c r="J2049">
        <v>-206.91130000000001</v>
      </c>
      <c r="K2049">
        <v>1.1009679999999999</v>
      </c>
      <c r="L2049">
        <v>285.25990000000002</v>
      </c>
      <c r="M2049">
        <v>-0.96941889999999997</v>
      </c>
      <c r="N2049">
        <v>-8.9574200000000007E-3</v>
      </c>
      <c r="O2049">
        <v>-0.2452483</v>
      </c>
      <c r="P2049">
        <v>-0.91488239999999998</v>
      </c>
      <c r="Q2049">
        <v>0.38930110000000001</v>
      </c>
      <c r="R2049">
        <v>-0.106935</v>
      </c>
      <c r="S2049">
        <v>-3.4022519999999998</v>
      </c>
      <c r="T2049">
        <v>-0.31170320000000001</v>
      </c>
      <c r="U2049">
        <v>-3.6743159999999997E-2</v>
      </c>
      <c r="V2049">
        <v>0.1297854</v>
      </c>
      <c r="W2049">
        <v>0.394596</v>
      </c>
      <c r="X2049">
        <v>0.90964270000000003</v>
      </c>
      <c r="Y2049">
        <v>0.2328865</v>
      </c>
      <c r="Z2049">
        <v>3.1720279999999997E-2</v>
      </c>
      <c r="AA2049">
        <v>0.97198649999999998</v>
      </c>
      <c r="AB2049">
        <v>24</v>
      </c>
      <c r="AC2049">
        <v>-11.7846999999999</v>
      </c>
      <c r="AD2049">
        <v>-1.100964909202</v>
      </c>
      <c r="AE2049">
        <v>-8.3500000000015007E-2</v>
      </c>
      <c r="AF2049">
        <v>2.7850375982159399</v>
      </c>
      <c r="AG2049">
        <v>-1.100964909202</v>
      </c>
      <c r="AH2049">
        <v>11.346224721823599</v>
      </c>
      <c r="AI2049">
        <v>95.3834398316028</v>
      </c>
      <c r="AJ2049">
        <v>76.208870355059204</v>
      </c>
      <c r="AK2049">
        <v>11.7347932914428</v>
      </c>
      <c r="AL2049">
        <v>66.759221166870304</v>
      </c>
      <c r="AM2049">
        <v>81.8799938543915</v>
      </c>
      <c r="AN2049">
        <v>1.0000000474662201</v>
      </c>
    </row>
    <row r="2050" spans="1:40" x14ac:dyDescent="0.25">
      <c r="A2050" t="str">
        <f>"20190304164130884"</f>
        <v>20190304164130884</v>
      </c>
      <c r="B2050" t="str">
        <f>"1551688890873383"</f>
        <v>1551688890873383</v>
      </c>
      <c r="C2050" t="s">
        <v>40</v>
      </c>
      <c r="D2050">
        <v>4.5146119999999996</v>
      </c>
      <c r="E2050">
        <v>0.55025069999999998</v>
      </c>
      <c r="F2050" t="s">
        <v>46</v>
      </c>
      <c r="G2050">
        <v>-219.48910000000001</v>
      </c>
      <c r="H2050" s="1">
        <v>3.5128230000000001E-6</v>
      </c>
      <c r="I2050">
        <v>285.1934</v>
      </c>
      <c r="J2050">
        <v>-207.13900000000001</v>
      </c>
      <c r="K2050">
        <v>1.1009599999999999</v>
      </c>
      <c r="L2050">
        <v>285.21800000000002</v>
      </c>
      <c r="M2050">
        <v>-0.97276189999999996</v>
      </c>
      <c r="N2050">
        <v>-8.9039369999999902E-3</v>
      </c>
      <c r="O2050">
        <v>-0.23163549999999999</v>
      </c>
      <c r="P2050">
        <v>-0.91401569999999999</v>
      </c>
      <c r="Q2050">
        <v>0.39209179999999999</v>
      </c>
      <c r="R2050">
        <v>-0.1041123</v>
      </c>
      <c r="S2050">
        <v>-3.4038089999999999</v>
      </c>
      <c r="T2050">
        <v>-0.2979445</v>
      </c>
      <c r="U2050">
        <v>-1.800537E-2</v>
      </c>
      <c r="V2050">
        <v>0.1196079</v>
      </c>
      <c r="W2050">
        <v>0.39756629999999998</v>
      </c>
      <c r="X2050">
        <v>0.90974449999999996</v>
      </c>
      <c r="Y2050">
        <v>0.22484750000000001</v>
      </c>
      <c r="Z2050">
        <v>2.8845559999999999E-2</v>
      </c>
      <c r="AA2050">
        <v>0.97396689999999997</v>
      </c>
      <c r="AB2050">
        <v>24</v>
      </c>
      <c r="AC2050">
        <v>-12.3500999999999</v>
      </c>
      <c r="AD2050">
        <v>-1.1009564871769999</v>
      </c>
      <c r="AE2050">
        <v>-2.46000000000208E-2</v>
      </c>
      <c r="AF2050">
        <v>2.8145372638808599</v>
      </c>
      <c r="AG2050">
        <v>-1.1009564871769999</v>
      </c>
      <c r="AH2050">
        <v>11.925113795489199</v>
      </c>
      <c r="AI2050">
        <v>95.134455384861099</v>
      </c>
      <c r="AJ2050">
        <v>76.720206102208095</v>
      </c>
      <c r="AK2050">
        <v>12.3021162501335</v>
      </c>
      <c r="AL2050">
        <v>66.573876804912103</v>
      </c>
      <c r="AM2050">
        <v>82.510043763562393</v>
      </c>
      <c r="AN2050">
        <v>1.0000000339591699</v>
      </c>
    </row>
    <row r="2051" spans="1:40" x14ac:dyDescent="0.25">
      <c r="A2051" t="str">
        <f>"20190304164130906"</f>
        <v>20190304164130906</v>
      </c>
      <c r="B2051" t="str">
        <f>"1551688890902664"</f>
        <v>1551688890902664</v>
      </c>
      <c r="C2051" t="s">
        <v>40</v>
      </c>
      <c r="D2051">
        <v>4.4992429999999999</v>
      </c>
      <c r="E2051">
        <v>0.5499406</v>
      </c>
      <c r="F2051" t="s">
        <v>46</v>
      </c>
      <c r="G2051">
        <v>-219.8802</v>
      </c>
      <c r="H2051" s="1">
        <v>3.720984E-6</v>
      </c>
      <c r="I2051">
        <v>285.17689999999999</v>
      </c>
      <c r="J2051">
        <v>-207.3871</v>
      </c>
      <c r="K2051">
        <v>1.100949</v>
      </c>
      <c r="L2051">
        <v>285.17599999999999</v>
      </c>
      <c r="M2051">
        <v>-0.97616069999999999</v>
      </c>
      <c r="N2051">
        <v>-8.84175699999999E-3</v>
      </c>
      <c r="O2051">
        <v>-0.2168688</v>
      </c>
      <c r="P2051">
        <v>-0.91381590000000001</v>
      </c>
      <c r="Q2051">
        <v>0.39316190000000001</v>
      </c>
      <c r="R2051">
        <v>-0.1018051</v>
      </c>
      <c r="S2051">
        <v>-3.4072719999999999</v>
      </c>
      <c r="T2051">
        <v>-0.2944195</v>
      </c>
      <c r="U2051">
        <v>-1.0986330000000001E-2</v>
      </c>
      <c r="V2051">
        <v>0.1080064</v>
      </c>
      <c r="W2051">
        <v>0.39885090000000001</v>
      </c>
      <c r="X2051">
        <v>0.91063309999999997</v>
      </c>
      <c r="Y2051">
        <v>0.2122163</v>
      </c>
      <c r="Z2051">
        <v>2.67558E-2</v>
      </c>
      <c r="AA2051">
        <v>0.97685639999999996</v>
      </c>
      <c r="AB2051">
        <v>24</v>
      </c>
      <c r="AC2051">
        <v>-12.493099999999901</v>
      </c>
      <c r="AD2051">
        <v>-1.1009452790159999</v>
      </c>
      <c r="AE2051">
        <v>9.0000000000145497E-4</v>
      </c>
      <c r="AF2051">
        <v>2.6894620850187598</v>
      </c>
      <c r="AG2051">
        <v>-1.1009452790159999</v>
      </c>
      <c r="AH2051">
        <v>12.1015755235325</v>
      </c>
      <c r="AI2051">
        <v>95.075045365757902</v>
      </c>
      <c r="AJ2051">
        <v>77.470185810405795</v>
      </c>
      <c r="AK2051">
        <v>12.4456183842307</v>
      </c>
      <c r="AL2051">
        <v>66.493638496274301</v>
      </c>
      <c r="AM2051">
        <v>83.235985308158504</v>
      </c>
      <c r="AN2051">
        <v>1.00000003284368</v>
      </c>
    </row>
    <row r="2052" spans="1:40" x14ac:dyDescent="0.25">
      <c r="A2052" t="str">
        <f>"20190304164130929"</f>
        <v>20190304164130929</v>
      </c>
      <c r="B2052" t="str">
        <f>"1551688890923161"</f>
        <v>1551688890923161</v>
      </c>
      <c r="C2052" t="s">
        <v>40</v>
      </c>
      <c r="D2052">
        <v>4.4741849999999896</v>
      </c>
      <c r="E2052">
        <v>0.54857330000000004</v>
      </c>
      <c r="F2052" t="s">
        <v>46</v>
      </c>
      <c r="G2052">
        <v>-220.12989999999999</v>
      </c>
      <c r="H2052" s="1">
        <v>-1.4676909999999999E-6</v>
      </c>
      <c r="I2052">
        <v>285.14409999999998</v>
      </c>
      <c r="J2052">
        <v>-207.63919999999999</v>
      </c>
      <c r="K2052">
        <v>1.1009519999999999</v>
      </c>
      <c r="L2052">
        <v>285.137</v>
      </c>
      <c r="M2052">
        <v>-0.97935159999999999</v>
      </c>
      <c r="N2052">
        <v>-8.7765599999999992E-3</v>
      </c>
      <c r="O2052">
        <v>-0.2019736</v>
      </c>
      <c r="P2052">
        <v>-0.91388239999999998</v>
      </c>
      <c r="Q2052">
        <v>0.39321129999999999</v>
      </c>
      <c r="R2052">
        <v>-0.1010137</v>
      </c>
      <c r="S2052">
        <v>-3.4087070000000002</v>
      </c>
      <c r="T2052">
        <v>-0.29450710000000002</v>
      </c>
      <c r="U2052">
        <v>-8.5144039999999997E-3</v>
      </c>
      <c r="V2052">
        <v>9.4854800000000003E-2</v>
      </c>
      <c r="W2052">
        <v>0.39915600000000001</v>
      </c>
      <c r="X2052">
        <v>0.91196330000000003</v>
      </c>
      <c r="Y2052">
        <v>0.19812250000000001</v>
      </c>
      <c r="Z2052">
        <v>2.4960799999999998E-2</v>
      </c>
      <c r="AA2052">
        <v>0.97985940000000005</v>
      </c>
      <c r="AB2052">
        <v>24</v>
      </c>
      <c r="AC2052">
        <v>-12.4907</v>
      </c>
      <c r="AD2052">
        <v>-1.100953467691</v>
      </c>
      <c r="AE2052">
        <v>7.0999999999799002E-3</v>
      </c>
      <c r="AF2052">
        <v>2.5103397900426301</v>
      </c>
      <c r="AG2052">
        <v>-1.100953467691</v>
      </c>
      <c r="AH2052">
        <v>12.1375283507703</v>
      </c>
      <c r="AI2052">
        <v>95.076067682272694</v>
      </c>
      <c r="AJ2052">
        <v>78.314582628417995</v>
      </c>
      <c r="AK2052">
        <v>12.443210954783501</v>
      </c>
      <c r="AL2052">
        <v>66.474573513767197</v>
      </c>
      <c r="AM2052">
        <v>84.061924018522603</v>
      </c>
      <c r="AN2052">
        <v>1.0000000029829601</v>
      </c>
    </row>
    <row r="2053" spans="1:40" x14ac:dyDescent="0.25">
      <c r="A2053" t="str">
        <f>"20190304164130951"</f>
        <v>20190304164130951</v>
      </c>
      <c r="B2053" t="str">
        <f>"1551688890943656"</f>
        <v>1551688890943656</v>
      </c>
      <c r="C2053" t="s">
        <v>40</v>
      </c>
      <c r="D2053">
        <v>4.4299350000000004</v>
      </c>
      <c r="E2053">
        <v>0.54868099999999997</v>
      </c>
      <c r="F2053" t="s">
        <v>41</v>
      </c>
      <c r="G2053">
        <v>-208.5147</v>
      </c>
      <c r="H2053">
        <v>1.0153449999999999</v>
      </c>
      <c r="I2053">
        <v>285.13290000000001</v>
      </c>
      <c r="J2053">
        <v>-207.88329999999999</v>
      </c>
      <c r="K2053">
        <v>1.1009869999999999</v>
      </c>
      <c r="L2053">
        <v>285.1028</v>
      </c>
      <c r="M2053">
        <v>-0.98218479999999997</v>
      </c>
      <c r="N2053">
        <v>-8.7057950000000005E-3</v>
      </c>
      <c r="O2053">
        <v>-0.18771640000000001</v>
      </c>
      <c r="P2053">
        <v>-0.91353030000000002</v>
      </c>
      <c r="Q2053">
        <v>0.39411970000000002</v>
      </c>
      <c r="R2053">
        <v>-0.1006584</v>
      </c>
      <c r="S2053">
        <v>-3.4248959999999999</v>
      </c>
      <c r="T2053">
        <v>-0.33468700000000001</v>
      </c>
      <c r="U2053">
        <v>-1.638794E-2</v>
      </c>
      <c r="V2053">
        <v>8.1801529999999997E-2</v>
      </c>
      <c r="W2053">
        <v>0.40031440000000001</v>
      </c>
      <c r="X2053">
        <v>0.91271950000000002</v>
      </c>
      <c r="Y2053">
        <v>0.1813476</v>
      </c>
      <c r="Z2053">
        <v>2.620892E-2</v>
      </c>
      <c r="AA2053">
        <v>0.98306979999999999</v>
      </c>
      <c r="AB2053">
        <v>24</v>
      </c>
      <c r="AC2053">
        <v>-0.63140000000001295</v>
      </c>
      <c r="AD2053">
        <v>-8.5641999999999996E-2</v>
      </c>
      <c r="AE2053">
        <v>3.0100000000004401E-2</v>
      </c>
      <c r="AF2053">
        <v>0.14542408557273401</v>
      </c>
      <c r="AG2053">
        <v>-8.5641999999999996E-2</v>
      </c>
      <c r="AH2053">
        <v>0.60344754306640103</v>
      </c>
      <c r="AI2053">
        <v>97.855580357356402</v>
      </c>
      <c r="AJ2053">
        <v>76.450711460996601</v>
      </c>
      <c r="AK2053">
        <v>0.62660326687748902</v>
      </c>
      <c r="AL2053">
        <v>66.402165325695094</v>
      </c>
      <c r="AM2053">
        <v>84.878608918343701</v>
      </c>
      <c r="AN2053">
        <v>0.99999999741897505</v>
      </c>
    </row>
    <row r="2054" spans="1:40" x14ac:dyDescent="0.25">
      <c r="A2054" t="str">
        <f>"20190304164130973"</f>
        <v>20190304164130973</v>
      </c>
      <c r="B2054" t="str">
        <f>"1551688890963175"</f>
        <v>1551688890963175</v>
      </c>
      <c r="C2054" t="s">
        <v>40</v>
      </c>
      <c r="D2054">
        <v>4.4238790000000003</v>
      </c>
      <c r="E2054">
        <v>0.54870280000000005</v>
      </c>
      <c r="F2054" t="s">
        <v>41</v>
      </c>
      <c r="G2054">
        <v>-208.73400000000001</v>
      </c>
      <c r="H2054">
        <v>1.018251</v>
      </c>
      <c r="I2054">
        <v>285.10070000000002</v>
      </c>
      <c r="J2054">
        <v>-208.12450000000001</v>
      </c>
      <c r="K2054">
        <v>1.101062</v>
      </c>
      <c r="L2054">
        <v>285.07220000000001</v>
      </c>
      <c r="M2054">
        <v>-0.98472820000000005</v>
      </c>
      <c r="N2054">
        <v>-8.6220280000000003E-3</v>
      </c>
      <c r="O2054">
        <v>-0.17388589999999901</v>
      </c>
      <c r="P2054">
        <v>-0.91350750000000003</v>
      </c>
      <c r="Q2054">
        <v>0.394841</v>
      </c>
      <c r="R2054">
        <v>-9.8005389999999998E-2</v>
      </c>
      <c r="S2054">
        <v>-3.4267729999999998</v>
      </c>
      <c r="T2054">
        <v>-0.33315109999999998</v>
      </c>
      <c r="U2054">
        <v>-8.6059569999999991E-3</v>
      </c>
      <c r="V2054">
        <v>7.1435390000000001E-2</v>
      </c>
      <c r="W2054">
        <v>0.40121600000000002</v>
      </c>
      <c r="X2054">
        <v>0.9131937</v>
      </c>
      <c r="Y2054">
        <v>0.16987260000000001</v>
      </c>
      <c r="Z2054">
        <v>2.4270010000000002E-2</v>
      </c>
      <c r="AA2054">
        <v>0.98516709999999996</v>
      </c>
      <c r="AB2054">
        <v>24</v>
      </c>
      <c r="AC2054">
        <v>-0.60949999999999704</v>
      </c>
      <c r="AD2054">
        <v>-8.2810999999999899E-2</v>
      </c>
      <c r="AE2054">
        <v>2.8500000000008099E-2</v>
      </c>
      <c r="AF2054">
        <v>0.13162862804745001</v>
      </c>
      <c r="AG2054">
        <v>-8.2810999999999899E-2</v>
      </c>
      <c r="AH2054">
        <v>0.58449202719111104</v>
      </c>
      <c r="AI2054">
        <v>97.869486908415496</v>
      </c>
      <c r="AJ2054">
        <v>77.308614496103999</v>
      </c>
      <c r="AK2054">
        <v>0.60482616287047997</v>
      </c>
      <c r="AL2054">
        <v>66.3457817986272</v>
      </c>
      <c r="AM2054">
        <v>85.527095475532207</v>
      </c>
      <c r="AN2054">
        <v>1.00000001366007</v>
      </c>
    </row>
    <row r="2055" spans="1:40" x14ac:dyDescent="0.25">
      <c r="A2055" t="str">
        <f>"20190304164130997"</f>
        <v>20190304164130997</v>
      </c>
      <c r="B2055" t="str">
        <f>"1551688890993432"</f>
        <v>1551688890993432</v>
      </c>
      <c r="C2055" t="s">
        <v>40</v>
      </c>
      <c r="D2055">
        <v>4.4509280000000002</v>
      </c>
      <c r="E2055">
        <v>0.54953839999999998</v>
      </c>
      <c r="F2055" t="s">
        <v>41</v>
      </c>
      <c r="G2055">
        <v>-208.9545</v>
      </c>
      <c r="H2055">
        <v>1.020205</v>
      </c>
      <c r="I2055">
        <v>285.07260000000002</v>
      </c>
      <c r="J2055">
        <v>-208.3837</v>
      </c>
      <c r="K2055">
        <v>1.1012249999999999</v>
      </c>
      <c r="L2055">
        <v>285.04270000000002</v>
      </c>
      <c r="M2055">
        <v>-0.9871723</v>
      </c>
      <c r="N2055">
        <v>-8.5093400000000007E-3</v>
      </c>
      <c r="O2055">
        <v>-0.1594312</v>
      </c>
      <c r="P2055">
        <v>-0.91401220000000005</v>
      </c>
      <c r="Q2055">
        <v>0.39501819999999999</v>
      </c>
      <c r="R2055">
        <v>-9.2426030000000006E-2</v>
      </c>
      <c r="S2055">
        <v>-3.4285130000000001</v>
      </c>
      <c r="T2055">
        <v>-0.3337889</v>
      </c>
      <c r="U2055">
        <v>1.6479489999999999E-3</v>
      </c>
      <c r="V2055">
        <v>6.3384460000000004E-2</v>
      </c>
      <c r="W2055">
        <v>0.40150340000000001</v>
      </c>
      <c r="X2055">
        <v>0.91366150000000002</v>
      </c>
      <c r="Y2055">
        <v>0.1584739</v>
      </c>
      <c r="Z2055">
        <v>2.2449239999999999E-2</v>
      </c>
      <c r="AA2055">
        <v>0.98710790000000004</v>
      </c>
      <c r="AB2055">
        <v>24</v>
      </c>
      <c r="AC2055">
        <v>-0.57079999999999098</v>
      </c>
      <c r="AD2055">
        <v>-8.1019999999999801E-2</v>
      </c>
      <c r="AE2055">
        <v>2.98999999999978E-2</v>
      </c>
      <c r="AF2055">
        <v>0.118150259146547</v>
      </c>
      <c r="AG2055">
        <v>-8.1019999999999801E-2</v>
      </c>
      <c r="AH2055">
        <v>0.54772622249103298</v>
      </c>
      <c r="AI2055">
        <v>98.227647443533002</v>
      </c>
      <c r="AJ2055">
        <v>77.827219296040298</v>
      </c>
      <c r="AK2055">
        <v>0.56615169251773201</v>
      </c>
      <c r="AL2055">
        <v>66.327801858605397</v>
      </c>
      <c r="AM2055">
        <v>86.031514193004398</v>
      </c>
      <c r="AN2055">
        <v>0.99999995328164903</v>
      </c>
    </row>
    <row r="2056" spans="1:40" x14ac:dyDescent="0.25">
      <c r="A2056" t="str">
        <f>"20190304164131019"</f>
        <v>20190304164131019</v>
      </c>
      <c r="B2056" t="str">
        <f>"1551688891012951"</f>
        <v>1551688891012951</v>
      </c>
      <c r="C2056" t="s">
        <v>40</v>
      </c>
      <c r="D2056">
        <v>4.3992310000000003</v>
      </c>
      <c r="E2056">
        <v>0.54951439999999996</v>
      </c>
      <c r="F2056" t="s">
        <v>41</v>
      </c>
      <c r="G2056">
        <v>-209.1738</v>
      </c>
      <c r="H2056">
        <v>1.0169870000000001</v>
      </c>
      <c r="I2056">
        <v>285.0471</v>
      </c>
      <c r="J2056">
        <v>-208.6369</v>
      </c>
      <c r="K2056">
        <v>1.101499</v>
      </c>
      <c r="L2056">
        <v>285.01679999999999</v>
      </c>
      <c r="M2056">
        <v>-0.98926899999999995</v>
      </c>
      <c r="N2056">
        <v>-8.3730709999999993E-3</v>
      </c>
      <c r="O2056">
        <v>-0.14586540000000001</v>
      </c>
      <c r="P2056">
        <v>-0.91518659999999996</v>
      </c>
      <c r="Q2056">
        <v>0.39341690000000001</v>
      </c>
      <c r="R2056">
        <v>-8.7503230000000001E-2</v>
      </c>
      <c r="S2056">
        <v>-3.4426879999999902</v>
      </c>
      <c r="T2056">
        <v>-0.36682389999999998</v>
      </c>
      <c r="U2056">
        <v>1.8798829999999999E-2</v>
      </c>
      <c r="V2056">
        <v>5.5492519999999997E-2</v>
      </c>
      <c r="W2056">
        <v>0.39999620000000002</v>
      </c>
      <c r="X2056">
        <v>0.91483530000000002</v>
      </c>
      <c r="Y2056">
        <v>0.14965980000000001</v>
      </c>
      <c r="Z2056">
        <v>2.2815789999999999E-2</v>
      </c>
      <c r="AA2056">
        <v>0.98847419999999997</v>
      </c>
      <c r="AB2056">
        <v>24</v>
      </c>
      <c r="AC2056">
        <v>-0.53690000000000204</v>
      </c>
      <c r="AD2056">
        <v>-8.4511999999999907E-2</v>
      </c>
      <c r="AE2056">
        <v>3.0300000000010999E-2</v>
      </c>
      <c r="AF2056">
        <v>0.10568356559153</v>
      </c>
      <c r="AG2056">
        <v>-8.4511999999999907E-2</v>
      </c>
      <c r="AH2056">
        <v>0.51404127404904099</v>
      </c>
      <c r="AI2056">
        <v>99.148300988744495</v>
      </c>
      <c r="AJ2056">
        <v>78.382241734468707</v>
      </c>
      <c r="AK2056">
        <v>0.53155406649380499</v>
      </c>
      <c r="AL2056">
        <v>66.422059151874294</v>
      </c>
      <c r="AM2056">
        <v>86.528778253853304</v>
      </c>
      <c r="AN2056">
        <v>1.0000000029582401</v>
      </c>
    </row>
    <row r="2057" spans="1:40" x14ac:dyDescent="0.25">
      <c r="A2057" t="str">
        <f>"20190304164131043"</f>
        <v>20190304164131043</v>
      </c>
      <c r="B2057" t="str">
        <f>"1551688891033447"</f>
        <v>1551688891033447</v>
      </c>
      <c r="C2057" t="s">
        <v>40</v>
      </c>
      <c r="D2057">
        <v>4.6302940000000001</v>
      </c>
      <c r="E2057">
        <v>0.54950030000000005</v>
      </c>
      <c r="F2057" t="s">
        <v>41</v>
      </c>
      <c r="G2057">
        <v>-209.3974</v>
      </c>
      <c r="H2057">
        <v>1.0199739999999999</v>
      </c>
      <c r="I2057">
        <v>285.02449999999999</v>
      </c>
      <c r="J2057">
        <v>-208.89689999999999</v>
      </c>
      <c r="K2057">
        <v>1.1019049999999999</v>
      </c>
      <c r="L2057">
        <v>284.99310000000003</v>
      </c>
      <c r="M2057">
        <v>-0.99112339999999999</v>
      </c>
      <c r="N2057">
        <v>-8.2080529999999999E-3</v>
      </c>
      <c r="O2057">
        <v>-0.13269259999999999</v>
      </c>
      <c r="P2057">
        <v>-0.91661899999999996</v>
      </c>
      <c r="Q2057">
        <v>0.39090849999999999</v>
      </c>
      <c r="R2057">
        <v>-8.3669889999999997E-2</v>
      </c>
      <c r="S2057">
        <v>-3.4395449999999999</v>
      </c>
      <c r="T2057">
        <v>-0.36824659999999998</v>
      </c>
      <c r="U2057">
        <v>3.3691409999999998E-2</v>
      </c>
      <c r="V2057">
        <v>4.6772689999999999E-2</v>
      </c>
      <c r="W2057">
        <v>0.39757720000000002</v>
      </c>
      <c r="X2057">
        <v>0.91637590000000002</v>
      </c>
      <c r="Y2057">
        <v>0.1408885</v>
      </c>
      <c r="Z2057">
        <v>2.1148110000000001E-2</v>
      </c>
      <c r="AA2057">
        <v>0.9897996</v>
      </c>
      <c r="AB2057">
        <v>24</v>
      </c>
      <c r="AC2057">
        <v>-0.50050000000001604</v>
      </c>
      <c r="AD2057">
        <v>-8.1930999999999907E-2</v>
      </c>
      <c r="AE2057">
        <v>3.1399999999962298E-2</v>
      </c>
      <c r="AF2057">
        <v>9.5001407810631003E-2</v>
      </c>
      <c r="AG2057">
        <v>-8.1930999999999907E-2</v>
      </c>
      <c r="AH2057">
        <v>0.479118544777343</v>
      </c>
      <c r="AI2057">
        <v>99.522033905439798</v>
      </c>
      <c r="AJ2057">
        <v>78.784652070466393</v>
      </c>
      <c r="AK2057">
        <v>0.495270164856072</v>
      </c>
      <c r="AL2057">
        <v>66.573196632779897</v>
      </c>
      <c r="AM2057">
        <v>87.078104980370995</v>
      </c>
      <c r="AN2057">
        <v>1.0000000522952399</v>
      </c>
    </row>
    <row r="2058" spans="1:40" x14ac:dyDescent="0.25">
      <c r="A2058" t="str">
        <f>"20190304164131062"</f>
        <v>20190304164131062</v>
      </c>
      <c r="B2058" t="str">
        <f>"1551688891052967"</f>
        <v>1551688891052967</v>
      </c>
      <c r="C2058" t="s">
        <v>40</v>
      </c>
      <c r="D2058">
        <v>4.3804809999999996</v>
      </c>
      <c r="E2058">
        <v>0.54537349999999996</v>
      </c>
      <c r="F2058" t="s">
        <v>41</v>
      </c>
      <c r="G2058">
        <v>-209.83760000000001</v>
      </c>
      <c r="H2058">
        <v>0.99890350000000006</v>
      </c>
      <c r="I2058">
        <v>285.0077</v>
      </c>
      <c r="J2058">
        <v>-209.1268</v>
      </c>
      <c r="K2058">
        <v>1.1023849999999999</v>
      </c>
      <c r="L2058">
        <v>284.97430000000003</v>
      </c>
      <c r="M2058">
        <v>-0.99251310000000004</v>
      </c>
      <c r="N2058">
        <v>-8.0438679999999992E-3</v>
      </c>
      <c r="O2058">
        <v>-0.12187340000000001</v>
      </c>
      <c r="P2058">
        <v>-0.91791560000000005</v>
      </c>
      <c r="Q2058">
        <v>0.38832329999999998</v>
      </c>
      <c r="R2058">
        <v>-8.1459980000000001E-2</v>
      </c>
      <c r="S2058">
        <v>-3.4382630000000001</v>
      </c>
      <c r="T2058">
        <v>-0.37638070000000001</v>
      </c>
      <c r="U2058">
        <v>5.2978520000000001E-2</v>
      </c>
      <c r="V2058">
        <v>3.8536939999999999E-2</v>
      </c>
      <c r="W2058">
        <v>0.39505820000000003</v>
      </c>
      <c r="X2058">
        <v>0.91784750000000004</v>
      </c>
      <c r="Y2058">
        <v>0.1356619</v>
      </c>
      <c r="Z2058">
        <v>2.0249920000000001E-2</v>
      </c>
      <c r="AA2058">
        <v>0.99054830000000005</v>
      </c>
      <c r="AB2058">
        <v>25</v>
      </c>
      <c r="AC2058">
        <v>-0.71080000000000598</v>
      </c>
      <c r="AD2058">
        <v>-0.1034815</v>
      </c>
      <c r="AE2058">
        <v>3.3399999999971897E-2</v>
      </c>
      <c r="AF2058">
        <v>0.117300725186925</v>
      </c>
      <c r="AG2058">
        <v>-0.1034815</v>
      </c>
      <c r="AH2058">
        <v>0.68690365069049397</v>
      </c>
      <c r="AI2058">
        <v>98.446669248085399</v>
      </c>
      <c r="AJ2058">
        <v>80.309228384280303</v>
      </c>
      <c r="AK2058">
        <v>0.70448882624464404</v>
      </c>
      <c r="AL2058">
        <v>66.7303974646059</v>
      </c>
      <c r="AM2058">
        <v>87.595779327331599</v>
      </c>
      <c r="AN2058">
        <v>1.00000005519402</v>
      </c>
    </row>
    <row r="2059" spans="1:40" x14ac:dyDescent="0.25">
      <c r="A2059" t="str">
        <f>"20190304164131084"</f>
        <v>20190304164131084</v>
      </c>
      <c r="B2059" t="str">
        <f>"1551688891073463"</f>
        <v>1551688891073463</v>
      </c>
      <c r="C2059" t="s">
        <v>40</v>
      </c>
      <c r="D2059">
        <v>4.3598670000000004</v>
      </c>
      <c r="E2059">
        <v>0.54217760000000004</v>
      </c>
      <c r="F2059" t="s">
        <v>41</v>
      </c>
      <c r="G2059">
        <v>-210.06319999999999</v>
      </c>
      <c r="H2059">
        <v>1.0021739999999999</v>
      </c>
      <c r="I2059">
        <v>284.98329999999999</v>
      </c>
      <c r="J2059">
        <v>-209.3665</v>
      </c>
      <c r="K2059">
        <v>1.102902</v>
      </c>
      <c r="L2059">
        <v>284.95639999999997</v>
      </c>
      <c r="M2059">
        <v>-0.99375029999999998</v>
      </c>
      <c r="N2059">
        <v>-7.8730769999999992E-3</v>
      </c>
      <c r="O2059">
        <v>-0.11134810000000001</v>
      </c>
      <c r="P2059">
        <v>-0.91888009999999998</v>
      </c>
      <c r="Q2059">
        <v>0.38653500000000002</v>
      </c>
      <c r="R2059">
        <v>-7.9054360000000004E-2</v>
      </c>
      <c r="S2059">
        <v>-3.4263460000000001</v>
      </c>
      <c r="T2059">
        <v>-0.36671330000000002</v>
      </c>
      <c r="U2059">
        <v>3.3020019999999997E-2</v>
      </c>
      <c r="V2059">
        <v>3.0710620000000001E-2</v>
      </c>
      <c r="W2059">
        <v>0.39330080000000001</v>
      </c>
      <c r="X2059">
        <v>0.91889679999999996</v>
      </c>
      <c r="Y2059">
        <v>0.1196453</v>
      </c>
      <c r="Z2059">
        <v>1.784726E-2</v>
      </c>
      <c r="AA2059">
        <v>0.99265630000000005</v>
      </c>
      <c r="AB2059">
        <v>25</v>
      </c>
      <c r="AC2059">
        <v>-0.69669999999999199</v>
      </c>
      <c r="AD2059">
        <v>-0.100728</v>
      </c>
      <c r="AE2059">
        <v>2.6900000000011901E-2</v>
      </c>
      <c r="AF2059">
        <v>0.10217867265498499</v>
      </c>
      <c r="AG2059">
        <v>-0.100728</v>
      </c>
      <c r="AH2059">
        <v>0.67527759894107897</v>
      </c>
      <c r="AI2059">
        <v>98.3898680958618</v>
      </c>
      <c r="AJ2059">
        <v>81.395642028658202</v>
      </c>
      <c r="AK2059">
        <v>0.69035240765942296</v>
      </c>
      <c r="AL2059">
        <v>66.839958512316798</v>
      </c>
      <c r="AM2059">
        <v>88.085819635409507</v>
      </c>
      <c r="AN2059">
        <v>0.99999999525583205</v>
      </c>
    </row>
    <row r="2060" spans="1:40" x14ac:dyDescent="0.25">
      <c r="A2060" t="str">
        <f>"20190304164131107"</f>
        <v>20190304164131107</v>
      </c>
      <c r="B2060" t="str">
        <f>"1551688891102743"</f>
        <v>1551688891102743</v>
      </c>
      <c r="C2060" t="s">
        <v>40</v>
      </c>
      <c r="D2060">
        <v>4.308103</v>
      </c>
      <c r="E2060">
        <v>0.53898359999999901</v>
      </c>
      <c r="F2060" t="s">
        <v>41</v>
      </c>
      <c r="G2060">
        <v>-210.29089999999999</v>
      </c>
      <c r="H2060">
        <v>1.0068839999999999</v>
      </c>
      <c r="I2060">
        <v>284.96230000000003</v>
      </c>
      <c r="J2060">
        <v>-209.6276</v>
      </c>
      <c r="K2060">
        <v>1.1034660000000001</v>
      </c>
      <c r="L2060">
        <v>284.93880000000001</v>
      </c>
      <c r="M2060">
        <v>-0.99487320000000001</v>
      </c>
      <c r="N2060">
        <v>-7.6933499999999998E-3</v>
      </c>
      <c r="O2060">
        <v>-0.1008376</v>
      </c>
      <c r="P2060">
        <v>-0.91932579999999997</v>
      </c>
      <c r="Q2060">
        <v>0.38586720000000002</v>
      </c>
      <c r="R2060">
        <v>-7.7114100000000005E-2</v>
      </c>
      <c r="S2060">
        <v>-3.4158330000000001</v>
      </c>
      <c r="T2060">
        <v>-0.35457739999999999</v>
      </c>
      <c r="U2060">
        <v>2.1179199999999999E-2</v>
      </c>
      <c r="V2060">
        <v>2.2355989999999999E-2</v>
      </c>
      <c r="W2060">
        <v>0.39264139999999997</v>
      </c>
      <c r="X2060">
        <v>0.91941989999999996</v>
      </c>
      <c r="Y2060">
        <v>0.1059325</v>
      </c>
      <c r="Z2060">
        <v>1.554387E-2</v>
      </c>
      <c r="AA2060">
        <v>0.99425180000000002</v>
      </c>
      <c r="AB2060">
        <v>25</v>
      </c>
      <c r="AC2060">
        <v>-0.66329999999999201</v>
      </c>
      <c r="AD2060">
        <v>-9.6581999999999904E-2</v>
      </c>
      <c r="AE2060">
        <v>2.3500000000012702E-2</v>
      </c>
      <c r="AF2060">
        <v>8.8395964874098301E-2</v>
      </c>
      <c r="AG2060">
        <v>-9.6581999999999904E-2</v>
      </c>
      <c r="AH2060">
        <v>0.64391412589135499</v>
      </c>
      <c r="AI2060">
        <v>98.452209532309695</v>
      </c>
      <c r="AJ2060">
        <v>82.183344495980606</v>
      </c>
      <c r="AK2060">
        <v>0.65709004775026902</v>
      </c>
      <c r="AL2060">
        <v>66.881044961236995</v>
      </c>
      <c r="AM2060">
        <v>88.607109194592297</v>
      </c>
      <c r="AN2060">
        <v>1.0000000058994201</v>
      </c>
    </row>
    <row r="2061" spans="1:40" x14ac:dyDescent="0.25">
      <c r="A2061" t="str">
        <f>"20190304164131130"</f>
        <v>20190304164131130</v>
      </c>
      <c r="B2061" t="str">
        <f>"1551688891123240"</f>
        <v>1551688891123240</v>
      </c>
      <c r="C2061" t="s">
        <v>40</v>
      </c>
      <c r="D2061">
        <v>4.3063630000000002</v>
      </c>
      <c r="E2061">
        <v>0.53754409999999997</v>
      </c>
      <c r="F2061" t="s">
        <v>41</v>
      </c>
      <c r="G2061">
        <v>-210.52090000000001</v>
      </c>
      <c r="H2061">
        <v>1.0148629999999901</v>
      </c>
      <c r="I2061">
        <v>284.9409</v>
      </c>
      <c r="J2061">
        <v>-209.89269999999999</v>
      </c>
      <c r="K2061">
        <v>1.1040559999999999</v>
      </c>
      <c r="L2061">
        <v>284.92250000000001</v>
      </c>
      <c r="M2061">
        <v>-0.99579669999999998</v>
      </c>
      <c r="N2061">
        <v>-7.5135189999999998E-3</v>
      </c>
      <c r="O2061">
        <v>-9.1282240000000001E-2</v>
      </c>
      <c r="P2061">
        <v>-0.91900079999999995</v>
      </c>
      <c r="Q2061">
        <v>0.38724769999999997</v>
      </c>
      <c r="R2061">
        <v>-7.4005130000000002E-2</v>
      </c>
      <c r="S2061">
        <v>-3.40564</v>
      </c>
      <c r="T2061">
        <v>-0.33769009999999999</v>
      </c>
      <c r="U2061">
        <v>7.59887699999999E-3</v>
      </c>
      <c r="V2061">
        <v>1.5989130000000001E-2</v>
      </c>
      <c r="W2061">
        <v>0.39397100000000002</v>
      </c>
      <c r="X2061">
        <v>0.91898380000000002</v>
      </c>
      <c r="Y2061">
        <v>9.2636259999999998E-2</v>
      </c>
      <c r="Z2061">
        <v>1.3265219999999999E-2</v>
      </c>
      <c r="AA2061">
        <v>0.99561169999999999</v>
      </c>
      <c r="AB2061">
        <v>25</v>
      </c>
      <c r="AC2061">
        <v>-0.62820000000002096</v>
      </c>
      <c r="AD2061">
        <v>-8.9192999999999995E-2</v>
      </c>
      <c r="AE2061">
        <v>1.8399999999985501E-2</v>
      </c>
      <c r="AF2061">
        <v>7.4174312650824595E-2</v>
      </c>
      <c r="AG2061">
        <v>-8.9192999999999995E-2</v>
      </c>
      <c r="AH2061">
        <v>0.61157934797418301</v>
      </c>
      <c r="AI2061">
        <v>98.238013254905297</v>
      </c>
      <c r="AJ2061">
        <v>83.084758235762806</v>
      </c>
      <c r="AK2061">
        <v>0.62248415142455604</v>
      </c>
      <c r="AL2061">
        <v>66.798186906856202</v>
      </c>
      <c r="AM2061">
        <v>89.003228083211894</v>
      </c>
      <c r="AN2061">
        <v>1.00000001289079</v>
      </c>
    </row>
    <row r="2062" spans="1:40" x14ac:dyDescent="0.25">
      <c r="A2062" t="str">
        <f>"20190304164131151"</f>
        <v>20190304164131151</v>
      </c>
      <c r="B2062" t="str">
        <f>"1551688891142759"</f>
        <v>1551688891142759</v>
      </c>
      <c r="C2062" t="s">
        <v>40</v>
      </c>
      <c r="D2062">
        <v>4.312303</v>
      </c>
      <c r="E2062">
        <v>0.53634359999999903</v>
      </c>
      <c r="F2062" t="s">
        <v>41</v>
      </c>
      <c r="G2062">
        <v>-210.75200000000001</v>
      </c>
      <c r="H2062">
        <v>1.022483</v>
      </c>
      <c r="I2062">
        <v>284.92259999999999</v>
      </c>
      <c r="J2062">
        <v>-210.13839999999999</v>
      </c>
      <c r="K2062">
        <v>1.104654</v>
      </c>
      <c r="L2062">
        <v>284.90870000000001</v>
      </c>
      <c r="M2062">
        <v>-0.99648040000000004</v>
      </c>
      <c r="N2062">
        <v>-7.3454439999999996E-3</v>
      </c>
      <c r="O2062">
        <v>-8.350436E-2</v>
      </c>
      <c r="P2062">
        <v>-0.91909370000000001</v>
      </c>
      <c r="Q2062">
        <v>0.38726060000000001</v>
      </c>
      <c r="R2062">
        <v>-7.2774950000000005E-2</v>
      </c>
      <c r="S2062">
        <v>-3.400452</v>
      </c>
      <c r="T2062">
        <v>-0.32279089999999999</v>
      </c>
      <c r="U2062">
        <v>2.13623E-4</v>
      </c>
      <c r="V2062">
        <v>9.4306900000000003E-3</v>
      </c>
      <c r="W2062">
        <v>0.39393250000000002</v>
      </c>
      <c r="X2062">
        <v>0.91909099999999999</v>
      </c>
      <c r="Y2062">
        <v>8.2849019999999995E-2</v>
      </c>
      <c r="Z2062">
        <v>1.151783E-2</v>
      </c>
      <c r="AA2062">
        <v>0.99649549999999998</v>
      </c>
      <c r="AB2062">
        <v>25</v>
      </c>
      <c r="AC2062">
        <v>-0.61360000000001902</v>
      </c>
      <c r="AD2062">
        <v>-8.2170999999999994E-2</v>
      </c>
      <c r="AE2062">
        <v>1.3899999999978201E-2</v>
      </c>
      <c r="AF2062">
        <v>6.3944933009120603E-2</v>
      </c>
      <c r="AG2062">
        <v>-8.2170999999999994E-2</v>
      </c>
      <c r="AH2062">
        <v>0.59954954911328195</v>
      </c>
      <c r="AI2062">
        <v>97.760553212323899</v>
      </c>
      <c r="AJ2062">
        <v>83.912135059532005</v>
      </c>
      <c r="AK2062">
        <v>0.60852336811373198</v>
      </c>
      <c r="AL2062">
        <v>66.800586790926701</v>
      </c>
      <c r="AM2062">
        <v>89.4121150432794</v>
      </c>
      <c r="AN2062">
        <v>1.0000000093755601</v>
      </c>
    </row>
    <row r="2063" spans="1:40" x14ac:dyDescent="0.25">
      <c r="A2063" t="str">
        <f>"20190304164131173"</f>
        <v>20190304164131173</v>
      </c>
      <c r="B2063" t="str">
        <f>"1551688891163255"</f>
        <v>1551688891163255</v>
      </c>
      <c r="C2063" t="s">
        <v>40</v>
      </c>
      <c r="D2063">
        <v>4.3231120000000001</v>
      </c>
      <c r="E2063">
        <v>0.53541119999999898</v>
      </c>
      <c r="F2063" t="s">
        <v>41</v>
      </c>
      <c r="G2063">
        <v>-210.982</v>
      </c>
      <c r="H2063">
        <v>1.0263469999999999</v>
      </c>
      <c r="I2063">
        <v>284.90609999999998</v>
      </c>
      <c r="J2063">
        <v>-210.38980000000001</v>
      </c>
      <c r="K2063">
        <v>1.1053230000000001</v>
      </c>
      <c r="L2063">
        <v>284.89530000000002</v>
      </c>
      <c r="M2063">
        <v>-0.99703019999999998</v>
      </c>
      <c r="N2063">
        <v>-7.1781519999999897E-3</v>
      </c>
      <c r="O2063">
        <v>-7.6677759999999998E-2</v>
      </c>
      <c r="P2063">
        <v>-0.91912910000000003</v>
      </c>
      <c r="Q2063">
        <v>0.386685</v>
      </c>
      <c r="R2063">
        <v>-7.5342389999999995E-2</v>
      </c>
      <c r="S2063">
        <v>-3.3961030000000001</v>
      </c>
      <c r="T2063">
        <v>-0.3152586</v>
      </c>
      <c r="U2063">
        <v>-1.055908E-2</v>
      </c>
      <c r="V2063">
        <v>-1.094397E-4</v>
      </c>
      <c r="W2063">
        <v>0.39332230000000001</v>
      </c>
      <c r="X2063">
        <v>0.91940060000000001</v>
      </c>
      <c r="Y2063">
        <v>7.2961230000000002E-2</v>
      </c>
      <c r="Z2063">
        <v>1.0189149999999999E-2</v>
      </c>
      <c r="AA2063">
        <v>0.99728269999999997</v>
      </c>
      <c r="AB2063">
        <v>25</v>
      </c>
      <c r="AC2063">
        <v>-0.59219999999999096</v>
      </c>
      <c r="AD2063">
        <v>-7.8976000000000102E-2</v>
      </c>
      <c r="AE2063">
        <v>1.07999999999606E-2</v>
      </c>
      <c r="AF2063">
        <v>5.5196592564551797E-2</v>
      </c>
      <c r="AG2063">
        <v>-7.8976000000000102E-2</v>
      </c>
      <c r="AH2063">
        <v>0.57932836950357602</v>
      </c>
      <c r="AI2063">
        <v>97.728328842657504</v>
      </c>
      <c r="AJ2063">
        <v>84.557466432593699</v>
      </c>
      <c r="AK2063">
        <v>0.58728632890474197</v>
      </c>
      <c r="AL2063">
        <v>66.838617644406398</v>
      </c>
      <c r="AM2063">
        <v>90.006820131389404</v>
      </c>
      <c r="AN2063">
        <v>0.99999995346734705</v>
      </c>
    </row>
    <row r="2064" spans="1:40" x14ac:dyDescent="0.25">
      <c r="A2064" t="str">
        <f>"20190304164131198"</f>
        <v>20190304164131198</v>
      </c>
      <c r="B2064" t="str">
        <f>"1551688891193513"</f>
        <v>1551688891193513</v>
      </c>
      <c r="C2064" t="s">
        <v>40</v>
      </c>
      <c r="D2064">
        <v>4.2972630000000001</v>
      </c>
      <c r="E2064">
        <v>0.53421649999999998</v>
      </c>
      <c r="F2064" t="s">
        <v>41</v>
      </c>
      <c r="G2064">
        <v>-211.21289999999999</v>
      </c>
      <c r="H2064">
        <v>1.030303</v>
      </c>
      <c r="I2064">
        <v>284.89120000000003</v>
      </c>
      <c r="J2064">
        <v>-210.66460000000001</v>
      </c>
      <c r="K2064">
        <v>1.1061209999999999</v>
      </c>
      <c r="L2064">
        <v>284.88139999999999</v>
      </c>
      <c r="M2064">
        <v>-0.99748760000000003</v>
      </c>
      <c r="N2064">
        <v>-7.0077919999999997E-3</v>
      </c>
      <c r="O2064">
        <v>-7.0494500000000002E-2</v>
      </c>
      <c r="P2064">
        <v>-0.91877520000000001</v>
      </c>
      <c r="Q2064">
        <v>0.38720840000000001</v>
      </c>
      <c r="R2064">
        <v>-7.6954939999999999E-2</v>
      </c>
      <c r="S2064">
        <v>-3.3926090000000002</v>
      </c>
      <c r="T2064">
        <v>-0.30925570000000002</v>
      </c>
      <c r="U2064">
        <v>-1.7791749999999999E-2</v>
      </c>
      <c r="V2064">
        <v>-8.2273550000000004E-3</v>
      </c>
      <c r="W2064">
        <v>0.3937563</v>
      </c>
      <c r="X2064">
        <v>0.9191781</v>
      </c>
      <c r="Y2064">
        <v>6.4726420000000007E-2</v>
      </c>
      <c r="Z2064">
        <v>9.0862149999999999E-3</v>
      </c>
      <c r="AA2064">
        <v>0.99786169999999996</v>
      </c>
      <c r="AB2064">
        <v>25</v>
      </c>
      <c r="AC2064">
        <v>-0.54829999999998302</v>
      </c>
      <c r="AD2064">
        <v>-7.5817999999999899E-2</v>
      </c>
      <c r="AE2064">
        <v>9.8000000000411092E-3</v>
      </c>
      <c r="AF2064">
        <v>4.7520358195296E-2</v>
      </c>
      <c r="AG2064">
        <v>-7.5817999999999899E-2</v>
      </c>
      <c r="AH2064">
        <v>0.53599947652357605</v>
      </c>
      <c r="AI2064">
        <v>98.020121267936403</v>
      </c>
      <c r="AJ2064">
        <v>84.9335477174332</v>
      </c>
      <c r="AK2064">
        <v>0.54341695998612005</v>
      </c>
      <c r="AL2064">
        <v>66.811570909089298</v>
      </c>
      <c r="AM2064">
        <v>90.512827851214894</v>
      </c>
      <c r="AN2064">
        <v>1.00000004633979</v>
      </c>
    </row>
    <row r="2065" spans="1:40" x14ac:dyDescent="0.25">
      <c r="A2065" t="str">
        <f>"20190304164131220"</f>
        <v>20190304164131220</v>
      </c>
      <c r="B2065" t="str">
        <f>"1551688891213031"</f>
        <v>1551688891213031</v>
      </c>
      <c r="C2065" t="s">
        <v>40</v>
      </c>
      <c r="D2065">
        <v>4.2855850000000002</v>
      </c>
      <c r="E2065">
        <v>0.53366130000000001</v>
      </c>
      <c r="F2065" t="s">
        <v>41</v>
      </c>
      <c r="G2065">
        <v>-211.44579999999999</v>
      </c>
      <c r="H2065">
        <v>1.0372159999999999</v>
      </c>
      <c r="I2065">
        <v>284.87479999999999</v>
      </c>
      <c r="J2065">
        <v>-210.93709999999999</v>
      </c>
      <c r="K2065">
        <v>1.1069549999999999</v>
      </c>
      <c r="L2065">
        <v>284.86790000000002</v>
      </c>
      <c r="M2065">
        <v>-0.99781980000000003</v>
      </c>
      <c r="N2065">
        <v>-6.8541050000000001E-3</v>
      </c>
      <c r="O2065">
        <v>-6.5640809999999994E-2</v>
      </c>
      <c r="P2065">
        <v>-0.91761060000000005</v>
      </c>
      <c r="Q2065">
        <v>0.39005790000000001</v>
      </c>
      <c r="R2065">
        <v>-7.6455780000000001E-2</v>
      </c>
      <c r="S2065">
        <v>-3.3887480000000001</v>
      </c>
      <c r="T2065">
        <v>-0.29892190000000002</v>
      </c>
      <c r="U2065">
        <v>-2.893066E-2</v>
      </c>
      <c r="V2065">
        <v>-1.3050320000000001E-2</v>
      </c>
      <c r="W2065">
        <v>0.39646900000000002</v>
      </c>
      <c r="X2065">
        <v>0.91795530000000003</v>
      </c>
      <c r="Y2065">
        <v>5.6667799999999997E-2</v>
      </c>
      <c r="Z2065">
        <v>8.0150199999999994E-3</v>
      </c>
      <c r="AA2065">
        <v>0.9983609</v>
      </c>
      <c r="AB2065">
        <v>25</v>
      </c>
      <c r="AC2065">
        <v>-0.50870000000000404</v>
      </c>
      <c r="AD2065">
        <v>-6.9738999999999995E-2</v>
      </c>
      <c r="AE2065">
        <v>6.89999999997326E-3</v>
      </c>
      <c r="AF2065">
        <v>3.9534492290843999E-2</v>
      </c>
      <c r="AG2065">
        <v>-6.9738999999999995E-2</v>
      </c>
      <c r="AH2065">
        <v>0.49779586856320002</v>
      </c>
      <c r="AI2065">
        <v>97.950269540046506</v>
      </c>
      <c r="AJ2065">
        <v>85.459152590902704</v>
      </c>
      <c r="AK2065">
        <v>0.50420951097761502</v>
      </c>
      <c r="AL2065">
        <v>66.642375536148506</v>
      </c>
      <c r="AM2065">
        <v>90.814503590340607</v>
      </c>
      <c r="AN2065">
        <v>0.99999995580559498</v>
      </c>
    </row>
    <row r="2066" spans="1:40" x14ac:dyDescent="0.25">
      <c r="A2066" t="str">
        <f>"20190304164131243"</f>
        <v>20190304164131243</v>
      </c>
      <c r="B2066" t="str">
        <f>"1551688891233528"</f>
        <v>1551688891233528</v>
      </c>
      <c r="C2066" t="s">
        <v>40</v>
      </c>
      <c r="D2066">
        <v>4.2857279999999998</v>
      </c>
      <c r="E2066">
        <v>0.53324819999999995</v>
      </c>
      <c r="F2066" t="s">
        <v>41</v>
      </c>
      <c r="G2066">
        <v>-211.6798</v>
      </c>
      <c r="H2066">
        <v>1.044335</v>
      </c>
      <c r="I2066">
        <v>284.86</v>
      </c>
      <c r="J2066">
        <v>-211.18199999999999</v>
      </c>
      <c r="K2066">
        <v>1.1076839999999999</v>
      </c>
      <c r="L2066">
        <v>284.85570000000001</v>
      </c>
      <c r="M2066">
        <v>-0.99802959999999996</v>
      </c>
      <c r="N2066">
        <v>-6.7260410000000003E-3</v>
      </c>
      <c r="O2066">
        <v>-6.2383229999999998E-2</v>
      </c>
      <c r="P2066">
        <v>-0.91575079999999998</v>
      </c>
      <c r="Q2066">
        <v>0.39388190000000001</v>
      </c>
      <c r="R2066">
        <v>-7.9105410000000001E-2</v>
      </c>
      <c r="S2066">
        <v>-3.387772</v>
      </c>
      <c r="T2066">
        <v>-0.2857635</v>
      </c>
      <c r="U2066">
        <v>-3.6773680000000003E-2</v>
      </c>
      <c r="V2066">
        <v>-1.9480790000000001E-2</v>
      </c>
      <c r="W2066">
        <v>0.40017449999999999</v>
      </c>
      <c r="X2066">
        <v>0.91623189999999999</v>
      </c>
      <c r="Y2066">
        <v>5.1164399999999999E-2</v>
      </c>
      <c r="Z2066">
        <v>7.1568980000000001E-3</v>
      </c>
      <c r="AA2066">
        <v>0.99866460000000001</v>
      </c>
      <c r="AB2066">
        <v>26</v>
      </c>
      <c r="AC2066">
        <v>-0.49779999999998298</v>
      </c>
      <c r="AD2066">
        <v>-6.33490000000001E-2</v>
      </c>
      <c r="AE2066">
        <v>4.3000000000006297E-3</v>
      </c>
      <c r="AF2066">
        <v>3.4783437698393399E-2</v>
      </c>
      <c r="AG2066">
        <v>-6.33490000000001E-2</v>
      </c>
      <c r="AH2066">
        <v>0.48864924207213101</v>
      </c>
      <c r="AI2066">
        <v>97.368248370073402</v>
      </c>
      <c r="AJ2066">
        <v>85.928391732757802</v>
      </c>
      <c r="AK2066">
        <v>0.49396463954091502</v>
      </c>
      <c r="AL2066">
        <v>66.410912560093394</v>
      </c>
      <c r="AM2066">
        <v>91.218031046813806</v>
      </c>
      <c r="AN2066">
        <v>1.0000000131034401</v>
      </c>
    </row>
    <row r="2067" spans="1:40" x14ac:dyDescent="0.25">
      <c r="A2067" t="str">
        <f>"20190304164131262"</f>
        <v>20190304164131262</v>
      </c>
      <c r="B2067" t="str">
        <f>"1551688891253048"</f>
        <v>1551688891253048</v>
      </c>
      <c r="C2067" t="s">
        <v>40</v>
      </c>
      <c r="D2067">
        <v>4.3082760000000002</v>
      </c>
      <c r="E2067">
        <v>0.53286080000000002</v>
      </c>
      <c r="F2067" t="s">
        <v>41</v>
      </c>
      <c r="G2067">
        <v>-212.13630000000001</v>
      </c>
      <c r="H2067">
        <v>1.031523</v>
      </c>
      <c r="I2067">
        <v>284.84100000000001</v>
      </c>
      <c r="J2067">
        <v>-211.42089999999999</v>
      </c>
      <c r="K2067">
        <v>1.108344</v>
      </c>
      <c r="L2067">
        <v>284.84370000000001</v>
      </c>
      <c r="M2067">
        <v>-0.99816890000000003</v>
      </c>
      <c r="N2067">
        <v>-6.6099569999999996E-3</v>
      </c>
      <c r="O2067">
        <v>-6.0127649999999998E-2</v>
      </c>
      <c r="P2067">
        <v>-0.91451649999999995</v>
      </c>
      <c r="Q2067">
        <v>0.39615260000000002</v>
      </c>
      <c r="R2067">
        <v>-8.1993570000000002E-2</v>
      </c>
      <c r="S2067">
        <v>-3.3878020000000002</v>
      </c>
      <c r="T2067">
        <v>-0.27050419999999997</v>
      </c>
      <c r="U2067">
        <v>-5.2703859999999998E-2</v>
      </c>
      <c r="V2067">
        <v>-2.5129370000000002E-2</v>
      </c>
      <c r="W2067">
        <v>0.40232210000000002</v>
      </c>
      <c r="X2067">
        <v>0.91515329999999995</v>
      </c>
      <c r="Y2067">
        <v>4.4281479999999998E-2</v>
      </c>
      <c r="Z2067">
        <v>6.304825E-3</v>
      </c>
      <c r="AA2067">
        <v>0.99899919999999998</v>
      </c>
      <c r="AB2067">
        <v>26</v>
      </c>
      <c r="AC2067">
        <v>-0.71540000000001602</v>
      </c>
      <c r="AD2067">
        <v>-7.6821E-2</v>
      </c>
      <c r="AE2067">
        <v>-2.7000000000043599E-3</v>
      </c>
      <c r="AF2067">
        <v>3.9861510718033399E-2</v>
      </c>
      <c r="AG2067">
        <v>-7.6821E-2</v>
      </c>
      <c r="AH2067">
        <v>0.70612578774705403</v>
      </c>
      <c r="AI2067">
        <v>96.199124262071393</v>
      </c>
      <c r="AJ2067">
        <v>86.7690247915112</v>
      </c>
      <c r="AK2067">
        <v>0.71140989183390102</v>
      </c>
      <c r="AL2067">
        <v>66.276576862234904</v>
      </c>
      <c r="AM2067">
        <v>91.572900552871801</v>
      </c>
      <c r="AN2067">
        <v>1.0000000599429399</v>
      </c>
    </row>
    <row r="2068" spans="1:40" x14ac:dyDescent="0.25">
      <c r="A2068" t="str">
        <f>"20190304164131286"</f>
        <v>20190304164131286</v>
      </c>
      <c r="B2068" t="str">
        <f>"1551688891283303"</f>
        <v>1551688891283303</v>
      </c>
      <c r="C2068" t="s">
        <v>40</v>
      </c>
      <c r="D2068">
        <v>4.3090469999999996</v>
      </c>
      <c r="E2068">
        <v>0.53236090000000003</v>
      </c>
      <c r="F2068" t="s">
        <v>41</v>
      </c>
      <c r="G2068">
        <v>-212.37039999999999</v>
      </c>
      <c r="H2068">
        <v>1.035261</v>
      </c>
      <c r="I2068">
        <v>284.82679999999999</v>
      </c>
      <c r="J2068">
        <v>-211.69300000000001</v>
      </c>
      <c r="K2068">
        <v>1.1089519999999999</v>
      </c>
      <c r="L2068">
        <v>284.8297</v>
      </c>
      <c r="M2068">
        <v>-0.99827149999999998</v>
      </c>
      <c r="N2068">
        <v>-6.4857059999999999E-3</v>
      </c>
      <c r="O2068">
        <v>-5.8410959999999998E-2</v>
      </c>
      <c r="P2068">
        <v>-0.91223529999999997</v>
      </c>
      <c r="Q2068">
        <v>0.39991549999999998</v>
      </c>
      <c r="R2068">
        <v>-8.8850529999999997E-2</v>
      </c>
      <c r="S2068">
        <v>-3.3879999999999999</v>
      </c>
      <c r="T2068">
        <v>-0.26087510000000003</v>
      </c>
      <c r="U2068">
        <v>-6.0943600000000001E-2</v>
      </c>
      <c r="V2068">
        <v>-3.4255010000000002E-2</v>
      </c>
      <c r="W2068">
        <v>0.405947</v>
      </c>
      <c r="X2068">
        <v>0.91325440000000002</v>
      </c>
      <c r="Y2068">
        <v>4.0174639999999998E-2</v>
      </c>
      <c r="Z2068">
        <v>5.7844109999999997E-3</v>
      </c>
      <c r="AA2068">
        <v>0.99917590000000001</v>
      </c>
      <c r="AB2068">
        <v>26</v>
      </c>
      <c r="AC2068">
        <v>-0.677400000000005</v>
      </c>
      <c r="AD2068">
        <v>-7.3690999999999895E-2</v>
      </c>
      <c r="AE2068">
        <v>-2.9000000000110001E-3</v>
      </c>
      <c r="AF2068">
        <v>3.62444543809433E-2</v>
      </c>
      <c r="AG2068">
        <v>-7.3690999999999895E-2</v>
      </c>
      <c r="AH2068">
        <v>0.66850173770374899</v>
      </c>
      <c r="AI2068">
        <v>96.2813411067186</v>
      </c>
      <c r="AJ2068">
        <v>86.896607840340295</v>
      </c>
      <c r="AK2068">
        <v>0.67352698332531902</v>
      </c>
      <c r="AL2068">
        <v>66.049514984381005</v>
      </c>
      <c r="AM2068">
        <v>92.148084748044496</v>
      </c>
      <c r="AN2068">
        <v>0.99999998581923</v>
      </c>
    </row>
    <row r="2069" spans="1:40" x14ac:dyDescent="0.25">
      <c r="A2069" t="str">
        <f>"20190304164131309"</f>
        <v>20190304164131309</v>
      </c>
      <c r="B2069" t="str">
        <f>"1551688891302824"</f>
        <v>1551688891302824</v>
      </c>
      <c r="C2069" t="s">
        <v>40</v>
      </c>
      <c r="D2069">
        <v>4.2994079999999997</v>
      </c>
      <c r="E2069">
        <v>0.53201779999999999</v>
      </c>
      <c r="F2069" t="s">
        <v>41</v>
      </c>
      <c r="G2069">
        <v>-212.6069</v>
      </c>
      <c r="H2069">
        <v>1.0426409999999999</v>
      </c>
      <c r="I2069">
        <v>284.80709999999999</v>
      </c>
      <c r="J2069">
        <v>-211.96879999999999</v>
      </c>
      <c r="K2069">
        <v>1.1094269999999999</v>
      </c>
      <c r="L2069">
        <v>284.8152</v>
      </c>
      <c r="M2069">
        <v>-0.99833309999999997</v>
      </c>
      <c r="N2069">
        <v>-6.3635189999999998E-3</v>
      </c>
      <c r="O2069">
        <v>-5.7363079999999997E-2</v>
      </c>
      <c r="P2069">
        <v>-0.91007950000000004</v>
      </c>
      <c r="Q2069">
        <v>0.4033157</v>
      </c>
      <c r="R2069">
        <v>-9.5350569999999996E-2</v>
      </c>
      <c r="S2069">
        <v>-3.3882289999999999</v>
      </c>
      <c r="T2069">
        <v>-0.24585099999999999</v>
      </c>
      <c r="U2069">
        <v>-8.3984379999999997E-2</v>
      </c>
      <c r="V2069">
        <v>-4.2275680000000003E-2</v>
      </c>
      <c r="W2069">
        <v>0.40919840000000002</v>
      </c>
      <c r="X2069">
        <v>0.91146550000000004</v>
      </c>
      <c r="Y2069">
        <v>3.2390139999999998E-2</v>
      </c>
      <c r="Z2069">
        <v>5.065595E-3</v>
      </c>
      <c r="AA2069">
        <v>0.99946250000000003</v>
      </c>
      <c r="AB2069">
        <v>26</v>
      </c>
      <c r="AC2069">
        <v>-0.63810000000000799</v>
      </c>
      <c r="AD2069">
        <v>-6.6785999999999998E-2</v>
      </c>
      <c r="AE2069">
        <v>-8.1000000000130898E-3</v>
      </c>
      <c r="AF2069">
        <v>2.8208499892077601E-2</v>
      </c>
      <c r="AG2069">
        <v>-6.6785999999999998E-2</v>
      </c>
      <c r="AH2069">
        <v>0.63060701674833097</v>
      </c>
      <c r="AI2069">
        <v>96.039521118570804</v>
      </c>
      <c r="AJ2069">
        <v>87.438735651013602</v>
      </c>
      <c r="AK2069">
        <v>0.63476082017905899</v>
      </c>
      <c r="AL2069">
        <v>65.845509504519896</v>
      </c>
      <c r="AM2069">
        <v>92.655595090618505</v>
      </c>
      <c r="AN2069">
        <v>0.99999996068613495</v>
      </c>
    </row>
    <row r="2070" spans="1:40" x14ac:dyDescent="0.25">
      <c r="A2070" t="str">
        <f>"20190304164131333"</f>
        <v>20190304164131333</v>
      </c>
      <c r="B2070" t="str">
        <f>"1551688891323319"</f>
        <v>1551688891323319</v>
      </c>
      <c r="C2070" t="s">
        <v>40</v>
      </c>
      <c r="D2070">
        <v>4.2832019999999904</v>
      </c>
      <c r="E2070">
        <v>0.53176590000000001</v>
      </c>
      <c r="F2070" t="s">
        <v>41</v>
      </c>
      <c r="G2070">
        <v>-212.8467</v>
      </c>
      <c r="H2070">
        <v>1.0490630000000001</v>
      </c>
      <c r="I2070">
        <v>284.78789999999998</v>
      </c>
      <c r="J2070">
        <v>-212.23490000000001</v>
      </c>
      <c r="K2070">
        <v>1.109758</v>
      </c>
      <c r="L2070">
        <v>284.80090000000001</v>
      </c>
      <c r="M2070">
        <v>-0.99836219999999998</v>
      </c>
      <c r="N2070">
        <v>-6.2494109999999999E-3</v>
      </c>
      <c r="O2070">
        <v>-5.6868899999999903E-2</v>
      </c>
      <c r="P2070">
        <v>-0.90840790000000005</v>
      </c>
      <c r="Q2070">
        <v>0.4050955</v>
      </c>
      <c r="R2070">
        <v>-0.10340870000000001</v>
      </c>
      <c r="S2070">
        <v>-3.3886569999999998</v>
      </c>
      <c r="T2070">
        <v>-0.2330806</v>
      </c>
      <c r="U2070">
        <v>-0.10552980000000001</v>
      </c>
      <c r="V2070">
        <v>-5.1199590000000003E-2</v>
      </c>
      <c r="W2070">
        <v>0.41083979999999998</v>
      </c>
      <c r="X2070">
        <v>0.91026879999999999</v>
      </c>
      <c r="Y2070">
        <v>2.558918E-2</v>
      </c>
      <c r="Z2070">
        <v>4.5073049999999996E-3</v>
      </c>
      <c r="AA2070">
        <v>0.99966239999999995</v>
      </c>
      <c r="AB2070">
        <v>26</v>
      </c>
      <c r="AC2070">
        <v>-0.61179999999998802</v>
      </c>
      <c r="AD2070">
        <v>-6.0695000000000103E-2</v>
      </c>
      <c r="AE2070">
        <v>-1.3000000000033599E-2</v>
      </c>
      <c r="AF2070">
        <v>2.16015994003045E-2</v>
      </c>
      <c r="AG2070">
        <v>-6.0695000000000103E-2</v>
      </c>
      <c r="AH2070">
        <v>0.60559157706948596</v>
      </c>
      <c r="AI2070">
        <v>95.719704334175802</v>
      </c>
      <c r="AJ2070">
        <v>87.957111697155398</v>
      </c>
      <c r="AK2070">
        <v>0.60900876047817099</v>
      </c>
      <c r="AL2070">
        <v>65.742399707975693</v>
      </c>
      <c r="AM2070">
        <v>93.2193047786417</v>
      </c>
      <c r="AN2070">
        <v>1.0000000137668199</v>
      </c>
    </row>
    <row r="2071" spans="1:40" x14ac:dyDescent="0.25">
      <c r="A2071" t="str">
        <f>"20190304164131353"</f>
        <v>20190304164131353</v>
      </c>
      <c r="B2071" t="str">
        <f>"1551688891342839"</f>
        <v>1551688891342839</v>
      </c>
      <c r="C2071" t="s">
        <v>40</v>
      </c>
      <c r="D2071">
        <v>4.2890119999999996</v>
      </c>
      <c r="E2071">
        <v>0.53152469999999996</v>
      </c>
      <c r="F2071" t="s">
        <v>46</v>
      </c>
      <c r="G2071">
        <v>-228.8306</v>
      </c>
      <c r="H2071" s="1">
        <v>3.162432E-6</v>
      </c>
      <c r="I2071">
        <v>284.15249999999997</v>
      </c>
      <c r="J2071">
        <v>-212.48570000000001</v>
      </c>
      <c r="K2071">
        <v>1.1099859999999999</v>
      </c>
      <c r="L2071">
        <v>284.78699999999998</v>
      </c>
      <c r="M2071">
        <v>-0.99836979999999997</v>
      </c>
      <c r="N2071">
        <v>-6.1485819999999997E-3</v>
      </c>
      <c r="O2071">
        <v>-5.6746280000000003E-2</v>
      </c>
      <c r="P2071">
        <v>-0.90806889999999996</v>
      </c>
      <c r="Q2071">
        <v>0.40337279999999998</v>
      </c>
      <c r="R2071">
        <v>-0.1127022</v>
      </c>
      <c r="S2071">
        <v>-3.388458</v>
      </c>
      <c r="T2071">
        <v>-0.22658600000000001</v>
      </c>
      <c r="U2071">
        <v>-0.13238529999999901</v>
      </c>
      <c r="V2071">
        <v>-6.0851599999999999E-2</v>
      </c>
      <c r="W2071">
        <v>0.40899970000000002</v>
      </c>
      <c r="X2071">
        <v>0.91050339999999996</v>
      </c>
      <c r="Y2071">
        <v>1.758036E-2</v>
      </c>
      <c r="Z2071">
        <v>4.0787610000000002E-3</v>
      </c>
      <c r="AA2071">
        <v>0.99983719999999998</v>
      </c>
      <c r="AB2071">
        <v>26</v>
      </c>
      <c r="AC2071">
        <v>-16.3448999999999</v>
      </c>
      <c r="AD2071">
        <v>-1.1099828375679901</v>
      </c>
      <c r="AE2071">
        <v>-0.63450000000005902</v>
      </c>
      <c r="AF2071">
        <v>0.29270430753194998</v>
      </c>
      <c r="AG2071">
        <v>-1.1099828375679901</v>
      </c>
      <c r="AH2071">
        <v>16.279602669276301</v>
      </c>
      <c r="AI2071">
        <v>93.8999001516692</v>
      </c>
      <c r="AJ2071">
        <v>88.969943248663995</v>
      </c>
      <c r="AK2071">
        <v>16.320024533708601</v>
      </c>
      <c r="AL2071">
        <v>65.857988457844897</v>
      </c>
      <c r="AM2071">
        <v>93.823558139276201</v>
      </c>
      <c r="AN2071">
        <v>1.0000000566170999</v>
      </c>
    </row>
    <row r="2072" spans="1:40" x14ac:dyDescent="0.25">
      <c r="A2072" t="str">
        <f>"20190304164131376"</f>
        <v>20190304164131376</v>
      </c>
      <c r="B2072" t="str">
        <f>"1551688891363336"</f>
        <v>1551688891363336</v>
      </c>
      <c r="C2072" t="s">
        <v>40</v>
      </c>
      <c r="D2072">
        <v>4.2714369999999997</v>
      </c>
      <c r="E2072">
        <v>0.53133929999999996</v>
      </c>
      <c r="F2072" t="s">
        <v>46</v>
      </c>
      <c r="G2072">
        <v>-228.60310000000001</v>
      </c>
      <c r="H2072" s="1">
        <v>3.0413270000000001E-6</v>
      </c>
      <c r="I2072">
        <v>284.01580000000001</v>
      </c>
      <c r="J2072">
        <v>-212.74039999999999</v>
      </c>
      <c r="K2072">
        <v>1.1101589999999999</v>
      </c>
      <c r="L2072">
        <v>284.77280000000002</v>
      </c>
      <c r="M2072">
        <v>-0.99836400000000003</v>
      </c>
      <c r="N2072">
        <v>-6.053854E-3</v>
      </c>
      <c r="O2072">
        <v>-5.6857680000000001E-2</v>
      </c>
      <c r="P2072">
        <v>-0.90743680000000004</v>
      </c>
      <c r="Q2072">
        <v>0.40163019999999999</v>
      </c>
      <c r="R2072">
        <v>-0.1234978</v>
      </c>
      <c r="S2072">
        <v>-3.387222</v>
      </c>
      <c r="T2072">
        <v>-0.2332747</v>
      </c>
      <c r="U2072">
        <v>-0.1620789</v>
      </c>
      <c r="V2072">
        <v>-7.1754620000000005E-2</v>
      </c>
      <c r="W2072">
        <v>0.40714070000000002</v>
      </c>
      <c r="X2072">
        <v>0.91054250000000003</v>
      </c>
      <c r="Y2072">
        <v>8.9410959999999904E-3</v>
      </c>
      <c r="Z2072">
        <v>3.8965200000000001E-3</v>
      </c>
      <c r="AA2072">
        <v>0.99995239999999996</v>
      </c>
      <c r="AB2072">
        <v>26</v>
      </c>
      <c r="AC2072">
        <v>-15.8627</v>
      </c>
      <c r="AD2072">
        <v>-1.1101559586730001</v>
      </c>
      <c r="AE2072">
        <v>-0.757000000000005</v>
      </c>
      <c r="AF2072">
        <v>0.14544667109235801</v>
      </c>
      <c r="AG2072">
        <v>-1.1101559586730001</v>
      </c>
      <c r="AH2072">
        <v>15.8028543069123</v>
      </c>
      <c r="AI2072">
        <v>94.018276798067305</v>
      </c>
      <c r="AJ2072">
        <v>89.472674686658294</v>
      </c>
      <c r="AK2072">
        <v>15.8424684071708</v>
      </c>
      <c r="AL2072">
        <v>65.974654816294205</v>
      </c>
      <c r="AM2072">
        <v>94.505839151714</v>
      </c>
      <c r="AN2072">
        <v>0.99999995969704103</v>
      </c>
    </row>
    <row r="2073" spans="1:40" x14ac:dyDescent="0.25">
      <c r="A2073" t="str">
        <f>"20190304164131391"</f>
        <v>20190304164131391</v>
      </c>
      <c r="B2073" t="str">
        <f>"1551688891382856"</f>
        <v>1551688891382856</v>
      </c>
      <c r="C2073" t="s">
        <v>40</v>
      </c>
      <c r="D2073">
        <v>4.264926</v>
      </c>
      <c r="E2073">
        <v>0.53122179999999997</v>
      </c>
      <c r="F2073" t="s">
        <v>46</v>
      </c>
      <c r="G2073">
        <v>-228.40430000000001</v>
      </c>
      <c r="H2073" s="1">
        <v>2.9355800000000002E-6</v>
      </c>
      <c r="I2073">
        <v>283.87630000000001</v>
      </c>
      <c r="J2073">
        <v>-212.9308</v>
      </c>
      <c r="K2073">
        <v>1.1102669999999999</v>
      </c>
      <c r="L2073">
        <v>284.76190000000003</v>
      </c>
      <c r="M2073">
        <v>-0.99835249999999998</v>
      </c>
      <c r="N2073">
        <v>-5.9876670000000003E-3</v>
      </c>
      <c r="O2073">
        <v>-5.7065119999999997E-2</v>
      </c>
      <c r="P2073">
        <v>-0.90697649999999996</v>
      </c>
      <c r="Q2073">
        <v>0.40110309999999999</v>
      </c>
      <c r="R2073">
        <v>-0.12849050000000001</v>
      </c>
      <c r="S2073">
        <v>-3.385834</v>
      </c>
      <c r="T2073">
        <v>-0.23996619999999999</v>
      </c>
      <c r="U2073">
        <v>-0.1937866</v>
      </c>
      <c r="V2073">
        <v>-7.6695650000000004E-2</v>
      </c>
      <c r="W2073">
        <v>0.40652949999999999</v>
      </c>
      <c r="X2073">
        <v>0.91041280000000002</v>
      </c>
      <c r="Y2073">
        <v>-1.938272E-4</v>
      </c>
      <c r="Z2073">
        <v>3.6840280000000002E-3</v>
      </c>
      <c r="AA2073">
        <v>0.99999320000000003</v>
      </c>
      <c r="AB2073">
        <v>26</v>
      </c>
      <c r="AC2073">
        <v>-15.4735</v>
      </c>
      <c r="AD2073">
        <v>-1.1102640644199999</v>
      </c>
      <c r="AE2073">
        <v>-0.88560000000001005</v>
      </c>
      <c r="AF2073">
        <v>-1.13802029145948E-3</v>
      </c>
      <c r="AG2073">
        <v>-1.1102640644199999</v>
      </c>
      <c r="AH2073">
        <v>15.4196940234156</v>
      </c>
      <c r="AI2073">
        <v>94.118360086117505</v>
      </c>
      <c r="AJ2073">
        <v>90.004228602687107</v>
      </c>
      <c r="AK2073">
        <v>15.4596135580289</v>
      </c>
      <c r="AL2073">
        <v>66.0129899767647</v>
      </c>
      <c r="AM2073">
        <v>94.815382425391604</v>
      </c>
      <c r="AN2073">
        <v>0.99999996175150496</v>
      </c>
    </row>
    <row r="2074" spans="1:40" x14ac:dyDescent="0.25">
      <c r="A2074" t="str">
        <f>"20190304164131411"</f>
        <v>20190304164131411</v>
      </c>
      <c r="B2074" t="str">
        <f>"1551688891403351"</f>
        <v>1551688891403351</v>
      </c>
      <c r="C2074" t="s">
        <v>40</v>
      </c>
      <c r="D2074">
        <v>4.2492089999999996</v>
      </c>
      <c r="E2074">
        <v>0.53113690000000002</v>
      </c>
      <c r="F2074" t="s">
        <v>46</v>
      </c>
      <c r="G2074">
        <v>-228.37389999999999</v>
      </c>
      <c r="H2074" s="1">
        <v>2.919411E-6</v>
      </c>
      <c r="I2074">
        <v>283.80900000000003</v>
      </c>
      <c r="J2074">
        <v>-213.1593</v>
      </c>
      <c r="K2074">
        <v>1.110384</v>
      </c>
      <c r="L2074">
        <v>284.74869999999999</v>
      </c>
      <c r="M2074">
        <v>-0.99833150000000004</v>
      </c>
      <c r="N2074">
        <v>-5.9113050000000004E-3</v>
      </c>
      <c r="O2074">
        <v>-5.7440999999999999E-2</v>
      </c>
      <c r="P2074">
        <v>-0.9056208</v>
      </c>
      <c r="Q2074">
        <v>0.40102330000000003</v>
      </c>
      <c r="R2074">
        <v>-0.137955299999999</v>
      </c>
      <c r="S2074">
        <v>-3.385742</v>
      </c>
      <c r="T2074">
        <v>-0.24341399999999999</v>
      </c>
      <c r="U2074">
        <v>-0.20892330000000001</v>
      </c>
      <c r="V2074">
        <v>-8.6013290000000006E-2</v>
      </c>
      <c r="W2074">
        <v>0.40634310000000001</v>
      </c>
      <c r="X2074">
        <v>0.90966309999999995</v>
      </c>
      <c r="Y2074">
        <v>-4.2673090000000004E-3</v>
      </c>
      <c r="Z2074">
        <v>3.612086E-3</v>
      </c>
      <c r="AA2074">
        <v>0.9999844</v>
      </c>
      <c r="AB2074">
        <v>27</v>
      </c>
      <c r="AC2074">
        <v>-15.2145999999999</v>
      </c>
      <c r="AD2074">
        <v>-1.110381080589</v>
      </c>
      <c r="AE2074">
        <v>-0.93969999999995901</v>
      </c>
      <c r="AF2074">
        <v>-6.3852583649952097E-2</v>
      </c>
      <c r="AG2074">
        <v>-1.110381080589</v>
      </c>
      <c r="AH2074">
        <v>15.163001286466599</v>
      </c>
      <c r="AI2074">
        <v>94.188236160887897</v>
      </c>
      <c r="AJ2074">
        <v>90.241275579929393</v>
      </c>
      <c r="AK2074">
        <v>15.2037374125561</v>
      </c>
      <c r="AL2074">
        <v>66.024679329627503</v>
      </c>
      <c r="AM2074">
        <v>95.4015488352765</v>
      </c>
      <c r="AN2074">
        <v>0.99999997823792097</v>
      </c>
    </row>
    <row r="2075" spans="1:40" x14ac:dyDescent="0.25">
      <c r="A2075" t="str">
        <f>"20190304164131432"</f>
        <v>20190304164131432</v>
      </c>
      <c r="B2075" t="str">
        <f>"1551688891422872"</f>
        <v>1551688891422872</v>
      </c>
      <c r="C2075" t="s">
        <v>40</v>
      </c>
      <c r="D2075">
        <v>4.2811820000000003</v>
      </c>
      <c r="E2075">
        <v>0.53112159999999997</v>
      </c>
      <c r="F2075" t="s">
        <v>46</v>
      </c>
      <c r="G2075">
        <v>-228.49279999999999</v>
      </c>
      <c r="H2075" s="1">
        <v>2.9826379999999998E-6</v>
      </c>
      <c r="I2075">
        <v>283.65809999999999</v>
      </c>
      <c r="J2075">
        <v>-213.41749999999999</v>
      </c>
      <c r="K2075">
        <v>1.110514</v>
      </c>
      <c r="L2075">
        <v>284.73340000000002</v>
      </c>
      <c r="M2075">
        <v>-0.99829710000000005</v>
      </c>
      <c r="N2075">
        <v>-5.8287520000000004E-3</v>
      </c>
      <c r="O2075">
        <v>-5.8045220000000002E-2</v>
      </c>
      <c r="P2075">
        <v>-0.90457739999999998</v>
      </c>
      <c r="Q2075">
        <v>0.400447</v>
      </c>
      <c r="R2075">
        <v>-0.1462273</v>
      </c>
      <c r="S2075">
        <v>-3.384506</v>
      </c>
      <c r="T2075">
        <v>-0.24509020000000001</v>
      </c>
      <c r="U2075">
        <v>-0.24072270000000001</v>
      </c>
      <c r="V2075">
        <v>-9.3932260000000004E-2</v>
      </c>
      <c r="W2075">
        <v>0.4056476</v>
      </c>
      <c r="X2075">
        <v>0.90919019999999995</v>
      </c>
      <c r="Y2075">
        <v>-1.301709E-2</v>
      </c>
      <c r="Z2075">
        <v>3.3426990000000002E-3</v>
      </c>
      <c r="AA2075">
        <v>0.99990970000000001</v>
      </c>
      <c r="AB2075">
        <v>27</v>
      </c>
      <c r="AC2075">
        <v>-15.0753</v>
      </c>
      <c r="AD2075">
        <v>-1.1105110173620001</v>
      </c>
      <c r="AE2075">
        <v>-1.0753000000000199</v>
      </c>
      <c r="AF2075">
        <v>-0.19735758032442999</v>
      </c>
      <c r="AG2075">
        <v>-1.1105110173620001</v>
      </c>
      <c r="AH2075">
        <v>15.0311460788314</v>
      </c>
      <c r="AI2075">
        <v>94.225010548883404</v>
      </c>
      <c r="AJ2075">
        <v>90.752245145980893</v>
      </c>
      <c r="AK2075">
        <v>15.0734049629592</v>
      </c>
      <c r="AL2075">
        <v>66.068285367281902</v>
      </c>
      <c r="AM2075">
        <v>95.898540481778099</v>
      </c>
      <c r="AN2075">
        <v>1.00000003231525</v>
      </c>
    </row>
    <row r="2076" spans="1:40" x14ac:dyDescent="0.25">
      <c r="A2076" t="str">
        <f>"20190304164131454"</f>
        <v>20190304164131454</v>
      </c>
      <c r="B2076" t="str">
        <f>"1551688891443367"</f>
        <v>1551688891443367</v>
      </c>
      <c r="C2076" t="s">
        <v>40</v>
      </c>
      <c r="D2076">
        <v>4.2786860000000004</v>
      </c>
      <c r="E2076">
        <v>0.53118589999999999</v>
      </c>
      <c r="F2076" t="s">
        <v>46</v>
      </c>
      <c r="G2076">
        <v>-228.56059999999999</v>
      </c>
      <c r="H2076" s="1">
        <v>3.018732E-6</v>
      </c>
      <c r="I2076">
        <v>283.53800000000001</v>
      </c>
      <c r="J2076">
        <v>-213.67400000000001</v>
      </c>
      <c r="K2076">
        <v>1.110649</v>
      </c>
      <c r="L2076">
        <v>284.71780000000001</v>
      </c>
      <c r="M2076">
        <v>-0.99825030000000003</v>
      </c>
      <c r="N2076">
        <v>-5.7541140000000003E-3</v>
      </c>
      <c r="O2076">
        <v>-5.8849390000000001E-2</v>
      </c>
      <c r="P2076">
        <v>-0.90415129999999999</v>
      </c>
      <c r="Q2076">
        <v>0.39885969999999998</v>
      </c>
      <c r="R2076">
        <v>-0.15304039999999999</v>
      </c>
      <c r="S2076">
        <v>-3.3830870000000002</v>
      </c>
      <c r="T2076">
        <v>-0.24809719999999999</v>
      </c>
      <c r="U2076">
        <v>-0.2670593</v>
      </c>
      <c r="V2076">
        <v>-0.10018390000000001</v>
      </c>
      <c r="W2076">
        <v>0.40394580000000002</v>
      </c>
      <c r="X2076">
        <v>0.90928050000000005</v>
      </c>
      <c r="Y2076">
        <v>-1.9966109999999999E-2</v>
      </c>
      <c r="Z2076">
        <v>3.1732459999999998E-3</v>
      </c>
      <c r="AA2076">
        <v>0.99979560000000001</v>
      </c>
      <c r="AB2076">
        <v>27</v>
      </c>
      <c r="AC2076">
        <v>-14.8865999999999</v>
      </c>
      <c r="AD2076">
        <v>-1.1106459812680001</v>
      </c>
      <c r="AE2076">
        <v>-1.1798</v>
      </c>
      <c r="AF2076">
        <v>-0.30001384637405698</v>
      </c>
      <c r="AG2076">
        <v>-1.1106459812680001</v>
      </c>
      <c r="AH2076">
        <v>14.848098537011699</v>
      </c>
      <c r="AI2076">
        <v>94.276919880851295</v>
      </c>
      <c r="AJ2076">
        <v>91.157534645616707</v>
      </c>
      <c r="AK2076">
        <v>14.8926012828026</v>
      </c>
      <c r="AL2076">
        <v>66.174918242467101</v>
      </c>
      <c r="AM2076">
        <v>96.287449291371999</v>
      </c>
      <c r="AN2076">
        <v>1.0000000254185399</v>
      </c>
    </row>
    <row r="2077" spans="1:40" x14ac:dyDescent="0.25">
      <c r="A2077" t="str">
        <f>"20190304164131467"</f>
        <v>20190304164131467</v>
      </c>
      <c r="B2077" t="str">
        <f>"1551688891462888"</f>
        <v>1551688891462888</v>
      </c>
      <c r="C2077" t="s">
        <v>40</v>
      </c>
      <c r="D2077">
        <v>4.2878850000000002</v>
      </c>
      <c r="E2077">
        <v>0.53123969999999998</v>
      </c>
      <c r="F2077" t="s">
        <v>46</v>
      </c>
      <c r="G2077">
        <v>-228.3843</v>
      </c>
      <c r="H2077" s="1">
        <v>2.9249230000000002E-6</v>
      </c>
      <c r="I2077">
        <v>283.47000000000003</v>
      </c>
      <c r="J2077">
        <v>-213.8458</v>
      </c>
      <c r="K2077">
        <v>1.1107579999999999</v>
      </c>
      <c r="L2077">
        <v>284.70710000000003</v>
      </c>
      <c r="M2077">
        <v>-0.99821130000000002</v>
      </c>
      <c r="N2077">
        <v>-5.7095030000000003E-3</v>
      </c>
      <c r="O2077">
        <v>-5.9515859999999997E-2</v>
      </c>
      <c r="P2077">
        <v>-0.90412669999999995</v>
      </c>
      <c r="Q2077">
        <v>0.39800089999999999</v>
      </c>
      <c r="R2077">
        <v>-0.1554055</v>
      </c>
      <c r="S2077">
        <v>-3.3821110000000001</v>
      </c>
      <c r="T2077">
        <v>-0.25535419999999998</v>
      </c>
      <c r="U2077">
        <v>-0.28689579999999998</v>
      </c>
      <c r="V2077">
        <v>-0.10205309999999999</v>
      </c>
      <c r="W2077">
        <v>0.4030147</v>
      </c>
      <c r="X2077">
        <v>0.90948569999999995</v>
      </c>
      <c r="Y2077">
        <v>-2.5137199999999998E-2</v>
      </c>
      <c r="Z2077">
        <v>3.1173059999999998E-3</v>
      </c>
      <c r="AA2077">
        <v>0.99967910000000004</v>
      </c>
      <c r="AB2077">
        <v>27</v>
      </c>
      <c r="AC2077">
        <v>-14.538500000000001</v>
      </c>
      <c r="AD2077">
        <v>-1.1107550750770001</v>
      </c>
      <c r="AE2077">
        <v>-1.2370999999999901</v>
      </c>
      <c r="AF2077">
        <v>-0.36749212454187202</v>
      </c>
      <c r="AG2077">
        <v>-1.1107550750770001</v>
      </c>
      <c r="AH2077">
        <v>14.502312909344999</v>
      </c>
      <c r="AI2077">
        <v>94.378423229699294</v>
      </c>
      <c r="AJ2077">
        <v>91.451578295140195</v>
      </c>
      <c r="AK2077">
        <v>14.5494297832927</v>
      </c>
      <c r="AL2077">
        <v>66.233221297975504</v>
      </c>
      <c r="AM2077">
        <v>96.402360024192703</v>
      </c>
      <c r="AN2077">
        <v>0.99999996107009403</v>
      </c>
    </row>
    <row r="2078" spans="1:40" x14ac:dyDescent="0.25">
      <c r="A2078" t="str">
        <f>"20190304164131488"</f>
        <v>20190304164131488</v>
      </c>
      <c r="B2078" t="str">
        <f>"1551688891483384"</f>
        <v>1551688891483384</v>
      </c>
      <c r="C2078" t="s">
        <v>40</v>
      </c>
      <c r="D2078">
        <v>4.3082209999999996</v>
      </c>
      <c r="E2078">
        <v>0.535049</v>
      </c>
      <c r="F2078" t="s">
        <v>46</v>
      </c>
      <c r="G2078">
        <v>-228.33750000000001</v>
      </c>
      <c r="H2078" s="1">
        <v>2.9000230000000002E-6</v>
      </c>
      <c r="I2078">
        <v>283.44650000000001</v>
      </c>
      <c r="J2078">
        <v>-214.08750000000001</v>
      </c>
      <c r="K2078">
        <v>1.1109340000000001</v>
      </c>
      <c r="L2078">
        <v>284.69170000000003</v>
      </c>
      <c r="M2078">
        <v>-0.99814239999999999</v>
      </c>
      <c r="N2078">
        <v>-5.6548519999999897E-3</v>
      </c>
      <c r="O2078">
        <v>-6.0661699999999999E-2</v>
      </c>
      <c r="P2078">
        <v>-0.90449590000000002</v>
      </c>
      <c r="Q2078">
        <v>0.39602500000000002</v>
      </c>
      <c r="R2078">
        <v>-0.15827669999999999</v>
      </c>
      <c r="S2078">
        <v>-3.381653</v>
      </c>
      <c r="T2078">
        <v>-0.25919530000000002</v>
      </c>
      <c r="U2078">
        <v>-0.2941589</v>
      </c>
      <c r="V2078">
        <v>-0.1040267</v>
      </c>
      <c r="W2078">
        <v>0.40094299999999999</v>
      </c>
      <c r="X2078">
        <v>0.91017760000000003</v>
      </c>
      <c r="Y2078">
        <v>-2.6134910000000001E-2</v>
      </c>
      <c r="Z2078">
        <v>3.2141629999999999E-3</v>
      </c>
      <c r="AA2078">
        <v>0.99965329999999997</v>
      </c>
      <c r="AB2078">
        <v>27</v>
      </c>
      <c r="AC2078">
        <v>-14.25</v>
      </c>
      <c r="AD2078">
        <v>-1.1109310999769999</v>
      </c>
      <c r="AE2078">
        <v>-1.2452000000000101</v>
      </c>
      <c r="AF2078">
        <v>-0.37619462978622498</v>
      </c>
      <c r="AG2078">
        <v>-1.1109310999769999</v>
      </c>
      <c r="AH2078">
        <v>14.2135610956161</v>
      </c>
      <c r="AI2078">
        <v>94.467590693257605</v>
      </c>
      <c r="AJ2078">
        <v>91.516110808351002</v>
      </c>
      <c r="AK2078">
        <v>14.261872574356699</v>
      </c>
      <c r="AL2078">
        <v>66.362858136454904</v>
      </c>
      <c r="AM2078">
        <v>96.5201996153084</v>
      </c>
      <c r="AN2078">
        <v>1.0000000535518201</v>
      </c>
    </row>
    <row r="2079" spans="1:40" x14ac:dyDescent="0.25">
      <c r="A2079" t="str">
        <f>"20190304164131509"</f>
        <v>20190304164131509</v>
      </c>
      <c r="B2079" t="str">
        <f>"1551688891502905"</f>
        <v>1551688891502905</v>
      </c>
      <c r="C2079" t="s">
        <v>40</v>
      </c>
      <c r="D2079">
        <v>5.0022890000000002</v>
      </c>
      <c r="E2079">
        <v>0.53779860000000002</v>
      </c>
      <c r="F2079" t="s">
        <v>41</v>
      </c>
      <c r="G2079">
        <v>-214.9803</v>
      </c>
      <c r="H2079">
        <v>1.0280069999999999</v>
      </c>
      <c r="I2079">
        <v>284.6198</v>
      </c>
      <c r="J2079">
        <v>-214.35890000000001</v>
      </c>
      <c r="K2079">
        <v>1.111157</v>
      </c>
      <c r="L2079">
        <v>284.67360000000002</v>
      </c>
      <c r="M2079">
        <v>-0.99804470000000001</v>
      </c>
      <c r="N2079">
        <v>-5.6039139999999998E-3</v>
      </c>
      <c r="O2079">
        <v>-6.2251979999999998E-2</v>
      </c>
      <c r="P2079">
        <v>-0.90476860000000003</v>
      </c>
      <c r="Q2079">
        <v>0.39478550000000001</v>
      </c>
      <c r="R2079">
        <v>-0.15980730000000001</v>
      </c>
      <c r="S2079">
        <v>-3.4073639999999998</v>
      </c>
      <c r="T2079">
        <v>-0.3167778</v>
      </c>
      <c r="U2079">
        <v>-0.27478029999999998</v>
      </c>
      <c r="V2079">
        <v>-0.1042981</v>
      </c>
      <c r="W2079">
        <v>0.39960319999999999</v>
      </c>
      <c r="X2079">
        <v>0.91073550000000003</v>
      </c>
      <c r="Y2079">
        <v>-1.8326430000000001E-2</v>
      </c>
      <c r="Z2079">
        <v>4.5111049999999996E-3</v>
      </c>
      <c r="AA2079">
        <v>0.99982190000000004</v>
      </c>
      <c r="AB2079">
        <v>27</v>
      </c>
      <c r="AC2079">
        <v>-0.62139999999999396</v>
      </c>
      <c r="AD2079">
        <v>-8.3150000000000002E-2</v>
      </c>
      <c r="AE2079">
        <v>-5.3800000000023801E-2</v>
      </c>
      <c r="AF2079">
        <v>-1.47495305579224E-2</v>
      </c>
      <c r="AG2079">
        <v>-8.3150000000000002E-2</v>
      </c>
      <c r="AH2079">
        <v>0.61265576477849604</v>
      </c>
      <c r="AI2079">
        <v>97.726779688554004</v>
      </c>
      <c r="AJ2079">
        <v>91.379114810308295</v>
      </c>
      <c r="AK2079">
        <v>0.61844850817833097</v>
      </c>
      <c r="AL2079">
        <v>66.446624586647502</v>
      </c>
      <c r="AM2079">
        <v>96.5330935545188</v>
      </c>
      <c r="AN2079">
        <v>0.99999998103704901</v>
      </c>
    </row>
    <row r="2080" spans="1:40" x14ac:dyDescent="0.25">
      <c r="A2080" t="str">
        <f>"20190304164131533"</f>
        <v>20190304164131533</v>
      </c>
      <c r="B2080" t="str">
        <f>"1551688891523400"</f>
        <v>1551688891523400</v>
      </c>
      <c r="C2080" t="s">
        <v>40</v>
      </c>
      <c r="D2080">
        <v>4.3056140000000003</v>
      </c>
      <c r="E2080">
        <v>0.53976349999999995</v>
      </c>
      <c r="F2080" t="s">
        <v>41</v>
      </c>
      <c r="G2080">
        <v>-215.2244</v>
      </c>
      <c r="H2080">
        <v>1.0304230000000001</v>
      </c>
      <c r="I2080">
        <v>284.60809999999998</v>
      </c>
      <c r="J2080">
        <v>-214.6353</v>
      </c>
      <c r="K2080">
        <v>1.1113690000000001</v>
      </c>
      <c r="L2080">
        <v>284.65449999999998</v>
      </c>
      <c r="M2080">
        <v>-0.99792340000000002</v>
      </c>
      <c r="N2080">
        <v>-5.558884E-3</v>
      </c>
      <c r="O2080">
        <v>-6.4172709999999994E-2</v>
      </c>
      <c r="P2080">
        <v>-0.90476020000000001</v>
      </c>
      <c r="Q2080">
        <v>0.39459149999999998</v>
      </c>
      <c r="R2080">
        <v>-0.16033240000000001</v>
      </c>
      <c r="S2080">
        <v>-3.4089200000000002</v>
      </c>
      <c r="T2080">
        <v>-0.3178011</v>
      </c>
      <c r="U2080">
        <v>-0.25772089999999998</v>
      </c>
      <c r="V2080">
        <v>-0.1032802</v>
      </c>
      <c r="W2080">
        <v>0.3993178</v>
      </c>
      <c r="X2080">
        <v>0.91097660000000003</v>
      </c>
      <c r="Y2080">
        <v>-1.143218E-2</v>
      </c>
      <c r="Z2080">
        <v>5.0357350000000004E-3</v>
      </c>
      <c r="AA2080">
        <v>0.99992199999999998</v>
      </c>
      <c r="AB2080">
        <v>27</v>
      </c>
      <c r="AC2080">
        <v>-0.58910000000000196</v>
      </c>
      <c r="AD2080">
        <v>-8.0946000000000101E-2</v>
      </c>
      <c r="AE2080">
        <v>-4.6400000000005499E-2</v>
      </c>
      <c r="AF2080">
        <v>-8.3430828880642193E-3</v>
      </c>
      <c r="AG2080">
        <v>-8.0946000000000101E-2</v>
      </c>
      <c r="AH2080">
        <v>0.57998058378497097</v>
      </c>
      <c r="AI2080">
        <v>97.944450799105397</v>
      </c>
      <c r="AJ2080">
        <v>90.824149087743095</v>
      </c>
      <c r="AK2080">
        <v>0.58566145469514497</v>
      </c>
      <c r="AL2080">
        <v>66.464460600021198</v>
      </c>
      <c r="AM2080">
        <v>96.468179100156902</v>
      </c>
      <c r="AN2080">
        <v>0.99999993542821797</v>
      </c>
    </row>
    <row r="2081" spans="1:40" x14ac:dyDescent="0.25">
      <c r="A2081" t="str">
        <f>"20190304164131553"</f>
        <v>20190304164131553</v>
      </c>
      <c r="B2081" t="str">
        <f>"1551688891542919"</f>
        <v>1551688891542919</v>
      </c>
      <c r="C2081" t="s">
        <v>40</v>
      </c>
      <c r="D2081">
        <v>4.3000959999999999</v>
      </c>
      <c r="E2081">
        <v>0.54090130000000003</v>
      </c>
      <c r="F2081" t="s">
        <v>41</v>
      </c>
      <c r="G2081">
        <v>-215.4684</v>
      </c>
      <c r="H2081">
        <v>1.030125</v>
      </c>
      <c r="I2081">
        <v>284.59559999999999</v>
      </c>
      <c r="J2081">
        <v>-214.88810000000001</v>
      </c>
      <c r="K2081">
        <v>1.111542</v>
      </c>
      <c r="L2081">
        <v>284.63630000000001</v>
      </c>
      <c r="M2081">
        <v>-0.99779379999999995</v>
      </c>
      <c r="N2081">
        <v>-5.5195139999999997E-3</v>
      </c>
      <c r="O2081">
        <v>-6.6160339999999998E-2</v>
      </c>
      <c r="P2081">
        <v>-0.90481619999999996</v>
      </c>
      <c r="Q2081">
        <v>0.39479589999999998</v>
      </c>
      <c r="R2081">
        <v>-0.1595123</v>
      </c>
      <c r="S2081">
        <v>-3.418304</v>
      </c>
      <c r="T2081">
        <v>-0.33374549999999997</v>
      </c>
      <c r="U2081">
        <v>-0.24279790000000001</v>
      </c>
      <c r="V2081">
        <v>-0.1008117</v>
      </c>
      <c r="W2081">
        <v>0.39945239999999999</v>
      </c>
      <c r="X2081">
        <v>0.91119410000000001</v>
      </c>
      <c r="Y2081">
        <v>-4.9530870000000001E-3</v>
      </c>
      <c r="Z2081">
        <v>5.809921E-3</v>
      </c>
      <c r="AA2081">
        <v>0.9999709</v>
      </c>
      <c r="AB2081">
        <v>27</v>
      </c>
      <c r="AC2081">
        <v>-0.58029999999999404</v>
      </c>
      <c r="AD2081">
        <v>-8.1417000000000003E-2</v>
      </c>
      <c r="AE2081">
        <v>-4.0700000000015203E-2</v>
      </c>
      <c r="AF2081">
        <v>-2.17479572089165E-3</v>
      </c>
      <c r="AG2081">
        <v>-8.1417000000000003E-2</v>
      </c>
      <c r="AH2081">
        <v>0.57054535158612296</v>
      </c>
      <c r="AI2081">
        <v>98.121237948650901</v>
      </c>
      <c r="AJ2081">
        <v>90.218398085744099</v>
      </c>
      <c r="AK2081">
        <v>0.57632929462414095</v>
      </c>
      <c r="AL2081">
        <v>66.456049011518402</v>
      </c>
      <c r="AM2081">
        <v>96.313351989448606</v>
      </c>
      <c r="AN2081">
        <v>0.99999995329872804</v>
      </c>
    </row>
    <row r="2082" spans="1:40" x14ac:dyDescent="0.25">
      <c r="A2082" t="str">
        <f>"20190304164131566"</f>
        <v>20190304164131566</v>
      </c>
      <c r="B2082" t="str">
        <f>"1551688891563416"</f>
        <v>1551688891563416</v>
      </c>
      <c r="C2082" t="s">
        <v>40</v>
      </c>
      <c r="D2082">
        <v>4.3225920000000002</v>
      </c>
      <c r="E2082">
        <v>0.54150830000000005</v>
      </c>
      <c r="F2082" t="s">
        <v>41</v>
      </c>
      <c r="G2082">
        <v>-215.71299999999999</v>
      </c>
      <c r="H2082">
        <v>1.029401</v>
      </c>
      <c r="I2082">
        <v>284.58019999999999</v>
      </c>
      <c r="J2082">
        <v>-215.03739999999999</v>
      </c>
      <c r="K2082">
        <v>1.111629</v>
      </c>
      <c r="L2082">
        <v>284.62529999999998</v>
      </c>
      <c r="M2082">
        <v>-0.99771019999999999</v>
      </c>
      <c r="N2082">
        <v>-5.4969290000000002E-3</v>
      </c>
      <c r="O2082">
        <v>-6.7411680000000002E-2</v>
      </c>
      <c r="P2082">
        <v>-0.90465240000000002</v>
      </c>
      <c r="Q2082">
        <v>0.39559699999999998</v>
      </c>
      <c r="R2082">
        <v>-0.15845329999999999</v>
      </c>
      <c r="S2082">
        <v>-3.4233090000000002</v>
      </c>
      <c r="T2082">
        <v>-0.34102900000000003</v>
      </c>
      <c r="U2082">
        <v>-0.23315429999999901</v>
      </c>
      <c r="V2082">
        <v>-9.8711610000000005E-2</v>
      </c>
      <c r="W2082">
        <v>0.40021899999999999</v>
      </c>
      <c r="X2082">
        <v>0.91108769999999994</v>
      </c>
      <c r="Y2082">
        <v>-8.3041500000000004E-4</v>
      </c>
      <c r="Z2082">
        <v>6.2704190000000002E-3</v>
      </c>
      <c r="AA2082">
        <v>0.99997999999999998</v>
      </c>
      <c r="AB2082">
        <v>27</v>
      </c>
      <c r="AC2082">
        <v>-0.67560000000000198</v>
      </c>
      <c r="AD2082">
        <v>-8.2227999999999898E-2</v>
      </c>
      <c r="AE2082">
        <v>-4.50999999999908E-2</v>
      </c>
      <c r="AF2082">
        <v>5.3866503453082299E-4</v>
      </c>
      <c r="AG2082">
        <v>-8.2227999999999898E-2</v>
      </c>
      <c r="AH2082">
        <v>0.66726274177149503</v>
      </c>
      <c r="AI2082">
        <v>97.025241646744703</v>
      </c>
      <c r="AJ2082">
        <v>89.953746516307007</v>
      </c>
      <c r="AK2082">
        <v>0.672310419895774</v>
      </c>
      <c r="AL2082">
        <v>66.408130399815803</v>
      </c>
      <c r="AM2082">
        <v>96.183579247324801</v>
      </c>
      <c r="AN2082">
        <v>1.00000001350054</v>
      </c>
    </row>
    <row r="2083" spans="1:40" x14ac:dyDescent="0.25">
      <c r="A2083" t="str">
        <f>"20190304164131588"</f>
        <v>20190304164131588</v>
      </c>
      <c r="B2083" t="str">
        <f>"1551688891582936"</f>
        <v>1551688891582936</v>
      </c>
      <c r="C2083" t="s">
        <v>40</v>
      </c>
      <c r="D2083">
        <v>4.2848059999999997</v>
      </c>
      <c r="E2083">
        <v>0.54201499999999903</v>
      </c>
      <c r="F2083" t="s">
        <v>41</v>
      </c>
      <c r="G2083">
        <v>-215.95419999999999</v>
      </c>
      <c r="H2083">
        <v>1.019541</v>
      </c>
      <c r="I2083">
        <v>284.56450000000001</v>
      </c>
      <c r="J2083">
        <v>-215.31319999999999</v>
      </c>
      <c r="K2083">
        <v>1.1117410000000001</v>
      </c>
      <c r="L2083">
        <v>284.60419999999999</v>
      </c>
      <c r="M2083">
        <v>-0.99754200000000004</v>
      </c>
      <c r="N2083">
        <v>-5.456883E-3</v>
      </c>
      <c r="O2083">
        <v>-6.9859000000000004E-2</v>
      </c>
      <c r="P2083">
        <v>-0.90502919999999998</v>
      </c>
      <c r="Q2083">
        <v>0.39593590000000001</v>
      </c>
      <c r="R2083">
        <v>-0.15542529999999999</v>
      </c>
      <c r="S2083">
        <v>-3.4269259999999999</v>
      </c>
      <c r="T2083">
        <v>-0.34453650000000002</v>
      </c>
      <c r="U2083">
        <v>-0.22790530000000001</v>
      </c>
      <c r="V2083">
        <v>-9.3543420000000002E-2</v>
      </c>
      <c r="W2083">
        <v>0.40051750000000003</v>
      </c>
      <c r="X2083">
        <v>0.91150169999999997</v>
      </c>
      <c r="Y2083">
        <v>3.1808930000000002E-3</v>
      </c>
      <c r="Z2083">
        <v>6.7775140000000001E-3</v>
      </c>
      <c r="AA2083">
        <v>0.99997199999999997</v>
      </c>
      <c r="AB2083">
        <v>28</v>
      </c>
      <c r="AC2083">
        <v>-0.64099999999999102</v>
      </c>
      <c r="AD2083">
        <v>-9.2200000000000004E-2</v>
      </c>
      <c r="AE2083">
        <v>-3.9699999999982E-2</v>
      </c>
      <c r="AF2083">
        <v>5.0727282751943303E-3</v>
      </c>
      <c r="AG2083">
        <v>-9.2200000000000004E-2</v>
      </c>
      <c r="AH2083">
        <v>0.62923859514838898</v>
      </c>
      <c r="AI2083">
        <v>98.335751020696406</v>
      </c>
      <c r="AJ2083">
        <v>89.538109030777903</v>
      </c>
      <c r="AK2083">
        <v>0.635977815805294</v>
      </c>
      <c r="AL2083">
        <v>66.389465967186794</v>
      </c>
      <c r="AM2083">
        <v>95.859501120218397</v>
      </c>
      <c r="AN2083">
        <v>0.99999999416721796</v>
      </c>
    </row>
    <row r="2084" spans="1:40" x14ac:dyDescent="0.25">
      <c r="A2084" t="str">
        <f>"20190304164131604"</f>
        <v>20190304164131604</v>
      </c>
      <c r="B2084" t="str">
        <f>"1551688891592696"</f>
        <v>1551688891592696</v>
      </c>
      <c r="C2084" t="s">
        <v>40</v>
      </c>
      <c r="D2084">
        <v>4.2960830000000003</v>
      </c>
      <c r="E2084">
        <v>0.54220459999999904</v>
      </c>
      <c r="F2084" t="s">
        <v>41</v>
      </c>
      <c r="G2084">
        <v>-216.20179999999999</v>
      </c>
      <c r="H2084">
        <v>1.021266</v>
      </c>
      <c r="I2084">
        <v>284.5471</v>
      </c>
      <c r="J2084">
        <v>-215.5043</v>
      </c>
      <c r="K2084">
        <v>1.111791</v>
      </c>
      <c r="L2084">
        <v>284.58920000000001</v>
      </c>
      <c r="M2084">
        <v>-0.99741829999999998</v>
      </c>
      <c r="N2084">
        <v>-5.4286029999999997E-3</v>
      </c>
      <c r="O2084">
        <v>-7.1603330000000007E-2</v>
      </c>
      <c r="P2084">
        <v>-0.90546389999999999</v>
      </c>
      <c r="Q2084">
        <v>0.3954242</v>
      </c>
      <c r="R2084">
        <v>-0.15418989999999999</v>
      </c>
      <c r="S2084">
        <v>-3.4298099999999998</v>
      </c>
      <c r="T2084">
        <v>-0.34940559999999998</v>
      </c>
      <c r="U2084">
        <v>-0.2205811</v>
      </c>
      <c r="V2084">
        <v>-9.0733099999999997E-2</v>
      </c>
      <c r="W2084">
        <v>0.39998299999999998</v>
      </c>
      <c r="X2084">
        <v>0.91202030000000001</v>
      </c>
      <c r="Y2084">
        <v>7.0729290000000004E-3</v>
      </c>
      <c r="Z2084">
        <v>7.2497450000000001E-3</v>
      </c>
      <c r="AA2084">
        <v>0.99994870000000002</v>
      </c>
      <c r="AB2084">
        <v>28</v>
      </c>
      <c r="AC2084">
        <v>-0.69749999999999002</v>
      </c>
      <c r="AD2084">
        <v>-9.0524999999999897E-2</v>
      </c>
      <c r="AE2084">
        <v>-4.2100000000004897E-2</v>
      </c>
      <c r="AF2084">
        <v>7.8208727024235009E-3</v>
      </c>
      <c r="AG2084">
        <v>-9.0524999999999897E-2</v>
      </c>
      <c r="AH2084">
        <v>0.68719102018228395</v>
      </c>
      <c r="AI2084">
        <v>97.503993184576998</v>
      </c>
      <c r="AJ2084">
        <v>89.347948911771596</v>
      </c>
      <c r="AK2084">
        <v>0.69317201320739696</v>
      </c>
      <c r="AL2084">
        <v>66.422883310977198</v>
      </c>
      <c r="AM2084">
        <v>95.681423781340598</v>
      </c>
      <c r="AN2084">
        <v>0.99999996166834904</v>
      </c>
    </row>
    <row r="2085" spans="1:40" x14ac:dyDescent="0.25">
      <c r="A2085" t="str">
        <f>"20190304164131622"</f>
        <v>20190304164131622</v>
      </c>
      <c r="B2085" t="str">
        <f>"1551688891613192"</f>
        <v>1551688891613192</v>
      </c>
      <c r="C2085" t="s">
        <v>40</v>
      </c>
      <c r="D2085">
        <v>4.3140780000000003</v>
      </c>
      <c r="E2085">
        <v>0.54250810000000005</v>
      </c>
      <c r="F2085" t="s">
        <v>41</v>
      </c>
      <c r="G2085">
        <v>-216.44659999999999</v>
      </c>
      <c r="H2085">
        <v>1.0147619999999999</v>
      </c>
      <c r="I2085">
        <v>284.52949999999998</v>
      </c>
      <c r="J2085">
        <v>-215.74180000000001</v>
      </c>
      <c r="K2085">
        <v>1.1118140000000001</v>
      </c>
      <c r="L2085">
        <v>284.57</v>
      </c>
      <c r="M2085">
        <v>-0.99725900000000001</v>
      </c>
      <c r="N2085">
        <v>-5.3933669999999996E-3</v>
      </c>
      <c r="O2085">
        <v>-7.3794109999999996E-2</v>
      </c>
      <c r="P2085">
        <v>-0.90699030000000003</v>
      </c>
      <c r="Q2085">
        <v>0.39346629999999999</v>
      </c>
      <c r="R2085">
        <v>-0.15017730000000001</v>
      </c>
      <c r="S2085">
        <v>-3.4305110000000001</v>
      </c>
      <c r="T2085">
        <v>-0.35339619999999999</v>
      </c>
      <c r="U2085">
        <v>-0.2175598</v>
      </c>
      <c r="V2085">
        <v>-8.4630510000000006E-2</v>
      </c>
      <c r="W2085">
        <v>0.39802159999999998</v>
      </c>
      <c r="X2085">
        <v>0.91346400000000005</v>
      </c>
      <c r="Y2085">
        <v>1.0123450000000001E-2</v>
      </c>
      <c r="Z2085">
        <v>7.7145709999999999E-3</v>
      </c>
      <c r="AA2085">
        <v>0.999919</v>
      </c>
      <c r="AB2085">
        <v>28</v>
      </c>
      <c r="AC2085">
        <v>-0.704799999999977</v>
      </c>
      <c r="AD2085">
        <v>-9.7051999999999694E-2</v>
      </c>
      <c r="AE2085">
        <v>-4.0500000000008599E-2</v>
      </c>
      <c r="AF2085">
        <v>1.14057074692278E-2</v>
      </c>
      <c r="AG2085">
        <v>-9.7051999999999694E-2</v>
      </c>
      <c r="AH2085">
        <v>0.69277407163584304</v>
      </c>
      <c r="AI2085">
        <v>97.973704983044399</v>
      </c>
      <c r="AJ2085">
        <v>89.056777827760996</v>
      </c>
      <c r="AK2085">
        <v>0.69963211418414595</v>
      </c>
      <c r="AL2085">
        <v>66.545442692296504</v>
      </c>
      <c r="AM2085">
        <v>95.293222428993204</v>
      </c>
      <c r="AN2085">
        <v>0.99999999829271002</v>
      </c>
    </row>
    <row r="2086" spans="1:40" x14ac:dyDescent="0.25">
      <c r="A2086" t="str">
        <f>"20190304164131643"</f>
        <v>20190304164131643</v>
      </c>
      <c r="B2086" t="str">
        <f>"1551688891632711"</f>
        <v>1551688891632711</v>
      </c>
      <c r="C2086" t="s">
        <v>40</v>
      </c>
      <c r="D2086">
        <v>4.3335530000000002</v>
      </c>
      <c r="E2086">
        <v>0.54276829999999998</v>
      </c>
      <c r="F2086" t="s">
        <v>41</v>
      </c>
      <c r="G2086">
        <v>-216.69370000000001</v>
      </c>
      <c r="H2086">
        <v>1.010807</v>
      </c>
      <c r="I2086">
        <v>284.51249999999999</v>
      </c>
      <c r="J2086">
        <v>-216.00219999999999</v>
      </c>
      <c r="K2086">
        <v>1.1117790000000001</v>
      </c>
      <c r="L2086">
        <v>284.54840000000002</v>
      </c>
      <c r="M2086">
        <v>-0.99708220000000003</v>
      </c>
      <c r="N2086">
        <v>-5.3529340000000002E-3</v>
      </c>
      <c r="O2086">
        <v>-7.6150159999999995E-2</v>
      </c>
      <c r="P2086">
        <v>-0.90906889999999996</v>
      </c>
      <c r="Q2086">
        <v>0.39054159999999999</v>
      </c>
      <c r="R2086">
        <v>-0.1451587</v>
      </c>
      <c r="S2086">
        <v>-3.4312589999999998</v>
      </c>
      <c r="T2086">
        <v>-0.364234</v>
      </c>
      <c r="U2086">
        <v>-0.20770259999999999</v>
      </c>
      <c r="V2086">
        <v>-7.7278899999999998E-2</v>
      </c>
      <c r="W2086">
        <v>0.3951054</v>
      </c>
      <c r="X2086">
        <v>0.91537950000000001</v>
      </c>
      <c r="Y2086">
        <v>1.529256E-2</v>
      </c>
      <c r="Z2086">
        <v>8.4860639999999998E-3</v>
      </c>
      <c r="AA2086">
        <v>0.99984709999999999</v>
      </c>
      <c r="AB2086">
        <v>28</v>
      </c>
      <c r="AC2086">
        <v>-0.69150000000001899</v>
      </c>
      <c r="AD2086">
        <v>-0.10097200000000001</v>
      </c>
      <c r="AE2086">
        <v>-3.5900000000026397E-2</v>
      </c>
      <c r="AF2086">
        <v>1.6511714738441201E-2</v>
      </c>
      <c r="AG2086">
        <v>-0.10097200000000001</v>
      </c>
      <c r="AH2086">
        <v>0.67781277545117002</v>
      </c>
      <c r="AI2086">
        <v>98.470418134107604</v>
      </c>
      <c r="AJ2086">
        <v>88.604534273420597</v>
      </c>
      <c r="AK2086">
        <v>0.68549116702727997</v>
      </c>
      <c r="AL2086">
        <v>66.727451442414306</v>
      </c>
      <c r="AM2086">
        <v>94.825627396066096</v>
      </c>
      <c r="AN2086">
        <v>0.999999967257309</v>
      </c>
    </row>
    <row r="2087" spans="1:40" x14ac:dyDescent="0.25">
      <c r="A2087" t="str">
        <f>"20190304164131657"</f>
        <v>20190304164131657</v>
      </c>
      <c r="B2087" t="str">
        <f>"1551688891653208"</f>
        <v>1551688891653208</v>
      </c>
      <c r="C2087" t="s">
        <v>40</v>
      </c>
      <c r="D2087">
        <v>4.3216830000000002</v>
      </c>
      <c r="E2087">
        <v>0.54287050000000003</v>
      </c>
      <c r="F2087" t="s">
        <v>41</v>
      </c>
      <c r="G2087">
        <v>-216.9426</v>
      </c>
      <c r="H2087">
        <v>1.0081439999999999</v>
      </c>
      <c r="I2087">
        <v>284.49549999999999</v>
      </c>
      <c r="J2087">
        <v>-216.17320000000001</v>
      </c>
      <c r="K2087">
        <v>1.1117360000000001</v>
      </c>
      <c r="L2087">
        <v>284.53390000000002</v>
      </c>
      <c r="M2087">
        <v>-0.99696739999999995</v>
      </c>
      <c r="N2087">
        <v>-5.326374E-3</v>
      </c>
      <c r="O2087">
        <v>-7.7639620000000006E-2</v>
      </c>
      <c r="P2087">
        <v>-0.91022239999999999</v>
      </c>
      <c r="Q2087">
        <v>0.38856039999999997</v>
      </c>
      <c r="R2087">
        <v>-0.1432351</v>
      </c>
      <c r="S2087">
        <v>-3.431702</v>
      </c>
      <c r="T2087">
        <v>-0.37840810000000002</v>
      </c>
      <c r="U2087">
        <v>-0.1937256</v>
      </c>
      <c r="V2087">
        <v>-7.3859850000000005E-2</v>
      </c>
      <c r="W2087">
        <v>0.39312720000000001</v>
      </c>
      <c r="X2087">
        <v>0.91651280000000002</v>
      </c>
      <c r="Y2087">
        <v>2.0770299999999998E-2</v>
      </c>
      <c r="Z2087">
        <v>9.3012449999999997E-3</v>
      </c>
      <c r="AA2087">
        <v>0.99974099999999999</v>
      </c>
      <c r="AB2087">
        <v>28</v>
      </c>
      <c r="AC2087">
        <v>-0.76939999999998998</v>
      </c>
      <c r="AD2087">
        <v>-0.103591999999999</v>
      </c>
      <c r="AE2087">
        <v>-3.8400000000024102E-2</v>
      </c>
      <c r="AF2087">
        <v>2.1071640825354801E-2</v>
      </c>
      <c r="AG2087">
        <v>-0.103591999999999</v>
      </c>
      <c r="AH2087">
        <v>0.756381341660323</v>
      </c>
      <c r="AI2087">
        <v>97.795573561376997</v>
      </c>
      <c r="AJ2087">
        <v>88.404238927143595</v>
      </c>
      <c r="AK2087">
        <v>0.76373297069259904</v>
      </c>
      <c r="AL2087">
        <v>66.850776416865898</v>
      </c>
      <c r="AM2087">
        <v>94.607390177564994</v>
      </c>
      <c r="AN2087">
        <v>0.999999992692851</v>
      </c>
    </row>
    <row r="2088" spans="1:40" x14ac:dyDescent="0.25">
      <c r="A2088" t="str">
        <f>"20190304164131677"</f>
        <v>20190304164131677</v>
      </c>
      <c r="B2088" t="str">
        <f>"1551688891672728"</f>
        <v>1551688891672728</v>
      </c>
      <c r="C2088" t="s">
        <v>40</v>
      </c>
      <c r="D2088">
        <v>4.3130810000000004</v>
      </c>
      <c r="E2088">
        <v>0.54294039999999999</v>
      </c>
      <c r="F2088" t="s">
        <v>41</v>
      </c>
      <c r="G2088">
        <v>-216.95009999999999</v>
      </c>
      <c r="H2088">
        <v>1.024327</v>
      </c>
      <c r="I2088">
        <v>284.4914</v>
      </c>
      <c r="J2088">
        <v>-216.42529999999999</v>
      </c>
      <c r="K2088">
        <v>1.1116379999999999</v>
      </c>
      <c r="L2088">
        <v>284.51220000000001</v>
      </c>
      <c r="M2088">
        <v>-0.9968032</v>
      </c>
      <c r="N2088">
        <v>-5.2890849999999998E-3</v>
      </c>
      <c r="O2088">
        <v>-7.9721559999999997E-2</v>
      </c>
      <c r="P2088">
        <v>-0.91208489999999998</v>
      </c>
      <c r="Q2088">
        <v>0.3859032</v>
      </c>
      <c r="R2088">
        <v>-0.13849259999999999</v>
      </c>
      <c r="S2088">
        <v>-3.4311370000000001</v>
      </c>
      <c r="T2088">
        <v>-0.3862524</v>
      </c>
      <c r="U2088">
        <v>-0.188385</v>
      </c>
      <c r="V2088">
        <v>-6.6979929999999993E-2</v>
      </c>
      <c r="W2088">
        <v>0.39048699999999997</v>
      </c>
      <c r="X2088">
        <v>0.9181686</v>
      </c>
      <c r="Y2088">
        <v>2.434031E-2</v>
      </c>
      <c r="Z2088">
        <v>9.9362170000000007E-3</v>
      </c>
      <c r="AA2088">
        <v>0.99965440000000005</v>
      </c>
      <c r="AB2088">
        <v>28</v>
      </c>
      <c r="AC2088">
        <v>-0.52479999999999805</v>
      </c>
      <c r="AD2088">
        <v>-8.7310999999999903E-2</v>
      </c>
      <c r="AE2088">
        <v>-2.0800000000008301E-2</v>
      </c>
      <c r="AF2088">
        <v>2.0537107172585101E-2</v>
      </c>
      <c r="AG2088">
        <v>-8.7310999999999903E-2</v>
      </c>
      <c r="AH2088">
        <v>0.51067503543894699</v>
      </c>
      <c r="AI2088">
        <v>99.694462070141</v>
      </c>
      <c r="AJ2088">
        <v>87.697056354448407</v>
      </c>
      <c r="AK2088">
        <v>0.51849202049075804</v>
      </c>
      <c r="AL2088">
        <v>67.015194478125196</v>
      </c>
      <c r="AM2088">
        <v>94.172307144157003</v>
      </c>
      <c r="AN2088">
        <v>0.99999999310888199</v>
      </c>
    </row>
    <row r="2089" spans="1:40" x14ac:dyDescent="0.25">
      <c r="A2089" t="str">
        <f>"20190304164131691"</f>
        <v>20190304164131691</v>
      </c>
      <c r="B2089" t="str">
        <f>"1551688891683463"</f>
        <v>1551688891683463</v>
      </c>
      <c r="C2089" t="s">
        <v>40</v>
      </c>
      <c r="D2089">
        <v>4.3581760000000003</v>
      </c>
      <c r="E2089">
        <v>0.54295109999999902</v>
      </c>
      <c r="F2089" t="s">
        <v>41</v>
      </c>
      <c r="G2089">
        <v>-217.2003</v>
      </c>
      <c r="H2089">
        <v>1.022292</v>
      </c>
      <c r="I2089">
        <v>284.47280000000001</v>
      </c>
      <c r="J2089">
        <v>-216.6009</v>
      </c>
      <c r="K2089">
        <v>1.1115379999999999</v>
      </c>
      <c r="L2089">
        <v>284.49689999999998</v>
      </c>
      <c r="M2089">
        <v>-0.99669739999999996</v>
      </c>
      <c r="N2089">
        <v>-5.2633569999999998E-3</v>
      </c>
      <c r="O2089">
        <v>-8.1035289999999996E-2</v>
      </c>
      <c r="P2089">
        <v>-0.91275609999999996</v>
      </c>
      <c r="Q2089">
        <v>0.38507560000000002</v>
      </c>
      <c r="R2089">
        <v>-0.1363559</v>
      </c>
      <c r="S2089">
        <v>-3.4299770000000001</v>
      </c>
      <c r="T2089">
        <v>-0.395422</v>
      </c>
      <c r="U2089">
        <v>-0.17446900000000001</v>
      </c>
      <c r="V2089">
        <v>-6.3496929999999993E-2</v>
      </c>
      <c r="W2089">
        <v>0.38966640000000002</v>
      </c>
      <c r="X2089">
        <v>0.91876449999999998</v>
      </c>
      <c r="Y2089">
        <v>2.9608079999999998E-2</v>
      </c>
      <c r="Z2089">
        <v>1.064555E-2</v>
      </c>
      <c r="AA2089">
        <v>0.99950490000000003</v>
      </c>
      <c r="AB2089">
        <v>28</v>
      </c>
      <c r="AC2089">
        <v>-0.59940000000000204</v>
      </c>
      <c r="AD2089">
        <v>-8.9245999999999895E-2</v>
      </c>
      <c r="AE2089">
        <v>-2.4099999999975801E-2</v>
      </c>
      <c r="AF2089">
        <v>2.40208282563131E-2</v>
      </c>
      <c r="AG2089">
        <v>-8.9245999999999895E-2</v>
      </c>
      <c r="AH2089">
        <v>0.58640271741594596</v>
      </c>
      <c r="AI2089">
        <v>98.646432054450699</v>
      </c>
      <c r="AJ2089">
        <v>87.654303056960501</v>
      </c>
      <c r="AK2089">
        <v>0.59364130221786704</v>
      </c>
      <c r="AL2089">
        <v>67.066256204148502</v>
      </c>
      <c r="AM2089">
        <v>93.953494440538805</v>
      </c>
      <c r="AN2089">
        <v>0.99999998493431697</v>
      </c>
    </row>
    <row r="2090" spans="1:40" x14ac:dyDescent="0.25">
      <c r="A2090" t="str">
        <f>"20190304164131711"</f>
        <v>20190304164131711</v>
      </c>
      <c r="B2090" t="str">
        <f>"1551688891702983"</f>
        <v>1551688891702983</v>
      </c>
      <c r="C2090" t="s">
        <v>40</v>
      </c>
      <c r="D2090">
        <v>4.3398830000000004</v>
      </c>
      <c r="E2090">
        <v>0.54292609999999997</v>
      </c>
      <c r="F2090" t="s">
        <v>41</v>
      </c>
      <c r="G2090">
        <v>-217.44829999999999</v>
      </c>
      <c r="H2090">
        <v>1.0131509999999999</v>
      </c>
      <c r="I2090">
        <v>284.45510000000002</v>
      </c>
      <c r="J2090">
        <v>-216.85239999999999</v>
      </c>
      <c r="K2090">
        <v>1.1113580000000001</v>
      </c>
      <c r="L2090">
        <v>284.47460000000001</v>
      </c>
      <c r="M2090">
        <v>-0.99656069999999997</v>
      </c>
      <c r="N2090">
        <v>-5.2268059999999996E-3</v>
      </c>
      <c r="O2090">
        <v>-8.270276E-2</v>
      </c>
      <c r="P2090">
        <v>-0.9137362</v>
      </c>
      <c r="Q2090">
        <v>0.38462800000000003</v>
      </c>
      <c r="R2090">
        <v>-0.13094909999999901</v>
      </c>
      <c r="S2090">
        <v>-3.4294889999999998</v>
      </c>
      <c r="T2090">
        <v>-0.39833649999999998</v>
      </c>
      <c r="U2090">
        <v>-0.1694031</v>
      </c>
      <c r="V2090">
        <v>-5.6326960000000002E-2</v>
      </c>
      <c r="W2090">
        <v>0.3892391</v>
      </c>
      <c r="X2090">
        <v>0.91941300000000004</v>
      </c>
      <c r="Y2090">
        <v>3.2702969999999998E-2</v>
      </c>
      <c r="Z2090">
        <v>1.110123E-2</v>
      </c>
      <c r="AA2090">
        <v>0.9994035</v>
      </c>
      <c r="AB2090">
        <v>28</v>
      </c>
      <c r="AC2090">
        <v>-0.59589999999999999</v>
      </c>
      <c r="AD2090">
        <v>-9.82070000000001E-2</v>
      </c>
      <c r="AE2090">
        <v>-1.9499999999993599E-2</v>
      </c>
      <c r="AF2090">
        <v>2.9061561524192599E-2</v>
      </c>
      <c r="AG2090">
        <v>-9.82070000000001E-2</v>
      </c>
      <c r="AH2090">
        <v>0.57974201859123298</v>
      </c>
      <c r="AI2090">
        <v>99.602672866285701</v>
      </c>
      <c r="AJ2090">
        <v>87.130254247766302</v>
      </c>
      <c r="AK2090">
        <v>0.58871894595593099</v>
      </c>
      <c r="AL2090">
        <v>67.092838556397794</v>
      </c>
      <c r="AM2090">
        <v>93.505789558957702</v>
      </c>
      <c r="AN2090">
        <v>1.0000000339803199</v>
      </c>
    </row>
    <row r="2091" spans="1:40" x14ac:dyDescent="0.25">
      <c r="A2091" t="str">
        <f>"20190304164131724"</f>
        <v>20190304164131724</v>
      </c>
      <c r="B2091" t="str">
        <f>"1551688891712744"</f>
        <v>1551688891712744</v>
      </c>
      <c r="C2091" t="s">
        <v>40</v>
      </c>
      <c r="D2091">
        <v>4.322756</v>
      </c>
      <c r="E2091">
        <v>0.54287890000000005</v>
      </c>
      <c r="F2091" t="s">
        <v>41</v>
      </c>
      <c r="G2091">
        <v>-217.70179999999999</v>
      </c>
      <c r="H2091">
        <v>1.01292</v>
      </c>
      <c r="I2091">
        <v>284.43630000000002</v>
      </c>
      <c r="J2091">
        <v>-217.01820000000001</v>
      </c>
      <c r="K2091">
        <v>1.111218</v>
      </c>
      <c r="L2091">
        <v>284.45999999999998</v>
      </c>
      <c r="M2091">
        <v>-0.99648040000000004</v>
      </c>
      <c r="N2091">
        <v>-5.2029650000000004E-3</v>
      </c>
      <c r="O2091">
        <v>-8.3666240000000003E-2</v>
      </c>
      <c r="P2091">
        <v>-0.91471670000000005</v>
      </c>
      <c r="Q2091">
        <v>0.38404660000000002</v>
      </c>
      <c r="R2091">
        <v>-0.1257047</v>
      </c>
      <c r="S2091">
        <v>-3.4282530000000002</v>
      </c>
      <c r="T2091">
        <v>-0.39746860000000001</v>
      </c>
      <c r="U2091">
        <v>-0.155365</v>
      </c>
      <c r="V2091">
        <v>-5.0001759999999999E-2</v>
      </c>
      <c r="W2091">
        <v>0.3886772</v>
      </c>
      <c r="X2091">
        <v>0.92001619999999995</v>
      </c>
      <c r="Y2091">
        <v>3.7695960000000001E-2</v>
      </c>
      <c r="Z2091">
        <v>1.1490810000000001E-2</v>
      </c>
      <c r="AA2091">
        <v>0.99922319999999998</v>
      </c>
      <c r="AB2091">
        <v>28</v>
      </c>
      <c r="AC2091">
        <v>-0.683599999999984</v>
      </c>
      <c r="AD2091">
        <v>-9.8297999999999996E-2</v>
      </c>
      <c r="AE2091">
        <v>-2.3699999999962501E-2</v>
      </c>
      <c r="AF2091">
        <v>3.28986798785076E-2</v>
      </c>
      <c r="AG2091">
        <v>-9.8297999999999996E-2</v>
      </c>
      <c r="AH2091">
        <v>0.66936232013951402</v>
      </c>
      <c r="AI2091">
        <v>98.3444234713605</v>
      </c>
      <c r="AJ2091">
        <v>87.186217614893806</v>
      </c>
      <c r="AK2091">
        <v>0.67734093008196505</v>
      </c>
      <c r="AL2091">
        <v>67.127783463697995</v>
      </c>
      <c r="AM2091">
        <v>93.110895268788198</v>
      </c>
      <c r="AN2091">
        <v>0.999999975032688</v>
      </c>
    </row>
    <row r="2092" spans="1:40" x14ac:dyDescent="0.25">
      <c r="A2092" t="str">
        <f>"20190304164131737"</f>
        <v>20190304164131737</v>
      </c>
      <c r="B2092" t="str">
        <f>"1551688891733240"</f>
        <v>1551688891733240</v>
      </c>
      <c r="C2092" t="s">
        <v>40</v>
      </c>
      <c r="D2092">
        <v>4.3707710000000004</v>
      </c>
      <c r="E2092">
        <v>0.54279900000000003</v>
      </c>
      <c r="F2092" t="s">
        <v>41</v>
      </c>
      <c r="G2092">
        <v>-217.95189999999999</v>
      </c>
      <c r="H2092">
        <v>1.0026269999999999</v>
      </c>
      <c r="I2092">
        <v>284.42140000000001</v>
      </c>
      <c r="J2092">
        <v>-217.1867</v>
      </c>
      <c r="K2092">
        <v>1.111062</v>
      </c>
      <c r="L2092">
        <v>284.44499999999999</v>
      </c>
      <c r="M2092">
        <v>-0.9964113</v>
      </c>
      <c r="N2092">
        <v>-5.1785210000000002E-3</v>
      </c>
      <c r="O2092">
        <v>-8.4486779999999997E-2</v>
      </c>
      <c r="P2092">
        <v>-0.91494770000000003</v>
      </c>
      <c r="Q2092">
        <v>0.38432860000000002</v>
      </c>
      <c r="R2092">
        <v>-0.123136999999999</v>
      </c>
      <c r="S2092">
        <v>-3.4275509999999998</v>
      </c>
      <c r="T2092">
        <v>-0.39865489999999998</v>
      </c>
      <c r="U2092">
        <v>-0.14196779999999901</v>
      </c>
      <c r="V2092">
        <v>-4.6523870000000002E-2</v>
      </c>
      <c r="W2092">
        <v>0.38896500000000001</v>
      </c>
      <c r="X2092">
        <v>0.92007700000000003</v>
      </c>
      <c r="Y2092">
        <v>4.2364220000000001E-2</v>
      </c>
      <c r="Z2092">
        <v>1.190431E-2</v>
      </c>
      <c r="AA2092">
        <v>0.99903129999999996</v>
      </c>
      <c r="AB2092">
        <v>29</v>
      </c>
      <c r="AC2092">
        <v>-0.765199999999992</v>
      </c>
      <c r="AD2092">
        <v>-0.108435</v>
      </c>
      <c r="AE2092">
        <v>-2.35999999999876E-2</v>
      </c>
      <c r="AF2092">
        <v>4.0325508604209997E-2</v>
      </c>
      <c r="AG2092">
        <v>-0.108435</v>
      </c>
      <c r="AH2092">
        <v>0.749422956358058</v>
      </c>
      <c r="AI2092">
        <v>98.221334421994897</v>
      </c>
      <c r="AJ2092">
        <v>86.919956363786198</v>
      </c>
      <c r="AK2092">
        <v>0.75830011432521804</v>
      </c>
      <c r="AL2092">
        <v>67.109885126251797</v>
      </c>
      <c r="AM2092">
        <v>92.894706662528804</v>
      </c>
      <c r="AN2092">
        <v>0.99999996381688705</v>
      </c>
    </row>
    <row r="2093" spans="1:40" x14ac:dyDescent="0.25">
      <c r="A2093" t="str">
        <f>"20190304164131755"</f>
        <v>20190304164131755</v>
      </c>
      <c r="B2093" t="str">
        <f>"1551688891743000"</f>
        <v>1551688891743000</v>
      </c>
      <c r="C2093" t="s">
        <v>40</v>
      </c>
      <c r="D2093">
        <v>4.3428459999999998</v>
      </c>
      <c r="E2093">
        <v>0.54278689999999996</v>
      </c>
      <c r="F2093" t="s">
        <v>41</v>
      </c>
      <c r="G2093">
        <v>-217.96080000000001</v>
      </c>
      <c r="H2093">
        <v>1.022125</v>
      </c>
      <c r="I2093">
        <v>284.41430000000003</v>
      </c>
      <c r="J2093">
        <v>-217.4084</v>
      </c>
      <c r="K2093">
        <v>1.110846</v>
      </c>
      <c r="L2093">
        <v>284.42520000000002</v>
      </c>
      <c r="M2093">
        <v>-0.99633649999999996</v>
      </c>
      <c r="N2093">
        <v>-5.1474340000000002E-3</v>
      </c>
      <c r="O2093">
        <v>-8.5366449999999997E-2</v>
      </c>
      <c r="P2093">
        <v>-0.91519870000000003</v>
      </c>
      <c r="Q2093">
        <v>0.38546629999999998</v>
      </c>
      <c r="R2093">
        <v>-0.11758780000000001</v>
      </c>
      <c r="S2093">
        <v>-3.425888</v>
      </c>
      <c r="T2093">
        <v>-0.39362780000000003</v>
      </c>
      <c r="U2093">
        <v>-0.13626099999999999</v>
      </c>
      <c r="V2093">
        <v>-3.9968169999999997E-2</v>
      </c>
      <c r="W2093">
        <v>0.39011170000000001</v>
      </c>
      <c r="X2093">
        <v>0.91989969999999999</v>
      </c>
      <c r="Y2093">
        <v>4.4884710000000001E-2</v>
      </c>
      <c r="Z2093">
        <v>1.2005979999999999E-2</v>
      </c>
      <c r="AA2093">
        <v>0.99892000000000003</v>
      </c>
      <c r="AB2093">
        <v>29</v>
      </c>
      <c r="AC2093">
        <v>-0.552400000000005</v>
      </c>
      <c r="AD2093">
        <v>-8.8720999999999994E-2</v>
      </c>
      <c r="AE2093">
        <v>-1.08999999999923E-2</v>
      </c>
      <c r="AF2093">
        <v>3.5384426657934703E-2</v>
      </c>
      <c r="AG2093">
        <v>-8.8720999999999994E-2</v>
      </c>
      <c r="AH2093">
        <v>0.53745539996295399</v>
      </c>
      <c r="AI2093">
        <v>99.353734441931607</v>
      </c>
      <c r="AJ2093">
        <v>86.233256423086104</v>
      </c>
      <c r="AK2093">
        <v>0.54587707447762401</v>
      </c>
      <c r="AL2093">
        <v>67.038550741879703</v>
      </c>
      <c r="AM2093">
        <v>92.487845238303905</v>
      </c>
      <c r="AN2093">
        <v>1.0000000255750601</v>
      </c>
    </row>
    <row r="2094" spans="1:40" x14ac:dyDescent="0.25">
      <c r="A2094" t="str">
        <f>"20190304164131778"</f>
        <v>20190304164131778</v>
      </c>
      <c r="B2094" t="str">
        <f>"1551688891773256"</f>
        <v>1551688891773256</v>
      </c>
      <c r="C2094" t="s">
        <v>40</v>
      </c>
      <c r="D2094">
        <v>4.3466839999999998</v>
      </c>
      <c r="E2094">
        <v>0.54259990000000002</v>
      </c>
      <c r="F2094" t="s">
        <v>41</v>
      </c>
      <c r="G2094">
        <v>-218.21559999999999</v>
      </c>
      <c r="H2094">
        <v>1.0193350000000001</v>
      </c>
      <c r="I2094">
        <v>284.3965</v>
      </c>
      <c r="J2094">
        <v>-217.70419999999999</v>
      </c>
      <c r="K2094">
        <v>1.1105510000000001</v>
      </c>
      <c r="L2094">
        <v>284.399</v>
      </c>
      <c r="M2094">
        <v>-0.99626519999999996</v>
      </c>
      <c r="N2094">
        <v>-5.1063059999999997E-3</v>
      </c>
      <c r="O2094">
        <v>-8.6195869999999994E-2</v>
      </c>
      <c r="P2094">
        <v>-0.91564630000000002</v>
      </c>
      <c r="Q2094">
        <v>0.38584220000000002</v>
      </c>
      <c r="R2094">
        <v>-0.1127729</v>
      </c>
      <c r="S2094">
        <v>-3.4259189999999999</v>
      </c>
      <c r="T2094">
        <v>-0.38844050000000002</v>
      </c>
      <c r="U2094">
        <v>-0.1221008</v>
      </c>
      <c r="V2094">
        <v>-3.4098610000000001E-2</v>
      </c>
      <c r="W2094">
        <v>0.39048699999999997</v>
      </c>
      <c r="X2094">
        <v>0.91997669999999998</v>
      </c>
      <c r="Y2094">
        <v>4.9822569999999997E-2</v>
      </c>
      <c r="Z2094">
        <v>1.222907E-2</v>
      </c>
      <c r="AA2094">
        <v>0.99868319999999999</v>
      </c>
      <c r="AB2094">
        <v>29</v>
      </c>
      <c r="AC2094">
        <v>-0.51140000000000896</v>
      </c>
      <c r="AD2094">
        <v>-9.1215999999999894E-2</v>
      </c>
      <c r="AE2094">
        <v>-2.4999999999977202E-3</v>
      </c>
      <c r="AF2094">
        <v>4.0308105711675202E-2</v>
      </c>
      <c r="AG2094">
        <v>-9.1215999999999894E-2</v>
      </c>
      <c r="AH2094">
        <v>0.49399640942965201</v>
      </c>
      <c r="AI2094">
        <v>100.42788564993501</v>
      </c>
      <c r="AJ2094">
        <v>85.3352307149014</v>
      </c>
      <c r="AK2094">
        <v>0.50396185825065398</v>
      </c>
      <c r="AL2094">
        <v>67.015193927645797</v>
      </c>
      <c r="AM2094">
        <v>92.122676060756604</v>
      </c>
      <c r="AN2094">
        <v>0.99999997045791</v>
      </c>
    </row>
    <row r="2095" spans="1:40" x14ac:dyDescent="0.25">
      <c r="A2095" t="str">
        <f>"20190304164131801"</f>
        <v>20190304164131801</v>
      </c>
      <c r="B2095" t="str">
        <f>"1551688891793752"</f>
        <v>1551688891793752</v>
      </c>
      <c r="C2095" t="s">
        <v>40</v>
      </c>
      <c r="D2095">
        <v>4.3550760000000004</v>
      </c>
      <c r="E2095">
        <v>0.540029599999999</v>
      </c>
      <c r="F2095" t="s">
        <v>41</v>
      </c>
      <c r="G2095">
        <v>-218.47499999999999</v>
      </c>
      <c r="H2095">
        <v>1.0245200000000001</v>
      </c>
      <c r="I2095">
        <v>284.37430000000001</v>
      </c>
      <c r="J2095">
        <v>-218.00299999999999</v>
      </c>
      <c r="K2095">
        <v>1.1102540000000001</v>
      </c>
      <c r="L2095">
        <v>284.3725</v>
      </c>
      <c r="M2095">
        <v>-0.99622909999999998</v>
      </c>
      <c r="N2095">
        <v>-5.0655049999999997E-3</v>
      </c>
      <c r="O2095">
        <v>-8.6614880000000005E-2</v>
      </c>
      <c r="P2095">
        <v>-0.91650790000000004</v>
      </c>
      <c r="Q2095">
        <v>0.3849823</v>
      </c>
      <c r="R2095">
        <v>-0.1086379</v>
      </c>
      <c r="S2095">
        <v>-3.4238740000000001</v>
      </c>
      <c r="T2095">
        <v>-0.38216879999999998</v>
      </c>
      <c r="U2095">
        <v>-0.1099243</v>
      </c>
      <c r="V2095">
        <v>-2.924618E-2</v>
      </c>
      <c r="W2095">
        <v>0.38962029999999997</v>
      </c>
      <c r="X2095">
        <v>0.92051110000000003</v>
      </c>
      <c r="Y2095">
        <v>5.3766439999999999E-2</v>
      </c>
      <c r="Z2095">
        <v>1.2312399999999999E-2</v>
      </c>
      <c r="AA2095">
        <v>0.99847759999999997</v>
      </c>
      <c r="AB2095">
        <v>29</v>
      </c>
      <c r="AC2095">
        <v>-0.47200000000000802</v>
      </c>
      <c r="AD2095">
        <v>-8.5733999999999894E-2</v>
      </c>
      <c r="AE2095">
        <v>1.8000000000029099E-3</v>
      </c>
      <c r="AF2095">
        <v>4.1312958856546803E-2</v>
      </c>
      <c r="AG2095">
        <v>-8.5733999999999894E-2</v>
      </c>
      <c r="AH2095">
        <v>0.45505672740632402</v>
      </c>
      <c r="AI2095">
        <v>100.62691850260499</v>
      </c>
      <c r="AJ2095">
        <v>84.812543622547395</v>
      </c>
      <c r="AK2095">
        <v>0.464901822413331</v>
      </c>
      <c r="AL2095">
        <v>67.069124604850501</v>
      </c>
      <c r="AM2095">
        <v>91.819770765146103</v>
      </c>
      <c r="AN2095">
        <v>1.0000000012199399</v>
      </c>
    </row>
    <row r="2096" spans="1:40" x14ac:dyDescent="0.25">
      <c r="A2096" t="str">
        <f>"20190304164131824"</f>
        <v>20190304164131824</v>
      </c>
      <c r="B2096" t="str">
        <f>"1551688891813090"</f>
        <v>1551688891813090</v>
      </c>
      <c r="C2096" t="s">
        <v>40</v>
      </c>
      <c r="D2096">
        <v>4.3920659999999998</v>
      </c>
      <c r="E2096">
        <v>0.53952180000000005</v>
      </c>
      <c r="F2096" t="s">
        <v>41</v>
      </c>
      <c r="G2096">
        <v>-218.7415</v>
      </c>
      <c r="H2096">
        <v>1.0422689999999999</v>
      </c>
      <c r="I2096">
        <v>284.3485</v>
      </c>
      <c r="J2096">
        <v>-218.29929999999999</v>
      </c>
      <c r="K2096">
        <v>1.109955</v>
      </c>
      <c r="L2096">
        <v>284.34660000000002</v>
      </c>
      <c r="M2096">
        <v>-0.99623300000000004</v>
      </c>
      <c r="N2096">
        <v>-5.025051E-3</v>
      </c>
      <c r="O2096">
        <v>-8.6571999999999996E-2</v>
      </c>
      <c r="P2096">
        <v>-0.91705890000000001</v>
      </c>
      <c r="Q2096">
        <v>0.3841485</v>
      </c>
      <c r="R2096">
        <v>-0.1069247</v>
      </c>
      <c r="S2096">
        <v>-3.3913570000000002</v>
      </c>
      <c r="T2096">
        <v>-0.31221690000000002</v>
      </c>
      <c r="U2096">
        <v>-0.11047360000000001</v>
      </c>
      <c r="V2096">
        <v>-2.72587E-2</v>
      </c>
      <c r="W2096">
        <v>0.38877220000000001</v>
      </c>
      <c r="X2096">
        <v>0.92093060000000004</v>
      </c>
      <c r="Y2096">
        <v>5.3527369999999998E-2</v>
      </c>
      <c r="Z2096">
        <v>1.009913E-2</v>
      </c>
      <c r="AA2096">
        <v>0.99851529999999999</v>
      </c>
      <c r="AB2096">
        <v>29</v>
      </c>
      <c r="AC2096">
        <v>-0.44220000000001303</v>
      </c>
      <c r="AD2096">
        <v>-6.7685999999999899E-2</v>
      </c>
      <c r="AE2096">
        <v>1.8999999999778001E-3</v>
      </c>
      <c r="AF2096">
        <v>3.92557652292089E-2</v>
      </c>
      <c r="AG2096">
        <v>-6.7685999999999899E-2</v>
      </c>
      <c r="AH2096">
        <v>0.43029395115710001</v>
      </c>
      <c r="AI2096">
        <v>98.903098221496094</v>
      </c>
      <c r="AJ2096">
        <v>84.787329247667799</v>
      </c>
      <c r="AK2096">
        <v>0.43735031050877199</v>
      </c>
      <c r="AL2096">
        <v>67.121876714951398</v>
      </c>
      <c r="AM2096">
        <v>91.695407451501097</v>
      </c>
      <c r="AN2096">
        <v>1.00000001511744</v>
      </c>
    </row>
    <row r="2097" spans="1:40" x14ac:dyDescent="0.25">
      <c r="A2097" t="str">
        <f>"20190304164131844"</f>
        <v>20190304164131844</v>
      </c>
      <c r="B2097" t="str">
        <f>"1551688891832610"</f>
        <v>1551688891832610</v>
      </c>
      <c r="C2097" t="s">
        <v>40</v>
      </c>
      <c r="D2097">
        <v>4.381869</v>
      </c>
      <c r="E2097">
        <v>0.54145929999999998</v>
      </c>
      <c r="F2097" t="s">
        <v>41</v>
      </c>
      <c r="G2097">
        <v>-219.2543</v>
      </c>
      <c r="H2097">
        <v>1.025029</v>
      </c>
      <c r="I2097">
        <v>284.31720000000001</v>
      </c>
      <c r="J2097">
        <v>-218.55719999999999</v>
      </c>
      <c r="K2097">
        <v>1.109691</v>
      </c>
      <c r="L2097">
        <v>284.32440000000003</v>
      </c>
      <c r="M2097">
        <v>-0.99626650000000005</v>
      </c>
      <c r="N2097">
        <v>-4.9918339999999997E-3</v>
      </c>
      <c r="O2097">
        <v>-8.6188139999999996E-2</v>
      </c>
      <c r="P2097">
        <v>-0.91686140000000005</v>
      </c>
      <c r="Q2097">
        <v>0.3842988</v>
      </c>
      <c r="R2097">
        <v>-0.10807509999999999</v>
      </c>
      <c r="S2097">
        <v>-3.3853</v>
      </c>
      <c r="T2097">
        <v>-0.30115180000000003</v>
      </c>
      <c r="U2097">
        <v>-0.1042786</v>
      </c>
      <c r="V2097">
        <v>-2.8528600000000001E-2</v>
      </c>
      <c r="W2097">
        <v>0.38890920000000001</v>
      </c>
      <c r="X2097">
        <v>0.92083419999999905</v>
      </c>
      <c r="Y2097">
        <v>5.4943260000000001E-2</v>
      </c>
      <c r="Z2097">
        <v>9.7866129999999996E-3</v>
      </c>
      <c r="AA2097">
        <v>0.99844149999999998</v>
      </c>
      <c r="AB2097">
        <v>29</v>
      </c>
      <c r="AC2097">
        <v>-0.69710000000000505</v>
      </c>
      <c r="AD2097">
        <v>-8.4661999999999696E-2</v>
      </c>
      <c r="AE2097">
        <v>-7.2000000000116398E-3</v>
      </c>
      <c r="AF2097">
        <v>5.2140307708485101E-2</v>
      </c>
      <c r="AG2097">
        <v>-8.4661999999999696E-2</v>
      </c>
      <c r="AH2097">
        <v>0.68502360377845695</v>
      </c>
      <c r="AI2097">
        <v>97.025335802121702</v>
      </c>
      <c r="AJ2097">
        <v>85.6473464723354</v>
      </c>
      <c r="AK2097">
        <v>0.69220199628833801</v>
      </c>
      <c r="AL2097">
        <v>67.113354782960798</v>
      </c>
      <c r="AM2097">
        <v>91.774527599714006</v>
      </c>
      <c r="AN2097">
        <v>0.99999993537611698</v>
      </c>
    </row>
    <row r="2098" spans="1:40" x14ac:dyDescent="0.25">
      <c r="A2098" t="str">
        <f>"20190304164131866"</f>
        <v>20190304164131866</v>
      </c>
      <c r="B2098" t="str">
        <f>"1551688891862867"</f>
        <v>1551688891862867</v>
      </c>
      <c r="C2098" t="s">
        <v>40</v>
      </c>
      <c r="D2098">
        <v>4.3595940000000004</v>
      </c>
      <c r="E2098">
        <v>0.54280329999999999</v>
      </c>
      <c r="F2098" t="s">
        <v>41</v>
      </c>
      <c r="G2098">
        <v>-219.51329999999999</v>
      </c>
      <c r="H2098">
        <v>1.0183949999999999</v>
      </c>
      <c r="I2098">
        <v>284.29950000000002</v>
      </c>
      <c r="J2098">
        <v>-218.85570000000001</v>
      </c>
      <c r="K2098">
        <v>1.109399</v>
      </c>
      <c r="L2098">
        <v>284.29919999999998</v>
      </c>
      <c r="M2098">
        <v>-0.99633510000000003</v>
      </c>
      <c r="N2098">
        <v>-4.9574479999999997E-3</v>
      </c>
      <c r="O2098">
        <v>-8.5392419999999997E-2</v>
      </c>
      <c r="P2098">
        <v>-0.91693899999999995</v>
      </c>
      <c r="Q2098">
        <v>0.38320789999999999</v>
      </c>
      <c r="R2098">
        <v>-0.1112416</v>
      </c>
      <c r="S2098">
        <v>-3.3975219999999999</v>
      </c>
      <c r="T2098">
        <v>-0.32452740000000002</v>
      </c>
      <c r="U2098">
        <v>-8.9599609999999996E-2</v>
      </c>
      <c r="V2098">
        <v>-3.2143270000000002E-2</v>
      </c>
      <c r="W2098">
        <v>0.38781199999999999</v>
      </c>
      <c r="X2098">
        <v>0.92117789999999999</v>
      </c>
      <c r="Y2098">
        <v>5.846937E-2</v>
      </c>
      <c r="Z2098">
        <v>1.063501E-2</v>
      </c>
      <c r="AA2098">
        <v>0.99823249999999997</v>
      </c>
      <c r="AB2098">
        <v>29</v>
      </c>
      <c r="AC2098">
        <v>-0.65759999999997298</v>
      </c>
      <c r="AD2098">
        <v>-9.1003999999999793E-2</v>
      </c>
      <c r="AE2098">
        <v>3.0000000003838003E-4</v>
      </c>
      <c r="AF2098">
        <v>5.5392805761704099E-2</v>
      </c>
      <c r="AG2098">
        <v>-9.1003999999999793E-2</v>
      </c>
      <c r="AH2098">
        <v>0.64286077953452203</v>
      </c>
      <c r="AI2098">
        <v>98.0279525308855</v>
      </c>
      <c r="AJ2098">
        <v>85.075210327757205</v>
      </c>
      <c r="AK2098">
        <v>0.65162878451606698</v>
      </c>
      <c r="AL2098">
        <v>67.181576744763902</v>
      </c>
      <c r="AM2098">
        <v>91.9984487276827</v>
      </c>
      <c r="AN2098">
        <v>1.0000000302993499</v>
      </c>
    </row>
    <row r="2099" spans="1:40" x14ac:dyDescent="0.25">
      <c r="A2099" t="str">
        <f>"20190304164131890"</f>
        <v>20190304164131890</v>
      </c>
      <c r="B2099" t="str">
        <f>"1551688891883363"</f>
        <v>1551688891883363</v>
      </c>
      <c r="C2099" t="s">
        <v>40</v>
      </c>
      <c r="D2099">
        <v>4.3777879999999998</v>
      </c>
      <c r="E2099">
        <v>0.54326240000000003</v>
      </c>
      <c r="F2099" t="s">
        <v>41</v>
      </c>
      <c r="G2099">
        <v>-219.77529999999999</v>
      </c>
      <c r="H2099">
        <v>1.016599</v>
      </c>
      <c r="I2099">
        <v>284.2756</v>
      </c>
      <c r="J2099">
        <v>-219.16669999999999</v>
      </c>
      <c r="K2099">
        <v>1.1090960000000001</v>
      </c>
      <c r="L2099">
        <v>284.27350000000001</v>
      </c>
      <c r="M2099">
        <v>-0.9964385</v>
      </c>
      <c r="N2099">
        <v>-4.9272470000000001E-3</v>
      </c>
      <c r="O2099">
        <v>-8.4179379999999998E-2</v>
      </c>
      <c r="P2099">
        <v>-0.91698219999999997</v>
      </c>
      <c r="Q2099">
        <v>0.38220999999999999</v>
      </c>
      <c r="R2099">
        <v>-0.1142778</v>
      </c>
      <c r="S2099">
        <v>-3.4047390000000002</v>
      </c>
      <c r="T2099">
        <v>-0.34363690000000002</v>
      </c>
      <c r="U2099">
        <v>-8.7646479999999999E-2</v>
      </c>
      <c r="V2099">
        <v>-3.6011519999999998E-2</v>
      </c>
      <c r="W2099">
        <v>0.38681759999999998</v>
      </c>
      <c r="X2099">
        <v>0.92145279999999996</v>
      </c>
      <c r="Y2099">
        <v>5.7816439999999997E-2</v>
      </c>
      <c r="Z2099">
        <v>1.110184E-2</v>
      </c>
      <c r="AA2099">
        <v>0.99826550000000003</v>
      </c>
      <c r="AB2099">
        <v>29</v>
      </c>
      <c r="AC2099">
        <v>-0.60859999999999503</v>
      </c>
      <c r="AD2099">
        <v>-9.2496999999999802E-2</v>
      </c>
      <c r="AE2099">
        <v>2.0999999999844398E-3</v>
      </c>
      <c r="AF2099">
        <v>5.21208158998097E-2</v>
      </c>
      <c r="AG2099">
        <v>-9.2496999999999802E-2</v>
      </c>
      <c r="AH2099">
        <v>0.59257533577446497</v>
      </c>
      <c r="AI2099">
        <v>98.838310518369894</v>
      </c>
      <c r="AJ2099">
        <v>84.973403155152397</v>
      </c>
      <c r="AK2099">
        <v>0.60201146419921403</v>
      </c>
      <c r="AL2099">
        <v>67.243373836950298</v>
      </c>
      <c r="AM2099">
        <v>92.238051272275598</v>
      </c>
      <c r="AN2099">
        <v>0.99999997393515405</v>
      </c>
    </row>
    <row r="2100" spans="1:40" x14ac:dyDescent="0.25">
      <c r="A2100" t="str">
        <f>"20190304164131911"</f>
        <v>20190304164131911</v>
      </c>
      <c r="B2100" t="str">
        <f>"1551688891902566"</f>
        <v>1551688891902566</v>
      </c>
      <c r="C2100" t="s">
        <v>40</v>
      </c>
      <c r="D2100">
        <v>4.3893000000000004</v>
      </c>
      <c r="E2100">
        <v>0.54341839999999997</v>
      </c>
      <c r="F2100" t="s">
        <v>41</v>
      </c>
      <c r="G2100">
        <v>-220.04050000000001</v>
      </c>
      <c r="H2100">
        <v>1.0192429999999999</v>
      </c>
      <c r="I2100">
        <v>284.24930000000001</v>
      </c>
      <c r="J2100">
        <v>-219.45179999999999</v>
      </c>
      <c r="K2100">
        <v>1.1088089999999999</v>
      </c>
      <c r="L2100">
        <v>284.25069999999999</v>
      </c>
      <c r="M2100">
        <v>-0.99656160000000005</v>
      </c>
      <c r="N2100">
        <v>-4.9057429999999997E-3</v>
      </c>
      <c r="O2100">
        <v>-8.2711119999999999E-2</v>
      </c>
      <c r="P2100">
        <v>-0.91642800000000002</v>
      </c>
      <c r="Q2100">
        <v>0.38260880000000003</v>
      </c>
      <c r="R2100">
        <v>-0.1173483</v>
      </c>
      <c r="S2100">
        <v>-3.4057309999999998</v>
      </c>
      <c r="T2100">
        <v>-0.35021529999999901</v>
      </c>
      <c r="U2100">
        <v>-9.5092769999999993E-2</v>
      </c>
      <c r="V2100">
        <v>-4.0215510000000003E-2</v>
      </c>
      <c r="W2100">
        <v>0.38723000000000002</v>
      </c>
      <c r="X2100">
        <v>0.92110570000000003</v>
      </c>
      <c r="Y2100">
        <v>5.4171829999999997E-2</v>
      </c>
      <c r="Z2100">
        <v>1.097709E-2</v>
      </c>
      <c r="AA2100">
        <v>0.99847129999999995</v>
      </c>
      <c r="AB2100">
        <v>29</v>
      </c>
      <c r="AC2100">
        <v>-0.58870000000001699</v>
      </c>
      <c r="AD2100">
        <v>-8.9565999999999799E-2</v>
      </c>
      <c r="AE2100">
        <v>-1.39999999998963E-3</v>
      </c>
      <c r="AF2100">
        <v>4.6227386021558403E-2</v>
      </c>
      <c r="AG2100">
        <v>-8.9565999999999799E-2</v>
      </c>
      <c r="AH2100">
        <v>0.57352323011703599</v>
      </c>
      <c r="AI2100">
        <v>98.847836754551196</v>
      </c>
      <c r="AJ2100">
        <v>85.391781205740202</v>
      </c>
      <c r="AK2100">
        <v>0.58231257504734002</v>
      </c>
      <c r="AL2100">
        <v>67.217749508395698</v>
      </c>
      <c r="AM2100">
        <v>92.4999482596494</v>
      </c>
      <c r="AN2100">
        <v>1.0000000353585199</v>
      </c>
    </row>
    <row r="2101" spans="1:40" x14ac:dyDescent="0.25">
      <c r="A2101" t="str">
        <f>"20190304164131932"</f>
        <v>20190304164131932</v>
      </c>
      <c r="B2101" t="str">
        <f>"1551688891923062"</f>
        <v>1551688891923062</v>
      </c>
      <c r="C2101" t="s">
        <v>40</v>
      </c>
      <c r="D2101">
        <v>4.3911870000000004</v>
      </c>
      <c r="E2101">
        <v>0.54352559999999905</v>
      </c>
      <c r="F2101" t="s">
        <v>41</v>
      </c>
      <c r="G2101">
        <v>-220.30609999999999</v>
      </c>
      <c r="H2101">
        <v>1.020143</v>
      </c>
      <c r="I2101">
        <v>284.22379999999998</v>
      </c>
      <c r="J2101">
        <v>-219.73419999999999</v>
      </c>
      <c r="K2101">
        <v>1.1084989999999999</v>
      </c>
      <c r="L2101">
        <v>284.22890000000001</v>
      </c>
      <c r="M2101">
        <v>-0.99670950000000003</v>
      </c>
      <c r="N2101">
        <v>-4.8909309999999899E-3</v>
      </c>
      <c r="O2101">
        <v>-8.0909190000000006E-2</v>
      </c>
      <c r="P2101">
        <v>-0.91625540000000005</v>
      </c>
      <c r="Q2101">
        <v>0.38238680000000003</v>
      </c>
      <c r="R2101">
        <v>-0.1193988</v>
      </c>
      <c r="S2101">
        <v>-3.4074399999999998</v>
      </c>
      <c r="T2101">
        <v>-0.35379149999999998</v>
      </c>
      <c r="U2101">
        <v>-0.1080933</v>
      </c>
      <c r="V2101">
        <v>-4.3672240000000001E-2</v>
      </c>
      <c r="W2101">
        <v>0.38703389999999999</v>
      </c>
      <c r="X2101">
        <v>0.92103060000000003</v>
      </c>
      <c r="Y2101">
        <v>4.859993E-2</v>
      </c>
      <c r="Z2101">
        <v>1.060635E-2</v>
      </c>
      <c r="AA2101">
        <v>0.99876200000000004</v>
      </c>
      <c r="AB2101">
        <v>30</v>
      </c>
      <c r="AC2101">
        <v>-0.57189999999999896</v>
      </c>
      <c r="AD2101">
        <v>-8.8355999999999796E-2</v>
      </c>
      <c r="AE2101">
        <v>-5.1000000000271904E-3</v>
      </c>
      <c r="AF2101">
        <v>4.0229092312606303E-2</v>
      </c>
      <c r="AG2101">
        <v>-8.8355999999999796E-2</v>
      </c>
      <c r="AH2101">
        <v>0.55714035521983296</v>
      </c>
      <c r="AI2101">
        <v>98.988382278748801</v>
      </c>
      <c r="AJ2101">
        <v>85.870046329717994</v>
      </c>
      <c r="AK2101">
        <v>0.56553562046857697</v>
      </c>
      <c r="AL2101">
        <v>67.229933006205798</v>
      </c>
      <c r="AM2101">
        <v>92.714743966510696</v>
      </c>
      <c r="AN2101">
        <v>0.99999993521609098</v>
      </c>
    </row>
    <row r="2102" spans="1:40" x14ac:dyDescent="0.25">
      <c r="A2102" t="str">
        <f>"20190304164131956"</f>
        <v>20190304164131956</v>
      </c>
      <c r="B2102" t="str">
        <f>"1551688891953318"</f>
        <v>1551688891953318</v>
      </c>
      <c r="C2102" t="s">
        <v>40</v>
      </c>
      <c r="D2102">
        <v>4.3836120000000003</v>
      </c>
      <c r="E2102">
        <v>0.54372019999999999</v>
      </c>
      <c r="F2102" t="s">
        <v>41</v>
      </c>
      <c r="G2102">
        <v>-220.57259999999999</v>
      </c>
      <c r="H2102">
        <v>1.020165</v>
      </c>
      <c r="I2102">
        <v>284.19830000000002</v>
      </c>
      <c r="J2102">
        <v>-220.0446</v>
      </c>
      <c r="K2102">
        <v>1.1081479999999999</v>
      </c>
      <c r="L2102">
        <v>284.20580000000001</v>
      </c>
      <c r="M2102">
        <v>-0.99689839999999996</v>
      </c>
      <c r="N2102">
        <v>-4.881369E-3</v>
      </c>
      <c r="O2102">
        <v>-7.8549129999999995E-2</v>
      </c>
      <c r="P2102">
        <v>-0.91718730000000004</v>
      </c>
      <c r="Q2102">
        <v>0.3802529</v>
      </c>
      <c r="R2102">
        <v>-0.11905930000000001</v>
      </c>
      <c r="S2102">
        <v>-3.4078520000000001</v>
      </c>
      <c r="T2102">
        <v>-0.35904059999999999</v>
      </c>
      <c r="U2102">
        <v>-0.1242371</v>
      </c>
      <c r="V2102">
        <v>-4.515127E-2</v>
      </c>
      <c r="W2102">
        <v>0.38493559999999999</v>
      </c>
      <c r="X2102">
        <v>0.9218383</v>
      </c>
      <c r="Y2102">
        <v>4.1544520000000001E-2</v>
      </c>
      <c r="Z2102">
        <v>1.0141529999999999E-2</v>
      </c>
      <c r="AA2102">
        <v>0.99908520000000001</v>
      </c>
      <c r="AB2102">
        <v>30</v>
      </c>
      <c r="AC2102">
        <v>-0.52799999999999103</v>
      </c>
      <c r="AD2102">
        <v>-8.7982999999999895E-2</v>
      </c>
      <c r="AE2102">
        <v>-7.4999999999931797E-3</v>
      </c>
      <c r="AF2102">
        <v>3.3079275564236198E-2</v>
      </c>
      <c r="AG2102">
        <v>-8.7982999999999895E-2</v>
      </c>
      <c r="AH2102">
        <v>0.51272374351657102</v>
      </c>
      <c r="AI2102">
        <v>99.717260919559905</v>
      </c>
      <c r="AJ2102">
        <v>86.308577916189606</v>
      </c>
      <c r="AK2102">
        <v>0.52126853341296298</v>
      </c>
      <c r="AL2102">
        <v>67.360256570043504</v>
      </c>
      <c r="AM2102">
        <v>92.804083387399302</v>
      </c>
      <c r="AN2102">
        <v>0.99999995233842998</v>
      </c>
    </row>
    <row r="2103" spans="1:40" x14ac:dyDescent="0.25">
      <c r="A2103" t="str">
        <f>"20190304164131978"</f>
        <v>20190304164131978</v>
      </c>
      <c r="B2103" t="str">
        <f>"1551688891972838"</f>
        <v>1551688891972838</v>
      </c>
      <c r="C2103" t="s">
        <v>40</v>
      </c>
      <c r="D2103">
        <v>4.399921</v>
      </c>
      <c r="E2103">
        <v>0.5439098</v>
      </c>
      <c r="F2103" t="s">
        <v>41</v>
      </c>
      <c r="G2103">
        <v>-220.84100000000001</v>
      </c>
      <c r="H2103">
        <v>1.0211939999999999</v>
      </c>
      <c r="I2103">
        <v>284.17559999999997</v>
      </c>
      <c r="J2103">
        <v>-220.3484</v>
      </c>
      <c r="K2103">
        <v>1.107815</v>
      </c>
      <c r="L2103">
        <v>284.18430000000001</v>
      </c>
      <c r="M2103">
        <v>-0.99710460000000001</v>
      </c>
      <c r="N2103">
        <v>-4.8769820000000002E-3</v>
      </c>
      <c r="O2103">
        <v>-7.5887800000000005E-2</v>
      </c>
      <c r="P2103">
        <v>-0.91857270000000002</v>
      </c>
      <c r="Q2103">
        <v>0.37716719999999998</v>
      </c>
      <c r="R2103">
        <v>-0.1181933</v>
      </c>
      <c r="S2103">
        <v>-3.4083709999999998</v>
      </c>
      <c r="T2103">
        <v>-0.37215910000000002</v>
      </c>
      <c r="U2103">
        <v>-0.12957759999999999</v>
      </c>
      <c r="V2103">
        <v>-4.6377729999999999E-2</v>
      </c>
      <c r="W2103">
        <v>0.38189210000000001</v>
      </c>
      <c r="X2103">
        <v>0.92304249999999999</v>
      </c>
      <c r="Y2103">
        <v>3.7312129999999999E-2</v>
      </c>
      <c r="Z2103">
        <v>1.0001980000000001E-2</v>
      </c>
      <c r="AA2103">
        <v>0.99925359999999996</v>
      </c>
      <c r="AB2103">
        <v>30</v>
      </c>
      <c r="AC2103">
        <v>-0.492599999999981</v>
      </c>
      <c r="AD2103">
        <v>-8.6620999999999795E-2</v>
      </c>
      <c r="AE2103">
        <v>-8.7000000000330095E-3</v>
      </c>
      <c r="AF2103">
        <v>2.7847058578031901E-2</v>
      </c>
      <c r="AG2103">
        <v>-8.6620999999999795E-2</v>
      </c>
      <c r="AH2103">
        <v>0.47709201934804402</v>
      </c>
      <c r="AI2103">
        <v>100.273434661761</v>
      </c>
      <c r="AJ2103">
        <v>86.659531798865501</v>
      </c>
      <c r="AK2103">
        <v>0.48569069502929801</v>
      </c>
      <c r="AL2103">
        <v>67.549066103004193</v>
      </c>
      <c r="AM2103">
        <v>92.876374054149593</v>
      </c>
      <c r="AN2103">
        <v>0.99999996334430497</v>
      </c>
    </row>
    <row r="2104" spans="1:40" x14ac:dyDescent="0.25">
      <c r="A2104" t="str">
        <f>"20190304164132002"</f>
        <v>20190304164132002</v>
      </c>
      <c r="B2104" t="str">
        <f>"1551688891993334"</f>
        <v>1551688891993334</v>
      </c>
      <c r="C2104" t="s">
        <v>40</v>
      </c>
      <c r="D2104">
        <v>4.4454320000000003</v>
      </c>
      <c r="E2104">
        <v>0.54408849999999997</v>
      </c>
      <c r="F2104" t="s">
        <v>41</v>
      </c>
      <c r="G2104">
        <v>-221.1105</v>
      </c>
      <c r="H2104">
        <v>1.0217719999999999</v>
      </c>
      <c r="I2104">
        <v>284.15570000000002</v>
      </c>
      <c r="J2104">
        <v>-220.65620000000001</v>
      </c>
      <c r="K2104">
        <v>1.1075269999999999</v>
      </c>
      <c r="L2104">
        <v>284.16370000000001</v>
      </c>
      <c r="M2104">
        <v>-0.9973282</v>
      </c>
      <c r="N2104">
        <v>-4.8752140000000001E-3</v>
      </c>
      <c r="O2104">
        <v>-7.2890079999999996E-2</v>
      </c>
      <c r="P2104">
        <v>-0.92034419999999995</v>
      </c>
      <c r="Q2104">
        <v>0.37359490000000001</v>
      </c>
      <c r="R2104">
        <v>-0.11572979999999999</v>
      </c>
      <c r="S2104">
        <v>-3.407349</v>
      </c>
      <c r="T2104">
        <v>-0.38460220000000001</v>
      </c>
      <c r="U2104">
        <v>-0.1282654</v>
      </c>
      <c r="V2104">
        <v>-4.6335139999999997E-2</v>
      </c>
      <c r="W2104">
        <v>0.3783571</v>
      </c>
      <c r="X2104">
        <v>0.92449930000000002</v>
      </c>
      <c r="Y2104">
        <v>3.4670840000000001E-2</v>
      </c>
      <c r="Z2104">
        <v>9.8703820000000005E-3</v>
      </c>
      <c r="AA2104">
        <v>0.99935010000000002</v>
      </c>
      <c r="AB2104">
        <v>30</v>
      </c>
      <c r="AC2104">
        <v>-0.45429999999998899</v>
      </c>
      <c r="AD2104">
        <v>-8.5755000000000206E-2</v>
      </c>
      <c r="AE2104">
        <v>-7.9999999999813502E-3</v>
      </c>
      <c r="AF2104">
        <v>2.4271087253768499E-2</v>
      </c>
      <c r="AG2104">
        <v>-8.5755000000000206E-2</v>
      </c>
      <c r="AH2104">
        <v>0.43807040941048098</v>
      </c>
      <c r="AI2104">
        <v>101.059400935037</v>
      </c>
      <c r="AJ2104">
        <v>86.828796178575601</v>
      </c>
      <c r="AK2104">
        <v>0.44704439298860099</v>
      </c>
      <c r="AL2104">
        <v>67.768045234129303</v>
      </c>
      <c r="AM2104">
        <v>92.869216245871698</v>
      </c>
      <c r="AN2104">
        <v>0.99999999800985895</v>
      </c>
    </row>
    <row r="2105" spans="1:40" x14ac:dyDescent="0.25">
      <c r="A2105" t="str">
        <f>"20190304164132025"</f>
        <v>20190304164132025</v>
      </c>
      <c r="B2105" t="str">
        <f>"1551688892012854"</f>
        <v>1551688892012854</v>
      </c>
      <c r="C2105" t="s">
        <v>40</v>
      </c>
      <c r="D2105">
        <v>4.464251</v>
      </c>
      <c r="E2105">
        <v>0.54420419999999903</v>
      </c>
      <c r="F2105" t="s">
        <v>41</v>
      </c>
      <c r="G2105">
        <v>-221.38140000000001</v>
      </c>
      <c r="H2105">
        <v>1.0223850000000001</v>
      </c>
      <c r="I2105">
        <v>284.13850000000002</v>
      </c>
      <c r="J2105">
        <v>-220.9701</v>
      </c>
      <c r="K2105">
        <v>1.107294</v>
      </c>
      <c r="L2105">
        <v>284.14400000000001</v>
      </c>
      <c r="M2105">
        <v>-0.99756540000000005</v>
      </c>
      <c r="N2105">
        <v>-4.8745380000000003E-3</v>
      </c>
      <c r="O2105">
        <v>-6.956706E-2</v>
      </c>
      <c r="P2105">
        <v>-0.9217592</v>
      </c>
      <c r="Q2105">
        <v>0.37088710000000003</v>
      </c>
      <c r="R2105">
        <v>-0.11314920000000001</v>
      </c>
      <c r="S2105">
        <v>-3.4071199999999999</v>
      </c>
      <c r="T2105">
        <v>-0.40001049999999999</v>
      </c>
      <c r="U2105">
        <v>-0.11853030000000001</v>
      </c>
      <c r="V2105">
        <v>-4.6555149999999997E-2</v>
      </c>
      <c r="W2105">
        <v>0.37568210000000002</v>
      </c>
      <c r="X2105">
        <v>0.92557849999999997</v>
      </c>
      <c r="Y2105">
        <v>3.4160549999999998E-2</v>
      </c>
      <c r="Z2105">
        <v>9.8728970000000003E-3</v>
      </c>
      <c r="AA2105">
        <v>0.99936760000000002</v>
      </c>
      <c r="AB2105">
        <v>30</v>
      </c>
      <c r="AC2105">
        <v>-0.41130000000001099</v>
      </c>
      <c r="AD2105">
        <v>-8.4908999999999901E-2</v>
      </c>
      <c r="AE2105">
        <v>-5.4999999999836204E-3</v>
      </c>
      <c r="AF2105">
        <v>2.2181442966091001E-2</v>
      </c>
      <c r="AG2105">
        <v>-8.4908999999999901E-2</v>
      </c>
      <c r="AH2105">
        <v>0.39390193950105301</v>
      </c>
      <c r="AI2105">
        <v>102.14580522641199</v>
      </c>
      <c r="AJ2105">
        <v>86.776958624014696</v>
      </c>
      <c r="AK2105">
        <v>0.40355952799525002</v>
      </c>
      <c r="AL2105">
        <v>67.933522738784205</v>
      </c>
      <c r="AM2105">
        <v>92.879461395418204</v>
      </c>
      <c r="AN2105">
        <v>0.99999999095709102</v>
      </c>
    </row>
    <row r="2106" spans="1:40" x14ac:dyDescent="0.25">
      <c r="A2106" t="str">
        <f>"20190304164132045"</f>
        <v>20190304164132045</v>
      </c>
      <c r="B2106" t="str">
        <f>"1551688892033350"</f>
        <v>1551688892033350</v>
      </c>
      <c r="C2106" t="s">
        <v>40</v>
      </c>
      <c r="D2106">
        <v>4.4292809999999996</v>
      </c>
      <c r="E2106">
        <v>0.54433730000000002</v>
      </c>
      <c r="F2106" t="s">
        <v>41</v>
      </c>
      <c r="G2106">
        <v>-221.91300000000001</v>
      </c>
      <c r="H2106">
        <v>0.99401870000000003</v>
      </c>
      <c r="I2106">
        <v>284.11489999999998</v>
      </c>
      <c r="J2106">
        <v>-221.2456</v>
      </c>
      <c r="K2106">
        <v>1.107143</v>
      </c>
      <c r="L2106">
        <v>284.12759999999997</v>
      </c>
      <c r="M2106">
        <v>-0.99777420000000006</v>
      </c>
      <c r="N2106">
        <v>-4.8743500000000004E-3</v>
      </c>
      <c r="O2106">
        <v>-6.6507720000000006E-2</v>
      </c>
      <c r="P2106">
        <v>-0.92208310000000004</v>
      </c>
      <c r="Q2106">
        <v>0.37102790000000002</v>
      </c>
      <c r="R2106">
        <v>-0.1100059</v>
      </c>
      <c r="S2106">
        <v>-3.4063569999999999</v>
      </c>
      <c r="T2106">
        <v>-0.4092015</v>
      </c>
      <c r="U2106">
        <v>-0.1054382</v>
      </c>
      <c r="V2106">
        <v>-4.6096959999999999E-2</v>
      </c>
      <c r="W2106">
        <v>0.37583800000000001</v>
      </c>
      <c r="X2106">
        <v>0.92553810000000003</v>
      </c>
      <c r="Y2106">
        <v>3.4906819999999998E-2</v>
      </c>
      <c r="Z2106">
        <v>9.8033310000000002E-3</v>
      </c>
      <c r="AA2106">
        <v>0.99934250000000002</v>
      </c>
      <c r="AB2106">
        <v>30</v>
      </c>
      <c r="AC2106">
        <v>-0.667399999999986</v>
      </c>
      <c r="AD2106">
        <v>-0.113124299999999</v>
      </c>
      <c r="AE2106">
        <v>-1.26999999999952E-2</v>
      </c>
      <c r="AF2106">
        <v>3.0830444812065701E-2</v>
      </c>
      <c r="AG2106">
        <v>-0.113124299999999</v>
      </c>
      <c r="AH2106">
        <v>0.64815210842459203</v>
      </c>
      <c r="AI2106">
        <v>99.889352652378506</v>
      </c>
      <c r="AJ2106">
        <v>87.276682591205898</v>
      </c>
      <c r="AK2106">
        <v>0.65867198151511197</v>
      </c>
      <c r="AL2106">
        <v>67.923883092556594</v>
      </c>
      <c r="AM2106">
        <v>92.851293335961103</v>
      </c>
      <c r="AN2106">
        <v>0.99999995325842395</v>
      </c>
    </row>
    <row r="2107" spans="1:40" x14ac:dyDescent="0.25">
      <c r="A2107" t="str">
        <f>"20190304164132068"</f>
        <v>20190304164132068</v>
      </c>
      <c r="B2107" t="str">
        <f>"1551688892062630"</f>
        <v>1551688892062630</v>
      </c>
      <c r="C2107" t="s">
        <v>40</v>
      </c>
      <c r="D2107">
        <v>4.5085350000000002</v>
      </c>
      <c r="E2107">
        <v>0.54459939999999996</v>
      </c>
      <c r="F2107" t="s">
        <v>41</v>
      </c>
      <c r="G2107">
        <v>-222.1875</v>
      </c>
      <c r="H2107">
        <v>0.99454489999999995</v>
      </c>
      <c r="I2107">
        <v>284.10250000000002</v>
      </c>
      <c r="J2107">
        <v>-221.5615</v>
      </c>
      <c r="K2107">
        <v>1.1070120000000001</v>
      </c>
      <c r="L2107">
        <v>284.11</v>
      </c>
      <c r="M2107">
        <v>-0.99800860000000002</v>
      </c>
      <c r="N2107">
        <v>-4.8745869999999997E-3</v>
      </c>
      <c r="O2107">
        <v>-6.2889769999999998E-2</v>
      </c>
      <c r="P2107">
        <v>-0.9215854</v>
      </c>
      <c r="Q2107">
        <v>0.37372610000000001</v>
      </c>
      <c r="R2107">
        <v>-0.1049264</v>
      </c>
      <c r="S2107">
        <v>-3.4064939999999999</v>
      </c>
      <c r="T2107">
        <v>-0.40729500000000002</v>
      </c>
      <c r="U2107">
        <v>-9.1400149999999999E-2</v>
      </c>
      <c r="V2107">
        <v>-4.4284299999999999E-2</v>
      </c>
      <c r="W2107">
        <v>0.37853540000000002</v>
      </c>
      <c r="X2107">
        <v>0.92452679999999998</v>
      </c>
      <c r="Y2107">
        <v>3.5425890000000002E-2</v>
      </c>
      <c r="Z2107">
        <v>9.3769950000000008E-3</v>
      </c>
      <c r="AA2107">
        <v>0.99932829999999995</v>
      </c>
      <c r="AB2107">
        <v>30</v>
      </c>
      <c r="AC2107">
        <v>-0.626000000000004</v>
      </c>
      <c r="AD2107">
        <v>-0.1124671</v>
      </c>
      <c r="AE2107">
        <v>-7.4999999999931797E-3</v>
      </c>
      <c r="AF2107">
        <v>3.08874764966643E-2</v>
      </c>
      <c r="AG2107">
        <v>-0.1124671</v>
      </c>
      <c r="AH2107">
        <v>0.60568516267306305</v>
      </c>
      <c r="AI2107">
        <v>100.505856210391</v>
      </c>
      <c r="AJ2107">
        <v>87.080677491577205</v>
      </c>
      <c r="AK2107">
        <v>0.61681228997891802</v>
      </c>
      <c r="AL2107">
        <v>67.757008008606306</v>
      </c>
      <c r="AM2107">
        <v>92.742338744788199</v>
      </c>
      <c r="AN2107">
        <v>0.99999997609894398</v>
      </c>
    </row>
    <row r="2108" spans="1:40" x14ac:dyDescent="0.25">
      <c r="A2108" t="str">
        <f>"20190304164132090"</f>
        <v>20190304164132090</v>
      </c>
      <c r="B2108" t="str">
        <f>"1551688892083126"</f>
        <v>1551688892083126</v>
      </c>
      <c r="C2108" t="s">
        <v>40</v>
      </c>
      <c r="D2108">
        <v>4.5245670000000002</v>
      </c>
      <c r="E2108">
        <v>0.54472019999999899</v>
      </c>
      <c r="F2108" t="s">
        <v>41</v>
      </c>
      <c r="G2108">
        <v>-222.46629999999999</v>
      </c>
      <c r="H2108">
        <v>1.0017769999999999</v>
      </c>
      <c r="I2108">
        <v>284.09010000000001</v>
      </c>
      <c r="J2108">
        <v>-221.87790000000001</v>
      </c>
      <c r="K2108">
        <v>1.1069279999999999</v>
      </c>
      <c r="L2108">
        <v>284.09370000000001</v>
      </c>
      <c r="M2108">
        <v>-0.99823399999999995</v>
      </c>
      <c r="N2108">
        <v>-4.876231E-3</v>
      </c>
      <c r="O2108">
        <v>-5.9204270000000003E-2</v>
      </c>
      <c r="P2108">
        <v>-0.9211049</v>
      </c>
      <c r="Q2108">
        <v>0.3766137</v>
      </c>
      <c r="R2108">
        <v>-9.8630319999999994E-2</v>
      </c>
      <c r="S2108">
        <v>-3.4074550000000001</v>
      </c>
      <c r="T2108">
        <v>-0.39637480000000003</v>
      </c>
      <c r="U2108">
        <v>-7.5225829999999994E-2</v>
      </c>
      <c r="V2108">
        <v>-4.1344159999999998E-2</v>
      </c>
      <c r="W2108">
        <v>0.38140940000000001</v>
      </c>
      <c r="X2108">
        <v>0.9234812</v>
      </c>
      <c r="Y2108">
        <v>3.6535480000000002E-2</v>
      </c>
      <c r="Z2108">
        <v>8.7779809999999903E-3</v>
      </c>
      <c r="AA2108">
        <v>0.99929380000000001</v>
      </c>
      <c r="AB2108">
        <v>31</v>
      </c>
      <c r="AC2108">
        <v>-0.58839999999997805</v>
      </c>
      <c r="AD2108">
        <v>-0.10515099999999999</v>
      </c>
      <c r="AE2108">
        <v>-3.6000000000058199E-3</v>
      </c>
      <c r="AF2108">
        <v>3.0275671060275101E-2</v>
      </c>
      <c r="AG2108">
        <v>-0.10515099999999999</v>
      </c>
      <c r="AH2108">
        <v>0.56939736041840305</v>
      </c>
      <c r="AI2108">
        <v>100.448539147616</v>
      </c>
      <c r="AJ2108">
        <v>86.956367714587003</v>
      </c>
      <c r="AK2108">
        <v>0.57981609421487701</v>
      </c>
      <c r="AL2108">
        <v>67.578988467952698</v>
      </c>
      <c r="AM2108">
        <v>92.563414518406304</v>
      </c>
      <c r="AN2108">
        <v>0.99999999836395204</v>
      </c>
    </row>
    <row r="2109" spans="1:40" x14ac:dyDescent="0.25">
      <c r="A2109" t="str">
        <f>"20190304164132112"</f>
        <v>20190304164132112</v>
      </c>
      <c r="B2109" t="str">
        <f>"1551688892102646"</f>
        <v>1551688892102646</v>
      </c>
      <c r="C2109" t="s">
        <v>40</v>
      </c>
      <c r="D2109">
        <v>4.4938260000000003</v>
      </c>
      <c r="E2109">
        <v>0.54479719999999998</v>
      </c>
      <c r="F2109" t="s">
        <v>41</v>
      </c>
      <c r="G2109">
        <v>-222.74600000000001</v>
      </c>
      <c r="H2109">
        <v>1.008507</v>
      </c>
      <c r="I2109">
        <v>284.0788</v>
      </c>
      <c r="J2109">
        <v>-222.17099999999999</v>
      </c>
      <c r="K2109">
        <v>1.1068659999999999</v>
      </c>
      <c r="L2109">
        <v>284.0795</v>
      </c>
      <c r="M2109">
        <v>-0.99843190000000004</v>
      </c>
      <c r="N2109">
        <v>-4.8795080000000003E-3</v>
      </c>
      <c r="O2109">
        <v>-5.5767259999999999E-2</v>
      </c>
      <c r="P2109">
        <v>-0.92130219999999896</v>
      </c>
      <c r="Q2109">
        <v>0.3771388</v>
      </c>
      <c r="R2109">
        <v>-9.4703170000000003E-2</v>
      </c>
      <c r="S2109">
        <v>-3.4086759999999998</v>
      </c>
      <c r="T2109">
        <v>-0.3865016</v>
      </c>
      <c r="U2109">
        <v>-5.8898930000000002E-2</v>
      </c>
      <c r="V2109">
        <v>-4.0536210000000003E-2</v>
      </c>
      <c r="W2109">
        <v>0.38193830000000001</v>
      </c>
      <c r="X2109">
        <v>0.92329839999999996</v>
      </c>
      <c r="Y2109">
        <v>3.7929740000000003E-2</v>
      </c>
      <c r="Z2109">
        <v>8.2642429999999992E-3</v>
      </c>
      <c r="AA2109">
        <v>0.99924619999999997</v>
      </c>
      <c r="AB2109">
        <v>31</v>
      </c>
      <c r="AC2109">
        <v>-0.57499999999998797</v>
      </c>
      <c r="AD2109">
        <v>-9.8358999999999794E-2</v>
      </c>
      <c r="AE2109">
        <v>-6.9999999999481501E-4</v>
      </c>
      <c r="AF2109">
        <v>3.0475884302494E-2</v>
      </c>
      <c r="AG2109">
        <v>-9.8358999999999794E-2</v>
      </c>
      <c r="AH2109">
        <v>0.55782167665219795</v>
      </c>
      <c r="AI2109">
        <v>99.985407813919196</v>
      </c>
      <c r="AJ2109">
        <v>86.872826198228495</v>
      </c>
      <c r="AK2109">
        <v>0.56724623872537805</v>
      </c>
      <c r="AL2109">
        <v>67.5462026133564</v>
      </c>
      <c r="AM2109">
        <v>92.513881976376297</v>
      </c>
      <c r="AN2109">
        <v>0.99999999238530701</v>
      </c>
    </row>
    <row r="2110" spans="1:40" x14ac:dyDescent="0.25">
      <c r="A2110" t="str">
        <f>"20190304164132133"</f>
        <v>20190304164132133</v>
      </c>
      <c r="B2110" t="str">
        <f>"1551688892123142"</f>
        <v>1551688892123142</v>
      </c>
      <c r="C2110" t="s">
        <v>40</v>
      </c>
      <c r="D2110">
        <v>4.5304830000000003</v>
      </c>
      <c r="E2110">
        <v>0.54481579999999996</v>
      </c>
      <c r="F2110" t="s">
        <v>41</v>
      </c>
      <c r="G2110">
        <v>-223.0247</v>
      </c>
      <c r="H2110">
        <v>1.010788</v>
      </c>
      <c r="I2110">
        <v>284.06810000000002</v>
      </c>
      <c r="J2110">
        <v>-222.47200000000001</v>
      </c>
      <c r="K2110">
        <v>1.1068070000000001</v>
      </c>
      <c r="L2110">
        <v>284.06599999999997</v>
      </c>
      <c r="M2110">
        <v>-0.99862309999999999</v>
      </c>
      <c r="N2110">
        <v>-4.8847919999999998E-3</v>
      </c>
      <c r="O2110">
        <v>-5.2232710000000002E-2</v>
      </c>
      <c r="P2110">
        <v>-0.92145100000000002</v>
      </c>
      <c r="Q2110">
        <v>0.37718459999999998</v>
      </c>
      <c r="R2110">
        <v>-9.3060069999999995E-2</v>
      </c>
      <c r="S2110">
        <v>-3.408493</v>
      </c>
      <c r="T2110">
        <v>-0.38354690000000002</v>
      </c>
      <c r="U2110">
        <v>-4.6325680000000001E-2</v>
      </c>
      <c r="V2110">
        <v>-4.2115E-2</v>
      </c>
      <c r="W2110">
        <v>0.38200489999999998</v>
      </c>
      <c r="X2110">
        <v>0.92320020000000003</v>
      </c>
      <c r="Y2110">
        <v>3.8104850000000003E-2</v>
      </c>
      <c r="Z2110">
        <v>7.8322679999999999E-3</v>
      </c>
      <c r="AA2110">
        <v>0.99924310000000005</v>
      </c>
      <c r="AB2110">
        <v>31</v>
      </c>
      <c r="AC2110">
        <v>-0.55269999999998698</v>
      </c>
      <c r="AD2110">
        <v>-9.6018999999999799E-2</v>
      </c>
      <c r="AE2110">
        <v>2.1000000000412902E-3</v>
      </c>
      <c r="AF2110">
        <v>3.0059283572785599E-2</v>
      </c>
      <c r="AG2110">
        <v>-9.6018999999999799E-2</v>
      </c>
      <c r="AH2110">
        <v>0.53566896491697302</v>
      </c>
      <c r="AI2110">
        <v>100.14674932219501</v>
      </c>
      <c r="AJ2110">
        <v>86.788192279461001</v>
      </c>
      <c r="AK2110">
        <v>0.54503619041778395</v>
      </c>
      <c r="AL2110">
        <v>67.542074120154098</v>
      </c>
      <c r="AM2110">
        <v>92.611936151796698</v>
      </c>
      <c r="AN2110">
        <v>1.0000000130645199</v>
      </c>
    </row>
    <row r="2111" spans="1:40" x14ac:dyDescent="0.25">
      <c r="A2111" t="str">
        <f>"20190304164132156"</f>
        <v>20190304164132156</v>
      </c>
      <c r="B2111" t="str">
        <f>"1551688892142662"</f>
        <v>1551688892142662</v>
      </c>
      <c r="C2111" t="s">
        <v>40</v>
      </c>
      <c r="D2111">
        <v>4.5011549999999998</v>
      </c>
      <c r="E2111">
        <v>0.54479529999999998</v>
      </c>
      <c r="F2111" t="s">
        <v>41</v>
      </c>
      <c r="G2111">
        <v>-223.30459999999999</v>
      </c>
      <c r="H2111">
        <v>1.0135240000000001</v>
      </c>
      <c r="I2111">
        <v>284.05669999999998</v>
      </c>
      <c r="J2111">
        <v>-222.78460000000001</v>
      </c>
      <c r="K2111">
        <v>1.1067640000000001</v>
      </c>
      <c r="L2111">
        <v>284.05309999999997</v>
      </c>
      <c r="M2111">
        <v>-0.99880780000000002</v>
      </c>
      <c r="N2111">
        <v>-4.8922339999999996E-3</v>
      </c>
      <c r="O2111">
        <v>-4.8569979999999999E-2</v>
      </c>
      <c r="P2111">
        <v>-0.9212129</v>
      </c>
      <c r="Q2111">
        <v>0.37816080000000002</v>
      </c>
      <c r="R2111">
        <v>-9.1438160000000004E-2</v>
      </c>
      <c r="S2111">
        <v>-3.4081419999999998</v>
      </c>
      <c r="T2111">
        <v>-0.38181949999999998</v>
      </c>
      <c r="U2111">
        <v>-3.8543699999999903E-2</v>
      </c>
      <c r="V2111">
        <v>-4.3851330000000001E-2</v>
      </c>
      <c r="W2111">
        <v>0.38300279999999998</v>
      </c>
      <c r="X2111">
        <v>0.92270580000000002</v>
      </c>
      <c r="Y2111">
        <v>3.6754620000000002E-2</v>
      </c>
      <c r="Z2111">
        <v>7.3278229999999998E-3</v>
      </c>
      <c r="AA2111">
        <v>0.9992974</v>
      </c>
      <c r="AB2111">
        <v>31</v>
      </c>
      <c r="AC2111">
        <v>-0.51999999999998103</v>
      </c>
      <c r="AD2111">
        <v>-9.3240000000000003E-2</v>
      </c>
      <c r="AE2111">
        <v>3.6000000000058199E-3</v>
      </c>
      <c r="AF2111">
        <v>2.7953738465330901E-2</v>
      </c>
      <c r="AG2111">
        <v>-9.3240000000000003E-2</v>
      </c>
      <c r="AH2111">
        <v>0.50303886550769705</v>
      </c>
      <c r="AI2111">
        <v>100.484982353492</v>
      </c>
      <c r="AJ2111">
        <v>86.819359729481604</v>
      </c>
      <c r="AK2111">
        <v>0.51237018776023602</v>
      </c>
      <c r="AL2111">
        <v>67.480193435163997</v>
      </c>
      <c r="AM2111">
        <v>92.720918326232507</v>
      </c>
      <c r="AN2111">
        <v>1.0000000386521199</v>
      </c>
    </row>
    <row r="2112" spans="1:40" x14ac:dyDescent="0.25">
      <c r="A2112" t="str">
        <f>"20190304164132180"</f>
        <v>20190304164132180</v>
      </c>
      <c r="B2112" t="str">
        <f>"1551688892172918"</f>
        <v>1551688892172918</v>
      </c>
      <c r="C2112" t="s">
        <v>40</v>
      </c>
      <c r="D2112">
        <v>4.4994909999999999</v>
      </c>
      <c r="E2112">
        <v>0.54475890000000005</v>
      </c>
      <c r="F2112" t="s">
        <v>41</v>
      </c>
      <c r="G2112">
        <v>-223.58629999999999</v>
      </c>
      <c r="H2112">
        <v>1.0176810000000001</v>
      </c>
      <c r="I2112">
        <v>284.04500000000002</v>
      </c>
      <c r="J2112">
        <v>-223.12459999999999</v>
      </c>
      <c r="K2112">
        <v>1.1067209999999901</v>
      </c>
      <c r="L2112">
        <v>284.0403</v>
      </c>
      <c r="M2112">
        <v>-0.99899300000000002</v>
      </c>
      <c r="N2112">
        <v>-4.9023000000000001E-3</v>
      </c>
      <c r="O2112">
        <v>-4.4597310000000001E-2</v>
      </c>
      <c r="P2112">
        <v>-0.92072089999999995</v>
      </c>
      <c r="Q2112">
        <v>0.3798493</v>
      </c>
      <c r="R2112">
        <v>-8.9370669999999999E-2</v>
      </c>
      <c r="S2112">
        <v>-3.4085999999999999</v>
      </c>
      <c r="T2112">
        <v>-0.37877290000000002</v>
      </c>
      <c r="U2112">
        <v>-3.4851069999999998E-2</v>
      </c>
      <c r="V2112">
        <v>-4.5432760000000003E-2</v>
      </c>
      <c r="W2112">
        <v>0.38471300000000003</v>
      </c>
      <c r="X2112">
        <v>0.9219174</v>
      </c>
      <c r="Y2112">
        <v>3.3913180000000001E-2</v>
      </c>
      <c r="Z2112">
        <v>6.6827040000000002E-3</v>
      </c>
      <c r="AA2112">
        <v>0.99940249999999997</v>
      </c>
      <c r="AB2112">
        <v>31</v>
      </c>
      <c r="AC2112">
        <v>-0.46170000000000699</v>
      </c>
      <c r="AD2112">
        <v>-8.9039999999999703E-2</v>
      </c>
      <c r="AE2112">
        <v>4.7000000000139101E-3</v>
      </c>
      <c r="AF2112">
        <v>2.4379518177437401E-2</v>
      </c>
      <c r="AG2112">
        <v>-8.9039999999999703E-2</v>
      </c>
      <c r="AH2112">
        <v>0.44450080841623801</v>
      </c>
      <c r="AI2112">
        <v>101.310702785408</v>
      </c>
      <c r="AJ2112">
        <v>86.860646059773998</v>
      </c>
      <c r="AK2112">
        <v>0.45398617951348802</v>
      </c>
      <c r="AL2112">
        <v>67.374074940204096</v>
      </c>
      <c r="AM2112">
        <v>92.821295240739801</v>
      </c>
      <c r="AN2112">
        <v>0.99999996023648796</v>
      </c>
    </row>
    <row r="2113" spans="1:40" x14ac:dyDescent="0.25">
      <c r="A2113" t="str">
        <f>"20190304164132204"</f>
        <v>20190304164132204</v>
      </c>
      <c r="B2113" t="str">
        <f>"1551688892193414"</f>
        <v>1551688892193414</v>
      </c>
      <c r="C2113" t="s">
        <v>40</v>
      </c>
      <c r="D2113">
        <v>4.5359800000000003</v>
      </c>
      <c r="E2113">
        <v>0.54469239999999997</v>
      </c>
      <c r="F2113" t="s">
        <v>41</v>
      </c>
      <c r="G2113">
        <v>-223.8706</v>
      </c>
      <c r="H2113">
        <v>1.0250939999999999</v>
      </c>
      <c r="I2113">
        <v>284.03370000000001</v>
      </c>
      <c r="J2113">
        <v>-223.4494</v>
      </c>
      <c r="K2113">
        <v>1.106687</v>
      </c>
      <c r="L2113">
        <v>284.02940000000001</v>
      </c>
      <c r="M2113">
        <v>-0.9991546</v>
      </c>
      <c r="N2113">
        <v>-4.9136500000000003E-3</v>
      </c>
      <c r="O2113">
        <v>-4.0817970000000002E-2</v>
      </c>
      <c r="P2113">
        <v>-0.91982810000000004</v>
      </c>
      <c r="Q2113">
        <v>0.38210640000000001</v>
      </c>
      <c r="R2113">
        <v>-8.8943610000000006E-2</v>
      </c>
      <c r="S2113">
        <v>-3.4092250000000002</v>
      </c>
      <c r="T2113">
        <v>-0.37311840000000002</v>
      </c>
      <c r="U2113">
        <v>-3.1127930000000002E-2</v>
      </c>
      <c r="V2113">
        <v>-4.8487089999999997E-2</v>
      </c>
      <c r="W2113">
        <v>0.38700180000000001</v>
      </c>
      <c r="X2113">
        <v>0.92080320000000004</v>
      </c>
      <c r="Y2113">
        <v>3.1276900000000003E-2</v>
      </c>
      <c r="Z2113">
        <v>6.036184E-3</v>
      </c>
      <c r="AA2113">
        <v>0.99949250000000001</v>
      </c>
      <c r="AB2113">
        <v>31</v>
      </c>
      <c r="AC2113">
        <v>-0.42119999999999802</v>
      </c>
      <c r="AD2113">
        <v>-8.1592999999999999E-2</v>
      </c>
      <c r="AE2113">
        <v>4.3000000000006297E-3</v>
      </c>
      <c r="AF2113">
        <v>2.0711999605142899E-2</v>
      </c>
      <c r="AG2113">
        <v>-8.1592999999999999E-2</v>
      </c>
      <c r="AH2113">
        <v>0.40545985492091102</v>
      </c>
      <c r="AI2113">
        <v>101.36356346721399</v>
      </c>
      <c r="AJ2113">
        <v>87.075716516404398</v>
      </c>
      <c r="AK2113">
        <v>0.41410638552083401</v>
      </c>
      <c r="AL2113">
        <v>67.231928284948197</v>
      </c>
      <c r="AM2113">
        <v>93.014262081768706</v>
      </c>
      <c r="AN2113">
        <v>0.99999996211507303</v>
      </c>
    </row>
    <row r="2114" spans="1:40" x14ac:dyDescent="0.25">
      <c r="A2114" t="str">
        <f>"20190304164132226"</f>
        <v>20190304164132226</v>
      </c>
      <c r="B2114" t="str">
        <f>"1551688892213442"</f>
        <v>1551688892213442</v>
      </c>
      <c r="C2114" t="s">
        <v>40</v>
      </c>
      <c r="D2114">
        <v>4.534681</v>
      </c>
      <c r="E2114">
        <v>0.54462469999999996</v>
      </c>
      <c r="F2114" t="s">
        <v>41</v>
      </c>
      <c r="G2114">
        <v>-224.4247</v>
      </c>
      <c r="H2114">
        <v>1.0023569999999999</v>
      </c>
      <c r="I2114">
        <v>284.02120000000002</v>
      </c>
      <c r="J2114">
        <v>-223.7637</v>
      </c>
      <c r="K2114">
        <v>1.106652</v>
      </c>
      <c r="L2114">
        <v>284.02</v>
      </c>
      <c r="M2114">
        <v>-0.99929659999999998</v>
      </c>
      <c r="N2114">
        <v>-4.9258030000000003E-3</v>
      </c>
      <c r="O2114">
        <v>-3.717724E-2</v>
      </c>
      <c r="P2114">
        <v>-0.91949720000000001</v>
      </c>
      <c r="Q2114">
        <v>0.38254450000000001</v>
      </c>
      <c r="R2114">
        <v>-9.0470670000000003E-2</v>
      </c>
      <c r="S2114">
        <v>-3.4102329999999998</v>
      </c>
      <c r="T2114">
        <v>-0.36484840000000002</v>
      </c>
      <c r="U2114">
        <v>-2.9296880000000001E-2</v>
      </c>
      <c r="V2114">
        <v>-5.3357500000000002E-2</v>
      </c>
      <c r="W2114">
        <v>0.387488</v>
      </c>
      <c r="X2114">
        <v>0.92032930000000002</v>
      </c>
      <c r="Y2114">
        <v>2.8230189999999999E-2</v>
      </c>
      <c r="Z2114">
        <v>5.3580909999999997E-3</v>
      </c>
      <c r="AA2114">
        <v>0.99958709999999995</v>
      </c>
      <c r="AB2114">
        <v>31</v>
      </c>
      <c r="AC2114">
        <v>-0.66100000000000103</v>
      </c>
      <c r="AD2114">
        <v>-0.104295</v>
      </c>
      <c r="AE2114">
        <v>1.20000000003983E-3</v>
      </c>
      <c r="AF2114">
        <v>2.5147559263915799E-2</v>
      </c>
      <c r="AG2114">
        <v>-0.104295</v>
      </c>
      <c r="AH2114">
        <v>0.64445433960800502</v>
      </c>
      <c r="AI2114">
        <v>99.185866088835596</v>
      </c>
      <c r="AJ2114">
        <v>87.765367886308297</v>
      </c>
      <c r="AK2114">
        <v>0.65332322980399404</v>
      </c>
      <c r="AL2114">
        <v>67.201714466995298</v>
      </c>
      <c r="AM2114">
        <v>93.318096170277499</v>
      </c>
      <c r="AN2114">
        <v>0.99999999669437001</v>
      </c>
    </row>
    <row r="2115" spans="1:40" x14ac:dyDescent="0.25">
      <c r="A2115" t="str">
        <f>"20190304164132246"</f>
        <v>20190304164132246</v>
      </c>
      <c r="B2115" t="str">
        <f>"1551688892242722"</f>
        <v>1551688892242722</v>
      </c>
      <c r="C2115" t="s">
        <v>40</v>
      </c>
      <c r="D2115">
        <v>4.515396</v>
      </c>
      <c r="E2115">
        <v>0.54450919999999903</v>
      </c>
      <c r="F2115" t="s">
        <v>41</v>
      </c>
      <c r="G2115">
        <v>-224.7106</v>
      </c>
      <c r="H2115">
        <v>1.006011</v>
      </c>
      <c r="I2115">
        <v>284.01190000000003</v>
      </c>
      <c r="J2115">
        <v>-224.06710000000001</v>
      </c>
      <c r="K2115">
        <v>1.1066320000000001</v>
      </c>
      <c r="L2115">
        <v>284.012</v>
      </c>
      <c r="M2115">
        <v>-0.99942059999999999</v>
      </c>
      <c r="N2115">
        <v>-4.9383279999999996E-3</v>
      </c>
      <c r="O2115">
        <v>-3.3676930000000001E-2</v>
      </c>
      <c r="P2115">
        <v>-0.91985280000000003</v>
      </c>
      <c r="Q2115">
        <v>0.38131769999999998</v>
      </c>
      <c r="R2115">
        <v>-9.2021850000000002E-2</v>
      </c>
      <c r="S2115">
        <v>-3.4106290000000001</v>
      </c>
      <c r="T2115">
        <v>-0.36255739999999997</v>
      </c>
      <c r="U2115">
        <v>-2.9083250000000001E-2</v>
      </c>
      <c r="V2115">
        <v>-5.8114249999999999E-2</v>
      </c>
      <c r="W2115">
        <v>0.3863124</v>
      </c>
      <c r="X2115">
        <v>0.9205354</v>
      </c>
      <c r="Y2115">
        <v>2.4835139999999999E-2</v>
      </c>
      <c r="Z2115">
        <v>4.7810719999999999E-3</v>
      </c>
      <c r="AA2115">
        <v>0.99968009999999996</v>
      </c>
      <c r="AB2115">
        <v>32</v>
      </c>
      <c r="AC2115">
        <v>-0.64349999999998797</v>
      </c>
      <c r="AD2115">
        <v>-0.100621</v>
      </c>
      <c r="AE2115" s="1">
        <v>-9.9999999974897906E-5</v>
      </c>
      <c r="AF2115">
        <v>2.10565896619456E-2</v>
      </c>
      <c r="AG2115">
        <v>-0.100621</v>
      </c>
      <c r="AH2115">
        <v>0.62778886415989099</v>
      </c>
      <c r="AI2115">
        <v>99.100797706647</v>
      </c>
      <c r="AJ2115">
        <v>88.078969417537607</v>
      </c>
      <c r="AK2115">
        <v>0.63615000084284901</v>
      </c>
      <c r="AL2115">
        <v>67.274759656098894</v>
      </c>
      <c r="AM2115">
        <v>93.612341556271701</v>
      </c>
      <c r="AN2115">
        <v>0.99999997954999098</v>
      </c>
    </row>
    <row r="2116" spans="1:40" x14ac:dyDescent="0.25">
      <c r="A2116" t="str">
        <f>"20190304164132271"</f>
        <v>20190304164132271</v>
      </c>
      <c r="B2116" t="str">
        <f>"1551688892263219"</f>
        <v>1551688892263219</v>
      </c>
      <c r="C2116" t="s">
        <v>40</v>
      </c>
      <c r="D2116">
        <v>4.5132110000000001</v>
      </c>
      <c r="E2116">
        <v>0.53595029999999999</v>
      </c>
      <c r="F2116" t="s">
        <v>41</v>
      </c>
      <c r="G2116">
        <v>-224.99600000000001</v>
      </c>
      <c r="H2116">
        <v>1.006694</v>
      </c>
      <c r="I2116">
        <v>284.00459999999998</v>
      </c>
      <c r="J2116">
        <v>-224.40960000000001</v>
      </c>
      <c r="K2116">
        <v>1.106617</v>
      </c>
      <c r="L2116">
        <v>284.00420000000003</v>
      </c>
      <c r="M2116">
        <v>-0.99954500000000002</v>
      </c>
      <c r="N2116">
        <v>-4.9530340000000003E-3</v>
      </c>
      <c r="O2116">
        <v>-2.9754220000000001E-2</v>
      </c>
      <c r="P2116">
        <v>-0.91940160000000004</v>
      </c>
      <c r="Q2116">
        <v>0.38189000000000001</v>
      </c>
      <c r="R2116">
        <v>-9.4132629999999995E-2</v>
      </c>
      <c r="S2116">
        <v>-3.4107210000000001</v>
      </c>
      <c r="T2116">
        <v>-0.3669753</v>
      </c>
      <c r="U2116">
        <v>-2.792358E-2</v>
      </c>
      <c r="V2116">
        <v>-6.3840220000000003E-2</v>
      </c>
      <c r="W2116">
        <v>0.3869398</v>
      </c>
      <c r="X2116">
        <v>0.91989240000000005</v>
      </c>
      <c r="Y2116">
        <v>2.1285729999999999E-2</v>
      </c>
      <c r="Z2116">
        <v>4.2393659999999996E-3</v>
      </c>
      <c r="AA2116">
        <v>0.9997644</v>
      </c>
      <c r="AB2116">
        <v>32</v>
      </c>
      <c r="AC2116">
        <v>-0.58639999999996895</v>
      </c>
      <c r="AD2116">
        <v>-9.9922999999999901E-2</v>
      </c>
      <c r="AE2116">
        <v>3.9999999995643499E-4</v>
      </c>
      <c r="AF2116">
        <v>1.7344295132622901E-2</v>
      </c>
      <c r="AG2116">
        <v>-9.9922999999999901E-2</v>
      </c>
      <c r="AH2116">
        <v>0.56958962688409398</v>
      </c>
      <c r="AI2116">
        <v>99.945620507400093</v>
      </c>
      <c r="AJ2116">
        <v>88.255853186307405</v>
      </c>
      <c r="AK2116">
        <v>0.57854798725482404</v>
      </c>
      <c r="AL2116">
        <v>67.2357817945406</v>
      </c>
      <c r="AM2116">
        <v>93.969942300833097</v>
      </c>
      <c r="AN2116">
        <v>1.0000000050457201</v>
      </c>
    </row>
    <row r="2117" spans="1:40" x14ac:dyDescent="0.25">
      <c r="A2117" t="str">
        <f>"20190304164132283"</f>
        <v>20190304164132283</v>
      </c>
      <c r="B2117" t="str">
        <f>"1551688892272979"</f>
        <v>1551688892272979</v>
      </c>
      <c r="C2117" t="s">
        <v>40</v>
      </c>
      <c r="D2117">
        <v>4.520607</v>
      </c>
      <c r="E2117">
        <v>0.53582459999999998</v>
      </c>
      <c r="F2117" t="s">
        <v>41</v>
      </c>
      <c r="G2117">
        <v>-225.28960000000001</v>
      </c>
      <c r="H2117">
        <v>1.022241</v>
      </c>
      <c r="I2117">
        <v>283.97899999999998</v>
      </c>
      <c r="J2117">
        <v>-224.59039999999999</v>
      </c>
      <c r="K2117">
        <v>1.106614</v>
      </c>
      <c r="L2117">
        <v>284.00060000000002</v>
      </c>
      <c r="M2117">
        <v>-0.99960420000000005</v>
      </c>
      <c r="N2117">
        <v>-4.9608380000000004E-3</v>
      </c>
      <c r="O2117">
        <v>-2.7697010000000001E-2</v>
      </c>
      <c r="P2117">
        <v>-0.91927749999999997</v>
      </c>
      <c r="Q2117">
        <v>0.38189970000000001</v>
      </c>
      <c r="R2117">
        <v>-9.5297140000000002E-2</v>
      </c>
      <c r="S2117">
        <v>-3.387985</v>
      </c>
      <c r="T2117">
        <v>-0.32483299999999998</v>
      </c>
      <c r="U2117">
        <v>-9.7015379999999998E-2</v>
      </c>
      <c r="V2117">
        <v>-6.6902119999999995E-2</v>
      </c>
      <c r="W2117">
        <v>0.3869785</v>
      </c>
      <c r="X2117">
        <v>0.91965850000000005</v>
      </c>
      <c r="Y2117">
        <v>-1.0354920000000001E-3</v>
      </c>
      <c r="Z2117">
        <v>2.4592070000000001E-3</v>
      </c>
      <c r="AA2117">
        <v>0.99999640000000001</v>
      </c>
      <c r="AB2117">
        <v>32</v>
      </c>
      <c r="AC2117">
        <v>-0.69920000000001803</v>
      </c>
      <c r="AD2117">
        <v>-8.4373000000000004E-2</v>
      </c>
      <c r="AE2117">
        <v>-2.1599999999978001E-2</v>
      </c>
      <c r="AF2117">
        <v>-2.1938137750712101E-3</v>
      </c>
      <c r="AG2117">
        <v>-8.4373000000000004E-2</v>
      </c>
      <c r="AH2117">
        <v>0.68949948935942995</v>
      </c>
      <c r="AI2117">
        <v>96.976477878314</v>
      </c>
      <c r="AJ2117">
        <v>90.182300129483195</v>
      </c>
      <c r="AK2117">
        <v>0.69464606943017704</v>
      </c>
      <c r="AL2117">
        <v>67.233377111697394</v>
      </c>
      <c r="AM2117">
        <v>94.160749474298498</v>
      </c>
      <c r="AN2117">
        <v>1.00000000487249</v>
      </c>
    </row>
    <row r="2118" spans="1:40" x14ac:dyDescent="0.25">
      <c r="A2118" t="str">
        <f>"20190304164132303"</f>
        <v>20190304164132303</v>
      </c>
      <c r="B2118" t="str">
        <f>"1551688892293474"</f>
        <v>1551688892293474</v>
      </c>
      <c r="C2118" t="s">
        <v>40</v>
      </c>
      <c r="D2118">
        <v>4.5101589999999998</v>
      </c>
      <c r="E2118">
        <v>0.53553450000000002</v>
      </c>
      <c r="F2118" t="s">
        <v>41</v>
      </c>
      <c r="G2118">
        <v>-225.57249999999999</v>
      </c>
      <c r="H2118">
        <v>1.012594</v>
      </c>
      <c r="I2118">
        <v>283.97149999999999</v>
      </c>
      <c r="J2118">
        <v>-224.88120000000001</v>
      </c>
      <c r="K2118">
        <v>1.1066149999999999</v>
      </c>
      <c r="L2118">
        <v>283.99549999999999</v>
      </c>
      <c r="M2118">
        <v>-0.9996891</v>
      </c>
      <c r="N2118">
        <v>-4.9732500000000002E-3</v>
      </c>
      <c r="O2118">
        <v>-2.4434060000000001E-2</v>
      </c>
      <c r="P2118">
        <v>-0.91856839999999995</v>
      </c>
      <c r="Q2118">
        <v>0.38298880000000002</v>
      </c>
      <c r="R2118">
        <v>-9.7731990000000005E-2</v>
      </c>
      <c r="S2118">
        <v>-3.3877559999999902</v>
      </c>
      <c r="T2118">
        <v>-0.32441530000000002</v>
      </c>
      <c r="U2118">
        <v>-0.1008911</v>
      </c>
      <c r="V2118">
        <v>-7.235991E-2</v>
      </c>
      <c r="W2118">
        <v>0.38811440000000003</v>
      </c>
      <c r="X2118">
        <v>0.91876619999999998</v>
      </c>
      <c r="Y2118">
        <v>-5.4098130000000003E-3</v>
      </c>
      <c r="Z2118">
        <v>1.9404800000000001E-3</v>
      </c>
      <c r="AA2118">
        <v>0.99998350000000003</v>
      </c>
      <c r="AB2118">
        <v>32</v>
      </c>
      <c r="AC2118">
        <v>-0.69129999999998404</v>
      </c>
      <c r="AD2118">
        <v>-9.4020999999999896E-2</v>
      </c>
      <c r="AE2118">
        <v>-2.4000000000000899E-2</v>
      </c>
      <c r="AF2118">
        <v>-6.9725399962057297E-3</v>
      </c>
      <c r="AG2118">
        <v>-9.4020999999999896E-2</v>
      </c>
      <c r="AH2118">
        <v>0.679132788288213</v>
      </c>
      <c r="AI2118">
        <v>97.881672005360201</v>
      </c>
      <c r="AJ2118">
        <v>90.588225285754703</v>
      </c>
      <c r="AK2118">
        <v>0.68564561464587603</v>
      </c>
      <c r="AL2118">
        <v>67.162778260321403</v>
      </c>
      <c r="AM2118">
        <v>94.503188239277904</v>
      </c>
      <c r="AN2118">
        <v>1.0000000371625</v>
      </c>
    </row>
    <row r="2119" spans="1:40" x14ac:dyDescent="0.25">
      <c r="A2119" t="str">
        <f>"20190304164132326"</f>
        <v>20190304164132326</v>
      </c>
      <c r="B2119" t="str">
        <f>"1551688892313502"</f>
        <v>1551688892313502</v>
      </c>
      <c r="C2119" t="s">
        <v>40</v>
      </c>
      <c r="D2119">
        <v>4.5101279999999999</v>
      </c>
      <c r="E2119">
        <v>0.5356168</v>
      </c>
      <c r="F2119" t="s">
        <v>41</v>
      </c>
      <c r="G2119">
        <v>-225.8613</v>
      </c>
      <c r="H2119">
        <v>1.013261</v>
      </c>
      <c r="I2119">
        <v>283.96379999999999</v>
      </c>
      <c r="J2119">
        <v>-225.19110000000001</v>
      </c>
      <c r="K2119">
        <v>1.106644</v>
      </c>
      <c r="L2119">
        <v>283.99110000000002</v>
      </c>
      <c r="M2119">
        <v>-0.99976620000000005</v>
      </c>
      <c r="N2119">
        <v>-4.9857670000000003E-3</v>
      </c>
      <c r="O2119">
        <v>-2.1040860000000002E-2</v>
      </c>
      <c r="P2119">
        <v>-0.91835990000000001</v>
      </c>
      <c r="Q2119">
        <v>0.38286769999999998</v>
      </c>
      <c r="R2119">
        <v>-0.1001374</v>
      </c>
      <c r="S2119">
        <v>-3.3888699999999998</v>
      </c>
      <c r="T2119">
        <v>-0.322824</v>
      </c>
      <c r="U2119">
        <v>-0.1096191</v>
      </c>
      <c r="V2119">
        <v>-7.7924300000000002E-2</v>
      </c>
      <c r="W2119">
        <v>0.38803789999999999</v>
      </c>
      <c r="X2119">
        <v>0.91834329999999997</v>
      </c>
      <c r="Y2119">
        <v>-1.132415E-2</v>
      </c>
      <c r="Z2119">
        <v>1.3280430000000001E-3</v>
      </c>
      <c r="AA2119">
        <v>0.99993500000000002</v>
      </c>
      <c r="AB2119">
        <v>32</v>
      </c>
      <c r="AC2119">
        <v>-0.67019999999999402</v>
      </c>
      <c r="AD2119">
        <v>-9.3382999999999994E-2</v>
      </c>
      <c r="AE2119">
        <v>-2.73000000000252E-2</v>
      </c>
      <c r="AF2119">
        <v>-1.29413624348051E-2</v>
      </c>
      <c r="AG2119">
        <v>-9.3382999999999994E-2</v>
      </c>
      <c r="AH2119">
        <v>0.65787487634109099</v>
      </c>
      <c r="AI2119">
        <v>98.077418225658803</v>
      </c>
      <c r="AJ2119">
        <v>91.126946558041595</v>
      </c>
      <c r="AK2119">
        <v>0.66459552847688796</v>
      </c>
      <c r="AL2119">
        <v>67.167533521823501</v>
      </c>
      <c r="AM2119">
        <v>94.8501079350645</v>
      </c>
      <c r="AN2119">
        <v>1.0000000125108901</v>
      </c>
    </row>
    <row r="2120" spans="1:40" x14ac:dyDescent="0.25">
      <c r="A2120" t="str">
        <f>"20190304164132347"</f>
        <v>20190304164132347</v>
      </c>
      <c r="B2120" t="str">
        <f>"1551688892343760"</f>
        <v>1551688892343760</v>
      </c>
      <c r="C2120" t="s">
        <v>40</v>
      </c>
      <c r="D2120">
        <v>4.5218119999999997</v>
      </c>
      <c r="E2120">
        <v>0.53593199999999996</v>
      </c>
      <c r="F2120" t="s">
        <v>41</v>
      </c>
      <c r="G2120">
        <v>-226.1514</v>
      </c>
      <c r="H2120">
        <v>1.014634</v>
      </c>
      <c r="I2120">
        <v>283.95859999999999</v>
      </c>
      <c r="J2120">
        <v>-225.5077</v>
      </c>
      <c r="K2120">
        <v>1.106695</v>
      </c>
      <c r="L2120">
        <v>283.98770000000002</v>
      </c>
      <c r="M2120">
        <v>-0.99983120000000003</v>
      </c>
      <c r="N2120">
        <v>-4.9976650000000001E-3</v>
      </c>
      <c r="O2120">
        <v>-1.7684439999999999E-2</v>
      </c>
      <c r="P2120">
        <v>-0.91840730000000004</v>
      </c>
      <c r="Q2120">
        <v>0.38238509999999998</v>
      </c>
      <c r="R2120">
        <v>-0.1015394</v>
      </c>
      <c r="S2120">
        <v>-3.3894959999999998</v>
      </c>
      <c r="T2120">
        <v>-0.32478649999999998</v>
      </c>
      <c r="U2120">
        <v>-0.1156616</v>
      </c>
      <c r="V2120">
        <v>-8.2469470000000003E-2</v>
      </c>
      <c r="W2120">
        <v>0.38758779999999998</v>
      </c>
      <c r="X2120">
        <v>0.91813639999999996</v>
      </c>
      <c r="Y2120">
        <v>-1.6417629999999999E-2</v>
      </c>
      <c r="Z2120">
        <v>7.7612809999999999E-4</v>
      </c>
      <c r="AA2120">
        <v>0.99986489999999995</v>
      </c>
      <c r="AB2120">
        <v>32</v>
      </c>
      <c r="AC2120">
        <v>-0.64369999999999505</v>
      </c>
      <c r="AD2120">
        <v>-9.2060999999999907E-2</v>
      </c>
      <c r="AE2120">
        <v>-2.91000000000281E-2</v>
      </c>
      <c r="AF2120">
        <v>-1.7357522163886099E-2</v>
      </c>
      <c r="AG2120">
        <v>-9.2060999999999907E-2</v>
      </c>
      <c r="AH2120">
        <v>0.63122895270438295</v>
      </c>
      <c r="AI2120">
        <v>98.294655647642799</v>
      </c>
      <c r="AJ2120">
        <v>91.575121370625297</v>
      </c>
      <c r="AK2120">
        <v>0.63814301064020196</v>
      </c>
      <c r="AL2120">
        <v>67.195511279410397</v>
      </c>
      <c r="AM2120">
        <v>95.132686215944403</v>
      </c>
      <c r="AN2120">
        <v>0.99999998259793998</v>
      </c>
    </row>
    <row r="2121" spans="1:40" x14ac:dyDescent="0.25">
      <c r="A2121" t="str">
        <f>"20190304164132361"</f>
        <v>20190304164132361</v>
      </c>
      <c r="B2121" t="str">
        <f>"1551688892353520"</f>
        <v>1551688892353520</v>
      </c>
      <c r="C2121" t="s">
        <v>40</v>
      </c>
      <c r="D2121">
        <v>4.5240519999999904</v>
      </c>
      <c r="E2121">
        <v>0.53609899999999999</v>
      </c>
      <c r="F2121" t="s">
        <v>41</v>
      </c>
      <c r="G2121">
        <v>-226.4426</v>
      </c>
      <c r="H2121">
        <v>1.0159499999999999</v>
      </c>
      <c r="I2121">
        <v>283.9554</v>
      </c>
      <c r="J2121">
        <v>-225.7176</v>
      </c>
      <c r="K2121">
        <v>1.106741</v>
      </c>
      <c r="L2121">
        <v>283.98579999999998</v>
      </c>
      <c r="M2121">
        <v>-0.99986699999999995</v>
      </c>
      <c r="N2121">
        <v>-5.005214E-3</v>
      </c>
      <c r="O2121">
        <v>-1.552277E-2</v>
      </c>
      <c r="P2121">
        <v>-0.91852230000000001</v>
      </c>
      <c r="Q2121">
        <v>0.38209490000000002</v>
      </c>
      <c r="R2121">
        <v>-0.101589</v>
      </c>
      <c r="S2121">
        <v>-3.390625</v>
      </c>
      <c r="T2121">
        <v>-0.32918730000000002</v>
      </c>
      <c r="U2121">
        <v>-0.1170654</v>
      </c>
      <c r="V2121">
        <v>-8.4554760000000007E-2</v>
      </c>
      <c r="W2121">
        <v>0.38730870000000001</v>
      </c>
      <c r="X2121">
        <v>0.91806449999999995</v>
      </c>
      <c r="Y2121">
        <v>-1.8959690000000001E-2</v>
      </c>
      <c r="Z2121">
        <v>4.5991069999999997E-4</v>
      </c>
      <c r="AA2121">
        <v>0.99982020000000005</v>
      </c>
      <c r="AB2121">
        <v>32</v>
      </c>
      <c r="AC2121">
        <v>-0.72499999999999398</v>
      </c>
      <c r="AD2121">
        <v>-9.0790999999999997E-2</v>
      </c>
      <c r="AE2121">
        <v>-3.03999999999859E-2</v>
      </c>
      <c r="AF2121">
        <v>-1.8847140439391501E-2</v>
      </c>
      <c r="AG2121">
        <v>-9.0790999999999997E-2</v>
      </c>
      <c r="AH2121">
        <v>0.71420384743266996</v>
      </c>
      <c r="AI2121">
        <v>97.242199936815098</v>
      </c>
      <c r="AJ2121">
        <v>91.511628713285702</v>
      </c>
      <c r="AK2121">
        <v>0.72019813667585297</v>
      </c>
      <c r="AL2121">
        <v>67.212857383072006</v>
      </c>
      <c r="AM2121">
        <v>95.262159473640395</v>
      </c>
      <c r="AN2121">
        <v>0.99999998134729795</v>
      </c>
    </row>
    <row r="2122" spans="1:40" x14ac:dyDescent="0.25">
      <c r="A2122" t="str">
        <f>"20190304164132374"</f>
        <v>20190304164132374</v>
      </c>
      <c r="B2122" t="str">
        <f>"1551688892363279"</f>
        <v>1551688892363279</v>
      </c>
      <c r="C2122" t="s">
        <v>40</v>
      </c>
      <c r="D2122">
        <v>4.8382059999999996</v>
      </c>
      <c r="E2122">
        <v>0.53609899999999999</v>
      </c>
      <c r="F2122" t="s">
        <v>41</v>
      </c>
      <c r="G2122">
        <v>-226.45419999999999</v>
      </c>
      <c r="H2122">
        <v>1.034621</v>
      </c>
      <c r="I2122">
        <v>283.96069999999997</v>
      </c>
      <c r="J2122">
        <v>-225.89519999999999</v>
      </c>
      <c r="K2122">
        <v>1.1067910000000001</v>
      </c>
      <c r="L2122">
        <v>283.9846</v>
      </c>
      <c r="M2122">
        <v>-0.99989249999999996</v>
      </c>
      <c r="N2122">
        <v>-5.0133249999999999E-3</v>
      </c>
      <c r="O2122">
        <v>-1.378095E-2</v>
      </c>
      <c r="P2122">
        <v>-0.91853110000000004</v>
      </c>
      <c r="Q2122">
        <v>0.38200640000000002</v>
      </c>
      <c r="R2122">
        <v>-0.1018445</v>
      </c>
      <c r="S2122">
        <v>-3.3914949999999999</v>
      </c>
      <c r="T2122">
        <v>-0.33215479999999997</v>
      </c>
      <c r="U2122">
        <v>-0.1156616</v>
      </c>
      <c r="V2122">
        <v>-8.6465979999999998E-2</v>
      </c>
      <c r="W2122">
        <v>0.38722830000000003</v>
      </c>
      <c r="X2122">
        <v>0.91792039999999997</v>
      </c>
      <c r="Y2122">
        <v>-2.026472E-2</v>
      </c>
      <c r="Z2122">
        <v>2.3641020000000001E-4</v>
      </c>
      <c r="AA2122">
        <v>0.99979459999999998</v>
      </c>
      <c r="AB2122">
        <v>32</v>
      </c>
      <c r="AC2122">
        <v>-0.55899999999999705</v>
      </c>
      <c r="AD2122">
        <v>-7.2169999999999998E-2</v>
      </c>
      <c r="AE2122">
        <v>-2.3900000000026001E-2</v>
      </c>
      <c r="AF2122">
        <v>-1.5929057797730101E-2</v>
      </c>
      <c r="AG2122">
        <v>-7.2169999999999998E-2</v>
      </c>
      <c r="AH2122">
        <v>0.55012342480434595</v>
      </c>
      <c r="AI2122">
        <v>97.470784120514494</v>
      </c>
      <c r="AJ2122">
        <v>91.658560252540198</v>
      </c>
      <c r="AK2122">
        <v>0.55506578556130204</v>
      </c>
      <c r="AL2122">
        <v>67.217854094895699</v>
      </c>
      <c r="AM2122">
        <v>95.381251169591096</v>
      </c>
      <c r="AN2122">
        <v>0.99999999137720497</v>
      </c>
    </row>
    <row r="2123" spans="1:40" x14ac:dyDescent="0.25">
      <c r="A2123" t="str">
        <f>"20190304164132392"</f>
        <v>20190304164132392</v>
      </c>
      <c r="B2123" t="str">
        <f>"1551688892382799"</f>
        <v>1551688892382799</v>
      </c>
      <c r="C2123" t="s">
        <v>40</v>
      </c>
      <c r="D2123">
        <v>4.5328339999999896</v>
      </c>
      <c r="E2123">
        <v>0.53615119999999905</v>
      </c>
      <c r="F2123" t="s">
        <v>41</v>
      </c>
      <c r="G2123">
        <v>-226.73820000000001</v>
      </c>
      <c r="H2123">
        <v>1.0241129999999901</v>
      </c>
      <c r="I2123">
        <v>283.95549999999997</v>
      </c>
      <c r="J2123">
        <v>-226.1711</v>
      </c>
      <c r="K2123">
        <v>1.106897</v>
      </c>
      <c r="L2123">
        <v>283.98320000000001</v>
      </c>
      <c r="M2123">
        <v>-0.9999247</v>
      </c>
      <c r="N2123">
        <v>-5.0290739999999997E-3</v>
      </c>
      <c r="O2123">
        <v>-1.1196319999999999E-2</v>
      </c>
      <c r="P2123">
        <v>-0.91847190000000001</v>
      </c>
      <c r="Q2123">
        <v>0.38188460000000002</v>
      </c>
      <c r="R2123">
        <v>-0.1028274</v>
      </c>
      <c r="S2123">
        <v>-3.3914029999999999</v>
      </c>
      <c r="T2123">
        <v>-0.33255479999999998</v>
      </c>
      <c r="U2123">
        <v>-0.117157</v>
      </c>
      <c r="V2123">
        <v>-8.9934219999999995E-2</v>
      </c>
      <c r="W2123">
        <v>0.38711830000000003</v>
      </c>
      <c r="X2123">
        <v>0.91763349999999999</v>
      </c>
      <c r="Y2123">
        <v>-2.3263820000000001E-2</v>
      </c>
      <c r="Z2123">
        <v>-1.574976E-4</v>
      </c>
      <c r="AA2123">
        <v>0.99972930000000004</v>
      </c>
      <c r="AB2123">
        <v>32</v>
      </c>
      <c r="AC2123">
        <v>-0.56710000000001004</v>
      </c>
      <c r="AD2123">
        <v>-8.2784000000000094E-2</v>
      </c>
      <c r="AE2123">
        <v>-2.7700000000038399E-2</v>
      </c>
      <c r="AF2123">
        <v>-2.0904349276457301E-2</v>
      </c>
      <c r="AG2123">
        <v>-8.2784000000000094E-2</v>
      </c>
      <c r="AH2123">
        <v>0.55556397538647295</v>
      </c>
      <c r="AI2123">
        <v>98.469317265514505</v>
      </c>
      <c r="AJ2123">
        <v>92.154866525435907</v>
      </c>
      <c r="AK2123">
        <v>0.56208674884033105</v>
      </c>
      <c r="AL2123">
        <v>67.224689761700006</v>
      </c>
      <c r="AM2123">
        <v>95.597493366090106</v>
      </c>
      <c r="AN2123">
        <v>0.99999999122207395</v>
      </c>
    </row>
    <row r="2124" spans="1:40" x14ac:dyDescent="0.25">
      <c r="A2124" t="str">
        <f>"20190304164132407"</f>
        <v>20190304164132407</v>
      </c>
      <c r="B2124" t="str">
        <f>"1551688892403295"</f>
        <v>1551688892403295</v>
      </c>
      <c r="C2124" t="s">
        <v>40</v>
      </c>
      <c r="D2124">
        <v>4.509271</v>
      </c>
      <c r="E2124">
        <v>0.53789600000000004</v>
      </c>
      <c r="F2124" t="s">
        <v>46</v>
      </c>
      <c r="G2124">
        <v>-239.92060000000001</v>
      </c>
      <c r="H2124" s="1">
        <v>3.790854E-6</v>
      </c>
      <c r="I2124">
        <v>283.50889999999998</v>
      </c>
      <c r="J2124">
        <v>-226.38249999999999</v>
      </c>
      <c r="K2124">
        <v>1.107008</v>
      </c>
      <c r="L2124">
        <v>283.98250000000002</v>
      </c>
      <c r="M2124">
        <v>-0.99994369999999999</v>
      </c>
      <c r="N2124">
        <v>-5.0438409999999899E-3</v>
      </c>
      <c r="O2124">
        <v>-9.342978E-3</v>
      </c>
      <c r="P2124">
        <v>-0.91870209999999997</v>
      </c>
      <c r="Q2124">
        <v>0.3813819</v>
      </c>
      <c r="R2124">
        <v>-0.1026388</v>
      </c>
      <c r="S2124">
        <v>-3.3659819999999998</v>
      </c>
      <c r="T2124">
        <v>-0.27097650000000001</v>
      </c>
      <c r="U2124">
        <v>-0.1161194</v>
      </c>
      <c r="V2124">
        <v>-9.1552129999999995E-2</v>
      </c>
      <c r="W2124">
        <v>0.38661570000000001</v>
      </c>
      <c r="X2124">
        <v>0.91768539999999998</v>
      </c>
      <c r="Y2124">
        <v>-2.5078759999999999E-2</v>
      </c>
      <c r="Z2124">
        <v>-3.6728759999999998E-4</v>
      </c>
      <c r="AA2124">
        <v>0.99968539999999995</v>
      </c>
      <c r="AB2124">
        <v>32</v>
      </c>
      <c r="AC2124">
        <v>-13.5381</v>
      </c>
      <c r="AD2124">
        <v>-1.107004209146</v>
      </c>
      <c r="AE2124">
        <v>-0.47360000000003299</v>
      </c>
      <c r="AF2124">
        <v>-0.34478902710902998</v>
      </c>
      <c r="AG2124">
        <v>-1.107004209146</v>
      </c>
      <c r="AH2124">
        <v>13.452099717424399</v>
      </c>
      <c r="AI2124">
        <v>94.702863511081105</v>
      </c>
      <c r="AJ2124">
        <v>91.468219255331803</v>
      </c>
      <c r="AK2124">
        <v>13.501974840733901</v>
      </c>
      <c r="AL2124">
        <v>67.2559182430372</v>
      </c>
      <c r="AM2124">
        <v>95.697215023458</v>
      </c>
      <c r="AN2124">
        <v>0.99999999268359296</v>
      </c>
    </row>
    <row r="2125" spans="1:40" x14ac:dyDescent="0.25">
      <c r="A2125" t="str">
        <f>"20190304164132426"</f>
        <v>20190304164132426</v>
      </c>
      <c r="B2125" t="str">
        <f>"1551688892422815"</f>
        <v>1551688892422815</v>
      </c>
      <c r="C2125" t="s">
        <v>40</v>
      </c>
      <c r="D2125">
        <v>4.5064479999999998</v>
      </c>
      <c r="E2125">
        <v>0.53780530000000004</v>
      </c>
      <c r="F2125" t="s">
        <v>41</v>
      </c>
      <c r="G2125">
        <v>-227.31819999999999</v>
      </c>
      <c r="H2125">
        <v>1.012454</v>
      </c>
      <c r="I2125">
        <v>283.95330000000001</v>
      </c>
      <c r="J2125">
        <v>-226.66980000000001</v>
      </c>
      <c r="K2125">
        <v>1.1071759999999999</v>
      </c>
      <c r="L2125">
        <v>283.98200000000003</v>
      </c>
      <c r="M2125">
        <v>-0.99996260000000003</v>
      </c>
      <c r="N2125">
        <v>-5.0665659999999998E-3</v>
      </c>
      <c r="O2125">
        <v>-7.02193E-3</v>
      </c>
      <c r="P2125">
        <v>-0.91931960000000001</v>
      </c>
      <c r="Q2125">
        <v>0.3795654</v>
      </c>
      <c r="R2125">
        <v>-0.1038361</v>
      </c>
      <c r="S2125">
        <v>-3.3960569999999999</v>
      </c>
      <c r="T2125">
        <v>-0.34328330000000001</v>
      </c>
      <c r="U2125">
        <v>-0.1065979</v>
      </c>
      <c r="V2125">
        <v>-9.5049209999999995E-2</v>
      </c>
      <c r="W2125">
        <v>0.38480449999999999</v>
      </c>
      <c r="X2125">
        <v>0.91809099999999999</v>
      </c>
      <c r="Y2125">
        <v>-2.425648E-2</v>
      </c>
      <c r="Z2125">
        <v>-6.1185890000000004E-4</v>
      </c>
      <c r="AA2125">
        <v>0.99970559999999997</v>
      </c>
      <c r="AB2125">
        <v>33</v>
      </c>
      <c r="AC2125">
        <v>-0.64839999999997999</v>
      </c>
      <c r="AD2125">
        <v>-9.4721999999999695E-2</v>
      </c>
      <c r="AE2125">
        <v>-2.87000000000148E-2</v>
      </c>
      <c r="AF2125">
        <v>-2.3642642829708099E-2</v>
      </c>
      <c r="AG2125">
        <v>-9.4721999999999695E-2</v>
      </c>
      <c r="AH2125">
        <v>0.63505921845139901</v>
      </c>
      <c r="AI2125">
        <v>98.477599917559303</v>
      </c>
      <c r="AJ2125">
        <v>92.132082008447298</v>
      </c>
      <c r="AK2125">
        <v>0.64251960498032701</v>
      </c>
      <c r="AL2125">
        <v>67.3683953592558</v>
      </c>
      <c r="AM2125">
        <v>95.910727559108196</v>
      </c>
      <c r="AN2125">
        <v>0.99999996991143603</v>
      </c>
    </row>
    <row r="2126" spans="1:40" x14ac:dyDescent="0.25">
      <c r="A2126" t="str">
        <f>"20190304164132448"</f>
        <v>20190304164132448</v>
      </c>
      <c r="B2126" t="str">
        <f>"1551688892443312"</f>
        <v>1551688892443312</v>
      </c>
      <c r="C2126" t="s">
        <v>40</v>
      </c>
      <c r="D2126">
        <v>4.5376289999999999</v>
      </c>
      <c r="E2126">
        <v>0.53795839999999995</v>
      </c>
      <c r="F2126" t="s">
        <v>41</v>
      </c>
      <c r="G2126">
        <v>-227.61160000000001</v>
      </c>
      <c r="H2126">
        <v>1.0105470000000001</v>
      </c>
      <c r="I2126">
        <v>283.95159999999998</v>
      </c>
      <c r="J2126">
        <v>-226.9811</v>
      </c>
      <c r="K2126">
        <v>1.107375</v>
      </c>
      <c r="L2126">
        <v>283.9819</v>
      </c>
      <c r="M2126">
        <v>-0.99997570000000002</v>
      </c>
      <c r="N2126">
        <v>-5.0928149999999997E-3</v>
      </c>
      <c r="O2126">
        <v>-4.76021E-3</v>
      </c>
      <c r="P2126">
        <v>-0.91980609999999996</v>
      </c>
      <c r="Q2126">
        <v>0.378193</v>
      </c>
      <c r="R2126">
        <v>-0.104531</v>
      </c>
      <c r="S2126">
        <v>-3.3946689999999999</v>
      </c>
      <c r="T2126">
        <v>-0.34835569999999999</v>
      </c>
      <c r="U2126">
        <v>-0.1101379</v>
      </c>
      <c r="V2126">
        <v>-9.8015489999999997E-2</v>
      </c>
      <c r="W2126">
        <v>0.38342739999999997</v>
      </c>
      <c r="X2126">
        <v>0.91835529999999999</v>
      </c>
      <c r="Y2126">
        <v>-2.7540060000000002E-2</v>
      </c>
      <c r="Z2126">
        <v>-1.0164389999999901E-3</v>
      </c>
      <c r="AA2126">
        <v>0.99962019999999996</v>
      </c>
      <c r="AB2126">
        <v>33</v>
      </c>
      <c r="AC2126">
        <v>-0.63050000000001205</v>
      </c>
      <c r="AD2126">
        <v>-9.6828000000000095E-2</v>
      </c>
      <c r="AE2126">
        <v>-3.0300000000010999E-2</v>
      </c>
      <c r="AF2126">
        <v>-2.66707315281789E-2</v>
      </c>
      <c r="AG2126">
        <v>-9.6828000000000095E-2</v>
      </c>
      <c r="AH2126">
        <v>0.616139073965012</v>
      </c>
      <c r="AI2126">
        <v>98.922926675566501</v>
      </c>
      <c r="AJ2126">
        <v>92.478607589036102</v>
      </c>
      <c r="AK2126">
        <v>0.62427105328591903</v>
      </c>
      <c r="AL2126">
        <v>67.453854791053701</v>
      </c>
      <c r="AM2126">
        <v>96.092080806855705</v>
      </c>
      <c r="AN2126">
        <v>1.00000003219439</v>
      </c>
    </row>
    <row r="2127" spans="1:40" x14ac:dyDescent="0.25">
      <c r="A2127" t="str">
        <f>"20190304164132460"</f>
        <v>20190304164132460</v>
      </c>
      <c r="B2127" t="str">
        <f>"1551688892453071"</f>
        <v>1551688892453071</v>
      </c>
      <c r="C2127" t="s">
        <v>40</v>
      </c>
      <c r="D2127">
        <v>4.5289140000000003</v>
      </c>
      <c r="E2127">
        <v>0.53790059999999995</v>
      </c>
      <c r="F2127" t="s">
        <v>41</v>
      </c>
      <c r="G2127">
        <v>-227.90719999999999</v>
      </c>
      <c r="H2127">
        <v>1.0115609999999999</v>
      </c>
      <c r="I2127">
        <v>283.952</v>
      </c>
      <c r="J2127">
        <v>-227.1815</v>
      </c>
      <c r="K2127">
        <v>1.1075060000000001</v>
      </c>
      <c r="L2127">
        <v>283.9821</v>
      </c>
      <c r="M2127">
        <v>-0.99998109999999996</v>
      </c>
      <c r="N2127">
        <v>-5.1102129999999997E-3</v>
      </c>
      <c r="O2127">
        <v>-3.4204790000000001E-3</v>
      </c>
      <c r="P2127">
        <v>-0.92006109999999997</v>
      </c>
      <c r="Q2127">
        <v>0.37751610000000002</v>
      </c>
      <c r="R2127">
        <v>-0.10473490000000001</v>
      </c>
      <c r="S2127">
        <v>-3.393402</v>
      </c>
      <c r="T2127">
        <v>-0.3511513</v>
      </c>
      <c r="U2127">
        <v>-0.1100159</v>
      </c>
      <c r="V2127">
        <v>-9.9575979999999994E-2</v>
      </c>
      <c r="W2127">
        <v>0.38274340000000001</v>
      </c>
      <c r="X2127">
        <v>0.91847270000000003</v>
      </c>
      <c r="Y2127">
        <v>-2.8839589999999998E-2</v>
      </c>
      <c r="Z2127">
        <v>-1.22624E-3</v>
      </c>
      <c r="AA2127">
        <v>0.99958329999999995</v>
      </c>
      <c r="AB2127">
        <v>33</v>
      </c>
      <c r="AC2127">
        <v>-0.72569999999998902</v>
      </c>
      <c r="AD2127">
        <v>-9.5944999999999697E-2</v>
      </c>
      <c r="AE2127">
        <v>-3.0100000000004401E-2</v>
      </c>
      <c r="AF2127">
        <v>-2.7143901355643599E-2</v>
      </c>
      <c r="AG2127">
        <v>-9.5944999999999697E-2</v>
      </c>
      <c r="AH2127">
        <v>0.71335106544532201</v>
      </c>
      <c r="AI2127">
        <v>97.654780200962804</v>
      </c>
      <c r="AJ2127">
        <v>92.1791248499201</v>
      </c>
      <c r="AK2127">
        <v>0.720286038305465</v>
      </c>
      <c r="AL2127">
        <v>67.496280808812998</v>
      </c>
      <c r="AM2127">
        <v>96.187540342562301</v>
      </c>
      <c r="AN2127">
        <v>0.99999999334090495</v>
      </c>
    </row>
    <row r="2128" spans="1:40" x14ac:dyDescent="0.25">
      <c r="A2128" t="str">
        <f>"20190304164132483"</f>
        <v>20190304164132483</v>
      </c>
      <c r="B2128" t="str">
        <f>"1551688892473567"</f>
        <v>1551688892473567</v>
      </c>
      <c r="C2128" t="s">
        <v>40</v>
      </c>
      <c r="D2128">
        <v>4.5235820000000002</v>
      </c>
      <c r="E2128">
        <v>0.53804960000000002</v>
      </c>
      <c r="F2128" t="s">
        <v>41</v>
      </c>
      <c r="G2128">
        <v>-227.91849999999999</v>
      </c>
      <c r="H2128">
        <v>1.0305260000000001</v>
      </c>
      <c r="I2128">
        <v>283.95819999999998</v>
      </c>
      <c r="J2128">
        <v>-227.3657</v>
      </c>
      <c r="K2128">
        <v>1.107618</v>
      </c>
      <c r="L2128">
        <v>283.98239999999998</v>
      </c>
      <c r="M2128">
        <v>-0.99998410000000004</v>
      </c>
      <c r="N2128">
        <v>-5.1262360000000002E-3</v>
      </c>
      <c r="O2128">
        <v>-2.3297130000000002E-3</v>
      </c>
      <c r="P2128">
        <v>-0.92015460000000004</v>
      </c>
      <c r="Q2128">
        <v>0.3772085</v>
      </c>
      <c r="R2128">
        <v>-0.1050194</v>
      </c>
      <c r="S2128">
        <v>-3.3935699999999902</v>
      </c>
      <c r="T2128">
        <v>-0.35453489999999999</v>
      </c>
      <c r="U2128">
        <v>-0.11022949999999999</v>
      </c>
      <c r="V2128">
        <v>-0.1009763</v>
      </c>
      <c r="W2128">
        <v>0.38242789999999999</v>
      </c>
      <c r="X2128">
        <v>0.91845120000000002</v>
      </c>
      <c r="Y2128">
        <v>-2.9976579999999999E-2</v>
      </c>
      <c r="Z2128">
        <v>-1.4075239999999901E-3</v>
      </c>
      <c r="AA2128">
        <v>0.99954960000000004</v>
      </c>
      <c r="AB2128">
        <v>33</v>
      </c>
      <c r="AC2128">
        <v>-0.55279999999998997</v>
      </c>
      <c r="AD2128">
        <v>-7.7091999999999897E-2</v>
      </c>
      <c r="AE2128">
        <v>-2.42000000000075E-2</v>
      </c>
      <c r="AF2128">
        <v>-2.2475771633081301E-2</v>
      </c>
      <c r="AG2128">
        <v>-7.7091999999999897E-2</v>
      </c>
      <c r="AH2128">
        <v>0.54232768072386695</v>
      </c>
      <c r="AI2128">
        <v>98.083557809328894</v>
      </c>
      <c r="AJ2128">
        <v>92.373159989366201</v>
      </c>
      <c r="AK2128">
        <v>0.54824050384282197</v>
      </c>
      <c r="AL2128">
        <v>67.5158453520189</v>
      </c>
      <c r="AM2128">
        <v>96.274011232040394</v>
      </c>
      <c r="AN2128">
        <v>0.99999995932076902</v>
      </c>
    </row>
    <row r="2129" spans="1:40" x14ac:dyDescent="0.25">
      <c r="A2129" t="str">
        <f>"20190304164132496"</f>
        <v>20190304164132496</v>
      </c>
      <c r="B2129" t="str">
        <f>"1551688892483327"</f>
        <v>1551688892483327</v>
      </c>
      <c r="C2129" t="s">
        <v>40</v>
      </c>
      <c r="D2129">
        <v>4.5286039999999996</v>
      </c>
      <c r="E2129">
        <v>0.53813679999999997</v>
      </c>
      <c r="F2129" t="s">
        <v>41</v>
      </c>
      <c r="G2129">
        <v>-228.20689999999999</v>
      </c>
      <c r="H2129">
        <v>1.019358</v>
      </c>
      <c r="I2129">
        <v>283.95519999999999</v>
      </c>
      <c r="J2129">
        <v>-227.69460000000001</v>
      </c>
      <c r="K2129">
        <v>1.1078349999999999</v>
      </c>
      <c r="L2129">
        <v>283.98329999999999</v>
      </c>
      <c r="M2129">
        <v>-0.99998659999999995</v>
      </c>
      <c r="N2129">
        <v>-5.1546930000000001E-3</v>
      </c>
      <c r="O2129">
        <v>-5.8819139999999998E-4</v>
      </c>
      <c r="P2129">
        <v>-0.92056280000000001</v>
      </c>
      <c r="Q2129">
        <v>0.37600109999999998</v>
      </c>
      <c r="R2129">
        <v>-0.1057712</v>
      </c>
      <c r="S2129">
        <v>-3.3937379999999999</v>
      </c>
      <c r="T2129">
        <v>-0.35611179999999998</v>
      </c>
      <c r="U2129">
        <v>-0.1101685</v>
      </c>
      <c r="V2129">
        <v>-0.10354380000000001</v>
      </c>
      <c r="W2129">
        <v>0.38120359999999998</v>
      </c>
      <c r="X2129">
        <v>0.91867430000000005</v>
      </c>
      <c r="Y2129">
        <v>-3.167789E-2</v>
      </c>
      <c r="Z2129">
        <v>-1.6804189999999901E-3</v>
      </c>
      <c r="AA2129">
        <v>0.99949670000000002</v>
      </c>
      <c r="AB2129">
        <v>33</v>
      </c>
      <c r="AC2129">
        <v>-0.51229999999998199</v>
      </c>
      <c r="AD2129">
        <v>-8.8477000000000097E-2</v>
      </c>
      <c r="AE2129">
        <v>-2.80999999999949E-2</v>
      </c>
      <c r="AF2129">
        <v>-2.6995865680884801E-2</v>
      </c>
      <c r="AG2129">
        <v>-8.8477000000000097E-2</v>
      </c>
      <c r="AH2129">
        <v>0.49752129946135398</v>
      </c>
      <c r="AI2129">
        <v>100.069301067924</v>
      </c>
      <c r="AJ2129">
        <v>93.105864718460793</v>
      </c>
      <c r="AK2129">
        <v>0.50604782354099198</v>
      </c>
      <c r="AL2129">
        <v>67.591743322695095</v>
      </c>
      <c r="AM2129">
        <v>96.430669398331304</v>
      </c>
      <c r="AN2129">
        <v>0.999999986325945</v>
      </c>
    </row>
    <row r="2130" spans="1:40" x14ac:dyDescent="0.25">
      <c r="A2130" t="str">
        <f>"20190304164132514"</f>
        <v>20190304164132514</v>
      </c>
      <c r="B2130" t="str">
        <f>"1551688892502847"</f>
        <v>1551688892502847</v>
      </c>
      <c r="C2130" t="s">
        <v>40</v>
      </c>
      <c r="D2130">
        <v>4.5368620000000002</v>
      </c>
      <c r="E2130">
        <v>0.53824780000000005</v>
      </c>
      <c r="F2130" t="s">
        <v>41</v>
      </c>
      <c r="G2130">
        <v>-228.50559999999999</v>
      </c>
      <c r="H2130">
        <v>1.021717</v>
      </c>
      <c r="I2130">
        <v>283.95679999999999</v>
      </c>
      <c r="J2130">
        <v>-227.95959999999999</v>
      </c>
      <c r="K2130">
        <v>1.108017</v>
      </c>
      <c r="L2130">
        <v>283.98430000000002</v>
      </c>
      <c r="M2130">
        <v>-0.99998659999999995</v>
      </c>
      <c r="N2130">
        <v>-5.1771270000000001E-3</v>
      </c>
      <c r="O2130">
        <v>5.748188E-4</v>
      </c>
      <c r="P2130">
        <v>-0.92095839999999995</v>
      </c>
      <c r="Q2130">
        <v>0.37489749999999999</v>
      </c>
      <c r="R2130">
        <v>-0.1062435</v>
      </c>
      <c r="S2130">
        <v>-3.393265</v>
      </c>
      <c r="T2130">
        <v>-0.36033090000000001</v>
      </c>
      <c r="U2130">
        <v>-0.11138919999999999</v>
      </c>
      <c r="V2130">
        <v>-0.10526480000000001</v>
      </c>
      <c r="W2130">
        <v>0.380081</v>
      </c>
      <c r="X2130">
        <v>0.91894379999999998</v>
      </c>
      <c r="Y2130">
        <v>-3.3184949999999998E-2</v>
      </c>
      <c r="Z2130">
        <v>-1.9006100000000001E-3</v>
      </c>
      <c r="AA2130">
        <v>0.99944739999999999</v>
      </c>
      <c r="AB2130">
        <v>33</v>
      </c>
      <c r="AC2130">
        <v>-0.54599999999999205</v>
      </c>
      <c r="AD2130">
        <v>-8.6300000000000002E-2</v>
      </c>
      <c r="AE2130">
        <v>-2.7500000000031801E-2</v>
      </c>
      <c r="AF2130">
        <v>-2.7137600420292299E-2</v>
      </c>
      <c r="AG2130">
        <v>-8.6300000000000002E-2</v>
      </c>
      <c r="AH2130">
        <v>0.53270935300256494</v>
      </c>
      <c r="AI2130">
        <v>99.190373150026403</v>
      </c>
      <c r="AJ2130">
        <v>92.916275098852495</v>
      </c>
      <c r="AK2130">
        <v>0.54033637128457601</v>
      </c>
      <c r="AL2130">
        <v>67.661299364345894</v>
      </c>
      <c r="AM2130">
        <v>96.534735467847099</v>
      </c>
      <c r="AN2130">
        <v>0.99999997611923896</v>
      </c>
    </row>
    <row r="2131" spans="1:40" x14ac:dyDescent="0.25">
      <c r="A2131" t="str">
        <f>"20190304164132527"</f>
        <v>20190304164132527</v>
      </c>
      <c r="B2131" t="str">
        <f>"1551688892523344"</f>
        <v>1551688892523344</v>
      </c>
      <c r="C2131" t="s">
        <v>40</v>
      </c>
      <c r="D2131">
        <v>4.53498</v>
      </c>
      <c r="E2131">
        <v>0.53837880000000005</v>
      </c>
      <c r="F2131" t="s">
        <v>41</v>
      </c>
      <c r="G2131">
        <v>-228.80109999999999</v>
      </c>
      <c r="H2131">
        <v>1.018149</v>
      </c>
      <c r="I2131">
        <v>283.95639999999997</v>
      </c>
      <c r="J2131">
        <v>-228.16</v>
      </c>
      <c r="K2131">
        <v>1.1081570000000001</v>
      </c>
      <c r="L2131">
        <v>283.98509999999999</v>
      </c>
      <c r="M2131">
        <v>-0.99998580000000004</v>
      </c>
      <c r="N2131">
        <v>-5.1938069999999999E-3</v>
      </c>
      <c r="O2131">
        <v>1.3372060000000001E-3</v>
      </c>
      <c r="P2131">
        <v>-0.92135180000000005</v>
      </c>
      <c r="Q2131">
        <v>0.37394840000000001</v>
      </c>
      <c r="R2131">
        <v>-0.10617939999999999</v>
      </c>
      <c r="S2131">
        <v>-3.391953</v>
      </c>
      <c r="T2131">
        <v>-0.36221690000000001</v>
      </c>
      <c r="U2131">
        <v>-0.1123657</v>
      </c>
      <c r="V2131">
        <v>-0.10603750000000001</v>
      </c>
      <c r="W2131">
        <v>0.37911489999999998</v>
      </c>
      <c r="X2131">
        <v>0.91925409999999996</v>
      </c>
      <c r="Y2131">
        <v>-3.4234639999999997E-2</v>
      </c>
      <c r="Z2131">
        <v>-2.0468550000000002E-3</v>
      </c>
      <c r="AA2131">
        <v>0.99941170000000001</v>
      </c>
      <c r="AB2131">
        <v>33</v>
      </c>
      <c r="AC2131">
        <v>-0.64109999999999401</v>
      </c>
      <c r="AD2131">
        <v>-9.0008000000000005E-2</v>
      </c>
      <c r="AE2131">
        <v>-2.87000000000148E-2</v>
      </c>
      <c r="AF2131">
        <v>-2.8987044989309301E-2</v>
      </c>
      <c r="AG2131">
        <v>-9.0008000000000005E-2</v>
      </c>
      <c r="AH2131">
        <v>0.62869359679476999</v>
      </c>
      <c r="AI2131">
        <v>98.1389538823599</v>
      </c>
      <c r="AJ2131">
        <v>92.639855022772394</v>
      </c>
      <c r="AK2131">
        <v>0.63576515120912203</v>
      </c>
      <c r="AL2131">
        <v>67.721133566376196</v>
      </c>
      <c r="AM2131">
        <v>96.5800820889948</v>
      </c>
      <c r="AN2131">
        <v>1.0000000795875299</v>
      </c>
    </row>
    <row r="2132" spans="1:40" x14ac:dyDescent="0.25">
      <c r="A2132" t="str">
        <f>"20190304164132548"</f>
        <v>20190304164132548</v>
      </c>
      <c r="B2132" t="str">
        <f>"1551688892542864"</f>
        <v>1551688892542864</v>
      </c>
      <c r="C2132" t="s">
        <v>40</v>
      </c>
      <c r="D2132">
        <v>4.5115439999999998</v>
      </c>
      <c r="E2132">
        <v>0.53843409999999903</v>
      </c>
      <c r="F2132" t="s">
        <v>41</v>
      </c>
      <c r="G2132">
        <v>-229.095</v>
      </c>
      <c r="H2132">
        <v>1.00800499999999</v>
      </c>
      <c r="I2132">
        <v>283.95479999999998</v>
      </c>
      <c r="J2132">
        <v>-228.4734</v>
      </c>
      <c r="K2132">
        <v>1.108365</v>
      </c>
      <c r="L2132">
        <v>283.98649999999998</v>
      </c>
      <c r="M2132">
        <v>-0.99998379999999998</v>
      </c>
      <c r="N2132">
        <v>-5.219202E-3</v>
      </c>
      <c r="O2132">
        <v>2.3179659999999999E-3</v>
      </c>
      <c r="P2132">
        <v>-0.92210990000000004</v>
      </c>
      <c r="Q2132">
        <v>0.37180029999999997</v>
      </c>
      <c r="R2132">
        <v>-0.10713640000000001</v>
      </c>
      <c r="S2132">
        <v>-3.3908079999999998</v>
      </c>
      <c r="T2132">
        <v>-0.36329909999999999</v>
      </c>
      <c r="U2132">
        <v>-0.11035159999999999</v>
      </c>
      <c r="V2132">
        <v>-0.10810450000000001</v>
      </c>
      <c r="W2132">
        <v>0.3769438</v>
      </c>
      <c r="X2132">
        <v>0.9199058</v>
      </c>
      <c r="Y2132">
        <v>-3.4624130000000003E-2</v>
      </c>
      <c r="Z2132">
        <v>-2.175246E-3</v>
      </c>
      <c r="AA2132">
        <v>0.99939809999999996</v>
      </c>
      <c r="AB2132">
        <v>33</v>
      </c>
      <c r="AC2132">
        <v>-0.62160000000000004</v>
      </c>
      <c r="AD2132">
        <v>-0.10036</v>
      </c>
      <c r="AE2132">
        <v>-3.17000000000007E-2</v>
      </c>
      <c r="AF2132">
        <v>-3.2300960997468597E-2</v>
      </c>
      <c r="AG2132">
        <v>-0.10036</v>
      </c>
      <c r="AH2132">
        <v>0.60577478044327804</v>
      </c>
      <c r="AI2132">
        <v>99.393764394631503</v>
      </c>
      <c r="AJ2132">
        <v>93.052219739682698</v>
      </c>
      <c r="AK2132">
        <v>0.61488093668812205</v>
      </c>
      <c r="AL2132">
        <v>67.855496144063594</v>
      </c>
      <c r="AM2132">
        <v>96.702482312257004</v>
      </c>
      <c r="AN2132">
        <v>0.99999994607616305</v>
      </c>
    </row>
    <row r="2133" spans="1:40" x14ac:dyDescent="0.25">
      <c r="A2133" t="str">
        <f>"20190304164132562"</f>
        <v>20190304164132562</v>
      </c>
      <c r="B2133" t="str">
        <f>"1551688892553599"</f>
        <v>1551688892553599</v>
      </c>
      <c r="C2133" t="s">
        <v>40</v>
      </c>
      <c r="D2133">
        <v>4.5303680000000002</v>
      </c>
      <c r="E2133">
        <v>0.538489</v>
      </c>
      <c r="F2133" t="s">
        <v>41</v>
      </c>
      <c r="G2133">
        <v>-229.3946</v>
      </c>
      <c r="H2133">
        <v>1.007895</v>
      </c>
      <c r="I2133">
        <v>283.95650000000001</v>
      </c>
      <c r="J2133">
        <v>-228.6867</v>
      </c>
      <c r="K2133">
        <v>1.108506</v>
      </c>
      <c r="L2133">
        <v>283.98750000000001</v>
      </c>
      <c r="M2133">
        <v>-0.99998220000000004</v>
      </c>
      <c r="N2133">
        <v>-5.2362110000000002E-3</v>
      </c>
      <c r="O2133">
        <v>2.8795660000000001E-3</v>
      </c>
      <c r="P2133">
        <v>-0.92262920000000004</v>
      </c>
      <c r="Q2133">
        <v>0.37037140000000002</v>
      </c>
      <c r="R2133">
        <v>-0.10761279999999999</v>
      </c>
      <c r="S2133">
        <v>-3.3896790000000001</v>
      </c>
      <c r="T2133">
        <v>-0.36980610000000003</v>
      </c>
      <c r="U2133">
        <v>-0.1105042</v>
      </c>
      <c r="V2133">
        <v>-0.1092325</v>
      </c>
      <c r="W2133">
        <v>0.37549870000000002</v>
      </c>
      <c r="X2133">
        <v>0.9203635</v>
      </c>
      <c r="Y2133">
        <v>-3.5226460000000001E-2</v>
      </c>
      <c r="Z2133">
        <v>-2.3060250000000002E-3</v>
      </c>
      <c r="AA2133">
        <v>0.99937670000000001</v>
      </c>
      <c r="AB2133">
        <v>33</v>
      </c>
      <c r="AC2133">
        <v>-0.70789999999999498</v>
      </c>
      <c r="AD2133">
        <v>-0.10061100000000001</v>
      </c>
      <c r="AE2133">
        <v>-3.1000000000005901E-2</v>
      </c>
      <c r="AF2133">
        <v>-3.23854171852977E-2</v>
      </c>
      <c r="AG2133">
        <v>-0.10061100000000001</v>
      </c>
      <c r="AH2133">
        <v>0.69381960389068498</v>
      </c>
      <c r="AI2133">
        <v>98.242115768104298</v>
      </c>
      <c r="AJ2133">
        <v>92.672455324452997</v>
      </c>
      <c r="AK2133">
        <v>0.70182407433080596</v>
      </c>
      <c r="AL2133">
        <v>67.944860934217402</v>
      </c>
      <c r="AM2133">
        <v>96.768435810485798</v>
      </c>
      <c r="AN2133">
        <v>0.99999999244509497</v>
      </c>
    </row>
    <row r="2134" spans="1:40" x14ac:dyDescent="0.25">
      <c r="A2134" t="str">
        <f>"20190304164132576"</f>
        <v>20190304164132576</v>
      </c>
      <c r="B2134" t="str">
        <f>"1551688892563360"</f>
        <v>1551688892563360</v>
      </c>
      <c r="C2134" t="s">
        <v>40</v>
      </c>
      <c r="D2134">
        <v>4.5118530000000003</v>
      </c>
      <c r="E2134">
        <v>0.5385354</v>
      </c>
      <c r="F2134" t="s">
        <v>41</v>
      </c>
      <c r="G2134">
        <v>-229.69049999999999</v>
      </c>
      <c r="H2134">
        <v>0.99792119999999995</v>
      </c>
      <c r="I2134">
        <v>283.95530000000002</v>
      </c>
      <c r="J2134">
        <v>-228.88929999999999</v>
      </c>
      <c r="K2134">
        <v>1.108622</v>
      </c>
      <c r="L2134">
        <v>283.98849999999999</v>
      </c>
      <c r="M2134">
        <v>-0.99998089999999995</v>
      </c>
      <c r="N2134">
        <v>-5.2516269999999896E-3</v>
      </c>
      <c r="O2134">
        <v>3.300332E-3</v>
      </c>
      <c r="P2134">
        <v>-0.92302320000000004</v>
      </c>
      <c r="Q2134">
        <v>0.36919059999999998</v>
      </c>
      <c r="R2134">
        <v>-0.1082905</v>
      </c>
      <c r="S2134">
        <v>-3.3887179999999999</v>
      </c>
      <c r="T2134">
        <v>-0.37354179999999998</v>
      </c>
      <c r="U2134">
        <v>-0.1097717</v>
      </c>
      <c r="V2134">
        <v>-0.1104098</v>
      </c>
      <c r="W2134">
        <v>0.37430560000000002</v>
      </c>
      <c r="X2134">
        <v>0.920709</v>
      </c>
      <c r="Y2134">
        <v>-3.5431989999999997E-2</v>
      </c>
      <c r="Z2134">
        <v>-2.3851390000000001E-3</v>
      </c>
      <c r="AA2134">
        <v>0.99936930000000002</v>
      </c>
      <c r="AB2134">
        <v>33</v>
      </c>
      <c r="AC2134">
        <v>-0.80119999999999403</v>
      </c>
      <c r="AD2134">
        <v>-0.1107008</v>
      </c>
      <c r="AE2134">
        <v>-3.3199999999965202E-2</v>
      </c>
      <c r="AF2134">
        <v>-3.5173744343226801E-2</v>
      </c>
      <c r="AG2134">
        <v>-0.1107008</v>
      </c>
      <c r="AH2134">
        <v>0.78610457844977299</v>
      </c>
      <c r="AI2134">
        <v>98.007887557407003</v>
      </c>
      <c r="AJ2134">
        <v>92.561954030994002</v>
      </c>
      <c r="AK2134">
        <v>0.79463970934723505</v>
      </c>
      <c r="AL2134">
        <v>68.018599611642699</v>
      </c>
      <c r="AM2134">
        <v>96.838155190548505</v>
      </c>
      <c r="AN2134">
        <v>1.0000000344041899</v>
      </c>
    </row>
    <row r="2135" spans="1:40" x14ac:dyDescent="0.25">
      <c r="A2135" t="str">
        <f>"20190304164132593"</f>
        <v>20190304164132593</v>
      </c>
      <c r="B2135" t="str">
        <f>"1551688892582879"</f>
        <v>1551688892582879</v>
      </c>
      <c r="C2135" t="s">
        <v>40</v>
      </c>
      <c r="D2135">
        <v>4.500508</v>
      </c>
      <c r="E2135">
        <v>0.5385607</v>
      </c>
      <c r="F2135" t="s">
        <v>41</v>
      </c>
      <c r="G2135">
        <v>-229.7</v>
      </c>
      <c r="H2135">
        <v>1.0185949999999999</v>
      </c>
      <c r="I2135">
        <v>283.9624</v>
      </c>
      <c r="J2135">
        <v>-229.1489</v>
      </c>
      <c r="K2135">
        <v>1.1087560000000001</v>
      </c>
      <c r="L2135">
        <v>283.9898</v>
      </c>
      <c r="M2135">
        <v>-0.99997910000000001</v>
      </c>
      <c r="N2135">
        <v>-5.2710359999999998E-3</v>
      </c>
      <c r="O2135">
        <v>3.7575629999999998E-3</v>
      </c>
      <c r="P2135">
        <v>-0.92346189999999995</v>
      </c>
      <c r="Q2135">
        <v>0.36754700000000001</v>
      </c>
      <c r="R2135">
        <v>-0.110125399999999</v>
      </c>
      <c r="S2135">
        <v>-3.3878170000000001</v>
      </c>
      <c r="T2135">
        <v>-0.37649510000000003</v>
      </c>
      <c r="U2135">
        <v>-0.1104126</v>
      </c>
      <c r="V2135">
        <v>-0.1127981</v>
      </c>
      <c r="W2135">
        <v>0.37264900000000001</v>
      </c>
      <c r="X2135">
        <v>0.9210914</v>
      </c>
      <c r="Y2135">
        <v>-3.6075740000000002E-2</v>
      </c>
      <c r="Z2135">
        <v>-2.489776E-3</v>
      </c>
      <c r="AA2135">
        <v>0.99934599999999996</v>
      </c>
      <c r="AB2135">
        <v>33</v>
      </c>
      <c r="AC2135">
        <v>-0.55109999999999004</v>
      </c>
      <c r="AD2135">
        <v>-9.01609999999997E-2</v>
      </c>
      <c r="AE2135">
        <v>-2.7400000000000001E-2</v>
      </c>
      <c r="AF2135">
        <v>-2.8704237188439698E-2</v>
      </c>
      <c r="AG2135">
        <v>-9.01609999999997E-2</v>
      </c>
      <c r="AH2135">
        <v>0.53666443700795297</v>
      </c>
      <c r="AI2135">
        <v>99.523415814643897</v>
      </c>
      <c r="AJ2135">
        <v>93.061626412148001</v>
      </c>
      <c r="AK2135">
        <v>0.54494188415154299</v>
      </c>
      <c r="AL2135">
        <v>68.120919620771303</v>
      </c>
      <c r="AM2135">
        <v>96.981755933487904</v>
      </c>
      <c r="AN2135">
        <v>1.00000002785928</v>
      </c>
    </row>
    <row r="2136" spans="1:40" x14ac:dyDescent="0.25">
      <c r="A2136" t="str">
        <f>"20190304164132608"</f>
        <v>20190304164132608</v>
      </c>
      <c r="B2136" t="str">
        <f>"1551688892603375"</f>
        <v>1551688892603375</v>
      </c>
      <c r="C2136" t="s">
        <v>40</v>
      </c>
      <c r="D2136">
        <v>4.4841240000000004</v>
      </c>
      <c r="E2136">
        <v>0.53852769999999905</v>
      </c>
      <c r="F2136" t="s">
        <v>41</v>
      </c>
      <c r="G2136">
        <v>-229.9991</v>
      </c>
      <c r="H2136">
        <v>1.0133049999999999</v>
      </c>
      <c r="I2136">
        <v>283.96109999999999</v>
      </c>
      <c r="J2136">
        <v>-229.36269999999999</v>
      </c>
      <c r="K2136">
        <v>1.108854</v>
      </c>
      <c r="L2136">
        <v>283.99090000000001</v>
      </c>
      <c r="M2136">
        <v>-0.99997789999999998</v>
      </c>
      <c r="N2136">
        <v>-5.2866930000000003E-3</v>
      </c>
      <c r="O2136">
        <v>4.0630129999999999E-3</v>
      </c>
      <c r="P2136">
        <v>-0.92358030000000002</v>
      </c>
      <c r="Q2136">
        <v>0.36704500000000001</v>
      </c>
      <c r="R2136">
        <v>-0.110804</v>
      </c>
      <c r="S2136">
        <v>-3.3863219999999998</v>
      </c>
      <c r="T2136">
        <v>-0.38009999999999999</v>
      </c>
      <c r="U2136">
        <v>-0.1141663</v>
      </c>
      <c r="V2136">
        <v>-0.1138545</v>
      </c>
      <c r="W2136">
        <v>0.37213570000000001</v>
      </c>
      <c r="X2136">
        <v>0.92116889999999996</v>
      </c>
      <c r="Y2136">
        <v>-3.7485829999999998E-2</v>
      </c>
      <c r="Z2136">
        <v>-2.6291750000000001E-3</v>
      </c>
      <c r="AA2136">
        <v>0.99929369999999995</v>
      </c>
      <c r="AB2136">
        <v>34</v>
      </c>
      <c r="AC2136">
        <v>-0.63640000000000896</v>
      </c>
      <c r="AD2136">
        <v>-9.5549000000000106E-2</v>
      </c>
      <c r="AE2136">
        <v>-2.9800000000022898E-2</v>
      </c>
      <c r="AF2136">
        <v>-3.1673079629388298E-2</v>
      </c>
      <c r="AG2136">
        <v>-9.5549000000000106E-2</v>
      </c>
      <c r="AH2136">
        <v>0.622277005223003</v>
      </c>
      <c r="AI2136">
        <v>98.718326352500199</v>
      </c>
      <c r="AJ2136">
        <v>92.913765210949506</v>
      </c>
      <c r="AK2136">
        <v>0.63036613694226795</v>
      </c>
      <c r="AL2136">
        <v>68.152607774492907</v>
      </c>
      <c r="AM2136">
        <v>97.045901701035405</v>
      </c>
      <c r="AN2136">
        <v>0.99999998435597404</v>
      </c>
    </row>
    <row r="2137" spans="1:40" x14ac:dyDescent="0.25">
      <c r="A2137" t="str">
        <f>"20190304164132626"</f>
        <v>20190304164132626</v>
      </c>
      <c r="B2137" t="str">
        <f>"1551688892622895"</f>
        <v>1551688892622895</v>
      </c>
      <c r="C2137" t="s">
        <v>40</v>
      </c>
      <c r="D2137">
        <v>4.442628</v>
      </c>
      <c r="E2137">
        <v>0.53797799999999996</v>
      </c>
      <c r="F2137" t="s">
        <v>41</v>
      </c>
      <c r="G2137">
        <v>-230.2972</v>
      </c>
      <c r="H2137">
        <v>1.003851</v>
      </c>
      <c r="I2137">
        <v>283.95929999999998</v>
      </c>
      <c r="J2137">
        <v>-229.654</v>
      </c>
      <c r="K2137">
        <v>1.1089739999999999</v>
      </c>
      <c r="L2137">
        <v>283.99239999999998</v>
      </c>
      <c r="M2137">
        <v>-0.99997650000000005</v>
      </c>
      <c r="N2137">
        <v>-5.3074869999999996E-3</v>
      </c>
      <c r="O2137">
        <v>4.378865E-3</v>
      </c>
      <c r="P2137">
        <v>-0.92345290000000002</v>
      </c>
      <c r="Q2137">
        <v>0.36685659999999998</v>
      </c>
      <c r="R2137">
        <v>-0.1124781</v>
      </c>
      <c r="S2137">
        <v>-3.3856350000000002</v>
      </c>
      <c r="T2137">
        <v>-0.38062010000000002</v>
      </c>
      <c r="U2137">
        <v>-0.1154785</v>
      </c>
      <c r="V2137">
        <v>-0.1159346</v>
      </c>
      <c r="W2137">
        <v>0.37193340000000003</v>
      </c>
      <c r="X2137">
        <v>0.92099120000000001</v>
      </c>
      <c r="Y2137">
        <v>-3.818788E-2</v>
      </c>
      <c r="Z2137">
        <v>-2.7083659999999998E-3</v>
      </c>
      <c r="AA2137">
        <v>0.99926689999999996</v>
      </c>
      <c r="AB2137">
        <v>34</v>
      </c>
      <c r="AC2137">
        <v>-0.64319999999997801</v>
      </c>
      <c r="AD2137">
        <v>-0.105122999999999</v>
      </c>
      <c r="AE2137">
        <v>-3.3099999999990297E-2</v>
      </c>
      <c r="AF2137">
        <v>-3.4984184937933399E-2</v>
      </c>
      <c r="AG2137">
        <v>-0.105122999999999</v>
      </c>
      <c r="AH2137">
        <v>0.62636182091581505</v>
      </c>
      <c r="AI2137">
        <v>99.512669933809406</v>
      </c>
      <c r="AJ2137">
        <v>93.196819544601297</v>
      </c>
      <c r="AK2137">
        <v>0.636084797040259</v>
      </c>
      <c r="AL2137">
        <v>68.165096293818294</v>
      </c>
      <c r="AM2137">
        <v>97.174669496614499</v>
      </c>
      <c r="AN2137">
        <v>1.00000003799507</v>
      </c>
    </row>
    <row r="2138" spans="1:40" x14ac:dyDescent="0.25">
      <c r="A2138" t="str">
        <f>"20190304164132649"</f>
        <v>20190304164132649</v>
      </c>
      <c r="B2138" t="str">
        <f>"1551688892643392"</f>
        <v>1551688892643392</v>
      </c>
      <c r="C2138" t="s">
        <v>40</v>
      </c>
      <c r="D2138">
        <v>4.4508970000000003</v>
      </c>
      <c r="E2138">
        <v>0.53893419999999903</v>
      </c>
      <c r="F2138" t="s">
        <v>41</v>
      </c>
      <c r="G2138">
        <v>-230.60310000000001</v>
      </c>
      <c r="H2138">
        <v>1.0090429999999999</v>
      </c>
      <c r="I2138">
        <v>283.95780000000002</v>
      </c>
      <c r="J2138">
        <v>-230.00229999999999</v>
      </c>
      <c r="K2138">
        <v>1.1091009999999999</v>
      </c>
      <c r="L2138">
        <v>283.99430000000001</v>
      </c>
      <c r="M2138">
        <v>-0.99997499999999995</v>
      </c>
      <c r="N2138">
        <v>-5.3315109999999997E-3</v>
      </c>
      <c r="O2138">
        <v>4.6379000000000004E-3</v>
      </c>
      <c r="P2138">
        <v>-0.92318449999999996</v>
      </c>
      <c r="Q2138">
        <v>0.3669096</v>
      </c>
      <c r="R2138">
        <v>-0.1144884</v>
      </c>
      <c r="S2138">
        <v>-3.3747859999999998</v>
      </c>
      <c r="T2138">
        <v>-0.35543560000000002</v>
      </c>
      <c r="U2138">
        <v>-0.12377929999999999</v>
      </c>
      <c r="V2138">
        <v>-0.11829919999999999</v>
      </c>
      <c r="W2138">
        <v>0.3719732</v>
      </c>
      <c r="X2138">
        <v>0.92067429999999995</v>
      </c>
      <c r="Y2138">
        <v>-4.1026220000000002E-2</v>
      </c>
      <c r="Z2138">
        <v>-2.7258170000000002E-3</v>
      </c>
      <c r="AA2138">
        <v>0.99915430000000005</v>
      </c>
      <c r="AB2138">
        <v>34</v>
      </c>
      <c r="AC2138">
        <v>-0.60080000000001998</v>
      </c>
      <c r="AD2138">
        <v>-0.10005799999999899</v>
      </c>
      <c r="AE2138">
        <v>-3.6499999999989499E-2</v>
      </c>
      <c r="AF2138">
        <v>-3.8229658873325703E-2</v>
      </c>
      <c r="AG2138">
        <v>-0.10005799999999899</v>
      </c>
      <c r="AH2138">
        <v>0.58447292492485103</v>
      </c>
      <c r="AI2138">
        <v>99.694176334694802</v>
      </c>
      <c r="AJ2138">
        <v>93.7423159806672</v>
      </c>
      <c r="AK2138">
        <v>0.59420679073179705</v>
      </c>
      <c r="AL2138">
        <v>68.162637973741198</v>
      </c>
      <c r="AM2138">
        <v>97.321924669745499</v>
      </c>
      <c r="AN2138">
        <v>0.99999996445968398</v>
      </c>
    </row>
    <row r="2139" spans="1:40" x14ac:dyDescent="0.25">
      <c r="A2139" t="str">
        <f>"20190304164132663"</f>
        <v>20190304164132663</v>
      </c>
      <c r="B2139" t="str">
        <f>"1551688892653151"</f>
        <v>1551688892653151</v>
      </c>
      <c r="C2139" t="s">
        <v>40</v>
      </c>
      <c r="D2139">
        <v>4.417427</v>
      </c>
      <c r="E2139">
        <v>0.53959550000000001</v>
      </c>
      <c r="F2139" t="s">
        <v>41</v>
      </c>
      <c r="G2139">
        <v>-230.9101</v>
      </c>
      <c r="H2139">
        <v>1.014105</v>
      </c>
      <c r="I2139">
        <v>283.96140000000003</v>
      </c>
      <c r="J2139">
        <v>-230.2115</v>
      </c>
      <c r="K2139">
        <v>1.109165</v>
      </c>
      <c r="L2139">
        <v>283.99540000000002</v>
      </c>
      <c r="M2139">
        <v>-0.99997449999999999</v>
      </c>
      <c r="N2139">
        <v>-5.3453600000000004E-3</v>
      </c>
      <c r="O2139">
        <v>4.7544060000000001E-3</v>
      </c>
      <c r="P2139">
        <v>-0.92287110000000006</v>
      </c>
      <c r="Q2139">
        <v>0.36735960000000001</v>
      </c>
      <c r="R2139">
        <v>-0.11556950000000001</v>
      </c>
      <c r="S2139">
        <v>-3.3748170000000002</v>
      </c>
      <c r="T2139">
        <v>-0.35322999999999999</v>
      </c>
      <c r="U2139">
        <v>-0.1225281</v>
      </c>
      <c r="V2139">
        <v>-0.1195481</v>
      </c>
      <c r="W2139">
        <v>0.3724153</v>
      </c>
      <c r="X2139">
        <v>0.92033419999999999</v>
      </c>
      <c r="Y2139">
        <v>-4.0776369999999999E-2</v>
      </c>
      <c r="Z2139">
        <v>-2.7075599999999999E-3</v>
      </c>
      <c r="AA2139">
        <v>0.99916459999999996</v>
      </c>
      <c r="AB2139">
        <v>34</v>
      </c>
      <c r="AC2139">
        <v>-0.698599999999999</v>
      </c>
      <c r="AD2139">
        <v>-9.5059999999999895E-2</v>
      </c>
      <c r="AE2139">
        <v>-3.3999999999991801E-2</v>
      </c>
      <c r="AF2139">
        <v>-3.6644203747501498E-2</v>
      </c>
      <c r="AG2139">
        <v>-9.5059999999999895E-2</v>
      </c>
      <c r="AH2139">
        <v>0.68576312122284799</v>
      </c>
      <c r="AI2139">
        <v>97.88090599489</v>
      </c>
      <c r="AJ2139">
        <v>93.058728636536998</v>
      </c>
      <c r="AK2139">
        <v>0.693289448713588</v>
      </c>
      <c r="AL2139">
        <v>68.135346936144202</v>
      </c>
      <c r="AM2139">
        <v>97.401074895178496</v>
      </c>
      <c r="AN2139">
        <v>0.99999997178866895</v>
      </c>
    </row>
    <row r="2140" spans="1:40" x14ac:dyDescent="0.25">
      <c r="A2140" t="str">
        <f>"20190304164132683"</f>
        <v>20190304164132683</v>
      </c>
      <c r="B2140" t="str">
        <f>"1551688892673647"</f>
        <v>1551688892673647</v>
      </c>
      <c r="C2140" t="s">
        <v>40</v>
      </c>
      <c r="D2140">
        <v>4.3865480000000003</v>
      </c>
      <c r="E2140">
        <v>0.5404236</v>
      </c>
      <c r="F2140" t="s">
        <v>41</v>
      </c>
      <c r="G2140">
        <v>-231.2114</v>
      </c>
      <c r="H2140">
        <v>1.006238</v>
      </c>
      <c r="I2140">
        <v>283.9597</v>
      </c>
      <c r="J2140">
        <v>-230.51060000000001</v>
      </c>
      <c r="K2140">
        <v>1.1092409999999999</v>
      </c>
      <c r="L2140">
        <v>283.99689999999998</v>
      </c>
      <c r="M2140">
        <v>-0.99997400000000003</v>
      </c>
      <c r="N2140">
        <v>-5.361406E-3</v>
      </c>
      <c r="O2140">
        <v>4.8672899999999998E-3</v>
      </c>
      <c r="P2140">
        <v>-0.92262639999999996</v>
      </c>
      <c r="Q2140">
        <v>0.36723450000000002</v>
      </c>
      <c r="R2140">
        <v>-0.1178951</v>
      </c>
      <c r="S2140">
        <v>-3.3738860000000002</v>
      </c>
      <c r="T2140">
        <v>-0.3474274</v>
      </c>
      <c r="U2140">
        <v>-0.1209717</v>
      </c>
      <c r="V2140">
        <v>-0.1220531</v>
      </c>
      <c r="W2140">
        <v>0.37228129999999998</v>
      </c>
      <c r="X2140">
        <v>0.92005959999999998</v>
      </c>
      <c r="Y2140">
        <v>-4.0448159999999997E-2</v>
      </c>
      <c r="Z2140">
        <v>-2.6589130000000002E-3</v>
      </c>
      <c r="AA2140">
        <v>0.99917809999999996</v>
      </c>
      <c r="AB2140">
        <v>34</v>
      </c>
      <c r="AC2140">
        <v>-0.70079999999998599</v>
      </c>
      <c r="AD2140">
        <v>-0.103002999999999</v>
      </c>
      <c r="AE2140">
        <v>-3.7199999999984301E-2</v>
      </c>
      <c r="AF2140">
        <v>-3.9754212232899599E-2</v>
      </c>
      <c r="AG2140">
        <v>-0.103002999999999</v>
      </c>
      <c r="AH2140">
        <v>0.68583622832242297</v>
      </c>
      <c r="AI2140">
        <v>98.527085749294599</v>
      </c>
      <c r="AJ2140">
        <v>93.317414009281407</v>
      </c>
      <c r="AK2140">
        <v>0.694666356950432</v>
      </c>
      <c r="AL2140">
        <v>68.143619988859697</v>
      </c>
      <c r="AM2140">
        <v>97.556611949751101</v>
      </c>
      <c r="AN2140">
        <v>0.99999999655072902</v>
      </c>
    </row>
    <row r="2141" spans="1:40" x14ac:dyDescent="0.25">
      <c r="A2141" t="str">
        <f>"20190304164132696"</f>
        <v>20190304164132696</v>
      </c>
      <c r="B2141" t="str">
        <f>"1551688892683408"</f>
        <v>1551688892683408</v>
      </c>
      <c r="C2141" t="s">
        <v>40</v>
      </c>
      <c r="D2141">
        <v>4.4229500000000002</v>
      </c>
      <c r="E2141">
        <v>0.54049499999999995</v>
      </c>
      <c r="F2141" t="s">
        <v>41</v>
      </c>
      <c r="G2141">
        <v>-231.5181</v>
      </c>
      <c r="H2141">
        <v>1.007088</v>
      </c>
      <c r="I2141">
        <v>283.96140000000003</v>
      </c>
      <c r="J2141">
        <v>-230.7149</v>
      </c>
      <c r="K2141">
        <v>1.1092879999999901</v>
      </c>
      <c r="L2141">
        <v>283.99799999999999</v>
      </c>
      <c r="M2141">
        <v>-0.99997360000000002</v>
      </c>
      <c r="N2141">
        <v>-5.3680510000000004E-3</v>
      </c>
      <c r="O2141">
        <v>4.9161170000000002E-3</v>
      </c>
      <c r="P2141">
        <v>-0.92262999999999995</v>
      </c>
      <c r="Q2141">
        <v>0.3668322</v>
      </c>
      <c r="R2141">
        <v>-0.11911670000000001</v>
      </c>
      <c r="S2141">
        <v>-3.3724669999999999</v>
      </c>
      <c r="T2141">
        <v>-0.34204420000000002</v>
      </c>
      <c r="U2141">
        <v>-0.1195374</v>
      </c>
      <c r="V2141">
        <v>-0.1233646</v>
      </c>
      <c r="W2141">
        <v>0.37187140000000002</v>
      </c>
      <c r="X2141">
        <v>0.92005040000000005</v>
      </c>
      <c r="Y2141">
        <v>-4.0096529999999998E-2</v>
      </c>
      <c r="Z2141">
        <v>-2.6063229999999998E-3</v>
      </c>
      <c r="AA2141">
        <v>0.99919239999999998</v>
      </c>
      <c r="AB2141">
        <v>34</v>
      </c>
      <c r="AC2141">
        <v>-0.80320000000000302</v>
      </c>
      <c r="AD2141">
        <v>-0.102199999999999</v>
      </c>
      <c r="AE2141">
        <v>-3.6599999999964397E-2</v>
      </c>
      <c r="AF2141">
        <v>-3.9903528746078103E-2</v>
      </c>
      <c r="AG2141">
        <v>-0.102199999999999</v>
      </c>
      <c r="AH2141">
        <v>0.79024262214285301</v>
      </c>
      <c r="AI2141">
        <v>97.359736637429606</v>
      </c>
      <c r="AJ2141">
        <v>92.890711665211299</v>
      </c>
      <c r="AK2141">
        <v>0.797822369614691</v>
      </c>
      <c r="AL2141">
        <v>68.168921117622205</v>
      </c>
      <c r="AM2141">
        <v>97.636932360878404</v>
      </c>
      <c r="AN2141">
        <v>0.99999995060563796</v>
      </c>
    </row>
    <row r="2142" spans="1:40" x14ac:dyDescent="0.25">
      <c r="A2142" t="str">
        <f>"20190304164132715"</f>
        <v>20190304164132715</v>
      </c>
      <c r="B2142" t="str">
        <f>"1551688892702927"</f>
        <v>1551688892702927</v>
      </c>
      <c r="C2142" t="s">
        <v>40</v>
      </c>
      <c r="D2142">
        <v>4.3832019999999998</v>
      </c>
      <c r="E2142">
        <v>0.54065260000000004</v>
      </c>
      <c r="F2142" t="s">
        <v>41</v>
      </c>
      <c r="G2142">
        <v>-231.5307</v>
      </c>
      <c r="H2142">
        <v>1.027269</v>
      </c>
      <c r="I2142">
        <v>283.96870000000001</v>
      </c>
      <c r="J2142">
        <v>-231.00739999999999</v>
      </c>
      <c r="K2142">
        <v>1.1093489999999999</v>
      </c>
      <c r="L2142">
        <v>283.99959999999999</v>
      </c>
      <c r="M2142">
        <v>-0.99997340000000001</v>
      </c>
      <c r="N2142">
        <v>-5.3722650000000002E-3</v>
      </c>
      <c r="O2142">
        <v>4.965527E-3</v>
      </c>
      <c r="P2142">
        <v>-0.9227725</v>
      </c>
      <c r="Q2142">
        <v>0.36597669999999999</v>
      </c>
      <c r="R2142">
        <v>-0.1206334</v>
      </c>
      <c r="S2142">
        <v>-3.3706049999999999</v>
      </c>
      <c r="T2142">
        <v>-0.3389952</v>
      </c>
      <c r="U2142">
        <v>-0.1221008</v>
      </c>
      <c r="V2142">
        <v>-0.1249831</v>
      </c>
      <c r="W2142">
        <v>0.37100329999999998</v>
      </c>
      <c r="X2142">
        <v>0.92018250000000001</v>
      </c>
      <c r="Y2142">
        <v>-4.0923649999999999E-2</v>
      </c>
      <c r="Z2142">
        <v>-2.6337259999999999E-3</v>
      </c>
      <c r="AA2142">
        <v>0.99915880000000001</v>
      </c>
      <c r="AB2142">
        <v>34</v>
      </c>
      <c r="AC2142">
        <v>-0.52330000000000598</v>
      </c>
      <c r="AD2142">
        <v>-8.2079999999999903E-2</v>
      </c>
      <c r="AE2142">
        <v>-3.0899999999974101E-2</v>
      </c>
      <c r="AF2142">
        <v>-3.2696506719891598E-2</v>
      </c>
      <c r="AG2142">
        <v>-8.2079999999999903E-2</v>
      </c>
      <c r="AH2142">
        <v>0.51062137228137405</v>
      </c>
      <c r="AI2142">
        <v>99.113559874015195</v>
      </c>
      <c r="AJ2142">
        <v>93.663806146771606</v>
      </c>
      <c r="AK2142">
        <v>0.51820881291444398</v>
      </c>
      <c r="AL2142">
        <v>68.222493953756498</v>
      </c>
      <c r="AM2142">
        <v>97.734823575533994</v>
      </c>
      <c r="AN2142">
        <v>1.0000000286013699</v>
      </c>
    </row>
    <row r="2143" spans="1:40" x14ac:dyDescent="0.25">
      <c r="A2143" t="str">
        <f>"20190304164132728"</f>
        <v>20190304164132728</v>
      </c>
      <c r="B2143" t="str">
        <f>"1551688892723423"</f>
        <v>1551688892723423</v>
      </c>
      <c r="C2143" t="s">
        <v>40</v>
      </c>
      <c r="D2143">
        <v>4.364833</v>
      </c>
      <c r="E2143">
        <v>0.54084929999999998</v>
      </c>
      <c r="F2143" t="s">
        <v>41</v>
      </c>
      <c r="G2143">
        <v>-231.8373</v>
      </c>
      <c r="H2143">
        <v>1.0260309999999999</v>
      </c>
      <c r="I2143">
        <v>283.96879999999999</v>
      </c>
      <c r="J2143">
        <v>-231.2055</v>
      </c>
      <c r="K2143">
        <v>1.10938</v>
      </c>
      <c r="L2143">
        <v>284.00060000000002</v>
      </c>
      <c r="M2143">
        <v>-0.99997309999999995</v>
      </c>
      <c r="N2143">
        <v>-5.3690709999999996E-3</v>
      </c>
      <c r="O2143">
        <v>4.9873829999999997E-3</v>
      </c>
      <c r="P2143">
        <v>-0.92282379999999997</v>
      </c>
      <c r="Q2143">
        <v>0.36581780000000003</v>
      </c>
      <c r="R2143">
        <v>-0.1207222</v>
      </c>
      <c r="S2143">
        <v>-3.3688349999999998</v>
      </c>
      <c r="T2143">
        <v>-0.33839979999999997</v>
      </c>
      <c r="U2143">
        <v>-0.12573239999999999</v>
      </c>
      <c r="V2143">
        <v>-0.1251245</v>
      </c>
      <c r="W2143">
        <v>0.37083100000000002</v>
      </c>
      <c r="X2143">
        <v>0.92023270000000001</v>
      </c>
      <c r="Y2143">
        <v>-4.2034710000000003E-2</v>
      </c>
      <c r="Z2143">
        <v>-2.691209E-3</v>
      </c>
      <c r="AA2143">
        <v>0.99911249999999996</v>
      </c>
      <c r="AB2143">
        <v>34</v>
      </c>
      <c r="AC2143">
        <v>-0.63179999999999803</v>
      </c>
      <c r="AD2143">
        <v>-8.3349000000000104E-2</v>
      </c>
      <c r="AE2143">
        <v>-3.18000000000324E-2</v>
      </c>
      <c r="AF2143">
        <v>-3.43542976542821E-2</v>
      </c>
      <c r="AG2143">
        <v>-8.3349000000000104E-2</v>
      </c>
      <c r="AH2143">
        <v>0.62085566053130303</v>
      </c>
      <c r="AI2143">
        <v>97.634620851688396</v>
      </c>
      <c r="AJ2143">
        <v>93.167162914307895</v>
      </c>
      <c r="AK2143">
        <v>0.62736673866413994</v>
      </c>
      <c r="AL2143">
        <v>68.233123591448006</v>
      </c>
      <c r="AM2143">
        <v>97.743050988571795</v>
      </c>
      <c r="AN2143">
        <v>0.99999999660526995</v>
      </c>
    </row>
    <row r="2144" spans="1:40" x14ac:dyDescent="0.25">
      <c r="A2144" t="str">
        <f>"20190304164132749"</f>
        <v>20190304164132749</v>
      </c>
      <c r="B2144" t="str">
        <f>"1551688892742943"</f>
        <v>1551688892742943</v>
      </c>
      <c r="C2144" t="s">
        <v>40</v>
      </c>
      <c r="D2144">
        <v>4.362317</v>
      </c>
      <c r="E2144">
        <v>0.54109030000000002</v>
      </c>
      <c r="F2144" t="s">
        <v>41</v>
      </c>
      <c r="G2144">
        <v>-232.13929999999999</v>
      </c>
      <c r="H2144">
        <v>1.0159819999999999</v>
      </c>
      <c r="I2144">
        <v>283.96600000000001</v>
      </c>
      <c r="J2144">
        <v>-231.54329999999999</v>
      </c>
      <c r="K2144">
        <v>1.109421</v>
      </c>
      <c r="L2144">
        <v>284.00240000000002</v>
      </c>
      <c r="M2144">
        <v>-0.99997320000000001</v>
      </c>
      <c r="N2144">
        <v>-5.3484739999999998E-3</v>
      </c>
      <c r="O2144">
        <v>5.0072880000000004E-3</v>
      </c>
      <c r="P2144">
        <v>-0.92280709999999999</v>
      </c>
      <c r="Q2144">
        <v>0.36591679999999999</v>
      </c>
      <c r="R2144">
        <v>-0.1205498</v>
      </c>
      <c r="S2144">
        <v>-3.368042</v>
      </c>
      <c r="T2144">
        <v>-0.336916099999999</v>
      </c>
      <c r="U2144">
        <v>-0.12521360000000001</v>
      </c>
      <c r="V2144">
        <v>-0.12501480000000001</v>
      </c>
      <c r="W2144">
        <v>0.37089610000000001</v>
      </c>
      <c r="X2144">
        <v>0.92022139999999997</v>
      </c>
      <c r="Y2144">
        <v>-4.1912249999999998E-2</v>
      </c>
      <c r="Z2144">
        <v>-2.675569E-3</v>
      </c>
      <c r="AA2144">
        <v>0.9991177</v>
      </c>
      <c r="AB2144">
        <v>34</v>
      </c>
      <c r="AC2144">
        <v>-0.59600000000000297</v>
      </c>
      <c r="AD2144">
        <v>-9.3438999999999994E-2</v>
      </c>
      <c r="AE2144">
        <v>-3.6400000000014601E-2</v>
      </c>
      <c r="AF2144">
        <v>-3.8442562241924001E-2</v>
      </c>
      <c r="AG2144">
        <v>-9.3438999999999994E-2</v>
      </c>
      <c r="AH2144">
        <v>0.58156900755378105</v>
      </c>
      <c r="AI2144">
        <v>99.107998087374895</v>
      </c>
      <c r="AJ2144">
        <v>93.781833135313505</v>
      </c>
      <c r="AK2144">
        <v>0.59028060095162704</v>
      </c>
      <c r="AL2144">
        <v>68.229107778905103</v>
      </c>
      <c r="AM2144">
        <v>97.736438543521004</v>
      </c>
      <c r="AN2144">
        <v>1.0000000211161</v>
      </c>
    </row>
    <row r="2145" spans="1:40" x14ac:dyDescent="0.25">
      <c r="A2145" t="str">
        <f>"20190304164132762"</f>
        <v>20190304164132762</v>
      </c>
      <c r="B2145" t="str">
        <f>"1551688892753681"</f>
        <v>1551688892753681</v>
      </c>
      <c r="C2145" t="s">
        <v>40</v>
      </c>
      <c r="D2145">
        <v>4.3245909999999999</v>
      </c>
      <c r="E2145">
        <v>0.54112569999999904</v>
      </c>
      <c r="F2145" t="s">
        <v>41</v>
      </c>
      <c r="G2145">
        <v>-232.45089999999999</v>
      </c>
      <c r="H2145">
        <v>1.0192969999999999</v>
      </c>
      <c r="I2145">
        <v>283.96899999999999</v>
      </c>
      <c r="J2145">
        <v>-231.73580000000001</v>
      </c>
      <c r="K2145">
        <v>1.10944</v>
      </c>
      <c r="L2145">
        <v>284.0034</v>
      </c>
      <c r="M2145">
        <v>-0.99997329999999995</v>
      </c>
      <c r="N2145">
        <v>-5.3298190000000004E-3</v>
      </c>
      <c r="O2145">
        <v>5.0132709999999997E-3</v>
      </c>
      <c r="P2145">
        <v>-0.92279009999999995</v>
      </c>
      <c r="Q2145">
        <v>0.36601820000000002</v>
      </c>
      <c r="R2145">
        <v>-0.12037150000000001</v>
      </c>
      <c r="S2145">
        <v>-3.3673250000000001</v>
      </c>
      <c r="T2145">
        <v>-0.3344973</v>
      </c>
      <c r="U2145">
        <v>-0.1244812</v>
      </c>
      <c r="V2145">
        <v>-0.12486319999999999</v>
      </c>
      <c r="W2145">
        <v>0.3709732</v>
      </c>
      <c r="X2145">
        <v>0.92021090000000005</v>
      </c>
      <c r="Y2145">
        <v>-4.1713449999999999E-2</v>
      </c>
      <c r="Z2145">
        <v>-2.6475000000000001E-3</v>
      </c>
      <c r="AA2145">
        <v>0.99912610000000002</v>
      </c>
      <c r="AB2145">
        <v>34</v>
      </c>
      <c r="AC2145">
        <v>-0.71509999999997798</v>
      </c>
      <c r="AD2145">
        <v>-9.0143000000000001E-2</v>
      </c>
      <c r="AE2145">
        <v>-3.4400000000005003E-2</v>
      </c>
      <c r="AF2145">
        <v>-3.7391815323807899E-2</v>
      </c>
      <c r="AG2145">
        <v>-9.0143000000000001E-2</v>
      </c>
      <c r="AH2145">
        <v>0.703761435064578</v>
      </c>
      <c r="AI2145">
        <v>97.288955283213696</v>
      </c>
      <c r="AJ2145">
        <v>93.041344063249497</v>
      </c>
      <c r="AK2145">
        <v>0.71049564797144504</v>
      </c>
      <c r="AL2145">
        <v>68.224350824187297</v>
      </c>
      <c r="AM2145">
        <v>97.727257419435901</v>
      </c>
      <c r="AN2145">
        <v>1.00000001715564</v>
      </c>
    </row>
    <row r="2146" spans="1:40" x14ac:dyDescent="0.25">
      <c r="A2146" t="str">
        <f>"20190304164132775"</f>
        <v>20190304164132775</v>
      </c>
      <c r="B2146" t="str">
        <f>"1551688892763440"</f>
        <v>1551688892763440</v>
      </c>
      <c r="C2146" t="s">
        <v>40</v>
      </c>
      <c r="D2146">
        <v>4.3254029999999997</v>
      </c>
      <c r="E2146">
        <v>0.54123679999999996</v>
      </c>
      <c r="F2146" t="s">
        <v>41</v>
      </c>
      <c r="G2146">
        <v>-232.75489999999999</v>
      </c>
      <c r="H2146">
        <v>1.00901</v>
      </c>
      <c r="I2146">
        <v>283.96589999999998</v>
      </c>
      <c r="J2146">
        <v>-231.92930000000001</v>
      </c>
      <c r="K2146">
        <v>1.1094520000000001</v>
      </c>
      <c r="L2146">
        <v>284.00439999999998</v>
      </c>
      <c r="M2146">
        <v>-0.99997340000000001</v>
      </c>
      <c r="N2146">
        <v>-5.3016840000000001E-3</v>
      </c>
      <c r="O2146">
        <v>5.0108359999999899E-3</v>
      </c>
      <c r="P2146">
        <v>-0.92265750000000002</v>
      </c>
      <c r="Q2146">
        <v>0.36642140000000001</v>
      </c>
      <c r="R2146">
        <v>-0.12016</v>
      </c>
      <c r="S2146">
        <v>-3.3663940000000001</v>
      </c>
      <c r="T2146">
        <v>-0.33192969999999999</v>
      </c>
      <c r="U2146">
        <v>-0.1245728</v>
      </c>
      <c r="V2146">
        <v>-0.124666899999999</v>
      </c>
      <c r="W2146">
        <v>0.37134329999999999</v>
      </c>
      <c r="X2146">
        <v>0.92008820000000002</v>
      </c>
      <c r="Y2146">
        <v>-4.1751650000000001E-2</v>
      </c>
      <c r="Z2146">
        <v>-2.6299230000000002E-3</v>
      </c>
      <c r="AA2146">
        <v>0.99912460000000003</v>
      </c>
      <c r="AB2146">
        <v>35</v>
      </c>
      <c r="AC2146">
        <v>-0.82559999999998002</v>
      </c>
      <c r="AD2146">
        <v>-0.100442</v>
      </c>
      <c r="AE2146">
        <v>-3.8499999999999E-2</v>
      </c>
      <c r="AF2146">
        <v>-4.2015991282594402E-2</v>
      </c>
      <c r="AG2146">
        <v>-0.100442</v>
      </c>
      <c r="AH2146">
        <v>0.81338393484163496</v>
      </c>
      <c r="AI2146">
        <v>97.030342572805907</v>
      </c>
      <c r="AJ2146">
        <v>92.957030630646798</v>
      </c>
      <c r="AK2146">
        <v>0.82063838829652602</v>
      </c>
      <c r="AL2146">
        <v>68.201513802351499</v>
      </c>
      <c r="AM2146">
        <v>97.716272158074801</v>
      </c>
      <c r="AN2146">
        <v>0.99999998909486998</v>
      </c>
    </row>
    <row r="2147" spans="1:40" x14ac:dyDescent="0.25">
      <c r="A2147" t="str">
        <f>"20190304164132793"</f>
        <v>20190304164132793</v>
      </c>
      <c r="B2147" t="str">
        <f>"1551688892782959"</f>
        <v>1551688892782959</v>
      </c>
      <c r="C2147" t="s">
        <v>40</v>
      </c>
      <c r="D2147">
        <v>4.3299250000000002</v>
      </c>
      <c r="E2147">
        <v>0.54140869999999996</v>
      </c>
      <c r="F2147" t="s">
        <v>41</v>
      </c>
      <c r="G2147">
        <v>-232.76679999999999</v>
      </c>
      <c r="H2147">
        <v>1.027468</v>
      </c>
      <c r="I2147">
        <v>283.97390000000001</v>
      </c>
      <c r="J2147">
        <v>-232.2184</v>
      </c>
      <c r="K2147">
        <v>1.109467</v>
      </c>
      <c r="L2147">
        <v>284.0059</v>
      </c>
      <c r="M2147">
        <v>-0.99997389999999997</v>
      </c>
      <c r="N2147">
        <v>-5.2515979999999997E-3</v>
      </c>
      <c r="O2147">
        <v>4.9978519999999997E-3</v>
      </c>
      <c r="P2147">
        <v>-0.92231850000000004</v>
      </c>
      <c r="Q2147">
        <v>0.3677434</v>
      </c>
      <c r="R2147">
        <v>-0.1187169</v>
      </c>
      <c r="S2147">
        <v>-3.366333</v>
      </c>
      <c r="T2147">
        <v>-0.32975470000000001</v>
      </c>
      <c r="U2147">
        <v>-0.1235962</v>
      </c>
      <c r="V2147">
        <v>-0.12323629999999999</v>
      </c>
      <c r="W2147">
        <v>0.3726083</v>
      </c>
      <c r="X2147">
        <v>0.91976950000000002</v>
      </c>
      <c r="Y2147">
        <v>-4.1454520000000002E-2</v>
      </c>
      <c r="Z2147">
        <v>-2.596082E-3</v>
      </c>
      <c r="AA2147">
        <v>0.99913700000000005</v>
      </c>
      <c r="AB2147">
        <v>35</v>
      </c>
      <c r="AC2147">
        <v>-0.54839999999998601</v>
      </c>
      <c r="AD2147">
        <v>-8.1998999999999905E-2</v>
      </c>
      <c r="AE2147">
        <v>-3.1999999999982202E-2</v>
      </c>
      <c r="AF2147">
        <v>-3.3983258940218398E-2</v>
      </c>
      <c r="AG2147">
        <v>-8.1998999999999905E-2</v>
      </c>
      <c r="AH2147">
        <v>0.53628396275013301</v>
      </c>
      <c r="AI2147">
        <v>98.676184359810406</v>
      </c>
      <c r="AJ2147">
        <v>93.6258726962796</v>
      </c>
      <c r="AK2147">
        <v>0.54357997258194102</v>
      </c>
      <c r="AL2147">
        <v>68.123432633066898</v>
      </c>
      <c r="AM2147">
        <v>97.631385981769597</v>
      </c>
      <c r="AN2147">
        <v>1.0000000319984099</v>
      </c>
    </row>
    <row r="2148" spans="1:40" x14ac:dyDescent="0.25">
      <c r="A2148" t="str">
        <f>"20190304164132808"</f>
        <v>20190304164132808</v>
      </c>
      <c r="B2148" t="str">
        <f>"1551688892803456"</f>
        <v>1551688892803456</v>
      </c>
      <c r="C2148" t="s">
        <v>40</v>
      </c>
      <c r="D2148">
        <v>4.312227</v>
      </c>
      <c r="E2148">
        <v>0.54158569999999995</v>
      </c>
      <c r="F2148" t="s">
        <v>41</v>
      </c>
      <c r="G2148">
        <v>-233.07810000000001</v>
      </c>
      <c r="H2148">
        <v>1.026894</v>
      </c>
      <c r="I2148">
        <v>283.9751</v>
      </c>
      <c r="J2148">
        <v>-232.44049999999999</v>
      </c>
      <c r="K2148">
        <v>1.109478</v>
      </c>
      <c r="L2148">
        <v>284.00700000000001</v>
      </c>
      <c r="M2148">
        <v>-0.99997400000000003</v>
      </c>
      <c r="N2148">
        <v>-5.2047739999999997E-3</v>
      </c>
      <c r="O2148">
        <v>4.9790030000000001E-3</v>
      </c>
      <c r="P2148">
        <v>-0.92227749999999997</v>
      </c>
      <c r="Q2148">
        <v>0.36815170000000003</v>
      </c>
      <c r="R2148">
        <v>-0.1177651</v>
      </c>
      <c r="S2148">
        <v>-3.3660890000000001</v>
      </c>
      <c r="T2148">
        <v>-0.32332460000000002</v>
      </c>
      <c r="U2148">
        <v>-0.1203003</v>
      </c>
      <c r="V2148">
        <v>-0.1222862</v>
      </c>
      <c r="W2148">
        <v>0.3729671</v>
      </c>
      <c r="X2148">
        <v>0.91975090000000004</v>
      </c>
      <c r="Y2148">
        <v>-4.0474879999999998E-2</v>
      </c>
      <c r="Z2148">
        <v>-2.4955799999999998E-3</v>
      </c>
      <c r="AA2148">
        <v>0.99917750000000005</v>
      </c>
      <c r="AB2148">
        <v>35</v>
      </c>
      <c r="AC2148">
        <v>-0.63760000000002004</v>
      </c>
      <c r="AD2148">
        <v>-8.2583999999999894E-2</v>
      </c>
      <c r="AE2148">
        <v>-3.1900000000007298E-2</v>
      </c>
      <c r="AF2148">
        <v>-3.44969748025096E-2</v>
      </c>
      <c r="AG2148">
        <v>-8.2583999999999894E-2</v>
      </c>
      <c r="AH2148">
        <v>0.62694178584719695</v>
      </c>
      <c r="AI2148">
        <v>97.492886328019296</v>
      </c>
      <c r="AJ2148">
        <v>93.149478892087402</v>
      </c>
      <c r="AK2148">
        <v>0.63329784554172996</v>
      </c>
      <c r="AL2148">
        <v>68.101278226999</v>
      </c>
      <c r="AM2148">
        <v>97.573388064080902</v>
      </c>
      <c r="AN2148">
        <v>1.0000000452218201</v>
      </c>
    </row>
    <row r="2149" spans="1:40" x14ac:dyDescent="0.25">
      <c r="A2149" t="str">
        <f>"20190304164132824"</f>
        <v>20190304164132824</v>
      </c>
      <c r="B2149" t="str">
        <f>"1551688892813216"</f>
        <v>1551688892813216</v>
      </c>
      <c r="C2149" t="s">
        <v>40</v>
      </c>
      <c r="D2149">
        <v>4.2434830000000003</v>
      </c>
      <c r="E2149">
        <v>0.54155050000000005</v>
      </c>
      <c r="F2149" t="s">
        <v>41</v>
      </c>
      <c r="G2149">
        <v>-233.38579999999999</v>
      </c>
      <c r="H2149">
        <v>1.0194190000000001</v>
      </c>
      <c r="I2149">
        <v>283.97449999999998</v>
      </c>
      <c r="J2149">
        <v>-232.70330000000001</v>
      </c>
      <c r="K2149">
        <v>1.109483</v>
      </c>
      <c r="L2149">
        <v>284.00830000000002</v>
      </c>
      <c r="M2149">
        <v>-0.99997469999999999</v>
      </c>
      <c r="N2149">
        <v>-5.1399109999999996E-3</v>
      </c>
      <c r="O2149">
        <v>4.9458740000000003E-3</v>
      </c>
      <c r="P2149">
        <v>-0.92233690000000002</v>
      </c>
      <c r="Q2149">
        <v>0.36818390000000001</v>
      </c>
      <c r="R2149">
        <v>-0.117198499999999</v>
      </c>
      <c r="S2149">
        <v>-3.366028</v>
      </c>
      <c r="T2149">
        <v>-0.32091609999999998</v>
      </c>
      <c r="U2149">
        <v>-0.11645510000000001</v>
      </c>
      <c r="V2149">
        <v>-0.1217121</v>
      </c>
      <c r="W2149">
        <v>0.37293169999999998</v>
      </c>
      <c r="X2149">
        <v>0.91984129999999997</v>
      </c>
      <c r="Y2149">
        <v>-3.93113E-2</v>
      </c>
      <c r="Z2149">
        <v>-2.41545E-3</v>
      </c>
      <c r="AA2149">
        <v>0.99922409999999995</v>
      </c>
      <c r="AB2149">
        <v>35</v>
      </c>
      <c r="AC2149">
        <v>-0.68249999999997601</v>
      </c>
      <c r="AD2149">
        <v>-9.0063999999999894E-2</v>
      </c>
      <c r="AE2149">
        <v>-3.3800000000041998E-2</v>
      </c>
      <c r="AF2149">
        <v>-3.6540433440190902E-2</v>
      </c>
      <c r="AG2149">
        <v>-9.0063999999999894E-2</v>
      </c>
      <c r="AH2149">
        <v>0.67067397434043197</v>
      </c>
      <c r="AI2149">
        <v>97.637231479346099</v>
      </c>
      <c r="AJ2149">
        <v>93.118571481472998</v>
      </c>
      <c r="AK2149">
        <v>0.67768009210068003</v>
      </c>
      <c r="AL2149">
        <v>68.103462081289706</v>
      </c>
      <c r="AM2149">
        <v>97.537510601982405</v>
      </c>
      <c r="AN2149">
        <v>0.99999995266849295</v>
      </c>
    </row>
    <row r="2150" spans="1:40" x14ac:dyDescent="0.25">
      <c r="A2150" t="str">
        <f>"20190304164132840"</f>
        <v>20190304164132840</v>
      </c>
      <c r="B2150" t="str">
        <f>"1551688892832735"</f>
        <v>1551688892832735</v>
      </c>
      <c r="C2150" t="s">
        <v>40</v>
      </c>
      <c r="D2150">
        <v>4.2672730000000003</v>
      </c>
      <c r="E2150">
        <v>0.54152540000000005</v>
      </c>
      <c r="F2150" t="s">
        <v>41</v>
      </c>
      <c r="G2150">
        <v>-233.69720000000001</v>
      </c>
      <c r="H2150">
        <v>1.0152110000000001</v>
      </c>
      <c r="I2150">
        <v>283.97430000000003</v>
      </c>
      <c r="J2150">
        <v>-232.958</v>
      </c>
      <c r="K2150">
        <v>1.1094790000000001</v>
      </c>
      <c r="L2150">
        <v>284.00959999999998</v>
      </c>
      <c r="M2150">
        <v>-0.99997510000000001</v>
      </c>
      <c r="N2150">
        <v>-5.0690969999999998E-3</v>
      </c>
      <c r="O2150">
        <v>4.9049089999999998E-3</v>
      </c>
      <c r="P2150">
        <v>-0.92278380000000004</v>
      </c>
      <c r="Q2150">
        <v>0.36757610000000002</v>
      </c>
      <c r="R2150">
        <v>-0.1155772</v>
      </c>
      <c r="S2150">
        <v>-3.3654329999999999</v>
      </c>
      <c r="T2150">
        <v>-0.31926919999999998</v>
      </c>
      <c r="U2150">
        <v>-0.11517330000000001</v>
      </c>
      <c r="V2150">
        <v>-0.1200756</v>
      </c>
      <c r="W2150">
        <v>0.37225469999999999</v>
      </c>
      <c r="X2150">
        <v>0.92033050000000005</v>
      </c>
      <c r="Y2150">
        <v>-3.8900579999999997E-2</v>
      </c>
      <c r="Z2150">
        <v>-2.3787259999999998E-3</v>
      </c>
      <c r="AA2150">
        <v>0.99924029999999997</v>
      </c>
      <c r="AB2150">
        <v>35</v>
      </c>
      <c r="AC2150">
        <v>-0.73920000000001096</v>
      </c>
      <c r="AD2150">
        <v>-9.4268000000000005E-2</v>
      </c>
      <c r="AE2150">
        <v>-3.5299999999949698E-2</v>
      </c>
      <c r="AF2150">
        <v>-3.8303807556935299E-2</v>
      </c>
      <c r="AG2150">
        <v>-9.4268000000000005E-2</v>
      </c>
      <c r="AH2150">
        <v>0.72721801607101899</v>
      </c>
      <c r="AI2150">
        <v>97.375853963495203</v>
      </c>
      <c r="AJ2150">
        <v>93.015079788860305</v>
      </c>
      <c r="AK2150">
        <v>0.73430217240290596</v>
      </c>
      <c r="AL2150">
        <v>68.145261478509198</v>
      </c>
      <c r="AM2150">
        <v>97.433396891532496</v>
      </c>
      <c r="AN2150">
        <v>0.99999997030884902</v>
      </c>
    </row>
    <row r="2151" spans="1:40" x14ac:dyDescent="0.25">
      <c r="A2151" t="str">
        <f>"20190304164132862"</f>
        <v>20190304164132862</v>
      </c>
      <c r="B2151" t="str">
        <f>"1551688892853232"</f>
        <v>1551688892853232</v>
      </c>
      <c r="C2151" t="s">
        <v>40</v>
      </c>
      <c r="D2151">
        <v>4.2581619999999996</v>
      </c>
      <c r="E2151">
        <v>0.54158809999999902</v>
      </c>
      <c r="F2151" t="s">
        <v>46</v>
      </c>
      <c r="G2151">
        <v>-244.64570000000001</v>
      </c>
      <c r="H2151" s="1">
        <v>9.3541599999999999E-7</v>
      </c>
      <c r="I2151">
        <v>283.62619999999998</v>
      </c>
      <c r="J2151">
        <v>-233.3013</v>
      </c>
      <c r="K2151">
        <v>1.1094820000000001</v>
      </c>
      <c r="L2151">
        <v>284.01119999999997</v>
      </c>
      <c r="M2151">
        <v>-0.99997590000000003</v>
      </c>
      <c r="N2151">
        <v>-4.9675300000000004E-3</v>
      </c>
      <c r="O2151">
        <v>4.8375290000000001E-3</v>
      </c>
      <c r="P2151">
        <v>-0.92303009999999996</v>
      </c>
      <c r="Q2151">
        <v>0.36746269999999998</v>
      </c>
      <c r="R2151">
        <v>-0.1139593</v>
      </c>
      <c r="S2151">
        <v>-3.3644259999999999</v>
      </c>
      <c r="T2151">
        <v>-0.31937529999999997</v>
      </c>
      <c r="U2151">
        <v>-0.1103821</v>
      </c>
      <c r="V2151">
        <v>-0.118420899999999</v>
      </c>
      <c r="W2151">
        <v>0.37204140000000002</v>
      </c>
      <c r="X2151">
        <v>0.92063110000000004</v>
      </c>
      <c r="Y2151">
        <v>-3.7429120000000003E-2</v>
      </c>
      <c r="Z2151">
        <v>-2.2993670000000001E-3</v>
      </c>
      <c r="AA2151">
        <v>0.99929670000000004</v>
      </c>
      <c r="AB2151">
        <v>35</v>
      </c>
      <c r="AC2151">
        <v>-11.3444</v>
      </c>
      <c r="AD2151">
        <v>-1.1094810645839901</v>
      </c>
      <c r="AE2151">
        <v>-0.38499999999999002</v>
      </c>
      <c r="AF2151">
        <v>-0.43571232464203602</v>
      </c>
      <c r="AG2151">
        <v>-1.1094810645839901</v>
      </c>
      <c r="AH2151">
        <v>11.2350670360322</v>
      </c>
      <c r="AI2151">
        <v>95.635556620038699</v>
      </c>
      <c r="AJ2151">
        <v>92.220901125574699</v>
      </c>
      <c r="AK2151">
        <v>11.2981204085747</v>
      </c>
      <c r="AL2151">
        <v>68.158428341799095</v>
      </c>
      <c r="AM2151">
        <v>97.329715403547794</v>
      </c>
      <c r="AN2151">
        <v>0.99999996757898901</v>
      </c>
    </row>
    <row r="2152" spans="1:40" x14ac:dyDescent="0.25">
      <c r="A2152" t="str">
        <f>"20190304164132883"</f>
        <v>20190304164132883</v>
      </c>
      <c r="B2152" t="str">
        <f>"1551688892872751"</f>
        <v>1551688892872751</v>
      </c>
      <c r="C2152" t="s">
        <v>40</v>
      </c>
      <c r="D2152">
        <v>4.2088590000000003</v>
      </c>
      <c r="E2152">
        <v>0.54170010000000002</v>
      </c>
      <c r="F2152" t="s">
        <v>41</v>
      </c>
      <c r="G2152">
        <v>-234.32650000000001</v>
      </c>
      <c r="H2152">
        <v>1.0121739999999999</v>
      </c>
      <c r="I2152">
        <v>283.98020000000002</v>
      </c>
      <c r="J2152">
        <v>-233.62690000000001</v>
      </c>
      <c r="K2152">
        <v>1.1094839999999999</v>
      </c>
      <c r="L2152">
        <v>284.01280000000003</v>
      </c>
      <c r="M2152">
        <v>-0.99997689999999995</v>
      </c>
      <c r="N2152">
        <v>-4.8715379999999999E-3</v>
      </c>
      <c r="O2152">
        <v>4.7624870000000001E-3</v>
      </c>
      <c r="P2152">
        <v>-0.92298159999999896</v>
      </c>
      <c r="Q2152">
        <v>0.36797390000000002</v>
      </c>
      <c r="R2152">
        <v>-0.11269750000000001</v>
      </c>
      <c r="S2152">
        <v>-3.364716</v>
      </c>
      <c r="T2152">
        <v>-0.31953720000000002</v>
      </c>
      <c r="U2152">
        <v>-0.1026001</v>
      </c>
      <c r="V2152">
        <v>-0.1171077</v>
      </c>
      <c r="W2152">
        <v>0.37245830000000002</v>
      </c>
      <c r="X2152">
        <v>0.92063059999999997</v>
      </c>
      <c r="Y2152">
        <v>-3.5053800000000003E-2</v>
      </c>
      <c r="Z2152">
        <v>-2.1739839999999999E-3</v>
      </c>
      <c r="AA2152">
        <v>0.99938309999999997</v>
      </c>
      <c r="AB2152">
        <v>35</v>
      </c>
      <c r="AC2152">
        <v>-0.699600000000003</v>
      </c>
      <c r="AD2152">
        <v>-9.7309999999999994E-2</v>
      </c>
      <c r="AE2152">
        <v>-3.26000000000021E-2</v>
      </c>
      <c r="AF2152">
        <v>-3.5250979657037697E-2</v>
      </c>
      <c r="AG2152">
        <v>-9.7309999999999994E-2</v>
      </c>
      <c r="AH2152">
        <v>0.68618980473334701</v>
      </c>
      <c r="AI2152">
        <v>98.060923615977501</v>
      </c>
      <c r="AJ2152">
        <v>92.940816668815998</v>
      </c>
      <c r="AK2152">
        <v>0.69395123444430096</v>
      </c>
      <c r="AL2152">
        <v>68.132694033455493</v>
      </c>
      <c r="AM2152">
        <v>97.249307632529096</v>
      </c>
      <c r="AN2152">
        <v>1.0000000501472599</v>
      </c>
    </row>
    <row r="2153" spans="1:40" x14ac:dyDescent="0.25">
      <c r="A2153" t="str">
        <f>"20190304164132904"</f>
        <v>20190304164132904</v>
      </c>
      <c r="B2153" t="str">
        <f>"1551688892893260"</f>
        <v>1551688892893260</v>
      </c>
      <c r="C2153" t="s">
        <v>40</v>
      </c>
      <c r="D2153">
        <v>4.2387350000000001</v>
      </c>
      <c r="E2153">
        <v>0.5418499</v>
      </c>
      <c r="F2153" t="s">
        <v>41</v>
      </c>
      <c r="G2153">
        <v>-234.6447</v>
      </c>
      <c r="H2153">
        <v>1.0134780000000001</v>
      </c>
      <c r="I2153">
        <v>283.98410000000001</v>
      </c>
      <c r="J2153">
        <v>-233.9708</v>
      </c>
      <c r="K2153">
        <v>1.109491</v>
      </c>
      <c r="L2153">
        <v>284.01429999999999</v>
      </c>
      <c r="M2153">
        <v>-0.99997780000000003</v>
      </c>
      <c r="N2153">
        <v>-4.7760889999999999E-3</v>
      </c>
      <c r="O2153">
        <v>4.6745320000000003E-3</v>
      </c>
      <c r="P2153">
        <v>-0.92332210000000003</v>
      </c>
      <c r="Q2153">
        <v>0.36780420000000003</v>
      </c>
      <c r="R2153">
        <v>-0.1104385</v>
      </c>
      <c r="S2153">
        <v>-3.3653110000000002</v>
      </c>
      <c r="T2153">
        <v>-0.31759019999999999</v>
      </c>
      <c r="U2153">
        <v>-9.5458979999999999E-2</v>
      </c>
      <c r="V2153">
        <v>-0.11478339999999899</v>
      </c>
      <c r="W2153">
        <v>0.37219859999999999</v>
      </c>
      <c r="X2153">
        <v>0.92102830000000002</v>
      </c>
      <c r="Y2153">
        <v>-3.2854580000000001E-2</v>
      </c>
      <c r="Z2153">
        <v>-2.0429929999999999E-3</v>
      </c>
      <c r="AA2153">
        <v>0.99945810000000002</v>
      </c>
      <c r="AB2153">
        <v>35</v>
      </c>
      <c r="AC2153">
        <v>-0.67390000000000305</v>
      </c>
      <c r="AD2153">
        <v>-9.6012999999999904E-2</v>
      </c>
      <c r="AE2153">
        <v>-3.0199999999979299E-2</v>
      </c>
      <c r="AF2153">
        <v>-3.2687683602829302E-2</v>
      </c>
      <c r="AG2153">
        <v>-9.6012999999999904E-2</v>
      </c>
      <c r="AH2153">
        <v>0.660373576830665</v>
      </c>
      <c r="AI2153">
        <v>98.262404597902602</v>
      </c>
      <c r="AJ2153">
        <v>92.833758095331902</v>
      </c>
      <c r="AK2153">
        <v>0.66811693722315202</v>
      </c>
      <c r="AL2153">
        <v>68.148727103413407</v>
      </c>
      <c r="AM2153">
        <v>97.103875207320698</v>
      </c>
      <c r="AN2153">
        <v>1.0000000780792</v>
      </c>
    </row>
    <row r="2154" spans="1:40" x14ac:dyDescent="0.25">
      <c r="A2154" t="str">
        <f>"20190304164132917"</f>
        <v>20190304164132917</v>
      </c>
      <c r="B2154" t="str">
        <f>"1551688892913744"</f>
        <v>1551688892913744</v>
      </c>
      <c r="C2154" t="s">
        <v>40</v>
      </c>
      <c r="D2154">
        <v>4.0658979999999998</v>
      </c>
      <c r="E2154">
        <v>0.5418499</v>
      </c>
      <c r="F2154" t="s">
        <v>41</v>
      </c>
      <c r="G2154">
        <v>-234.96430000000001</v>
      </c>
      <c r="H2154">
        <v>1.0149360000000001</v>
      </c>
      <c r="I2154">
        <v>283.98840000000001</v>
      </c>
      <c r="J2154">
        <v>-234.185</v>
      </c>
      <c r="K2154">
        <v>1.1094889999999999</v>
      </c>
      <c r="L2154">
        <v>284.01530000000002</v>
      </c>
      <c r="M2154">
        <v>-0.99997829999999999</v>
      </c>
      <c r="N2154">
        <v>-4.7209410000000002E-3</v>
      </c>
      <c r="O2154">
        <v>4.6160899999999998E-3</v>
      </c>
      <c r="P2154">
        <v>-0.92344499999999996</v>
      </c>
      <c r="Q2154">
        <v>0.36776690000000001</v>
      </c>
      <c r="R2154">
        <v>-0.10953060000000001</v>
      </c>
      <c r="S2154">
        <v>-3.3662109999999998</v>
      </c>
      <c r="T2154">
        <v>-0.32050430000000002</v>
      </c>
      <c r="U2154">
        <v>-8.8531490000000004E-2</v>
      </c>
      <c r="V2154">
        <v>-0.1138287</v>
      </c>
      <c r="W2154">
        <v>0.3721082</v>
      </c>
      <c r="X2154">
        <v>0.92118319999999998</v>
      </c>
      <c r="Y2154">
        <v>-3.074052E-2</v>
      </c>
      <c r="Z2154">
        <v>-1.949335E-3</v>
      </c>
      <c r="AA2154">
        <v>0.99952549999999996</v>
      </c>
      <c r="AB2154">
        <v>36</v>
      </c>
      <c r="AC2154">
        <v>-0.77930000000000599</v>
      </c>
      <c r="AD2154">
        <v>-9.4552999999999804E-2</v>
      </c>
      <c r="AE2154">
        <v>-2.6900000000011901E-2</v>
      </c>
      <c r="AF2154">
        <v>-3.0055152679013701E-2</v>
      </c>
      <c r="AG2154">
        <v>-9.4552999999999804E-2</v>
      </c>
      <c r="AH2154">
        <v>0.76787695580283299</v>
      </c>
      <c r="AI2154">
        <v>97.014496824055101</v>
      </c>
      <c r="AJ2154">
        <v>92.241446131329795</v>
      </c>
      <c r="AK2154">
        <v>0.77426003465540205</v>
      </c>
      <c r="AL2154">
        <v>68.154305373610995</v>
      </c>
      <c r="AM2154">
        <v>97.044212853336106</v>
      </c>
      <c r="AN2154">
        <v>0.99999998670658496</v>
      </c>
    </row>
    <row r="2155" spans="1:40" x14ac:dyDescent="0.25">
      <c r="A2155" t="str">
        <f>"20190304164133044"</f>
        <v>20190304164133044</v>
      </c>
      <c r="B2155" t="str">
        <f>"1551688893032815"</f>
        <v>1551688893032815</v>
      </c>
      <c r="C2155" t="s">
        <v>40</v>
      </c>
      <c r="D2155">
        <v>4.2945129999999896</v>
      </c>
      <c r="E2155">
        <v>0.54554239999999998</v>
      </c>
      <c r="F2155" t="s">
        <v>41</v>
      </c>
      <c r="G2155">
        <v>-236.5274</v>
      </c>
      <c r="H2155">
        <v>0.90012939999999997</v>
      </c>
      <c r="I2155">
        <v>283.97579999999999</v>
      </c>
      <c r="J2155">
        <v>-236.21119999999999</v>
      </c>
      <c r="K2155">
        <v>1.109356</v>
      </c>
      <c r="L2155">
        <v>284.02420000000001</v>
      </c>
      <c r="M2155">
        <v>-0.99998069999999895</v>
      </c>
      <c r="N2155">
        <v>-4.3798209999999999E-3</v>
      </c>
      <c r="O2155">
        <v>4.4088119999999998E-3</v>
      </c>
      <c r="P2155">
        <v>-0.92452310000000004</v>
      </c>
      <c r="Q2155">
        <v>0.36610140000000002</v>
      </c>
      <c r="R2155">
        <v>-0.1059575</v>
      </c>
      <c r="S2155">
        <v>-3.6291660000000001</v>
      </c>
      <c r="T2155">
        <v>-1.0348710000000001</v>
      </c>
      <c r="U2155">
        <v>-0.2311096</v>
      </c>
      <c r="V2155">
        <v>-0.1100078</v>
      </c>
      <c r="W2155">
        <v>0.37015239999999999</v>
      </c>
      <c r="X2155">
        <v>0.92243450000000005</v>
      </c>
      <c r="Y2155">
        <v>-6.5153580000000003E-2</v>
      </c>
      <c r="Z2155">
        <v>-1.04574E-2</v>
      </c>
      <c r="AA2155">
        <v>0.99782040000000005</v>
      </c>
      <c r="AB2155">
        <v>36</v>
      </c>
      <c r="AC2155">
        <v>-0.31620000000000897</v>
      </c>
      <c r="AD2155">
        <v>-0.20922660000000001</v>
      </c>
      <c r="AE2155">
        <v>-4.8400000000015098E-2</v>
      </c>
      <c r="AF2155">
        <v>-3.4874087709709699E-2</v>
      </c>
      <c r="AG2155">
        <v>-0.20922660000000001</v>
      </c>
      <c r="AH2155">
        <v>0.22130626363667799</v>
      </c>
      <c r="AI2155">
        <v>133.04217605524201</v>
      </c>
      <c r="AJ2155">
        <v>98.955194681395596</v>
      </c>
      <c r="AK2155">
        <v>0.30654271230282298</v>
      </c>
      <c r="AL2155">
        <v>68.274982619902701</v>
      </c>
      <c r="AM2155">
        <v>96.800866292345304</v>
      </c>
      <c r="AN2155">
        <v>0.99999996103842403</v>
      </c>
    </row>
    <row r="2156" spans="1:40" x14ac:dyDescent="0.25">
      <c r="A2156" t="str">
        <f>"20190304164133064"</f>
        <v>20190304164133064</v>
      </c>
      <c r="B2156" t="str">
        <f>"1551688893053312"</f>
        <v>1551688893053312</v>
      </c>
      <c r="C2156" t="s">
        <v>40</v>
      </c>
      <c r="D2156">
        <v>4.158957</v>
      </c>
      <c r="E2156">
        <v>0.5463228</v>
      </c>
      <c r="F2156" t="s">
        <v>41</v>
      </c>
      <c r="G2156">
        <v>-237.22329999999999</v>
      </c>
      <c r="H2156">
        <v>0.9984343</v>
      </c>
      <c r="I2156">
        <v>284.00889999999998</v>
      </c>
      <c r="J2156">
        <v>-236.54050000000001</v>
      </c>
      <c r="K2156">
        <v>1.1093170000000001</v>
      </c>
      <c r="L2156">
        <v>284.02569999999997</v>
      </c>
      <c r="M2156">
        <v>-0.9999806</v>
      </c>
      <c r="N2156">
        <v>-4.3525869999999998E-3</v>
      </c>
      <c r="O2156">
        <v>4.4998909999999998E-3</v>
      </c>
      <c r="P2156">
        <v>-0.92476130000000001</v>
      </c>
      <c r="Q2156">
        <v>0.36546289999999998</v>
      </c>
      <c r="R2156">
        <v>-0.106084999999999</v>
      </c>
      <c r="S2156">
        <v>-3.3859710000000001</v>
      </c>
      <c r="T2156">
        <v>-0.37125239999999998</v>
      </c>
      <c r="U2156">
        <v>-5.1879880000000003E-2</v>
      </c>
      <c r="V2156">
        <v>-0.110189</v>
      </c>
      <c r="W2156">
        <v>0.36949900000000002</v>
      </c>
      <c r="X2156">
        <v>0.92267480000000002</v>
      </c>
      <c r="Y2156">
        <v>-1.9672019999999998E-2</v>
      </c>
      <c r="Z2156">
        <v>-1.590485E-3</v>
      </c>
      <c r="AA2156">
        <v>0.99980519999999995</v>
      </c>
      <c r="AB2156">
        <v>36</v>
      </c>
      <c r="AC2156">
        <v>-0.68279999999998597</v>
      </c>
      <c r="AD2156">
        <v>-0.1108827</v>
      </c>
      <c r="AE2156">
        <v>-1.6799999999989199E-2</v>
      </c>
      <c r="AF2156">
        <v>-1.9362079106193E-2</v>
      </c>
      <c r="AG2156">
        <v>-0.1108827</v>
      </c>
      <c r="AH2156">
        <v>0.66518591949142103</v>
      </c>
      <c r="AI2156">
        <v>99.459928373663999</v>
      </c>
      <c r="AJ2156">
        <v>91.667281633944</v>
      </c>
      <c r="AK2156">
        <v>0.674642253906655</v>
      </c>
      <c r="AL2156">
        <v>68.315276372551594</v>
      </c>
      <c r="AM2156">
        <v>96.810205768234994</v>
      </c>
      <c r="AN2156">
        <v>0.99999995663851904</v>
      </c>
    </row>
    <row r="2157" spans="1:40" x14ac:dyDescent="0.25">
      <c r="A2157" t="str">
        <f>"20190304164133083"</f>
        <v>20190304164133083</v>
      </c>
      <c r="B2157" t="str">
        <f>"1551688893072831"</f>
        <v>1551688893072831</v>
      </c>
      <c r="C2157" t="s">
        <v>40</v>
      </c>
      <c r="D2157">
        <v>4.1430160000000003</v>
      </c>
      <c r="E2157">
        <v>0.54581309999999905</v>
      </c>
      <c r="F2157" t="s">
        <v>41</v>
      </c>
      <c r="G2157">
        <v>-237.55350000000001</v>
      </c>
      <c r="H2157">
        <v>1.0015590000000001</v>
      </c>
      <c r="I2157">
        <v>284.01240000000001</v>
      </c>
      <c r="J2157">
        <v>-236.8646</v>
      </c>
      <c r="K2157">
        <v>1.109278</v>
      </c>
      <c r="L2157">
        <v>284.02730000000003</v>
      </c>
      <c r="M2157">
        <v>-0.99997999999999998</v>
      </c>
      <c r="N2157">
        <v>-4.3316329999999997E-3</v>
      </c>
      <c r="O2157">
        <v>4.6348370000000002E-3</v>
      </c>
      <c r="P2157">
        <v>-0.92477520000000002</v>
      </c>
      <c r="Q2157">
        <v>0.36533399999999999</v>
      </c>
      <c r="R2157">
        <v>-0.10640529999999999</v>
      </c>
      <c r="S2157">
        <v>-3.3811040000000001</v>
      </c>
      <c r="T2157">
        <v>-0.35966490000000001</v>
      </c>
      <c r="U2157">
        <v>-4.4647220000000001E-2</v>
      </c>
      <c r="V2157">
        <v>-0.110599</v>
      </c>
      <c r="W2157">
        <v>0.36936160000000001</v>
      </c>
      <c r="X2157">
        <v>0.92268079999999997</v>
      </c>
      <c r="Y2157">
        <v>-1.7710050000000001E-2</v>
      </c>
      <c r="Z2157">
        <v>-1.4493380000000001E-3</v>
      </c>
      <c r="AA2157">
        <v>0.99984209999999996</v>
      </c>
      <c r="AB2157">
        <v>37</v>
      </c>
      <c r="AC2157">
        <v>-0.68890000000001705</v>
      </c>
      <c r="AD2157">
        <v>-0.107718999999999</v>
      </c>
      <c r="AE2157">
        <v>-1.4900000000011401E-2</v>
      </c>
      <c r="AF2157">
        <v>-1.7661200845024601E-2</v>
      </c>
      <c r="AG2157">
        <v>-0.107718999999999</v>
      </c>
      <c r="AH2157">
        <v>0.67239150543277904</v>
      </c>
      <c r="AI2157">
        <v>99.098520406579695</v>
      </c>
      <c r="AJ2157">
        <v>91.504599100788198</v>
      </c>
      <c r="AK2157">
        <v>0.68119427299005297</v>
      </c>
      <c r="AL2157">
        <v>68.323748980224707</v>
      </c>
      <c r="AM2157">
        <v>96.835262388758593</v>
      </c>
      <c r="AN2157">
        <v>0.99999999452209998</v>
      </c>
    </row>
    <row r="2158" spans="1:40" x14ac:dyDescent="0.25">
      <c r="A2158" t="str">
        <f>"20190304164133106"</f>
        <v>20190304164133106</v>
      </c>
      <c r="B2158" t="str">
        <f>"1551688893103087"</f>
        <v>1551688893103087</v>
      </c>
      <c r="C2158" t="s">
        <v>40</v>
      </c>
      <c r="D2158">
        <v>4.1939460000000004</v>
      </c>
      <c r="E2158">
        <v>0.54529550000000004</v>
      </c>
      <c r="F2158" t="s">
        <v>41</v>
      </c>
      <c r="G2158">
        <v>-237.8878</v>
      </c>
      <c r="H2158">
        <v>1.0108090000000001</v>
      </c>
      <c r="I2158">
        <v>284.0129</v>
      </c>
      <c r="J2158">
        <v>-237.24440000000001</v>
      </c>
      <c r="K2158">
        <v>1.1092219999999999</v>
      </c>
      <c r="L2158">
        <v>284.02929999999998</v>
      </c>
      <c r="M2158">
        <v>-0.9999789</v>
      </c>
      <c r="N2158">
        <v>-4.3147649999999999E-3</v>
      </c>
      <c r="O2158">
        <v>4.8581579999999996E-3</v>
      </c>
      <c r="P2158">
        <v>-0.92480700000000005</v>
      </c>
      <c r="Q2158">
        <v>0.36528369999999999</v>
      </c>
      <c r="R2158">
        <v>-0.10630149999999999</v>
      </c>
      <c r="S2158">
        <v>-3.3665159999999998</v>
      </c>
      <c r="T2158">
        <v>-0.32405970000000001</v>
      </c>
      <c r="U2158">
        <v>-4.8004150000000002E-2</v>
      </c>
      <c r="V2158">
        <v>-0.1106565</v>
      </c>
      <c r="W2158">
        <v>0.36930930000000001</v>
      </c>
      <c r="X2158">
        <v>0.92269489999999998</v>
      </c>
      <c r="Y2158">
        <v>-1.900313E-2</v>
      </c>
      <c r="Z2158">
        <v>-1.3991909999999999E-3</v>
      </c>
      <c r="AA2158">
        <v>0.9998184</v>
      </c>
      <c r="AB2158">
        <v>37</v>
      </c>
      <c r="AC2158">
        <v>-0.64339999999998498</v>
      </c>
      <c r="AD2158">
        <v>-9.8412999999999806E-2</v>
      </c>
      <c r="AE2158">
        <v>-1.6399999999975899E-2</v>
      </c>
      <c r="AF2158">
        <v>-1.9079479469687698E-2</v>
      </c>
      <c r="AG2158">
        <v>-9.8412999999999806E-2</v>
      </c>
      <c r="AH2158">
        <v>0.62861516043270904</v>
      </c>
      <c r="AI2158">
        <v>98.893700688902499</v>
      </c>
      <c r="AJ2158">
        <v>91.738485195178299</v>
      </c>
      <c r="AK2158">
        <v>0.63655806100596501</v>
      </c>
      <c r="AL2158">
        <v>68.326974784828707</v>
      </c>
      <c r="AM2158">
        <v>96.838678852948902</v>
      </c>
      <c r="AN2158">
        <v>1.00000004927237</v>
      </c>
    </row>
    <row r="2159" spans="1:40" x14ac:dyDescent="0.25">
      <c r="A2159" t="str">
        <f>"20190304164133119"</f>
        <v>20190304164133119</v>
      </c>
      <c r="B2159" t="str">
        <f>"1551688893112848"</f>
        <v>1551688893112848</v>
      </c>
      <c r="C2159" t="s">
        <v>40</v>
      </c>
      <c r="D2159">
        <v>4.2023099999999998</v>
      </c>
      <c r="E2159">
        <v>0.54527409999999998</v>
      </c>
      <c r="F2159" t="s">
        <v>41</v>
      </c>
      <c r="G2159">
        <v>-238.2216</v>
      </c>
      <c r="H2159">
        <v>1.016378</v>
      </c>
      <c r="I2159">
        <v>284.01400000000001</v>
      </c>
      <c r="J2159">
        <v>-237.46899999999999</v>
      </c>
      <c r="K2159">
        <v>1.1091879999999901</v>
      </c>
      <c r="L2159">
        <v>284.03050000000002</v>
      </c>
      <c r="M2159">
        <v>-0.99997829999999999</v>
      </c>
      <c r="N2159">
        <v>-4.3091470000000002E-3</v>
      </c>
      <c r="O2159">
        <v>5.0175799999999998E-3</v>
      </c>
      <c r="P2159">
        <v>-0.92468119999999998</v>
      </c>
      <c r="Q2159">
        <v>0.36565439999999999</v>
      </c>
      <c r="R2159">
        <v>-0.1061217</v>
      </c>
      <c r="S2159">
        <v>-3.36409</v>
      </c>
      <c r="T2159">
        <v>-0.31963970000000003</v>
      </c>
      <c r="U2159">
        <v>-5.2978520000000001E-2</v>
      </c>
      <c r="V2159">
        <v>-0.1105952</v>
      </c>
      <c r="W2159">
        <v>0.36968279999999998</v>
      </c>
      <c r="X2159">
        <v>0.92255259999999994</v>
      </c>
      <c r="Y2159">
        <v>-2.064531E-2</v>
      </c>
      <c r="Z2159">
        <v>-1.4772100000000001E-3</v>
      </c>
      <c r="AA2159">
        <v>0.99978579999999995</v>
      </c>
      <c r="AB2159">
        <v>37</v>
      </c>
      <c r="AC2159">
        <v>-0.75259999999997196</v>
      </c>
      <c r="AD2159">
        <v>-9.2809999999999795E-2</v>
      </c>
      <c r="AE2159">
        <v>-1.6500000000007699E-2</v>
      </c>
      <c r="AF2159">
        <v>-1.9972469695975499E-2</v>
      </c>
      <c r="AG2159">
        <v>-9.2809999999999795E-2</v>
      </c>
      <c r="AH2159">
        <v>0.74124064821939295</v>
      </c>
      <c r="AI2159">
        <v>97.134243994680006</v>
      </c>
      <c r="AJ2159">
        <v>91.5434412671583</v>
      </c>
      <c r="AK2159">
        <v>0.74729531928044501</v>
      </c>
      <c r="AL2159">
        <v>68.303943593102701</v>
      </c>
      <c r="AM2159">
        <v>96.835970585966805</v>
      </c>
      <c r="AN2159">
        <v>0.99999998532281897</v>
      </c>
    </row>
    <row r="2160" spans="1:40" x14ac:dyDescent="0.25">
      <c r="A2160" t="str">
        <f>"20190304164133132"</f>
        <v>20190304164133132</v>
      </c>
      <c r="B2160" t="str">
        <f>"1551688893123584"</f>
        <v>1551688893123584</v>
      </c>
      <c r="C2160" t="s">
        <v>40</v>
      </c>
      <c r="D2160">
        <v>4.2045309999999896</v>
      </c>
      <c r="E2160">
        <v>0.54514339999999994</v>
      </c>
      <c r="F2160" t="s">
        <v>41</v>
      </c>
      <c r="G2160">
        <v>-238.2347</v>
      </c>
      <c r="H2160">
        <v>1.037161</v>
      </c>
      <c r="I2160">
        <v>284.01839999999999</v>
      </c>
      <c r="J2160">
        <v>-237.666</v>
      </c>
      <c r="K2160">
        <v>1.1091580000000001</v>
      </c>
      <c r="L2160">
        <v>284.03160000000003</v>
      </c>
      <c r="M2160">
        <v>-0.99997749999999996</v>
      </c>
      <c r="N2160">
        <v>-4.3077410000000003E-3</v>
      </c>
      <c r="O2160">
        <v>5.1796539999999997E-3</v>
      </c>
      <c r="P2160">
        <v>-0.92477169999999997</v>
      </c>
      <c r="Q2160">
        <v>0.36557469999999997</v>
      </c>
      <c r="R2160">
        <v>-0.10560600000000001</v>
      </c>
      <c r="S2160">
        <v>-3.3633579999999998</v>
      </c>
      <c r="T2160">
        <v>-0.31640990000000002</v>
      </c>
      <c r="U2160">
        <v>-5.3497309999999999E-2</v>
      </c>
      <c r="V2160">
        <v>-0.110205399999999</v>
      </c>
      <c r="W2160">
        <v>0.36960890000000002</v>
      </c>
      <c r="X2160">
        <v>0.92262889999999997</v>
      </c>
      <c r="Y2160">
        <v>-2.096512E-2</v>
      </c>
      <c r="Z2160">
        <v>-1.4930970000000001E-3</v>
      </c>
      <c r="AA2160">
        <v>0.99977910000000003</v>
      </c>
      <c r="AB2160">
        <v>37</v>
      </c>
      <c r="AC2160">
        <v>-0.56870000000000598</v>
      </c>
      <c r="AD2160">
        <v>-7.1997000000000005E-2</v>
      </c>
      <c r="AE2160">
        <v>-1.32000000000402E-2</v>
      </c>
      <c r="AF2160">
        <v>-1.5890965623288199E-2</v>
      </c>
      <c r="AG2160">
        <v>-7.1997000000000005E-2</v>
      </c>
      <c r="AH2160">
        <v>0.55965896582750196</v>
      </c>
      <c r="AI2160">
        <v>97.327599288839195</v>
      </c>
      <c r="AJ2160">
        <v>91.626420289177702</v>
      </c>
      <c r="AK2160">
        <v>0.56449468449981899</v>
      </c>
      <c r="AL2160">
        <v>68.308501480604207</v>
      </c>
      <c r="AM2160">
        <v>96.811545512888102</v>
      </c>
      <c r="AN2160">
        <v>1.00000002813178</v>
      </c>
    </row>
    <row r="2161" spans="1:40" x14ac:dyDescent="0.25">
      <c r="A2161" t="str">
        <f>"20190304164133151"</f>
        <v>20190304164133151</v>
      </c>
      <c r="B2161" t="str">
        <f>"1551688893143104"</f>
        <v>1551688893143104</v>
      </c>
      <c r="C2161" t="s">
        <v>40</v>
      </c>
      <c r="D2161">
        <v>4.2272299999999996</v>
      </c>
      <c r="E2161">
        <v>0.54500059999999995</v>
      </c>
      <c r="F2161" t="s">
        <v>41</v>
      </c>
      <c r="G2161">
        <v>-238.55840000000001</v>
      </c>
      <c r="H2161">
        <v>1.0255669999999999</v>
      </c>
      <c r="I2161">
        <v>284.01740000000001</v>
      </c>
      <c r="J2161">
        <v>-237.99850000000001</v>
      </c>
      <c r="K2161">
        <v>1.109119</v>
      </c>
      <c r="L2161">
        <v>284.0335</v>
      </c>
      <c r="M2161">
        <v>-0.99997579999999997</v>
      </c>
      <c r="N2161">
        <v>-4.3092679999999998E-3</v>
      </c>
      <c r="O2161">
        <v>5.4793029999999996E-3</v>
      </c>
      <c r="P2161">
        <v>-0.92479840000000002</v>
      </c>
      <c r="Q2161">
        <v>0.3656624</v>
      </c>
      <c r="R2161">
        <v>-0.10506649999999999</v>
      </c>
      <c r="S2161">
        <v>-3.3624420000000002</v>
      </c>
      <c r="T2161">
        <v>-0.31500650000000002</v>
      </c>
      <c r="U2161">
        <v>-5.3833010000000001E-2</v>
      </c>
      <c r="V2161">
        <v>-0.10990369999999999</v>
      </c>
      <c r="W2161">
        <v>0.36970989999999998</v>
      </c>
      <c r="X2161">
        <v>0.92262440000000001</v>
      </c>
      <c r="Y2161">
        <v>-2.1366759999999999E-2</v>
      </c>
      <c r="Z2161">
        <v>-1.5333670000000001E-3</v>
      </c>
      <c r="AA2161">
        <v>0.99977050000000001</v>
      </c>
      <c r="AB2161">
        <v>37</v>
      </c>
      <c r="AC2161">
        <v>-0.55989999999999895</v>
      </c>
      <c r="AD2161">
        <v>-8.3551999999999793E-2</v>
      </c>
      <c r="AE2161">
        <v>-1.60999999999944E-2</v>
      </c>
      <c r="AF2161">
        <v>-1.8750447150941801E-2</v>
      </c>
      <c r="AG2161">
        <v>-8.3551999999999793E-2</v>
      </c>
      <c r="AH2161">
        <v>0.54761875348330502</v>
      </c>
      <c r="AI2161">
        <v>98.669902268807704</v>
      </c>
      <c r="AJ2161">
        <v>91.9610393873688</v>
      </c>
      <c r="AK2161">
        <v>0.55427323148332597</v>
      </c>
      <c r="AL2161">
        <v>68.302273011084594</v>
      </c>
      <c r="AM2161">
        <v>96.793105437588494</v>
      </c>
      <c r="AN2161">
        <v>1.0000000084535201</v>
      </c>
    </row>
    <row r="2162" spans="1:40" x14ac:dyDescent="0.25">
      <c r="A2162" t="str">
        <f>"20190304164133164"</f>
        <v>20190304164133164</v>
      </c>
      <c r="B2162" t="str">
        <f>"1551688893152864"</f>
        <v>1551688893152864</v>
      </c>
      <c r="C2162" t="s">
        <v>40</v>
      </c>
      <c r="D2162">
        <v>4.2385109999999999</v>
      </c>
      <c r="E2162">
        <v>0.54484119999999903</v>
      </c>
      <c r="F2162" t="s">
        <v>41</v>
      </c>
      <c r="G2162">
        <v>-238.8921</v>
      </c>
      <c r="H2162">
        <v>1.0258149999999999</v>
      </c>
      <c r="I2162">
        <v>284.01900000000001</v>
      </c>
      <c r="J2162">
        <v>-238.2116</v>
      </c>
      <c r="K2162">
        <v>1.1090960000000001</v>
      </c>
      <c r="L2162">
        <v>284.03489999999999</v>
      </c>
      <c r="M2162">
        <v>-0.99997460000000005</v>
      </c>
      <c r="N2162">
        <v>-4.3124679999999999E-3</v>
      </c>
      <c r="O2162">
        <v>5.6866570000000003E-3</v>
      </c>
      <c r="P2162">
        <v>-0.92501369999999905</v>
      </c>
      <c r="Q2162">
        <v>0.36524319999999999</v>
      </c>
      <c r="R2162">
        <v>-0.1046296</v>
      </c>
      <c r="S2162">
        <v>-3.3616489999999999</v>
      </c>
      <c r="T2162">
        <v>-0.31343919999999997</v>
      </c>
      <c r="U2162">
        <v>-5.4809570000000002E-2</v>
      </c>
      <c r="V2162">
        <v>-0.1096365</v>
      </c>
      <c r="W2162">
        <v>0.36930089999999999</v>
      </c>
      <c r="X2162">
        <v>0.92281999999999997</v>
      </c>
      <c r="Y2162">
        <v>-2.1866239999999999E-2</v>
      </c>
      <c r="Z2162">
        <v>-1.5689600000000001E-3</v>
      </c>
      <c r="AA2162">
        <v>0.99975970000000003</v>
      </c>
      <c r="AB2162">
        <v>37</v>
      </c>
      <c r="AC2162">
        <v>-0.680499999999994</v>
      </c>
      <c r="AD2162">
        <v>-8.3280999999999897E-2</v>
      </c>
      <c r="AE2162">
        <v>-1.5899999999987799E-2</v>
      </c>
      <c r="AF2162">
        <v>-1.9477978964079701E-2</v>
      </c>
      <c r="AG2162">
        <v>-8.3280999999999897E-2</v>
      </c>
      <c r="AH2162">
        <v>0.67036376907357798</v>
      </c>
      <c r="AI2162">
        <v>97.078759935036899</v>
      </c>
      <c r="AJ2162">
        <v>91.6643084531254</v>
      </c>
      <c r="AK2162">
        <v>0.675797824435725</v>
      </c>
      <c r="AL2162">
        <v>68.327492347067107</v>
      </c>
      <c r="AM2162">
        <v>96.775320652468196</v>
      </c>
      <c r="AN2162">
        <v>1.0000000346365201</v>
      </c>
    </row>
    <row r="2163" spans="1:40" x14ac:dyDescent="0.25">
      <c r="A2163" t="str">
        <f>"20190304164133184"</f>
        <v>20190304164133184</v>
      </c>
      <c r="B2163" t="str">
        <f>"1551688893173360"</f>
        <v>1551688893173360</v>
      </c>
      <c r="C2163" t="s">
        <v>40</v>
      </c>
      <c r="D2163">
        <v>4.2231170000000002</v>
      </c>
      <c r="E2163">
        <v>0.54450710000000002</v>
      </c>
      <c r="F2163" t="s">
        <v>41</v>
      </c>
      <c r="G2163">
        <v>-239.22190000000001</v>
      </c>
      <c r="H2163">
        <v>1.0152890000000001</v>
      </c>
      <c r="I2163">
        <v>284.01859999999999</v>
      </c>
      <c r="J2163">
        <v>-238.53270000000001</v>
      </c>
      <c r="K2163">
        <v>1.109065</v>
      </c>
      <c r="L2163">
        <v>284.0369</v>
      </c>
      <c r="M2163">
        <v>-0.99997259999999999</v>
      </c>
      <c r="N2163">
        <v>-4.320717E-3</v>
      </c>
      <c r="O2163">
        <v>6.0233129999999998E-3</v>
      </c>
      <c r="P2163">
        <v>-0.92506770000000005</v>
      </c>
      <c r="Q2163">
        <v>0.3653518</v>
      </c>
      <c r="R2163">
        <v>-0.1037715</v>
      </c>
      <c r="S2163">
        <v>-3.3602289999999999</v>
      </c>
      <c r="T2163">
        <v>-0.3120909</v>
      </c>
      <c r="U2163">
        <v>-5.4748539999999998E-2</v>
      </c>
      <c r="V2163">
        <v>-0.1090603</v>
      </c>
      <c r="W2163">
        <v>0.36942580000000003</v>
      </c>
      <c r="X2163">
        <v>0.92283820000000005</v>
      </c>
      <c r="Y2163">
        <v>-2.21897E-2</v>
      </c>
      <c r="Z2163">
        <v>-1.6084630000000001E-3</v>
      </c>
      <c r="AA2163">
        <v>0.99975250000000004</v>
      </c>
      <c r="AB2163">
        <v>37</v>
      </c>
      <c r="AC2163">
        <v>-0.68919999999999904</v>
      </c>
      <c r="AD2163">
        <v>-9.3775999999999998E-2</v>
      </c>
      <c r="AE2163">
        <v>-1.8300000000010599E-2</v>
      </c>
      <c r="AF2163">
        <v>-2.20431611650714E-2</v>
      </c>
      <c r="AG2163">
        <v>-9.3775999999999998E-2</v>
      </c>
      <c r="AH2163">
        <v>0.67656046723502805</v>
      </c>
      <c r="AI2163">
        <v>97.887182884907105</v>
      </c>
      <c r="AJ2163">
        <v>91.866105910784597</v>
      </c>
      <c r="AK2163">
        <v>0.68338415620749404</v>
      </c>
      <c r="AL2163">
        <v>68.319789775509904</v>
      </c>
      <c r="AM2163">
        <v>96.739909365511807</v>
      </c>
      <c r="AN2163">
        <v>0.99999995706048395</v>
      </c>
    </row>
    <row r="2164" spans="1:40" x14ac:dyDescent="0.25">
      <c r="A2164" t="str">
        <f>"20190304164133196"</f>
        <v>20190304164133196</v>
      </c>
      <c r="B2164" t="str">
        <f>"1551688893183120"</f>
        <v>1551688893183120</v>
      </c>
      <c r="C2164" t="s">
        <v>40</v>
      </c>
      <c r="D2164">
        <v>4.2561970000000002</v>
      </c>
      <c r="E2164">
        <v>0.54443649999999999</v>
      </c>
      <c r="F2164" t="s">
        <v>41</v>
      </c>
      <c r="G2164">
        <v>-239.55770000000001</v>
      </c>
      <c r="H2164">
        <v>1.015064</v>
      </c>
      <c r="I2164">
        <v>284.0204</v>
      </c>
      <c r="J2164">
        <v>-238.75710000000001</v>
      </c>
      <c r="K2164">
        <v>1.109046</v>
      </c>
      <c r="L2164">
        <v>284.0385</v>
      </c>
      <c r="M2164">
        <v>-0.9999711</v>
      </c>
      <c r="N2164">
        <v>-4.3299559999999898E-3</v>
      </c>
      <c r="O2164">
        <v>6.2702620000000004E-3</v>
      </c>
      <c r="P2164">
        <v>-0.92505440000000005</v>
      </c>
      <c r="Q2164">
        <v>0.36556139999999998</v>
      </c>
      <c r="R2164">
        <v>-0.1031492</v>
      </c>
      <c r="S2164">
        <v>-3.3585509999999998</v>
      </c>
      <c r="T2164">
        <v>-0.30808750000000001</v>
      </c>
      <c r="U2164">
        <v>-5.4595949999999997E-2</v>
      </c>
      <c r="V2164">
        <v>-0.1086482</v>
      </c>
      <c r="W2164">
        <v>0.3696488</v>
      </c>
      <c r="X2164">
        <v>0.9227976</v>
      </c>
      <c r="Y2164">
        <v>-2.2400449999999999E-2</v>
      </c>
      <c r="Z2164">
        <v>-1.6206619999999999E-3</v>
      </c>
      <c r="AA2164">
        <v>0.99974779999999996</v>
      </c>
      <c r="AB2164">
        <v>37</v>
      </c>
      <c r="AC2164">
        <v>-0.80060000000000198</v>
      </c>
      <c r="AD2164">
        <v>-9.3981999999999996E-2</v>
      </c>
      <c r="AE2164">
        <v>-1.8100000000003998E-2</v>
      </c>
      <c r="AF2164">
        <v>-2.28055558207148E-2</v>
      </c>
      <c r="AG2164">
        <v>-9.3981999999999996E-2</v>
      </c>
      <c r="AH2164">
        <v>0.78959547654780804</v>
      </c>
      <c r="AI2164">
        <v>96.7849221917877</v>
      </c>
      <c r="AJ2164">
        <v>91.654390099512199</v>
      </c>
      <c r="AK2164">
        <v>0.795495899602915</v>
      </c>
      <c r="AL2164">
        <v>68.306041375629206</v>
      </c>
      <c r="AM2164">
        <v>96.714967357258004</v>
      </c>
      <c r="AN2164">
        <v>1.0000000386352099</v>
      </c>
    </row>
    <row r="2165" spans="1:40" x14ac:dyDescent="0.25">
      <c r="A2165" t="str">
        <f>"20190304164133210"</f>
        <v>20190304164133210</v>
      </c>
      <c r="B2165" t="str">
        <f>"1551688893203622"</f>
        <v>1551688893203622</v>
      </c>
      <c r="C2165" t="s">
        <v>40</v>
      </c>
      <c r="D2165">
        <v>4.23536</v>
      </c>
      <c r="E2165">
        <v>0.54437530000000001</v>
      </c>
      <c r="F2165" t="s">
        <v>41</v>
      </c>
      <c r="G2165">
        <v>-239.5701</v>
      </c>
      <c r="H2165">
        <v>1.035218</v>
      </c>
      <c r="I2165">
        <v>284.02589999999998</v>
      </c>
      <c r="J2165">
        <v>-238.98349999999999</v>
      </c>
      <c r="K2165">
        <v>1.1090340000000001</v>
      </c>
      <c r="L2165">
        <v>284.0401</v>
      </c>
      <c r="M2165">
        <v>-0.99996929999999995</v>
      </c>
      <c r="N2165">
        <v>-4.3413719999999996E-3</v>
      </c>
      <c r="O2165">
        <v>6.5257789999999998E-3</v>
      </c>
      <c r="P2165">
        <v>-0.9249155</v>
      </c>
      <c r="Q2165">
        <v>0.36598789999999998</v>
      </c>
      <c r="R2165">
        <v>-0.102879399999999</v>
      </c>
      <c r="S2165">
        <v>-3.3576969999999999</v>
      </c>
      <c r="T2165">
        <v>-0.30499989999999999</v>
      </c>
      <c r="U2165">
        <v>-5.2612300000000001E-2</v>
      </c>
      <c r="V2165">
        <v>-0.10859820000000001</v>
      </c>
      <c r="W2165">
        <v>0.37008960000000002</v>
      </c>
      <c r="X2165">
        <v>0.92262679999999997</v>
      </c>
      <c r="Y2165">
        <v>-2.2072379999999999E-2</v>
      </c>
      <c r="Z2165">
        <v>-1.6116349999999999E-3</v>
      </c>
      <c r="AA2165">
        <v>0.99975510000000001</v>
      </c>
      <c r="AB2165">
        <v>37</v>
      </c>
      <c r="AC2165">
        <v>-0.58660000000000401</v>
      </c>
      <c r="AD2165">
        <v>-7.3816000000000104E-2</v>
      </c>
      <c r="AE2165">
        <v>-1.42000000000166E-2</v>
      </c>
      <c r="AF2165">
        <v>-1.77468987973587E-2</v>
      </c>
      <c r="AG2165">
        <v>-7.3816000000000104E-2</v>
      </c>
      <c r="AH2165">
        <v>0.57735776103291503</v>
      </c>
      <c r="AI2165">
        <v>97.282416865932603</v>
      </c>
      <c r="AJ2165">
        <v>91.760610852060296</v>
      </c>
      <c r="AK2165">
        <v>0.58232786168778095</v>
      </c>
      <c r="AL2165">
        <v>68.278857811057605</v>
      </c>
      <c r="AM2165">
        <v>96.713136516169499</v>
      </c>
      <c r="AN2165">
        <v>1.00000004657481</v>
      </c>
    </row>
    <row r="2166" spans="1:40" x14ac:dyDescent="0.25">
      <c r="A2166" t="str">
        <f>"20190304164133225"</f>
        <v>20190304164133225</v>
      </c>
      <c r="B2166" t="str">
        <f>"1551688893213382"</f>
        <v>1551688893213382</v>
      </c>
      <c r="C2166" t="s">
        <v>40</v>
      </c>
      <c r="D2166">
        <v>4.2364259999999998</v>
      </c>
      <c r="E2166">
        <v>0.54438569999999997</v>
      </c>
      <c r="F2166" t="s">
        <v>41</v>
      </c>
      <c r="G2166">
        <v>-239.9008</v>
      </c>
      <c r="H2166">
        <v>1.026926</v>
      </c>
      <c r="I2166">
        <v>284.02620000000002</v>
      </c>
      <c r="J2166">
        <v>-239.21639999999999</v>
      </c>
      <c r="K2166">
        <v>1.10902099999999</v>
      </c>
      <c r="L2166">
        <v>284.04180000000002</v>
      </c>
      <c r="M2166">
        <v>-0.99996759999999996</v>
      </c>
      <c r="N2166">
        <v>-4.3547919999999997E-3</v>
      </c>
      <c r="O2166">
        <v>6.7929679999999999E-3</v>
      </c>
      <c r="P2166">
        <v>-0.92486520000000005</v>
      </c>
      <c r="Q2166">
        <v>0.36622939999999998</v>
      </c>
      <c r="R2166">
        <v>-0.1024727</v>
      </c>
      <c r="S2166">
        <v>-3.3567499999999999</v>
      </c>
      <c r="T2166">
        <v>-0.30060979999999998</v>
      </c>
      <c r="U2166">
        <v>-5.1666259999999999E-2</v>
      </c>
      <c r="V2166">
        <v>-0.1084239</v>
      </c>
      <c r="W2166">
        <v>0.37034689999999998</v>
      </c>
      <c r="X2166">
        <v>0.92254400000000003</v>
      </c>
      <c r="Y2166">
        <v>-2.20646E-2</v>
      </c>
      <c r="Z2166">
        <v>-1.611667E-3</v>
      </c>
      <c r="AA2166">
        <v>0.99975530000000001</v>
      </c>
      <c r="AB2166">
        <v>38</v>
      </c>
      <c r="AC2166">
        <v>-0.68440000000001</v>
      </c>
      <c r="AD2166">
        <v>-8.2094999999999793E-2</v>
      </c>
      <c r="AE2166">
        <v>-1.5600000000006199E-2</v>
      </c>
      <c r="AF2166">
        <v>-1.9961722030156601E-2</v>
      </c>
      <c r="AG2166">
        <v>-8.2094999999999793E-2</v>
      </c>
      <c r="AH2166">
        <v>0.67457717131902495</v>
      </c>
      <c r="AI2166">
        <v>96.935680586405198</v>
      </c>
      <c r="AJ2166">
        <v>91.694971032009093</v>
      </c>
      <c r="AK2166">
        <v>0.67984735009867203</v>
      </c>
      <c r="AL2166">
        <v>68.262986913518503</v>
      </c>
      <c r="AM2166">
        <v>96.703056127365898</v>
      </c>
      <c r="AN2166">
        <v>1.00000000018341</v>
      </c>
    </row>
    <row r="2167" spans="1:40" x14ac:dyDescent="0.25">
      <c r="A2167" t="str">
        <f>"20190304164133241"</f>
        <v>20190304164133241</v>
      </c>
      <c r="B2167" t="str">
        <f>"1551688893232903"</f>
        <v>1551688893232903</v>
      </c>
      <c r="C2167" t="s">
        <v>40</v>
      </c>
      <c r="D2167">
        <v>4.2530640000000002</v>
      </c>
      <c r="E2167">
        <v>0.544377</v>
      </c>
      <c r="F2167" t="s">
        <v>41</v>
      </c>
      <c r="G2167">
        <v>-240.2346</v>
      </c>
      <c r="H2167">
        <v>1.018613</v>
      </c>
      <c r="I2167">
        <v>284.02690000000001</v>
      </c>
      <c r="J2167">
        <v>-239.5104</v>
      </c>
      <c r="K2167">
        <v>1.1089979999999999</v>
      </c>
      <c r="L2167">
        <v>284.04399999999998</v>
      </c>
      <c r="M2167">
        <v>-0.99996499999999999</v>
      </c>
      <c r="N2167">
        <v>-4.3743209999999996E-3</v>
      </c>
      <c r="O2167">
        <v>7.1362049999999996E-3</v>
      </c>
      <c r="P2167">
        <v>-0.92472679999999996</v>
      </c>
      <c r="Q2167">
        <v>0.36656309999999998</v>
      </c>
      <c r="R2167">
        <v>-0.10252699999999999</v>
      </c>
      <c r="S2167">
        <v>-3.3562470000000002</v>
      </c>
      <c r="T2167">
        <v>-0.29796430000000002</v>
      </c>
      <c r="U2167">
        <v>-4.9072270000000001E-2</v>
      </c>
      <c r="V2167">
        <v>-0.108779399999999</v>
      </c>
      <c r="W2167">
        <v>0.37070249999999999</v>
      </c>
      <c r="X2167">
        <v>0.92235929999999999</v>
      </c>
      <c r="Y2167">
        <v>-2.1640070000000001E-2</v>
      </c>
      <c r="Z2167">
        <v>-1.607203E-3</v>
      </c>
      <c r="AA2167">
        <v>0.9997646</v>
      </c>
      <c r="AB2167">
        <v>38</v>
      </c>
      <c r="AC2167">
        <v>-0.72419999999999596</v>
      </c>
      <c r="AD2167">
        <v>-9.0384999999999896E-2</v>
      </c>
      <c r="AE2167">
        <v>-1.71000000000276E-2</v>
      </c>
      <c r="AF2167">
        <v>-2.1926304195056801E-2</v>
      </c>
      <c r="AG2167">
        <v>-9.0384999999999896E-2</v>
      </c>
      <c r="AH2167">
        <v>0.712960145260228</v>
      </c>
      <c r="AI2167">
        <v>97.221710174799298</v>
      </c>
      <c r="AJ2167">
        <v>91.761513400161604</v>
      </c>
      <c r="AK2167">
        <v>0.71900095950571496</v>
      </c>
      <c r="AL2167">
        <v>68.241050971250701</v>
      </c>
      <c r="AM2167">
        <v>96.726167419709697</v>
      </c>
      <c r="AN2167">
        <v>0.99999998983354899</v>
      </c>
    </row>
    <row r="2168" spans="1:40" x14ac:dyDescent="0.25">
      <c r="A2168" t="str">
        <f>"20190304164133266"</f>
        <v>20190304164133266</v>
      </c>
      <c r="B2168" t="str">
        <f>"1551688893253398"</f>
        <v>1551688893253398</v>
      </c>
      <c r="C2168" t="s">
        <v>40</v>
      </c>
      <c r="D2168">
        <v>4.1920270000000004</v>
      </c>
      <c r="E2168">
        <v>0.54421809999999904</v>
      </c>
      <c r="F2168" t="s">
        <v>46</v>
      </c>
      <c r="G2168">
        <v>-252.13740000000001</v>
      </c>
      <c r="H2168" s="1">
        <v>-3.9935619999999998E-7</v>
      </c>
      <c r="I2168">
        <v>283.8655</v>
      </c>
      <c r="J2168">
        <v>-239.89699999999999</v>
      </c>
      <c r="K2168">
        <v>1.108981</v>
      </c>
      <c r="L2168">
        <v>284.0471</v>
      </c>
      <c r="M2168">
        <v>-0.99996160000000001</v>
      </c>
      <c r="N2168">
        <v>-4.4024479999999998E-3</v>
      </c>
      <c r="O2168">
        <v>7.5920880000000003E-3</v>
      </c>
      <c r="P2168">
        <v>-0.92484230000000001</v>
      </c>
      <c r="Q2168">
        <v>0.36631920000000001</v>
      </c>
      <c r="R2168">
        <v>-0.102358</v>
      </c>
      <c r="S2168">
        <v>-3.3557739999999998</v>
      </c>
      <c r="T2168">
        <v>-0.29472969999999998</v>
      </c>
      <c r="U2168">
        <v>-4.7454830000000003E-2</v>
      </c>
      <c r="V2168">
        <v>-0.1090159</v>
      </c>
      <c r="W2168">
        <v>0.3704904</v>
      </c>
      <c r="X2168">
        <v>0.92241660000000003</v>
      </c>
      <c r="Y2168">
        <v>-2.161708E-2</v>
      </c>
      <c r="Z2168">
        <v>-1.6272249999999999E-3</v>
      </c>
      <c r="AA2168">
        <v>0.99976500000000001</v>
      </c>
      <c r="AB2168">
        <v>38</v>
      </c>
      <c r="AC2168">
        <v>-12.2403999999999</v>
      </c>
      <c r="AD2168">
        <v>-1.1089813993561899</v>
      </c>
      <c r="AE2168">
        <v>-0.18160000000000301</v>
      </c>
      <c r="AF2168">
        <v>-0.272291272699764</v>
      </c>
      <c r="AG2168">
        <v>-1.1089813993561899</v>
      </c>
      <c r="AH2168">
        <v>12.1390485233755</v>
      </c>
      <c r="AI2168">
        <v>95.218548903018203</v>
      </c>
      <c r="AJ2168">
        <v>91.284987444293805</v>
      </c>
      <c r="AK2168">
        <v>12.1926404578406</v>
      </c>
      <c r="AL2168">
        <v>68.2541351556347</v>
      </c>
      <c r="AM2168">
        <v>96.740241657734899</v>
      </c>
      <c r="AN2168">
        <v>0.99999999345026502</v>
      </c>
    </row>
    <row r="2169" spans="1:40" x14ac:dyDescent="0.25">
      <c r="A2169" t="str">
        <f>"20190304164133285"</f>
        <v>20190304164133285</v>
      </c>
      <c r="B2169" t="str">
        <f>"1551688893272918"</f>
        <v>1551688893272918</v>
      </c>
      <c r="C2169" t="s">
        <v>40</v>
      </c>
      <c r="D2169">
        <v>4.2638989999999897</v>
      </c>
      <c r="E2169">
        <v>0.5439621</v>
      </c>
      <c r="F2169" t="s">
        <v>41</v>
      </c>
      <c r="G2169">
        <v>-240.91499999999999</v>
      </c>
      <c r="H2169">
        <v>1.020043</v>
      </c>
      <c r="I2169">
        <v>284.03280000000001</v>
      </c>
      <c r="J2169">
        <v>-240.2501</v>
      </c>
      <c r="K2169">
        <v>1.108967</v>
      </c>
      <c r="L2169">
        <v>284.05009999999999</v>
      </c>
      <c r="M2169">
        <v>-0.99995809999999996</v>
      </c>
      <c r="N2169">
        <v>-4.4294920000000002E-3</v>
      </c>
      <c r="O2169">
        <v>8.0107609999999999E-3</v>
      </c>
      <c r="P2169">
        <v>-0.92490000000000006</v>
      </c>
      <c r="Q2169">
        <v>0.36632759999999998</v>
      </c>
      <c r="R2169">
        <v>-0.1018033</v>
      </c>
      <c r="S2169">
        <v>-3.3545989999999999</v>
      </c>
      <c r="T2169">
        <v>-0.29314089999999998</v>
      </c>
      <c r="U2169">
        <v>-4.788208E-2</v>
      </c>
      <c r="V2169">
        <v>-0.1088364</v>
      </c>
      <c r="W2169">
        <v>0.3705271</v>
      </c>
      <c r="X2169">
        <v>0.92242299999999999</v>
      </c>
      <c r="Y2169">
        <v>-2.2165420000000002E-2</v>
      </c>
      <c r="Z2169">
        <v>-1.6789999999999999E-3</v>
      </c>
      <c r="AA2169">
        <v>0.99975290000000006</v>
      </c>
      <c r="AB2169">
        <v>38</v>
      </c>
      <c r="AC2169">
        <v>-0.66489999999998795</v>
      </c>
      <c r="AD2169">
        <v>-8.8924000000000003E-2</v>
      </c>
      <c r="AE2169">
        <v>-1.7299999999977399E-2</v>
      </c>
      <c r="AF2169">
        <v>-2.2228530564348498E-2</v>
      </c>
      <c r="AG2169">
        <v>-8.8924000000000003E-2</v>
      </c>
      <c r="AH2169">
        <v>0.65306690051349903</v>
      </c>
      <c r="AI2169">
        <v>97.749485741909595</v>
      </c>
      <c r="AJ2169">
        <v>91.949431969372995</v>
      </c>
      <c r="AK2169">
        <v>0.65946793848780805</v>
      </c>
      <c r="AL2169">
        <v>68.2518701103713</v>
      </c>
      <c r="AM2169">
        <v>96.729199119197602</v>
      </c>
      <c r="AN2169">
        <v>0.99999994236418299</v>
      </c>
    </row>
    <row r="2170" spans="1:40" x14ac:dyDescent="0.25">
      <c r="A2170" t="str">
        <f>"20190304164133300"</f>
        <v>20190304164133300</v>
      </c>
      <c r="B2170" t="str">
        <f>"1551688893293414"</f>
        <v>1551688893293414</v>
      </c>
      <c r="C2170" t="s">
        <v>40</v>
      </c>
      <c r="D2170">
        <v>4.2906610000000001</v>
      </c>
      <c r="E2170">
        <v>0.54377969999999998</v>
      </c>
      <c r="F2170" t="s">
        <v>41</v>
      </c>
      <c r="G2170">
        <v>-241.25739999999999</v>
      </c>
      <c r="H2170">
        <v>1.0217000000000001</v>
      </c>
      <c r="I2170">
        <v>284.03539999999998</v>
      </c>
      <c r="J2170">
        <v>-240.5111</v>
      </c>
      <c r="K2170">
        <v>1.108957</v>
      </c>
      <c r="L2170">
        <v>284.05250000000001</v>
      </c>
      <c r="M2170">
        <v>-0.9999555</v>
      </c>
      <c r="N2170">
        <v>-4.4500010000000003E-3</v>
      </c>
      <c r="O2170">
        <v>8.3195159999999903E-3</v>
      </c>
      <c r="P2170">
        <v>-0.92492569999999996</v>
      </c>
      <c r="Q2170">
        <v>0.36638090000000001</v>
      </c>
      <c r="R2170">
        <v>-0.1013776</v>
      </c>
      <c r="S2170">
        <v>-3.3532259999999998</v>
      </c>
      <c r="T2170">
        <v>-0.29065299999999999</v>
      </c>
      <c r="U2170">
        <v>-4.974365E-2</v>
      </c>
      <c r="V2170">
        <v>-0.1086874</v>
      </c>
      <c r="W2170">
        <v>0.37060159999999998</v>
      </c>
      <c r="X2170">
        <v>0.92241070000000003</v>
      </c>
      <c r="Y2170">
        <v>-2.3032239999999999E-2</v>
      </c>
      <c r="Z2170">
        <v>-1.730416E-3</v>
      </c>
      <c r="AA2170">
        <v>0.99973319999999999</v>
      </c>
      <c r="AB2170">
        <v>38</v>
      </c>
      <c r="AC2170">
        <v>-0.74629999999998997</v>
      </c>
      <c r="AD2170">
        <v>-8.7256999999999904E-2</v>
      </c>
      <c r="AE2170">
        <v>-1.71000000000276E-2</v>
      </c>
      <c r="AF2170">
        <v>-2.2994155506863199E-2</v>
      </c>
      <c r="AG2170">
        <v>-8.7256999999999904E-2</v>
      </c>
      <c r="AH2170">
        <v>0.73607492289154297</v>
      </c>
      <c r="AI2170">
        <v>96.757234711138594</v>
      </c>
      <c r="AJ2170">
        <v>91.789274047639296</v>
      </c>
      <c r="AK2170">
        <v>0.74158533382629999</v>
      </c>
      <c r="AL2170">
        <v>68.247275666030902</v>
      </c>
      <c r="AM2170">
        <v>96.720159763277294</v>
      </c>
      <c r="AN2170">
        <v>0.99999999815790497</v>
      </c>
    </row>
    <row r="2171" spans="1:40" x14ac:dyDescent="0.25">
      <c r="A2171" t="str">
        <f>"20190304164133319"</f>
        <v>20190304164133319</v>
      </c>
      <c r="B2171" t="str">
        <f>"1551688893312935"</f>
        <v>1551688893312935</v>
      </c>
      <c r="C2171" t="s">
        <v>40</v>
      </c>
      <c r="D2171">
        <v>4.2729710000000001</v>
      </c>
      <c r="E2171">
        <v>0.54363980000000001</v>
      </c>
      <c r="F2171" t="s">
        <v>46</v>
      </c>
      <c r="G2171">
        <v>-253.27549999999999</v>
      </c>
      <c r="H2171" s="1">
        <v>2.0628539999999999E-7</v>
      </c>
      <c r="I2171">
        <v>283.8578</v>
      </c>
      <c r="J2171">
        <v>-240.83070000000001</v>
      </c>
      <c r="K2171">
        <v>1.1089530000000001</v>
      </c>
      <c r="L2171">
        <v>284.05540000000002</v>
      </c>
      <c r="M2171">
        <v>-0.99995210000000001</v>
      </c>
      <c r="N2171">
        <v>-4.4755949999999997E-3</v>
      </c>
      <c r="O2171">
        <v>8.6943650000000008E-3</v>
      </c>
      <c r="P2171">
        <v>-0.92497770000000001</v>
      </c>
      <c r="Q2171">
        <v>0.36648429999999999</v>
      </c>
      <c r="R2171">
        <v>-0.1005281</v>
      </c>
      <c r="S2171">
        <v>-3.3533019999999998</v>
      </c>
      <c r="T2171">
        <v>-0.29133029999999999</v>
      </c>
      <c r="U2171">
        <v>-5.1147459999999999E-2</v>
      </c>
      <c r="V2171">
        <v>-0.1081751</v>
      </c>
      <c r="W2171">
        <v>0.37073040000000002</v>
      </c>
      <c r="X2171">
        <v>0.92241910000000005</v>
      </c>
      <c r="Y2171">
        <v>-2.3820149999999998E-2</v>
      </c>
      <c r="Z2171">
        <v>-1.8011959999999999E-3</v>
      </c>
      <c r="AA2171">
        <v>0.99971460000000001</v>
      </c>
      <c r="AB2171">
        <v>38</v>
      </c>
      <c r="AC2171">
        <v>-12.444799999999899</v>
      </c>
      <c r="AD2171">
        <v>-1.1089527937146</v>
      </c>
      <c r="AE2171">
        <v>-0.19760000000002201</v>
      </c>
      <c r="AF2171">
        <v>-0.30338482446198101</v>
      </c>
      <c r="AG2171">
        <v>-1.1089527937146</v>
      </c>
      <c r="AH2171">
        <v>12.3446133511595</v>
      </c>
      <c r="AI2171">
        <v>95.131727699167996</v>
      </c>
      <c r="AJ2171">
        <v>91.4078344218984</v>
      </c>
      <c r="AK2171">
        <v>12.398036031566701</v>
      </c>
      <c r="AL2171">
        <v>68.239328612158801</v>
      </c>
      <c r="AM2171">
        <v>96.688711490779795</v>
      </c>
      <c r="AN2171">
        <v>0.99999993889448802</v>
      </c>
    </row>
    <row r="2172" spans="1:40" x14ac:dyDescent="0.25">
      <c r="A2172" t="str">
        <f>"20190304164133343"</f>
        <v>20190304164133343</v>
      </c>
      <c r="B2172" t="str">
        <f>"1551688893333430"</f>
        <v>1551688893333430</v>
      </c>
      <c r="C2172" t="s">
        <v>40</v>
      </c>
      <c r="D2172">
        <v>4.2938830000000001</v>
      </c>
      <c r="E2172">
        <v>0.54351470000000002</v>
      </c>
      <c r="F2172" t="s">
        <v>46</v>
      </c>
      <c r="G2172">
        <v>-253.58629999999999</v>
      </c>
      <c r="H2172" s="1">
        <v>3.7168349999999999E-7</v>
      </c>
      <c r="I2172">
        <v>283.85680000000002</v>
      </c>
      <c r="J2172">
        <v>-241.22739999999999</v>
      </c>
      <c r="K2172">
        <v>1.108946</v>
      </c>
      <c r="L2172">
        <v>284.05919999999998</v>
      </c>
      <c r="M2172">
        <v>-0.99994799999999995</v>
      </c>
      <c r="N2172">
        <v>-4.5103590000000002E-3</v>
      </c>
      <c r="O2172">
        <v>9.1541869999999994E-3</v>
      </c>
      <c r="P2172">
        <v>-0.92490680000000003</v>
      </c>
      <c r="Q2172">
        <v>0.36689359999999999</v>
      </c>
      <c r="R2172">
        <v>-9.9680950000000004E-2</v>
      </c>
      <c r="S2172">
        <v>-3.3531650000000002</v>
      </c>
      <c r="T2172">
        <v>-0.29151729999999998</v>
      </c>
      <c r="U2172">
        <v>-5.2215579999999998E-2</v>
      </c>
      <c r="V2172">
        <v>-0.107744699999999</v>
      </c>
      <c r="W2172">
        <v>0.37117329999999998</v>
      </c>
      <c r="X2172">
        <v>0.92229150000000004</v>
      </c>
      <c r="Y2172">
        <v>-2.4594040000000001E-2</v>
      </c>
      <c r="Z2172">
        <v>-1.8756720000000001E-3</v>
      </c>
      <c r="AA2172">
        <v>0.99969580000000002</v>
      </c>
      <c r="AB2172">
        <v>38</v>
      </c>
      <c r="AC2172">
        <v>-12.3589</v>
      </c>
      <c r="AD2172">
        <v>-1.1089456283165</v>
      </c>
      <c r="AE2172">
        <v>-0.20239999999995401</v>
      </c>
      <c r="AF2172">
        <v>-0.313008920291454</v>
      </c>
      <c r="AG2172">
        <v>-1.1089456283165</v>
      </c>
      <c r="AH2172">
        <v>12.2578651996135</v>
      </c>
      <c r="AI2172">
        <v>95.167692014242405</v>
      </c>
      <c r="AJ2172">
        <v>91.462750104927693</v>
      </c>
      <c r="AK2172">
        <v>12.311904574136401</v>
      </c>
      <c r="AL2172">
        <v>68.212005776986302</v>
      </c>
      <c r="AM2172">
        <v>96.663252046242704</v>
      </c>
      <c r="AN2172">
        <v>1.00000007499161</v>
      </c>
    </row>
    <row r="2173" spans="1:40" x14ac:dyDescent="0.25">
      <c r="A2173" t="str">
        <f>"20190304164133362"</f>
        <v>20190304164133362</v>
      </c>
      <c r="B2173" t="str">
        <f>"1551688893352950"</f>
        <v>1551688893352950</v>
      </c>
      <c r="C2173" t="s">
        <v>40</v>
      </c>
      <c r="D2173">
        <v>4.2618070000000001</v>
      </c>
      <c r="E2173">
        <v>0.54341410000000001</v>
      </c>
      <c r="F2173" t="s">
        <v>41</v>
      </c>
      <c r="G2173">
        <v>-242.2867</v>
      </c>
      <c r="H2173">
        <v>1.017107</v>
      </c>
      <c r="I2173">
        <v>284.04300000000001</v>
      </c>
      <c r="J2173">
        <v>-241.58349999999999</v>
      </c>
      <c r="K2173">
        <v>1.108941</v>
      </c>
      <c r="L2173">
        <v>284.06279999999998</v>
      </c>
      <c r="M2173">
        <v>-0.9999441</v>
      </c>
      <c r="N2173">
        <v>-4.5447860000000003E-3</v>
      </c>
      <c r="O2173">
        <v>9.5595780000000009E-3</v>
      </c>
      <c r="P2173">
        <v>-0.92471950000000003</v>
      </c>
      <c r="Q2173">
        <v>0.36770619999999998</v>
      </c>
      <c r="R2173">
        <v>-9.8419950000000006E-2</v>
      </c>
      <c r="S2173">
        <v>-3.3533629999999999</v>
      </c>
      <c r="T2173">
        <v>-0.29083540000000002</v>
      </c>
      <c r="U2173">
        <v>-5.1757810000000001E-2</v>
      </c>
      <c r="V2173">
        <v>-0.1068508</v>
      </c>
      <c r="W2173">
        <v>0.37201699999999999</v>
      </c>
      <c r="X2173">
        <v>0.92205539999999997</v>
      </c>
      <c r="Y2173">
        <v>-2.4860170000000001E-2</v>
      </c>
      <c r="Z2173">
        <v>-1.9167120000000001E-3</v>
      </c>
      <c r="AA2173">
        <v>0.9996891</v>
      </c>
      <c r="AB2173">
        <v>38</v>
      </c>
      <c r="AC2173">
        <v>-0.70320000000000904</v>
      </c>
      <c r="AD2173">
        <v>-9.1833999999999902E-2</v>
      </c>
      <c r="AE2173">
        <v>-1.9799999999975101E-2</v>
      </c>
      <c r="AF2173">
        <v>-2.6077069503517E-2</v>
      </c>
      <c r="AG2173">
        <v>-9.1833999999999902E-2</v>
      </c>
      <c r="AH2173">
        <v>0.69119958197622</v>
      </c>
      <c r="AI2173">
        <v>97.562777120614001</v>
      </c>
      <c r="AJ2173">
        <v>92.160588332918493</v>
      </c>
      <c r="AK2173">
        <v>0.69776096138576904</v>
      </c>
      <c r="AL2173">
        <v>68.1599340910943</v>
      </c>
      <c r="AM2173">
        <v>96.610138788440494</v>
      </c>
      <c r="AN2173">
        <v>0.999999951209398</v>
      </c>
    </row>
    <row r="2174" spans="1:40" x14ac:dyDescent="0.25">
      <c r="A2174" t="str">
        <f>"20190304164133376"</f>
        <v>20190304164133376</v>
      </c>
      <c r="B2174" t="str">
        <f>"1551688893363686"</f>
        <v>1551688893363686</v>
      </c>
      <c r="C2174" t="s">
        <v>40</v>
      </c>
      <c r="D2174">
        <v>4.2673489999999896</v>
      </c>
      <c r="E2174">
        <v>0.54336549999999995</v>
      </c>
      <c r="F2174" t="s">
        <v>41</v>
      </c>
      <c r="G2174">
        <v>-242.6335</v>
      </c>
      <c r="H2174">
        <v>1.0186770000000001</v>
      </c>
      <c r="I2174">
        <v>284.04730000000001</v>
      </c>
      <c r="J2174">
        <v>-241.8126</v>
      </c>
      <c r="K2174">
        <v>1.1089370000000001</v>
      </c>
      <c r="L2174">
        <v>284.0652</v>
      </c>
      <c r="M2174">
        <v>-0.99994150000000004</v>
      </c>
      <c r="N2174">
        <v>-4.5678680000000001E-3</v>
      </c>
      <c r="O2174">
        <v>9.8179319999999997E-3</v>
      </c>
      <c r="P2174">
        <v>-0.92460189999999998</v>
      </c>
      <c r="Q2174">
        <v>0.36825160000000001</v>
      </c>
      <c r="R2174">
        <v>-9.7480800000000006E-2</v>
      </c>
      <c r="S2174">
        <v>-3.3535919999999999</v>
      </c>
      <c r="T2174">
        <v>-0.28838979999999997</v>
      </c>
      <c r="U2174">
        <v>-4.9926760000000001E-2</v>
      </c>
      <c r="V2174">
        <v>-0.1061468</v>
      </c>
      <c r="W2174">
        <v>0.3725831</v>
      </c>
      <c r="X2174">
        <v>0.92190819999999996</v>
      </c>
      <c r="Y2174">
        <v>-2.457413E-2</v>
      </c>
      <c r="Z2174">
        <v>-1.9087749999999999E-3</v>
      </c>
      <c r="AA2174">
        <v>0.99969620000000003</v>
      </c>
      <c r="AB2174">
        <v>39</v>
      </c>
      <c r="AC2174">
        <v>-0.82089999999999397</v>
      </c>
      <c r="AD2174">
        <v>-9.0260000000000007E-2</v>
      </c>
      <c r="AE2174">
        <v>-1.78999999999973E-2</v>
      </c>
      <c r="AF2174">
        <v>-2.5648825269779699E-2</v>
      </c>
      <c r="AG2174">
        <v>-9.0260000000000007E-2</v>
      </c>
      <c r="AH2174">
        <v>0.81088610205970202</v>
      </c>
      <c r="AI2174">
        <v>96.348317729421893</v>
      </c>
      <c r="AJ2174">
        <v>91.811696646877806</v>
      </c>
      <c r="AK2174">
        <v>0.81629712749175898</v>
      </c>
      <c r="AL2174">
        <v>68.1249882302141</v>
      </c>
      <c r="AM2174">
        <v>96.568008091750301</v>
      </c>
      <c r="AN2174">
        <v>1.0000000193915399</v>
      </c>
    </row>
    <row r="2175" spans="1:40" x14ac:dyDescent="0.25">
      <c r="A2175" t="str">
        <f>"20190304164133389"</f>
        <v>20190304164133389</v>
      </c>
      <c r="B2175" t="str">
        <f>"1551688893383206"</f>
        <v>1551688893383206</v>
      </c>
      <c r="C2175" t="s">
        <v>40</v>
      </c>
      <c r="D2175">
        <v>4.266267</v>
      </c>
      <c r="E2175">
        <v>0.54327769999999898</v>
      </c>
      <c r="F2175" t="s">
        <v>46</v>
      </c>
      <c r="G2175">
        <v>-254.77080000000001</v>
      </c>
      <c r="H2175" s="1">
        <v>1.0019779999999999E-6</v>
      </c>
      <c r="I2175">
        <v>283.87549999999999</v>
      </c>
      <c r="J2175">
        <v>-242.0307</v>
      </c>
      <c r="K2175">
        <v>1.108932</v>
      </c>
      <c r="L2175">
        <v>284.0675</v>
      </c>
      <c r="M2175">
        <v>-0.99993880000000002</v>
      </c>
      <c r="N2175">
        <v>-4.5899419999999996E-3</v>
      </c>
      <c r="O2175">
        <v>1.006276E-2</v>
      </c>
      <c r="P2175">
        <v>-0.92470229999999998</v>
      </c>
      <c r="Q2175">
        <v>0.36830889999999999</v>
      </c>
      <c r="R2175">
        <v>-9.6302750000000006E-2</v>
      </c>
      <c r="S2175">
        <v>-3.35379</v>
      </c>
      <c r="T2175">
        <v>-0.28701090000000001</v>
      </c>
      <c r="U2175">
        <v>-4.9102779999999999E-2</v>
      </c>
      <c r="V2175">
        <v>-0.1051937</v>
      </c>
      <c r="W2175">
        <v>0.37266050000000001</v>
      </c>
      <c r="X2175">
        <v>0.92198610000000003</v>
      </c>
      <c r="Y2175">
        <v>-2.457289E-2</v>
      </c>
      <c r="Z2175">
        <v>-1.919416E-3</v>
      </c>
      <c r="AA2175">
        <v>0.99969620000000003</v>
      </c>
      <c r="AB2175">
        <v>39</v>
      </c>
      <c r="AC2175">
        <v>-12.7401</v>
      </c>
      <c r="AD2175">
        <v>-1.1089309980219999</v>
      </c>
      <c r="AE2175">
        <v>-0.192000000000007</v>
      </c>
      <c r="AF2175">
        <v>-0.31778507944628898</v>
      </c>
      <c r="AG2175">
        <v>-1.1089309980219999</v>
      </c>
      <c r="AH2175">
        <v>12.6417654453168</v>
      </c>
      <c r="AI2175">
        <v>95.011557568856006</v>
      </c>
      <c r="AJ2175">
        <v>91.439981637904495</v>
      </c>
      <c r="AK2175">
        <v>12.694288041851699</v>
      </c>
      <c r="AL2175">
        <v>68.120208144208803</v>
      </c>
      <c r="AM2175">
        <v>96.508996623733594</v>
      </c>
      <c r="AN2175">
        <v>0.99999996568657401</v>
      </c>
    </row>
    <row r="2176" spans="1:40" x14ac:dyDescent="0.25">
      <c r="A2176" t="str">
        <f>"20190304164133401"</f>
        <v>20190304164133401</v>
      </c>
      <c r="B2176" t="str">
        <f>"1551688893393943"</f>
        <v>1551688893393943</v>
      </c>
      <c r="C2176" t="s">
        <v>40</v>
      </c>
      <c r="D2176">
        <v>4.2499580000000003</v>
      </c>
      <c r="E2176">
        <v>0.54322239999999999</v>
      </c>
      <c r="F2176" t="s">
        <v>41</v>
      </c>
      <c r="G2176">
        <v>-242.98570000000001</v>
      </c>
      <c r="H2176">
        <v>1.02712</v>
      </c>
      <c r="I2176">
        <v>284.0539</v>
      </c>
      <c r="J2176">
        <v>-242.2569</v>
      </c>
      <c r="K2176">
        <v>1.108927</v>
      </c>
      <c r="L2176">
        <v>284.06990000000002</v>
      </c>
      <c r="M2176">
        <v>-0.99993609999999999</v>
      </c>
      <c r="N2176">
        <v>-4.6129259999999998E-3</v>
      </c>
      <c r="O2176">
        <v>1.0315680000000001E-2</v>
      </c>
      <c r="P2176">
        <v>-0.92475929999999995</v>
      </c>
      <c r="Q2176">
        <v>0.36846889999999999</v>
      </c>
      <c r="R2176">
        <v>-9.5137280000000005E-2</v>
      </c>
      <c r="S2176">
        <v>-3.3537140000000001</v>
      </c>
      <c r="T2176">
        <v>-0.28728199999999998</v>
      </c>
      <c r="U2176">
        <v>-4.769897E-2</v>
      </c>
      <c r="V2176">
        <v>-0.10426050000000001</v>
      </c>
      <c r="W2176">
        <v>0.37284149999999999</v>
      </c>
      <c r="X2176">
        <v>0.92201889999999997</v>
      </c>
      <c r="Y2176">
        <v>-2.440728E-2</v>
      </c>
      <c r="Z2176">
        <v>-1.934311E-3</v>
      </c>
      <c r="AA2176">
        <v>0.99970020000000004</v>
      </c>
      <c r="AB2176">
        <v>39</v>
      </c>
      <c r="AC2176">
        <v>-0.728800000000006</v>
      </c>
      <c r="AD2176">
        <v>-8.1806999999999894E-2</v>
      </c>
      <c r="AE2176">
        <v>-1.6000000000019499E-2</v>
      </c>
      <c r="AF2176">
        <v>-2.32248092628131E-2</v>
      </c>
      <c r="AG2176">
        <v>-8.1806999999999894E-2</v>
      </c>
      <c r="AH2176">
        <v>0.71953453320023597</v>
      </c>
      <c r="AI2176">
        <v>96.483005338466299</v>
      </c>
      <c r="AJ2176">
        <v>91.848725333187005</v>
      </c>
      <c r="AK2176">
        <v>0.72454242214101905</v>
      </c>
      <c r="AL2176">
        <v>68.1090316710211</v>
      </c>
      <c r="AM2176">
        <v>96.451515105243601</v>
      </c>
      <c r="AN2176">
        <v>0.99999994396985303</v>
      </c>
    </row>
    <row r="2177" spans="1:40" x14ac:dyDescent="0.25">
      <c r="A2177" t="str">
        <f>"20190304164133420"</f>
        <v>20190304164133420</v>
      </c>
      <c r="B2177" t="str">
        <f>"1551688893413462"</f>
        <v>1551688893413462</v>
      </c>
      <c r="C2177" t="s">
        <v>40</v>
      </c>
      <c r="D2177">
        <v>4.2827729999999997</v>
      </c>
      <c r="E2177">
        <v>0.54298590000000002</v>
      </c>
      <c r="F2177" t="s">
        <v>46</v>
      </c>
      <c r="G2177">
        <v>-255.20840000000001</v>
      </c>
      <c r="H2177" s="1">
        <v>1.2348509999999999E-6</v>
      </c>
      <c r="I2177">
        <v>283.89280000000002</v>
      </c>
      <c r="J2177">
        <v>-242.57480000000001</v>
      </c>
      <c r="K2177">
        <v>1.1089230000000001</v>
      </c>
      <c r="L2177">
        <v>284.07350000000002</v>
      </c>
      <c r="M2177">
        <v>-0.99993220000000005</v>
      </c>
      <c r="N2177">
        <v>-4.6450529999999997E-3</v>
      </c>
      <c r="O2177">
        <v>1.0669150000000001E-2</v>
      </c>
      <c r="P2177">
        <v>-0.92520789999999997</v>
      </c>
      <c r="Q2177">
        <v>0.36779020000000001</v>
      </c>
      <c r="R2177">
        <v>-9.3384239999999993E-2</v>
      </c>
      <c r="S2177">
        <v>-3.3538209999999999</v>
      </c>
      <c r="T2177">
        <v>-0.28715960000000001</v>
      </c>
      <c r="U2177">
        <v>-4.586792E-2</v>
      </c>
      <c r="V2177">
        <v>-0.1028374</v>
      </c>
      <c r="W2177">
        <v>0.37219360000000001</v>
      </c>
      <c r="X2177">
        <v>0.92244040000000005</v>
      </c>
      <c r="Y2177">
        <v>-2.4214220000000002E-2</v>
      </c>
      <c r="Z2177">
        <v>-1.9533710000000002E-3</v>
      </c>
      <c r="AA2177">
        <v>0.99970490000000001</v>
      </c>
      <c r="AB2177">
        <v>39</v>
      </c>
      <c r="AC2177">
        <v>-12.633599999999999</v>
      </c>
      <c r="AD2177">
        <v>-1.108921765149</v>
      </c>
      <c r="AE2177">
        <v>-0.180700000000001</v>
      </c>
      <c r="AF2177">
        <v>-0.313069388141202</v>
      </c>
      <c r="AG2177">
        <v>-1.108921765149</v>
      </c>
      <c r="AH2177">
        <v>12.534400751572701</v>
      </c>
      <c r="AI2177">
        <v>95.054241562274299</v>
      </c>
      <c r="AJ2177">
        <v>91.430768516527493</v>
      </c>
      <c r="AK2177">
        <v>12.587252365947</v>
      </c>
      <c r="AL2177">
        <v>68.149032795257995</v>
      </c>
      <c r="AM2177">
        <v>96.361298632854997</v>
      </c>
      <c r="AN2177">
        <v>0.99999994913593804</v>
      </c>
    </row>
    <row r="2178" spans="1:40" x14ac:dyDescent="0.25">
      <c r="A2178" t="str">
        <f>"20190304164133433"</f>
        <v>20190304164133433</v>
      </c>
      <c r="B2178" t="str">
        <f>"1551688893423222"</f>
        <v>1551688893423222</v>
      </c>
      <c r="C2178" t="s">
        <v>40</v>
      </c>
      <c r="D2178">
        <v>4.2583089999999997</v>
      </c>
      <c r="E2178">
        <v>0.54277730000000002</v>
      </c>
      <c r="F2178" t="s">
        <v>46</v>
      </c>
      <c r="G2178">
        <v>-255.4151</v>
      </c>
      <c r="H2178" s="1">
        <v>1.3448809999999999E-6</v>
      </c>
      <c r="I2178">
        <v>283.90629999999999</v>
      </c>
      <c r="J2178">
        <v>-242.80430000000001</v>
      </c>
      <c r="K2178">
        <v>1.1089209999999901</v>
      </c>
      <c r="L2178">
        <v>284.0761</v>
      </c>
      <c r="M2178">
        <v>-0.99992950000000003</v>
      </c>
      <c r="N2178">
        <v>-4.6678880000000002E-3</v>
      </c>
      <c r="O2178">
        <v>1.092315E-2</v>
      </c>
      <c r="P2178">
        <v>-0.92546130000000004</v>
      </c>
      <c r="Q2178">
        <v>0.36745450000000002</v>
      </c>
      <c r="R2178">
        <v>-9.2190910000000001E-2</v>
      </c>
      <c r="S2178">
        <v>-3.3532259999999998</v>
      </c>
      <c r="T2178">
        <v>-0.28959230000000002</v>
      </c>
      <c r="U2178">
        <v>-4.3670649999999998E-2</v>
      </c>
      <c r="V2178">
        <v>-0.1018805</v>
      </c>
      <c r="W2178">
        <v>0.37187900000000002</v>
      </c>
      <c r="X2178">
        <v>0.92267350000000004</v>
      </c>
      <c r="Y2178">
        <v>-2.3814120000000001E-2</v>
      </c>
      <c r="Z2178">
        <v>-1.9727220000000001E-3</v>
      </c>
      <c r="AA2178">
        <v>0.9997144</v>
      </c>
      <c r="AB2178">
        <v>39</v>
      </c>
      <c r="AC2178">
        <v>-12.6107999999999</v>
      </c>
      <c r="AD2178">
        <v>-1.1089196551189999</v>
      </c>
      <c r="AE2178">
        <v>-0.169800000000009</v>
      </c>
      <c r="AF2178">
        <v>-0.305181660806851</v>
      </c>
      <c r="AG2178">
        <v>-1.1089196551189999</v>
      </c>
      <c r="AH2178">
        <v>12.5114666040689</v>
      </c>
      <c r="AI2178">
        <v>95.063521189518994</v>
      </c>
      <c r="AJ2178">
        <v>91.397290588727898</v>
      </c>
      <c r="AK2178">
        <v>12.564220438703501</v>
      </c>
      <c r="AL2178">
        <v>68.168453328279895</v>
      </c>
      <c r="AM2178">
        <v>96.301005966961696</v>
      </c>
      <c r="AN2178">
        <v>1.0000000072617401</v>
      </c>
    </row>
    <row r="2179" spans="1:40" x14ac:dyDescent="0.25">
      <c r="A2179" t="str">
        <f>"20190304164133454"</f>
        <v>20190304164133454</v>
      </c>
      <c r="B2179" t="str">
        <f>"1551688893442742"</f>
        <v>1551688893442742</v>
      </c>
      <c r="C2179" t="s">
        <v>40</v>
      </c>
      <c r="D2179">
        <v>4.2329140000000001</v>
      </c>
      <c r="E2179">
        <v>0.54234879999999996</v>
      </c>
      <c r="F2179" t="s">
        <v>41</v>
      </c>
      <c r="G2179">
        <v>-243.68700000000001</v>
      </c>
      <c r="H2179">
        <v>1.032443</v>
      </c>
      <c r="I2179">
        <v>284.065</v>
      </c>
      <c r="J2179">
        <v>-243.16489999999999</v>
      </c>
      <c r="K2179">
        <v>1.108919</v>
      </c>
      <c r="L2179">
        <v>284.0804</v>
      </c>
      <c r="M2179">
        <v>-0.99992499999999995</v>
      </c>
      <c r="N2179">
        <v>-4.7033969999999998E-3</v>
      </c>
      <c r="O2179">
        <v>1.132126E-2</v>
      </c>
      <c r="P2179">
        <v>-0.92589189999999999</v>
      </c>
      <c r="Q2179">
        <v>0.36679129999999999</v>
      </c>
      <c r="R2179">
        <v>-9.0491509999999997E-2</v>
      </c>
      <c r="S2179">
        <v>-3.352722</v>
      </c>
      <c r="T2179">
        <v>-0.29043760000000002</v>
      </c>
      <c r="U2179">
        <v>-4.2205810000000003E-2</v>
      </c>
      <c r="V2179">
        <v>-0.10055210000000001</v>
      </c>
      <c r="W2179">
        <v>0.37124990000000002</v>
      </c>
      <c r="X2179">
        <v>0.92307249999999996</v>
      </c>
      <c r="Y2179">
        <v>-2.3775399999999999E-2</v>
      </c>
      <c r="Z2179">
        <v>-2.0095690000000001E-3</v>
      </c>
      <c r="AA2179">
        <v>0.99971529999999997</v>
      </c>
      <c r="AB2179">
        <v>39</v>
      </c>
      <c r="AC2179">
        <v>-0.52210000000002299</v>
      </c>
      <c r="AD2179">
        <v>-7.6475999999999905E-2</v>
      </c>
      <c r="AE2179">
        <v>-1.53999999999996E-2</v>
      </c>
      <c r="AF2179">
        <v>-2.0862672967562401E-2</v>
      </c>
      <c r="AG2179">
        <v>-7.6475999999999905E-2</v>
      </c>
      <c r="AH2179">
        <v>0.51093915566804105</v>
      </c>
      <c r="AI2179">
        <v>98.505699176775394</v>
      </c>
      <c r="AJ2179">
        <v>92.338202989035295</v>
      </c>
      <c r="AK2179">
        <v>0.51705188375454403</v>
      </c>
      <c r="AL2179">
        <v>68.207278091417194</v>
      </c>
      <c r="AM2179">
        <v>96.216829111375603</v>
      </c>
      <c r="AN2179">
        <v>1.0000000266603299</v>
      </c>
    </row>
    <row r="2180" spans="1:40" x14ac:dyDescent="0.25">
      <c r="A2180" t="str">
        <f>"20190304164133475"</f>
        <v>20190304164133475</v>
      </c>
      <c r="B2180" t="str">
        <f>"1551688893463238"</f>
        <v>1551688893463238</v>
      </c>
      <c r="C2180" t="s">
        <v>40</v>
      </c>
      <c r="D2180">
        <v>4.2105680000000003</v>
      </c>
      <c r="E2180">
        <v>0.53175039999999996</v>
      </c>
      <c r="F2180" t="s">
        <v>41</v>
      </c>
      <c r="G2180">
        <v>-244.03749999999999</v>
      </c>
      <c r="H2180">
        <v>1.0327930000000001</v>
      </c>
      <c r="I2180">
        <v>284.07</v>
      </c>
      <c r="J2180">
        <v>-243.53970000000001</v>
      </c>
      <c r="K2180">
        <v>1.1089059999999999</v>
      </c>
      <c r="L2180">
        <v>284.08499999999998</v>
      </c>
      <c r="M2180">
        <v>-0.99992000000000003</v>
      </c>
      <c r="N2180">
        <v>-4.7395830000000003E-3</v>
      </c>
      <c r="O2180">
        <v>1.17342E-2</v>
      </c>
      <c r="P2180">
        <v>-0.92616180000000004</v>
      </c>
      <c r="Q2180">
        <v>0.36657499999999998</v>
      </c>
      <c r="R2180">
        <v>-8.8584949999999996E-2</v>
      </c>
      <c r="S2180">
        <v>-3.352036</v>
      </c>
      <c r="T2180">
        <v>-0.29256459999999901</v>
      </c>
      <c r="U2180">
        <v>-4.0801999999999998E-2</v>
      </c>
      <c r="V2180">
        <v>-9.9028889999999994E-2</v>
      </c>
      <c r="W2180">
        <v>0.37106699999999998</v>
      </c>
      <c r="X2180">
        <v>0.92331059999999998</v>
      </c>
      <c r="Y2180">
        <v>-2.3768859999999999E-2</v>
      </c>
      <c r="Z2180">
        <v>-2.058369E-3</v>
      </c>
      <c r="AA2180">
        <v>0.99971540000000003</v>
      </c>
      <c r="AB2180">
        <v>39</v>
      </c>
      <c r="AC2180">
        <v>-0.49779999999998298</v>
      </c>
      <c r="AD2180">
        <v>-7.6112999999999806E-2</v>
      </c>
      <c r="AE2180">
        <v>-1.49999999999863E-2</v>
      </c>
      <c r="AF2180">
        <v>-2.0364663340960799E-2</v>
      </c>
      <c r="AG2180">
        <v>-7.6112999999999806E-2</v>
      </c>
      <c r="AH2180">
        <v>0.48623285749511402</v>
      </c>
      <c r="AI2180">
        <v>98.888992384095701</v>
      </c>
      <c r="AJ2180">
        <v>92.398290671569498</v>
      </c>
      <c r="AK2180">
        <v>0.49257517191780398</v>
      </c>
      <c r="AL2180">
        <v>68.218561905815804</v>
      </c>
      <c r="AM2180">
        <v>96.121807512651799</v>
      </c>
      <c r="AN2180">
        <v>0.99999995180799495</v>
      </c>
    </row>
    <row r="2181" spans="1:40" x14ac:dyDescent="0.25">
      <c r="A2181" t="str">
        <f>"20190304164133497"</f>
        <v>20190304164133497</v>
      </c>
      <c r="B2181" t="str">
        <f>"1551688893482758"</f>
        <v>1551688893482758</v>
      </c>
      <c r="C2181" t="s">
        <v>40</v>
      </c>
      <c r="D2181">
        <v>4.1891860000000003</v>
      </c>
      <c r="E2181">
        <v>0.53152719999999998</v>
      </c>
      <c r="F2181" t="s">
        <v>46</v>
      </c>
      <c r="G2181">
        <v>-257.0659</v>
      </c>
      <c r="H2181" s="1">
        <v>2.2233380000000002E-6</v>
      </c>
      <c r="I2181">
        <v>283.6044</v>
      </c>
      <c r="J2181">
        <v>-243.9177</v>
      </c>
      <c r="K2181">
        <v>1.1088979999999999</v>
      </c>
      <c r="L2181">
        <v>284.08969999999999</v>
      </c>
      <c r="M2181">
        <v>-0.99991479999999999</v>
      </c>
      <c r="N2181">
        <v>-4.7752319999999999E-3</v>
      </c>
      <c r="O2181">
        <v>1.2149709999999999E-2</v>
      </c>
      <c r="P2181">
        <v>-0.92643600000000004</v>
      </c>
      <c r="Q2181">
        <v>0.3663476</v>
      </c>
      <c r="R2181">
        <v>-8.663622E-2</v>
      </c>
      <c r="S2181">
        <v>-3.3361049999999999</v>
      </c>
      <c r="T2181">
        <v>-0.27350079999999999</v>
      </c>
      <c r="U2181">
        <v>-0.11853030000000001</v>
      </c>
      <c r="V2181">
        <v>-9.7466010000000006E-2</v>
      </c>
      <c r="W2181">
        <v>0.3708726</v>
      </c>
      <c r="X2181">
        <v>0.92355500000000001</v>
      </c>
      <c r="Y2181">
        <v>-4.74423E-2</v>
      </c>
      <c r="Z2181">
        <v>-2.9905610000000001E-3</v>
      </c>
      <c r="AA2181">
        <v>0.99886949999999997</v>
      </c>
      <c r="AB2181">
        <v>39</v>
      </c>
      <c r="AC2181">
        <v>-13.148199999999999</v>
      </c>
      <c r="AD2181">
        <v>-1.108895776662</v>
      </c>
      <c r="AE2181">
        <v>-0.48529999999999501</v>
      </c>
      <c r="AF2181">
        <v>-0.64046343818914497</v>
      </c>
      <c r="AG2181">
        <v>-1.108895776662</v>
      </c>
      <c r="AH2181">
        <v>13.0486452859626</v>
      </c>
      <c r="AI2181">
        <v>94.851608093333795</v>
      </c>
      <c r="AJ2181">
        <v>92.809979539106493</v>
      </c>
      <c r="AK2181">
        <v>13.111330483899399</v>
      </c>
      <c r="AL2181">
        <v>68.230556540235099</v>
      </c>
      <c r="AM2181">
        <v>96.024326369487895</v>
      </c>
      <c r="AN2181">
        <v>0.99999997328053902</v>
      </c>
    </row>
    <row r="2182" spans="1:40" x14ac:dyDescent="0.25">
      <c r="A2182" t="str">
        <f>"20190304164133510"</f>
        <v>20190304164133510</v>
      </c>
      <c r="B2182" t="str">
        <f>"1551688893503255"</f>
        <v>1551688893503255</v>
      </c>
      <c r="C2182" t="s">
        <v>40</v>
      </c>
      <c r="D2182">
        <v>4.1671100000000001</v>
      </c>
      <c r="E2182">
        <v>0.53168850000000001</v>
      </c>
      <c r="F2182" t="s">
        <v>46</v>
      </c>
      <c r="G2182">
        <v>-257.49470000000002</v>
      </c>
      <c r="H2182" s="1">
        <v>2.4514930000000002E-6</v>
      </c>
      <c r="I2182">
        <v>283.62189999999998</v>
      </c>
      <c r="J2182">
        <v>-244.15450000000001</v>
      </c>
      <c r="K2182">
        <v>1.108897</v>
      </c>
      <c r="L2182">
        <v>284.09280000000001</v>
      </c>
      <c r="M2182">
        <v>-0.99991149999999995</v>
      </c>
      <c r="N2182">
        <v>-4.7971560000000003E-3</v>
      </c>
      <c r="O2182">
        <v>1.2409369999999999E-2</v>
      </c>
      <c r="P2182">
        <v>-0.92661329999999997</v>
      </c>
      <c r="Q2182">
        <v>0.36608230000000003</v>
      </c>
      <c r="R2182">
        <v>-8.5860829999999999E-2</v>
      </c>
      <c r="S2182">
        <v>-3.3352200000000001</v>
      </c>
      <c r="T2182">
        <v>-0.27240439999999999</v>
      </c>
      <c r="U2182">
        <v>-0.1149292</v>
      </c>
      <c r="V2182">
        <v>-9.6931439999999994E-2</v>
      </c>
      <c r="W2182">
        <v>0.37062820000000002</v>
      </c>
      <c r="X2182">
        <v>0.92370940000000001</v>
      </c>
      <c r="Y2182">
        <v>-4.6637459999999999E-2</v>
      </c>
      <c r="Z2182">
        <v>-2.9650969999999999E-3</v>
      </c>
      <c r="AA2182">
        <v>0.99890749999999995</v>
      </c>
      <c r="AB2182">
        <v>39</v>
      </c>
      <c r="AC2182">
        <v>-13.340199999999999</v>
      </c>
      <c r="AD2182">
        <v>-1.1088945485070001</v>
      </c>
      <c r="AE2182">
        <v>-0.47090000000002802</v>
      </c>
      <c r="AF2182">
        <v>-0.63204733314444494</v>
      </c>
      <c r="AG2182">
        <v>-1.1088945485070001</v>
      </c>
      <c r="AH2182">
        <v>13.2419458576517</v>
      </c>
      <c r="AI2182">
        <v>94.781422480762402</v>
      </c>
      <c r="AJ2182">
        <v>92.732693645077404</v>
      </c>
      <c r="AK2182">
        <v>13.3033176707174</v>
      </c>
      <c r="AL2182">
        <v>68.245635040149693</v>
      </c>
      <c r="AM2182">
        <v>95.990531653799096</v>
      </c>
      <c r="AN2182">
        <v>1.00000001117203</v>
      </c>
    </row>
    <row r="2183" spans="1:40" x14ac:dyDescent="0.25">
      <c r="A2183" t="str">
        <f>"20190304164133523"</f>
        <v>20190304164133523</v>
      </c>
      <c r="B2183" t="str">
        <f>"1551688893513015"</f>
        <v>1551688893513015</v>
      </c>
      <c r="C2183" t="s">
        <v>40</v>
      </c>
      <c r="D2183">
        <v>4.1450360000000002</v>
      </c>
      <c r="E2183">
        <v>0.53169489999999997</v>
      </c>
      <c r="F2183" t="s">
        <v>46</v>
      </c>
      <c r="G2183">
        <v>-257.72120000000001</v>
      </c>
      <c r="H2183" s="1">
        <v>2.572056E-6</v>
      </c>
      <c r="I2183">
        <v>283.63830000000002</v>
      </c>
      <c r="J2183">
        <v>-244.39689999999999</v>
      </c>
      <c r="K2183">
        <v>1.108889</v>
      </c>
      <c r="L2183">
        <v>284.09589999999997</v>
      </c>
      <c r="M2183">
        <v>-0.99990809999999997</v>
      </c>
      <c r="N2183">
        <v>-4.8193639999999996E-3</v>
      </c>
      <c r="O2183">
        <v>1.2675229999999999E-2</v>
      </c>
      <c r="P2183">
        <v>-0.92670540000000001</v>
      </c>
      <c r="Q2183">
        <v>0.36601020000000001</v>
      </c>
      <c r="R2183">
        <v>-8.5170919999999997E-2</v>
      </c>
      <c r="S2183">
        <v>-3.3349609999999998</v>
      </c>
      <c r="T2183">
        <v>-0.27258729999999998</v>
      </c>
      <c r="U2183">
        <v>-0.1117249</v>
      </c>
      <c r="V2183">
        <v>-9.6487370000000003E-2</v>
      </c>
      <c r="W2183">
        <v>0.37057679999999998</v>
      </c>
      <c r="X2183">
        <v>0.9237765</v>
      </c>
      <c r="Y2183">
        <v>-4.5948360000000001E-2</v>
      </c>
      <c r="Z2183">
        <v>-2.9581970000000001E-3</v>
      </c>
      <c r="AA2183">
        <v>0.99893949999999998</v>
      </c>
      <c r="AB2183">
        <v>39</v>
      </c>
      <c r="AC2183">
        <v>-13.324299999999999</v>
      </c>
      <c r="AD2183">
        <v>-1.1088864279440001</v>
      </c>
      <c r="AE2183">
        <v>-0.45759999999995599</v>
      </c>
      <c r="AF2183">
        <v>-0.62214979729527897</v>
      </c>
      <c r="AG2183">
        <v>-1.1088864279440001</v>
      </c>
      <c r="AH2183">
        <v>13.2259338269205</v>
      </c>
      <c r="AI2183">
        <v>94.787304920764697</v>
      </c>
      <c r="AJ2183">
        <v>92.693216246662601</v>
      </c>
      <c r="AK2183">
        <v>13.2869117959906</v>
      </c>
      <c r="AL2183">
        <v>68.248805565836406</v>
      </c>
      <c r="AM2183">
        <v>95.962855536393306</v>
      </c>
      <c r="AN2183">
        <v>0.99999999961000297</v>
      </c>
    </row>
    <row r="2184" spans="1:40" x14ac:dyDescent="0.25">
      <c r="A2184" t="str">
        <f>"20190304164133543"</f>
        <v>20190304164133543</v>
      </c>
      <c r="B2184" t="str">
        <f>"1551688893533510"</f>
        <v>1551688893533510</v>
      </c>
      <c r="C2184" t="s">
        <v>40</v>
      </c>
      <c r="D2184">
        <v>4.1526449999999997</v>
      </c>
      <c r="E2184">
        <v>0.5315626</v>
      </c>
      <c r="F2184" t="s">
        <v>46</v>
      </c>
      <c r="G2184">
        <v>-257.94810000000001</v>
      </c>
      <c r="H2184" s="1">
        <v>2.6927780000000001E-6</v>
      </c>
      <c r="I2184">
        <v>283.65210000000002</v>
      </c>
      <c r="J2184">
        <v>-244.73660000000001</v>
      </c>
      <c r="K2184">
        <v>1.108878</v>
      </c>
      <c r="L2184">
        <v>284.10050000000001</v>
      </c>
      <c r="M2184">
        <v>-0.99990310000000004</v>
      </c>
      <c r="N2184">
        <v>-4.8497490000000004E-3</v>
      </c>
      <c r="O2184">
        <v>1.3048189999999999E-2</v>
      </c>
      <c r="P2184">
        <v>-0.92712740000000005</v>
      </c>
      <c r="Q2184">
        <v>0.36500949999999999</v>
      </c>
      <c r="R2184">
        <v>-8.4870399999999999E-2</v>
      </c>
      <c r="S2184">
        <v>-3.3350070000000001</v>
      </c>
      <c r="T2184">
        <v>-0.27290300000000001</v>
      </c>
      <c r="U2184">
        <v>-0.1092224</v>
      </c>
      <c r="V2184">
        <v>-9.6537200000000004E-2</v>
      </c>
      <c r="W2184">
        <v>0.36960670000000001</v>
      </c>
      <c r="X2184">
        <v>0.92415990000000003</v>
      </c>
      <c r="Y2184">
        <v>-4.5571510000000003E-2</v>
      </c>
      <c r="Z2184">
        <v>-2.9742140000000002E-3</v>
      </c>
      <c r="AA2184">
        <v>0.99895670000000003</v>
      </c>
      <c r="AB2184">
        <v>40</v>
      </c>
      <c r="AC2184">
        <v>-13.211499999999999</v>
      </c>
      <c r="AD2184">
        <v>-1.1088753072219999</v>
      </c>
      <c r="AE2184">
        <v>-0.44839999999999203</v>
      </c>
      <c r="AF2184">
        <v>-0.61641258510353503</v>
      </c>
      <c r="AG2184">
        <v>-1.1088753072219999</v>
      </c>
      <c r="AH2184">
        <v>13.112259021267599</v>
      </c>
      <c r="AI2184">
        <v>94.828570873498293</v>
      </c>
      <c r="AJ2184">
        <v>92.691516140404602</v>
      </c>
      <c r="AK2184">
        <v>13.1734925347402</v>
      </c>
      <c r="AL2184">
        <v>68.308637230604504</v>
      </c>
      <c r="AM2184">
        <v>95.963455594634198</v>
      </c>
      <c r="AN2184">
        <v>1.00000003221836</v>
      </c>
    </row>
    <row r="2185" spans="1:40" x14ac:dyDescent="0.25">
      <c r="A2185" t="str">
        <f>"20190304164133563"</f>
        <v>20190304164133563</v>
      </c>
      <c r="B2185" t="str">
        <f>"1551688893553030"</f>
        <v>1551688893553030</v>
      </c>
      <c r="C2185" t="s">
        <v>40</v>
      </c>
      <c r="D2185">
        <v>4.1452679999999997</v>
      </c>
      <c r="E2185">
        <v>0.530053199999999</v>
      </c>
      <c r="F2185" t="s">
        <v>46</v>
      </c>
      <c r="G2185">
        <v>-258.20339999999999</v>
      </c>
      <c r="H2185" s="1">
        <v>2.8286720000000002E-6</v>
      </c>
      <c r="I2185">
        <v>283.66250000000002</v>
      </c>
      <c r="J2185">
        <v>-245.11019999999999</v>
      </c>
      <c r="K2185">
        <v>1.1088690000000001</v>
      </c>
      <c r="L2185">
        <v>284.10570000000001</v>
      </c>
      <c r="M2185">
        <v>-0.9998977</v>
      </c>
      <c r="N2185">
        <v>-4.8825309999999999E-3</v>
      </c>
      <c r="O2185">
        <v>1.345475E-2</v>
      </c>
      <c r="P2185">
        <v>-0.92733080000000001</v>
      </c>
      <c r="Q2185">
        <v>0.36454449999999999</v>
      </c>
      <c r="R2185">
        <v>-8.4647169999999994E-2</v>
      </c>
      <c r="S2185">
        <v>-3.3339539999999999</v>
      </c>
      <c r="T2185">
        <v>-0.27452159999999998</v>
      </c>
      <c r="U2185">
        <v>-0.108429</v>
      </c>
      <c r="V2185">
        <v>-9.6693089999999995E-2</v>
      </c>
      <c r="W2185">
        <v>0.36917280000000002</v>
      </c>
      <c r="X2185">
        <v>0.92431700000000006</v>
      </c>
      <c r="Y2185">
        <v>-4.5746160000000001E-2</v>
      </c>
      <c r="Z2185">
        <v>-3.0318110000000001E-3</v>
      </c>
      <c r="AA2185">
        <v>0.99894850000000002</v>
      </c>
      <c r="AB2185">
        <v>40</v>
      </c>
      <c r="AC2185">
        <v>-13.0931999999999</v>
      </c>
      <c r="AD2185">
        <v>-1.1088661713279999</v>
      </c>
      <c r="AE2185">
        <v>-0.44319999999998999</v>
      </c>
      <c r="AF2185">
        <v>-0.61492224628265801</v>
      </c>
      <c r="AG2185">
        <v>-1.1088661713279999</v>
      </c>
      <c r="AH2185">
        <v>12.9929670053411</v>
      </c>
      <c r="AI2185">
        <v>94.872578551290005</v>
      </c>
      <c r="AJ2185">
        <v>92.709633550009301</v>
      </c>
      <c r="AK2185">
        <v>13.0546890103431</v>
      </c>
      <c r="AL2185">
        <v>68.335389534956093</v>
      </c>
      <c r="AM2185">
        <v>95.972008069699896</v>
      </c>
      <c r="AN2185">
        <v>1.0000000132012901</v>
      </c>
    </row>
    <row r="2186" spans="1:40" x14ac:dyDescent="0.25">
      <c r="A2186" t="str">
        <f>"20190304164133576"</f>
        <v>20190304164133576</v>
      </c>
      <c r="B2186" t="str">
        <f>"1551688893562790"</f>
        <v>1551688893562790</v>
      </c>
      <c r="C2186" t="s">
        <v>40</v>
      </c>
      <c r="D2186">
        <v>4.1167579999999999</v>
      </c>
      <c r="E2186">
        <v>0.53011350000000002</v>
      </c>
      <c r="F2186" t="s">
        <v>46</v>
      </c>
      <c r="G2186">
        <v>-261.00319999999999</v>
      </c>
      <c r="H2186" s="1">
        <v>-1.0029369999999999E-6</v>
      </c>
      <c r="I2186">
        <v>283.54829999999998</v>
      </c>
      <c r="J2186">
        <v>-245.3475</v>
      </c>
      <c r="K2186">
        <v>1.1088750000000001</v>
      </c>
      <c r="L2186">
        <v>284.10910000000001</v>
      </c>
      <c r="M2186">
        <v>-0.99989399999999995</v>
      </c>
      <c r="N2186">
        <v>-4.9030009999999997E-3</v>
      </c>
      <c r="O2186">
        <v>1.3709509999999999E-2</v>
      </c>
      <c r="P2186">
        <v>-0.92750750000000004</v>
      </c>
      <c r="Q2186">
        <v>0.36405280000000001</v>
      </c>
      <c r="R2186">
        <v>-8.4824159999999996E-2</v>
      </c>
      <c r="S2186">
        <v>-3.3154140000000001</v>
      </c>
      <c r="T2186">
        <v>-0.2313201</v>
      </c>
      <c r="U2186">
        <v>-0.116272</v>
      </c>
      <c r="V2186">
        <v>-9.7109710000000002E-2</v>
      </c>
      <c r="W2186">
        <v>0.36870170000000002</v>
      </c>
      <c r="X2186">
        <v>0.92446130000000004</v>
      </c>
      <c r="Y2186">
        <v>-4.8591450000000001E-2</v>
      </c>
      <c r="Z2186">
        <v>-2.6998669999999999E-3</v>
      </c>
      <c r="AA2186">
        <v>0.99881509999999996</v>
      </c>
      <c r="AB2186">
        <v>40</v>
      </c>
      <c r="AC2186">
        <v>-15.6556999999999</v>
      </c>
      <c r="AD2186">
        <v>-1.1088760029369999</v>
      </c>
      <c r="AE2186">
        <v>-0.56080000000002805</v>
      </c>
      <c r="AF2186">
        <v>-0.77151631891189498</v>
      </c>
      <c r="AG2186">
        <v>-1.1088760029369999</v>
      </c>
      <c r="AH2186">
        <v>15.568537154162099</v>
      </c>
      <c r="AI2186">
        <v>94.069060911406794</v>
      </c>
      <c r="AJ2186">
        <v>92.837035724265505</v>
      </c>
      <c r="AK2186">
        <v>15.6270340289116</v>
      </c>
      <c r="AL2186">
        <v>68.364429232296402</v>
      </c>
      <c r="AM2186">
        <v>95.996623070083999</v>
      </c>
      <c r="AN2186">
        <v>0.99999996727843099</v>
      </c>
    </row>
    <row r="2187" spans="1:40" x14ac:dyDescent="0.25">
      <c r="A2187" t="str">
        <f>"20190304164133590"</f>
        <v>20190304164133590</v>
      </c>
      <c r="B2187" t="str">
        <f>"1551688893583286"</f>
        <v>1551688893583286</v>
      </c>
      <c r="C2187" t="s">
        <v>40</v>
      </c>
      <c r="D2187">
        <v>4.0987790000000004</v>
      </c>
      <c r="E2187">
        <v>0.52988539999999995</v>
      </c>
      <c r="F2187" t="s">
        <v>46</v>
      </c>
      <c r="G2187">
        <v>-261.16030000000001</v>
      </c>
      <c r="H2187" s="1">
        <v>-9.1932119999999996E-7</v>
      </c>
      <c r="I2187">
        <v>283.5521</v>
      </c>
      <c r="J2187">
        <v>-245.57810000000001</v>
      </c>
      <c r="K2187">
        <v>1.108876</v>
      </c>
      <c r="L2187">
        <v>284.11239999999998</v>
      </c>
      <c r="M2187">
        <v>-0.99989059999999996</v>
      </c>
      <c r="N2187">
        <v>-4.9226549999999997E-3</v>
      </c>
      <c r="O2187">
        <v>1.395325E-2</v>
      </c>
      <c r="P2187">
        <v>-0.92769849999999998</v>
      </c>
      <c r="Q2187">
        <v>0.36349330000000002</v>
      </c>
      <c r="R2187">
        <v>-8.5138699999999998E-2</v>
      </c>
      <c r="S2187">
        <v>-3.315048</v>
      </c>
      <c r="T2187">
        <v>-0.2324686</v>
      </c>
      <c r="U2187">
        <v>-0.1167603</v>
      </c>
      <c r="V2187">
        <v>-9.7654589999999999E-2</v>
      </c>
      <c r="W2187">
        <v>0.36816090000000001</v>
      </c>
      <c r="X2187">
        <v>0.92461939999999998</v>
      </c>
      <c r="Y2187">
        <v>-4.8982589999999999E-2</v>
      </c>
      <c r="Z2187">
        <v>-2.7440049999999999E-3</v>
      </c>
      <c r="AA2187">
        <v>0.99879589999999996</v>
      </c>
      <c r="AB2187">
        <v>40</v>
      </c>
      <c r="AC2187">
        <v>-15.5822</v>
      </c>
      <c r="AD2187">
        <v>-1.1088769193212</v>
      </c>
      <c r="AE2187">
        <v>-0.56029999999998303</v>
      </c>
      <c r="AF2187">
        <v>-0.77375701927241103</v>
      </c>
      <c r="AG2187">
        <v>-1.1088769193212</v>
      </c>
      <c r="AH2187">
        <v>15.4944993041433</v>
      </c>
      <c r="AI2187">
        <v>94.088364703052505</v>
      </c>
      <c r="AJ2187">
        <v>92.858834856667698</v>
      </c>
      <c r="AK2187">
        <v>15.5533860182654</v>
      </c>
      <c r="AL2187">
        <v>68.397759035041702</v>
      </c>
      <c r="AM2187">
        <v>96.028999267363204</v>
      </c>
      <c r="AN2187">
        <v>0.99999995104661699</v>
      </c>
    </row>
    <row r="2188" spans="1:40" x14ac:dyDescent="0.25">
      <c r="A2188" t="str">
        <f>"20190304164133609"</f>
        <v>20190304164133609</v>
      </c>
      <c r="B2188" t="str">
        <f>"1551688893602806"</f>
        <v>1551688893602806</v>
      </c>
      <c r="C2188" t="s">
        <v>40</v>
      </c>
      <c r="D2188">
        <v>4.0690679999999997</v>
      </c>
      <c r="E2188">
        <v>0.52985199999999999</v>
      </c>
      <c r="F2188" t="s">
        <v>46</v>
      </c>
      <c r="G2188">
        <v>-261.34399999999999</v>
      </c>
      <c r="H2188" s="1">
        <v>-8.2155869999999905E-7</v>
      </c>
      <c r="I2188">
        <v>283.54169999999999</v>
      </c>
      <c r="J2188">
        <v>-245.93260000000001</v>
      </c>
      <c r="K2188">
        <v>1.108884</v>
      </c>
      <c r="L2188">
        <v>284.11759999999998</v>
      </c>
      <c r="M2188">
        <v>-0.99988540000000004</v>
      </c>
      <c r="N2188">
        <v>-4.952461E-3</v>
      </c>
      <c r="O2188">
        <v>1.4318239999999999E-2</v>
      </c>
      <c r="P2188">
        <v>-0.92792649999999999</v>
      </c>
      <c r="Q2188">
        <v>0.3627417</v>
      </c>
      <c r="R2188">
        <v>-8.5856260000000004E-2</v>
      </c>
      <c r="S2188">
        <v>-3.314133</v>
      </c>
      <c r="T2188">
        <v>-0.2330952</v>
      </c>
      <c r="U2188">
        <v>-0.1199646</v>
      </c>
      <c r="V2188">
        <v>-9.8720089999999996E-2</v>
      </c>
      <c r="W2188">
        <v>0.36743769999999998</v>
      </c>
      <c r="X2188">
        <v>0.924794</v>
      </c>
      <c r="Y2188">
        <v>-5.0316079999999999E-2</v>
      </c>
      <c r="Z2188">
        <v>-2.8262180000000001E-3</v>
      </c>
      <c r="AA2188">
        <v>0.99872930000000004</v>
      </c>
      <c r="AB2188">
        <v>40</v>
      </c>
      <c r="AC2188">
        <v>-15.411399999999899</v>
      </c>
      <c r="AD2188">
        <v>-1.1088848215586999</v>
      </c>
      <c r="AE2188">
        <v>-0.57589999999998998</v>
      </c>
      <c r="AF2188">
        <v>-0.79241106269574302</v>
      </c>
      <c r="AG2188">
        <v>-1.1088848215586999</v>
      </c>
      <c r="AH2188">
        <v>15.322358986528</v>
      </c>
      <c r="AI2188">
        <v>94.133795332075195</v>
      </c>
      <c r="AJ2188">
        <v>92.960470905171206</v>
      </c>
      <c r="AK2188">
        <v>15.382854928517</v>
      </c>
      <c r="AL2188">
        <v>68.442320560885094</v>
      </c>
      <c r="AM2188">
        <v>96.093146778457793</v>
      </c>
      <c r="AN2188">
        <v>1.00000003099344</v>
      </c>
    </row>
    <row r="2189" spans="1:40" x14ac:dyDescent="0.25">
      <c r="A2189" t="str">
        <f>"20190304164133622"</f>
        <v>20190304164133622</v>
      </c>
      <c r="B2189" t="str">
        <f>"1551688893613543"</f>
        <v>1551688893613543</v>
      </c>
      <c r="C2189" t="s">
        <v>40</v>
      </c>
      <c r="D2189">
        <v>4.0763920000000002</v>
      </c>
      <c r="E2189">
        <v>0.52989209999999998</v>
      </c>
      <c r="F2189" t="s">
        <v>46</v>
      </c>
      <c r="G2189">
        <v>-261.63049999999998</v>
      </c>
      <c r="H2189" s="1">
        <v>-6.6912990000000002E-7</v>
      </c>
      <c r="I2189">
        <v>283.54079999999999</v>
      </c>
      <c r="J2189">
        <v>-246.16040000000001</v>
      </c>
      <c r="K2189">
        <v>1.1088899999999999</v>
      </c>
      <c r="L2189">
        <v>284.12099999999998</v>
      </c>
      <c r="M2189">
        <v>-0.99988189999999999</v>
      </c>
      <c r="N2189">
        <v>-4.9713969999999998E-3</v>
      </c>
      <c r="O2189">
        <v>1.454592E-2</v>
      </c>
      <c r="P2189">
        <v>-0.92800300000000002</v>
      </c>
      <c r="Q2189">
        <v>0.36239179999999999</v>
      </c>
      <c r="R2189">
        <v>-8.6502860000000001E-2</v>
      </c>
      <c r="S2189">
        <v>-3.3132169999999999</v>
      </c>
      <c r="T2189">
        <v>-0.23404340000000001</v>
      </c>
      <c r="U2189">
        <v>-0.1217346</v>
      </c>
      <c r="V2189">
        <v>-9.9584740000000005E-2</v>
      </c>
      <c r="W2189">
        <v>0.36710549999999997</v>
      </c>
      <c r="X2189">
        <v>0.92483320000000002</v>
      </c>
      <c r="Y2189">
        <v>-5.108236E-2</v>
      </c>
      <c r="Z2189">
        <v>-2.8822769999999999E-3</v>
      </c>
      <c r="AA2189">
        <v>0.99869030000000003</v>
      </c>
      <c r="AB2189">
        <v>40</v>
      </c>
      <c r="AC2189">
        <v>-15.470099999999899</v>
      </c>
      <c r="AD2189">
        <v>-1.1088906691299001</v>
      </c>
      <c r="AE2189">
        <v>-0.58019999999998995</v>
      </c>
      <c r="AF2189">
        <v>-0.80105819140342904</v>
      </c>
      <c r="AG2189">
        <v>-1.1088906691299001</v>
      </c>
      <c r="AH2189">
        <v>15.381107016011001</v>
      </c>
      <c r="AI2189">
        <v>94.118004935579606</v>
      </c>
      <c r="AJ2189">
        <v>92.981308413391105</v>
      </c>
      <c r="AK2189">
        <v>15.4418193805031</v>
      </c>
      <c r="AL2189">
        <v>68.462783840923393</v>
      </c>
      <c r="AM2189">
        <v>96.145849012066904</v>
      </c>
      <c r="AN2189">
        <v>1.00000000819667</v>
      </c>
    </row>
    <row r="2190" spans="1:40" x14ac:dyDescent="0.25">
      <c r="A2190" t="str">
        <f>"20190304164133635"</f>
        <v>20190304164133635</v>
      </c>
      <c r="B2190" t="str">
        <f>"1551688893623303"</f>
        <v>1551688893623303</v>
      </c>
      <c r="C2190" t="s">
        <v>40</v>
      </c>
      <c r="D2190">
        <v>4.0736999999999997</v>
      </c>
      <c r="E2190">
        <v>0.52986069999999996</v>
      </c>
      <c r="F2190" t="s">
        <v>46</v>
      </c>
      <c r="G2190">
        <v>-261.82389999999998</v>
      </c>
      <c r="H2190" s="1">
        <v>-5.662125E-7</v>
      </c>
      <c r="I2190">
        <v>283.5401</v>
      </c>
      <c r="J2190">
        <v>-246.3811</v>
      </c>
      <c r="K2190">
        <v>1.108895</v>
      </c>
      <c r="L2190">
        <v>284.12439999999998</v>
      </c>
      <c r="M2190">
        <v>-0.99987870000000001</v>
      </c>
      <c r="N2190">
        <v>-4.989439E-3</v>
      </c>
      <c r="O2190">
        <v>1.4755539999999999E-2</v>
      </c>
      <c r="P2190">
        <v>-0.92791299999999999</v>
      </c>
      <c r="Q2190">
        <v>0.3624887</v>
      </c>
      <c r="R2190">
        <v>-8.706084E-2</v>
      </c>
      <c r="S2190">
        <v>-3.312897</v>
      </c>
      <c r="T2190">
        <v>-0.2345353</v>
      </c>
      <c r="U2190">
        <v>-0.1228638</v>
      </c>
      <c r="V2190">
        <v>-0.100342</v>
      </c>
      <c r="W2190">
        <v>0.36721680000000001</v>
      </c>
      <c r="X2190">
        <v>0.92470719999999995</v>
      </c>
      <c r="Y2190">
        <v>-5.163251E-2</v>
      </c>
      <c r="Z2190">
        <v>-2.9232540000000001E-3</v>
      </c>
      <c r="AA2190">
        <v>0.99866189999999999</v>
      </c>
      <c r="AB2190">
        <v>40</v>
      </c>
      <c r="AC2190">
        <v>-15.442799999999901</v>
      </c>
      <c r="AD2190">
        <v>-1.1088955662125</v>
      </c>
      <c r="AE2190">
        <v>-0.58429999999998405</v>
      </c>
      <c r="AF2190">
        <v>-0.80794610080907703</v>
      </c>
      <c r="AG2190">
        <v>-1.1088955662125</v>
      </c>
      <c r="AH2190">
        <v>15.353444787852199</v>
      </c>
      <c r="AI2190">
        <v>94.125300456970095</v>
      </c>
      <c r="AJ2190">
        <v>93.012303932699197</v>
      </c>
      <c r="AK2190">
        <v>15.414625948501101</v>
      </c>
      <c r="AL2190">
        <v>68.455928945655501</v>
      </c>
      <c r="AM2190">
        <v>96.193058623553299</v>
      </c>
      <c r="AN2190">
        <v>1.0000000504490301</v>
      </c>
    </row>
    <row r="2191" spans="1:40" x14ac:dyDescent="0.25">
      <c r="A2191" t="str">
        <f>"20190304164133655"</f>
        <v>20190304164133655</v>
      </c>
      <c r="B2191" t="str">
        <f>"1551688893642822"</f>
        <v>1551688893642822</v>
      </c>
      <c r="C2191" t="s">
        <v>40</v>
      </c>
      <c r="D2191">
        <v>4.082897</v>
      </c>
      <c r="E2191">
        <v>0.53025230000000001</v>
      </c>
      <c r="F2191" t="s">
        <v>46</v>
      </c>
      <c r="G2191">
        <v>-262.07049999999998</v>
      </c>
      <c r="H2191" s="1">
        <v>-4.349691E-7</v>
      </c>
      <c r="I2191">
        <v>283.53539999999998</v>
      </c>
      <c r="J2191">
        <v>-246.7388</v>
      </c>
      <c r="K2191">
        <v>1.1089059999999999</v>
      </c>
      <c r="L2191">
        <v>284.12990000000002</v>
      </c>
      <c r="M2191">
        <v>-0.99987360000000003</v>
      </c>
      <c r="N2191">
        <v>-5.0184359999999898E-3</v>
      </c>
      <c r="O2191">
        <v>1.5081860000000001E-2</v>
      </c>
      <c r="P2191">
        <v>-0.92765419999999998</v>
      </c>
      <c r="Q2191">
        <v>0.36287989999999998</v>
      </c>
      <c r="R2191">
        <v>-8.8181209999999996E-2</v>
      </c>
      <c r="S2191">
        <v>-3.312881</v>
      </c>
      <c r="T2191">
        <v>-0.23414740000000001</v>
      </c>
      <c r="U2191">
        <v>-0.1243591</v>
      </c>
      <c r="V2191">
        <v>-0.1017733</v>
      </c>
      <c r="W2191">
        <v>0.3676315</v>
      </c>
      <c r="X2191">
        <v>0.92438589999999998</v>
      </c>
      <c r="Y2191">
        <v>-5.240653E-2</v>
      </c>
      <c r="Z2191">
        <v>-2.969485E-3</v>
      </c>
      <c r="AA2191">
        <v>0.99862139999999999</v>
      </c>
      <c r="AB2191">
        <v>40</v>
      </c>
      <c r="AC2191">
        <v>-15.3316999999999</v>
      </c>
      <c r="AD2191">
        <v>-1.1089064349691</v>
      </c>
      <c r="AE2191">
        <v>-0.594500000000039</v>
      </c>
      <c r="AF2191">
        <v>-0.82137545567846804</v>
      </c>
      <c r="AG2191">
        <v>-1.1089064349691</v>
      </c>
      <c r="AH2191">
        <v>15.2413774503935</v>
      </c>
      <c r="AI2191">
        <v>94.1552889735527</v>
      </c>
      <c r="AJ2191">
        <v>93.084751819387407</v>
      </c>
      <c r="AK2191">
        <v>15.3037223480456</v>
      </c>
      <c r="AL2191">
        <v>68.430380471473697</v>
      </c>
      <c r="AM2191">
        <v>96.282862282635193</v>
      </c>
      <c r="AN2191">
        <v>1.00000000825197</v>
      </c>
    </row>
    <row r="2192" spans="1:40" x14ac:dyDescent="0.25">
      <c r="A2192" t="str">
        <f>"20190304164133676"</f>
        <v>20190304164133676</v>
      </c>
      <c r="B2192" t="str">
        <f>"1551688893663319"</f>
        <v>1551688893663319</v>
      </c>
      <c r="C2192" t="s">
        <v>40</v>
      </c>
      <c r="D2192">
        <v>4.0430919999999997</v>
      </c>
      <c r="E2192">
        <v>0.53019490000000002</v>
      </c>
      <c r="F2192" t="s">
        <v>46</v>
      </c>
      <c r="G2192">
        <v>-260.37990000000002</v>
      </c>
      <c r="H2192" s="1">
        <v>-1.3346370000000001E-6</v>
      </c>
      <c r="I2192">
        <v>283.60829999999999</v>
      </c>
      <c r="J2192">
        <v>-247.12620000000001</v>
      </c>
      <c r="K2192">
        <v>1.108916</v>
      </c>
      <c r="L2192">
        <v>284.13589999999999</v>
      </c>
      <c r="M2192">
        <v>-0.9998686</v>
      </c>
      <c r="N2192">
        <v>-5.0494370000000004E-3</v>
      </c>
      <c r="O2192">
        <v>1.540762E-2</v>
      </c>
      <c r="P2192">
        <v>-0.92750980000000005</v>
      </c>
      <c r="Q2192">
        <v>0.36302509999999999</v>
      </c>
      <c r="R2192">
        <v>-8.9098739999999996E-2</v>
      </c>
      <c r="S2192">
        <v>-3.3276979999999998</v>
      </c>
      <c r="T2192">
        <v>-0.27051380000000003</v>
      </c>
      <c r="U2192">
        <v>-0.1272278</v>
      </c>
      <c r="V2192">
        <v>-0.1030075</v>
      </c>
      <c r="W2192">
        <v>0.36780089999999999</v>
      </c>
      <c r="X2192">
        <v>0.92418180000000005</v>
      </c>
      <c r="Y2192">
        <v>-5.3365669999999997E-2</v>
      </c>
      <c r="Z2192">
        <v>-3.4721489999999999E-3</v>
      </c>
      <c r="AA2192">
        <v>0.99856900000000004</v>
      </c>
      <c r="AB2192">
        <v>40</v>
      </c>
      <c r="AC2192">
        <v>-13.2537</v>
      </c>
      <c r="AD2192">
        <v>-1.108917334637</v>
      </c>
      <c r="AE2192">
        <v>-0.52760000000000595</v>
      </c>
      <c r="AF2192">
        <v>-0.72666899590137901</v>
      </c>
      <c r="AG2192">
        <v>-1.108917334637</v>
      </c>
      <c r="AH2192">
        <v>13.152073161446699</v>
      </c>
      <c r="AI2192">
        <v>94.812190873654799</v>
      </c>
      <c r="AJ2192">
        <v>93.162450281700202</v>
      </c>
      <c r="AK2192">
        <v>13.218728150949699</v>
      </c>
      <c r="AL2192">
        <v>68.419943659809405</v>
      </c>
      <c r="AM2192">
        <v>96.359826637298099</v>
      </c>
      <c r="AN2192">
        <v>1.0000000232741499</v>
      </c>
    </row>
    <row r="2193" spans="1:40" x14ac:dyDescent="0.25">
      <c r="A2193" t="str">
        <f>"20190304164133699"</f>
        <v>20190304164133699</v>
      </c>
      <c r="B2193" t="str">
        <f>"1551688893693575"</f>
        <v>1551688893693575</v>
      </c>
      <c r="C2193" t="s">
        <v>40</v>
      </c>
      <c r="D2193">
        <v>4.7834000000000003</v>
      </c>
      <c r="E2193">
        <v>0.52946629999999995</v>
      </c>
      <c r="F2193" t="s">
        <v>46</v>
      </c>
      <c r="G2193">
        <v>-260.935</v>
      </c>
      <c r="H2193" s="1">
        <v>-1.039247E-6</v>
      </c>
      <c r="I2193">
        <v>283.59589999999997</v>
      </c>
      <c r="J2193">
        <v>-247.5378</v>
      </c>
      <c r="K2193">
        <v>1.108938</v>
      </c>
      <c r="L2193">
        <v>284.14240000000001</v>
      </c>
      <c r="M2193">
        <v>-0.99986359999999996</v>
      </c>
      <c r="N2193">
        <v>-5.081889E-3</v>
      </c>
      <c r="O2193">
        <v>1.5716709999999998E-2</v>
      </c>
      <c r="P2193">
        <v>-0.92742639999999998</v>
      </c>
      <c r="Q2193">
        <v>0.36303010000000002</v>
      </c>
      <c r="R2193">
        <v>-8.9942159999999993E-2</v>
      </c>
      <c r="S2193">
        <v>-3.326508</v>
      </c>
      <c r="T2193">
        <v>-0.26713540000000002</v>
      </c>
      <c r="U2193">
        <v>-0.1300964</v>
      </c>
      <c r="V2193">
        <v>-0.1041598</v>
      </c>
      <c r="W2193">
        <v>0.36782969999999998</v>
      </c>
      <c r="X2193">
        <v>0.92404120000000001</v>
      </c>
      <c r="Y2193">
        <v>-5.454838E-2</v>
      </c>
      <c r="Z2193">
        <v>-3.5047630000000001E-3</v>
      </c>
      <c r="AA2193">
        <v>0.99850499999999998</v>
      </c>
      <c r="AB2193">
        <v>40</v>
      </c>
      <c r="AC2193">
        <v>-13.3971999999999</v>
      </c>
      <c r="AD2193">
        <v>-1.108939039247</v>
      </c>
      <c r="AE2193">
        <v>-0.54650000000003696</v>
      </c>
      <c r="AF2193">
        <v>-0.75185233946044405</v>
      </c>
      <c r="AG2193">
        <v>-1.108939039247</v>
      </c>
      <c r="AH2193">
        <v>13.2960092990718</v>
      </c>
      <c r="AI2193">
        <v>94.760087695658598</v>
      </c>
      <c r="AJ2193">
        <v>93.236470251803496</v>
      </c>
      <c r="AK2193">
        <v>13.363341311742399</v>
      </c>
      <c r="AL2193">
        <v>68.418169654637893</v>
      </c>
      <c r="AM2193">
        <v>96.431348817470294</v>
      </c>
      <c r="AN2193">
        <v>1.00000004571778</v>
      </c>
    </row>
    <row r="2194" spans="1:40" x14ac:dyDescent="0.25">
      <c r="A2194" t="str">
        <f>"20190304164133712"</f>
        <v>20190304164133712</v>
      </c>
      <c r="B2194" t="str">
        <f>"1551688893703335"</f>
        <v>1551688893703335</v>
      </c>
      <c r="C2194" t="s">
        <v>40</v>
      </c>
      <c r="D2194">
        <v>4.0039669999999896</v>
      </c>
      <c r="E2194">
        <v>0.52960319999999905</v>
      </c>
      <c r="F2194" t="s">
        <v>46</v>
      </c>
      <c r="G2194">
        <v>-263.94229999999999</v>
      </c>
      <c r="H2194" s="1">
        <v>5.611016E-7</v>
      </c>
      <c r="I2194">
        <v>283.47710000000001</v>
      </c>
      <c r="J2194">
        <v>-247.77799999999999</v>
      </c>
      <c r="K2194">
        <v>1.1089610000000001</v>
      </c>
      <c r="L2194">
        <v>284.1463</v>
      </c>
      <c r="M2194">
        <v>-0.99986109999999995</v>
      </c>
      <c r="N2194">
        <v>-5.1006559999999899E-3</v>
      </c>
      <c r="O2194">
        <v>1.587291E-2</v>
      </c>
      <c r="P2194">
        <v>-0.92745820000000001</v>
      </c>
      <c r="Q2194">
        <v>0.36288720000000002</v>
      </c>
      <c r="R2194">
        <v>-9.0189889999999995E-2</v>
      </c>
      <c r="S2194">
        <v>-3.3093110000000001</v>
      </c>
      <c r="T2194">
        <v>-0.2237074</v>
      </c>
      <c r="U2194">
        <v>-0.13421629999999901</v>
      </c>
      <c r="V2194">
        <v>-0.1045696</v>
      </c>
      <c r="W2194">
        <v>0.36769980000000002</v>
      </c>
      <c r="X2194">
        <v>0.92404660000000005</v>
      </c>
      <c r="Y2194">
        <v>-5.6210129999999997E-2</v>
      </c>
      <c r="Z2194">
        <v>-3.031082E-3</v>
      </c>
      <c r="AA2194">
        <v>0.99841429999999998</v>
      </c>
      <c r="AB2194">
        <v>40</v>
      </c>
      <c r="AC2194">
        <v>-16.164299999999901</v>
      </c>
      <c r="AD2194">
        <v>-1.1089604388984</v>
      </c>
      <c r="AE2194">
        <v>-0.66919999999998903</v>
      </c>
      <c r="AF2194">
        <v>-0.92136430013383996</v>
      </c>
      <c r="AG2194">
        <v>-1.1089604388984</v>
      </c>
      <c r="AH2194">
        <v>16.076104989744501</v>
      </c>
      <c r="AI2194">
        <v>93.939676363657696</v>
      </c>
      <c r="AJ2194">
        <v>93.280185012149204</v>
      </c>
      <c r="AK2194">
        <v>16.140627530238401</v>
      </c>
      <c r="AL2194">
        <v>68.426172958567605</v>
      </c>
      <c r="AM2194">
        <v>96.456401268689305</v>
      </c>
      <c r="AN2194">
        <v>1.0000000315678701</v>
      </c>
    </row>
    <row r="2195" spans="1:40" x14ac:dyDescent="0.25">
      <c r="A2195" t="str">
        <f>"20190304164133725"</f>
        <v>20190304164133725</v>
      </c>
      <c r="B2195" t="str">
        <f>"1551688893713095"</f>
        <v>1551688893713095</v>
      </c>
      <c r="C2195" t="s">
        <v>40</v>
      </c>
      <c r="D2195">
        <v>4.7875829999999997</v>
      </c>
      <c r="E2195">
        <v>0.53000499999999995</v>
      </c>
      <c r="F2195" t="s">
        <v>46</v>
      </c>
      <c r="G2195">
        <v>-264.49950000000001</v>
      </c>
      <c r="H2195" s="1">
        <v>8.5759629999999998E-7</v>
      </c>
      <c r="I2195">
        <v>283.47570000000002</v>
      </c>
      <c r="J2195">
        <v>-248.0198</v>
      </c>
      <c r="K2195">
        <v>1.1089800000000001</v>
      </c>
      <c r="L2195">
        <v>284.15019999999998</v>
      </c>
      <c r="M2195">
        <v>-0.99985869999999999</v>
      </c>
      <c r="N2195">
        <v>-5.1194559999999997E-3</v>
      </c>
      <c r="O2195">
        <v>1.6017130000000001E-2</v>
      </c>
      <c r="P2195">
        <v>-0.92742910000000001</v>
      </c>
      <c r="Q2195">
        <v>0.36291329999999999</v>
      </c>
      <c r="R2195">
        <v>-9.0386240000000007E-2</v>
      </c>
      <c r="S2195">
        <v>-3.3075869999999998</v>
      </c>
      <c r="T2195">
        <v>-0.21935830000000001</v>
      </c>
      <c r="U2195">
        <v>-0.1326599</v>
      </c>
      <c r="V2195">
        <v>-0.10491689999999999</v>
      </c>
      <c r="W2195">
        <v>0.36773790000000001</v>
      </c>
      <c r="X2195">
        <v>0.92399200000000004</v>
      </c>
      <c r="Y2195">
        <v>-5.591281E-2</v>
      </c>
      <c r="Z2195">
        <v>-2.973467E-3</v>
      </c>
      <c r="AA2195">
        <v>0.99843119999999996</v>
      </c>
      <c r="AB2195">
        <v>41</v>
      </c>
      <c r="AC2195">
        <v>-16.479700000000001</v>
      </c>
      <c r="AD2195">
        <v>-1.1089791424037001</v>
      </c>
      <c r="AE2195">
        <v>-0.67449999999996602</v>
      </c>
      <c r="AF2195">
        <v>-0.93415123551033896</v>
      </c>
      <c r="AG2195">
        <v>-1.1089791424037001</v>
      </c>
      <c r="AH2195">
        <v>16.3926731832887</v>
      </c>
      <c r="AI2195">
        <v>93.863964424575002</v>
      </c>
      <c r="AJ2195">
        <v>93.2615241331672</v>
      </c>
      <c r="AK2195">
        <v>16.4566766803995</v>
      </c>
      <c r="AL2195">
        <v>68.423824070088898</v>
      </c>
      <c r="AM2195">
        <v>96.478042044362994</v>
      </c>
      <c r="AN2195">
        <v>0.99999996753300902</v>
      </c>
    </row>
    <row r="2196" spans="1:40" x14ac:dyDescent="0.25">
      <c r="A2196" t="str">
        <f>"20190304164133743"</f>
        <v>20190304164133743</v>
      </c>
      <c r="B2196" t="str">
        <f>"1551688893733591"</f>
        <v>1551688893733591</v>
      </c>
      <c r="C2196" t="s">
        <v>40</v>
      </c>
      <c r="D2196">
        <v>3.9860519999999999</v>
      </c>
      <c r="E2196">
        <v>0.53524450000000001</v>
      </c>
      <c r="F2196" t="s">
        <v>46</v>
      </c>
      <c r="G2196">
        <v>-264.6789</v>
      </c>
      <c r="H2196" s="1">
        <v>9.5308680000000001E-7</v>
      </c>
      <c r="I2196">
        <v>283.4966</v>
      </c>
      <c r="J2196">
        <v>-248.3407</v>
      </c>
      <c r="K2196">
        <v>1.109013</v>
      </c>
      <c r="L2196">
        <v>284.15550000000002</v>
      </c>
      <c r="M2196">
        <v>-0.99985590000000002</v>
      </c>
      <c r="N2196">
        <v>-5.1442370000000003E-3</v>
      </c>
      <c r="O2196">
        <v>1.617826E-2</v>
      </c>
      <c r="P2196">
        <v>-0.92738869999999896</v>
      </c>
      <c r="Q2196">
        <v>0.36293009999999998</v>
      </c>
      <c r="R2196">
        <v>-9.0729669999999998E-2</v>
      </c>
      <c r="S2196">
        <v>-3.3082729999999998</v>
      </c>
      <c r="T2196">
        <v>-0.22022839999999999</v>
      </c>
      <c r="U2196">
        <v>-0.1297913</v>
      </c>
      <c r="V2196">
        <v>-0.10543710000000001</v>
      </c>
      <c r="W2196">
        <v>0.36776940000000002</v>
      </c>
      <c r="X2196">
        <v>0.92392030000000003</v>
      </c>
      <c r="Y2196">
        <v>-5.5201180000000002E-2</v>
      </c>
      <c r="Z2196">
        <v>-2.9691309999999999E-3</v>
      </c>
      <c r="AA2196">
        <v>0.99847079999999999</v>
      </c>
      <c r="AB2196">
        <v>41</v>
      </c>
      <c r="AC2196">
        <v>-16.338200000000001</v>
      </c>
      <c r="AD2196">
        <v>-1.1090120469132001</v>
      </c>
      <c r="AE2196">
        <v>-0.65890000000001603</v>
      </c>
      <c r="AF2196">
        <v>-0.91891389658870903</v>
      </c>
      <c r="AG2196">
        <v>-1.1090120469132001</v>
      </c>
      <c r="AH2196">
        <v>16.250648587131799</v>
      </c>
      <c r="AI2196">
        <v>93.897842341206299</v>
      </c>
      <c r="AJ2196">
        <v>93.236417268748099</v>
      </c>
      <c r="AK2196">
        <v>16.314346139885298</v>
      </c>
      <c r="AL2196">
        <v>68.421884371615704</v>
      </c>
      <c r="AM2196">
        <v>96.510387350223994</v>
      </c>
      <c r="AN2196">
        <v>1.0000000171924199</v>
      </c>
    </row>
    <row r="2197" spans="1:40" x14ac:dyDescent="0.25">
      <c r="A2197" t="str">
        <f>"20190304164133764"</f>
        <v>20190304164133764</v>
      </c>
      <c r="B2197" t="str">
        <f>"1551688893753111"</f>
        <v>1551688893753111</v>
      </c>
      <c r="C2197" t="s">
        <v>40</v>
      </c>
      <c r="D2197">
        <v>4.0114049999999999</v>
      </c>
      <c r="E2197">
        <v>0.53519619999999901</v>
      </c>
      <c r="F2197" t="s">
        <v>46</v>
      </c>
      <c r="G2197">
        <v>-261.77530000000002</v>
      </c>
      <c r="H2197" s="1">
        <v>-5.9206790000000004E-7</v>
      </c>
      <c r="I2197">
        <v>283.78519999999997</v>
      </c>
      <c r="J2197">
        <v>-248.73320000000001</v>
      </c>
      <c r="K2197">
        <v>1.109056</v>
      </c>
      <c r="L2197">
        <v>284.1619</v>
      </c>
      <c r="M2197">
        <v>-0.99985329999999994</v>
      </c>
      <c r="N2197">
        <v>-5.1742410000000004E-3</v>
      </c>
      <c r="O2197">
        <v>1.632662E-2</v>
      </c>
      <c r="P2197">
        <v>-0.9273401</v>
      </c>
      <c r="Q2197">
        <v>0.36293049999999999</v>
      </c>
      <c r="R2197">
        <v>-9.1224860000000005E-2</v>
      </c>
      <c r="S2197">
        <v>-3.3335880000000002</v>
      </c>
      <c r="T2197">
        <v>-0.27518559999999997</v>
      </c>
      <c r="U2197">
        <v>-9.1888429999999993E-2</v>
      </c>
      <c r="V2197">
        <v>-0.1061064</v>
      </c>
      <c r="W2197">
        <v>0.36778709999999998</v>
      </c>
      <c r="X2197">
        <v>0.92383660000000001</v>
      </c>
      <c r="Y2197">
        <v>-4.3664410000000001E-2</v>
      </c>
      <c r="Z2197">
        <v>-3.1729409999999999E-3</v>
      </c>
      <c r="AA2197">
        <v>0.99904119999999996</v>
      </c>
      <c r="AB2197">
        <v>41</v>
      </c>
      <c r="AC2197">
        <v>-13.0421</v>
      </c>
      <c r="AD2197">
        <v>-1.1090565920678901</v>
      </c>
      <c r="AE2197">
        <v>-0.37670000000002701</v>
      </c>
      <c r="AF2197">
        <v>-0.58535673251376397</v>
      </c>
      <c r="AG2197">
        <v>-1.1090565920678901</v>
      </c>
      <c r="AH2197">
        <v>12.940711972427</v>
      </c>
      <c r="AI2197">
        <v>94.893465723198304</v>
      </c>
      <c r="AJ2197">
        <v>92.589936638986202</v>
      </c>
      <c r="AK2197">
        <v>13.001333600135901</v>
      </c>
      <c r="AL2197">
        <v>68.420793214818502</v>
      </c>
      <c r="AM2197">
        <v>96.551944620420798</v>
      </c>
      <c r="AN2197">
        <v>0.99999999127346495</v>
      </c>
    </row>
    <row r="2198" spans="1:40" x14ac:dyDescent="0.25">
      <c r="A2198" t="str">
        <f>"20190304164133778"</f>
        <v>20190304164133778</v>
      </c>
      <c r="B2198" t="str">
        <f>"1551688893773606"</f>
        <v>1551688893773606</v>
      </c>
      <c r="C2198" t="s">
        <v>40</v>
      </c>
      <c r="D2198">
        <v>4.7454859999999996</v>
      </c>
      <c r="E2198">
        <v>0.53523089999999995</v>
      </c>
      <c r="F2198" t="s">
        <v>46</v>
      </c>
      <c r="G2198">
        <v>-262.29559999999998</v>
      </c>
      <c r="H2198" s="1">
        <v>-3.1519060000000001E-7</v>
      </c>
      <c r="I2198">
        <v>283.78649999999999</v>
      </c>
      <c r="J2198">
        <v>-248.99270000000001</v>
      </c>
      <c r="K2198">
        <v>1.109089</v>
      </c>
      <c r="L2198">
        <v>284.1662</v>
      </c>
      <c r="M2198">
        <v>-0.99985210000000002</v>
      </c>
      <c r="N2198">
        <v>-5.1938310000000003E-3</v>
      </c>
      <c r="O2198">
        <v>1.6400319999999999E-2</v>
      </c>
      <c r="P2198">
        <v>-0.9271277</v>
      </c>
      <c r="Q2198">
        <v>0.36335650000000003</v>
      </c>
      <c r="R2198">
        <v>-9.1687039999999997E-2</v>
      </c>
      <c r="S2198">
        <v>-3.3326259999999999</v>
      </c>
      <c r="T2198">
        <v>-0.27252389999999999</v>
      </c>
      <c r="U2198">
        <v>-9.2254639999999999E-2</v>
      </c>
      <c r="V2198">
        <v>-0.1066579</v>
      </c>
      <c r="W2198">
        <v>0.36822300000000002</v>
      </c>
      <c r="X2198">
        <v>0.92359939999999996</v>
      </c>
      <c r="Y2198">
        <v>-4.3858599999999998E-2</v>
      </c>
      <c r="Z2198">
        <v>-3.157689E-3</v>
      </c>
      <c r="AA2198">
        <v>0.9990327</v>
      </c>
      <c r="AB2198">
        <v>41</v>
      </c>
      <c r="AC2198">
        <v>-13.3028999999999</v>
      </c>
      <c r="AD2198">
        <v>-1.1090893151906001</v>
      </c>
      <c r="AE2198">
        <v>-0.37970000000001303</v>
      </c>
      <c r="AF2198">
        <v>-0.59370028658137097</v>
      </c>
      <c r="AG2198">
        <v>-1.1090893151906001</v>
      </c>
      <c r="AH2198">
        <v>13.203184332186099</v>
      </c>
      <c r="AI2198">
        <v>94.79684296117</v>
      </c>
      <c r="AJ2198">
        <v>92.574653258844407</v>
      </c>
      <c r="AK2198">
        <v>13.2629798932608</v>
      </c>
      <c r="AL2198">
        <v>68.3939325223118</v>
      </c>
      <c r="AM2198">
        <v>96.587377186727693</v>
      </c>
      <c r="AN2198">
        <v>0.99999996852088402</v>
      </c>
    </row>
    <row r="2199" spans="1:40" x14ac:dyDescent="0.25">
      <c r="A2199" t="str">
        <f>"20190304164133790"</f>
        <v>20190304164133790</v>
      </c>
      <c r="B2199" t="str">
        <f>"1551688893783366"</f>
        <v>1551688893783366</v>
      </c>
      <c r="C2199" t="s">
        <v>40</v>
      </c>
      <c r="D2199">
        <v>3.9836809999999998</v>
      </c>
      <c r="E2199">
        <v>0.53548660000000003</v>
      </c>
      <c r="F2199" t="s">
        <v>46</v>
      </c>
      <c r="G2199">
        <v>-262.55110000000002</v>
      </c>
      <c r="H2199" s="1">
        <v>-1.79228E-7</v>
      </c>
      <c r="I2199">
        <v>283.78789999999998</v>
      </c>
      <c r="J2199">
        <v>-249.2192</v>
      </c>
      <c r="K2199">
        <v>1.1091120000000001</v>
      </c>
      <c r="L2199">
        <v>284.17</v>
      </c>
      <c r="M2199">
        <v>-0.99985119999999905</v>
      </c>
      <c r="N2199">
        <v>-5.2109119999999998E-3</v>
      </c>
      <c r="O2199">
        <v>1.6450820000000001E-2</v>
      </c>
      <c r="P2199">
        <v>-0.92697269999999998</v>
      </c>
      <c r="Q2199">
        <v>0.36367719999999998</v>
      </c>
      <c r="R2199">
        <v>-9.1982709999999995E-2</v>
      </c>
      <c r="S2199">
        <v>-3.33345</v>
      </c>
      <c r="T2199">
        <v>-0.2726789</v>
      </c>
      <c r="U2199">
        <v>-9.3017580000000002E-2</v>
      </c>
      <c r="V2199">
        <v>-0.10701819999999999</v>
      </c>
      <c r="W2199">
        <v>0.3685524</v>
      </c>
      <c r="X2199">
        <v>0.92342639999999998</v>
      </c>
      <c r="Y2199">
        <v>-4.4129450000000001E-2</v>
      </c>
      <c r="Z2199">
        <v>-3.1744030000000001E-3</v>
      </c>
      <c r="AA2199">
        <v>0.99902080000000004</v>
      </c>
      <c r="AB2199">
        <v>41</v>
      </c>
      <c r="AC2199">
        <v>-13.331899999999999</v>
      </c>
      <c r="AD2199">
        <v>-1.1091121792280001</v>
      </c>
      <c r="AE2199">
        <v>-0.38210000000003602</v>
      </c>
      <c r="AF2199">
        <v>-0.59724183457030999</v>
      </c>
      <c r="AG2199">
        <v>-1.1091121792280001</v>
      </c>
      <c r="AH2199">
        <v>13.2323046887602</v>
      </c>
      <c r="AI2199">
        <v>94.786397718112596</v>
      </c>
      <c r="AJ2199">
        <v>92.584298697927494</v>
      </c>
      <c r="AK2199">
        <v>13.2921298147158</v>
      </c>
      <c r="AL2199">
        <v>68.373633228186904</v>
      </c>
      <c r="AM2199">
        <v>96.610660669478193</v>
      </c>
      <c r="AN2199">
        <v>1.0000000414469701</v>
      </c>
    </row>
    <row r="2200" spans="1:40" x14ac:dyDescent="0.25">
      <c r="A2200" t="str">
        <f>"20190304164133810"</f>
        <v>20190304164133810</v>
      </c>
      <c r="B2200" t="str">
        <f>"1551688893803127"</f>
        <v>1551688893803127</v>
      </c>
      <c r="C2200" t="s">
        <v>40</v>
      </c>
      <c r="D2200">
        <v>4.7621599999999997</v>
      </c>
      <c r="E2200">
        <v>0.53548589999999996</v>
      </c>
      <c r="F2200" t="s">
        <v>46</v>
      </c>
      <c r="G2200">
        <v>-265.60129999999998</v>
      </c>
      <c r="H2200" s="1">
        <v>1.4439419999999999E-6</v>
      </c>
      <c r="I2200">
        <v>283.73239999999998</v>
      </c>
      <c r="J2200">
        <v>-249.58150000000001</v>
      </c>
      <c r="K2200">
        <v>1.109138</v>
      </c>
      <c r="L2200">
        <v>284.17590000000001</v>
      </c>
      <c r="M2200">
        <v>-0.99985000000000002</v>
      </c>
      <c r="N2200">
        <v>-5.2382080000000003E-3</v>
      </c>
      <c r="O2200">
        <v>1.6509739999999998E-2</v>
      </c>
      <c r="P2200">
        <v>-0.92681720000000001</v>
      </c>
      <c r="Q2200">
        <v>0.36387619999999998</v>
      </c>
      <c r="R2200">
        <v>-9.2758389999999996E-2</v>
      </c>
      <c r="S2200">
        <v>-3.3156279999999998</v>
      </c>
      <c r="T2200">
        <v>-0.2244768</v>
      </c>
      <c r="U2200">
        <v>-8.8562009999999997E-2</v>
      </c>
      <c r="V2200">
        <v>-0.1078765</v>
      </c>
      <c r="W2200">
        <v>0.36876730000000002</v>
      </c>
      <c r="X2200">
        <v>0.92324070000000003</v>
      </c>
      <c r="Y2200">
        <v>-4.3063079999999997E-2</v>
      </c>
      <c r="Z2200">
        <v>-2.5986899999999999E-3</v>
      </c>
      <c r="AA2200">
        <v>0.99906899999999998</v>
      </c>
      <c r="AB2200">
        <v>41</v>
      </c>
      <c r="AC2200">
        <v>-16.019799999999901</v>
      </c>
      <c r="AD2200">
        <v>-1.109136556058</v>
      </c>
      <c r="AE2200">
        <v>-0.44350000000002798</v>
      </c>
      <c r="AF2200">
        <v>-0.70455120457915899</v>
      </c>
      <c r="AG2200">
        <v>-1.109136556058</v>
      </c>
      <c r="AH2200">
        <v>15.933972797309901</v>
      </c>
      <c r="AI2200">
        <v>93.977963949144893</v>
      </c>
      <c r="AJ2200">
        <v>92.531793772841894</v>
      </c>
      <c r="AK2200">
        <v>15.988060088868499</v>
      </c>
      <c r="AL2200">
        <v>68.360387023301598</v>
      </c>
      <c r="AM2200">
        <v>96.664532342357404</v>
      </c>
      <c r="AN2200">
        <v>1.00000002546901</v>
      </c>
    </row>
    <row r="2201" spans="1:40" x14ac:dyDescent="0.25">
      <c r="A2201" t="str">
        <f>"20190304164133824"</f>
        <v>20190304164133824</v>
      </c>
      <c r="B2201" t="str">
        <f>"1551688893812886"</f>
        <v>1551688893812886</v>
      </c>
      <c r="C2201" t="s">
        <v>40</v>
      </c>
      <c r="D2201">
        <v>3.9751979999999998</v>
      </c>
      <c r="E2201">
        <v>0.53551070000000001</v>
      </c>
      <c r="F2201" t="s">
        <v>46</v>
      </c>
      <c r="G2201">
        <v>-265.9128</v>
      </c>
      <c r="H2201" s="1">
        <v>1.6096950000000001E-6</v>
      </c>
      <c r="I2201">
        <v>283.72879999999998</v>
      </c>
      <c r="J2201">
        <v>-249.8415</v>
      </c>
      <c r="K2201">
        <v>1.109162</v>
      </c>
      <c r="L2201">
        <v>284.18020000000001</v>
      </c>
      <c r="M2201">
        <v>-0.99984949999999995</v>
      </c>
      <c r="N2201">
        <v>-5.2578039999999996E-3</v>
      </c>
      <c r="O2201">
        <v>1.6535959999999999E-2</v>
      </c>
      <c r="P2201">
        <v>-0.92683649999999995</v>
      </c>
      <c r="Q2201">
        <v>0.3637978</v>
      </c>
      <c r="R2201">
        <v>-9.2873979999999995E-2</v>
      </c>
      <c r="S2201">
        <v>-3.3162229999999999</v>
      </c>
      <c r="T2201">
        <v>-0.22522020000000001</v>
      </c>
      <c r="U2201">
        <v>-9.0789789999999995E-2</v>
      </c>
      <c r="V2201">
        <v>-0.1080376</v>
      </c>
      <c r="W2201">
        <v>0.36870120000000001</v>
      </c>
      <c r="X2201">
        <v>0.92324819999999996</v>
      </c>
      <c r="Y2201">
        <v>-4.3752529999999998E-2</v>
      </c>
      <c r="Z2201">
        <v>-2.6336440000000001E-3</v>
      </c>
      <c r="AA2201">
        <v>0.99903889999999995</v>
      </c>
      <c r="AB2201">
        <v>41</v>
      </c>
      <c r="AC2201">
        <v>-16.071300000000001</v>
      </c>
      <c r="AD2201">
        <v>-1.109160390305</v>
      </c>
      <c r="AE2201">
        <v>-0.451400000000035</v>
      </c>
      <c r="AF2201">
        <v>-0.71369959321755305</v>
      </c>
      <c r="AG2201">
        <v>-1.109160390305</v>
      </c>
      <c r="AH2201">
        <v>15.985557839365701</v>
      </c>
      <c r="AI2201">
        <v>93.965177798445495</v>
      </c>
      <c r="AJ2201">
        <v>92.556359761424204</v>
      </c>
      <c r="AK2201">
        <v>16.0398772849572</v>
      </c>
      <c r="AL2201">
        <v>68.364460075798107</v>
      </c>
      <c r="AM2201">
        <v>96.674341525960998</v>
      </c>
      <c r="AN2201">
        <v>0.999999968349219</v>
      </c>
    </row>
    <row r="2202" spans="1:40" x14ac:dyDescent="0.25">
      <c r="A2202" t="str">
        <f>"20190304164133844"</f>
        <v>20190304164133844</v>
      </c>
      <c r="B2202" t="str">
        <f>"1551688893833383"</f>
        <v>1551688893833383</v>
      </c>
      <c r="C2202" t="s">
        <v>40</v>
      </c>
      <c r="D2202">
        <v>3.9856410000000002</v>
      </c>
      <c r="E2202">
        <v>0.53513909999999998</v>
      </c>
      <c r="F2202" t="s">
        <v>46</v>
      </c>
      <c r="G2202">
        <v>-266.15519999999998</v>
      </c>
      <c r="H2202" s="1">
        <v>1.7387219999999999E-6</v>
      </c>
      <c r="I2202">
        <v>283.73180000000002</v>
      </c>
      <c r="J2202">
        <v>-250.19900000000001</v>
      </c>
      <c r="K2202">
        <v>1.1091930000000001</v>
      </c>
      <c r="L2202">
        <v>284.18610000000001</v>
      </c>
      <c r="M2202">
        <v>-0.99984919999999999</v>
      </c>
      <c r="N2202">
        <v>-5.284754E-3</v>
      </c>
      <c r="O2202">
        <v>1.654309E-2</v>
      </c>
      <c r="P2202">
        <v>-0.92684429999999995</v>
      </c>
      <c r="Q2202">
        <v>0.3636124</v>
      </c>
      <c r="R2202">
        <v>-9.3517950000000002E-2</v>
      </c>
      <c r="S2202">
        <v>-3.3161770000000002</v>
      </c>
      <c r="T2202">
        <v>-0.2254641</v>
      </c>
      <c r="U2202">
        <v>-9.1156009999999996E-2</v>
      </c>
      <c r="V2202">
        <v>-0.1087177</v>
      </c>
      <c r="W2202">
        <v>0.36853239999999998</v>
      </c>
      <c r="X2202">
        <v>0.92323580000000005</v>
      </c>
      <c r="Y2202">
        <v>-4.3869650000000003E-2</v>
      </c>
      <c r="Z2202">
        <v>-2.6413700000000001E-3</v>
      </c>
      <c r="AA2202">
        <v>0.99903370000000002</v>
      </c>
      <c r="AB2202">
        <v>41</v>
      </c>
      <c r="AC2202">
        <v>-15.9561999999999</v>
      </c>
      <c r="AD2202">
        <v>-1.1091912612779999</v>
      </c>
      <c r="AE2202">
        <v>-0.45429999999998899</v>
      </c>
      <c r="AF2202">
        <v>-0.71475524992714601</v>
      </c>
      <c r="AG2202">
        <v>-1.1091912612779999</v>
      </c>
      <c r="AH2202">
        <v>15.8698748728743</v>
      </c>
      <c r="AI2202">
        <v>93.994029602055804</v>
      </c>
      <c r="AJ2202">
        <v>92.578772861419495</v>
      </c>
      <c r="AK2202">
        <v>15.924638419822299</v>
      </c>
      <c r="AL2202">
        <v>68.3748650894414</v>
      </c>
      <c r="AM2202">
        <v>96.716063481115299</v>
      </c>
      <c r="AN2202">
        <v>1.0000000052723399</v>
      </c>
    </row>
    <row r="2203" spans="1:40" x14ac:dyDescent="0.25">
      <c r="A2203" t="str">
        <f>"20190304164133859"</f>
        <v>20190304164133859</v>
      </c>
      <c r="B2203" t="str">
        <f>"1551688893852902"</f>
        <v>1551688893852902</v>
      </c>
      <c r="C2203" t="s">
        <v>40</v>
      </c>
      <c r="D2203">
        <v>3.9646159999999999</v>
      </c>
      <c r="E2203">
        <v>0.53513279999999996</v>
      </c>
      <c r="F2203" t="s">
        <v>46</v>
      </c>
      <c r="G2203">
        <v>-263.91430000000003</v>
      </c>
      <c r="H2203" s="1">
        <v>5.4619199999999899E-7</v>
      </c>
      <c r="I2203">
        <v>283.77670000000001</v>
      </c>
      <c r="J2203">
        <v>-250.5119</v>
      </c>
      <c r="K2203">
        <v>1.1092229999999901</v>
      </c>
      <c r="L2203">
        <v>284.19130000000001</v>
      </c>
      <c r="M2203">
        <v>-0.99984930000000005</v>
      </c>
      <c r="N2203">
        <v>-5.3082839999999999E-3</v>
      </c>
      <c r="O2203">
        <v>1.6523240000000002E-2</v>
      </c>
      <c r="P2203">
        <v>-0.92687620000000004</v>
      </c>
      <c r="Q2203">
        <v>0.36342720000000001</v>
      </c>
      <c r="R2203">
        <v>-9.3922599999999995E-2</v>
      </c>
      <c r="S2203">
        <v>-3.3325040000000001</v>
      </c>
      <c r="T2203">
        <v>-0.26950960000000002</v>
      </c>
      <c r="U2203">
        <v>-9.9487300000000001E-2</v>
      </c>
      <c r="V2203">
        <v>-0.10913109999999999</v>
      </c>
      <c r="W2203">
        <v>0.3683613</v>
      </c>
      <c r="X2203">
        <v>0.9232553</v>
      </c>
      <c r="Y2203">
        <v>-4.6144850000000001E-2</v>
      </c>
      <c r="Z2203">
        <v>-3.2314890000000001E-3</v>
      </c>
      <c r="AA2203">
        <v>0.99892959999999997</v>
      </c>
      <c r="AB2203">
        <v>41</v>
      </c>
      <c r="AC2203">
        <v>-13.4024</v>
      </c>
      <c r="AD2203">
        <v>-1.10922245380799</v>
      </c>
      <c r="AE2203">
        <v>-0.41460000000000702</v>
      </c>
      <c r="AF2203">
        <v>-0.63167495665831397</v>
      </c>
      <c r="AG2203">
        <v>-1.10922245380799</v>
      </c>
      <c r="AH2203">
        <v>13.3026872173743</v>
      </c>
      <c r="AI2203">
        <v>94.761146932775205</v>
      </c>
      <c r="AJ2203">
        <v>92.718634439716894</v>
      </c>
      <c r="AK2203">
        <v>13.363789691034301</v>
      </c>
      <c r="AL2203">
        <v>68.385410067005907</v>
      </c>
      <c r="AM2203">
        <v>96.741225696079198</v>
      </c>
      <c r="AN2203">
        <v>0.99999999665149497</v>
      </c>
    </row>
    <row r="2204" spans="1:40" x14ac:dyDescent="0.25">
      <c r="A2204" t="str">
        <f>"20190304164133878"</f>
        <v>20190304164133878</v>
      </c>
      <c r="B2204" t="str">
        <f>"1551688893873400"</f>
        <v>1551688893873400</v>
      </c>
      <c r="C2204" t="s">
        <v>40</v>
      </c>
      <c r="D2204">
        <v>3.9976889999999998</v>
      </c>
      <c r="E2204">
        <v>0.53589699999999996</v>
      </c>
      <c r="F2204" t="s">
        <v>46</v>
      </c>
      <c r="G2204">
        <v>-263.98410000000001</v>
      </c>
      <c r="H2204" s="1">
        <v>5.8337009999999995E-7</v>
      </c>
      <c r="I2204">
        <v>283.7835</v>
      </c>
      <c r="J2204">
        <v>-250.83519999999999</v>
      </c>
      <c r="K2204">
        <v>1.109253</v>
      </c>
      <c r="L2204">
        <v>284.19659999999999</v>
      </c>
      <c r="M2204">
        <v>-0.99985020000000002</v>
      </c>
      <c r="N2204">
        <v>-5.33242E-3</v>
      </c>
      <c r="O2204">
        <v>1.647583E-2</v>
      </c>
      <c r="P2204">
        <v>-0.92685519999999999</v>
      </c>
      <c r="Q2204">
        <v>0.36332229999999999</v>
      </c>
      <c r="R2204">
        <v>-9.4533880000000001E-2</v>
      </c>
      <c r="S2204">
        <v>-3.334076</v>
      </c>
      <c r="T2204">
        <v>-0.2745069</v>
      </c>
      <c r="U2204">
        <v>-0.1009216</v>
      </c>
      <c r="V2204">
        <v>-0.10972659999999999</v>
      </c>
      <c r="W2204">
        <v>0.36826999999999999</v>
      </c>
      <c r="X2204">
        <v>0.92322119999999996</v>
      </c>
      <c r="Y2204">
        <v>-4.6504139999999999E-2</v>
      </c>
      <c r="Z2204">
        <v>-3.301263E-3</v>
      </c>
      <c r="AA2204">
        <v>0.99891260000000004</v>
      </c>
      <c r="AB2204">
        <v>41</v>
      </c>
      <c r="AC2204">
        <v>-13.148899999999999</v>
      </c>
      <c r="AD2204">
        <v>-1.10925241662989</v>
      </c>
      <c r="AE2204">
        <v>-0.41309999999998498</v>
      </c>
      <c r="AF2204">
        <v>-0.62524071720415597</v>
      </c>
      <c r="AG2204">
        <v>-1.10925241662989</v>
      </c>
      <c r="AH2204">
        <v>13.0475443188899</v>
      </c>
      <c r="AI2204">
        <v>94.853840297546199</v>
      </c>
      <c r="AJ2204">
        <v>92.743525522927996</v>
      </c>
      <c r="AK2204">
        <v>13.1095301072023</v>
      </c>
      <c r="AL2204">
        <v>68.391037974581096</v>
      </c>
      <c r="AM2204">
        <v>96.777917534129003</v>
      </c>
      <c r="AN2204">
        <v>1.0000000518884899</v>
      </c>
    </row>
    <row r="2205" spans="1:40" x14ac:dyDescent="0.25">
      <c r="A2205" t="str">
        <f>"20190304164133892"</f>
        <v>20190304164133892</v>
      </c>
      <c r="B2205" t="str">
        <f>"1551688893883158"</f>
        <v>1551688893883158</v>
      </c>
      <c r="C2205" t="s">
        <v>40</v>
      </c>
      <c r="D2205">
        <v>3.9596049999999998</v>
      </c>
      <c r="E2205">
        <v>0.53612890000000002</v>
      </c>
      <c r="F2205" t="s">
        <v>46</v>
      </c>
      <c r="G2205">
        <v>-264.91539999999998</v>
      </c>
      <c r="H2205" s="1">
        <v>1.078931E-6</v>
      </c>
      <c r="I2205">
        <v>283.78969999999998</v>
      </c>
      <c r="J2205">
        <v>-251.10910000000001</v>
      </c>
      <c r="K2205">
        <v>1.1092799999999901</v>
      </c>
      <c r="L2205">
        <v>284.20100000000002</v>
      </c>
      <c r="M2205">
        <v>-0.99985100000000005</v>
      </c>
      <c r="N2205">
        <v>-5.3527610000000002E-3</v>
      </c>
      <c r="O2205">
        <v>1.6413239999999999E-2</v>
      </c>
      <c r="P2205">
        <v>-0.92693210000000004</v>
      </c>
      <c r="Q2205">
        <v>0.36301169999999999</v>
      </c>
      <c r="R2205">
        <v>-9.4970899999999997E-2</v>
      </c>
      <c r="S2205">
        <v>-3.329758</v>
      </c>
      <c r="T2205">
        <v>-0.26232139999999998</v>
      </c>
      <c r="U2205">
        <v>-9.6221920000000002E-2</v>
      </c>
      <c r="V2205">
        <v>-0.1101341</v>
      </c>
      <c r="W2205">
        <v>0.36797069999999998</v>
      </c>
      <c r="X2205">
        <v>0.923292</v>
      </c>
      <c r="Y2205">
        <v>-4.5094969999999998E-2</v>
      </c>
      <c r="Z2205">
        <v>-3.0972180000000001E-3</v>
      </c>
      <c r="AA2205">
        <v>0.99897789999999997</v>
      </c>
      <c r="AB2205">
        <v>42</v>
      </c>
      <c r="AC2205">
        <v>-13.806299999999901</v>
      </c>
      <c r="AD2205">
        <v>-1.10927892106899</v>
      </c>
      <c r="AE2205">
        <v>-0.41129999999998201</v>
      </c>
      <c r="AF2205">
        <v>-0.63376632502794294</v>
      </c>
      <c r="AG2205">
        <v>-1.10927892106899</v>
      </c>
      <c r="AH2205">
        <v>13.709268187713</v>
      </c>
      <c r="AI2205">
        <v>94.621068800958696</v>
      </c>
      <c r="AJ2205">
        <v>92.646844484714293</v>
      </c>
      <c r="AK2205">
        <v>13.768667100417099</v>
      </c>
      <c r="AL2205">
        <v>68.409481411535694</v>
      </c>
      <c r="AM2205">
        <v>96.802336958800396</v>
      </c>
      <c r="AN2205">
        <v>1.00000003665264</v>
      </c>
    </row>
    <row r="2206" spans="1:40" x14ac:dyDescent="0.25">
      <c r="A2206" t="str">
        <f>"20190304164133911"</f>
        <v>20190304164133911</v>
      </c>
      <c r="B2206" t="str">
        <f>"1551688893903655"</f>
        <v>1551688893903655</v>
      </c>
      <c r="C2206" t="s">
        <v>40</v>
      </c>
      <c r="D2206">
        <v>3.97539</v>
      </c>
      <c r="E2206">
        <v>0.53630789999999995</v>
      </c>
      <c r="F2206" t="s">
        <v>46</v>
      </c>
      <c r="G2206">
        <v>-265.14960000000002</v>
      </c>
      <c r="H2206" s="1">
        <v>1.2035870000000001E-6</v>
      </c>
      <c r="I2206">
        <v>283.7944</v>
      </c>
      <c r="J2206">
        <v>-251.45590000000001</v>
      </c>
      <c r="K2206">
        <v>1.1093200000000001</v>
      </c>
      <c r="L2206">
        <v>284.20670000000001</v>
      </c>
      <c r="M2206">
        <v>-0.99985270000000004</v>
      </c>
      <c r="N2206">
        <v>-5.3783919999999897E-3</v>
      </c>
      <c r="O2206">
        <v>1.63061E-2</v>
      </c>
      <c r="P2206">
        <v>-0.92686080000000004</v>
      </c>
      <c r="Q2206">
        <v>0.3630256</v>
      </c>
      <c r="R2206">
        <v>-9.5613370000000003E-2</v>
      </c>
      <c r="S2206">
        <v>-3.3296049999999999</v>
      </c>
      <c r="T2206">
        <v>-0.2630574</v>
      </c>
      <c r="U2206">
        <v>-9.6435549999999995E-2</v>
      </c>
      <c r="V2206">
        <v>-0.1107123</v>
      </c>
      <c r="W2206">
        <v>0.36799680000000001</v>
      </c>
      <c r="X2206">
        <v>0.92321240000000004</v>
      </c>
      <c r="Y2206">
        <v>-4.5052599999999998E-2</v>
      </c>
      <c r="Z2206">
        <v>-3.0964260000000002E-3</v>
      </c>
      <c r="AA2206">
        <v>0.99897979999999997</v>
      </c>
      <c r="AB2206">
        <v>42</v>
      </c>
      <c r="AC2206">
        <v>-13.6937</v>
      </c>
      <c r="AD2206">
        <v>-1.109318796413</v>
      </c>
      <c r="AE2206">
        <v>-0.41230000000001599</v>
      </c>
      <c r="AF2206">
        <v>-0.63139940352172297</v>
      </c>
      <c r="AG2206">
        <v>-1.109318796413</v>
      </c>
      <c r="AH2206">
        <v>13.5960128297501</v>
      </c>
      <c r="AI2206">
        <v>94.659515203335303</v>
      </c>
      <c r="AJ2206">
        <v>92.658908022057105</v>
      </c>
      <c r="AK2206">
        <v>13.655797972494099</v>
      </c>
      <c r="AL2206">
        <v>68.407872240518103</v>
      </c>
      <c r="AM2206">
        <v>96.838295705195605</v>
      </c>
      <c r="AN2206">
        <v>0.99999999684764496</v>
      </c>
    </row>
    <row r="2207" spans="1:40" x14ac:dyDescent="0.25">
      <c r="A2207" t="str">
        <f>"20190304164133924"</f>
        <v>20190304164133924</v>
      </c>
      <c r="B2207" t="str">
        <f>"1551688893913415"</f>
        <v>1551688893913415</v>
      </c>
      <c r="C2207" t="s">
        <v>40</v>
      </c>
      <c r="D2207">
        <v>3.9716209999999998</v>
      </c>
      <c r="E2207">
        <v>0.53643649999999998</v>
      </c>
      <c r="F2207" t="s">
        <v>46</v>
      </c>
      <c r="G2207">
        <v>-265.53579999999999</v>
      </c>
      <c r="H2207" s="1">
        <v>1.409099E-6</v>
      </c>
      <c r="I2207">
        <v>283.79320000000001</v>
      </c>
      <c r="J2207">
        <v>-251.69030000000001</v>
      </c>
      <c r="K2207">
        <v>1.1093500000000001</v>
      </c>
      <c r="L2207">
        <v>284.21039999999999</v>
      </c>
      <c r="M2207">
        <v>-0.99985409999999997</v>
      </c>
      <c r="N2207">
        <v>-5.3956680000000002E-3</v>
      </c>
      <c r="O2207">
        <v>1.621825E-2</v>
      </c>
      <c r="P2207">
        <v>-0.92691619999999997</v>
      </c>
      <c r="Q2207">
        <v>0.36284060000000001</v>
      </c>
      <c r="R2207">
        <v>-9.5777319999999999E-2</v>
      </c>
      <c r="S2207">
        <v>-3.3294069999999998</v>
      </c>
      <c r="T2207">
        <v>-0.26231459999999901</v>
      </c>
      <c r="U2207">
        <v>-9.7778320000000002E-2</v>
      </c>
      <c r="V2207">
        <v>-0.1108214</v>
      </c>
      <c r="W2207">
        <v>0.36782090000000001</v>
      </c>
      <c r="X2207">
        <v>0.92326949999999997</v>
      </c>
      <c r="Y2207">
        <v>-4.5369340000000001E-2</v>
      </c>
      <c r="Z2207">
        <v>-3.0949530000000001E-3</v>
      </c>
      <c r="AA2207">
        <v>0.99896549999999995</v>
      </c>
      <c r="AB2207">
        <v>42</v>
      </c>
      <c r="AC2207">
        <v>-13.8454999999999</v>
      </c>
      <c r="AD2207">
        <v>-1.1093485909009999</v>
      </c>
      <c r="AE2207">
        <v>-0.41719999999997898</v>
      </c>
      <c r="AF2207">
        <v>-0.63760855383818404</v>
      </c>
      <c r="AG2207">
        <v>-1.1093485909009999</v>
      </c>
      <c r="AH2207">
        <v>13.7487291029397</v>
      </c>
      <c r="AI2207">
        <v>94.608119877732705</v>
      </c>
      <c r="AJ2207">
        <v>92.655236160116004</v>
      </c>
      <c r="AK2207">
        <v>13.808140747764799</v>
      </c>
      <c r="AL2207">
        <v>68.4187127235529</v>
      </c>
      <c r="AM2207">
        <v>96.844551196231507</v>
      </c>
      <c r="AN2207">
        <v>1.0000000834025</v>
      </c>
    </row>
    <row r="2208" spans="1:40" x14ac:dyDescent="0.25">
      <c r="A2208" t="str">
        <f>"20190304164133936"</f>
        <v>20190304164133936</v>
      </c>
      <c r="B2208" t="str">
        <f>"1551688893923175"</f>
        <v>1551688893923175</v>
      </c>
      <c r="C2208" t="s">
        <v>40</v>
      </c>
      <c r="D2208">
        <v>3.9712830000000001</v>
      </c>
      <c r="E2208">
        <v>0.536502699999999</v>
      </c>
      <c r="F2208" t="s">
        <v>46</v>
      </c>
      <c r="G2208">
        <v>-265.79860000000002</v>
      </c>
      <c r="H2208" s="1">
        <v>1.5489429999999901E-6</v>
      </c>
      <c r="I2208">
        <v>283.79719999999998</v>
      </c>
      <c r="J2208">
        <v>-251.93340000000001</v>
      </c>
      <c r="K2208">
        <v>1.1093789999999999</v>
      </c>
      <c r="L2208">
        <v>284.21440000000001</v>
      </c>
      <c r="M2208">
        <v>-0.99985570000000001</v>
      </c>
      <c r="N2208">
        <v>-5.4135579999999997E-3</v>
      </c>
      <c r="O2208">
        <v>1.6106780000000001E-2</v>
      </c>
      <c r="P2208">
        <v>-0.92676979999999998</v>
      </c>
      <c r="Q2208">
        <v>0.36309789999999997</v>
      </c>
      <c r="R2208">
        <v>-9.6217810000000001E-2</v>
      </c>
      <c r="S2208">
        <v>-3.3289490000000002</v>
      </c>
      <c r="T2208">
        <v>-0.2617584</v>
      </c>
      <c r="U2208">
        <v>-9.7503660000000006E-2</v>
      </c>
      <c r="V2208">
        <v>-0.11118310000000001</v>
      </c>
      <c r="W2208">
        <v>0.36808560000000001</v>
      </c>
      <c r="X2208">
        <v>0.92312039999999995</v>
      </c>
      <c r="Y2208">
        <v>-4.5181319999999997E-2</v>
      </c>
      <c r="Z2208">
        <v>-3.0729870000000001E-3</v>
      </c>
      <c r="AA2208">
        <v>0.99897409999999998</v>
      </c>
      <c r="AB2208">
        <v>42</v>
      </c>
      <c r="AC2208">
        <v>-13.8652</v>
      </c>
      <c r="AD2208">
        <v>-1.109377451057</v>
      </c>
      <c r="AE2208">
        <v>-0.41720000000003599</v>
      </c>
      <c r="AF2208">
        <v>-0.63640238367127799</v>
      </c>
      <c r="AG2208">
        <v>-1.109377451057</v>
      </c>
      <c r="AH2208">
        <v>13.7686164055369</v>
      </c>
      <c r="AI2208">
        <v>94.601644460885794</v>
      </c>
      <c r="AJ2208">
        <v>92.646397877099005</v>
      </c>
      <c r="AK2208">
        <v>13.827889356140901</v>
      </c>
      <c r="AL2208">
        <v>68.402399954821504</v>
      </c>
      <c r="AM2208">
        <v>96.867776054598593</v>
      </c>
      <c r="AN2208">
        <v>0.99999998177456395</v>
      </c>
    </row>
    <row r="2209" spans="1:40" x14ac:dyDescent="0.25">
      <c r="A2209" t="str">
        <f>"20190304164133954"</f>
        <v>20190304164133954</v>
      </c>
      <c r="B2209" t="str">
        <f>"1551688893942695"</f>
        <v>1551688893942695</v>
      </c>
      <c r="C2209" t="s">
        <v>40</v>
      </c>
      <c r="D2209">
        <v>3.959571</v>
      </c>
      <c r="E2209">
        <v>0.53672109999999995</v>
      </c>
      <c r="F2209" t="s">
        <v>46</v>
      </c>
      <c r="G2209">
        <v>-266.13499999999999</v>
      </c>
      <c r="H2209" s="1">
        <v>1.7279499999999999E-6</v>
      </c>
      <c r="I2209">
        <v>283.79000000000002</v>
      </c>
      <c r="J2209">
        <v>-252.2619</v>
      </c>
      <c r="K2209">
        <v>1.1094200000000001</v>
      </c>
      <c r="L2209">
        <v>284.21960000000001</v>
      </c>
      <c r="M2209">
        <v>-0.99985820000000003</v>
      </c>
      <c r="N2209">
        <v>-5.437613E-3</v>
      </c>
      <c r="O2209">
        <v>1.5935850000000001E-2</v>
      </c>
      <c r="P2209">
        <v>-0.92674670000000003</v>
      </c>
      <c r="Q2209">
        <v>0.36301230000000001</v>
      </c>
      <c r="R2209">
        <v>-9.6760689999999996E-2</v>
      </c>
      <c r="S2209">
        <v>-3.3285830000000001</v>
      </c>
      <c r="T2209">
        <v>-0.26001760000000002</v>
      </c>
      <c r="U2209">
        <v>-9.9456790000000003E-2</v>
      </c>
      <c r="V2209">
        <v>-0.11160299999999999</v>
      </c>
      <c r="W2209">
        <v>0.36801149999999999</v>
      </c>
      <c r="X2209">
        <v>0.92309929999999996</v>
      </c>
      <c r="Y2209">
        <v>-4.5600979999999999E-2</v>
      </c>
      <c r="Z2209">
        <v>-3.0584140000000002E-3</v>
      </c>
      <c r="AA2209">
        <v>0.99895509999999998</v>
      </c>
      <c r="AB2209">
        <v>42</v>
      </c>
      <c r="AC2209">
        <v>-13.8730999999999</v>
      </c>
      <c r="AD2209">
        <v>-1.1094182720499901</v>
      </c>
      <c r="AE2209">
        <v>-0.42959999999999299</v>
      </c>
      <c r="AF2209">
        <v>-0.646497939435558</v>
      </c>
      <c r="AG2209">
        <v>-1.1094182720499901</v>
      </c>
      <c r="AH2209">
        <v>13.776475370254101</v>
      </c>
      <c r="AI2209">
        <v>94.599048813983501</v>
      </c>
      <c r="AJ2209">
        <v>92.686786509857697</v>
      </c>
      <c r="AK2209">
        <v>13.836185967067401</v>
      </c>
      <c r="AL2209">
        <v>68.406966627033299</v>
      </c>
      <c r="AM2209">
        <v>96.893620200866394</v>
      </c>
      <c r="AN2209">
        <v>1.00000000570087</v>
      </c>
    </row>
    <row r="2210" spans="1:40" x14ac:dyDescent="0.25">
      <c r="A2210" t="str">
        <f>"20190304164133969"</f>
        <v>20190304164133969</v>
      </c>
      <c r="B2210" t="str">
        <f>"1551688893963191"</f>
        <v>1551688893963191</v>
      </c>
      <c r="C2210" t="s">
        <v>40</v>
      </c>
      <c r="D2210">
        <v>3.9392969999999998</v>
      </c>
      <c r="E2210">
        <v>0.53674500000000003</v>
      </c>
      <c r="F2210" t="s">
        <v>46</v>
      </c>
      <c r="G2210">
        <v>-266.52449999999999</v>
      </c>
      <c r="H2210" s="1">
        <v>1.935205E-6</v>
      </c>
      <c r="I2210">
        <v>283.7894</v>
      </c>
      <c r="J2210">
        <v>-252.5215</v>
      </c>
      <c r="K2210">
        <v>1.10945</v>
      </c>
      <c r="L2210">
        <v>284.22359999999998</v>
      </c>
      <c r="M2210">
        <v>-0.99986059999999999</v>
      </c>
      <c r="N2210">
        <v>-5.4565919999999997E-3</v>
      </c>
      <c r="O2210">
        <v>1.578305E-2</v>
      </c>
      <c r="P2210">
        <v>-0.92662370000000005</v>
      </c>
      <c r="Q2210">
        <v>0.36313269999999997</v>
      </c>
      <c r="R2210">
        <v>-9.7484890000000005E-2</v>
      </c>
      <c r="S2210">
        <v>-3.3280789999999998</v>
      </c>
      <c r="T2210">
        <v>-0.25887529999999997</v>
      </c>
      <c r="U2210">
        <v>-0.1003723</v>
      </c>
      <c r="V2210">
        <v>-0.1122113</v>
      </c>
      <c r="W2210">
        <v>0.36814010000000003</v>
      </c>
      <c r="X2210">
        <v>0.92297430000000003</v>
      </c>
      <c r="Y2210">
        <v>-4.5728959999999999E-2</v>
      </c>
      <c r="Z2210">
        <v>-3.0400399999999999E-3</v>
      </c>
      <c r="AA2210">
        <v>0.99894919999999998</v>
      </c>
      <c r="AB2210">
        <v>42</v>
      </c>
      <c r="AC2210">
        <v>-14.002999999999901</v>
      </c>
      <c r="AD2210">
        <v>-1.109448064795</v>
      </c>
      <c r="AE2210">
        <v>-0.43419999999997499</v>
      </c>
      <c r="AF2210">
        <v>-0.65107617865551703</v>
      </c>
      <c r="AG2210">
        <v>-1.109448064795</v>
      </c>
      <c r="AH2210">
        <v>13.9071871237638</v>
      </c>
      <c r="AI2210">
        <v>94.556151391051202</v>
      </c>
      <c r="AJ2210">
        <v>92.680391037092093</v>
      </c>
      <c r="AK2210">
        <v>13.966553937685299</v>
      </c>
      <c r="AL2210">
        <v>68.399042687955401</v>
      </c>
      <c r="AM2210">
        <v>96.931759389951395</v>
      </c>
      <c r="AN2210">
        <v>1.0000000337680901</v>
      </c>
    </row>
    <row r="2211" spans="1:40" x14ac:dyDescent="0.25">
      <c r="A2211" t="str">
        <f>"20190304164133980"</f>
        <v>20190304164133980</v>
      </c>
      <c r="B2211" t="str">
        <f>"1551688893972951"</f>
        <v>1551688893972951</v>
      </c>
      <c r="C2211" t="s">
        <v>40</v>
      </c>
      <c r="D2211">
        <v>3.9464760000000001</v>
      </c>
      <c r="E2211">
        <v>0.53679160000000004</v>
      </c>
      <c r="F2211" t="s">
        <v>46</v>
      </c>
      <c r="G2211">
        <v>-266.87729999999999</v>
      </c>
      <c r="H2211" s="1">
        <v>2.1229929999999999E-6</v>
      </c>
      <c r="I2211">
        <v>283.77940000000001</v>
      </c>
      <c r="J2211">
        <v>-252.77109999999999</v>
      </c>
      <c r="K2211">
        <v>1.109483</v>
      </c>
      <c r="L2211">
        <v>284.22750000000002</v>
      </c>
      <c r="M2211">
        <v>-0.99986299999999995</v>
      </c>
      <c r="N2211">
        <v>-5.4748359999999899E-3</v>
      </c>
      <c r="O2211">
        <v>1.562293E-2</v>
      </c>
      <c r="P2211">
        <v>-0.92664250000000004</v>
      </c>
      <c r="Q2211">
        <v>0.36306050000000001</v>
      </c>
      <c r="R2211">
        <v>-9.7574010000000003E-2</v>
      </c>
      <c r="S2211">
        <v>-3.3274840000000001</v>
      </c>
      <c r="T2211">
        <v>-0.25715480000000002</v>
      </c>
      <c r="U2211">
        <v>-0.1029663</v>
      </c>
      <c r="V2211">
        <v>-0.1121791</v>
      </c>
      <c r="W2211">
        <v>0.36807659999999998</v>
      </c>
      <c r="X2211">
        <v>0.92300349999999998</v>
      </c>
      <c r="Y2211">
        <v>-4.6353209999999999E-2</v>
      </c>
      <c r="Z2211">
        <v>-3.0350960000000001E-3</v>
      </c>
      <c r="AA2211">
        <v>0.99892049999999999</v>
      </c>
      <c r="AB2211">
        <v>42</v>
      </c>
      <c r="AC2211">
        <v>-14.106199999999999</v>
      </c>
      <c r="AD2211">
        <v>-1.1094808770069999</v>
      </c>
      <c r="AE2211">
        <v>-0.44810000000000999</v>
      </c>
      <c r="AF2211">
        <v>-0.664323327646544</v>
      </c>
      <c r="AG2211">
        <v>-1.1094808770069999</v>
      </c>
      <c r="AH2211">
        <v>14.0108916824889</v>
      </c>
      <c r="AI2211">
        <v>94.522574878950607</v>
      </c>
      <c r="AJ2211">
        <v>92.714633609313296</v>
      </c>
      <c r="AK2211">
        <v>14.0704427449365</v>
      </c>
      <c r="AL2211">
        <v>68.4029549093367</v>
      </c>
      <c r="AM2211">
        <v>96.929572508156198</v>
      </c>
      <c r="AN2211">
        <v>0.99999999747830903</v>
      </c>
    </row>
    <row r="2212" spans="1:40" x14ac:dyDescent="0.25">
      <c r="A2212" t="str">
        <f>"20190304164134001"</f>
        <v>20190304164134001</v>
      </c>
      <c r="B2212" t="str">
        <f>"1551688893993448"</f>
        <v>1551688893993448</v>
      </c>
      <c r="C2212" t="s">
        <v>40</v>
      </c>
      <c r="D2212">
        <v>3.9665849999999998</v>
      </c>
      <c r="E2212">
        <v>0.53724359999999904</v>
      </c>
      <c r="F2212" t="s">
        <v>46</v>
      </c>
      <c r="G2212">
        <v>-267.12479999999999</v>
      </c>
      <c r="H2212" s="1">
        <v>2.254671E-6</v>
      </c>
      <c r="I2212">
        <v>283.77969999999999</v>
      </c>
      <c r="J2212">
        <v>-253.1397</v>
      </c>
      <c r="K2212">
        <v>1.1095269999999999</v>
      </c>
      <c r="L2212">
        <v>284.23309999999998</v>
      </c>
      <c r="M2212">
        <v>-0.99986699999999995</v>
      </c>
      <c r="N2212">
        <v>-5.5016880000000002E-3</v>
      </c>
      <c r="O2212">
        <v>1.535457E-2</v>
      </c>
      <c r="P2212">
        <v>-0.92649230000000005</v>
      </c>
      <c r="Q2212">
        <v>0.3633246</v>
      </c>
      <c r="R2212">
        <v>-9.801704E-2</v>
      </c>
      <c r="S2212">
        <v>-3.3273160000000002</v>
      </c>
      <c r="T2212">
        <v>-0.25718770000000002</v>
      </c>
      <c r="U2212">
        <v>-0.1037903</v>
      </c>
      <c r="V2212">
        <v>-0.1124092</v>
      </c>
      <c r="W2212">
        <v>0.36835329999999999</v>
      </c>
      <c r="X2212">
        <v>0.92286509999999999</v>
      </c>
      <c r="Y2212">
        <v>-4.6334449999999999E-2</v>
      </c>
      <c r="Z2212">
        <v>-3.0158139999999999E-3</v>
      </c>
      <c r="AA2212">
        <v>0.99892150000000002</v>
      </c>
      <c r="AB2212">
        <v>42</v>
      </c>
      <c r="AC2212">
        <v>-13.9850999999999</v>
      </c>
      <c r="AD2212">
        <v>-1.109524745329</v>
      </c>
      <c r="AE2212">
        <v>-0.45339999999998698</v>
      </c>
      <c r="AF2212">
        <v>-0.66391056900863199</v>
      </c>
      <c r="AG2212">
        <v>-1.109524745329</v>
      </c>
      <c r="AH2212">
        <v>13.889159582187901</v>
      </c>
      <c r="AI2212">
        <v>94.562142928669303</v>
      </c>
      <c r="AJ2212">
        <v>92.736691232231493</v>
      </c>
      <c r="AK2212">
        <v>13.949214182297901</v>
      </c>
      <c r="AL2212">
        <v>68.385902889724406</v>
      </c>
      <c r="AM2212">
        <v>96.944678869591797</v>
      </c>
      <c r="AN2212">
        <v>0.99999998733176998</v>
      </c>
    </row>
    <row r="2213" spans="1:40" x14ac:dyDescent="0.25">
      <c r="A2213" t="str">
        <f>"20190304164134015"</f>
        <v>20190304164134015</v>
      </c>
      <c r="B2213" t="str">
        <f>"1551688894003207"</f>
        <v>1551688894003207</v>
      </c>
      <c r="C2213" t="s">
        <v>40</v>
      </c>
      <c r="D2213">
        <v>3.9264250000000001</v>
      </c>
      <c r="E2213">
        <v>0.55061009999999999</v>
      </c>
      <c r="F2213" t="s">
        <v>46</v>
      </c>
      <c r="G2213">
        <v>-267.6354</v>
      </c>
      <c r="H2213" s="1">
        <v>2.5263939999999999E-6</v>
      </c>
      <c r="I2213">
        <v>283.78370000000001</v>
      </c>
      <c r="J2213">
        <v>-253.4101</v>
      </c>
      <c r="K2213">
        <v>1.1095600000000001</v>
      </c>
      <c r="L2213">
        <v>284.2371</v>
      </c>
      <c r="M2213">
        <v>-0.99987029999999999</v>
      </c>
      <c r="N2213">
        <v>-5.5212869999999997E-3</v>
      </c>
      <c r="O2213">
        <v>1.5129739999999999E-2</v>
      </c>
      <c r="P2213">
        <v>-0.92628339999999998</v>
      </c>
      <c r="Q2213">
        <v>0.36373630000000001</v>
      </c>
      <c r="R2213">
        <v>-9.8463239999999994E-2</v>
      </c>
      <c r="S2213">
        <v>-3.326965</v>
      </c>
      <c r="T2213">
        <v>-0.25465130000000002</v>
      </c>
      <c r="U2213">
        <v>-0.1031494</v>
      </c>
      <c r="V2213">
        <v>-0.11267290000000001</v>
      </c>
      <c r="W2213">
        <v>0.36877349999999998</v>
      </c>
      <c r="X2213">
        <v>0.92266510000000002</v>
      </c>
      <c r="Y2213">
        <v>-4.5926330000000001E-2</v>
      </c>
      <c r="Z2213">
        <v>-2.954389E-3</v>
      </c>
      <c r="AA2213">
        <v>0.99894050000000001</v>
      </c>
      <c r="AB2213">
        <v>42</v>
      </c>
      <c r="AC2213">
        <v>-14.225300000000001</v>
      </c>
      <c r="AD2213">
        <v>-1.1095574736059901</v>
      </c>
      <c r="AE2213">
        <v>-0.45339999999998698</v>
      </c>
      <c r="AF2213">
        <v>-0.66453764365120405</v>
      </c>
      <c r="AG2213">
        <v>-1.1095574736059901</v>
      </c>
      <c r="AH2213">
        <v>14.1309289214045</v>
      </c>
      <c r="AI2213">
        <v>94.484704460766196</v>
      </c>
      <c r="AJ2213">
        <v>92.692474871130798</v>
      </c>
      <c r="AK2213">
        <v>14.1899922568285</v>
      </c>
      <c r="AL2213">
        <v>68.360003860109003</v>
      </c>
      <c r="AM2213">
        <v>96.962304739995801</v>
      </c>
      <c r="AN2213">
        <v>0.99999998172733395</v>
      </c>
    </row>
    <row r="2214" spans="1:40" x14ac:dyDescent="0.25">
      <c r="A2214" t="str">
        <f>"20190304164134032"</f>
        <v>20190304164134032</v>
      </c>
      <c r="B2214" t="str">
        <f>"1551688894022726"</f>
        <v>1551688894022726</v>
      </c>
      <c r="C2214" t="s">
        <v>40</v>
      </c>
      <c r="D2214">
        <v>3.920058</v>
      </c>
      <c r="E2214">
        <v>0.55137559999999997</v>
      </c>
      <c r="F2214" t="s">
        <v>46</v>
      </c>
      <c r="G2214">
        <v>-268.17509999999999</v>
      </c>
      <c r="H2214" s="1">
        <v>2.8136E-6</v>
      </c>
      <c r="I2214">
        <v>284.24110000000002</v>
      </c>
      <c r="J2214">
        <v>-253.74019999999999</v>
      </c>
      <c r="K2214">
        <v>1.1096060000000001</v>
      </c>
      <c r="L2214">
        <v>284.24189999999999</v>
      </c>
      <c r="M2214">
        <v>-0.99987479999999995</v>
      </c>
      <c r="N2214">
        <v>-5.5452569999999996E-3</v>
      </c>
      <c r="O2214">
        <v>1.4827160000000001E-2</v>
      </c>
      <c r="P2214">
        <v>-0.92614419999999997</v>
      </c>
      <c r="Q2214">
        <v>0.36406189999999999</v>
      </c>
      <c r="R2214">
        <v>-9.8571350000000002E-2</v>
      </c>
      <c r="S2214">
        <v>-3.3373409999999999</v>
      </c>
      <c r="T2214">
        <v>-0.25079299999999999</v>
      </c>
      <c r="U2214">
        <v>9.1552729999999996E-4</v>
      </c>
      <c r="V2214">
        <v>-0.1125375</v>
      </c>
      <c r="W2214">
        <v>0.36910860000000001</v>
      </c>
      <c r="X2214">
        <v>0.92254760000000002</v>
      </c>
      <c r="Y2214">
        <v>-1.4473389999999999E-2</v>
      </c>
      <c r="Z2214">
        <v>-1.6137530000000001E-3</v>
      </c>
      <c r="AA2214">
        <v>0.99989399999999995</v>
      </c>
      <c r="AB2214">
        <v>42</v>
      </c>
      <c r="AC2214">
        <v>-14.434900000000001</v>
      </c>
      <c r="AD2214">
        <v>-1.10960318639999</v>
      </c>
      <c r="AE2214">
        <v>-7.9999999996971296E-4</v>
      </c>
      <c r="AF2214">
        <v>-0.21356978622553899</v>
      </c>
      <c r="AG2214">
        <v>-1.10960318639999</v>
      </c>
      <c r="AH2214">
        <v>14.3485170995204</v>
      </c>
      <c r="AI2214">
        <v>94.421523089376194</v>
      </c>
      <c r="AJ2214">
        <v>90.852753197692493</v>
      </c>
      <c r="AK2214">
        <v>14.3929418202147</v>
      </c>
      <c r="AL2214">
        <v>68.339346267605094</v>
      </c>
      <c r="AM2214">
        <v>96.954897072614202</v>
      </c>
      <c r="AN2214">
        <v>0.99999996088298404</v>
      </c>
    </row>
    <row r="2215" spans="1:40" x14ac:dyDescent="0.25">
      <c r="A2215" t="str">
        <f>"20190304164134046"</f>
        <v>20190304164134046</v>
      </c>
      <c r="B2215" t="str">
        <f>"1551688894033463"</f>
        <v>1551688894033463</v>
      </c>
      <c r="C2215" t="s">
        <v>40</v>
      </c>
      <c r="D2215">
        <v>3.9205399999999999</v>
      </c>
      <c r="E2215">
        <v>0.55156149999999904</v>
      </c>
      <c r="F2215" t="s">
        <v>41</v>
      </c>
      <c r="G2215">
        <v>-254.66380000000001</v>
      </c>
      <c r="H2215">
        <v>1.041409</v>
      </c>
      <c r="I2215">
        <v>284.24349999999998</v>
      </c>
      <c r="J2215">
        <v>-253.98840000000001</v>
      </c>
      <c r="K2215">
        <v>1.109642</v>
      </c>
      <c r="L2215">
        <v>284.24549999999999</v>
      </c>
      <c r="M2215">
        <v>-0.99987839999999995</v>
      </c>
      <c r="N2215">
        <v>-5.5633089999999998E-3</v>
      </c>
      <c r="O2215">
        <v>1.457871E-2</v>
      </c>
      <c r="P2215">
        <v>-0.92598539999999996</v>
      </c>
      <c r="Q2215">
        <v>0.3644889</v>
      </c>
      <c r="R2215">
        <v>-9.8485610000000001E-2</v>
      </c>
      <c r="S2215">
        <v>-3.3366699999999998</v>
      </c>
      <c r="T2215">
        <v>-0.24645249999999999</v>
      </c>
      <c r="U2215">
        <v>5.1879880000000001E-3</v>
      </c>
      <c r="V2215">
        <v>-0.112251</v>
      </c>
      <c r="W2215">
        <v>0.36954239999999999</v>
      </c>
      <c r="X2215">
        <v>0.92240889999999998</v>
      </c>
      <c r="Y2215">
        <v>-1.295234E-2</v>
      </c>
      <c r="Z2215">
        <v>-1.5080789999999901E-3</v>
      </c>
      <c r="AA2215">
        <v>0.999915</v>
      </c>
      <c r="AB2215">
        <v>42</v>
      </c>
      <c r="AC2215">
        <v>-0.675399999999996</v>
      </c>
      <c r="AD2215">
        <v>-6.8232999999999905E-2</v>
      </c>
      <c r="AE2215">
        <v>-2.0000000000095402E-3</v>
      </c>
      <c r="AF2215">
        <v>-1.1726714163066299E-2</v>
      </c>
      <c r="AG2215">
        <v>-6.8232999999999905E-2</v>
      </c>
      <c r="AH2215">
        <v>0.66847647387737297</v>
      </c>
      <c r="AI2215">
        <v>95.8272427634829</v>
      </c>
      <c r="AJ2215">
        <v>91.005005181234793</v>
      </c>
      <c r="AK2215">
        <v>0.67205212167032802</v>
      </c>
      <c r="AL2215">
        <v>68.312601903486794</v>
      </c>
      <c r="AM2215">
        <v>96.9383969136221</v>
      </c>
      <c r="AN2215">
        <v>1.00000002559898</v>
      </c>
    </row>
    <row r="2216" spans="1:40" x14ac:dyDescent="0.25">
      <c r="A2216" t="str">
        <f>"20190304164134062"</f>
        <v>20190304164134062</v>
      </c>
      <c r="B2216" t="str">
        <f>"1551688894052982"</f>
        <v>1551688894052982</v>
      </c>
      <c r="C2216" t="s">
        <v>40</v>
      </c>
      <c r="D2216">
        <v>3.9240110000000001</v>
      </c>
      <c r="E2216">
        <v>0.5519269</v>
      </c>
      <c r="F2216" t="s">
        <v>41</v>
      </c>
      <c r="G2216">
        <v>-255.029</v>
      </c>
      <c r="H2216">
        <v>1.0339290000000001</v>
      </c>
      <c r="I2216">
        <v>284.2475</v>
      </c>
      <c r="J2216">
        <v>-254.30359999999999</v>
      </c>
      <c r="K2216">
        <v>1.1096900000000001</v>
      </c>
      <c r="L2216">
        <v>284.24979999999999</v>
      </c>
      <c r="M2216">
        <v>-0.99988319999999997</v>
      </c>
      <c r="N2216">
        <v>-5.5862500000000001E-3</v>
      </c>
      <c r="O2216">
        <v>1.423233E-2</v>
      </c>
      <c r="P2216">
        <v>-0.92592540000000001</v>
      </c>
      <c r="Q2216">
        <v>0.36466929999999997</v>
      </c>
      <c r="R2216">
        <v>-9.8379270000000005E-2</v>
      </c>
      <c r="S2216">
        <v>-3.336014</v>
      </c>
      <c r="T2216">
        <v>-0.24293010000000001</v>
      </c>
      <c r="U2216">
        <v>5.5847170000000003E-3</v>
      </c>
      <c r="V2216">
        <v>-0.1118654</v>
      </c>
      <c r="W2216">
        <v>0.36973159999999999</v>
      </c>
      <c r="X2216">
        <v>0.92237990000000003</v>
      </c>
      <c r="Y2216">
        <v>-1.2490889999999999E-2</v>
      </c>
      <c r="Z2216">
        <v>-1.4447259999999999E-3</v>
      </c>
      <c r="AA2216">
        <v>0.99992099999999995</v>
      </c>
      <c r="AB2216">
        <v>43</v>
      </c>
      <c r="AC2216">
        <v>-0.72540000000003502</v>
      </c>
      <c r="AD2216">
        <v>-7.5760999999999898E-2</v>
      </c>
      <c r="AE2216">
        <v>-2.29999999999108E-3</v>
      </c>
      <c r="AF2216">
        <v>-1.2487846102858399E-2</v>
      </c>
      <c r="AG2216">
        <v>-7.5760999999999898E-2</v>
      </c>
      <c r="AH2216">
        <v>0.71746788905066206</v>
      </c>
      <c r="AI2216">
        <v>96.026902244797995</v>
      </c>
      <c r="AJ2216">
        <v>90.997157708970803</v>
      </c>
      <c r="AK2216">
        <v>0.721564860036921</v>
      </c>
      <c r="AL2216">
        <v>68.300934725573697</v>
      </c>
      <c r="AM2216">
        <v>96.915008870704199</v>
      </c>
      <c r="AN2216">
        <v>1.00000000183986</v>
      </c>
    </row>
    <row r="2217" spans="1:40" x14ac:dyDescent="0.25">
      <c r="A2217" t="str">
        <f>"20190304164134079"</f>
        <v>20190304164134079</v>
      </c>
      <c r="B2217" t="str">
        <f>"1551688894073479"</f>
        <v>1551688894073479</v>
      </c>
      <c r="C2217" t="s">
        <v>40</v>
      </c>
      <c r="D2217">
        <v>3.9067940000000001</v>
      </c>
      <c r="E2217">
        <v>0.55208089999999999</v>
      </c>
      <c r="F2217" t="s">
        <v>41</v>
      </c>
      <c r="G2217">
        <v>-255.4075</v>
      </c>
      <c r="H2217">
        <v>1.0299780000000001</v>
      </c>
      <c r="I2217">
        <v>284.2527</v>
      </c>
      <c r="J2217">
        <v>-254.63050000000001</v>
      </c>
      <c r="K2217">
        <v>1.1097459999999999</v>
      </c>
      <c r="L2217">
        <v>284.2543</v>
      </c>
      <c r="M2217">
        <v>-0.99988880000000002</v>
      </c>
      <c r="N2217">
        <v>-5.6100289999999999E-3</v>
      </c>
      <c r="O2217">
        <v>1.382569E-2</v>
      </c>
      <c r="P2217">
        <v>-0.92565249999999999</v>
      </c>
      <c r="Q2217">
        <v>0.365651</v>
      </c>
      <c r="R2217">
        <v>-9.7298960000000004E-2</v>
      </c>
      <c r="S2217">
        <v>-3.335785</v>
      </c>
      <c r="T2217">
        <v>-0.24107429999999999</v>
      </c>
      <c r="U2217">
        <v>7.9040529999999994E-3</v>
      </c>
      <c r="V2217">
        <v>-0.1104541</v>
      </c>
      <c r="W2217">
        <v>0.37072110000000003</v>
      </c>
      <c r="X2217">
        <v>0.92215279999999999</v>
      </c>
      <c r="Y2217">
        <v>-1.139393E-2</v>
      </c>
      <c r="Z2217">
        <v>-1.363551E-3</v>
      </c>
      <c r="AA2217">
        <v>0.99993410000000005</v>
      </c>
      <c r="AB2217">
        <v>43</v>
      </c>
      <c r="AC2217">
        <v>-0.77699999999998604</v>
      </c>
      <c r="AD2217">
        <v>-7.9767999999999797E-2</v>
      </c>
      <c r="AE2217">
        <v>-1.59999999999627E-3</v>
      </c>
      <c r="AF2217">
        <v>-1.22138500382378E-2</v>
      </c>
      <c r="AG2217">
        <v>-7.9767999999999797E-2</v>
      </c>
      <c r="AH2217">
        <v>0.76880095427778705</v>
      </c>
      <c r="AI2217">
        <v>95.922864339136893</v>
      </c>
      <c r="AJ2217">
        <v>90.910174719172502</v>
      </c>
      <c r="AK2217">
        <v>0.77302459162383197</v>
      </c>
      <c r="AL2217">
        <v>68.239904071993394</v>
      </c>
      <c r="AM2217">
        <v>96.830263503055903</v>
      </c>
      <c r="AN2217">
        <v>1.0000000143699299</v>
      </c>
    </row>
    <row r="2218" spans="1:40" x14ac:dyDescent="0.25">
      <c r="A2218" t="str">
        <f>"20190304164134103"</f>
        <v>20190304164134103</v>
      </c>
      <c r="B2218" t="str">
        <f>"1551688894092999"</f>
        <v>1551688894092999</v>
      </c>
      <c r="C2218" t="s">
        <v>40</v>
      </c>
      <c r="D2218">
        <v>3.9172570000000002</v>
      </c>
      <c r="E2218">
        <v>0.55218389999999995</v>
      </c>
      <c r="F2218" t="s">
        <v>46</v>
      </c>
      <c r="G2218">
        <v>-270.06420000000003</v>
      </c>
      <c r="H2218" s="1">
        <v>-1.488836E-6</v>
      </c>
      <c r="I2218">
        <v>284.30099999999999</v>
      </c>
      <c r="J2218">
        <v>-255.0806</v>
      </c>
      <c r="K2218">
        <v>1.1098250000000001</v>
      </c>
      <c r="L2218">
        <v>284.26010000000002</v>
      </c>
      <c r="M2218">
        <v>-0.99989700000000004</v>
      </c>
      <c r="N2218">
        <v>-5.6428009999999898E-3</v>
      </c>
      <c r="O2218">
        <v>1.3203390000000001E-2</v>
      </c>
      <c r="P2218">
        <v>-0.92559449999999999</v>
      </c>
      <c r="Q2218">
        <v>0.36601640000000002</v>
      </c>
      <c r="R2218">
        <v>-9.6473920000000005E-2</v>
      </c>
      <c r="S2218">
        <v>-3.3368229999999999</v>
      </c>
      <c r="T2218">
        <v>-0.2399307</v>
      </c>
      <c r="U2218">
        <v>1.010132E-2</v>
      </c>
      <c r="V2218">
        <v>-0.1091237</v>
      </c>
      <c r="W2218">
        <v>0.37109760000000003</v>
      </c>
      <c r="X2218">
        <v>0.92215970000000003</v>
      </c>
      <c r="Y2218">
        <v>-1.011947E-2</v>
      </c>
      <c r="Z2218">
        <v>-1.2656430000000001E-3</v>
      </c>
      <c r="AA2218">
        <v>0.99994799999999995</v>
      </c>
      <c r="AB2218">
        <v>43</v>
      </c>
      <c r="AC2218">
        <v>-14.983599999999999</v>
      </c>
      <c r="AD2218">
        <v>-1.1098264888359901</v>
      </c>
      <c r="AE2218">
        <v>4.0899999999964999E-2</v>
      </c>
      <c r="AF2218">
        <v>-0.15608469380873199</v>
      </c>
      <c r="AG2218">
        <v>-1.1098264888359901</v>
      </c>
      <c r="AH2218">
        <v>14.901083008472501</v>
      </c>
      <c r="AI2218">
        <v>94.259268625990501</v>
      </c>
      <c r="AJ2218">
        <v>90.600135382360904</v>
      </c>
      <c r="AK2218">
        <v>14.943170750960199</v>
      </c>
      <c r="AL2218">
        <v>68.216674068601705</v>
      </c>
      <c r="AM2218">
        <v>96.748707547550296</v>
      </c>
      <c r="AN2218">
        <v>0.99999996146576897</v>
      </c>
    </row>
    <row r="2219" spans="1:40" x14ac:dyDescent="0.25">
      <c r="A2219" t="str">
        <f>"20190304164134122"</f>
        <v>20190304164134122</v>
      </c>
      <c r="B2219" t="str">
        <f>"1551688894113495"</f>
        <v>1551688894113495</v>
      </c>
      <c r="C2219" t="s">
        <v>40</v>
      </c>
      <c r="D2219">
        <v>3.8949479999999999</v>
      </c>
      <c r="E2219">
        <v>0.55218819999999902</v>
      </c>
      <c r="F2219" t="s">
        <v>41</v>
      </c>
      <c r="G2219">
        <v>-256.17450000000002</v>
      </c>
      <c r="H2219">
        <v>1.031507</v>
      </c>
      <c r="I2219">
        <v>284.26429999999999</v>
      </c>
      <c r="J2219">
        <v>-255.46029999999999</v>
      </c>
      <c r="K2219">
        <v>1.1098920000000001</v>
      </c>
      <c r="L2219">
        <v>284.26479999999998</v>
      </c>
      <c r="M2219">
        <v>-0.99990469999999998</v>
      </c>
      <c r="N2219">
        <v>-5.6704529999999998E-3</v>
      </c>
      <c r="O2219">
        <v>1.2596E-2</v>
      </c>
      <c r="P2219">
        <v>-0.92563580000000001</v>
      </c>
      <c r="Q2219">
        <v>0.36632550000000003</v>
      </c>
      <c r="R2219">
        <v>-9.4891299999999998E-2</v>
      </c>
      <c r="S2219">
        <v>-3.3369900000000001</v>
      </c>
      <c r="T2219">
        <v>-0.23912369999999999</v>
      </c>
      <c r="U2219">
        <v>1.1932369999999999E-2</v>
      </c>
      <c r="V2219">
        <v>-0.10705000000000001</v>
      </c>
      <c r="W2219">
        <v>0.37141550000000001</v>
      </c>
      <c r="X2219">
        <v>0.92227479999999995</v>
      </c>
      <c r="Y2219">
        <v>-8.9684350000000003E-3</v>
      </c>
      <c r="Z2219">
        <v>-1.1764690000000001E-3</v>
      </c>
      <c r="AA2219">
        <v>0.99995909999999999</v>
      </c>
      <c r="AB2219">
        <v>43</v>
      </c>
      <c r="AC2219">
        <v>-0.71420000000003303</v>
      </c>
      <c r="AD2219">
        <v>-7.8385000000000093E-2</v>
      </c>
      <c r="AE2219">
        <v>-4.9999999998817603E-4</v>
      </c>
      <c r="AF2219">
        <v>-9.3831422166264604E-3</v>
      </c>
      <c r="AG2219">
        <v>-7.8385000000000093E-2</v>
      </c>
      <c r="AH2219">
        <v>0.70563726370951296</v>
      </c>
      <c r="AI2219">
        <v>96.338100777250105</v>
      </c>
      <c r="AJ2219">
        <v>90.761840100341601</v>
      </c>
      <c r="AK2219">
        <v>0.71003957602256695</v>
      </c>
      <c r="AL2219">
        <v>68.197058455613998</v>
      </c>
      <c r="AM2219">
        <v>96.620791188031603</v>
      </c>
      <c r="AN2219">
        <v>0.99999999142764395</v>
      </c>
    </row>
    <row r="2220" spans="1:40" x14ac:dyDescent="0.25">
      <c r="A2220" t="str">
        <f>"20190304164134135"</f>
        <v>20190304164134135</v>
      </c>
      <c r="B2220" t="str">
        <f>"1551688894123255"</f>
        <v>1551688894123255</v>
      </c>
      <c r="C2220" t="s">
        <v>40</v>
      </c>
      <c r="D2220">
        <v>3.895219</v>
      </c>
      <c r="E2220">
        <v>0.55215599999999998</v>
      </c>
      <c r="F2220" t="s">
        <v>41</v>
      </c>
      <c r="G2220">
        <v>-256.55880000000002</v>
      </c>
      <c r="H2220">
        <v>1.0311859999999999</v>
      </c>
      <c r="I2220">
        <v>284.2704</v>
      </c>
      <c r="J2220">
        <v>-255.71250000000001</v>
      </c>
      <c r="K2220">
        <v>1.109944</v>
      </c>
      <c r="L2220">
        <v>284.26769999999999</v>
      </c>
      <c r="M2220">
        <v>-0.99991010000000002</v>
      </c>
      <c r="N2220">
        <v>-5.6890279999999996E-3</v>
      </c>
      <c r="O2220">
        <v>1.214731E-2</v>
      </c>
      <c r="P2220">
        <v>-0.92563799999999996</v>
      </c>
      <c r="Q2220">
        <v>0.36650349999999998</v>
      </c>
      <c r="R2220">
        <v>-9.4178330000000005E-2</v>
      </c>
      <c r="S2220">
        <v>-3.3374329999999999</v>
      </c>
      <c r="T2220">
        <v>-0.23940800000000001</v>
      </c>
      <c r="U2220">
        <v>1.6265870000000002E-2</v>
      </c>
      <c r="V2220">
        <v>-0.1059707</v>
      </c>
      <c r="W2220">
        <v>0.37159910000000002</v>
      </c>
      <c r="X2220">
        <v>0.92232550000000002</v>
      </c>
      <c r="Y2220">
        <v>-7.2275129999999996E-3</v>
      </c>
      <c r="Z2220">
        <v>-1.0806889999999999E-3</v>
      </c>
      <c r="AA2220">
        <v>0.99997329999999995</v>
      </c>
      <c r="AB2220">
        <v>43</v>
      </c>
      <c r="AC2220">
        <v>-0.84630000000001304</v>
      </c>
      <c r="AD2220">
        <v>-7.87579999999998E-2</v>
      </c>
      <c r="AE2220">
        <v>2.7000000000043599E-3</v>
      </c>
      <c r="AF2220">
        <v>-7.5155459836539996E-3</v>
      </c>
      <c r="AG2220">
        <v>-7.87579999999998E-2</v>
      </c>
      <c r="AH2220">
        <v>0.83900427092349406</v>
      </c>
      <c r="AI2220">
        <v>95.362471966061705</v>
      </c>
      <c r="AJ2220">
        <v>90.513224501557303</v>
      </c>
      <c r="AK2220">
        <v>0.84272621451055896</v>
      </c>
      <c r="AL2220">
        <v>68.185728324448803</v>
      </c>
      <c r="AM2220">
        <v>96.554265643986</v>
      </c>
      <c r="AN2220">
        <v>1.0000000041647701</v>
      </c>
    </row>
    <row r="2221" spans="1:40" x14ac:dyDescent="0.25">
      <c r="A2221" t="str">
        <f>"20190304164134148"</f>
        <v>20190304164134148</v>
      </c>
      <c r="B2221" t="str">
        <f>"1551688894142775"</f>
        <v>1551688894142775</v>
      </c>
      <c r="C2221" t="s">
        <v>40</v>
      </c>
      <c r="D2221">
        <v>3.886501</v>
      </c>
      <c r="E2221">
        <v>0.55236470000000004</v>
      </c>
      <c r="F2221" t="s">
        <v>46</v>
      </c>
      <c r="G2221">
        <v>-271.26609999999999</v>
      </c>
      <c r="H2221" s="1">
        <v>-8.5150739999999997E-7</v>
      </c>
      <c r="I2221">
        <v>284.35289999999998</v>
      </c>
      <c r="J2221">
        <v>-255.9607</v>
      </c>
      <c r="K2221">
        <v>1.1099969999999999</v>
      </c>
      <c r="L2221">
        <v>284.2704</v>
      </c>
      <c r="M2221">
        <v>-0.99991549999999996</v>
      </c>
      <c r="N2221">
        <v>-5.7072700000000004E-3</v>
      </c>
      <c r="O2221">
        <v>1.168157E-2</v>
      </c>
      <c r="P2221">
        <v>-0.92560710000000002</v>
      </c>
      <c r="Q2221">
        <v>0.36672310000000002</v>
      </c>
      <c r="R2221">
        <v>-9.3627559999999999E-2</v>
      </c>
      <c r="S2221">
        <v>-3.3371580000000001</v>
      </c>
      <c r="T2221">
        <v>-0.23814740000000001</v>
      </c>
      <c r="U2221">
        <v>1.8280029999999999E-2</v>
      </c>
      <c r="V2221">
        <v>-0.1050374</v>
      </c>
      <c r="W2221">
        <v>0.37182310000000002</v>
      </c>
      <c r="X2221">
        <v>0.922342</v>
      </c>
      <c r="Y2221">
        <v>-6.1622439999999999E-3</v>
      </c>
      <c r="Z2221">
        <v>-1.0031489999999901E-3</v>
      </c>
      <c r="AA2221">
        <v>0.99998050000000005</v>
      </c>
      <c r="AB2221">
        <v>43</v>
      </c>
      <c r="AC2221">
        <v>-15.305399999999899</v>
      </c>
      <c r="AD2221">
        <v>-1.1099978515073901</v>
      </c>
      <c r="AE2221">
        <v>8.2499999999981796E-2</v>
      </c>
      <c r="AF2221">
        <v>-9.5795803723860304E-2</v>
      </c>
      <c r="AG2221">
        <v>-1.1099978515073901</v>
      </c>
      <c r="AH2221">
        <v>15.225242631637199</v>
      </c>
      <c r="AI2221">
        <v>94.169695120717094</v>
      </c>
      <c r="AJ2221">
        <v>90.360494932919593</v>
      </c>
      <c r="AK2221">
        <v>15.265951829433501</v>
      </c>
      <c r="AL2221">
        <v>68.171903840947394</v>
      </c>
      <c r="AM2221">
        <v>96.4969217195966</v>
      </c>
      <c r="AN2221">
        <v>1.0000000190281799</v>
      </c>
    </row>
    <row r="2222" spans="1:40" x14ac:dyDescent="0.25">
      <c r="A2222" t="str">
        <f>"20190304164134167"</f>
        <v>20190304164134167</v>
      </c>
      <c r="B2222" t="str">
        <f>"1551688894153511"</f>
        <v>1551688894153511</v>
      </c>
      <c r="C2222" t="s">
        <v>40</v>
      </c>
      <c r="D2222">
        <v>3.901551</v>
      </c>
      <c r="E2222">
        <v>0.55246600000000001</v>
      </c>
      <c r="F2222" t="s">
        <v>41</v>
      </c>
      <c r="G2222">
        <v>-256.95089999999999</v>
      </c>
      <c r="H2222">
        <v>1.0398149999999999</v>
      </c>
      <c r="I2222">
        <v>284.27670000000001</v>
      </c>
      <c r="J2222">
        <v>-256.31650000000002</v>
      </c>
      <c r="K2222">
        <v>1.1100779999999999</v>
      </c>
      <c r="L2222">
        <v>284.27409999999998</v>
      </c>
      <c r="M2222">
        <v>-0.99992349999999997</v>
      </c>
      <c r="N2222">
        <v>-5.733396E-3</v>
      </c>
      <c r="O2222">
        <v>1.096133E-2</v>
      </c>
      <c r="P2222">
        <v>-0.92565980000000003</v>
      </c>
      <c r="Q2222">
        <v>0.36713839999999998</v>
      </c>
      <c r="R2222">
        <v>-9.1450539999999997E-2</v>
      </c>
      <c r="S2222">
        <v>-3.3369450000000001</v>
      </c>
      <c r="T2222">
        <v>-0.23648069999999999</v>
      </c>
      <c r="U2222">
        <v>2.114868E-2</v>
      </c>
      <c r="V2222">
        <v>-0.102268</v>
      </c>
      <c r="W2222">
        <v>0.37224849999999998</v>
      </c>
      <c r="X2222">
        <v>0.92248160000000001</v>
      </c>
      <c r="Y2222">
        <v>-4.5883999999999899E-3</v>
      </c>
      <c r="Z2222">
        <v>-8.88578E-4</v>
      </c>
      <c r="AA2222">
        <v>0.99998909999999996</v>
      </c>
      <c r="AB2222">
        <v>43</v>
      </c>
      <c r="AC2222">
        <v>-0.63439999999997099</v>
      </c>
      <c r="AD2222">
        <v>-7.0263000000000103E-2</v>
      </c>
      <c r="AE2222">
        <v>2.6000000000294598E-3</v>
      </c>
      <c r="AF2222">
        <v>-4.30137544582286E-3</v>
      </c>
      <c r="AG2222">
        <v>-7.0263000000000103E-2</v>
      </c>
      <c r="AH2222">
        <v>0.626702950408771</v>
      </c>
      <c r="AI2222">
        <v>96.396871139696998</v>
      </c>
      <c r="AJ2222">
        <v>90.393243384594896</v>
      </c>
      <c r="AK2222">
        <v>0.63064409856176695</v>
      </c>
      <c r="AL2222">
        <v>68.145644808615401</v>
      </c>
      <c r="AM2222">
        <v>96.326082887781894</v>
      </c>
      <c r="AN2222">
        <v>0.99999999595740496</v>
      </c>
    </row>
    <row r="2223" spans="1:40" x14ac:dyDescent="0.25">
      <c r="A2223" t="str">
        <f>"20190304164134179"</f>
        <v>20190304164134179</v>
      </c>
      <c r="B2223" t="str">
        <f>"1551688894173031"</f>
        <v>1551688894173031</v>
      </c>
      <c r="C2223" t="s">
        <v>40</v>
      </c>
      <c r="D2223">
        <v>3.9013909999999998</v>
      </c>
      <c r="E2223">
        <v>0.55261280000000002</v>
      </c>
      <c r="F2223" t="s">
        <v>41</v>
      </c>
      <c r="G2223">
        <v>-257.33550000000002</v>
      </c>
      <c r="H2223">
        <v>1.038395</v>
      </c>
      <c r="I2223">
        <v>284.28320000000002</v>
      </c>
      <c r="J2223">
        <v>-256.5718</v>
      </c>
      <c r="K2223">
        <v>1.110134</v>
      </c>
      <c r="L2223">
        <v>284.27659999999997</v>
      </c>
      <c r="M2223">
        <v>-0.99992939999999997</v>
      </c>
      <c r="N2223">
        <v>-5.7521739999999997E-3</v>
      </c>
      <c r="O2223">
        <v>1.040634E-2</v>
      </c>
      <c r="P2223">
        <v>-0.92561709999999997</v>
      </c>
      <c r="Q2223">
        <v>0.36742130000000001</v>
      </c>
      <c r="R2223">
        <v>-9.074567E-2</v>
      </c>
      <c r="S2223">
        <v>-3.3369749999999998</v>
      </c>
      <c r="T2223">
        <v>-0.23491679999999901</v>
      </c>
      <c r="U2223">
        <v>2.893066E-2</v>
      </c>
      <c r="V2223">
        <v>-0.1011024</v>
      </c>
      <c r="W2223">
        <v>0.3725366</v>
      </c>
      <c r="X2223">
        <v>0.92249380000000003</v>
      </c>
      <c r="Y2223">
        <v>-1.71089299999999E-3</v>
      </c>
      <c r="Z2223">
        <v>-7.3693119999999998E-4</v>
      </c>
      <c r="AA2223">
        <v>0.99999830000000001</v>
      </c>
      <c r="AB2223">
        <v>43</v>
      </c>
      <c r="AC2223">
        <v>-0.76370000000002802</v>
      </c>
      <c r="AD2223">
        <v>-7.1738999999999706E-2</v>
      </c>
      <c r="AE2223">
        <v>6.6000000000485601E-3</v>
      </c>
      <c r="AF2223">
        <v>-1.33602182754961E-3</v>
      </c>
      <c r="AG2223">
        <v>-7.1738999999999706E-2</v>
      </c>
      <c r="AH2223">
        <v>0.75704764649843603</v>
      </c>
      <c r="AI2223">
        <v>95.413263204432297</v>
      </c>
      <c r="AJ2223">
        <v>90.101114286454106</v>
      </c>
      <c r="AK2223">
        <v>0.76044027256855895</v>
      </c>
      <c r="AL2223">
        <v>68.127859005598197</v>
      </c>
      <c r="AM2223">
        <v>96.254473953641096</v>
      </c>
      <c r="AN2223">
        <v>1.00000001233188</v>
      </c>
    </row>
    <row r="2224" spans="1:40" x14ac:dyDescent="0.25">
      <c r="A2224" t="str">
        <f>"20190304164134192"</f>
        <v>20190304164134192</v>
      </c>
      <c r="B2224" t="str">
        <f>"1551688894182790"</f>
        <v>1551688894182790</v>
      </c>
      <c r="C2224" t="s">
        <v>40</v>
      </c>
      <c r="D2224">
        <v>3.8895</v>
      </c>
      <c r="E2224">
        <v>0.55266769999999998</v>
      </c>
      <c r="F2224" t="s">
        <v>46</v>
      </c>
      <c r="G2224">
        <v>-272.4402</v>
      </c>
      <c r="H2224" s="1">
        <v>-2.301139E-7</v>
      </c>
      <c r="I2224">
        <v>284.42989999999998</v>
      </c>
      <c r="J2224">
        <v>-256.80470000000003</v>
      </c>
      <c r="K2224">
        <v>1.1101859999999999</v>
      </c>
      <c r="L2224">
        <v>284.27870000000001</v>
      </c>
      <c r="M2224">
        <v>-0.99993480000000001</v>
      </c>
      <c r="N2224">
        <v>-5.7693019999999996E-3</v>
      </c>
      <c r="O2224">
        <v>9.8646940000000002E-3</v>
      </c>
      <c r="P2224">
        <v>-0.92561789999999999</v>
      </c>
      <c r="Q2224">
        <v>0.36754720000000002</v>
      </c>
      <c r="R2224">
        <v>-9.0227009999999996E-2</v>
      </c>
      <c r="S2224">
        <v>-3.3369140000000002</v>
      </c>
      <c r="T2224">
        <v>-0.2334473</v>
      </c>
      <c r="U2224">
        <v>3.2226560000000001E-2</v>
      </c>
      <c r="V2224">
        <v>-0.1001307</v>
      </c>
      <c r="W2224">
        <v>0.372668</v>
      </c>
      <c r="X2224">
        <v>0.92254669999999905</v>
      </c>
      <c r="Y2224">
        <v>-1.8693320000000001E-4</v>
      </c>
      <c r="Z2224">
        <v>-6.3947099999999996E-4</v>
      </c>
      <c r="AA2224">
        <v>0.99999979999999999</v>
      </c>
      <c r="AB2224">
        <v>43</v>
      </c>
      <c r="AC2224">
        <v>-15.635499999999899</v>
      </c>
      <c r="AD2224">
        <v>-1.1101862301138901</v>
      </c>
      <c r="AE2224">
        <v>0.15119999999996001</v>
      </c>
      <c r="AF2224">
        <v>-3.0340367586026902E-3</v>
      </c>
      <c r="AG2224">
        <v>-1.1101862301138901</v>
      </c>
      <c r="AH2224">
        <v>15.557801927536699</v>
      </c>
      <c r="AI2224">
        <v>94.0816399309535</v>
      </c>
      <c r="AJ2224">
        <v>90.011173654206502</v>
      </c>
      <c r="AK2224">
        <v>15.5973627093614</v>
      </c>
      <c r="AL2224">
        <v>68.119745961729805</v>
      </c>
      <c r="AM2224">
        <v>96.194479065271494</v>
      </c>
      <c r="AN2224">
        <v>1.0000000044936801</v>
      </c>
    </row>
    <row r="2225" spans="1:40" x14ac:dyDescent="0.25">
      <c r="A2225" t="str">
        <f>"20190304164134204"</f>
        <v>20190304164134204</v>
      </c>
      <c r="B2225" t="str">
        <f>"1551688894193526"</f>
        <v>1551688894193526</v>
      </c>
      <c r="C2225" t="s">
        <v>40</v>
      </c>
      <c r="D2225">
        <v>3.87392</v>
      </c>
      <c r="E2225">
        <v>0.55271049999999999</v>
      </c>
      <c r="F2225" t="s">
        <v>41</v>
      </c>
      <c r="G2225">
        <v>-257.73020000000002</v>
      </c>
      <c r="H2225">
        <v>1.045642</v>
      </c>
      <c r="I2225">
        <v>284.2885</v>
      </c>
      <c r="J2225">
        <v>-257.03339999999997</v>
      </c>
      <c r="K2225">
        <v>1.110236</v>
      </c>
      <c r="L2225">
        <v>284.28070000000002</v>
      </c>
      <c r="M2225">
        <v>-0.99993989999999999</v>
      </c>
      <c r="N2225">
        <v>-5.7860819999999997E-3</v>
      </c>
      <c r="O2225">
        <v>9.3209079999999993E-3</v>
      </c>
      <c r="P2225">
        <v>-0.925763</v>
      </c>
      <c r="Q2225">
        <v>0.36726429999999999</v>
      </c>
      <c r="R2225">
        <v>-8.9889819999999995E-2</v>
      </c>
      <c r="S2225">
        <v>-3.3369749999999998</v>
      </c>
      <c r="T2225">
        <v>-0.2329388</v>
      </c>
      <c r="U2225">
        <v>3.4790040000000001E-2</v>
      </c>
      <c r="V2225">
        <v>-9.9337120000000001E-2</v>
      </c>
      <c r="W2225">
        <v>0.37239100000000003</v>
      </c>
      <c r="X2225">
        <v>0.92274429999999996</v>
      </c>
      <c r="Y2225">
        <v>1.120167E-3</v>
      </c>
      <c r="Z2225">
        <v>-5.5366119999999996E-4</v>
      </c>
      <c r="AA2225">
        <v>0.99999919999999998</v>
      </c>
      <c r="AB2225">
        <v>43</v>
      </c>
      <c r="AC2225">
        <v>-0.69680000000005204</v>
      </c>
      <c r="AD2225">
        <v>-6.4593999999999999E-2</v>
      </c>
      <c r="AE2225">
        <v>7.79999999997471E-3</v>
      </c>
      <c r="AF2225">
        <v>1.2936289050791299E-3</v>
      </c>
      <c r="AG2225">
        <v>-6.4593999999999999E-2</v>
      </c>
      <c r="AH2225">
        <v>0.69090590529509399</v>
      </c>
      <c r="AI2225">
        <v>95.341147484853806</v>
      </c>
      <c r="AJ2225">
        <v>89.892721441032094</v>
      </c>
      <c r="AK2225">
        <v>0.69392004458970502</v>
      </c>
      <c r="AL2225">
        <v>68.136847359765696</v>
      </c>
      <c r="AM2225">
        <v>96.144456259908907</v>
      </c>
      <c r="AN2225">
        <v>0.99999998173669202</v>
      </c>
    </row>
    <row r="2226" spans="1:40" x14ac:dyDescent="0.25">
      <c r="A2226" t="str">
        <f>"20190304164134223"</f>
        <v>20190304164134223</v>
      </c>
      <c r="B2226" t="str">
        <f>"1551688894213047"</f>
        <v>1551688894213047</v>
      </c>
      <c r="C2226" t="s">
        <v>40</v>
      </c>
      <c r="D2226">
        <v>3.8682729999999999</v>
      </c>
      <c r="E2226">
        <v>0.55270330000000001</v>
      </c>
      <c r="F2226" t="s">
        <v>41</v>
      </c>
      <c r="G2226">
        <v>-258.10820000000001</v>
      </c>
      <c r="H2226">
        <v>1.0351030000000001</v>
      </c>
      <c r="I2226">
        <v>284.29259999999999</v>
      </c>
      <c r="J2226">
        <v>-257.40750000000003</v>
      </c>
      <c r="K2226">
        <v>1.1103099999999999</v>
      </c>
      <c r="L2226">
        <v>284.28359999999998</v>
      </c>
      <c r="M2226">
        <v>-0.99994799999999995</v>
      </c>
      <c r="N2226">
        <v>-5.8134850000000002E-3</v>
      </c>
      <c r="O2226">
        <v>8.383181E-3</v>
      </c>
      <c r="P2226">
        <v>-0.92582089999999995</v>
      </c>
      <c r="Q2226">
        <v>0.3671296</v>
      </c>
      <c r="R2226">
        <v>-8.9843699999999999E-2</v>
      </c>
      <c r="S2226">
        <v>-3.3367309999999999</v>
      </c>
      <c r="T2226">
        <v>-0.23350689999999999</v>
      </c>
      <c r="U2226">
        <v>3.6224369999999999E-2</v>
      </c>
      <c r="V2226">
        <v>-9.8494070000000003E-2</v>
      </c>
      <c r="W2226">
        <v>0.37226619999999999</v>
      </c>
      <c r="X2226">
        <v>0.92288510000000001</v>
      </c>
      <c r="Y2226">
        <v>2.4830519999999999E-3</v>
      </c>
      <c r="Z2226">
        <v>-4.4323319999999998E-4</v>
      </c>
      <c r="AA2226">
        <v>0.99999680000000002</v>
      </c>
      <c r="AB2226">
        <v>43</v>
      </c>
      <c r="AC2226">
        <v>-0.700699999999983</v>
      </c>
      <c r="AD2226">
        <v>-7.5206999999999996E-2</v>
      </c>
      <c r="AE2226">
        <v>9.0000000000145502E-3</v>
      </c>
      <c r="AF2226">
        <v>3.0899000072982202E-3</v>
      </c>
      <c r="AG2226">
        <v>-7.5206999999999996E-2</v>
      </c>
      <c r="AH2226">
        <v>0.69277141987189805</v>
      </c>
      <c r="AI2226">
        <v>96.195683411726094</v>
      </c>
      <c r="AJ2226">
        <v>89.744450982665299</v>
      </c>
      <c r="AK2226">
        <v>0.69684853484984899</v>
      </c>
      <c r="AL2226">
        <v>68.144553537600004</v>
      </c>
      <c r="AM2226">
        <v>96.0917810843236</v>
      </c>
      <c r="AN2226">
        <v>1.0000000566448</v>
      </c>
    </row>
    <row r="2227" spans="1:40" x14ac:dyDescent="0.25">
      <c r="A2227" t="str">
        <f>"20190304164134236"</f>
        <v>20190304164134236</v>
      </c>
      <c r="B2227" t="str">
        <f>"1551688894222808"</f>
        <v>1551688894222808</v>
      </c>
      <c r="C2227" t="s">
        <v>40</v>
      </c>
      <c r="D2227">
        <v>3.8866679999999998</v>
      </c>
      <c r="E2227">
        <v>0.55268039999999996</v>
      </c>
      <c r="F2227" t="s">
        <v>41</v>
      </c>
      <c r="G2227">
        <v>-258.49689999999998</v>
      </c>
      <c r="H2227">
        <v>1.0339210000000001</v>
      </c>
      <c r="I2227">
        <v>284.29579999999999</v>
      </c>
      <c r="J2227">
        <v>-257.66469999999998</v>
      </c>
      <c r="K2227">
        <v>1.1103590000000001</v>
      </c>
      <c r="L2227">
        <v>284.28539999999998</v>
      </c>
      <c r="M2227">
        <v>-0.99995330000000004</v>
      </c>
      <c r="N2227">
        <v>-5.8319499999999998E-3</v>
      </c>
      <c r="O2227">
        <v>7.7111300000000001E-3</v>
      </c>
      <c r="P2227">
        <v>-0.92580090000000004</v>
      </c>
      <c r="Q2227">
        <v>0.36711929999999998</v>
      </c>
      <c r="R2227">
        <v>-9.008969E-2</v>
      </c>
      <c r="S2227">
        <v>-3.3367610000000001</v>
      </c>
      <c r="T2227">
        <v>-0.23391809999999999</v>
      </c>
      <c r="U2227">
        <v>3.7261959999999997E-2</v>
      </c>
      <c r="V2227">
        <v>-9.8160170000000005E-2</v>
      </c>
      <c r="W2227">
        <v>0.37226310000000001</v>
      </c>
      <c r="X2227">
        <v>0.92292189999999996</v>
      </c>
      <c r="Y2227">
        <v>3.4619960000000002E-3</v>
      </c>
      <c r="Z2227">
        <v>-3.6366140000000001E-4</v>
      </c>
      <c r="AA2227">
        <v>0.99999389999999999</v>
      </c>
      <c r="AB2227">
        <v>43</v>
      </c>
      <c r="AC2227">
        <v>-0.83220000000000005</v>
      </c>
      <c r="AD2227">
        <v>-7.64380000000002E-2</v>
      </c>
      <c r="AE2227">
        <v>1.04000000000041E-2</v>
      </c>
      <c r="AF2227">
        <v>3.9490683268212099E-3</v>
      </c>
      <c r="AG2227">
        <v>-7.64380000000002E-2</v>
      </c>
      <c r="AH2227">
        <v>0.82529393452497901</v>
      </c>
      <c r="AI2227">
        <v>95.291528095906799</v>
      </c>
      <c r="AJ2227">
        <v>89.725839229163398</v>
      </c>
      <c r="AK2227">
        <v>0.82883559367848803</v>
      </c>
      <c r="AL2227">
        <v>68.1447443897178</v>
      </c>
      <c r="AM2227">
        <v>96.071043856495393</v>
      </c>
      <c r="AN2227">
        <v>1.0000000340478199</v>
      </c>
    </row>
    <row r="2228" spans="1:40" x14ac:dyDescent="0.25">
      <c r="A2228" t="str">
        <f>"20190304164134252"</f>
        <v>20190304164134252</v>
      </c>
      <c r="B2228" t="str">
        <f>"1551688894243303"</f>
        <v>1551688894243303</v>
      </c>
      <c r="C2228" t="s">
        <v>40</v>
      </c>
      <c r="D2228">
        <v>3.8562500000000002</v>
      </c>
      <c r="E2228">
        <v>0.55260719999999997</v>
      </c>
      <c r="F2228" t="s">
        <v>46</v>
      </c>
      <c r="G2228">
        <v>-273.50459999999998</v>
      </c>
      <c r="H2228" s="1">
        <v>3.3522309999999998E-7</v>
      </c>
      <c r="I2228">
        <v>284.4554</v>
      </c>
      <c r="J2228">
        <v>-257.96699999999998</v>
      </c>
      <c r="K2228">
        <v>1.110414</v>
      </c>
      <c r="L2228">
        <v>284.28719999999998</v>
      </c>
      <c r="M2228">
        <v>-0.99995909999999999</v>
      </c>
      <c r="N2228">
        <v>-5.85353E-3</v>
      </c>
      <c r="O2228">
        <v>6.9044989999999997E-3</v>
      </c>
      <c r="P2228">
        <v>-0.92563309999999999</v>
      </c>
      <c r="Q2228">
        <v>0.36734840000000002</v>
      </c>
      <c r="R2228">
        <v>-9.08775E-2</v>
      </c>
      <c r="S2228">
        <v>-3.3366699999999998</v>
      </c>
      <c r="T2228">
        <v>-0.23389650000000001</v>
      </c>
      <c r="U2228">
        <v>3.5827640000000001E-2</v>
      </c>
      <c r="V2228">
        <v>-9.8246959999999994E-2</v>
      </c>
      <c r="W2228">
        <v>0.37249939999999998</v>
      </c>
      <c r="X2228">
        <v>0.92281729999999995</v>
      </c>
      <c r="Y2228">
        <v>3.836477E-3</v>
      </c>
      <c r="Z2228">
        <v>-2.9747109999999998E-4</v>
      </c>
      <c r="AA2228">
        <v>0.99999260000000001</v>
      </c>
      <c r="AB2228">
        <v>43</v>
      </c>
      <c r="AC2228">
        <v>-15.5375999999999</v>
      </c>
      <c r="AD2228">
        <v>-1.1104136647769001</v>
      </c>
      <c r="AE2228">
        <v>0.16820000000001301</v>
      </c>
      <c r="AF2228">
        <v>6.0605315724852199E-2</v>
      </c>
      <c r="AG2228">
        <v>-1.1104136647769001</v>
      </c>
      <c r="AH2228">
        <v>15.4594423442147</v>
      </c>
      <c r="AI2228">
        <v>94.108327672146999</v>
      </c>
      <c r="AJ2228">
        <v>89.775385751880805</v>
      </c>
      <c r="AK2228">
        <v>15.499388668761</v>
      </c>
      <c r="AL2228">
        <v>68.130155859880801</v>
      </c>
      <c r="AM2228">
        <v>96.077055127936404</v>
      </c>
      <c r="AN2228">
        <v>1.00000001866444</v>
      </c>
    </row>
    <row r="2229" spans="1:40" x14ac:dyDescent="0.25">
      <c r="A2229" t="str">
        <f>"20190304164134268"</f>
        <v>20190304164134268</v>
      </c>
      <c r="B2229" t="str">
        <f>"1551688894262823"</f>
        <v>1551688894262823</v>
      </c>
      <c r="C2229" t="s">
        <v>40</v>
      </c>
      <c r="D2229">
        <v>3.853011</v>
      </c>
      <c r="E2229">
        <v>0.55256680000000002</v>
      </c>
      <c r="F2229" t="s">
        <v>41</v>
      </c>
      <c r="G2229">
        <v>-258.8963</v>
      </c>
      <c r="H2229">
        <v>1.0455970000000001</v>
      </c>
      <c r="I2229">
        <v>284.29610000000002</v>
      </c>
      <c r="J2229">
        <v>-258.28609999999998</v>
      </c>
      <c r="K2229">
        <v>1.1104639999999999</v>
      </c>
      <c r="L2229">
        <v>284.28890000000001</v>
      </c>
      <c r="M2229">
        <v>-0.99996459999999998</v>
      </c>
      <c r="N2229">
        <v>-5.8761289999999999E-3</v>
      </c>
      <c r="O2229">
        <v>6.038168E-3</v>
      </c>
      <c r="P2229">
        <v>-0.92568649999999997</v>
      </c>
      <c r="Q2229">
        <v>0.36710789999999999</v>
      </c>
      <c r="R2229">
        <v>-9.1304869999999996E-2</v>
      </c>
      <c r="S2229">
        <v>-3.3365170000000002</v>
      </c>
      <c r="T2229">
        <v>-0.23282530000000001</v>
      </c>
      <c r="U2229">
        <v>3.1402590000000001E-2</v>
      </c>
      <c r="V2229">
        <v>-9.7914730000000005E-2</v>
      </c>
      <c r="W2229">
        <v>0.37227060000000001</v>
      </c>
      <c r="X2229">
        <v>0.92294489999999996</v>
      </c>
      <c r="Y2229">
        <v>3.3766030000000002E-3</v>
      </c>
      <c r="Z2229">
        <v>-2.5778189999999999E-4</v>
      </c>
      <c r="AA2229">
        <v>0.9999943</v>
      </c>
      <c r="AB2229">
        <v>44</v>
      </c>
      <c r="AC2229">
        <v>-0.61020000000001995</v>
      </c>
      <c r="AD2229">
        <v>-6.4866999999999994E-2</v>
      </c>
      <c r="AE2229">
        <v>7.2000000000116398E-3</v>
      </c>
      <c r="AF2229">
        <v>3.4760393463709898E-3</v>
      </c>
      <c r="AG2229">
        <v>-6.4866999999999994E-2</v>
      </c>
      <c r="AH2229">
        <v>0.603414329609541</v>
      </c>
      <c r="AI2229">
        <v>96.135628517651497</v>
      </c>
      <c r="AJ2229">
        <v>89.669944561820301</v>
      </c>
      <c r="AK2229">
        <v>0.60690086811329302</v>
      </c>
      <c r="AL2229">
        <v>68.144280409338194</v>
      </c>
      <c r="AM2229">
        <v>96.055826950715996</v>
      </c>
      <c r="AN2229">
        <v>0.99999999120567096</v>
      </c>
    </row>
    <row r="2230" spans="1:40" x14ac:dyDescent="0.25">
      <c r="A2230" t="str">
        <f>"20190304164134293"</f>
        <v>20190304164134293</v>
      </c>
      <c r="B2230" t="str">
        <f>"1551688894283319"</f>
        <v>1551688894283319</v>
      </c>
      <c r="C2230" t="s">
        <v>40</v>
      </c>
      <c r="D2230">
        <v>3.856617</v>
      </c>
      <c r="E2230">
        <v>0.55253909999999995</v>
      </c>
      <c r="F2230" t="s">
        <v>41</v>
      </c>
      <c r="G2230">
        <v>-259.28309999999999</v>
      </c>
      <c r="H2230">
        <v>1.040638</v>
      </c>
      <c r="I2230">
        <v>284.29750000000001</v>
      </c>
      <c r="J2230">
        <v>-258.74930000000001</v>
      </c>
      <c r="K2230">
        <v>1.110517</v>
      </c>
      <c r="L2230">
        <v>284.29090000000002</v>
      </c>
      <c r="M2230">
        <v>-0.99997130000000001</v>
      </c>
      <c r="N2230">
        <v>-5.9084309999999996E-3</v>
      </c>
      <c r="O2230">
        <v>4.7662219999999996E-3</v>
      </c>
      <c r="P2230">
        <v>-0.92551369999999999</v>
      </c>
      <c r="Q2230">
        <v>0.36707970000000001</v>
      </c>
      <c r="R2230">
        <v>-9.3151830000000005E-2</v>
      </c>
      <c r="S2230">
        <v>-3.3363339999999901</v>
      </c>
      <c r="T2230">
        <v>-0.23379230000000001</v>
      </c>
      <c r="U2230">
        <v>2.8289789999999999E-2</v>
      </c>
      <c r="V2230">
        <v>-9.863218E-2</v>
      </c>
      <c r="W2230">
        <v>0.37225740000000002</v>
      </c>
      <c r="X2230">
        <v>0.92287390000000002</v>
      </c>
      <c r="Y2230">
        <v>3.7126960000000001E-3</v>
      </c>
      <c r="Z2230">
        <v>-1.64540099999999E-4</v>
      </c>
      <c r="AA2230">
        <v>0.99999309999999997</v>
      </c>
      <c r="AB2230">
        <v>44</v>
      </c>
      <c r="AC2230">
        <v>-0.53379999999998495</v>
      </c>
      <c r="AD2230">
        <v>-6.9878999999999997E-2</v>
      </c>
      <c r="AE2230">
        <v>6.5999999999917201E-3</v>
      </c>
      <c r="AF2230">
        <v>3.9873505996787699E-3</v>
      </c>
      <c r="AG2230">
        <v>-6.9878999999999997E-2</v>
      </c>
      <c r="AH2230">
        <v>0.52483268175207098</v>
      </c>
      <c r="AI2230">
        <v>97.583840934376695</v>
      </c>
      <c r="AJ2230">
        <v>89.564710862434595</v>
      </c>
      <c r="AK2230">
        <v>0.52947928896310503</v>
      </c>
      <c r="AL2230">
        <v>68.145096793985203</v>
      </c>
      <c r="AM2230">
        <v>96.100332191499703</v>
      </c>
      <c r="AN2230">
        <v>1.0000000570437499</v>
      </c>
    </row>
    <row r="2231" spans="1:40" x14ac:dyDescent="0.25">
      <c r="A2231" t="str">
        <f>"20190304164134313"</f>
        <v>20190304164134313</v>
      </c>
      <c r="B2231" t="str">
        <f>"1551688894302838"</f>
        <v>1551688894302838</v>
      </c>
      <c r="C2231" t="s">
        <v>40</v>
      </c>
      <c r="D2231">
        <v>3.859836</v>
      </c>
      <c r="E2231">
        <v>0.55246289999999998</v>
      </c>
      <c r="F2231" t="s">
        <v>41</v>
      </c>
      <c r="G2231">
        <v>-259.67959999999999</v>
      </c>
      <c r="H2231">
        <v>1.0453790000000001</v>
      </c>
      <c r="I2231">
        <v>284.29689999999999</v>
      </c>
      <c r="J2231">
        <v>-259.17020000000002</v>
      </c>
      <c r="K2231">
        <v>1.1105560000000001</v>
      </c>
      <c r="L2231">
        <v>284.29219999999998</v>
      </c>
      <c r="M2231">
        <v>-0.99997579999999997</v>
      </c>
      <c r="N2231">
        <v>-5.9372869999999899E-3</v>
      </c>
      <c r="O2231">
        <v>3.6135099999999999E-3</v>
      </c>
      <c r="P2231">
        <v>-0.92536180000000001</v>
      </c>
      <c r="Q2231">
        <v>0.36716989999999999</v>
      </c>
      <c r="R2231">
        <v>-9.4296140000000001E-2</v>
      </c>
      <c r="S2231">
        <v>-3.3363040000000002</v>
      </c>
      <c r="T2231">
        <v>-0.23392309999999999</v>
      </c>
      <c r="U2231">
        <v>2.053833E-2</v>
      </c>
      <c r="V2231">
        <v>-9.8741990000000002E-2</v>
      </c>
      <c r="W2231">
        <v>0.3723649</v>
      </c>
      <c r="X2231">
        <v>0.92281869999999999</v>
      </c>
      <c r="Y2231">
        <v>2.5430100000000001E-3</v>
      </c>
      <c r="Z2231">
        <v>-1.3501450000000001E-4</v>
      </c>
      <c r="AA2231">
        <v>0.99999680000000002</v>
      </c>
      <c r="AB2231">
        <v>44</v>
      </c>
      <c r="AC2231">
        <v>-0.50939999999997099</v>
      </c>
      <c r="AD2231">
        <v>-6.5176999999999805E-2</v>
      </c>
      <c r="AE2231">
        <v>4.7000000000139101E-3</v>
      </c>
      <c r="AF2231">
        <v>2.81316485195551E-3</v>
      </c>
      <c r="AG2231">
        <v>-6.5176999999999805E-2</v>
      </c>
      <c r="AH2231">
        <v>0.50120914379195203</v>
      </c>
      <c r="AI2231">
        <v>97.409023805343494</v>
      </c>
      <c r="AJ2231">
        <v>89.678416121212095</v>
      </c>
      <c r="AK2231">
        <v>0.50543700007631598</v>
      </c>
      <c r="AL2231">
        <v>68.138458535504697</v>
      </c>
      <c r="AM2231">
        <v>96.107435112762801</v>
      </c>
      <c r="AN2231">
        <v>0.99999997620542902</v>
      </c>
    </row>
    <row r="2232" spans="1:40" x14ac:dyDescent="0.25">
      <c r="A2232" t="str">
        <f>"20190304164134335"</f>
        <v>20190304164134335</v>
      </c>
      <c r="B2232" t="str">
        <f>"1551688894323335"</f>
        <v>1551688894323335</v>
      </c>
      <c r="C2232" t="s">
        <v>40</v>
      </c>
      <c r="D2232">
        <v>3.9139409999999999</v>
      </c>
      <c r="E2232">
        <v>0.55157460000000003</v>
      </c>
      <c r="F2232" t="s">
        <v>41</v>
      </c>
      <c r="G2232">
        <v>-260.08370000000002</v>
      </c>
      <c r="H2232">
        <v>1.046751</v>
      </c>
      <c r="I2232">
        <v>284.29669999999999</v>
      </c>
      <c r="J2232">
        <v>-259.58479999999997</v>
      </c>
      <c r="K2232">
        <v>1.1105799999999999</v>
      </c>
      <c r="L2232">
        <v>284.29309999999998</v>
      </c>
      <c r="M2232">
        <v>-0.99997910000000001</v>
      </c>
      <c r="N2232">
        <v>-5.9657809999999999E-3</v>
      </c>
      <c r="O2232">
        <v>2.4971189999999999E-3</v>
      </c>
      <c r="P2232">
        <v>-0.92531220000000003</v>
      </c>
      <c r="Q2232">
        <v>0.36715609999999999</v>
      </c>
      <c r="R2232">
        <v>-9.4835310000000006E-2</v>
      </c>
      <c r="S2232">
        <v>-3.33609</v>
      </c>
      <c r="T2232">
        <v>-0.2330728</v>
      </c>
      <c r="U2232">
        <v>1.5930179999999999E-2</v>
      </c>
      <c r="V2232">
        <v>-9.8267679999999996E-2</v>
      </c>
      <c r="W2232">
        <v>0.37237419999999999</v>
      </c>
      <c r="X2232">
        <v>0.92286559999999995</v>
      </c>
      <c r="Y2232">
        <v>2.2769660000000001E-3</v>
      </c>
      <c r="Z2232" s="1">
        <v>-7.3121510000000002E-5</v>
      </c>
      <c r="AA2232">
        <v>0.99999740000000004</v>
      </c>
      <c r="AB2232">
        <v>44</v>
      </c>
      <c r="AC2232">
        <v>-0.49890000000004803</v>
      </c>
      <c r="AD2232">
        <v>-6.38289999999999E-2</v>
      </c>
      <c r="AE2232">
        <v>3.6000000000058199E-3</v>
      </c>
      <c r="AF2232">
        <v>2.3162424949123E-3</v>
      </c>
      <c r="AG2232">
        <v>-6.38289999999999E-2</v>
      </c>
      <c r="AH2232">
        <v>0.49087299447280602</v>
      </c>
      <c r="AI2232">
        <v>97.4086109176028</v>
      </c>
      <c r="AJ2232">
        <v>89.729645069411902</v>
      </c>
      <c r="AK2232">
        <v>0.49501091192315599</v>
      </c>
      <c r="AL2232">
        <v>68.137884912546497</v>
      </c>
      <c r="AM2232">
        <v>96.078011427899895</v>
      </c>
      <c r="AN2232">
        <v>0.99999999871079104</v>
      </c>
    </row>
    <row r="2233" spans="1:40" x14ac:dyDescent="0.25">
      <c r="A2233" t="str">
        <f>"20190304164134349"</f>
        <v>20190304164134349</v>
      </c>
      <c r="B2233" t="str">
        <f>"1551688894342855"</f>
        <v>1551688894342855</v>
      </c>
      <c r="C2233" t="s">
        <v>40</v>
      </c>
      <c r="D2233">
        <v>3.9384809999999999</v>
      </c>
      <c r="E2233">
        <v>0.52395939999999996</v>
      </c>
      <c r="F2233" t="s">
        <v>46</v>
      </c>
      <c r="G2233">
        <v>-275.61099999999999</v>
      </c>
      <c r="H2233" s="1">
        <v>1.461904E-6</v>
      </c>
      <c r="I2233">
        <v>284.32339999999999</v>
      </c>
      <c r="J2233">
        <v>-259.86939999999998</v>
      </c>
      <c r="K2233">
        <v>1.1105860000000001</v>
      </c>
      <c r="L2233">
        <v>284.29340000000002</v>
      </c>
      <c r="M2233">
        <v>-0.99998069999999895</v>
      </c>
      <c r="N2233">
        <v>-5.9853440000000001E-3</v>
      </c>
      <c r="O2233">
        <v>1.750295E-3</v>
      </c>
      <c r="P2233">
        <v>-0.92518659999999997</v>
      </c>
      <c r="Q2233">
        <v>0.36737910000000001</v>
      </c>
      <c r="R2233">
        <v>-9.520004E-2</v>
      </c>
      <c r="S2233">
        <v>-3.334473</v>
      </c>
      <c r="T2233">
        <v>-0.2310711</v>
      </c>
      <c r="U2233">
        <v>6.3171390000000003E-3</v>
      </c>
      <c r="V2233">
        <v>-9.7947720000000002E-2</v>
      </c>
      <c r="W2233">
        <v>0.372614</v>
      </c>
      <c r="X2233">
        <v>0.92280280000000003</v>
      </c>
      <c r="Y2233">
        <v>1.472849E-4</v>
      </c>
      <c r="Z2233">
        <v>-1.0514260000000001E-4</v>
      </c>
      <c r="AA2233">
        <v>1</v>
      </c>
      <c r="AB2233">
        <v>44</v>
      </c>
      <c r="AC2233">
        <v>-15.7416</v>
      </c>
      <c r="AD2233">
        <v>-1.110584538096</v>
      </c>
      <c r="AE2233">
        <v>2.9999999999972701E-2</v>
      </c>
      <c r="AF2233">
        <v>2.4349011914506398E-3</v>
      </c>
      <c r="AG2233">
        <v>-1.110584538096</v>
      </c>
      <c r="AH2233">
        <v>15.663663828458301</v>
      </c>
      <c r="AI2233">
        <v>94.055596420161095</v>
      </c>
      <c r="AJ2233">
        <v>89.991093427297301</v>
      </c>
      <c r="AK2233">
        <v>15.7029859732458</v>
      </c>
      <c r="AL2233">
        <v>68.123079467751197</v>
      </c>
      <c r="AM2233">
        <v>96.058778040739995</v>
      </c>
      <c r="AN2233">
        <v>0.99999997826851905</v>
      </c>
    </row>
    <row r="2234" spans="1:40" x14ac:dyDescent="0.25">
      <c r="A2234" t="str">
        <f>"20190304164134364"</f>
        <v>20190304164134364</v>
      </c>
      <c r="B2234" t="str">
        <f>"1551688894353591"</f>
        <v>1551688894353591</v>
      </c>
      <c r="C2234" t="s">
        <v>40</v>
      </c>
      <c r="D2234">
        <v>3.9056129999999998</v>
      </c>
      <c r="E2234">
        <v>0.52392289999999997</v>
      </c>
      <c r="F2234" t="s">
        <v>46</v>
      </c>
      <c r="G2234">
        <v>-278.71089999999998</v>
      </c>
      <c r="H2234" s="1">
        <v>3.1657410000000001E-6</v>
      </c>
      <c r="I2234">
        <v>283.08339999999998</v>
      </c>
      <c r="J2234">
        <v>-260.16730000000001</v>
      </c>
      <c r="K2234">
        <v>1.110584</v>
      </c>
      <c r="L2234">
        <v>284.29349999999999</v>
      </c>
      <c r="M2234">
        <v>-0.99998149999999997</v>
      </c>
      <c r="N2234">
        <v>-6.0056789999999999E-3</v>
      </c>
      <c r="O2234">
        <v>9.8851740000000009E-4</v>
      </c>
      <c r="P2234">
        <v>-0.92506049999999995</v>
      </c>
      <c r="Q2234">
        <v>0.36765059999999999</v>
      </c>
      <c r="R2234">
        <v>-9.5374520000000004E-2</v>
      </c>
      <c r="S2234">
        <v>-3.2980040000000002</v>
      </c>
      <c r="T2234">
        <v>-0.19439580000000001</v>
      </c>
      <c r="U2234">
        <v>-0.21179200000000001</v>
      </c>
      <c r="V2234">
        <v>-9.7418370000000004E-2</v>
      </c>
      <c r="W2234">
        <v>0.37290570000000001</v>
      </c>
      <c r="X2234">
        <v>0.92274109999999998</v>
      </c>
      <c r="Y2234">
        <v>-6.4947550000000007E-2</v>
      </c>
      <c r="Z2234">
        <v>-2.1581410000000001E-3</v>
      </c>
      <c r="AA2234">
        <v>0.99788639999999995</v>
      </c>
      <c r="AB2234">
        <v>44</v>
      </c>
      <c r="AC2234">
        <v>-18.543599999999898</v>
      </c>
      <c r="AD2234">
        <v>-1.110580834259</v>
      </c>
      <c r="AE2234">
        <v>-1.2101000000000099</v>
      </c>
      <c r="AF2234">
        <v>-1.2240585232224801</v>
      </c>
      <c r="AG2234">
        <v>-1.110580834259</v>
      </c>
      <c r="AH2234">
        <v>18.476403792725002</v>
      </c>
      <c r="AI2234">
        <v>93.432293696288099</v>
      </c>
      <c r="AJ2234">
        <v>93.790296604188896</v>
      </c>
      <c r="AK2234">
        <v>18.550180758405499</v>
      </c>
      <c r="AL2234">
        <v>68.105070259712406</v>
      </c>
      <c r="AM2234">
        <v>96.026675485990495</v>
      </c>
      <c r="AN2234">
        <v>1.0000000687675701</v>
      </c>
    </row>
    <row r="2235" spans="1:40" x14ac:dyDescent="0.25">
      <c r="A2235" t="str">
        <f>"20190304164134379"</f>
        <v>20190304164134379</v>
      </c>
      <c r="B2235" t="str">
        <f>"1551688894373113"</f>
        <v>1551688894373113</v>
      </c>
      <c r="C2235" t="s">
        <v>40</v>
      </c>
      <c r="D2235">
        <v>3.9119190000000001</v>
      </c>
      <c r="E2235">
        <v>0.52365209999999995</v>
      </c>
      <c r="F2235" t="s">
        <v>46</v>
      </c>
      <c r="G2235">
        <v>-278.74810000000002</v>
      </c>
      <c r="H2235" s="1">
        <v>3.1852060000000002E-6</v>
      </c>
      <c r="I2235">
        <v>283.09120000000001</v>
      </c>
      <c r="J2235">
        <v>-260.49020000000002</v>
      </c>
      <c r="K2235">
        <v>1.1105750000000001</v>
      </c>
      <c r="L2235">
        <v>284.29349999999999</v>
      </c>
      <c r="M2235">
        <v>-0.99998180000000003</v>
      </c>
      <c r="N2235">
        <v>-6.0276640000000003E-3</v>
      </c>
      <c r="O2235">
        <v>1.9859190000000001E-4</v>
      </c>
      <c r="P2235">
        <v>-0.92480110000000004</v>
      </c>
      <c r="Q2235">
        <v>0.36828919999999998</v>
      </c>
      <c r="R2235">
        <v>-9.5425629999999997E-2</v>
      </c>
      <c r="S2235">
        <v>-3.2994080000000001</v>
      </c>
      <c r="T2235">
        <v>-0.1972063</v>
      </c>
      <c r="U2235">
        <v>-0.213501</v>
      </c>
      <c r="V2235">
        <v>-9.6731890000000001E-2</v>
      </c>
      <c r="W2235">
        <v>0.37356790000000001</v>
      </c>
      <c r="X2235">
        <v>0.92254539999999996</v>
      </c>
      <c r="Y2235">
        <v>-6.4645190000000005E-2</v>
      </c>
      <c r="Z2235">
        <v>-2.1340719999999999E-3</v>
      </c>
      <c r="AA2235">
        <v>0.99790599999999996</v>
      </c>
      <c r="AB2235">
        <v>44</v>
      </c>
      <c r="AC2235">
        <v>-18.257899999999999</v>
      </c>
      <c r="AD2235">
        <v>-1.110571814794</v>
      </c>
      <c r="AE2235">
        <v>-1.2022999999999699</v>
      </c>
      <c r="AF2235">
        <v>-1.2014996614350899</v>
      </c>
      <c r="AG2235">
        <v>-1.110571814794</v>
      </c>
      <c r="AH2235">
        <v>18.190647626805401</v>
      </c>
      <c r="AI2235">
        <v>93.486096950066695</v>
      </c>
      <c r="AJ2235">
        <v>93.778920501525107</v>
      </c>
      <c r="AK2235">
        <v>18.2640803840447</v>
      </c>
      <c r="AL2235">
        <v>68.064172632632605</v>
      </c>
      <c r="AM2235">
        <v>95.985776757417497</v>
      </c>
      <c r="AN2235">
        <v>1.00000002475727</v>
      </c>
    </row>
    <row r="2236" spans="1:40" x14ac:dyDescent="0.25">
      <c r="A2236" t="str">
        <f>"20190304164134394"</f>
        <v>20190304164134394</v>
      </c>
      <c r="B2236" t="str">
        <f>"1551688894382871"</f>
        <v>1551688894382871</v>
      </c>
      <c r="C2236" t="s">
        <v>40</v>
      </c>
      <c r="D2236">
        <v>3.9211839999999998</v>
      </c>
      <c r="E2236">
        <v>0.52373800000000004</v>
      </c>
      <c r="F2236" t="s">
        <v>46</v>
      </c>
      <c r="G2236">
        <v>-278.51710000000003</v>
      </c>
      <c r="H2236" s="1">
        <v>3.0613010000000001E-6</v>
      </c>
      <c r="I2236">
        <v>283.11329999999998</v>
      </c>
      <c r="J2236">
        <v>-260.76069999999999</v>
      </c>
      <c r="K2236">
        <v>1.110562</v>
      </c>
      <c r="L2236">
        <v>284.29320000000001</v>
      </c>
      <c r="M2236">
        <v>-0.99998180000000003</v>
      </c>
      <c r="N2236">
        <v>-6.0458710000000004E-3</v>
      </c>
      <c r="O2236">
        <v>-4.2739779999999999E-4</v>
      </c>
      <c r="P2236">
        <v>-0.92486400000000002</v>
      </c>
      <c r="Q2236">
        <v>0.36809530000000001</v>
      </c>
      <c r="R2236">
        <v>-9.5565639999999993E-2</v>
      </c>
      <c r="S2236">
        <v>-3.3026430000000002</v>
      </c>
      <c r="T2236">
        <v>-0.2034637</v>
      </c>
      <c r="U2236">
        <v>-0.21621699999999999</v>
      </c>
      <c r="V2236">
        <v>-9.6278050000000004E-2</v>
      </c>
      <c r="W2236">
        <v>0.37339630000000001</v>
      </c>
      <c r="X2236">
        <v>0.92266230000000005</v>
      </c>
      <c r="Y2236">
        <v>-6.4767870000000005E-2</v>
      </c>
      <c r="Z2236">
        <v>-2.1635449999999998E-3</v>
      </c>
      <c r="AA2236">
        <v>0.99789799999999995</v>
      </c>
      <c r="AB2236">
        <v>44</v>
      </c>
      <c r="AC2236">
        <v>-17.756399999999999</v>
      </c>
      <c r="AD2236">
        <v>-1.110558938699</v>
      </c>
      <c r="AE2236">
        <v>-1.1799000000000299</v>
      </c>
      <c r="AF2236">
        <v>-1.1677627698247799</v>
      </c>
      <c r="AG2236">
        <v>-1.110558938699</v>
      </c>
      <c r="AH2236">
        <v>17.688015386730601</v>
      </c>
      <c r="AI2236">
        <v>93.584870680674996</v>
      </c>
      <c r="AJ2236">
        <v>93.777185909652104</v>
      </c>
      <c r="AK2236">
        <v>17.761275274149899</v>
      </c>
      <c r="AL2236">
        <v>68.074770747659102</v>
      </c>
      <c r="AM2236">
        <v>95.957146151568296</v>
      </c>
      <c r="AN2236">
        <v>0.999999989803391</v>
      </c>
    </row>
    <row r="2237" spans="1:40" x14ac:dyDescent="0.25">
      <c r="A2237" t="str">
        <f>"20190304164134412"</f>
        <v>20190304164134412</v>
      </c>
      <c r="B2237" t="str">
        <f>"1551688894403367"</f>
        <v>1551688894403367</v>
      </c>
      <c r="C2237" t="s">
        <v>40</v>
      </c>
      <c r="D2237">
        <v>3.9088219999999998</v>
      </c>
      <c r="E2237">
        <v>0.523698</v>
      </c>
      <c r="F2237" t="s">
        <v>46</v>
      </c>
      <c r="G2237">
        <v>-278.47649999999999</v>
      </c>
      <c r="H2237" s="1">
        <v>3.0388590000000002E-6</v>
      </c>
      <c r="I2237">
        <v>283.13229999999999</v>
      </c>
      <c r="J2237">
        <v>-261.12900000000002</v>
      </c>
      <c r="K2237">
        <v>1.110525</v>
      </c>
      <c r="L2237">
        <v>284.29259999999999</v>
      </c>
      <c r="M2237">
        <v>-0.99998100000000001</v>
      </c>
      <c r="N2237">
        <v>-6.0705300000000002E-3</v>
      </c>
      <c r="O2237">
        <v>-1.2293009999999999E-3</v>
      </c>
      <c r="P2237">
        <v>-0.92495459999999996</v>
      </c>
      <c r="Q2237">
        <v>0.36791829999999998</v>
      </c>
      <c r="R2237">
        <v>-9.5371280000000003E-2</v>
      </c>
      <c r="S2237">
        <v>-3.3037719999999999</v>
      </c>
      <c r="T2237">
        <v>-0.20710439999999999</v>
      </c>
      <c r="U2237">
        <v>-0.21649170000000001</v>
      </c>
      <c r="V2237">
        <v>-9.5311560000000004E-2</v>
      </c>
      <c r="W2237">
        <v>0.37325390000000003</v>
      </c>
      <c r="X2237">
        <v>0.92282030000000004</v>
      </c>
      <c r="Y2237">
        <v>-6.402629E-2</v>
      </c>
      <c r="Z2237">
        <v>-2.1280079999999998E-3</v>
      </c>
      <c r="AA2237">
        <v>0.997946</v>
      </c>
      <c r="AB2237">
        <v>44</v>
      </c>
      <c r="AC2237">
        <v>-17.347499999999901</v>
      </c>
      <c r="AD2237">
        <v>-1.110521961141</v>
      </c>
      <c r="AE2237">
        <v>-1.1603000000000001</v>
      </c>
      <c r="AF2237">
        <v>-1.13434549963326</v>
      </c>
      <c r="AG2237">
        <v>-1.110521961141</v>
      </c>
      <c r="AH2237">
        <v>17.278420279022299</v>
      </c>
      <c r="AI2237">
        <v>93.669589285575796</v>
      </c>
      <c r="AJ2237">
        <v>93.756134796344696</v>
      </c>
      <c r="AK2237">
        <v>17.351190336033</v>
      </c>
      <c r="AL2237">
        <v>68.083566605344302</v>
      </c>
      <c r="AM2237">
        <v>95.896766142216094</v>
      </c>
      <c r="AN2237">
        <v>1.00000003671346</v>
      </c>
    </row>
    <row r="2238" spans="1:40" x14ac:dyDescent="0.25">
      <c r="A2238" t="str">
        <f>"20190304164134425"</f>
        <v>20190304164134425</v>
      </c>
      <c r="B2238" t="str">
        <f>"1551688894413128"</f>
        <v>1551688894413128</v>
      </c>
      <c r="C2238" t="s">
        <v>40</v>
      </c>
      <c r="D2238">
        <v>3.910307</v>
      </c>
      <c r="E2238">
        <v>0.52374529999999997</v>
      </c>
      <c r="F2238" t="s">
        <v>46</v>
      </c>
      <c r="G2238">
        <v>-278.43720000000002</v>
      </c>
      <c r="H2238" s="1">
        <v>3.0168850000000001E-6</v>
      </c>
      <c r="I2238">
        <v>283.15589999999997</v>
      </c>
      <c r="J2238">
        <v>-261.38400000000001</v>
      </c>
      <c r="K2238">
        <v>1.110492</v>
      </c>
      <c r="L2238">
        <v>284.2921</v>
      </c>
      <c r="M2238">
        <v>-0.99997990000000003</v>
      </c>
      <c r="N2238">
        <v>-6.0874809999999996E-3</v>
      </c>
      <c r="O2238">
        <v>-1.745927E-3</v>
      </c>
      <c r="P2238">
        <v>-0.92499310000000001</v>
      </c>
      <c r="Q2238">
        <v>0.3678362</v>
      </c>
      <c r="R2238">
        <v>-9.5310850000000003E-2</v>
      </c>
      <c r="S2238">
        <v>-3.3054199999999998</v>
      </c>
      <c r="T2238">
        <v>-0.2120814</v>
      </c>
      <c r="U2238">
        <v>-0.2170715</v>
      </c>
      <c r="V2238">
        <v>-9.4744480000000006E-2</v>
      </c>
      <c r="W2238">
        <v>0.3731968</v>
      </c>
      <c r="X2238">
        <v>0.92290170000000005</v>
      </c>
      <c r="Y2238">
        <v>-6.3648120000000002E-2</v>
      </c>
      <c r="Z2238">
        <v>-2.1305790000000001E-3</v>
      </c>
      <c r="AA2238">
        <v>0.99797009999999997</v>
      </c>
      <c r="AB2238">
        <v>44</v>
      </c>
      <c r="AC2238">
        <v>-17.0532</v>
      </c>
      <c r="AD2238">
        <v>-1.110488983115</v>
      </c>
      <c r="AE2238">
        <v>-1.1362000000000301</v>
      </c>
      <c r="AF2238">
        <v>-1.10177265764667</v>
      </c>
      <c r="AG2238">
        <v>-1.110488983115</v>
      </c>
      <c r="AH2238">
        <v>16.983457754525698</v>
      </c>
      <c r="AI2238">
        <v>93.733220283713607</v>
      </c>
      <c r="AJ2238">
        <v>93.711764098493006</v>
      </c>
      <c r="AK2238">
        <v>17.0553488991142</v>
      </c>
      <c r="AL2238">
        <v>68.087091194153402</v>
      </c>
      <c r="AM2238">
        <v>95.861413469107504</v>
      </c>
      <c r="AN2238">
        <v>0.99999995794179897</v>
      </c>
    </row>
    <row r="2239" spans="1:40" x14ac:dyDescent="0.25">
      <c r="A2239" t="str">
        <f>"20190304164134438"</f>
        <v>20190304164134438</v>
      </c>
      <c r="B2239" t="str">
        <f>"1551688894433623"</f>
        <v>1551688894433623</v>
      </c>
      <c r="C2239" t="s">
        <v>40</v>
      </c>
      <c r="D2239">
        <v>3.8991709999999999</v>
      </c>
      <c r="E2239">
        <v>0.52391430000000005</v>
      </c>
      <c r="F2239" t="s">
        <v>46</v>
      </c>
      <c r="G2239">
        <v>-278.57339999999999</v>
      </c>
      <c r="H2239" s="1">
        <v>3.0889429999999999E-6</v>
      </c>
      <c r="I2239">
        <v>283.16579999999999</v>
      </c>
      <c r="J2239">
        <v>-261.64440000000002</v>
      </c>
      <c r="K2239">
        <v>1.110449</v>
      </c>
      <c r="L2239">
        <v>284.29140000000001</v>
      </c>
      <c r="M2239">
        <v>-0.99997899999999995</v>
      </c>
      <c r="N2239">
        <v>-6.1045700000000001E-3</v>
      </c>
      <c r="O2239">
        <v>-2.2287219999999998E-3</v>
      </c>
      <c r="P2239">
        <v>-0.92503610000000003</v>
      </c>
      <c r="Q2239">
        <v>0.36765930000000002</v>
      </c>
      <c r="R2239">
        <v>-9.5579330000000004E-2</v>
      </c>
      <c r="S2239">
        <v>-3.3058779999999999</v>
      </c>
      <c r="T2239">
        <v>-0.2135707</v>
      </c>
      <c r="U2239">
        <v>-0.2166138</v>
      </c>
      <c r="V2239">
        <v>-9.452932E-2</v>
      </c>
      <c r="W2239">
        <v>0.37304549999999997</v>
      </c>
      <c r="X2239">
        <v>0.92298500000000006</v>
      </c>
      <c r="Y2239">
        <v>-6.3020030000000005E-2</v>
      </c>
      <c r="Z2239">
        <v>-2.0940440000000002E-3</v>
      </c>
      <c r="AA2239">
        <v>0.99800999999999995</v>
      </c>
      <c r="AB2239">
        <v>45</v>
      </c>
      <c r="AC2239">
        <v>-16.928999999999899</v>
      </c>
      <c r="AD2239">
        <v>-1.110445911057</v>
      </c>
      <c r="AE2239">
        <v>-1.1256000000000199</v>
      </c>
      <c r="AF2239">
        <v>-1.0832262818868901</v>
      </c>
      <c r="AG2239">
        <v>-1.110445911057</v>
      </c>
      <c r="AH2239">
        <v>16.859247117963601</v>
      </c>
      <c r="AI2239">
        <v>93.760650717146603</v>
      </c>
      <c r="AJ2239">
        <v>93.676267382220402</v>
      </c>
      <c r="AK2239">
        <v>16.930466109464199</v>
      </c>
      <c r="AL2239">
        <v>68.0964363355465</v>
      </c>
      <c r="AM2239">
        <v>95.847670708670407</v>
      </c>
      <c r="AN2239">
        <v>1.00000002381745</v>
      </c>
    </row>
    <row r="2240" spans="1:40" x14ac:dyDescent="0.25">
      <c r="A2240" t="str">
        <f>"20190304164134458"</f>
        <v>20190304164134458</v>
      </c>
      <c r="B2240" t="str">
        <f>"1551688894453144"</f>
        <v>1551688894453144</v>
      </c>
      <c r="C2240" t="s">
        <v>40</v>
      </c>
      <c r="D2240">
        <v>3.9263349999999999</v>
      </c>
      <c r="E2240">
        <v>0.52391790000000005</v>
      </c>
      <c r="F2240" t="s">
        <v>46</v>
      </c>
      <c r="G2240">
        <v>-278.72879999999998</v>
      </c>
      <c r="H2240" s="1">
        <v>3.1712089999999998E-6</v>
      </c>
      <c r="I2240">
        <v>283.17579999999998</v>
      </c>
      <c r="J2240">
        <v>-262.03590000000003</v>
      </c>
      <c r="K2240">
        <v>1.110374</v>
      </c>
      <c r="L2240">
        <v>284.29020000000003</v>
      </c>
      <c r="M2240">
        <v>-0.99997720000000001</v>
      </c>
      <c r="N2240">
        <v>-6.1303950000000003E-3</v>
      </c>
      <c r="O2240">
        <v>-2.870825E-3</v>
      </c>
      <c r="P2240">
        <v>-0.92510079999999995</v>
      </c>
      <c r="Q2240">
        <v>0.36747560000000001</v>
      </c>
      <c r="R2240">
        <v>-9.5658439999999997E-2</v>
      </c>
      <c r="S2240">
        <v>-3.3062130000000001</v>
      </c>
      <c r="T2240">
        <v>-0.21489620000000001</v>
      </c>
      <c r="U2240">
        <v>-0.2158813</v>
      </c>
      <c r="V2240">
        <v>-9.3947020000000006E-2</v>
      </c>
      <c r="W2240">
        <v>0.37290469999999998</v>
      </c>
      <c r="X2240">
        <v>0.92310130000000001</v>
      </c>
      <c r="Y2240">
        <v>-6.2153819999999999E-2</v>
      </c>
      <c r="Z2240">
        <v>-2.0379619999999999E-3</v>
      </c>
      <c r="AA2240">
        <v>0.99806450000000002</v>
      </c>
      <c r="AB2240">
        <v>45</v>
      </c>
      <c r="AC2240">
        <v>-16.692899999999899</v>
      </c>
      <c r="AD2240">
        <v>-1.1103708287909999</v>
      </c>
      <c r="AE2240">
        <v>-1.11440000000004</v>
      </c>
      <c r="AF2240">
        <v>-1.0617949610700299</v>
      </c>
      <c r="AG2240">
        <v>-1.1103708287909999</v>
      </c>
      <c r="AH2240">
        <v>16.622807831866702</v>
      </c>
      <c r="AI2240">
        <v>93.813818589532005</v>
      </c>
      <c r="AJ2240">
        <v>93.654847768991303</v>
      </c>
      <c r="AK2240">
        <v>16.693653648376401</v>
      </c>
      <c r="AL2240">
        <v>68.105130056581999</v>
      </c>
      <c r="AM2240">
        <v>95.811169217177394</v>
      </c>
      <c r="AN2240">
        <v>0.99999998395532996</v>
      </c>
    </row>
    <row r="2241" spans="1:40" x14ac:dyDescent="0.25">
      <c r="A2241" t="str">
        <f>"20190304164134473"</f>
        <v>20190304164134473</v>
      </c>
      <c r="B2241" t="str">
        <f>"1551688894462903"</f>
        <v>1551688894462903</v>
      </c>
      <c r="C2241" t="s">
        <v>40</v>
      </c>
      <c r="D2241">
        <v>3.9192200000000001</v>
      </c>
      <c r="E2241">
        <v>0.5239085</v>
      </c>
      <c r="F2241" t="s">
        <v>46</v>
      </c>
      <c r="G2241">
        <v>-278.85390000000001</v>
      </c>
      <c r="H2241" s="1">
        <v>3.2372519999999999E-6</v>
      </c>
      <c r="I2241">
        <v>283.18869999999998</v>
      </c>
      <c r="J2241">
        <v>-262.32279999999997</v>
      </c>
      <c r="K2241">
        <v>1.110312</v>
      </c>
      <c r="L2241">
        <v>284.28919999999999</v>
      </c>
      <c r="M2241">
        <v>-0.99997599999999998</v>
      </c>
      <c r="N2241">
        <v>-6.1494330000000002E-3</v>
      </c>
      <c r="O2241">
        <v>-3.2621630000000002E-3</v>
      </c>
      <c r="P2241">
        <v>-0.92497689999999999</v>
      </c>
      <c r="Q2241">
        <v>0.3677279</v>
      </c>
      <c r="R2241">
        <v>-9.5886529999999998E-2</v>
      </c>
      <c r="S2241">
        <v>-3.30722</v>
      </c>
      <c r="T2241">
        <v>-0.21835170000000001</v>
      </c>
      <c r="U2241">
        <v>-0.2166138</v>
      </c>
      <c r="V2241">
        <v>-9.3753230000000007E-2</v>
      </c>
      <c r="W2241">
        <v>0.37318960000000001</v>
      </c>
      <c r="X2241">
        <v>0.92300590000000005</v>
      </c>
      <c r="Y2241">
        <v>-6.1960519999999998E-2</v>
      </c>
      <c r="Z2241">
        <v>-2.037053E-3</v>
      </c>
      <c r="AA2241">
        <v>0.99807650000000003</v>
      </c>
      <c r="AB2241">
        <v>45</v>
      </c>
      <c r="AC2241">
        <v>-16.531099999999999</v>
      </c>
      <c r="AD2241">
        <v>-1.1103087627479999</v>
      </c>
      <c r="AE2241">
        <v>-1.10050000000001</v>
      </c>
      <c r="AF2241">
        <v>-1.04188665982675</v>
      </c>
      <c r="AG2241">
        <v>-1.1103087627479999</v>
      </c>
      <c r="AH2241">
        <v>16.4606737330306</v>
      </c>
      <c r="AI2241">
        <v>93.851197857075405</v>
      </c>
      <c r="AJ2241">
        <v>93.621733856920997</v>
      </c>
      <c r="AK2241">
        <v>16.530943503195498</v>
      </c>
      <c r="AL2241">
        <v>68.087537245498297</v>
      </c>
      <c r="AM2241">
        <v>95.799859278597793</v>
      </c>
      <c r="AN2241">
        <v>1.0000000185592</v>
      </c>
    </row>
    <row r="2242" spans="1:40" x14ac:dyDescent="0.25">
      <c r="A2242" t="str">
        <f>"20190304164134494"</f>
        <v>20190304164134494</v>
      </c>
      <c r="B2242" t="str">
        <f>"1551688894483399"</f>
        <v>1551688894483399</v>
      </c>
      <c r="C2242" t="s">
        <v>40</v>
      </c>
      <c r="D2242">
        <v>3.9271349999999998</v>
      </c>
      <c r="E2242">
        <v>0.52389259999999904</v>
      </c>
      <c r="F2242" t="s">
        <v>46</v>
      </c>
      <c r="G2242">
        <v>-279.13819999999998</v>
      </c>
      <c r="H2242" s="1">
        <v>3.3888929999999999E-6</v>
      </c>
      <c r="I2242">
        <v>283.17919999999998</v>
      </c>
      <c r="J2242">
        <v>-262.74709999999999</v>
      </c>
      <c r="K2242">
        <v>1.110198</v>
      </c>
      <c r="L2242">
        <v>284.2876</v>
      </c>
      <c r="M2242">
        <v>-0.99997409999999998</v>
      </c>
      <c r="N2242">
        <v>-6.1777999999999998E-3</v>
      </c>
      <c r="O2242">
        <v>-3.7317689999999998E-3</v>
      </c>
      <c r="P2242">
        <v>-0.9249444</v>
      </c>
      <c r="Q2242">
        <v>0.36796220000000002</v>
      </c>
      <c r="R2242">
        <v>-9.529936E-2</v>
      </c>
      <c r="S2242">
        <v>-3.3075260000000002</v>
      </c>
      <c r="T2242">
        <v>-0.21839439999999999</v>
      </c>
      <c r="U2242">
        <v>-0.21832280000000001</v>
      </c>
      <c r="V2242">
        <v>-9.2630680000000007E-2</v>
      </c>
      <c r="W2242">
        <v>0.37347809999999998</v>
      </c>
      <c r="X2242">
        <v>0.92300249999999995</v>
      </c>
      <c r="Y2242">
        <v>-6.1999949999999998E-2</v>
      </c>
      <c r="Z2242">
        <v>-2.0115649999999999E-3</v>
      </c>
      <c r="AA2242">
        <v>0.99807409999999996</v>
      </c>
      <c r="AB2242">
        <v>45</v>
      </c>
      <c r="AC2242">
        <v>-16.391099999999899</v>
      </c>
      <c r="AD2242">
        <v>-1.110194611107</v>
      </c>
      <c r="AE2242">
        <v>-1.10840000000001</v>
      </c>
      <c r="AF2242">
        <v>-1.0424627302865701</v>
      </c>
      <c r="AG2242">
        <v>-1.110194611107</v>
      </c>
      <c r="AH2242">
        <v>16.3205913062584</v>
      </c>
      <c r="AI2242">
        <v>93.883612619799706</v>
      </c>
      <c r="AJ2242">
        <v>93.654750178621399</v>
      </c>
      <c r="AK2242">
        <v>16.391490511984699</v>
      </c>
      <c r="AL2242">
        <v>68.069718094154297</v>
      </c>
      <c r="AM2242">
        <v>95.730900917043897</v>
      </c>
      <c r="AN2242">
        <v>0.99999997453155998</v>
      </c>
    </row>
    <row r="2243" spans="1:40" x14ac:dyDescent="0.25">
      <c r="A2243" t="str">
        <f>"20190304164134513"</f>
        <v>20190304164134513</v>
      </c>
      <c r="B2243" t="str">
        <f>"1551688894502919"</f>
        <v>1551688894502919</v>
      </c>
      <c r="C2243" t="s">
        <v>40</v>
      </c>
      <c r="D2243">
        <v>3.9141490000000001</v>
      </c>
      <c r="E2243">
        <v>0.52394600000000002</v>
      </c>
      <c r="F2243" t="s">
        <v>46</v>
      </c>
      <c r="G2243">
        <v>-279.58949999999999</v>
      </c>
      <c r="H2243" s="1">
        <v>3.6289600000000001E-6</v>
      </c>
      <c r="I2243">
        <v>283.18189999999998</v>
      </c>
      <c r="J2243">
        <v>-263.14800000000002</v>
      </c>
      <c r="K2243">
        <v>1.1100829999999999</v>
      </c>
      <c r="L2243">
        <v>284.286</v>
      </c>
      <c r="M2243">
        <v>-0.99997259999999999</v>
      </c>
      <c r="N2243">
        <v>-6.2048399999999997E-3</v>
      </c>
      <c r="O2243">
        <v>-4.0511710000000001E-3</v>
      </c>
      <c r="P2243">
        <v>-0.92493550000000002</v>
      </c>
      <c r="Q2243">
        <v>0.36816870000000002</v>
      </c>
      <c r="R2243">
        <v>-9.4584760000000004E-2</v>
      </c>
      <c r="S2243">
        <v>-3.3077999999999999</v>
      </c>
      <c r="T2243">
        <v>-0.2180396</v>
      </c>
      <c r="U2243">
        <v>-0.2171631</v>
      </c>
      <c r="V2243">
        <v>-9.1516490000000006E-2</v>
      </c>
      <c r="W2243">
        <v>0.37373729999999999</v>
      </c>
      <c r="X2243">
        <v>0.92300879999999996</v>
      </c>
      <c r="Y2243">
        <v>-6.132982E-2</v>
      </c>
      <c r="Z2243">
        <v>-1.9663110000000001E-3</v>
      </c>
      <c r="AA2243">
        <v>0.99811559999999999</v>
      </c>
      <c r="AB2243">
        <v>45</v>
      </c>
      <c r="AC2243">
        <v>-16.441500000000001</v>
      </c>
      <c r="AD2243">
        <v>-1.1100793710400001</v>
      </c>
      <c r="AE2243">
        <v>-1.1041000000000101</v>
      </c>
      <c r="AF2243">
        <v>-1.0327954357167799</v>
      </c>
      <c r="AG2243">
        <v>-1.1100793710400001</v>
      </c>
      <c r="AH2243">
        <v>16.371542864207299</v>
      </c>
      <c r="AI2243">
        <v>93.871354788855697</v>
      </c>
      <c r="AJ2243">
        <v>93.609709102748596</v>
      </c>
      <c r="AK2243">
        <v>16.4416044952013</v>
      </c>
      <c r="AL2243">
        <v>68.053709198215103</v>
      </c>
      <c r="AM2243">
        <v>95.662380165223297</v>
      </c>
      <c r="AN2243">
        <v>1.00000004111532</v>
      </c>
    </row>
    <row r="2244" spans="1:40" x14ac:dyDescent="0.25">
      <c r="A2244" t="str">
        <f>"20190304164134528"</f>
        <v>20190304164134528</v>
      </c>
      <c r="B2244" t="str">
        <f>"1551688894523415"</f>
        <v>1551688894523415</v>
      </c>
      <c r="C2244" t="s">
        <v>40</v>
      </c>
      <c r="D2244">
        <v>3.9486479999999999</v>
      </c>
      <c r="E2244">
        <v>0.52387669999999997</v>
      </c>
      <c r="F2244" t="s">
        <v>47</v>
      </c>
      <c r="G2244">
        <v>-279.98700000000002</v>
      </c>
      <c r="H2244" s="1">
        <v>8.7023229999999992E-6</v>
      </c>
      <c r="I2244">
        <v>283.19200000000001</v>
      </c>
      <c r="J2244">
        <v>-263.43509999999998</v>
      </c>
      <c r="K2244">
        <v>1.1099969999999999</v>
      </c>
      <c r="L2244">
        <v>284.28489999999999</v>
      </c>
      <c r="M2244">
        <v>-0.99997179999999997</v>
      </c>
      <c r="N2244">
        <v>-6.2243180000000004E-3</v>
      </c>
      <c r="O2244">
        <v>-4.2075319999999999E-3</v>
      </c>
      <c r="P2244">
        <v>-0.92502280000000003</v>
      </c>
      <c r="Q2244">
        <v>0.3679712</v>
      </c>
      <c r="R2244">
        <v>-9.4499330000000006E-2</v>
      </c>
      <c r="S2244">
        <v>-3.308319</v>
      </c>
      <c r="T2244">
        <v>-0.21809410000000001</v>
      </c>
      <c r="U2244">
        <v>-0.2149353</v>
      </c>
      <c r="V2244">
        <v>-9.1207250000000004E-2</v>
      </c>
      <c r="W2244">
        <v>0.37357800000000002</v>
      </c>
      <c r="X2244">
        <v>0.92310389999999998</v>
      </c>
      <c r="Y2244">
        <v>-6.049641E-2</v>
      </c>
      <c r="Z2244">
        <v>-1.9278609999999999E-3</v>
      </c>
      <c r="AA2244">
        <v>0.99816660000000001</v>
      </c>
      <c r="AB2244">
        <v>45</v>
      </c>
      <c r="AC2244">
        <v>-16.5519</v>
      </c>
      <c r="AD2244">
        <v>-1.1099882976769999</v>
      </c>
      <c r="AE2244">
        <v>-1.09289999999998</v>
      </c>
      <c r="AF2244">
        <v>-1.01868499717197</v>
      </c>
      <c r="AG2244">
        <v>-1.1099882976769999</v>
      </c>
      <c r="AH2244">
        <v>16.482548621065099</v>
      </c>
      <c r="AI2244">
        <v>93.845351608001707</v>
      </c>
      <c r="AJ2244">
        <v>93.536601522390299</v>
      </c>
      <c r="AK2244">
        <v>16.551259836949502</v>
      </c>
      <c r="AL2244">
        <v>68.063549300453204</v>
      </c>
      <c r="AM2244">
        <v>95.642792700764701</v>
      </c>
      <c r="AN2244">
        <v>1.0000000473658801</v>
      </c>
    </row>
    <row r="2245" spans="1:40" x14ac:dyDescent="0.25">
      <c r="A2245" t="str">
        <f>"20190304164134547"</f>
        <v>20190304164134547</v>
      </c>
      <c r="B2245" t="str">
        <f>"1551688894533176"</f>
        <v>1551688894533176</v>
      </c>
      <c r="C2245" t="s">
        <v>40</v>
      </c>
      <c r="D2245">
        <v>3.9603980000000001</v>
      </c>
      <c r="E2245">
        <v>0.52387829999999902</v>
      </c>
      <c r="F2245" t="s">
        <v>47</v>
      </c>
      <c r="G2245">
        <v>-280.26769999999999</v>
      </c>
      <c r="H2245" s="1">
        <v>8.5776530000000007E-6</v>
      </c>
      <c r="I2245">
        <v>283.19299999999998</v>
      </c>
      <c r="J2245">
        <v>-263.82040000000001</v>
      </c>
      <c r="K2245">
        <v>1.1098749999999999</v>
      </c>
      <c r="L2245">
        <v>284.28320000000002</v>
      </c>
      <c r="M2245">
        <v>-0.99997119999999995</v>
      </c>
      <c r="N2245">
        <v>-6.2506139999999998E-3</v>
      </c>
      <c r="O2245">
        <v>-4.3105549999999998E-3</v>
      </c>
      <c r="P2245">
        <v>-0.92536949999999996</v>
      </c>
      <c r="Q2245">
        <v>0.36735400000000001</v>
      </c>
      <c r="R2245">
        <v>-9.35005E-2</v>
      </c>
      <c r="S2245">
        <v>-3.3079830000000001</v>
      </c>
      <c r="T2245">
        <v>-0.21813769999999999</v>
      </c>
      <c r="U2245">
        <v>-0.21456910000000001</v>
      </c>
      <c r="V2245">
        <v>-9.0000140000000006E-2</v>
      </c>
      <c r="W2245">
        <v>0.37301580000000001</v>
      </c>
      <c r="X2245">
        <v>0.92344959999999998</v>
      </c>
      <c r="Y2245">
        <v>-6.0290620000000003E-2</v>
      </c>
      <c r="Z2245">
        <v>-1.9157379999999999E-3</v>
      </c>
      <c r="AA2245">
        <v>0.99817900000000004</v>
      </c>
      <c r="AB2245">
        <v>45</v>
      </c>
      <c r="AC2245">
        <v>-16.447299999999899</v>
      </c>
      <c r="AD2245">
        <v>-1.1098664223469901</v>
      </c>
      <c r="AE2245">
        <v>-1.09020000000003</v>
      </c>
      <c r="AF2245">
        <v>-1.0146912390018501</v>
      </c>
      <c r="AG2245">
        <v>-1.1098664223469901</v>
      </c>
      <c r="AH2245">
        <v>16.377596315482499</v>
      </c>
      <c r="AI2245">
        <v>93.869459261665</v>
      </c>
      <c r="AJ2245">
        <v>93.545288774911697</v>
      </c>
      <c r="AK2245">
        <v>16.446490898026401</v>
      </c>
      <c r="AL2245">
        <v>68.098269579923695</v>
      </c>
      <c r="AM2245">
        <v>95.566512423098501</v>
      </c>
      <c r="AN2245">
        <v>0.99999998799490897</v>
      </c>
    </row>
    <row r="2246" spans="1:40" x14ac:dyDescent="0.25">
      <c r="A2246" t="str">
        <f>"20190304164134559"</f>
        <v>20190304164134559</v>
      </c>
      <c r="B2246" t="str">
        <f>"1551688894553672"</f>
        <v>1551688894553672</v>
      </c>
      <c r="C2246" t="s">
        <v>40</v>
      </c>
      <c r="D2246">
        <v>3.95926</v>
      </c>
      <c r="E2246">
        <v>0.52387510000000004</v>
      </c>
      <c r="F2246" t="s">
        <v>47</v>
      </c>
      <c r="G2246">
        <v>-280.42140000000001</v>
      </c>
      <c r="H2246" s="1">
        <v>8.5030880000000005E-6</v>
      </c>
      <c r="I2246">
        <v>283.22379999999998</v>
      </c>
      <c r="J2246">
        <v>-264.09379999999999</v>
      </c>
      <c r="K2246">
        <v>1.1097809999999999</v>
      </c>
      <c r="L2246">
        <v>284.28210000000001</v>
      </c>
      <c r="M2246">
        <v>-0.9999711</v>
      </c>
      <c r="N2246">
        <v>-6.269358E-3</v>
      </c>
      <c r="O2246">
        <v>-4.3131269999999999E-3</v>
      </c>
      <c r="P2246">
        <v>-0.92554409999999998</v>
      </c>
      <c r="Q2246">
        <v>0.36704880000000001</v>
      </c>
      <c r="R2246">
        <v>-9.2970789999999998E-2</v>
      </c>
      <c r="S2246">
        <v>-3.308411</v>
      </c>
      <c r="T2246">
        <v>-0.22118470000000001</v>
      </c>
      <c r="U2246">
        <v>-0.21112059999999999</v>
      </c>
      <c r="V2246">
        <v>-8.9382519999999993E-2</v>
      </c>
      <c r="W2246">
        <v>0.37274940000000001</v>
      </c>
      <c r="X2246">
        <v>0.92361709999999997</v>
      </c>
      <c r="Y2246">
        <v>-5.9242469999999998E-2</v>
      </c>
      <c r="Z2246">
        <v>-1.9015029999999999E-3</v>
      </c>
      <c r="AA2246">
        <v>0.99824179999999996</v>
      </c>
      <c r="AB2246">
        <v>45</v>
      </c>
      <c r="AC2246">
        <v>-16.3276</v>
      </c>
      <c r="AD2246">
        <v>-1.109772496912</v>
      </c>
      <c r="AE2246">
        <v>-1.05830000000003</v>
      </c>
      <c r="AF2246">
        <v>-0.98334192528005804</v>
      </c>
      <c r="AG2246">
        <v>-1.109772496912</v>
      </c>
      <c r="AH2246">
        <v>16.25722188472</v>
      </c>
      <c r="AI2246">
        <v>93.898041594019901</v>
      </c>
      <c r="AJ2246">
        <v>93.461402113416099</v>
      </c>
      <c r="AK2246">
        <v>16.324699683177499</v>
      </c>
      <c r="AL2246">
        <v>68.114718670287601</v>
      </c>
      <c r="AM2246">
        <v>95.527553672537195</v>
      </c>
      <c r="AN2246">
        <v>0.99999994874715803</v>
      </c>
    </row>
    <row r="2247" spans="1:40" x14ac:dyDescent="0.25">
      <c r="A2247" t="str">
        <f>"20190304164134572"</f>
        <v>20190304164134572</v>
      </c>
      <c r="B2247" t="str">
        <f>"1551688894563431"</f>
        <v>1551688894563431</v>
      </c>
      <c r="C2247" t="s">
        <v>40</v>
      </c>
      <c r="D2247">
        <v>3.9662540000000002</v>
      </c>
      <c r="E2247">
        <v>0.52383290000000005</v>
      </c>
      <c r="F2247" t="s">
        <v>47</v>
      </c>
      <c r="G2247">
        <v>-280.53629999999998</v>
      </c>
      <c r="H2247" s="1">
        <v>8.4484420000000002E-6</v>
      </c>
      <c r="I2247">
        <v>283.24189999999999</v>
      </c>
      <c r="J2247">
        <v>-264.34480000000002</v>
      </c>
      <c r="K2247">
        <v>1.109693</v>
      </c>
      <c r="L2247">
        <v>284.28109999999998</v>
      </c>
      <c r="M2247">
        <v>-0.99997130000000001</v>
      </c>
      <c r="N2247">
        <v>-6.286631E-3</v>
      </c>
      <c r="O2247">
        <v>-4.2442209999999899E-3</v>
      </c>
      <c r="P2247">
        <v>-0.92562690000000003</v>
      </c>
      <c r="Q2247">
        <v>0.36699589999999999</v>
      </c>
      <c r="R2247">
        <v>-9.235343E-2</v>
      </c>
      <c r="S2247">
        <v>-3.3088679999999999</v>
      </c>
      <c r="T2247">
        <v>-0.22332949999999999</v>
      </c>
      <c r="U2247">
        <v>-0.20932010000000001</v>
      </c>
      <c r="V2247">
        <v>-8.8748510000000003E-2</v>
      </c>
      <c r="W2247">
        <v>0.37273260000000003</v>
      </c>
      <c r="X2247">
        <v>0.92368510000000004</v>
      </c>
      <c r="Y2247">
        <v>-5.876E-2</v>
      </c>
      <c r="Z2247">
        <v>-1.9046620000000001E-3</v>
      </c>
      <c r="AA2247">
        <v>0.99827030000000005</v>
      </c>
      <c r="AB2247">
        <v>45</v>
      </c>
      <c r="AC2247">
        <v>-16.191499999999898</v>
      </c>
      <c r="AD2247">
        <v>-1.1096845515580001</v>
      </c>
      <c r="AE2247">
        <v>-1.0391999999999899</v>
      </c>
      <c r="AF2247">
        <v>-0.96595048038432596</v>
      </c>
      <c r="AG2247">
        <v>-1.1096845515580001</v>
      </c>
      <c r="AH2247">
        <v>16.1203573918947</v>
      </c>
      <c r="AI2247">
        <v>93.930855619904506</v>
      </c>
      <c r="AJ2247">
        <v>93.429129224619601</v>
      </c>
      <c r="AK2247">
        <v>16.1873525499674</v>
      </c>
      <c r="AL2247">
        <v>68.115757784213898</v>
      </c>
      <c r="AM2247">
        <v>95.488184186900497</v>
      </c>
      <c r="AN2247">
        <v>1.0000000265459901</v>
      </c>
    </row>
    <row r="2248" spans="1:40" x14ac:dyDescent="0.25">
      <c r="A2248" t="str">
        <f>"20190304164134584"</f>
        <v>20190304164134584</v>
      </c>
      <c r="B2248" t="str">
        <f>"1551688894573192"</f>
        <v>1551688894573192</v>
      </c>
      <c r="C2248" t="s">
        <v>40</v>
      </c>
      <c r="D2248">
        <v>3.9826090000000001</v>
      </c>
      <c r="E2248">
        <v>0.52379409999999904</v>
      </c>
      <c r="F2248" t="s">
        <v>47</v>
      </c>
      <c r="G2248">
        <v>-280.74549999999999</v>
      </c>
      <c r="H2248" s="1">
        <v>8.3530359999999996E-6</v>
      </c>
      <c r="I2248">
        <v>283.25459999999998</v>
      </c>
      <c r="J2248">
        <v>-264.5958</v>
      </c>
      <c r="K2248">
        <v>1.109602</v>
      </c>
      <c r="L2248">
        <v>284.2801</v>
      </c>
      <c r="M2248">
        <v>-0.99997170000000002</v>
      </c>
      <c r="N2248">
        <v>-6.3039330000000003E-3</v>
      </c>
      <c r="O2248">
        <v>-4.1414599999999996E-3</v>
      </c>
      <c r="P2248">
        <v>-0.92582699999999996</v>
      </c>
      <c r="Q2248">
        <v>0.3666915</v>
      </c>
      <c r="R2248">
        <v>-9.1554079999999996E-2</v>
      </c>
      <c r="S2248">
        <v>-3.3091430000000002</v>
      </c>
      <c r="T2248">
        <v>-0.22389919999999999</v>
      </c>
      <c r="U2248">
        <v>-0.2071228</v>
      </c>
      <c r="V2248">
        <v>-8.7961410000000004E-2</v>
      </c>
      <c r="W2248">
        <v>0.37246580000000001</v>
      </c>
      <c r="X2248">
        <v>0.92386789999999996</v>
      </c>
      <c r="Y2248">
        <v>-5.8197640000000002E-2</v>
      </c>
      <c r="Z2248">
        <v>-1.894976E-3</v>
      </c>
      <c r="AA2248">
        <v>0.9983033</v>
      </c>
      <c r="AB2248">
        <v>45</v>
      </c>
      <c r="AC2248">
        <v>-16.1496999999999</v>
      </c>
      <c r="AD2248">
        <v>-1.109593646964</v>
      </c>
      <c r="AE2248">
        <v>-1.0255000000000201</v>
      </c>
      <c r="AF2248">
        <v>-0.95412059717983899</v>
      </c>
      <c r="AG2248">
        <v>-1.109593646964</v>
      </c>
      <c r="AH2248">
        <v>16.078214325714502</v>
      </c>
      <c r="AI2248">
        <v>93.940939722559605</v>
      </c>
      <c r="AJ2248">
        <v>93.396089079586602</v>
      </c>
      <c r="AK2248">
        <v>16.144674666246999</v>
      </c>
      <c r="AL2248">
        <v>68.1322284481098</v>
      </c>
      <c r="AM2248">
        <v>95.438733515192396</v>
      </c>
      <c r="AN2248">
        <v>0.99999993923461705</v>
      </c>
    </row>
    <row r="2249" spans="1:40" x14ac:dyDescent="0.25">
      <c r="A2249" t="str">
        <f>"20190304164134602"</f>
        <v>20190304164134602</v>
      </c>
      <c r="B2249" t="str">
        <f>"1551688894593688"</f>
        <v>1551688894593688</v>
      </c>
      <c r="C2249" t="s">
        <v>40</v>
      </c>
      <c r="D2249">
        <v>3.979943</v>
      </c>
      <c r="E2249">
        <v>0.52367929999999996</v>
      </c>
      <c r="F2249" t="s">
        <v>47</v>
      </c>
      <c r="G2249">
        <v>-280.8777</v>
      </c>
      <c r="H2249" s="1">
        <v>8.2908190000000006E-6</v>
      </c>
      <c r="I2249">
        <v>283.27210000000002</v>
      </c>
      <c r="J2249">
        <v>-264.95</v>
      </c>
      <c r="K2249">
        <v>1.1094660000000001</v>
      </c>
      <c r="L2249">
        <v>284.27890000000002</v>
      </c>
      <c r="M2249">
        <v>-0.99997230000000004</v>
      </c>
      <c r="N2249">
        <v>-6.3284730000000003E-3</v>
      </c>
      <c r="O2249">
        <v>-3.8950830000000001E-3</v>
      </c>
      <c r="P2249">
        <v>-0.9259811</v>
      </c>
      <c r="Q2249">
        <v>0.3668612</v>
      </c>
      <c r="R2249">
        <v>-8.9284230000000006E-2</v>
      </c>
      <c r="S2249">
        <v>-3.309418</v>
      </c>
      <c r="T2249">
        <v>-0.22553419999999999</v>
      </c>
      <c r="U2249">
        <v>-0.20489499999999999</v>
      </c>
      <c r="V2249">
        <v>-8.57956E-2</v>
      </c>
      <c r="W2249">
        <v>0.37268879999999999</v>
      </c>
      <c r="X2249">
        <v>0.92398170000000002</v>
      </c>
      <c r="Y2249">
        <v>-5.7767689999999997E-2</v>
      </c>
      <c r="Z2249">
        <v>-1.907178E-3</v>
      </c>
      <c r="AA2249">
        <v>0.9983282</v>
      </c>
      <c r="AB2249">
        <v>45</v>
      </c>
      <c r="AC2249">
        <v>-15.9277</v>
      </c>
      <c r="AD2249">
        <v>-1.1094577091810001</v>
      </c>
      <c r="AE2249">
        <v>-1.0067999999999899</v>
      </c>
      <c r="AF2249">
        <v>-0.94020772456790103</v>
      </c>
      <c r="AG2249">
        <v>-1.1094577091810001</v>
      </c>
      <c r="AH2249">
        <v>15.8548800453681</v>
      </c>
      <c r="AI2249">
        <v>93.995795578206895</v>
      </c>
      <c r="AJ2249">
        <v>93.393713549237503</v>
      </c>
      <c r="AK2249">
        <v>15.921435495168501</v>
      </c>
      <c r="AL2249">
        <v>68.118461686493305</v>
      </c>
      <c r="AM2249">
        <v>95.304943567484898</v>
      </c>
      <c r="AN2249">
        <v>1.00000000427984</v>
      </c>
    </row>
    <row r="2250" spans="1:40" x14ac:dyDescent="0.25">
      <c r="A2250" t="str">
        <f>"20190304164134615"</f>
        <v>20190304164134615</v>
      </c>
      <c r="B2250" t="str">
        <f>"1551688894603448"</f>
        <v>1551688894603448</v>
      </c>
      <c r="C2250" t="s">
        <v>40</v>
      </c>
      <c r="D2250">
        <v>3.9780099999999998</v>
      </c>
      <c r="E2250">
        <v>0.5236324</v>
      </c>
      <c r="F2250" t="s">
        <v>47</v>
      </c>
      <c r="G2250">
        <v>-281.21480000000003</v>
      </c>
      <c r="H2250" s="1">
        <v>8.135559E-6</v>
      </c>
      <c r="I2250">
        <v>283.2998</v>
      </c>
      <c r="J2250">
        <v>-265.20260000000002</v>
      </c>
      <c r="K2250">
        <v>1.109364</v>
      </c>
      <c r="L2250">
        <v>284.27800000000002</v>
      </c>
      <c r="M2250">
        <v>-0.99997340000000001</v>
      </c>
      <c r="N2250">
        <v>-6.3462400000000004E-3</v>
      </c>
      <c r="O2250">
        <v>-3.6354159999999998E-3</v>
      </c>
      <c r="P2250">
        <v>-0.9260659</v>
      </c>
      <c r="Q2250">
        <v>0.3669018</v>
      </c>
      <c r="R2250">
        <v>-8.8235480000000005E-2</v>
      </c>
      <c r="S2250">
        <v>-3.3100589999999999</v>
      </c>
      <c r="T2250">
        <v>-0.2257855</v>
      </c>
      <c r="U2250">
        <v>-0.19924929999999999</v>
      </c>
      <c r="V2250">
        <v>-8.4894750000000005E-2</v>
      </c>
      <c r="W2250">
        <v>0.37276720000000002</v>
      </c>
      <c r="X2250">
        <v>0.92403329999999995</v>
      </c>
      <c r="Y2250">
        <v>-5.6321339999999998E-2</v>
      </c>
      <c r="Z2250">
        <v>-1.8716060000000001E-3</v>
      </c>
      <c r="AA2250">
        <v>0.99841089999999999</v>
      </c>
      <c r="AB2250">
        <v>45</v>
      </c>
      <c r="AC2250">
        <v>-16.0122</v>
      </c>
      <c r="AD2250">
        <v>-1.109355864441</v>
      </c>
      <c r="AE2250">
        <v>-0.97820000000001495</v>
      </c>
      <c r="AF2250">
        <v>-0.91560282639031998</v>
      </c>
      <c r="AG2250">
        <v>-1.109355864441</v>
      </c>
      <c r="AH2250">
        <v>15.9394259140795</v>
      </c>
      <c r="AI2250">
        <v>93.974733765611703</v>
      </c>
      <c r="AJ2250">
        <v>93.287608455912604</v>
      </c>
      <c r="AK2250">
        <v>16.0041962447382</v>
      </c>
      <c r="AL2250">
        <v>68.113621273283698</v>
      </c>
      <c r="AM2250">
        <v>95.249263228192206</v>
      </c>
      <c r="AN2250">
        <v>1.00000002174114</v>
      </c>
    </row>
    <row r="2251" spans="1:40" x14ac:dyDescent="0.25">
      <c r="A2251" t="str">
        <f>"20190304164134626"</f>
        <v>20190304164134626</v>
      </c>
      <c r="B2251" t="str">
        <f>"1551688894622967"</f>
        <v>1551688894622967</v>
      </c>
      <c r="C2251" t="s">
        <v>40</v>
      </c>
      <c r="D2251">
        <v>3.9995340000000001</v>
      </c>
      <c r="E2251">
        <v>0.52353859999999997</v>
      </c>
      <c r="F2251" t="s">
        <v>47</v>
      </c>
      <c r="G2251">
        <v>-281.45609999999999</v>
      </c>
      <c r="H2251" s="1">
        <v>8.0255850000000005E-6</v>
      </c>
      <c r="I2251">
        <v>283.3143</v>
      </c>
      <c r="J2251">
        <v>-265.45339999999999</v>
      </c>
      <c r="K2251">
        <v>1.1092649999999999</v>
      </c>
      <c r="L2251">
        <v>284.27730000000003</v>
      </c>
      <c r="M2251">
        <v>-0.99997409999999998</v>
      </c>
      <c r="N2251">
        <v>-6.3638409999999899E-3</v>
      </c>
      <c r="O2251">
        <v>-3.3453860000000001E-3</v>
      </c>
      <c r="P2251">
        <v>-0.92616779999999999</v>
      </c>
      <c r="Q2251">
        <v>0.36689959999999999</v>
      </c>
      <c r="R2251">
        <v>-8.7165720000000002E-2</v>
      </c>
      <c r="S2251">
        <v>-3.310333</v>
      </c>
      <c r="T2251">
        <v>-0.22594210000000001</v>
      </c>
      <c r="U2251">
        <v>-0.19628909999999999</v>
      </c>
      <c r="V2251">
        <v>-8.4002519999999997E-2</v>
      </c>
      <c r="W2251">
        <v>0.37280259999999998</v>
      </c>
      <c r="X2251">
        <v>0.92410060000000005</v>
      </c>
      <c r="Y2251">
        <v>-5.571707E-2</v>
      </c>
      <c r="Z2251">
        <v>-1.86863E-3</v>
      </c>
      <c r="AA2251">
        <v>0.99844489999999997</v>
      </c>
      <c r="AB2251">
        <v>45</v>
      </c>
      <c r="AC2251">
        <v>-16.002700000000001</v>
      </c>
      <c r="AD2251">
        <v>-1.109256974415</v>
      </c>
      <c r="AE2251">
        <v>-0.96300000000002195</v>
      </c>
      <c r="AF2251">
        <v>-0.90512503785955301</v>
      </c>
      <c r="AG2251">
        <v>-1.109256974415</v>
      </c>
      <c r="AH2251">
        <v>15.9295694564125</v>
      </c>
      <c r="AI2251">
        <v>93.976972314136205</v>
      </c>
      <c r="AJ2251">
        <v>93.252074182283906</v>
      </c>
      <c r="AK2251">
        <v>15.9937764594894</v>
      </c>
      <c r="AL2251">
        <v>68.111436333796206</v>
      </c>
      <c r="AM2251">
        <v>95.1940214853567</v>
      </c>
      <c r="AN2251">
        <v>1.0000000604267301</v>
      </c>
    </row>
    <row r="2252" spans="1:40" x14ac:dyDescent="0.25">
      <c r="A2252" t="str">
        <f>"20190304164134640"</f>
        <v>20190304164134640</v>
      </c>
      <c r="B2252" t="str">
        <f>"1551688894633704"</f>
        <v>1551688894633704</v>
      </c>
      <c r="C2252" t="s">
        <v>40</v>
      </c>
      <c r="D2252">
        <v>3.9981390000000001</v>
      </c>
      <c r="E2252">
        <v>0.52346789999999999</v>
      </c>
      <c r="F2252" t="s">
        <v>47</v>
      </c>
      <c r="G2252">
        <v>-281.71870000000001</v>
      </c>
      <c r="H2252" s="1">
        <v>7.9065320000000005E-6</v>
      </c>
      <c r="I2252">
        <v>283.32679999999999</v>
      </c>
      <c r="J2252">
        <v>-265.7371</v>
      </c>
      <c r="K2252">
        <v>1.109143</v>
      </c>
      <c r="L2252">
        <v>284.27659999999997</v>
      </c>
      <c r="M2252">
        <v>-0.99997530000000001</v>
      </c>
      <c r="N2252">
        <v>-6.3836989999999996E-3</v>
      </c>
      <c r="O2252">
        <v>-2.9667249999999999E-3</v>
      </c>
      <c r="P2252">
        <v>-0.92646379999999995</v>
      </c>
      <c r="Q2252">
        <v>0.3664386</v>
      </c>
      <c r="R2252">
        <v>-8.5950849999999995E-2</v>
      </c>
      <c r="S2252">
        <v>-3.3103940000000001</v>
      </c>
      <c r="T2252">
        <v>-0.22576199999999999</v>
      </c>
      <c r="U2252">
        <v>-0.19345090000000001</v>
      </c>
      <c r="V2252">
        <v>-8.3035739999999997E-2</v>
      </c>
      <c r="W2252">
        <v>0.3723844</v>
      </c>
      <c r="X2252">
        <v>0.92435650000000003</v>
      </c>
      <c r="Y2252">
        <v>-5.5241659999999998E-2</v>
      </c>
      <c r="Z2252">
        <v>-1.873588E-3</v>
      </c>
      <c r="AA2252">
        <v>0.99847129999999995</v>
      </c>
      <c r="AB2252">
        <v>46</v>
      </c>
      <c r="AC2252">
        <v>-15.9816</v>
      </c>
      <c r="AD2252">
        <v>-1.109135093468</v>
      </c>
      <c r="AE2252">
        <v>-0.94979999999998199</v>
      </c>
      <c r="AF2252">
        <v>-0.89807153953934304</v>
      </c>
      <c r="AG2252">
        <v>-1.109135093468</v>
      </c>
      <c r="AH2252">
        <v>15.9079968860769</v>
      </c>
      <c r="AI2252">
        <v>93.981994012227005</v>
      </c>
      <c r="AJ2252">
        <v>93.231151561988398</v>
      </c>
      <c r="AK2252">
        <v>15.9718839863407</v>
      </c>
      <c r="AL2252">
        <v>68.137255404763593</v>
      </c>
      <c r="AM2252">
        <v>95.133151311596393</v>
      </c>
      <c r="AN2252">
        <v>1.0000000072864701</v>
      </c>
    </row>
    <row r="2253" spans="1:40" x14ac:dyDescent="0.25">
      <c r="A2253" t="str">
        <f>"20190304164134659"</f>
        <v>20190304164134659</v>
      </c>
      <c r="B2253" t="str">
        <f>"1551688894653224"</f>
        <v>1551688894653224</v>
      </c>
      <c r="C2253" t="s">
        <v>40</v>
      </c>
      <c r="D2253">
        <v>4.0055399999999999</v>
      </c>
      <c r="E2253">
        <v>0.52351619999999999</v>
      </c>
      <c r="F2253" t="s">
        <v>47</v>
      </c>
      <c r="G2253">
        <v>-281.88249999999999</v>
      </c>
      <c r="H2253" s="1">
        <v>7.8292650000000007E-6</v>
      </c>
      <c r="I2253">
        <v>283.34930000000003</v>
      </c>
      <c r="J2253">
        <v>-266.09800000000001</v>
      </c>
      <c r="K2253">
        <v>1.108997</v>
      </c>
      <c r="L2253">
        <v>284.27589999999998</v>
      </c>
      <c r="M2253">
        <v>-0.99997659999999999</v>
      </c>
      <c r="N2253">
        <v>-6.4089709999999899E-3</v>
      </c>
      <c r="O2253">
        <v>-2.3872899999999998E-3</v>
      </c>
      <c r="P2253">
        <v>-0.92689370000000004</v>
      </c>
      <c r="Q2253">
        <v>0.36570659999999999</v>
      </c>
      <c r="R2253">
        <v>-8.4421869999999996E-2</v>
      </c>
      <c r="S2253">
        <v>-3.3103940000000001</v>
      </c>
      <c r="T2253">
        <v>-0.2274137</v>
      </c>
      <c r="U2253">
        <v>-0.1901245</v>
      </c>
      <c r="V2253">
        <v>-8.1915440000000006E-2</v>
      </c>
      <c r="W2253">
        <v>0.37170540000000002</v>
      </c>
      <c r="X2253">
        <v>0.92472960000000004</v>
      </c>
      <c r="Y2253">
        <v>-5.48183E-2</v>
      </c>
      <c r="Z2253">
        <v>-1.906802E-3</v>
      </c>
      <c r="AA2253">
        <v>0.99849449999999995</v>
      </c>
      <c r="AB2253">
        <v>46</v>
      </c>
      <c r="AC2253">
        <v>-15.7844999999999</v>
      </c>
      <c r="AD2253">
        <v>-1.1089891707349999</v>
      </c>
      <c r="AE2253">
        <v>-0.92659999999995002</v>
      </c>
      <c r="AF2253">
        <v>-0.88456301918408897</v>
      </c>
      <c r="AG2253">
        <v>-1.1089891707349999</v>
      </c>
      <c r="AH2253">
        <v>15.7093887124467</v>
      </c>
      <c r="AI2253">
        <v>94.031676183773996</v>
      </c>
      <c r="AJ2253">
        <v>93.222803049920898</v>
      </c>
      <c r="AK2253">
        <v>15.7733066423773</v>
      </c>
      <c r="AL2253">
        <v>68.179166362560196</v>
      </c>
      <c r="AM2253">
        <v>95.062225886354</v>
      </c>
      <c r="AN2253">
        <v>0.99999993840785495</v>
      </c>
    </row>
    <row r="2254" spans="1:40" x14ac:dyDescent="0.25">
      <c r="A2254" t="str">
        <f>"20190304164134671"</f>
        <v>20190304164134671</v>
      </c>
      <c r="B2254" t="str">
        <f>"1551688894662984"</f>
        <v>1551688894662984</v>
      </c>
      <c r="C2254" t="s">
        <v>40</v>
      </c>
      <c r="D2254">
        <v>4.0070610000000002</v>
      </c>
      <c r="E2254">
        <v>0.52428799999999998</v>
      </c>
      <c r="F2254" t="s">
        <v>47</v>
      </c>
      <c r="G2254">
        <v>-282.04140000000001</v>
      </c>
      <c r="H2254" s="1">
        <v>7.7512869999999992E-6</v>
      </c>
      <c r="I2254">
        <v>283.38569999999999</v>
      </c>
      <c r="J2254">
        <v>-266.36649999999997</v>
      </c>
      <c r="K2254">
        <v>1.1088960000000001</v>
      </c>
      <c r="L2254">
        <v>284.27550000000002</v>
      </c>
      <c r="M2254">
        <v>-0.99997760000000002</v>
      </c>
      <c r="N2254">
        <v>-6.4276899999999998E-3</v>
      </c>
      <c r="O2254">
        <v>-1.9020860000000001E-3</v>
      </c>
      <c r="P2254">
        <v>-0.92715080000000005</v>
      </c>
      <c r="Q2254">
        <v>0.36525410000000003</v>
      </c>
      <c r="R2254">
        <v>-8.3553069999999993E-2</v>
      </c>
      <c r="S2254">
        <v>-3.3106379999999902</v>
      </c>
      <c r="T2254">
        <v>-0.23028209999999999</v>
      </c>
      <c r="U2254">
        <v>-0.18484500000000001</v>
      </c>
      <c r="V2254">
        <v>-8.1405240000000004E-2</v>
      </c>
      <c r="W2254">
        <v>0.3712915</v>
      </c>
      <c r="X2254">
        <v>0.92494100000000001</v>
      </c>
      <c r="Y2254">
        <v>-5.3709930000000003E-2</v>
      </c>
      <c r="Z2254">
        <v>-1.9174229999999999E-3</v>
      </c>
      <c r="AA2254">
        <v>0.99855479999999996</v>
      </c>
      <c r="AB2254">
        <v>46</v>
      </c>
      <c r="AC2254">
        <v>-15.674899999999999</v>
      </c>
      <c r="AD2254">
        <v>-1.1088882487129901</v>
      </c>
      <c r="AE2254">
        <v>-0.88980000000003601</v>
      </c>
      <c r="AF2254">
        <v>-0.85571405058809502</v>
      </c>
      <c r="AG2254">
        <v>-1.1088882487129901</v>
      </c>
      <c r="AH2254">
        <v>15.598750001307399</v>
      </c>
      <c r="AI2254">
        <v>94.060133602999102</v>
      </c>
      <c r="AJ2254">
        <v>93.139976600654904</v>
      </c>
      <c r="AK2254">
        <v>15.661509546905</v>
      </c>
      <c r="AL2254">
        <v>68.204711010877205</v>
      </c>
      <c r="AM2254">
        <v>95.029714829058193</v>
      </c>
      <c r="AN2254">
        <v>1.0000000222763501</v>
      </c>
    </row>
    <row r="2255" spans="1:40" x14ac:dyDescent="0.25">
      <c r="A2255" t="str">
        <f>"20190304164134686"</f>
        <v>20190304164134686</v>
      </c>
      <c r="B2255" t="str">
        <f>"1551688894673719"</f>
        <v>1551688894673719</v>
      </c>
      <c r="C2255" t="s">
        <v>40</v>
      </c>
      <c r="D2255">
        <v>4.0207930000000003</v>
      </c>
      <c r="E2255">
        <v>0.5247368</v>
      </c>
      <c r="F2255" t="s">
        <v>47</v>
      </c>
      <c r="G2255">
        <v>-282.18290000000002</v>
      </c>
      <c r="H2255" s="1">
        <v>7.6776889999999993E-6</v>
      </c>
      <c r="I2255">
        <v>283.43810000000002</v>
      </c>
      <c r="J2255">
        <v>-266.6635</v>
      </c>
      <c r="K2255">
        <v>1.108789</v>
      </c>
      <c r="L2255">
        <v>284.27530000000002</v>
      </c>
      <c r="M2255">
        <v>-0.99997840000000005</v>
      </c>
      <c r="N2255">
        <v>-6.4482630000000001E-3</v>
      </c>
      <c r="O2255">
        <v>-1.328302E-3</v>
      </c>
      <c r="P2255">
        <v>-0.92749479999999995</v>
      </c>
      <c r="Q2255">
        <v>0.36450880000000002</v>
      </c>
      <c r="R2255">
        <v>-8.298796E-2</v>
      </c>
      <c r="S2255">
        <v>-3.3113709999999998</v>
      </c>
      <c r="T2255">
        <v>-0.2321597</v>
      </c>
      <c r="U2255">
        <v>-0.17532349999999999</v>
      </c>
      <c r="V2255">
        <v>-8.1276319999999999E-2</v>
      </c>
      <c r="W2255">
        <v>0.37058829999999998</v>
      </c>
      <c r="X2255">
        <v>0.92523429999999995</v>
      </c>
      <c r="Y2255">
        <v>-5.1410530000000003E-2</v>
      </c>
      <c r="Z2255">
        <v>-1.880425E-3</v>
      </c>
      <c r="AA2255">
        <v>0.9986758</v>
      </c>
      <c r="AB2255">
        <v>46</v>
      </c>
      <c r="AC2255">
        <v>-15.519399999999999</v>
      </c>
      <c r="AD2255">
        <v>-1.1087813223109999</v>
      </c>
      <c r="AE2255">
        <v>-0.83719999999999495</v>
      </c>
      <c r="AF2255">
        <v>-0.81244937721095101</v>
      </c>
      <c r="AG2255">
        <v>-1.1087813223109999</v>
      </c>
      <c r="AH2255">
        <v>15.4419059326274</v>
      </c>
      <c r="AI2255">
        <v>94.101329949633893</v>
      </c>
      <c r="AJ2255">
        <v>93.011742156595005</v>
      </c>
      <c r="AK2255">
        <v>15.502965162940599</v>
      </c>
      <c r="AL2255">
        <v>68.248096599312106</v>
      </c>
      <c r="AM2255">
        <v>95.020206348921704</v>
      </c>
      <c r="AN2255">
        <v>1.00000001909306</v>
      </c>
    </row>
    <row r="2256" spans="1:40" x14ac:dyDescent="0.25">
      <c r="A2256" t="str">
        <f>"20190304164134704"</f>
        <v>20190304164134704</v>
      </c>
      <c r="B2256" t="str">
        <f>"1551688894693239"</f>
        <v>1551688894693239</v>
      </c>
      <c r="C2256" t="s">
        <v>40</v>
      </c>
      <c r="D2256">
        <v>3.9786239999999999</v>
      </c>
      <c r="E2256">
        <v>0.5255917</v>
      </c>
      <c r="F2256" t="s">
        <v>47</v>
      </c>
      <c r="G2256">
        <v>-282.35629999999998</v>
      </c>
      <c r="H2256" s="1">
        <v>7.5935009999999996E-6</v>
      </c>
      <c r="I2256">
        <v>283.47329999999999</v>
      </c>
      <c r="J2256">
        <v>-267.02980000000002</v>
      </c>
      <c r="K2256">
        <v>1.108665</v>
      </c>
      <c r="L2256">
        <v>284.27519999999998</v>
      </c>
      <c r="M2256">
        <v>-0.99997899999999995</v>
      </c>
      <c r="N2256">
        <v>-6.473347E-3</v>
      </c>
      <c r="O2256">
        <v>-5.6290210000000003E-4</v>
      </c>
      <c r="P2256">
        <v>-0.92791219999999996</v>
      </c>
      <c r="Q2256">
        <v>0.36358950000000001</v>
      </c>
      <c r="R2256">
        <v>-8.2352839999999997E-2</v>
      </c>
      <c r="S2256">
        <v>-3.3113709999999998</v>
      </c>
      <c r="T2256">
        <v>-0.2339666</v>
      </c>
      <c r="U2256">
        <v>-0.16922000000000001</v>
      </c>
      <c r="V2256">
        <v>-8.1243090000000004E-2</v>
      </c>
      <c r="W2256">
        <v>0.36971880000000001</v>
      </c>
      <c r="X2256">
        <v>0.92558499999999999</v>
      </c>
      <c r="Y2256">
        <v>-5.0338380000000002E-2</v>
      </c>
      <c r="Z2256">
        <v>-1.9021730000000001E-3</v>
      </c>
      <c r="AA2256">
        <v>0.99873040000000002</v>
      </c>
      <c r="AB2256">
        <v>46</v>
      </c>
      <c r="AC2256">
        <v>-15.3264999999999</v>
      </c>
      <c r="AD2256">
        <v>-1.108657406499</v>
      </c>
      <c r="AE2256">
        <v>-0.80189999999998895</v>
      </c>
      <c r="AF2256">
        <v>-0.78915440132342596</v>
      </c>
      <c r="AG2256">
        <v>-1.108657406499</v>
      </c>
      <c r="AH2256">
        <v>15.247384927577601</v>
      </c>
      <c r="AI2256">
        <v>94.153193300252795</v>
      </c>
      <c r="AJ2256">
        <v>92.962797098832993</v>
      </c>
      <c r="AK2256">
        <v>15.3079924563554</v>
      </c>
      <c r="AL2256">
        <v>68.301724261484793</v>
      </c>
      <c r="AM2256">
        <v>95.016272652177307</v>
      </c>
      <c r="AN2256">
        <v>1.00000001148559</v>
      </c>
    </row>
    <row r="2257" spans="1:40" x14ac:dyDescent="0.25">
      <c r="A2257" t="str">
        <f>"20190304164134725"</f>
        <v>20190304164134725</v>
      </c>
      <c r="B2257" t="str">
        <f>"1551688894713735"</f>
        <v>1551688894713735</v>
      </c>
      <c r="C2257" t="s">
        <v>40</v>
      </c>
      <c r="D2257">
        <v>3.9853329999999998</v>
      </c>
      <c r="E2257">
        <v>0.52638469999999904</v>
      </c>
      <c r="F2257" t="s">
        <v>47</v>
      </c>
      <c r="G2257">
        <v>-282.5052</v>
      </c>
      <c r="H2257" s="1">
        <v>7.5167999999999998E-6</v>
      </c>
      <c r="I2257">
        <v>283.52510000000001</v>
      </c>
      <c r="J2257">
        <v>-267.4554</v>
      </c>
      <c r="K2257">
        <v>1.1085400000000001</v>
      </c>
      <c r="L2257">
        <v>284.27550000000002</v>
      </c>
      <c r="M2257">
        <v>-0.9999789</v>
      </c>
      <c r="N2257">
        <v>-6.5019780000000003E-3</v>
      </c>
      <c r="O2257">
        <v>3.8903089999999999E-4</v>
      </c>
      <c r="P2257">
        <v>-0.92836620000000003</v>
      </c>
      <c r="Q2257">
        <v>0.36247699999999999</v>
      </c>
      <c r="R2257">
        <v>-8.2139889999999993E-2</v>
      </c>
      <c r="S2257">
        <v>-3.3117679999999998</v>
      </c>
      <c r="T2257">
        <v>-0.2372553</v>
      </c>
      <c r="U2257">
        <v>-0.16052249999999901</v>
      </c>
      <c r="V2257">
        <v>-8.1803059999999997E-2</v>
      </c>
      <c r="W2257">
        <v>0.36866100000000002</v>
      </c>
      <c r="X2257">
        <v>0.92595760000000005</v>
      </c>
      <c r="Y2257">
        <v>-4.8665470000000002E-2</v>
      </c>
      <c r="Z2257">
        <v>-1.92377E-3</v>
      </c>
      <c r="AA2257">
        <v>0.99881330000000002</v>
      </c>
      <c r="AB2257">
        <v>46</v>
      </c>
      <c r="AC2257">
        <v>-15.049799999999999</v>
      </c>
      <c r="AD2257">
        <v>-1.1085324832000001</v>
      </c>
      <c r="AE2257">
        <v>-0.75040000000001295</v>
      </c>
      <c r="AF2257">
        <v>-0.75218409047817303</v>
      </c>
      <c r="AG2257">
        <v>-1.1085324832000001</v>
      </c>
      <c r="AH2257">
        <v>14.968497561196299</v>
      </c>
      <c r="AI2257">
        <v>94.230143529217401</v>
      </c>
      <c r="AJ2257">
        <v>92.876758516057095</v>
      </c>
      <c r="AK2257">
        <v>15.028324737368999</v>
      </c>
      <c r="AL2257">
        <v>68.366940344926903</v>
      </c>
      <c r="AM2257">
        <v>95.048647355435804</v>
      </c>
      <c r="AN2257">
        <v>1.0000000752720499</v>
      </c>
    </row>
    <row r="2258" spans="1:40" x14ac:dyDescent="0.25">
      <c r="A2258" t="str">
        <f>"20190304164134736"</f>
        <v>20190304164134736</v>
      </c>
      <c r="B2258" t="str">
        <f>"1551688894723496"</f>
        <v>1551688894723496</v>
      </c>
      <c r="C2258" t="s">
        <v>40</v>
      </c>
      <c r="D2258">
        <v>3.9927239999999999</v>
      </c>
      <c r="E2258">
        <v>0.52673910000000002</v>
      </c>
      <c r="F2258" t="s">
        <v>47</v>
      </c>
      <c r="G2258">
        <v>-282.66829999999999</v>
      </c>
      <c r="H2258" s="1">
        <v>7.4351000000000002E-6</v>
      </c>
      <c r="I2258">
        <v>283.57029999999997</v>
      </c>
      <c r="J2258">
        <v>-267.70010000000002</v>
      </c>
      <c r="K2258">
        <v>1.1084769999999999</v>
      </c>
      <c r="L2258">
        <v>284.27589999999998</v>
      </c>
      <c r="M2258">
        <v>-0.99997820000000004</v>
      </c>
      <c r="N2258">
        <v>-6.5181149999999997E-3</v>
      </c>
      <c r="O2258">
        <v>9.6029160000000004E-4</v>
      </c>
      <c r="P2258">
        <v>-0.9285042</v>
      </c>
      <c r="Q2258">
        <v>0.3621453</v>
      </c>
      <c r="R2258">
        <v>-8.2039680000000004E-2</v>
      </c>
      <c r="S2258">
        <v>-3.3121339999999901</v>
      </c>
      <c r="T2258">
        <v>-0.2413486</v>
      </c>
      <c r="U2258">
        <v>-0.1535339</v>
      </c>
      <c r="V2258">
        <v>-8.2177029999999998E-2</v>
      </c>
      <c r="W2258">
        <v>0.36835859999999998</v>
      </c>
      <c r="X2258">
        <v>0.9260448</v>
      </c>
      <c r="Y2258">
        <v>-4.7126540000000001E-2</v>
      </c>
      <c r="Z2258">
        <v>-1.931309E-3</v>
      </c>
      <c r="AA2258">
        <v>0.99888710000000003</v>
      </c>
      <c r="AB2258">
        <v>46</v>
      </c>
      <c r="AC2258">
        <v>-14.9681999999999</v>
      </c>
      <c r="AD2258">
        <v>-1.1084695649</v>
      </c>
      <c r="AE2258">
        <v>-0.705600000000004</v>
      </c>
      <c r="AF2258">
        <v>-0.71605557735904302</v>
      </c>
      <c r="AG2258">
        <v>-1.1084695649</v>
      </c>
      <c r="AH2258">
        <v>14.886059305060501</v>
      </c>
      <c r="AI2258">
        <v>94.253690298972401</v>
      </c>
      <c r="AJ2258">
        <v>92.753943281735403</v>
      </c>
      <c r="AK2258">
        <v>14.9444371590219</v>
      </c>
      <c r="AL2258">
        <v>68.385577609950303</v>
      </c>
      <c r="AM2258">
        <v>95.071132528014701</v>
      </c>
      <c r="AN2258">
        <v>1.0000000470303001</v>
      </c>
    </row>
    <row r="2259" spans="1:40" x14ac:dyDescent="0.25">
      <c r="A2259" t="str">
        <f>"20190304164134748"</f>
        <v>20190304164134748</v>
      </c>
      <c r="B2259" t="str">
        <f>"1551688894743992"</f>
        <v>1551688894743992</v>
      </c>
      <c r="C2259" t="s">
        <v>40</v>
      </c>
      <c r="D2259">
        <v>3.9790890000000001</v>
      </c>
      <c r="E2259">
        <v>0.5274084</v>
      </c>
      <c r="F2259" t="s">
        <v>47</v>
      </c>
      <c r="G2259">
        <v>-282.8408</v>
      </c>
      <c r="H2259" s="1">
        <v>7.3548149999999996E-6</v>
      </c>
      <c r="I2259">
        <v>283.58870000000002</v>
      </c>
      <c r="J2259">
        <v>-267.94290000000001</v>
      </c>
      <c r="K2259">
        <v>1.108417</v>
      </c>
      <c r="L2259">
        <v>284.27640000000002</v>
      </c>
      <c r="M2259">
        <v>-0.99997749999999996</v>
      </c>
      <c r="N2259">
        <v>-6.5340729999999996E-3</v>
      </c>
      <c r="O2259">
        <v>1.5375969999999999E-3</v>
      </c>
      <c r="P2259">
        <v>-0.92869029999999997</v>
      </c>
      <c r="Q2259">
        <v>0.36161700000000002</v>
      </c>
      <c r="R2259">
        <v>-8.2265850000000001E-2</v>
      </c>
      <c r="S2259">
        <v>-3.3123170000000002</v>
      </c>
      <c r="T2259">
        <v>-0.24249860000000001</v>
      </c>
      <c r="U2259">
        <v>-0.15032960000000001</v>
      </c>
      <c r="V2259">
        <v>-8.2888320000000001E-2</v>
      </c>
      <c r="W2259">
        <v>0.36785950000000001</v>
      </c>
      <c r="X2259">
        <v>0.9261798</v>
      </c>
      <c r="Y2259">
        <v>-4.6734930000000001E-2</v>
      </c>
      <c r="Z2259">
        <v>-1.9629180000000001E-3</v>
      </c>
      <c r="AA2259">
        <v>0.99890540000000005</v>
      </c>
      <c r="AB2259">
        <v>46</v>
      </c>
      <c r="AC2259">
        <v>-14.8978999999999</v>
      </c>
      <c r="AD2259">
        <v>-1.1084096451850001</v>
      </c>
      <c r="AE2259">
        <v>-0.68770000000000597</v>
      </c>
      <c r="AF2259">
        <v>-0.70670306216241097</v>
      </c>
      <c r="AG2259">
        <v>-1.1084096451850001</v>
      </c>
      <c r="AH2259">
        <v>14.814992146097</v>
      </c>
      <c r="AI2259">
        <v>94.273871045306294</v>
      </c>
      <c r="AJ2259">
        <v>92.731046510134803</v>
      </c>
      <c r="AK2259">
        <v>14.8731971495212</v>
      </c>
      <c r="AL2259">
        <v>68.416333682249999</v>
      </c>
      <c r="AM2259">
        <v>95.114052717171404</v>
      </c>
      <c r="AN2259">
        <v>1.0000000536303499</v>
      </c>
    </row>
    <row r="2260" spans="1:40" x14ac:dyDescent="0.25">
      <c r="A2260" t="str">
        <f>"20190304164134760"</f>
        <v>20190304164134760</v>
      </c>
      <c r="B2260" t="str">
        <f>"1551688894753752"</f>
        <v>1551688894753752</v>
      </c>
      <c r="C2260" t="s">
        <v>40</v>
      </c>
      <c r="D2260">
        <v>3.9659279999999999</v>
      </c>
      <c r="E2260">
        <v>0.52770509999999904</v>
      </c>
      <c r="F2260" t="s">
        <v>47</v>
      </c>
      <c r="G2260">
        <v>-282.97210000000001</v>
      </c>
      <c r="H2260" s="1">
        <v>7.2909889999999899E-6</v>
      </c>
      <c r="I2260">
        <v>283.61579999999998</v>
      </c>
      <c r="J2260">
        <v>-268.20670000000001</v>
      </c>
      <c r="K2260">
        <v>1.108355</v>
      </c>
      <c r="L2260">
        <v>284.27710000000002</v>
      </c>
      <c r="M2260">
        <v>-0.99997630000000004</v>
      </c>
      <c r="N2260">
        <v>-6.5513500000000001E-3</v>
      </c>
      <c r="O2260">
        <v>2.174381E-3</v>
      </c>
      <c r="P2260">
        <v>-0.92878539999999998</v>
      </c>
      <c r="Q2260">
        <v>0.3612918</v>
      </c>
      <c r="R2260">
        <v>-8.2620879999999994E-2</v>
      </c>
      <c r="S2260">
        <v>-3.312592</v>
      </c>
      <c r="T2260">
        <v>-0.24430479999999999</v>
      </c>
      <c r="U2260">
        <v>-0.14559939999999999</v>
      </c>
      <c r="V2260">
        <v>-8.3782540000000003E-2</v>
      </c>
      <c r="W2260">
        <v>0.3675641</v>
      </c>
      <c r="X2260">
        <v>0.9262165</v>
      </c>
      <c r="Y2260">
        <v>-4.5942610000000002E-2</v>
      </c>
      <c r="Z2260">
        <v>-1.9876680000000002E-3</v>
      </c>
      <c r="AA2260">
        <v>0.99894210000000006</v>
      </c>
      <c r="AB2260">
        <v>46</v>
      </c>
      <c r="AC2260">
        <v>-14.7654</v>
      </c>
      <c r="AD2260">
        <v>-1.1083477090110001</v>
      </c>
      <c r="AE2260">
        <v>-0.66130000000003897</v>
      </c>
      <c r="AF2260">
        <v>-0.68952730711736798</v>
      </c>
      <c r="AG2260">
        <v>-1.1083477090110001</v>
      </c>
      <c r="AH2260">
        <v>14.681369382103201</v>
      </c>
      <c r="AI2260">
        <v>94.312532877680894</v>
      </c>
      <c r="AJ2260">
        <v>92.688985848989105</v>
      </c>
      <c r="AK2260">
        <v>14.7392838864406</v>
      </c>
      <c r="AL2260">
        <v>68.434531470710795</v>
      </c>
      <c r="AM2260">
        <v>95.168723416770206</v>
      </c>
      <c r="AN2260">
        <v>0.999999943244954</v>
      </c>
    </row>
    <row r="2261" spans="1:40" x14ac:dyDescent="0.25">
      <c r="A2261" t="str">
        <f>"20190304164134774"</f>
        <v>20190304164134774</v>
      </c>
      <c r="B2261" t="str">
        <f>"1551688894763512"</f>
        <v>1551688894763512</v>
      </c>
      <c r="C2261" t="s">
        <v>40</v>
      </c>
      <c r="D2261">
        <v>3.9663710000000001</v>
      </c>
      <c r="E2261">
        <v>0.5279933</v>
      </c>
      <c r="F2261" t="s">
        <v>47</v>
      </c>
      <c r="G2261">
        <v>-283.16120000000001</v>
      </c>
      <c r="H2261" s="1">
        <v>7.2043300000000002E-6</v>
      </c>
      <c r="I2261">
        <v>283.6293</v>
      </c>
      <c r="J2261">
        <v>-268.46969999999999</v>
      </c>
      <c r="K2261">
        <v>1.1082920000000001</v>
      </c>
      <c r="L2261">
        <v>284.27800000000002</v>
      </c>
      <c r="M2261">
        <v>-0.99997440000000004</v>
      </c>
      <c r="N2261">
        <v>-6.5685099999999996E-3</v>
      </c>
      <c r="O2261">
        <v>2.8225049999999999E-3</v>
      </c>
      <c r="P2261">
        <v>-0.9287706</v>
      </c>
      <c r="Q2261">
        <v>0.36126130000000001</v>
      </c>
      <c r="R2261">
        <v>-8.2918930000000002E-2</v>
      </c>
      <c r="S2261">
        <v>-3.3127749999999998</v>
      </c>
      <c r="T2261">
        <v>-0.24552460000000001</v>
      </c>
      <c r="U2261">
        <v>-0.1434937</v>
      </c>
      <c r="V2261">
        <v>-8.4635849999999999E-2</v>
      </c>
      <c r="W2261">
        <v>0.3675619</v>
      </c>
      <c r="X2261">
        <v>0.92613990000000002</v>
      </c>
      <c r="Y2261">
        <v>-4.595101E-2</v>
      </c>
      <c r="Z2261">
        <v>-2.041204E-3</v>
      </c>
      <c r="AA2261">
        <v>0.99894159999999999</v>
      </c>
      <c r="AB2261">
        <v>46</v>
      </c>
      <c r="AC2261">
        <v>-14.6915</v>
      </c>
      <c r="AD2261">
        <v>-1.1082847956699999</v>
      </c>
      <c r="AE2261">
        <v>-0.64870000000001904</v>
      </c>
      <c r="AF2261">
        <v>-0.68626735918714499</v>
      </c>
      <c r="AG2261">
        <v>-1.1082847956699999</v>
      </c>
      <c r="AH2261">
        <v>14.606649249709101</v>
      </c>
      <c r="AI2261">
        <v>94.334261165778699</v>
      </c>
      <c r="AJ2261">
        <v>92.689961863922207</v>
      </c>
      <c r="AK2261">
        <v>14.6647011691554</v>
      </c>
      <c r="AL2261">
        <v>68.434669334037807</v>
      </c>
      <c r="AM2261">
        <v>95.221505888308101</v>
      </c>
      <c r="AN2261">
        <v>1.00000004590442</v>
      </c>
    </row>
    <row r="2262" spans="1:40" x14ac:dyDescent="0.25">
      <c r="A2262" t="str">
        <f>"20190304164134785"</f>
        <v>20190304164134785</v>
      </c>
      <c r="B2262" t="str">
        <f>"1551688894773272"</f>
        <v>1551688894773272</v>
      </c>
      <c r="C2262" t="s">
        <v>40</v>
      </c>
      <c r="D2262">
        <v>4.0067789999999999</v>
      </c>
      <c r="E2262">
        <v>0.52826519999999899</v>
      </c>
      <c r="F2262" t="s">
        <v>47</v>
      </c>
      <c r="G2262">
        <v>-283.41829999999999</v>
      </c>
      <c r="H2262" s="1">
        <v>7.0886119999999997E-6</v>
      </c>
      <c r="I2262">
        <v>283.63760000000002</v>
      </c>
      <c r="J2262">
        <v>-268.72019999999998</v>
      </c>
      <c r="K2262">
        <v>1.1082430000000001</v>
      </c>
      <c r="L2262">
        <v>284.279</v>
      </c>
      <c r="M2262">
        <v>-0.99997250000000004</v>
      </c>
      <c r="N2262">
        <v>-6.5847379999999997E-3</v>
      </c>
      <c r="O2262">
        <v>3.4433020000000001E-3</v>
      </c>
      <c r="P2262">
        <v>-0.92868110000000004</v>
      </c>
      <c r="Q2262">
        <v>0.36145310000000003</v>
      </c>
      <c r="R2262">
        <v>-8.3086430000000003E-2</v>
      </c>
      <c r="S2262">
        <v>-3.3129270000000002</v>
      </c>
      <c r="T2262">
        <v>-0.24561910000000001</v>
      </c>
      <c r="U2262">
        <v>-0.14193729999999999</v>
      </c>
      <c r="V2262">
        <v>-8.5337159999999995E-2</v>
      </c>
      <c r="W2262">
        <v>0.36777959999999998</v>
      </c>
      <c r="X2262">
        <v>0.92598899999999995</v>
      </c>
      <c r="Y2262">
        <v>-4.6098769999999997E-2</v>
      </c>
      <c r="Z2262">
        <v>-2.0900110000000001E-3</v>
      </c>
      <c r="AA2262">
        <v>0.99893469999999995</v>
      </c>
      <c r="AB2262">
        <v>46</v>
      </c>
      <c r="AC2262">
        <v>-14.6981</v>
      </c>
      <c r="AD2262">
        <v>-1.108235911388</v>
      </c>
      <c r="AE2262">
        <v>-0.64139999999997599</v>
      </c>
      <c r="AF2262">
        <v>-0.68810275339803895</v>
      </c>
      <c r="AG2262">
        <v>-1.108235911388</v>
      </c>
      <c r="AH2262">
        <v>14.612885714447801</v>
      </c>
      <c r="AI2262">
        <v>94.332206695104205</v>
      </c>
      <c r="AJ2262">
        <v>92.695996063684902</v>
      </c>
      <c r="AK2262">
        <v>14.670995233386099</v>
      </c>
      <c r="AL2262">
        <v>68.421254308919401</v>
      </c>
      <c r="AM2262">
        <v>95.265383328370902</v>
      </c>
      <c r="AN2262">
        <v>0.99999994658701097</v>
      </c>
    </row>
    <row r="2263" spans="1:40" x14ac:dyDescent="0.25">
      <c r="A2263" t="str">
        <f>"20190304164134803"</f>
        <v>20190304164134803</v>
      </c>
      <c r="B2263" t="str">
        <f>"1551688894793767"</f>
        <v>1551688894793767</v>
      </c>
      <c r="C2263" t="s">
        <v>40</v>
      </c>
      <c r="D2263">
        <v>3.9800300000000002</v>
      </c>
      <c r="E2263">
        <v>0.52879699999999996</v>
      </c>
      <c r="F2263" t="s">
        <v>47</v>
      </c>
      <c r="G2263">
        <v>-283.70530000000002</v>
      </c>
      <c r="H2263" s="1">
        <v>6.9603099999999999E-6</v>
      </c>
      <c r="I2263">
        <v>283.64249999999998</v>
      </c>
      <c r="J2263">
        <v>-269.08150000000001</v>
      </c>
      <c r="K2263">
        <v>1.1081799999999999</v>
      </c>
      <c r="L2263">
        <v>284.28059999999999</v>
      </c>
      <c r="M2263">
        <v>-0.99996890000000005</v>
      </c>
      <c r="N2263">
        <v>-6.6079240000000003E-3</v>
      </c>
      <c r="O2263">
        <v>4.3478079999999999E-3</v>
      </c>
      <c r="P2263">
        <v>-0.92835860000000003</v>
      </c>
      <c r="Q2263">
        <v>0.36220020000000003</v>
      </c>
      <c r="R2263">
        <v>-8.3437919999999999E-2</v>
      </c>
      <c r="S2263">
        <v>-3.3131710000000001</v>
      </c>
      <c r="T2263">
        <v>-0.2450273</v>
      </c>
      <c r="U2263">
        <v>-0.1407166</v>
      </c>
      <c r="V2263">
        <v>-8.6469110000000002E-2</v>
      </c>
      <c r="W2263">
        <v>0.36856169999999999</v>
      </c>
      <c r="X2263">
        <v>0.92557299999999998</v>
      </c>
      <c r="Y2263">
        <v>-4.6628839999999998E-2</v>
      </c>
      <c r="Z2263">
        <v>-2.1677530000000001E-3</v>
      </c>
      <c r="AA2263">
        <v>0.99890999999999996</v>
      </c>
      <c r="AB2263">
        <v>46</v>
      </c>
      <c r="AC2263">
        <v>-14.623799999999999</v>
      </c>
      <c r="AD2263">
        <v>-1.10817303969</v>
      </c>
      <c r="AE2263">
        <v>-0.63810000000000799</v>
      </c>
      <c r="AF2263">
        <v>-0.69767807504736501</v>
      </c>
      <c r="AG2263">
        <v>-1.10817303969</v>
      </c>
      <c r="AH2263">
        <v>14.5375652652253</v>
      </c>
      <c r="AI2263">
        <v>94.3541343425874</v>
      </c>
      <c r="AJ2263">
        <v>92.747596432679103</v>
      </c>
      <c r="AK2263">
        <v>14.5964244259676</v>
      </c>
      <c r="AL2263">
        <v>68.373059222052404</v>
      </c>
      <c r="AM2263">
        <v>95.337209258925498</v>
      </c>
      <c r="AN2263">
        <v>1.00000000601004</v>
      </c>
    </row>
    <row r="2264" spans="1:40" x14ac:dyDescent="0.25">
      <c r="A2264" t="str">
        <f>"20190304164134817"</f>
        <v>20190304164134817</v>
      </c>
      <c r="B2264" t="str">
        <f>"1551688894803528"</f>
        <v>1551688894803528</v>
      </c>
      <c r="C2264" t="s">
        <v>40</v>
      </c>
      <c r="D2264">
        <v>3.9710019999999999</v>
      </c>
      <c r="E2264">
        <v>0.52905199999999997</v>
      </c>
      <c r="F2264" t="s">
        <v>47</v>
      </c>
      <c r="G2264">
        <v>-284.24470000000002</v>
      </c>
      <c r="H2264" s="1">
        <v>6.7199489999999997E-6</v>
      </c>
      <c r="I2264">
        <v>283.64819999999997</v>
      </c>
      <c r="J2264">
        <v>-269.36200000000002</v>
      </c>
      <c r="K2264">
        <v>1.1081379999999901</v>
      </c>
      <c r="L2264">
        <v>284.28219999999999</v>
      </c>
      <c r="M2264">
        <v>-0.99996529999999995</v>
      </c>
      <c r="N2264">
        <v>-6.6259559999999997E-3</v>
      </c>
      <c r="O2264">
        <v>5.0553560000000004E-3</v>
      </c>
      <c r="P2264">
        <v>-0.92836949999999996</v>
      </c>
      <c r="Q2264">
        <v>0.36232530000000002</v>
      </c>
      <c r="R2264">
        <v>-8.2767859999999999E-2</v>
      </c>
      <c r="S2264">
        <v>-3.3135680000000001</v>
      </c>
      <c r="T2264">
        <v>-0.24216599999999999</v>
      </c>
      <c r="U2264">
        <v>-0.13821410000000001</v>
      </c>
      <c r="V2264">
        <v>-8.6416800000000002E-2</v>
      </c>
      <c r="W2264">
        <v>0.36871189999999998</v>
      </c>
      <c r="X2264">
        <v>0.92551799999999995</v>
      </c>
      <c r="Y2264">
        <v>-4.657944E-2</v>
      </c>
      <c r="Z2264">
        <v>-2.1890709999999999E-3</v>
      </c>
      <c r="AA2264">
        <v>0.99891220000000003</v>
      </c>
      <c r="AB2264">
        <v>46</v>
      </c>
      <c r="AC2264">
        <v>-14.8827</v>
      </c>
      <c r="AD2264">
        <v>-1.1081312800509999</v>
      </c>
      <c r="AE2264">
        <v>-0.634000000000014</v>
      </c>
      <c r="AF2264">
        <v>-0.70532767915077499</v>
      </c>
      <c r="AG2264">
        <v>-1.1081312800509999</v>
      </c>
      <c r="AH2264">
        <v>14.7974171750376</v>
      </c>
      <c r="AI2264">
        <v>94.277865044518805</v>
      </c>
      <c r="AJ2264">
        <v>92.728971864833895</v>
      </c>
      <c r="AK2264">
        <v>14.855604905923601</v>
      </c>
      <c r="AL2264">
        <v>68.363800091353696</v>
      </c>
      <c r="AM2264">
        <v>95.334314262114503</v>
      </c>
      <c r="AN2264">
        <v>0.99999994842392304</v>
      </c>
    </row>
    <row r="2265" spans="1:40" x14ac:dyDescent="0.25">
      <c r="A2265" t="str">
        <f>"20190304164134830"</f>
        <v>20190304164134830</v>
      </c>
      <c r="B2265" t="str">
        <f>"1551688894823047"</f>
        <v>1551688894823047</v>
      </c>
      <c r="C2265" t="s">
        <v>40</v>
      </c>
      <c r="D2265">
        <v>4.0071450000000004</v>
      </c>
      <c r="E2265">
        <v>0.529530099999999</v>
      </c>
      <c r="F2265" t="s">
        <v>47</v>
      </c>
      <c r="G2265">
        <v>-284.52980000000002</v>
      </c>
      <c r="H2265" s="1">
        <v>6.5909790000000001E-6</v>
      </c>
      <c r="I2265">
        <v>283.66059999999999</v>
      </c>
      <c r="J2265">
        <v>-269.65159999999997</v>
      </c>
      <c r="K2265">
        <v>1.1080970000000001</v>
      </c>
      <c r="L2265">
        <v>284.28399999999999</v>
      </c>
      <c r="M2265">
        <v>-0.99996130000000005</v>
      </c>
      <c r="N2265">
        <v>-6.6446400000000003E-3</v>
      </c>
      <c r="O2265">
        <v>5.7876869999999997E-3</v>
      </c>
      <c r="P2265">
        <v>-0.92835089999999998</v>
      </c>
      <c r="Q2265">
        <v>0.36253210000000002</v>
      </c>
      <c r="R2265">
        <v>-8.2071039999999998E-2</v>
      </c>
      <c r="S2265">
        <v>-3.3138429999999999</v>
      </c>
      <c r="T2265">
        <v>-0.24210390000000001</v>
      </c>
      <c r="U2265">
        <v>-0.13580320000000001</v>
      </c>
      <c r="V2265">
        <v>-8.6361450000000006E-2</v>
      </c>
      <c r="W2265">
        <v>0.3689442</v>
      </c>
      <c r="X2265">
        <v>0.92543070000000005</v>
      </c>
      <c r="Y2265">
        <v>-4.6580509999999999E-2</v>
      </c>
      <c r="Z2265">
        <v>-2.2373369999999998E-3</v>
      </c>
      <c r="AA2265">
        <v>0.99891200000000002</v>
      </c>
      <c r="AB2265">
        <v>46</v>
      </c>
      <c r="AC2265">
        <v>-14.8782</v>
      </c>
      <c r="AD2265">
        <v>-1.108090409021</v>
      </c>
      <c r="AE2265">
        <v>-0.62340000000000295</v>
      </c>
      <c r="AF2265">
        <v>-0.70559481523185996</v>
      </c>
      <c r="AG2265">
        <v>-1.108090409021</v>
      </c>
      <c r="AH2265">
        <v>14.7924344573682</v>
      </c>
      <c r="AI2265">
        <v>94.279136492847499</v>
      </c>
      <c r="AJ2265">
        <v>92.730922062280996</v>
      </c>
      <c r="AK2265">
        <v>14.8506513518223</v>
      </c>
      <c r="AL2265">
        <v>68.349483079666697</v>
      </c>
      <c r="AM2265">
        <v>95.3314173131469</v>
      </c>
      <c r="AN2265">
        <v>1.0000000516311101</v>
      </c>
    </row>
    <row r="2266" spans="1:40" x14ac:dyDescent="0.25">
      <c r="A2266" t="str">
        <f>"20190304164134849"</f>
        <v>20190304164134849</v>
      </c>
      <c r="B2266" t="str">
        <f>"1551688894843544"</f>
        <v>1551688894843544</v>
      </c>
      <c r="C2266" t="s">
        <v>40</v>
      </c>
      <c r="D2266">
        <v>4.0017430000000003</v>
      </c>
      <c r="E2266">
        <v>0.52999529999999995</v>
      </c>
      <c r="F2266" t="s">
        <v>47</v>
      </c>
      <c r="G2266">
        <v>-284.84530000000001</v>
      </c>
      <c r="H2266" s="1">
        <v>6.4462369999999998E-6</v>
      </c>
      <c r="I2266">
        <v>283.68400000000003</v>
      </c>
      <c r="J2266">
        <v>-270.03719999999998</v>
      </c>
      <c r="K2266">
        <v>1.108044</v>
      </c>
      <c r="L2266">
        <v>284.2867</v>
      </c>
      <c r="M2266">
        <v>-0.99995500000000004</v>
      </c>
      <c r="N2266">
        <v>-6.6696339999999998E-3</v>
      </c>
      <c r="O2266">
        <v>6.7659699999999996E-3</v>
      </c>
      <c r="P2266">
        <v>-0.92816699999999996</v>
      </c>
      <c r="Q2266">
        <v>0.3633422</v>
      </c>
      <c r="R2266">
        <v>-8.0553589999999994E-2</v>
      </c>
      <c r="S2266">
        <v>-3.3143310000000001</v>
      </c>
      <c r="T2266">
        <v>-0.24171709999999999</v>
      </c>
      <c r="U2266">
        <v>-0.130889899999999</v>
      </c>
      <c r="V2266">
        <v>-8.5703119999999994E-2</v>
      </c>
      <c r="W2266">
        <v>0.36978430000000001</v>
      </c>
      <c r="X2266">
        <v>0.92515650000000005</v>
      </c>
      <c r="Y2266">
        <v>-4.6073070000000001E-2</v>
      </c>
      <c r="Z2266">
        <v>-2.2786870000000002E-3</v>
      </c>
      <c r="AA2266">
        <v>0.99893549999999998</v>
      </c>
      <c r="AB2266">
        <v>46</v>
      </c>
      <c r="AC2266">
        <v>-14.8081</v>
      </c>
      <c r="AD2266">
        <v>-1.1080375537630001</v>
      </c>
      <c r="AE2266">
        <v>-0.60269999999997004</v>
      </c>
      <c r="AF2266">
        <v>-0.69897250641773501</v>
      </c>
      <c r="AG2266">
        <v>-1.1080375537630001</v>
      </c>
      <c r="AH2266">
        <v>14.7213943588979</v>
      </c>
      <c r="AI2266">
        <v>94.299549146986607</v>
      </c>
      <c r="AJ2266">
        <v>92.718364851293302</v>
      </c>
      <c r="AK2266">
        <v>14.7795724449481</v>
      </c>
      <c r="AL2266">
        <v>68.297684907948906</v>
      </c>
      <c r="AM2266">
        <v>95.292566916190395</v>
      </c>
      <c r="AN2266">
        <v>1.00000000139823</v>
      </c>
    </row>
    <row r="2267" spans="1:40" x14ac:dyDescent="0.25">
      <c r="A2267" t="str">
        <f>"20190304164134863"</f>
        <v>20190304164134863</v>
      </c>
      <c r="B2267" t="str">
        <f>"1551688894853304"</f>
        <v>1551688894853304</v>
      </c>
      <c r="C2267" t="s">
        <v>40</v>
      </c>
      <c r="D2267">
        <v>3.9938129999999998</v>
      </c>
      <c r="E2267">
        <v>0.53019859999999996</v>
      </c>
      <c r="F2267" t="s">
        <v>47</v>
      </c>
      <c r="G2267">
        <v>-285.40300000000002</v>
      </c>
      <c r="H2267" s="1">
        <v>6.1930319999999999E-6</v>
      </c>
      <c r="I2267">
        <v>283.7122</v>
      </c>
      <c r="J2267">
        <v>-270.32319999999999</v>
      </c>
      <c r="K2267">
        <v>1.108006</v>
      </c>
      <c r="L2267">
        <v>284.28890000000001</v>
      </c>
      <c r="M2267">
        <v>-0.99994970000000005</v>
      </c>
      <c r="N2267">
        <v>-6.6882280000000001E-3</v>
      </c>
      <c r="O2267">
        <v>7.4929590000000004E-3</v>
      </c>
      <c r="P2267">
        <v>-0.92828739999999998</v>
      </c>
      <c r="Q2267">
        <v>0.36319610000000002</v>
      </c>
      <c r="R2267">
        <v>-7.982069E-2</v>
      </c>
      <c r="S2267">
        <v>-3.3150019999999998</v>
      </c>
      <c r="T2267">
        <v>-0.23904610000000001</v>
      </c>
      <c r="U2267">
        <v>-0.1239319</v>
      </c>
      <c r="V2267">
        <v>-8.5614930000000006E-2</v>
      </c>
      <c r="W2267">
        <v>0.36966290000000002</v>
      </c>
      <c r="X2267">
        <v>0.92521319999999996</v>
      </c>
      <c r="Y2267">
        <v>-4.470321E-2</v>
      </c>
      <c r="Z2267">
        <v>-2.2483009999999999E-3</v>
      </c>
      <c r="AA2267">
        <v>0.99899780000000005</v>
      </c>
      <c r="AB2267">
        <v>47</v>
      </c>
      <c r="AC2267">
        <v>-15.079800000000001</v>
      </c>
      <c r="AD2267">
        <v>-1.1079998069679999</v>
      </c>
      <c r="AE2267">
        <v>-0.57670000000001598</v>
      </c>
      <c r="AF2267">
        <v>-0.68598065756372195</v>
      </c>
      <c r="AG2267">
        <v>-1.1079998069679999</v>
      </c>
      <c r="AH2267">
        <v>14.9942244497687</v>
      </c>
      <c r="AI2267">
        <v>94.221796637790405</v>
      </c>
      <c r="AJ2267">
        <v>92.619435881031194</v>
      </c>
      <c r="AK2267">
        <v>15.050747485916901</v>
      </c>
      <c r="AL2267">
        <v>68.305171510947901</v>
      </c>
      <c r="AM2267">
        <v>95.286829475550604</v>
      </c>
      <c r="AN2267">
        <v>1.0000000206647699</v>
      </c>
    </row>
    <row r="2268" spans="1:40" x14ac:dyDescent="0.25">
      <c r="A2268" t="str">
        <f>"20190304164134874"</f>
        <v>20190304164134874</v>
      </c>
      <c r="B2268" t="str">
        <f>"1551688894863064"</f>
        <v>1551688894863064</v>
      </c>
      <c r="C2268" t="s">
        <v>40</v>
      </c>
      <c r="D2268">
        <v>3.9944500000000001</v>
      </c>
      <c r="E2268">
        <v>0.5304295</v>
      </c>
      <c r="F2268" t="s">
        <v>47</v>
      </c>
      <c r="G2268">
        <v>-285.66079999999999</v>
      </c>
      <c r="H2268" s="1">
        <v>6.0739329999999998E-6</v>
      </c>
      <c r="I2268">
        <v>283.73559999999998</v>
      </c>
      <c r="J2268">
        <v>-270.57249999999999</v>
      </c>
      <c r="K2268">
        <v>1.1079810000000001</v>
      </c>
      <c r="L2268">
        <v>284.29109999999997</v>
      </c>
      <c r="M2268">
        <v>-0.99994459999999996</v>
      </c>
      <c r="N2268">
        <v>-6.7045050000000004E-3</v>
      </c>
      <c r="O2268">
        <v>8.1279460000000005E-3</v>
      </c>
      <c r="P2268">
        <v>-0.92837460000000005</v>
      </c>
      <c r="Q2268">
        <v>0.3630987</v>
      </c>
      <c r="R2268">
        <v>-7.9247300000000007E-2</v>
      </c>
      <c r="S2268">
        <v>-3.3151860000000002</v>
      </c>
      <c r="T2268">
        <v>-0.23949190000000001</v>
      </c>
      <c r="U2268">
        <v>-0.11959839999999999</v>
      </c>
      <c r="V2268">
        <v>-8.5608030000000002E-2</v>
      </c>
      <c r="W2268">
        <v>0.36958629999999998</v>
      </c>
      <c r="X2268">
        <v>0.92524450000000003</v>
      </c>
      <c r="Y2268">
        <v>-4.4031439999999998E-2</v>
      </c>
      <c r="Z2268">
        <v>-2.267537E-3</v>
      </c>
      <c r="AA2268">
        <v>0.99902760000000002</v>
      </c>
      <c r="AB2268">
        <v>47</v>
      </c>
      <c r="AC2268">
        <v>-15.0883</v>
      </c>
      <c r="AD2268">
        <v>-1.107974926067</v>
      </c>
      <c r="AE2268">
        <v>-0.555499999999995</v>
      </c>
      <c r="AF2268">
        <v>-0.67448911254534705</v>
      </c>
      <c r="AG2268">
        <v>-1.107974926067</v>
      </c>
      <c r="AH2268">
        <v>15.002496975944499</v>
      </c>
      <c r="AI2268">
        <v>94.219533253577296</v>
      </c>
      <c r="AJ2268">
        <v>92.574196387449305</v>
      </c>
      <c r="AK2268">
        <v>15.058468033401001</v>
      </c>
      <c r="AL2268">
        <v>68.309896139669206</v>
      </c>
      <c r="AM2268">
        <v>95.286227985866304</v>
      </c>
      <c r="AN2268">
        <v>1.0000000763642001</v>
      </c>
    </row>
    <row r="2269" spans="1:40" x14ac:dyDescent="0.25">
      <c r="A2269" t="str">
        <f>"20190304164134893"</f>
        <v>20190304164134893</v>
      </c>
      <c r="B2269" t="str">
        <f>"1551688894883559"</f>
        <v>1551688894883559</v>
      </c>
      <c r="C2269" t="s">
        <v>40</v>
      </c>
      <c r="D2269">
        <v>3.9936980000000002</v>
      </c>
      <c r="E2269">
        <v>0.53080819999999995</v>
      </c>
      <c r="F2269" t="s">
        <v>47</v>
      </c>
      <c r="G2269">
        <v>-285.89260000000002</v>
      </c>
      <c r="H2269" s="1">
        <v>5.9666279999999997E-6</v>
      </c>
      <c r="I2269">
        <v>283.75720000000001</v>
      </c>
      <c r="J2269">
        <v>-270.96230000000003</v>
      </c>
      <c r="K2269">
        <v>1.1079479999999999</v>
      </c>
      <c r="L2269">
        <v>284.29469999999998</v>
      </c>
      <c r="M2269">
        <v>-0.99993580000000004</v>
      </c>
      <c r="N2269">
        <v>-6.7299019999999899E-3</v>
      </c>
      <c r="O2269">
        <v>9.1199330000000002E-3</v>
      </c>
      <c r="P2269">
        <v>-0.92849700000000002</v>
      </c>
      <c r="Q2269">
        <v>0.36309659999999999</v>
      </c>
      <c r="R2269">
        <v>-7.7808370000000002E-2</v>
      </c>
      <c r="S2269">
        <v>-3.315369</v>
      </c>
      <c r="T2269">
        <v>-0.23977280000000001</v>
      </c>
      <c r="U2269">
        <v>-0.11553960000000001</v>
      </c>
      <c r="V2269">
        <v>-8.5056859999999998E-2</v>
      </c>
      <c r="W2269">
        <v>0.36961369999999999</v>
      </c>
      <c r="X2269">
        <v>0.92528429999999995</v>
      </c>
      <c r="Y2269">
        <v>-4.3797210000000003E-2</v>
      </c>
      <c r="Z2269">
        <v>-2.3260749999999999E-3</v>
      </c>
      <c r="AA2269">
        <v>0.99903770000000003</v>
      </c>
      <c r="AB2269">
        <v>47</v>
      </c>
      <c r="AC2269">
        <v>-14.9302999999999</v>
      </c>
      <c r="AD2269">
        <v>-1.107942033372</v>
      </c>
      <c r="AE2269">
        <v>-0.53749999999996501</v>
      </c>
      <c r="AF2269">
        <v>-0.66995952206152498</v>
      </c>
      <c r="AG2269">
        <v>-1.107942033372</v>
      </c>
      <c r="AH2269">
        <v>14.843144983602899</v>
      </c>
      <c r="AI2269">
        <v>94.264506734059495</v>
      </c>
      <c r="AJ2269">
        <v>92.584345680686596</v>
      </c>
      <c r="AK2269">
        <v>14.899507854784</v>
      </c>
      <c r="AL2269">
        <v>68.308204774776897</v>
      </c>
      <c r="AM2269">
        <v>95.252159979643693</v>
      </c>
      <c r="AN2269">
        <v>0.99999999624361902</v>
      </c>
    </row>
    <row r="2270" spans="1:40" x14ac:dyDescent="0.25">
      <c r="A2270" t="str">
        <f>"20190304164134906"</f>
        <v>20190304164134906</v>
      </c>
      <c r="B2270" t="str">
        <f>"1551688894903079"</f>
        <v>1551688894903079</v>
      </c>
      <c r="C2270" t="s">
        <v>40</v>
      </c>
      <c r="D2270">
        <v>3.981519</v>
      </c>
      <c r="E2270">
        <v>0.53116569999999996</v>
      </c>
      <c r="F2270" t="s">
        <v>47</v>
      </c>
      <c r="G2270">
        <v>-286.2713</v>
      </c>
      <c r="H2270" s="1">
        <v>5.791127E-6</v>
      </c>
      <c r="I2270">
        <v>283.79390000000001</v>
      </c>
      <c r="J2270">
        <v>-271.24340000000001</v>
      </c>
      <c r="K2270">
        <v>1.1079270000000001</v>
      </c>
      <c r="L2270">
        <v>284.29759999999999</v>
      </c>
      <c r="M2270">
        <v>-0.99992899999999996</v>
      </c>
      <c r="N2270">
        <v>-6.7481360000000001E-3</v>
      </c>
      <c r="O2270">
        <v>9.8331000000000009E-3</v>
      </c>
      <c r="P2270">
        <v>-0.92842100000000005</v>
      </c>
      <c r="Q2270">
        <v>0.36345119999999997</v>
      </c>
      <c r="R2270">
        <v>-7.705948E-2</v>
      </c>
      <c r="S2270">
        <v>-3.3157649999999999</v>
      </c>
      <c r="T2270">
        <v>-0.2399683</v>
      </c>
      <c r="U2270">
        <v>-0.1084595</v>
      </c>
      <c r="V2270">
        <v>-8.4947460000000002E-2</v>
      </c>
      <c r="W2270">
        <v>0.36998900000000001</v>
      </c>
      <c r="X2270">
        <v>0.92514439999999998</v>
      </c>
      <c r="Y2270">
        <v>-4.2377030000000003E-2</v>
      </c>
      <c r="Z2270">
        <v>-2.318554E-3</v>
      </c>
      <c r="AA2270">
        <v>0.99909899999999996</v>
      </c>
      <c r="AB2270">
        <v>47</v>
      </c>
      <c r="AC2270">
        <v>-15.027899999999899</v>
      </c>
      <c r="AD2270">
        <v>-1.1079212088729999</v>
      </c>
      <c r="AE2270">
        <v>-0.50369999999998005</v>
      </c>
      <c r="AF2270">
        <v>-0.64793210367696497</v>
      </c>
      <c r="AG2270">
        <v>-1.1079212088729999</v>
      </c>
      <c r="AH2270">
        <v>14.941102579109</v>
      </c>
      <c r="AI2270">
        <v>94.236900381565704</v>
      </c>
      <c r="AJ2270">
        <v>92.483118596349399</v>
      </c>
      <c r="AK2270">
        <v>14.9961278900756</v>
      </c>
      <c r="AL2270">
        <v>68.285062162313395</v>
      </c>
      <c r="AM2270">
        <v>95.246231154900201</v>
      </c>
      <c r="AN2270">
        <v>1.0000000459664</v>
      </c>
    </row>
    <row r="2271" spans="1:40" x14ac:dyDescent="0.25">
      <c r="A2271" t="str">
        <f>"20190304164134926"</f>
        <v>20190304164134926</v>
      </c>
      <c r="B2271" t="str">
        <f>"1551688894913815"</f>
        <v>1551688894913815</v>
      </c>
      <c r="C2271" t="s">
        <v>40</v>
      </c>
      <c r="D2271">
        <v>3.9766149999999998</v>
      </c>
      <c r="E2271">
        <v>0.53133180000000002</v>
      </c>
      <c r="F2271" t="s">
        <v>47</v>
      </c>
      <c r="G2271">
        <v>-286.61059999999998</v>
      </c>
      <c r="H2271" s="1">
        <v>5.6357430000000002E-6</v>
      </c>
      <c r="I2271">
        <v>283.8177</v>
      </c>
      <c r="J2271">
        <v>-271.65410000000003</v>
      </c>
      <c r="K2271">
        <v>1.10791</v>
      </c>
      <c r="L2271">
        <v>284.30220000000003</v>
      </c>
      <c r="M2271">
        <v>-0.99991799999999997</v>
      </c>
      <c r="N2271">
        <v>-6.7745160000000004E-3</v>
      </c>
      <c r="O2271">
        <v>1.0866570000000001E-2</v>
      </c>
      <c r="P2271">
        <v>-0.92818339999999999</v>
      </c>
      <c r="Q2271">
        <v>0.36433369999999998</v>
      </c>
      <c r="R2271">
        <v>-7.5742359999999995E-2</v>
      </c>
      <c r="S2271">
        <v>-3.3163149999999999</v>
      </c>
      <c r="T2271">
        <v>-0.23909469999999999</v>
      </c>
      <c r="U2271">
        <v>-0.10357669999999999</v>
      </c>
      <c r="V2271">
        <v>-8.4561070000000002E-2</v>
      </c>
      <c r="W2271">
        <v>0.3708978</v>
      </c>
      <c r="X2271">
        <v>0.92481579999999997</v>
      </c>
      <c r="Y2271">
        <v>-4.193479E-2</v>
      </c>
      <c r="Z2271">
        <v>-2.36038E-3</v>
      </c>
      <c r="AA2271">
        <v>0.99911760000000005</v>
      </c>
      <c r="AB2271">
        <v>47</v>
      </c>
      <c r="AC2271">
        <v>-14.956499999999901</v>
      </c>
      <c r="AD2271">
        <v>-1.1079043642569999</v>
      </c>
      <c r="AE2271">
        <v>-0.48450000000002502</v>
      </c>
      <c r="AF2271">
        <v>-0.64347385942544499</v>
      </c>
      <c r="AG2271">
        <v>-1.1079043642569999</v>
      </c>
      <c r="AH2271">
        <v>14.868850243870201</v>
      </c>
      <c r="AI2271">
        <v>94.257365123508805</v>
      </c>
      <c r="AJ2271">
        <v>92.478022516528895</v>
      </c>
      <c r="AK2271">
        <v>14.923947810909199</v>
      </c>
      <c r="AL2271">
        <v>68.229002601120101</v>
      </c>
      <c r="AM2271">
        <v>95.224345886053598</v>
      </c>
      <c r="AN2271">
        <v>1.00000000826701</v>
      </c>
    </row>
    <row r="2272" spans="1:40" x14ac:dyDescent="0.25">
      <c r="A2272" t="str">
        <f>"20190304164134940"</f>
        <v>20190304164134940</v>
      </c>
      <c r="B2272" t="str">
        <f>"1551688894933004"</f>
        <v>1551688894933004</v>
      </c>
      <c r="C2272" t="s">
        <v>40</v>
      </c>
      <c r="D2272">
        <v>3.9847429999999999</v>
      </c>
      <c r="E2272">
        <v>0.53163280000000002</v>
      </c>
      <c r="F2272" t="s">
        <v>47</v>
      </c>
      <c r="G2272">
        <v>-287.22710000000001</v>
      </c>
      <c r="H2272" s="1">
        <v>5.3570539999999999E-6</v>
      </c>
      <c r="I2272">
        <v>283.84350000000001</v>
      </c>
      <c r="J2272">
        <v>-271.97370000000001</v>
      </c>
      <c r="K2272">
        <v>1.1078950000000001</v>
      </c>
      <c r="L2272">
        <v>284.30599999999998</v>
      </c>
      <c r="M2272">
        <v>-0.9999091</v>
      </c>
      <c r="N2272">
        <v>-6.7949530000000003E-3</v>
      </c>
      <c r="O2272">
        <v>1.166171E-2</v>
      </c>
      <c r="P2272">
        <v>-0.92802779999999996</v>
      </c>
      <c r="Q2272">
        <v>0.36485400000000001</v>
      </c>
      <c r="R2272">
        <v>-7.5141819999999998E-2</v>
      </c>
      <c r="S2272">
        <v>-3.3168030000000002</v>
      </c>
      <c r="T2272">
        <v>-0.23596629999999999</v>
      </c>
      <c r="U2272">
        <v>-9.7686770000000006E-2</v>
      </c>
      <c r="V2272">
        <v>-8.4682950000000007E-2</v>
      </c>
      <c r="W2272">
        <v>0.3714385</v>
      </c>
      <c r="X2272">
        <v>0.92458759999999995</v>
      </c>
      <c r="Y2272">
        <v>-4.0956800000000002E-2</v>
      </c>
      <c r="Z2272">
        <v>-2.3434179999999999E-3</v>
      </c>
      <c r="AA2272">
        <v>0.99915810000000005</v>
      </c>
      <c r="AB2272">
        <v>47</v>
      </c>
      <c r="AC2272">
        <v>-15.253399999999999</v>
      </c>
      <c r="AD2272">
        <v>-1.1078896429459999</v>
      </c>
      <c r="AE2272">
        <v>-0.46249999999997699</v>
      </c>
      <c r="AF2272">
        <v>-0.63699599390386696</v>
      </c>
      <c r="AG2272">
        <v>-1.1078896429459999</v>
      </c>
      <c r="AH2272">
        <v>15.1670296113749</v>
      </c>
      <c r="AI2272">
        <v>94.174136281897603</v>
      </c>
      <c r="AJ2272">
        <v>92.404936667780007</v>
      </c>
      <c r="AK2272">
        <v>15.220774309788601</v>
      </c>
      <c r="AL2272">
        <v>68.195639213859707</v>
      </c>
      <c r="AM2272">
        <v>95.233118224998293</v>
      </c>
      <c r="AN2272">
        <v>0.99999999568835596</v>
      </c>
    </row>
    <row r="2273" spans="1:40" x14ac:dyDescent="0.25">
      <c r="A2273" t="str">
        <f>"20190304164134953"</f>
        <v>20190304164134953</v>
      </c>
      <c r="B2273" t="str">
        <f>"1551688894943740"</f>
        <v>1551688894943740</v>
      </c>
      <c r="C2273" t="s">
        <v>40</v>
      </c>
      <c r="D2273">
        <v>3.9969410000000001</v>
      </c>
      <c r="E2273">
        <v>0.53176969999999901</v>
      </c>
      <c r="F2273" t="s">
        <v>47</v>
      </c>
      <c r="G2273">
        <v>-287.65890000000002</v>
      </c>
      <c r="H2273" s="1">
        <v>5.1604409999999901E-6</v>
      </c>
      <c r="I2273">
        <v>283.8682</v>
      </c>
      <c r="J2273">
        <v>-272.22519999999997</v>
      </c>
      <c r="K2273">
        <v>1.1078920000000001</v>
      </c>
      <c r="L2273">
        <v>284.30919999999998</v>
      </c>
      <c r="M2273">
        <v>-0.99990140000000005</v>
      </c>
      <c r="N2273">
        <v>-6.8109569999999899E-3</v>
      </c>
      <c r="O2273">
        <v>1.2275680000000001E-2</v>
      </c>
      <c r="P2273">
        <v>-0.92785139999999999</v>
      </c>
      <c r="Q2273">
        <v>0.36539779999999999</v>
      </c>
      <c r="R2273">
        <v>-7.4674569999999996E-2</v>
      </c>
      <c r="S2273">
        <v>-3.317291</v>
      </c>
      <c r="T2273">
        <v>-0.23430999999999999</v>
      </c>
      <c r="U2273">
        <v>-9.2590329999999998E-2</v>
      </c>
      <c r="V2273">
        <v>-8.4777580000000005E-2</v>
      </c>
      <c r="W2273">
        <v>0.37199670000000001</v>
      </c>
      <c r="X2273">
        <v>0.92435449999999997</v>
      </c>
      <c r="Y2273">
        <v>-4.0035389999999997E-2</v>
      </c>
      <c r="Z2273">
        <v>-2.330773E-3</v>
      </c>
      <c r="AA2273">
        <v>0.99919550000000001</v>
      </c>
      <c r="AB2273">
        <v>47</v>
      </c>
      <c r="AC2273">
        <v>-15.4337</v>
      </c>
      <c r="AD2273">
        <v>-1.107886839559</v>
      </c>
      <c r="AE2273">
        <v>-0.44099999999997402</v>
      </c>
      <c r="AF2273">
        <v>-0.62720107655516899</v>
      </c>
      <c r="AG2273">
        <v>-1.107886839559</v>
      </c>
      <c r="AH2273">
        <v>15.3481008067284</v>
      </c>
      <c r="AI2273">
        <v>94.125244732333599</v>
      </c>
      <c r="AJ2273">
        <v>92.340093492057704</v>
      </c>
      <c r="AK2273">
        <v>15.4008114335965</v>
      </c>
      <c r="AL2273">
        <v>68.1611885279966</v>
      </c>
      <c r="AM2273">
        <v>95.240247294184798</v>
      </c>
      <c r="AN2273">
        <v>1.0000000122758901</v>
      </c>
    </row>
    <row r="2274" spans="1:40" x14ac:dyDescent="0.25">
      <c r="A2274" t="str">
        <f>"20190304164134972"</f>
        <v>20190304164134972</v>
      </c>
      <c r="B2274" t="str">
        <f>"1551688894963260"</f>
        <v>1551688894963260</v>
      </c>
      <c r="C2274" t="s">
        <v>40</v>
      </c>
      <c r="D2274">
        <v>4.0032189999999996</v>
      </c>
      <c r="E2274">
        <v>0.53201379999999998</v>
      </c>
      <c r="F2274" t="s">
        <v>47</v>
      </c>
      <c r="G2274">
        <v>-288.02839999999998</v>
      </c>
      <c r="H2274" s="1">
        <v>4.9937649999999996E-6</v>
      </c>
      <c r="I2274">
        <v>283.8818</v>
      </c>
      <c r="J2274">
        <v>-272.61669999999998</v>
      </c>
      <c r="K2274">
        <v>1.107898</v>
      </c>
      <c r="L2274">
        <v>284.31439999999998</v>
      </c>
      <c r="M2274">
        <v>-0.99988920000000003</v>
      </c>
      <c r="N2274">
        <v>-6.863521E-3</v>
      </c>
      <c r="O2274">
        <v>1.321281E-2</v>
      </c>
      <c r="P2274">
        <v>-0.92781979999999997</v>
      </c>
      <c r="Q2274">
        <v>0.36546479999999998</v>
      </c>
      <c r="R2274">
        <v>-7.4738799999999994E-2</v>
      </c>
      <c r="S2274">
        <v>-3.3176570000000001</v>
      </c>
      <c r="T2274">
        <v>-0.2325846</v>
      </c>
      <c r="U2274">
        <v>-8.9721679999999998E-2</v>
      </c>
      <c r="V2274">
        <v>-8.5708919999999994E-2</v>
      </c>
      <c r="W2274">
        <v>0.37211480000000002</v>
      </c>
      <c r="X2274">
        <v>0.92422099999999996</v>
      </c>
      <c r="Y2274">
        <v>-4.0105330000000002E-2</v>
      </c>
      <c r="Z2274">
        <v>-2.3760919999999998E-3</v>
      </c>
      <c r="AA2274">
        <v>0.99919270000000004</v>
      </c>
      <c r="AB2274">
        <v>47</v>
      </c>
      <c r="AC2274">
        <v>-15.4116999999999</v>
      </c>
      <c r="AD2274">
        <v>-1.1078930062350001</v>
      </c>
      <c r="AE2274">
        <v>-0.432599999999979</v>
      </c>
      <c r="AF2274">
        <v>-0.63293068542009401</v>
      </c>
      <c r="AG2274">
        <v>-1.1078930062350001</v>
      </c>
      <c r="AH2274">
        <v>15.325503852245999</v>
      </c>
      <c r="AI2274">
        <v>94.131255841331196</v>
      </c>
      <c r="AJ2274">
        <v>92.364924554380394</v>
      </c>
      <c r="AK2274">
        <v>15.3785271235908</v>
      </c>
      <c r="AL2274">
        <v>68.153897123619004</v>
      </c>
      <c r="AM2274">
        <v>95.298250101638203</v>
      </c>
      <c r="AN2274">
        <v>0.99999995009380105</v>
      </c>
    </row>
    <row r="2275" spans="1:40" x14ac:dyDescent="0.25">
      <c r="A2275" t="str">
        <f>"20190304164134983"</f>
        <v>20190304164134983</v>
      </c>
      <c r="B2275" t="str">
        <f>"1551688894973020"</f>
        <v>1551688894973020</v>
      </c>
      <c r="C2275" t="s">
        <v>40</v>
      </c>
      <c r="D2275">
        <v>3.9981010000000001</v>
      </c>
      <c r="E2275">
        <v>0.53212799999999905</v>
      </c>
      <c r="F2275" t="s">
        <v>47</v>
      </c>
      <c r="G2275">
        <v>-288.40190000000001</v>
      </c>
      <c r="H2275" s="1">
        <v>4.8246539999999997E-6</v>
      </c>
      <c r="I2275">
        <v>283.89879999999999</v>
      </c>
      <c r="J2275">
        <v>-272.86509999999998</v>
      </c>
      <c r="K2275">
        <v>1.10791</v>
      </c>
      <c r="L2275">
        <v>284.31790000000001</v>
      </c>
      <c r="M2275">
        <v>-0.99988089999999996</v>
      </c>
      <c r="N2275">
        <v>-6.9221939999999996E-3</v>
      </c>
      <c r="O2275">
        <v>1.379419E-2</v>
      </c>
      <c r="P2275">
        <v>-0.92787209999999998</v>
      </c>
      <c r="Q2275">
        <v>0.36522009999999999</v>
      </c>
      <c r="R2275">
        <v>-7.5285050000000006E-2</v>
      </c>
      <c r="S2275">
        <v>-3.318085</v>
      </c>
      <c r="T2275">
        <v>-0.23288300000000001</v>
      </c>
      <c r="U2275">
        <v>-8.7371829999999998E-2</v>
      </c>
      <c r="V2275">
        <v>-8.6798239999999999E-2</v>
      </c>
      <c r="W2275">
        <v>0.37192760000000002</v>
      </c>
      <c r="X2275">
        <v>0.92419479999999998</v>
      </c>
      <c r="Y2275">
        <v>-3.9974570000000001E-2</v>
      </c>
      <c r="Z2275">
        <v>-2.4108900000000002E-3</v>
      </c>
      <c r="AA2275">
        <v>0.99919780000000002</v>
      </c>
      <c r="AB2275">
        <v>47</v>
      </c>
      <c r="AC2275">
        <v>-15.536799999999999</v>
      </c>
      <c r="AD2275">
        <v>-1.1079051753460001</v>
      </c>
      <c r="AE2275">
        <v>-0.41910000000001402</v>
      </c>
      <c r="AF2275">
        <v>-0.63018075467886803</v>
      </c>
      <c r="AG2275">
        <v>-1.1079051753460001</v>
      </c>
      <c r="AH2275">
        <v>15.451030656775499</v>
      </c>
      <c r="AI2275">
        <v>94.097938399238402</v>
      </c>
      <c r="AJ2275">
        <v>92.335552722214601</v>
      </c>
      <c r="AK2275">
        <v>15.5035134733305</v>
      </c>
      <c r="AL2275">
        <v>68.165454595683499</v>
      </c>
      <c r="AM2275">
        <v>95.365349070027804</v>
      </c>
      <c r="AN2275">
        <v>1.0000000512279399</v>
      </c>
    </row>
    <row r="2276" spans="1:40" x14ac:dyDescent="0.25">
      <c r="A2276" t="str">
        <f>"20190304164134996"</f>
        <v>20190304164134996</v>
      </c>
      <c r="B2276" t="str">
        <f>"1551688894983757"</f>
        <v>1551688894983757</v>
      </c>
      <c r="C2276" t="s">
        <v>40</v>
      </c>
      <c r="D2276">
        <v>4.0020699999999998</v>
      </c>
      <c r="E2276">
        <v>0.53223949999999998</v>
      </c>
      <c r="F2276" t="s">
        <v>47</v>
      </c>
      <c r="G2276">
        <v>-288.5754</v>
      </c>
      <c r="H2276" s="1">
        <v>4.7468900000000004E-6</v>
      </c>
      <c r="I2276">
        <v>283.90260000000001</v>
      </c>
      <c r="J2276">
        <v>-273.13529999999997</v>
      </c>
      <c r="K2276">
        <v>1.107945</v>
      </c>
      <c r="L2276">
        <v>284.32190000000003</v>
      </c>
      <c r="M2276">
        <v>-0.99987139999999997</v>
      </c>
      <c r="N2276">
        <v>-7.0537040000000001E-3</v>
      </c>
      <c r="O2276">
        <v>1.440456E-2</v>
      </c>
      <c r="P2276">
        <v>-0.92787419999999998</v>
      </c>
      <c r="Q2276">
        <v>0.36513849999999998</v>
      </c>
      <c r="R2276">
        <v>-7.5652049999999998E-2</v>
      </c>
      <c r="S2276">
        <v>-3.3182070000000001</v>
      </c>
      <c r="T2276">
        <v>-0.23400280000000001</v>
      </c>
      <c r="U2276">
        <v>-8.7707519999999997E-2</v>
      </c>
      <c r="V2276">
        <v>-8.7737519999999999E-2</v>
      </c>
      <c r="W2276">
        <v>0.37196829999999997</v>
      </c>
      <c r="X2276">
        <v>0.92408970000000001</v>
      </c>
      <c r="Y2276">
        <v>-4.0680069999999999E-2</v>
      </c>
      <c r="Z2276">
        <v>-2.4889980000000001E-3</v>
      </c>
      <c r="AA2276">
        <v>0.99916910000000003</v>
      </c>
      <c r="AB2276">
        <v>47</v>
      </c>
      <c r="AC2276">
        <v>-15.440099999999999</v>
      </c>
      <c r="AD2276">
        <v>-1.10794025311</v>
      </c>
      <c r="AE2276">
        <v>-0.41930000000002099</v>
      </c>
      <c r="AF2276">
        <v>-0.63838517272221096</v>
      </c>
      <c r="AG2276">
        <v>-1.10794025311</v>
      </c>
      <c r="AH2276">
        <v>15.3534595653843</v>
      </c>
      <c r="AI2276">
        <v>94.123887229063897</v>
      </c>
      <c r="AJ2276">
        <v>92.380943487137202</v>
      </c>
      <c r="AK2276">
        <v>15.4066150681811</v>
      </c>
      <c r="AL2276">
        <v>68.162941956483095</v>
      </c>
      <c r="AM2276">
        <v>95.423678550604507</v>
      </c>
      <c r="AN2276">
        <v>1.0000000311333599</v>
      </c>
    </row>
    <row r="2277" spans="1:40" x14ac:dyDescent="0.25">
      <c r="A2277" t="str">
        <f>"20190304164135009"</f>
        <v>20190304164135009</v>
      </c>
      <c r="B2277" t="str">
        <f>"1551688895003277"</f>
        <v>1551688895003277</v>
      </c>
      <c r="C2277" t="s">
        <v>40</v>
      </c>
      <c r="D2277">
        <v>3.9377309999999999</v>
      </c>
      <c r="E2277">
        <v>0.53241799999999995</v>
      </c>
      <c r="F2277" t="s">
        <v>47</v>
      </c>
      <c r="G2277">
        <v>-288.81189999999998</v>
      </c>
      <c r="H2277" s="1">
        <v>4.6409230000000003E-6</v>
      </c>
      <c r="I2277">
        <v>283.90800000000002</v>
      </c>
      <c r="J2277">
        <v>-273.39269999999999</v>
      </c>
      <c r="K2277">
        <v>1.107996</v>
      </c>
      <c r="L2277">
        <v>284.32589999999999</v>
      </c>
      <c r="M2277">
        <v>-0.99986180000000002</v>
      </c>
      <c r="N2277">
        <v>-7.2396639999999998E-3</v>
      </c>
      <c r="O2277">
        <v>1.497333E-2</v>
      </c>
      <c r="P2277">
        <v>-0.92788060000000006</v>
      </c>
      <c r="Q2277">
        <v>0.3648612</v>
      </c>
      <c r="R2277">
        <v>-7.6903659999999999E-2</v>
      </c>
      <c r="S2277">
        <v>-3.3183289999999999</v>
      </c>
      <c r="T2277">
        <v>-0.2345237</v>
      </c>
      <c r="U2277">
        <v>-8.7615970000000001E-2</v>
      </c>
      <c r="V2277">
        <v>-8.952367E-2</v>
      </c>
      <c r="W2277">
        <v>0.371867</v>
      </c>
      <c r="X2277">
        <v>0.92395910000000003</v>
      </c>
      <c r="Y2277">
        <v>-4.1216610000000001E-2</v>
      </c>
      <c r="Z2277">
        <v>-2.5523630000000002E-3</v>
      </c>
      <c r="AA2277">
        <v>0.99914700000000001</v>
      </c>
      <c r="AB2277">
        <v>47</v>
      </c>
      <c r="AC2277">
        <v>-15.419199999999901</v>
      </c>
      <c r="AD2277">
        <v>-1.1079913590770001</v>
      </c>
      <c r="AE2277">
        <v>-0.41789999999997401</v>
      </c>
      <c r="AF2277">
        <v>-0.64540579784552699</v>
      </c>
      <c r="AG2277">
        <v>-1.1079913590770001</v>
      </c>
      <c r="AH2277">
        <v>15.332103700824399</v>
      </c>
      <c r="AI2277">
        <v>94.129712642273404</v>
      </c>
      <c r="AJ2277">
        <v>92.410446080959304</v>
      </c>
      <c r="AK2277">
        <v>15.3856295740056</v>
      </c>
      <c r="AL2277">
        <v>68.169193503609606</v>
      </c>
      <c r="AM2277">
        <v>95.534191929456199</v>
      </c>
      <c r="AN2277">
        <v>0.999999985826039</v>
      </c>
    </row>
    <row r="2278" spans="1:40" x14ac:dyDescent="0.25">
      <c r="A2278" t="str">
        <f>"20190304164135025"</f>
        <v>20190304164135025</v>
      </c>
      <c r="B2278" t="str">
        <f>"1551688895013037"</f>
        <v>1551688895013037</v>
      </c>
      <c r="C2278" t="s">
        <v>40</v>
      </c>
      <c r="D2278">
        <v>3.985134</v>
      </c>
      <c r="E2278">
        <v>0.53251130000000002</v>
      </c>
      <c r="F2278" t="s">
        <v>47</v>
      </c>
      <c r="G2278">
        <v>-288.99689999999998</v>
      </c>
      <c r="H2278" s="1">
        <v>4.5593919999999997E-6</v>
      </c>
      <c r="I2278">
        <v>283.90539999999999</v>
      </c>
      <c r="J2278">
        <v>-273.75650000000002</v>
      </c>
      <c r="K2278">
        <v>1.1080939999999999</v>
      </c>
      <c r="L2278">
        <v>284.33170000000001</v>
      </c>
      <c r="M2278">
        <v>-0.99984709999999999</v>
      </c>
      <c r="N2278">
        <v>-7.6086890000000001E-3</v>
      </c>
      <c r="O2278">
        <v>1.5751339999999999E-2</v>
      </c>
      <c r="P2278">
        <v>-0.92764760000000002</v>
      </c>
      <c r="Q2278">
        <v>0.36477179999999998</v>
      </c>
      <c r="R2278">
        <v>-8.0074300000000001E-2</v>
      </c>
      <c r="S2278">
        <v>-3.3184200000000001</v>
      </c>
      <c r="T2278">
        <v>-0.23562739999999999</v>
      </c>
      <c r="U2278">
        <v>-8.9416499999999996E-2</v>
      </c>
      <c r="V2278">
        <v>-9.3421649999999995E-2</v>
      </c>
      <c r="W2278">
        <v>0.37212640000000002</v>
      </c>
      <c r="X2278">
        <v>0.92346859999999997</v>
      </c>
      <c r="Y2278">
        <v>-4.2528360000000001E-2</v>
      </c>
      <c r="Z2278">
        <v>-2.6669250000000001E-3</v>
      </c>
      <c r="AA2278">
        <v>0.99909170000000003</v>
      </c>
      <c r="AB2278">
        <v>47</v>
      </c>
      <c r="AC2278">
        <v>-15.2403999999999</v>
      </c>
      <c r="AD2278">
        <v>-1.108089440608</v>
      </c>
      <c r="AE2278">
        <v>-0.42630000000002599</v>
      </c>
      <c r="AF2278">
        <v>-0.66280964245520002</v>
      </c>
      <c r="AG2278">
        <v>-1.108089440608</v>
      </c>
      <c r="AH2278">
        <v>15.151759113046801</v>
      </c>
      <c r="AI2278">
        <v>94.178767961898799</v>
      </c>
      <c r="AJ2278">
        <v>92.504791612372998</v>
      </c>
      <c r="AK2278">
        <v>15.206675608110899</v>
      </c>
      <c r="AL2278">
        <v>68.153181266895899</v>
      </c>
      <c r="AM2278">
        <v>95.776609639369298</v>
      </c>
      <c r="AN2278">
        <v>0.99999995872582004</v>
      </c>
    </row>
    <row r="2279" spans="1:40" x14ac:dyDescent="0.25">
      <c r="A2279" t="str">
        <f>"20190304164135038"</f>
        <v>20190304164135038</v>
      </c>
      <c r="B2279" t="str">
        <f>"1551688895023773"</f>
        <v>1551688895023773</v>
      </c>
      <c r="C2279" t="s">
        <v>40</v>
      </c>
      <c r="D2279">
        <v>3.9876719999999999</v>
      </c>
      <c r="E2279">
        <v>0.53259279999999998</v>
      </c>
      <c r="F2279" t="s">
        <v>47</v>
      </c>
      <c r="G2279">
        <v>-289.35300000000001</v>
      </c>
      <c r="H2279" s="1">
        <v>4.4073479999999998E-6</v>
      </c>
      <c r="I2279">
        <v>283.87709999999998</v>
      </c>
      <c r="J2279">
        <v>-274.01510000000002</v>
      </c>
      <c r="K2279">
        <v>1.1081780000000001</v>
      </c>
      <c r="L2279">
        <v>284.33600000000001</v>
      </c>
      <c r="M2279">
        <v>-0.99983599999999995</v>
      </c>
      <c r="N2279">
        <v>-7.9542659999999998E-3</v>
      </c>
      <c r="O2279">
        <v>1.627727E-2</v>
      </c>
      <c r="P2279">
        <v>-0.92772719999999997</v>
      </c>
      <c r="Q2279">
        <v>0.3642881</v>
      </c>
      <c r="R2279">
        <v>-8.1342990000000004E-2</v>
      </c>
      <c r="S2279">
        <v>-3.3183289999999999</v>
      </c>
      <c r="T2279">
        <v>-0.23575889999999999</v>
      </c>
      <c r="U2279">
        <v>-9.6710210000000005E-2</v>
      </c>
      <c r="V2279">
        <v>-9.5189949999999995E-2</v>
      </c>
      <c r="W2279">
        <v>0.37196489999999999</v>
      </c>
      <c r="X2279">
        <v>0.92335310000000004</v>
      </c>
      <c r="Y2279">
        <v>-4.523982E-2</v>
      </c>
      <c r="Z2279">
        <v>-2.8104319999999999E-3</v>
      </c>
      <c r="AA2279">
        <v>0.99897219999999998</v>
      </c>
      <c r="AB2279">
        <v>47</v>
      </c>
      <c r="AC2279">
        <v>-15.3378999999999</v>
      </c>
      <c r="AD2279">
        <v>-1.108173592652</v>
      </c>
      <c r="AE2279">
        <v>-0.45890000000002801</v>
      </c>
      <c r="AF2279">
        <v>-0.70483017119500302</v>
      </c>
      <c r="AG2279">
        <v>-1.108173592652</v>
      </c>
      <c r="AH2279">
        <v>15.248867646652499</v>
      </c>
      <c r="AI2279">
        <v>94.152104016638106</v>
      </c>
      <c r="AJ2279">
        <v>92.646430701566501</v>
      </c>
      <c r="AK2279">
        <v>15.305319297120301</v>
      </c>
      <c r="AL2279">
        <v>68.163150654657599</v>
      </c>
      <c r="AM2279">
        <v>95.885920831821807</v>
      </c>
      <c r="AN2279">
        <v>0.99999998034631099</v>
      </c>
    </row>
    <row r="2280" spans="1:40" x14ac:dyDescent="0.25">
      <c r="A2280" t="str">
        <f>"20190304164135051"</f>
        <v>20190304164135051</v>
      </c>
      <c r="B2280" t="str">
        <f>"1551688895043293"</f>
        <v>1551688895043293</v>
      </c>
      <c r="C2280" t="s">
        <v>40</v>
      </c>
      <c r="D2280">
        <v>3.9746350000000001</v>
      </c>
      <c r="E2280">
        <v>0.53277129999999995</v>
      </c>
      <c r="F2280" t="s">
        <v>47</v>
      </c>
      <c r="G2280">
        <v>-289.46850000000001</v>
      </c>
      <c r="H2280" s="1">
        <v>4.3567070000000001E-6</v>
      </c>
      <c r="I2280">
        <v>283.87430000000001</v>
      </c>
      <c r="J2280">
        <v>-274.29320000000001</v>
      </c>
      <c r="K2280">
        <v>1.1082730000000001</v>
      </c>
      <c r="L2280">
        <v>284.3408</v>
      </c>
      <c r="M2280">
        <v>-0.99982380000000004</v>
      </c>
      <c r="N2280">
        <v>-8.3428640000000002E-3</v>
      </c>
      <c r="O2280">
        <v>1.6823620000000001E-2</v>
      </c>
      <c r="P2280">
        <v>-0.92771789999999998</v>
      </c>
      <c r="Q2280">
        <v>0.36425390000000002</v>
      </c>
      <c r="R2280">
        <v>-8.1603709999999996E-2</v>
      </c>
      <c r="S2280">
        <v>-3.3184200000000001</v>
      </c>
      <c r="T2280">
        <v>-0.2379665</v>
      </c>
      <c r="U2280">
        <v>-9.9151610000000001E-2</v>
      </c>
      <c r="V2280">
        <v>-9.5969470000000001E-2</v>
      </c>
      <c r="W2280">
        <v>0.3722879</v>
      </c>
      <c r="X2280">
        <v>0.92314229999999997</v>
      </c>
      <c r="Y2280">
        <v>-4.6511320000000002E-2</v>
      </c>
      <c r="Z2280">
        <v>-2.9240030000000001E-3</v>
      </c>
      <c r="AA2280">
        <v>0.99891350000000001</v>
      </c>
      <c r="AB2280">
        <v>47</v>
      </c>
      <c r="AC2280">
        <v>-15.175299999999901</v>
      </c>
      <c r="AD2280">
        <v>-1.108268643293</v>
      </c>
      <c r="AE2280">
        <v>-0.46649999999999597</v>
      </c>
      <c r="AF2280">
        <v>-0.71792086048327297</v>
      </c>
      <c r="AG2280">
        <v>-1.108268643293</v>
      </c>
      <c r="AH2280">
        <v>15.0849235659306</v>
      </c>
      <c r="AI2280">
        <v>94.197159506505201</v>
      </c>
      <c r="AJ2280">
        <v>92.724761669072507</v>
      </c>
      <c r="AK2280">
        <v>15.142608386192601</v>
      </c>
      <c r="AL2280">
        <v>68.143214073221102</v>
      </c>
      <c r="AM2280">
        <v>95.935124005807594</v>
      </c>
      <c r="AN2280">
        <v>1.0000000628538801</v>
      </c>
    </row>
    <row r="2281" spans="1:40" x14ac:dyDescent="0.25">
      <c r="A2281" t="str">
        <f>"20190304164135064"</f>
        <v>20190304164135064</v>
      </c>
      <c r="B2281" t="str">
        <f>"1551688895053053"</f>
        <v>1551688895053053</v>
      </c>
      <c r="C2281" t="s">
        <v>40</v>
      </c>
      <c r="D2281">
        <v>3.988038</v>
      </c>
      <c r="E2281">
        <v>0.53286480000000003</v>
      </c>
      <c r="F2281" t="s">
        <v>47</v>
      </c>
      <c r="G2281">
        <v>-289.69229999999999</v>
      </c>
      <c r="H2281" s="1">
        <v>4.2559009999999996E-6</v>
      </c>
      <c r="I2281">
        <v>283.88170000000002</v>
      </c>
      <c r="J2281">
        <v>-274.56099999999998</v>
      </c>
      <c r="K2281">
        <v>1.108365</v>
      </c>
      <c r="L2281">
        <v>284.34559999999999</v>
      </c>
      <c r="M2281">
        <v>-0.99981180000000003</v>
      </c>
      <c r="N2281">
        <v>-8.7195729999999996E-3</v>
      </c>
      <c r="O2281">
        <v>1.7337229999999999E-2</v>
      </c>
      <c r="P2281">
        <v>-0.92761749999999998</v>
      </c>
      <c r="Q2281">
        <v>0.36417379999999999</v>
      </c>
      <c r="R2281">
        <v>-8.3087750000000002E-2</v>
      </c>
      <c r="S2281">
        <v>-3.3188170000000001</v>
      </c>
      <c r="T2281">
        <v>-0.23885429999999999</v>
      </c>
      <c r="U2281">
        <v>-9.8937990000000003E-2</v>
      </c>
      <c r="V2281">
        <v>-9.7941329999999993E-2</v>
      </c>
      <c r="W2281">
        <v>0.37255690000000002</v>
      </c>
      <c r="X2281">
        <v>0.92282649999999999</v>
      </c>
      <c r="Y2281">
        <v>-4.695299E-2</v>
      </c>
      <c r="Z2281">
        <v>-2.9870259999999998E-3</v>
      </c>
      <c r="AA2281">
        <v>0.99889260000000002</v>
      </c>
      <c r="AB2281">
        <v>47</v>
      </c>
      <c r="AC2281">
        <v>-15.1313</v>
      </c>
      <c r="AD2281">
        <v>-1.108360744099</v>
      </c>
      <c r="AE2281">
        <v>-0.46389999999996601</v>
      </c>
      <c r="AF2281">
        <v>-0.72230316478340395</v>
      </c>
      <c r="AG2281">
        <v>-1.108360744099</v>
      </c>
      <c r="AH2281">
        <v>15.0403593400845</v>
      </c>
      <c r="AI2281">
        <v>94.209813008046893</v>
      </c>
      <c r="AJ2281">
        <v>92.749478921493093</v>
      </c>
      <c r="AK2281">
        <v>15.098430199189099</v>
      </c>
      <c r="AL2281">
        <v>68.126604209883695</v>
      </c>
      <c r="AM2281">
        <v>96.058231278423904</v>
      </c>
      <c r="AN2281">
        <v>0.99999994848101303</v>
      </c>
    </row>
    <row r="2282" spans="1:40" x14ac:dyDescent="0.25">
      <c r="A2282" t="str">
        <f>"20190304164135076"</f>
        <v>20190304164135076</v>
      </c>
      <c r="B2282" t="str">
        <f>"1551688895073548"</f>
        <v>1551688895073548</v>
      </c>
      <c r="C2282" t="s">
        <v>40</v>
      </c>
      <c r="D2282">
        <v>3.993153</v>
      </c>
      <c r="E2282">
        <v>0.53312139999999997</v>
      </c>
      <c r="F2282" t="s">
        <v>47</v>
      </c>
      <c r="G2282">
        <v>-289.9348</v>
      </c>
      <c r="H2282" s="1">
        <v>4.150028E-6</v>
      </c>
      <c r="I2282">
        <v>283.87380000000002</v>
      </c>
      <c r="J2282">
        <v>-274.83460000000002</v>
      </c>
      <c r="K2282">
        <v>1.1084459999999901</v>
      </c>
      <c r="L2282">
        <v>284.35059999999999</v>
      </c>
      <c r="M2282">
        <v>-0.99979969999999996</v>
      </c>
      <c r="N2282">
        <v>-9.0783099999999992E-3</v>
      </c>
      <c r="O2282">
        <v>1.7836000000000001E-2</v>
      </c>
      <c r="P2282">
        <v>-0.92759040000000004</v>
      </c>
      <c r="Q2282">
        <v>0.36396509999999999</v>
      </c>
      <c r="R2282">
        <v>-8.429296E-2</v>
      </c>
      <c r="S2282">
        <v>-3.3189090000000001</v>
      </c>
      <c r="T2282">
        <v>-0.2392753</v>
      </c>
      <c r="U2282">
        <v>-0.1018372</v>
      </c>
      <c r="V2282">
        <v>-9.9627460000000001E-2</v>
      </c>
      <c r="W2282">
        <v>0.37267820000000002</v>
      </c>
      <c r="X2282">
        <v>0.92259709999999995</v>
      </c>
      <c r="Y2282">
        <v>-4.8316489999999997E-2</v>
      </c>
      <c r="Z2282">
        <v>-3.0809560000000001E-3</v>
      </c>
      <c r="AA2282">
        <v>0.99882729999999997</v>
      </c>
      <c r="AB2282">
        <v>47</v>
      </c>
      <c r="AC2282">
        <v>-15.1001999999999</v>
      </c>
      <c r="AD2282">
        <v>-1.1084418499719999</v>
      </c>
      <c r="AE2282">
        <v>-0.47679999999996803</v>
      </c>
      <c r="AF2282">
        <v>-0.74206783519756703</v>
      </c>
      <c r="AG2282">
        <v>-1.1084418499719999</v>
      </c>
      <c r="AH2282">
        <v>15.0085018236525</v>
      </c>
      <c r="AI2282">
        <v>94.218734283853493</v>
      </c>
      <c r="AJ2282">
        <v>92.8305796238742</v>
      </c>
      <c r="AK2282">
        <v>15.067661895509399</v>
      </c>
      <c r="AL2282">
        <v>68.119116999193395</v>
      </c>
      <c r="AM2282">
        <v>96.163252769426293</v>
      </c>
      <c r="AN2282">
        <v>1.0000000402348499</v>
      </c>
    </row>
    <row r="2283" spans="1:40" x14ac:dyDescent="0.25">
      <c r="A2283" t="str">
        <f>"20190304164135095"</f>
        <v>20190304164135095</v>
      </c>
      <c r="B2283" t="str">
        <f>"1551688895083308"</f>
        <v>1551688895083308</v>
      </c>
      <c r="C2283" t="s">
        <v>40</v>
      </c>
      <c r="D2283">
        <v>4.0133970000000003</v>
      </c>
      <c r="E2283">
        <v>0.53319799999999995</v>
      </c>
      <c r="F2283" t="s">
        <v>47</v>
      </c>
      <c r="G2283">
        <v>-290.08069999999998</v>
      </c>
      <c r="H2283" s="1">
        <v>2.2848230000000001E-6</v>
      </c>
      <c r="I2283">
        <v>283.87549999999999</v>
      </c>
      <c r="J2283">
        <v>-275.19889999999998</v>
      </c>
      <c r="K2283">
        <v>1.108544</v>
      </c>
      <c r="L2283">
        <v>284.35750000000002</v>
      </c>
      <c r="M2283">
        <v>-0.99978420000000001</v>
      </c>
      <c r="N2283">
        <v>-9.5166269999999997E-3</v>
      </c>
      <c r="O2283">
        <v>1.8464669999999999E-2</v>
      </c>
      <c r="P2283">
        <v>-0.92723520000000004</v>
      </c>
      <c r="Q2283">
        <v>0.36416179999999998</v>
      </c>
      <c r="R2283">
        <v>-8.7299639999999998E-2</v>
      </c>
      <c r="S2283">
        <v>-3.3194889999999999</v>
      </c>
      <c r="T2283">
        <v>-0.24133859999999999</v>
      </c>
      <c r="U2283">
        <v>-0.1034241</v>
      </c>
      <c r="V2283">
        <v>-0.1032376</v>
      </c>
      <c r="W2283">
        <v>0.37327769999999999</v>
      </c>
      <c r="X2283">
        <v>0.92195760000000004</v>
      </c>
      <c r="Y2283">
        <v>-4.9408559999999997E-2</v>
      </c>
      <c r="Z2283">
        <v>-3.1937179999999999E-3</v>
      </c>
      <c r="AA2283">
        <v>0.99877360000000004</v>
      </c>
      <c r="AB2283">
        <v>47</v>
      </c>
      <c r="AC2283">
        <v>-14.881799999999901</v>
      </c>
      <c r="AD2283">
        <v>-1.1085417151770001</v>
      </c>
      <c r="AE2283">
        <v>-0.48200000000002702</v>
      </c>
      <c r="AF2283">
        <v>-0.75254649671721596</v>
      </c>
      <c r="AG2283">
        <v>-1.1085417151770001</v>
      </c>
      <c r="AH2283">
        <v>14.788391529115</v>
      </c>
      <c r="AI2283">
        <v>94.281370087959999</v>
      </c>
      <c r="AJ2283">
        <v>92.913134753698301</v>
      </c>
      <c r="AK2283">
        <v>14.8489634312436</v>
      </c>
      <c r="AL2283">
        <v>68.082096570035404</v>
      </c>
      <c r="AM2283">
        <v>96.389166449597994</v>
      </c>
      <c r="AN2283">
        <v>1.0000000297844001</v>
      </c>
    </row>
    <row r="2284" spans="1:40" x14ac:dyDescent="0.25">
      <c r="A2284" t="str">
        <f>"20190304164135116"</f>
        <v>20190304164135116</v>
      </c>
      <c r="B2284" t="str">
        <f>"1551688895103804"</f>
        <v>1551688895103804</v>
      </c>
      <c r="C2284" t="s">
        <v>40</v>
      </c>
      <c r="D2284">
        <v>3.979495</v>
      </c>
      <c r="E2284">
        <v>0.53345559999999903</v>
      </c>
      <c r="F2284" t="s">
        <v>47</v>
      </c>
      <c r="G2284">
        <v>-290.48079999999999</v>
      </c>
      <c r="H2284" s="1">
        <v>2.3585189999999998E-6</v>
      </c>
      <c r="I2284">
        <v>283.84449999999998</v>
      </c>
      <c r="J2284">
        <v>-275.66289999999998</v>
      </c>
      <c r="K2284">
        <v>1.1086670000000001</v>
      </c>
      <c r="L2284">
        <v>284.36649999999997</v>
      </c>
      <c r="M2284">
        <v>-0.99976589999999999</v>
      </c>
      <c r="N2284">
        <v>-1.001489E-2</v>
      </c>
      <c r="O2284">
        <v>1.918986E-2</v>
      </c>
      <c r="P2284">
        <v>-0.92698199999999997</v>
      </c>
      <c r="Q2284">
        <v>0.36443389999999998</v>
      </c>
      <c r="R2284">
        <v>-8.8840859999999994E-2</v>
      </c>
      <c r="S2284">
        <v>-3.3194889999999999</v>
      </c>
      <c r="T2284">
        <v>-0.2407937</v>
      </c>
      <c r="U2284">
        <v>-0.111419699999999</v>
      </c>
      <c r="V2284">
        <v>-0.1054978</v>
      </c>
      <c r="W2284">
        <v>0.37399729999999998</v>
      </c>
      <c r="X2284">
        <v>0.9214099</v>
      </c>
      <c r="Y2284">
        <v>-5.2525860000000001E-2</v>
      </c>
      <c r="Z2284">
        <v>-3.3634979999999999E-3</v>
      </c>
      <c r="AA2284">
        <v>0.99861390000000005</v>
      </c>
      <c r="AB2284">
        <v>47</v>
      </c>
      <c r="AC2284">
        <v>-14.8179</v>
      </c>
      <c r="AD2284">
        <v>-1.108664641481</v>
      </c>
      <c r="AE2284">
        <v>-0.52199999999999103</v>
      </c>
      <c r="AF2284">
        <v>-0.80178870837719196</v>
      </c>
      <c r="AG2284">
        <v>-1.108664641481</v>
      </c>
      <c r="AH2284">
        <v>14.722838325298699</v>
      </c>
      <c r="AI2284">
        <v>94.300032874371695</v>
      </c>
      <c r="AJ2284">
        <v>93.117182557322593</v>
      </c>
      <c r="AK2284">
        <v>14.7862764336745</v>
      </c>
      <c r="AL2284">
        <v>68.037646243959102</v>
      </c>
      <c r="AM2284">
        <v>96.531697811399994</v>
      </c>
      <c r="AN2284">
        <v>0.99999998501506904</v>
      </c>
    </row>
    <row r="2285" spans="1:40" x14ac:dyDescent="0.25">
      <c r="A2285" t="str">
        <f>"20190304164135130"</f>
        <v>20190304164135130</v>
      </c>
      <c r="B2285" t="str">
        <f>"1551688895122856"</f>
        <v>1551688895122856</v>
      </c>
      <c r="C2285" t="s">
        <v>40</v>
      </c>
      <c r="D2285">
        <v>3.9751599999999998</v>
      </c>
      <c r="E2285">
        <v>0.53373389999999998</v>
      </c>
      <c r="F2285" t="s">
        <v>47</v>
      </c>
      <c r="G2285">
        <v>-290.92610000000002</v>
      </c>
      <c r="H2285" s="1">
        <v>2.4377739999999999E-6</v>
      </c>
      <c r="I2285">
        <v>283.84140000000002</v>
      </c>
      <c r="J2285">
        <v>-275.96260000000001</v>
      </c>
      <c r="K2285">
        <v>1.1087480000000001</v>
      </c>
      <c r="L2285">
        <v>284.37259999999998</v>
      </c>
      <c r="M2285">
        <v>-0.99975480000000005</v>
      </c>
      <c r="N2285">
        <v>-1.0304560000000001E-2</v>
      </c>
      <c r="O2285">
        <v>1.959878E-2</v>
      </c>
      <c r="P2285">
        <v>-0.92702410000000002</v>
      </c>
      <c r="Q2285">
        <v>0.36416140000000002</v>
      </c>
      <c r="R2285">
        <v>-8.9516929999999995E-2</v>
      </c>
      <c r="S2285">
        <v>-3.3201290000000001</v>
      </c>
      <c r="T2285">
        <v>-0.2411624</v>
      </c>
      <c r="U2285">
        <v>-0.1142273</v>
      </c>
      <c r="V2285">
        <v>-0.10660269999999999</v>
      </c>
      <c r="W2285">
        <v>0.3739806</v>
      </c>
      <c r="X2285">
        <v>0.92128960000000004</v>
      </c>
      <c r="Y2285">
        <v>-5.3766139999999997E-2</v>
      </c>
      <c r="Z2285">
        <v>-3.4467489999999998E-3</v>
      </c>
      <c r="AA2285">
        <v>0.99854759999999998</v>
      </c>
      <c r="AB2285">
        <v>47</v>
      </c>
      <c r="AC2285">
        <v>-14.9635</v>
      </c>
      <c r="AD2285">
        <v>-1.1087455622260001</v>
      </c>
      <c r="AE2285">
        <v>-0.53119999999995504</v>
      </c>
      <c r="AF2285">
        <v>-0.81988412346467598</v>
      </c>
      <c r="AG2285">
        <v>-1.1087455622260001</v>
      </c>
      <c r="AH2285">
        <v>14.868683127847399</v>
      </c>
      <c r="AI2285">
        <v>94.258161719104393</v>
      </c>
      <c r="AJ2285">
        <v>93.156189053321199</v>
      </c>
      <c r="AK2285">
        <v>14.932490236193001</v>
      </c>
      <c r="AL2285">
        <v>68.038680052098101</v>
      </c>
      <c r="AM2285">
        <v>96.600359398318204</v>
      </c>
      <c r="AN2285">
        <v>1.0000000759459</v>
      </c>
    </row>
    <row r="2286" spans="1:40" x14ac:dyDescent="0.25">
      <c r="A2286" t="str">
        <f>"20190304164135143"</f>
        <v>20190304164135143</v>
      </c>
      <c r="B2286" t="str">
        <f>"1551688895133593"</f>
        <v>1551688895133593</v>
      </c>
      <c r="C2286" t="s">
        <v>40</v>
      </c>
      <c r="D2286">
        <v>3.9839709999999999</v>
      </c>
      <c r="E2286">
        <v>0.5338659</v>
      </c>
      <c r="F2286" t="s">
        <v>47</v>
      </c>
      <c r="G2286">
        <v>-291.0831</v>
      </c>
      <c r="H2286" s="1">
        <v>2.4647310000000001E-6</v>
      </c>
      <c r="I2286">
        <v>283.85169999999999</v>
      </c>
      <c r="J2286">
        <v>-276.226</v>
      </c>
      <c r="K2286">
        <v>1.1088229999999999</v>
      </c>
      <c r="L2286">
        <v>284.37799999999999</v>
      </c>
      <c r="M2286">
        <v>-0.99974600000000002</v>
      </c>
      <c r="N2286">
        <v>-1.0546379999999999E-2</v>
      </c>
      <c r="O2286">
        <v>1.9928459999999999E-2</v>
      </c>
      <c r="P2286">
        <v>-0.92699640000000005</v>
      </c>
      <c r="Q2286">
        <v>0.3641411</v>
      </c>
      <c r="R2286">
        <v>-8.9886519999999998E-2</v>
      </c>
      <c r="S2286">
        <v>-3.32077</v>
      </c>
      <c r="T2286">
        <v>-0.24350250000000001</v>
      </c>
      <c r="U2286">
        <v>-0.1144104</v>
      </c>
      <c r="V2286">
        <v>-0.10732700000000001</v>
      </c>
      <c r="W2286">
        <v>0.37416929999999998</v>
      </c>
      <c r="X2286">
        <v>0.92112870000000002</v>
      </c>
      <c r="Y2286">
        <v>-5.4138110000000003E-2</v>
      </c>
      <c r="Z2286">
        <v>-3.5167509999999998E-3</v>
      </c>
      <c r="AA2286">
        <v>0.99852730000000001</v>
      </c>
      <c r="AB2286">
        <v>47</v>
      </c>
      <c r="AC2286">
        <v>-14.857100000000001</v>
      </c>
      <c r="AD2286">
        <v>-1.1088205352689999</v>
      </c>
      <c r="AE2286">
        <v>-0.526299999999992</v>
      </c>
      <c r="AF2286">
        <v>-0.81774189000106501</v>
      </c>
      <c r="AG2286">
        <v>-1.1088205352689999</v>
      </c>
      <c r="AH2286">
        <v>14.761541656411</v>
      </c>
      <c r="AI2286">
        <v>94.2891820483907</v>
      </c>
      <c r="AJ2286">
        <v>93.170760917975699</v>
      </c>
      <c r="AK2286">
        <v>14.825697179291501</v>
      </c>
      <c r="AL2286">
        <v>68.0270182448497</v>
      </c>
      <c r="AM2286">
        <v>96.645955410276699</v>
      </c>
      <c r="AN2286">
        <v>0.99999991597758597</v>
      </c>
    </row>
    <row r="2287" spans="1:40" x14ac:dyDescent="0.25">
      <c r="A2287" t="str">
        <f>"20190304164135160"</f>
        <v>20190304164135160</v>
      </c>
      <c r="B2287" t="str">
        <f>"1551688895153112"</f>
        <v>1551688895153112</v>
      </c>
      <c r="C2287" t="s">
        <v>40</v>
      </c>
      <c r="D2287">
        <v>3.9899040000000001</v>
      </c>
      <c r="E2287">
        <v>0.53413149999999998</v>
      </c>
      <c r="F2287" t="s">
        <v>47</v>
      </c>
      <c r="G2287">
        <v>-291.30169999999998</v>
      </c>
      <c r="H2287" s="1">
        <v>2.5030940000000001E-6</v>
      </c>
      <c r="I2287">
        <v>283.85629999999998</v>
      </c>
      <c r="J2287">
        <v>-276.6096</v>
      </c>
      <c r="K2287">
        <v>1.1089549999999999</v>
      </c>
      <c r="L2287">
        <v>284.38589999999999</v>
      </c>
      <c r="M2287">
        <v>-0.99973489999999998</v>
      </c>
      <c r="N2287">
        <v>-1.086646E-2</v>
      </c>
      <c r="O2287">
        <v>2.0303680000000001E-2</v>
      </c>
      <c r="P2287">
        <v>-0.92698930000000002</v>
      </c>
      <c r="Q2287">
        <v>0.36374299999999998</v>
      </c>
      <c r="R2287">
        <v>-9.1552980000000006E-2</v>
      </c>
      <c r="S2287">
        <v>-3.321075</v>
      </c>
      <c r="T2287">
        <v>-0.24426529999999999</v>
      </c>
      <c r="U2287">
        <v>-0.1149292</v>
      </c>
      <c r="V2287">
        <v>-0.1094411</v>
      </c>
      <c r="W2287">
        <v>0.37404159999999997</v>
      </c>
      <c r="X2287">
        <v>0.92093190000000003</v>
      </c>
      <c r="Y2287">
        <v>-5.466174E-2</v>
      </c>
      <c r="Z2287">
        <v>-3.5750479999999999E-3</v>
      </c>
      <c r="AA2287">
        <v>0.99849849999999996</v>
      </c>
      <c r="AB2287">
        <v>47</v>
      </c>
      <c r="AC2287">
        <v>-14.6920999999999</v>
      </c>
      <c r="AD2287">
        <v>-1.1089524969059901</v>
      </c>
      <c r="AE2287">
        <v>-0.52960000000001595</v>
      </c>
      <c r="AF2287">
        <v>-0.82312868952385598</v>
      </c>
      <c r="AG2287">
        <v>-1.1089524969059901</v>
      </c>
      <c r="AH2287">
        <v>14.595273883122101</v>
      </c>
      <c r="AI2287">
        <v>94.338131912696298</v>
      </c>
      <c r="AJ2287">
        <v>93.227886939675997</v>
      </c>
      <c r="AK2287">
        <v>14.660468485122101</v>
      </c>
      <c r="AL2287">
        <v>68.034910181024301</v>
      </c>
      <c r="AM2287">
        <v>96.777094707648402</v>
      </c>
      <c r="AN2287">
        <v>1.0000000186686899</v>
      </c>
    </row>
    <row r="2288" spans="1:40" x14ac:dyDescent="0.25">
      <c r="A2288" t="str">
        <f>"20190304164135172"</f>
        <v>20190304164135172</v>
      </c>
      <c r="B2288" t="str">
        <f>"1551688895163848"</f>
        <v>1551688895163848</v>
      </c>
      <c r="C2288" t="s">
        <v>40</v>
      </c>
      <c r="D2288">
        <v>3.958923</v>
      </c>
      <c r="E2288">
        <v>0.53421209999999997</v>
      </c>
      <c r="F2288" t="s">
        <v>47</v>
      </c>
      <c r="G2288">
        <v>-291.51749999999998</v>
      </c>
      <c r="H2288" s="1">
        <v>2.541616E-6</v>
      </c>
      <c r="I2288">
        <v>283.8537</v>
      </c>
      <c r="J2288">
        <v>-276.85879999999997</v>
      </c>
      <c r="K2288">
        <v>1.109048</v>
      </c>
      <c r="L2288">
        <v>284.39120000000003</v>
      </c>
      <c r="M2288">
        <v>-0.99972910000000004</v>
      </c>
      <c r="N2288">
        <v>-1.105538E-2</v>
      </c>
      <c r="O2288">
        <v>2.048765E-2</v>
      </c>
      <c r="P2288">
        <v>-0.92696509999999999</v>
      </c>
      <c r="Q2288">
        <v>0.36362480000000003</v>
      </c>
      <c r="R2288">
        <v>-9.2266020000000004E-2</v>
      </c>
      <c r="S2288">
        <v>-3.3215330000000001</v>
      </c>
      <c r="T2288">
        <v>-0.24707789999999999</v>
      </c>
      <c r="U2288">
        <v>-0.1185913</v>
      </c>
      <c r="V2288">
        <v>-0.110398</v>
      </c>
      <c r="W2288">
        <v>0.37407649999999998</v>
      </c>
      <c r="X2288">
        <v>0.9208035</v>
      </c>
      <c r="Y2288">
        <v>-5.5931040000000001E-2</v>
      </c>
      <c r="Z2288">
        <v>-3.6818250000000001E-3</v>
      </c>
      <c r="AA2288">
        <v>0.99842790000000003</v>
      </c>
      <c r="AB2288">
        <v>47</v>
      </c>
      <c r="AC2288">
        <v>-14.6587</v>
      </c>
      <c r="AD2288">
        <v>-1.1090454583839999</v>
      </c>
      <c r="AE2288">
        <v>-0.53750000000002196</v>
      </c>
      <c r="AF2288">
        <v>-0.83296621591967601</v>
      </c>
      <c r="AG2288">
        <v>-1.1090454583839999</v>
      </c>
      <c r="AH2288">
        <v>14.5613711311867</v>
      </c>
      <c r="AI2288">
        <v>94.348358755352194</v>
      </c>
      <c r="AJ2288">
        <v>93.273970095604696</v>
      </c>
      <c r="AK2288">
        <v>14.6272808055969</v>
      </c>
      <c r="AL2288">
        <v>68.032753969326095</v>
      </c>
      <c r="AM2288">
        <v>96.836736216557995</v>
      </c>
      <c r="AN2288">
        <v>1.0000000159342499</v>
      </c>
    </row>
    <row r="2289" spans="1:40" x14ac:dyDescent="0.25">
      <c r="A2289" t="str">
        <f>"20190304164135185"</f>
        <v>20190304164135185</v>
      </c>
      <c r="B2289" t="str">
        <f>"1551688895173608"</f>
        <v>1551688895173608</v>
      </c>
      <c r="C2289" t="s">
        <v>40</v>
      </c>
      <c r="D2289">
        <v>4.0189919999999999</v>
      </c>
      <c r="E2289">
        <v>0.53429759999999904</v>
      </c>
      <c r="F2289" t="s">
        <v>47</v>
      </c>
      <c r="G2289">
        <v>-291.74689999999998</v>
      </c>
      <c r="H2289" s="1">
        <v>2.5819849999999998E-6</v>
      </c>
      <c r="I2289">
        <v>283.8571</v>
      </c>
      <c r="J2289">
        <v>-277.11439999999999</v>
      </c>
      <c r="K2289">
        <v>1.1091439999999999</v>
      </c>
      <c r="L2289">
        <v>284.3965</v>
      </c>
      <c r="M2289">
        <v>-0.99972340000000004</v>
      </c>
      <c r="N2289">
        <v>-1.124238E-2</v>
      </c>
      <c r="O2289">
        <v>2.0653020000000001E-2</v>
      </c>
      <c r="P2289">
        <v>-0.92694840000000001</v>
      </c>
      <c r="Q2289">
        <v>0.363481</v>
      </c>
      <c r="R2289">
        <v>-9.2996289999999995E-2</v>
      </c>
      <c r="S2289">
        <v>-3.321564</v>
      </c>
      <c r="T2289">
        <v>-0.2474314</v>
      </c>
      <c r="U2289">
        <v>-0.1191406</v>
      </c>
      <c r="V2289">
        <v>-0.11135879999999999</v>
      </c>
      <c r="W2289">
        <v>0.3740831</v>
      </c>
      <c r="X2289">
        <v>0.92068510000000003</v>
      </c>
      <c r="Y2289">
        <v>-5.6258700000000002E-2</v>
      </c>
      <c r="Z2289">
        <v>-3.7128040000000001E-3</v>
      </c>
      <c r="AA2289">
        <v>0.99840930000000006</v>
      </c>
      <c r="AB2289">
        <v>47</v>
      </c>
      <c r="AC2289">
        <v>-14.632499999999901</v>
      </c>
      <c r="AD2289">
        <v>-1.1091414180149901</v>
      </c>
      <c r="AE2289">
        <v>-0.53939999999999999</v>
      </c>
      <c r="AF2289">
        <v>-0.83670849249518398</v>
      </c>
      <c r="AG2289">
        <v>-1.1091414180149901</v>
      </c>
      <c r="AH2289">
        <v>14.5348392904588</v>
      </c>
      <c r="AI2289">
        <v>94.356551350082398</v>
      </c>
      <c r="AJ2289">
        <v>93.294636756330704</v>
      </c>
      <c r="AK2289">
        <v>14.6010899930805</v>
      </c>
      <c r="AL2289">
        <v>68.032345860606895</v>
      </c>
      <c r="AM2289">
        <v>96.896544492530793</v>
      </c>
      <c r="AN2289">
        <v>1.00000000070253</v>
      </c>
    </row>
    <row r="2290" spans="1:40" x14ac:dyDescent="0.25">
      <c r="A2290" t="str">
        <f>"20190304164135198"</f>
        <v>20190304164135198</v>
      </c>
      <c r="B2290" t="str">
        <f>"1551688895193129"</f>
        <v>1551688895193129</v>
      </c>
      <c r="C2290" t="s">
        <v>40</v>
      </c>
      <c r="D2290">
        <v>3.9913370000000001</v>
      </c>
      <c r="E2290">
        <v>0.53446719999999903</v>
      </c>
      <c r="F2290" t="s">
        <v>47</v>
      </c>
      <c r="G2290">
        <v>-291.99349999999998</v>
      </c>
      <c r="H2290" s="1">
        <v>2.6259160000000002E-6</v>
      </c>
      <c r="I2290">
        <v>283.85509999999999</v>
      </c>
      <c r="J2290">
        <v>-277.3929</v>
      </c>
      <c r="K2290">
        <v>1.1092550000000001</v>
      </c>
      <c r="L2290">
        <v>284.4024</v>
      </c>
      <c r="M2290">
        <v>-0.99971880000000002</v>
      </c>
      <c r="N2290">
        <v>-1.1429399999999999E-2</v>
      </c>
      <c r="O2290">
        <v>2.0773570000000002E-2</v>
      </c>
      <c r="P2290">
        <v>-0.92702070000000003</v>
      </c>
      <c r="Q2290">
        <v>0.36316369999999998</v>
      </c>
      <c r="R2290">
        <v>-9.3514159999999999E-2</v>
      </c>
      <c r="S2290">
        <v>-3.3214109999999999</v>
      </c>
      <c r="T2290">
        <v>-0.24759010000000001</v>
      </c>
      <c r="U2290">
        <v>-0.1208496</v>
      </c>
      <c r="V2290">
        <v>-0.11208129999999999</v>
      </c>
      <c r="W2290">
        <v>0.37391289999999999</v>
      </c>
      <c r="X2290">
        <v>0.9206666</v>
      </c>
      <c r="Y2290">
        <v>-5.6891099999999903E-2</v>
      </c>
      <c r="Z2290">
        <v>-3.7514269999999999E-3</v>
      </c>
      <c r="AA2290">
        <v>0.99837330000000002</v>
      </c>
      <c r="AB2290">
        <v>47</v>
      </c>
      <c r="AC2290">
        <v>-14.600599999999901</v>
      </c>
      <c r="AD2290">
        <v>-1.1092523740839999</v>
      </c>
      <c r="AE2290">
        <v>-0.547300000000007</v>
      </c>
      <c r="AF2290">
        <v>-0.84563422826294798</v>
      </c>
      <c r="AG2290">
        <v>-1.1092523740839999</v>
      </c>
      <c r="AH2290">
        <v>14.502489182202099</v>
      </c>
      <c r="AI2290">
        <v>94.366480055447994</v>
      </c>
      <c r="AJ2290">
        <v>93.3371148809114</v>
      </c>
      <c r="AK2290">
        <v>14.5694107827774</v>
      </c>
      <c r="AL2290">
        <v>68.042861377777598</v>
      </c>
      <c r="AM2290">
        <v>96.940992547366605</v>
      </c>
      <c r="AN2290">
        <v>1.00000003147582</v>
      </c>
    </row>
    <row r="2291" spans="1:40" x14ac:dyDescent="0.25">
      <c r="A2291" t="str">
        <f>"20190304164135210"</f>
        <v>20190304164135210</v>
      </c>
      <c r="B2291" t="str">
        <f>"1551688895202889"</f>
        <v>1551688895202889</v>
      </c>
      <c r="C2291" t="s">
        <v>40</v>
      </c>
      <c r="D2291">
        <v>4.0133809999999999</v>
      </c>
      <c r="E2291">
        <v>0.53454760000000001</v>
      </c>
      <c r="F2291" t="s">
        <v>47</v>
      </c>
      <c r="G2291">
        <v>-292.24979999999999</v>
      </c>
      <c r="H2291" s="1">
        <v>2.6707909999999999E-6</v>
      </c>
      <c r="I2291">
        <v>283.86189999999999</v>
      </c>
      <c r="J2291">
        <v>-277.65649999999999</v>
      </c>
      <c r="K2291">
        <v>1.109356</v>
      </c>
      <c r="L2291">
        <v>284.40789999999998</v>
      </c>
      <c r="M2291">
        <v>-0.99971569999999998</v>
      </c>
      <c r="N2291">
        <v>-1.159283E-2</v>
      </c>
      <c r="O2291">
        <v>2.083399E-2</v>
      </c>
      <c r="P2291">
        <v>-0.92701990000000001</v>
      </c>
      <c r="Q2291">
        <v>0.3629926</v>
      </c>
      <c r="R2291">
        <v>-9.4181979999999998E-2</v>
      </c>
      <c r="S2291">
        <v>-3.3211360000000001</v>
      </c>
      <c r="T2291">
        <v>-0.24796280000000001</v>
      </c>
      <c r="U2291">
        <v>-0.1208191</v>
      </c>
      <c r="V2291">
        <v>-0.1128931</v>
      </c>
      <c r="W2291">
        <v>0.3738669</v>
      </c>
      <c r="X2291">
        <v>0.92058600000000002</v>
      </c>
      <c r="Y2291">
        <v>-5.6944210000000002E-2</v>
      </c>
      <c r="Z2291">
        <v>-3.7645920000000002E-3</v>
      </c>
      <c r="AA2291">
        <v>0.99837030000000004</v>
      </c>
      <c r="AB2291">
        <v>47</v>
      </c>
      <c r="AC2291">
        <v>-14.593299999999999</v>
      </c>
      <c r="AD2291">
        <v>-1.1093533292090001</v>
      </c>
      <c r="AE2291">
        <v>-0.54599999999999205</v>
      </c>
      <c r="AF2291">
        <v>-0.845062020606834</v>
      </c>
      <c r="AG2291">
        <v>-1.1093533292090001</v>
      </c>
      <c r="AH2291">
        <v>14.495109655787401</v>
      </c>
      <c r="AI2291">
        <v>94.369092985978497</v>
      </c>
      <c r="AJ2291">
        <v>93.336555842374693</v>
      </c>
      <c r="AK2291">
        <v>14.562039642886599</v>
      </c>
      <c r="AL2291">
        <v>68.045701136547393</v>
      </c>
      <c r="AM2291">
        <v>96.991376161777495</v>
      </c>
      <c r="AN2291">
        <v>0.99999994716960805</v>
      </c>
    </row>
    <row r="2292" spans="1:40" x14ac:dyDescent="0.25">
      <c r="A2292" t="str">
        <f>"20190304164135228"</f>
        <v>20190304164135228</v>
      </c>
      <c r="B2292" t="str">
        <f>"1551688895223385"</f>
        <v>1551688895223385</v>
      </c>
      <c r="C2292" t="s">
        <v>40</v>
      </c>
      <c r="D2292">
        <v>4.0093290000000001</v>
      </c>
      <c r="E2292">
        <v>0.53472399999999998</v>
      </c>
      <c r="F2292" t="s">
        <v>47</v>
      </c>
      <c r="G2292">
        <v>-292.50259999999997</v>
      </c>
      <c r="H2292" s="1">
        <v>2.715503E-6</v>
      </c>
      <c r="I2292">
        <v>283.86329999999998</v>
      </c>
      <c r="J2292">
        <v>-278.02300000000002</v>
      </c>
      <c r="K2292">
        <v>1.109497</v>
      </c>
      <c r="L2292">
        <v>284.41559999999998</v>
      </c>
      <c r="M2292">
        <v>-0.99971299999999996</v>
      </c>
      <c r="N2292">
        <v>-1.180316E-2</v>
      </c>
      <c r="O2292">
        <v>2.0845369999999998E-2</v>
      </c>
      <c r="P2292">
        <v>-0.92724839999999997</v>
      </c>
      <c r="Q2292">
        <v>0.3622261</v>
      </c>
      <c r="R2292">
        <v>-9.4881950000000007E-2</v>
      </c>
      <c r="S2292">
        <v>-3.3209529999999998</v>
      </c>
      <c r="T2292">
        <v>-0.24815290000000001</v>
      </c>
      <c r="U2292">
        <v>-0.1218262</v>
      </c>
      <c r="V2292">
        <v>-0.1137315</v>
      </c>
      <c r="W2292">
        <v>0.37326009999999998</v>
      </c>
      <c r="X2292">
        <v>0.92072909999999997</v>
      </c>
      <c r="Y2292">
        <v>-5.7258400000000001E-2</v>
      </c>
      <c r="Z2292">
        <v>-3.783504E-3</v>
      </c>
      <c r="AA2292">
        <v>0.99835220000000002</v>
      </c>
      <c r="AB2292">
        <v>47</v>
      </c>
      <c r="AC2292">
        <v>-14.4796</v>
      </c>
      <c r="AD2292">
        <v>-1.1094942844969999</v>
      </c>
      <c r="AE2292">
        <v>-0.55230000000000201</v>
      </c>
      <c r="AF2292">
        <v>-0.84905578222147304</v>
      </c>
      <c r="AG2292">
        <v>-1.1094942844969999</v>
      </c>
      <c r="AH2292">
        <v>14.380628759923599</v>
      </c>
      <c r="AI2292">
        <v>94.404105118917997</v>
      </c>
      <c r="AJ2292">
        <v>93.378913735397205</v>
      </c>
      <c r="AK2292">
        <v>14.4483340499657</v>
      </c>
      <c r="AL2292">
        <v>68.083183219756506</v>
      </c>
      <c r="AM2292">
        <v>97.041694452195102</v>
      </c>
      <c r="AN2292">
        <v>1.00000001596553</v>
      </c>
    </row>
    <row r="2293" spans="1:40" x14ac:dyDescent="0.25">
      <c r="A2293" t="str">
        <f>"20190304164135241"</f>
        <v>20190304164135241</v>
      </c>
      <c r="B2293" t="str">
        <f>"1551688895233146"</f>
        <v>1551688895233146</v>
      </c>
      <c r="C2293" t="s">
        <v>40</v>
      </c>
      <c r="D2293">
        <v>3.987133</v>
      </c>
      <c r="E2293">
        <v>0.53480569999999905</v>
      </c>
      <c r="F2293" t="s">
        <v>47</v>
      </c>
      <c r="G2293">
        <v>-292.75450000000001</v>
      </c>
      <c r="H2293" s="1">
        <v>2.758918E-6</v>
      </c>
      <c r="I2293">
        <v>283.87779999999998</v>
      </c>
      <c r="J2293">
        <v>-278.30799999999999</v>
      </c>
      <c r="K2293">
        <v>1.1096010000000001</v>
      </c>
      <c r="L2293">
        <v>284.42160000000001</v>
      </c>
      <c r="M2293">
        <v>-0.9997123</v>
      </c>
      <c r="N2293">
        <v>-1.195417E-2</v>
      </c>
      <c r="O2293">
        <v>2.079659E-2</v>
      </c>
      <c r="P2293">
        <v>-0.92733880000000002</v>
      </c>
      <c r="Q2293">
        <v>0.36184769999999999</v>
      </c>
      <c r="R2293">
        <v>-9.5441860000000003E-2</v>
      </c>
      <c r="S2293">
        <v>-3.3206479999999998</v>
      </c>
      <c r="T2293">
        <v>-0.25009209999999998</v>
      </c>
      <c r="U2293">
        <v>-0.1212158</v>
      </c>
      <c r="V2293">
        <v>-0.1143449</v>
      </c>
      <c r="W2293">
        <v>0.37299280000000001</v>
      </c>
      <c r="X2293">
        <v>0.92076150000000001</v>
      </c>
      <c r="Y2293">
        <v>-5.7027040000000001E-2</v>
      </c>
      <c r="Z2293">
        <v>-3.8006490000000001E-3</v>
      </c>
      <c r="AA2293">
        <v>0.99836539999999996</v>
      </c>
      <c r="AB2293">
        <v>47</v>
      </c>
      <c r="AC2293">
        <v>-14.4465</v>
      </c>
      <c r="AD2293">
        <v>-1.109598241082</v>
      </c>
      <c r="AE2293">
        <v>-0.54380000000003204</v>
      </c>
      <c r="AF2293">
        <v>-0.83919802660895104</v>
      </c>
      <c r="AG2293">
        <v>-1.109598241082</v>
      </c>
      <c r="AH2293">
        <v>14.3475433591822</v>
      </c>
      <c r="AI2293">
        <v>94.4147747195683</v>
      </c>
      <c r="AJ2293">
        <v>93.347457015925897</v>
      </c>
      <c r="AK2293">
        <v>14.4148347901767</v>
      </c>
      <c r="AL2293">
        <v>68.099691601798298</v>
      </c>
      <c r="AM2293">
        <v>97.079042244960903</v>
      </c>
      <c r="AN2293">
        <v>1.00000006244504</v>
      </c>
    </row>
    <row r="2294" spans="1:40" x14ac:dyDescent="0.25">
      <c r="A2294" t="str">
        <f>"20190304164135253"</f>
        <v>20190304164135253</v>
      </c>
      <c r="B2294" t="str">
        <f>"1551688895242904"</f>
        <v>1551688895242904</v>
      </c>
      <c r="C2294" t="s">
        <v>40</v>
      </c>
      <c r="D2294">
        <v>4.0038390000000001</v>
      </c>
      <c r="E2294">
        <v>0.53488199999999997</v>
      </c>
      <c r="F2294" t="s">
        <v>47</v>
      </c>
      <c r="G2294">
        <v>-292.98039999999997</v>
      </c>
      <c r="H2294" s="1">
        <v>2.7985099999999998E-6</v>
      </c>
      <c r="I2294">
        <v>283.88339999999999</v>
      </c>
      <c r="J2294">
        <v>-278.55020000000002</v>
      </c>
      <c r="K2294">
        <v>1.109694</v>
      </c>
      <c r="L2294">
        <v>284.42649999999998</v>
      </c>
      <c r="M2294">
        <v>-0.99971339999999997</v>
      </c>
      <c r="N2294">
        <v>-1.2067980000000001E-2</v>
      </c>
      <c r="O2294">
        <v>2.0682599999999999E-2</v>
      </c>
      <c r="P2294">
        <v>-0.92739000000000005</v>
      </c>
      <c r="Q2294">
        <v>0.36164069999999998</v>
      </c>
      <c r="R2294">
        <v>-9.5730709999999997E-2</v>
      </c>
      <c r="S2294">
        <v>-3.3204959999999999</v>
      </c>
      <c r="T2294">
        <v>-0.25111090000000003</v>
      </c>
      <c r="U2294">
        <v>-0.12179570000000001</v>
      </c>
      <c r="V2294">
        <v>-0.11461109999999999</v>
      </c>
      <c r="W2294">
        <v>0.37286629999999998</v>
      </c>
      <c r="X2294">
        <v>0.92077960000000003</v>
      </c>
      <c r="Y2294">
        <v>-5.7087110000000003E-2</v>
      </c>
      <c r="Z2294">
        <v>-3.8121639999999998E-3</v>
      </c>
      <c r="AA2294">
        <v>0.99836190000000002</v>
      </c>
      <c r="AB2294">
        <v>47</v>
      </c>
      <c r="AC2294">
        <v>-14.4301999999999</v>
      </c>
      <c r="AD2294">
        <v>-1.10969120149</v>
      </c>
      <c r="AE2294">
        <v>-0.54309999999998104</v>
      </c>
      <c r="AF2294">
        <v>-0.83651962439925898</v>
      </c>
      <c r="AG2294">
        <v>-1.10969120149</v>
      </c>
      <c r="AH2294">
        <v>14.331248399596101</v>
      </c>
      <c r="AI2294">
        <v>94.420174220339007</v>
      </c>
      <c r="AJ2294">
        <v>93.340582808655697</v>
      </c>
      <c r="AK2294">
        <v>14.3984672911944</v>
      </c>
      <c r="AL2294">
        <v>68.107502217371007</v>
      </c>
      <c r="AM2294">
        <v>97.095216732359802</v>
      </c>
      <c r="AN2294">
        <v>1.00000002684752</v>
      </c>
    </row>
    <row r="2295" spans="1:40" x14ac:dyDescent="0.25">
      <c r="A2295" t="str">
        <f>"20190304164135264"</f>
        <v>20190304164135264</v>
      </c>
      <c r="B2295" t="str">
        <f>"1551688895253640"</f>
        <v>1551688895253640</v>
      </c>
      <c r="C2295" t="s">
        <v>40</v>
      </c>
      <c r="D2295">
        <v>4.0120610000000001</v>
      </c>
      <c r="E2295">
        <v>0.53495789999999999</v>
      </c>
      <c r="F2295" t="s">
        <v>47</v>
      </c>
      <c r="G2295">
        <v>-293.19720000000001</v>
      </c>
      <c r="H2295" s="1">
        <v>2.8363350000000002E-6</v>
      </c>
      <c r="I2295">
        <v>283.89049999999997</v>
      </c>
      <c r="J2295">
        <v>-278.78829999999999</v>
      </c>
      <c r="K2295">
        <v>1.1097809999999999</v>
      </c>
      <c r="L2295">
        <v>284.4314</v>
      </c>
      <c r="M2295">
        <v>-0.99971460000000001</v>
      </c>
      <c r="N2295">
        <v>-1.2176599999999999E-2</v>
      </c>
      <c r="O2295">
        <v>2.05521E-2</v>
      </c>
      <c r="P2295">
        <v>-0.92748459999999999</v>
      </c>
      <c r="Q2295">
        <v>0.3613577</v>
      </c>
      <c r="R2295">
        <v>-9.5880259999999995E-2</v>
      </c>
      <c r="S2295">
        <v>-3.3204349999999998</v>
      </c>
      <c r="T2295">
        <v>-0.25156339999999999</v>
      </c>
      <c r="U2295">
        <v>-0.121521</v>
      </c>
      <c r="V2295">
        <v>-0.1147223</v>
      </c>
      <c r="W2295">
        <v>0.37265999999999999</v>
      </c>
      <c r="X2295">
        <v>0.92084920000000003</v>
      </c>
      <c r="Y2295">
        <v>-5.6875080000000001E-2</v>
      </c>
      <c r="Z2295">
        <v>-3.8021880000000002E-3</v>
      </c>
      <c r="AA2295">
        <v>0.99837399999999998</v>
      </c>
      <c r="AB2295">
        <v>47</v>
      </c>
      <c r="AC2295">
        <v>-14.408899999999999</v>
      </c>
      <c r="AD2295">
        <v>-1.1097781636649999</v>
      </c>
      <c r="AE2295">
        <v>-0.54090000000002103</v>
      </c>
      <c r="AF2295">
        <v>-0.83201219528616999</v>
      </c>
      <c r="AG2295">
        <v>-1.1097781636649999</v>
      </c>
      <c r="AH2295">
        <v>14.3099695424345</v>
      </c>
      <c r="AI2295">
        <v>94.4271248375684</v>
      </c>
      <c r="AJ2295">
        <v>93.327552772600299</v>
      </c>
      <c r="AK2295">
        <v>14.3770330795702</v>
      </c>
      <c r="AL2295">
        <v>68.120239009922898</v>
      </c>
      <c r="AM2295">
        <v>97.101499207161993</v>
      </c>
      <c r="AN2295">
        <v>0.99999996542896397</v>
      </c>
    </row>
    <row r="2296" spans="1:40" x14ac:dyDescent="0.25">
      <c r="A2296" t="str">
        <f>"20190304164135277"</f>
        <v>20190304164135277</v>
      </c>
      <c r="B2296" t="str">
        <f>"1551688895273160"</f>
        <v>1551688895273160</v>
      </c>
      <c r="C2296" t="s">
        <v>40</v>
      </c>
      <c r="D2296">
        <v>4.036232</v>
      </c>
      <c r="E2296">
        <v>0.53509989999999996</v>
      </c>
      <c r="F2296" t="s">
        <v>47</v>
      </c>
      <c r="G2296">
        <v>-293.39049999999997</v>
      </c>
      <c r="H2296" s="1">
        <v>2.8697779999999999E-6</v>
      </c>
      <c r="I2296">
        <v>283.90010000000001</v>
      </c>
      <c r="J2296">
        <v>-279.05529999999999</v>
      </c>
      <c r="K2296">
        <v>1.109885</v>
      </c>
      <c r="L2296">
        <v>284.43680000000001</v>
      </c>
      <c r="M2296">
        <v>-0.99971759999999998</v>
      </c>
      <c r="N2296">
        <v>-1.2287090000000001E-2</v>
      </c>
      <c r="O2296">
        <v>2.034161E-2</v>
      </c>
      <c r="P2296">
        <v>-0.92761490000000002</v>
      </c>
      <c r="Q2296">
        <v>0.36104209999999998</v>
      </c>
      <c r="R2296">
        <v>-9.5807630000000005E-2</v>
      </c>
      <c r="S2296">
        <v>-3.3203740000000002</v>
      </c>
      <c r="T2296">
        <v>-0.25235210000000002</v>
      </c>
      <c r="U2296">
        <v>-0.1208191</v>
      </c>
      <c r="V2296">
        <v>-0.11454979999999999</v>
      </c>
      <c r="W2296">
        <v>0.37241980000000002</v>
      </c>
      <c r="X2296">
        <v>0.92096789999999995</v>
      </c>
      <c r="Y2296">
        <v>-5.6455100000000001E-2</v>
      </c>
      <c r="Z2296">
        <v>-3.7828319999999999E-3</v>
      </c>
      <c r="AA2296">
        <v>0.99839789999999995</v>
      </c>
      <c r="AB2296">
        <v>47</v>
      </c>
      <c r="AC2296">
        <v>-14.335199999999899</v>
      </c>
      <c r="AD2296">
        <v>-1.1098821302220001</v>
      </c>
      <c r="AE2296">
        <v>-0.53669999999999596</v>
      </c>
      <c r="AF2296">
        <v>-0.82328380067983598</v>
      </c>
      <c r="AG2296">
        <v>-1.1098821302220001</v>
      </c>
      <c r="AH2296">
        <v>14.2360977515903</v>
      </c>
      <c r="AI2296">
        <v>94.450500350850106</v>
      </c>
      <c r="AJ2296">
        <v>93.309769815465899</v>
      </c>
      <c r="AK2296">
        <v>14.303010653435299</v>
      </c>
      <c r="AL2296">
        <v>68.135070193868103</v>
      </c>
      <c r="AM2296">
        <v>97.090025333188294</v>
      </c>
      <c r="AN2296">
        <v>1.0000000184712401</v>
      </c>
    </row>
    <row r="2297" spans="1:40" x14ac:dyDescent="0.25">
      <c r="A2297" t="str">
        <f>"20190304164135296"</f>
        <v>20190304164135296</v>
      </c>
      <c r="B2297" t="str">
        <f>"1551688895282920"</f>
        <v>1551688895282920</v>
      </c>
      <c r="C2297" t="s">
        <v>40</v>
      </c>
      <c r="D2297">
        <v>4.0242969999999998</v>
      </c>
      <c r="E2297">
        <v>0.53516359999999996</v>
      </c>
      <c r="F2297" t="s">
        <v>47</v>
      </c>
      <c r="G2297">
        <v>-293.62139999999999</v>
      </c>
      <c r="H2297" s="1">
        <v>2.9096640000000001E-6</v>
      </c>
      <c r="I2297">
        <v>283.91239999999999</v>
      </c>
      <c r="J2297">
        <v>-279.44589999999999</v>
      </c>
      <c r="K2297">
        <v>1.1100350000000001</v>
      </c>
      <c r="L2297">
        <v>284.44450000000001</v>
      </c>
      <c r="M2297">
        <v>-0.99972369999999999</v>
      </c>
      <c r="N2297">
        <v>-1.243442E-2</v>
      </c>
      <c r="O2297">
        <v>1.9952500000000001E-2</v>
      </c>
      <c r="P2297">
        <v>-0.92800780000000005</v>
      </c>
      <c r="Q2297">
        <v>0.36011979999999999</v>
      </c>
      <c r="R2297">
        <v>-9.5476889999999995E-2</v>
      </c>
      <c r="S2297">
        <v>-3.3202210000000001</v>
      </c>
      <c r="T2297">
        <v>-0.2529883</v>
      </c>
      <c r="U2297">
        <v>-0.1195374</v>
      </c>
      <c r="V2297">
        <v>-0.1140005</v>
      </c>
      <c r="W2297">
        <v>0.37159789999999998</v>
      </c>
      <c r="X2297">
        <v>0.92136790000000002</v>
      </c>
      <c r="Y2297">
        <v>-5.568538E-2</v>
      </c>
      <c r="Z2297">
        <v>-3.7346279999999998E-3</v>
      </c>
      <c r="AA2297">
        <v>0.99844140000000003</v>
      </c>
      <c r="AB2297">
        <v>47</v>
      </c>
      <c r="AC2297">
        <v>-14.1755</v>
      </c>
      <c r="AD2297">
        <v>-1.1100320903359999</v>
      </c>
      <c r="AE2297">
        <v>-0.53210000000001401</v>
      </c>
      <c r="AF2297">
        <v>-0.80989337337018896</v>
      </c>
      <c r="AG2297">
        <v>-1.1100320903359999</v>
      </c>
      <c r="AH2297">
        <v>14.075869856857899</v>
      </c>
      <c r="AI2297">
        <v>94.501635274079703</v>
      </c>
      <c r="AJ2297">
        <v>93.293037410599695</v>
      </c>
      <c r="AK2297">
        <v>14.1427794561396</v>
      </c>
      <c r="AL2297">
        <v>68.185801374564306</v>
      </c>
      <c r="AM2297">
        <v>97.053337563944694</v>
      </c>
      <c r="AN2297">
        <v>0.99999996021753401</v>
      </c>
    </row>
    <row r="2298" spans="1:40" x14ac:dyDescent="0.25">
      <c r="A2298" t="str">
        <f>"20190304164135320"</f>
        <v>20190304164135320</v>
      </c>
      <c r="B2298" t="str">
        <f>"1551688895313177"</f>
        <v>1551688895313177</v>
      </c>
      <c r="C2298" t="s">
        <v>40</v>
      </c>
      <c r="D2298">
        <v>4.0507759999999999</v>
      </c>
      <c r="E2298">
        <v>0.53535699999999997</v>
      </c>
      <c r="F2298" t="s">
        <v>47</v>
      </c>
      <c r="G2298">
        <v>-293.84190000000001</v>
      </c>
      <c r="H2298" s="1">
        <v>2.9468209999999998E-6</v>
      </c>
      <c r="I2298">
        <v>283.93490000000003</v>
      </c>
      <c r="J2298">
        <v>-279.94369999999998</v>
      </c>
      <c r="K2298">
        <v>1.1102190000000001</v>
      </c>
      <c r="L2298">
        <v>284.45409999999998</v>
      </c>
      <c r="M2298">
        <v>-0.99973400000000001</v>
      </c>
      <c r="N2298">
        <v>-1.258461E-2</v>
      </c>
      <c r="O2298">
        <v>1.9328689999999999E-2</v>
      </c>
      <c r="P2298">
        <v>-0.92854329999999996</v>
      </c>
      <c r="Q2298">
        <v>0.35889969999999999</v>
      </c>
      <c r="R2298">
        <v>-9.4860299999999995E-2</v>
      </c>
      <c r="S2298">
        <v>-3.3199770000000002</v>
      </c>
      <c r="T2298">
        <v>-0.25599240000000001</v>
      </c>
      <c r="U2298">
        <v>-0.11752319999999999</v>
      </c>
      <c r="V2298">
        <v>-0.1129849</v>
      </c>
      <c r="W2298">
        <v>0.37047229999999998</v>
      </c>
      <c r="X2298">
        <v>0.92194620000000005</v>
      </c>
      <c r="Y2298">
        <v>-5.4460090000000003E-2</v>
      </c>
      <c r="Z2298">
        <v>-3.6841339999999999E-3</v>
      </c>
      <c r="AA2298">
        <v>0.99850919999999999</v>
      </c>
      <c r="AB2298">
        <v>47</v>
      </c>
      <c r="AC2298">
        <v>-13.898199999999999</v>
      </c>
      <c r="AD2298">
        <v>-1.110216053179</v>
      </c>
      <c r="AE2298">
        <v>-0.51919999999995503</v>
      </c>
      <c r="AF2298">
        <v>-0.782770256805283</v>
      </c>
      <c r="AG2298">
        <v>-1.110216053179</v>
      </c>
      <c r="AH2298">
        <v>13.7976449985642</v>
      </c>
      <c r="AI2298">
        <v>94.592992392565904</v>
      </c>
      <c r="AJ2298">
        <v>93.247032969312997</v>
      </c>
      <c r="AK2298">
        <v>13.864354166930299</v>
      </c>
      <c r="AL2298">
        <v>68.255253047966406</v>
      </c>
      <c r="AM2298">
        <v>96.986783951713704</v>
      </c>
      <c r="AN2298">
        <v>1.0000000541948599</v>
      </c>
    </row>
    <row r="2299" spans="1:40" x14ac:dyDescent="0.25">
      <c r="A2299" t="str">
        <f>"20190304164135341"</f>
        <v>20190304164135341</v>
      </c>
      <c r="B2299" t="str">
        <f>"1551688895333204"</f>
        <v>1551688895333204</v>
      </c>
      <c r="C2299" t="s">
        <v>40</v>
      </c>
      <c r="D2299">
        <v>4.0589180000000002</v>
      </c>
      <c r="E2299">
        <v>0.5354797</v>
      </c>
      <c r="F2299" t="s">
        <v>47</v>
      </c>
      <c r="G2299">
        <v>-294.1259</v>
      </c>
      <c r="H2299" s="1">
        <v>2.9946020000000001E-6</v>
      </c>
      <c r="I2299">
        <v>283.96449999999999</v>
      </c>
      <c r="J2299">
        <v>-280.40969999999999</v>
      </c>
      <c r="K2299">
        <v>1.110053</v>
      </c>
      <c r="L2299">
        <v>284.46280000000002</v>
      </c>
      <c r="M2299">
        <v>-0.99975720000000001</v>
      </c>
      <c r="N2299">
        <v>-1.1716259999999999E-2</v>
      </c>
      <c r="O2299">
        <v>1.866456E-2</v>
      </c>
      <c r="P2299">
        <v>-0.92862310000000003</v>
      </c>
      <c r="Q2299">
        <v>0.35881489999999999</v>
      </c>
      <c r="R2299">
        <v>-9.4401700000000005E-2</v>
      </c>
      <c r="S2299">
        <v>-3.3195800000000002</v>
      </c>
      <c r="T2299">
        <v>-0.25986429999999999</v>
      </c>
      <c r="U2299">
        <v>-0.1145935</v>
      </c>
      <c r="V2299">
        <v>-0.1120033</v>
      </c>
      <c r="W2299">
        <v>0.36956149999999999</v>
      </c>
      <c r="X2299">
        <v>0.92243129999999995</v>
      </c>
      <c r="Y2299">
        <v>-5.2921360000000001E-2</v>
      </c>
      <c r="Z2299">
        <v>-3.6184580000000002E-3</v>
      </c>
      <c r="AA2299">
        <v>0.99859209999999998</v>
      </c>
      <c r="AB2299">
        <v>47</v>
      </c>
      <c r="AC2299">
        <v>-13.716200000000001</v>
      </c>
      <c r="AD2299">
        <v>-1.110050005398</v>
      </c>
      <c r="AE2299">
        <v>-0.498300000000028</v>
      </c>
      <c r="AF2299">
        <v>-0.74933617015482301</v>
      </c>
      <c r="AG2299">
        <v>-1.110050005398</v>
      </c>
      <c r="AH2299">
        <v>13.615450383346699</v>
      </c>
      <c r="AI2299">
        <v>94.653929947118399</v>
      </c>
      <c r="AJ2299">
        <v>93.150136760016906</v>
      </c>
      <c r="AK2299">
        <v>13.6811624086465</v>
      </c>
      <c r="AL2299">
        <v>68.311422970143397</v>
      </c>
      <c r="AM2299">
        <v>96.923068486167494</v>
      </c>
      <c r="AN2299">
        <v>0.99999997235641402</v>
      </c>
    </row>
    <row r="2300" spans="1:40" x14ac:dyDescent="0.25">
      <c r="A2300" t="str">
        <f>"20190304164135354"</f>
        <v>20190304164135354</v>
      </c>
      <c r="B2300" t="str">
        <f>"1551688895343941"</f>
        <v>1551688895343941</v>
      </c>
      <c r="C2300" t="s">
        <v>40</v>
      </c>
      <c r="D2300">
        <v>4.042281</v>
      </c>
      <c r="E2300">
        <v>0.53553479999999998</v>
      </c>
      <c r="F2300" t="s">
        <v>47</v>
      </c>
      <c r="G2300">
        <v>-294.5985</v>
      </c>
      <c r="H2300" s="1">
        <v>3.07662E-6</v>
      </c>
      <c r="I2300">
        <v>283.9853</v>
      </c>
      <c r="J2300">
        <v>-280.68009999999998</v>
      </c>
      <c r="K2300">
        <v>1.1098870000000001</v>
      </c>
      <c r="L2300">
        <v>284.46769999999998</v>
      </c>
      <c r="M2300">
        <v>-0.99977360000000004</v>
      </c>
      <c r="N2300">
        <v>-1.092424E-2</v>
      </c>
      <c r="O2300">
        <v>1.8266560000000001E-2</v>
      </c>
      <c r="P2300">
        <v>-0.92846980000000001</v>
      </c>
      <c r="Q2300">
        <v>0.35928009999999999</v>
      </c>
      <c r="R2300">
        <v>-9.4136570000000003E-2</v>
      </c>
      <c r="S2300">
        <v>-3.3195800000000002</v>
      </c>
      <c r="T2300">
        <v>-0.25970409999999999</v>
      </c>
      <c r="U2300">
        <v>-0.1117249</v>
      </c>
      <c r="V2300">
        <v>-0.1114011</v>
      </c>
      <c r="W2300">
        <v>0.36928490000000003</v>
      </c>
      <c r="X2300">
        <v>0.92261499999999996</v>
      </c>
      <c r="Y2300">
        <v>-5.1667869999999998E-2</v>
      </c>
      <c r="Z2300">
        <v>-3.5275409999999999E-3</v>
      </c>
      <c r="AA2300">
        <v>0.99865809999999999</v>
      </c>
      <c r="AB2300">
        <v>47</v>
      </c>
      <c r="AC2300">
        <v>-13.9184</v>
      </c>
      <c r="AD2300">
        <v>-1.10988392338</v>
      </c>
      <c r="AE2300">
        <v>-0.48239999999998401</v>
      </c>
      <c r="AF2300">
        <v>-0.73192732142659001</v>
      </c>
      <c r="AG2300">
        <v>-1.10988392338</v>
      </c>
      <c r="AH2300">
        <v>13.8194949209865</v>
      </c>
      <c r="AI2300">
        <v>94.585336276534207</v>
      </c>
      <c r="AJ2300">
        <v>93.031746120920104</v>
      </c>
      <c r="AK2300">
        <v>13.8832993124257</v>
      </c>
      <c r="AL2300">
        <v>68.328477800920396</v>
      </c>
      <c r="AM2300">
        <v>96.884846160349397</v>
      </c>
      <c r="AN2300">
        <v>0.99999999033710996</v>
      </c>
    </row>
    <row r="2301" spans="1:40" x14ac:dyDescent="0.25">
      <c r="A2301" t="str">
        <f>"20190304164135368"</f>
        <v>20190304164135368</v>
      </c>
      <c r="B2301" t="str">
        <f>"1551688895363459"</f>
        <v>1551688895363459</v>
      </c>
      <c r="C2301" t="s">
        <v>40</v>
      </c>
      <c r="D2301">
        <v>4.0371579999999998</v>
      </c>
      <c r="E2301">
        <v>0.53563719999999904</v>
      </c>
      <c r="F2301" t="s">
        <v>47</v>
      </c>
      <c r="G2301">
        <v>-294.97800000000001</v>
      </c>
      <c r="H2301" s="1">
        <v>3.1432179999999999E-6</v>
      </c>
      <c r="I2301">
        <v>283.99340000000001</v>
      </c>
      <c r="J2301">
        <v>-280.97239999999999</v>
      </c>
      <c r="K2301">
        <v>1.1097170000000001</v>
      </c>
      <c r="L2301">
        <v>284.47289999999998</v>
      </c>
      <c r="M2301">
        <v>-0.99979050000000003</v>
      </c>
      <c r="N2301">
        <v>-1.005612E-2</v>
      </c>
      <c r="O2301">
        <v>1.7824699999999999E-2</v>
      </c>
      <c r="P2301">
        <v>-0.92822709999999997</v>
      </c>
      <c r="Q2301">
        <v>0.35997190000000001</v>
      </c>
      <c r="R2301">
        <v>-9.3886839999999999E-2</v>
      </c>
      <c r="S2301">
        <v>-3.3196720000000002</v>
      </c>
      <c r="T2301">
        <v>-0.25769199999999998</v>
      </c>
      <c r="U2301">
        <v>-0.11010739999999899</v>
      </c>
      <c r="V2301">
        <v>-0.1107716</v>
      </c>
      <c r="W2301">
        <v>0.36916399999999999</v>
      </c>
      <c r="X2301">
        <v>0.92273919999999998</v>
      </c>
      <c r="Y2301">
        <v>-5.0747519999999997E-2</v>
      </c>
      <c r="Z2301">
        <v>-3.4241150000000001E-3</v>
      </c>
      <c r="AA2301">
        <v>0.99870559999999997</v>
      </c>
      <c r="AB2301">
        <v>47</v>
      </c>
      <c r="AC2301">
        <v>-14.005599999999999</v>
      </c>
      <c r="AD2301">
        <v>-1.109713856782</v>
      </c>
      <c r="AE2301">
        <v>-0.479499999999973</v>
      </c>
      <c r="AF2301">
        <v>-0.72453876827413899</v>
      </c>
      <c r="AG2301">
        <v>-1.109713856782</v>
      </c>
      <c r="AH2301">
        <v>13.907618035600599</v>
      </c>
      <c r="AI2301">
        <v>94.555915622253096</v>
      </c>
      <c r="AJ2301">
        <v>92.982215813350194</v>
      </c>
      <c r="AK2301">
        <v>13.9706213424754</v>
      </c>
      <c r="AL2301">
        <v>68.335932186488705</v>
      </c>
      <c r="AM2301">
        <v>96.845399135151496</v>
      </c>
      <c r="AN2301">
        <v>1.0000000187395901</v>
      </c>
    </row>
    <row r="2302" spans="1:40" x14ac:dyDescent="0.25">
      <c r="A2302" t="str">
        <f>"20190304164135382"</f>
        <v>20190304164135382</v>
      </c>
      <c r="B2302" t="str">
        <f>"1551688895373220"</f>
        <v>1551688895373220</v>
      </c>
      <c r="C2302" t="s">
        <v>40</v>
      </c>
      <c r="D2302">
        <v>4.0591989999999996</v>
      </c>
      <c r="E2302">
        <v>0.53568859999999996</v>
      </c>
      <c r="F2302" t="s">
        <v>47</v>
      </c>
      <c r="G2302">
        <v>-295.42689999999999</v>
      </c>
      <c r="H2302" s="1">
        <v>3.2222050000000002E-6</v>
      </c>
      <c r="I2302">
        <v>284.00080000000003</v>
      </c>
      <c r="J2302">
        <v>-281.29930000000002</v>
      </c>
      <c r="K2302">
        <v>1.1095459999999999</v>
      </c>
      <c r="L2302">
        <v>284.47859999999997</v>
      </c>
      <c r="M2302">
        <v>-0.99980880000000005</v>
      </c>
      <c r="N2302">
        <v>-9.0880289999999992E-3</v>
      </c>
      <c r="O2302">
        <v>1.7312580000000001E-2</v>
      </c>
      <c r="P2302">
        <v>-0.92793720000000002</v>
      </c>
      <c r="Q2302">
        <v>0.36087580000000002</v>
      </c>
      <c r="R2302">
        <v>-9.3280619999999995E-2</v>
      </c>
      <c r="S2302">
        <v>-3.3198240000000001</v>
      </c>
      <c r="T2302">
        <v>-0.2548723</v>
      </c>
      <c r="U2302">
        <v>-0.108429</v>
      </c>
      <c r="V2302">
        <v>-0.1097204</v>
      </c>
      <c r="W2302">
        <v>0.36916310000000002</v>
      </c>
      <c r="X2302">
        <v>0.92286520000000005</v>
      </c>
      <c r="Y2302">
        <v>-4.9739659999999998E-2</v>
      </c>
      <c r="Z2302">
        <v>-3.302255E-3</v>
      </c>
      <c r="AA2302">
        <v>0.9987568</v>
      </c>
      <c r="AB2302">
        <v>48</v>
      </c>
      <c r="AC2302">
        <v>-14.1275999999999</v>
      </c>
      <c r="AD2302">
        <v>-1.109542777795</v>
      </c>
      <c r="AE2302">
        <v>-0.47779999999994499</v>
      </c>
      <c r="AF2302">
        <v>-0.71790067300040095</v>
      </c>
      <c r="AG2302">
        <v>-1.109542777795</v>
      </c>
      <c r="AH2302">
        <v>14.0307658992136</v>
      </c>
      <c r="AI2302">
        <v>94.515616637107399</v>
      </c>
      <c r="AJ2302">
        <v>92.929051801736506</v>
      </c>
      <c r="AK2302">
        <v>14.0928655095615</v>
      </c>
      <c r="AL2302">
        <v>68.335988815232298</v>
      </c>
      <c r="AM2302">
        <v>96.780128252489604</v>
      </c>
      <c r="AN2302">
        <v>1.0000000689744</v>
      </c>
    </row>
    <row r="2303" spans="1:40" x14ac:dyDescent="0.25">
      <c r="A2303" t="str">
        <f>"20190304164135394"</f>
        <v>20190304164135394</v>
      </c>
      <c r="B2303" t="str">
        <f>"1551688895382979"</f>
        <v>1551688895382979</v>
      </c>
      <c r="C2303" t="s">
        <v>40</v>
      </c>
      <c r="D2303">
        <v>4.0699920000000001</v>
      </c>
      <c r="E2303">
        <v>0.53573760000000004</v>
      </c>
      <c r="F2303" t="s">
        <v>47</v>
      </c>
      <c r="G2303">
        <v>-295.95060000000001</v>
      </c>
      <c r="H2303" s="1">
        <v>3.3139020000000002E-6</v>
      </c>
      <c r="I2303">
        <v>284.01440000000002</v>
      </c>
      <c r="J2303">
        <v>-281.55650000000003</v>
      </c>
      <c r="K2303">
        <v>1.1094619999999999</v>
      </c>
      <c r="L2303">
        <v>284.48309999999998</v>
      </c>
      <c r="M2303">
        <v>-0.99982210000000005</v>
      </c>
      <c r="N2303">
        <v>-8.398094E-3</v>
      </c>
      <c r="O2303">
        <v>1.688924E-2</v>
      </c>
      <c r="P2303">
        <v>-0.92762279999999997</v>
      </c>
      <c r="Q2303">
        <v>0.36168270000000002</v>
      </c>
      <c r="R2303">
        <v>-9.3282400000000001E-2</v>
      </c>
      <c r="S2303">
        <v>-3.32016</v>
      </c>
      <c r="T2303">
        <v>-0.25143710000000002</v>
      </c>
      <c r="U2303">
        <v>-0.1051941</v>
      </c>
      <c r="V2303">
        <v>-0.10935830000000001</v>
      </c>
      <c r="W2303">
        <v>0.36932130000000002</v>
      </c>
      <c r="X2303">
        <v>0.92284480000000002</v>
      </c>
      <c r="Y2303">
        <v>-4.8352480000000003E-2</v>
      </c>
      <c r="Z2303">
        <v>-3.166515E-3</v>
      </c>
      <c r="AA2303">
        <v>0.99882530000000003</v>
      </c>
      <c r="AB2303">
        <v>48</v>
      </c>
      <c r="AC2303">
        <v>-14.3940999999999</v>
      </c>
      <c r="AD2303">
        <v>-1.109458686098</v>
      </c>
      <c r="AE2303">
        <v>-0.46869999999995499</v>
      </c>
      <c r="AF2303">
        <v>-0.70754809511632</v>
      </c>
      <c r="AG2303">
        <v>-1.109458686098</v>
      </c>
      <c r="AH2303">
        <v>14.2992697597111</v>
      </c>
      <c r="AI2303">
        <v>94.431204510068298</v>
      </c>
      <c r="AJ2303">
        <v>92.832765802687803</v>
      </c>
      <c r="AK2303">
        <v>14.359687968199299</v>
      </c>
      <c r="AL2303">
        <v>68.326233641597796</v>
      </c>
      <c r="AM2303">
        <v>96.758107721989006</v>
      </c>
      <c r="AN2303">
        <v>0.99999999264980999</v>
      </c>
    </row>
    <row r="2304" spans="1:40" x14ac:dyDescent="0.25">
      <c r="A2304" t="str">
        <f>"20190304164135407"</f>
        <v>20190304164135407</v>
      </c>
      <c r="B2304" t="str">
        <f>"1551688895393715"</f>
        <v>1551688895393715</v>
      </c>
      <c r="C2304" t="s">
        <v>40</v>
      </c>
      <c r="D2304">
        <v>4.0794220000000001</v>
      </c>
      <c r="E2304">
        <v>0.53578239999999999</v>
      </c>
      <c r="F2304" t="s">
        <v>47</v>
      </c>
      <c r="G2304">
        <v>-296.39670000000001</v>
      </c>
      <c r="H2304" s="1">
        <v>3.3928200000000001E-6</v>
      </c>
      <c r="I2304">
        <v>284.01679999999999</v>
      </c>
      <c r="J2304">
        <v>-281.80549999999999</v>
      </c>
      <c r="K2304">
        <v>1.10941</v>
      </c>
      <c r="L2304">
        <v>284.4873</v>
      </c>
      <c r="M2304">
        <v>-0.99983409999999995</v>
      </c>
      <c r="N2304">
        <v>-7.7814119999999997E-3</v>
      </c>
      <c r="O2304">
        <v>1.6473720000000001E-2</v>
      </c>
      <c r="P2304">
        <v>-0.92735889999999999</v>
      </c>
      <c r="Q2304">
        <v>0.36235109999999998</v>
      </c>
      <c r="R2304">
        <v>-9.3313110000000005E-2</v>
      </c>
      <c r="S2304">
        <v>-3.3203740000000002</v>
      </c>
      <c r="T2304">
        <v>-0.24823329999999999</v>
      </c>
      <c r="U2304">
        <v>-0.1043091</v>
      </c>
      <c r="V2304">
        <v>-0.1090378</v>
      </c>
      <c r="W2304">
        <v>0.36940820000000002</v>
      </c>
      <c r="X2304">
        <v>0.922848</v>
      </c>
      <c r="Y2304">
        <v>-4.7677520000000001E-2</v>
      </c>
      <c r="Z2304">
        <v>-3.0667250000000002E-3</v>
      </c>
      <c r="AA2304">
        <v>0.99885809999999997</v>
      </c>
      <c r="AB2304">
        <v>48</v>
      </c>
      <c r="AC2304">
        <v>-14.591200000000001</v>
      </c>
      <c r="AD2304">
        <v>-1.1094066071799999</v>
      </c>
      <c r="AE2304">
        <v>-0.47050000000001502</v>
      </c>
      <c r="AF2304">
        <v>-0.70673340108516003</v>
      </c>
      <c r="AG2304">
        <v>-1.1094066071799999</v>
      </c>
      <c r="AH2304">
        <v>14.497744985588399</v>
      </c>
      <c r="AI2304">
        <v>94.3707297951252</v>
      </c>
      <c r="AJ2304">
        <v>92.790834834703702</v>
      </c>
      <c r="AK2304">
        <v>14.5572959297878</v>
      </c>
      <c r="AL2304">
        <v>68.320876958075203</v>
      </c>
      <c r="AM2304">
        <v>96.738460756711106</v>
      </c>
      <c r="AN2304">
        <v>1.00000004558003</v>
      </c>
    </row>
    <row r="2305" spans="1:40" x14ac:dyDescent="0.25">
      <c r="A2305" t="str">
        <f>"20190304164135418"</f>
        <v>20190304164135418</v>
      </c>
      <c r="B2305" t="str">
        <f>"1551688895413236"</f>
        <v>1551688895413236</v>
      </c>
      <c r="C2305" t="s">
        <v>40</v>
      </c>
      <c r="D2305">
        <v>4.0722459999999998</v>
      </c>
      <c r="E2305">
        <v>0.53588459999999905</v>
      </c>
      <c r="F2305" t="s">
        <v>47</v>
      </c>
      <c r="G2305">
        <v>-296.80020000000002</v>
      </c>
      <c r="H2305" s="1">
        <v>3.464344E-6</v>
      </c>
      <c r="I2305">
        <v>284.01760000000002</v>
      </c>
      <c r="J2305">
        <v>-282.05619999999999</v>
      </c>
      <c r="K2305">
        <v>1.109394</v>
      </c>
      <c r="L2305">
        <v>284.4914</v>
      </c>
      <c r="M2305">
        <v>-0.99984510000000004</v>
      </c>
      <c r="N2305">
        <v>-7.238619E-3</v>
      </c>
      <c r="O2305">
        <v>1.6047220000000001E-2</v>
      </c>
      <c r="P2305">
        <v>-0.92720559999999996</v>
      </c>
      <c r="Q2305">
        <v>0.3627243</v>
      </c>
      <c r="R2305">
        <v>-9.3387600000000001E-2</v>
      </c>
      <c r="S2305">
        <v>-3.3204959999999999</v>
      </c>
      <c r="T2305">
        <v>-0.245672</v>
      </c>
      <c r="U2305">
        <v>-0.1040039</v>
      </c>
      <c r="V2305">
        <v>-0.10876189999999999</v>
      </c>
      <c r="W2305">
        <v>0.36926589999999998</v>
      </c>
      <c r="X2305">
        <v>0.92293749999999997</v>
      </c>
      <c r="Y2305">
        <v>-4.7165070000000003E-2</v>
      </c>
      <c r="Z2305">
        <v>-2.9824059999999999E-3</v>
      </c>
      <c r="AA2305">
        <v>0.99888270000000001</v>
      </c>
      <c r="AB2305">
        <v>48</v>
      </c>
      <c r="AC2305">
        <v>-14.744</v>
      </c>
      <c r="AD2305">
        <v>-1.1093905356559901</v>
      </c>
      <c r="AE2305">
        <v>-0.47379999999998201</v>
      </c>
      <c r="AF2305">
        <v>-0.70635044278270798</v>
      </c>
      <c r="AG2305">
        <v>-1.1093905356559901</v>
      </c>
      <c r="AH2305">
        <v>14.6516320862829</v>
      </c>
      <c r="AI2305">
        <v>94.325048546194296</v>
      </c>
      <c r="AJ2305">
        <v>92.760074021232498</v>
      </c>
      <c r="AK2305">
        <v>14.710540476148999</v>
      </c>
      <c r="AL2305">
        <v>68.329650400532401</v>
      </c>
      <c r="AM2305">
        <v>96.720920681969801</v>
      </c>
      <c r="AN2305">
        <v>1.0000000423503299</v>
      </c>
    </row>
    <row r="2306" spans="1:40" x14ac:dyDescent="0.25">
      <c r="A2306" t="str">
        <f>"20190304164135430"</f>
        <v>20190304164135430</v>
      </c>
      <c r="B2306" t="str">
        <f>"1551688895423459"</f>
        <v>1551688895423459</v>
      </c>
      <c r="C2306" t="s">
        <v>40</v>
      </c>
      <c r="D2306">
        <v>4.0748430000000004</v>
      </c>
      <c r="E2306">
        <v>0.53593970000000002</v>
      </c>
      <c r="F2306" t="s">
        <v>47</v>
      </c>
      <c r="G2306">
        <v>-297.1558</v>
      </c>
      <c r="H2306" s="1">
        <v>3.5269430000000002E-6</v>
      </c>
      <c r="I2306">
        <v>284.02289999999999</v>
      </c>
      <c r="J2306">
        <v>-282.31950000000001</v>
      </c>
      <c r="K2306">
        <v>1.109426</v>
      </c>
      <c r="L2306">
        <v>284.49560000000002</v>
      </c>
      <c r="M2306">
        <v>-0.9998553</v>
      </c>
      <c r="N2306">
        <v>-6.796313E-3</v>
      </c>
      <c r="O2306">
        <v>1.559753E-2</v>
      </c>
      <c r="P2306">
        <v>-0.9269463</v>
      </c>
      <c r="Q2306">
        <v>0.36337190000000003</v>
      </c>
      <c r="R2306">
        <v>-9.3443620000000005E-2</v>
      </c>
      <c r="S2306">
        <v>-3.320557</v>
      </c>
      <c r="T2306">
        <v>-0.24396780000000001</v>
      </c>
      <c r="U2306">
        <v>-0.1030273</v>
      </c>
      <c r="V2306">
        <v>-0.10845730000000001</v>
      </c>
      <c r="W2306">
        <v>0.36948710000000001</v>
      </c>
      <c r="X2306">
        <v>0.92288479999999995</v>
      </c>
      <c r="Y2306">
        <v>-4.6427589999999998E-2</v>
      </c>
      <c r="Z2306">
        <v>-2.8992499999999999E-3</v>
      </c>
      <c r="AA2306">
        <v>0.99891750000000001</v>
      </c>
      <c r="AB2306">
        <v>48</v>
      </c>
      <c r="AC2306">
        <v>-14.8362999999999</v>
      </c>
      <c r="AD2306">
        <v>-1.1094224730569999</v>
      </c>
      <c r="AE2306">
        <v>-0.47270000000003098</v>
      </c>
      <c r="AF2306">
        <v>-0.70014643380755903</v>
      </c>
      <c r="AG2306">
        <v>-1.1094224730569999</v>
      </c>
      <c r="AH2306">
        <v>14.7447575446768</v>
      </c>
      <c r="AI2306">
        <v>94.298106438115994</v>
      </c>
      <c r="AJ2306">
        <v>92.718615475595499</v>
      </c>
      <c r="AK2306">
        <v>14.803003016408599</v>
      </c>
      <c r="AL2306">
        <v>68.3160117547406</v>
      </c>
      <c r="AM2306">
        <v>96.702648699982603</v>
      </c>
      <c r="AN2306">
        <v>1.0000000285303601</v>
      </c>
    </row>
    <row r="2307" spans="1:40" x14ac:dyDescent="0.25">
      <c r="A2307" t="str">
        <f>"20190304164135442"</f>
        <v>20190304164135442</v>
      </c>
      <c r="B2307" t="str">
        <f>"1551688895433219"</f>
        <v>1551688895433219</v>
      </c>
      <c r="C2307" t="s">
        <v>40</v>
      </c>
      <c r="D2307">
        <v>4.0669259999999996</v>
      </c>
      <c r="E2307">
        <v>0.5359874</v>
      </c>
      <c r="F2307" t="s">
        <v>47</v>
      </c>
      <c r="G2307">
        <v>-297.57690000000002</v>
      </c>
      <c r="H2307" s="1">
        <v>3.601588E-6</v>
      </c>
      <c r="I2307">
        <v>284.02359999999999</v>
      </c>
      <c r="J2307">
        <v>-282.5804</v>
      </c>
      <c r="K2307">
        <v>1.1094809999999999</v>
      </c>
      <c r="L2307">
        <v>284.49970000000002</v>
      </c>
      <c r="M2307">
        <v>-0.99986459999999999</v>
      </c>
      <c r="N2307">
        <v>-6.4209710000000001E-3</v>
      </c>
      <c r="O2307">
        <v>1.515172E-2</v>
      </c>
      <c r="P2307">
        <v>-0.92688329999999997</v>
      </c>
      <c r="Q2307">
        <v>0.36354160000000002</v>
      </c>
      <c r="R2307">
        <v>-9.3406600000000006E-2</v>
      </c>
      <c r="S2307">
        <v>-3.3207399999999998</v>
      </c>
      <c r="T2307">
        <v>-0.2414635</v>
      </c>
      <c r="U2307">
        <v>-0.1027222</v>
      </c>
      <c r="V2307">
        <v>-0.10806929999999999</v>
      </c>
      <c r="W2307">
        <v>0.36929210000000001</v>
      </c>
      <c r="X2307">
        <v>0.9230083</v>
      </c>
      <c r="Y2307">
        <v>-4.5894949999999997E-2</v>
      </c>
      <c r="Z2307">
        <v>-2.816505E-3</v>
      </c>
      <c r="AA2307">
        <v>0.99894229999999995</v>
      </c>
      <c r="AB2307">
        <v>49</v>
      </c>
      <c r="AC2307">
        <v>-14.996499999999999</v>
      </c>
      <c r="AD2307">
        <v>-1.1094773984120001</v>
      </c>
      <c r="AE2307">
        <v>-0.47610000000003</v>
      </c>
      <c r="AF2307">
        <v>-0.69944829034139899</v>
      </c>
      <c r="AG2307">
        <v>-1.1094773984120001</v>
      </c>
      <c r="AH2307">
        <v>14.906059877474499</v>
      </c>
      <c r="AI2307">
        <v>94.252088602001905</v>
      </c>
      <c r="AJ2307">
        <v>92.686562440746698</v>
      </c>
      <c r="AK2307">
        <v>14.963648922615899</v>
      </c>
      <c r="AL2307">
        <v>68.328033551189094</v>
      </c>
      <c r="AM2307">
        <v>96.678001779728007</v>
      </c>
      <c r="AN2307">
        <v>0.99999997529689399</v>
      </c>
    </row>
    <row r="2308" spans="1:40" x14ac:dyDescent="0.25">
      <c r="A2308" t="str">
        <f>"20190304164135454"</f>
        <v>20190304164135454</v>
      </c>
      <c r="B2308" t="str">
        <f>"1551688895442979"</f>
        <v>1551688895442979</v>
      </c>
      <c r="C2308" t="s">
        <v>40</v>
      </c>
      <c r="D2308">
        <v>4.0765310000000001</v>
      </c>
      <c r="E2308">
        <v>0.53603669999999903</v>
      </c>
      <c r="F2308" t="s">
        <v>47</v>
      </c>
      <c r="G2308">
        <v>-297.88479999999998</v>
      </c>
      <c r="H2308" s="1">
        <v>3.655953E-6</v>
      </c>
      <c r="I2308">
        <v>284.0265</v>
      </c>
      <c r="J2308">
        <v>-282.86070000000001</v>
      </c>
      <c r="K2308">
        <v>1.1095930000000001</v>
      </c>
      <c r="L2308">
        <v>284.50380000000001</v>
      </c>
      <c r="M2308">
        <v>-0.99987320000000002</v>
      </c>
      <c r="N2308">
        <v>-6.202656E-3</v>
      </c>
      <c r="O2308">
        <v>1.467158E-2</v>
      </c>
      <c r="P2308">
        <v>-0.92679040000000001</v>
      </c>
      <c r="Q2308">
        <v>0.36381269999999999</v>
      </c>
      <c r="R2308">
        <v>-9.3273149999999999E-2</v>
      </c>
      <c r="S2308">
        <v>-3.3207399999999998</v>
      </c>
      <c r="T2308">
        <v>-0.24073259999999999</v>
      </c>
      <c r="U2308">
        <v>-0.10266110000000001</v>
      </c>
      <c r="V2308">
        <v>-0.10756400000000001</v>
      </c>
      <c r="W2308">
        <v>0.36934129999999998</v>
      </c>
      <c r="X2308">
        <v>0.92304770000000003</v>
      </c>
      <c r="Y2308">
        <v>-4.5400490000000002E-2</v>
      </c>
      <c r="Z2308">
        <v>-2.755225E-3</v>
      </c>
      <c r="AA2308">
        <v>0.99896510000000005</v>
      </c>
      <c r="AB2308">
        <v>49</v>
      </c>
      <c r="AC2308">
        <v>-15.024099999999899</v>
      </c>
      <c r="AD2308">
        <v>-1.1095893440469999</v>
      </c>
      <c r="AE2308">
        <v>-0.47730000000001299</v>
      </c>
      <c r="AF2308">
        <v>-0.69389914112000495</v>
      </c>
      <c r="AG2308">
        <v>-1.1095893440469999</v>
      </c>
      <c r="AH2308">
        <v>14.9341053876273</v>
      </c>
      <c r="AI2308">
        <v>94.244649840784106</v>
      </c>
      <c r="AJ2308">
        <v>92.660281097178995</v>
      </c>
      <c r="AK2308">
        <v>14.9913371071172</v>
      </c>
      <c r="AL2308">
        <v>68.325001467272799</v>
      </c>
      <c r="AM2308">
        <v>96.646776294887701</v>
      </c>
      <c r="AN2308">
        <v>1.00000003322848</v>
      </c>
    </row>
    <row r="2309" spans="1:40" x14ac:dyDescent="0.25">
      <c r="A2309" t="str">
        <f>"20190304164135466"</f>
        <v>20190304164135466</v>
      </c>
      <c r="B2309" t="str">
        <f>"1551688895453715"</f>
        <v>1551688895453715</v>
      </c>
      <c r="C2309" t="s">
        <v>40</v>
      </c>
      <c r="D2309">
        <v>4.1061120000000004</v>
      </c>
      <c r="E2309">
        <v>0.53607649999999996</v>
      </c>
      <c r="F2309" t="s">
        <v>47</v>
      </c>
      <c r="G2309">
        <v>-298.23750000000001</v>
      </c>
      <c r="H2309" s="1">
        <v>3.718284E-6</v>
      </c>
      <c r="I2309">
        <v>284.02910000000003</v>
      </c>
      <c r="J2309">
        <v>-283.10750000000002</v>
      </c>
      <c r="K2309">
        <v>1.109696</v>
      </c>
      <c r="L2309">
        <v>284.50729999999999</v>
      </c>
      <c r="M2309">
        <v>-0.9998804</v>
      </c>
      <c r="N2309">
        <v>-6.0532340000000002E-3</v>
      </c>
      <c r="O2309">
        <v>1.4243749999999999E-2</v>
      </c>
      <c r="P2309">
        <v>-0.92667060000000001</v>
      </c>
      <c r="Q2309">
        <v>0.36412489999999997</v>
      </c>
      <c r="R2309">
        <v>-9.3247730000000001E-2</v>
      </c>
      <c r="S2309">
        <v>-3.32077</v>
      </c>
      <c r="T2309">
        <v>-0.2396266</v>
      </c>
      <c r="U2309">
        <v>-0.1025085</v>
      </c>
      <c r="V2309">
        <v>-0.10720200000000001</v>
      </c>
      <c r="W2309">
        <v>0.3694981</v>
      </c>
      <c r="X2309">
        <v>0.92302700000000004</v>
      </c>
      <c r="Y2309">
        <v>-4.4930699999999997E-2</v>
      </c>
      <c r="Z2309">
        <v>-2.6950070000000001E-3</v>
      </c>
      <c r="AA2309">
        <v>0.9989865</v>
      </c>
      <c r="AB2309">
        <v>49</v>
      </c>
      <c r="AC2309">
        <v>-15.1299999999999</v>
      </c>
      <c r="AD2309">
        <v>-1.109692281716</v>
      </c>
      <c r="AE2309">
        <v>-0.47819999999995799</v>
      </c>
      <c r="AF2309">
        <v>-0.68995554841971696</v>
      </c>
      <c r="AG2309">
        <v>-1.109692281716</v>
      </c>
      <c r="AH2309">
        <v>15.040824913595999</v>
      </c>
      <c r="AI2309">
        <v>94.215145692711204</v>
      </c>
      <c r="AJ2309">
        <v>92.626441566638604</v>
      </c>
      <c r="AK2309">
        <v>15.0974789186919</v>
      </c>
      <c r="AL2309">
        <v>68.315332368995001</v>
      </c>
      <c r="AM2309">
        <v>96.624753381769807</v>
      </c>
      <c r="AN2309">
        <v>0.99999997871830404</v>
      </c>
    </row>
    <row r="2310" spans="1:40" x14ac:dyDescent="0.25">
      <c r="A2310" t="str">
        <f>"20190304164135483"</f>
        <v>20190304164135483</v>
      </c>
      <c r="B2310" t="str">
        <f>"1551688895473235"</f>
        <v>1551688895473235</v>
      </c>
      <c r="C2310" t="s">
        <v>40</v>
      </c>
      <c r="D2310">
        <v>4.1127399999999996</v>
      </c>
      <c r="E2310">
        <v>0.53615979999999996</v>
      </c>
      <c r="F2310" t="s">
        <v>47</v>
      </c>
      <c r="G2310">
        <v>-298.5609</v>
      </c>
      <c r="H2310" s="1">
        <v>3.7755539999999999E-6</v>
      </c>
      <c r="I2310">
        <v>284.0301</v>
      </c>
      <c r="J2310">
        <v>-283.4769</v>
      </c>
      <c r="K2310">
        <v>1.1098570000000001</v>
      </c>
      <c r="L2310">
        <v>284.51229999999998</v>
      </c>
      <c r="M2310">
        <v>-0.9998901</v>
      </c>
      <c r="N2310">
        <v>-5.9312230000000002E-3</v>
      </c>
      <c r="O2310">
        <v>1.358929E-2</v>
      </c>
      <c r="P2310">
        <v>-0.92672560000000004</v>
      </c>
      <c r="Q2310">
        <v>0.36407869999999998</v>
      </c>
      <c r="R2310">
        <v>-9.2879030000000001E-2</v>
      </c>
      <c r="S2310">
        <v>-3.3208009999999999</v>
      </c>
      <c r="T2310">
        <v>-0.23846329999999999</v>
      </c>
      <c r="U2310">
        <v>-0.10253909999999999</v>
      </c>
      <c r="V2310">
        <v>-0.1063119</v>
      </c>
      <c r="W2310">
        <v>0.36931779999999997</v>
      </c>
      <c r="X2310">
        <v>0.92320219999999997</v>
      </c>
      <c r="Y2310">
        <v>-4.4290499999999997E-2</v>
      </c>
      <c r="Z2310">
        <v>-2.6132600000000001E-3</v>
      </c>
      <c r="AA2310">
        <v>0.99901530000000005</v>
      </c>
      <c r="AB2310">
        <v>49</v>
      </c>
      <c r="AC2310">
        <v>-15.084</v>
      </c>
      <c r="AD2310">
        <v>-1.10985322444599</v>
      </c>
      <c r="AE2310">
        <v>-0.48219999999997698</v>
      </c>
      <c r="AF2310">
        <v>-0.68344370772280205</v>
      </c>
      <c r="AG2310">
        <v>-1.10985322444599</v>
      </c>
      <c r="AH2310">
        <v>14.9949581912363</v>
      </c>
      <c r="AI2310">
        <v>94.228659827553102</v>
      </c>
      <c r="AJ2310">
        <v>92.609634361274004</v>
      </c>
      <c r="AK2310">
        <v>15.051499614269799</v>
      </c>
      <c r="AL2310">
        <v>68.3264514167317</v>
      </c>
      <c r="AM2310">
        <v>96.5689949036868</v>
      </c>
      <c r="AN2310">
        <v>1.00000007978164</v>
      </c>
    </row>
    <row r="2311" spans="1:40" x14ac:dyDescent="0.25">
      <c r="A2311" t="str">
        <f>"20190304164135495"</f>
        <v>20190304164135495</v>
      </c>
      <c r="B2311" t="str">
        <f>"1551688895482995"</f>
        <v>1551688895482995</v>
      </c>
      <c r="C2311" t="s">
        <v>40</v>
      </c>
      <c r="D2311">
        <v>4.0851259999999998</v>
      </c>
      <c r="E2311">
        <v>0.53618849999999996</v>
      </c>
      <c r="F2311" t="s">
        <v>47</v>
      </c>
      <c r="G2311">
        <v>-298.9341</v>
      </c>
      <c r="H2311" s="1">
        <v>3.8409949999999998E-6</v>
      </c>
      <c r="I2311">
        <v>284.03890000000001</v>
      </c>
      <c r="J2311">
        <v>-283.75810000000001</v>
      </c>
      <c r="K2311">
        <v>1.10996299999999</v>
      </c>
      <c r="L2311">
        <v>284.51589999999999</v>
      </c>
      <c r="M2311">
        <v>-0.99989720000000004</v>
      </c>
      <c r="N2311">
        <v>-5.889249E-3</v>
      </c>
      <c r="O2311">
        <v>1.307112E-2</v>
      </c>
      <c r="P2311">
        <v>-0.92674270000000003</v>
      </c>
      <c r="Q2311">
        <v>0.36407539999999999</v>
      </c>
      <c r="R2311">
        <v>-9.2721810000000002E-2</v>
      </c>
      <c r="S2311">
        <v>-3.3206790000000002</v>
      </c>
      <c r="T2311">
        <v>-0.2384309</v>
      </c>
      <c r="U2311">
        <v>-0.1017151</v>
      </c>
      <c r="V2311">
        <v>-0.10572579999999999</v>
      </c>
      <c r="W2311">
        <v>0.36926330000000002</v>
      </c>
      <c r="X2311">
        <v>0.92329130000000004</v>
      </c>
      <c r="Y2311">
        <v>-4.3529539999999999E-2</v>
      </c>
      <c r="Z2311">
        <v>-2.5490280000000001E-3</v>
      </c>
      <c r="AA2311">
        <v>0.99904890000000002</v>
      </c>
      <c r="AB2311">
        <v>49</v>
      </c>
      <c r="AC2311">
        <v>-15.175999999999901</v>
      </c>
      <c r="AD2311">
        <v>-1.10995915900499</v>
      </c>
      <c r="AE2311">
        <v>-0.476999999999975</v>
      </c>
      <c r="AF2311">
        <v>-0.67174019719292899</v>
      </c>
      <c r="AG2311">
        <v>-1.10995915900499</v>
      </c>
      <c r="AH2311">
        <v>15.087838261068701</v>
      </c>
      <c r="AI2311">
        <v>94.203320542119698</v>
      </c>
      <c r="AJ2311">
        <v>92.549237171873003</v>
      </c>
      <c r="AK2311">
        <v>15.1435170161807</v>
      </c>
      <c r="AL2311">
        <v>68.329811489497004</v>
      </c>
      <c r="AM2311">
        <v>96.532468809386998</v>
      </c>
      <c r="AN2311">
        <v>1.0000000770841</v>
      </c>
    </row>
    <row r="2312" spans="1:40" x14ac:dyDescent="0.25">
      <c r="A2312" t="str">
        <f>"20190304164135510"</f>
        <v>20190304164135510</v>
      </c>
      <c r="B2312" t="str">
        <f>"1551688895503491"</f>
        <v>1551688895503491</v>
      </c>
      <c r="C2312" t="s">
        <v>40</v>
      </c>
      <c r="D2312">
        <v>4.1105080000000003</v>
      </c>
      <c r="E2312">
        <v>0.53625999999999996</v>
      </c>
      <c r="F2312" t="s">
        <v>47</v>
      </c>
      <c r="G2312">
        <v>-299.2165</v>
      </c>
      <c r="H2312" s="1">
        <v>3.8908780000000001E-6</v>
      </c>
      <c r="I2312">
        <v>284.04129999999998</v>
      </c>
      <c r="J2312">
        <v>-284.04910000000001</v>
      </c>
      <c r="K2312">
        <v>1.110055</v>
      </c>
      <c r="L2312">
        <v>284.51949999999999</v>
      </c>
      <c r="M2312">
        <v>-0.99990449999999997</v>
      </c>
      <c r="N2312">
        <v>-5.8605760000000002E-3</v>
      </c>
      <c r="O2312">
        <v>1.2519829999999999E-2</v>
      </c>
      <c r="P2312">
        <v>-0.92672619999999895</v>
      </c>
      <c r="Q2312">
        <v>0.36413200000000001</v>
      </c>
      <c r="R2312">
        <v>-9.2664109999999994E-2</v>
      </c>
      <c r="S2312">
        <v>-3.3206180000000001</v>
      </c>
      <c r="T2312">
        <v>-0.2384299</v>
      </c>
      <c r="U2312">
        <v>-0.1019592</v>
      </c>
      <c r="V2312">
        <v>-0.1052014</v>
      </c>
      <c r="W2312">
        <v>0.36928280000000002</v>
      </c>
      <c r="X2312">
        <v>0.92334340000000004</v>
      </c>
      <c r="Y2312">
        <v>-4.3055200000000002E-2</v>
      </c>
      <c r="Z2312">
        <v>-2.4941149999999999E-3</v>
      </c>
      <c r="AA2312">
        <v>0.9990696</v>
      </c>
      <c r="AB2312">
        <v>49</v>
      </c>
      <c r="AC2312">
        <v>-15.167399999999899</v>
      </c>
      <c r="AD2312">
        <v>-1.110051109122</v>
      </c>
      <c r="AE2312">
        <v>-0.478200000000015</v>
      </c>
      <c r="AF2312">
        <v>-0.66450330575073802</v>
      </c>
      <c r="AG2312">
        <v>-1.110051109122</v>
      </c>
      <c r="AH2312">
        <v>15.079534039039601</v>
      </c>
      <c r="AI2312">
        <v>94.206058505641593</v>
      </c>
      <c r="AJ2312">
        <v>92.523195951532102</v>
      </c>
      <c r="AK2312">
        <v>15.1349306223309</v>
      </c>
      <c r="AL2312">
        <v>68.328609261090307</v>
      </c>
      <c r="AM2312">
        <v>96.499982115907699</v>
      </c>
      <c r="AN2312">
        <v>1.0000000776306699</v>
      </c>
    </row>
    <row r="2313" spans="1:40" x14ac:dyDescent="0.25">
      <c r="A2313" t="str">
        <f>"20190304164135525"</f>
        <v>20190304164135525</v>
      </c>
      <c r="B2313" t="str">
        <f>"1551688895513251"</f>
        <v>1551688895513251</v>
      </c>
      <c r="C2313" t="s">
        <v>40</v>
      </c>
      <c r="D2313">
        <v>4.0916489999999897</v>
      </c>
      <c r="E2313">
        <v>0.53628589999999998</v>
      </c>
      <c r="F2313" t="s">
        <v>47</v>
      </c>
      <c r="G2313">
        <v>-299.57319999999999</v>
      </c>
      <c r="H2313" s="1">
        <v>3.9541960000000001E-6</v>
      </c>
      <c r="I2313">
        <v>284.04059999999998</v>
      </c>
      <c r="J2313">
        <v>-284.37130000000002</v>
      </c>
      <c r="K2313">
        <v>1.110144</v>
      </c>
      <c r="L2313">
        <v>284.52330000000001</v>
      </c>
      <c r="M2313">
        <v>-0.99991220000000003</v>
      </c>
      <c r="N2313">
        <v>-5.8439310000000001E-3</v>
      </c>
      <c r="O2313">
        <v>1.189434E-2</v>
      </c>
      <c r="P2313">
        <v>-0.92667359999999999</v>
      </c>
      <c r="Q2313">
        <v>0.3642746</v>
      </c>
      <c r="R2313">
        <v>-9.2630619999999997E-2</v>
      </c>
      <c r="S2313">
        <v>-3.3202509999999998</v>
      </c>
      <c r="T2313">
        <v>-0.23741609999999999</v>
      </c>
      <c r="U2313">
        <v>-0.10241699999999999</v>
      </c>
      <c r="V2313">
        <v>-0.10462589999999999</v>
      </c>
      <c r="W2313">
        <v>0.36940070000000003</v>
      </c>
      <c r="X2313">
        <v>0.9233616</v>
      </c>
      <c r="Y2313">
        <v>-4.2575109999999999E-2</v>
      </c>
      <c r="Z2313">
        <v>-2.4243189999999999E-3</v>
      </c>
      <c r="AA2313">
        <v>0.99909029999999999</v>
      </c>
      <c r="AB2313">
        <v>49</v>
      </c>
      <c r="AC2313">
        <v>-15.201899999999901</v>
      </c>
      <c r="AD2313">
        <v>-1.1101400458040001</v>
      </c>
      <c r="AE2313">
        <v>-0.482700000000022</v>
      </c>
      <c r="AF2313">
        <v>-0.65996952728981795</v>
      </c>
      <c r="AG2313">
        <v>-1.1101400458040001</v>
      </c>
      <c r="AH2313">
        <v>15.114560504388599</v>
      </c>
      <c r="AI2313">
        <v>94.196754870871601</v>
      </c>
      <c r="AJ2313">
        <v>92.500202662367201</v>
      </c>
      <c r="AK2313">
        <v>15.169637765585399</v>
      </c>
      <c r="AL2313">
        <v>68.321339490379899</v>
      </c>
      <c r="AM2313">
        <v>96.464599717600507</v>
      </c>
      <c r="AN2313">
        <v>1.00000005023292</v>
      </c>
    </row>
    <row r="2314" spans="1:40" x14ac:dyDescent="0.25">
      <c r="A2314" t="str">
        <f>"20190304164135541"</f>
        <v>20190304164135541</v>
      </c>
      <c r="B2314" t="str">
        <f>"1551688895533278"</f>
        <v>1551688895533278</v>
      </c>
      <c r="C2314" t="s">
        <v>40</v>
      </c>
      <c r="D2314">
        <v>4.1116260000000002</v>
      </c>
      <c r="E2314">
        <v>0.53634589999999904</v>
      </c>
      <c r="F2314" t="s">
        <v>47</v>
      </c>
      <c r="G2314">
        <v>-299.94650000000001</v>
      </c>
      <c r="H2314" s="1">
        <v>4.0205639999999999E-6</v>
      </c>
      <c r="I2314">
        <v>284.03910000000002</v>
      </c>
      <c r="J2314">
        <v>-284.74930000000001</v>
      </c>
      <c r="K2314">
        <v>1.110223</v>
      </c>
      <c r="L2314">
        <v>284.5274</v>
      </c>
      <c r="M2314">
        <v>-0.99992099999999995</v>
      </c>
      <c r="N2314">
        <v>-5.8433259999999898E-3</v>
      </c>
      <c r="O2314">
        <v>1.113978E-2</v>
      </c>
      <c r="P2314">
        <v>-0.92656179999999999</v>
      </c>
      <c r="Q2314">
        <v>0.36463099999999998</v>
      </c>
      <c r="R2314">
        <v>-9.2346120000000004E-2</v>
      </c>
      <c r="S2314">
        <v>-3.3200989999999999</v>
      </c>
      <c r="T2314">
        <v>-0.23664299999999999</v>
      </c>
      <c r="U2314">
        <v>-0.10321039999999999</v>
      </c>
      <c r="V2314">
        <v>-0.1036716</v>
      </c>
      <c r="W2314">
        <v>0.3697511</v>
      </c>
      <c r="X2314">
        <v>0.92332890000000001</v>
      </c>
      <c r="Y2314">
        <v>-4.2065030000000003E-2</v>
      </c>
      <c r="Z2314">
        <v>-2.347773E-3</v>
      </c>
      <c r="AA2314">
        <v>0.99911209999999995</v>
      </c>
      <c r="AB2314">
        <v>49</v>
      </c>
      <c r="AC2314">
        <v>-15.1972</v>
      </c>
      <c r="AD2314">
        <v>-1.110218979436</v>
      </c>
      <c r="AE2314">
        <v>-0.48829999999998103</v>
      </c>
      <c r="AF2314">
        <v>-0.65407887243010399</v>
      </c>
      <c r="AG2314">
        <v>-1.110218979436</v>
      </c>
      <c r="AH2314">
        <v>15.1102583778588</v>
      </c>
      <c r="AI2314">
        <v>94.198311409186005</v>
      </c>
      <c r="AJ2314">
        <v>92.478619298499495</v>
      </c>
      <c r="AK2314">
        <v>15.1651018328039</v>
      </c>
      <c r="AL2314">
        <v>68.299731451247993</v>
      </c>
      <c r="AM2314">
        <v>96.406353056303601</v>
      </c>
      <c r="AN2314">
        <v>0.99999996708648897</v>
      </c>
    </row>
    <row r="2315" spans="1:40" x14ac:dyDescent="0.25">
      <c r="A2315" t="str">
        <f>"20190304164135562"</f>
        <v>20190304164135562</v>
      </c>
      <c r="B2315" t="str">
        <f>"1551688895553774"</f>
        <v>1551688895553774</v>
      </c>
      <c r="C2315" t="s">
        <v>40</v>
      </c>
      <c r="D2315">
        <v>4.1690500000000004</v>
      </c>
      <c r="E2315">
        <v>0.536394699999999</v>
      </c>
      <c r="F2315" t="s">
        <v>47</v>
      </c>
      <c r="G2315">
        <v>-300.46620000000001</v>
      </c>
      <c r="H2315" s="1">
        <v>3.9317960000000001E-6</v>
      </c>
      <c r="I2315">
        <v>284.04559999999998</v>
      </c>
      <c r="J2315">
        <v>-285.19900000000001</v>
      </c>
      <c r="K2315">
        <v>1.1102860000000001</v>
      </c>
      <c r="L2315">
        <v>284.53199999999998</v>
      </c>
      <c r="M2315">
        <v>-0.9999306</v>
      </c>
      <c r="N2315">
        <v>-5.8650730000000002E-3</v>
      </c>
      <c r="O2315">
        <v>1.02261E-2</v>
      </c>
      <c r="P2315">
        <v>-0.92669420000000002</v>
      </c>
      <c r="Q2315">
        <v>0.36416850000000001</v>
      </c>
      <c r="R2315">
        <v>-9.2840480000000003E-2</v>
      </c>
      <c r="S2315">
        <v>-3.3199160000000001</v>
      </c>
      <c r="T2315">
        <v>-0.23451420000000001</v>
      </c>
      <c r="U2315">
        <v>-0.10177609999999999</v>
      </c>
      <c r="V2315">
        <v>-0.103339</v>
      </c>
      <c r="W2315">
        <v>0.36930619999999997</v>
      </c>
      <c r="X2315">
        <v>0.92354420000000004</v>
      </c>
      <c r="Y2315">
        <v>-4.0730460000000003E-2</v>
      </c>
      <c r="Z2315">
        <v>-2.217494E-3</v>
      </c>
      <c r="AA2315">
        <v>0.99916769999999999</v>
      </c>
      <c r="AB2315">
        <v>49</v>
      </c>
      <c r="AC2315">
        <v>-15.267200000000001</v>
      </c>
      <c r="AD2315">
        <v>-1.110282068204</v>
      </c>
      <c r="AE2315">
        <v>-0.486400000000003</v>
      </c>
      <c r="AF2315">
        <v>-0.63912444993742601</v>
      </c>
      <c r="AG2315">
        <v>-1.110282068204</v>
      </c>
      <c r="AH2315">
        <v>15.18122031123</v>
      </c>
      <c r="AI2315">
        <v>94.179204162349194</v>
      </c>
      <c r="AJ2315">
        <v>92.410710168191798</v>
      </c>
      <c r="AK2315">
        <v>15.2351782553269</v>
      </c>
      <c r="AL2315">
        <v>68.327163739676905</v>
      </c>
      <c r="AM2315">
        <v>96.384493779554205</v>
      </c>
      <c r="AN2315">
        <v>0.99999995381653894</v>
      </c>
    </row>
    <row r="2316" spans="1:40" x14ac:dyDescent="0.25">
      <c r="A2316" t="str">
        <f>"20190304164135574"</f>
        <v>20190304164135574</v>
      </c>
      <c r="B2316" t="str">
        <f>"1551688895563533"</f>
        <v>1551688895563533</v>
      </c>
      <c r="C2316" t="s">
        <v>40</v>
      </c>
      <c r="D2316">
        <v>4.1587489999999896</v>
      </c>
      <c r="E2316">
        <v>0.5364101</v>
      </c>
      <c r="F2316" t="s">
        <v>47</v>
      </c>
      <c r="G2316">
        <v>-300.8227</v>
      </c>
      <c r="H2316" s="1">
        <v>3.868357E-6</v>
      </c>
      <c r="I2316">
        <v>284.04790000000003</v>
      </c>
      <c r="J2316">
        <v>-285.48340000000002</v>
      </c>
      <c r="K2316">
        <v>1.1103149999999999</v>
      </c>
      <c r="L2316">
        <v>284.53469999999999</v>
      </c>
      <c r="M2316">
        <v>-0.99993609999999999</v>
      </c>
      <c r="N2316">
        <v>-5.890246E-3</v>
      </c>
      <c r="O2316">
        <v>9.6509400000000002E-3</v>
      </c>
      <c r="P2316">
        <v>-0.92665249999999999</v>
      </c>
      <c r="Q2316">
        <v>0.36425160000000001</v>
      </c>
      <c r="R2316">
        <v>-9.2930009999999993E-2</v>
      </c>
      <c r="S2316">
        <v>-3.3196720000000002</v>
      </c>
      <c r="T2316">
        <v>-0.23590900000000001</v>
      </c>
      <c r="U2316">
        <v>-0.1028748</v>
      </c>
      <c r="V2316">
        <v>-0.10290009999999999</v>
      </c>
      <c r="W2316">
        <v>0.36941259999999998</v>
      </c>
      <c r="X2316">
        <v>0.92355069999999995</v>
      </c>
      <c r="Y2316">
        <v>-4.0488650000000001E-2</v>
      </c>
      <c r="Z2316">
        <v>-2.1839810000000002E-3</v>
      </c>
      <c r="AA2316">
        <v>0.9991776</v>
      </c>
      <c r="AB2316">
        <v>49</v>
      </c>
      <c r="AC2316">
        <v>-15.3392999999999</v>
      </c>
      <c r="AD2316">
        <v>-1.1103111316430001</v>
      </c>
      <c r="AE2316">
        <v>-0.48679999999995899</v>
      </c>
      <c r="AF2316">
        <v>-0.631513161128883</v>
      </c>
      <c r="AG2316">
        <v>-1.1103111316430001</v>
      </c>
      <c r="AH2316">
        <v>15.254046402071999</v>
      </c>
      <c r="AI2316">
        <v>94.159551346803894</v>
      </c>
      <c r="AJ2316">
        <v>92.370675118605206</v>
      </c>
      <c r="AK2316">
        <v>15.3074338580409</v>
      </c>
      <c r="AL2316">
        <v>68.320604573173398</v>
      </c>
      <c r="AM2316">
        <v>96.357555760872899</v>
      </c>
      <c r="AN2316">
        <v>0.99999999754462898</v>
      </c>
    </row>
    <row r="2317" spans="1:40" x14ac:dyDescent="0.25">
      <c r="A2317" t="str">
        <f>"20190304164135587"</f>
        <v>20190304164135587</v>
      </c>
      <c r="B2317" t="str">
        <f>"1551688895583054"</f>
        <v>1551688895583054</v>
      </c>
      <c r="C2317" t="s">
        <v>40</v>
      </c>
      <c r="D2317">
        <v>4.1403239999999997</v>
      </c>
      <c r="E2317">
        <v>0.53644399999999903</v>
      </c>
      <c r="F2317" t="s">
        <v>47</v>
      </c>
      <c r="G2317">
        <v>-301.12950000000001</v>
      </c>
      <c r="H2317" s="1">
        <v>3.8139399999999999E-6</v>
      </c>
      <c r="I2317">
        <v>284.04790000000003</v>
      </c>
      <c r="J2317">
        <v>-285.75420000000003</v>
      </c>
      <c r="K2317">
        <v>1.110336</v>
      </c>
      <c r="L2317">
        <v>284.53710000000001</v>
      </c>
      <c r="M2317">
        <v>-0.99994110000000003</v>
      </c>
      <c r="N2317">
        <v>-5.9172189999999996E-3</v>
      </c>
      <c r="O2317">
        <v>9.1066020000000001E-3</v>
      </c>
      <c r="P2317">
        <v>-0.92663989999999996</v>
      </c>
      <c r="Q2317">
        <v>0.36423840000000002</v>
      </c>
      <c r="R2317">
        <v>-9.3107419999999996E-2</v>
      </c>
      <c r="S2317">
        <v>-3.3197019999999902</v>
      </c>
      <c r="T2317">
        <v>-0.23558029999999999</v>
      </c>
      <c r="U2317">
        <v>-0.1032715</v>
      </c>
      <c r="V2317">
        <v>-0.102576399999999</v>
      </c>
      <c r="W2317">
        <v>0.36942449999999999</v>
      </c>
      <c r="X2317">
        <v>0.92358200000000001</v>
      </c>
      <c r="Y2317">
        <v>-4.0066379999999999E-2</v>
      </c>
      <c r="Z2317">
        <v>-2.129728E-3</v>
      </c>
      <c r="AA2317">
        <v>0.99919469999999999</v>
      </c>
      <c r="AB2317">
        <v>49</v>
      </c>
      <c r="AC2317">
        <v>-15.3752999999999</v>
      </c>
      <c r="AD2317">
        <v>-1.1103321860599999</v>
      </c>
      <c r="AE2317">
        <v>-0.48919999999998198</v>
      </c>
      <c r="AF2317">
        <v>-0.625937895296098</v>
      </c>
      <c r="AG2317">
        <v>-1.1103321860599999</v>
      </c>
      <c r="AH2317">
        <v>15.2905470407579</v>
      </c>
      <c r="AI2317">
        <v>94.149813831080706</v>
      </c>
      <c r="AJ2317">
        <v>92.344166400254494</v>
      </c>
      <c r="AK2317">
        <v>15.3435805670579</v>
      </c>
      <c r="AL2317">
        <v>68.319871930469503</v>
      </c>
      <c r="AM2317">
        <v>96.337506308733296</v>
      </c>
      <c r="AN2317">
        <v>1.0000000448805999</v>
      </c>
    </row>
    <row r="2318" spans="1:40" x14ac:dyDescent="0.25">
      <c r="A2318" t="str">
        <f>"20190304164135600"</f>
        <v>20190304164135600</v>
      </c>
      <c r="B2318" t="str">
        <f>"1551688895593790"</f>
        <v>1551688895593790</v>
      </c>
      <c r="C2318" t="s">
        <v>40</v>
      </c>
      <c r="D2318">
        <v>4.1940679999999997</v>
      </c>
      <c r="E2318">
        <v>0.53645750000000003</v>
      </c>
      <c r="F2318" t="s">
        <v>47</v>
      </c>
      <c r="G2318">
        <v>-301.399</v>
      </c>
      <c r="H2318" s="1">
        <v>3.7662090000000001E-6</v>
      </c>
      <c r="I2318">
        <v>284.0471</v>
      </c>
      <c r="J2318">
        <v>-286.0582</v>
      </c>
      <c r="K2318">
        <v>1.1103540000000001</v>
      </c>
      <c r="L2318">
        <v>284.53969999999998</v>
      </c>
      <c r="M2318">
        <v>-0.99994620000000001</v>
      </c>
      <c r="N2318">
        <v>-5.9519849999999999E-3</v>
      </c>
      <c r="O2318">
        <v>8.50073199999999E-3</v>
      </c>
      <c r="P2318">
        <v>-0.92665090000000006</v>
      </c>
      <c r="Q2318">
        <v>0.36412129999999998</v>
      </c>
      <c r="R2318">
        <v>-9.3455960000000005E-2</v>
      </c>
      <c r="S2318">
        <v>-3.3197019999999902</v>
      </c>
      <c r="T2318">
        <v>-0.23560349999999999</v>
      </c>
      <c r="U2318">
        <v>-0.10397339999999999</v>
      </c>
      <c r="V2318">
        <v>-0.1023651</v>
      </c>
      <c r="W2318">
        <v>0.36934030000000001</v>
      </c>
      <c r="X2318">
        <v>0.92363910000000005</v>
      </c>
      <c r="Y2318">
        <v>-3.9674309999999997E-2</v>
      </c>
      <c r="Z2318">
        <v>-2.0759099999999998E-3</v>
      </c>
      <c r="AA2318">
        <v>0.9992105</v>
      </c>
      <c r="AB2318">
        <v>49</v>
      </c>
      <c r="AC2318">
        <v>-15.3408</v>
      </c>
      <c r="AD2318">
        <v>-1.1103502337909901</v>
      </c>
      <c r="AE2318">
        <v>-0.492599999999981</v>
      </c>
      <c r="AF2318">
        <v>-0.61974919510649795</v>
      </c>
      <c r="AG2318">
        <v>-1.1103502337909901</v>
      </c>
      <c r="AH2318">
        <v>15.2562176491363</v>
      </c>
      <c r="AI2318">
        <v>94.159239240721405</v>
      </c>
      <c r="AJ2318">
        <v>92.326231899167993</v>
      </c>
      <c r="AK2318">
        <v>15.3091196240781</v>
      </c>
      <c r="AL2318">
        <v>68.325063025590097</v>
      </c>
      <c r="AM2318">
        <v>96.324169577134796</v>
      </c>
      <c r="AN2318">
        <v>1.00000002897545</v>
      </c>
    </row>
    <row r="2319" spans="1:40" x14ac:dyDescent="0.25">
      <c r="A2319" t="str">
        <f>"20190304164135613"</f>
        <v>20190304164135613</v>
      </c>
      <c r="B2319" t="str">
        <f>"1551688895603550"</f>
        <v>1551688895603550</v>
      </c>
      <c r="C2319" t="s">
        <v>40</v>
      </c>
      <c r="D2319">
        <v>4.2138710000000001</v>
      </c>
      <c r="E2319">
        <v>0.53647009999999995</v>
      </c>
      <c r="F2319" t="s">
        <v>47</v>
      </c>
      <c r="G2319">
        <v>-301.67739999999998</v>
      </c>
      <c r="H2319" s="1">
        <v>3.7170499999999998E-6</v>
      </c>
      <c r="I2319">
        <v>284.04450000000003</v>
      </c>
      <c r="J2319">
        <v>-286.32639999999998</v>
      </c>
      <c r="K2319">
        <v>1.11036</v>
      </c>
      <c r="L2319">
        <v>284.54180000000002</v>
      </c>
      <c r="M2319">
        <v>-0.99995029999999996</v>
      </c>
      <c r="N2319">
        <v>-5.985995E-3</v>
      </c>
      <c r="O2319">
        <v>7.982098E-3</v>
      </c>
      <c r="P2319">
        <v>-0.92668090000000003</v>
      </c>
      <c r="Q2319">
        <v>0.36395850000000002</v>
      </c>
      <c r="R2319">
        <v>-9.3792669999999995E-2</v>
      </c>
      <c r="S2319">
        <v>-3.3196110000000001</v>
      </c>
      <c r="T2319">
        <v>-0.23598749999999999</v>
      </c>
      <c r="U2319">
        <v>-0.1052551</v>
      </c>
      <c r="V2319">
        <v>-0.10222059999999999</v>
      </c>
      <c r="W2319">
        <v>0.36921009999999999</v>
      </c>
      <c r="X2319">
        <v>0.9237071</v>
      </c>
      <c r="Y2319">
        <v>-3.9543370000000001E-2</v>
      </c>
      <c r="Z2319">
        <v>-2.040853E-3</v>
      </c>
      <c r="AA2319">
        <v>0.99921579999999999</v>
      </c>
      <c r="AB2319">
        <v>49</v>
      </c>
      <c r="AC2319">
        <v>-15.351000000000001</v>
      </c>
      <c r="AD2319">
        <v>-1.11035628295</v>
      </c>
      <c r="AE2319">
        <v>-0.49729999999999502</v>
      </c>
      <c r="AF2319">
        <v>-0.61659699740301899</v>
      </c>
      <c r="AG2319">
        <v>-1.11035628295</v>
      </c>
      <c r="AH2319">
        <v>15.266752467270299</v>
      </c>
      <c r="AI2319">
        <v>94.156441063445001</v>
      </c>
      <c r="AJ2319">
        <v>92.312817682342697</v>
      </c>
      <c r="AK2319">
        <v>15.319491304517801</v>
      </c>
      <c r="AL2319">
        <v>68.333089138192094</v>
      </c>
      <c r="AM2319">
        <v>96.314853317104095</v>
      </c>
      <c r="AN2319">
        <v>0.99999997779838901</v>
      </c>
    </row>
    <row r="2320" spans="1:40" x14ac:dyDescent="0.25">
      <c r="A2320" t="str">
        <f>"20190304164135629"</f>
        <v>20190304164135629</v>
      </c>
      <c r="B2320" t="str">
        <f>"1551688895623069"</f>
        <v>1551688895623069</v>
      </c>
      <c r="C2320" t="s">
        <v>40</v>
      </c>
      <c r="D2320">
        <v>4.1688970000000003</v>
      </c>
      <c r="E2320">
        <v>0.53649650000000004</v>
      </c>
      <c r="F2320" t="s">
        <v>47</v>
      </c>
      <c r="G2320">
        <v>-301.91090000000003</v>
      </c>
      <c r="H2320" s="1">
        <v>3.6757860000000001E-6</v>
      </c>
      <c r="I2320">
        <v>284.04259999999999</v>
      </c>
      <c r="J2320">
        <v>-286.70339999999999</v>
      </c>
      <c r="K2320">
        <v>1.110363</v>
      </c>
      <c r="L2320">
        <v>284.5446</v>
      </c>
      <c r="M2320">
        <v>-0.99995540000000005</v>
      </c>
      <c r="N2320">
        <v>-6.0352060000000004E-3</v>
      </c>
      <c r="O2320">
        <v>7.2707219999999899E-3</v>
      </c>
      <c r="P2320">
        <v>-0.92671800000000004</v>
      </c>
      <c r="Q2320">
        <v>0.36352210000000001</v>
      </c>
      <c r="R2320">
        <v>-9.5108380000000006E-2</v>
      </c>
      <c r="S2320">
        <v>-3.3194889999999999</v>
      </c>
      <c r="T2320">
        <v>-0.23650360000000001</v>
      </c>
      <c r="U2320">
        <v>-0.10632320000000001</v>
      </c>
      <c r="V2320">
        <v>-0.1028734</v>
      </c>
      <c r="W2320">
        <v>0.36881829999999999</v>
      </c>
      <c r="X2320">
        <v>0.92379120000000003</v>
      </c>
      <c r="Y2320">
        <v>-3.9156860000000002E-2</v>
      </c>
      <c r="Z2320">
        <v>-1.9845589999999999E-3</v>
      </c>
      <c r="AA2320">
        <v>0.99923110000000004</v>
      </c>
      <c r="AB2320">
        <v>49</v>
      </c>
      <c r="AC2320">
        <v>-15.2075</v>
      </c>
      <c r="AD2320">
        <v>-1.110359324214</v>
      </c>
      <c r="AE2320">
        <v>-0.50200000000000899</v>
      </c>
      <c r="AF2320">
        <v>-0.60931350899169301</v>
      </c>
      <c r="AG2320">
        <v>-1.110359324214</v>
      </c>
      <c r="AH2320">
        <v>15.1229150335569</v>
      </c>
      <c r="AI2320">
        <v>94.195861245637204</v>
      </c>
      <c r="AJ2320">
        <v>92.307241683314402</v>
      </c>
      <c r="AK2320">
        <v>15.175859774434199</v>
      </c>
      <c r="AL2320">
        <v>68.357243403933595</v>
      </c>
      <c r="AM2320">
        <v>96.354278471042093</v>
      </c>
      <c r="AN2320">
        <v>1.0000000280199399</v>
      </c>
    </row>
    <row r="2321" spans="1:40" x14ac:dyDescent="0.25">
      <c r="A2321" t="str">
        <f>"20190304164135643"</f>
        <v>20190304164135643</v>
      </c>
      <c r="B2321" t="str">
        <f>"1551688895633806"</f>
        <v>1551688895633806</v>
      </c>
      <c r="C2321" t="s">
        <v>40</v>
      </c>
      <c r="D2321">
        <v>4.1856470000000003</v>
      </c>
      <c r="E2321">
        <v>0.53650379999999998</v>
      </c>
      <c r="F2321" t="s">
        <v>47</v>
      </c>
      <c r="G2321">
        <v>-302.20209999999997</v>
      </c>
      <c r="H2321" s="1">
        <v>3.6248879999999999E-6</v>
      </c>
      <c r="I2321">
        <v>284.03410000000002</v>
      </c>
      <c r="J2321">
        <v>-286.9855</v>
      </c>
      <c r="K2321">
        <v>1.110365</v>
      </c>
      <c r="L2321">
        <v>284.54649999999998</v>
      </c>
      <c r="M2321">
        <v>-0.99995880000000004</v>
      </c>
      <c r="N2321">
        <v>-6.0728550000000003E-3</v>
      </c>
      <c r="O2321">
        <v>6.7529959999999998E-3</v>
      </c>
      <c r="P2321">
        <v>-0.92674909999999999</v>
      </c>
      <c r="Q2321">
        <v>0.36321009999999998</v>
      </c>
      <c r="R2321">
        <v>-9.5992460000000002E-2</v>
      </c>
      <c r="S2321">
        <v>-3.3192750000000002</v>
      </c>
      <c r="T2321">
        <v>-0.23779990000000001</v>
      </c>
      <c r="U2321">
        <v>-0.10931399999999999</v>
      </c>
      <c r="V2321">
        <v>-0.1032737</v>
      </c>
      <c r="W2321">
        <v>0.36854170000000003</v>
      </c>
      <c r="X2321">
        <v>0.92385689999999998</v>
      </c>
      <c r="Y2321">
        <v>-3.9539619999999998E-2</v>
      </c>
      <c r="Z2321">
        <v>-1.9765249999999998E-3</v>
      </c>
      <c r="AA2321">
        <v>0.99921599999999999</v>
      </c>
      <c r="AB2321">
        <v>50</v>
      </c>
      <c r="AC2321">
        <v>-15.2165999999999</v>
      </c>
      <c r="AD2321">
        <v>-1.1103613751120001</v>
      </c>
      <c r="AE2321">
        <v>-0.512399999999956</v>
      </c>
      <c r="AF2321">
        <v>-0.61189339970782797</v>
      </c>
      <c r="AG2321">
        <v>-1.1103613751120001</v>
      </c>
      <c r="AH2321">
        <v>15.132309293661301</v>
      </c>
      <c r="AI2321">
        <v>94.193248938101405</v>
      </c>
      <c r="AJ2321">
        <v>92.315563290836096</v>
      </c>
      <c r="AK2321">
        <v>15.1853251685624</v>
      </c>
      <c r="AL2321">
        <v>68.374291925912601</v>
      </c>
      <c r="AM2321">
        <v>96.378350875468897</v>
      </c>
      <c r="AN2321">
        <v>1.00000000671409</v>
      </c>
    </row>
    <row r="2322" spans="1:40" x14ac:dyDescent="0.25">
      <c r="A2322" t="str">
        <f>"20190304164135654"</f>
        <v>20190304164135654</v>
      </c>
      <c r="B2322" t="str">
        <f>"1551688895643567"</f>
        <v>1551688895643567</v>
      </c>
      <c r="C2322" t="s">
        <v>40</v>
      </c>
      <c r="D2322">
        <v>4.1852049999999998</v>
      </c>
      <c r="E2322">
        <v>0.53651490000000002</v>
      </c>
      <c r="F2322" t="s">
        <v>47</v>
      </c>
      <c r="G2322">
        <v>-302.41539999999998</v>
      </c>
      <c r="H2322" s="1">
        <v>3.5879629999999998E-6</v>
      </c>
      <c r="I2322">
        <v>284.02370000000002</v>
      </c>
      <c r="J2322">
        <v>-287.24779999999998</v>
      </c>
      <c r="K2322">
        <v>1.110363</v>
      </c>
      <c r="L2322">
        <v>284.54809999999998</v>
      </c>
      <c r="M2322">
        <v>-0.99996160000000001</v>
      </c>
      <c r="N2322">
        <v>-6.1079280000000003E-3</v>
      </c>
      <c r="O2322">
        <v>6.2931690000000004E-3</v>
      </c>
      <c r="P2322">
        <v>-0.9267495</v>
      </c>
      <c r="Q2322">
        <v>0.3629848</v>
      </c>
      <c r="R2322">
        <v>-9.6839430000000004E-2</v>
      </c>
      <c r="S2322">
        <v>-3.3190919999999999</v>
      </c>
      <c r="T2322">
        <v>-0.23884830000000001</v>
      </c>
      <c r="U2322">
        <v>-0.1124573</v>
      </c>
      <c r="V2322">
        <v>-0.1036892</v>
      </c>
      <c r="W2322">
        <v>0.36834889999999998</v>
      </c>
      <c r="X2322">
        <v>0.92388729999999997</v>
      </c>
      <c r="Y2322">
        <v>-4.0025709999999999E-2</v>
      </c>
      <c r="Z2322">
        <v>-1.9741210000000001E-3</v>
      </c>
      <c r="AA2322">
        <v>0.99919669999999905</v>
      </c>
      <c r="AB2322">
        <v>50</v>
      </c>
      <c r="AC2322">
        <v>-15.167599999999901</v>
      </c>
      <c r="AD2322">
        <v>-1.1103594120369999</v>
      </c>
      <c r="AE2322">
        <v>-0.52439999999995701</v>
      </c>
      <c r="AF2322">
        <v>-0.61654347549878097</v>
      </c>
      <c r="AG2322">
        <v>-1.1103594120369999</v>
      </c>
      <c r="AH2322">
        <v>15.083262940541699</v>
      </c>
      <c r="AI2322">
        <v>94.206753049009805</v>
      </c>
      <c r="AJ2322">
        <v>92.340719276321096</v>
      </c>
      <c r="AK2322">
        <v>15.136639151892201</v>
      </c>
      <c r="AL2322">
        <v>68.386175542124207</v>
      </c>
      <c r="AM2322">
        <v>96.403591107752106</v>
      </c>
      <c r="AN2322">
        <v>1.0000000527145601</v>
      </c>
    </row>
    <row r="2323" spans="1:40" x14ac:dyDescent="0.25">
      <c r="A2323" t="str">
        <f>"20190304164135666"</f>
        <v>20190304164135666</v>
      </c>
      <c r="B2323" t="str">
        <f>"1551688895663085"</f>
        <v>1551688895663085</v>
      </c>
      <c r="C2323" t="s">
        <v>40</v>
      </c>
      <c r="D2323">
        <v>4.1858370000000003</v>
      </c>
      <c r="E2323">
        <v>0.5365335</v>
      </c>
      <c r="F2323" t="s">
        <v>47</v>
      </c>
      <c r="G2323">
        <v>-302.63170000000002</v>
      </c>
      <c r="H2323" s="1">
        <v>3.550409E-6</v>
      </c>
      <c r="I2323">
        <v>284.01440000000002</v>
      </c>
      <c r="J2323">
        <v>-287.50839999999999</v>
      </c>
      <c r="K2323">
        <v>1.1103559999999999</v>
      </c>
      <c r="L2323">
        <v>284.54969999999997</v>
      </c>
      <c r="M2323">
        <v>-0.99996419999999997</v>
      </c>
      <c r="N2323">
        <v>-6.1424909999999999E-3</v>
      </c>
      <c r="O2323">
        <v>5.8436570000000004E-3</v>
      </c>
      <c r="P2323">
        <v>-0.92669729999999995</v>
      </c>
      <c r="Q2323">
        <v>0.36288359999999997</v>
      </c>
      <c r="R2323">
        <v>-9.7713850000000005E-2</v>
      </c>
      <c r="S2323">
        <v>-3.3189090000000001</v>
      </c>
      <c r="T2323">
        <v>-0.2395486</v>
      </c>
      <c r="U2323">
        <v>-0.1151428</v>
      </c>
      <c r="V2323">
        <v>-0.1041421</v>
      </c>
      <c r="W2323">
        <v>0.3682802</v>
      </c>
      <c r="X2323">
        <v>0.92386369999999896</v>
      </c>
      <c r="Y2323">
        <v>-4.038518E-2</v>
      </c>
      <c r="Z2323">
        <v>-1.964627E-3</v>
      </c>
      <c r="AA2323">
        <v>0.99918229999999997</v>
      </c>
      <c r="AB2323">
        <v>50</v>
      </c>
      <c r="AC2323">
        <v>-15.1233</v>
      </c>
      <c r="AD2323">
        <v>-1.110352449591</v>
      </c>
      <c r="AE2323">
        <v>-0.53529999999994904</v>
      </c>
      <c r="AF2323">
        <v>-0.62032820122331001</v>
      </c>
      <c r="AG2323">
        <v>-1.110352449591</v>
      </c>
      <c r="AH2323">
        <v>15.0389476821233</v>
      </c>
      <c r="AI2323">
        <v>94.219013903782695</v>
      </c>
      <c r="AJ2323">
        <v>92.362003772254695</v>
      </c>
      <c r="AK2323">
        <v>15.092635191549199</v>
      </c>
      <c r="AL2323">
        <v>68.390408414530796</v>
      </c>
      <c r="AM2323">
        <v>96.431490167886594</v>
      </c>
      <c r="AN2323">
        <v>1.0000000094410599</v>
      </c>
    </row>
    <row r="2324" spans="1:40" x14ac:dyDescent="0.25">
      <c r="A2324" t="str">
        <f>"20190304164135678"</f>
        <v>20190304164135678</v>
      </c>
      <c r="B2324" t="str">
        <f>"1551688895672846"</f>
        <v>1551688895672846</v>
      </c>
      <c r="C2324" t="s">
        <v>40</v>
      </c>
      <c r="D2324">
        <v>4.1937980000000001</v>
      </c>
      <c r="E2324">
        <v>0.53654780000000002</v>
      </c>
      <c r="F2324" t="s">
        <v>47</v>
      </c>
      <c r="G2324">
        <v>-302.85919999999999</v>
      </c>
      <c r="H2324" s="1">
        <v>3.511202E-6</v>
      </c>
      <c r="I2324">
        <v>284.00119999999998</v>
      </c>
      <c r="J2324">
        <v>-287.77629999999999</v>
      </c>
      <c r="K2324">
        <v>1.110347</v>
      </c>
      <c r="L2324">
        <v>284.55110000000002</v>
      </c>
      <c r="M2324">
        <v>-0.99996649999999998</v>
      </c>
      <c r="N2324">
        <v>-6.177554E-3</v>
      </c>
      <c r="O2324">
        <v>5.3940280000000004E-3</v>
      </c>
      <c r="P2324">
        <v>-0.92666720000000002</v>
      </c>
      <c r="Q2324">
        <v>0.36272870000000002</v>
      </c>
      <c r="R2324">
        <v>-9.8570729999999995E-2</v>
      </c>
      <c r="S2324">
        <v>-3.3187869999999999</v>
      </c>
      <c r="T2324">
        <v>-0.24005380000000001</v>
      </c>
      <c r="U2324">
        <v>-0.1185913</v>
      </c>
      <c r="V2324">
        <v>-0.104577</v>
      </c>
      <c r="W2324">
        <v>0.36815779999999998</v>
      </c>
      <c r="X2324">
        <v>0.9238634</v>
      </c>
      <c r="Y2324">
        <v>-4.0972870000000002E-2</v>
      </c>
      <c r="Z2324">
        <v>-1.9624569999999999E-3</v>
      </c>
      <c r="AA2324">
        <v>0.99915830000000005</v>
      </c>
      <c r="AB2324">
        <v>50</v>
      </c>
      <c r="AC2324">
        <v>-15.082899999999899</v>
      </c>
      <c r="AD2324">
        <v>-1.1103434887979999</v>
      </c>
      <c r="AE2324">
        <v>-0.54990000000003603</v>
      </c>
      <c r="AF2324">
        <v>-0.62785310491204505</v>
      </c>
      <c r="AG2324">
        <v>-1.1103434887979999</v>
      </c>
      <c r="AH2324">
        <v>14.9985403066202</v>
      </c>
      <c r="AI2324">
        <v>94.230197919420405</v>
      </c>
      <c r="AJ2324">
        <v>92.397056107145801</v>
      </c>
      <c r="AK2324">
        <v>15.0526832662411</v>
      </c>
      <c r="AL2324">
        <v>68.397952274896397</v>
      </c>
      <c r="AM2324">
        <v>96.458123869112995</v>
      </c>
      <c r="AN2324">
        <v>1.00000004824469</v>
      </c>
    </row>
    <row r="2325" spans="1:40" x14ac:dyDescent="0.25">
      <c r="A2325" t="str">
        <f>"20190304164135692"</f>
        <v>20190304164135692</v>
      </c>
      <c r="B2325" t="str">
        <f>"1551688895683582"</f>
        <v>1551688895683582</v>
      </c>
      <c r="C2325" t="s">
        <v>40</v>
      </c>
      <c r="D2325">
        <v>4.1943239999999999</v>
      </c>
      <c r="E2325">
        <v>0.53656159999999997</v>
      </c>
      <c r="F2325" t="s">
        <v>47</v>
      </c>
      <c r="G2325">
        <v>-303.07709999999997</v>
      </c>
      <c r="H2325" s="1">
        <v>3.4739380000000001E-6</v>
      </c>
      <c r="I2325">
        <v>283.98540000000003</v>
      </c>
      <c r="J2325">
        <v>-288.08190000000002</v>
      </c>
      <c r="K2325">
        <v>1.1103369999999999</v>
      </c>
      <c r="L2325">
        <v>284.55270000000002</v>
      </c>
      <c r="M2325">
        <v>-0.99996859999999999</v>
      </c>
      <c r="N2325">
        <v>-6.2164869999999997E-3</v>
      </c>
      <c r="O2325">
        <v>4.8946780000000004E-3</v>
      </c>
      <c r="P2325">
        <v>-0.92674920000000005</v>
      </c>
      <c r="Q2325">
        <v>0.3622708</v>
      </c>
      <c r="R2325">
        <v>-9.9476640000000005E-2</v>
      </c>
      <c r="S2325">
        <v>-3.3186339999999999</v>
      </c>
      <c r="T2325">
        <v>-0.2408255</v>
      </c>
      <c r="U2325">
        <v>-0.12271120000000001</v>
      </c>
      <c r="V2325">
        <v>-0.1050143</v>
      </c>
      <c r="W2325">
        <v>0.36773749999999999</v>
      </c>
      <c r="X2325">
        <v>0.9239811</v>
      </c>
      <c r="Y2325">
        <v>-4.1712440000000003E-2</v>
      </c>
      <c r="Z2325">
        <v>-1.9651030000000002E-3</v>
      </c>
      <c r="AA2325">
        <v>0.99912769999999995</v>
      </c>
      <c r="AB2325">
        <v>50</v>
      </c>
      <c r="AC2325">
        <v>-14.995199999999899</v>
      </c>
      <c r="AD2325">
        <v>-1.110333526062</v>
      </c>
      <c r="AE2325">
        <v>-0.56729999999998804</v>
      </c>
      <c r="AF2325">
        <v>-0.63720264377348401</v>
      </c>
      <c r="AG2325">
        <v>-1.110333526062</v>
      </c>
      <c r="AH2325">
        <v>14.910608522123701</v>
      </c>
      <c r="AI2325">
        <v>94.254858691896601</v>
      </c>
      <c r="AJ2325">
        <v>92.447037716099004</v>
      </c>
      <c r="AK2325">
        <v>14.9654640505518</v>
      </c>
      <c r="AL2325">
        <v>68.423848830877304</v>
      </c>
      <c r="AM2325">
        <v>96.484080606789206</v>
      </c>
      <c r="AN2325">
        <v>0.999999972633974</v>
      </c>
    </row>
    <row r="2326" spans="1:40" x14ac:dyDescent="0.25">
      <c r="A2326" t="str">
        <f>"20190304164135709"</f>
        <v>20190304164135709</v>
      </c>
      <c r="B2326" t="str">
        <f>"1551688895703102"</f>
        <v>1551688895703102</v>
      </c>
      <c r="C2326" t="s">
        <v>40</v>
      </c>
      <c r="D2326">
        <v>4.1887089999999896</v>
      </c>
      <c r="E2326">
        <v>0.53658899999999998</v>
      </c>
      <c r="F2326" t="s">
        <v>47</v>
      </c>
      <c r="G2326">
        <v>-303.26839999999999</v>
      </c>
      <c r="H2326" s="1">
        <v>3.440916E-6</v>
      </c>
      <c r="I2326">
        <v>283.97489999999999</v>
      </c>
      <c r="J2326">
        <v>-288.45979999999997</v>
      </c>
      <c r="K2326">
        <v>1.1103229999999999</v>
      </c>
      <c r="L2326">
        <v>284.55430000000001</v>
      </c>
      <c r="M2326">
        <v>-0.99997130000000001</v>
      </c>
      <c r="N2326">
        <v>-6.2632800000000004E-3</v>
      </c>
      <c r="O2326">
        <v>4.2893890000000002E-3</v>
      </c>
      <c r="P2326">
        <v>-0.92672980000000005</v>
      </c>
      <c r="Q2326">
        <v>0.36205179999999998</v>
      </c>
      <c r="R2326">
        <v>-0.10045370000000001</v>
      </c>
      <c r="S2326">
        <v>-3.31839</v>
      </c>
      <c r="T2326">
        <v>-0.24261869999999999</v>
      </c>
      <c r="U2326">
        <v>-0.12625120000000001</v>
      </c>
      <c r="V2326">
        <v>-0.10542260000000001</v>
      </c>
      <c r="W2326">
        <v>0.36756270000000002</v>
      </c>
      <c r="X2326">
        <v>0.92400409999999999</v>
      </c>
      <c r="Y2326">
        <v>-4.2172809999999998E-2</v>
      </c>
      <c r="Z2326">
        <v>-1.9576620000000002E-3</v>
      </c>
      <c r="AA2326">
        <v>0.99910840000000001</v>
      </c>
      <c r="AB2326">
        <v>50</v>
      </c>
      <c r="AC2326">
        <v>-14.8086</v>
      </c>
      <c r="AD2326">
        <v>-1.110319559084</v>
      </c>
      <c r="AE2326">
        <v>-0.57940000000002101</v>
      </c>
      <c r="AF2326">
        <v>-0.63932713988465495</v>
      </c>
      <c r="AG2326">
        <v>-1.110319559084</v>
      </c>
      <c r="AH2326">
        <v>14.7233347271222</v>
      </c>
      <c r="AI2326">
        <v>94.308594967272498</v>
      </c>
      <c r="AJ2326">
        <v>92.486376267189002</v>
      </c>
      <c r="AK2326">
        <v>14.778976087738901</v>
      </c>
      <c r="AL2326">
        <v>68.434617194363895</v>
      </c>
      <c r="AM2326">
        <v>96.508914414196596</v>
      </c>
      <c r="AN2326">
        <v>0.99999991991942605</v>
      </c>
    </row>
    <row r="2327" spans="1:40" x14ac:dyDescent="0.25">
      <c r="A2327" t="str">
        <f>"20190304164135724"</f>
        <v>20190304164135724</v>
      </c>
      <c r="B2327" t="str">
        <f>"1551688895713839"</f>
        <v>1551688895713839</v>
      </c>
      <c r="C2327" t="s">
        <v>40</v>
      </c>
      <c r="D2327">
        <v>4.7577759999999998</v>
      </c>
      <c r="E2327">
        <v>0.53660819999999998</v>
      </c>
      <c r="F2327" t="s">
        <v>47</v>
      </c>
      <c r="G2327">
        <v>-303.61279999999999</v>
      </c>
      <c r="H2327" s="1">
        <v>3.3814189999999998E-6</v>
      </c>
      <c r="I2327">
        <v>283.95670000000001</v>
      </c>
      <c r="J2327">
        <v>-288.79160000000002</v>
      </c>
      <c r="K2327">
        <v>1.110311</v>
      </c>
      <c r="L2327">
        <v>284.55560000000003</v>
      </c>
      <c r="M2327">
        <v>-0.99997309999999995</v>
      </c>
      <c r="N2327">
        <v>-6.3029770000000004E-3</v>
      </c>
      <c r="O2327">
        <v>3.767861E-3</v>
      </c>
      <c r="P2327">
        <v>-0.92670019999999997</v>
      </c>
      <c r="Q2327">
        <v>0.3619946</v>
      </c>
      <c r="R2327">
        <v>-0.1009284</v>
      </c>
      <c r="S2327">
        <v>-3.3179630000000002</v>
      </c>
      <c r="T2327">
        <v>-0.2431208</v>
      </c>
      <c r="U2327">
        <v>-0.13085939999999999</v>
      </c>
      <c r="V2327">
        <v>-0.1054085</v>
      </c>
      <c r="W2327">
        <v>0.36754369999999997</v>
      </c>
      <c r="X2327">
        <v>0.92401330000000004</v>
      </c>
      <c r="Y2327">
        <v>-4.3040189999999999E-2</v>
      </c>
      <c r="Z2327">
        <v>-1.9619419999999999E-3</v>
      </c>
      <c r="AA2327">
        <v>0.99907140000000005</v>
      </c>
      <c r="AB2327">
        <v>50</v>
      </c>
      <c r="AC2327">
        <v>-14.8211999999999</v>
      </c>
      <c r="AD2327">
        <v>-1.1103076185809999</v>
      </c>
      <c r="AE2327">
        <v>-0.59890000000001398</v>
      </c>
      <c r="AF2327">
        <v>-0.65109307921272097</v>
      </c>
      <c r="AG2327">
        <v>-1.1103076185809999</v>
      </c>
      <c r="AH2327">
        <v>14.7362725993101</v>
      </c>
      <c r="AI2327">
        <v>94.304637743900599</v>
      </c>
      <c r="AJ2327">
        <v>92.529855421026497</v>
      </c>
      <c r="AK2327">
        <v>14.7923776089869</v>
      </c>
      <c r="AL2327">
        <v>68.435788452443504</v>
      </c>
      <c r="AM2327">
        <v>96.507987090872803</v>
      </c>
      <c r="AN2327">
        <v>0.99999995092941296</v>
      </c>
    </row>
    <row r="2328" spans="1:40" x14ac:dyDescent="0.25">
      <c r="A2328" t="str">
        <f>"20190304164135739"</f>
        <v>20190304164135739</v>
      </c>
      <c r="B2328" t="str">
        <f>"1551688895733358"</f>
        <v>1551688895733358</v>
      </c>
      <c r="C2328" t="s">
        <v>40</v>
      </c>
      <c r="D2328">
        <v>4.1668779999999996</v>
      </c>
      <c r="E2328">
        <v>0.53665350000000001</v>
      </c>
      <c r="F2328" t="s">
        <v>47</v>
      </c>
      <c r="G2328">
        <v>-303.9495</v>
      </c>
      <c r="H2328" s="1">
        <v>3.3223879999999998E-6</v>
      </c>
      <c r="I2328">
        <v>283.94869999999997</v>
      </c>
      <c r="J2328">
        <v>-289.12020000000001</v>
      </c>
      <c r="K2328">
        <v>1.110301</v>
      </c>
      <c r="L2328">
        <v>284.55669999999998</v>
      </c>
      <c r="M2328">
        <v>-0.99997469999999999</v>
      </c>
      <c r="N2328">
        <v>-6.3402819999999896E-3</v>
      </c>
      <c r="O2328">
        <v>3.259751E-3</v>
      </c>
      <c r="P2328">
        <v>-0.92672180000000004</v>
      </c>
      <c r="Q2328">
        <v>0.3617842</v>
      </c>
      <c r="R2328">
        <v>-0.1014849</v>
      </c>
      <c r="S2328">
        <v>-3.3177490000000001</v>
      </c>
      <c r="T2328">
        <v>-0.2430233</v>
      </c>
      <c r="U2328">
        <v>-0.13284299999999999</v>
      </c>
      <c r="V2328">
        <v>-0.105489</v>
      </c>
      <c r="W2328">
        <v>0.36736940000000001</v>
      </c>
      <c r="X2328">
        <v>0.92407349999999999</v>
      </c>
      <c r="Y2328">
        <v>-4.3132360000000002E-2</v>
      </c>
      <c r="Z2328">
        <v>-1.9316890000000001E-3</v>
      </c>
      <c r="AA2328">
        <v>0.9990675</v>
      </c>
      <c r="AB2328">
        <v>50</v>
      </c>
      <c r="AC2328">
        <v>-14.8292999999999</v>
      </c>
      <c r="AD2328">
        <v>-1.1102976776119999</v>
      </c>
      <c r="AE2328">
        <v>-0.60800000000000398</v>
      </c>
      <c r="AF2328">
        <v>-0.65268488080263198</v>
      </c>
      <c r="AG2328">
        <v>-1.1102976776119999</v>
      </c>
      <c r="AH2328">
        <v>14.744721996215</v>
      </c>
      <c r="AI2328">
        <v>94.302126247148095</v>
      </c>
      <c r="AJ2328">
        <v>92.534581015933895</v>
      </c>
      <c r="AK2328">
        <v>14.8008643407136</v>
      </c>
      <c r="AL2328">
        <v>68.446527868381594</v>
      </c>
      <c r="AM2328">
        <v>96.512493877188803</v>
      </c>
      <c r="AN2328">
        <v>1.0000000192898</v>
      </c>
    </row>
    <row r="2329" spans="1:40" x14ac:dyDescent="0.25">
      <c r="A2329" t="str">
        <f>"20190304164135751"</f>
        <v>20190304164135751</v>
      </c>
      <c r="B2329" t="str">
        <f>"1551688895743118"</f>
        <v>1551688895743118</v>
      </c>
      <c r="C2329" t="s">
        <v>40</v>
      </c>
      <c r="D2329">
        <v>4.1850559999999897</v>
      </c>
      <c r="E2329">
        <v>0.53665109999999905</v>
      </c>
      <c r="F2329" t="s">
        <v>47</v>
      </c>
      <c r="G2329">
        <v>-304.26690000000002</v>
      </c>
      <c r="H2329" s="1">
        <v>3.266594E-6</v>
      </c>
      <c r="I2329">
        <v>283.94290000000001</v>
      </c>
      <c r="J2329">
        <v>-289.4228</v>
      </c>
      <c r="K2329">
        <v>1.11029</v>
      </c>
      <c r="L2329">
        <v>284.55759999999998</v>
      </c>
      <c r="M2329">
        <v>-0.99997590000000003</v>
      </c>
      <c r="N2329">
        <v>-6.3729619999999898E-3</v>
      </c>
      <c r="O2329">
        <v>2.7962400000000002E-3</v>
      </c>
      <c r="P2329">
        <v>-0.92656240000000001</v>
      </c>
      <c r="Q2329">
        <v>0.36228300000000002</v>
      </c>
      <c r="R2329">
        <v>-0.1011615</v>
      </c>
      <c r="S2329">
        <v>-3.3174739999999998</v>
      </c>
      <c r="T2329">
        <v>-0.24318129999999999</v>
      </c>
      <c r="U2329">
        <v>-0.13442989999999999</v>
      </c>
      <c r="V2329">
        <v>-0.10473209999999999</v>
      </c>
      <c r="W2329">
        <v>0.3679016</v>
      </c>
      <c r="X2329">
        <v>0.92394790000000004</v>
      </c>
      <c r="Y2329">
        <v>-4.3150470000000003E-2</v>
      </c>
      <c r="Z2329">
        <v>-1.9033520000000001E-3</v>
      </c>
      <c r="AA2329">
        <v>0.99906680000000003</v>
      </c>
      <c r="AB2329">
        <v>50</v>
      </c>
      <c r="AC2329">
        <v>-14.844099999999999</v>
      </c>
      <c r="AD2329">
        <v>-1.110286733406</v>
      </c>
      <c r="AE2329">
        <v>-0.61469999999997005</v>
      </c>
      <c r="AF2329">
        <v>-0.65256158414909304</v>
      </c>
      <c r="AG2329">
        <v>-1.110286733406</v>
      </c>
      <c r="AH2329">
        <v>14.7598899914162</v>
      </c>
      <c r="AI2329">
        <v>94.297689716466806</v>
      </c>
      <c r="AJ2329">
        <v>92.531502060161003</v>
      </c>
      <c r="AK2329">
        <v>14.815968608572099</v>
      </c>
      <c r="AL2329">
        <v>68.413739782848495</v>
      </c>
      <c r="AM2329">
        <v>96.467034441404294</v>
      </c>
      <c r="AN2329">
        <v>1.0000000609836801</v>
      </c>
    </row>
    <row r="2330" spans="1:40" x14ac:dyDescent="0.25">
      <c r="A2330" t="str">
        <f>"20190304164135764"</f>
        <v>20190304164135764</v>
      </c>
      <c r="B2330" t="str">
        <f>"1551688895752878"</f>
        <v>1551688895752878</v>
      </c>
      <c r="C2330" t="s">
        <v>40</v>
      </c>
      <c r="D2330">
        <v>4.162388</v>
      </c>
      <c r="E2330">
        <v>0.53666599999999998</v>
      </c>
      <c r="F2330" t="s">
        <v>47</v>
      </c>
      <c r="G2330">
        <v>-304.71170000000001</v>
      </c>
      <c r="H2330" s="1">
        <v>3.1875910000000002E-6</v>
      </c>
      <c r="I2330">
        <v>283.94409999999999</v>
      </c>
      <c r="J2330">
        <v>-289.69240000000002</v>
      </c>
      <c r="K2330">
        <v>1.1102799999999999</v>
      </c>
      <c r="L2330">
        <v>284.5582</v>
      </c>
      <c r="M2330">
        <v>-0.99997670000000005</v>
      </c>
      <c r="N2330">
        <v>-6.4012720000000004E-3</v>
      </c>
      <c r="O2330">
        <v>2.385313E-3</v>
      </c>
      <c r="P2330">
        <v>-0.92661119999999997</v>
      </c>
      <c r="Q2330">
        <v>0.36226720000000001</v>
      </c>
      <c r="R2330">
        <v>-0.10076739999999999</v>
      </c>
      <c r="S2330">
        <v>-3.3174440000000001</v>
      </c>
      <c r="T2330">
        <v>-0.24091370000000001</v>
      </c>
      <c r="U2330">
        <v>-0.13311770000000001</v>
      </c>
      <c r="V2330">
        <v>-0.1039534</v>
      </c>
      <c r="W2330">
        <v>0.3679152</v>
      </c>
      <c r="X2330">
        <v>0.92403040000000003</v>
      </c>
      <c r="Y2330">
        <v>-4.2351229999999997E-2</v>
      </c>
      <c r="Z2330">
        <v>-1.828625E-3</v>
      </c>
      <c r="AA2330">
        <v>0.99910109999999996</v>
      </c>
      <c r="AB2330">
        <v>50</v>
      </c>
      <c r="AC2330">
        <v>-15.0192999999999</v>
      </c>
      <c r="AD2330">
        <v>-1.1102768124089999</v>
      </c>
      <c r="AE2330">
        <v>-0.61410000000000697</v>
      </c>
      <c r="AF2330">
        <v>-0.64639826589511495</v>
      </c>
      <c r="AG2330">
        <v>-1.1102768124089999</v>
      </c>
      <c r="AH2330">
        <v>14.9363068055412</v>
      </c>
      <c r="AI2330">
        <v>94.247250274629806</v>
      </c>
      <c r="AJ2330">
        <v>92.478042094227405</v>
      </c>
      <c r="AK2330">
        <v>14.9914577779341</v>
      </c>
      <c r="AL2330">
        <v>68.412901353183301</v>
      </c>
      <c r="AM2330">
        <v>96.418785505610302</v>
      </c>
      <c r="AN2330">
        <v>1.0000000419433701</v>
      </c>
    </row>
    <row r="2331" spans="1:40" x14ac:dyDescent="0.25">
      <c r="A2331" t="str">
        <f>"20190304164135777"</f>
        <v>20190304164135777</v>
      </c>
      <c r="B2331" t="str">
        <f>"1551688895763614"</f>
        <v>1551688895763614</v>
      </c>
      <c r="C2331" t="s">
        <v>40</v>
      </c>
      <c r="D2331">
        <v>4.2013800000000003</v>
      </c>
      <c r="E2331">
        <v>0.53666159999999996</v>
      </c>
      <c r="F2331" t="s">
        <v>47</v>
      </c>
      <c r="G2331">
        <v>-305.00450000000001</v>
      </c>
      <c r="H2331" s="1">
        <v>3.1348620000000001E-6</v>
      </c>
      <c r="I2331">
        <v>283.95319999999998</v>
      </c>
      <c r="J2331">
        <v>-289.98399999999998</v>
      </c>
      <c r="K2331">
        <v>1.1102669999999999</v>
      </c>
      <c r="L2331">
        <v>284.55869999999999</v>
      </c>
      <c r="M2331">
        <v>-0.99997749999999996</v>
      </c>
      <c r="N2331">
        <v>-6.4303509999999999E-3</v>
      </c>
      <c r="O2331">
        <v>1.9435730000000001E-3</v>
      </c>
      <c r="P2331">
        <v>-0.92672520000000003</v>
      </c>
      <c r="Q2331">
        <v>0.36198849999999999</v>
      </c>
      <c r="R2331">
        <v>-0.10072209999999999</v>
      </c>
      <c r="S2331">
        <v>-3.317383</v>
      </c>
      <c r="T2331">
        <v>-0.24054210000000001</v>
      </c>
      <c r="U2331">
        <v>-0.131073</v>
      </c>
      <c r="V2331">
        <v>-0.1034933</v>
      </c>
      <c r="W2331">
        <v>0.36766700000000002</v>
      </c>
      <c r="X2331">
        <v>0.92418080000000002</v>
      </c>
      <c r="Y2331">
        <v>-4.1300049999999998E-2</v>
      </c>
      <c r="Z2331">
        <v>-1.7560220000000001E-3</v>
      </c>
      <c r="AA2331">
        <v>0.99914530000000001</v>
      </c>
      <c r="AB2331">
        <v>50</v>
      </c>
      <c r="AC2331">
        <v>-15.020499999999901</v>
      </c>
      <c r="AD2331">
        <v>-1.1102638651379999</v>
      </c>
      <c r="AE2331">
        <v>-0.60550000000000603</v>
      </c>
      <c r="AF2331">
        <v>-0.63124955909910896</v>
      </c>
      <c r="AG2331">
        <v>-1.1102638651379999</v>
      </c>
      <c r="AH2331">
        <v>14.937812062735601</v>
      </c>
      <c r="AI2331">
        <v>94.246958482143796</v>
      </c>
      <c r="AJ2331">
        <v>92.419794084002703</v>
      </c>
      <c r="AK2331">
        <v>14.9923110652662</v>
      </c>
      <c r="AL2331">
        <v>68.428193524648506</v>
      </c>
      <c r="AM2331">
        <v>96.3895799752908</v>
      </c>
      <c r="AN2331">
        <v>1.0000000185612601</v>
      </c>
    </row>
    <row r="2332" spans="1:40" x14ac:dyDescent="0.25">
      <c r="A2332" t="str">
        <f>"20190304164135789"</f>
        <v>20190304164135789</v>
      </c>
      <c r="B2332" t="str">
        <f>"1551688895783135"</f>
        <v>1551688895783135</v>
      </c>
      <c r="C2332" t="s">
        <v>40</v>
      </c>
      <c r="D2332">
        <v>4.1903560000000004</v>
      </c>
      <c r="E2332">
        <v>0.53666650000000005</v>
      </c>
      <c r="F2332" t="s">
        <v>47</v>
      </c>
      <c r="G2332">
        <v>-305.26749999999998</v>
      </c>
      <c r="H2332" s="1">
        <v>3.0877480000000002E-6</v>
      </c>
      <c r="I2332">
        <v>283.95830000000001</v>
      </c>
      <c r="J2332">
        <v>-290.2636</v>
      </c>
      <c r="K2332">
        <v>1.1102590000000001</v>
      </c>
      <c r="L2332">
        <v>284.5591</v>
      </c>
      <c r="M2332">
        <v>-0.99997800000000003</v>
      </c>
      <c r="N2332">
        <v>-6.4570809999999999E-3</v>
      </c>
      <c r="O2332">
        <v>1.52121299999999E-3</v>
      </c>
      <c r="P2332">
        <v>-0.92680410000000002</v>
      </c>
      <c r="Q2332">
        <v>0.36190070000000002</v>
      </c>
      <c r="R2332">
        <v>-0.1003098</v>
      </c>
      <c r="S2332">
        <v>-3.3171689999999998</v>
      </c>
      <c r="T2332">
        <v>-0.2409743</v>
      </c>
      <c r="U2332">
        <v>-0.13031010000000001</v>
      </c>
      <c r="V2332">
        <v>-0.1026854</v>
      </c>
      <c r="W2332">
        <v>0.36760799999999999</v>
      </c>
      <c r="X2332">
        <v>0.92429439999999996</v>
      </c>
      <c r="Y2332">
        <v>-4.0653429999999997E-2</v>
      </c>
      <c r="Z2332">
        <v>-1.7061209999999999E-3</v>
      </c>
      <c r="AA2332">
        <v>0.9991719</v>
      </c>
      <c r="AB2332">
        <v>50</v>
      </c>
      <c r="AC2332">
        <v>-15.0038999999999</v>
      </c>
      <c r="AD2332">
        <v>-1.1102559122519999</v>
      </c>
      <c r="AE2332">
        <v>-0.60079999999999201</v>
      </c>
      <c r="AF2332">
        <v>-0.62023314840718102</v>
      </c>
      <c r="AG2332">
        <v>-1.1102559122519999</v>
      </c>
      <c r="AH2332">
        <v>14.921394727425399</v>
      </c>
      <c r="AI2332">
        <v>94.251706360411106</v>
      </c>
      <c r="AJ2332">
        <v>92.380226304238604</v>
      </c>
      <c r="AK2332">
        <v>14.975492578233</v>
      </c>
      <c r="AL2332">
        <v>68.431828921184803</v>
      </c>
      <c r="AM2332">
        <v>96.339335847283095</v>
      </c>
      <c r="AN2332">
        <v>1.00000003545425</v>
      </c>
    </row>
    <row r="2333" spans="1:40" x14ac:dyDescent="0.25">
      <c r="A2333" t="str">
        <f>"20190304164135801"</f>
        <v>20190304164135801</v>
      </c>
      <c r="B2333" t="str">
        <f>"1551688895792894"</f>
        <v>1551688895792894</v>
      </c>
      <c r="C2333" t="s">
        <v>40</v>
      </c>
      <c r="D2333">
        <v>4.1952590000000001</v>
      </c>
      <c r="E2333">
        <v>0.53668300000000002</v>
      </c>
      <c r="F2333" t="s">
        <v>47</v>
      </c>
      <c r="G2333">
        <v>-305.54590000000002</v>
      </c>
      <c r="H2333" s="1">
        <v>3.0374459999999999E-6</v>
      </c>
      <c r="I2333">
        <v>283.96890000000002</v>
      </c>
      <c r="J2333">
        <v>-290.53410000000002</v>
      </c>
      <c r="K2333">
        <v>1.1102479999999999</v>
      </c>
      <c r="L2333">
        <v>284.55950000000001</v>
      </c>
      <c r="M2333">
        <v>-0.99997840000000005</v>
      </c>
      <c r="N2333">
        <v>-6.4822480000000003E-3</v>
      </c>
      <c r="O2333">
        <v>1.113104E-3</v>
      </c>
      <c r="P2333">
        <v>-0.92687359999999996</v>
      </c>
      <c r="Q2333">
        <v>0.36187839999999999</v>
      </c>
      <c r="R2333">
        <v>-9.9746890000000005E-2</v>
      </c>
      <c r="S2333">
        <v>-3.3172000000000001</v>
      </c>
      <c r="T2333">
        <v>-0.2409935</v>
      </c>
      <c r="U2333">
        <v>-0.1281128</v>
      </c>
      <c r="V2333">
        <v>-0.1017397</v>
      </c>
      <c r="W2333">
        <v>0.36761379999999999</v>
      </c>
      <c r="X2333">
        <v>0.92439660000000001</v>
      </c>
      <c r="Y2333">
        <v>-3.9588329999999998E-2</v>
      </c>
      <c r="Z2333">
        <v>-1.6376839999999999E-3</v>
      </c>
      <c r="AA2333">
        <v>0.99921470000000001</v>
      </c>
      <c r="AB2333">
        <v>50</v>
      </c>
      <c r="AC2333">
        <v>-15.0117999999999</v>
      </c>
      <c r="AD2333">
        <v>-1.1102449625539901</v>
      </c>
      <c r="AE2333">
        <v>-0.59059999999999402</v>
      </c>
      <c r="AF2333">
        <v>-0.60401096115611397</v>
      </c>
      <c r="AG2333">
        <v>-1.1102449625539901</v>
      </c>
      <c r="AH2333">
        <v>14.929597457996801</v>
      </c>
      <c r="AI2333">
        <v>94.249529475025398</v>
      </c>
      <c r="AJ2333">
        <v>92.316768140323305</v>
      </c>
      <c r="AK2333">
        <v>14.983002148297899</v>
      </c>
      <c r="AL2333">
        <v>68.431470177149706</v>
      </c>
      <c r="AM2333">
        <v>96.280732483673802</v>
      </c>
      <c r="AN2333">
        <v>0.999999973299044</v>
      </c>
    </row>
    <row r="2334" spans="1:40" x14ac:dyDescent="0.25">
      <c r="A2334" t="str">
        <f>"20190304164135813"</f>
        <v>20190304164135813</v>
      </c>
      <c r="B2334" t="str">
        <f>"1551688895803630"</f>
        <v>1551688895803630</v>
      </c>
      <c r="C2334" t="s">
        <v>40</v>
      </c>
      <c r="D2334">
        <v>4.1657719999999996</v>
      </c>
      <c r="E2334">
        <v>0.53668300000000002</v>
      </c>
      <c r="F2334" t="s">
        <v>47</v>
      </c>
      <c r="G2334">
        <v>-305.82400000000001</v>
      </c>
      <c r="H2334" s="1">
        <v>2.987117E-6</v>
      </c>
      <c r="I2334">
        <v>283.98039999999997</v>
      </c>
      <c r="J2334">
        <v>-290.79300000000001</v>
      </c>
      <c r="K2334">
        <v>1.1102430000000001</v>
      </c>
      <c r="L2334">
        <v>284.55959999999999</v>
      </c>
      <c r="M2334">
        <v>-0.99997849999999999</v>
      </c>
      <c r="N2334">
        <v>-6.5045579999999997E-3</v>
      </c>
      <c r="O2334">
        <v>7.2348249999999996E-4</v>
      </c>
      <c r="P2334">
        <v>-0.9269906</v>
      </c>
      <c r="Q2334">
        <v>0.36181859999999999</v>
      </c>
      <c r="R2334">
        <v>-9.8874069999999994E-2</v>
      </c>
      <c r="S2334">
        <v>-3.3172000000000001</v>
      </c>
      <c r="T2334">
        <v>-0.24087249999999999</v>
      </c>
      <c r="U2334">
        <v>-0.1256409</v>
      </c>
      <c r="V2334">
        <v>-0.1005011</v>
      </c>
      <c r="W2334">
        <v>0.36758010000000002</v>
      </c>
      <c r="X2334">
        <v>0.92454550000000002</v>
      </c>
      <c r="Y2334">
        <v>-3.8459630000000002E-2</v>
      </c>
      <c r="Z2334">
        <v>-1.5670599999999999E-3</v>
      </c>
      <c r="AA2334">
        <v>0.99925889999999995</v>
      </c>
      <c r="AB2334">
        <v>50</v>
      </c>
      <c r="AC2334">
        <v>-15.031000000000001</v>
      </c>
      <c r="AD2334">
        <v>-1.1102400128829999</v>
      </c>
      <c r="AE2334">
        <v>-0.57920000000001404</v>
      </c>
      <c r="AF2334">
        <v>-0.58687760847801396</v>
      </c>
      <c r="AG2334">
        <v>-1.1102400128829999</v>
      </c>
      <c r="AH2334">
        <v>14.949138512539699</v>
      </c>
      <c r="AI2334">
        <v>94.244177838055407</v>
      </c>
      <c r="AJ2334">
        <v>92.248179802427799</v>
      </c>
      <c r="AK2334">
        <v>15.001793242164</v>
      </c>
      <c r="AL2334">
        <v>68.433546819657195</v>
      </c>
      <c r="AM2334">
        <v>96.203878103380902</v>
      </c>
      <c r="AN2334">
        <v>0.99999999129373496</v>
      </c>
    </row>
    <row r="2335" spans="1:40" x14ac:dyDescent="0.25">
      <c r="A2335" t="str">
        <f>"20190304164135831"</f>
        <v>20190304164135831</v>
      </c>
      <c r="B2335" t="str">
        <f>"1551688895823150"</f>
        <v>1551688895823150</v>
      </c>
      <c r="C2335" t="s">
        <v>40</v>
      </c>
      <c r="D2335">
        <v>4.1780559999999998</v>
      </c>
      <c r="E2335">
        <v>0.54158839999999997</v>
      </c>
      <c r="F2335" t="s">
        <v>47</v>
      </c>
      <c r="G2335">
        <v>-306.06990000000002</v>
      </c>
      <c r="H2335" s="1">
        <v>2.9423140000000002E-6</v>
      </c>
      <c r="I2335">
        <v>283.99400000000003</v>
      </c>
      <c r="J2335">
        <v>-291.20890000000003</v>
      </c>
      <c r="K2335">
        <v>1.1102259999999999</v>
      </c>
      <c r="L2335">
        <v>284.55970000000002</v>
      </c>
      <c r="M2335">
        <v>-0.9999787</v>
      </c>
      <c r="N2335">
        <v>-6.5391049999999999E-3</v>
      </c>
      <c r="O2335" s="1">
        <v>9.7386089999999999E-5</v>
      </c>
      <c r="P2335">
        <v>-0.92712320000000004</v>
      </c>
      <c r="Q2335">
        <v>0.36195090000000002</v>
      </c>
      <c r="R2335">
        <v>-9.7130590000000003E-2</v>
      </c>
      <c r="S2335">
        <v>-3.3173219999999999</v>
      </c>
      <c r="T2335">
        <v>-0.24108489999999999</v>
      </c>
      <c r="U2335">
        <v>-0.12283330000000001</v>
      </c>
      <c r="V2335">
        <v>-9.8171560000000005E-2</v>
      </c>
      <c r="W2335">
        <v>0.36775340000000001</v>
      </c>
      <c r="X2335">
        <v>0.92472679999999996</v>
      </c>
      <c r="Y2335">
        <v>-3.6993350000000001E-2</v>
      </c>
      <c r="Z2335">
        <v>-1.4696069999999999E-3</v>
      </c>
      <c r="AA2335">
        <v>0.99931440000000005</v>
      </c>
      <c r="AB2335">
        <v>50</v>
      </c>
      <c r="AC2335">
        <v>-14.860999999999899</v>
      </c>
      <c r="AD2335">
        <v>-1.1102230576859999</v>
      </c>
      <c r="AE2335">
        <v>-0.56569999999999199</v>
      </c>
      <c r="AF2335">
        <v>-0.56400404107239999</v>
      </c>
      <c r="AG2335">
        <v>-1.1102230576859999</v>
      </c>
      <c r="AH2335">
        <v>14.778582558930999</v>
      </c>
      <c r="AI2335">
        <v>94.293092419726094</v>
      </c>
      <c r="AJ2335">
        <v>92.185553060386894</v>
      </c>
      <c r="AK2335">
        <v>14.8309540572178</v>
      </c>
      <c r="AL2335">
        <v>68.422868362150595</v>
      </c>
      <c r="AM2335">
        <v>96.059980368135896</v>
      </c>
      <c r="AN2335">
        <v>0.99999993652131403</v>
      </c>
    </row>
    <row r="2336" spans="1:40" x14ac:dyDescent="0.25">
      <c r="A2336" t="str">
        <f>"20190304164135844"</f>
        <v>20190304164135844</v>
      </c>
      <c r="B2336" t="str">
        <f>"1551688895832910"</f>
        <v>1551688895832910</v>
      </c>
      <c r="C2336" t="s">
        <v>40</v>
      </c>
      <c r="D2336">
        <v>4.1709170000000002</v>
      </c>
      <c r="E2336">
        <v>0.54170189999999996</v>
      </c>
      <c r="F2336" t="s">
        <v>47</v>
      </c>
      <c r="G2336">
        <v>-309.30419999999998</v>
      </c>
      <c r="H2336" s="1">
        <v>2.355057E-6</v>
      </c>
      <c r="I2336">
        <v>284.14890000000003</v>
      </c>
      <c r="J2336">
        <v>-291.49380000000002</v>
      </c>
      <c r="K2336">
        <v>1.1102129999999999</v>
      </c>
      <c r="L2336">
        <v>284.55959999999999</v>
      </c>
      <c r="M2336">
        <v>-0.99997840000000005</v>
      </c>
      <c r="N2336">
        <v>-6.5617399999999999E-3</v>
      </c>
      <c r="O2336">
        <v>-3.3067980000000001E-4</v>
      </c>
      <c r="P2336">
        <v>-0.92709830000000004</v>
      </c>
      <c r="Q2336">
        <v>0.36216569999999998</v>
      </c>
      <c r="R2336">
        <v>-9.6564410000000003E-2</v>
      </c>
      <c r="S2336">
        <v>-3.3071589999999902</v>
      </c>
      <c r="T2336">
        <v>-0.2029088</v>
      </c>
      <c r="U2336">
        <v>-7.5073239999999999E-2</v>
      </c>
      <c r="V2336">
        <v>-9.7204750000000006E-2</v>
      </c>
      <c r="W2336">
        <v>0.36799290000000001</v>
      </c>
      <c r="X2336">
        <v>0.92473380000000005</v>
      </c>
      <c r="Y2336">
        <v>-2.2317819999999999E-2</v>
      </c>
      <c r="Z2336">
        <v>-7.3912629999999999E-4</v>
      </c>
      <c r="AA2336">
        <v>0.99975069999999999</v>
      </c>
      <c r="AB2336">
        <v>51</v>
      </c>
      <c r="AC2336">
        <v>-17.810399999999898</v>
      </c>
      <c r="AD2336">
        <v>-1.11021064494299</v>
      </c>
      <c r="AE2336">
        <v>-0.41069999999996298</v>
      </c>
      <c r="AF2336">
        <v>-0.40324427864211598</v>
      </c>
      <c r="AG2336">
        <v>-1.11021064494299</v>
      </c>
      <c r="AH2336">
        <v>17.741633737759301</v>
      </c>
      <c r="AI2336">
        <v>93.579782490300502</v>
      </c>
      <c r="AJ2336">
        <v>91.302034432582602</v>
      </c>
      <c r="AK2336">
        <v>17.7809094623756</v>
      </c>
      <c r="AL2336">
        <v>68.408114202070095</v>
      </c>
      <c r="AM2336">
        <v>96.000693170245896</v>
      </c>
      <c r="AN2336">
        <v>1.0000000693677</v>
      </c>
    </row>
    <row r="2337" spans="1:40" x14ac:dyDescent="0.25">
      <c r="A2337" t="str">
        <f>"20190304164135856"</f>
        <v>20190304164135856</v>
      </c>
      <c r="B2337" t="str">
        <f>"1551688895843647"</f>
        <v>1551688895843647</v>
      </c>
      <c r="C2337" t="s">
        <v>40</v>
      </c>
      <c r="D2337">
        <v>4.1837019999999896</v>
      </c>
      <c r="E2337">
        <v>0.54164619999999997</v>
      </c>
      <c r="F2337" t="s">
        <v>47</v>
      </c>
      <c r="G2337">
        <v>-309.57339999999999</v>
      </c>
      <c r="H2337" s="1">
        <v>2.3058279999999999E-6</v>
      </c>
      <c r="I2337">
        <v>284.16570000000002</v>
      </c>
      <c r="J2337">
        <v>-291.77659999999997</v>
      </c>
      <c r="K2337">
        <v>1.1102050000000001</v>
      </c>
      <c r="L2337">
        <v>284.55930000000001</v>
      </c>
      <c r="M2337">
        <v>-0.99997809999999998</v>
      </c>
      <c r="N2337">
        <v>-6.5829080000000002E-3</v>
      </c>
      <c r="O2337">
        <v>-7.553487E-4</v>
      </c>
      <c r="P2337">
        <v>-0.92718149999999999</v>
      </c>
      <c r="Q2337">
        <v>0.36203629999999998</v>
      </c>
      <c r="R2337">
        <v>-9.6250589999999997E-2</v>
      </c>
      <c r="S2337">
        <v>-3.3077390000000002</v>
      </c>
      <c r="T2337">
        <v>-0.2031173</v>
      </c>
      <c r="U2337">
        <v>-7.2052000000000005E-2</v>
      </c>
      <c r="V2337">
        <v>-9.6492990000000001E-2</v>
      </c>
      <c r="W2337">
        <v>0.36788650000000001</v>
      </c>
      <c r="X2337">
        <v>0.92485059999999997</v>
      </c>
      <c r="Y2337">
        <v>-2.0979890000000001E-2</v>
      </c>
      <c r="Z2337">
        <v>-6.7123899999999904E-4</v>
      </c>
      <c r="AA2337">
        <v>0.99977969999999905</v>
      </c>
      <c r="AB2337">
        <v>51</v>
      </c>
      <c r="AC2337">
        <v>-17.796800000000001</v>
      </c>
      <c r="AD2337">
        <v>-1.11020269417199</v>
      </c>
      <c r="AE2337">
        <v>-0.39359999999999201</v>
      </c>
      <c r="AF2337">
        <v>-0.37868386710719398</v>
      </c>
      <c r="AG2337">
        <v>-1.11020269417199</v>
      </c>
      <c r="AH2337">
        <v>17.728136335993302</v>
      </c>
      <c r="AI2337">
        <v>93.582583002003503</v>
      </c>
      <c r="AJ2337">
        <v>91.223686907078104</v>
      </c>
      <c r="AK2337">
        <v>17.766900952077101</v>
      </c>
      <c r="AL2337">
        <v>68.414668890710104</v>
      </c>
      <c r="AM2337">
        <v>95.956324641422995</v>
      </c>
      <c r="AN2337">
        <v>1.00000000316087</v>
      </c>
    </row>
    <row r="2338" spans="1:40" x14ac:dyDescent="0.25">
      <c r="A2338" t="str">
        <f>"20190304164135869"</f>
        <v>20190304164135869</v>
      </c>
      <c r="B2338" t="str">
        <f>"1551688895863165"</f>
        <v>1551688895863165</v>
      </c>
      <c r="C2338" t="s">
        <v>40</v>
      </c>
      <c r="D2338">
        <v>4.1776450000000001</v>
      </c>
      <c r="E2338">
        <v>0.54159869999999899</v>
      </c>
      <c r="F2338" t="s">
        <v>47</v>
      </c>
      <c r="G2338">
        <v>-309.74759999999998</v>
      </c>
      <c r="H2338" s="1">
        <v>2.2744619999999998E-6</v>
      </c>
      <c r="I2338">
        <v>284.17110000000002</v>
      </c>
      <c r="J2338">
        <v>-292.0582</v>
      </c>
      <c r="K2338">
        <v>1.110195</v>
      </c>
      <c r="L2338">
        <v>284.55900000000003</v>
      </c>
      <c r="M2338">
        <v>-0.99997760000000002</v>
      </c>
      <c r="N2338">
        <v>-6.603243E-3</v>
      </c>
      <c r="O2338">
        <v>-1.1784670000000001E-3</v>
      </c>
      <c r="P2338">
        <v>-0.92715570000000003</v>
      </c>
      <c r="Q2338">
        <v>0.36217899999999997</v>
      </c>
      <c r="R2338">
        <v>-9.5962400000000003E-2</v>
      </c>
      <c r="S2338">
        <v>-3.308014</v>
      </c>
      <c r="T2338">
        <v>-0.20435990000000001</v>
      </c>
      <c r="U2338">
        <v>-7.1472170000000002E-2</v>
      </c>
      <c r="V2338">
        <v>-9.5809320000000003E-2</v>
      </c>
      <c r="W2338">
        <v>0.36805090000000001</v>
      </c>
      <c r="X2338">
        <v>0.92485620000000002</v>
      </c>
      <c r="Y2338">
        <v>-2.038129E-2</v>
      </c>
      <c r="Z2338">
        <v>-6.3129760000000005E-4</v>
      </c>
      <c r="AA2338">
        <v>0.99979209999999996</v>
      </c>
      <c r="AB2338">
        <v>51</v>
      </c>
      <c r="AC2338">
        <v>-17.6893999999999</v>
      </c>
      <c r="AD2338">
        <v>-1.110192725538</v>
      </c>
      <c r="AE2338">
        <v>-0.38790000000000102</v>
      </c>
      <c r="AF2338">
        <v>-0.36561349574649299</v>
      </c>
      <c r="AG2338">
        <v>-1.110192725538</v>
      </c>
      <c r="AH2338">
        <v>17.6204736312528</v>
      </c>
      <c r="AI2338">
        <v>93.604429345285297</v>
      </c>
      <c r="AJ2338">
        <v>91.188680006570607</v>
      </c>
      <c r="AK2338">
        <v>17.6591985125539</v>
      </c>
      <c r="AL2338">
        <v>68.404537297004396</v>
      </c>
      <c r="AM2338">
        <v>95.914387670869303</v>
      </c>
      <c r="AN2338">
        <v>0.99999994073405396</v>
      </c>
    </row>
    <row r="2339" spans="1:40" x14ac:dyDescent="0.25">
      <c r="A2339" t="str">
        <f>"20190304164135880"</f>
        <v>20190304164135880</v>
      </c>
      <c r="B2339" t="str">
        <f>"1551688895872926"</f>
        <v>1551688895872926</v>
      </c>
      <c r="C2339" t="s">
        <v>40</v>
      </c>
      <c r="D2339">
        <v>4.1627199999999904</v>
      </c>
      <c r="E2339">
        <v>0.54151319999999903</v>
      </c>
      <c r="F2339" t="s">
        <v>47</v>
      </c>
      <c r="G2339">
        <v>-309.79320000000001</v>
      </c>
      <c r="H2339" s="1">
        <v>2.266016E-6</v>
      </c>
      <c r="I2339">
        <v>284.17529999999999</v>
      </c>
      <c r="J2339">
        <v>-292.33850000000001</v>
      </c>
      <c r="K2339">
        <v>1.110182</v>
      </c>
      <c r="L2339">
        <v>284.55860000000001</v>
      </c>
      <c r="M2339">
        <v>-0.99997689999999995</v>
      </c>
      <c r="N2339">
        <v>-6.6229000000000001E-3</v>
      </c>
      <c r="O2339">
        <v>-1.599439E-3</v>
      </c>
      <c r="P2339">
        <v>-0.9272842</v>
      </c>
      <c r="Q2339">
        <v>0.36194379999999998</v>
      </c>
      <c r="R2339">
        <v>-9.5610039999999993E-2</v>
      </c>
      <c r="S2339">
        <v>-3.3092350000000001</v>
      </c>
      <c r="T2339">
        <v>-0.2071548</v>
      </c>
      <c r="U2339">
        <v>-7.1594240000000003E-2</v>
      </c>
      <c r="V2339">
        <v>-9.5062460000000001E-2</v>
      </c>
      <c r="W2339">
        <v>0.3678381</v>
      </c>
      <c r="X2339">
        <v>0.92501800000000001</v>
      </c>
      <c r="Y2339">
        <v>-1.9989739999999999E-2</v>
      </c>
      <c r="Z2339">
        <v>-6.0182849999999995E-4</v>
      </c>
      <c r="AA2339">
        <v>0.99980000000000002</v>
      </c>
      <c r="AB2339">
        <v>51</v>
      </c>
      <c r="AC2339">
        <v>-17.454699999999999</v>
      </c>
      <c r="AD2339">
        <v>-1.1101797339839901</v>
      </c>
      <c r="AE2339">
        <v>-0.38330000000001901</v>
      </c>
      <c r="AF2339">
        <v>-0.35394999231048702</v>
      </c>
      <c r="AG2339">
        <v>-1.1101797339839901</v>
      </c>
      <c r="AH2339">
        <v>17.3849953338751</v>
      </c>
      <c r="AI2339">
        <v>93.653106258412194</v>
      </c>
      <c r="AJ2339">
        <v>91.166352878562293</v>
      </c>
      <c r="AK2339">
        <v>17.4240019053507</v>
      </c>
      <c r="AL2339">
        <v>68.417651494756896</v>
      </c>
      <c r="AM2339">
        <v>95.867587077699795</v>
      </c>
      <c r="AN2339">
        <v>1.00000001971843</v>
      </c>
    </row>
    <row r="2340" spans="1:40" x14ac:dyDescent="0.25">
      <c r="A2340" t="str">
        <f>"20190304164135898"</f>
        <v>20190304164135898</v>
      </c>
      <c r="B2340" t="str">
        <f>"1551688895893422"</f>
        <v>1551688895893422</v>
      </c>
      <c r="C2340" t="s">
        <v>40</v>
      </c>
      <c r="D2340">
        <v>4.1922050000000004</v>
      </c>
      <c r="E2340">
        <v>0.54135639999999996</v>
      </c>
      <c r="F2340" t="s">
        <v>47</v>
      </c>
      <c r="G2340">
        <v>-309.8843</v>
      </c>
      <c r="H2340" s="1">
        <v>2.2497779999999999E-6</v>
      </c>
      <c r="I2340">
        <v>284.17610000000002</v>
      </c>
      <c r="J2340">
        <v>-292.7131</v>
      </c>
      <c r="K2340">
        <v>1.110168</v>
      </c>
      <c r="L2340">
        <v>284.55770000000001</v>
      </c>
      <c r="M2340">
        <v>-0.99997559999999996</v>
      </c>
      <c r="N2340">
        <v>-6.6474300000000002E-3</v>
      </c>
      <c r="O2340">
        <v>-2.1596580000000001E-3</v>
      </c>
      <c r="P2340">
        <v>-0.92772509999999997</v>
      </c>
      <c r="Q2340">
        <v>0.3610524</v>
      </c>
      <c r="R2340">
        <v>-9.4695849999999998E-2</v>
      </c>
      <c r="S2340">
        <v>-3.3095699999999999</v>
      </c>
      <c r="T2340">
        <v>-0.2094077</v>
      </c>
      <c r="U2340">
        <v>-7.2143550000000001E-2</v>
      </c>
      <c r="V2340">
        <v>-9.3621599999999999E-2</v>
      </c>
      <c r="W2340">
        <v>0.36697689999999999</v>
      </c>
      <c r="X2340">
        <v>0.92550690000000002</v>
      </c>
      <c r="Y2340">
        <v>-1.9594210000000001E-2</v>
      </c>
      <c r="Z2340">
        <v>-5.6225600000000002E-4</v>
      </c>
      <c r="AA2340">
        <v>0.99980780000000002</v>
      </c>
      <c r="AB2340">
        <v>51</v>
      </c>
      <c r="AC2340">
        <v>-17.171199999999999</v>
      </c>
      <c r="AD2340">
        <v>-1.1101657502219999</v>
      </c>
      <c r="AE2340">
        <v>-0.381599999999991</v>
      </c>
      <c r="AF2340">
        <v>-0.34308100785947399</v>
      </c>
      <c r="AG2340">
        <v>-1.1101657502219999</v>
      </c>
      <c r="AH2340">
        <v>17.1005394442215</v>
      </c>
      <c r="AI2340">
        <v>93.713680108175296</v>
      </c>
      <c r="AJ2340">
        <v>91.149347195034096</v>
      </c>
      <c r="AK2340">
        <v>17.139971465970799</v>
      </c>
      <c r="AL2340">
        <v>68.470705551144107</v>
      </c>
      <c r="AM2340">
        <v>95.776226496250203</v>
      </c>
      <c r="AN2340">
        <v>1.0000000355338801</v>
      </c>
    </row>
    <row r="2341" spans="1:40" x14ac:dyDescent="0.25">
      <c r="A2341" t="str">
        <f>"20190304164135912"</f>
        <v>20190304164135912</v>
      </c>
      <c r="B2341" t="str">
        <f>"1551688895903182"</f>
        <v>1551688895903182</v>
      </c>
      <c r="C2341" t="s">
        <v>40</v>
      </c>
      <c r="D2341">
        <v>4.1867150000000004</v>
      </c>
      <c r="E2341">
        <v>0.54129879999999997</v>
      </c>
      <c r="F2341" t="s">
        <v>47</v>
      </c>
      <c r="G2341">
        <v>-309.91640000000001</v>
      </c>
      <c r="H2341" s="1">
        <v>2.2434870000000001E-6</v>
      </c>
      <c r="I2341">
        <v>284.18290000000002</v>
      </c>
      <c r="J2341">
        <v>-293.05590000000001</v>
      </c>
      <c r="K2341">
        <v>1.11016</v>
      </c>
      <c r="L2341">
        <v>284.55680000000001</v>
      </c>
      <c r="M2341">
        <v>-0.99997440000000004</v>
      </c>
      <c r="N2341">
        <v>-6.668762E-3</v>
      </c>
      <c r="O2341">
        <v>-2.664526E-3</v>
      </c>
      <c r="P2341">
        <v>-0.92783249999999995</v>
      </c>
      <c r="Q2341">
        <v>0.36067630000000001</v>
      </c>
      <c r="R2341">
        <v>-9.5078019999999999E-2</v>
      </c>
      <c r="S2341">
        <v>-3.3094790000000001</v>
      </c>
      <c r="T2341">
        <v>-0.21356729999999999</v>
      </c>
      <c r="U2341">
        <v>-7.2113040000000003E-2</v>
      </c>
      <c r="V2341">
        <v>-9.3527940000000004E-2</v>
      </c>
      <c r="W2341">
        <v>0.36662329999999999</v>
      </c>
      <c r="X2341">
        <v>0.92565640000000005</v>
      </c>
      <c r="Y2341">
        <v>-1.9081319999999999E-2</v>
      </c>
      <c r="Z2341">
        <v>-5.2467490000000002E-4</v>
      </c>
      <c r="AA2341">
        <v>0.99981779999999998</v>
      </c>
      <c r="AB2341">
        <v>51</v>
      </c>
      <c r="AC2341">
        <v>-16.860499999999998</v>
      </c>
      <c r="AD2341">
        <v>-1.1101577565130001</v>
      </c>
      <c r="AE2341">
        <v>-0.37389999999999102</v>
      </c>
      <c r="AF2341">
        <v>-0.32755306806178103</v>
      </c>
      <c r="AG2341">
        <v>-1.1101577565130001</v>
      </c>
      <c r="AH2341">
        <v>16.788686651443001</v>
      </c>
      <c r="AI2341">
        <v>93.782477971827603</v>
      </c>
      <c r="AJ2341">
        <v>91.117718616482904</v>
      </c>
      <c r="AK2341">
        <v>16.8285394712995</v>
      </c>
      <c r="AL2341">
        <v>68.492481210181396</v>
      </c>
      <c r="AM2341">
        <v>95.769561230553805</v>
      </c>
      <c r="AN2341">
        <v>0.999999945262245</v>
      </c>
    </row>
    <row r="2342" spans="1:40" x14ac:dyDescent="0.25">
      <c r="A2342" t="str">
        <f>"20190304164135932"</f>
        <v>20190304164135932</v>
      </c>
      <c r="B2342" t="str">
        <f>"1551688895923677"</f>
        <v>1551688895923677</v>
      </c>
      <c r="C2342" t="s">
        <v>40</v>
      </c>
      <c r="D2342">
        <v>4.1508370000000001</v>
      </c>
      <c r="E2342">
        <v>0.54112629999999995</v>
      </c>
      <c r="F2342" t="s">
        <v>47</v>
      </c>
      <c r="G2342">
        <v>-310.15030000000002</v>
      </c>
      <c r="H2342" s="1">
        <v>2.322384E-6</v>
      </c>
      <c r="I2342">
        <v>284.173</v>
      </c>
      <c r="J2342">
        <v>-293.49619999999999</v>
      </c>
      <c r="K2342">
        <v>1.1101350000000001</v>
      </c>
      <c r="L2342">
        <v>284.55549999999999</v>
      </c>
      <c r="M2342">
        <v>-0.99997219999999998</v>
      </c>
      <c r="N2342">
        <v>-6.694729E-3</v>
      </c>
      <c r="O2342">
        <v>-3.293542E-3</v>
      </c>
      <c r="P2342">
        <v>-0.92796020000000001</v>
      </c>
      <c r="Q2342">
        <v>0.36020770000000002</v>
      </c>
      <c r="R2342">
        <v>-9.5605750000000003E-2</v>
      </c>
      <c r="S2342">
        <v>-3.3092649999999999</v>
      </c>
      <c r="T2342">
        <v>-0.21491299999999999</v>
      </c>
      <c r="U2342">
        <v>-7.4310299999999996E-2</v>
      </c>
      <c r="V2342">
        <v>-9.3457040000000005E-2</v>
      </c>
      <c r="W2342">
        <v>0.3661837</v>
      </c>
      <c r="X2342">
        <v>0.92583760000000004</v>
      </c>
      <c r="Y2342">
        <v>-1.9117829999999999E-2</v>
      </c>
      <c r="Z2342">
        <v>-4.9251760000000003E-4</v>
      </c>
      <c r="AA2342">
        <v>0.99981710000000001</v>
      </c>
      <c r="AB2342">
        <v>51</v>
      </c>
      <c r="AC2342">
        <v>-16.6541</v>
      </c>
      <c r="AD2342">
        <v>-1.1101326776160001</v>
      </c>
      <c r="AE2342">
        <v>-0.38249999999999301</v>
      </c>
      <c r="AF2342">
        <v>-0.32619708675532</v>
      </c>
      <c r="AG2342">
        <v>-1.1101326776160001</v>
      </c>
      <c r="AH2342">
        <v>16.581630855090701</v>
      </c>
      <c r="AI2342">
        <v>93.829471958583795</v>
      </c>
      <c r="AJ2342">
        <v>91.126988421072198</v>
      </c>
      <c r="AK2342">
        <v>16.6219517781701</v>
      </c>
      <c r="AL2342">
        <v>68.519552006700806</v>
      </c>
      <c r="AM2342">
        <v>95.764096278087905</v>
      </c>
      <c r="AN2342">
        <v>0.99999999102250503</v>
      </c>
    </row>
    <row r="2343" spans="1:40" x14ac:dyDescent="0.25">
      <c r="A2343" t="str">
        <f>"20190304164135947"</f>
        <v>20190304164135947</v>
      </c>
      <c r="B2343" t="str">
        <f>"1551688895933438"</f>
        <v>1551688895933438</v>
      </c>
      <c r="C2343" t="s">
        <v>40</v>
      </c>
      <c r="D2343">
        <v>4.1517309999999998</v>
      </c>
      <c r="E2343">
        <v>0.54097869999999904</v>
      </c>
      <c r="F2343" t="s">
        <v>47</v>
      </c>
      <c r="G2343">
        <v>-310.435</v>
      </c>
      <c r="H2343" s="1">
        <v>2.449583E-6</v>
      </c>
      <c r="I2343">
        <v>284.16210000000001</v>
      </c>
      <c r="J2343">
        <v>-293.81220000000002</v>
      </c>
      <c r="K2343">
        <v>1.110112</v>
      </c>
      <c r="L2343">
        <v>284.55430000000001</v>
      </c>
      <c r="M2343">
        <v>-0.99997049999999998</v>
      </c>
      <c r="N2343">
        <v>-6.7124200000000002E-3</v>
      </c>
      <c r="O2343">
        <v>-3.7265269999999999E-3</v>
      </c>
      <c r="P2343">
        <v>-0.92790689999999998</v>
      </c>
      <c r="Q2343">
        <v>0.36020829999999998</v>
      </c>
      <c r="R2343">
        <v>-9.6119949999999996E-2</v>
      </c>
      <c r="S2343">
        <v>-3.3091740000000001</v>
      </c>
      <c r="T2343">
        <v>-0.21687600000000001</v>
      </c>
      <c r="U2343">
        <v>-7.6843259999999997E-2</v>
      </c>
      <c r="V2343">
        <v>-9.355513E-2</v>
      </c>
      <c r="W2343">
        <v>0.36620399999999997</v>
      </c>
      <c r="X2343">
        <v>0.92581959999999996</v>
      </c>
      <c r="Y2343">
        <v>-1.9449709999999999E-2</v>
      </c>
      <c r="Z2343">
        <v>-4.8299760000000003E-4</v>
      </c>
      <c r="AA2343">
        <v>0.99981070000000005</v>
      </c>
      <c r="AB2343">
        <v>51</v>
      </c>
      <c r="AC2343">
        <v>-16.622799999999899</v>
      </c>
      <c r="AD2343">
        <v>-1.110109550417</v>
      </c>
      <c r="AE2343">
        <v>-0.39220000000000199</v>
      </c>
      <c r="AF2343">
        <v>-0.32878503983894303</v>
      </c>
      <c r="AG2343">
        <v>-1.110109550417</v>
      </c>
      <c r="AH2343">
        <v>16.550374509179999</v>
      </c>
      <c r="AI2343">
        <v>93.836588241235802</v>
      </c>
      <c r="AJ2343">
        <v>91.1380719879553</v>
      </c>
      <c r="AK2343">
        <v>16.590820932385</v>
      </c>
      <c r="AL2343">
        <v>68.518300746612098</v>
      </c>
      <c r="AM2343">
        <v>95.770216744722006</v>
      </c>
      <c r="AN2343">
        <v>0.99999993185473601</v>
      </c>
    </row>
    <row r="2344" spans="1:40" x14ac:dyDescent="0.25">
      <c r="A2344" t="str">
        <f>"20190304164135959"</f>
        <v>20190304164135959</v>
      </c>
      <c r="B2344" t="str">
        <f>"1551688895952959"</f>
        <v>1551688895952959</v>
      </c>
      <c r="C2344" t="s">
        <v>40</v>
      </c>
      <c r="D2344">
        <v>4.1497099999999998</v>
      </c>
      <c r="E2344">
        <v>0.54082369999999902</v>
      </c>
      <c r="F2344" t="s">
        <v>47</v>
      </c>
      <c r="G2344">
        <v>-310.77929999999998</v>
      </c>
      <c r="H2344" s="1">
        <v>2.6035999999999999E-6</v>
      </c>
      <c r="I2344">
        <v>284.14710000000002</v>
      </c>
      <c r="J2344">
        <v>-294.14589999999998</v>
      </c>
      <c r="K2344">
        <v>1.1100829999999999</v>
      </c>
      <c r="L2344">
        <v>284.55290000000002</v>
      </c>
      <c r="M2344">
        <v>-0.99996879999999999</v>
      </c>
      <c r="N2344">
        <v>-6.7301619999999996E-3</v>
      </c>
      <c r="O2344">
        <v>-4.1599050000000002E-3</v>
      </c>
      <c r="P2344">
        <v>-0.92785669999999998</v>
      </c>
      <c r="Q2344">
        <v>0.3602359</v>
      </c>
      <c r="R2344">
        <v>-9.6501130000000004E-2</v>
      </c>
      <c r="S2344">
        <v>-3.3088989999999998</v>
      </c>
      <c r="T2344">
        <v>-0.21649209999999999</v>
      </c>
      <c r="U2344">
        <v>-7.9406740000000003E-2</v>
      </c>
      <c r="V2344">
        <v>-9.3512999999999999E-2</v>
      </c>
      <c r="W2344">
        <v>0.3662533</v>
      </c>
      <c r="X2344">
        <v>0.92580439999999997</v>
      </c>
      <c r="Y2344">
        <v>-1.9792520000000001E-2</v>
      </c>
      <c r="Z2344">
        <v>-4.6952199999999999E-4</v>
      </c>
      <c r="AA2344">
        <v>0.99980400000000003</v>
      </c>
      <c r="AB2344">
        <v>51</v>
      </c>
      <c r="AC2344">
        <v>-16.633399999999899</v>
      </c>
      <c r="AD2344">
        <v>-1.1100803963999999</v>
      </c>
      <c r="AE2344">
        <v>-0.40579999999999899</v>
      </c>
      <c r="AF2344">
        <v>-0.335109884826649</v>
      </c>
      <c r="AG2344">
        <v>-1.1100803963999999</v>
      </c>
      <c r="AH2344">
        <v>16.561224962170002</v>
      </c>
      <c r="AI2344">
        <v>93.833953462365798</v>
      </c>
      <c r="AJ2344">
        <v>91.159199412917999</v>
      </c>
      <c r="AK2344">
        <v>16.6017694649993</v>
      </c>
      <c r="AL2344">
        <v>68.515266117587302</v>
      </c>
      <c r="AM2344">
        <v>95.767729862892907</v>
      </c>
      <c r="AN2344">
        <v>0.99999997399462404</v>
      </c>
    </row>
    <row r="2345" spans="1:40" x14ac:dyDescent="0.25">
      <c r="A2345" t="str">
        <f>"20190304164135975"</f>
        <v>20190304164135975</v>
      </c>
      <c r="B2345" t="str">
        <f>"1551688895963694"</f>
        <v>1551688895963694</v>
      </c>
      <c r="C2345" t="s">
        <v>40</v>
      </c>
      <c r="D2345">
        <v>4.1583300000000003</v>
      </c>
      <c r="E2345">
        <v>0.54078859999999995</v>
      </c>
      <c r="F2345" t="s">
        <v>47</v>
      </c>
      <c r="G2345">
        <v>-311.07209999999998</v>
      </c>
      <c r="H2345" s="1">
        <v>2.734607E-6</v>
      </c>
      <c r="I2345">
        <v>284.13400000000001</v>
      </c>
      <c r="J2345">
        <v>-294.47770000000003</v>
      </c>
      <c r="K2345">
        <v>1.1100449999999999</v>
      </c>
      <c r="L2345">
        <v>284.55149999999998</v>
      </c>
      <c r="M2345">
        <v>-0.99996700000000005</v>
      </c>
      <c r="N2345">
        <v>-6.7469409999999898E-3</v>
      </c>
      <c r="O2345">
        <v>-4.5486999999999897E-3</v>
      </c>
      <c r="P2345">
        <v>-0.92786120000000005</v>
      </c>
      <c r="Q2345">
        <v>0.36027480000000001</v>
      </c>
      <c r="R2345">
        <v>-9.6311900000000006E-2</v>
      </c>
      <c r="S2345">
        <v>-3.3089900000000001</v>
      </c>
      <c r="T2345">
        <v>-0.21701529999999999</v>
      </c>
      <c r="U2345">
        <v>-8.1909179999999998E-2</v>
      </c>
      <c r="V2345">
        <v>-9.2933080000000001E-2</v>
      </c>
      <c r="W2345">
        <v>0.3663168</v>
      </c>
      <c r="X2345">
        <v>0.92583769999999999</v>
      </c>
      <c r="Y2345">
        <v>-2.01584E-2</v>
      </c>
      <c r="Z2345">
        <v>-4.6102179999999999E-4</v>
      </c>
      <c r="AA2345">
        <v>0.99979669999999998</v>
      </c>
      <c r="AB2345">
        <v>51</v>
      </c>
      <c r="AC2345">
        <v>-16.594399999999901</v>
      </c>
      <c r="AD2345">
        <v>-1.110042265393</v>
      </c>
      <c r="AE2345">
        <v>-0.41749999999996101</v>
      </c>
      <c r="AF2345">
        <v>-0.340488431525587</v>
      </c>
      <c r="AG2345">
        <v>-1.110042265393</v>
      </c>
      <c r="AH2345">
        <v>16.522243488370201</v>
      </c>
      <c r="AI2345">
        <v>93.842811159800704</v>
      </c>
      <c r="AJ2345">
        <v>91.180577513901099</v>
      </c>
      <c r="AK2345">
        <v>16.5629905540018</v>
      </c>
      <c r="AL2345">
        <v>68.511356709608506</v>
      </c>
      <c r="AM2345">
        <v>95.731995473257498</v>
      </c>
      <c r="AN2345">
        <v>1.0000000010309</v>
      </c>
    </row>
    <row r="2346" spans="1:40" x14ac:dyDescent="0.25">
      <c r="A2346" t="str">
        <f>"20190304164135988"</f>
        <v>20190304164135988</v>
      </c>
      <c r="B2346" t="str">
        <f>"1551688895983214"</f>
        <v>1551688895983214</v>
      </c>
      <c r="C2346" t="s">
        <v>40</v>
      </c>
      <c r="D2346">
        <v>4.1619950000000001</v>
      </c>
      <c r="E2346">
        <v>0.54066709999999996</v>
      </c>
      <c r="F2346" t="s">
        <v>47</v>
      </c>
      <c r="G2346">
        <v>-311.45639999999997</v>
      </c>
      <c r="H2346" s="1">
        <v>2.9049949999999998E-6</v>
      </c>
      <c r="I2346">
        <v>284.1343</v>
      </c>
      <c r="J2346">
        <v>-294.75959999999998</v>
      </c>
      <c r="K2346">
        <v>1.1100080000000001</v>
      </c>
      <c r="L2346">
        <v>284.55009999999999</v>
      </c>
      <c r="M2346">
        <v>-0.99996549999999995</v>
      </c>
      <c r="N2346">
        <v>-6.76079E-3</v>
      </c>
      <c r="O2346">
        <v>-4.8496040000000004E-3</v>
      </c>
      <c r="P2346">
        <v>-0.92783210000000005</v>
      </c>
      <c r="Q2346">
        <v>0.36027429999999999</v>
      </c>
      <c r="R2346">
        <v>-9.6592689999999995E-2</v>
      </c>
      <c r="S2346">
        <v>-3.3087770000000001</v>
      </c>
      <c r="T2346">
        <v>-0.21632219999999999</v>
      </c>
      <c r="U2346">
        <v>-8.1298830000000002E-2</v>
      </c>
      <c r="V2346">
        <v>-9.2902680000000001E-2</v>
      </c>
      <c r="W2346">
        <v>0.36633759999999999</v>
      </c>
      <c r="X2346">
        <v>0.92583249999999995</v>
      </c>
      <c r="Y2346">
        <v>-1.967669E-2</v>
      </c>
      <c r="Z2346">
        <v>-4.251201E-4</v>
      </c>
      <c r="AA2346">
        <v>0.99980630000000004</v>
      </c>
      <c r="AB2346">
        <v>51</v>
      </c>
      <c r="AC2346">
        <v>-16.6967999999999</v>
      </c>
      <c r="AD2346">
        <v>-1.11000509500499</v>
      </c>
      <c r="AE2346">
        <v>-0.41579999999999001</v>
      </c>
      <c r="AF2346">
        <v>-0.333348047163113</v>
      </c>
      <c r="AG2346">
        <v>-1.11000509500499</v>
      </c>
      <c r="AH2346">
        <v>16.625188929123901</v>
      </c>
      <c r="AI2346">
        <v>93.819002184951302</v>
      </c>
      <c r="AJ2346">
        <v>91.148671294496694</v>
      </c>
      <c r="AK2346">
        <v>16.665537469897199</v>
      </c>
      <c r="AL2346">
        <v>68.510075486537602</v>
      </c>
      <c r="AM2346">
        <v>95.730164888679596</v>
      </c>
      <c r="AN2346">
        <v>0.999999981590595</v>
      </c>
    </row>
    <row r="2347" spans="1:40" x14ac:dyDescent="0.25">
      <c r="A2347" t="str">
        <f>"20190304164135999"</f>
        <v>20190304164135999</v>
      </c>
      <c r="B2347" t="str">
        <f>"1551688895992974"</f>
        <v>1551688895992974</v>
      </c>
      <c r="C2347" t="s">
        <v>40</v>
      </c>
      <c r="D2347">
        <v>4.1468939999999996</v>
      </c>
      <c r="E2347">
        <v>0.54056979999999999</v>
      </c>
      <c r="F2347" t="s">
        <v>47</v>
      </c>
      <c r="G2347">
        <v>-311.7713</v>
      </c>
      <c r="H2347" s="1">
        <v>3.0459770000000001E-6</v>
      </c>
      <c r="I2347">
        <v>284.11869999999999</v>
      </c>
      <c r="J2347">
        <v>-295.04270000000002</v>
      </c>
      <c r="K2347">
        <v>1.1099600000000001</v>
      </c>
      <c r="L2347">
        <v>284.5487</v>
      </c>
      <c r="M2347">
        <v>-0.99996390000000002</v>
      </c>
      <c r="N2347">
        <v>-6.7742499999999999E-3</v>
      </c>
      <c r="O2347">
        <v>-5.1179950000000002E-3</v>
      </c>
      <c r="P2347">
        <v>-0.92785479999999998</v>
      </c>
      <c r="Q2347">
        <v>0.36021710000000001</v>
      </c>
      <c r="R2347">
        <v>-9.6587350000000002E-2</v>
      </c>
      <c r="S2347">
        <v>-3.3084410000000002</v>
      </c>
      <c r="T2347">
        <v>-0.2158746</v>
      </c>
      <c r="U2347">
        <v>-8.3892820000000007E-2</v>
      </c>
      <c r="V2347">
        <v>-9.2608220000000005E-2</v>
      </c>
      <c r="W2347">
        <v>0.3663035</v>
      </c>
      <c r="X2347">
        <v>0.92587549999999996</v>
      </c>
      <c r="Y2347">
        <v>-2.0193610000000001E-2</v>
      </c>
      <c r="Z2347">
        <v>-4.2759839999999998E-4</v>
      </c>
      <c r="AA2347">
        <v>0.99979600000000002</v>
      </c>
      <c r="AB2347">
        <v>51</v>
      </c>
      <c r="AC2347">
        <v>-16.728599999999901</v>
      </c>
      <c r="AD2347">
        <v>-1.1099569540230001</v>
      </c>
      <c r="AE2347">
        <v>-0.43000000000000599</v>
      </c>
      <c r="AF2347">
        <v>-0.342867053709355</v>
      </c>
      <c r="AG2347">
        <v>-1.1099569540230001</v>
      </c>
      <c r="AH2347">
        <v>16.657297413418</v>
      </c>
      <c r="AI2347">
        <v>93.8114564795994</v>
      </c>
      <c r="AJ2347">
        <v>91.179186570671305</v>
      </c>
      <c r="AK2347">
        <v>16.697757914623299</v>
      </c>
      <c r="AL2347">
        <v>68.512175395802899</v>
      </c>
      <c r="AM2347">
        <v>95.711859587892405</v>
      </c>
      <c r="AN2347">
        <v>0.99999998901203402</v>
      </c>
    </row>
    <row r="2348" spans="1:40" x14ac:dyDescent="0.25">
      <c r="A2348" t="str">
        <f>"20190304164136011"</f>
        <v>20190304164136011</v>
      </c>
      <c r="B2348" t="str">
        <f>"1551688896003710"</f>
        <v>1551688896003710</v>
      </c>
      <c r="C2348" t="s">
        <v>40</v>
      </c>
      <c r="D2348">
        <v>4.1578189999999999</v>
      </c>
      <c r="E2348">
        <v>0.54050609999999999</v>
      </c>
      <c r="F2348" t="s">
        <v>47</v>
      </c>
      <c r="G2348">
        <v>-311.97800000000001</v>
      </c>
      <c r="H2348" s="1">
        <v>3.1381920000000001E-6</v>
      </c>
      <c r="I2348">
        <v>284.11250000000001</v>
      </c>
      <c r="J2348">
        <v>-295.30560000000003</v>
      </c>
      <c r="K2348">
        <v>1.1099049999999999</v>
      </c>
      <c r="L2348">
        <v>284.54739999999998</v>
      </c>
      <c r="M2348">
        <v>-0.99996280000000004</v>
      </c>
      <c r="N2348">
        <v>-6.7863269999999896E-3</v>
      </c>
      <c r="O2348">
        <v>-5.3236450000000001E-3</v>
      </c>
      <c r="P2348">
        <v>-0.92795939999999999</v>
      </c>
      <c r="Q2348">
        <v>0.35989409999999999</v>
      </c>
      <c r="R2348">
        <v>-9.6786079999999997E-2</v>
      </c>
      <c r="S2348">
        <v>-3.3085629999999999</v>
      </c>
      <c r="T2348">
        <v>-0.2168465</v>
      </c>
      <c r="U2348">
        <v>-8.5235599999999995E-2</v>
      </c>
      <c r="V2348">
        <v>-9.2572280000000007E-2</v>
      </c>
      <c r="W2348">
        <v>0.36600349999999998</v>
      </c>
      <c r="X2348">
        <v>0.92599770000000003</v>
      </c>
      <c r="Y2348">
        <v>-2.039212E-2</v>
      </c>
      <c r="Z2348">
        <v>-4.2433150000000002E-4</v>
      </c>
      <c r="AA2348">
        <v>0.99979200000000001</v>
      </c>
      <c r="AB2348">
        <v>51</v>
      </c>
      <c r="AC2348">
        <v>-16.6723999999999</v>
      </c>
      <c r="AD2348">
        <v>-1.1099018618080001</v>
      </c>
      <c r="AE2348">
        <v>-0.43489999999996998</v>
      </c>
      <c r="AF2348">
        <v>-0.34460768548314602</v>
      </c>
      <c r="AG2348">
        <v>-1.1099018618080001</v>
      </c>
      <c r="AH2348">
        <v>16.600958161201401</v>
      </c>
      <c r="AI2348">
        <v>93.824150212041701</v>
      </c>
      <c r="AJ2348">
        <v>91.189192243182006</v>
      </c>
      <c r="AK2348">
        <v>16.641587919117001</v>
      </c>
      <c r="AL2348">
        <v>68.530646345590498</v>
      </c>
      <c r="AM2348">
        <v>95.708909039473298</v>
      </c>
      <c r="AN2348">
        <v>0.99999996472096797</v>
      </c>
    </row>
    <row r="2349" spans="1:40" x14ac:dyDescent="0.25">
      <c r="A2349" t="str">
        <f>"20190304164136024"</f>
        <v>20190304164136024</v>
      </c>
      <c r="B2349" t="str">
        <f>"1551688896013471"</f>
        <v>1551688896013471</v>
      </c>
      <c r="C2349" t="s">
        <v>40</v>
      </c>
      <c r="D2349">
        <v>4.1439469999999998</v>
      </c>
      <c r="E2349">
        <v>0.5404137</v>
      </c>
      <c r="F2349" t="s">
        <v>47</v>
      </c>
      <c r="G2349">
        <v>-312.11919999999998</v>
      </c>
      <c r="H2349" s="1">
        <v>3.2011710000000002E-6</v>
      </c>
      <c r="I2349">
        <v>284.10829999999999</v>
      </c>
      <c r="J2349">
        <v>-295.60399999999998</v>
      </c>
      <c r="K2349">
        <v>1.1098460000000001</v>
      </c>
      <c r="L2349">
        <v>284.54579999999999</v>
      </c>
      <c r="M2349">
        <v>-0.99996160000000001</v>
      </c>
      <c r="N2349">
        <v>-6.7998470000000004E-3</v>
      </c>
      <c r="O2349">
        <v>-5.5340930000000003E-3</v>
      </c>
      <c r="P2349">
        <v>-0.92805740000000003</v>
      </c>
      <c r="Q2349">
        <v>0.35958289999999998</v>
      </c>
      <c r="R2349">
        <v>-9.7004549999999995E-2</v>
      </c>
      <c r="S2349">
        <v>-3.3085629999999999</v>
      </c>
      <c r="T2349">
        <v>-0.2184055</v>
      </c>
      <c r="U2349">
        <v>-8.6395260000000001E-2</v>
      </c>
      <c r="V2349">
        <v>-9.2543219999999995E-2</v>
      </c>
      <c r="W2349">
        <v>0.3657185</v>
      </c>
      <c r="X2349">
        <v>0.92611319999999997</v>
      </c>
      <c r="Y2349">
        <v>-2.053141E-2</v>
      </c>
      <c r="Z2349">
        <v>-4.1945019999999999E-4</v>
      </c>
      <c r="AA2349">
        <v>0.99978909999999999</v>
      </c>
      <c r="AB2349">
        <v>51</v>
      </c>
      <c r="AC2349">
        <v>-16.515199999999901</v>
      </c>
      <c r="AD2349">
        <v>-1.1098427988289901</v>
      </c>
      <c r="AE2349">
        <v>-0.4375</v>
      </c>
      <c r="AF2349">
        <v>-0.34453968254294598</v>
      </c>
      <c r="AG2349">
        <v>-1.1098427988289901</v>
      </c>
      <c r="AH2349">
        <v>16.4431628330167</v>
      </c>
      <c r="AI2349">
        <v>93.860517389169601</v>
      </c>
      <c r="AJ2349">
        <v>91.200364044311399</v>
      </c>
      <c r="AK2349">
        <v>16.484176126942501</v>
      </c>
      <c r="AL2349">
        <v>68.548192083332097</v>
      </c>
      <c r="AM2349">
        <v>95.706421683513696</v>
      </c>
      <c r="AN2349">
        <v>0.99999996401222802</v>
      </c>
    </row>
    <row r="2350" spans="1:40" x14ac:dyDescent="0.25">
      <c r="A2350" t="str">
        <f>"20190304164136036"</f>
        <v>20190304164136036</v>
      </c>
      <c r="B2350" t="str">
        <f>"1551688896023231"</f>
        <v>1551688896023231</v>
      </c>
      <c r="C2350" t="s">
        <v>40</v>
      </c>
      <c r="D2350">
        <v>4.1371919999999998</v>
      </c>
      <c r="E2350">
        <v>0.54034459999999995</v>
      </c>
      <c r="F2350" t="s">
        <v>41</v>
      </c>
      <c r="G2350">
        <v>-296.75170000000003</v>
      </c>
      <c r="H2350">
        <v>1.0335700000000001</v>
      </c>
      <c r="I2350">
        <v>284.51530000000002</v>
      </c>
      <c r="J2350">
        <v>-295.90460000000002</v>
      </c>
      <c r="K2350">
        <v>1.10978</v>
      </c>
      <c r="L2350">
        <v>284.54419999999999</v>
      </c>
      <c r="M2350">
        <v>-0.99996059999999998</v>
      </c>
      <c r="N2350">
        <v>-6.8130489999999998E-3</v>
      </c>
      <c r="O2350">
        <v>-5.6891679999999997E-3</v>
      </c>
      <c r="P2350">
        <v>-0.92808159999999895</v>
      </c>
      <c r="Q2350">
        <v>0.35949809999999999</v>
      </c>
      <c r="R2350">
        <v>-9.708406E-2</v>
      </c>
      <c r="S2350">
        <v>-3.3085330000000002</v>
      </c>
      <c r="T2350">
        <v>-0.219975</v>
      </c>
      <c r="U2350">
        <v>-8.8317870000000007E-2</v>
      </c>
      <c r="V2350">
        <v>-9.242185E-2</v>
      </c>
      <c r="W2350">
        <v>0.3656604</v>
      </c>
      <c r="X2350">
        <v>0.92614830000000004</v>
      </c>
      <c r="Y2350">
        <v>-2.095588E-2</v>
      </c>
      <c r="Z2350">
        <v>-4.2819679999999999E-4</v>
      </c>
      <c r="AA2350">
        <v>0.99978029999999996</v>
      </c>
      <c r="AB2350">
        <v>51</v>
      </c>
      <c r="AC2350">
        <v>-0.84710000000001096</v>
      </c>
      <c r="AD2350">
        <v>-7.6209999999999806E-2</v>
      </c>
      <c r="AE2350">
        <v>-2.88999999999646E-2</v>
      </c>
      <c r="AF2350">
        <v>-2.38870133060099E-2</v>
      </c>
      <c r="AG2350">
        <v>-7.6209999999999806E-2</v>
      </c>
      <c r="AH2350">
        <v>0.84045610321382302</v>
      </c>
      <c r="AI2350">
        <v>95.179157217341896</v>
      </c>
      <c r="AJ2350">
        <v>91.627993067627401</v>
      </c>
      <c r="AK2350">
        <v>0.84424227265284801</v>
      </c>
      <c r="AL2350">
        <v>68.551769506360799</v>
      </c>
      <c r="AM2350">
        <v>95.698772470568699</v>
      </c>
      <c r="AN2350">
        <v>1.00000000003923</v>
      </c>
    </row>
    <row r="2351" spans="1:40" x14ac:dyDescent="0.25">
      <c r="A2351" t="str">
        <f>"20190304164136053"</f>
        <v>20190304164136053</v>
      </c>
      <c r="B2351" t="str">
        <f>"1551688896043727"</f>
        <v>1551688896043727</v>
      </c>
      <c r="C2351" t="s">
        <v>40</v>
      </c>
      <c r="D2351">
        <v>4.1338759999999999</v>
      </c>
      <c r="E2351">
        <v>0.54025380000000001</v>
      </c>
      <c r="F2351" t="s">
        <v>47</v>
      </c>
      <c r="G2351">
        <v>-312.54739999999998</v>
      </c>
      <c r="H2351" s="1">
        <v>3.3922389999999999E-6</v>
      </c>
      <c r="I2351">
        <v>284.09480000000002</v>
      </c>
      <c r="J2351">
        <v>-296.27949999999998</v>
      </c>
      <c r="K2351">
        <v>1.109691</v>
      </c>
      <c r="L2351">
        <v>284.5421</v>
      </c>
      <c r="M2351">
        <v>-0.99995970000000001</v>
      </c>
      <c r="N2351">
        <v>-6.8291929999999999E-3</v>
      </c>
      <c r="O2351">
        <v>-5.8241609999999996E-3</v>
      </c>
      <c r="P2351">
        <v>-0.92827969999999904</v>
      </c>
      <c r="Q2351">
        <v>0.35902679999999998</v>
      </c>
      <c r="R2351">
        <v>-9.6935270000000004E-2</v>
      </c>
      <c r="S2351">
        <v>-3.3085939999999998</v>
      </c>
      <c r="T2351">
        <v>-0.2206246</v>
      </c>
      <c r="U2351">
        <v>-8.932495E-2</v>
      </c>
      <c r="V2351">
        <v>-9.2071739999999999E-2</v>
      </c>
      <c r="W2351">
        <v>0.36522500000000002</v>
      </c>
      <c r="X2351">
        <v>0.92635489999999998</v>
      </c>
      <c r="Y2351">
        <v>-2.112412E-2</v>
      </c>
      <c r="Z2351">
        <v>-4.2749660000000002E-4</v>
      </c>
      <c r="AA2351">
        <v>0.99977680000000002</v>
      </c>
      <c r="AB2351">
        <v>51</v>
      </c>
      <c r="AC2351">
        <v>-16.267899999999901</v>
      </c>
      <c r="AD2351">
        <v>-1.1096876077609901</v>
      </c>
      <c r="AE2351">
        <v>-0.44729999999998399</v>
      </c>
      <c r="AF2351">
        <v>-0.35091175379870498</v>
      </c>
      <c r="AG2351">
        <v>-1.1096876077609901</v>
      </c>
      <c r="AH2351">
        <v>16.194930257126099</v>
      </c>
      <c r="AI2351">
        <v>93.918901726579904</v>
      </c>
      <c r="AJ2351">
        <v>91.241290729524806</v>
      </c>
      <c r="AK2351">
        <v>16.2366964521404</v>
      </c>
      <c r="AL2351">
        <v>68.578568710100498</v>
      </c>
      <c r="AM2351">
        <v>95.676067911767703</v>
      </c>
      <c r="AN2351">
        <v>0.99999995334281699</v>
      </c>
    </row>
    <row r="2352" spans="1:40" x14ac:dyDescent="0.25">
      <c r="A2352" t="str">
        <f>"20190304164136067"</f>
        <v>20190304164136067</v>
      </c>
      <c r="B2352" t="str">
        <f>"1551688896053488"</f>
        <v>1551688896053488</v>
      </c>
      <c r="C2352" t="s">
        <v>40</v>
      </c>
      <c r="D2352">
        <v>4.1678649999999999</v>
      </c>
      <c r="E2352">
        <v>0.54023180000000004</v>
      </c>
      <c r="F2352" t="s">
        <v>47</v>
      </c>
      <c r="G2352">
        <v>-312.7</v>
      </c>
      <c r="H2352" s="1">
        <v>3.4604610000000001E-6</v>
      </c>
      <c r="I2352">
        <v>284.08850000000001</v>
      </c>
      <c r="J2352">
        <v>-296.59190000000001</v>
      </c>
      <c r="K2352">
        <v>1.109615</v>
      </c>
      <c r="L2352">
        <v>284.5403</v>
      </c>
      <c r="M2352">
        <v>-0.9999593</v>
      </c>
      <c r="N2352">
        <v>-6.8424369999999998E-3</v>
      </c>
      <c r="O2352">
        <v>-5.8889370000000003E-3</v>
      </c>
      <c r="P2352">
        <v>-0.92836790000000002</v>
      </c>
      <c r="Q2352">
        <v>0.3588575</v>
      </c>
      <c r="R2352">
        <v>-9.6719550000000001E-2</v>
      </c>
      <c r="S2352">
        <v>-3.308716</v>
      </c>
      <c r="T2352">
        <v>-0.22360189999999999</v>
      </c>
      <c r="U2352">
        <v>-9.1400149999999999E-2</v>
      </c>
      <c r="V2352">
        <v>-9.1730850000000003E-2</v>
      </c>
      <c r="W2352">
        <v>0.3650852</v>
      </c>
      <c r="X2352">
        <v>0.92644389999999999</v>
      </c>
      <c r="Y2352">
        <v>-2.168262E-2</v>
      </c>
      <c r="Z2352">
        <v>-4.4878110000000002E-4</v>
      </c>
      <c r="AA2352">
        <v>0.99976480000000001</v>
      </c>
      <c r="AB2352">
        <v>52</v>
      </c>
      <c r="AC2352">
        <v>-16.108099999999901</v>
      </c>
      <c r="AD2352">
        <v>-1.109611539539</v>
      </c>
      <c r="AE2352">
        <v>-0.45179999999999099</v>
      </c>
      <c r="AF2352">
        <v>-0.35524598004550101</v>
      </c>
      <c r="AG2352">
        <v>-1.109611539539</v>
      </c>
      <c r="AH2352">
        <v>16.0344546873309</v>
      </c>
      <c r="AI2352">
        <v>93.957686175537603</v>
      </c>
      <c r="AJ2352">
        <v>91.269189781926798</v>
      </c>
      <c r="AK2352">
        <v>16.076727732815701</v>
      </c>
      <c r="AL2352">
        <v>68.587174433376802</v>
      </c>
      <c r="AM2352">
        <v>95.654649337181894</v>
      </c>
      <c r="AN2352">
        <v>1.0000000259739801</v>
      </c>
    </row>
    <row r="2353" spans="1:40" x14ac:dyDescent="0.25">
      <c r="A2353" t="str">
        <f>"20190304164136078"</f>
        <v>20190304164136078</v>
      </c>
      <c r="B2353" t="str">
        <f>"1551688896073006"</f>
        <v>1551688896073006</v>
      </c>
      <c r="C2353" t="s">
        <v>40</v>
      </c>
      <c r="D2353">
        <v>4.1556689999999996</v>
      </c>
      <c r="E2353">
        <v>0.54017479999999995</v>
      </c>
      <c r="F2353" t="s">
        <v>47</v>
      </c>
      <c r="G2353">
        <v>-312.95580000000001</v>
      </c>
      <c r="H2353" s="1">
        <v>3.5741819999999999E-6</v>
      </c>
      <c r="I2353">
        <v>284.08539999999999</v>
      </c>
      <c r="J2353">
        <v>-296.88589999999999</v>
      </c>
      <c r="K2353">
        <v>1.1095489999999999</v>
      </c>
      <c r="L2353">
        <v>284.53879999999998</v>
      </c>
      <c r="M2353">
        <v>-0.99995909999999999</v>
      </c>
      <c r="N2353">
        <v>-6.8547449999999998E-3</v>
      </c>
      <c r="O2353">
        <v>-5.9048640000000001E-3</v>
      </c>
      <c r="P2353">
        <v>-0.92836580000000002</v>
      </c>
      <c r="Q2353">
        <v>0.35900749999999998</v>
      </c>
      <c r="R2353">
        <v>-9.6180039999999994E-2</v>
      </c>
      <c r="S2353">
        <v>-3.3086549999999999</v>
      </c>
      <c r="T2353">
        <v>-0.224355</v>
      </c>
      <c r="U2353">
        <v>-9.1979980000000003E-2</v>
      </c>
      <c r="V2353">
        <v>-9.1113940000000004E-2</v>
      </c>
      <c r="W2353">
        <v>0.3652628</v>
      </c>
      <c r="X2353">
        <v>0.9264348</v>
      </c>
      <c r="Y2353">
        <v>-2.1841619999999999E-2</v>
      </c>
      <c r="Z2353">
        <v>-4.5507579999999999E-4</v>
      </c>
      <c r="AA2353">
        <v>0.99976129999999996</v>
      </c>
      <c r="AB2353">
        <v>52</v>
      </c>
      <c r="AC2353">
        <v>-16.069900000000001</v>
      </c>
      <c r="AD2353">
        <v>-1.109545425818</v>
      </c>
      <c r="AE2353">
        <v>-0.45339999999998698</v>
      </c>
      <c r="AF2353">
        <v>-0.35679970998181898</v>
      </c>
      <c r="AG2353">
        <v>-1.109545425818</v>
      </c>
      <c r="AH2353">
        <v>15.9961011170207</v>
      </c>
      <c r="AI2353">
        <v>93.966896366500805</v>
      </c>
      <c r="AJ2353">
        <v>91.277794383126704</v>
      </c>
      <c r="AK2353">
        <v>16.038505168217799</v>
      </c>
      <c r="AL2353">
        <v>68.576244387878106</v>
      </c>
      <c r="AM2353">
        <v>95.616919400086999</v>
      </c>
      <c r="AN2353">
        <v>1.0000000508886</v>
      </c>
    </row>
    <row r="2354" spans="1:40" x14ac:dyDescent="0.25">
      <c r="A2354" t="str">
        <f>"20190304164136090"</f>
        <v>20190304164136090</v>
      </c>
      <c r="B2354" t="str">
        <f>"1551688896083743"</f>
        <v>1551688896083743</v>
      </c>
      <c r="C2354" t="s">
        <v>40</v>
      </c>
      <c r="D2354">
        <v>4.1327689999999997</v>
      </c>
      <c r="E2354">
        <v>0.54014410000000002</v>
      </c>
      <c r="F2354" t="s">
        <v>47</v>
      </c>
      <c r="G2354">
        <v>-313.21879999999999</v>
      </c>
      <c r="H2354" s="1">
        <v>3.691064E-6</v>
      </c>
      <c r="I2354">
        <v>284.08229999999998</v>
      </c>
      <c r="J2354">
        <v>-297.15010000000001</v>
      </c>
      <c r="K2354">
        <v>1.109483</v>
      </c>
      <c r="L2354">
        <v>284.53730000000002</v>
      </c>
      <c r="M2354">
        <v>-0.99995919999999905</v>
      </c>
      <c r="N2354">
        <v>-6.8655340000000004E-3</v>
      </c>
      <c r="O2354">
        <v>-5.8732919999999996E-3</v>
      </c>
      <c r="P2354">
        <v>-0.9284888</v>
      </c>
      <c r="Q2354">
        <v>0.35887239999999998</v>
      </c>
      <c r="R2354">
        <v>-9.5495789999999997E-2</v>
      </c>
      <c r="S2354">
        <v>-3.3088380000000002</v>
      </c>
      <c r="T2354">
        <v>-0.2247806</v>
      </c>
      <c r="U2354">
        <v>-9.2468259999999997E-2</v>
      </c>
      <c r="V2354">
        <v>-9.0401099999999998E-2</v>
      </c>
      <c r="W2354">
        <v>0.36515350000000002</v>
      </c>
      <c r="X2354">
        <v>0.92654760000000003</v>
      </c>
      <c r="Y2354">
        <v>-2.20184E-2</v>
      </c>
      <c r="Z2354">
        <v>-4.644106E-4</v>
      </c>
      <c r="AA2354">
        <v>0.99975749999999997</v>
      </c>
      <c r="AB2354">
        <v>52</v>
      </c>
      <c r="AC2354">
        <v>-16.0686999999999</v>
      </c>
      <c r="AD2354">
        <v>-1.109479308936</v>
      </c>
      <c r="AE2354">
        <v>-0.45500000000003998</v>
      </c>
      <c r="AF2354">
        <v>-0.35890411158555602</v>
      </c>
      <c r="AG2354">
        <v>-1.109479308936</v>
      </c>
      <c r="AH2354">
        <v>15.994903054054801</v>
      </c>
      <c r="AI2354">
        <v>93.966945121466097</v>
      </c>
      <c r="AJ2354">
        <v>91.285424524928501</v>
      </c>
      <c r="AK2354">
        <v>16.0373526558121</v>
      </c>
      <c r="AL2354">
        <v>68.582969132940093</v>
      </c>
      <c r="AM2354">
        <v>95.5725783310493</v>
      </c>
      <c r="AN2354">
        <v>0.99999994625460797</v>
      </c>
    </row>
    <row r="2355" spans="1:40" x14ac:dyDescent="0.25">
      <c r="A2355" t="str">
        <f>"20190304164136103"</f>
        <v>20190304164136103</v>
      </c>
      <c r="B2355" t="str">
        <f>"1551688896093503"</f>
        <v>1551688896093503</v>
      </c>
      <c r="C2355" t="s">
        <v>40</v>
      </c>
      <c r="D2355">
        <v>4.1413250000000001</v>
      </c>
      <c r="E2355">
        <v>0.54008919999999905</v>
      </c>
      <c r="F2355" t="s">
        <v>47</v>
      </c>
      <c r="G2355">
        <v>-313.4282</v>
      </c>
      <c r="H2355" s="1">
        <v>3.7838530000000001E-6</v>
      </c>
      <c r="I2355">
        <v>284.08330000000001</v>
      </c>
      <c r="J2355">
        <v>-297.42579999999998</v>
      </c>
      <c r="K2355">
        <v>1.1094120000000001</v>
      </c>
      <c r="L2355">
        <v>284.53579999999999</v>
      </c>
      <c r="M2355">
        <v>-0.9999595</v>
      </c>
      <c r="N2355">
        <v>-6.8766819999999899E-3</v>
      </c>
      <c r="O2355">
        <v>-5.8239420000000004E-3</v>
      </c>
      <c r="P2355">
        <v>-0.92844610000000005</v>
      </c>
      <c r="Q2355">
        <v>0.35911520000000002</v>
      </c>
      <c r="R2355">
        <v>-9.4996399999999995E-2</v>
      </c>
      <c r="S2355">
        <v>-3.308716</v>
      </c>
      <c r="T2355">
        <v>-0.2255154</v>
      </c>
      <c r="U2355">
        <v>-9.2285160000000005E-2</v>
      </c>
      <c r="V2355">
        <v>-8.9888599999999999E-2</v>
      </c>
      <c r="W2355">
        <v>0.3654212</v>
      </c>
      <c r="X2355">
        <v>0.92649199999999998</v>
      </c>
      <c r="Y2355">
        <v>-2.2013120000000001E-2</v>
      </c>
      <c r="Z2355">
        <v>-4.685709E-4</v>
      </c>
      <c r="AA2355">
        <v>0.99975760000000002</v>
      </c>
      <c r="AB2355">
        <v>52</v>
      </c>
      <c r="AC2355">
        <v>-16.002400000000002</v>
      </c>
      <c r="AD2355">
        <v>-1.109408216147</v>
      </c>
      <c r="AE2355">
        <v>-0.45249999999998602</v>
      </c>
      <c r="AF2355">
        <v>-0.35757583205452798</v>
      </c>
      <c r="AG2355">
        <v>-1.109408216147</v>
      </c>
      <c r="AH2355">
        <v>15.928268831309</v>
      </c>
      <c r="AI2355">
        <v>93.983231735927902</v>
      </c>
      <c r="AJ2355">
        <v>91.286024590873197</v>
      </c>
      <c r="AK2355">
        <v>15.970860810494001</v>
      </c>
      <c r="AL2355">
        <v>68.566494083216099</v>
      </c>
      <c r="AM2355">
        <v>95.5415140290403</v>
      </c>
      <c r="AN2355">
        <v>1.0000000199416901</v>
      </c>
    </row>
    <row r="2356" spans="1:40" x14ac:dyDescent="0.25">
      <c r="A2356" t="str">
        <f>"20190304164136115"</f>
        <v>20190304164136115</v>
      </c>
      <c r="B2356" t="str">
        <f>"1551688896103262"</f>
        <v>1551688896103262</v>
      </c>
      <c r="C2356" t="s">
        <v>40</v>
      </c>
      <c r="D2356">
        <v>4.1329669999999998</v>
      </c>
      <c r="E2356">
        <v>0.54003319999999999</v>
      </c>
      <c r="F2356" t="s">
        <v>41</v>
      </c>
      <c r="G2356">
        <v>-298.59800000000001</v>
      </c>
      <c r="H2356">
        <v>1.02969</v>
      </c>
      <c r="I2356">
        <v>284.50310000000002</v>
      </c>
      <c r="J2356">
        <v>-297.7353</v>
      </c>
      <c r="K2356">
        <v>1.1093379999999999</v>
      </c>
      <c r="L2356">
        <v>284.53410000000002</v>
      </c>
      <c r="M2356">
        <v>-0.99996010000000002</v>
      </c>
      <c r="N2356">
        <v>-6.8888389999999999E-3</v>
      </c>
      <c r="O2356">
        <v>-5.714823E-3</v>
      </c>
      <c r="P2356">
        <v>-0.92852619999999997</v>
      </c>
      <c r="Q2356">
        <v>0.35910360000000002</v>
      </c>
      <c r="R2356">
        <v>-9.4257439999999998E-2</v>
      </c>
      <c r="S2356">
        <v>-3.3088069999999998</v>
      </c>
      <c r="T2356">
        <v>-0.2250588</v>
      </c>
      <c r="U2356">
        <v>-9.2437740000000004E-2</v>
      </c>
      <c r="V2356">
        <v>-8.9184169999999993E-2</v>
      </c>
      <c r="W2356">
        <v>0.36543809999999999</v>
      </c>
      <c r="X2356">
        <v>0.92655339999999997</v>
      </c>
      <c r="Y2356">
        <v>-2.2167079999999999E-2</v>
      </c>
      <c r="Z2356">
        <v>-4.8047390000000001E-4</v>
      </c>
      <c r="AA2356">
        <v>0.99975420000000004</v>
      </c>
      <c r="AB2356">
        <v>52</v>
      </c>
      <c r="AC2356">
        <v>-0.86270000000001701</v>
      </c>
      <c r="AD2356">
        <v>-7.9647999999999899E-2</v>
      </c>
      <c r="AE2356">
        <v>-3.1000000000005901E-2</v>
      </c>
      <c r="AF2356">
        <v>-2.5849152443362E-2</v>
      </c>
      <c r="AG2356">
        <v>-7.9647999999999899E-2</v>
      </c>
      <c r="AH2356">
        <v>0.85557974123715996</v>
      </c>
      <c r="AI2356">
        <v>95.316063450466899</v>
      </c>
      <c r="AJ2356">
        <v>91.730518951168804</v>
      </c>
      <c r="AK2356">
        <v>0.85966777082864199</v>
      </c>
      <c r="AL2356">
        <v>68.565453663462307</v>
      </c>
      <c r="AM2356">
        <v>95.497991886897907</v>
      </c>
      <c r="AN2356">
        <v>1.0000000120808701</v>
      </c>
    </row>
    <row r="2357" spans="1:40" x14ac:dyDescent="0.25">
      <c r="A2357" t="str">
        <f>"20190304164136132"</f>
        <v>20190304164136132</v>
      </c>
      <c r="B2357" t="str">
        <f>"1551688896123759"</f>
        <v>1551688896123759</v>
      </c>
      <c r="C2357" t="s">
        <v>40</v>
      </c>
      <c r="D2357">
        <v>4.136126</v>
      </c>
      <c r="E2357">
        <v>0.53992079999999998</v>
      </c>
      <c r="F2357" t="s">
        <v>47</v>
      </c>
      <c r="G2357">
        <v>-313.99849999999998</v>
      </c>
      <c r="H2357" s="1">
        <v>4.0366289999999998E-6</v>
      </c>
      <c r="I2357">
        <v>284.0849</v>
      </c>
      <c r="J2357">
        <v>-298.11099999999999</v>
      </c>
      <c r="K2357">
        <v>1.1092500000000001</v>
      </c>
      <c r="L2357">
        <v>284.53210000000001</v>
      </c>
      <c r="M2357">
        <v>-0.99996099999999999</v>
      </c>
      <c r="N2357">
        <v>-6.9033209999999996E-3</v>
      </c>
      <c r="O2357">
        <v>-5.5469669999999999E-3</v>
      </c>
      <c r="P2357">
        <v>-0.92892770000000002</v>
      </c>
      <c r="Q2357">
        <v>0.35847059999999997</v>
      </c>
      <c r="R2357">
        <v>-9.2695680000000003E-2</v>
      </c>
      <c r="S2357">
        <v>-3.3088989999999998</v>
      </c>
      <c r="T2357">
        <v>-0.22570380000000001</v>
      </c>
      <c r="U2357">
        <v>-9.1400149999999999E-2</v>
      </c>
      <c r="V2357">
        <v>-8.7699550000000001E-2</v>
      </c>
      <c r="W2357">
        <v>0.36484060000000001</v>
      </c>
      <c r="X2357">
        <v>0.92693049999999999</v>
      </c>
      <c r="Y2357">
        <v>-2.2020669999999999E-2</v>
      </c>
      <c r="Z2357">
        <v>-4.8653519999999998E-4</v>
      </c>
      <c r="AA2357">
        <v>0.99975740000000002</v>
      </c>
      <c r="AB2357">
        <v>52</v>
      </c>
      <c r="AC2357">
        <v>-15.8874999999999</v>
      </c>
      <c r="AD2357">
        <v>-1.1092459633709999</v>
      </c>
      <c r="AE2357">
        <v>-0.44720000000000898</v>
      </c>
      <c r="AF2357">
        <v>-0.357323149382969</v>
      </c>
      <c r="AG2357">
        <v>-1.1092459633709999</v>
      </c>
      <c r="AH2357">
        <v>15.8127155948164</v>
      </c>
      <c r="AI2357">
        <v>94.011646727195199</v>
      </c>
      <c r="AJ2357">
        <v>91.294504070105006</v>
      </c>
      <c r="AK2357">
        <v>15.8556009322539</v>
      </c>
      <c r="AL2357">
        <v>68.602227008285297</v>
      </c>
      <c r="AM2357">
        <v>95.404828875620396</v>
      </c>
      <c r="AN2357">
        <v>1.0000000131544</v>
      </c>
    </row>
    <row r="2358" spans="1:40" x14ac:dyDescent="0.25">
      <c r="A2358" t="str">
        <f>"20190304164136147"</f>
        <v>20190304164136147</v>
      </c>
      <c r="B2358" t="str">
        <f>"1551688896133519"</f>
        <v>1551688896133519</v>
      </c>
      <c r="C2358" t="s">
        <v>40</v>
      </c>
      <c r="D2358">
        <v>4.1527019999999997</v>
      </c>
      <c r="E2358">
        <v>0.539915699999999</v>
      </c>
      <c r="F2358" t="s">
        <v>47</v>
      </c>
      <c r="G2358">
        <v>-314.18849999999998</v>
      </c>
      <c r="H2358" s="1">
        <v>4.119443E-6</v>
      </c>
      <c r="I2358">
        <v>284.10140000000001</v>
      </c>
      <c r="J2358">
        <v>-298.44439999999997</v>
      </c>
      <c r="K2358">
        <v>1.1091770000000001</v>
      </c>
      <c r="L2358">
        <v>284.53039999999999</v>
      </c>
      <c r="M2358">
        <v>-0.99996169999999995</v>
      </c>
      <c r="N2358">
        <v>-6.9159149999999999E-3</v>
      </c>
      <c r="O2358">
        <v>-5.3681579999999996E-3</v>
      </c>
      <c r="P2358">
        <v>-0.9290815</v>
      </c>
      <c r="Q2358">
        <v>0.358328599999999</v>
      </c>
      <c r="R2358">
        <v>-9.1696860000000005E-2</v>
      </c>
      <c r="S2358">
        <v>-3.3087770000000001</v>
      </c>
      <c r="T2358">
        <v>-0.22828399999999999</v>
      </c>
      <c r="U2358">
        <v>-8.8623049999999995E-2</v>
      </c>
      <c r="V2358">
        <v>-8.6801550000000005E-2</v>
      </c>
      <c r="W2358">
        <v>0.36472650000000001</v>
      </c>
      <c r="X2358">
        <v>0.92705990000000005</v>
      </c>
      <c r="Y2358">
        <v>-2.136236E-2</v>
      </c>
      <c r="Z2358">
        <v>-4.771326E-4</v>
      </c>
      <c r="AA2358">
        <v>0.99977169999999904</v>
      </c>
      <c r="AB2358">
        <v>52</v>
      </c>
      <c r="AC2358">
        <v>-15.7441</v>
      </c>
      <c r="AD2358">
        <v>-1.109172880557</v>
      </c>
      <c r="AE2358">
        <v>-0.42899999999997301</v>
      </c>
      <c r="AF2358">
        <v>-0.34277498016688002</v>
      </c>
      <c r="AG2358">
        <v>-1.109172880557</v>
      </c>
      <c r="AH2358">
        <v>15.668467904261499</v>
      </c>
      <c r="AI2358">
        <v>94.048255428834693</v>
      </c>
      <c r="AJ2358">
        <v>91.253244898959494</v>
      </c>
      <c r="AK2358">
        <v>15.711417683737601</v>
      </c>
      <c r="AL2358">
        <v>68.6092478353861</v>
      </c>
      <c r="AM2358">
        <v>95.349066449733101</v>
      </c>
      <c r="AN2358">
        <v>0.99999999353633096</v>
      </c>
    </row>
    <row r="2359" spans="1:40" x14ac:dyDescent="0.25">
      <c r="A2359" t="str">
        <f>"20190304164136164"</f>
        <v>20190304164136164</v>
      </c>
      <c r="B2359" t="str">
        <f>"1551688896153039"</f>
        <v>1551688896153039</v>
      </c>
      <c r="C2359" t="s">
        <v>40</v>
      </c>
      <c r="D2359">
        <v>4.123532</v>
      </c>
      <c r="E2359">
        <v>0.53989540000000003</v>
      </c>
      <c r="F2359" t="s">
        <v>41</v>
      </c>
      <c r="G2359">
        <v>-299.5369</v>
      </c>
      <c r="H2359">
        <v>1.0336459999999901</v>
      </c>
      <c r="I2359">
        <v>284.50220000000002</v>
      </c>
      <c r="J2359">
        <v>-298.86200000000002</v>
      </c>
      <c r="K2359">
        <v>1.109092</v>
      </c>
      <c r="L2359">
        <v>284.5283</v>
      </c>
      <c r="M2359">
        <v>-0.99996300000000005</v>
      </c>
      <c r="N2359">
        <v>-6.9313339999999999E-3</v>
      </c>
      <c r="O2359">
        <v>-5.1082139999999998E-3</v>
      </c>
      <c r="P2359">
        <v>-0.92934749999999999</v>
      </c>
      <c r="Q2359">
        <v>0.35823549999999998</v>
      </c>
      <c r="R2359">
        <v>-8.9337349999999996E-2</v>
      </c>
      <c r="S2359">
        <v>-3.3087460000000002</v>
      </c>
      <c r="T2359">
        <v>-0.22884740000000001</v>
      </c>
      <c r="U2359">
        <v>-8.5968020000000006E-2</v>
      </c>
      <c r="V2359">
        <v>-8.4608180000000005E-2</v>
      </c>
      <c r="W2359">
        <v>0.36466700000000002</v>
      </c>
      <c r="X2359">
        <v>0.9272861</v>
      </c>
      <c r="Y2359">
        <v>-2.08215E-2</v>
      </c>
      <c r="Z2359">
        <v>-4.7388649999999998E-4</v>
      </c>
      <c r="AA2359">
        <v>0.99978310000000004</v>
      </c>
      <c r="AB2359">
        <v>52</v>
      </c>
      <c r="AC2359">
        <v>-0.67489999999997896</v>
      </c>
      <c r="AD2359">
        <v>-7.5446000000000096E-2</v>
      </c>
      <c r="AE2359">
        <v>-2.6099999999985302E-2</v>
      </c>
      <c r="AF2359">
        <v>-2.2372874789878702E-2</v>
      </c>
      <c r="AG2359">
        <v>-7.5446000000000096E-2</v>
      </c>
      <c r="AH2359">
        <v>0.66670538013310998</v>
      </c>
      <c r="AI2359">
        <v>96.4526624964831</v>
      </c>
      <c r="AJ2359">
        <v>91.921974073915905</v>
      </c>
      <c r="AK2359">
        <v>0.67133352987974404</v>
      </c>
      <c r="AL2359">
        <v>68.612910099569802</v>
      </c>
      <c r="AM2359">
        <v>95.213391726541701</v>
      </c>
      <c r="AN2359">
        <v>1.00000003813256</v>
      </c>
    </row>
    <row r="2360" spans="1:40" x14ac:dyDescent="0.25">
      <c r="A2360" t="str">
        <f>"20190304164136177"</f>
        <v>20190304164136177</v>
      </c>
      <c r="B2360" t="str">
        <f>"1551688896173535"</f>
        <v>1551688896173535</v>
      </c>
      <c r="C2360" t="s">
        <v>40</v>
      </c>
      <c r="D2360">
        <v>4.1412659999999999</v>
      </c>
      <c r="E2360">
        <v>0.53986590000000001</v>
      </c>
      <c r="F2360" t="s">
        <v>41</v>
      </c>
      <c r="G2360">
        <v>-299.9973</v>
      </c>
      <c r="H2360">
        <v>1.0303310000000001</v>
      </c>
      <c r="I2360">
        <v>284.50099999999998</v>
      </c>
      <c r="J2360">
        <v>-299.15839999999997</v>
      </c>
      <c r="K2360">
        <v>1.1090359999999999</v>
      </c>
      <c r="L2360">
        <v>284.52690000000001</v>
      </c>
      <c r="M2360">
        <v>-0.99996390000000002</v>
      </c>
      <c r="N2360">
        <v>-6.9420280000000003E-3</v>
      </c>
      <c r="O2360">
        <v>-4.9031109999999999E-3</v>
      </c>
      <c r="P2360">
        <v>-0.92939760000000005</v>
      </c>
      <c r="Q2360">
        <v>0.3584405</v>
      </c>
      <c r="R2360">
        <v>-8.7981229999999994E-2</v>
      </c>
      <c r="S2360">
        <v>-3.308929</v>
      </c>
      <c r="T2360">
        <v>-0.22970489999999999</v>
      </c>
      <c r="U2360">
        <v>-8.0047610000000005E-2</v>
      </c>
      <c r="V2360">
        <v>-8.3393949999999994E-2</v>
      </c>
      <c r="W2360">
        <v>0.36489339999999998</v>
      </c>
      <c r="X2360">
        <v>0.92730699999999999</v>
      </c>
      <c r="Y2360">
        <v>-1.9240859999999999E-2</v>
      </c>
      <c r="Z2360">
        <v>-4.279207E-4</v>
      </c>
      <c r="AA2360">
        <v>0.9998148</v>
      </c>
      <c r="AB2360">
        <v>52</v>
      </c>
      <c r="AC2360">
        <v>-0.83890000000002296</v>
      </c>
      <c r="AD2360">
        <v>-7.8705000000000205E-2</v>
      </c>
      <c r="AE2360">
        <v>-2.5900000000035499E-2</v>
      </c>
      <c r="AF2360">
        <v>-2.15964575312673E-2</v>
      </c>
      <c r="AG2360">
        <v>-7.8705000000000205E-2</v>
      </c>
      <c r="AH2360">
        <v>0.83170318049889203</v>
      </c>
      <c r="AI2360">
        <v>95.4040545306257</v>
      </c>
      <c r="AJ2360">
        <v>91.487439152874501</v>
      </c>
      <c r="AK2360">
        <v>0.83569795049100803</v>
      </c>
      <c r="AL2360">
        <v>68.598977678821598</v>
      </c>
      <c r="AM2360">
        <v>95.138861534114795</v>
      </c>
      <c r="AN2360">
        <v>1.0000000082545799</v>
      </c>
    </row>
    <row r="2361" spans="1:40" x14ac:dyDescent="0.25">
      <c r="A2361" t="str">
        <f>"20190304164136189"</f>
        <v>20190304164136189</v>
      </c>
      <c r="B2361" t="str">
        <f>"1551688896183295"</f>
        <v>1551688896183295</v>
      </c>
      <c r="C2361" t="s">
        <v>40</v>
      </c>
      <c r="D2361">
        <v>4.1551400000000003</v>
      </c>
      <c r="E2361">
        <v>0.5398385</v>
      </c>
      <c r="F2361" t="s">
        <v>47</v>
      </c>
      <c r="G2361">
        <v>-315.19099999999997</v>
      </c>
      <c r="H2361" s="1">
        <v>4.5592910000000001E-6</v>
      </c>
      <c r="I2361">
        <v>284.15539999999999</v>
      </c>
      <c r="J2361">
        <v>-299.42180000000002</v>
      </c>
      <c r="K2361">
        <v>1.1089899999999999</v>
      </c>
      <c r="L2361">
        <v>284.5256</v>
      </c>
      <c r="M2361">
        <v>-0.99996479999999999</v>
      </c>
      <c r="N2361">
        <v>-6.9513539999999999E-3</v>
      </c>
      <c r="O2361">
        <v>-4.7125070000000003E-3</v>
      </c>
      <c r="P2361">
        <v>-0.92932440000000005</v>
      </c>
      <c r="Q2361">
        <v>0.35895700000000003</v>
      </c>
      <c r="R2361">
        <v>-8.6639140000000003E-2</v>
      </c>
      <c r="S2361">
        <v>-3.3089599999999999</v>
      </c>
      <c r="T2361">
        <v>-0.22889180000000001</v>
      </c>
      <c r="U2361">
        <v>-7.6660160000000005E-2</v>
      </c>
      <c r="V2361">
        <v>-8.218905E-2</v>
      </c>
      <c r="W2361">
        <v>0.36542649999999999</v>
      </c>
      <c r="X2361">
        <v>0.92720460000000005</v>
      </c>
      <c r="Y2361">
        <v>-1.8410320000000001E-2</v>
      </c>
      <c r="Z2361">
        <v>-4.0716629999999998E-4</v>
      </c>
      <c r="AA2361">
        <v>0.99983040000000001</v>
      </c>
      <c r="AB2361">
        <v>52</v>
      </c>
      <c r="AC2361">
        <v>-15.7691999999999</v>
      </c>
      <c r="AD2361">
        <v>-1.1089854407089901</v>
      </c>
      <c r="AE2361">
        <v>-0.37020000000001102</v>
      </c>
      <c r="AF2361">
        <v>-0.29442627572676899</v>
      </c>
      <c r="AG2361">
        <v>-1.1089854407089901</v>
      </c>
      <c r="AH2361">
        <v>15.6931975869506</v>
      </c>
      <c r="AI2361">
        <v>94.041471347394193</v>
      </c>
      <c r="AJ2361">
        <v>91.074822643187304</v>
      </c>
      <c r="AK2361">
        <v>15.7350877354597</v>
      </c>
      <c r="AL2361">
        <v>68.566166698064904</v>
      </c>
      <c r="AM2361">
        <v>95.065559257487294</v>
      </c>
      <c r="AN2361">
        <v>0.99999996855165496</v>
      </c>
    </row>
    <row r="2362" spans="1:40" x14ac:dyDescent="0.25">
      <c r="A2362" t="str">
        <f>"20190304164136200"</f>
        <v>20190304164136200</v>
      </c>
      <c r="B2362" t="str">
        <f>"1551688896193054"</f>
        <v>1551688896193054</v>
      </c>
      <c r="C2362" t="s">
        <v>40</v>
      </c>
      <c r="D2362">
        <v>4.1438050000000004</v>
      </c>
      <c r="E2362">
        <v>0.53982969999999997</v>
      </c>
      <c r="F2362" t="s">
        <v>47</v>
      </c>
      <c r="G2362">
        <v>-315.608</v>
      </c>
      <c r="H2362" s="1">
        <v>4.7427000000000003E-6</v>
      </c>
      <c r="I2362">
        <v>284.17239999999998</v>
      </c>
      <c r="J2362">
        <v>-299.71679999999998</v>
      </c>
      <c r="K2362">
        <v>1.108938</v>
      </c>
      <c r="L2362">
        <v>284.52429999999998</v>
      </c>
      <c r="M2362">
        <v>-0.99996580000000002</v>
      </c>
      <c r="N2362">
        <v>-6.9616440000000003E-3</v>
      </c>
      <c r="O2362">
        <v>-4.4916069999999999E-3</v>
      </c>
      <c r="P2362">
        <v>-0.92927269999999895</v>
      </c>
      <c r="Q2362">
        <v>0.35936050000000003</v>
      </c>
      <c r="R2362">
        <v>-8.5515530000000006E-2</v>
      </c>
      <c r="S2362">
        <v>-3.3089900000000001</v>
      </c>
      <c r="T2362">
        <v>-0.22671269999999999</v>
      </c>
      <c r="U2362">
        <v>-7.2204589999999999E-2</v>
      </c>
      <c r="V2362">
        <v>-8.1227049999999995E-2</v>
      </c>
      <c r="W2362">
        <v>0.36584899999999998</v>
      </c>
      <c r="X2362">
        <v>0.92712280000000002</v>
      </c>
      <c r="Y2362">
        <v>-1.728853E-2</v>
      </c>
      <c r="Z2362">
        <v>-3.7565070000000002E-4</v>
      </c>
      <c r="AA2362">
        <v>0.99985049999999998</v>
      </c>
      <c r="AB2362">
        <v>52</v>
      </c>
      <c r="AC2362">
        <v>-15.8912</v>
      </c>
      <c r="AD2362">
        <v>-1.1089332572999999</v>
      </c>
      <c r="AE2362">
        <v>-0.35189999999999999</v>
      </c>
      <c r="AF2362">
        <v>-0.27915896465894202</v>
      </c>
      <c r="AG2362">
        <v>-1.1089332572999999</v>
      </c>
      <c r="AH2362">
        <v>15.8156414933918</v>
      </c>
      <c r="AI2362">
        <v>94.010177665402907</v>
      </c>
      <c r="AJ2362">
        <v>91.011212207619494</v>
      </c>
      <c r="AK2362">
        <v>15.856928408244499</v>
      </c>
      <c r="AL2362">
        <v>68.540159168624399</v>
      </c>
      <c r="AM2362">
        <v>95.007010896334407</v>
      </c>
      <c r="AN2362">
        <v>1.0000000053662701</v>
      </c>
    </row>
    <row r="2363" spans="1:40" x14ac:dyDescent="0.25">
      <c r="A2363" t="str">
        <f>"20190304164136211"</f>
        <v>20190304164136211</v>
      </c>
      <c r="B2363" t="str">
        <f>"1551688896203791"</f>
        <v>1551688896203791</v>
      </c>
      <c r="C2363" t="s">
        <v>40</v>
      </c>
      <c r="D2363">
        <v>4.1410220000000004</v>
      </c>
      <c r="E2363">
        <v>0.53979100000000002</v>
      </c>
      <c r="F2363" t="s">
        <v>47</v>
      </c>
      <c r="G2363">
        <v>-316.02690000000001</v>
      </c>
      <c r="H2363" s="1">
        <v>4.927037E-6</v>
      </c>
      <c r="I2363">
        <v>284.18920000000003</v>
      </c>
      <c r="J2363">
        <v>-299.97210000000001</v>
      </c>
      <c r="K2363">
        <v>1.108892</v>
      </c>
      <c r="L2363">
        <v>284.52330000000001</v>
      </c>
      <c r="M2363">
        <v>-0.99996660000000004</v>
      </c>
      <c r="N2363">
        <v>-6.9705690000000002E-3</v>
      </c>
      <c r="O2363">
        <v>-4.2917679999999996E-3</v>
      </c>
      <c r="P2363">
        <v>-0.92934479999999997</v>
      </c>
      <c r="Q2363">
        <v>0.35932140000000001</v>
      </c>
      <c r="R2363">
        <v>-8.4892280000000001E-2</v>
      </c>
      <c r="S2363">
        <v>-3.3090820000000001</v>
      </c>
      <c r="T2363">
        <v>-0.22498560000000001</v>
      </c>
      <c r="U2363">
        <v>-6.7993159999999997E-2</v>
      </c>
      <c r="V2363">
        <v>-8.0754339999999994E-2</v>
      </c>
      <c r="W2363">
        <v>0.3658264</v>
      </c>
      <c r="X2363">
        <v>0.92717300000000002</v>
      </c>
      <c r="Y2363">
        <v>-1.6218650000000001E-2</v>
      </c>
      <c r="Z2363">
        <v>-3.4572230000000002E-4</v>
      </c>
      <c r="AA2363">
        <v>0.99986839999999999</v>
      </c>
      <c r="AB2363">
        <v>52</v>
      </c>
      <c r="AC2363">
        <v>-16.0548</v>
      </c>
      <c r="AD2363">
        <v>-1.108887072963</v>
      </c>
      <c r="AE2363">
        <v>-0.33409999999997803</v>
      </c>
      <c r="AF2363">
        <v>-0.26393322801692098</v>
      </c>
      <c r="AG2363">
        <v>-1.108887072963</v>
      </c>
      <c r="AH2363">
        <v>15.9798868307372</v>
      </c>
      <c r="AI2363">
        <v>93.969004322156493</v>
      </c>
      <c r="AJ2363">
        <v>90.9462448212429</v>
      </c>
      <c r="AK2363">
        <v>16.020489206406999</v>
      </c>
      <c r="AL2363">
        <v>68.541550272200993</v>
      </c>
      <c r="AM2363">
        <v>94.977750702092905</v>
      </c>
      <c r="AN2363">
        <v>0.99999999514739701</v>
      </c>
    </row>
    <row r="2364" spans="1:40" x14ac:dyDescent="0.25">
      <c r="A2364" t="str">
        <f>"20190304164136225"</f>
        <v>20190304164136225</v>
      </c>
      <c r="B2364" t="str">
        <f>"1551688896213550"</f>
        <v>1551688896213550</v>
      </c>
      <c r="C2364" t="s">
        <v>40</v>
      </c>
      <c r="D2364">
        <v>4.1333409999999997</v>
      </c>
      <c r="E2364">
        <v>0.53975139999999999</v>
      </c>
      <c r="F2364" t="s">
        <v>47</v>
      </c>
      <c r="G2364">
        <v>-316.2885</v>
      </c>
      <c r="H2364" s="1">
        <v>5.0418099999999996E-6</v>
      </c>
      <c r="I2364">
        <v>284.20269999999999</v>
      </c>
      <c r="J2364">
        <v>-300.2731</v>
      </c>
      <c r="K2364">
        <v>1.1088439999999999</v>
      </c>
      <c r="L2364">
        <v>284.52199999999999</v>
      </c>
      <c r="M2364">
        <v>-0.99996750000000001</v>
      </c>
      <c r="N2364">
        <v>-6.9810189999999998E-3</v>
      </c>
      <c r="O2364">
        <v>-4.0531480000000003E-3</v>
      </c>
      <c r="P2364">
        <v>-0.92944020000000005</v>
      </c>
      <c r="Q2364">
        <v>0.35918430000000001</v>
      </c>
      <c r="R2364">
        <v>-8.4427180000000004E-2</v>
      </c>
      <c r="S2364">
        <v>-3.3091129999999902</v>
      </c>
      <c r="T2364">
        <v>-0.22489310000000001</v>
      </c>
      <c r="U2364">
        <v>-6.5002439999999995E-2</v>
      </c>
      <c r="V2364">
        <v>-8.0470979999999998E-2</v>
      </c>
      <c r="W2364">
        <v>0.36570789999999997</v>
      </c>
      <c r="X2364">
        <v>0.92724439999999997</v>
      </c>
      <c r="Y2364">
        <v>-1.5555009999999999E-2</v>
      </c>
      <c r="Z2364">
        <v>-3.3543499999999998E-4</v>
      </c>
      <c r="AA2364">
        <v>0.99987890000000001</v>
      </c>
      <c r="AB2364">
        <v>52</v>
      </c>
      <c r="AC2364">
        <v>-16.0154</v>
      </c>
      <c r="AD2364">
        <v>-1.10883895819</v>
      </c>
      <c r="AE2364">
        <v>-0.31929999999999797</v>
      </c>
      <c r="AF2364">
        <v>-0.25316990228046699</v>
      </c>
      <c r="AG2364">
        <v>-1.10883895819</v>
      </c>
      <c r="AH2364">
        <v>15.9401822205907</v>
      </c>
      <c r="AI2364">
        <v>93.978727442717002</v>
      </c>
      <c r="AJ2364">
        <v>90.909923562343394</v>
      </c>
      <c r="AK2364">
        <v>15.980707996214001</v>
      </c>
      <c r="AL2364">
        <v>68.548845702712896</v>
      </c>
      <c r="AM2364">
        <v>94.959991448342194</v>
      </c>
      <c r="AN2364">
        <v>1.00000001203796</v>
      </c>
    </row>
    <row r="2365" spans="1:40" x14ac:dyDescent="0.25">
      <c r="A2365" t="str">
        <f>"20190304164136237"</f>
        <v>20190304164136237</v>
      </c>
      <c r="B2365" t="str">
        <f>"1551688896233070"</f>
        <v>1551688896233070</v>
      </c>
      <c r="C2365" t="s">
        <v>40</v>
      </c>
      <c r="D2365">
        <v>4.1740700000000004</v>
      </c>
      <c r="E2365">
        <v>0.53966419999999904</v>
      </c>
      <c r="F2365" t="s">
        <v>41</v>
      </c>
      <c r="G2365">
        <v>-301.4049</v>
      </c>
      <c r="H2365">
        <v>1.0318099999999999</v>
      </c>
      <c r="I2365">
        <v>284.50040000000001</v>
      </c>
      <c r="J2365">
        <v>-300.5779</v>
      </c>
      <c r="K2365">
        <v>1.1087990000000001</v>
      </c>
      <c r="L2365">
        <v>284.52080000000001</v>
      </c>
      <c r="M2365">
        <v>-0.99996850000000004</v>
      </c>
      <c r="N2365">
        <v>-6.9914060000000004E-3</v>
      </c>
      <c r="O2365">
        <v>-3.803818E-3</v>
      </c>
      <c r="P2365">
        <v>-0.92950699999999997</v>
      </c>
      <c r="Q2365">
        <v>0.35910940000000002</v>
      </c>
      <c r="R2365">
        <v>-8.4008719999999995E-2</v>
      </c>
      <c r="S2365">
        <v>-3.309021</v>
      </c>
      <c r="T2365">
        <v>-0.22526470000000001</v>
      </c>
      <c r="U2365">
        <v>-6.3446039999999995E-2</v>
      </c>
      <c r="V2365">
        <v>-8.0245639999999993E-2</v>
      </c>
      <c r="W2365">
        <v>0.36565110000000001</v>
      </c>
      <c r="X2365">
        <v>0.92728630000000001</v>
      </c>
      <c r="Y2365">
        <v>-1.5334739999999999E-2</v>
      </c>
      <c r="Z2365">
        <v>-3.4293399999999998E-4</v>
      </c>
      <c r="AA2365">
        <v>0.9998823</v>
      </c>
      <c r="AB2365">
        <v>52</v>
      </c>
      <c r="AC2365">
        <v>-0.82699999999999796</v>
      </c>
      <c r="AD2365">
        <v>-7.6988999999999697E-2</v>
      </c>
      <c r="AE2365">
        <v>-2.0399999999994999E-2</v>
      </c>
      <c r="AF2365">
        <v>-1.71058599184023E-2</v>
      </c>
      <c r="AG2365">
        <v>-7.6988999999999697E-2</v>
      </c>
      <c r="AH2365">
        <v>0.81996962868182199</v>
      </c>
      <c r="AI2365">
        <v>95.362758544437398</v>
      </c>
      <c r="AJ2365">
        <v>91.195106989852604</v>
      </c>
      <c r="AK2365">
        <v>0.82375366980982401</v>
      </c>
      <c r="AL2365">
        <v>68.552341684530106</v>
      </c>
      <c r="AM2365">
        <v>94.945948773379897</v>
      </c>
      <c r="AN2365">
        <v>0.999999985918954</v>
      </c>
    </row>
    <row r="2366" spans="1:40" x14ac:dyDescent="0.25">
      <c r="A2366" t="str">
        <f>"20190304164136254"</f>
        <v>20190304164136254</v>
      </c>
      <c r="B2366" t="str">
        <f>"1551688896243807"</f>
        <v>1551688896243807</v>
      </c>
      <c r="C2366" t="s">
        <v>40</v>
      </c>
      <c r="D2366">
        <v>4.1601379999999999</v>
      </c>
      <c r="E2366">
        <v>0.53962330000000003</v>
      </c>
      <c r="F2366" t="s">
        <v>47</v>
      </c>
      <c r="G2366">
        <v>-316.85660000000001</v>
      </c>
      <c r="H2366" s="1">
        <v>5.2927129999999999E-6</v>
      </c>
      <c r="I2366">
        <v>284.21480000000003</v>
      </c>
      <c r="J2366">
        <v>-300.96960000000001</v>
      </c>
      <c r="K2366">
        <v>1.1087469999999999</v>
      </c>
      <c r="L2366">
        <v>284.51929999999999</v>
      </c>
      <c r="M2366">
        <v>-0.99996949999999996</v>
      </c>
      <c r="N2366">
        <v>-7.0046469999999897E-3</v>
      </c>
      <c r="O2366">
        <v>-3.4746690000000001E-3</v>
      </c>
      <c r="P2366">
        <v>-0.92963459999999998</v>
      </c>
      <c r="Q2366">
        <v>0.35891640000000002</v>
      </c>
      <c r="R2366">
        <v>-8.3419930000000003E-2</v>
      </c>
      <c r="S2366">
        <v>-3.3089599999999999</v>
      </c>
      <c r="T2366">
        <v>-0.2253838</v>
      </c>
      <c r="U2366">
        <v>-6.2194819999999998E-2</v>
      </c>
      <c r="V2366">
        <v>-7.9914440000000003E-2</v>
      </c>
      <c r="W2366">
        <v>0.36548160000000002</v>
      </c>
      <c r="X2366">
        <v>0.92738180000000003</v>
      </c>
      <c r="Y2366">
        <v>-1.5285730000000001E-2</v>
      </c>
      <c r="Z2366">
        <v>-3.6147920000000001E-4</v>
      </c>
      <c r="AA2366">
        <v>0.99988310000000002</v>
      </c>
      <c r="AB2366">
        <v>52</v>
      </c>
      <c r="AC2366">
        <v>-15.887</v>
      </c>
      <c r="AD2366">
        <v>-1.1087417072869901</v>
      </c>
      <c r="AE2366">
        <v>-0.30449999999996102</v>
      </c>
      <c r="AF2366">
        <v>-0.248086871956122</v>
      </c>
      <c r="AG2366">
        <v>-1.1087417072869901</v>
      </c>
      <c r="AH2366">
        <v>15.810982434141501</v>
      </c>
      <c r="AI2366">
        <v>94.010795449368601</v>
      </c>
      <c r="AJ2366">
        <v>90.898942517935893</v>
      </c>
      <c r="AK2366">
        <v>15.851751348107999</v>
      </c>
      <c r="AL2366">
        <v>68.562777166074795</v>
      </c>
      <c r="AM2366">
        <v>94.925131124547903</v>
      </c>
      <c r="AN2366">
        <v>1.00000006031515</v>
      </c>
    </row>
    <row r="2367" spans="1:40" x14ac:dyDescent="0.25">
      <c r="A2367" t="str">
        <f>"20190304164136268"</f>
        <v>20190304164136268</v>
      </c>
      <c r="B2367" t="str">
        <f>"1551688896263326"</f>
        <v>1551688896263326</v>
      </c>
      <c r="C2367" t="s">
        <v>40</v>
      </c>
      <c r="D2367">
        <v>4.1627299999999998</v>
      </c>
      <c r="E2367">
        <v>0.53951000000000005</v>
      </c>
      <c r="F2367" t="s">
        <v>47</v>
      </c>
      <c r="G2367">
        <v>-317.17540000000002</v>
      </c>
      <c r="H2367" s="1">
        <v>5.4341530000000002E-6</v>
      </c>
      <c r="I2367">
        <v>284.21429999999998</v>
      </c>
      <c r="J2367">
        <v>-301.2885</v>
      </c>
      <c r="K2367">
        <v>1.1087009999999999</v>
      </c>
      <c r="L2367">
        <v>284.51830000000001</v>
      </c>
      <c r="M2367">
        <v>-0.99997029999999998</v>
      </c>
      <c r="N2367">
        <v>-7.0153510000000004E-3</v>
      </c>
      <c r="O2367">
        <v>-3.1976930000000001E-3</v>
      </c>
      <c r="P2367">
        <v>-0.92951819999999996</v>
      </c>
      <c r="Q2367">
        <v>0.35925940000000001</v>
      </c>
      <c r="R2367">
        <v>-8.323991E-2</v>
      </c>
      <c r="S2367">
        <v>-3.3088989999999998</v>
      </c>
      <c r="T2367">
        <v>-0.22638249999999999</v>
      </c>
      <c r="U2367">
        <v>-6.2286380000000002E-2</v>
      </c>
      <c r="V2367">
        <v>-7.9953570000000002E-2</v>
      </c>
      <c r="W2367">
        <v>0.3658419</v>
      </c>
      <c r="X2367">
        <v>0.92723630000000001</v>
      </c>
      <c r="Y2367">
        <v>-1.558911E-2</v>
      </c>
      <c r="Z2367">
        <v>-3.9127239999999999E-4</v>
      </c>
      <c r="AA2367">
        <v>0.99987839999999995</v>
      </c>
      <c r="AB2367">
        <v>53</v>
      </c>
      <c r="AC2367">
        <v>-15.886900000000001</v>
      </c>
      <c r="AD2367">
        <v>-1.1086955658469999</v>
      </c>
      <c r="AE2367">
        <v>-0.30400000000003002</v>
      </c>
      <c r="AF2367">
        <v>-0.25196907843006799</v>
      </c>
      <c r="AG2367">
        <v>-1.1086955658469999</v>
      </c>
      <c r="AH2367">
        <v>15.810817325117799</v>
      </c>
      <c r="AI2367">
        <v>94.010655297460701</v>
      </c>
      <c r="AJ2367">
        <v>90.913016858848195</v>
      </c>
      <c r="AK2367">
        <v>15.8516446705842</v>
      </c>
      <c r="AL2367">
        <v>68.540596433270196</v>
      </c>
      <c r="AM2367">
        <v>94.928300247844106</v>
      </c>
      <c r="AN2367">
        <v>1.0000000125945201</v>
      </c>
    </row>
    <row r="2368" spans="1:40" x14ac:dyDescent="0.25">
      <c r="A2368" t="str">
        <f>"20190304164136279"</f>
        <v>20190304164136279</v>
      </c>
      <c r="B2368" t="str">
        <f>"1551688896273086"</f>
        <v>1551688896273086</v>
      </c>
      <c r="C2368" t="s">
        <v>40</v>
      </c>
      <c r="D2368">
        <v>4.155945</v>
      </c>
      <c r="E2368">
        <v>0.53944749999999997</v>
      </c>
      <c r="F2368" t="s">
        <v>41</v>
      </c>
      <c r="G2368">
        <v>-302.35660000000001</v>
      </c>
      <c r="H2368">
        <v>1.0358639999999999</v>
      </c>
      <c r="I2368">
        <v>284.49759999999998</v>
      </c>
      <c r="J2368">
        <v>-301.57470000000001</v>
      </c>
      <c r="K2368">
        <v>1.10866</v>
      </c>
      <c r="L2368">
        <v>284.51740000000001</v>
      </c>
      <c r="M2368">
        <v>-0.99997100000000005</v>
      </c>
      <c r="N2368">
        <v>-7.0248949999999998E-3</v>
      </c>
      <c r="O2368">
        <v>-2.9422099999999998E-3</v>
      </c>
      <c r="P2368">
        <v>-0.92952570000000001</v>
      </c>
      <c r="Q2368">
        <v>0.3592764</v>
      </c>
      <c r="R2368">
        <v>-8.3080109999999999E-2</v>
      </c>
      <c r="S2368">
        <v>-3.308929</v>
      </c>
      <c r="T2368">
        <v>-0.225662</v>
      </c>
      <c r="U2368">
        <v>-6.3964839999999995E-2</v>
      </c>
      <c r="V2368">
        <v>-7.9996650000000002E-2</v>
      </c>
      <c r="W2368">
        <v>0.36587520000000001</v>
      </c>
      <c r="X2368">
        <v>0.92721949999999997</v>
      </c>
      <c r="Y2368">
        <v>-1.634917E-2</v>
      </c>
      <c r="Z2368">
        <v>-4.3454220000000002E-4</v>
      </c>
      <c r="AA2368">
        <v>0.99986620000000004</v>
      </c>
      <c r="AB2368">
        <v>53</v>
      </c>
      <c r="AC2368">
        <v>-0.78190000000000703</v>
      </c>
      <c r="AD2368">
        <v>-7.2796E-2</v>
      </c>
      <c r="AE2368">
        <v>-1.9800000000032E-2</v>
      </c>
      <c r="AF2368">
        <v>-1.73490604310781E-2</v>
      </c>
      <c r="AG2368">
        <v>-7.2796E-2</v>
      </c>
      <c r="AH2368">
        <v>0.77523950039258505</v>
      </c>
      <c r="AI2368">
        <v>95.363083509036699</v>
      </c>
      <c r="AJ2368">
        <v>91.282006461385805</v>
      </c>
      <c r="AK2368">
        <v>0.77884307179481604</v>
      </c>
      <c r="AL2368">
        <v>68.538547501231704</v>
      </c>
      <c r="AM2368">
        <v>94.931031491602198</v>
      </c>
      <c r="AN2368">
        <v>1.00000006358325</v>
      </c>
    </row>
    <row r="2369" spans="1:40" x14ac:dyDescent="0.25">
      <c r="A2369" t="str">
        <f>"20190304164136300"</f>
        <v>20190304164136300</v>
      </c>
      <c r="B2369" t="str">
        <f>"1551688896293586"</f>
        <v>1551688896293586</v>
      </c>
      <c r="C2369" t="s">
        <v>40</v>
      </c>
      <c r="D2369">
        <v>4.1454810000000002</v>
      </c>
      <c r="E2369">
        <v>0.53935180000000005</v>
      </c>
      <c r="F2369" t="s">
        <v>47</v>
      </c>
      <c r="G2369">
        <v>-317.82580000000002</v>
      </c>
      <c r="H2369" s="1">
        <v>5.7239039999999996E-6</v>
      </c>
      <c r="I2369">
        <v>284.19909999999999</v>
      </c>
      <c r="J2369">
        <v>-302.05599999999998</v>
      </c>
      <c r="K2369">
        <v>1.1085910000000001</v>
      </c>
      <c r="L2369">
        <v>284.51609999999999</v>
      </c>
      <c r="M2369">
        <v>-0.99997219999999998</v>
      </c>
      <c r="N2369">
        <v>-7.0408689999999999E-3</v>
      </c>
      <c r="O2369">
        <v>-2.488784E-3</v>
      </c>
      <c r="P2369">
        <v>-0.92931560000000002</v>
      </c>
      <c r="Q2369">
        <v>0.35984899999999997</v>
      </c>
      <c r="R2369">
        <v>-8.2954139999999996E-2</v>
      </c>
      <c r="S2369">
        <v>-3.3088989999999998</v>
      </c>
      <c r="T2369">
        <v>-0.2257334</v>
      </c>
      <c r="U2369">
        <v>-6.4819340000000003E-2</v>
      </c>
      <c r="V2369">
        <v>-8.0233170000000006E-2</v>
      </c>
      <c r="W2369">
        <v>0.36647469999999999</v>
      </c>
      <c r="X2369">
        <v>0.92696219999999996</v>
      </c>
      <c r="Y2369">
        <v>-1.7058130000000001E-2</v>
      </c>
      <c r="Z2369">
        <v>-4.8919099999999896E-4</v>
      </c>
      <c r="AA2369">
        <v>0.99985440000000003</v>
      </c>
      <c r="AB2369">
        <v>53</v>
      </c>
      <c r="AC2369">
        <v>-15.7698</v>
      </c>
      <c r="AD2369">
        <v>-1.10858527609599</v>
      </c>
      <c r="AE2369">
        <v>-0.317000000000007</v>
      </c>
      <c r="AF2369">
        <v>-0.27638513222817002</v>
      </c>
      <c r="AG2369">
        <v>-1.10858527609599</v>
      </c>
      <c r="AH2369">
        <v>15.693019561679</v>
      </c>
      <c r="AI2369">
        <v>94.040147685079006</v>
      </c>
      <c r="AJ2369">
        <v>91.008987755590596</v>
      </c>
      <c r="AK2369">
        <v>15.734554744858</v>
      </c>
      <c r="AL2369">
        <v>68.501633384861094</v>
      </c>
      <c r="AM2369">
        <v>94.946904434559499</v>
      </c>
      <c r="AN2369">
        <v>0.99999999376858895</v>
      </c>
    </row>
    <row r="2370" spans="1:40" x14ac:dyDescent="0.25">
      <c r="A2370" t="str">
        <f>"20190304164136314"</f>
        <v>20190304164136314</v>
      </c>
      <c r="B2370" t="str">
        <f>"1551688896303347"</f>
        <v>1551688896303347</v>
      </c>
      <c r="C2370" t="s">
        <v>40</v>
      </c>
      <c r="D2370">
        <v>4.1494559999999998</v>
      </c>
      <c r="E2370">
        <v>0.53929749999999999</v>
      </c>
      <c r="F2370" t="s">
        <v>47</v>
      </c>
      <c r="G2370">
        <v>-318.45659999999998</v>
      </c>
      <c r="H2370" s="1">
        <v>6.0045309999999997E-6</v>
      </c>
      <c r="I2370">
        <v>284.18860000000001</v>
      </c>
      <c r="J2370">
        <v>-302.37740000000002</v>
      </c>
      <c r="K2370">
        <v>1.1085449999999999</v>
      </c>
      <c r="L2370">
        <v>284.5154</v>
      </c>
      <c r="M2370">
        <v>-0.9999728</v>
      </c>
      <c r="N2370">
        <v>-7.0515389999999999E-3</v>
      </c>
      <c r="O2370">
        <v>-2.1624560000000001E-3</v>
      </c>
      <c r="P2370">
        <v>-0.92928599999999995</v>
      </c>
      <c r="Q2370">
        <v>0.35995189999999999</v>
      </c>
      <c r="R2370">
        <v>-8.2838209999999995E-2</v>
      </c>
      <c r="S2370">
        <v>-3.3088989999999998</v>
      </c>
      <c r="T2370">
        <v>-0.22366230000000001</v>
      </c>
      <c r="U2370">
        <v>-6.607056E-2</v>
      </c>
      <c r="V2370">
        <v>-8.0379779999999998E-2</v>
      </c>
      <c r="W2370">
        <v>0.36659580000000003</v>
      </c>
      <c r="X2370">
        <v>0.92690159999999999</v>
      </c>
      <c r="Y2370">
        <v>-1.7760640000000001E-2</v>
      </c>
      <c r="Z2370">
        <v>-5.3146420000000001E-4</v>
      </c>
      <c r="AA2370">
        <v>0.99984209999999996</v>
      </c>
      <c r="AB2370">
        <v>53</v>
      </c>
      <c r="AC2370">
        <v>-16.079199999999901</v>
      </c>
      <c r="AD2370">
        <v>-1.1085389954689999</v>
      </c>
      <c r="AE2370">
        <v>-0.32679999999999099</v>
      </c>
      <c r="AF2370">
        <v>-0.29064691775449197</v>
      </c>
      <c r="AG2370">
        <v>-1.1085389954689999</v>
      </c>
      <c r="AH2370">
        <v>16.003833378698602</v>
      </c>
      <c r="AI2370">
        <v>93.961731822774595</v>
      </c>
      <c r="AJ2370">
        <v>91.040438927573007</v>
      </c>
      <c r="AK2370">
        <v>16.044812780098798</v>
      </c>
      <c r="AL2370">
        <v>68.494175606152197</v>
      </c>
      <c r="AM2370">
        <v>94.956221328157</v>
      </c>
      <c r="AN2370">
        <v>0.99999998284652403</v>
      </c>
    </row>
    <row r="2371" spans="1:40" x14ac:dyDescent="0.25">
      <c r="A2371" t="str">
        <f>"20190304164136328"</f>
        <v>20190304164136328</v>
      </c>
      <c r="B2371" t="str">
        <f>"1551688896322867"</f>
        <v>1551688896322867</v>
      </c>
      <c r="C2371" t="s">
        <v>40</v>
      </c>
      <c r="D2371">
        <v>4.1465209999999999</v>
      </c>
      <c r="E2371">
        <v>0.53923100000000002</v>
      </c>
      <c r="F2371" t="s">
        <v>47</v>
      </c>
      <c r="G2371">
        <v>-318.80250000000001</v>
      </c>
      <c r="H2371" s="1">
        <v>6.1583309999999998E-6</v>
      </c>
      <c r="I2371">
        <v>284.1841</v>
      </c>
      <c r="J2371">
        <v>-302.69959999999998</v>
      </c>
      <c r="K2371">
        <v>1.1084940000000001</v>
      </c>
      <c r="L2371">
        <v>284.51479999999998</v>
      </c>
      <c r="M2371">
        <v>-0.99997340000000001</v>
      </c>
      <c r="N2371">
        <v>-7.0622269999999999E-3</v>
      </c>
      <c r="O2371">
        <v>-1.8209859999999999E-3</v>
      </c>
      <c r="P2371">
        <v>-0.92929689999999998</v>
      </c>
      <c r="Q2371">
        <v>0.35998289999999999</v>
      </c>
      <c r="R2371">
        <v>-8.2580890000000004E-2</v>
      </c>
      <c r="S2371">
        <v>-3.3088380000000002</v>
      </c>
      <c r="T2371">
        <v>-0.22331500000000001</v>
      </c>
      <c r="U2371">
        <v>-6.674194E-2</v>
      </c>
      <c r="V2371">
        <v>-8.0397960000000004E-2</v>
      </c>
      <c r="W2371">
        <v>0.36664590000000002</v>
      </c>
      <c r="X2371">
        <v>0.92688020000000004</v>
      </c>
      <c r="Y2371">
        <v>-1.8303349999999999E-2</v>
      </c>
      <c r="Z2371">
        <v>-5.7170560000000003E-4</v>
      </c>
      <c r="AA2371">
        <v>0.99983230000000001</v>
      </c>
      <c r="AB2371">
        <v>53</v>
      </c>
      <c r="AC2371">
        <v>-16.102900000000002</v>
      </c>
      <c r="AD2371">
        <v>-1.1084878416689901</v>
      </c>
      <c r="AE2371">
        <v>-0.33069999999997801</v>
      </c>
      <c r="AF2371">
        <v>-0.299954786420847</v>
      </c>
      <c r="AG2371">
        <v>-1.1084878416689901</v>
      </c>
      <c r="AH2371">
        <v>16.027558709698699</v>
      </c>
      <c r="AI2371">
        <v>93.955663750186204</v>
      </c>
      <c r="AJ2371">
        <v>91.072161865899801</v>
      </c>
      <c r="AK2371">
        <v>16.068645131493302</v>
      </c>
      <c r="AL2371">
        <v>68.491090113910104</v>
      </c>
      <c r="AM2371">
        <v>94.957450608047793</v>
      </c>
      <c r="AN2371">
        <v>0.99999997655550499</v>
      </c>
    </row>
    <row r="2372" spans="1:40" x14ac:dyDescent="0.25">
      <c r="A2372" t="str">
        <f>"20190304164136345"</f>
        <v>20190304164136345</v>
      </c>
      <c r="B2372" t="str">
        <f>"1551688896333602"</f>
        <v>1551688896333602</v>
      </c>
      <c r="C2372" t="s">
        <v>40</v>
      </c>
      <c r="D2372">
        <v>4.1393589999999998</v>
      </c>
      <c r="E2372">
        <v>0.53918500000000003</v>
      </c>
      <c r="F2372" t="s">
        <v>47</v>
      </c>
      <c r="G2372">
        <v>-319.15780000000001</v>
      </c>
      <c r="H2372" s="1">
        <v>6.3158249999999998E-6</v>
      </c>
      <c r="I2372">
        <v>284.18459999999999</v>
      </c>
      <c r="J2372">
        <v>-303.10270000000003</v>
      </c>
      <c r="K2372">
        <v>1.1084369999999999</v>
      </c>
      <c r="L2372">
        <v>284.51420000000002</v>
      </c>
      <c r="M2372">
        <v>-0.99997409999999998</v>
      </c>
      <c r="N2372">
        <v>-7.0755990000000001E-3</v>
      </c>
      <c r="O2372">
        <v>-1.3672650000000001E-3</v>
      </c>
      <c r="P2372">
        <v>-0.92954400000000004</v>
      </c>
      <c r="Q2372">
        <v>0.35924299999999998</v>
      </c>
      <c r="R2372">
        <v>-8.3022760000000001E-2</v>
      </c>
      <c r="S2372">
        <v>-3.308624</v>
      </c>
      <c r="T2372">
        <v>-0.22284200000000001</v>
      </c>
      <c r="U2372">
        <v>-6.6375729999999994E-2</v>
      </c>
      <c r="V2372">
        <v>-8.1209139999999999E-2</v>
      </c>
      <c r="W2372">
        <v>0.36593290000000001</v>
      </c>
      <c r="X2372">
        <v>0.9270912</v>
      </c>
      <c r="Y2372">
        <v>-1.864615E-2</v>
      </c>
      <c r="Z2372">
        <v>-6.1089900000000003E-4</v>
      </c>
      <c r="AA2372">
        <v>0.99982599999999999</v>
      </c>
      <c r="AB2372">
        <v>53</v>
      </c>
      <c r="AC2372">
        <v>-16.0550999999999</v>
      </c>
      <c r="AD2372">
        <v>-1.108430684175</v>
      </c>
      <c r="AE2372">
        <v>-0.32960000000002698</v>
      </c>
      <c r="AF2372">
        <v>-0.30618876236891901</v>
      </c>
      <c r="AG2372">
        <v>-1.108430684175</v>
      </c>
      <c r="AH2372">
        <v>15.979403413069999</v>
      </c>
      <c r="AI2372">
        <v>93.967309109323907</v>
      </c>
      <c r="AJ2372">
        <v>91.097736677561301</v>
      </c>
      <c r="AK2372">
        <v>16.020727311125899</v>
      </c>
      <c r="AL2372">
        <v>68.534992687079395</v>
      </c>
      <c r="AM2372">
        <v>95.006082255566</v>
      </c>
      <c r="AN2372">
        <v>0.99999995241969297</v>
      </c>
    </row>
    <row r="2373" spans="1:40" x14ac:dyDescent="0.25">
      <c r="A2373" t="str">
        <f>"20190304164136367"</f>
        <v>20190304164136367</v>
      </c>
      <c r="B2373" t="str">
        <f>"1551688896353123"</f>
        <v>1551688896353123</v>
      </c>
      <c r="C2373" t="s">
        <v>40</v>
      </c>
      <c r="D2373">
        <v>4.1378690000000002</v>
      </c>
      <c r="E2373">
        <v>0.53913219999999995</v>
      </c>
      <c r="F2373" t="s">
        <v>41</v>
      </c>
      <c r="G2373">
        <v>-304.24250000000001</v>
      </c>
      <c r="H2373">
        <v>1.0308569999999999</v>
      </c>
      <c r="I2373">
        <v>284.49130000000002</v>
      </c>
      <c r="J2373">
        <v>-303.64330000000001</v>
      </c>
      <c r="K2373">
        <v>1.1083540000000001</v>
      </c>
      <c r="L2373">
        <v>284.51369999999997</v>
      </c>
      <c r="M2373">
        <v>-0.99997449999999999</v>
      </c>
      <c r="N2373">
        <v>-7.0935039999999996E-3</v>
      </c>
      <c r="O2373">
        <v>-7.0194919999999996E-4</v>
      </c>
      <c r="P2373">
        <v>-0.92969469999999998</v>
      </c>
      <c r="Q2373">
        <v>0.3586858</v>
      </c>
      <c r="R2373">
        <v>-8.3741540000000003E-2</v>
      </c>
      <c r="S2373">
        <v>-3.3084720000000001</v>
      </c>
      <c r="T2373">
        <v>-0.22521540000000001</v>
      </c>
      <c r="U2373">
        <v>-6.658936E-2</v>
      </c>
      <c r="V2373">
        <v>-8.2474749999999999E-2</v>
      </c>
      <c r="W2373">
        <v>0.3654114</v>
      </c>
      <c r="X2373">
        <v>0.92718520000000004</v>
      </c>
      <c r="Y2373">
        <v>-1.9372830000000001E-2</v>
      </c>
      <c r="Z2373">
        <v>-6.8460500000000002E-4</v>
      </c>
      <c r="AA2373">
        <v>0.99981209999999998</v>
      </c>
      <c r="AB2373">
        <v>53</v>
      </c>
      <c r="AC2373">
        <v>-0.59919999999999596</v>
      </c>
      <c r="AD2373">
        <v>-7.7497000000000094E-2</v>
      </c>
      <c r="AE2373">
        <v>-2.2399999999947798E-2</v>
      </c>
      <c r="AF2373">
        <v>-2.1618265074341E-2</v>
      </c>
      <c r="AG2373">
        <v>-7.7497000000000094E-2</v>
      </c>
      <c r="AH2373">
        <v>0.58937074591508198</v>
      </c>
      <c r="AI2373">
        <v>97.485932130959398</v>
      </c>
      <c r="AJ2373">
        <v>92.100681620727997</v>
      </c>
      <c r="AK2373">
        <v>0.59483696130479702</v>
      </c>
      <c r="AL2373">
        <v>68.567096519992802</v>
      </c>
      <c r="AM2373">
        <v>95.083181520205599</v>
      </c>
      <c r="AN2373">
        <v>0.99999998536828105</v>
      </c>
    </row>
    <row r="2374" spans="1:40" x14ac:dyDescent="0.25">
      <c r="A2374" t="str">
        <f>"20190304164136380"</f>
        <v>20190304164136380</v>
      </c>
      <c r="B2374" t="str">
        <f>"1551688896373619"</f>
        <v>1551688896373619</v>
      </c>
      <c r="C2374" t="s">
        <v>40</v>
      </c>
      <c r="D2374">
        <v>4.1129559999999996</v>
      </c>
      <c r="E2374">
        <v>0.53906480000000001</v>
      </c>
      <c r="F2374" t="s">
        <v>41</v>
      </c>
      <c r="G2374">
        <v>-304.7287</v>
      </c>
      <c r="H2374">
        <v>1.0339659999999999</v>
      </c>
      <c r="I2374">
        <v>284.49209999999999</v>
      </c>
      <c r="J2374">
        <v>-303.96440000000001</v>
      </c>
      <c r="K2374">
        <v>1.1083050000000001</v>
      </c>
      <c r="L2374">
        <v>284.51350000000002</v>
      </c>
      <c r="M2374">
        <v>-0.9999749</v>
      </c>
      <c r="N2374">
        <v>-7.104099E-3</v>
      </c>
      <c r="O2374">
        <v>-2.8264689999999999E-4</v>
      </c>
      <c r="P2374">
        <v>-0.92974780000000001</v>
      </c>
      <c r="Q2374">
        <v>0.3584716</v>
      </c>
      <c r="R2374">
        <v>-8.4069969999999994E-2</v>
      </c>
      <c r="S2374">
        <v>-3.3083800000000001</v>
      </c>
      <c r="T2374">
        <v>-0.22684850000000001</v>
      </c>
      <c r="U2374">
        <v>-6.6528320000000002E-2</v>
      </c>
      <c r="V2374">
        <v>-8.3150420000000003E-2</v>
      </c>
      <c r="W2374">
        <v>0.36521789999999998</v>
      </c>
      <c r="X2374">
        <v>0.9272011</v>
      </c>
      <c r="Y2374">
        <v>-1.9771670000000002E-2</v>
      </c>
      <c r="Z2374">
        <v>-7.2996619999999895E-4</v>
      </c>
      <c r="AA2374">
        <v>0.99980429999999998</v>
      </c>
      <c r="AB2374">
        <v>53</v>
      </c>
      <c r="AC2374">
        <v>-0.76429999999999099</v>
      </c>
      <c r="AD2374">
        <v>-7.4338999999999905E-2</v>
      </c>
      <c r="AE2374">
        <v>-2.1400000000028199E-2</v>
      </c>
      <c r="AF2374">
        <v>-2.0985591864654402E-2</v>
      </c>
      <c r="AG2374">
        <v>-7.4338999999999905E-2</v>
      </c>
      <c r="AH2374">
        <v>0.75714876169345202</v>
      </c>
      <c r="AI2374">
        <v>95.605349855972193</v>
      </c>
      <c r="AJ2374">
        <v>91.587637928108805</v>
      </c>
      <c r="AK2374">
        <v>0.76107879310938398</v>
      </c>
      <c r="AL2374">
        <v>68.579006595840795</v>
      </c>
      <c r="AM2374">
        <v>95.124516959621403</v>
      </c>
      <c r="AN2374">
        <v>0.999999993333898</v>
      </c>
    </row>
    <row r="2375" spans="1:40" x14ac:dyDescent="0.25">
      <c r="A2375" t="str">
        <f>"20190304164136392"</f>
        <v>20190304164136392</v>
      </c>
      <c r="B2375" t="str">
        <f>"1551688896383379"</f>
        <v>1551688896383379</v>
      </c>
      <c r="C2375" t="s">
        <v>40</v>
      </c>
      <c r="D2375">
        <v>4.1145699999999996</v>
      </c>
      <c r="E2375">
        <v>0.53903159999999894</v>
      </c>
      <c r="F2375" t="s">
        <v>46</v>
      </c>
      <c r="G2375">
        <v>-320.07589999999999</v>
      </c>
      <c r="H2375" s="1">
        <v>-1.477528E-6</v>
      </c>
      <c r="I2375">
        <v>284.18490000000003</v>
      </c>
      <c r="J2375">
        <v>-304.24400000000003</v>
      </c>
      <c r="K2375">
        <v>1.108266</v>
      </c>
      <c r="L2375">
        <v>284.5136</v>
      </c>
      <c r="M2375">
        <v>-0.99997469999999999</v>
      </c>
      <c r="N2375">
        <v>-7.1132419999999997E-3</v>
      </c>
      <c r="O2375">
        <v>1.097295E-4</v>
      </c>
      <c r="P2375">
        <v>-0.92974849999999998</v>
      </c>
      <c r="Q2375">
        <v>0.3583382</v>
      </c>
      <c r="R2375">
        <v>-8.4626320000000005E-2</v>
      </c>
      <c r="S2375">
        <v>-3.308319</v>
      </c>
      <c r="T2375">
        <v>-0.2275789</v>
      </c>
      <c r="U2375">
        <v>-6.7474370000000006E-2</v>
      </c>
      <c r="V2375">
        <v>-8.4035180000000001E-2</v>
      </c>
      <c r="W2375">
        <v>0.36510290000000001</v>
      </c>
      <c r="X2375">
        <v>0.92716659999999995</v>
      </c>
      <c r="Y2375">
        <v>-2.044731E-2</v>
      </c>
      <c r="Z2375">
        <v>-7.8196690000000002E-4</v>
      </c>
      <c r="AA2375">
        <v>0.99979059999999997</v>
      </c>
      <c r="AB2375">
        <v>53</v>
      </c>
      <c r="AC2375">
        <v>-15.8318999999999</v>
      </c>
      <c r="AD2375">
        <v>-1.1082674775279999</v>
      </c>
      <c r="AE2375">
        <v>-0.32869999999996902</v>
      </c>
      <c r="AF2375">
        <v>-0.32882661206321701</v>
      </c>
      <c r="AG2375">
        <v>-1.1082674775279999</v>
      </c>
      <c r="AH2375">
        <v>15.7546942946159</v>
      </c>
      <c r="AI2375">
        <v>94.022982532502795</v>
      </c>
      <c r="AJ2375">
        <v>91.195684387035996</v>
      </c>
      <c r="AK2375">
        <v>15.7970495998256</v>
      </c>
      <c r="AL2375">
        <v>68.586083880740702</v>
      </c>
      <c r="AM2375">
        <v>95.178940962720006</v>
      </c>
      <c r="AN2375">
        <v>0.99999997161080001</v>
      </c>
    </row>
    <row r="2376" spans="1:40" x14ac:dyDescent="0.25">
      <c r="A2376" t="str">
        <f>"20190304164136405"</f>
        <v>20190304164136405</v>
      </c>
      <c r="B2376" t="str">
        <f>"1551688896393139"</f>
        <v>1551688896393139</v>
      </c>
      <c r="C2376" t="s">
        <v>40</v>
      </c>
      <c r="D2376">
        <v>4.0991369999999998</v>
      </c>
      <c r="E2376">
        <v>0.53900179999999998</v>
      </c>
      <c r="F2376" t="s">
        <v>46</v>
      </c>
      <c r="G2376">
        <v>-320.33249999999998</v>
      </c>
      <c r="H2376" s="1">
        <v>-1.340903E-6</v>
      </c>
      <c r="I2376">
        <v>284.18290000000002</v>
      </c>
      <c r="J2376">
        <v>-304.55540000000002</v>
      </c>
      <c r="K2376">
        <v>1.108215</v>
      </c>
      <c r="L2376">
        <v>284.5138</v>
      </c>
      <c r="M2376">
        <v>-0.99997449999999999</v>
      </c>
      <c r="N2376">
        <v>-7.1234369999999998E-3</v>
      </c>
      <c r="O2376">
        <v>5.6054369999999996E-4</v>
      </c>
      <c r="P2376">
        <v>-0.92955750000000004</v>
      </c>
      <c r="Q2376">
        <v>0.35866619999999999</v>
      </c>
      <c r="R2376">
        <v>-8.5333699999999998E-2</v>
      </c>
      <c r="S2376">
        <v>-3.308319</v>
      </c>
      <c r="T2376">
        <v>-0.22789509999999999</v>
      </c>
      <c r="U2376">
        <v>-6.7993159999999997E-2</v>
      </c>
      <c r="V2376">
        <v>-8.5119070000000005E-2</v>
      </c>
      <c r="W2376">
        <v>0.36545050000000001</v>
      </c>
      <c r="X2376">
        <v>0.92693080000000005</v>
      </c>
      <c r="Y2376">
        <v>-2.1052169999999999E-2</v>
      </c>
      <c r="Z2376">
        <v>-8.3382379999999998E-4</v>
      </c>
      <c r="AA2376">
        <v>0.99977800000000006</v>
      </c>
      <c r="AB2376">
        <v>53</v>
      </c>
      <c r="AC2376">
        <v>-15.7770999999999</v>
      </c>
      <c r="AD2376">
        <v>-1.1082163409029999</v>
      </c>
      <c r="AE2376">
        <v>-0.33089999999998498</v>
      </c>
      <c r="AF2376">
        <v>-0.33807660651378402</v>
      </c>
      <c r="AG2376">
        <v>-1.1082163409029999</v>
      </c>
      <c r="AH2376">
        <v>15.699485614508299</v>
      </c>
      <c r="AI2376">
        <v>94.036840863537293</v>
      </c>
      <c r="AJ2376">
        <v>91.233630823810202</v>
      </c>
      <c r="AK2376">
        <v>15.742181799555899</v>
      </c>
      <c r="AL2376">
        <v>68.564690491914703</v>
      </c>
      <c r="AM2376">
        <v>95.246695860691105</v>
      </c>
      <c r="AN2376">
        <v>1.00000001600827</v>
      </c>
    </row>
    <row r="2377" spans="1:40" x14ac:dyDescent="0.25">
      <c r="A2377" t="str">
        <f>"20190304164136421"</f>
        <v>20190304164136421</v>
      </c>
      <c r="B2377" t="str">
        <f>"1551688896413634"</f>
        <v>1551688896413634</v>
      </c>
      <c r="C2377" t="s">
        <v>40</v>
      </c>
      <c r="D2377">
        <v>4.0800039999999997</v>
      </c>
      <c r="E2377">
        <v>0.53896299999999997</v>
      </c>
      <c r="F2377" t="s">
        <v>41</v>
      </c>
      <c r="G2377">
        <v>-305.67469999999997</v>
      </c>
      <c r="H2377">
        <v>1.031614</v>
      </c>
      <c r="I2377">
        <v>284.49029999999999</v>
      </c>
      <c r="J2377">
        <v>-304.94409999999999</v>
      </c>
      <c r="K2377">
        <v>1.1081529999999999</v>
      </c>
      <c r="L2377">
        <v>284.51409999999998</v>
      </c>
      <c r="M2377">
        <v>-0.99997389999999997</v>
      </c>
      <c r="N2377">
        <v>-7.1362719999999999E-3</v>
      </c>
      <c r="O2377">
        <v>1.156921E-3</v>
      </c>
      <c r="P2377">
        <v>-0.92935040000000002</v>
      </c>
      <c r="Q2377">
        <v>0.35883029999999999</v>
      </c>
      <c r="R2377">
        <v>-8.6885599999999993E-2</v>
      </c>
      <c r="S2377">
        <v>-3.3082579999999999</v>
      </c>
      <c r="T2377">
        <v>-0.22645290000000001</v>
      </c>
      <c r="U2377">
        <v>-6.9946289999999994E-2</v>
      </c>
      <c r="V2377">
        <v>-8.7170639999999994E-2</v>
      </c>
      <c r="W2377">
        <v>0.36564180000000002</v>
      </c>
      <c r="X2377">
        <v>0.92666470000000001</v>
      </c>
      <c r="Y2377">
        <v>-2.2235270000000001E-2</v>
      </c>
      <c r="Z2377">
        <v>-9.1033240000000005E-4</v>
      </c>
      <c r="AA2377">
        <v>0.99975230000000004</v>
      </c>
      <c r="AB2377">
        <v>53</v>
      </c>
      <c r="AC2377">
        <v>-0.73059999999998104</v>
      </c>
      <c r="AD2377">
        <v>-7.6539000000000093E-2</v>
      </c>
      <c r="AE2377">
        <v>-2.3799999999994201E-2</v>
      </c>
      <c r="AF2377">
        <v>-2.4377986222733499E-2</v>
      </c>
      <c r="AG2377">
        <v>-7.6539000000000093E-2</v>
      </c>
      <c r="AH2377">
        <v>0.72264927622588804</v>
      </c>
      <c r="AI2377">
        <v>96.042499003848903</v>
      </c>
      <c r="AJ2377">
        <v>91.932093889985396</v>
      </c>
      <c r="AK2377">
        <v>0.72710004893623503</v>
      </c>
      <c r="AL2377">
        <v>68.55291576258</v>
      </c>
      <c r="AM2377">
        <v>95.373955998894203</v>
      </c>
      <c r="AN2377">
        <v>1.0000000563056599</v>
      </c>
    </row>
    <row r="2378" spans="1:40" x14ac:dyDescent="0.25">
      <c r="A2378" t="str">
        <f>"20190304164136434"</f>
        <v>20190304164136434</v>
      </c>
      <c r="B2378" t="str">
        <f>"1551688896423394"</f>
        <v>1551688896423394</v>
      </c>
      <c r="C2378" t="s">
        <v>40</v>
      </c>
      <c r="D2378">
        <v>4.0311070000000004</v>
      </c>
      <c r="E2378">
        <v>0.53896299999999997</v>
      </c>
      <c r="F2378" t="s">
        <v>46</v>
      </c>
      <c r="G2378">
        <v>-321.20479999999998</v>
      </c>
      <c r="H2378" s="1">
        <v>-8.7546909999999995E-7</v>
      </c>
      <c r="I2378">
        <v>284.15499999999997</v>
      </c>
      <c r="J2378">
        <v>-305.23840000000001</v>
      </c>
      <c r="K2378">
        <v>1.108101</v>
      </c>
      <c r="L2378">
        <v>284.51459999999997</v>
      </c>
      <c r="M2378">
        <v>-0.99997309999999995</v>
      </c>
      <c r="N2378">
        <v>-7.1460350000000002E-3</v>
      </c>
      <c r="O2378">
        <v>1.641991E-3</v>
      </c>
      <c r="P2378">
        <v>-0.92921980000000004</v>
      </c>
      <c r="Q2378">
        <v>0.35903200000000002</v>
      </c>
      <c r="R2378">
        <v>-8.7445510000000004E-2</v>
      </c>
      <c r="S2378">
        <v>-3.3082889999999998</v>
      </c>
      <c r="T2378">
        <v>-0.22545609999999999</v>
      </c>
      <c r="U2378">
        <v>-7.3059079999999998E-2</v>
      </c>
      <c r="V2378">
        <v>-8.8140199999999905E-2</v>
      </c>
      <c r="W2378">
        <v>0.3658633</v>
      </c>
      <c r="X2378">
        <v>0.92648549999999996</v>
      </c>
      <c r="Y2378">
        <v>-2.365621E-2</v>
      </c>
      <c r="Z2378">
        <v>-9.8972069999999994E-4</v>
      </c>
      <c r="AA2378">
        <v>0.99971969999999999</v>
      </c>
      <c r="AB2378">
        <v>53</v>
      </c>
      <c r="AC2378">
        <v>-15.966399999999901</v>
      </c>
      <c r="AD2378">
        <v>-1.1081018754691001</v>
      </c>
      <c r="AE2378">
        <v>-0.35959999999999998</v>
      </c>
      <c r="AF2378">
        <v>-0.38396836545823099</v>
      </c>
      <c r="AG2378">
        <v>-1.1081018754691001</v>
      </c>
      <c r="AH2378">
        <v>15.889293586900999</v>
      </c>
      <c r="AI2378">
        <v>93.988125235899702</v>
      </c>
      <c r="AJ2378">
        <v>91.384296027544593</v>
      </c>
      <c r="AK2378">
        <v>15.932513052334899</v>
      </c>
      <c r="AL2378">
        <v>68.539279031186098</v>
      </c>
      <c r="AM2378">
        <v>95.434416980550495</v>
      </c>
      <c r="AN2378">
        <v>1.00000001542658</v>
      </c>
    </row>
    <row r="2379" spans="1:40" x14ac:dyDescent="0.25">
      <c r="A2379" t="str">
        <f>"20190304164136445"</f>
        <v>20190304164136445</v>
      </c>
      <c r="B2379" t="str">
        <f>"1551688896433155"</f>
        <v>1551688896433155</v>
      </c>
      <c r="C2379" t="s">
        <v>40</v>
      </c>
      <c r="D2379">
        <v>4.0464599999999997</v>
      </c>
      <c r="E2379">
        <v>0.53894019999999898</v>
      </c>
      <c r="F2379" t="s">
        <v>46</v>
      </c>
      <c r="G2379">
        <v>-321.55869999999999</v>
      </c>
      <c r="H2379" s="1">
        <v>-6.8684589999999999E-7</v>
      </c>
      <c r="I2379">
        <v>284.14769999999999</v>
      </c>
      <c r="J2379">
        <v>-305.52159999999998</v>
      </c>
      <c r="K2379">
        <v>1.1080570000000001</v>
      </c>
      <c r="L2379">
        <v>284.51519999999999</v>
      </c>
      <c r="M2379">
        <v>-0.99997219999999998</v>
      </c>
      <c r="N2379">
        <v>-7.1553939999999998E-3</v>
      </c>
      <c r="O2379">
        <v>2.118221E-3</v>
      </c>
      <c r="P2379">
        <v>-0.92908829999999998</v>
      </c>
      <c r="Q2379">
        <v>0.35928569999999999</v>
      </c>
      <c r="R2379">
        <v>-8.7799909999999995E-2</v>
      </c>
      <c r="S2379">
        <v>-3.3082889999999998</v>
      </c>
      <c r="T2379">
        <v>-0.2246234</v>
      </c>
      <c r="U2379">
        <v>-7.4371339999999994E-2</v>
      </c>
      <c r="V2379">
        <v>-8.8897309999999993E-2</v>
      </c>
      <c r="W2379">
        <v>0.36613570000000001</v>
      </c>
      <c r="X2379">
        <v>0.9263055</v>
      </c>
      <c r="Y2379">
        <v>-2.4526010000000001E-2</v>
      </c>
      <c r="Z2379">
        <v>-1.047931E-3</v>
      </c>
      <c r="AA2379">
        <v>0.99969859999999999</v>
      </c>
      <c r="AB2379">
        <v>53</v>
      </c>
      <c r="AC2379">
        <v>-16.037099999999999</v>
      </c>
      <c r="AD2379">
        <v>-1.1080576868459</v>
      </c>
      <c r="AE2379">
        <v>-0.36750000000000599</v>
      </c>
      <c r="AF2379">
        <v>-0.39956369080944998</v>
      </c>
      <c r="AG2379">
        <v>-1.1080576868459</v>
      </c>
      <c r="AH2379">
        <v>15.9601335058329</v>
      </c>
      <c r="AI2379">
        <v>93.970238001864402</v>
      </c>
      <c r="AJ2379">
        <v>91.434106555162202</v>
      </c>
      <c r="AK2379">
        <v>16.0035403740672</v>
      </c>
      <c r="AL2379">
        <v>68.522507226562794</v>
      </c>
      <c r="AM2379">
        <v>95.481873237493105</v>
      </c>
      <c r="AN2379">
        <v>0.99999998093498699</v>
      </c>
    </row>
    <row r="2380" spans="1:40" x14ac:dyDescent="0.25">
      <c r="A2380" t="str">
        <f>"20190304164136457"</f>
        <v>20190304164136457</v>
      </c>
      <c r="B2380" t="str">
        <f>"1551688896442915"</f>
        <v>1551688896442915</v>
      </c>
      <c r="C2380" t="s">
        <v>40</v>
      </c>
      <c r="D2380">
        <v>4.0740069999999999</v>
      </c>
      <c r="E2380">
        <v>0.53891549999999999</v>
      </c>
      <c r="F2380" t="s">
        <v>46</v>
      </c>
      <c r="G2380">
        <v>-321.90519999999998</v>
      </c>
      <c r="H2380" s="1">
        <v>-5.0209340000000002E-7</v>
      </c>
      <c r="I2380">
        <v>284.13920000000002</v>
      </c>
      <c r="J2380">
        <v>-305.79860000000002</v>
      </c>
      <c r="K2380">
        <v>1.1080129999999999</v>
      </c>
      <c r="L2380">
        <v>284.51589999999999</v>
      </c>
      <c r="M2380">
        <v>-0.99997100000000005</v>
      </c>
      <c r="N2380">
        <v>-7.1645140000000003E-3</v>
      </c>
      <c r="O2380">
        <v>2.600874E-3</v>
      </c>
      <c r="P2380">
        <v>-0.92903970000000002</v>
      </c>
      <c r="Q2380">
        <v>0.35938710000000001</v>
      </c>
      <c r="R2380">
        <v>-8.7899630000000006E-2</v>
      </c>
      <c r="S2380">
        <v>-3.308319</v>
      </c>
      <c r="T2380">
        <v>-0.22374939999999999</v>
      </c>
      <c r="U2380">
        <v>-7.5927729999999999E-2</v>
      </c>
      <c r="V2380">
        <v>-8.9407790000000001E-2</v>
      </c>
      <c r="W2380">
        <v>0.3662551</v>
      </c>
      <c r="X2380">
        <v>0.92620919999999896</v>
      </c>
      <c r="Y2380">
        <v>-2.5475589999999999E-2</v>
      </c>
      <c r="Z2380">
        <v>-1.108848E-3</v>
      </c>
      <c r="AA2380">
        <v>0.99967490000000003</v>
      </c>
      <c r="AB2380">
        <v>53</v>
      </c>
      <c r="AC2380">
        <v>-16.106599999999901</v>
      </c>
      <c r="AD2380">
        <v>-1.1080135020934001</v>
      </c>
      <c r="AE2380">
        <v>-0.376699999999971</v>
      </c>
      <c r="AF2380">
        <v>-0.41662049508122001</v>
      </c>
      <c r="AG2380">
        <v>-1.1080135020934001</v>
      </c>
      <c r="AH2380">
        <v>16.029747879526099</v>
      </c>
      <c r="AI2380">
        <v>93.952797631126202</v>
      </c>
      <c r="AJ2380">
        <v>91.488808401092101</v>
      </c>
      <c r="AK2380">
        <v>16.073396767295801</v>
      </c>
      <c r="AL2380">
        <v>68.515156246444207</v>
      </c>
      <c r="AM2380">
        <v>95.513728390998395</v>
      </c>
      <c r="AN2380">
        <v>1.0000000166766601</v>
      </c>
    </row>
    <row r="2381" spans="1:40" x14ac:dyDescent="0.25">
      <c r="A2381" t="str">
        <f>"20190304164136470"</f>
        <v>20190304164136470</v>
      </c>
      <c r="B2381" t="str">
        <f>"1551688896463410"</f>
        <v>1551688896463410</v>
      </c>
      <c r="C2381" t="s">
        <v>40</v>
      </c>
      <c r="D2381">
        <v>4.059958</v>
      </c>
      <c r="E2381">
        <v>0.53889819999999999</v>
      </c>
      <c r="F2381" t="s">
        <v>46</v>
      </c>
      <c r="G2381">
        <v>-322.19220000000001</v>
      </c>
      <c r="H2381" s="1">
        <v>-3.4914540000000002E-7</v>
      </c>
      <c r="I2381">
        <v>284.13479999999998</v>
      </c>
      <c r="J2381">
        <v>-306.11680000000001</v>
      </c>
      <c r="K2381">
        <v>1.107969</v>
      </c>
      <c r="L2381">
        <v>284.51679999999999</v>
      </c>
      <c r="M2381">
        <v>-0.99996940000000001</v>
      </c>
      <c r="N2381">
        <v>-7.1748699999999999E-3</v>
      </c>
      <c r="O2381">
        <v>3.1712760000000002E-3</v>
      </c>
      <c r="P2381">
        <v>-0.92906759999999999</v>
      </c>
      <c r="Q2381">
        <v>0.35939759999999998</v>
      </c>
      <c r="R2381">
        <v>-8.7562979999999999E-2</v>
      </c>
      <c r="S2381">
        <v>-3.3083800000000001</v>
      </c>
      <c r="T2381">
        <v>-0.2236062</v>
      </c>
      <c r="U2381">
        <v>-7.6904299999999995E-2</v>
      </c>
      <c r="V2381">
        <v>-8.9560780000000006E-2</v>
      </c>
      <c r="W2381">
        <v>0.36628519999999998</v>
      </c>
      <c r="X2381">
        <v>0.92618250000000002</v>
      </c>
      <c r="Y2381">
        <v>-2.6337180000000002E-2</v>
      </c>
      <c r="Z2381">
        <v>-1.17486E-3</v>
      </c>
      <c r="AA2381">
        <v>0.9996524</v>
      </c>
      <c r="AB2381">
        <v>53</v>
      </c>
      <c r="AC2381">
        <v>-16.075399999999998</v>
      </c>
      <c r="AD2381">
        <v>-1.1079693491453999</v>
      </c>
      <c r="AE2381">
        <v>-0.382000000000005</v>
      </c>
      <c r="AF2381">
        <v>-0.43093295608725501</v>
      </c>
      <c r="AG2381">
        <v>-1.1079693491453999</v>
      </c>
      <c r="AH2381">
        <v>15.9981526643527</v>
      </c>
      <c r="AI2381">
        <v>93.960323227251095</v>
      </c>
      <c r="AJ2381">
        <v>91.542970063574202</v>
      </c>
      <c r="AK2381">
        <v>16.042262557482999</v>
      </c>
      <c r="AL2381">
        <v>68.513302521233896</v>
      </c>
      <c r="AM2381">
        <v>95.523263145030597</v>
      </c>
      <c r="AN2381">
        <v>1.0000000021797399</v>
      </c>
    </row>
    <row r="2382" spans="1:40" x14ac:dyDescent="0.25">
      <c r="A2382" t="str">
        <f>"20190304164136481"</f>
        <v>20190304164136481</v>
      </c>
      <c r="B2382" t="str">
        <f>"1551688896473171"</f>
        <v>1551688896473171</v>
      </c>
      <c r="C2382" t="s">
        <v>40</v>
      </c>
      <c r="D2382">
        <v>4.0487000000000002</v>
      </c>
      <c r="E2382">
        <v>0.53888510000000001</v>
      </c>
      <c r="F2382" t="s">
        <v>46</v>
      </c>
      <c r="G2382">
        <v>-322.45620000000002</v>
      </c>
      <c r="H2382" s="1">
        <v>-2.0881449999999999E-7</v>
      </c>
      <c r="I2382">
        <v>284.13850000000002</v>
      </c>
      <c r="J2382">
        <v>-306.39550000000003</v>
      </c>
      <c r="K2382">
        <v>1.1079289999999999</v>
      </c>
      <c r="L2382">
        <v>284.51780000000002</v>
      </c>
      <c r="M2382">
        <v>-0.99996750000000001</v>
      </c>
      <c r="N2382">
        <v>-7.1838630000000004E-3</v>
      </c>
      <c r="O2382">
        <v>3.67834E-3</v>
      </c>
      <c r="P2382">
        <v>-0.92921260000000006</v>
      </c>
      <c r="Q2382">
        <v>0.35899219999999998</v>
      </c>
      <c r="R2382">
        <v>-8.7684680000000001E-2</v>
      </c>
      <c r="S2382">
        <v>-3.3085939999999998</v>
      </c>
      <c r="T2382">
        <v>-0.22435379999999999</v>
      </c>
      <c r="U2382">
        <v>-7.6599120000000007E-2</v>
      </c>
      <c r="V2382">
        <v>-9.0120900000000004E-2</v>
      </c>
      <c r="W2382">
        <v>0.36589919999999998</v>
      </c>
      <c r="X2382">
        <v>0.92628069999999896</v>
      </c>
      <c r="Y2382">
        <v>-2.6747989999999999E-2</v>
      </c>
      <c r="Z2382">
        <v>-1.2246500000000001E-3</v>
      </c>
      <c r="AA2382">
        <v>0.99964149999999996</v>
      </c>
      <c r="AB2382">
        <v>54</v>
      </c>
      <c r="AC2382">
        <v>-16.060699999999901</v>
      </c>
      <c r="AD2382">
        <v>-1.1079292088145001</v>
      </c>
      <c r="AE2382">
        <v>-0.37930000000000003</v>
      </c>
      <c r="AF2382">
        <v>-0.43630057100464198</v>
      </c>
      <c r="AG2382">
        <v>-1.1079292088145001</v>
      </c>
      <c r="AH2382">
        <v>15.983178176919701</v>
      </c>
      <c r="AI2382">
        <v>93.963839981437502</v>
      </c>
      <c r="AJ2382">
        <v>91.5636423908647</v>
      </c>
      <c r="AK2382">
        <v>16.0274717268559</v>
      </c>
      <c r="AL2382">
        <v>68.537067798903806</v>
      </c>
      <c r="AM2382">
        <v>95.557004959572197</v>
      </c>
      <c r="AN2382">
        <v>0.99999996818496895</v>
      </c>
    </row>
    <row r="2383" spans="1:40" x14ac:dyDescent="0.25">
      <c r="A2383" t="str">
        <f>"20190304164136494"</f>
        <v>20190304164136494</v>
      </c>
      <c r="B2383" t="str">
        <f>"1551688896482931"</f>
        <v>1551688896482931</v>
      </c>
      <c r="C2383" t="s">
        <v>40</v>
      </c>
      <c r="D2383">
        <v>4.0286900000000001</v>
      </c>
      <c r="E2383">
        <v>0.53887600000000002</v>
      </c>
      <c r="F2383" t="s">
        <v>41</v>
      </c>
      <c r="G2383">
        <v>-307.59269999999998</v>
      </c>
      <c r="H2383">
        <v>1.0261499999999999</v>
      </c>
      <c r="I2383">
        <v>284.49009999999998</v>
      </c>
      <c r="J2383">
        <v>-306.69450000000001</v>
      </c>
      <c r="K2383">
        <v>1.1078889999999999</v>
      </c>
      <c r="L2383">
        <v>284.51909999999998</v>
      </c>
      <c r="M2383">
        <v>-0.99996529999999995</v>
      </c>
      <c r="N2383">
        <v>-7.1933559999999997E-3</v>
      </c>
      <c r="O2383">
        <v>4.2368290000000001E-3</v>
      </c>
      <c r="P2383">
        <v>-0.92929349999999999</v>
      </c>
      <c r="Q2383">
        <v>0.35881970000000002</v>
      </c>
      <c r="R2383">
        <v>-8.7533830000000007E-2</v>
      </c>
      <c r="S2383">
        <v>-3.3085939999999998</v>
      </c>
      <c r="T2383">
        <v>-0.22597310000000001</v>
      </c>
      <c r="U2383">
        <v>-7.6904299999999995E-2</v>
      </c>
      <c r="V2383">
        <v>-9.0457629999999997E-2</v>
      </c>
      <c r="W2383">
        <v>0.36574440000000003</v>
      </c>
      <c r="X2383">
        <v>0.92630900000000005</v>
      </c>
      <c r="Y2383">
        <v>-2.7394689999999999E-2</v>
      </c>
      <c r="Z2383">
        <v>-1.2915260000000001E-3</v>
      </c>
      <c r="AA2383">
        <v>0.99962379999999995</v>
      </c>
      <c r="AB2383">
        <v>54</v>
      </c>
      <c r="AC2383">
        <v>-0.89819999999997402</v>
      </c>
      <c r="AD2383">
        <v>-8.1738999999999895E-2</v>
      </c>
      <c r="AE2383">
        <v>-2.89999999999963E-2</v>
      </c>
      <c r="AF2383">
        <v>-3.2536187370202502E-2</v>
      </c>
      <c r="AG2383">
        <v>-8.1738999999999895E-2</v>
      </c>
      <c r="AH2383">
        <v>0.89070035312201401</v>
      </c>
      <c r="AI2383">
        <v>95.239835539114793</v>
      </c>
      <c r="AJ2383">
        <v>92.092014126720201</v>
      </c>
      <c r="AK2383">
        <v>0.89503462874978701</v>
      </c>
      <c r="AL2383">
        <v>68.546597486253205</v>
      </c>
      <c r="AM2383">
        <v>95.577468274511105</v>
      </c>
      <c r="AN2383">
        <v>0.99999995621878701</v>
      </c>
    </row>
    <row r="2384" spans="1:40" x14ac:dyDescent="0.25">
      <c r="A2384" t="str">
        <f>"20190304164136511"</f>
        <v>20190304164136511</v>
      </c>
      <c r="B2384" t="str">
        <f>"1551688896503426"</f>
        <v>1551688896503426</v>
      </c>
      <c r="C2384" t="s">
        <v>40</v>
      </c>
      <c r="D2384">
        <v>4.0184670000000002</v>
      </c>
      <c r="E2384">
        <v>0.53886540000000005</v>
      </c>
      <c r="F2384" t="s">
        <v>46</v>
      </c>
      <c r="G2384">
        <v>-322.86759999999998</v>
      </c>
      <c r="H2384" s="1">
        <v>9.5506499999999999E-9</v>
      </c>
      <c r="I2384">
        <v>284.15019999999998</v>
      </c>
      <c r="J2384">
        <v>-307.0822</v>
      </c>
      <c r="K2384">
        <v>1.1078440000000001</v>
      </c>
      <c r="L2384">
        <v>284.52089999999998</v>
      </c>
      <c r="M2384">
        <v>-0.99996180000000001</v>
      </c>
      <c r="N2384">
        <v>-7.2054950000000001E-3</v>
      </c>
      <c r="O2384">
        <v>4.9659880000000002E-3</v>
      </c>
      <c r="P2384">
        <v>-0.92923800000000001</v>
      </c>
      <c r="Q2384">
        <v>0.3587767</v>
      </c>
      <c r="R2384">
        <v>-8.8295689999999996E-2</v>
      </c>
      <c r="S2384">
        <v>-3.3086850000000001</v>
      </c>
      <c r="T2384">
        <v>-0.22665250000000001</v>
      </c>
      <c r="U2384">
        <v>-7.5469969999999997E-2</v>
      </c>
      <c r="V2384">
        <v>-9.185799E-2</v>
      </c>
      <c r="W2384">
        <v>0.36572569999999999</v>
      </c>
      <c r="X2384">
        <v>0.92617859999999996</v>
      </c>
      <c r="Y2384">
        <v>-2.7687260000000002E-2</v>
      </c>
      <c r="Z2384">
        <v>-1.350984E-3</v>
      </c>
      <c r="AA2384">
        <v>0.9996157</v>
      </c>
      <c r="AB2384">
        <v>54</v>
      </c>
      <c r="AC2384">
        <v>-15.7853999999999</v>
      </c>
      <c r="AD2384">
        <v>-1.10784399044935</v>
      </c>
      <c r="AE2384">
        <v>-0.37069999999999897</v>
      </c>
      <c r="AF2384">
        <v>-0.446887653562625</v>
      </c>
      <c r="AG2384">
        <v>-1.10784399044935</v>
      </c>
      <c r="AH2384">
        <v>15.706047673245999</v>
      </c>
      <c r="AI2384">
        <v>94.033113759477104</v>
      </c>
      <c r="AJ2384">
        <v>91.629809777613602</v>
      </c>
      <c r="AK2384">
        <v>15.751411377916501</v>
      </c>
      <c r="AL2384">
        <v>68.547749400247</v>
      </c>
      <c r="AM2384">
        <v>95.664047283875604</v>
      </c>
      <c r="AN2384">
        <v>0.99999998853264405</v>
      </c>
    </row>
    <row r="2385" spans="1:40" x14ac:dyDescent="0.25">
      <c r="A2385" t="str">
        <f>"20190304164136523"</f>
        <v>20190304164136523</v>
      </c>
      <c r="B2385" t="str">
        <f>"1551688896513186"</f>
        <v>1551688896513186</v>
      </c>
      <c r="C2385" t="s">
        <v>40</v>
      </c>
      <c r="D2385">
        <v>4.0255199999999904</v>
      </c>
      <c r="E2385">
        <v>0.5388579</v>
      </c>
      <c r="F2385" t="s">
        <v>46</v>
      </c>
      <c r="G2385">
        <v>-323.24930000000001</v>
      </c>
      <c r="H2385" s="1">
        <v>2.1267469999999999E-7</v>
      </c>
      <c r="I2385">
        <v>284.15019999999998</v>
      </c>
      <c r="J2385">
        <v>-307.3913</v>
      </c>
      <c r="K2385">
        <v>1.1078129999999999</v>
      </c>
      <c r="L2385">
        <v>284.52260000000001</v>
      </c>
      <c r="M2385">
        <v>-0.99995869999999998</v>
      </c>
      <c r="N2385">
        <v>-7.2150349999999999E-3</v>
      </c>
      <c r="O2385">
        <v>5.5494089999999999E-3</v>
      </c>
      <c r="P2385">
        <v>-0.92923979999999995</v>
      </c>
      <c r="Q2385">
        <v>0.3587862</v>
      </c>
      <c r="R2385">
        <v>-8.8240769999999996E-2</v>
      </c>
      <c r="S2385">
        <v>-3.3087770000000001</v>
      </c>
      <c r="T2385">
        <v>-0.22673380000000001</v>
      </c>
      <c r="U2385">
        <v>-7.5866699999999995E-2</v>
      </c>
      <c r="V2385">
        <v>-9.2318049999999999E-2</v>
      </c>
      <c r="W2385">
        <v>0.3657514</v>
      </c>
      <c r="X2385">
        <v>0.92612269999999997</v>
      </c>
      <c r="Y2385">
        <v>-2.8386669999999999E-2</v>
      </c>
      <c r="Z2385">
        <v>-1.4136750000000001E-3</v>
      </c>
      <c r="AA2385">
        <v>0.99959600000000004</v>
      </c>
      <c r="AB2385">
        <v>54</v>
      </c>
      <c r="AC2385">
        <v>-15.858000000000001</v>
      </c>
      <c r="AD2385">
        <v>-1.1078127873253001</v>
      </c>
      <c r="AE2385">
        <v>-0.37240000000002699</v>
      </c>
      <c r="AF2385">
        <v>-0.45816438014614502</v>
      </c>
      <c r="AG2385">
        <v>-1.1078127873253001</v>
      </c>
      <c r="AH2385">
        <v>15.7787285429224</v>
      </c>
      <c r="AI2385">
        <v>94.014417312982999</v>
      </c>
      <c r="AJ2385">
        <v>91.663220915322199</v>
      </c>
      <c r="AK2385">
        <v>15.824204188591301</v>
      </c>
      <c r="AL2385">
        <v>68.546167143640702</v>
      </c>
      <c r="AM2385">
        <v>95.692570490896401</v>
      </c>
      <c r="AN2385">
        <v>0.99999998220652597</v>
      </c>
    </row>
    <row r="2386" spans="1:40" x14ac:dyDescent="0.25">
      <c r="A2386" t="str">
        <f>"20190304164136538"</f>
        <v>20190304164136538</v>
      </c>
      <c r="B2386" t="str">
        <f>"1551688896533683"</f>
        <v>1551688896533683</v>
      </c>
      <c r="C2386" t="s">
        <v>40</v>
      </c>
      <c r="D2386">
        <v>4.0395669999999999</v>
      </c>
      <c r="E2386">
        <v>0.53886499999999904</v>
      </c>
      <c r="F2386" t="s">
        <v>46</v>
      </c>
      <c r="G2386">
        <v>-323.57369999999997</v>
      </c>
      <c r="H2386" s="1">
        <v>3.8488669999999999E-7</v>
      </c>
      <c r="I2386">
        <v>284.16079999999999</v>
      </c>
      <c r="J2386">
        <v>-307.74329999999998</v>
      </c>
      <c r="K2386">
        <v>1.1077900000000001</v>
      </c>
      <c r="L2386">
        <v>284.5247</v>
      </c>
      <c r="M2386">
        <v>-0.99995480000000003</v>
      </c>
      <c r="N2386">
        <v>-7.2257010000000002E-3</v>
      </c>
      <c r="O2386">
        <v>6.2085589999999998E-3</v>
      </c>
      <c r="P2386">
        <v>-0.92927320000000002</v>
      </c>
      <c r="Q2386">
        <v>0.3587534</v>
      </c>
      <c r="R2386">
        <v>-8.8021249999999995E-2</v>
      </c>
      <c r="S2386">
        <v>-3.3088679999999999</v>
      </c>
      <c r="T2386">
        <v>-0.226518</v>
      </c>
      <c r="U2386">
        <v>-7.3974609999999996E-2</v>
      </c>
      <c r="V2386">
        <v>-9.2688740000000006E-2</v>
      </c>
      <c r="W2386">
        <v>0.36573539999999999</v>
      </c>
      <c r="X2386">
        <v>0.92609200000000003</v>
      </c>
      <c r="Y2386">
        <v>-2.847235E-2</v>
      </c>
      <c r="Z2386">
        <v>-1.4560020000000001E-3</v>
      </c>
      <c r="AA2386">
        <v>0.99959350000000002</v>
      </c>
      <c r="AB2386">
        <v>54</v>
      </c>
      <c r="AC2386">
        <v>-15.8303999999999</v>
      </c>
      <c r="AD2386">
        <v>-1.1077896151133</v>
      </c>
      <c r="AE2386">
        <v>-0.363900000000001</v>
      </c>
      <c r="AF2386">
        <v>-0.45992842309163701</v>
      </c>
      <c r="AG2386">
        <v>-1.1077896151133</v>
      </c>
      <c r="AH2386">
        <v>15.7507447426088</v>
      </c>
      <c r="AI2386">
        <v>94.021423288336507</v>
      </c>
      <c r="AJ2386">
        <v>91.672585772042297</v>
      </c>
      <c r="AK2386">
        <v>15.796350589061401</v>
      </c>
      <c r="AL2386">
        <v>68.547152270167899</v>
      </c>
      <c r="AM2386">
        <v>95.715465381377001</v>
      </c>
      <c r="AN2386">
        <v>0.99999998889997299</v>
      </c>
    </row>
    <row r="2387" spans="1:40" x14ac:dyDescent="0.25">
      <c r="A2387" t="str">
        <f>"20190304164136557"</f>
        <v>20190304164136557</v>
      </c>
      <c r="B2387" t="str">
        <f>"1551688896553203"</f>
        <v>1551688896553203</v>
      </c>
      <c r="C2387" t="s">
        <v>40</v>
      </c>
      <c r="D2387">
        <v>4.0092749999999997</v>
      </c>
      <c r="E2387">
        <v>0.53886599999999996</v>
      </c>
      <c r="F2387" t="s">
        <v>46</v>
      </c>
      <c r="G2387">
        <v>-323.89580000000001</v>
      </c>
      <c r="H2387" s="1">
        <v>5.557227E-7</v>
      </c>
      <c r="I2387">
        <v>284.1739</v>
      </c>
      <c r="J2387">
        <v>-308.19290000000001</v>
      </c>
      <c r="K2387">
        <v>1.1077669999999999</v>
      </c>
      <c r="L2387">
        <v>284.52760000000001</v>
      </c>
      <c r="M2387">
        <v>-0.99994919999999998</v>
      </c>
      <c r="N2387">
        <v>-7.239087E-3</v>
      </c>
      <c r="O2387">
        <v>7.0309939999999996E-3</v>
      </c>
      <c r="P2387">
        <v>-0.92938860000000001</v>
      </c>
      <c r="Q2387">
        <v>0.35842439999999998</v>
      </c>
      <c r="R2387">
        <v>-8.814205E-2</v>
      </c>
      <c r="S2387">
        <v>-3.3091129999999902</v>
      </c>
      <c r="T2387">
        <v>-0.22694900000000001</v>
      </c>
      <c r="U2387">
        <v>-7.1868899999999999E-2</v>
      </c>
      <c r="V2387">
        <v>-9.3556719999999996E-2</v>
      </c>
      <c r="W2387">
        <v>0.36542609999999998</v>
      </c>
      <c r="X2387">
        <v>0.92612680000000003</v>
      </c>
      <c r="Y2387">
        <v>-2.865473E-2</v>
      </c>
      <c r="Z2387">
        <v>-1.5159640000000001E-3</v>
      </c>
      <c r="AA2387">
        <v>0.99958820000000004</v>
      </c>
      <c r="AB2387">
        <v>54</v>
      </c>
      <c r="AC2387">
        <v>-15.7029</v>
      </c>
      <c r="AD2387">
        <v>-1.1077664442773001</v>
      </c>
      <c r="AE2387">
        <v>-0.35370000000000301</v>
      </c>
      <c r="AF2387">
        <v>-0.46180406267320701</v>
      </c>
      <c r="AG2387">
        <v>-1.1077664442773001</v>
      </c>
      <c r="AH2387">
        <v>15.622317604892199</v>
      </c>
      <c r="AI2387">
        <v>94.054245361461696</v>
      </c>
      <c r="AJ2387">
        <v>91.693200809880906</v>
      </c>
      <c r="AK2387">
        <v>15.6683508013924</v>
      </c>
      <c r="AL2387">
        <v>68.566191397816198</v>
      </c>
      <c r="AM2387">
        <v>95.768413022905605</v>
      </c>
      <c r="AN2387">
        <v>0.99999997204830304</v>
      </c>
    </row>
    <row r="2388" spans="1:40" x14ac:dyDescent="0.25">
      <c r="A2388" t="str">
        <f>"20190304164136579"</f>
        <v>20190304164136579</v>
      </c>
      <c r="B2388" t="str">
        <f>"1551688896573700"</f>
        <v>1551688896573700</v>
      </c>
      <c r="C2388" t="s">
        <v>40</v>
      </c>
      <c r="D2388">
        <v>4.0564049999999998</v>
      </c>
      <c r="E2388">
        <v>0.53887069999999904</v>
      </c>
      <c r="F2388" t="s">
        <v>46</v>
      </c>
      <c r="G2388">
        <v>-324.255</v>
      </c>
      <c r="H2388" s="1">
        <v>7.4636069999999896E-7</v>
      </c>
      <c r="I2388">
        <v>284.18490000000003</v>
      </c>
      <c r="J2388">
        <v>-308.71719999999999</v>
      </c>
      <c r="K2388">
        <v>1.1077619999999999</v>
      </c>
      <c r="L2388">
        <v>284.53149999999999</v>
      </c>
      <c r="M2388">
        <v>-0.99994209999999994</v>
      </c>
      <c r="N2388">
        <v>-7.2543950000000003E-3</v>
      </c>
      <c r="O2388">
        <v>7.9410750000000006E-3</v>
      </c>
      <c r="P2388">
        <v>-0.92950370000000004</v>
      </c>
      <c r="Q2388">
        <v>0.35808679999999998</v>
      </c>
      <c r="R2388">
        <v>-8.8299959999999997E-2</v>
      </c>
      <c r="S2388">
        <v>-3.3092350000000001</v>
      </c>
      <c r="T2388">
        <v>-0.22823099999999999</v>
      </c>
      <c r="U2388">
        <v>-7.0617680000000002E-2</v>
      </c>
      <c r="V2388">
        <v>-9.4557699999999995E-2</v>
      </c>
      <c r="W2388">
        <v>0.36510740000000003</v>
      </c>
      <c r="X2388">
        <v>0.9261509</v>
      </c>
      <c r="Y2388">
        <v>-2.9181829999999999E-2</v>
      </c>
      <c r="Z2388">
        <v>-1.6004319999999999E-3</v>
      </c>
      <c r="AA2388">
        <v>0.99957280000000004</v>
      </c>
      <c r="AB2388">
        <v>54</v>
      </c>
      <c r="AC2388">
        <v>-15.537800000000001</v>
      </c>
      <c r="AD2388">
        <v>-1.1077612536393</v>
      </c>
      <c r="AE2388">
        <v>-0.34659999999996599</v>
      </c>
      <c r="AF2388">
        <v>-0.46760355015174099</v>
      </c>
      <c r="AG2388">
        <v>-1.1077612536393</v>
      </c>
      <c r="AH2388">
        <v>15.4560348867088</v>
      </c>
      <c r="AI2388">
        <v>94.097611167891401</v>
      </c>
      <c r="AJ2388">
        <v>91.732885602082803</v>
      </c>
      <c r="AK2388">
        <v>15.5027353229789</v>
      </c>
      <c r="AL2388">
        <v>68.585808262361894</v>
      </c>
      <c r="AM2388">
        <v>95.829556798046198</v>
      </c>
      <c r="AN2388">
        <v>1.00000003086742</v>
      </c>
    </row>
    <row r="2389" spans="1:40" x14ac:dyDescent="0.25">
      <c r="A2389" t="str">
        <f>"20190304164136594"</f>
        <v>20190304164136594</v>
      </c>
      <c r="B2389" t="str">
        <f>"1551688896583459"</f>
        <v>1551688896583459</v>
      </c>
      <c r="C2389" t="s">
        <v>40</v>
      </c>
      <c r="D2389">
        <v>4.0523230000000003</v>
      </c>
      <c r="E2389">
        <v>0.53886610000000001</v>
      </c>
      <c r="F2389" t="s">
        <v>46</v>
      </c>
      <c r="G2389">
        <v>-324.69909999999999</v>
      </c>
      <c r="H2389" s="1">
        <v>9.8216339999999989E-7</v>
      </c>
      <c r="I2389">
        <v>284.197</v>
      </c>
      <c r="J2389">
        <v>-309.09190000000001</v>
      </c>
      <c r="K2389">
        <v>1.107772</v>
      </c>
      <c r="L2389">
        <v>284.53460000000001</v>
      </c>
      <c r="M2389">
        <v>-0.99993730000000003</v>
      </c>
      <c r="N2389">
        <v>-7.26511E-3</v>
      </c>
      <c r="O2389">
        <v>8.5378529999999998E-3</v>
      </c>
      <c r="P2389">
        <v>-0.92959910000000001</v>
      </c>
      <c r="Q2389">
        <v>0.35783490000000001</v>
      </c>
      <c r="R2389">
        <v>-8.8318240000000006E-2</v>
      </c>
      <c r="S2389">
        <v>-3.3093569999999999</v>
      </c>
      <c r="T2389">
        <v>-0.22938249999999999</v>
      </c>
      <c r="U2389">
        <v>-6.9274899999999903E-2</v>
      </c>
      <c r="V2389">
        <v>-9.5144640000000003E-2</v>
      </c>
      <c r="W2389">
        <v>0.36486360000000001</v>
      </c>
      <c r="X2389">
        <v>0.92618679999999998</v>
      </c>
      <c r="Y2389">
        <v>-2.9369650000000001E-2</v>
      </c>
      <c r="Z2389">
        <v>-1.652431E-3</v>
      </c>
      <c r="AA2389">
        <v>0.99956730000000005</v>
      </c>
      <c r="AB2389">
        <v>54</v>
      </c>
      <c r="AC2389">
        <v>-15.607199999999899</v>
      </c>
      <c r="AD2389">
        <v>-1.1077710178366</v>
      </c>
      <c r="AE2389">
        <v>-0.337600000000008</v>
      </c>
      <c r="AF2389">
        <v>-0.468484097149518</v>
      </c>
      <c r="AG2389">
        <v>-1.1077710178366</v>
      </c>
      <c r="AH2389">
        <v>15.5255688955199</v>
      </c>
      <c r="AI2389">
        <v>94.079366888689904</v>
      </c>
      <c r="AJ2389">
        <v>91.728375899921005</v>
      </c>
      <c r="AK2389">
        <v>15.5720879623375</v>
      </c>
      <c r="AL2389">
        <v>68.600810641815201</v>
      </c>
      <c r="AM2389">
        <v>95.865264827303804</v>
      </c>
      <c r="AN2389">
        <v>0.999999968809964</v>
      </c>
    </row>
    <row r="2390" spans="1:40" x14ac:dyDescent="0.25">
      <c r="A2390" t="str">
        <f>"20190304164136607"</f>
        <v>20190304164136607</v>
      </c>
      <c r="B2390" t="str">
        <f>"1551688896602979"</f>
        <v>1551688896602979</v>
      </c>
      <c r="C2390" t="s">
        <v>40</v>
      </c>
      <c r="D2390">
        <v>4.0468650000000004</v>
      </c>
      <c r="E2390">
        <v>0.53886630000000002</v>
      </c>
      <c r="F2390" t="s">
        <v>46</v>
      </c>
      <c r="G2390">
        <v>-325.00400000000002</v>
      </c>
      <c r="H2390" s="1">
        <v>1.144093E-6</v>
      </c>
      <c r="I2390">
        <v>284.2045</v>
      </c>
      <c r="J2390">
        <v>-309.40820000000002</v>
      </c>
      <c r="K2390">
        <v>1.107791</v>
      </c>
      <c r="L2390">
        <v>284.53730000000002</v>
      </c>
      <c r="M2390">
        <v>-0.99993319999999997</v>
      </c>
      <c r="N2390">
        <v>-7.2740679999999999E-3</v>
      </c>
      <c r="O2390">
        <v>9.0075229999999999E-3</v>
      </c>
      <c r="P2390">
        <v>-0.92964650000000004</v>
      </c>
      <c r="Q2390">
        <v>0.35774470000000003</v>
      </c>
      <c r="R2390">
        <v>-8.8184639999999995E-2</v>
      </c>
      <c r="S2390">
        <v>-3.309418</v>
      </c>
      <c r="T2390">
        <v>-0.2303963</v>
      </c>
      <c r="U2390">
        <v>-6.8664550000000005E-2</v>
      </c>
      <c r="V2390">
        <v>-9.546694E-2</v>
      </c>
      <c r="W2390">
        <v>0.36477799999999999</v>
      </c>
      <c r="X2390">
        <v>0.92618739999999999</v>
      </c>
      <c r="Y2390">
        <v>-2.9652000000000001E-2</v>
      </c>
      <c r="Z2390">
        <v>-1.6996349999999999E-3</v>
      </c>
      <c r="AA2390">
        <v>0.99955890000000003</v>
      </c>
      <c r="AB2390">
        <v>54</v>
      </c>
      <c r="AC2390">
        <v>-15.595799999999899</v>
      </c>
      <c r="AD2390">
        <v>-1.1077898559070001</v>
      </c>
      <c r="AE2390">
        <v>-0.33280000000002002</v>
      </c>
      <c r="AF2390">
        <v>-0.47089491730180399</v>
      </c>
      <c r="AG2390">
        <v>-1.1077898559070001</v>
      </c>
      <c r="AH2390">
        <v>15.5139304334034</v>
      </c>
      <c r="AI2390">
        <v>94.0824641493559</v>
      </c>
      <c r="AJ2390">
        <v>91.738567176058694</v>
      </c>
      <c r="AK2390">
        <v>15.5605584051624</v>
      </c>
      <c r="AL2390">
        <v>68.606079203687202</v>
      </c>
      <c r="AM2390">
        <v>95.884990261943997</v>
      </c>
      <c r="AN2390">
        <v>1.0000000129178599</v>
      </c>
    </row>
    <row r="2391" spans="1:40" x14ac:dyDescent="0.25">
      <c r="A2391" t="str">
        <f>"20190304164136622"</f>
        <v>20190304164136622</v>
      </c>
      <c r="B2391" t="str">
        <f>"1551688896613714"</f>
        <v>1551688896613714</v>
      </c>
      <c r="C2391" t="s">
        <v>40</v>
      </c>
      <c r="D2391">
        <v>4.0393699999999999</v>
      </c>
      <c r="E2391">
        <v>0.53885130000000003</v>
      </c>
      <c r="F2391" t="s">
        <v>46</v>
      </c>
      <c r="G2391">
        <v>-325.27289999999999</v>
      </c>
      <c r="H2391" s="1">
        <v>1.286903E-6</v>
      </c>
      <c r="I2391">
        <v>284.21080000000001</v>
      </c>
      <c r="J2391">
        <v>-309.77429999999998</v>
      </c>
      <c r="K2391">
        <v>1.1078140000000001</v>
      </c>
      <c r="L2391">
        <v>284.54059999999998</v>
      </c>
      <c r="M2391">
        <v>-0.99992829999999999</v>
      </c>
      <c r="N2391">
        <v>-7.284362E-3</v>
      </c>
      <c r="O2391">
        <v>9.5082269999999993E-3</v>
      </c>
      <c r="P2391">
        <v>-0.92970759999999997</v>
      </c>
      <c r="Q2391">
        <v>0.35752080000000003</v>
      </c>
      <c r="R2391">
        <v>-8.8448330000000006E-2</v>
      </c>
      <c r="S2391">
        <v>-3.3095400000000001</v>
      </c>
      <c r="T2391">
        <v>-0.2310972</v>
      </c>
      <c r="U2391">
        <v>-6.8115229999999999E-2</v>
      </c>
      <c r="V2391">
        <v>-9.6227499999999994E-2</v>
      </c>
      <c r="W2391">
        <v>0.36455769999999998</v>
      </c>
      <c r="X2391">
        <v>0.9261954</v>
      </c>
      <c r="Y2391">
        <v>-2.998348E-2</v>
      </c>
      <c r="Z2391">
        <v>-1.7487080000000001E-3</v>
      </c>
      <c r="AA2391">
        <v>0.99954889999999996</v>
      </c>
      <c r="AB2391">
        <v>54</v>
      </c>
      <c r="AC2391">
        <v>-15.4986</v>
      </c>
      <c r="AD2391">
        <v>-1.1078127130969999</v>
      </c>
      <c r="AE2391">
        <v>-0.329799999999977</v>
      </c>
      <c r="AF2391">
        <v>-0.47472884424640699</v>
      </c>
      <c r="AG2391">
        <v>-1.1078127130969999</v>
      </c>
      <c r="AH2391">
        <v>15.4160364342449</v>
      </c>
      <c r="AI2391">
        <v>94.108329152855504</v>
      </c>
      <c r="AJ2391">
        <v>91.763836397597501</v>
      </c>
      <c r="AK2391">
        <v>15.463078471792899</v>
      </c>
      <c r="AL2391">
        <v>68.619634287845997</v>
      </c>
      <c r="AM2391">
        <v>95.931490601837893</v>
      </c>
      <c r="AN2391">
        <v>0.99999998368334897</v>
      </c>
    </row>
    <row r="2392" spans="1:40" x14ac:dyDescent="0.25">
      <c r="A2392" t="str">
        <f>"20190304164136635"</f>
        <v>20190304164136635</v>
      </c>
      <c r="B2392" t="str">
        <f>"1551688896623803"</f>
        <v>1551688896623803</v>
      </c>
      <c r="C2392" t="s">
        <v>40</v>
      </c>
      <c r="D2392">
        <v>3.9790920000000001</v>
      </c>
      <c r="E2392">
        <v>0.53884709999999902</v>
      </c>
      <c r="F2392" t="s">
        <v>41</v>
      </c>
      <c r="G2392">
        <v>-310.9803</v>
      </c>
      <c r="H2392">
        <v>1.02328</v>
      </c>
      <c r="I2392">
        <v>284.51549999999997</v>
      </c>
      <c r="J2392">
        <v>-310.09410000000003</v>
      </c>
      <c r="K2392">
        <v>1.107856</v>
      </c>
      <c r="L2392">
        <v>284.54360000000003</v>
      </c>
      <c r="M2392">
        <v>-0.9999247</v>
      </c>
      <c r="N2392">
        <v>-7.2933499999999997E-3</v>
      </c>
      <c r="O2392">
        <v>9.8814009999999997E-3</v>
      </c>
      <c r="P2392">
        <v>-0.92970070000000005</v>
      </c>
      <c r="Q2392">
        <v>0.35738330000000001</v>
      </c>
      <c r="R2392">
        <v>-8.9075600000000005E-2</v>
      </c>
      <c r="S2392">
        <v>-3.3095089999999998</v>
      </c>
      <c r="T2392">
        <v>-0.23202780000000001</v>
      </c>
      <c r="U2392">
        <v>-6.9152829999999998E-2</v>
      </c>
      <c r="V2392">
        <v>-9.7238210000000005E-2</v>
      </c>
      <c r="W2392">
        <v>0.36442099999999999</v>
      </c>
      <c r="X2392">
        <v>0.92614359999999996</v>
      </c>
      <c r="Y2392">
        <v>-3.0666559999999999E-2</v>
      </c>
      <c r="Z2392">
        <v>-1.805451E-3</v>
      </c>
      <c r="AA2392">
        <v>0.99952810000000003</v>
      </c>
      <c r="AB2392">
        <v>54</v>
      </c>
      <c r="AC2392">
        <v>-0.88619999999997301</v>
      </c>
      <c r="AD2392">
        <v>-8.4575999999999901E-2</v>
      </c>
      <c r="AE2392">
        <v>-2.8100000000051702E-2</v>
      </c>
      <c r="AF2392">
        <v>-3.6523430222636599E-2</v>
      </c>
      <c r="AG2392">
        <v>-8.4575999999999901E-2</v>
      </c>
      <c r="AH2392">
        <v>0.87789111269138298</v>
      </c>
      <c r="AI2392">
        <v>95.498163529532903</v>
      </c>
      <c r="AJ2392">
        <v>92.382336798749407</v>
      </c>
      <c r="AK2392">
        <v>0.88271165534037399</v>
      </c>
      <c r="AL2392">
        <v>68.628044503654706</v>
      </c>
      <c r="AM2392">
        <v>95.993672693973394</v>
      </c>
      <c r="AN2392">
        <v>0.99999995127298003</v>
      </c>
    </row>
    <row r="2393" spans="1:40" x14ac:dyDescent="0.25">
      <c r="A2393" t="str">
        <f>"20190304164136647"</f>
        <v>20190304164136647</v>
      </c>
      <c r="B2393" t="str">
        <f>"1551688896633566"</f>
        <v>1551688896633566</v>
      </c>
      <c r="C2393" t="s">
        <v>40</v>
      </c>
      <c r="D2393">
        <v>4.0211449999999997</v>
      </c>
      <c r="E2393">
        <v>0.53883789999999998</v>
      </c>
      <c r="F2393" t="s">
        <v>46</v>
      </c>
      <c r="G2393">
        <v>-325.87909999999999</v>
      </c>
      <c r="H2393" s="1">
        <v>1.609822E-6</v>
      </c>
      <c r="I2393">
        <v>284.20280000000002</v>
      </c>
      <c r="J2393">
        <v>-310.37880000000001</v>
      </c>
      <c r="K2393">
        <v>1.107893</v>
      </c>
      <c r="L2393">
        <v>284.54640000000001</v>
      </c>
      <c r="M2393">
        <v>-0.99992139999999996</v>
      </c>
      <c r="N2393">
        <v>-7.3014119999999898E-3</v>
      </c>
      <c r="O2393">
        <v>1.0187760000000001E-2</v>
      </c>
      <c r="P2393">
        <v>-0.92975870000000005</v>
      </c>
      <c r="Q2393">
        <v>0.35731829999999998</v>
      </c>
      <c r="R2393">
        <v>-8.8726730000000004E-2</v>
      </c>
      <c r="S2393">
        <v>-3.3092959999999998</v>
      </c>
      <c r="T2393">
        <v>-0.23226069999999999</v>
      </c>
      <c r="U2393">
        <v>-7.1441649999999995E-2</v>
      </c>
      <c r="V2393">
        <v>-9.7210469999999993E-2</v>
      </c>
      <c r="W2393">
        <v>0.36435440000000002</v>
      </c>
      <c r="X2393">
        <v>0.92617280000000002</v>
      </c>
      <c r="Y2393">
        <v>-3.1661599999999998E-2</v>
      </c>
      <c r="Z2393">
        <v>-1.8651150000000001E-3</v>
      </c>
      <c r="AA2393">
        <v>0.99949690000000002</v>
      </c>
      <c r="AB2393">
        <v>54</v>
      </c>
      <c r="AC2393">
        <v>-15.5002999999999</v>
      </c>
      <c r="AD2393">
        <v>-1.1078913901780001</v>
      </c>
      <c r="AE2393">
        <v>-0.34359999999997998</v>
      </c>
      <c r="AF2393">
        <v>-0.498951954421543</v>
      </c>
      <c r="AG2393">
        <v>-1.1078913901780001</v>
      </c>
      <c r="AH2393">
        <v>15.4172707269278</v>
      </c>
      <c r="AI2393">
        <v>94.108089510339994</v>
      </c>
      <c r="AJ2393">
        <v>91.853626832263103</v>
      </c>
      <c r="AK2393">
        <v>15.465077208104599</v>
      </c>
      <c r="AL2393">
        <v>68.632143887040002</v>
      </c>
      <c r="AM2393">
        <v>95.991787729616107</v>
      </c>
      <c r="AN2393">
        <v>1.00000002986841</v>
      </c>
    </row>
    <row r="2394" spans="1:40" x14ac:dyDescent="0.25">
      <c r="A2394" t="str">
        <f>"20190304164136658"</f>
        <v>20190304164136658</v>
      </c>
      <c r="B2394" t="str">
        <f>"1551688896653086"</f>
        <v>1551688896653086</v>
      </c>
      <c r="C2394" t="s">
        <v>40</v>
      </c>
      <c r="D2394">
        <v>3.9811190000000001</v>
      </c>
      <c r="E2394">
        <v>0.53880450000000002</v>
      </c>
      <c r="F2394" t="s">
        <v>46</v>
      </c>
      <c r="G2394">
        <v>-326.13470000000001</v>
      </c>
      <c r="H2394" s="1">
        <v>1.745498E-6</v>
      </c>
      <c r="I2394">
        <v>284.2115</v>
      </c>
      <c r="J2394">
        <v>-310.67059999999998</v>
      </c>
      <c r="K2394">
        <v>1.1079369999999999</v>
      </c>
      <c r="L2394">
        <v>284.54930000000002</v>
      </c>
      <c r="M2394">
        <v>-0.99991859999999999</v>
      </c>
      <c r="N2394">
        <v>-7.3097469999999897E-3</v>
      </c>
      <c r="O2394">
        <v>1.046792E-2</v>
      </c>
      <c r="P2394">
        <v>-0.92993550000000003</v>
      </c>
      <c r="Q2394">
        <v>0.35678979999999999</v>
      </c>
      <c r="R2394">
        <v>-8.9002810000000002E-2</v>
      </c>
      <c r="S2394">
        <v>-3.3093569999999999</v>
      </c>
      <c r="T2394">
        <v>-0.2327002</v>
      </c>
      <c r="U2394">
        <v>-7.0343020000000006E-2</v>
      </c>
      <c r="V2394">
        <v>-9.7790840000000004E-2</v>
      </c>
      <c r="W2394">
        <v>0.36382500000000001</v>
      </c>
      <c r="X2394">
        <v>0.92631980000000003</v>
      </c>
      <c r="Y2394">
        <v>-3.1608770000000001E-2</v>
      </c>
      <c r="Z2394">
        <v>-1.8841579999999999E-3</v>
      </c>
      <c r="AA2394">
        <v>0.99949849999999996</v>
      </c>
      <c r="AB2394">
        <v>54</v>
      </c>
      <c r="AC2394">
        <v>-15.4641</v>
      </c>
      <c r="AD2394">
        <v>-1.107935254502</v>
      </c>
      <c r="AE2394">
        <v>-0.33780000000001498</v>
      </c>
      <c r="AF2394">
        <v>-0.497112251609165</v>
      </c>
      <c r="AG2394">
        <v>-1.107935254502</v>
      </c>
      <c r="AH2394">
        <v>15.3808030188929</v>
      </c>
      <c r="AI2394">
        <v>94.117964436088798</v>
      </c>
      <c r="AJ2394">
        <v>91.851172694556197</v>
      </c>
      <c r="AK2394">
        <v>15.428666262021901</v>
      </c>
      <c r="AL2394">
        <v>68.664711493956503</v>
      </c>
      <c r="AM2394">
        <v>96.026348147796995</v>
      </c>
      <c r="AN2394">
        <v>1.0000000254424699</v>
      </c>
    </row>
    <row r="2395" spans="1:40" x14ac:dyDescent="0.25">
      <c r="A2395" t="str">
        <f>"20190304164136671"</f>
        <v>20190304164136671</v>
      </c>
      <c r="B2395" t="str">
        <f>"1551688896662847"</f>
        <v>1551688896662847</v>
      </c>
      <c r="C2395" t="s">
        <v>40</v>
      </c>
      <c r="D2395">
        <v>4.0362629999999999</v>
      </c>
      <c r="E2395">
        <v>0.53879600000000005</v>
      </c>
      <c r="F2395" t="s">
        <v>46</v>
      </c>
      <c r="G2395">
        <v>-326.30070000000001</v>
      </c>
      <c r="H2395" s="1">
        <v>1.8338360000000001E-6</v>
      </c>
      <c r="I2395">
        <v>284.21100000000001</v>
      </c>
      <c r="J2395">
        <v>-310.97489999999999</v>
      </c>
      <c r="K2395">
        <v>1.1079889999999999</v>
      </c>
      <c r="L2395">
        <v>284.55239999999998</v>
      </c>
      <c r="M2395">
        <v>-0.99991580000000002</v>
      </c>
      <c r="N2395">
        <v>-7.3185489999999997E-3</v>
      </c>
      <c r="O2395">
        <v>1.0710229999999999E-2</v>
      </c>
      <c r="P2395">
        <v>-0.93006339999999998</v>
      </c>
      <c r="Q2395">
        <v>0.3565507</v>
      </c>
      <c r="R2395">
        <v>-8.8622560000000003E-2</v>
      </c>
      <c r="S2395">
        <v>-3.3091740000000001</v>
      </c>
      <c r="T2395">
        <v>-0.23457059999999999</v>
      </c>
      <c r="U2395">
        <v>-7.1624759999999996E-2</v>
      </c>
      <c r="V2395">
        <v>-9.7684179999999995E-2</v>
      </c>
      <c r="W2395">
        <v>0.36358210000000002</v>
      </c>
      <c r="X2395">
        <v>0.92642639999999998</v>
      </c>
      <c r="Y2395">
        <v>-3.2235189999999997E-2</v>
      </c>
      <c r="Z2395">
        <v>-1.938946E-3</v>
      </c>
      <c r="AA2395">
        <v>0.99947850000000005</v>
      </c>
      <c r="AB2395">
        <v>54</v>
      </c>
      <c r="AC2395">
        <v>-15.325799999999999</v>
      </c>
      <c r="AD2395">
        <v>-1.1079871661639999</v>
      </c>
      <c r="AE2395">
        <v>-0.34139999999996401</v>
      </c>
      <c r="AF2395">
        <v>-0.50290048704002499</v>
      </c>
      <c r="AG2395">
        <v>-1.1079871661639999</v>
      </c>
      <c r="AH2395">
        <v>15.2416411892486</v>
      </c>
      <c r="AI2395">
        <v>94.155534711644606</v>
      </c>
      <c r="AJ2395">
        <v>91.889798181457607</v>
      </c>
      <c r="AK2395">
        <v>15.2901331126334</v>
      </c>
      <c r="AL2395">
        <v>68.679651453215101</v>
      </c>
      <c r="AM2395">
        <v>96.019135939129995</v>
      </c>
      <c r="AN2395">
        <v>1.00000000853982</v>
      </c>
    </row>
    <row r="2396" spans="1:40" x14ac:dyDescent="0.25">
      <c r="A2396" t="str">
        <f>"20190304164136684"</f>
        <v>20190304164136684</v>
      </c>
      <c r="B2396" t="str">
        <f>"1551688896673582"</f>
        <v>1551688896673582</v>
      </c>
      <c r="C2396" t="s">
        <v>40</v>
      </c>
      <c r="D2396">
        <v>4.032705</v>
      </c>
      <c r="E2396">
        <v>0.53879889999999997</v>
      </c>
      <c r="F2396" t="s">
        <v>46</v>
      </c>
      <c r="G2396">
        <v>-326.56479999999999</v>
      </c>
      <c r="H2396" s="1">
        <v>1.973966E-6</v>
      </c>
      <c r="I2396">
        <v>284.22149999999999</v>
      </c>
      <c r="J2396">
        <v>-311.27249999999998</v>
      </c>
      <c r="K2396">
        <v>1.1080399999999999</v>
      </c>
      <c r="L2396">
        <v>284.55549999999999</v>
      </c>
      <c r="M2396">
        <v>-0.99991359999999996</v>
      </c>
      <c r="N2396">
        <v>-7.32722699999999E-3</v>
      </c>
      <c r="O2396">
        <v>1.092399E-2</v>
      </c>
      <c r="P2396">
        <v>-0.93001670000000003</v>
      </c>
      <c r="Q2396">
        <v>0.3566454</v>
      </c>
      <c r="R2396">
        <v>-8.8731149999999995E-2</v>
      </c>
      <c r="S2396">
        <v>-3.3090519999999999</v>
      </c>
      <c r="T2396">
        <v>-0.23517569999999999</v>
      </c>
      <c r="U2396">
        <v>-7.0251460000000002E-2</v>
      </c>
      <c r="V2396">
        <v>-9.8038269999999997E-2</v>
      </c>
      <c r="W2396">
        <v>0.3636722</v>
      </c>
      <c r="X2396">
        <v>0.9263536</v>
      </c>
      <c r="Y2396">
        <v>-3.203458E-2</v>
      </c>
      <c r="Z2396">
        <v>-1.9497099999999999E-3</v>
      </c>
      <c r="AA2396">
        <v>0.99948479999999995</v>
      </c>
      <c r="AB2396">
        <v>54</v>
      </c>
      <c r="AC2396">
        <v>-15.292299999999999</v>
      </c>
      <c r="AD2396">
        <v>-1.1080380260339999</v>
      </c>
      <c r="AE2396">
        <v>-0.33400000000000302</v>
      </c>
      <c r="AF2396">
        <v>-0.49842197308824598</v>
      </c>
      <c r="AG2396">
        <v>-1.1080380260339999</v>
      </c>
      <c r="AH2396">
        <v>15.207934374937899</v>
      </c>
      <c r="AI2396">
        <v>94.164933330171095</v>
      </c>
      <c r="AJ2396">
        <v>91.877129175527998</v>
      </c>
      <c r="AK2396">
        <v>15.256390158973099</v>
      </c>
      <c r="AL2396">
        <v>68.674109146089194</v>
      </c>
      <c r="AM2396">
        <v>96.041264554690798</v>
      </c>
      <c r="AN2396">
        <v>0.99999998183519601</v>
      </c>
    </row>
    <row r="2397" spans="1:40" x14ac:dyDescent="0.25">
      <c r="A2397" t="str">
        <f>"20190304164136696"</f>
        <v>20190304164136696</v>
      </c>
      <c r="B2397" t="str">
        <f>"1551688896683343"</f>
        <v>1551688896683343</v>
      </c>
      <c r="C2397" t="s">
        <v>40</v>
      </c>
      <c r="D2397">
        <v>4.0413930000000002</v>
      </c>
      <c r="E2397">
        <v>0.53878309999999996</v>
      </c>
      <c r="F2397" t="s">
        <v>41</v>
      </c>
      <c r="G2397">
        <v>-312.45209999999997</v>
      </c>
      <c r="H2397">
        <v>1.024397</v>
      </c>
      <c r="I2397">
        <v>284.5308</v>
      </c>
      <c r="J2397">
        <v>-311.58300000000003</v>
      </c>
      <c r="K2397">
        <v>1.108093</v>
      </c>
      <c r="L2397">
        <v>284.55880000000002</v>
      </c>
      <c r="M2397">
        <v>-0.99991149999999995</v>
      </c>
      <c r="N2397">
        <v>-7.3363869999999998E-3</v>
      </c>
      <c r="O2397">
        <v>1.109801E-2</v>
      </c>
      <c r="P2397">
        <v>-0.93004450000000005</v>
      </c>
      <c r="Q2397">
        <v>0.35659069999999998</v>
      </c>
      <c r="R2397">
        <v>-8.8658039999999994E-2</v>
      </c>
      <c r="S2397">
        <v>-3.3091430000000002</v>
      </c>
      <c r="T2397">
        <v>-0.234821</v>
      </c>
      <c r="U2397">
        <v>-7.0037840000000004E-2</v>
      </c>
      <c r="V2397">
        <v>-9.817766E-2</v>
      </c>
      <c r="W2397">
        <v>0.36361270000000001</v>
      </c>
      <c r="X2397">
        <v>0.92636220000000002</v>
      </c>
      <c r="Y2397">
        <v>-3.2143129999999999E-2</v>
      </c>
      <c r="Z2397">
        <v>-1.962129E-3</v>
      </c>
      <c r="AA2397">
        <v>0.99948130000000002</v>
      </c>
      <c r="AB2397">
        <v>55</v>
      </c>
      <c r="AC2397">
        <v>-0.86910000000000298</v>
      </c>
      <c r="AD2397">
        <v>-8.3695999999999895E-2</v>
      </c>
      <c r="AE2397">
        <v>-2.8000000000019998E-2</v>
      </c>
      <c r="AF2397">
        <v>-3.7298267902673703E-2</v>
      </c>
      <c r="AG2397">
        <v>-8.3695999999999895E-2</v>
      </c>
      <c r="AH2397">
        <v>0.86076124670071197</v>
      </c>
      <c r="AI2397">
        <v>95.548514316017901</v>
      </c>
      <c r="AJ2397">
        <v>92.481172708250298</v>
      </c>
      <c r="AK2397">
        <v>0.86562469062885605</v>
      </c>
      <c r="AL2397">
        <v>68.677768906105101</v>
      </c>
      <c r="AM2397">
        <v>96.049734571776</v>
      </c>
      <c r="AN2397">
        <v>0.99999998705660198</v>
      </c>
    </row>
    <row r="2398" spans="1:40" x14ac:dyDescent="0.25">
      <c r="A2398" t="str">
        <f>"20190304164136712"</f>
        <v>20190304164136712</v>
      </c>
      <c r="B2398" t="str">
        <f>"1551688896702862"</f>
        <v>1551688896702862</v>
      </c>
      <c r="C2398" t="s">
        <v>40</v>
      </c>
      <c r="D2398">
        <v>4.033239</v>
      </c>
      <c r="E2398">
        <v>0.53877159999999902</v>
      </c>
      <c r="F2398" t="s">
        <v>46</v>
      </c>
      <c r="G2398">
        <v>-327.18119999999999</v>
      </c>
      <c r="H2398" s="1">
        <v>2.3014210000000001E-6</v>
      </c>
      <c r="I2398">
        <v>284.23329999999999</v>
      </c>
      <c r="J2398">
        <v>-311.96719999999999</v>
      </c>
      <c r="K2398">
        <v>1.1081570000000001</v>
      </c>
      <c r="L2398">
        <v>284.56299999999999</v>
      </c>
      <c r="M2398">
        <v>-0.99990950000000001</v>
      </c>
      <c r="N2398">
        <v>-7.3478329999999998E-3</v>
      </c>
      <c r="O2398">
        <v>1.1275220000000001E-2</v>
      </c>
      <c r="P2398">
        <v>-0.92992989999999998</v>
      </c>
      <c r="Q2398">
        <v>0.35687920000000001</v>
      </c>
      <c r="R2398">
        <v>-8.8700009999999996E-2</v>
      </c>
      <c r="S2398">
        <v>-3.3091740000000001</v>
      </c>
      <c r="T2398">
        <v>-0.2350835</v>
      </c>
      <c r="U2398">
        <v>-6.9061280000000003E-2</v>
      </c>
      <c r="V2398">
        <v>-9.8443870000000003E-2</v>
      </c>
      <c r="W2398">
        <v>0.36389480000000002</v>
      </c>
      <c r="X2398">
        <v>0.92622320000000002</v>
      </c>
      <c r="Y2398">
        <v>-3.2024959999999998E-2</v>
      </c>
      <c r="Z2398">
        <v>-1.9709660000000002E-3</v>
      </c>
      <c r="AA2398">
        <v>0.99948510000000002</v>
      </c>
      <c r="AB2398">
        <v>55</v>
      </c>
      <c r="AC2398">
        <v>-15.214</v>
      </c>
      <c r="AD2398">
        <v>-1.1081546985789901</v>
      </c>
      <c r="AE2398">
        <v>-0.32970000000000199</v>
      </c>
      <c r="AF2398">
        <v>-0.49858095337035202</v>
      </c>
      <c r="AG2398">
        <v>-1.1081546985789901</v>
      </c>
      <c r="AH2398">
        <v>15.1290878797482</v>
      </c>
      <c r="AI2398">
        <v>94.186976675710994</v>
      </c>
      <c r="AJ2398">
        <v>91.887506361817501</v>
      </c>
      <c r="AK2398">
        <v>15.177809126359101</v>
      </c>
      <c r="AL2398">
        <v>68.660417788600498</v>
      </c>
      <c r="AM2398">
        <v>96.066919913061298</v>
      </c>
      <c r="AN2398">
        <v>1.0000000186129201</v>
      </c>
    </row>
    <row r="2399" spans="1:40" x14ac:dyDescent="0.25">
      <c r="A2399" t="str">
        <f>"20190304164136725"</f>
        <v>20190304164136725</v>
      </c>
      <c r="B2399" t="str">
        <f>"1551688896713598"</f>
        <v>1551688896713598</v>
      </c>
      <c r="C2399" t="s">
        <v>40</v>
      </c>
      <c r="D2399">
        <v>4.0284599999999999</v>
      </c>
      <c r="E2399">
        <v>0.5387613</v>
      </c>
      <c r="F2399" t="s">
        <v>46</v>
      </c>
      <c r="G2399">
        <v>-327.62849999999997</v>
      </c>
      <c r="H2399" s="1">
        <v>2.5392070000000002E-6</v>
      </c>
      <c r="I2399">
        <v>284.23930000000001</v>
      </c>
      <c r="J2399">
        <v>-312.26839999999999</v>
      </c>
      <c r="K2399">
        <v>1.1082110000000001</v>
      </c>
      <c r="L2399">
        <v>284.56630000000001</v>
      </c>
      <c r="M2399">
        <v>-0.99990809999999997</v>
      </c>
      <c r="N2399">
        <v>-7.3568690000000003E-3</v>
      </c>
      <c r="O2399">
        <v>1.1390829999999999E-2</v>
      </c>
      <c r="P2399">
        <v>-0.93004260000000005</v>
      </c>
      <c r="Q2399">
        <v>0.3565856</v>
      </c>
      <c r="R2399">
        <v>-8.8698449999999998E-2</v>
      </c>
      <c r="S2399">
        <v>-3.3093870000000001</v>
      </c>
      <c r="T2399">
        <v>-0.2341636</v>
      </c>
      <c r="U2399">
        <v>-6.8389889999999995E-2</v>
      </c>
      <c r="V2399">
        <v>-9.8598340000000007E-2</v>
      </c>
      <c r="W2399">
        <v>0.36359809999999998</v>
      </c>
      <c r="X2399">
        <v>0.92632329999999996</v>
      </c>
      <c r="Y2399">
        <v>-3.1937380000000001E-2</v>
      </c>
      <c r="Z2399">
        <v>-1.967234E-3</v>
      </c>
      <c r="AA2399">
        <v>0.99948789999999998</v>
      </c>
      <c r="AB2399">
        <v>55</v>
      </c>
      <c r="AC2399">
        <v>-15.3600999999999</v>
      </c>
      <c r="AD2399">
        <v>-1.1082084607930001</v>
      </c>
      <c r="AE2399">
        <v>-0.32699999999999801</v>
      </c>
      <c r="AF2399">
        <v>-0.49934965798490399</v>
      </c>
      <c r="AG2399">
        <v>-1.1082084607930001</v>
      </c>
      <c r="AH2399">
        <v>15.2758972508528</v>
      </c>
      <c r="AI2399">
        <v>94.147115272030902</v>
      </c>
      <c r="AJ2399">
        <v>91.872259501722894</v>
      </c>
      <c r="AK2399">
        <v>15.324180659732299</v>
      </c>
      <c r="AL2399">
        <v>68.678667928365002</v>
      </c>
      <c r="AM2399">
        <v>96.075716748349294</v>
      </c>
      <c r="AN2399">
        <v>1.0000000335486201</v>
      </c>
    </row>
    <row r="2400" spans="1:40" x14ac:dyDescent="0.25">
      <c r="A2400" t="str">
        <f>"20190304164136738"</f>
        <v>20190304164136738</v>
      </c>
      <c r="B2400" t="str">
        <f>"1551688896733118"</f>
        <v>1551688896733118</v>
      </c>
      <c r="C2400" t="s">
        <v>40</v>
      </c>
      <c r="D2400">
        <v>4.0014919999999998</v>
      </c>
      <c r="E2400">
        <v>0.53870530000000005</v>
      </c>
      <c r="F2400" t="s">
        <v>46</v>
      </c>
      <c r="G2400">
        <v>-327.86430000000001</v>
      </c>
      <c r="H2400" s="1">
        <v>2.6644109999999999E-6</v>
      </c>
      <c r="I2400">
        <v>284.24529999999999</v>
      </c>
      <c r="J2400">
        <v>-312.61869999999999</v>
      </c>
      <c r="K2400">
        <v>1.1082719999999999</v>
      </c>
      <c r="L2400">
        <v>284.5702</v>
      </c>
      <c r="M2400">
        <v>-0.99990699999999999</v>
      </c>
      <c r="N2400">
        <v>-7.3674300000000003E-3</v>
      </c>
      <c r="O2400">
        <v>1.1491309999999999E-2</v>
      </c>
      <c r="P2400">
        <v>-0.93005309999999997</v>
      </c>
      <c r="Q2400">
        <v>0.3565854</v>
      </c>
      <c r="R2400">
        <v>-8.8592249999999997E-2</v>
      </c>
      <c r="S2400">
        <v>-3.3092959999999998</v>
      </c>
      <c r="T2400">
        <v>-0.23515059999999999</v>
      </c>
      <c r="U2400">
        <v>-6.8115229999999999E-2</v>
      </c>
      <c r="V2400">
        <v>-9.8637849999999999E-2</v>
      </c>
      <c r="W2400">
        <v>0.36359320000000001</v>
      </c>
      <c r="X2400">
        <v>0.92632099999999995</v>
      </c>
      <c r="Y2400">
        <v>-3.1954280000000002E-2</v>
      </c>
      <c r="Z2400">
        <v>-1.9825200000000002E-3</v>
      </c>
      <c r="AA2400">
        <v>0.99948729999999997</v>
      </c>
      <c r="AB2400">
        <v>55</v>
      </c>
      <c r="AC2400">
        <v>-15.2456</v>
      </c>
      <c r="AD2400">
        <v>-1.1082693355890001</v>
      </c>
      <c r="AE2400">
        <v>-0.32490000000001301</v>
      </c>
      <c r="AF2400">
        <v>-0.49744763283379201</v>
      </c>
      <c r="AG2400">
        <v>-1.1082693355890001</v>
      </c>
      <c r="AH2400">
        <v>15.1607793499411</v>
      </c>
      <c r="AI2400">
        <v>94.178705770534705</v>
      </c>
      <c r="AJ2400">
        <v>91.879285200697197</v>
      </c>
      <c r="AK2400">
        <v>15.209370321128301</v>
      </c>
      <c r="AL2400">
        <v>68.678968952411097</v>
      </c>
      <c r="AM2400">
        <v>96.078148146967706</v>
      </c>
      <c r="AN2400">
        <v>1.00000001778993</v>
      </c>
    </row>
    <row r="2401" spans="1:40" x14ac:dyDescent="0.25">
      <c r="A2401" t="str">
        <f>"20190304164136752"</f>
        <v>20190304164136752</v>
      </c>
      <c r="B2401" t="str">
        <f>"1551688896742878"</f>
        <v>1551688896742878</v>
      </c>
      <c r="C2401" t="s">
        <v>40</v>
      </c>
      <c r="D2401">
        <v>4.0240549999999997</v>
      </c>
      <c r="E2401">
        <v>0.53869409999999995</v>
      </c>
      <c r="F2401" t="s">
        <v>46</v>
      </c>
      <c r="G2401">
        <v>-328.23399999999998</v>
      </c>
      <c r="H2401" s="1">
        <v>2.8608639999999999E-6</v>
      </c>
      <c r="I2401">
        <v>284.2518</v>
      </c>
      <c r="J2401">
        <v>-312.94490000000002</v>
      </c>
      <c r="K2401">
        <v>1.108322</v>
      </c>
      <c r="L2401">
        <v>284.57389999999998</v>
      </c>
      <c r="M2401">
        <v>-0.99990610000000002</v>
      </c>
      <c r="N2401">
        <v>-7.3773049999999998E-3</v>
      </c>
      <c r="O2401">
        <v>1.1561129999999999E-2</v>
      </c>
      <c r="P2401">
        <v>-0.93006999999999995</v>
      </c>
      <c r="Q2401">
        <v>0.35651189999999999</v>
      </c>
      <c r="R2401">
        <v>-8.8708480000000006E-2</v>
      </c>
      <c r="S2401">
        <v>-3.3092350000000001</v>
      </c>
      <c r="T2401">
        <v>-0.2348682</v>
      </c>
      <c r="U2401">
        <v>-6.7474370000000006E-2</v>
      </c>
      <c r="V2401">
        <v>-9.8865839999999997E-2</v>
      </c>
      <c r="W2401">
        <v>0.36351679999999997</v>
      </c>
      <c r="X2401">
        <v>0.92632669999999995</v>
      </c>
      <c r="Y2401">
        <v>-3.1831440000000003E-2</v>
      </c>
      <c r="Z2401">
        <v>-1.9798950000000002E-3</v>
      </c>
      <c r="AA2401">
        <v>0.99949129999999997</v>
      </c>
      <c r="AB2401">
        <v>55</v>
      </c>
      <c r="AC2401">
        <v>-15.289099999999999</v>
      </c>
      <c r="AD2401">
        <v>-1.1083191391359899</v>
      </c>
      <c r="AE2401">
        <v>-0.32209999999997702</v>
      </c>
      <c r="AF2401">
        <v>-0.49623600726083</v>
      </c>
      <c r="AG2401">
        <v>-1.1083191391359899</v>
      </c>
      <c r="AH2401">
        <v>15.204491313923</v>
      </c>
      <c r="AI2401">
        <v>94.166944831297002</v>
      </c>
      <c r="AJ2401">
        <v>91.869325276656397</v>
      </c>
      <c r="AK2401">
        <v>15.252907185328199</v>
      </c>
      <c r="AL2401">
        <v>68.683668307022998</v>
      </c>
      <c r="AM2401">
        <v>96.092054352944103</v>
      </c>
      <c r="AN2401">
        <v>1.0000000366670101</v>
      </c>
    </row>
    <row r="2402" spans="1:40" x14ac:dyDescent="0.25">
      <c r="A2402" t="str">
        <f>"20190304164136769"</f>
        <v>20190304164136769</v>
      </c>
      <c r="B2402" t="str">
        <f>"1551688896763374"</f>
        <v>1551688896763374</v>
      </c>
      <c r="C2402" t="s">
        <v>40</v>
      </c>
      <c r="D2402">
        <v>4.0187920000000004</v>
      </c>
      <c r="E2402">
        <v>0.53866329999999996</v>
      </c>
      <c r="F2402" t="s">
        <v>46</v>
      </c>
      <c r="G2402">
        <v>-328.54430000000002</v>
      </c>
      <c r="H2402" s="1">
        <v>3.0258349999999998E-6</v>
      </c>
      <c r="I2402">
        <v>284.2561</v>
      </c>
      <c r="J2402">
        <v>-313.35309999999998</v>
      </c>
      <c r="K2402">
        <v>1.1083829999999999</v>
      </c>
      <c r="L2402">
        <v>284.57859999999999</v>
      </c>
      <c r="M2402">
        <v>-0.99990500000000004</v>
      </c>
      <c r="N2402">
        <v>-7.38969E-3</v>
      </c>
      <c r="O2402">
        <v>1.162788E-2</v>
      </c>
      <c r="P2402">
        <v>-0.9301355</v>
      </c>
      <c r="Q2402">
        <v>0.35609540000000001</v>
      </c>
      <c r="R2402">
        <v>-8.9689240000000003E-2</v>
      </c>
      <c r="S2402">
        <v>-3.3092649999999999</v>
      </c>
      <c r="T2402">
        <v>-0.23511789999999999</v>
      </c>
      <c r="U2402">
        <v>-6.7413329999999994E-2</v>
      </c>
      <c r="V2402">
        <v>-9.9965479999999995E-2</v>
      </c>
      <c r="W2402">
        <v>0.36309819999999998</v>
      </c>
      <c r="X2402">
        <v>0.9263728</v>
      </c>
      <c r="Y2402">
        <v>-3.1879039999999997E-2</v>
      </c>
      <c r="Z2402">
        <v>-1.9881059999999999E-3</v>
      </c>
      <c r="AA2402">
        <v>0.99948979999999998</v>
      </c>
      <c r="AB2402">
        <v>55</v>
      </c>
      <c r="AC2402">
        <v>-15.1912</v>
      </c>
      <c r="AD2402">
        <v>-1.108379974165</v>
      </c>
      <c r="AE2402">
        <v>-0.32249999999999002</v>
      </c>
      <c r="AF2402">
        <v>-0.49648267514806099</v>
      </c>
      <c r="AG2402">
        <v>-1.108379974165</v>
      </c>
      <c r="AH2402">
        <v>15.1060427951839</v>
      </c>
      <c r="AI2402">
        <v>94.194202962311905</v>
      </c>
      <c r="AJ2402">
        <v>91.882433821895702</v>
      </c>
      <c r="AK2402">
        <v>15.1547857175144</v>
      </c>
      <c r="AL2402">
        <v>68.709410147093294</v>
      </c>
      <c r="AM2402">
        <v>96.158991368719398</v>
      </c>
      <c r="AN2402">
        <v>0.99999998230735498</v>
      </c>
    </row>
    <row r="2403" spans="1:40" x14ac:dyDescent="0.25">
      <c r="A2403" t="str">
        <f>"20190304164136783"</f>
        <v>20190304164136783</v>
      </c>
      <c r="B2403" t="str">
        <f>"1551688896773133"</f>
        <v>1551688896773133</v>
      </c>
      <c r="C2403" t="s">
        <v>40</v>
      </c>
      <c r="D2403">
        <v>4.0387700000000004</v>
      </c>
      <c r="E2403">
        <v>0.5350878</v>
      </c>
      <c r="F2403" t="s">
        <v>46</v>
      </c>
      <c r="G2403">
        <v>-328.87470000000002</v>
      </c>
      <c r="H2403" s="1">
        <v>3.201623E-6</v>
      </c>
      <c r="I2403">
        <v>284.25599999999997</v>
      </c>
      <c r="J2403">
        <v>-313.72370000000001</v>
      </c>
      <c r="K2403">
        <v>1.108436</v>
      </c>
      <c r="L2403">
        <v>284.58280000000002</v>
      </c>
      <c r="M2403">
        <v>-0.99990449999999997</v>
      </c>
      <c r="N2403">
        <v>-7.4009449999999999E-3</v>
      </c>
      <c r="O2403">
        <v>1.1670659999999999E-2</v>
      </c>
      <c r="P2403">
        <v>-0.93003959999999997</v>
      </c>
      <c r="Q2403">
        <v>0.35619339999999999</v>
      </c>
      <c r="R2403">
        <v>-9.0292209999999998E-2</v>
      </c>
      <c r="S2403">
        <v>-3.3092039999999998</v>
      </c>
      <c r="T2403">
        <v>-0.2363065</v>
      </c>
      <c r="U2403">
        <v>-6.8756100000000001E-2</v>
      </c>
      <c r="V2403">
        <v>-0.10065540000000001</v>
      </c>
      <c r="W2403">
        <v>0.3631933</v>
      </c>
      <c r="X2403">
        <v>0.9262608</v>
      </c>
      <c r="Y2403">
        <v>-3.2325090000000001E-2</v>
      </c>
      <c r="Z2403">
        <v>-2.0183419999999998E-3</v>
      </c>
      <c r="AA2403">
        <v>0.99947540000000001</v>
      </c>
      <c r="AB2403">
        <v>55</v>
      </c>
      <c r="AC2403">
        <v>-15.151</v>
      </c>
      <c r="AD2403">
        <v>-1.1084327983769999</v>
      </c>
      <c r="AE2403">
        <v>-0.326800000000048</v>
      </c>
      <c r="AF2403">
        <v>-0.50092492871541106</v>
      </c>
      <c r="AG2403">
        <v>-1.1084327983769999</v>
      </c>
      <c r="AH2403">
        <v>15.065556933359501</v>
      </c>
      <c r="AI2403">
        <v>94.205580396004507</v>
      </c>
      <c r="AJ2403">
        <v>91.904364686681902</v>
      </c>
      <c r="AK2403">
        <v>15.1145808663364</v>
      </c>
      <c r="AL2403">
        <v>68.7035619476775</v>
      </c>
      <c r="AM2403">
        <v>96.201912085257902</v>
      </c>
      <c r="AN2403">
        <v>0.99999997616534397</v>
      </c>
    </row>
    <row r="2404" spans="1:40" x14ac:dyDescent="0.25">
      <c r="A2404" t="str">
        <f>"20190304164136801"</f>
        <v>20190304164136801</v>
      </c>
      <c r="B2404" t="str">
        <f>"1551688896793630"</f>
        <v>1551688896793630</v>
      </c>
      <c r="C2404" t="s">
        <v>40</v>
      </c>
      <c r="D2404">
        <v>3.9870390000000002</v>
      </c>
      <c r="E2404">
        <v>0.53458079999999997</v>
      </c>
      <c r="F2404" t="s">
        <v>46</v>
      </c>
      <c r="G2404">
        <v>-330.64069999999998</v>
      </c>
      <c r="H2404" s="1">
        <v>-1.17257E-6</v>
      </c>
      <c r="I2404">
        <v>284.08359999999999</v>
      </c>
      <c r="J2404">
        <v>-314.16699999999997</v>
      </c>
      <c r="K2404">
        <v>1.1084959999999999</v>
      </c>
      <c r="L2404">
        <v>284.58789999999999</v>
      </c>
      <c r="M2404">
        <v>-0.99990400000000002</v>
      </c>
      <c r="N2404">
        <v>-7.414403E-3</v>
      </c>
      <c r="O2404">
        <v>1.1703170000000001E-2</v>
      </c>
      <c r="P2404">
        <v>-0.92995340000000004</v>
      </c>
      <c r="Q2404">
        <v>0.35621150000000001</v>
      </c>
      <c r="R2404">
        <v>-9.1104599999999994E-2</v>
      </c>
      <c r="S2404">
        <v>-3.299042</v>
      </c>
      <c r="T2404">
        <v>-0.21616079999999999</v>
      </c>
      <c r="U2404">
        <v>-9.7351069999999998E-2</v>
      </c>
      <c r="V2404">
        <v>-0.10155169999999999</v>
      </c>
      <c r="W2404">
        <v>0.36320930000000001</v>
      </c>
      <c r="X2404">
        <v>0.92615670000000005</v>
      </c>
      <c r="Y2404">
        <v>-4.1074729999999997E-2</v>
      </c>
      <c r="Z2404">
        <v>-2.175593E-3</v>
      </c>
      <c r="AA2404">
        <v>0.99915370000000003</v>
      </c>
      <c r="AB2404">
        <v>55</v>
      </c>
      <c r="AC2404">
        <v>-16.473699999999901</v>
      </c>
      <c r="AD2404">
        <v>-1.1084971725699999</v>
      </c>
      <c r="AE2404">
        <v>-0.50429999999999997</v>
      </c>
      <c r="AF2404">
        <v>-0.69392626257735401</v>
      </c>
      <c r="AG2404">
        <v>-1.1084971725699999</v>
      </c>
      <c r="AH2404">
        <v>16.392517187088298</v>
      </c>
      <c r="AI2404">
        <v>93.865122925583407</v>
      </c>
      <c r="AJ2404">
        <v>92.423991503522501</v>
      </c>
      <c r="AK2404">
        <v>16.4446015265945</v>
      </c>
      <c r="AL2404">
        <v>68.702578291761796</v>
      </c>
      <c r="AM2404">
        <v>96.257399470659095</v>
      </c>
      <c r="AN2404">
        <v>0.99999998816713498</v>
      </c>
    </row>
    <row r="2405" spans="1:40" x14ac:dyDescent="0.25">
      <c r="A2405" t="str">
        <f>"20190304164136815"</f>
        <v>20190304164136815</v>
      </c>
      <c r="B2405" t="str">
        <f>"1551688896803390"</f>
        <v>1551688896803390</v>
      </c>
      <c r="C2405" t="s">
        <v>40</v>
      </c>
      <c r="D2405">
        <v>3.9731000000000001</v>
      </c>
      <c r="E2405">
        <v>0.53409960000000001</v>
      </c>
      <c r="F2405" t="s">
        <v>46</v>
      </c>
      <c r="G2405">
        <v>-330.92700000000002</v>
      </c>
      <c r="H2405" s="1">
        <v>-1.0189479999999999E-6</v>
      </c>
      <c r="I2405">
        <v>284.05439999999999</v>
      </c>
      <c r="J2405">
        <v>-314.48489999999998</v>
      </c>
      <c r="K2405">
        <v>1.108536</v>
      </c>
      <c r="L2405">
        <v>284.59160000000003</v>
      </c>
      <c r="M2405">
        <v>-0.99990389999999996</v>
      </c>
      <c r="N2405">
        <v>-7.4240249999999999E-3</v>
      </c>
      <c r="O2405">
        <v>1.171678E-2</v>
      </c>
      <c r="P2405">
        <v>-0.9299828</v>
      </c>
      <c r="Q2405">
        <v>0.35605999999999999</v>
      </c>
      <c r="R2405">
        <v>-9.1398729999999997E-2</v>
      </c>
      <c r="S2405">
        <v>-3.2993160000000001</v>
      </c>
      <c r="T2405">
        <v>-0.21821550000000001</v>
      </c>
      <c r="U2405">
        <v>-0.10501099999999999</v>
      </c>
      <c r="V2405">
        <v>-0.10189429999999999</v>
      </c>
      <c r="W2405">
        <v>0.36305690000000002</v>
      </c>
      <c r="X2405">
        <v>0.92617879999999997</v>
      </c>
      <c r="Y2405">
        <v>-4.339544E-2</v>
      </c>
      <c r="Z2405">
        <v>-2.28152E-3</v>
      </c>
      <c r="AA2405">
        <v>0.99905540000000004</v>
      </c>
      <c r="AB2405">
        <v>55</v>
      </c>
      <c r="AC2405">
        <v>-16.4420999999999</v>
      </c>
      <c r="AD2405">
        <v>-1.1085370189479999</v>
      </c>
      <c r="AE2405">
        <v>-0.53720000000004098</v>
      </c>
      <c r="AF2405">
        <v>-0.72651798242348398</v>
      </c>
      <c r="AG2405">
        <v>-1.1085370189479999</v>
      </c>
      <c r="AH2405">
        <v>16.360389299054798</v>
      </c>
      <c r="AI2405">
        <v>93.872481978964601</v>
      </c>
      <c r="AJ2405">
        <v>92.542670798570896</v>
      </c>
      <c r="AK2405">
        <v>16.413988568223999</v>
      </c>
      <c r="AL2405">
        <v>68.711949389477397</v>
      </c>
      <c r="AM2405">
        <v>96.278192839200202</v>
      </c>
      <c r="AN2405">
        <v>0.99999996528976898</v>
      </c>
    </row>
    <row r="2406" spans="1:40" x14ac:dyDescent="0.25">
      <c r="A2406" t="str">
        <f>"20190304164136828"</f>
        <v>20190304164136828</v>
      </c>
      <c r="B2406" t="str">
        <f>"1551688896822912"</f>
        <v>1551688896822912</v>
      </c>
      <c r="C2406" t="s">
        <v>40</v>
      </c>
      <c r="D2406">
        <v>4.0270089999999996</v>
      </c>
      <c r="E2406">
        <v>0.5341361</v>
      </c>
      <c r="F2406" t="s">
        <v>46</v>
      </c>
      <c r="G2406">
        <v>-331.57350000000002</v>
      </c>
      <c r="H2406" s="1">
        <v>-6.7339509999999999E-7</v>
      </c>
      <c r="I2406">
        <v>284.02010000000001</v>
      </c>
      <c r="J2406">
        <v>-314.82440000000003</v>
      </c>
      <c r="K2406">
        <v>1.1085739999999999</v>
      </c>
      <c r="L2406">
        <v>284.59559999999999</v>
      </c>
      <c r="M2406">
        <v>-0.99990369999999995</v>
      </c>
      <c r="N2406">
        <v>-7.4342969999999899E-3</v>
      </c>
      <c r="O2406">
        <v>1.1727980000000001E-2</v>
      </c>
      <c r="P2406">
        <v>-0.93014359999999996</v>
      </c>
      <c r="Q2406">
        <v>0.35567690000000002</v>
      </c>
      <c r="R2406">
        <v>-9.1253790000000001E-2</v>
      </c>
      <c r="S2406">
        <v>-3.2969059999999999</v>
      </c>
      <c r="T2406">
        <v>-0.2138697</v>
      </c>
      <c r="U2406">
        <v>-0.11026</v>
      </c>
      <c r="V2406">
        <v>-0.10179970000000001</v>
      </c>
      <c r="W2406">
        <v>0.36267389999999999</v>
      </c>
      <c r="X2406">
        <v>0.92633929999999998</v>
      </c>
      <c r="Y2406">
        <v>-4.501956E-2</v>
      </c>
      <c r="Z2406">
        <v>-2.2985789999999998E-3</v>
      </c>
      <c r="AA2406">
        <v>0.99898339999999997</v>
      </c>
      <c r="AB2406">
        <v>55</v>
      </c>
      <c r="AC2406">
        <v>-16.749099999999999</v>
      </c>
      <c r="AD2406">
        <v>-1.1085746733951001</v>
      </c>
      <c r="AE2406">
        <v>-0.57549999999997603</v>
      </c>
      <c r="AF2406">
        <v>-0.76853615128294095</v>
      </c>
      <c r="AG2406">
        <v>-1.1085746733951001</v>
      </c>
      <c r="AH2406">
        <v>16.6682652346969</v>
      </c>
      <c r="AI2406">
        <v>93.801003493466595</v>
      </c>
      <c r="AJ2406">
        <v>92.639909598516198</v>
      </c>
      <c r="AK2406">
        <v>16.7227584912456</v>
      </c>
      <c r="AL2406">
        <v>68.735499931031697</v>
      </c>
      <c r="AM2406">
        <v>96.271332448502307</v>
      </c>
      <c r="AN2406">
        <v>1.00000001769289</v>
      </c>
    </row>
    <row r="2407" spans="1:40" x14ac:dyDescent="0.25">
      <c r="A2407" t="str">
        <f>"20190304164136846"</f>
        <v>20190304164136846</v>
      </c>
      <c r="B2407" t="str">
        <f>"1551688896833647"</f>
        <v>1551688896833647</v>
      </c>
      <c r="C2407" t="s">
        <v>40</v>
      </c>
      <c r="D2407">
        <v>4.0305249999999999</v>
      </c>
      <c r="E2407">
        <v>0.53416669999999999</v>
      </c>
      <c r="F2407" t="s">
        <v>46</v>
      </c>
      <c r="G2407">
        <v>-331.45269999999999</v>
      </c>
      <c r="H2407" s="1">
        <v>-7.3824359999999995E-7</v>
      </c>
      <c r="I2407">
        <v>284.03320000000002</v>
      </c>
      <c r="J2407">
        <v>-315.25920000000002</v>
      </c>
      <c r="K2407">
        <v>1.108619</v>
      </c>
      <c r="L2407">
        <v>284.60070000000002</v>
      </c>
      <c r="M2407">
        <v>-0.9999034</v>
      </c>
      <c r="N2407">
        <v>-7.447436E-3</v>
      </c>
      <c r="O2407">
        <v>1.173688E-2</v>
      </c>
      <c r="P2407">
        <v>-0.93025860000000005</v>
      </c>
      <c r="Q2407">
        <v>0.35549160000000002</v>
      </c>
      <c r="R2407">
        <v>-9.0800679999999995E-2</v>
      </c>
      <c r="S2407">
        <v>-3.298492</v>
      </c>
      <c r="T2407">
        <v>-0.21990380000000001</v>
      </c>
      <c r="U2407">
        <v>-0.1115723</v>
      </c>
      <c r="V2407">
        <v>-0.1014021</v>
      </c>
      <c r="W2407">
        <v>0.3624887</v>
      </c>
      <c r="X2407">
        <v>0.92645540000000004</v>
      </c>
      <c r="Y2407">
        <v>-4.5401570000000002E-2</v>
      </c>
      <c r="Z2407">
        <v>-2.3747410000000001E-3</v>
      </c>
      <c r="AA2407">
        <v>0.99896600000000002</v>
      </c>
      <c r="AB2407">
        <v>55</v>
      </c>
      <c r="AC2407">
        <v>-16.193499999999901</v>
      </c>
      <c r="AD2407">
        <v>-1.1086197382436001</v>
      </c>
      <c r="AE2407">
        <v>-0.56749999999999501</v>
      </c>
      <c r="AF2407">
        <v>-0.75399778161826603</v>
      </c>
      <c r="AG2407">
        <v>-1.1086197382436001</v>
      </c>
      <c r="AH2407">
        <v>16.110309219660099</v>
      </c>
      <c r="AI2407">
        <v>93.932272517524098</v>
      </c>
      <c r="AJ2407">
        <v>92.679612687197306</v>
      </c>
      <c r="AK2407">
        <v>16.1660017794065</v>
      </c>
      <c r="AL2407">
        <v>68.746886081760707</v>
      </c>
      <c r="AM2407">
        <v>96.246255816391397</v>
      </c>
      <c r="AN2407">
        <v>1.0000000258506201</v>
      </c>
    </row>
    <row r="2408" spans="1:40" x14ac:dyDescent="0.25">
      <c r="A2408" t="str">
        <f>"20190304164136858"</f>
        <v>20190304164136858</v>
      </c>
      <c r="B2408" t="str">
        <f>"1551688896853166"</f>
        <v>1551688896853166</v>
      </c>
      <c r="C2408" t="s">
        <v>40</v>
      </c>
      <c r="D2408">
        <v>4.0392609999999998</v>
      </c>
      <c r="E2408">
        <v>0.53404949999999995</v>
      </c>
      <c r="F2408" t="s">
        <v>46</v>
      </c>
      <c r="G2408">
        <v>-331.77839999999998</v>
      </c>
      <c r="H2408" s="1">
        <v>-5.6525369999999998E-7</v>
      </c>
      <c r="I2408">
        <v>284.04079999999999</v>
      </c>
      <c r="J2408">
        <v>-315.57260000000002</v>
      </c>
      <c r="K2408">
        <v>1.1086510000000001</v>
      </c>
      <c r="L2408">
        <v>284.6044</v>
      </c>
      <c r="M2408">
        <v>-0.9999034</v>
      </c>
      <c r="N2408">
        <v>-7.4568840000000004E-3</v>
      </c>
      <c r="O2408">
        <v>1.1740270000000001E-2</v>
      </c>
      <c r="P2408">
        <v>-0.93017399999999995</v>
      </c>
      <c r="Q2408">
        <v>0.35572779999999998</v>
      </c>
      <c r="R2408">
        <v>-9.0742980000000001E-2</v>
      </c>
      <c r="S2408">
        <v>-3.2985839999999902</v>
      </c>
      <c r="T2408">
        <v>-0.2213714</v>
      </c>
      <c r="U2408">
        <v>-0.1118164</v>
      </c>
      <c r="V2408">
        <v>-0.1013766</v>
      </c>
      <c r="W2408">
        <v>0.36272460000000001</v>
      </c>
      <c r="X2408">
        <v>0.92636589999999996</v>
      </c>
      <c r="Y2408">
        <v>-4.5475939999999999E-2</v>
      </c>
      <c r="Z2408">
        <v>-2.393021E-3</v>
      </c>
      <c r="AA2408">
        <v>0.99896260000000003</v>
      </c>
      <c r="AB2408">
        <v>55</v>
      </c>
      <c r="AC2408">
        <v>-16.205799999999901</v>
      </c>
      <c r="AD2408">
        <v>-1.1086515652536999</v>
      </c>
      <c r="AE2408">
        <v>-0.56360000000000798</v>
      </c>
      <c r="AF2408">
        <v>-0.75031960797769204</v>
      </c>
      <c r="AG2408">
        <v>-1.1086515652536999</v>
      </c>
      <c r="AH2408">
        <v>16.122702368621901</v>
      </c>
      <c r="AI2408">
        <v>93.929419970333697</v>
      </c>
      <c r="AJ2408">
        <v>92.664513069288503</v>
      </c>
      <c r="AK2408">
        <v>16.178183441734799</v>
      </c>
      <c r="AL2408">
        <v>68.732383844205799</v>
      </c>
      <c r="AM2408">
        <v>96.245296014876104</v>
      </c>
      <c r="AN2408">
        <v>1.0000000655777599</v>
      </c>
    </row>
    <row r="2409" spans="1:40" x14ac:dyDescent="0.25">
      <c r="A2409" t="str">
        <f>"20190304164136870"</f>
        <v>20190304164136870</v>
      </c>
      <c r="B2409" t="str">
        <f>"1551688896862926"</f>
        <v>1551688896862926</v>
      </c>
      <c r="C2409" t="s">
        <v>40</v>
      </c>
      <c r="D2409">
        <v>4.0231500000000002</v>
      </c>
      <c r="E2409">
        <v>0.53417000000000003</v>
      </c>
      <c r="F2409" t="s">
        <v>46</v>
      </c>
      <c r="G2409">
        <v>-331.99</v>
      </c>
      <c r="H2409" s="1">
        <v>-4.5279319999999998E-7</v>
      </c>
      <c r="I2409">
        <v>284.04379999999998</v>
      </c>
      <c r="J2409">
        <v>-315.87169999999998</v>
      </c>
      <c r="K2409">
        <v>1.1086830000000001</v>
      </c>
      <c r="L2409">
        <v>284.608</v>
      </c>
      <c r="M2409">
        <v>-0.99990319999999999</v>
      </c>
      <c r="N2409">
        <v>-7.4658750000000003E-3</v>
      </c>
      <c r="O2409">
        <v>1.174213E-2</v>
      </c>
      <c r="P2409">
        <v>-0.93043260000000005</v>
      </c>
      <c r="Q2409">
        <v>0.35511079999999901</v>
      </c>
      <c r="R2409">
        <v>-9.0507779999999996E-2</v>
      </c>
      <c r="S2409">
        <v>-3.2993769999999998</v>
      </c>
      <c r="T2409">
        <v>-0.22280369999999999</v>
      </c>
      <c r="U2409">
        <v>-0.11267089999999901</v>
      </c>
      <c r="V2409">
        <v>-0.10117370000000001</v>
      </c>
      <c r="W2409">
        <v>0.36210989999999998</v>
      </c>
      <c r="X2409">
        <v>0.92662849999999997</v>
      </c>
      <c r="Y2409">
        <v>-4.5725799999999997E-2</v>
      </c>
      <c r="Z2409">
        <v>-2.416943E-3</v>
      </c>
      <c r="AA2409">
        <v>0.99895109999999998</v>
      </c>
      <c r="AB2409">
        <v>55</v>
      </c>
      <c r="AC2409">
        <v>-16.118300000000001</v>
      </c>
      <c r="AD2409">
        <v>-1.1086834527931999</v>
      </c>
      <c r="AE2409">
        <v>-0.56420000000002701</v>
      </c>
      <c r="AF2409">
        <v>-0.74988598508968696</v>
      </c>
      <c r="AG2409">
        <v>-1.1086834527931999</v>
      </c>
      <c r="AH2409">
        <v>16.0347917272506</v>
      </c>
      <c r="AI2409">
        <v>93.950966406618406</v>
      </c>
      <c r="AJ2409">
        <v>92.677553973934394</v>
      </c>
      <c r="AK2409">
        <v>16.090557905971899</v>
      </c>
      <c r="AL2409">
        <v>68.770171956841494</v>
      </c>
      <c r="AM2409">
        <v>96.231142396050004</v>
      </c>
      <c r="AN2409">
        <v>1.0000000371309701</v>
      </c>
    </row>
    <row r="2410" spans="1:40" x14ac:dyDescent="0.25">
      <c r="A2410" t="str">
        <f>"20190304164136883"</f>
        <v>20190304164136883</v>
      </c>
      <c r="B2410" t="str">
        <f>"1551688896873663"</f>
        <v>1551688896873663</v>
      </c>
      <c r="C2410" t="s">
        <v>40</v>
      </c>
      <c r="D2410">
        <v>4.024718</v>
      </c>
      <c r="E2410">
        <v>0.53417040000000005</v>
      </c>
      <c r="F2410" t="s">
        <v>46</v>
      </c>
      <c r="G2410">
        <v>-332.05950000000001</v>
      </c>
      <c r="H2410" s="1">
        <v>-4.1653599999999999E-7</v>
      </c>
      <c r="I2410">
        <v>284.06029999999998</v>
      </c>
      <c r="J2410">
        <v>-316.17939999999999</v>
      </c>
      <c r="K2410">
        <v>1.108711</v>
      </c>
      <c r="L2410">
        <v>284.61160000000001</v>
      </c>
      <c r="M2410">
        <v>-0.99990319999999999</v>
      </c>
      <c r="N2410">
        <v>-7.4751139999999997E-3</v>
      </c>
      <c r="O2410">
        <v>1.1742860000000001E-2</v>
      </c>
      <c r="P2410">
        <v>-0.93042709999999995</v>
      </c>
      <c r="Q2410">
        <v>0.35524529999999999</v>
      </c>
      <c r="R2410">
        <v>-9.0037610000000004E-2</v>
      </c>
      <c r="S2410">
        <v>-3.2996829999999999</v>
      </c>
      <c r="T2410">
        <v>-0.22599140000000001</v>
      </c>
      <c r="U2410">
        <v>-0.1116333</v>
      </c>
      <c r="V2410">
        <v>-0.1007311</v>
      </c>
      <c r="W2410">
        <v>0.36224509999999899</v>
      </c>
      <c r="X2410">
        <v>0.92662389999999994</v>
      </c>
      <c r="Y2410">
        <v>-4.5406620000000002E-2</v>
      </c>
      <c r="Z2410">
        <v>-2.4380909999999999E-3</v>
      </c>
      <c r="AA2410">
        <v>0.99896560000000001</v>
      </c>
      <c r="AB2410">
        <v>55</v>
      </c>
      <c r="AC2410">
        <v>-15.880100000000001</v>
      </c>
      <c r="AD2410">
        <v>-1.1087114165359999</v>
      </c>
      <c r="AE2410">
        <v>-0.55130000000002599</v>
      </c>
      <c r="AF2410">
        <v>-0.73417055968752998</v>
      </c>
      <c r="AG2410">
        <v>-1.1087114165359999</v>
      </c>
      <c r="AH2410">
        <v>15.7956278008126</v>
      </c>
      <c r="AI2410">
        <v>94.010748972600595</v>
      </c>
      <c r="AJ2410">
        <v>92.661155536564195</v>
      </c>
      <c r="AK2410">
        <v>15.8515016650686</v>
      </c>
      <c r="AL2410">
        <v>68.7618618522921</v>
      </c>
      <c r="AM2410">
        <v>96.204126895197902</v>
      </c>
      <c r="AN2410">
        <v>1.00000005951621</v>
      </c>
    </row>
    <row r="2411" spans="1:40" x14ac:dyDescent="0.25">
      <c r="A2411" t="str">
        <f>"20190304164136895"</f>
        <v>20190304164136895</v>
      </c>
      <c r="B2411" t="str">
        <f>"1551688896883423"</f>
        <v>1551688896883423</v>
      </c>
      <c r="C2411" t="s">
        <v>40</v>
      </c>
      <c r="D2411">
        <v>4.0476769999999904</v>
      </c>
      <c r="E2411">
        <v>0.53412740000000003</v>
      </c>
      <c r="F2411" t="s">
        <v>46</v>
      </c>
      <c r="G2411">
        <v>-332.35969999999998</v>
      </c>
      <c r="H2411" s="1">
        <v>-2.5721050000000003E-7</v>
      </c>
      <c r="I2411">
        <v>284.07100000000003</v>
      </c>
      <c r="J2411">
        <v>-316.48540000000003</v>
      </c>
      <c r="K2411">
        <v>1.1087370000000001</v>
      </c>
      <c r="L2411">
        <v>284.61520000000002</v>
      </c>
      <c r="M2411">
        <v>-0.99990310000000004</v>
      </c>
      <c r="N2411">
        <v>-7.48423199999999E-3</v>
      </c>
      <c r="O2411">
        <v>1.1742300000000001E-2</v>
      </c>
      <c r="P2411">
        <v>-0.93049809999999999</v>
      </c>
      <c r="Q2411">
        <v>0.35524029999999901</v>
      </c>
      <c r="R2411">
        <v>-8.9318140000000004E-2</v>
      </c>
      <c r="S2411">
        <v>-3.3000180000000001</v>
      </c>
      <c r="T2411">
        <v>-0.22612479999999999</v>
      </c>
      <c r="U2411">
        <v>-0.11026</v>
      </c>
      <c r="V2411">
        <v>-0.1000366</v>
      </c>
      <c r="W2411">
        <v>0.36224200000000001</v>
      </c>
      <c r="X2411">
        <v>0.92670030000000003</v>
      </c>
      <c r="Y2411">
        <v>-4.4988319999999998E-2</v>
      </c>
      <c r="Z2411">
        <v>-2.423442E-3</v>
      </c>
      <c r="AA2411">
        <v>0.9989846</v>
      </c>
      <c r="AB2411">
        <v>55</v>
      </c>
      <c r="AC2411">
        <v>-15.8742999999999</v>
      </c>
      <c r="AD2411">
        <v>-1.1087372572104901</v>
      </c>
      <c r="AE2411">
        <v>-0.54420000000004598</v>
      </c>
      <c r="AF2411">
        <v>-0.727025998400742</v>
      </c>
      <c r="AG2411">
        <v>-1.1087372572104901</v>
      </c>
      <c r="AH2411">
        <v>15.7898779033581</v>
      </c>
      <c r="AI2411">
        <v>94.012378337727299</v>
      </c>
      <c r="AJ2411">
        <v>92.636253550517694</v>
      </c>
      <c r="AK2411">
        <v>15.845444433995301</v>
      </c>
      <c r="AL2411">
        <v>68.762051463732902</v>
      </c>
      <c r="AM2411">
        <v>96.161178047315303</v>
      </c>
      <c r="AN2411">
        <v>1.0000000169618199</v>
      </c>
    </row>
    <row r="2412" spans="1:40" x14ac:dyDescent="0.25">
      <c r="A2412" t="str">
        <f>"20190304164136907"</f>
        <v>20190304164136907</v>
      </c>
      <c r="B2412" t="str">
        <f>"1551688896903918"</f>
        <v>1551688896903918</v>
      </c>
      <c r="C2412" t="s">
        <v>40</v>
      </c>
      <c r="D2412">
        <v>3.9919509999999998</v>
      </c>
      <c r="E2412">
        <v>0.53411600000000004</v>
      </c>
      <c r="F2412" t="s">
        <v>46</v>
      </c>
      <c r="G2412">
        <v>-332.64190000000002</v>
      </c>
      <c r="H2412" s="1">
        <v>-1.075383E-7</v>
      </c>
      <c r="I2412">
        <v>284.08139999999997</v>
      </c>
      <c r="J2412">
        <v>-316.78550000000001</v>
      </c>
      <c r="K2412">
        <v>1.10876</v>
      </c>
      <c r="L2412">
        <v>284.61880000000002</v>
      </c>
      <c r="M2412">
        <v>-0.99990299999999999</v>
      </c>
      <c r="N2412">
        <v>-7.4931529999999998E-3</v>
      </c>
      <c r="O2412">
        <v>1.174068E-2</v>
      </c>
      <c r="P2412">
        <v>-0.93049400000000004</v>
      </c>
      <c r="Q2412">
        <v>0.35556300000000002</v>
      </c>
      <c r="R2412">
        <v>-8.8069359999999999E-2</v>
      </c>
      <c r="S2412">
        <v>-3.300049</v>
      </c>
      <c r="T2412">
        <v>-0.22646520000000001</v>
      </c>
      <c r="U2412">
        <v>-0.10903930000000001</v>
      </c>
      <c r="V2412">
        <v>-9.8807930000000002E-2</v>
      </c>
      <c r="W2412">
        <v>0.36256630000000001</v>
      </c>
      <c r="X2412">
        <v>0.92670520000000001</v>
      </c>
      <c r="Y2412">
        <v>-4.4617829999999997E-2</v>
      </c>
      <c r="Z2412">
        <v>-2.4128660000000001E-3</v>
      </c>
      <c r="AA2412">
        <v>0.99900120000000003</v>
      </c>
      <c r="AB2412">
        <v>55</v>
      </c>
      <c r="AC2412">
        <v>-15.856400000000001</v>
      </c>
      <c r="AD2412">
        <v>-1.1087601075383</v>
      </c>
      <c r="AE2412">
        <v>-0.53740000000004695</v>
      </c>
      <c r="AF2412">
        <v>-0.72001660840844395</v>
      </c>
      <c r="AG2412">
        <v>-1.1087601075383</v>
      </c>
      <c r="AH2412">
        <v>15.7719685946658</v>
      </c>
      <c r="AI2412">
        <v>94.017073895878994</v>
      </c>
      <c r="AJ2412">
        <v>92.613832866532803</v>
      </c>
      <c r="AK2412">
        <v>15.827279180060501</v>
      </c>
      <c r="AL2412">
        <v>68.742113220146194</v>
      </c>
      <c r="AM2412">
        <v>96.086044681190103</v>
      </c>
      <c r="AN2412">
        <v>0.99999992831680495</v>
      </c>
    </row>
    <row r="2413" spans="1:40" x14ac:dyDescent="0.25">
      <c r="A2413" t="str">
        <f>"20190304164136921"</f>
        <v>20190304164136921</v>
      </c>
      <c r="B2413" t="str">
        <f>"1551688896913678"</f>
        <v>1551688896913678</v>
      </c>
      <c r="C2413" t="s">
        <v>40</v>
      </c>
      <c r="D2413">
        <v>4.0458249999999998</v>
      </c>
      <c r="E2413">
        <v>0.53412209999999904</v>
      </c>
      <c r="F2413" t="s">
        <v>46</v>
      </c>
      <c r="G2413">
        <v>-332.99239999999998</v>
      </c>
      <c r="H2413" s="1">
        <v>7.8279899999999899E-8</v>
      </c>
      <c r="I2413">
        <v>284.09789999999998</v>
      </c>
      <c r="J2413">
        <v>-317.13299999999998</v>
      </c>
      <c r="K2413">
        <v>1.108787</v>
      </c>
      <c r="L2413">
        <v>284.62290000000002</v>
      </c>
      <c r="M2413">
        <v>-0.99990310000000004</v>
      </c>
      <c r="N2413">
        <v>-7.5034530000000002E-3</v>
      </c>
      <c r="O2413">
        <v>1.1737910000000001E-2</v>
      </c>
      <c r="P2413">
        <v>-0.93062049999999996</v>
      </c>
      <c r="Q2413">
        <v>0.35555540000000002</v>
      </c>
      <c r="R2413">
        <v>-8.6754109999999995E-2</v>
      </c>
      <c r="S2413">
        <v>-3.300354</v>
      </c>
      <c r="T2413">
        <v>-0.22578609999999999</v>
      </c>
      <c r="U2413">
        <v>-0.1060791</v>
      </c>
      <c r="V2413">
        <v>-9.7515470000000007E-2</v>
      </c>
      <c r="W2413">
        <v>0.36256240000000001</v>
      </c>
      <c r="X2413">
        <v>0.92684370000000005</v>
      </c>
      <c r="Y2413">
        <v>-4.3720059999999998E-2</v>
      </c>
      <c r="Z2413">
        <v>-2.3715989999999998E-3</v>
      </c>
      <c r="AA2413">
        <v>0.99904099999999996</v>
      </c>
      <c r="AB2413">
        <v>56</v>
      </c>
      <c r="AC2413">
        <v>-15.8593999999999</v>
      </c>
      <c r="AD2413">
        <v>-1.1087869217201001</v>
      </c>
      <c r="AE2413">
        <v>-0.525000000000034</v>
      </c>
      <c r="AF2413">
        <v>-0.70767001657085105</v>
      </c>
      <c r="AG2413">
        <v>-1.1087869217201001</v>
      </c>
      <c r="AH2413">
        <v>15.7751219034435</v>
      </c>
      <c r="AI2413">
        <v>94.016513514172203</v>
      </c>
      <c r="AJ2413">
        <v>92.568559505829597</v>
      </c>
      <c r="AK2413">
        <v>15.829866593203899</v>
      </c>
      <c r="AL2413">
        <v>68.742354641477306</v>
      </c>
      <c r="AM2413">
        <v>96.006130816578704</v>
      </c>
      <c r="AN2413">
        <v>1.00000000250638</v>
      </c>
    </row>
    <row r="2414" spans="1:40" x14ac:dyDescent="0.25">
      <c r="A2414" t="str">
        <f>"20190304164136935"</f>
        <v>20190304164136935</v>
      </c>
      <c r="B2414" t="str">
        <f>"1551688896923438"</f>
        <v>1551688896923438</v>
      </c>
      <c r="C2414" t="s">
        <v>40</v>
      </c>
      <c r="D2414">
        <v>3.9716559999999999</v>
      </c>
      <c r="E2414">
        <v>0.534211199999999</v>
      </c>
      <c r="F2414" t="s">
        <v>46</v>
      </c>
      <c r="G2414">
        <v>-333.3186</v>
      </c>
      <c r="H2414" s="1">
        <v>2.5086779999999998E-7</v>
      </c>
      <c r="I2414">
        <v>284.12049999999999</v>
      </c>
      <c r="J2414">
        <v>-317.47050000000002</v>
      </c>
      <c r="K2414">
        <v>1.108814</v>
      </c>
      <c r="L2414">
        <v>284.62689999999998</v>
      </c>
      <c r="M2414">
        <v>-0.99990310000000004</v>
      </c>
      <c r="N2414">
        <v>-7.5134360000000001E-3</v>
      </c>
      <c r="O2414">
        <v>1.1733499999999999E-2</v>
      </c>
      <c r="P2414">
        <v>-0.93091100000000004</v>
      </c>
      <c r="Q2414">
        <v>0.35521940000000002</v>
      </c>
      <c r="R2414">
        <v>-8.4995109999999999E-2</v>
      </c>
      <c r="S2414">
        <v>-3.3005070000000001</v>
      </c>
      <c r="T2414">
        <v>-0.2261002</v>
      </c>
      <c r="U2414">
        <v>-0.1024475</v>
      </c>
      <c r="V2414">
        <v>-9.5776169999999994E-2</v>
      </c>
      <c r="W2414">
        <v>0.36223169999999999</v>
      </c>
      <c r="X2414">
        <v>0.92715429999999999</v>
      </c>
      <c r="Y2414">
        <v>-4.2618490000000002E-2</v>
      </c>
      <c r="Z2414">
        <v>-2.332724E-3</v>
      </c>
      <c r="AA2414">
        <v>0.99908869999999905</v>
      </c>
      <c r="AB2414">
        <v>56</v>
      </c>
      <c r="AC2414">
        <v>-15.848099999999899</v>
      </c>
      <c r="AD2414">
        <v>-1.1088137491322001</v>
      </c>
      <c r="AE2414">
        <v>-0.50639999999998497</v>
      </c>
      <c r="AF2414">
        <v>-0.68895496342851004</v>
      </c>
      <c r="AG2414">
        <v>-1.1088137491322001</v>
      </c>
      <c r="AH2414">
        <v>15.7639791810569</v>
      </c>
      <c r="AI2414">
        <v>94.019644799081206</v>
      </c>
      <c r="AJ2414">
        <v>92.502484119969395</v>
      </c>
      <c r="AK2414">
        <v>15.8179381239368</v>
      </c>
      <c r="AL2414">
        <v>68.762683956256495</v>
      </c>
      <c r="AM2414">
        <v>95.897804501726895</v>
      </c>
      <c r="AN2414">
        <v>0.99999998761662401</v>
      </c>
    </row>
    <row r="2415" spans="1:40" x14ac:dyDescent="0.25">
      <c r="A2415" t="str">
        <f>"20190304164136949"</f>
        <v>20190304164136949</v>
      </c>
      <c r="B2415" t="str">
        <f>"1551688896943934"</f>
        <v>1551688896943934</v>
      </c>
      <c r="C2415" t="s">
        <v>40</v>
      </c>
      <c r="D2415">
        <v>4.0254659999999998</v>
      </c>
      <c r="E2415">
        <v>0.53421960000000002</v>
      </c>
      <c r="F2415" t="s">
        <v>46</v>
      </c>
      <c r="G2415">
        <v>-333.6671</v>
      </c>
      <c r="H2415" s="1">
        <v>4.3473879999999998E-7</v>
      </c>
      <c r="I2415">
        <v>284.15719999999999</v>
      </c>
      <c r="J2415">
        <v>-317.83319999999998</v>
      </c>
      <c r="K2415">
        <v>1.108835</v>
      </c>
      <c r="L2415">
        <v>284.63119999999998</v>
      </c>
      <c r="M2415">
        <v>-0.99990299999999999</v>
      </c>
      <c r="N2415">
        <v>-7.5241550000000003E-3</v>
      </c>
      <c r="O2415">
        <v>1.1727370000000001E-2</v>
      </c>
      <c r="P2415">
        <v>-0.93110839999999995</v>
      </c>
      <c r="Q2415">
        <v>0.35481639999999998</v>
      </c>
      <c r="R2415">
        <v>-8.4514259999999994E-2</v>
      </c>
      <c r="S2415">
        <v>-3.3000790000000002</v>
      </c>
      <c r="T2415">
        <v>-0.22592200000000001</v>
      </c>
      <c r="U2415">
        <v>-9.5703129999999997E-2</v>
      </c>
      <c r="V2415">
        <v>-9.5312220000000003E-2</v>
      </c>
      <c r="W2415">
        <v>0.36183480000000001</v>
      </c>
      <c r="X2415">
        <v>0.92735710000000005</v>
      </c>
      <c r="Y2415">
        <v>-4.0581739999999998E-2</v>
      </c>
      <c r="Z2415">
        <v>-2.2537310000000001E-3</v>
      </c>
      <c r="AA2415">
        <v>0.99917370000000005</v>
      </c>
      <c r="AB2415">
        <v>56</v>
      </c>
      <c r="AC2415">
        <v>-15.8339</v>
      </c>
      <c r="AD2415">
        <v>-1.1088345652611999</v>
      </c>
      <c r="AE2415">
        <v>-0.47399999999998899</v>
      </c>
      <c r="AF2415">
        <v>-0.65644626429167496</v>
      </c>
      <c r="AG2415">
        <v>-1.1088345652611999</v>
      </c>
      <c r="AH2415">
        <v>15.7500816091445</v>
      </c>
      <c r="AI2415">
        <v>94.023601430155907</v>
      </c>
      <c r="AJ2415">
        <v>92.386644416042401</v>
      </c>
      <c r="AK2415">
        <v>15.802705669781099</v>
      </c>
      <c r="AL2415">
        <v>68.7870801592845</v>
      </c>
      <c r="AM2415">
        <v>95.868160238354307</v>
      </c>
      <c r="AN2415">
        <v>1.00000001634638</v>
      </c>
    </row>
    <row r="2416" spans="1:40" x14ac:dyDescent="0.25">
      <c r="A2416" t="str">
        <f>"20190304164136965"</f>
        <v>20190304164136965</v>
      </c>
      <c r="B2416" t="str">
        <f>"1551688896953695"</f>
        <v>1551688896953695</v>
      </c>
      <c r="C2416" t="s">
        <v>40</v>
      </c>
      <c r="D2416">
        <v>4.7538010000000002</v>
      </c>
      <c r="E2416">
        <v>0.53418279999999996</v>
      </c>
      <c r="F2416" t="s">
        <v>46</v>
      </c>
      <c r="G2416">
        <v>-334.18799999999999</v>
      </c>
      <c r="H2416" s="1">
        <v>7.1141190000000005E-7</v>
      </c>
      <c r="I2416">
        <v>284.16829999999999</v>
      </c>
      <c r="J2416">
        <v>-318.21800000000002</v>
      </c>
      <c r="K2416">
        <v>1.108854</v>
      </c>
      <c r="L2416">
        <v>284.63569999999999</v>
      </c>
      <c r="M2416">
        <v>-0.99990310000000004</v>
      </c>
      <c r="N2416">
        <v>-7.5355200000000004E-3</v>
      </c>
      <c r="O2416">
        <v>1.171927E-2</v>
      </c>
      <c r="P2416">
        <v>-0.93127349999999998</v>
      </c>
      <c r="Q2416">
        <v>0.35458010000000001</v>
      </c>
      <c r="R2416">
        <v>-8.3682790000000007E-2</v>
      </c>
      <c r="S2416">
        <v>-3.2987060000000001</v>
      </c>
      <c r="T2416">
        <v>-0.22364819999999999</v>
      </c>
      <c r="U2416">
        <v>-9.3353270000000002E-2</v>
      </c>
      <c r="V2416">
        <v>-9.4493869999999994E-2</v>
      </c>
      <c r="W2416">
        <v>0.36160500000000001</v>
      </c>
      <c r="X2416">
        <v>0.92753050000000004</v>
      </c>
      <c r="Y2416">
        <v>-3.9878700000000003E-2</v>
      </c>
      <c r="Z2416">
        <v>-2.2058199999999998E-3</v>
      </c>
      <c r="AA2416">
        <v>0.99920209999999998</v>
      </c>
      <c r="AB2416">
        <v>56</v>
      </c>
      <c r="AC2416">
        <v>-15.97</v>
      </c>
      <c r="AD2416">
        <v>-1.1088532885881</v>
      </c>
      <c r="AE2416">
        <v>-0.46739999999999698</v>
      </c>
      <c r="AF2416">
        <v>-0.65139224188437395</v>
      </c>
      <c r="AG2416">
        <v>-1.1088532885881</v>
      </c>
      <c r="AH2416">
        <v>15.886900079547001</v>
      </c>
      <c r="AI2416">
        <v>93.9892406499971</v>
      </c>
      <c r="AJ2416">
        <v>92.347917623486296</v>
      </c>
      <c r="AK2416">
        <v>15.938866383965699</v>
      </c>
      <c r="AL2416">
        <v>68.801203736534603</v>
      </c>
      <c r="AM2416">
        <v>95.817043153677005</v>
      </c>
      <c r="AN2416">
        <v>1.00000004796141</v>
      </c>
    </row>
    <row r="2417" spans="1:40" x14ac:dyDescent="0.25">
      <c r="A2417" t="str">
        <f>"20190304164136981"</f>
        <v>20190304164136981</v>
      </c>
      <c r="B2417" t="str">
        <f>"1551688896973215"</f>
        <v>1551688896973215</v>
      </c>
      <c r="C2417" t="s">
        <v>40</v>
      </c>
      <c r="D2417">
        <v>4.0381039999999997</v>
      </c>
      <c r="E2417">
        <v>0.53402240000000001</v>
      </c>
      <c r="F2417" t="s">
        <v>46</v>
      </c>
      <c r="G2417">
        <v>-334.62419999999997</v>
      </c>
      <c r="H2417" s="1">
        <v>9.4278769999999996E-7</v>
      </c>
      <c r="I2417">
        <v>284.1866</v>
      </c>
      <c r="J2417">
        <v>-318.62599999999998</v>
      </c>
      <c r="K2417">
        <v>1.1088659999999999</v>
      </c>
      <c r="L2417">
        <v>284.6404</v>
      </c>
      <c r="M2417">
        <v>-0.99990310000000004</v>
      </c>
      <c r="N2417">
        <v>-7.5475689999999996E-3</v>
      </c>
      <c r="O2417">
        <v>1.1708980000000001E-2</v>
      </c>
      <c r="P2417">
        <v>-0.93169500000000005</v>
      </c>
      <c r="Q2417">
        <v>0.35371639999999999</v>
      </c>
      <c r="R2417">
        <v>-8.2640420000000006E-2</v>
      </c>
      <c r="S2417">
        <v>-3.2981259999999999</v>
      </c>
      <c r="T2417">
        <v>-0.22291059999999999</v>
      </c>
      <c r="U2417">
        <v>-9.0271000000000004E-2</v>
      </c>
      <c r="V2417">
        <v>-9.3465049999999994E-2</v>
      </c>
      <c r="W2417">
        <v>0.36075119999999999</v>
      </c>
      <c r="X2417">
        <v>0.92796710000000004</v>
      </c>
      <c r="Y2417">
        <v>-3.8943400000000003E-2</v>
      </c>
      <c r="Z2417">
        <v>-2.1635460000000001E-3</v>
      </c>
      <c r="AA2417">
        <v>0.99923910000000005</v>
      </c>
      <c r="AB2417">
        <v>56</v>
      </c>
      <c r="AC2417">
        <v>-15.998199999999899</v>
      </c>
      <c r="AD2417">
        <v>-1.1088650572123</v>
      </c>
      <c r="AE2417">
        <v>-0.45380000000000098</v>
      </c>
      <c r="AF2417">
        <v>-0.63803406577440802</v>
      </c>
      <c r="AG2417">
        <v>-1.1088650572123</v>
      </c>
      <c r="AH2417">
        <v>15.9153913274566</v>
      </c>
      <c r="AI2417">
        <v>93.982311011172996</v>
      </c>
      <c r="AJ2417">
        <v>92.295708186095894</v>
      </c>
      <c r="AK2417">
        <v>15.9667263485749</v>
      </c>
      <c r="AL2417">
        <v>68.853663965292597</v>
      </c>
      <c r="AM2417">
        <v>95.751447185265306</v>
      </c>
      <c r="AN2417">
        <v>1.0000000412776699</v>
      </c>
    </row>
    <row r="2418" spans="1:40" x14ac:dyDescent="0.25">
      <c r="A2418" t="str">
        <f>"20190304164136996"</f>
        <v>20190304164136996</v>
      </c>
      <c r="B2418" t="str">
        <f>"1551688896983951"</f>
        <v>1551688896983951</v>
      </c>
      <c r="C2418" t="s">
        <v>40</v>
      </c>
      <c r="D2418">
        <v>4.0522030000000004</v>
      </c>
      <c r="E2418">
        <v>0.53395409999999999</v>
      </c>
      <c r="F2418" t="s">
        <v>46</v>
      </c>
      <c r="G2418">
        <v>-334.74880000000002</v>
      </c>
      <c r="H2418" s="1">
        <v>1.008063E-6</v>
      </c>
      <c r="I2418">
        <v>284.2099</v>
      </c>
      <c r="J2418">
        <v>-318.99209999999999</v>
      </c>
      <c r="K2418">
        <v>1.1088769999999999</v>
      </c>
      <c r="L2418">
        <v>284.6447</v>
      </c>
      <c r="M2418">
        <v>-0.99990310000000004</v>
      </c>
      <c r="N2418">
        <v>-7.5579669999999996E-3</v>
      </c>
      <c r="O2418">
        <v>1.169778E-2</v>
      </c>
      <c r="P2418">
        <v>-0.93193040000000005</v>
      </c>
      <c r="Q2418">
        <v>0.35318270000000002</v>
      </c>
      <c r="R2418">
        <v>-8.2267019999999996E-2</v>
      </c>
      <c r="S2418">
        <v>-3.2982480000000001</v>
      </c>
      <c r="T2418">
        <v>-0.22684090000000001</v>
      </c>
      <c r="U2418">
        <v>-8.8073730000000003E-2</v>
      </c>
      <c r="V2418">
        <v>-9.3096810000000002E-2</v>
      </c>
      <c r="W2418">
        <v>0.36022549999999998</v>
      </c>
      <c r="X2418">
        <v>0.92820829999999999</v>
      </c>
      <c r="Y2418">
        <v>-3.826363E-2</v>
      </c>
      <c r="Z2418">
        <v>-2.1739939999999998E-3</v>
      </c>
      <c r="AA2418">
        <v>0.99926530000000002</v>
      </c>
      <c r="AB2418">
        <v>56</v>
      </c>
      <c r="AC2418">
        <v>-15.7567</v>
      </c>
      <c r="AD2418">
        <v>-1.1088759919369999</v>
      </c>
      <c r="AE2418">
        <v>-0.43479999999999502</v>
      </c>
      <c r="AF2418">
        <v>-0.61604518854756996</v>
      </c>
      <c r="AG2418">
        <v>-1.1088759919369999</v>
      </c>
      <c r="AH2418">
        <v>15.672972214536699</v>
      </c>
      <c r="AI2418">
        <v>94.043868773701007</v>
      </c>
      <c r="AJ2418">
        <v>92.250921398293499</v>
      </c>
      <c r="AK2418">
        <v>15.724222577840401</v>
      </c>
      <c r="AL2418">
        <v>68.885955437080696</v>
      </c>
      <c r="AM2418">
        <v>95.727459468699394</v>
      </c>
      <c r="AN2418">
        <v>1.0000000375356499</v>
      </c>
    </row>
    <row r="2419" spans="1:40" x14ac:dyDescent="0.25">
      <c r="A2419" t="str">
        <f>"20190304164137009"</f>
        <v>20190304164137009</v>
      </c>
      <c r="B2419" t="str">
        <f>"1551688897003470"</f>
        <v>1551688897003470</v>
      </c>
      <c r="C2419" t="s">
        <v>40</v>
      </c>
      <c r="D2419">
        <v>4.0124000000000004</v>
      </c>
      <c r="E2419">
        <v>0.53386940000000005</v>
      </c>
      <c r="F2419" t="s">
        <v>46</v>
      </c>
      <c r="G2419">
        <v>-334.94389999999999</v>
      </c>
      <c r="H2419" s="1">
        <v>1.1113700000000001E-6</v>
      </c>
      <c r="I2419">
        <v>284.2217</v>
      </c>
      <c r="J2419">
        <v>-319.3159</v>
      </c>
      <c r="K2419">
        <v>1.1088880000000001</v>
      </c>
      <c r="L2419">
        <v>284.64850000000001</v>
      </c>
      <c r="M2419">
        <v>-0.99990310000000004</v>
      </c>
      <c r="N2419">
        <v>-7.5672909999999899E-3</v>
      </c>
      <c r="O2419">
        <v>1.1687090000000001E-2</v>
      </c>
      <c r="P2419">
        <v>-0.93211849999999996</v>
      </c>
      <c r="Q2419">
        <v>0.35276729999999901</v>
      </c>
      <c r="R2419">
        <v>-8.1918030000000003E-2</v>
      </c>
      <c r="S2419">
        <v>-3.2983090000000002</v>
      </c>
      <c r="T2419">
        <v>-0.2292787</v>
      </c>
      <c r="U2419">
        <v>-8.7463379999999993E-2</v>
      </c>
      <c r="V2419">
        <v>-9.2750390000000002E-2</v>
      </c>
      <c r="W2419">
        <v>0.35981760000000002</v>
      </c>
      <c r="X2419">
        <v>0.92840120000000004</v>
      </c>
      <c r="Y2419">
        <v>-3.8065620000000001E-2</v>
      </c>
      <c r="Z2419">
        <v>-2.188452E-3</v>
      </c>
      <c r="AA2419">
        <v>0.99927279999999996</v>
      </c>
      <c r="AB2419">
        <v>56</v>
      </c>
      <c r="AC2419">
        <v>-15.627999999999901</v>
      </c>
      <c r="AD2419">
        <v>-1.1088868886299901</v>
      </c>
      <c r="AE2419">
        <v>-0.426800000000014</v>
      </c>
      <c r="AF2419">
        <v>-0.60637133506970298</v>
      </c>
      <c r="AG2419">
        <v>-1.1088868886299901</v>
      </c>
      <c r="AH2419">
        <v>15.543745701553201</v>
      </c>
      <c r="AI2419">
        <v>94.077462378620396</v>
      </c>
      <c r="AJ2419">
        <v>92.234011736772104</v>
      </c>
      <c r="AK2419">
        <v>15.5950423777021</v>
      </c>
      <c r="AL2419">
        <v>68.911006776103903</v>
      </c>
      <c r="AM2419">
        <v>95.7051102745815</v>
      </c>
      <c r="AN2419">
        <v>1.0000000641381701</v>
      </c>
    </row>
    <row r="2420" spans="1:40" x14ac:dyDescent="0.25">
      <c r="A2420" t="str">
        <f>"20190304164137025"</f>
        <v>20190304164137025</v>
      </c>
      <c r="B2420" t="str">
        <f>"1551688897013231"</f>
        <v>1551688897013231</v>
      </c>
      <c r="C2420" t="s">
        <v>40</v>
      </c>
      <c r="D2420">
        <v>4.0320519999999904</v>
      </c>
      <c r="E2420">
        <v>0.53378780000000003</v>
      </c>
      <c r="F2420" t="s">
        <v>46</v>
      </c>
      <c r="G2420">
        <v>-335.27839999999998</v>
      </c>
      <c r="H2420" s="1">
        <v>1.289145E-6</v>
      </c>
      <c r="I2420">
        <v>284.226</v>
      </c>
      <c r="J2420">
        <v>-319.7106</v>
      </c>
      <c r="K2420">
        <v>1.1088910000000001</v>
      </c>
      <c r="L2420">
        <v>284.65309999999999</v>
      </c>
      <c r="M2420">
        <v>-0.99990310000000004</v>
      </c>
      <c r="N2420">
        <v>-7.5788399999999999E-3</v>
      </c>
      <c r="O2420">
        <v>1.167268E-2</v>
      </c>
      <c r="P2420">
        <v>-0.9323091</v>
      </c>
      <c r="Q2420">
        <v>0.35232459999999999</v>
      </c>
      <c r="R2420">
        <v>-8.1653539999999997E-2</v>
      </c>
      <c r="S2420">
        <v>-3.2974549999999998</v>
      </c>
      <c r="T2420">
        <v>-0.22906950000000001</v>
      </c>
      <c r="U2420">
        <v>-8.7280269999999993E-2</v>
      </c>
      <c r="V2420">
        <v>-9.2486269999999995E-2</v>
      </c>
      <c r="W2420">
        <v>0.35938419999999999</v>
      </c>
      <c r="X2420">
        <v>0.92859539999999996</v>
      </c>
      <c r="Y2420">
        <v>-3.800299E-2</v>
      </c>
      <c r="Z2420">
        <v>-2.183847E-3</v>
      </c>
      <c r="AA2420">
        <v>0.99927529999999998</v>
      </c>
      <c r="AB2420">
        <v>56</v>
      </c>
      <c r="AC2420">
        <v>-15.567799999999901</v>
      </c>
      <c r="AD2420">
        <v>-1.108889710855</v>
      </c>
      <c r="AE2420">
        <v>-0.42709999999999498</v>
      </c>
      <c r="AF2420">
        <v>-0.60572314871390998</v>
      </c>
      <c r="AG2420">
        <v>-1.108889710855</v>
      </c>
      <c r="AH2420">
        <v>15.483255941166901</v>
      </c>
      <c r="AI2420">
        <v>94.093330898766894</v>
      </c>
      <c r="AJ2420">
        <v>92.240335702608306</v>
      </c>
      <c r="AK2420">
        <v>15.534727273544499</v>
      </c>
      <c r="AL2420">
        <v>68.937618976806107</v>
      </c>
      <c r="AM2420">
        <v>95.6877889249932</v>
      </c>
      <c r="AN2420">
        <v>1.0000000651246499</v>
      </c>
    </row>
    <row r="2421" spans="1:40" x14ac:dyDescent="0.25">
      <c r="A2421" t="str">
        <f>"20190304164137037"</f>
        <v>20190304164137037</v>
      </c>
      <c r="B2421" t="str">
        <f>"1551688897033118"</f>
        <v>1551688897033118</v>
      </c>
      <c r="C2421" t="s">
        <v>40</v>
      </c>
      <c r="D2421">
        <v>4.0237350000000003</v>
      </c>
      <c r="E2421">
        <v>0.53378970000000003</v>
      </c>
      <c r="F2421" t="s">
        <v>46</v>
      </c>
      <c r="G2421">
        <v>-335.61320000000001</v>
      </c>
      <c r="H2421" s="1">
        <v>1.466918E-6</v>
      </c>
      <c r="I2421">
        <v>284.23559999999998</v>
      </c>
      <c r="J2421">
        <v>-320.05790000000002</v>
      </c>
      <c r="K2421">
        <v>1.108892</v>
      </c>
      <c r="L2421">
        <v>284.65719999999999</v>
      </c>
      <c r="M2421">
        <v>-0.99990330000000005</v>
      </c>
      <c r="N2421">
        <v>-7.5891930000000002E-3</v>
      </c>
      <c r="O2421">
        <v>1.165831E-2</v>
      </c>
      <c r="P2421">
        <v>-0.9325078</v>
      </c>
      <c r="Q2421">
        <v>0.35185369999999999</v>
      </c>
      <c r="R2421">
        <v>-8.1415039999999994E-2</v>
      </c>
      <c r="S2421">
        <v>-3.2970890000000002</v>
      </c>
      <c r="T2421">
        <v>-0.2299069</v>
      </c>
      <c r="U2421">
        <v>-8.6578370000000002E-2</v>
      </c>
      <c r="V2421">
        <v>-9.2244800000000002E-2</v>
      </c>
      <c r="W2421">
        <v>0.35892220000000002</v>
      </c>
      <c r="X2421">
        <v>0.92879800000000001</v>
      </c>
      <c r="Y2421">
        <v>-3.7778689999999997E-2</v>
      </c>
      <c r="Z2421">
        <v>-2.1823739999999999E-3</v>
      </c>
      <c r="AA2421">
        <v>0.9992837</v>
      </c>
      <c r="AB2421">
        <v>56</v>
      </c>
      <c r="AC2421">
        <v>-15.5552999999999</v>
      </c>
      <c r="AD2421">
        <v>-1.108890533082</v>
      </c>
      <c r="AE2421">
        <v>-0.42160000000001202</v>
      </c>
      <c r="AF2421">
        <v>-0.59987881996192105</v>
      </c>
      <c r="AG2421">
        <v>-1.108890533082</v>
      </c>
      <c r="AH2421">
        <v>15.470765342493999</v>
      </c>
      <c r="AI2421">
        <v>94.0966824666625</v>
      </c>
      <c r="AJ2421">
        <v>92.2205310469528</v>
      </c>
      <c r="AK2421">
        <v>15.5220511884065</v>
      </c>
      <c r="AL2421">
        <v>68.965980322814104</v>
      </c>
      <c r="AM2421">
        <v>95.671806418408295</v>
      </c>
      <c r="AN2421">
        <v>0.99999998679194002</v>
      </c>
    </row>
    <row r="2422" spans="1:40" x14ac:dyDescent="0.25">
      <c r="A2422" t="str">
        <f>"20190304164137051"</f>
        <v>20190304164137051</v>
      </c>
      <c r="B2422" t="str">
        <f>"1551688897043855"</f>
        <v>1551688897043855</v>
      </c>
      <c r="C2422" t="s">
        <v>40</v>
      </c>
      <c r="D2422">
        <v>3.9988440000000001</v>
      </c>
      <c r="E2422">
        <v>0.53378970000000003</v>
      </c>
      <c r="F2422" t="s">
        <v>46</v>
      </c>
      <c r="G2422">
        <v>-335.96429999999998</v>
      </c>
      <c r="H2422" s="1">
        <v>1.6533990000000001E-6</v>
      </c>
      <c r="I2422">
        <v>284.2441</v>
      </c>
      <c r="J2422">
        <v>-320.39909999999998</v>
      </c>
      <c r="K2422">
        <v>1.1088960000000001</v>
      </c>
      <c r="L2422">
        <v>284.66120000000001</v>
      </c>
      <c r="M2422">
        <v>-0.9999034</v>
      </c>
      <c r="N2422">
        <v>-7.5994579999999999E-3</v>
      </c>
      <c r="O2422">
        <v>1.16436E-2</v>
      </c>
      <c r="P2422">
        <v>-0.93269829999999998</v>
      </c>
      <c r="Q2422">
        <v>0.35137879999999999</v>
      </c>
      <c r="R2422">
        <v>-8.1283090000000002E-2</v>
      </c>
      <c r="S2422">
        <v>-3.2963260000000001</v>
      </c>
      <c r="T2422">
        <v>-0.22979820000000001</v>
      </c>
      <c r="U2422">
        <v>-8.560181E-2</v>
      </c>
      <c r="V2422">
        <v>-9.2108759999999998E-2</v>
      </c>
      <c r="W2422">
        <v>0.35845660000000001</v>
      </c>
      <c r="X2422">
        <v>0.92899129999999996</v>
      </c>
      <c r="Y2422">
        <v>-3.7475090000000003E-2</v>
      </c>
      <c r="Z2422">
        <v>-2.1693070000000001E-3</v>
      </c>
      <c r="AA2422">
        <v>0.99929520000000005</v>
      </c>
      <c r="AB2422">
        <v>56</v>
      </c>
      <c r="AC2422">
        <v>-15.565200000000001</v>
      </c>
      <c r="AD2422">
        <v>-1.1088943466009999</v>
      </c>
      <c r="AE2422">
        <v>-0.41710000000000402</v>
      </c>
      <c r="AF2422">
        <v>-0.595292722434695</v>
      </c>
      <c r="AG2422">
        <v>-1.1088943466009999</v>
      </c>
      <c r="AH2422">
        <v>15.4807732493448</v>
      </c>
      <c r="AI2422">
        <v>94.094107659011598</v>
      </c>
      <c r="AJ2422">
        <v>92.202148650413505</v>
      </c>
      <c r="AK2422">
        <v>15.5318498735642</v>
      </c>
      <c r="AL2422">
        <v>68.994559162885494</v>
      </c>
      <c r="AM2422">
        <v>95.662325444565695</v>
      </c>
      <c r="AN2422">
        <v>0.99999999661399297</v>
      </c>
    </row>
    <row r="2423" spans="1:40" x14ac:dyDescent="0.25">
      <c r="A2423" t="str">
        <f>"20190304164137064"</f>
        <v>20190304164137064</v>
      </c>
      <c r="B2423" t="str">
        <f>"1551688897053615"</f>
        <v>1551688897053615</v>
      </c>
      <c r="C2423" t="s">
        <v>40</v>
      </c>
      <c r="D2423">
        <v>4.0057739999999997</v>
      </c>
      <c r="E2423">
        <v>0.53954919999999995</v>
      </c>
      <c r="F2423" t="s">
        <v>46</v>
      </c>
      <c r="G2423">
        <v>-336.18430000000001</v>
      </c>
      <c r="H2423" s="1">
        <v>1.7701330000000001E-6</v>
      </c>
      <c r="I2423">
        <v>284.25130000000001</v>
      </c>
      <c r="J2423">
        <v>-320.69920000000002</v>
      </c>
      <c r="K2423">
        <v>1.1089</v>
      </c>
      <c r="L2423">
        <v>284.66469999999998</v>
      </c>
      <c r="M2423">
        <v>-0.9999034</v>
      </c>
      <c r="N2423">
        <v>-7.6085279999999998E-3</v>
      </c>
      <c r="O2423">
        <v>1.163027E-2</v>
      </c>
      <c r="P2423">
        <v>-0.93294639999999995</v>
      </c>
      <c r="Q2423">
        <v>0.35076580000000002</v>
      </c>
      <c r="R2423">
        <v>-8.1084039999999996E-2</v>
      </c>
      <c r="S2423">
        <v>-3.2962340000000001</v>
      </c>
      <c r="T2423">
        <v>-0.2315575</v>
      </c>
      <c r="U2423">
        <v>-8.560181E-2</v>
      </c>
      <c r="V2423">
        <v>-9.1906119999999994E-2</v>
      </c>
      <c r="W2423">
        <v>0.35785209999999901</v>
      </c>
      <c r="X2423">
        <v>0.92924439999999997</v>
      </c>
      <c r="Y2423">
        <v>-3.74607E-2</v>
      </c>
      <c r="Z2423">
        <v>-2.1841949999999999E-3</v>
      </c>
      <c r="AA2423">
        <v>0.99929570000000001</v>
      </c>
      <c r="AB2423">
        <v>56</v>
      </c>
      <c r="AC2423">
        <v>-15.4850999999999</v>
      </c>
      <c r="AD2423">
        <v>-1.108898229867</v>
      </c>
      <c r="AE2423">
        <v>-0.41339999999996702</v>
      </c>
      <c r="AF2423">
        <v>-0.59044743983155701</v>
      </c>
      <c r="AG2423">
        <v>-1.108898229867</v>
      </c>
      <c r="AH2423">
        <v>15.400326566212</v>
      </c>
      <c r="AI2423">
        <v>94.115453005548005</v>
      </c>
      <c r="AJ2423">
        <v>92.1956407596508</v>
      </c>
      <c r="AK2423">
        <v>15.451483482480899</v>
      </c>
      <c r="AL2423">
        <v>69.031655576184093</v>
      </c>
      <c r="AM2423">
        <v>95.648420035955894</v>
      </c>
      <c r="AN2423">
        <v>1.0000000076496101</v>
      </c>
    </row>
    <row r="2424" spans="1:40" x14ac:dyDescent="0.25">
      <c r="A2424" t="str">
        <f>"20190304164137077"</f>
        <v>20190304164137077</v>
      </c>
      <c r="B2424" t="str">
        <f>"1551688897063375"</f>
        <v>1551688897063375</v>
      </c>
      <c r="C2424" t="s">
        <v>40</v>
      </c>
      <c r="D2424">
        <v>4.0030449999999904</v>
      </c>
      <c r="E2424">
        <v>0.53962189999999999</v>
      </c>
      <c r="F2424" t="s">
        <v>46</v>
      </c>
      <c r="G2424">
        <v>-338.7072</v>
      </c>
      <c r="H2424" s="1">
        <v>3.1034350000000001E-6</v>
      </c>
      <c r="I2424">
        <v>284.464</v>
      </c>
      <c r="J2424">
        <v>-321.02010000000001</v>
      </c>
      <c r="K2424">
        <v>1.108903</v>
      </c>
      <c r="L2424">
        <v>284.66840000000002</v>
      </c>
      <c r="M2424">
        <v>-0.9999036</v>
      </c>
      <c r="N2424">
        <v>-7.6182919999999996E-3</v>
      </c>
      <c r="O2424">
        <v>1.161474E-2</v>
      </c>
      <c r="P2424">
        <v>-0.93320479999999995</v>
      </c>
      <c r="Q2424">
        <v>0.35008080000000003</v>
      </c>
      <c r="R2424">
        <v>-8.1072160000000004E-2</v>
      </c>
      <c r="S2424">
        <v>-3.2885740000000001</v>
      </c>
      <c r="T2424">
        <v>-0.20250360000000001</v>
      </c>
      <c r="U2424">
        <v>-3.6651610000000001E-2</v>
      </c>
      <c r="V2424">
        <v>-9.1887679999999999E-2</v>
      </c>
      <c r="W2424">
        <v>0.35717700000000002</v>
      </c>
      <c r="X2424">
        <v>0.9295059</v>
      </c>
      <c r="Y2424">
        <v>-2.2692850000000001E-2</v>
      </c>
      <c r="Z2424">
        <v>-1.4106450000000001E-3</v>
      </c>
      <c r="AA2424">
        <v>0.99974149999999995</v>
      </c>
      <c r="AB2424">
        <v>56</v>
      </c>
      <c r="AC2424">
        <v>-17.687099999999901</v>
      </c>
      <c r="AD2424">
        <v>-1.1088998965650001</v>
      </c>
      <c r="AE2424">
        <v>-0.20440000000002101</v>
      </c>
      <c r="AF2424">
        <v>-0.40821884870110098</v>
      </c>
      <c r="AG2424">
        <v>-1.1088998965650001</v>
      </c>
      <c r="AH2424">
        <v>17.614305207785002</v>
      </c>
      <c r="AI2424">
        <v>93.6013091755311</v>
      </c>
      <c r="AJ2424">
        <v>91.327615865206795</v>
      </c>
      <c r="AK2424">
        <v>17.653896158129999</v>
      </c>
      <c r="AL2424">
        <v>69.073072898633399</v>
      </c>
      <c r="AM2424">
        <v>95.645715565430393</v>
      </c>
      <c r="AN2424">
        <v>0.99999998659979605</v>
      </c>
    </row>
    <row r="2425" spans="1:40" x14ac:dyDescent="0.25">
      <c r="A2425" t="str">
        <f>"20190304164137091"</f>
        <v>20190304164137091</v>
      </c>
      <c r="B2425" t="str">
        <f>"1551688897083871"</f>
        <v>1551688897083871</v>
      </c>
      <c r="C2425" t="s">
        <v>40</v>
      </c>
      <c r="D2425">
        <v>3.9959660000000001</v>
      </c>
      <c r="E2425">
        <v>0.53958459999999997</v>
      </c>
      <c r="F2425" t="s">
        <v>46</v>
      </c>
      <c r="G2425">
        <v>-338.94650000000001</v>
      </c>
      <c r="H2425" s="1">
        <v>3.2303779999999998E-6</v>
      </c>
      <c r="I2425">
        <v>284.4726</v>
      </c>
      <c r="J2425">
        <v>-321.39150000000001</v>
      </c>
      <c r="K2425">
        <v>1.1089039999999999</v>
      </c>
      <c r="L2425">
        <v>284.67270000000002</v>
      </c>
      <c r="M2425">
        <v>-0.99990369999999995</v>
      </c>
      <c r="N2425">
        <v>-7.6293539999999996E-3</v>
      </c>
      <c r="O2425">
        <v>1.159657E-2</v>
      </c>
      <c r="P2425">
        <v>-0.93386550000000002</v>
      </c>
      <c r="Q2425">
        <v>0.3482633</v>
      </c>
      <c r="R2425">
        <v>-8.1289739999999999E-2</v>
      </c>
      <c r="S2425">
        <v>-3.287903</v>
      </c>
      <c r="T2425">
        <v>-0.20338400000000001</v>
      </c>
      <c r="U2425">
        <v>-3.5919189999999997E-2</v>
      </c>
      <c r="V2425">
        <v>-9.2102130000000004E-2</v>
      </c>
      <c r="W2425">
        <v>0.35537390000000002</v>
      </c>
      <c r="X2425">
        <v>0.93017559999999999</v>
      </c>
      <c r="Y2425">
        <v>-2.2454229999999999E-2</v>
      </c>
      <c r="Z2425">
        <v>-1.407796E-3</v>
      </c>
      <c r="AA2425">
        <v>0.99974689999999999</v>
      </c>
      <c r="AB2425">
        <v>56</v>
      </c>
      <c r="AC2425">
        <v>-17.555</v>
      </c>
      <c r="AD2425">
        <v>-1.1089007696219999</v>
      </c>
      <c r="AE2425">
        <v>-0.20010000000002001</v>
      </c>
      <c r="AF2425">
        <v>-0.402066170060211</v>
      </c>
      <c r="AG2425">
        <v>-1.1089007696219999</v>
      </c>
      <c r="AH2425">
        <v>17.481754075782298</v>
      </c>
      <c r="AI2425">
        <v>93.628560109221795</v>
      </c>
      <c r="AJ2425">
        <v>91.317524200802595</v>
      </c>
      <c r="AK2425">
        <v>17.521502323947701</v>
      </c>
      <c r="AL2425">
        <v>69.183639049327596</v>
      </c>
      <c r="AM2425">
        <v>95.654758507988802</v>
      </c>
      <c r="AN2425">
        <v>1.00000002899355</v>
      </c>
    </row>
    <row r="2426" spans="1:40" x14ac:dyDescent="0.25">
      <c r="A2426" t="str">
        <f>"20190304164137114"</f>
        <v>20190304164137114</v>
      </c>
      <c r="B2426" t="str">
        <f>"1551688897103392"</f>
        <v>1551688897103392</v>
      </c>
      <c r="C2426" t="s">
        <v>40</v>
      </c>
      <c r="D2426">
        <v>3.997646</v>
      </c>
      <c r="E2426">
        <v>0.5396628</v>
      </c>
      <c r="F2426" t="s">
        <v>46</v>
      </c>
      <c r="G2426">
        <v>-338.93529999999998</v>
      </c>
      <c r="H2426" s="1">
        <v>3.2239550000000002E-6</v>
      </c>
      <c r="I2426">
        <v>284.4828</v>
      </c>
      <c r="J2426">
        <v>-321.96260000000001</v>
      </c>
      <c r="K2426">
        <v>1.108908</v>
      </c>
      <c r="L2426">
        <v>284.67930000000001</v>
      </c>
      <c r="M2426">
        <v>-0.99990389999999996</v>
      </c>
      <c r="N2426">
        <v>-7.6461239999999998E-3</v>
      </c>
      <c r="O2426">
        <v>1.15674E-2</v>
      </c>
      <c r="P2426">
        <v>-0.9342087</v>
      </c>
      <c r="Q2426">
        <v>0.34735379999999999</v>
      </c>
      <c r="R2426">
        <v>-8.1235440000000006E-2</v>
      </c>
      <c r="S2426">
        <v>-3.2867739999999999</v>
      </c>
      <c r="T2426">
        <v>-0.20774970000000001</v>
      </c>
      <c r="U2426">
        <v>-3.5583499999999997E-2</v>
      </c>
      <c r="V2426">
        <v>-9.2032169999999996E-2</v>
      </c>
      <c r="W2426">
        <v>0.35448049999999998</v>
      </c>
      <c r="X2426">
        <v>0.93052330000000005</v>
      </c>
      <c r="Y2426">
        <v>-2.2324190000000001E-2</v>
      </c>
      <c r="Z2426">
        <v>-1.4322860000000001E-3</v>
      </c>
      <c r="AA2426">
        <v>0.99974980000000002</v>
      </c>
      <c r="AB2426">
        <v>56</v>
      </c>
      <c r="AC2426">
        <v>-16.9726999999999</v>
      </c>
      <c r="AD2426">
        <v>-1.1089047760449999</v>
      </c>
      <c r="AE2426">
        <v>-0.196500000000014</v>
      </c>
      <c r="AF2426">
        <v>-0.391153137129783</v>
      </c>
      <c r="AG2426">
        <v>-1.1089047760449999</v>
      </c>
      <c r="AH2426">
        <v>16.897173517267699</v>
      </c>
      <c r="AI2426">
        <v>93.753742705796896</v>
      </c>
      <c r="AJ2426">
        <v>91.326104742042602</v>
      </c>
      <c r="AK2426">
        <v>16.938038359021199</v>
      </c>
      <c r="AL2426">
        <v>69.238390741736794</v>
      </c>
      <c r="AM2426">
        <v>95.648393297004503</v>
      </c>
      <c r="AN2426">
        <v>0.999999978519024</v>
      </c>
    </row>
    <row r="2427" spans="1:40" x14ac:dyDescent="0.25">
      <c r="A2427" t="str">
        <f>"20190304164137129"</f>
        <v>20190304164137129</v>
      </c>
      <c r="B2427" t="str">
        <f>"1551688897123887"</f>
        <v>1551688897123887</v>
      </c>
      <c r="C2427" t="s">
        <v>40</v>
      </c>
      <c r="D2427">
        <v>3.9834870000000002</v>
      </c>
      <c r="E2427">
        <v>0.53991029999999995</v>
      </c>
      <c r="F2427" t="s">
        <v>46</v>
      </c>
      <c r="G2427">
        <v>-339.14589999999998</v>
      </c>
      <c r="H2427" s="1">
        <v>3.335243E-6</v>
      </c>
      <c r="I2427">
        <v>284.5016</v>
      </c>
      <c r="J2427">
        <v>-322.33190000000002</v>
      </c>
      <c r="K2427">
        <v>1.108908</v>
      </c>
      <c r="L2427">
        <v>284.68349999999998</v>
      </c>
      <c r="M2427">
        <v>-0.99990400000000002</v>
      </c>
      <c r="N2427">
        <v>-7.6569899999999998E-3</v>
      </c>
      <c r="O2427">
        <v>1.1547709999999999E-2</v>
      </c>
      <c r="P2427">
        <v>-0.93436830000000004</v>
      </c>
      <c r="Q2427">
        <v>0.34696569999999999</v>
      </c>
      <c r="R2427">
        <v>-8.1061129999999995E-2</v>
      </c>
      <c r="S2427">
        <v>-3.287201</v>
      </c>
      <c r="T2427">
        <v>-0.2121353</v>
      </c>
      <c r="U2427">
        <v>-3.3996579999999998E-2</v>
      </c>
      <c r="V2427">
        <v>-9.1845209999999997E-2</v>
      </c>
      <c r="W2427">
        <v>0.3541028</v>
      </c>
      <c r="X2427">
        <v>0.9306856</v>
      </c>
      <c r="Y2427">
        <v>-2.1818859999999999E-2</v>
      </c>
      <c r="Z2427">
        <v>-1.4429919999999999E-3</v>
      </c>
      <c r="AA2427">
        <v>0.99976089999999995</v>
      </c>
      <c r="AB2427">
        <v>56</v>
      </c>
      <c r="AC2427">
        <v>-16.813999999999901</v>
      </c>
      <c r="AD2427">
        <v>-1.108904664757</v>
      </c>
      <c r="AE2427">
        <v>-0.18189999999998399</v>
      </c>
      <c r="AF2427">
        <v>-0.37442834814382298</v>
      </c>
      <c r="AG2427">
        <v>-1.108904664757</v>
      </c>
      <c r="AH2427">
        <v>16.737983722801602</v>
      </c>
      <c r="AI2427">
        <v>93.789406447108107</v>
      </c>
      <c r="AJ2427">
        <v>91.281491666260905</v>
      </c>
      <c r="AK2427">
        <v>16.778854706093099</v>
      </c>
      <c r="AL2427">
        <v>69.2615331460064</v>
      </c>
      <c r="AM2427">
        <v>95.636016075501999</v>
      </c>
      <c r="AN2427">
        <v>1.00000001080757</v>
      </c>
    </row>
    <row r="2428" spans="1:40" x14ac:dyDescent="0.25">
      <c r="A2428" t="str">
        <f>"20190304164137141"</f>
        <v>20190304164137141</v>
      </c>
      <c r="B2428" t="str">
        <f>"1551688897133647"</f>
        <v>1551688897133647</v>
      </c>
      <c r="C2428" t="s">
        <v>40</v>
      </c>
      <c r="D2428">
        <v>3.9763829999999998</v>
      </c>
      <c r="E2428">
        <v>0.53981820000000003</v>
      </c>
      <c r="F2428" t="s">
        <v>46</v>
      </c>
      <c r="G2428">
        <v>-342.34030000000001</v>
      </c>
      <c r="H2428" s="1">
        <v>-2.9140879999999997E-7</v>
      </c>
      <c r="I2428">
        <v>284.50830000000002</v>
      </c>
      <c r="J2428">
        <v>-322.6653</v>
      </c>
      <c r="K2428">
        <v>1.1089150000000001</v>
      </c>
      <c r="L2428">
        <v>284.68740000000003</v>
      </c>
      <c r="M2428">
        <v>-0.99990420000000002</v>
      </c>
      <c r="N2428">
        <v>-7.6668389999999999E-3</v>
      </c>
      <c r="O2428">
        <v>1.152969E-2</v>
      </c>
      <c r="P2428">
        <v>-0.93467420000000001</v>
      </c>
      <c r="Q2428">
        <v>0.34620060000000002</v>
      </c>
      <c r="R2428">
        <v>-8.0804529999999999E-2</v>
      </c>
      <c r="S2428">
        <v>-3.275665</v>
      </c>
      <c r="T2428">
        <v>-0.18154490000000001</v>
      </c>
      <c r="U2428">
        <v>-2.868652E-2</v>
      </c>
      <c r="V2428">
        <v>-9.1578919999999994E-2</v>
      </c>
      <c r="W2428">
        <v>0.3533481</v>
      </c>
      <c r="X2428">
        <v>0.93099860000000001</v>
      </c>
      <c r="Y2428">
        <v>-2.0237640000000001E-2</v>
      </c>
      <c r="Z2428">
        <v>-1.1881769999999999E-3</v>
      </c>
      <c r="AA2428">
        <v>0.99979450000000003</v>
      </c>
      <c r="AB2428">
        <v>57</v>
      </c>
      <c r="AC2428">
        <v>-19.675000000000001</v>
      </c>
      <c r="AD2428">
        <v>-1.1089152914088001</v>
      </c>
      <c r="AE2428">
        <v>-0.17910000000000501</v>
      </c>
      <c r="AF2428">
        <v>-0.40465606087308997</v>
      </c>
      <c r="AG2428">
        <v>-1.1089152914088001</v>
      </c>
      <c r="AH2428">
        <v>19.609340567461899</v>
      </c>
      <c r="AI2428">
        <v>93.235962292192596</v>
      </c>
      <c r="AJ2428">
        <v>91.182181224317503</v>
      </c>
      <c r="AK2428">
        <v>19.644838435116501</v>
      </c>
      <c r="AL2428">
        <v>69.307762527413203</v>
      </c>
      <c r="AM2428">
        <v>95.617902859218702</v>
      </c>
      <c r="AN2428">
        <v>0.99999998578196803</v>
      </c>
    </row>
    <row r="2429" spans="1:40" x14ac:dyDescent="0.25">
      <c r="A2429" t="str">
        <f>"20190304164137155"</f>
        <v>20190304164137155</v>
      </c>
      <c r="B2429" t="str">
        <f>"1551688897143410"</f>
        <v>1551688897143410</v>
      </c>
      <c r="C2429" t="s">
        <v>40</v>
      </c>
      <c r="D2429">
        <v>3.999892</v>
      </c>
      <c r="E2429">
        <v>0.53976740000000001</v>
      </c>
      <c r="F2429" t="s">
        <v>46</v>
      </c>
      <c r="G2429">
        <v>-342.61509999999998</v>
      </c>
      <c r="H2429" s="1">
        <v>-1.4517889999999999E-7</v>
      </c>
      <c r="I2429">
        <v>284.51409999999998</v>
      </c>
      <c r="J2429">
        <v>-323.00119999999998</v>
      </c>
      <c r="K2429">
        <v>1.108914</v>
      </c>
      <c r="L2429">
        <v>284.69130000000001</v>
      </c>
      <c r="M2429">
        <v>-0.99990429999999997</v>
      </c>
      <c r="N2429">
        <v>-7.6768080000000002E-3</v>
      </c>
      <c r="O2429">
        <v>1.1511560000000001E-2</v>
      </c>
      <c r="P2429">
        <v>-0.93516699999999997</v>
      </c>
      <c r="Q2429">
        <v>0.34498440000000002</v>
      </c>
      <c r="R2429">
        <v>-8.0305669999999996E-2</v>
      </c>
      <c r="S2429">
        <v>-3.2746580000000001</v>
      </c>
      <c r="T2429">
        <v>-0.1820234</v>
      </c>
      <c r="U2429">
        <v>-2.844238E-2</v>
      </c>
      <c r="V2429">
        <v>-9.1071700000000005E-2</v>
      </c>
      <c r="W2429">
        <v>0.35214430000000002</v>
      </c>
      <c r="X2429">
        <v>0.93150429999999995</v>
      </c>
      <c r="Y2429">
        <v>-2.0147559999999998E-2</v>
      </c>
      <c r="Z2429">
        <v>-1.187972E-3</v>
      </c>
      <c r="AA2429">
        <v>0.99979629999999997</v>
      </c>
      <c r="AB2429">
        <v>57</v>
      </c>
      <c r="AC2429">
        <v>-19.613900000000001</v>
      </c>
      <c r="AD2429">
        <v>-1.1089141451789</v>
      </c>
      <c r="AE2429">
        <v>-0.177200000000027</v>
      </c>
      <c r="AF2429">
        <v>-0.40169759003038003</v>
      </c>
      <c r="AG2429">
        <v>-1.1089141451789</v>
      </c>
      <c r="AH2429">
        <v>19.548081027472499</v>
      </c>
      <c r="AI2429">
        <v>93.246083890411299</v>
      </c>
      <c r="AJ2429">
        <v>91.177217228737504</v>
      </c>
      <c r="AK2429">
        <v>19.583628963801399</v>
      </c>
      <c r="AL2429">
        <v>69.381472882258294</v>
      </c>
      <c r="AM2429">
        <v>95.583970971336797</v>
      </c>
      <c r="AN2429">
        <v>0.99999996174093397</v>
      </c>
    </row>
    <row r="2430" spans="1:40" x14ac:dyDescent="0.25">
      <c r="A2430" t="str">
        <f>"20190304164137170"</f>
        <v>20190304164137170</v>
      </c>
      <c r="B2430" t="str">
        <f>"1551688897163903"</f>
        <v>1551688897163903</v>
      </c>
      <c r="C2430" t="s">
        <v>40</v>
      </c>
      <c r="D2430">
        <v>4.0160339999999897</v>
      </c>
      <c r="E2430">
        <v>0.53975430000000002</v>
      </c>
      <c r="F2430" t="s">
        <v>46</v>
      </c>
      <c r="G2430">
        <v>-342.8125</v>
      </c>
      <c r="H2430" s="1">
        <v>-4.0140239999999998E-8</v>
      </c>
      <c r="I2430">
        <v>284.52760000000001</v>
      </c>
      <c r="J2430">
        <v>-323.40469999999999</v>
      </c>
      <c r="K2430">
        <v>1.1089</v>
      </c>
      <c r="L2430">
        <v>284.69589999999999</v>
      </c>
      <c r="M2430">
        <v>-0.99990460000000003</v>
      </c>
      <c r="N2430">
        <v>-7.6888109999999898E-3</v>
      </c>
      <c r="O2430">
        <v>1.1489299999999999E-2</v>
      </c>
      <c r="P2430">
        <v>-0.9363283</v>
      </c>
      <c r="Q2430">
        <v>0.34226450000000003</v>
      </c>
      <c r="R2430">
        <v>-7.8388070000000004E-2</v>
      </c>
      <c r="S2430">
        <v>-3.2732540000000001</v>
      </c>
      <c r="T2430">
        <v>-0.18321689999999999</v>
      </c>
      <c r="U2430">
        <v>-2.7038570000000001E-2</v>
      </c>
      <c r="V2430">
        <v>-8.9150270000000004E-2</v>
      </c>
      <c r="W2430">
        <v>0.34944409999999998</v>
      </c>
      <c r="X2430">
        <v>0.93270629999999999</v>
      </c>
      <c r="Y2430">
        <v>-1.970042E-2</v>
      </c>
      <c r="Z2430">
        <v>-1.181025E-3</v>
      </c>
      <c r="AA2430">
        <v>0.99980519999999995</v>
      </c>
      <c r="AB2430">
        <v>57</v>
      </c>
      <c r="AC2430">
        <v>-19.407800000000002</v>
      </c>
      <c r="AD2430">
        <v>-1.10890004014024</v>
      </c>
      <c r="AE2430">
        <v>-0.16829999999998699</v>
      </c>
      <c r="AF2430">
        <v>-0.39000436290886797</v>
      </c>
      <c r="AG2430">
        <v>-1.10890004014024</v>
      </c>
      <c r="AH2430">
        <v>19.341447560127602</v>
      </c>
      <c r="AI2430">
        <v>93.280671936873901</v>
      </c>
      <c r="AJ2430">
        <v>91.155165668231803</v>
      </c>
      <c r="AK2430">
        <v>19.377134886852499</v>
      </c>
      <c r="AL2430">
        <v>69.546682347566801</v>
      </c>
      <c r="AM2430">
        <v>95.459879050501897</v>
      </c>
      <c r="AN2430">
        <v>0.99999999586278598</v>
      </c>
    </row>
    <row r="2431" spans="1:40" x14ac:dyDescent="0.25">
      <c r="A2431" t="str">
        <f>"20190304164137192"</f>
        <v>20190304164137192</v>
      </c>
      <c r="B2431" t="str">
        <f>"1551688897183423"</f>
        <v>1551688897183423</v>
      </c>
      <c r="C2431" t="s">
        <v>40</v>
      </c>
      <c r="D2431">
        <v>3.9971130000000001</v>
      </c>
      <c r="E2431">
        <v>0.53971550000000001</v>
      </c>
      <c r="F2431" t="s">
        <v>46</v>
      </c>
      <c r="G2431">
        <v>-342.62389999999999</v>
      </c>
      <c r="H2431" s="1">
        <v>-1.4046149999999999E-7</v>
      </c>
      <c r="I2431">
        <v>284.584</v>
      </c>
      <c r="J2431">
        <v>-323.93329999999997</v>
      </c>
      <c r="K2431">
        <v>1.108887</v>
      </c>
      <c r="L2431">
        <v>284.702</v>
      </c>
      <c r="M2431">
        <v>-0.99990469999999998</v>
      </c>
      <c r="N2431">
        <v>-7.7045219999999897E-3</v>
      </c>
      <c r="O2431">
        <v>1.145987E-2</v>
      </c>
      <c r="P2431">
        <v>-0.93783090000000002</v>
      </c>
      <c r="Q2431">
        <v>0.33900550000000002</v>
      </c>
      <c r="R2431">
        <v>-7.4490059999999997E-2</v>
      </c>
      <c r="S2431">
        <v>-3.2713930000000002</v>
      </c>
      <c r="T2431">
        <v>-0.1887509</v>
      </c>
      <c r="U2431">
        <v>-1.9042969999999999E-2</v>
      </c>
      <c r="V2431">
        <v>-8.5245950000000001E-2</v>
      </c>
      <c r="W2431">
        <v>0.34621049999999998</v>
      </c>
      <c r="X2431">
        <v>0.93427590000000005</v>
      </c>
      <c r="Y2431">
        <v>-1.7233800000000001E-2</v>
      </c>
      <c r="Z2431">
        <v>-1.1356230000000001E-3</v>
      </c>
      <c r="AA2431">
        <v>0.99985089999999999</v>
      </c>
      <c r="AB2431">
        <v>57</v>
      </c>
      <c r="AC2431">
        <v>-18.6906</v>
      </c>
      <c r="AD2431">
        <v>-1.1088871404614999</v>
      </c>
      <c r="AE2431">
        <v>-0.117999999999994</v>
      </c>
      <c r="AF2431">
        <v>-0.33102532024865999</v>
      </c>
      <c r="AG2431">
        <v>-1.1088871404614999</v>
      </c>
      <c r="AH2431">
        <v>18.6224739629452</v>
      </c>
      <c r="AI2431">
        <v>93.407153191466193</v>
      </c>
      <c r="AJ2431">
        <v>91.018358601041498</v>
      </c>
      <c r="AK2431">
        <v>18.658396098097501</v>
      </c>
      <c r="AL2431">
        <v>69.744293711467805</v>
      </c>
      <c r="AM2431">
        <v>95.213391792093802</v>
      </c>
      <c r="AN2431">
        <v>1.00000001981123</v>
      </c>
    </row>
    <row r="2432" spans="1:40" x14ac:dyDescent="0.25">
      <c r="A2432" t="str">
        <f>"20190304164137205"</f>
        <v>20190304164137205</v>
      </c>
      <c r="B2432" t="str">
        <f>"1551688897193183"</f>
        <v>1551688897193183</v>
      </c>
      <c r="C2432" t="s">
        <v>40</v>
      </c>
      <c r="D2432">
        <v>3.9801359999999999</v>
      </c>
      <c r="E2432">
        <v>0.53963459999999996</v>
      </c>
      <c r="F2432" t="s">
        <v>46</v>
      </c>
      <c r="G2432">
        <v>-342.04610000000002</v>
      </c>
      <c r="H2432" s="1">
        <v>-4.4795679999999998E-7</v>
      </c>
      <c r="I2432">
        <v>284.6814</v>
      </c>
      <c r="J2432">
        <v>-324.28519999999997</v>
      </c>
      <c r="K2432">
        <v>1.1088880000000001</v>
      </c>
      <c r="L2432">
        <v>284.70609999999999</v>
      </c>
      <c r="M2432">
        <v>-0.99990480000000004</v>
      </c>
      <c r="N2432">
        <v>-7.7149590000000004E-3</v>
      </c>
      <c r="O2432">
        <v>1.144037E-2</v>
      </c>
      <c r="P2432">
        <v>-0.93874599999999997</v>
      </c>
      <c r="Q2432">
        <v>0.33724870000000001</v>
      </c>
      <c r="R2432">
        <v>-7.0849519999999999E-2</v>
      </c>
      <c r="S2432">
        <v>-3.2709350000000001</v>
      </c>
      <c r="T2432">
        <v>-0.20025009999999999</v>
      </c>
      <c r="U2432">
        <v>-3.7231450000000002E-3</v>
      </c>
      <c r="V2432">
        <v>-8.1599740000000004E-2</v>
      </c>
      <c r="W2432">
        <v>0.34447109999999997</v>
      </c>
      <c r="X2432">
        <v>0.93524390000000002</v>
      </c>
      <c r="Y2432">
        <v>-1.253609E-2</v>
      </c>
      <c r="Z2432">
        <v>-1.043321E-3</v>
      </c>
      <c r="AA2432">
        <v>0.9999209</v>
      </c>
      <c r="AB2432">
        <v>57</v>
      </c>
      <c r="AC2432">
        <v>-17.760899999999999</v>
      </c>
      <c r="AD2432">
        <v>-1.1088884479568</v>
      </c>
      <c r="AE2432">
        <v>-2.4699999999995701E-2</v>
      </c>
      <c r="AF2432">
        <v>-0.22701080266538001</v>
      </c>
      <c r="AG2432">
        <v>-1.1088884479568</v>
      </c>
      <c r="AH2432">
        <v>17.690496965338799</v>
      </c>
      <c r="AI2432">
        <v>93.586468033017596</v>
      </c>
      <c r="AJ2432">
        <v>90.735199641591905</v>
      </c>
      <c r="AK2432">
        <v>17.726670594761998</v>
      </c>
      <c r="AL2432">
        <v>69.850486996586099</v>
      </c>
      <c r="AM2432">
        <v>94.986411530066903</v>
      </c>
      <c r="AN2432">
        <v>1.0000000043952399</v>
      </c>
    </row>
    <row r="2433" spans="1:40" x14ac:dyDescent="0.25">
      <c r="A2433" t="str">
        <f>"20190304164137216"</f>
        <v>20190304164137216</v>
      </c>
      <c r="B2433" t="str">
        <f>"1551688897203919"</f>
        <v>1551688897203919</v>
      </c>
      <c r="C2433" t="s">
        <v>40</v>
      </c>
      <c r="D2433">
        <v>3.97052</v>
      </c>
      <c r="E2433">
        <v>0.53963459999999996</v>
      </c>
      <c r="F2433" t="s">
        <v>41</v>
      </c>
      <c r="G2433">
        <v>-325.43220000000002</v>
      </c>
      <c r="H2433">
        <v>1.036548</v>
      </c>
      <c r="I2433">
        <v>284.7097</v>
      </c>
      <c r="J2433">
        <v>-324.57350000000002</v>
      </c>
      <c r="K2433">
        <v>1.1088819999999999</v>
      </c>
      <c r="L2433">
        <v>284.70940000000002</v>
      </c>
      <c r="M2433">
        <v>-0.99990500000000004</v>
      </c>
      <c r="N2433">
        <v>-7.7235109999999997E-3</v>
      </c>
      <c r="O2433">
        <v>1.142423E-2</v>
      </c>
      <c r="P2433">
        <v>-0.93967040000000002</v>
      </c>
      <c r="Q2433">
        <v>0.33579819999999999</v>
      </c>
      <c r="R2433">
        <v>-6.5262349999999997E-2</v>
      </c>
      <c r="S2433">
        <v>-3.2706599999999999</v>
      </c>
      <c r="T2433">
        <v>-0.20650450000000001</v>
      </c>
      <c r="U2433">
        <v>9.399414E-3</v>
      </c>
      <c r="V2433">
        <v>-7.601057E-2</v>
      </c>
      <c r="W2433">
        <v>0.34303600000000001</v>
      </c>
      <c r="X2433">
        <v>0.93624180000000001</v>
      </c>
      <c r="Y2433">
        <v>-8.5143079999999999E-3</v>
      </c>
      <c r="Z2433">
        <v>-9.3385310000000004E-4</v>
      </c>
      <c r="AA2433">
        <v>0.9999633</v>
      </c>
      <c r="AB2433">
        <v>57</v>
      </c>
      <c r="AC2433">
        <v>-0.85869999999999802</v>
      </c>
      <c r="AD2433">
        <v>-7.2333999999999898E-2</v>
      </c>
      <c r="AE2433">
        <v>2.9999999998153699E-4</v>
      </c>
      <c r="AF2433">
        <v>-9.44328984018525E-3</v>
      </c>
      <c r="AG2433">
        <v>-7.2333999999999898E-2</v>
      </c>
      <c r="AH2433">
        <v>0.85259751636344605</v>
      </c>
      <c r="AI2433">
        <v>94.849040321788905</v>
      </c>
      <c r="AJ2433">
        <v>90.634576712703705</v>
      </c>
      <c r="AK2433">
        <v>0.85571251491848699</v>
      </c>
      <c r="AL2433">
        <v>69.938048201785904</v>
      </c>
      <c r="AM2433">
        <v>94.641486791377503</v>
      </c>
      <c r="AN2433">
        <v>1.0000000060574801</v>
      </c>
    </row>
    <row r="2434" spans="1:40" x14ac:dyDescent="0.25">
      <c r="A2434" t="str">
        <f>"20190304164137228"</f>
        <v>20190304164137228</v>
      </c>
      <c r="B2434" t="str">
        <f>"1551688897223440"</f>
        <v>1551688897223440</v>
      </c>
      <c r="C2434" t="s">
        <v>40</v>
      </c>
      <c r="D2434">
        <v>4.0049060000000001</v>
      </c>
      <c r="E2434">
        <v>0.53934789999999999</v>
      </c>
      <c r="F2434" t="s">
        <v>46</v>
      </c>
      <c r="G2434">
        <v>-341.73200000000003</v>
      </c>
      <c r="H2434" s="1">
        <v>-6.1513079999999997E-7</v>
      </c>
      <c r="I2434">
        <v>284.86709999999999</v>
      </c>
      <c r="J2434">
        <v>-324.87799999999999</v>
      </c>
      <c r="K2434">
        <v>1.1088789999999999</v>
      </c>
      <c r="L2434">
        <v>284.71280000000002</v>
      </c>
      <c r="M2434">
        <v>-0.99990520000000005</v>
      </c>
      <c r="N2434">
        <v>-7.7325219999999899E-3</v>
      </c>
      <c r="O2434">
        <v>1.140677E-2</v>
      </c>
      <c r="P2434">
        <v>-0.94045880000000004</v>
      </c>
      <c r="Q2434">
        <v>0.33452480000000001</v>
      </c>
      <c r="R2434">
        <v>-6.025606E-2</v>
      </c>
      <c r="S2434">
        <v>-3.270203</v>
      </c>
      <c r="T2434">
        <v>-0.21134040000000001</v>
      </c>
      <c r="U2434">
        <v>3.0059809999999999E-2</v>
      </c>
      <c r="V2434">
        <v>-7.0998530000000004E-2</v>
      </c>
      <c r="W2434">
        <v>0.34177750000000001</v>
      </c>
      <c r="X2434">
        <v>0.93709520000000002</v>
      </c>
      <c r="Y2434">
        <v>-2.1920220000000001E-3</v>
      </c>
      <c r="Z2434">
        <v>-7.2748619999999905E-4</v>
      </c>
      <c r="AA2434">
        <v>0.99999729999999998</v>
      </c>
      <c r="AB2434">
        <v>57</v>
      </c>
      <c r="AC2434">
        <v>-16.8539999999999</v>
      </c>
      <c r="AD2434">
        <v>-1.1088796151308</v>
      </c>
      <c r="AE2434">
        <v>0.15429999999997701</v>
      </c>
      <c r="AF2434">
        <v>-3.7801837157645103E-2</v>
      </c>
      <c r="AG2434">
        <v>-1.1088796151308</v>
      </c>
      <c r="AH2434">
        <v>16.782024389401201</v>
      </c>
      <c r="AI2434">
        <v>93.780338944225704</v>
      </c>
      <c r="AJ2434">
        <v>90.129059642246204</v>
      </c>
      <c r="AK2434">
        <v>16.818661825073999</v>
      </c>
      <c r="AL2434">
        <v>70.014794644398904</v>
      </c>
      <c r="AM2434">
        <v>94.332707276814901</v>
      </c>
      <c r="AN2434">
        <v>1.0000000323157201</v>
      </c>
    </row>
    <row r="2435" spans="1:40" x14ac:dyDescent="0.25">
      <c r="A2435" t="str">
        <f>"20190304164137241"</f>
        <v>20190304164137241</v>
      </c>
      <c r="B2435" t="str">
        <f>"1551688897233606"</f>
        <v>1551688897233606</v>
      </c>
      <c r="C2435" t="s">
        <v>40</v>
      </c>
      <c r="D2435">
        <v>3.975698</v>
      </c>
      <c r="E2435">
        <v>0.53934789999999999</v>
      </c>
      <c r="F2435" t="s">
        <v>41</v>
      </c>
      <c r="G2435">
        <v>-325.94200000000001</v>
      </c>
      <c r="H2435">
        <v>1.0391509999999999</v>
      </c>
      <c r="I2435">
        <v>284.72789999999998</v>
      </c>
      <c r="J2435">
        <v>-325.19749999999999</v>
      </c>
      <c r="K2435">
        <v>1.1088690000000001</v>
      </c>
      <c r="L2435">
        <v>284.7165</v>
      </c>
      <c r="M2435">
        <v>-0.9999053</v>
      </c>
      <c r="N2435">
        <v>-7.7419659999999899E-3</v>
      </c>
      <c r="O2435">
        <v>1.1388240000000001E-2</v>
      </c>
      <c r="P2435">
        <v>-0.94108689999999995</v>
      </c>
      <c r="Q2435">
        <v>0.33368530000000002</v>
      </c>
      <c r="R2435">
        <v>-5.4861979999999998E-2</v>
      </c>
      <c r="S2435">
        <v>-3.2690730000000001</v>
      </c>
      <c r="T2435">
        <v>-0.21419659999999999</v>
      </c>
      <c r="U2435">
        <v>4.6112060000000003E-2</v>
      </c>
      <c r="V2435">
        <v>-6.5595860000000006E-2</v>
      </c>
      <c r="W2435">
        <v>0.34095189999999997</v>
      </c>
      <c r="X2435">
        <v>0.9377894</v>
      </c>
      <c r="Y2435">
        <v>2.7282209999999999E-3</v>
      </c>
      <c r="Z2435">
        <v>-5.5738059999999999E-4</v>
      </c>
      <c r="AA2435">
        <v>0.99999610000000005</v>
      </c>
      <c r="AB2435">
        <v>57</v>
      </c>
      <c r="AC2435">
        <v>-0.74450000000001604</v>
      </c>
      <c r="AD2435">
        <v>-6.9718000000000099E-2</v>
      </c>
      <c r="AE2435">
        <v>1.13999999999805E-2</v>
      </c>
      <c r="AF2435">
        <v>2.8950812930006501E-3</v>
      </c>
      <c r="AG2435">
        <v>-6.9718000000000099E-2</v>
      </c>
      <c r="AH2435">
        <v>0.73811042001275196</v>
      </c>
      <c r="AI2435">
        <v>95.395805844097893</v>
      </c>
      <c r="AJ2435">
        <v>89.775270631173797</v>
      </c>
      <c r="AK2435">
        <v>0.74140135766742099</v>
      </c>
      <c r="AL2435">
        <v>70.0651201596785</v>
      </c>
      <c r="AM2435">
        <v>94.001169594310397</v>
      </c>
      <c r="AN2435">
        <v>0.99999998685755398</v>
      </c>
    </row>
    <row r="2436" spans="1:40" x14ac:dyDescent="0.25">
      <c r="A2436" t="str">
        <f>"20190304164137253"</f>
        <v>20190304164137253</v>
      </c>
      <c r="B2436" t="str">
        <f>"1551688897243367"</f>
        <v>1551688897243367</v>
      </c>
      <c r="C2436" t="s">
        <v>40</v>
      </c>
      <c r="D2436">
        <v>4.6686670000000001</v>
      </c>
      <c r="E2436">
        <v>0.53556599999999999</v>
      </c>
      <c r="F2436" t="s">
        <v>46</v>
      </c>
      <c r="G2436">
        <v>-341.89</v>
      </c>
      <c r="H2436" s="1">
        <v>-5.31016E-7</v>
      </c>
      <c r="I2436">
        <v>285.0478</v>
      </c>
      <c r="J2436">
        <v>-325.50619999999998</v>
      </c>
      <c r="K2436">
        <v>1.1088639999999901</v>
      </c>
      <c r="L2436">
        <v>284.72000000000003</v>
      </c>
      <c r="M2436">
        <v>-0.9999055</v>
      </c>
      <c r="N2436">
        <v>-7.7509809999999997E-3</v>
      </c>
      <c r="O2436">
        <v>1.137025E-2</v>
      </c>
      <c r="P2436">
        <v>-0.94146730000000001</v>
      </c>
      <c r="Q2436">
        <v>0.33314480000000002</v>
      </c>
      <c r="R2436">
        <v>-5.1519269999999999E-2</v>
      </c>
      <c r="S2436">
        <v>-3.2685849999999999</v>
      </c>
      <c r="T2436">
        <v>-0.21712970000000001</v>
      </c>
      <c r="U2436">
        <v>6.4880370000000007E-2</v>
      </c>
      <c r="V2436">
        <v>-6.2241820000000003E-2</v>
      </c>
      <c r="W2436">
        <v>0.34042299999999998</v>
      </c>
      <c r="X2436">
        <v>0.93821010000000005</v>
      </c>
      <c r="Y2436">
        <v>8.4748289999999997E-3</v>
      </c>
      <c r="Z2436">
        <v>-3.5229780000000001E-4</v>
      </c>
      <c r="AA2436">
        <v>0.99996399999999996</v>
      </c>
      <c r="AB2436">
        <v>57</v>
      </c>
      <c r="AC2436">
        <v>-16.383800000000001</v>
      </c>
      <c r="AD2436">
        <v>-1.1088645310159999</v>
      </c>
      <c r="AE2436">
        <v>0.32779999999996701</v>
      </c>
      <c r="AF2436">
        <v>0.14084046135025999</v>
      </c>
      <c r="AG2436">
        <v>-1.1088645310159999</v>
      </c>
      <c r="AH2436">
        <v>16.311779354687001</v>
      </c>
      <c r="AI2436">
        <v>93.888803485769401</v>
      </c>
      <c r="AJ2436">
        <v>89.5053045211816</v>
      </c>
      <c r="AK2436">
        <v>16.350032486196799</v>
      </c>
      <c r="AL2436">
        <v>70.097352965063195</v>
      </c>
      <c r="AM2436">
        <v>93.795499115652106</v>
      </c>
      <c r="AN2436">
        <v>1.00000002741396</v>
      </c>
    </row>
    <row r="2437" spans="1:40" x14ac:dyDescent="0.25">
      <c r="A2437" t="str">
        <f>"20190304164137265"</f>
        <v>20190304164137265</v>
      </c>
      <c r="B2437" t="str">
        <f>"1551688897253126"</f>
        <v>1551688897253126</v>
      </c>
      <c r="C2437" t="s">
        <v>40</v>
      </c>
      <c r="D2437">
        <v>3.9857809999999998</v>
      </c>
      <c r="E2437">
        <v>0.53536629999999996</v>
      </c>
      <c r="F2437" t="s">
        <v>46</v>
      </c>
      <c r="G2437">
        <v>-345.839</v>
      </c>
      <c r="H2437" s="1">
        <v>1.570452E-6</v>
      </c>
      <c r="I2437">
        <v>285.0274</v>
      </c>
      <c r="J2437">
        <v>-325.81400000000002</v>
      </c>
      <c r="K2437">
        <v>1.10886</v>
      </c>
      <c r="L2437">
        <v>284.7235</v>
      </c>
      <c r="M2437">
        <v>-0.9999055</v>
      </c>
      <c r="N2437">
        <v>-7.7599829999999998E-3</v>
      </c>
      <c r="O2437">
        <v>1.135244E-2</v>
      </c>
      <c r="P2437">
        <v>-0.94183360000000005</v>
      </c>
      <c r="Q2437">
        <v>0.33241549999999997</v>
      </c>
      <c r="R2437">
        <v>-4.9492939999999999E-2</v>
      </c>
      <c r="S2437">
        <v>-3.2519529999999999</v>
      </c>
      <c r="T2437">
        <v>-0.17734710000000001</v>
      </c>
      <c r="U2437">
        <v>4.9163819999999997E-2</v>
      </c>
      <c r="V2437">
        <v>-6.0204390000000003E-2</v>
      </c>
      <c r="W2437">
        <v>0.33970549999999999</v>
      </c>
      <c r="X2437">
        <v>0.93860299999999997</v>
      </c>
      <c r="Y2437">
        <v>3.7700659999999999E-3</v>
      </c>
      <c r="Z2437">
        <v>-4.131947E-4</v>
      </c>
      <c r="AA2437">
        <v>0.99999280000000002</v>
      </c>
      <c r="AB2437">
        <v>57</v>
      </c>
      <c r="AC2437">
        <v>-20.024999999999899</v>
      </c>
      <c r="AD2437">
        <v>-1.108858429548</v>
      </c>
      <c r="AE2437">
        <v>0.30389999999999801</v>
      </c>
      <c r="AF2437">
        <v>7.6307048650943496E-2</v>
      </c>
      <c r="AG2437">
        <v>-1.108858429548</v>
      </c>
      <c r="AH2437">
        <v>19.965953151109002</v>
      </c>
      <c r="AI2437">
        <v>93.178773642721197</v>
      </c>
      <c r="AJ2437">
        <v>89.781024701657998</v>
      </c>
      <c r="AK2437">
        <v>19.996866629918099</v>
      </c>
      <c r="AL2437">
        <v>70.141067304411393</v>
      </c>
      <c r="AM2437">
        <v>93.670069705916603</v>
      </c>
      <c r="AN2437">
        <v>0.99999999345726098</v>
      </c>
    </row>
    <row r="2438" spans="1:40" x14ac:dyDescent="0.25">
      <c r="A2438" t="str">
        <f>"20190304164137281"</f>
        <v>20190304164137281</v>
      </c>
      <c r="B2438" t="str">
        <f>"1551688897273622"</f>
        <v>1551688897273622</v>
      </c>
      <c r="C2438" t="s">
        <v>40</v>
      </c>
      <c r="D2438">
        <v>3.9918640000000001</v>
      </c>
      <c r="E2438">
        <v>0.53461069999999999</v>
      </c>
      <c r="F2438" t="s">
        <v>41</v>
      </c>
      <c r="G2438">
        <v>-326.96879999999999</v>
      </c>
      <c r="H2438">
        <v>1.044883</v>
      </c>
      <c r="I2438">
        <v>284.74279999999999</v>
      </c>
      <c r="J2438">
        <v>-326.21609999999998</v>
      </c>
      <c r="K2438">
        <v>1.108846</v>
      </c>
      <c r="L2438">
        <v>284.72809999999998</v>
      </c>
      <c r="M2438">
        <v>-0.99990579999999996</v>
      </c>
      <c r="N2438">
        <v>-7.7718029999999999E-3</v>
      </c>
      <c r="O2438">
        <v>1.1328420000000001E-2</v>
      </c>
      <c r="P2438">
        <v>-0.94277699999999998</v>
      </c>
      <c r="Q2438">
        <v>0.3300379</v>
      </c>
      <c r="R2438">
        <v>-4.7400860000000003E-2</v>
      </c>
      <c r="S2438">
        <v>-3.251709</v>
      </c>
      <c r="T2438">
        <v>-0.18022289999999999</v>
      </c>
      <c r="U2438">
        <v>5.3955080000000002E-2</v>
      </c>
      <c r="V2438">
        <v>-5.8101609999999998E-2</v>
      </c>
      <c r="W2438">
        <v>0.33734629999999999</v>
      </c>
      <c r="X2438">
        <v>0.93958589999999997</v>
      </c>
      <c r="Y2438">
        <v>5.265924E-3</v>
      </c>
      <c r="Z2438">
        <v>-3.7304450000000001E-4</v>
      </c>
      <c r="AA2438">
        <v>0.99998609999999999</v>
      </c>
      <c r="AB2438">
        <v>57</v>
      </c>
      <c r="AC2438">
        <v>-0.75270000000000403</v>
      </c>
      <c r="AD2438">
        <v>-6.3962999999999895E-2</v>
      </c>
      <c r="AE2438">
        <v>1.47000000000048E-2</v>
      </c>
      <c r="AF2438">
        <v>6.1276661797326397E-3</v>
      </c>
      <c r="AG2438">
        <v>-6.3962999999999895E-2</v>
      </c>
      <c r="AH2438">
        <v>0.74742294219113303</v>
      </c>
      <c r="AI2438">
        <v>94.891180144218794</v>
      </c>
      <c r="AJ2438">
        <v>89.530277270250906</v>
      </c>
      <c r="AK2438">
        <v>0.75017989054323497</v>
      </c>
      <c r="AL2438">
        <v>70.284721308109695</v>
      </c>
      <c r="AM2438">
        <v>93.538520055037907</v>
      </c>
      <c r="AN2438">
        <v>0.99999999334354595</v>
      </c>
    </row>
    <row r="2439" spans="1:40" x14ac:dyDescent="0.25">
      <c r="A2439" t="str">
        <f>"20190304164137296"</f>
        <v>20190304164137296</v>
      </c>
      <c r="B2439" t="str">
        <f>"1551688897283384"</f>
        <v>1551688897283384</v>
      </c>
      <c r="C2439" t="s">
        <v>40</v>
      </c>
      <c r="D2439">
        <v>3.9672610000000001</v>
      </c>
      <c r="E2439">
        <v>0.53430369999999905</v>
      </c>
      <c r="F2439" t="s">
        <v>46</v>
      </c>
      <c r="G2439">
        <v>-345.57089999999999</v>
      </c>
      <c r="H2439" s="1">
        <v>1.427764E-6</v>
      </c>
      <c r="I2439">
        <v>285.03870000000001</v>
      </c>
      <c r="J2439">
        <v>-326.59010000000001</v>
      </c>
      <c r="K2439">
        <v>1.1088389999999999</v>
      </c>
      <c r="L2439">
        <v>284.73239999999998</v>
      </c>
      <c r="M2439">
        <v>-0.99990579999999996</v>
      </c>
      <c r="N2439">
        <v>-7.7827769999999899E-3</v>
      </c>
      <c r="O2439">
        <v>1.1306429999999999E-2</v>
      </c>
      <c r="P2439">
        <v>-0.94332150000000003</v>
      </c>
      <c r="Q2439">
        <v>0.32854689999999998</v>
      </c>
      <c r="R2439">
        <v>-4.692375E-2</v>
      </c>
      <c r="S2439">
        <v>-3.2498170000000002</v>
      </c>
      <c r="T2439">
        <v>-0.18618309999999999</v>
      </c>
      <c r="U2439">
        <v>5.2154539999999999E-2</v>
      </c>
      <c r="V2439">
        <v>-5.7611049999999997E-2</v>
      </c>
      <c r="W2439">
        <v>0.33586949999999999</v>
      </c>
      <c r="X2439">
        <v>0.94014500000000001</v>
      </c>
      <c r="Y2439">
        <v>4.7450540000000003E-3</v>
      </c>
      <c r="Z2439">
        <v>-4.0493320000000002E-4</v>
      </c>
      <c r="AA2439">
        <v>0.99998869999999895</v>
      </c>
      <c r="AB2439">
        <v>57</v>
      </c>
      <c r="AC2439">
        <v>-18.980799999999899</v>
      </c>
      <c r="AD2439">
        <v>-1.108837572236</v>
      </c>
      <c r="AE2439">
        <v>0.306300000000021</v>
      </c>
      <c r="AF2439">
        <v>9.1357135983648696E-2</v>
      </c>
      <c r="AG2439">
        <v>-1.108837572236</v>
      </c>
      <c r="AH2439">
        <v>18.9185022822851</v>
      </c>
      <c r="AI2439">
        <v>93.354302243928203</v>
      </c>
      <c r="AJ2439">
        <v>89.723321774854696</v>
      </c>
      <c r="AK2439">
        <v>18.951189817336601</v>
      </c>
      <c r="AL2439">
        <v>70.374579288041502</v>
      </c>
      <c r="AM2439">
        <v>93.5066373800463</v>
      </c>
      <c r="AN2439">
        <v>0.99999998756867603</v>
      </c>
    </row>
    <row r="2440" spans="1:40" x14ac:dyDescent="0.25">
      <c r="A2440" t="str">
        <f>"20190304164137309"</f>
        <v>20190304164137309</v>
      </c>
      <c r="B2440" t="str">
        <f>"1551688897303880"</f>
        <v>1551688897303880</v>
      </c>
      <c r="C2440" t="s">
        <v>40</v>
      </c>
      <c r="D2440">
        <v>3.9870489999999998</v>
      </c>
      <c r="E2440">
        <v>0.52961130000000001</v>
      </c>
      <c r="F2440" t="s">
        <v>46</v>
      </c>
      <c r="G2440">
        <v>-345.46109999999999</v>
      </c>
      <c r="H2440" s="1">
        <v>1.3693529999999999E-6</v>
      </c>
      <c r="I2440">
        <v>285.01949999999999</v>
      </c>
      <c r="J2440">
        <v>-326.95549999999997</v>
      </c>
      <c r="K2440">
        <v>1.1088309999999999</v>
      </c>
      <c r="L2440">
        <v>284.73649999999998</v>
      </c>
      <c r="M2440">
        <v>-0.99990599999999996</v>
      </c>
      <c r="N2440">
        <v>-7.793454E-3</v>
      </c>
      <c r="O2440">
        <v>1.128474E-2</v>
      </c>
      <c r="P2440">
        <v>-0.94394860000000003</v>
      </c>
      <c r="Q2440">
        <v>0.32674890000000001</v>
      </c>
      <c r="R2440">
        <v>-4.686125E-2</v>
      </c>
      <c r="S2440">
        <v>-3.2492070000000002</v>
      </c>
      <c r="T2440">
        <v>-0.19091920000000001</v>
      </c>
      <c r="U2440">
        <v>4.943848E-2</v>
      </c>
      <c r="V2440">
        <v>-5.7535849999999999E-2</v>
      </c>
      <c r="W2440">
        <v>0.33408710000000003</v>
      </c>
      <c r="X2440">
        <v>0.94078450000000002</v>
      </c>
      <c r="Y2440">
        <v>3.9360000000000003E-3</v>
      </c>
      <c r="Z2440">
        <v>-4.4367670000000002E-4</v>
      </c>
      <c r="AA2440">
        <v>0.99999210000000005</v>
      </c>
      <c r="AB2440">
        <v>57</v>
      </c>
      <c r="AC2440">
        <v>-18.505600000000001</v>
      </c>
      <c r="AD2440">
        <v>-1.10882963064699</v>
      </c>
      <c r="AE2440">
        <v>0.28300000000001502</v>
      </c>
      <c r="AF2440">
        <v>7.3879578481970395E-2</v>
      </c>
      <c r="AG2440">
        <v>-1.10882963064699</v>
      </c>
      <c r="AH2440">
        <v>18.441421645882802</v>
      </c>
      <c r="AI2440">
        <v>93.440860255635798</v>
      </c>
      <c r="AJ2440">
        <v>89.770464258394995</v>
      </c>
      <c r="AK2440">
        <v>18.474874658929402</v>
      </c>
      <c r="AL2440">
        <v>70.482965870618003</v>
      </c>
      <c r="AM2440">
        <v>93.499696926488696</v>
      </c>
      <c r="AN2440">
        <v>1.00000001993094</v>
      </c>
    </row>
    <row r="2441" spans="1:40" x14ac:dyDescent="0.25">
      <c r="A2441" t="str">
        <f>"20190304164137323"</f>
        <v>20190304164137323</v>
      </c>
      <c r="B2441" t="str">
        <f>"1551688897313638"</f>
        <v>1551688897313638</v>
      </c>
      <c r="C2441" t="s">
        <v>40</v>
      </c>
      <c r="D2441">
        <v>3.9952369999999999</v>
      </c>
      <c r="E2441">
        <v>0.52936850000000002</v>
      </c>
      <c r="F2441" t="s">
        <v>46</v>
      </c>
      <c r="G2441">
        <v>-344.51190000000003</v>
      </c>
      <c r="H2441" s="1">
        <v>8.6423220000000004E-7</v>
      </c>
      <c r="I2441">
        <v>284.79320000000001</v>
      </c>
      <c r="J2441">
        <v>-327.3</v>
      </c>
      <c r="K2441">
        <v>1.108822</v>
      </c>
      <c r="L2441">
        <v>284.74040000000002</v>
      </c>
      <c r="M2441">
        <v>-0.99990619999999997</v>
      </c>
      <c r="N2441">
        <v>-7.8034790000000003E-3</v>
      </c>
      <c r="O2441">
        <v>1.1264059999999999E-2</v>
      </c>
      <c r="P2441">
        <v>-0.9447451</v>
      </c>
      <c r="Q2441">
        <v>0.324443599999999</v>
      </c>
      <c r="R2441">
        <v>-4.6832869999999999E-2</v>
      </c>
      <c r="S2441">
        <v>-3.249695</v>
      </c>
      <c r="T2441">
        <v>-0.2052445</v>
      </c>
      <c r="U2441">
        <v>1.049805E-2</v>
      </c>
      <c r="V2441">
        <v>-5.7497670000000001E-2</v>
      </c>
      <c r="W2441">
        <v>0.3317967</v>
      </c>
      <c r="X2441">
        <v>0.94159700000000002</v>
      </c>
      <c r="Y2441">
        <v>-7.998949E-3</v>
      </c>
      <c r="Z2441">
        <v>-9.0645980000000003E-4</v>
      </c>
      <c r="AA2441">
        <v>0.99996759999999996</v>
      </c>
      <c r="AB2441">
        <v>57</v>
      </c>
      <c r="AC2441">
        <v>-17.2119</v>
      </c>
      <c r="AD2441">
        <v>-1.1088211357677999</v>
      </c>
      <c r="AE2441">
        <v>5.2799999999990598E-2</v>
      </c>
      <c r="AF2441">
        <v>-0.14050200877826099</v>
      </c>
      <c r="AG2441">
        <v>-1.1088211357677999</v>
      </c>
      <c r="AH2441">
        <v>17.1402684719463</v>
      </c>
      <c r="AI2441">
        <v>93.701239802361997</v>
      </c>
      <c r="AJ2441">
        <v>90.469653776372894</v>
      </c>
      <c r="AK2441">
        <v>17.176671051632599</v>
      </c>
      <c r="AL2441">
        <v>70.622135222585001</v>
      </c>
      <c r="AM2441">
        <v>93.494369948622804</v>
      </c>
      <c r="AN2441">
        <v>0.99999997129765905</v>
      </c>
    </row>
    <row r="2442" spans="1:40" x14ac:dyDescent="0.25">
      <c r="A2442" t="str">
        <f>"20190304164137337"</f>
        <v>20190304164137337</v>
      </c>
      <c r="B2442" t="str">
        <f>"1551688897323398"</f>
        <v>1551688897323398</v>
      </c>
      <c r="C2442" t="s">
        <v>40</v>
      </c>
      <c r="D2442">
        <v>3.9868429999999999</v>
      </c>
      <c r="E2442">
        <v>0.52893089999999998</v>
      </c>
      <c r="F2442" t="s">
        <v>41</v>
      </c>
      <c r="G2442">
        <v>-328.49990000000003</v>
      </c>
      <c r="H2442">
        <v>1.0320640000000001</v>
      </c>
      <c r="I2442">
        <v>284.74380000000002</v>
      </c>
      <c r="J2442">
        <v>-327.67219999999998</v>
      </c>
      <c r="K2442">
        <v>1.1088100000000001</v>
      </c>
      <c r="L2442">
        <v>284.74459999999999</v>
      </c>
      <c r="M2442">
        <v>-0.99990639999999997</v>
      </c>
      <c r="N2442">
        <v>-7.8142639999999996E-3</v>
      </c>
      <c r="O2442">
        <v>1.124154E-2</v>
      </c>
      <c r="P2442">
        <v>-0.94666170000000005</v>
      </c>
      <c r="Q2442">
        <v>0.31882519999999998</v>
      </c>
      <c r="R2442">
        <v>-4.6716460000000001E-2</v>
      </c>
      <c r="S2442">
        <v>-3.2473139999999998</v>
      </c>
      <c r="T2442">
        <v>-0.20791889999999999</v>
      </c>
      <c r="U2442">
        <v>8.3312990000000003E-3</v>
      </c>
      <c r="V2442">
        <v>-5.738157E-2</v>
      </c>
      <c r="W2442">
        <v>0.32620369999999999</v>
      </c>
      <c r="X2442">
        <v>0.94355630000000001</v>
      </c>
      <c r="Y2442">
        <v>-8.6388260000000005E-3</v>
      </c>
      <c r="Z2442">
        <v>-9.4132530000000001E-4</v>
      </c>
      <c r="AA2442">
        <v>0.99996229999999997</v>
      </c>
      <c r="AB2442">
        <v>57</v>
      </c>
      <c r="AC2442">
        <v>-0.82770000000004895</v>
      </c>
      <c r="AD2442">
        <v>-7.6746000000000203E-2</v>
      </c>
      <c r="AE2442">
        <v>-7.9999999996971296E-4</v>
      </c>
      <c r="AF2442">
        <v>-1.0018720505501E-2</v>
      </c>
      <c r="AG2442">
        <v>-7.6746000000000203E-2</v>
      </c>
      <c r="AH2442">
        <v>0.82058384663929496</v>
      </c>
      <c r="AI2442">
        <v>95.3427116552417</v>
      </c>
      <c r="AJ2442">
        <v>90.699504241014395</v>
      </c>
      <c r="AK2442">
        <v>0.82422580197535</v>
      </c>
      <c r="AL2442">
        <v>70.961483156652903</v>
      </c>
      <c r="AM2442">
        <v>93.480107856909996</v>
      </c>
      <c r="AN2442">
        <v>0.99999999486952196</v>
      </c>
    </row>
    <row r="2443" spans="1:40" x14ac:dyDescent="0.25">
      <c r="A2443" t="str">
        <f>"20190304164137355"</f>
        <v>20190304164137355</v>
      </c>
      <c r="B2443" t="str">
        <f>"1551688897343427"</f>
        <v>1551688897343427</v>
      </c>
      <c r="C2443" t="s">
        <v>40</v>
      </c>
      <c r="D2443">
        <v>3.953919</v>
      </c>
      <c r="E2443">
        <v>0.52842900000000004</v>
      </c>
      <c r="F2443" t="s">
        <v>46</v>
      </c>
      <c r="G2443">
        <v>-343.73809999999997</v>
      </c>
      <c r="H2443" s="1">
        <v>4.5245959999999999E-7</v>
      </c>
      <c r="I2443">
        <v>284.77120000000002</v>
      </c>
      <c r="J2443">
        <v>-328.08300000000003</v>
      </c>
      <c r="K2443">
        <v>1.108798</v>
      </c>
      <c r="L2443">
        <v>284.74919999999997</v>
      </c>
      <c r="M2443">
        <v>-0.99990650000000003</v>
      </c>
      <c r="N2443">
        <v>-7.8261200000000006E-3</v>
      </c>
      <c r="O2443">
        <v>1.121669E-2</v>
      </c>
      <c r="P2443">
        <v>-0.9478375</v>
      </c>
      <c r="Q2443">
        <v>0.31536510000000001</v>
      </c>
      <c r="R2443">
        <v>-4.6355550000000002E-2</v>
      </c>
      <c r="S2443">
        <v>-3.24472</v>
      </c>
      <c r="T2443">
        <v>-0.22393850000000001</v>
      </c>
      <c r="U2443">
        <v>5.3710939999999999E-3</v>
      </c>
      <c r="V2443">
        <v>-5.7010819999999997E-2</v>
      </c>
      <c r="W2443">
        <v>0.322764099999999</v>
      </c>
      <c r="X2443">
        <v>0.94476090000000001</v>
      </c>
      <c r="Y2443">
        <v>-9.5156129999999992E-3</v>
      </c>
      <c r="Z2443">
        <v>-1.050767E-3</v>
      </c>
      <c r="AA2443">
        <v>0.99995420000000002</v>
      </c>
      <c r="AB2443">
        <v>57</v>
      </c>
      <c r="AC2443">
        <v>-15.6550999999999</v>
      </c>
      <c r="AD2443">
        <v>-1.1087975475403999</v>
      </c>
      <c r="AE2443">
        <v>2.20000000000482E-2</v>
      </c>
      <c r="AF2443">
        <v>-0.152838460742652</v>
      </c>
      <c r="AG2443">
        <v>-1.1087975475403999</v>
      </c>
      <c r="AH2443">
        <v>15.576225325546901</v>
      </c>
      <c r="AI2443">
        <v>94.071550871253393</v>
      </c>
      <c r="AJ2443">
        <v>90.562184838538798</v>
      </c>
      <c r="AK2443">
        <v>15.616388410536</v>
      </c>
      <c r="AL2443">
        <v>71.169831981217698</v>
      </c>
      <c r="AM2443">
        <v>93.453279172034001</v>
      </c>
      <c r="AN2443">
        <v>1.00000002800734</v>
      </c>
    </row>
    <row r="2444" spans="1:40" x14ac:dyDescent="0.25">
      <c r="A2444" t="str">
        <f>"20190304164137370"</f>
        <v>20190304164137370</v>
      </c>
      <c r="B2444" t="str">
        <f>"1551688897363923"</f>
        <v>1551688897363923</v>
      </c>
      <c r="C2444" t="s">
        <v>40</v>
      </c>
      <c r="D2444">
        <v>3.9446029999999999</v>
      </c>
      <c r="E2444">
        <v>0.52770729999999999</v>
      </c>
      <c r="F2444" t="s">
        <v>46</v>
      </c>
      <c r="G2444">
        <v>-343.5369</v>
      </c>
      <c r="H2444" s="1">
        <v>3.4539019999999998E-7</v>
      </c>
      <c r="I2444">
        <v>284.76459999999997</v>
      </c>
      <c r="J2444">
        <v>-328.50130000000001</v>
      </c>
      <c r="K2444">
        <v>1.1087830000000001</v>
      </c>
      <c r="L2444">
        <v>284.75389999999999</v>
      </c>
      <c r="M2444">
        <v>-0.99990670000000004</v>
      </c>
      <c r="N2444">
        <v>-7.8381619999999992E-3</v>
      </c>
      <c r="O2444">
        <v>1.119095E-2</v>
      </c>
      <c r="P2444">
        <v>-0.94900249999999997</v>
      </c>
      <c r="Q2444">
        <v>0.3119905</v>
      </c>
      <c r="R2444">
        <v>-4.5344519999999999E-2</v>
      </c>
      <c r="S2444">
        <v>-3.2426759999999999</v>
      </c>
      <c r="T2444">
        <v>-0.23265739999999999</v>
      </c>
      <c r="U2444">
        <v>3.2348630000000001E-3</v>
      </c>
      <c r="V2444">
        <v>-5.5989120000000003E-2</v>
      </c>
      <c r="W2444">
        <v>0.31941009999999997</v>
      </c>
      <c r="X2444">
        <v>0.9459611</v>
      </c>
      <c r="Y2444">
        <v>-1.014201E-2</v>
      </c>
      <c r="Z2444">
        <v>-1.117446E-3</v>
      </c>
      <c r="AA2444">
        <v>0.99994799999999995</v>
      </c>
      <c r="AB2444">
        <v>57</v>
      </c>
      <c r="AC2444">
        <v>-15.035599999999899</v>
      </c>
      <c r="AD2444">
        <v>-1.1087826546098001</v>
      </c>
      <c r="AE2444">
        <v>1.06999999999857E-2</v>
      </c>
      <c r="AF2444">
        <v>-0.15671623370287999</v>
      </c>
      <c r="AG2444">
        <v>-1.1087826546098001</v>
      </c>
      <c r="AH2444">
        <v>14.9534590124792</v>
      </c>
      <c r="AI2444">
        <v>94.240427018311095</v>
      </c>
      <c r="AJ2444">
        <v>90.600453048414195</v>
      </c>
      <c r="AK2444">
        <v>14.9953291191279</v>
      </c>
      <c r="AL2444">
        <v>71.372745971336499</v>
      </c>
      <c r="AM2444">
        <v>93.387245147983293</v>
      </c>
      <c r="AN2444">
        <v>0.99999999812679696</v>
      </c>
    </row>
    <row r="2445" spans="1:40" x14ac:dyDescent="0.25">
      <c r="A2445" t="str">
        <f>"20190304164137385"</f>
        <v>20190304164137385</v>
      </c>
      <c r="B2445" t="str">
        <f>"1551688897373682"</f>
        <v>1551688897373682</v>
      </c>
      <c r="C2445" t="s">
        <v>40</v>
      </c>
      <c r="D2445">
        <v>3.9759259999999998</v>
      </c>
      <c r="E2445">
        <v>0.52770729999999999</v>
      </c>
      <c r="F2445" t="s">
        <v>46</v>
      </c>
      <c r="G2445">
        <v>-346.52609999999999</v>
      </c>
      <c r="H2445" s="1">
        <v>1.936056E-6</v>
      </c>
      <c r="I2445">
        <v>284.78219999999999</v>
      </c>
      <c r="J2445">
        <v>-328.88</v>
      </c>
      <c r="K2445">
        <v>1.10876</v>
      </c>
      <c r="L2445">
        <v>284.75810000000001</v>
      </c>
      <c r="M2445">
        <v>-0.99990699999999999</v>
      </c>
      <c r="N2445">
        <v>-7.8490079999999993E-3</v>
      </c>
      <c r="O2445">
        <v>1.116777E-2</v>
      </c>
      <c r="P2445">
        <v>-0.9513045</v>
      </c>
      <c r="Q2445">
        <v>0.30520419999999998</v>
      </c>
      <c r="R2445">
        <v>-4.3248439999999999E-2</v>
      </c>
      <c r="S2445">
        <v>-3.226715</v>
      </c>
      <c r="T2445">
        <v>-0.19848969999999999</v>
      </c>
      <c r="U2445">
        <v>5.065918E-3</v>
      </c>
      <c r="V2445">
        <v>-5.3896510000000002E-2</v>
      </c>
      <c r="W2445">
        <v>0.31265310000000002</v>
      </c>
      <c r="X2445">
        <v>0.94833710000000004</v>
      </c>
      <c r="Y2445">
        <v>-9.5617589999999995E-3</v>
      </c>
      <c r="Z2445">
        <v>-9.3011289999999996E-4</v>
      </c>
      <c r="AA2445">
        <v>0.99995389999999995</v>
      </c>
      <c r="AB2445">
        <v>58</v>
      </c>
      <c r="AC2445">
        <v>-17.646099999999901</v>
      </c>
      <c r="AD2445">
        <v>-1.108758063944</v>
      </c>
      <c r="AE2445">
        <v>2.4099999999975801E-2</v>
      </c>
      <c r="AF2445">
        <v>-0.172294909451495</v>
      </c>
      <c r="AG2445">
        <v>-1.108758063944</v>
      </c>
      <c r="AH2445">
        <v>17.575879369768501</v>
      </c>
      <c r="AI2445">
        <v>93.609494916675899</v>
      </c>
      <c r="AJ2445">
        <v>90.561647854833595</v>
      </c>
      <c r="AK2445">
        <v>17.6116599331476</v>
      </c>
      <c r="AL2445">
        <v>71.780808895390294</v>
      </c>
      <c r="AM2445">
        <v>93.252771868611703</v>
      </c>
      <c r="AN2445">
        <v>1.00000002498309</v>
      </c>
    </row>
    <row r="2446" spans="1:40" x14ac:dyDescent="0.25">
      <c r="A2446" t="str">
        <f>"20190304164137400"</f>
        <v>20190304164137400</v>
      </c>
      <c r="B2446" t="str">
        <f>"1551688897393203"</f>
        <v>1551688897393203</v>
      </c>
      <c r="C2446" t="s">
        <v>40</v>
      </c>
      <c r="D2446">
        <v>3.9648370000000002</v>
      </c>
      <c r="E2446">
        <v>0.52631930000000005</v>
      </c>
      <c r="F2446" t="s">
        <v>41</v>
      </c>
      <c r="G2446">
        <v>-330.04289999999997</v>
      </c>
      <c r="H2446">
        <v>1.0290269999999999</v>
      </c>
      <c r="I2446">
        <v>284.7636</v>
      </c>
      <c r="J2446">
        <v>-329.25740000000002</v>
      </c>
      <c r="K2446">
        <v>1.108746</v>
      </c>
      <c r="L2446">
        <v>284.76240000000001</v>
      </c>
      <c r="M2446">
        <v>-0.99990699999999999</v>
      </c>
      <c r="N2446">
        <v>-7.8596450000000002E-3</v>
      </c>
      <c r="O2446">
        <v>1.1144950000000001E-2</v>
      </c>
      <c r="P2446">
        <v>-0.9524762</v>
      </c>
      <c r="Q2446">
        <v>0.30169750000000001</v>
      </c>
      <c r="R2446">
        <v>-4.2043570000000002E-2</v>
      </c>
      <c r="S2446">
        <v>-3.2252200000000002</v>
      </c>
      <c r="T2446">
        <v>-0.22116269999999999</v>
      </c>
      <c r="U2446">
        <v>1.5075679999999999E-2</v>
      </c>
      <c r="V2446">
        <v>-5.2683559999999997E-2</v>
      </c>
      <c r="W2446">
        <v>0.30916529999999998</v>
      </c>
      <c r="X2446">
        <v>0.9495479</v>
      </c>
      <c r="Y2446">
        <v>-6.433846E-3</v>
      </c>
      <c r="Z2446">
        <v>-9.2146869999999996E-4</v>
      </c>
      <c r="AA2446">
        <v>0.9999789</v>
      </c>
      <c r="AB2446">
        <v>58</v>
      </c>
      <c r="AC2446">
        <v>-0.78549999999995601</v>
      </c>
      <c r="AD2446">
        <v>-7.9718999999999804E-2</v>
      </c>
      <c r="AE2446">
        <v>1.1999999999829901E-3</v>
      </c>
      <c r="AF2446">
        <v>-7.4776842802018496E-3</v>
      </c>
      <c r="AG2446">
        <v>-7.9718999999999804E-2</v>
      </c>
      <c r="AH2446">
        <v>0.777456908054178</v>
      </c>
      <c r="AI2446">
        <v>95.854273696830205</v>
      </c>
      <c r="AJ2446">
        <v>90.5510614603119</v>
      </c>
      <c r="AK2446">
        <v>0.78156911313354505</v>
      </c>
      <c r="AL2446">
        <v>71.991064775255296</v>
      </c>
      <c r="AM2446">
        <v>93.175673367195103</v>
      </c>
      <c r="AN2446">
        <v>0.99999997730638601</v>
      </c>
    </row>
    <row r="2447" spans="1:40" x14ac:dyDescent="0.25">
      <c r="A2447" t="str">
        <f>"20190304164137412"</f>
        <v>20190304164137412</v>
      </c>
      <c r="B2447" t="str">
        <f>"1551688897403938"</f>
        <v>1551688897403938</v>
      </c>
      <c r="C2447" t="s">
        <v>40</v>
      </c>
      <c r="D2447">
        <v>3.9508299999999998</v>
      </c>
      <c r="E2447">
        <v>0.52599839999999998</v>
      </c>
      <c r="F2447" t="s">
        <v>46</v>
      </c>
      <c r="G2447">
        <v>-345.06130000000002</v>
      </c>
      <c r="H2447" s="1">
        <v>1.1566000000000001E-6</v>
      </c>
      <c r="I2447">
        <v>284.8109</v>
      </c>
      <c r="J2447">
        <v>-329.60390000000001</v>
      </c>
      <c r="K2447">
        <v>1.108727</v>
      </c>
      <c r="L2447">
        <v>284.7663</v>
      </c>
      <c r="M2447">
        <v>-0.9999072</v>
      </c>
      <c r="N2447">
        <v>-7.8694869999999997E-3</v>
      </c>
      <c r="O2447">
        <v>1.1123930000000001E-2</v>
      </c>
      <c r="P2447">
        <v>-0.95383980000000002</v>
      </c>
      <c r="Q2447">
        <v>0.2975295</v>
      </c>
      <c r="R2447">
        <v>-4.0812649999999999E-2</v>
      </c>
      <c r="S2447">
        <v>-3.2217410000000002</v>
      </c>
      <c r="T2447">
        <v>-0.22602459999999999</v>
      </c>
      <c r="U2447">
        <v>9.8876950000000002E-3</v>
      </c>
      <c r="V2447">
        <v>-5.1447720000000002E-2</v>
      </c>
      <c r="W2447">
        <v>0.30501800000000001</v>
      </c>
      <c r="X2447">
        <v>0.95095589999999997</v>
      </c>
      <c r="Y2447">
        <v>-8.0119130000000007E-3</v>
      </c>
      <c r="Z2447">
        <v>-1.004254E-3</v>
      </c>
      <c r="AA2447">
        <v>0.99996739999999995</v>
      </c>
      <c r="AB2447">
        <v>58</v>
      </c>
      <c r="AC2447">
        <v>-15.4574</v>
      </c>
      <c r="AD2447">
        <v>-1.1087258434</v>
      </c>
      <c r="AE2447">
        <v>4.4600000000002603E-2</v>
      </c>
      <c r="AF2447">
        <v>-0.12670324508671901</v>
      </c>
      <c r="AG2447">
        <v>-1.1087258434</v>
      </c>
      <c r="AH2447">
        <v>15.3778232572925</v>
      </c>
      <c r="AI2447">
        <v>94.123693814868801</v>
      </c>
      <c r="AJ2447">
        <v>90.472069213114906</v>
      </c>
      <c r="AK2447">
        <v>15.418261083555</v>
      </c>
      <c r="AL2447">
        <v>72.2407529101515</v>
      </c>
      <c r="AM2447">
        <v>93.096743315766702</v>
      </c>
      <c r="AN2447">
        <v>0.99999998598100404</v>
      </c>
    </row>
    <row r="2448" spans="1:40" x14ac:dyDescent="0.25">
      <c r="A2448" t="str">
        <f>"20190304164137426"</f>
        <v>20190304164137426</v>
      </c>
      <c r="B2448" t="str">
        <f>"1551688897413699"</f>
        <v>1551688897413699</v>
      </c>
      <c r="C2448" t="s">
        <v>40</v>
      </c>
      <c r="D2448">
        <v>3.9630169999999998</v>
      </c>
      <c r="E2448">
        <v>0.52573179999999997</v>
      </c>
      <c r="F2448" t="s">
        <v>41</v>
      </c>
      <c r="G2448">
        <v>-330.56709999999998</v>
      </c>
      <c r="H2448">
        <v>1.0384070000000001</v>
      </c>
      <c r="I2448">
        <v>284.7704</v>
      </c>
      <c r="J2448">
        <v>-329.94389999999999</v>
      </c>
      <c r="K2448">
        <v>1.108697</v>
      </c>
      <c r="L2448">
        <v>284.77</v>
      </c>
      <c r="M2448">
        <v>-0.9999074</v>
      </c>
      <c r="N2448">
        <v>-7.879212E-3</v>
      </c>
      <c r="O2448">
        <v>1.110326E-2</v>
      </c>
      <c r="P2448">
        <v>-0.95666519999999999</v>
      </c>
      <c r="Q2448">
        <v>0.28870800000000002</v>
      </c>
      <c r="R2448">
        <v>-3.79438E-2</v>
      </c>
      <c r="S2448">
        <v>-3.2190859999999999</v>
      </c>
      <c r="T2448">
        <v>-0.2352281</v>
      </c>
      <c r="U2448">
        <v>1.2847900000000001E-2</v>
      </c>
      <c r="V2448">
        <v>-4.8590189999999998E-2</v>
      </c>
      <c r="W2448">
        <v>0.29622900000000002</v>
      </c>
      <c r="X2448">
        <v>0.95388019999999996</v>
      </c>
      <c r="Y2448">
        <v>-7.0681819999999897E-3</v>
      </c>
      <c r="Z2448">
        <v>-1.0086520000000001E-3</v>
      </c>
      <c r="AA2448">
        <v>0.99997449999999999</v>
      </c>
      <c r="AB2448">
        <v>58</v>
      </c>
      <c r="AC2448">
        <v>-0.62319999999999698</v>
      </c>
      <c r="AD2448">
        <v>-7.0289999999999894E-2</v>
      </c>
      <c r="AE2448">
        <v>4.0000000001327803E-4</v>
      </c>
      <c r="AF2448">
        <v>-6.4378920373332196E-3</v>
      </c>
      <c r="AG2448">
        <v>-7.0289999999999894E-2</v>
      </c>
      <c r="AH2448">
        <v>0.61533811290972096</v>
      </c>
      <c r="AI2448">
        <v>96.516290455671793</v>
      </c>
      <c r="AJ2448">
        <v>90.5994274970015</v>
      </c>
      <c r="AK2448">
        <v>0.61937317003013703</v>
      </c>
      <c r="AL2448">
        <v>72.768752332427496</v>
      </c>
      <c r="AM2448">
        <v>92.9160984137296</v>
      </c>
      <c r="AN2448">
        <v>1.0000000314786299</v>
      </c>
    </row>
    <row r="2449" spans="1:40" x14ac:dyDescent="0.25">
      <c r="A2449" t="str">
        <f>"20190304164137449"</f>
        <v>20190304164137449</v>
      </c>
      <c r="B2449" t="str">
        <f>"1551688897443446"</f>
        <v>1551688897443446</v>
      </c>
      <c r="C2449" t="s">
        <v>40</v>
      </c>
      <c r="D2449">
        <v>3.9426269999999999</v>
      </c>
      <c r="E2449">
        <v>0.52471060000000003</v>
      </c>
      <c r="F2449" t="s">
        <v>41</v>
      </c>
      <c r="G2449">
        <v>-331.0718</v>
      </c>
      <c r="H2449">
        <v>1.01803</v>
      </c>
      <c r="I2449">
        <v>284.77809999999999</v>
      </c>
      <c r="J2449">
        <v>-330.54989999999998</v>
      </c>
      <c r="K2449">
        <v>1.10866</v>
      </c>
      <c r="L2449">
        <v>284.77679999999998</v>
      </c>
      <c r="M2449">
        <v>-0.99990769999999995</v>
      </c>
      <c r="N2449">
        <v>-7.8967889999999995E-3</v>
      </c>
      <c r="O2449">
        <v>1.106599E-2</v>
      </c>
      <c r="P2449">
        <v>-0.95999699999999999</v>
      </c>
      <c r="Q2449">
        <v>0.27783289999999999</v>
      </c>
      <c r="R2449">
        <v>-3.48551E-2</v>
      </c>
      <c r="S2449">
        <v>-3.2148129999999999</v>
      </c>
      <c r="T2449">
        <v>-0.25850010000000001</v>
      </c>
      <c r="U2449">
        <v>2.2796629999999998E-2</v>
      </c>
      <c r="V2449">
        <v>-4.5502260000000003E-2</v>
      </c>
      <c r="W2449">
        <v>0.28539779999999998</v>
      </c>
      <c r="X2449">
        <v>0.95732839999999997</v>
      </c>
      <c r="Y2449">
        <v>-3.9325619999999997E-3</v>
      </c>
      <c r="Z2449">
        <v>-9.7448269999999995E-4</v>
      </c>
      <c r="AA2449">
        <v>0.99999179999999999</v>
      </c>
      <c r="AB2449">
        <v>58</v>
      </c>
      <c r="AC2449">
        <v>-0.52190000000001602</v>
      </c>
      <c r="AD2449">
        <v>-9.0630000000000002E-2</v>
      </c>
      <c r="AE2449">
        <v>1.3000000000147299E-3</v>
      </c>
      <c r="AF2449">
        <v>-4.3445860144437796E-3</v>
      </c>
      <c r="AG2449">
        <v>-9.0630000000000002E-2</v>
      </c>
      <c r="AH2449">
        <v>0.50660548188224797</v>
      </c>
      <c r="AI2449">
        <v>100.142360827392</v>
      </c>
      <c r="AJ2449">
        <v>90.491349480107104</v>
      </c>
      <c r="AK2449">
        <v>0.51466667523823695</v>
      </c>
      <c r="AL2449">
        <v>73.417371751037805</v>
      </c>
      <c r="AM2449">
        <v>92.721246805787203</v>
      </c>
      <c r="AN2449">
        <v>1.00000001267825</v>
      </c>
    </row>
    <row r="2450" spans="1:40" x14ac:dyDescent="0.25">
      <c r="A2450" t="str">
        <f>"20190304164137461"</f>
        <v>20190304164137461</v>
      </c>
      <c r="B2450" t="str">
        <f>"1551688897453207"</f>
        <v>1551688897453207</v>
      </c>
      <c r="C2450" t="s">
        <v>40</v>
      </c>
      <c r="D2450">
        <v>3.9414189999999998</v>
      </c>
      <c r="E2450">
        <v>0.52450479999999999</v>
      </c>
      <c r="F2450" t="s">
        <v>41</v>
      </c>
      <c r="G2450">
        <v>-331.59030000000001</v>
      </c>
      <c r="H2450">
        <v>1.0185090000000001</v>
      </c>
      <c r="I2450">
        <v>284.78629999999998</v>
      </c>
      <c r="J2450">
        <v>-330.84969999999998</v>
      </c>
      <c r="K2450">
        <v>1.1086389999999999</v>
      </c>
      <c r="L2450">
        <v>284.7801</v>
      </c>
      <c r="M2450">
        <v>-0.99990769999999995</v>
      </c>
      <c r="N2450">
        <v>-7.9055380000000001E-3</v>
      </c>
      <c r="O2450">
        <v>1.1047649999999999E-2</v>
      </c>
      <c r="P2450">
        <v>-0.96166180000000001</v>
      </c>
      <c r="Q2450">
        <v>0.27225179999999999</v>
      </c>
      <c r="R2450">
        <v>-3.2946000000000003E-2</v>
      </c>
      <c r="S2450">
        <v>-3.2064819999999998</v>
      </c>
      <c r="T2450">
        <v>-0.27806530000000002</v>
      </c>
      <c r="U2450">
        <v>2.7984620000000002E-2</v>
      </c>
      <c r="V2450">
        <v>-4.3594010000000002E-2</v>
      </c>
      <c r="W2450">
        <v>0.27983809999999998</v>
      </c>
      <c r="X2450">
        <v>0.95905700000000005</v>
      </c>
      <c r="Y2450">
        <v>-2.277355E-3</v>
      </c>
      <c r="Z2450">
        <v>-9.7659950000000004E-4</v>
      </c>
      <c r="AA2450">
        <v>0.99999689999999997</v>
      </c>
      <c r="AB2450">
        <v>58</v>
      </c>
      <c r="AC2450">
        <v>-0.74060000000002901</v>
      </c>
      <c r="AD2450">
        <v>-9.0129999999999794E-2</v>
      </c>
      <c r="AE2450">
        <v>6.1999999999784398E-3</v>
      </c>
      <c r="AF2450">
        <v>-1.9535920903881298E-3</v>
      </c>
      <c r="AG2450">
        <v>-9.0129999999999794E-2</v>
      </c>
      <c r="AH2450">
        <v>0.72981508916246496</v>
      </c>
      <c r="AI2450">
        <v>97.040187056649998</v>
      </c>
      <c r="AJ2450">
        <v>90.153370786634</v>
      </c>
      <c r="AK2450">
        <v>0.73536201818646596</v>
      </c>
      <c r="AL2450">
        <v>73.7494588271894</v>
      </c>
      <c r="AM2450">
        <v>92.602592607989394</v>
      </c>
      <c r="AN2450">
        <v>1.00000006458424</v>
      </c>
    </row>
    <row r="2451" spans="1:40" x14ac:dyDescent="0.25">
      <c r="A2451" t="str">
        <f>"20190304164137472"</f>
        <v>20190304164137472</v>
      </c>
      <c r="B2451" t="str">
        <f>"1551688897463943"</f>
        <v>1551688897463943</v>
      </c>
      <c r="C2451" t="s">
        <v>40</v>
      </c>
      <c r="D2451">
        <v>3.9398019999999998</v>
      </c>
      <c r="E2451">
        <v>0.52426839999999997</v>
      </c>
      <c r="F2451" t="s">
        <v>41</v>
      </c>
      <c r="G2451">
        <v>-331.60329999999999</v>
      </c>
      <c r="H2451">
        <v>1.0403629999999999</v>
      </c>
      <c r="I2451">
        <v>284.7885</v>
      </c>
      <c r="J2451">
        <v>-331.14170000000001</v>
      </c>
      <c r="K2451">
        <v>1.1086149999999999</v>
      </c>
      <c r="L2451">
        <v>284.7833</v>
      </c>
      <c r="M2451">
        <v>-0.99990789999999996</v>
      </c>
      <c r="N2451">
        <v>-7.9141319999999904E-3</v>
      </c>
      <c r="O2451">
        <v>1.102967E-2</v>
      </c>
      <c r="P2451">
        <v>-0.96347340000000004</v>
      </c>
      <c r="Q2451">
        <v>0.26608789999999999</v>
      </c>
      <c r="R2451">
        <v>-3.027343E-2</v>
      </c>
      <c r="S2451">
        <v>-3.2030029999999998</v>
      </c>
      <c r="T2451">
        <v>-0.29048359999999901</v>
      </c>
      <c r="U2451">
        <v>3.4088130000000001E-2</v>
      </c>
      <c r="V2451">
        <v>-4.0924290000000002E-2</v>
      </c>
      <c r="W2451">
        <v>0.2736981</v>
      </c>
      <c r="X2451">
        <v>0.96094460000000004</v>
      </c>
      <c r="Y2451">
        <v>-3.488311E-4</v>
      </c>
      <c r="Z2451">
        <v>-9.2822599999999999E-4</v>
      </c>
      <c r="AA2451">
        <v>0.99999950000000004</v>
      </c>
      <c r="AB2451">
        <v>58</v>
      </c>
      <c r="AC2451">
        <v>-0.46159999999997497</v>
      </c>
      <c r="AD2451">
        <v>-6.8251999999999896E-2</v>
      </c>
      <c r="AE2451">
        <v>5.2000000000020901E-3</v>
      </c>
      <c r="AF2451">
        <v>1.05913554494776E-4</v>
      </c>
      <c r="AG2451">
        <v>-6.8251999999999896E-2</v>
      </c>
      <c r="AH2451">
        <v>0.45175407062206702</v>
      </c>
      <c r="AI2451">
        <v>98.591396940323193</v>
      </c>
      <c r="AJ2451">
        <v>89.986567028502407</v>
      </c>
      <c r="AK2451">
        <v>0.45688082367865701</v>
      </c>
      <c r="AL2451">
        <v>74.115555325404998</v>
      </c>
      <c r="AM2451">
        <v>92.438614104692604</v>
      </c>
      <c r="AN2451">
        <v>0.99999998586238603</v>
      </c>
    </row>
    <row r="2452" spans="1:40" x14ac:dyDescent="0.25">
      <c r="A2452" t="str">
        <f>"20190304164137484"</f>
        <v>20190304164137484</v>
      </c>
      <c r="B2452" t="str">
        <f>"1551688897473703"</f>
        <v>1551688897473703</v>
      </c>
      <c r="C2452" t="s">
        <v>40</v>
      </c>
      <c r="D2452">
        <v>3.9726140000000001</v>
      </c>
      <c r="E2452">
        <v>0.52412119999999995</v>
      </c>
      <c r="F2452" t="s">
        <v>41</v>
      </c>
      <c r="G2452">
        <v>-332.10820000000001</v>
      </c>
      <c r="H2452">
        <v>1.0165489999999999</v>
      </c>
      <c r="I2452">
        <v>284.79599999999999</v>
      </c>
      <c r="J2452">
        <v>-331.4409</v>
      </c>
      <c r="K2452">
        <v>1.1085929999999999</v>
      </c>
      <c r="L2452">
        <v>284.78660000000002</v>
      </c>
      <c r="M2452">
        <v>-0.99990800000000002</v>
      </c>
      <c r="N2452">
        <v>-7.9229090000000005E-3</v>
      </c>
      <c r="O2452">
        <v>1.1011399999999999E-2</v>
      </c>
      <c r="P2452">
        <v>-0.96516290000000005</v>
      </c>
      <c r="Q2452">
        <v>0.26019409999999998</v>
      </c>
      <c r="R2452">
        <v>-2.7563359999999999E-2</v>
      </c>
      <c r="S2452">
        <v>-3.1992189999999998</v>
      </c>
      <c r="T2452">
        <v>-0.30485020000000002</v>
      </c>
      <c r="U2452">
        <v>4.1351319999999997E-2</v>
      </c>
      <c r="V2452">
        <v>-3.8214669999999999E-2</v>
      </c>
      <c r="W2452">
        <v>0.26782660000000003</v>
      </c>
      <c r="X2452">
        <v>0.96270900000000004</v>
      </c>
      <c r="Y2452">
        <v>1.9451309999999999E-3</v>
      </c>
      <c r="Z2452">
        <v>-8.5956710000000003E-4</v>
      </c>
      <c r="AA2452">
        <v>0.99999769999999999</v>
      </c>
      <c r="AB2452">
        <v>58</v>
      </c>
      <c r="AC2452">
        <v>-0.667300000000011</v>
      </c>
      <c r="AD2452">
        <v>-9.2044000000000001E-2</v>
      </c>
      <c r="AE2452">
        <v>9.3999999999709802E-3</v>
      </c>
      <c r="AF2452">
        <v>2.0130004739217899E-3</v>
      </c>
      <c r="AG2452">
        <v>-9.2044000000000001E-2</v>
      </c>
      <c r="AH2452">
        <v>0.65490526065725796</v>
      </c>
      <c r="AI2452">
        <v>98.000225909961898</v>
      </c>
      <c r="AJ2452">
        <v>89.823888927118006</v>
      </c>
      <c r="AK2452">
        <v>0.66134488018238902</v>
      </c>
      <c r="AL2452">
        <v>74.465022808866294</v>
      </c>
      <c r="AM2452">
        <v>92.273158745162405</v>
      </c>
      <c r="AN2452">
        <v>1.0000000336758801</v>
      </c>
    </row>
    <row r="2453" spans="1:40" x14ac:dyDescent="0.25">
      <c r="A2453" t="str">
        <f>"20190304164137496"</f>
        <v>20190304164137496</v>
      </c>
      <c r="B2453" t="str">
        <f>"1551688897483463"</f>
        <v>1551688897483463</v>
      </c>
      <c r="C2453" t="s">
        <v>40</v>
      </c>
      <c r="D2453">
        <v>3.9558629999999999</v>
      </c>
      <c r="E2453">
        <v>0.52412119999999995</v>
      </c>
      <c r="F2453" t="s">
        <v>41</v>
      </c>
      <c r="G2453">
        <v>-332.61610000000002</v>
      </c>
      <c r="H2453">
        <v>0.99179530000000005</v>
      </c>
      <c r="I2453">
        <v>284.80509999999998</v>
      </c>
      <c r="J2453">
        <v>-331.75549999999998</v>
      </c>
      <c r="K2453">
        <v>1.1085719999999999</v>
      </c>
      <c r="L2453">
        <v>284.7901</v>
      </c>
      <c r="M2453">
        <v>-0.99990809999999997</v>
      </c>
      <c r="N2453">
        <v>-7.9319439999999998E-3</v>
      </c>
      <c r="O2453">
        <v>1.099204E-2</v>
      </c>
      <c r="P2453">
        <v>-0.96691470000000002</v>
      </c>
      <c r="Q2453">
        <v>0.25390020000000002</v>
      </c>
      <c r="R2453">
        <v>-2.4715150000000002E-2</v>
      </c>
      <c r="S2453">
        <v>-3.1953429999999998</v>
      </c>
      <c r="T2453">
        <v>-0.31771870000000002</v>
      </c>
      <c r="U2453">
        <v>4.9194340000000003E-2</v>
      </c>
      <c r="V2453">
        <v>-3.5366699999999897E-2</v>
      </c>
      <c r="W2453">
        <v>0.2615555</v>
      </c>
      <c r="X2453">
        <v>0.96454019999999996</v>
      </c>
      <c r="Y2453">
        <v>4.4241189999999998E-3</v>
      </c>
      <c r="Z2453">
        <v>-7.6618770000000001E-4</v>
      </c>
      <c r="AA2453">
        <v>0.99998989999999999</v>
      </c>
      <c r="AB2453">
        <v>58</v>
      </c>
      <c r="AC2453">
        <v>-0.86060000000003301</v>
      </c>
      <c r="AD2453">
        <v>-0.116776699999999</v>
      </c>
      <c r="AE2453">
        <v>1.49999999999863E-2</v>
      </c>
      <c r="AF2453">
        <v>5.4389330282143397E-3</v>
      </c>
      <c r="AG2453">
        <v>-0.116776699999999</v>
      </c>
      <c r="AH2453">
        <v>0.84515628505190099</v>
      </c>
      <c r="AI2453">
        <v>97.866684968836694</v>
      </c>
      <c r="AJ2453">
        <v>89.631282863052903</v>
      </c>
      <c r="AK2453">
        <v>0.85320309763742996</v>
      </c>
      <c r="AL2453">
        <v>74.837619026023404</v>
      </c>
      <c r="AM2453">
        <v>92.099917924510294</v>
      </c>
      <c r="AN2453">
        <v>0.99999994023258798</v>
      </c>
    </row>
    <row r="2454" spans="1:40" x14ac:dyDescent="0.25">
      <c r="A2454" t="str">
        <f>"20190304164137507"</f>
        <v>20190304164137507</v>
      </c>
      <c r="B2454" t="str">
        <f>"1551688897493224"</f>
        <v>1551688897493224</v>
      </c>
      <c r="C2454" t="s">
        <v>40</v>
      </c>
      <c r="D2454">
        <v>3.9799310000000001</v>
      </c>
      <c r="E2454">
        <v>0.52032860000000003</v>
      </c>
      <c r="F2454" t="s">
        <v>41</v>
      </c>
      <c r="G2454">
        <v>-332.6277</v>
      </c>
      <c r="H2454">
        <v>1.0161119999999999</v>
      </c>
      <c r="I2454">
        <v>284.80630000000002</v>
      </c>
      <c r="J2454">
        <v>-332.05560000000003</v>
      </c>
      <c r="K2454">
        <v>1.108541</v>
      </c>
      <c r="L2454">
        <v>284.79340000000002</v>
      </c>
      <c r="M2454">
        <v>-0.99990829999999997</v>
      </c>
      <c r="N2454">
        <v>-7.9405389999999999E-3</v>
      </c>
      <c r="O2454">
        <v>1.0973409999999999E-2</v>
      </c>
      <c r="P2454">
        <v>-0.9687095</v>
      </c>
      <c r="Q2454">
        <v>0.24722630000000001</v>
      </c>
      <c r="R2454">
        <v>-2.1943509999999999E-2</v>
      </c>
      <c r="S2454">
        <v>-3.1930540000000001</v>
      </c>
      <c r="T2454">
        <v>-0.33867079999999999</v>
      </c>
      <c r="U2454">
        <v>5.776978E-2</v>
      </c>
      <c r="V2454">
        <v>-3.259654E-2</v>
      </c>
      <c r="W2454">
        <v>0.2549054</v>
      </c>
      <c r="X2454">
        <v>0.96641639999999995</v>
      </c>
      <c r="Y2454">
        <v>7.1260069999999898E-3</v>
      </c>
      <c r="Z2454">
        <v>-6.6838879999999996E-4</v>
      </c>
      <c r="AA2454">
        <v>0.99997440000000004</v>
      </c>
      <c r="AB2454">
        <v>58</v>
      </c>
      <c r="AC2454">
        <v>-0.57209999999997696</v>
      </c>
      <c r="AD2454">
        <v>-9.2428999999999803E-2</v>
      </c>
      <c r="AE2454">
        <v>1.29000000000019E-2</v>
      </c>
      <c r="AF2454">
        <v>6.45279294375536E-3</v>
      </c>
      <c r="AG2454">
        <v>-9.2428999999999803E-2</v>
      </c>
      <c r="AH2454">
        <v>0.55765854623444899</v>
      </c>
      <c r="AI2454">
        <v>99.410303891803494</v>
      </c>
      <c r="AJ2454">
        <v>89.337047186557299</v>
      </c>
      <c r="AK2454">
        <v>0.56530329272532398</v>
      </c>
      <c r="AL2454">
        <v>75.232019933584994</v>
      </c>
      <c r="AM2454">
        <v>91.931813657765801</v>
      </c>
      <c r="AN2454">
        <v>0.99999997777904504</v>
      </c>
    </row>
    <row r="2455" spans="1:40" x14ac:dyDescent="0.25">
      <c r="A2455" t="str">
        <f>"20190304164137520"</f>
        <v>20190304164137520</v>
      </c>
      <c r="B2455" t="str">
        <f>"1551688897513719"</f>
        <v>1551688897513719</v>
      </c>
      <c r="C2455" t="s">
        <v>40</v>
      </c>
      <c r="D2455">
        <v>3.9564720000000002</v>
      </c>
      <c r="E2455">
        <v>0.52081309999999903</v>
      </c>
      <c r="F2455" t="s">
        <v>41</v>
      </c>
      <c r="G2455">
        <v>-333.15199999999999</v>
      </c>
      <c r="H2455">
        <v>1.023768</v>
      </c>
      <c r="I2455">
        <v>284.80799999999999</v>
      </c>
      <c r="J2455">
        <v>-332.39819999999997</v>
      </c>
      <c r="K2455">
        <v>1.1085160000000001</v>
      </c>
      <c r="L2455">
        <v>284.79719999999998</v>
      </c>
      <c r="M2455">
        <v>-0.99990849999999998</v>
      </c>
      <c r="N2455">
        <v>-7.9503209999999998E-3</v>
      </c>
      <c r="O2455">
        <v>1.0952089999999999E-2</v>
      </c>
      <c r="P2455">
        <v>-0.97034810000000005</v>
      </c>
      <c r="Q2455">
        <v>0.24093300000000001</v>
      </c>
      <c r="R2455">
        <v>-1.9395519999999999E-2</v>
      </c>
      <c r="S2455">
        <v>-3.1602779999999999</v>
      </c>
      <c r="T2455">
        <v>-0.24434890000000001</v>
      </c>
      <c r="U2455">
        <v>4.196167E-2</v>
      </c>
      <c r="V2455">
        <v>-3.0045680000000002E-2</v>
      </c>
      <c r="W2455">
        <v>0.2486353</v>
      </c>
      <c r="X2455">
        <v>0.96813110000000002</v>
      </c>
      <c r="Y2455">
        <v>2.3429940000000002E-3</v>
      </c>
      <c r="Z2455">
        <v>-6.5874939999999995E-4</v>
      </c>
      <c r="AA2455">
        <v>0.99999700000000002</v>
      </c>
      <c r="AB2455">
        <v>58</v>
      </c>
      <c r="AC2455">
        <v>-0.75380000000001202</v>
      </c>
      <c r="AD2455">
        <v>-8.4748000000000004E-2</v>
      </c>
      <c r="AE2455">
        <v>1.08000000000174E-2</v>
      </c>
      <c r="AF2455">
        <v>2.5116656248422098E-3</v>
      </c>
      <c r="AG2455">
        <v>-8.4748000000000004E-2</v>
      </c>
      <c r="AH2455">
        <v>0.74446497672150602</v>
      </c>
      <c r="AI2455">
        <v>96.494411722180899</v>
      </c>
      <c r="AJ2455">
        <v>89.806697026256401</v>
      </c>
      <c r="AK2455">
        <v>0.74927740759558703</v>
      </c>
      <c r="AL2455">
        <v>75.603229641292103</v>
      </c>
      <c r="AM2455">
        <v>91.777588065195701</v>
      </c>
      <c r="AN2455">
        <v>1.0000000410399801</v>
      </c>
    </row>
    <row r="2456" spans="1:40" x14ac:dyDescent="0.25">
      <c r="A2456" t="str">
        <f>"20190304164137532"</f>
        <v>20190304164137532</v>
      </c>
      <c r="B2456" t="str">
        <f>"1551688897523479"</f>
        <v>1551688897523479</v>
      </c>
      <c r="C2456" t="s">
        <v>40</v>
      </c>
      <c r="D2456">
        <v>3.9513259999999999</v>
      </c>
      <c r="E2456">
        <v>0.52043969999999995</v>
      </c>
      <c r="F2456" t="s">
        <v>46</v>
      </c>
      <c r="G2456">
        <v>-347.1653</v>
      </c>
      <c r="H2456" s="1">
        <v>2.2762260000000002E-6</v>
      </c>
      <c r="I2456">
        <v>285.05459999999999</v>
      </c>
      <c r="J2456">
        <v>-332.70069999999998</v>
      </c>
      <c r="K2456">
        <v>1.108493</v>
      </c>
      <c r="L2456">
        <v>284.8005</v>
      </c>
      <c r="M2456">
        <v>-0.99990860000000004</v>
      </c>
      <c r="N2456">
        <v>-7.958995E-3</v>
      </c>
      <c r="O2456">
        <v>1.0933460000000001E-2</v>
      </c>
      <c r="P2456">
        <v>-0.97183589999999997</v>
      </c>
      <c r="Q2456">
        <v>0.235045</v>
      </c>
      <c r="R2456">
        <v>-1.7005409999999999E-2</v>
      </c>
      <c r="S2456">
        <v>-3.1514890000000002</v>
      </c>
      <c r="T2456">
        <v>-0.236571</v>
      </c>
      <c r="U2456">
        <v>5.4931639999999997E-2</v>
      </c>
      <c r="V2456">
        <v>-2.765374E-2</v>
      </c>
      <c r="W2456">
        <v>0.24276790000000001</v>
      </c>
      <c r="X2456">
        <v>0.9696901</v>
      </c>
      <c r="Y2456">
        <v>6.4988950000000002E-3</v>
      </c>
      <c r="Z2456">
        <v>-4.631123E-4</v>
      </c>
      <c r="AA2456">
        <v>0.99997879999999995</v>
      </c>
      <c r="AB2456">
        <v>58</v>
      </c>
      <c r="AC2456">
        <v>-14.464600000000001</v>
      </c>
      <c r="AD2456">
        <v>-1.108490723774</v>
      </c>
      <c r="AE2456">
        <v>0.254099999999994</v>
      </c>
      <c r="AF2456">
        <v>9.5371749456137203E-2</v>
      </c>
      <c r="AG2456">
        <v>-1.108490723774</v>
      </c>
      <c r="AH2456">
        <v>14.382075472924001</v>
      </c>
      <c r="AI2456">
        <v>94.407231417397696</v>
      </c>
      <c r="AJ2456">
        <v>89.620060495177697</v>
      </c>
      <c r="AK2456">
        <v>14.4250456624639</v>
      </c>
      <c r="AL2456">
        <v>75.950037249256496</v>
      </c>
      <c r="AM2456">
        <v>91.633525252749294</v>
      </c>
      <c r="AN2456">
        <v>0.99999993632220097</v>
      </c>
    </row>
    <row r="2457" spans="1:40" x14ac:dyDescent="0.25">
      <c r="A2457" t="str">
        <f>"20190304164137544"</f>
        <v>20190304164137544</v>
      </c>
      <c r="B2457" t="str">
        <f>"1551688897533239"</f>
        <v>1551688897533239</v>
      </c>
      <c r="C2457" t="s">
        <v>40</v>
      </c>
      <c r="D2457">
        <v>3.9694340000000001</v>
      </c>
      <c r="E2457">
        <v>0.52002060000000006</v>
      </c>
      <c r="F2457" t="s">
        <v>41</v>
      </c>
      <c r="G2457">
        <v>-333.6771</v>
      </c>
      <c r="H2457">
        <v>1.0320670000000001</v>
      </c>
      <c r="I2457">
        <v>284.8193</v>
      </c>
      <c r="J2457">
        <v>-333.02109999999999</v>
      </c>
      <c r="K2457">
        <v>1.108468</v>
      </c>
      <c r="L2457">
        <v>284.80399999999997</v>
      </c>
      <c r="M2457">
        <v>-0.99990869999999998</v>
      </c>
      <c r="N2457">
        <v>-7.9681950000000008E-3</v>
      </c>
      <c r="O2457">
        <v>1.091375E-2</v>
      </c>
      <c r="P2457">
        <v>-0.97311040000000004</v>
      </c>
      <c r="Q2457">
        <v>0.22986110000000001</v>
      </c>
      <c r="R2457">
        <v>-1.4848719999999999E-2</v>
      </c>
      <c r="S2457">
        <v>-3.1476139999999999</v>
      </c>
      <c r="T2457">
        <v>-0.24648310000000001</v>
      </c>
      <c r="U2457">
        <v>6.0028079999999998E-2</v>
      </c>
      <c r="V2457">
        <v>-2.549088E-2</v>
      </c>
      <c r="W2457">
        <v>0.2376036</v>
      </c>
      <c r="X2457">
        <v>0.97102770000000005</v>
      </c>
      <c r="Y2457">
        <v>8.1537129999999999E-3</v>
      </c>
      <c r="Z2457">
        <v>-4.1509750000000002E-4</v>
      </c>
      <c r="AA2457">
        <v>0.99996669999999999</v>
      </c>
      <c r="AB2457">
        <v>58</v>
      </c>
      <c r="AC2457">
        <v>-0.65600000000000502</v>
      </c>
      <c r="AD2457">
        <v>-7.64009999999999E-2</v>
      </c>
      <c r="AE2457">
        <v>1.5299999999967799E-2</v>
      </c>
      <c r="AF2457">
        <v>8.0305733326254507E-3</v>
      </c>
      <c r="AG2457">
        <v>-7.64009999999999E-2</v>
      </c>
      <c r="AH2457">
        <v>0.64735195284815406</v>
      </c>
      <c r="AI2457">
        <v>96.730444644747493</v>
      </c>
      <c r="AJ2457">
        <v>89.289267057015493</v>
      </c>
      <c r="AK2457">
        <v>0.65189428112644798</v>
      </c>
      <c r="AL2457">
        <v>76.254854410883098</v>
      </c>
      <c r="AM2457">
        <v>91.503751621763101</v>
      </c>
      <c r="AN2457">
        <v>1.00000002493171</v>
      </c>
    </row>
    <row r="2458" spans="1:40" x14ac:dyDescent="0.25">
      <c r="A2458" t="str">
        <f>"20190304164137557"</f>
        <v>20190304164137557</v>
      </c>
      <c r="B2458" t="str">
        <f>"1551688897553734"</f>
        <v>1551688897553734</v>
      </c>
      <c r="C2458" t="s">
        <v>40</v>
      </c>
      <c r="D2458">
        <v>4.0008660000000003</v>
      </c>
      <c r="E2458">
        <v>0.51620329999999903</v>
      </c>
      <c r="F2458" t="s">
        <v>41</v>
      </c>
      <c r="G2458">
        <v>-334.1902</v>
      </c>
      <c r="H2458">
        <v>1.0136780000000001</v>
      </c>
      <c r="I2458">
        <v>284.82780000000002</v>
      </c>
      <c r="J2458">
        <v>-333.37099999999998</v>
      </c>
      <c r="K2458">
        <v>1.1084529999999999</v>
      </c>
      <c r="L2458">
        <v>284.80790000000002</v>
      </c>
      <c r="M2458">
        <v>-0.99990889999999999</v>
      </c>
      <c r="N2458">
        <v>-7.9782689999999996E-3</v>
      </c>
      <c r="O2458">
        <v>1.0892249999999999E-2</v>
      </c>
      <c r="P2458">
        <v>-0.97394080000000005</v>
      </c>
      <c r="Q2458">
        <v>0.22644429999999999</v>
      </c>
      <c r="R2458">
        <v>-1.273824E-2</v>
      </c>
      <c r="S2458">
        <v>-3.1441349999999999</v>
      </c>
      <c r="T2458">
        <v>-0.25495709999999999</v>
      </c>
      <c r="U2458">
        <v>6.35376E-2</v>
      </c>
      <c r="V2458">
        <v>-2.3369190000000001E-2</v>
      </c>
      <c r="W2458">
        <v>0.23420379999999999</v>
      </c>
      <c r="X2458">
        <v>0.97190659999999895</v>
      </c>
      <c r="Y2458">
        <v>9.3080929999999999E-3</v>
      </c>
      <c r="Z2458">
        <v>-3.8096499999999998E-4</v>
      </c>
      <c r="AA2458">
        <v>0.99995659999999997</v>
      </c>
      <c r="AB2458">
        <v>58</v>
      </c>
      <c r="AC2458">
        <v>-0.81920000000002302</v>
      </c>
      <c r="AD2458">
        <v>-9.4774999999999998E-2</v>
      </c>
      <c r="AE2458">
        <v>1.9900000000006898E-2</v>
      </c>
      <c r="AF2458">
        <v>1.0830724479245799E-2</v>
      </c>
      <c r="AG2458">
        <v>-9.4774999999999998E-2</v>
      </c>
      <c r="AH2458">
        <v>0.80855233816907801</v>
      </c>
      <c r="AI2458">
        <v>96.684861694770504</v>
      </c>
      <c r="AJ2458">
        <v>89.232557175664397</v>
      </c>
      <c r="AK2458">
        <v>0.81415998966814196</v>
      </c>
      <c r="AL2458">
        <v>76.455305681522205</v>
      </c>
      <c r="AM2458">
        <v>91.377393680971494</v>
      </c>
      <c r="AN2458">
        <v>0.99999998904962695</v>
      </c>
    </row>
    <row r="2459" spans="1:40" x14ac:dyDescent="0.25">
      <c r="A2459" t="str">
        <f>"20190304164137572"</f>
        <v>20190304164137572</v>
      </c>
      <c r="B2459" t="str">
        <f>"1551688897563510"</f>
        <v>1551688897563510</v>
      </c>
      <c r="C2459" t="s">
        <v>40</v>
      </c>
      <c r="D2459">
        <v>3.9679570000000002</v>
      </c>
      <c r="E2459">
        <v>0.51598940000000004</v>
      </c>
      <c r="F2459" t="s">
        <v>46</v>
      </c>
      <c r="G2459">
        <v>-352.94619999999998</v>
      </c>
      <c r="H2459" s="1">
        <v>3.1037100000000001E-8</v>
      </c>
      <c r="I2459">
        <v>285.08760000000001</v>
      </c>
      <c r="J2459">
        <v>-333.7423</v>
      </c>
      <c r="K2459">
        <v>1.10843799999999</v>
      </c>
      <c r="L2459">
        <v>284.81200000000001</v>
      </c>
      <c r="M2459">
        <v>-0.99990900000000005</v>
      </c>
      <c r="N2459">
        <v>-7.989042E-3</v>
      </c>
      <c r="O2459">
        <v>1.0869429999999999E-2</v>
      </c>
      <c r="P2459">
        <v>-0.97468169999999998</v>
      </c>
      <c r="Q2459">
        <v>0.22341730000000001</v>
      </c>
      <c r="R2459">
        <v>-8.9704669999999993E-3</v>
      </c>
      <c r="S2459">
        <v>-3.1219480000000002</v>
      </c>
      <c r="T2459">
        <v>-0.1767812</v>
      </c>
      <c r="U2459">
        <v>4.4616700000000002E-2</v>
      </c>
      <c r="V2459">
        <v>-1.9587469999999999E-2</v>
      </c>
      <c r="W2459">
        <v>0.23119400000000001</v>
      </c>
      <c r="X2459">
        <v>0.97271050000000003</v>
      </c>
      <c r="Y2459">
        <v>3.4269040000000001E-3</v>
      </c>
      <c r="Z2459">
        <v>-4.1751880000000002E-4</v>
      </c>
      <c r="AA2459">
        <v>0.99999400000000005</v>
      </c>
      <c r="AB2459">
        <v>58</v>
      </c>
      <c r="AC2459">
        <v>-19.203899999999901</v>
      </c>
      <c r="AD2459">
        <v>-1.10843796896289</v>
      </c>
      <c r="AE2459">
        <v>0.27559999999999701</v>
      </c>
      <c r="AF2459">
        <v>6.6619707534106704E-2</v>
      </c>
      <c r="AG2459">
        <v>-1.10843796896289</v>
      </c>
      <c r="AH2459">
        <v>19.142002136694401</v>
      </c>
      <c r="AI2459">
        <v>93.314052108852493</v>
      </c>
      <c r="AJ2459">
        <v>89.800594909779406</v>
      </c>
      <c r="AK2459">
        <v>19.1741836519233</v>
      </c>
      <c r="AL2459">
        <v>76.632622645378603</v>
      </c>
      <c r="AM2459">
        <v>91.1536091210656</v>
      </c>
      <c r="AN2459">
        <v>1.0000000257136199</v>
      </c>
    </row>
    <row r="2460" spans="1:40" x14ac:dyDescent="0.25">
      <c r="A2460" t="str">
        <f>"20190304164137587"</f>
        <v>20190304164137587</v>
      </c>
      <c r="B2460" t="str">
        <f>"1551688897573255"</f>
        <v>1551688897573255</v>
      </c>
      <c r="C2460" t="s">
        <v>40</v>
      </c>
      <c r="D2460">
        <v>3.9786830000000002</v>
      </c>
      <c r="E2460">
        <v>0.51541910000000002</v>
      </c>
      <c r="F2460" t="s">
        <v>46</v>
      </c>
      <c r="G2460">
        <v>-352.94760000000002</v>
      </c>
      <c r="H2460" s="1">
        <v>3.1783929999999999E-8</v>
      </c>
      <c r="I2460">
        <v>285.14640000000003</v>
      </c>
      <c r="J2460">
        <v>-334.12599999999998</v>
      </c>
      <c r="K2460">
        <v>1.108433</v>
      </c>
      <c r="L2460">
        <v>284.81610000000001</v>
      </c>
      <c r="M2460">
        <v>-0.9999093</v>
      </c>
      <c r="N2460">
        <v>-8.0001629999999994E-3</v>
      </c>
      <c r="O2460">
        <v>1.0845540000000001E-2</v>
      </c>
      <c r="P2460">
        <v>-0.97497590000000001</v>
      </c>
      <c r="Q2460">
        <v>0.2221979</v>
      </c>
      <c r="R2460">
        <v>-7.1114019999999898E-3</v>
      </c>
      <c r="S2460">
        <v>-3.119659</v>
      </c>
      <c r="T2460">
        <v>-0.1800514</v>
      </c>
      <c r="U2460">
        <v>5.4321290000000001E-2</v>
      </c>
      <c r="V2460">
        <v>-1.7708109999999999E-2</v>
      </c>
      <c r="W2460">
        <v>0.22998769999999999</v>
      </c>
      <c r="X2460">
        <v>0.97303240000000002</v>
      </c>
      <c r="Y2460">
        <v>6.565609E-3</v>
      </c>
      <c r="Z2460">
        <v>-3.2307199999999999E-4</v>
      </c>
      <c r="AA2460">
        <v>0.99997840000000005</v>
      </c>
      <c r="AB2460">
        <v>58</v>
      </c>
      <c r="AC2460">
        <v>-18.8216</v>
      </c>
      <c r="AD2460">
        <v>-1.1084329682160701</v>
      </c>
      <c r="AE2460">
        <v>0.33030000000002202</v>
      </c>
      <c r="AF2460">
        <v>0.12570780079941199</v>
      </c>
      <c r="AG2460">
        <v>-1.1084329682160701</v>
      </c>
      <c r="AH2460">
        <v>18.759035037463999</v>
      </c>
      <c r="AI2460">
        <v>93.381482757067801</v>
      </c>
      <c r="AJ2460">
        <v>89.616056017049601</v>
      </c>
      <c r="AK2460">
        <v>18.792174478569802</v>
      </c>
      <c r="AL2460">
        <v>76.703652205907702</v>
      </c>
      <c r="AM2460">
        <v>91.0426045183101</v>
      </c>
      <c r="AN2460">
        <v>0.99999998538041102</v>
      </c>
    </row>
    <row r="2461" spans="1:40" x14ac:dyDescent="0.25">
      <c r="A2461" t="str">
        <f>"20190304164137601"</f>
        <v>20190304164137601</v>
      </c>
      <c r="B2461" t="str">
        <f>"1551688897593750"</f>
        <v>1551688897593750</v>
      </c>
      <c r="C2461" t="s">
        <v>40</v>
      </c>
      <c r="D2461">
        <v>3.9771649999999998</v>
      </c>
      <c r="E2461">
        <v>0.51465740000000004</v>
      </c>
      <c r="F2461" t="s">
        <v>41</v>
      </c>
      <c r="G2461">
        <v>-335.25549999999998</v>
      </c>
      <c r="H2461">
        <v>1.0453079999999999</v>
      </c>
      <c r="I2461">
        <v>284.83620000000002</v>
      </c>
      <c r="J2461">
        <v>-334.50900000000001</v>
      </c>
      <c r="K2461">
        <v>1.1084259999999999</v>
      </c>
      <c r="L2461">
        <v>284.82029999999997</v>
      </c>
      <c r="M2461">
        <v>-0.99990950000000001</v>
      </c>
      <c r="N2461">
        <v>-8.0111920000000003E-3</v>
      </c>
      <c r="O2461">
        <v>1.082172E-2</v>
      </c>
      <c r="P2461">
        <v>-0.9752421</v>
      </c>
      <c r="Q2461">
        <v>0.22106680000000001</v>
      </c>
      <c r="R2461">
        <v>-5.7237959999999997E-3</v>
      </c>
      <c r="S2461">
        <v>-3.1171570000000002</v>
      </c>
      <c r="T2461">
        <v>-0.17426349999999999</v>
      </c>
      <c r="U2461">
        <v>5.5541989999999999E-2</v>
      </c>
      <c r="V2461">
        <v>-1.6299689999999999E-2</v>
      </c>
      <c r="W2461">
        <v>0.22887009999999999</v>
      </c>
      <c r="X2461">
        <v>0.97332050000000003</v>
      </c>
      <c r="Y2461">
        <v>6.9938509999999997E-3</v>
      </c>
      <c r="Z2461">
        <v>-2.9443740000000001E-4</v>
      </c>
      <c r="AA2461">
        <v>0.99997550000000002</v>
      </c>
      <c r="AB2461">
        <v>58</v>
      </c>
      <c r="AC2461">
        <v>-0.74649999999996897</v>
      </c>
      <c r="AD2461">
        <v>-6.3117999999999994E-2</v>
      </c>
      <c r="AE2461">
        <v>1.5900000000044601E-2</v>
      </c>
      <c r="AF2461">
        <v>7.76491049665105E-3</v>
      </c>
      <c r="AG2461">
        <v>-6.3117999999999994E-2</v>
      </c>
      <c r="AH2461">
        <v>0.74133096501708895</v>
      </c>
      <c r="AI2461">
        <v>94.866244040742302</v>
      </c>
      <c r="AJ2461">
        <v>89.399889722862696</v>
      </c>
      <c r="AK2461">
        <v>0.74405361060355701</v>
      </c>
      <c r="AL2461">
        <v>76.769441044049799</v>
      </c>
      <c r="AM2461">
        <v>90.959412810435694</v>
      </c>
      <c r="AN2461">
        <v>0.99999999914417803</v>
      </c>
    </row>
    <row r="2462" spans="1:40" x14ac:dyDescent="0.25">
      <c r="A2462" t="str">
        <f>"20190304164137618"</f>
        <v>20190304164137618</v>
      </c>
      <c r="B2462" t="str">
        <f>"1551688897613272"</f>
        <v>1551688897613272</v>
      </c>
      <c r="C2462" t="s">
        <v>40</v>
      </c>
      <c r="D2462">
        <v>3.9781819999999999</v>
      </c>
      <c r="E2462">
        <v>0.51425290000000001</v>
      </c>
      <c r="F2462" t="s">
        <v>46</v>
      </c>
      <c r="G2462">
        <v>-355.71980000000002</v>
      </c>
      <c r="H2462" s="1">
        <v>1.5069769999999999E-6</v>
      </c>
      <c r="I2462">
        <v>285.1866</v>
      </c>
      <c r="J2462">
        <v>-334.9325</v>
      </c>
      <c r="K2462">
        <v>1.108414</v>
      </c>
      <c r="L2462">
        <v>284.82479999999998</v>
      </c>
      <c r="M2462">
        <v>-0.99990970000000001</v>
      </c>
      <c r="N2462">
        <v>-8.0233819999999904E-3</v>
      </c>
      <c r="O2462">
        <v>1.079603E-2</v>
      </c>
      <c r="P2462">
        <v>-0.97611510000000001</v>
      </c>
      <c r="Q2462">
        <v>0.21720390000000001</v>
      </c>
      <c r="R2462">
        <v>-4.689815E-3</v>
      </c>
      <c r="S2462">
        <v>-3.1133120000000001</v>
      </c>
      <c r="T2462">
        <v>-0.16269449999999999</v>
      </c>
      <c r="U2462">
        <v>5.3771970000000002E-2</v>
      </c>
      <c r="V2462">
        <v>-1.5250410000000001E-2</v>
      </c>
      <c r="W2462">
        <v>0.22502630000000001</v>
      </c>
      <c r="X2462">
        <v>0.97423329999999997</v>
      </c>
      <c r="Y2462">
        <v>6.4736439999999998E-3</v>
      </c>
      <c r="Z2462">
        <v>-2.8214469999999998E-4</v>
      </c>
      <c r="AA2462">
        <v>0.99997899999999995</v>
      </c>
      <c r="AB2462">
        <v>58</v>
      </c>
      <c r="AC2462">
        <v>-20.787299999999998</v>
      </c>
      <c r="AD2462">
        <v>-1.1084124930229999</v>
      </c>
      <c r="AE2462">
        <v>0.361800000000016</v>
      </c>
      <c r="AF2462">
        <v>0.13696212083945</v>
      </c>
      <c r="AG2462">
        <v>-1.1084124930229999</v>
      </c>
      <c r="AH2462">
        <v>20.731069965777799</v>
      </c>
      <c r="AI2462">
        <v>93.060409551936601</v>
      </c>
      <c r="AJ2462">
        <v>89.621474563480305</v>
      </c>
      <c r="AK2462">
        <v>20.7611319249025</v>
      </c>
      <c r="AL2462">
        <v>76.995574858411501</v>
      </c>
      <c r="AM2462">
        <v>90.896820883282103</v>
      </c>
      <c r="AN2462">
        <v>0.99999996676287295</v>
      </c>
    </row>
    <row r="2463" spans="1:40" x14ac:dyDescent="0.25">
      <c r="A2463" t="str">
        <f>"20190304164137630"</f>
        <v>20190304164137630</v>
      </c>
      <c r="B2463" t="str">
        <f>"1551688897623031"</f>
        <v>1551688897623031</v>
      </c>
      <c r="C2463" t="s">
        <v>40</v>
      </c>
      <c r="D2463">
        <v>3.9990049999999999</v>
      </c>
      <c r="E2463">
        <v>0.51136590000000004</v>
      </c>
      <c r="F2463" t="s">
        <v>46</v>
      </c>
      <c r="G2463">
        <v>-355.2894</v>
      </c>
      <c r="H2463" s="1">
        <v>1.277972E-6</v>
      </c>
      <c r="I2463">
        <v>285.17430000000002</v>
      </c>
      <c r="J2463">
        <v>-335.25990000000002</v>
      </c>
      <c r="K2463">
        <v>1.108403</v>
      </c>
      <c r="L2463">
        <v>284.82839999999999</v>
      </c>
      <c r="M2463">
        <v>-0.99990979999999996</v>
      </c>
      <c r="N2463">
        <v>-8.0327750000000007E-3</v>
      </c>
      <c r="O2463">
        <v>1.077585E-2</v>
      </c>
      <c r="P2463">
        <v>-0.9766283</v>
      </c>
      <c r="Q2463">
        <v>0.21487329999999999</v>
      </c>
      <c r="R2463">
        <v>-5.1905420000000002E-3</v>
      </c>
      <c r="S2463">
        <v>-3.111389</v>
      </c>
      <c r="T2463">
        <v>-0.1694117</v>
      </c>
      <c r="U2463">
        <v>5.3405759999999997E-2</v>
      </c>
      <c r="V2463">
        <v>-1.5737029999999999E-2</v>
      </c>
      <c r="W2463">
        <v>0.22270909999999999</v>
      </c>
      <c r="X2463">
        <v>0.97475789999999995</v>
      </c>
      <c r="Y2463">
        <v>6.3872140000000004E-3</v>
      </c>
      <c r="Z2463">
        <v>-3.003053E-4</v>
      </c>
      <c r="AA2463">
        <v>0.99997959999999997</v>
      </c>
      <c r="AB2463">
        <v>59</v>
      </c>
      <c r="AC2463">
        <v>-20.029499999999899</v>
      </c>
      <c r="AD2463">
        <v>-1.108401722028</v>
      </c>
      <c r="AE2463">
        <v>0.34590000000002802</v>
      </c>
      <c r="AF2463">
        <v>0.129641203504301</v>
      </c>
      <c r="AG2463">
        <v>-1.108401722028</v>
      </c>
      <c r="AH2463">
        <v>19.9709248406174</v>
      </c>
      <c r="AI2463">
        <v>93.1766340395843</v>
      </c>
      <c r="AJ2463">
        <v>89.628069829629297</v>
      </c>
      <c r="AK2463">
        <v>20.002079897066501</v>
      </c>
      <c r="AL2463">
        <v>77.131798266887998</v>
      </c>
      <c r="AM2463">
        <v>90.924934360269603</v>
      </c>
      <c r="AN2463">
        <v>0.99999998047422001</v>
      </c>
    </row>
    <row r="2464" spans="1:40" x14ac:dyDescent="0.25">
      <c r="A2464" t="str">
        <f>"20190304164137642"</f>
        <v>20190304164137642</v>
      </c>
      <c r="B2464" t="str">
        <f>"1551688897633768"</f>
        <v>1551688897633768</v>
      </c>
      <c r="C2464" t="s">
        <v>40</v>
      </c>
      <c r="D2464">
        <v>3.9835060000000002</v>
      </c>
      <c r="E2464">
        <v>0.51094659999999903</v>
      </c>
      <c r="F2464" t="s">
        <v>46</v>
      </c>
      <c r="G2464">
        <v>-363.89550000000003</v>
      </c>
      <c r="H2464" s="1">
        <v>5.3620029999999997E-7</v>
      </c>
      <c r="I2464">
        <v>285.12450000000001</v>
      </c>
      <c r="J2464">
        <v>-335.5813</v>
      </c>
      <c r="K2464">
        <v>1.108395</v>
      </c>
      <c r="L2464">
        <v>284.83179999999999</v>
      </c>
      <c r="M2464">
        <v>-0.99990990000000002</v>
      </c>
      <c r="N2464">
        <v>-8.0419849999999998E-3</v>
      </c>
      <c r="O2464">
        <v>1.075602E-2</v>
      </c>
      <c r="P2464">
        <v>-0.97714129999999999</v>
      </c>
      <c r="Q2464">
        <v>0.21250040000000001</v>
      </c>
      <c r="R2464">
        <v>-6.2215980000000001E-3</v>
      </c>
      <c r="S2464">
        <v>-3.0983580000000002</v>
      </c>
      <c r="T2464">
        <v>-0.1199287</v>
      </c>
      <c r="U2464">
        <v>3.2043460000000003E-2</v>
      </c>
      <c r="V2464">
        <v>-1.6753919999999999E-2</v>
      </c>
      <c r="W2464">
        <v>0.22034880000000001</v>
      </c>
      <c r="X2464">
        <v>0.97527719999999996</v>
      </c>
      <c r="Y2464">
        <v>-4.0944119999999999E-4</v>
      </c>
      <c r="Z2464">
        <v>-3.3924889999999998E-4</v>
      </c>
      <c r="AA2464">
        <v>0.99999990000000005</v>
      </c>
      <c r="AB2464">
        <v>59</v>
      </c>
      <c r="AC2464">
        <v>-28.3142</v>
      </c>
      <c r="AD2464">
        <v>-1.1083944637997001</v>
      </c>
      <c r="AE2464">
        <v>0.292700000000024</v>
      </c>
      <c r="AF2464">
        <v>-1.1856689141735899E-2</v>
      </c>
      <c r="AG2464">
        <v>-1.1083944637997001</v>
      </c>
      <c r="AH2464">
        <v>28.272389598243201</v>
      </c>
      <c r="AI2464">
        <v>92.245081313098098</v>
      </c>
      <c r="AJ2464">
        <v>90.024028326457199</v>
      </c>
      <c r="AK2464">
        <v>28.294110561445599</v>
      </c>
      <c r="AL2464">
        <v>77.270478865459097</v>
      </c>
      <c r="AM2464">
        <v>90.984165831389703</v>
      </c>
      <c r="AN2464">
        <v>0.99999995216832105</v>
      </c>
    </row>
    <row r="2465" spans="1:40" x14ac:dyDescent="0.25">
      <c r="A2465" t="str">
        <f>"20190304164137654"</f>
        <v>20190304164137654</v>
      </c>
      <c r="B2465" t="str">
        <f>"1551688897643527"</f>
        <v>1551688897643527</v>
      </c>
      <c r="C2465" t="s">
        <v>40</v>
      </c>
      <c r="D2465">
        <v>3.9479340000000001</v>
      </c>
      <c r="E2465">
        <v>0.51033289999999998</v>
      </c>
      <c r="F2465" t="s">
        <v>46</v>
      </c>
      <c r="G2465">
        <v>-363.56450000000001</v>
      </c>
      <c r="H2465" s="1">
        <v>3.6005359999999998E-7</v>
      </c>
      <c r="I2465">
        <v>285.06700000000001</v>
      </c>
      <c r="J2465">
        <v>-335.8904</v>
      </c>
      <c r="K2465">
        <v>1.1083879999999999</v>
      </c>
      <c r="L2465">
        <v>284.83510000000001</v>
      </c>
      <c r="M2465">
        <v>-0.99990999999999997</v>
      </c>
      <c r="N2465">
        <v>-8.0508009999999998E-3</v>
      </c>
      <c r="O2465">
        <v>1.073703E-2</v>
      </c>
      <c r="P2465">
        <v>-0.97738550000000002</v>
      </c>
      <c r="Q2465">
        <v>0.21133550000000001</v>
      </c>
      <c r="R2465">
        <v>-7.4325830000000004E-3</v>
      </c>
      <c r="S2465">
        <v>-3.0970460000000002</v>
      </c>
      <c r="T2465">
        <v>-0.122672</v>
      </c>
      <c r="U2465">
        <v>2.6031490000000001E-2</v>
      </c>
      <c r="V2465">
        <v>-1.7948749999999999E-2</v>
      </c>
      <c r="W2465">
        <v>0.21919430000000001</v>
      </c>
      <c r="X2465">
        <v>0.9755161</v>
      </c>
      <c r="Y2465">
        <v>-2.3249740000000001E-3</v>
      </c>
      <c r="Z2465">
        <v>-3.9407500000000002E-4</v>
      </c>
      <c r="AA2465">
        <v>0.99999720000000003</v>
      </c>
      <c r="AB2465">
        <v>59</v>
      </c>
      <c r="AC2465">
        <v>-27.674099999999999</v>
      </c>
      <c r="AD2465">
        <v>-1.1083876399464001</v>
      </c>
      <c r="AE2465">
        <v>0.231899999999996</v>
      </c>
      <c r="AF2465">
        <v>-6.5156113640315302E-2</v>
      </c>
      <c r="AG2465">
        <v>-1.1083876399464001</v>
      </c>
      <c r="AH2465">
        <v>27.630674907352599</v>
      </c>
      <c r="AI2465">
        <v>92.297147166636407</v>
      </c>
      <c r="AJ2465">
        <v>90.1351093816549</v>
      </c>
      <c r="AK2465">
        <v>27.652973878325199</v>
      </c>
      <c r="AL2465">
        <v>77.338284967678206</v>
      </c>
      <c r="AM2465">
        <v>91.054079577753498</v>
      </c>
      <c r="AN2465">
        <v>0.99999998006913104</v>
      </c>
    </row>
    <row r="2466" spans="1:40" x14ac:dyDescent="0.25">
      <c r="A2466" t="str">
        <f>"20190304164137665"</f>
        <v>20190304164137665</v>
      </c>
      <c r="B2466" t="str">
        <f>"1551688897653287"</f>
        <v>1551688897653287</v>
      </c>
      <c r="C2466" t="s">
        <v>40</v>
      </c>
      <c r="D2466">
        <v>3.970183</v>
      </c>
      <c r="E2466">
        <v>0.50975039999999905</v>
      </c>
      <c r="F2466" t="s">
        <v>46</v>
      </c>
      <c r="G2466">
        <v>-363.66469999999998</v>
      </c>
      <c r="H2466" s="1">
        <v>4.1338049999999997E-7</v>
      </c>
      <c r="I2466">
        <v>284.99799999999999</v>
      </c>
      <c r="J2466">
        <v>-336.1909</v>
      </c>
      <c r="K2466">
        <v>1.1083829999999999</v>
      </c>
      <c r="L2466">
        <v>284.83839999999998</v>
      </c>
      <c r="M2466">
        <v>-0.99991019999999997</v>
      </c>
      <c r="N2466">
        <v>-8.0593750000000006E-3</v>
      </c>
      <c r="O2466">
        <v>1.071857E-2</v>
      </c>
      <c r="P2466">
        <v>-0.97752859999999997</v>
      </c>
      <c r="Q2466">
        <v>0.21061299999999999</v>
      </c>
      <c r="R2466">
        <v>-8.9486849999999996E-3</v>
      </c>
      <c r="S2466">
        <v>-3.0962830000000001</v>
      </c>
      <c r="T2466">
        <v>-0.1235632</v>
      </c>
      <c r="U2466">
        <v>1.8157960000000001E-2</v>
      </c>
      <c r="V2466">
        <v>-1.9448340000000001E-2</v>
      </c>
      <c r="W2466">
        <v>0.2184815</v>
      </c>
      <c r="X2466">
        <v>0.9756473</v>
      </c>
      <c r="Y2466">
        <v>-4.8446690000000002E-3</v>
      </c>
      <c r="Z2466">
        <v>-4.5736289999999998E-4</v>
      </c>
      <c r="AA2466">
        <v>0.99998810000000005</v>
      </c>
      <c r="AB2466">
        <v>59</v>
      </c>
      <c r="AC2466">
        <v>-27.473799999999901</v>
      </c>
      <c r="AD2466">
        <v>-1.1083825866194901</v>
      </c>
      <c r="AE2466">
        <v>0.15960000000001101</v>
      </c>
      <c r="AF2466">
        <v>-0.134679351058688</v>
      </c>
      <c r="AG2466">
        <v>-1.1083825866194901</v>
      </c>
      <c r="AH2466">
        <v>27.429290575257902</v>
      </c>
      <c r="AI2466">
        <v>92.313962452511703</v>
      </c>
      <c r="AJ2466">
        <v>90.281323221649302</v>
      </c>
      <c r="AK2466">
        <v>27.452005973113401</v>
      </c>
      <c r="AL2466">
        <v>77.380140539918997</v>
      </c>
      <c r="AM2466">
        <v>91.141970303766499</v>
      </c>
      <c r="AN2466">
        <v>1.00000002888414</v>
      </c>
    </row>
    <row r="2467" spans="1:40" x14ac:dyDescent="0.25">
      <c r="A2467" t="str">
        <f>"20190304164137677"</f>
        <v>20190304164137677</v>
      </c>
      <c r="B2467" t="str">
        <f>"1551688897673783"</f>
        <v>1551688897673783</v>
      </c>
      <c r="C2467" t="s">
        <v>40</v>
      </c>
      <c r="D2467">
        <v>3.981452</v>
      </c>
      <c r="E2467">
        <v>0.50934709999999905</v>
      </c>
      <c r="F2467" t="s">
        <v>46</v>
      </c>
      <c r="G2467">
        <v>-364.08730000000003</v>
      </c>
      <c r="H2467" s="1">
        <v>6.3828399999999997E-7</v>
      </c>
      <c r="I2467">
        <v>284.92</v>
      </c>
      <c r="J2467">
        <v>-336.51740000000001</v>
      </c>
      <c r="K2467">
        <v>1.1083809999999901</v>
      </c>
      <c r="L2467">
        <v>284.84190000000001</v>
      </c>
      <c r="M2467">
        <v>-0.99991019999999997</v>
      </c>
      <c r="N2467">
        <v>-8.0686919999999902E-3</v>
      </c>
      <c r="O2467">
        <v>1.0698569999999999E-2</v>
      </c>
      <c r="P2467">
        <v>-0.97752249999999996</v>
      </c>
      <c r="Q2467">
        <v>0.21057039999999999</v>
      </c>
      <c r="R2467">
        <v>-1.0494689999999999E-2</v>
      </c>
      <c r="S2467">
        <v>-3.0955810000000001</v>
      </c>
      <c r="T2467">
        <v>-0.1229938</v>
      </c>
      <c r="U2467">
        <v>9.0637210000000003E-3</v>
      </c>
      <c r="V2467">
        <v>-2.0974880000000001E-2</v>
      </c>
      <c r="W2467">
        <v>0.21844749999999999</v>
      </c>
      <c r="X2467">
        <v>0.97562329999999997</v>
      </c>
      <c r="Y2467">
        <v>-7.7583690000000002E-3</v>
      </c>
      <c r="Z2467">
        <v>-5.2398319999999996E-4</v>
      </c>
      <c r="AA2467">
        <v>0.99996980000000002</v>
      </c>
      <c r="AB2467">
        <v>59</v>
      </c>
      <c r="AC2467">
        <v>-27.569900000000001</v>
      </c>
      <c r="AD2467">
        <v>-1.10838036171599</v>
      </c>
      <c r="AE2467">
        <v>7.8100000000006206E-2</v>
      </c>
      <c r="AF2467">
        <v>-0.21652263040279801</v>
      </c>
      <c r="AG2467">
        <v>-1.10838036171599</v>
      </c>
      <c r="AH2467">
        <v>27.524671357995</v>
      </c>
      <c r="AI2467">
        <v>92.305904462322005</v>
      </c>
      <c r="AJ2467">
        <v>90.450707543107399</v>
      </c>
      <c r="AK2467">
        <v>27.54782972289</v>
      </c>
      <c r="AL2467">
        <v>77.382136955037097</v>
      </c>
      <c r="AM2467">
        <v>91.231609573180904</v>
      </c>
      <c r="AN2467">
        <v>1.0000000396750699</v>
      </c>
    </row>
    <row r="2468" spans="1:40" x14ac:dyDescent="0.25">
      <c r="A2468" t="str">
        <f>"20190304164137690"</f>
        <v>20190304164137690</v>
      </c>
      <c r="B2468" t="str">
        <f>"1551688897683543"</f>
        <v>1551688897683543</v>
      </c>
      <c r="C2468" t="s">
        <v>40</v>
      </c>
      <c r="D2468">
        <v>3.9719929999999999</v>
      </c>
      <c r="E2468">
        <v>0.50909439999999995</v>
      </c>
      <c r="F2468" t="s">
        <v>46</v>
      </c>
      <c r="G2468">
        <v>-366.95499999999998</v>
      </c>
      <c r="H2468" s="1">
        <v>2.1643070000000002E-6</v>
      </c>
      <c r="I2468">
        <v>284.86020000000002</v>
      </c>
      <c r="J2468">
        <v>-336.84030000000001</v>
      </c>
      <c r="K2468">
        <v>1.108382</v>
      </c>
      <c r="L2468">
        <v>284.84530000000001</v>
      </c>
      <c r="M2468">
        <v>-0.99991039999999998</v>
      </c>
      <c r="N2468">
        <v>-8.0778959999999993E-3</v>
      </c>
      <c r="O2468">
        <v>1.067909E-2</v>
      </c>
      <c r="P2468">
        <v>-0.97745709999999997</v>
      </c>
      <c r="Q2468">
        <v>0.21077470000000001</v>
      </c>
      <c r="R2468">
        <v>-1.2332839999999999E-2</v>
      </c>
      <c r="S2468">
        <v>-3.0932309999999998</v>
      </c>
      <c r="T2468">
        <v>-0.1126395</v>
      </c>
      <c r="U2468">
        <v>1.8615719999999999E-3</v>
      </c>
      <c r="V2468">
        <v>-2.2792719999999999E-2</v>
      </c>
      <c r="W2468">
        <v>0.2186601</v>
      </c>
      <c r="X2468">
        <v>0.97553489999999998</v>
      </c>
      <c r="Y2468">
        <v>-1.006522E-2</v>
      </c>
      <c r="Z2468">
        <v>-5.2636890000000002E-4</v>
      </c>
      <c r="AA2468">
        <v>0.99994919999999998</v>
      </c>
      <c r="AB2468">
        <v>59</v>
      </c>
      <c r="AC2468">
        <v>-30.1146999999999</v>
      </c>
      <c r="AD2468">
        <v>-1.1083798356929999</v>
      </c>
      <c r="AE2468">
        <v>1.4900000000011401E-2</v>
      </c>
      <c r="AF2468">
        <v>-0.30629400328766998</v>
      </c>
      <c r="AG2468">
        <v>-1.1083798356929999</v>
      </c>
      <c r="AH2468">
        <v>30.072404856718599</v>
      </c>
      <c r="AI2468">
        <v>92.110688020342295</v>
      </c>
      <c r="AJ2468">
        <v>90.583549834177504</v>
      </c>
      <c r="AK2468">
        <v>30.094382461565999</v>
      </c>
      <c r="AL2468">
        <v>77.369654157456097</v>
      </c>
      <c r="AM2468">
        <v>91.338434028151596</v>
      </c>
      <c r="AN2468">
        <v>1.0000000442675001</v>
      </c>
    </row>
    <row r="2469" spans="1:40" x14ac:dyDescent="0.25">
      <c r="A2469" t="str">
        <f>"20190304164137701"</f>
        <v>20190304164137701</v>
      </c>
      <c r="B2469" t="str">
        <f>"1551688897693303"</f>
        <v>1551688897693303</v>
      </c>
      <c r="C2469" t="s">
        <v>40</v>
      </c>
      <c r="D2469">
        <v>3.9789750000000002</v>
      </c>
      <c r="E2469">
        <v>0.50914979999999999</v>
      </c>
      <c r="F2469" t="s">
        <v>46</v>
      </c>
      <c r="G2469">
        <v>-369.19159999999999</v>
      </c>
      <c r="H2469" s="1">
        <v>3.3545100000000001E-6</v>
      </c>
      <c r="I2469">
        <v>284.7901</v>
      </c>
      <c r="J2469">
        <v>-337.14</v>
      </c>
      <c r="K2469">
        <v>1.1083799999999999</v>
      </c>
      <c r="L2469">
        <v>284.8485</v>
      </c>
      <c r="M2469">
        <v>-0.99991070000000004</v>
      </c>
      <c r="N2469">
        <v>-8.086434E-3</v>
      </c>
      <c r="O2469">
        <v>1.066076E-2</v>
      </c>
      <c r="P2469">
        <v>-0.97736970000000001</v>
      </c>
      <c r="Q2469">
        <v>0.21106079999999999</v>
      </c>
      <c r="R2469">
        <v>-1.4218059999999999E-2</v>
      </c>
      <c r="S2469">
        <v>-3.0919490000000001</v>
      </c>
      <c r="T2469">
        <v>-0.105932399999999</v>
      </c>
      <c r="U2469">
        <v>-5.2795409999999996E-3</v>
      </c>
      <c r="V2469">
        <v>-2.46596E-2</v>
      </c>
      <c r="W2469">
        <v>0.21895329999999999</v>
      </c>
      <c r="X2469">
        <v>0.9754237</v>
      </c>
      <c r="Y2469">
        <v>-1.235589E-2</v>
      </c>
      <c r="Z2469">
        <v>-5.4051769999999895E-4</v>
      </c>
      <c r="AA2469">
        <v>0.99992349999999997</v>
      </c>
      <c r="AB2469">
        <v>59</v>
      </c>
      <c r="AC2469">
        <v>-32.051600000000001</v>
      </c>
      <c r="AD2469">
        <v>-1.1083766454899999</v>
      </c>
      <c r="AE2469">
        <v>-5.8400000000005899E-2</v>
      </c>
      <c r="AF2469">
        <v>-0.39962430407661198</v>
      </c>
      <c r="AG2469">
        <v>-1.1083766454899999</v>
      </c>
      <c r="AH2469">
        <v>32.010875905140303</v>
      </c>
      <c r="AI2469">
        <v>91.9829198524817</v>
      </c>
      <c r="AJ2469">
        <v>90.715244303228999</v>
      </c>
      <c r="AK2469">
        <v>32.0325517963675</v>
      </c>
      <c r="AL2469">
        <v>77.352437528983401</v>
      </c>
      <c r="AM2469">
        <v>91.448181047322194</v>
      </c>
      <c r="AN2469">
        <v>1.0000000189873699</v>
      </c>
    </row>
    <row r="2470" spans="1:40" x14ac:dyDescent="0.25">
      <c r="A2470" t="str">
        <f>"20190304164137712"</f>
        <v>20190304164137712</v>
      </c>
      <c r="B2470" t="str">
        <f>"1551688897703063"</f>
        <v>1551688897703063</v>
      </c>
      <c r="C2470" t="s">
        <v>40</v>
      </c>
      <c r="D2470">
        <v>3.9679769999999999</v>
      </c>
      <c r="E2470">
        <v>0.5091717</v>
      </c>
      <c r="F2470" t="s">
        <v>46</v>
      </c>
      <c r="G2470">
        <v>-371.39260000000002</v>
      </c>
      <c r="H2470" s="1">
        <v>-7.9569199999999995E-7</v>
      </c>
      <c r="I2470">
        <v>284.73320000000001</v>
      </c>
      <c r="J2470">
        <v>-337.4375</v>
      </c>
      <c r="K2470">
        <v>1.108376</v>
      </c>
      <c r="L2470">
        <v>284.85169999999999</v>
      </c>
      <c r="M2470">
        <v>-0.99991070000000004</v>
      </c>
      <c r="N2470">
        <v>-8.0948740000000002E-3</v>
      </c>
      <c r="O2470">
        <v>1.064242E-2</v>
      </c>
      <c r="P2470">
        <v>-0.9774349</v>
      </c>
      <c r="Q2470">
        <v>0.2106248</v>
      </c>
      <c r="R2470">
        <v>-1.607169E-2</v>
      </c>
      <c r="S2470">
        <v>-3.0909119999999999</v>
      </c>
      <c r="T2470">
        <v>-0.1000187</v>
      </c>
      <c r="U2470">
        <v>-1.0406489999999999E-2</v>
      </c>
      <c r="V2470">
        <v>-2.6495660000000001E-2</v>
      </c>
      <c r="W2470">
        <v>0.21852569999999999</v>
      </c>
      <c r="X2470">
        <v>0.97547139999999999</v>
      </c>
      <c r="Y2470">
        <v>-1.3997020000000001E-2</v>
      </c>
      <c r="Z2470">
        <v>-5.4122570000000002E-4</v>
      </c>
      <c r="AA2470">
        <v>0.99990190000000001</v>
      </c>
      <c r="AB2470">
        <v>59</v>
      </c>
      <c r="AC2470">
        <v>-33.955100000000002</v>
      </c>
      <c r="AD2470">
        <v>-1.1083767956919901</v>
      </c>
      <c r="AE2470">
        <v>-0.11849999999998299</v>
      </c>
      <c r="AF2470">
        <v>-0.47935876479415901</v>
      </c>
      <c r="AG2470">
        <v>-1.1083767956919901</v>
      </c>
      <c r="AH2470">
        <v>33.915777988614899</v>
      </c>
      <c r="AI2470">
        <v>91.871588609228496</v>
      </c>
      <c r="AJ2470">
        <v>90.809753073226503</v>
      </c>
      <c r="AK2470">
        <v>33.937269785880403</v>
      </c>
      <c r="AL2470">
        <v>77.377544689769493</v>
      </c>
      <c r="AM2470">
        <v>91.5558798807062</v>
      </c>
      <c r="AN2470">
        <v>0.99999997688864195</v>
      </c>
    </row>
    <row r="2471" spans="1:40" x14ac:dyDescent="0.25">
      <c r="A2471" t="str">
        <f>"20190304164137728"</f>
        <v>20190304164137728</v>
      </c>
      <c r="B2471" t="str">
        <f>"1551688897723558"</f>
        <v>1551688897723558</v>
      </c>
      <c r="C2471" t="s">
        <v>40</v>
      </c>
      <c r="D2471">
        <v>3.9910320000000001</v>
      </c>
      <c r="E2471">
        <v>0.50941049999999999</v>
      </c>
      <c r="F2471" t="s">
        <v>46</v>
      </c>
      <c r="G2471">
        <v>-372.23200000000003</v>
      </c>
      <c r="H2471" s="1">
        <v>-3.490401E-7</v>
      </c>
      <c r="I2471">
        <v>284.67329999999998</v>
      </c>
      <c r="J2471">
        <v>-337.84120000000001</v>
      </c>
      <c r="K2471">
        <v>1.1083670000000001</v>
      </c>
      <c r="L2471">
        <v>284.85599999999999</v>
      </c>
      <c r="M2471">
        <v>-0.99991079999999999</v>
      </c>
      <c r="N2471">
        <v>-8.1062970000000002E-3</v>
      </c>
      <c r="O2471">
        <v>1.061776E-2</v>
      </c>
      <c r="P2471">
        <v>-0.97775780000000001</v>
      </c>
      <c r="Q2471">
        <v>0.2087878</v>
      </c>
      <c r="R2471">
        <v>-1.9935290000000001E-2</v>
      </c>
      <c r="S2471">
        <v>-3.090179</v>
      </c>
      <c r="T2471">
        <v>-9.8437549999999999E-2</v>
      </c>
      <c r="U2471">
        <v>-1.5838620000000001E-2</v>
      </c>
      <c r="V2471">
        <v>-3.0338520000000001E-2</v>
      </c>
      <c r="W2471">
        <v>0.2167017</v>
      </c>
      <c r="X2471">
        <v>0.97576629999999998</v>
      </c>
      <c r="Y2471">
        <v>-1.573008E-2</v>
      </c>
      <c r="Z2471">
        <v>-5.6633559999999896E-4</v>
      </c>
      <c r="AA2471">
        <v>0.99987610000000005</v>
      </c>
      <c r="AB2471">
        <v>59</v>
      </c>
      <c r="AC2471">
        <v>-34.390799999999899</v>
      </c>
      <c r="AD2471">
        <v>-1.1083673490401</v>
      </c>
      <c r="AE2471">
        <v>-0.18270000000001099</v>
      </c>
      <c r="AF2471">
        <v>-0.54728650785630095</v>
      </c>
      <c r="AG2471">
        <v>-1.1083673490401</v>
      </c>
      <c r="AH2471">
        <v>34.351242301294</v>
      </c>
      <c r="AI2471">
        <v>91.847813737087193</v>
      </c>
      <c r="AJ2471">
        <v>90.912763330953396</v>
      </c>
      <c r="AK2471">
        <v>34.373475942131797</v>
      </c>
      <c r="AL2471">
        <v>77.484618047125593</v>
      </c>
      <c r="AM2471">
        <v>91.780866322265595</v>
      </c>
      <c r="AN2471">
        <v>0.99999996239718403</v>
      </c>
    </row>
    <row r="2472" spans="1:40" x14ac:dyDescent="0.25">
      <c r="A2472" t="str">
        <f>"20190304164137740"</f>
        <v>20190304164137740</v>
      </c>
      <c r="B2472" t="str">
        <f>"1551688897733322"</f>
        <v>1551688897733322</v>
      </c>
      <c r="C2472" t="s">
        <v>40</v>
      </c>
      <c r="D2472">
        <v>4.0018710000000004</v>
      </c>
      <c r="E2472">
        <v>0.50948859999999996</v>
      </c>
      <c r="F2472" t="s">
        <v>46</v>
      </c>
      <c r="G2472">
        <v>-372.61309999999997</v>
      </c>
      <c r="H2472" s="1">
        <v>-1.462142E-7</v>
      </c>
      <c r="I2472">
        <v>284.56880000000001</v>
      </c>
      <c r="J2472">
        <v>-338.16059999999999</v>
      </c>
      <c r="K2472">
        <v>1.1083540000000001</v>
      </c>
      <c r="L2472">
        <v>284.85939999999999</v>
      </c>
      <c r="M2472">
        <v>-0.99991099999999999</v>
      </c>
      <c r="N2472">
        <v>-8.1153049999999997E-3</v>
      </c>
      <c r="O2472">
        <v>1.0598110000000001E-2</v>
      </c>
      <c r="P2472">
        <v>-0.97796280000000002</v>
      </c>
      <c r="Q2472">
        <v>0.2076433</v>
      </c>
      <c r="R2472">
        <v>-2.1753990000000001E-2</v>
      </c>
      <c r="S2472">
        <v>-3.0887150000000001</v>
      </c>
      <c r="T2472">
        <v>-9.8453879999999994E-2</v>
      </c>
      <c r="U2472">
        <v>-2.5512699999999999E-2</v>
      </c>
      <c r="V2472">
        <v>-3.2139470000000003E-2</v>
      </c>
      <c r="W2472">
        <v>0.2155676</v>
      </c>
      <c r="X2472">
        <v>0.97595989999999999</v>
      </c>
      <c r="Y2472">
        <v>-1.8842319999999999E-2</v>
      </c>
      <c r="Z2472">
        <v>-6.2843920000000002E-4</v>
      </c>
      <c r="AA2472">
        <v>0.99982230000000005</v>
      </c>
      <c r="AB2472">
        <v>59</v>
      </c>
      <c r="AC2472">
        <v>-34.452499999999901</v>
      </c>
      <c r="AD2472">
        <v>-1.1083541462141999</v>
      </c>
      <c r="AE2472">
        <v>-0.29059999999998298</v>
      </c>
      <c r="AF2472">
        <v>-0.65504916418117098</v>
      </c>
      <c r="AG2472">
        <v>-1.1083541462141999</v>
      </c>
      <c r="AH2472">
        <v>34.411873328334401</v>
      </c>
      <c r="AI2472">
        <v>91.844438344493994</v>
      </c>
      <c r="AJ2472">
        <v>91.090525351298396</v>
      </c>
      <c r="AK2472">
        <v>34.435948720577699</v>
      </c>
      <c r="AL2472">
        <v>77.551171122689993</v>
      </c>
      <c r="AM2472">
        <v>91.886133598208104</v>
      </c>
      <c r="AN2472">
        <v>1.00000003105482</v>
      </c>
    </row>
    <row r="2473" spans="1:40" x14ac:dyDescent="0.25">
      <c r="A2473" t="str">
        <f>"20190304164137751"</f>
        <v>20190304164137751</v>
      </c>
      <c r="B2473" t="str">
        <f>"1551688897743079"</f>
        <v>1551688897743079</v>
      </c>
      <c r="C2473" t="s">
        <v>40</v>
      </c>
      <c r="D2473">
        <v>3.988591</v>
      </c>
      <c r="E2473">
        <v>0.5095556</v>
      </c>
      <c r="F2473" t="s">
        <v>46</v>
      </c>
      <c r="G2473">
        <v>-372.72019999999998</v>
      </c>
      <c r="H2473" s="1">
        <v>-8.926492E-8</v>
      </c>
      <c r="I2473">
        <v>284.52330000000001</v>
      </c>
      <c r="J2473">
        <v>-338.45580000000001</v>
      </c>
      <c r="K2473">
        <v>1.1083529999999999</v>
      </c>
      <c r="L2473">
        <v>284.86250000000001</v>
      </c>
      <c r="M2473">
        <v>-0.99991110000000005</v>
      </c>
      <c r="N2473">
        <v>-8.1235930000000001E-3</v>
      </c>
      <c r="O2473">
        <v>1.0579959999999999E-2</v>
      </c>
      <c r="P2473">
        <v>-0.97803220000000002</v>
      </c>
      <c r="Q2473">
        <v>0.20730970000000001</v>
      </c>
      <c r="R2473">
        <v>-2.181141E-2</v>
      </c>
      <c r="S2473">
        <v>-3.087952</v>
      </c>
      <c r="T2473">
        <v>-9.9033360000000001E-2</v>
      </c>
      <c r="U2473">
        <v>-3.0029299999999998E-2</v>
      </c>
      <c r="V2473">
        <v>-3.2179989999999999E-2</v>
      </c>
      <c r="W2473">
        <v>0.21524260000000001</v>
      </c>
      <c r="X2473">
        <v>0.97603030000000002</v>
      </c>
      <c r="Y2473">
        <v>-2.0287360000000001E-2</v>
      </c>
      <c r="Z2473">
        <v>-6.6094149999999905E-4</v>
      </c>
      <c r="AA2473">
        <v>0.99979390000000001</v>
      </c>
      <c r="AB2473">
        <v>59</v>
      </c>
      <c r="AC2473">
        <v>-34.264399999999902</v>
      </c>
      <c r="AD2473">
        <v>-1.1083530892649101</v>
      </c>
      <c r="AE2473">
        <v>-0.339200000000005</v>
      </c>
      <c r="AF2473">
        <v>-0.70097555086026997</v>
      </c>
      <c r="AG2473">
        <v>-1.1083530892649101</v>
      </c>
      <c r="AH2473">
        <v>34.223088032496399</v>
      </c>
      <c r="AI2473">
        <v>91.854551025787103</v>
      </c>
      <c r="AJ2473">
        <v>91.173398654321005</v>
      </c>
      <c r="AK2473">
        <v>34.248205321934499</v>
      </c>
      <c r="AL2473">
        <v>77.5702399763681</v>
      </c>
      <c r="AM2473">
        <v>91.888373712364199</v>
      </c>
      <c r="AN2473">
        <v>1.0000000375646201</v>
      </c>
    </row>
    <row r="2474" spans="1:40" x14ac:dyDescent="0.25">
      <c r="A2474" t="str">
        <f>"20190304164137765"</f>
        <v>20190304164137765</v>
      </c>
      <c r="B2474" t="str">
        <f>"1551688897753815"</f>
        <v>1551688897753815</v>
      </c>
      <c r="C2474" t="s">
        <v>40</v>
      </c>
      <c r="D2474">
        <v>3.9918619999999998</v>
      </c>
      <c r="E2474">
        <v>0.50966440000000002</v>
      </c>
      <c r="F2474" t="s">
        <v>46</v>
      </c>
      <c r="G2474">
        <v>-373.64370000000002</v>
      </c>
      <c r="H2474" s="1">
        <v>4.0219420000000002E-7</v>
      </c>
      <c r="I2474">
        <v>284.52620000000002</v>
      </c>
      <c r="J2474">
        <v>-338.81779999999998</v>
      </c>
      <c r="K2474">
        <v>1.108344</v>
      </c>
      <c r="L2474">
        <v>284.86630000000002</v>
      </c>
      <c r="M2474">
        <v>-0.9999112</v>
      </c>
      <c r="N2474">
        <v>-8.1336780000000001E-3</v>
      </c>
      <c r="O2474">
        <v>1.0557739999999999E-2</v>
      </c>
      <c r="P2474">
        <v>-0.97832859999999999</v>
      </c>
      <c r="Q2474">
        <v>0.20576820000000001</v>
      </c>
      <c r="R2474">
        <v>-2.3082459999999999E-2</v>
      </c>
      <c r="S2474">
        <v>-3.0873409999999999</v>
      </c>
      <c r="T2474">
        <v>-9.7245570000000003E-2</v>
      </c>
      <c r="U2474">
        <v>-2.9510499999999999E-2</v>
      </c>
      <c r="V2474">
        <v>-3.343223E-2</v>
      </c>
      <c r="W2474">
        <v>0.21371309999999999</v>
      </c>
      <c r="X2474">
        <v>0.97632419999999998</v>
      </c>
      <c r="Y2474">
        <v>-2.0099760000000001E-2</v>
      </c>
      <c r="Z2474">
        <v>-6.4484039999999996E-4</v>
      </c>
      <c r="AA2474">
        <v>0.99979779999999996</v>
      </c>
      <c r="AB2474">
        <v>59</v>
      </c>
      <c r="AC2474">
        <v>-34.825899999999997</v>
      </c>
      <c r="AD2474">
        <v>-1.1083435978058001</v>
      </c>
      <c r="AE2474">
        <v>-0.34010000000000601</v>
      </c>
      <c r="AF2474">
        <v>-0.70705992254694505</v>
      </c>
      <c r="AG2474">
        <v>-1.1083435978058001</v>
      </c>
      <c r="AH2474">
        <v>34.785139373858897</v>
      </c>
      <c r="AI2474">
        <v>91.824596170030205</v>
      </c>
      <c r="AJ2474">
        <v>91.164461957037702</v>
      </c>
      <c r="AK2474">
        <v>34.8099738655986</v>
      </c>
      <c r="AL2474">
        <v>77.659961002485403</v>
      </c>
      <c r="AM2474">
        <v>91.961210735611502</v>
      </c>
      <c r="AN2474">
        <v>0.999999973310011</v>
      </c>
    </row>
    <row r="2475" spans="1:40" x14ac:dyDescent="0.25">
      <c r="A2475" t="str">
        <f>"20190304164137779"</f>
        <v>20190304164137779</v>
      </c>
      <c r="B2475" t="str">
        <f>"1551688897773335"</f>
        <v>1551688897773335</v>
      </c>
      <c r="C2475" t="s">
        <v>40</v>
      </c>
      <c r="D2475">
        <v>4.0165389999999999</v>
      </c>
      <c r="E2475">
        <v>0.51306739999999995</v>
      </c>
      <c r="F2475" t="s">
        <v>46</v>
      </c>
      <c r="G2475">
        <v>-373.38889999999998</v>
      </c>
      <c r="H2475" s="1">
        <v>2.6659520000000002E-7</v>
      </c>
      <c r="I2475">
        <v>284.4991</v>
      </c>
      <c r="J2475">
        <v>-339.19940000000003</v>
      </c>
      <c r="K2475">
        <v>1.1083320000000001</v>
      </c>
      <c r="L2475">
        <v>284.87029999999999</v>
      </c>
      <c r="M2475">
        <v>-0.99991149999999995</v>
      </c>
      <c r="N2475">
        <v>-8.1440519999999902E-3</v>
      </c>
      <c r="O2475">
        <v>1.053421E-2</v>
      </c>
      <c r="P2475">
        <v>-0.97862039999999995</v>
      </c>
      <c r="Q2475">
        <v>0.204232</v>
      </c>
      <c r="R2475">
        <v>-2.43279E-2</v>
      </c>
      <c r="S2475">
        <v>-3.086487</v>
      </c>
      <c r="T2475">
        <v>-9.8952410000000005E-2</v>
      </c>
      <c r="U2475">
        <v>-3.277588E-2</v>
      </c>
      <c r="V2475">
        <v>-3.465766E-2</v>
      </c>
      <c r="W2475">
        <v>0.21218909999999999</v>
      </c>
      <c r="X2475">
        <v>0.97661390000000003</v>
      </c>
      <c r="Y2475">
        <v>-2.1135310000000001E-2</v>
      </c>
      <c r="Z2475">
        <v>-6.7665209999999995E-4</v>
      </c>
      <c r="AA2475">
        <v>0.99977640000000001</v>
      </c>
      <c r="AB2475">
        <v>59</v>
      </c>
      <c r="AC2475">
        <v>-34.189499999999903</v>
      </c>
      <c r="AD2475">
        <v>-1.1083317334048</v>
      </c>
      <c r="AE2475">
        <v>-0.37119999999998698</v>
      </c>
      <c r="AF2475">
        <v>-0.73058299864504295</v>
      </c>
      <c r="AG2475">
        <v>-1.1083317334048</v>
      </c>
      <c r="AH2475">
        <v>34.147811299464102</v>
      </c>
      <c r="AI2475">
        <v>91.858565158449096</v>
      </c>
      <c r="AJ2475">
        <v>91.225640407173799</v>
      </c>
      <c r="AK2475">
        <v>34.173603370042599</v>
      </c>
      <c r="AL2475">
        <v>77.749330456659706</v>
      </c>
      <c r="AM2475">
        <v>92.032435421609804</v>
      </c>
      <c r="AN2475">
        <v>1.0000000386143399</v>
      </c>
    </row>
    <row r="2476" spans="1:40" x14ac:dyDescent="0.25">
      <c r="A2476" t="str">
        <f>"20190304164137795"</f>
        <v>20190304164137795</v>
      </c>
      <c r="B2476" t="str">
        <f>"1551688897783096"</f>
        <v>1551688897783096</v>
      </c>
      <c r="C2476" t="s">
        <v>40</v>
      </c>
      <c r="D2476">
        <v>4.014462</v>
      </c>
      <c r="E2476">
        <v>0.51294399999999996</v>
      </c>
      <c r="F2476" t="s">
        <v>46</v>
      </c>
      <c r="G2476">
        <v>-393.94110000000001</v>
      </c>
      <c r="H2476" s="1">
        <v>5.6046499999999996E-7</v>
      </c>
      <c r="I2476">
        <v>284.7509</v>
      </c>
      <c r="J2476">
        <v>-339.61360000000002</v>
      </c>
      <c r="K2476">
        <v>1.10832</v>
      </c>
      <c r="L2476">
        <v>284.87470000000002</v>
      </c>
      <c r="M2476">
        <v>-0.99991149999999995</v>
      </c>
      <c r="N2476">
        <v>-8.1554969999999994E-3</v>
      </c>
      <c r="O2476">
        <v>1.050889E-2</v>
      </c>
      <c r="P2476">
        <v>-0.97923000000000004</v>
      </c>
      <c r="Q2476">
        <v>0.20098869999999999</v>
      </c>
      <c r="R2476">
        <v>-2.6691980000000001E-2</v>
      </c>
      <c r="S2476">
        <v>-3.0783999999999998</v>
      </c>
      <c r="T2476">
        <v>-6.2327029999999999E-2</v>
      </c>
      <c r="U2476">
        <v>-6.7138669999999897E-3</v>
      </c>
      <c r="V2476">
        <v>-3.7002989999999999E-2</v>
      </c>
      <c r="W2476">
        <v>0.2089616</v>
      </c>
      <c r="X2476">
        <v>0.97722350000000002</v>
      </c>
      <c r="Y2476">
        <v>-1.268564E-2</v>
      </c>
      <c r="Z2476">
        <v>-3.0718660000000002E-4</v>
      </c>
      <c r="AA2476">
        <v>0.99991949999999996</v>
      </c>
      <c r="AB2476">
        <v>59</v>
      </c>
      <c r="AC2476">
        <v>-54.327499999999901</v>
      </c>
      <c r="AD2476">
        <v>-1.108319439535</v>
      </c>
      <c r="AE2476">
        <v>-0.12380000000001699</v>
      </c>
      <c r="AF2476">
        <v>-0.69444486598277599</v>
      </c>
      <c r="AG2476">
        <v>-1.108319439535</v>
      </c>
      <c r="AH2476">
        <v>54.300599609061798</v>
      </c>
      <c r="AI2476">
        <v>91.169195557471994</v>
      </c>
      <c r="AJ2476">
        <v>90.732709973654707</v>
      </c>
      <c r="AK2476">
        <v>54.316348768631201</v>
      </c>
      <c r="AL2476">
        <v>77.938493335126793</v>
      </c>
      <c r="AM2476">
        <v>92.168493450944496</v>
      </c>
      <c r="AN2476">
        <v>0.99999997024787401</v>
      </c>
    </row>
    <row r="2477" spans="1:40" x14ac:dyDescent="0.25">
      <c r="A2477" t="str">
        <f>"20190304164137809"</f>
        <v>20190304164137809</v>
      </c>
      <c r="B2477" t="str">
        <f>"1551688897803592"</f>
        <v>1551688897803592</v>
      </c>
      <c r="C2477" t="s">
        <v>40</v>
      </c>
      <c r="D2477">
        <v>3.9967920000000001</v>
      </c>
      <c r="E2477">
        <v>0.51308969999999998</v>
      </c>
      <c r="F2477" t="s">
        <v>46</v>
      </c>
      <c r="G2477">
        <v>-391.29950000000002</v>
      </c>
      <c r="H2477" s="1">
        <v>-8.4525740000000003E-7</v>
      </c>
      <c r="I2477">
        <v>284.62860000000001</v>
      </c>
      <c r="J2477">
        <v>-339.98180000000002</v>
      </c>
      <c r="K2477">
        <v>1.1083149999999999</v>
      </c>
      <c r="L2477">
        <v>284.87849999999997</v>
      </c>
      <c r="M2477">
        <v>-0.99991169999999996</v>
      </c>
      <c r="N2477">
        <v>-8.1657969999999903E-3</v>
      </c>
      <c r="O2477">
        <v>1.048638E-2</v>
      </c>
      <c r="P2477">
        <v>-0.97953679999999999</v>
      </c>
      <c r="Q2477">
        <v>0.19930139999999999</v>
      </c>
      <c r="R2477">
        <v>-2.8051030000000001E-2</v>
      </c>
      <c r="S2477">
        <v>-3.0767820000000001</v>
      </c>
      <c r="T2477">
        <v>-6.597662E-2</v>
      </c>
      <c r="U2477">
        <v>-1.464844E-2</v>
      </c>
      <c r="V2477">
        <v>-3.8343080000000002E-2</v>
      </c>
      <c r="W2477">
        <v>0.20728669999999999</v>
      </c>
      <c r="X2477">
        <v>0.97752850000000002</v>
      </c>
      <c r="Y2477">
        <v>-1.524149E-2</v>
      </c>
      <c r="Z2477">
        <v>-3.6484510000000001E-4</v>
      </c>
      <c r="AA2477">
        <v>0.99988379999999999</v>
      </c>
      <c r="AB2477">
        <v>59</v>
      </c>
      <c r="AC2477">
        <v>-51.317700000000002</v>
      </c>
      <c r="AD2477">
        <v>-1.1083158452574</v>
      </c>
      <c r="AE2477">
        <v>-0.24989999999996801</v>
      </c>
      <c r="AF2477">
        <v>-0.78767369879761595</v>
      </c>
      <c r="AG2477">
        <v>-1.1083158452574</v>
      </c>
      <c r="AH2477">
        <v>51.288335351926101</v>
      </c>
      <c r="AI2477">
        <v>91.237795185986997</v>
      </c>
      <c r="AJ2477">
        <v>90.879865384729101</v>
      </c>
      <c r="AK2477">
        <v>51.306355717788598</v>
      </c>
      <c r="AL2477">
        <v>78.036606466837895</v>
      </c>
      <c r="AM2477">
        <v>92.246247560960597</v>
      </c>
      <c r="AN2477">
        <v>0.99999996804651203</v>
      </c>
    </row>
    <row r="2478" spans="1:40" x14ac:dyDescent="0.25">
      <c r="A2478" t="str">
        <f>"20190304164137822"</f>
        <v>20190304164137822</v>
      </c>
      <c r="B2478" t="str">
        <f>"1551688897813352"</f>
        <v>1551688897813352</v>
      </c>
      <c r="C2478" t="s">
        <v>40</v>
      </c>
      <c r="D2478">
        <v>3.992775</v>
      </c>
      <c r="E2478">
        <v>0.51325359999999998</v>
      </c>
      <c r="F2478" t="s">
        <v>46</v>
      </c>
      <c r="G2478">
        <v>-390.28859999999997</v>
      </c>
      <c r="H2478" s="1">
        <v>-1.383232E-6</v>
      </c>
      <c r="I2478">
        <v>284.59449999999998</v>
      </c>
      <c r="J2478">
        <v>-340.33859999999999</v>
      </c>
      <c r="K2478">
        <v>1.108309</v>
      </c>
      <c r="L2478">
        <v>284.88229999999999</v>
      </c>
      <c r="M2478">
        <v>-0.99991189999999996</v>
      </c>
      <c r="N2478">
        <v>-8.1758660000000004E-3</v>
      </c>
      <c r="O2478">
        <v>1.046452E-2</v>
      </c>
      <c r="P2478">
        <v>-0.97979490000000002</v>
      </c>
      <c r="Q2478">
        <v>0.19786280000000001</v>
      </c>
      <c r="R2478">
        <v>-2.919865E-2</v>
      </c>
      <c r="S2478">
        <v>-3.075958</v>
      </c>
      <c r="T2478">
        <v>-6.7766900000000005E-2</v>
      </c>
      <c r="U2478">
        <v>-1.7364500000000001E-2</v>
      </c>
      <c r="V2478">
        <v>-3.9472050000000002E-2</v>
      </c>
      <c r="W2478">
        <v>0.2058595</v>
      </c>
      <c r="X2478">
        <v>0.97778520000000002</v>
      </c>
      <c r="Y2478">
        <v>-1.610317E-2</v>
      </c>
      <c r="Z2478">
        <v>-3.8816700000000003E-4</v>
      </c>
      <c r="AA2478">
        <v>0.99987020000000004</v>
      </c>
      <c r="AB2478">
        <v>59</v>
      </c>
      <c r="AC2478">
        <v>-49.949999999999903</v>
      </c>
      <c r="AD2478">
        <v>-1.108310383232</v>
      </c>
      <c r="AE2478">
        <v>-0.287800000000004</v>
      </c>
      <c r="AF2478">
        <v>-0.81010562199908598</v>
      </c>
      <c r="AG2478">
        <v>-1.108310383232</v>
      </c>
      <c r="AH2478">
        <v>49.919677151444503</v>
      </c>
      <c r="AI2478">
        <v>91.271697341662701</v>
      </c>
      <c r="AJ2478">
        <v>90.929724746094095</v>
      </c>
      <c r="AK2478">
        <v>49.938550138433399</v>
      </c>
      <c r="AL2478">
        <v>78.120182462815293</v>
      </c>
      <c r="AM2478">
        <v>92.311708696306695</v>
      </c>
      <c r="AN2478">
        <v>1.00000003690524</v>
      </c>
    </row>
    <row r="2479" spans="1:40" x14ac:dyDescent="0.25">
      <c r="A2479" t="str">
        <f>"20190304164137834"</f>
        <v>20190304164137834</v>
      </c>
      <c r="B2479" t="str">
        <f>"1551688897823111"</f>
        <v>1551688897823111</v>
      </c>
      <c r="C2479" t="s">
        <v>40</v>
      </c>
      <c r="D2479">
        <v>4.0119160000000003</v>
      </c>
      <c r="E2479">
        <v>0.5135073</v>
      </c>
      <c r="F2479" t="s">
        <v>46</v>
      </c>
      <c r="G2479">
        <v>-387.64929999999998</v>
      </c>
      <c r="H2479" s="1">
        <v>2.5338039999999999E-6</v>
      </c>
      <c r="I2479">
        <v>284.58510000000001</v>
      </c>
      <c r="J2479">
        <v>-340.67230000000001</v>
      </c>
      <c r="K2479">
        <v>1.1083019999999999</v>
      </c>
      <c r="L2479">
        <v>284.88569999999999</v>
      </c>
      <c r="M2479">
        <v>-0.99991200000000002</v>
      </c>
      <c r="N2479">
        <v>-8.1853459999999996E-3</v>
      </c>
      <c r="O2479">
        <v>1.044284E-2</v>
      </c>
      <c r="P2479">
        <v>-0.98004290000000005</v>
      </c>
      <c r="Q2479">
        <v>0.1964909</v>
      </c>
      <c r="R2479">
        <v>-3.012076E-2</v>
      </c>
      <c r="S2479">
        <v>-3.0758359999999998</v>
      </c>
      <c r="T2479">
        <v>-7.2054859999999998E-2</v>
      </c>
      <c r="U2479">
        <v>-1.9317629999999999E-2</v>
      </c>
      <c r="V2479">
        <v>-4.0375250000000001E-2</v>
      </c>
      <c r="W2479">
        <v>0.20449909999999999</v>
      </c>
      <c r="X2479">
        <v>0.97803370000000001</v>
      </c>
      <c r="Y2479">
        <v>-1.6715569999999999E-2</v>
      </c>
      <c r="Z2479">
        <v>-4.2331349999999998E-4</v>
      </c>
      <c r="AA2479">
        <v>0.99986019999999998</v>
      </c>
      <c r="AB2479">
        <v>59</v>
      </c>
      <c r="AC2479">
        <v>-46.976999999999897</v>
      </c>
      <c r="AD2479">
        <v>-1.1082994661959999</v>
      </c>
      <c r="AE2479">
        <v>-0.300599999999974</v>
      </c>
      <c r="AF2479">
        <v>-0.79073321805277796</v>
      </c>
      <c r="AG2479">
        <v>-1.1082994661959999</v>
      </c>
      <c r="AH2479">
        <v>46.945170405306598</v>
      </c>
      <c r="AI2479">
        <v>91.352217633095705</v>
      </c>
      <c r="AJ2479">
        <v>90.964985148869502</v>
      </c>
      <c r="AK2479">
        <v>46.9649082945147</v>
      </c>
      <c r="AL2479">
        <v>78.199821349804395</v>
      </c>
      <c r="AM2479">
        <v>92.363945772637095</v>
      </c>
      <c r="AN2479">
        <v>0.99999998052453098</v>
      </c>
    </row>
    <row r="2480" spans="1:40" x14ac:dyDescent="0.25">
      <c r="A2480" t="str">
        <f>"20190304164137847"</f>
        <v>20190304164137847</v>
      </c>
      <c r="B2480" t="str">
        <f>"1551688897843607"</f>
        <v>1551688897843607</v>
      </c>
      <c r="C2480" t="s">
        <v>40</v>
      </c>
      <c r="D2480">
        <v>3.9911880000000002</v>
      </c>
      <c r="E2480">
        <v>0.51637239999999995</v>
      </c>
      <c r="F2480" t="s">
        <v>46</v>
      </c>
      <c r="G2480">
        <v>-386.33010000000002</v>
      </c>
      <c r="H2480" s="1">
        <v>1.831763E-6</v>
      </c>
      <c r="I2480">
        <v>284.5908</v>
      </c>
      <c r="J2480">
        <v>-340.99919999999997</v>
      </c>
      <c r="K2480">
        <v>1.1083019999999999</v>
      </c>
      <c r="L2480">
        <v>284.88920000000002</v>
      </c>
      <c r="M2480">
        <v>-0.99991229999999998</v>
      </c>
      <c r="N2480">
        <v>-8.1946250000000005E-3</v>
      </c>
      <c r="O2480">
        <v>1.0420799999999999E-2</v>
      </c>
      <c r="P2480">
        <v>-0.9803056</v>
      </c>
      <c r="Q2480">
        <v>0.19502729999999999</v>
      </c>
      <c r="R2480">
        <v>-3.1078040000000001E-2</v>
      </c>
      <c r="S2480">
        <v>-3.0754389999999998</v>
      </c>
      <c r="T2480">
        <v>-7.4653510000000006E-2</v>
      </c>
      <c r="U2480">
        <v>-1.986694E-2</v>
      </c>
      <c r="V2480">
        <v>-4.1313719999999998E-2</v>
      </c>
      <c r="W2480">
        <v>0.20304639999999999</v>
      </c>
      <c r="X2480">
        <v>0.97829719999999998</v>
      </c>
      <c r="Y2480">
        <v>-1.687232E-2</v>
      </c>
      <c r="Z2480">
        <v>-4.4142159999999999E-4</v>
      </c>
      <c r="AA2480">
        <v>0.99985749999999995</v>
      </c>
      <c r="AB2480">
        <v>59</v>
      </c>
      <c r="AC2480">
        <v>-45.3309</v>
      </c>
      <c r="AD2480">
        <v>-1.1083001682369999</v>
      </c>
      <c r="AE2480">
        <v>-0.29840000000001499</v>
      </c>
      <c r="AF2480">
        <v>-0.77032336958922198</v>
      </c>
      <c r="AG2480">
        <v>-1.1083001682369999</v>
      </c>
      <c r="AH2480">
        <v>45.2982525229773</v>
      </c>
      <c r="AI2480">
        <v>91.401358278966697</v>
      </c>
      <c r="AJ2480">
        <v>90.9742544497404</v>
      </c>
      <c r="AK2480">
        <v>45.318356203552497</v>
      </c>
      <c r="AL2480">
        <v>78.284839436063805</v>
      </c>
      <c r="AM2480">
        <v>92.418177357998104</v>
      </c>
      <c r="AN2480">
        <v>1.0000000377705101</v>
      </c>
    </row>
    <row r="2481" spans="1:40" x14ac:dyDescent="0.25">
      <c r="A2481" t="str">
        <f>"20190304164137861"</f>
        <v>20190304164137861</v>
      </c>
      <c r="B2481" t="str">
        <f>"1551688897853367"</f>
        <v>1551688897853367</v>
      </c>
      <c r="C2481" t="s">
        <v>40</v>
      </c>
      <c r="D2481">
        <v>4.0124050000000002</v>
      </c>
      <c r="E2481">
        <v>0.51650829999999903</v>
      </c>
      <c r="F2481" t="s">
        <v>47</v>
      </c>
      <c r="G2481">
        <v>-407.61739999999998</v>
      </c>
      <c r="H2481" s="1">
        <v>4.9580319999999998E-6</v>
      </c>
      <c r="I2481">
        <v>284.93680000000001</v>
      </c>
      <c r="J2481">
        <v>-341.38589999999999</v>
      </c>
      <c r="K2481">
        <v>1.108293</v>
      </c>
      <c r="L2481">
        <v>284.89319999999998</v>
      </c>
      <c r="M2481">
        <v>-0.99991240000000003</v>
      </c>
      <c r="N2481">
        <v>-8.2056009999999999E-3</v>
      </c>
      <c r="O2481">
        <v>1.039356E-2</v>
      </c>
      <c r="P2481">
        <v>-0.98070080000000004</v>
      </c>
      <c r="Q2481">
        <v>0.19269919999999999</v>
      </c>
      <c r="R2481">
        <v>-3.3061769999999997E-2</v>
      </c>
      <c r="S2481">
        <v>-3.0705260000000001</v>
      </c>
      <c r="T2481">
        <v>-5.1082969999999998E-2</v>
      </c>
      <c r="U2481">
        <v>2.1972659999999998E-3</v>
      </c>
      <c r="V2481">
        <v>-4.3275300000000003E-2</v>
      </c>
      <c r="W2481">
        <v>0.2007323</v>
      </c>
      <c r="X2481">
        <v>0.97868980000000005</v>
      </c>
      <c r="Y2481">
        <v>-9.675978E-3</v>
      </c>
      <c r="Z2481">
        <v>-2.077987E-4</v>
      </c>
      <c r="AA2481">
        <v>0.99995319999999999</v>
      </c>
      <c r="AB2481">
        <v>60</v>
      </c>
      <c r="AC2481">
        <v>-66.231499999999897</v>
      </c>
      <c r="AD2481">
        <v>-1.1082880419679999</v>
      </c>
      <c r="AE2481">
        <v>4.3600000000026201E-2</v>
      </c>
      <c r="AF2481">
        <v>-0.64462604074998897</v>
      </c>
      <c r="AG2481">
        <v>-1.1082880419679999</v>
      </c>
      <c r="AH2481">
        <v>66.209835954645399</v>
      </c>
      <c r="AI2481">
        <v>90.958940434820704</v>
      </c>
      <c r="AJ2481">
        <v>90.557820209169407</v>
      </c>
      <c r="AK2481">
        <v>66.222248695264398</v>
      </c>
      <c r="AL2481">
        <v>78.420214402187995</v>
      </c>
      <c r="AM2481">
        <v>92.531831819286793</v>
      </c>
      <c r="AN2481">
        <v>0.99999996623870901</v>
      </c>
    </row>
    <row r="2482" spans="1:40" x14ac:dyDescent="0.25">
      <c r="A2482" t="str">
        <f>"20190304164137874"</f>
        <v>20190304164137874</v>
      </c>
      <c r="B2482" t="str">
        <f>"1551688897863127"</f>
        <v>1551688897863127</v>
      </c>
      <c r="C2482" t="s">
        <v>40</v>
      </c>
      <c r="D2482">
        <v>4.0274549999999998</v>
      </c>
      <c r="E2482">
        <v>0.51650240000000003</v>
      </c>
      <c r="F2482" t="s">
        <v>46</v>
      </c>
      <c r="G2482">
        <v>-399.7362</v>
      </c>
      <c r="H2482" s="1">
        <v>3.6443209999999999E-6</v>
      </c>
      <c r="I2482">
        <v>284.84969999999998</v>
      </c>
      <c r="J2482">
        <v>-341.70209999999997</v>
      </c>
      <c r="K2482">
        <v>1.108287</v>
      </c>
      <c r="L2482">
        <v>284.89640000000003</v>
      </c>
      <c r="M2482">
        <v>-0.99991260000000004</v>
      </c>
      <c r="N2482">
        <v>-8.2144200000000001E-3</v>
      </c>
      <c r="O2482">
        <v>1.036918E-2</v>
      </c>
      <c r="P2482">
        <v>-0.98089309999999996</v>
      </c>
      <c r="Q2482">
        <v>0.1915615</v>
      </c>
      <c r="R2482">
        <v>-3.3954680000000001E-2</v>
      </c>
      <c r="S2482">
        <v>-3.0704349999999998</v>
      </c>
      <c r="T2482">
        <v>-5.8318969999999998E-2</v>
      </c>
      <c r="U2482">
        <v>-2.2888180000000002E-3</v>
      </c>
      <c r="V2482">
        <v>-4.4147150000000003E-2</v>
      </c>
      <c r="W2482">
        <v>0.19960449999999999</v>
      </c>
      <c r="X2482">
        <v>0.97888149999999996</v>
      </c>
      <c r="Y2482">
        <v>-1.111146E-2</v>
      </c>
      <c r="Z2482">
        <v>-2.6291239999999999E-4</v>
      </c>
      <c r="AA2482">
        <v>0.9999382</v>
      </c>
      <c r="AB2482">
        <v>60</v>
      </c>
      <c r="AC2482">
        <v>-58.034100000000002</v>
      </c>
      <c r="AD2482">
        <v>-1.1082833556789999</v>
      </c>
      <c r="AE2482">
        <v>-4.6700000000043901E-2</v>
      </c>
      <c r="AF2482">
        <v>-0.64824734507572201</v>
      </c>
      <c r="AG2482">
        <v>-1.1082833556789999</v>
      </c>
      <c r="AH2482">
        <v>58.0093395782512</v>
      </c>
      <c r="AI2482">
        <v>91.09444913227</v>
      </c>
      <c r="AJ2482">
        <v>90.640246747750496</v>
      </c>
      <c r="AK2482">
        <v>58.023546900562202</v>
      </c>
      <c r="AL2482">
        <v>78.486167294758104</v>
      </c>
      <c r="AM2482">
        <v>92.582266108311003</v>
      </c>
      <c r="AN2482">
        <v>0.99999995915781004</v>
      </c>
    </row>
    <row r="2483" spans="1:40" x14ac:dyDescent="0.25">
      <c r="A2483" t="str">
        <f>"20190304164137888"</f>
        <v>20190304164137888</v>
      </c>
      <c r="B2483" t="str">
        <f>"1551688897883624"</f>
        <v>1551688897883624</v>
      </c>
      <c r="C2483" t="s">
        <v>40</v>
      </c>
      <c r="D2483">
        <v>4.0058049999999996</v>
      </c>
      <c r="E2483">
        <v>0.51792989999999905</v>
      </c>
      <c r="F2483" t="s">
        <v>46</v>
      </c>
      <c r="G2483">
        <v>-397.01139999999998</v>
      </c>
      <c r="H2483" s="1">
        <v>2.1943159999999999E-6</v>
      </c>
      <c r="I2483">
        <v>284.80520000000001</v>
      </c>
      <c r="J2483">
        <v>-342.09309999999999</v>
      </c>
      <c r="K2483">
        <v>1.1082829999999999</v>
      </c>
      <c r="L2483">
        <v>284.90050000000002</v>
      </c>
      <c r="M2483">
        <v>-0.99991269999999999</v>
      </c>
      <c r="N2483">
        <v>-8.2253029999999998E-3</v>
      </c>
      <c r="O2483">
        <v>1.033626E-2</v>
      </c>
      <c r="P2483">
        <v>-0.98115149999999995</v>
      </c>
      <c r="Q2483">
        <v>0.1900625</v>
      </c>
      <c r="R2483">
        <v>-3.4895130000000003E-2</v>
      </c>
      <c r="S2483">
        <v>-3.0702509999999998</v>
      </c>
      <c r="T2483">
        <v>-6.1521529999999998E-2</v>
      </c>
      <c r="U2483">
        <v>-5.065918E-3</v>
      </c>
      <c r="V2483">
        <v>-4.5059540000000002E-2</v>
      </c>
      <c r="W2483">
        <v>0.19811699999999999</v>
      </c>
      <c r="X2483">
        <v>0.97914210000000002</v>
      </c>
      <c r="Y2483">
        <v>-1.1982400000000001E-2</v>
      </c>
      <c r="Z2483">
        <v>-2.914045E-4</v>
      </c>
      <c r="AA2483">
        <v>0.99992820000000004</v>
      </c>
      <c r="AB2483">
        <v>60</v>
      </c>
      <c r="AC2483">
        <v>-54.918299999999903</v>
      </c>
      <c r="AD2483">
        <v>-1.1082808056839999</v>
      </c>
      <c r="AE2483">
        <v>-9.5300000000008794E-2</v>
      </c>
      <c r="AF2483">
        <v>-0.66269408345219305</v>
      </c>
      <c r="AG2483">
        <v>-1.1082808056839999</v>
      </c>
      <c r="AH2483">
        <v>54.892026021073299</v>
      </c>
      <c r="AI2483">
        <v>91.156571651738204</v>
      </c>
      <c r="AJ2483">
        <v>90.691680236983103</v>
      </c>
      <c r="AK2483">
        <v>54.907212372243798</v>
      </c>
      <c r="AL2483">
        <v>78.573131893364803</v>
      </c>
      <c r="AM2483">
        <v>92.634858893290897</v>
      </c>
      <c r="AN2483">
        <v>0.99999997991320999</v>
      </c>
    </row>
    <row r="2484" spans="1:40" x14ac:dyDescent="0.25">
      <c r="A2484" t="str">
        <f>"20190304164137900"</f>
        <v>20190304164137900</v>
      </c>
      <c r="B2484" t="str">
        <f>"1551688897893384"</f>
        <v>1551688897893384</v>
      </c>
      <c r="C2484" t="s">
        <v>40</v>
      </c>
      <c r="D2484">
        <v>4.0057010000000002</v>
      </c>
      <c r="E2484">
        <v>0.51797409999999999</v>
      </c>
      <c r="F2484" t="s">
        <v>47</v>
      </c>
      <c r="G2484">
        <v>-408.38650000000001</v>
      </c>
      <c r="H2484" s="1">
        <v>4.605545E-6</v>
      </c>
      <c r="I2484">
        <v>284.99220000000003</v>
      </c>
      <c r="J2484">
        <v>-342.41820000000001</v>
      </c>
      <c r="K2484">
        <v>1.1082780000000001</v>
      </c>
      <c r="L2484">
        <v>284.90379999999999</v>
      </c>
      <c r="M2484">
        <v>-0.99991319999999995</v>
      </c>
      <c r="N2484">
        <v>-8.23433199999999E-3</v>
      </c>
      <c r="O2484">
        <v>1.03055E-2</v>
      </c>
      <c r="P2484">
        <v>-0.981375</v>
      </c>
      <c r="Q2484">
        <v>0.18872739999999999</v>
      </c>
      <c r="R2484">
        <v>-3.585199E-2</v>
      </c>
      <c r="S2484">
        <v>-3.0677189999999999</v>
      </c>
      <c r="T2484">
        <v>-5.1285509999999999E-2</v>
      </c>
      <c r="U2484">
        <v>4.2419429999999998E-3</v>
      </c>
      <c r="V2484">
        <v>-4.598994E-2</v>
      </c>
      <c r="W2484">
        <v>0.19679279999999999</v>
      </c>
      <c r="X2484">
        <v>0.97936590000000001</v>
      </c>
      <c r="Y2484">
        <v>-8.9209100000000006E-3</v>
      </c>
      <c r="Z2484">
        <v>-1.9870909999999999E-4</v>
      </c>
      <c r="AA2484">
        <v>0.99996019999999997</v>
      </c>
      <c r="AB2484">
        <v>60</v>
      </c>
      <c r="AC2484">
        <v>-65.968299999999999</v>
      </c>
      <c r="AD2484">
        <v>-1.1082733944550001</v>
      </c>
      <c r="AE2484">
        <v>8.8400000000035506E-2</v>
      </c>
      <c r="AF2484">
        <v>-0.59129702905969606</v>
      </c>
      <c r="AG2484">
        <v>-1.1082733944550001</v>
      </c>
      <c r="AH2484">
        <v>65.947094606650197</v>
      </c>
      <c r="AI2484">
        <v>90.962754461312002</v>
      </c>
      <c r="AJ2484">
        <v>90.513713554362795</v>
      </c>
      <c r="AK2484">
        <v>65.959056915270594</v>
      </c>
      <c r="AL2484">
        <v>78.650527224335505</v>
      </c>
      <c r="AM2484">
        <v>92.688571404209597</v>
      </c>
      <c r="AN2484">
        <v>1.00000002339792</v>
      </c>
    </row>
    <row r="2485" spans="1:40" x14ac:dyDescent="0.25">
      <c r="A2485" t="str">
        <f>"20190304164137912"</f>
        <v>20190304164137912</v>
      </c>
      <c r="B2485" t="str">
        <f>"1551688897903143"</f>
        <v>1551688897903143</v>
      </c>
      <c r="C2485" t="s">
        <v>40</v>
      </c>
      <c r="D2485">
        <v>3.987295</v>
      </c>
      <c r="E2485">
        <v>0.51804799999999995</v>
      </c>
      <c r="F2485" t="s">
        <v>47</v>
      </c>
      <c r="G2485">
        <v>-408.75990000000002</v>
      </c>
      <c r="H2485" s="1">
        <v>4.4481120000000001E-6</v>
      </c>
      <c r="I2485">
        <v>284.95269999999999</v>
      </c>
      <c r="J2485">
        <v>-342.74680000000001</v>
      </c>
      <c r="K2485">
        <v>1.108277</v>
      </c>
      <c r="L2485">
        <v>284.90719999999999</v>
      </c>
      <c r="M2485">
        <v>-0.9999133</v>
      </c>
      <c r="N2485">
        <v>-8.2434810000000004E-3</v>
      </c>
      <c r="O2485">
        <v>1.026935E-2</v>
      </c>
      <c r="P2485">
        <v>-0.98164130000000005</v>
      </c>
      <c r="Q2485">
        <v>0.18713399999999999</v>
      </c>
      <c r="R2485">
        <v>-3.6895120000000003E-2</v>
      </c>
      <c r="S2485">
        <v>-3.0668639999999998</v>
      </c>
      <c r="T2485">
        <v>-5.1233649999999999E-2</v>
      </c>
      <c r="U2485">
        <v>2.2583009999999999E-3</v>
      </c>
      <c r="V2485">
        <v>-4.700211E-2</v>
      </c>
      <c r="W2485">
        <v>0.19520950000000001</v>
      </c>
      <c r="X2485">
        <v>0.97963460000000002</v>
      </c>
      <c r="Y2485">
        <v>-9.5310299999999994E-3</v>
      </c>
      <c r="Z2485">
        <v>-2.0578010000000001E-4</v>
      </c>
      <c r="AA2485">
        <v>0.99995460000000003</v>
      </c>
      <c r="AB2485">
        <v>60</v>
      </c>
      <c r="AC2485">
        <v>-66.013099999999994</v>
      </c>
      <c r="AD2485">
        <v>-1.1082725518879999</v>
      </c>
      <c r="AE2485">
        <v>4.5500000000004003E-2</v>
      </c>
      <c r="AF2485">
        <v>-0.63225884718319603</v>
      </c>
      <c r="AG2485">
        <v>-1.1082725518879999</v>
      </c>
      <c r="AH2485">
        <v>65.991485759289702</v>
      </c>
      <c r="AI2485">
        <v>90.962100743331803</v>
      </c>
      <c r="AJ2485">
        <v>90.548929224921196</v>
      </c>
      <c r="AK2485">
        <v>66.003819677482596</v>
      </c>
      <c r="AL2485">
        <v>78.743037155453607</v>
      </c>
      <c r="AM2485">
        <v>92.746900659947798</v>
      </c>
      <c r="AN2485">
        <v>0.99999994837592898</v>
      </c>
    </row>
    <row r="2486" spans="1:40" x14ac:dyDescent="0.25">
      <c r="A2486" t="str">
        <f>"20190304164137924"</f>
        <v>20190304164137924</v>
      </c>
      <c r="B2486" t="str">
        <f>"1551688897913879"</f>
        <v>1551688897913879</v>
      </c>
      <c r="C2486" t="s">
        <v>40</v>
      </c>
      <c r="D2486">
        <v>4.0390329999999999</v>
      </c>
      <c r="E2486">
        <v>0.51819320000000002</v>
      </c>
      <c r="F2486" t="s">
        <v>47</v>
      </c>
      <c r="G2486">
        <v>-406.09140000000002</v>
      </c>
      <c r="H2486" s="1">
        <v>5.641666E-6</v>
      </c>
      <c r="I2486">
        <v>284.90339999999998</v>
      </c>
      <c r="J2486">
        <v>-343.06110000000001</v>
      </c>
      <c r="K2486">
        <v>1.1082749999999999</v>
      </c>
      <c r="L2486">
        <v>284.91039999999998</v>
      </c>
      <c r="M2486">
        <v>-0.99991379999999996</v>
      </c>
      <c r="N2486">
        <v>-8.2522459999999995E-3</v>
      </c>
      <c r="O2486">
        <v>1.023219E-2</v>
      </c>
      <c r="P2486">
        <v>-0.98194349999999997</v>
      </c>
      <c r="Q2486">
        <v>0.1853014</v>
      </c>
      <c r="R2486">
        <v>-3.8083069999999997E-2</v>
      </c>
      <c r="S2486">
        <v>-3.0663149999999999</v>
      </c>
      <c r="T2486">
        <v>-5.364799E-2</v>
      </c>
      <c r="U2486">
        <v>-1.8310550000000001E-4</v>
      </c>
      <c r="V2486">
        <v>-4.815912E-2</v>
      </c>
      <c r="W2486">
        <v>0.19338720000000001</v>
      </c>
      <c r="X2486">
        <v>0.97993980000000003</v>
      </c>
      <c r="Y2486">
        <v>-1.028949E-2</v>
      </c>
      <c r="Z2486">
        <v>-2.270342E-4</v>
      </c>
      <c r="AA2486">
        <v>0.99994700000000003</v>
      </c>
      <c r="AB2486">
        <v>60</v>
      </c>
      <c r="AC2486">
        <v>-63.030299999999997</v>
      </c>
      <c r="AD2486">
        <v>-1.108269358334</v>
      </c>
      <c r="AE2486">
        <v>-7.0000000000049996E-3</v>
      </c>
      <c r="AF2486">
        <v>-0.65175796799883901</v>
      </c>
      <c r="AG2486">
        <v>-1.108269358334</v>
      </c>
      <c r="AH2486">
        <v>63.007448729817</v>
      </c>
      <c r="AI2486">
        <v>91.007646154426894</v>
      </c>
      <c r="AJ2486">
        <v>90.592654515509693</v>
      </c>
      <c r="AK2486">
        <v>63.020565253415398</v>
      </c>
      <c r="AL2486">
        <v>78.849475872267107</v>
      </c>
      <c r="AM2486">
        <v>92.813536174550194</v>
      </c>
      <c r="AN2486">
        <v>0.99999996079352604</v>
      </c>
    </row>
    <row r="2487" spans="1:40" x14ac:dyDescent="0.25">
      <c r="A2487" t="str">
        <f>"20190304164137937"</f>
        <v>20190304164137937</v>
      </c>
      <c r="B2487" t="str">
        <f>"1551688897933399"</f>
        <v>1551688897933399</v>
      </c>
      <c r="C2487" t="s">
        <v>40</v>
      </c>
      <c r="D2487">
        <v>4.0274609999999997</v>
      </c>
      <c r="E2487">
        <v>0.51826289999999997</v>
      </c>
      <c r="F2487" t="s">
        <v>47</v>
      </c>
      <c r="G2487">
        <v>-404.14589999999998</v>
      </c>
      <c r="H2487" s="1">
        <v>6.512642E-6</v>
      </c>
      <c r="I2487">
        <v>284.86360000000002</v>
      </c>
      <c r="J2487">
        <v>-343.41309999999999</v>
      </c>
      <c r="K2487">
        <v>1.108274</v>
      </c>
      <c r="L2487">
        <v>284.91399999999999</v>
      </c>
      <c r="M2487">
        <v>-0.99991410000000003</v>
      </c>
      <c r="N2487">
        <v>-8.2621029999999998E-3</v>
      </c>
      <c r="O2487">
        <v>1.018295E-2</v>
      </c>
      <c r="P2487">
        <v>-0.98217980000000005</v>
      </c>
      <c r="Q2487">
        <v>0.18383430000000001</v>
      </c>
      <c r="R2487">
        <v>-3.9091590000000002E-2</v>
      </c>
      <c r="S2487">
        <v>-3.065582</v>
      </c>
      <c r="T2487">
        <v>-5.561924E-2</v>
      </c>
      <c r="U2487">
        <v>-2.3498540000000002E-3</v>
      </c>
      <c r="V2487">
        <v>-4.9124319999999999E-2</v>
      </c>
      <c r="W2487">
        <v>0.19193060000000001</v>
      </c>
      <c r="X2487">
        <v>0.98017829999999995</v>
      </c>
      <c r="Y2487">
        <v>-1.094666E-2</v>
      </c>
      <c r="Z2487">
        <v>-2.4512440000000002E-4</v>
      </c>
      <c r="AA2487">
        <v>0.99994000000000005</v>
      </c>
      <c r="AB2487">
        <v>60</v>
      </c>
      <c r="AC2487">
        <v>-60.732799999999997</v>
      </c>
      <c r="AD2487">
        <v>-1.1082674873580001</v>
      </c>
      <c r="AE2487">
        <v>-5.0399999999967797E-2</v>
      </c>
      <c r="AF2487">
        <v>-0.66863485703137204</v>
      </c>
      <c r="AG2487">
        <v>-1.1082674873580001</v>
      </c>
      <c r="AH2487">
        <v>60.7089217187998</v>
      </c>
      <c r="AI2487">
        <v>91.045779526374702</v>
      </c>
      <c r="AJ2487">
        <v>90.631017737240299</v>
      </c>
      <c r="AK2487">
        <v>60.722718200480202</v>
      </c>
      <c r="AL2487">
        <v>78.934527009602604</v>
      </c>
      <c r="AM2487">
        <v>92.869134299125804</v>
      </c>
      <c r="AN2487">
        <v>1.00000002691135</v>
      </c>
    </row>
    <row r="2488" spans="1:40" x14ac:dyDescent="0.25">
      <c r="A2488" t="str">
        <f>"20190304164137950"</f>
        <v>20190304164137950</v>
      </c>
      <c r="B2488" t="str">
        <f>"1551688897943159"</f>
        <v>1551688897943159</v>
      </c>
      <c r="C2488" t="s">
        <v>40</v>
      </c>
      <c r="D2488">
        <v>4.037909</v>
      </c>
      <c r="E2488">
        <v>0.51837429999999995</v>
      </c>
      <c r="F2488" t="s">
        <v>47</v>
      </c>
      <c r="G2488">
        <v>-401.21</v>
      </c>
      <c r="H2488" s="1">
        <v>7.8228349999999998E-6</v>
      </c>
      <c r="I2488">
        <v>284.8236</v>
      </c>
      <c r="J2488">
        <v>-343.7774</v>
      </c>
      <c r="K2488">
        <v>1.1082700000000001</v>
      </c>
      <c r="L2488">
        <v>284.91770000000002</v>
      </c>
      <c r="M2488">
        <v>-0.99991450000000004</v>
      </c>
      <c r="N2488">
        <v>-8.2723199999999997E-3</v>
      </c>
      <c r="O2488">
        <v>1.0123740000000001E-2</v>
      </c>
      <c r="P2488">
        <v>-0.98252980000000001</v>
      </c>
      <c r="Q2488">
        <v>0.1815042</v>
      </c>
      <c r="R2488">
        <v>-4.1126860000000001E-2</v>
      </c>
      <c r="S2488">
        <v>-3.0652469999999998</v>
      </c>
      <c r="T2488">
        <v>-5.8776620000000002E-2</v>
      </c>
      <c r="U2488">
        <v>-4.7912600000000003E-3</v>
      </c>
      <c r="V2488">
        <v>-5.1109750000000002E-2</v>
      </c>
      <c r="W2488">
        <v>0.18961220000000001</v>
      </c>
      <c r="X2488">
        <v>0.98052790000000001</v>
      </c>
      <c r="Y2488">
        <v>-1.168341E-2</v>
      </c>
      <c r="Z2488">
        <v>-2.7069650000000002E-4</v>
      </c>
      <c r="AA2488">
        <v>0.99993169999999998</v>
      </c>
      <c r="AB2488">
        <v>60</v>
      </c>
      <c r="AC2488">
        <v>-57.432599999999901</v>
      </c>
      <c r="AD2488">
        <v>-1.1082621771650001</v>
      </c>
      <c r="AE2488">
        <v>-9.4100000000025802E-2</v>
      </c>
      <c r="AF2488">
        <v>-0.67529634755812695</v>
      </c>
      <c r="AG2488">
        <v>-1.1082621771650001</v>
      </c>
      <c r="AH2488">
        <v>57.407327526071597</v>
      </c>
      <c r="AI2488">
        <v>91.105894842285295</v>
      </c>
      <c r="AJ2488">
        <v>90.673953096477902</v>
      </c>
      <c r="AK2488">
        <v>57.421995122914502</v>
      </c>
      <c r="AL2488">
        <v>79.069846248905804</v>
      </c>
      <c r="AM2488">
        <v>92.983826533349202</v>
      </c>
      <c r="AN2488">
        <v>0.99999997780615602</v>
      </c>
    </row>
    <row r="2489" spans="1:40" x14ac:dyDescent="0.25">
      <c r="A2489" t="str">
        <f>"20190304164137964"</f>
        <v>20190304164137964</v>
      </c>
      <c r="B2489" t="str">
        <f>"1551688897953895"</f>
        <v>1551688897953895</v>
      </c>
      <c r="C2489" t="s">
        <v>40</v>
      </c>
      <c r="D2489">
        <v>4.0097709999999998</v>
      </c>
      <c r="E2489">
        <v>0.51848749999999999</v>
      </c>
      <c r="F2489" t="s">
        <v>46</v>
      </c>
      <c r="G2489">
        <v>-395.20859999999999</v>
      </c>
      <c r="H2489" s="1">
        <v>1.234945E-6</v>
      </c>
      <c r="I2489">
        <v>284.74299999999999</v>
      </c>
      <c r="J2489">
        <v>-344.11750000000001</v>
      </c>
      <c r="K2489">
        <v>1.108277</v>
      </c>
      <c r="L2489">
        <v>284.92110000000002</v>
      </c>
      <c r="M2489">
        <v>-0.9999152</v>
      </c>
      <c r="N2489">
        <v>-8.2818560000000006E-3</v>
      </c>
      <c r="O2489">
        <v>1.0062740000000001E-2</v>
      </c>
      <c r="P2489">
        <v>-0.98250490000000001</v>
      </c>
      <c r="Q2489">
        <v>0.1814269</v>
      </c>
      <c r="R2489">
        <v>-4.2058900000000003E-2</v>
      </c>
      <c r="S2489">
        <v>-3.0651549999999999</v>
      </c>
      <c r="T2489">
        <v>-6.604981E-2</v>
      </c>
      <c r="U2489">
        <v>-1.0406489999999999E-2</v>
      </c>
      <c r="V2489">
        <v>-5.1985709999999997E-2</v>
      </c>
      <c r="W2489">
        <v>0.18954190000000001</v>
      </c>
      <c r="X2489">
        <v>0.98049549999999996</v>
      </c>
      <c r="Y2489">
        <v>-1.345272E-2</v>
      </c>
      <c r="Z2489">
        <v>-3.3411960000000001E-4</v>
      </c>
      <c r="AA2489">
        <v>0.99990950000000001</v>
      </c>
      <c r="AB2489">
        <v>60</v>
      </c>
      <c r="AC2489">
        <v>-51.091099999999898</v>
      </c>
      <c r="AD2489">
        <v>-1.1082757650549999</v>
      </c>
      <c r="AE2489">
        <v>-0.17810000000002801</v>
      </c>
      <c r="AF2489">
        <v>-0.69189943554994404</v>
      </c>
      <c r="AG2489">
        <v>-1.1082757650549999</v>
      </c>
      <c r="AH2489">
        <v>51.062693587708701</v>
      </c>
      <c r="AI2489">
        <v>91.243250707559497</v>
      </c>
      <c r="AJ2489">
        <v>90.7763102337031</v>
      </c>
      <c r="AK2489">
        <v>51.079405599835901</v>
      </c>
      <c r="AL2489">
        <v>79.073949174201999</v>
      </c>
      <c r="AM2489">
        <v>93.034971054393395</v>
      </c>
      <c r="AN2489">
        <v>1.00000003571003</v>
      </c>
    </row>
    <row r="2490" spans="1:40" x14ac:dyDescent="0.25">
      <c r="A2490" t="str">
        <f>"20190304164137979"</f>
        <v>20190304164137979</v>
      </c>
      <c r="B2490" t="str">
        <f>"1551688897973415"</f>
        <v>1551688897973415</v>
      </c>
      <c r="C2490" t="s">
        <v>40</v>
      </c>
      <c r="D2490">
        <v>4.0359530000000001</v>
      </c>
      <c r="E2490">
        <v>0.51890740000000002</v>
      </c>
      <c r="F2490" t="s">
        <v>46</v>
      </c>
      <c r="G2490">
        <v>-395.49349999999998</v>
      </c>
      <c r="H2490" s="1">
        <v>1.3865599999999999E-6</v>
      </c>
      <c r="I2490">
        <v>284.71949999999998</v>
      </c>
      <c r="J2490">
        <v>-344.53149999999999</v>
      </c>
      <c r="K2490">
        <v>1.1082920000000001</v>
      </c>
      <c r="L2490">
        <v>284.92520000000002</v>
      </c>
      <c r="M2490">
        <v>-0.99991600000000003</v>
      </c>
      <c r="N2490">
        <v>-8.2934669999999901E-3</v>
      </c>
      <c r="O2490">
        <v>9.9752769999999994E-3</v>
      </c>
      <c r="P2490">
        <v>-0.98244339999999997</v>
      </c>
      <c r="Q2490">
        <v>0.18154110000000001</v>
      </c>
      <c r="R2490">
        <v>-4.2989310000000003E-2</v>
      </c>
      <c r="S2490">
        <v>-3.0651549999999999</v>
      </c>
      <c r="T2490">
        <v>-6.6121100000000002E-2</v>
      </c>
      <c r="U2490">
        <v>-1.202393E-2</v>
      </c>
      <c r="V2490">
        <v>-5.2836719999999997E-2</v>
      </c>
      <c r="W2490">
        <v>0.18966549999999999</v>
      </c>
      <c r="X2490">
        <v>0.98042609999999997</v>
      </c>
      <c r="Y2490">
        <v>-1.3892750000000001E-2</v>
      </c>
      <c r="Z2490">
        <v>-3.3988060000000002E-4</v>
      </c>
      <c r="AA2490">
        <v>0.9999034</v>
      </c>
      <c r="AB2490">
        <v>60</v>
      </c>
      <c r="AC2490">
        <v>-50.961999999999897</v>
      </c>
      <c r="AD2490">
        <v>-1.1082906134399999</v>
      </c>
      <c r="AE2490">
        <v>-0.20570000000003499</v>
      </c>
      <c r="AF2490">
        <v>-0.71372968788195201</v>
      </c>
      <c r="AG2490">
        <v>-1.1082906134399999</v>
      </c>
      <c r="AH2490">
        <v>50.933323786198898</v>
      </c>
      <c r="AI2490">
        <v>91.246416293142005</v>
      </c>
      <c r="AJ2490">
        <v>90.8028343609068</v>
      </c>
      <c r="AK2490">
        <v>50.950379685150303</v>
      </c>
      <c r="AL2490">
        <v>79.066736512921906</v>
      </c>
      <c r="AM2490">
        <v>93.084776509881706</v>
      </c>
      <c r="AN2490">
        <v>1.0000000292158999</v>
      </c>
    </row>
    <row r="2491" spans="1:40" x14ac:dyDescent="0.25">
      <c r="A2491" t="str">
        <f>"20190304164137993"</f>
        <v>20190304164137993</v>
      </c>
      <c r="B2491" t="str">
        <f>"1551688897983175"</f>
        <v>1551688897983175</v>
      </c>
      <c r="C2491" t="s">
        <v>40</v>
      </c>
      <c r="D2491">
        <v>4.0351860000000004</v>
      </c>
      <c r="E2491">
        <v>0.51916720000000005</v>
      </c>
      <c r="F2491" t="s">
        <v>46</v>
      </c>
      <c r="G2491">
        <v>-397.39159999999998</v>
      </c>
      <c r="H2491" s="1">
        <v>2.3966519999999998E-6</v>
      </c>
      <c r="I2491">
        <v>284.73050000000001</v>
      </c>
      <c r="J2491">
        <v>-344.9144</v>
      </c>
      <c r="K2491">
        <v>1.1083069999999999</v>
      </c>
      <c r="L2491">
        <v>284.92899999999997</v>
      </c>
      <c r="M2491">
        <v>-0.99991669999999999</v>
      </c>
      <c r="N2491">
        <v>-8.3041839999999992E-3</v>
      </c>
      <c r="O2491">
        <v>9.8831660000000005E-3</v>
      </c>
      <c r="P2491">
        <v>-0.98229869999999997</v>
      </c>
      <c r="Q2491">
        <v>0.18219630000000001</v>
      </c>
      <c r="R2491">
        <v>-4.3519219999999997E-2</v>
      </c>
      <c r="S2491">
        <v>-3.0650019999999998</v>
      </c>
      <c r="T2491">
        <v>-6.4262269999999996E-2</v>
      </c>
      <c r="U2491">
        <v>-1.1291499999999999E-2</v>
      </c>
      <c r="V2491">
        <v>-5.3281839999999997E-2</v>
      </c>
      <c r="W2491">
        <v>0.19032750000000001</v>
      </c>
      <c r="X2491">
        <v>0.98027370000000003</v>
      </c>
      <c r="Y2491">
        <v>-1.3562289999999999E-2</v>
      </c>
      <c r="Z2491">
        <v>-3.2360430000000001E-4</v>
      </c>
      <c r="AA2491">
        <v>0.99990800000000002</v>
      </c>
      <c r="AB2491">
        <v>60</v>
      </c>
      <c r="AC2491">
        <v>-52.477199999999897</v>
      </c>
      <c r="AD2491">
        <v>-1.108304603348</v>
      </c>
      <c r="AE2491">
        <v>-0.19850000000002399</v>
      </c>
      <c r="AF2491">
        <v>-0.71682932344414896</v>
      </c>
      <c r="AG2491">
        <v>-1.108304603348</v>
      </c>
      <c r="AH2491">
        <v>52.449280665229502</v>
      </c>
      <c r="AI2491">
        <v>91.210422702386495</v>
      </c>
      <c r="AJ2491">
        <v>90.783018134879995</v>
      </c>
      <c r="AK2491">
        <v>52.465886304081202</v>
      </c>
      <c r="AL2491">
        <v>79.028102878698505</v>
      </c>
      <c r="AM2491">
        <v>93.1111958747464</v>
      </c>
      <c r="AN2491">
        <v>1.00000001932086</v>
      </c>
    </row>
    <row r="2492" spans="1:40" x14ac:dyDescent="0.25">
      <c r="A2492" t="str">
        <f>"20190304164138008"</f>
        <v>20190304164138008</v>
      </c>
      <c r="B2492" t="str">
        <f>"1551688898003672"</f>
        <v>1551688898003672</v>
      </c>
      <c r="C2492" t="s">
        <v>40</v>
      </c>
      <c r="D2492">
        <v>3.9949189999999999</v>
      </c>
      <c r="E2492">
        <v>0.51943709999999998</v>
      </c>
      <c r="F2492" t="s">
        <v>47</v>
      </c>
      <c r="G2492">
        <v>-400.16640000000001</v>
      </c>
      <c r="H2492" s="1">
        <v>8.3027620000000006E-6</v>
      </c>
      <c r="I2492">
        <v>284.74079999999998</v>
      </c>
      <c r="J2492">
        <v>-345.29500000000002</v>
      </c>
      <c r="K2492">
        <v>1.1083240000000001</v>
      </c>
      <c r="L2492">
        <v>284.93270000000001</v>
      </c>
      <c r="M2492">
        <v>-0.99991770000000002</v>
      </c>
      <c r="N2492">
        <v>-8.3148330000000006E-3</v>
      </c>
      <c r="O2492">
        <v>9.7838370000000001E-3</v>
      </c>
      <c r="P2492">
        <v>-0.98203890000000005</v>
      </c>
      <c r="Q2492">
        <v>0.18329129999999999</v>
      </c>
      <c r="R2492">
        <v>-4.4768339999999997E-2</v>
      </c>
      <c r="S2492">
        <v>-3.0650330000000001</v>
      </c>
      <c r="T2492">
        <v>-6.1481479999999998E-2</v>
      </c>
      <c r="U2492">
        <v>-1.043701E-2</v>
      </c>
      <c r="V2492">
        <v>-5.443804E-2</v>
      </c>
      <c r="W2492">
        <v>0.1914284</v>
      </c>
      <c r="X2492">
        <v>0.97999570000000003</v>
      </c>
      <c r="Y2492">
        <v>-1.3184700000000001E-2</v>
      </c>
      <c r="Z2492">
        <v>-3.0192940000000002E-4</v>
      </c>
      <c r="AA2492">
        <v>0.99991300000000005</v>
      </c>
      <c r="AB2492">
        <v>60</v>
      </c>
      <c r="AC2492">
        <v>-54.871400000000001</v>
      </c>
      <c r="AD2492">
        <v>-1.1083156972379999</v>
      </c>
      <c r="AE2492">
        <v>-0.19190000000003199</v>
      </c>
      <c r="AF2492">
        <v>-0.72846494269679896</v>
      </c>
      <c r="AG2492">
        <v>-1.1083156972379999</v>
      </c>
      <c r="AH2492">
        <v>54.844520944408302</v>
      </c>
      <c r="AI2492">
        <v>91.1575918638205</v>
      </c>
      <c r="AJ2492">
        <v>90.760978704767894</v>
      </c>
      <c r="AK2492">
        <v>54.860555069003098</v>
      </c>
      <c r="AL2492">
        <v>78.963843734214905</v>
      </c>
      <c r="AM2492">
        <v>93.179470757593904</v>
      </c>
      <c r="AN2492">
        <v>0.99999995227204397</v>
      </c>
    </row>
    <row r="2493" spans="1:40" x14ac:dyDescent="0.25">
      <c r="A2493" t="str">
        <f>"20190304164138030"</f>
        <v>20190304164138030</v>
      </c>
      <c r="B2493" t="str">
        <f>"1551688898023191"</f>
        <v>1551688898023191</v>
      </c>
      <c r="C2493" t="s">
        <v>40</v>
      </c>
      <c r="D2493">
        <v>3.9992559999999999</v>
      </c>
      <c r="E2493">
        <v>0.51966520000000005</v>
      </c>
      <c r="F2493" t="s">
        <v>47</v>
      </c>
      <c r="G2493">
        <v>-405.38279999999997</v>
      </c>
      <c r="H2493" s="1">
        <v>5.9939689999999999E-6</v>
      </c>
      <c r="I2493">
        <v>284.71910000000003</v>
      </c>
      <c r="J2493">
        <v>-345.8972</v>
      </c>
      <c r="K2493">
        <v>1.108347</v>
      </c>
      <c r="L2493">
        <v>284.93849999999998</v>
      </c>
      <c r="M2493">
        <v>-0.99991920000000001</v>
      </c>
      <c r="N2493">
        <v>-8.3315980000000008E-3</v>
      </c>
      <c r="O2493">
        <v>9.6091649999999994E-3</v>
      </c>
      <c r="P2493">
        <v>-0.98181870000000004</v>
      </c>
      <c r="Q2493">
        <v>0.18412539999999999</v>
      </c>
      <c r="R2493">
        <v>-4.6150980000000001E-2</v>
      </c>
      <c r="S2493">
        <v>-3.06488</v>
      </c>
      <c r="T2493">
        <v>-5.6531669999999999E-2</v>
      </c>
      <c r="U2493">
        <v>-1.089478E-2</v>
      </c>
      <c r="V2493">
        <v>-5.5659029999999998E-2</v>
      </c>
      <c r="W2493">
        <v>0.1922731</v>
      </c>
      <c r="X2493">
        <v>0.97976180000000002</v>
      </c>
      <c r="Y2493">
        <v>-1.316023E-2</v>
      </c>
      <c r="Z2493">
        <v>-2.7335640000000002E-4</v>
      </c>
      <c r="AA2493">
        <v>0.9999133</v>
      </c>
      <c r="AB2493">
        <v>60</v>
      </c>
      <c r="AC2493">
        <v>-59.485599999999899</v>
      </c>
      <c r="AD2493">
        <v>-1.1083410060309999</v>
      </c>
      <c r="AE2493">
        <v>-0.21939999999995</v>
      </c>
      <c r="AF2493">
        <v>-0.79074210422078295</v>
      </c>
      <c r="AG2493">
        <v>-1.1083410060309999</v>
      </c>
      <c r="AH2493">
        <v>59.460103513358298</v>
      </c>
      <c r="AI2493">
        <v>91.067779774080606</v>
      </c>
      <c r="AJ2493">
        <v>90.7619144935843</v>
      </c>
      <c r="AK2493">
        <v>59.475689173647403</v>
      </c>
      <c r="AL2493">
        <v>78.914530795343296</v>
      </c>
      <c r="AM2493">
        <v>93.251406168810405</v>
      </c>
      <c r="AN2493">
        <v>1.0000000286716899</v>
      </c>
    </row>
    <row r="2494" spans="1:40" x14ac:dyDescent="0.25">
      <c r="A2494" t="str">
        <f>"20190304164138041"</f>
        <v>20190304164138041</v>
      </c>
      <c r="B2494" t="str">
        <f>"1551688898033928"</f>
        <v>1551688898033928</v>
      </c>
      <c r="C2494" t="s">
        <v>40</v>
      </c>
      <c r="D2494">
        <v>4.0258260000000003</v>
      </c>
      <c r="E2494">
        <v>0.51981489999999997</v>
      </c>
      <c r="F2494" t="s">
        <v>47</v>
      </c>
      <c r="G2494">
        <v>-410.6662</v>
      </c>
      <c r="H2494" s="1">
        <v>2.318311E-6</v>
      </c>
      <c r="I2494">
        <v>284.68060000000003</v>
      </c>
      <c r="J2494">
        <v>-346.22359999999998</v>
      </c>
      <c r="K2494">
        <v>1.1083590000000001</v>
      </c>
      <c r="L2494">
        <v>284.94170000000003</v>
      </c>
      <c r="M2494">
        <v>-0.99992009999999998</v>
      </c>
      <c r="N2494">
        <v>-8.34061E-3</v>
      </c>
      <c r="O2494">
        <v>9.5088540000000006E-3</v>
      </c>
      <c r="P2494">
        <v>-0.98174629999999996</v>
      </c>
      <c r="Q2494">
        <v>0.18430160000000001</v>
      </c>
      <c r="R2494">
        <v>-4.6987370000000001E-2</v>
      </c>
      <c r="S2494">
        <v>-3.064819</v>
      </c>
      <c r="T2494">
        <v>-5.2446010000000001E-2</v>
      </c>
      <c r="U2494">
        <v>-1.2207030000000001E-2</v>
      </c>
      <c r="V2494">
        <v>-5.6402109999999998E-2</v>
      </c>
      <c r="W2494">
        <v>0.1924556</v>
      </c>
      <c r="X2494">
        <v>0.97968350000000004</v>
      </c>
      <c r="Y2494">
        <v>-1.348855E-2</v>
      </c>
      <c r="Z2494">
        <v>-2.5505580000000002E-4</v>
      </c>
      <c r="AA2494">
        <v>0.99990900000000005</v>
      </c>
      <c r="AB2494">
        <v>60</v>
      </c>
      <c r="AC2494">
        <v>-64.442599999999999</v>
      </c>
      <c r="AD2494">
        <v>-1.108356681689</v>
      </c>
      <c r="AE2494">
        <v>-0.261099999999999</v>
      </c>
      <c r="AF2494">
        <v>-0.87362630319825096</v>
      </c>
      <c r="AG2494">
        <v>-1.108356681689</v>
      </c>
      <c r="AH2494">
        <v>64.418148263549895</v>
      </c>
      <c r="AI2494">
        <v>90.985623756852306</v>
      </c>
      <c r="AJ2494">
        <v>90.776986501151399</v>
      </c>
      <c r="AK2494">
        <v>64.433605386911097</v>
      </c>
      <c r="AL2494">
        <v>78.903875639921097</v>
      </c>
      <c r="AM2494">
        <v>93.2949820536804</v>
      </c>
      <c r="AN2494">
        <v>1.0000000580780199</v>
      </c>
    </row>
    <row r="2495" spans="1:40" x14ac:dyDescent="0.25">
      <c r="A2495" t="str">
        <f>"20190304164138055"</f>
        <v>20190304164138055</v>
      </c>
      <c r="B2495" t="str">
        <f>"1551688898043687"</f>
        <v>1551688898043687</v>
      </c>
      <c r="C2495" t="s">
        <v>40</v>
      </c>
      <c r="D2495">
        <v>3.9983590000000002</v>
      </c>
      <c r="E2495">
        <v>0.51996430000000005</v>
      </c>
      <c r="F2495" t="s">
        <v>47</v>
      </c>
      <c r="G2495">
        <v>-411.41660000000002</v>
      </c>
      <c r="H2495" s="1">
        <v>2.453327E-6</v>
      </c>
      <c r="I2495">
        <v>284.65870000000001</v>
      </c>
      <c r="J2495">
        <v>-346.58069999999998</v>
      </c>
      <c r="K2495">
        <v>1.1083719999999999</v>
      </c>
      <c r="L2495">
        <v>284.94499999999999</v>
      </c>
      <c r="M2495">
        <v>-0.99992110000000001</v>
      </c>
      <c r="N2495">
        <v>-8.3505419999999903E-3</v>
      </c>
      <c r="O2495">
        <v>9.3915490000000008E-3</v>
      </c>
      <c r="P2495">
        <v>-0.98164989999999996</v>
      </c>
      <c r="Q2495">
        <v>0.184529</v>
      </c>
      <c r="R2495">
        <v>-4.8091700000000001E-2</v>
      </c>
      <c r="S2495">
        <v>-3.0649410000000001</v>
      </c>
      <c r="T2495">
        <v>-5.2107569999999999E-2</v>
      </c>
      <c r="U2495">
        <v>-1.330566E-2</v>
      </c>
      <c r="V2495">
        <v>-5.7396759999999998E-2</v>
      </c>
      <c r="W2495">
        <v>0.19269</v>
      </c>
      <c r="X2495">
        <v>0.97957959999999999</v>
      </c>
      <c r="Y2495">
        <v>-1.372949E-2</v>
      </c>
      <c r="Z2495">
        <v>-2.552624E-4</v>
      </c>
      <c r="AA2495">
        <v>0.99990570000000001</v>
      </c>
      <c r="AB2495">
        <v>60</v>
      </c>
      <c r="AC2495">
        <v>-64.835899999999995</v>
      </c>
      <c r="AD2495">
        <v>-1.1083695466729999</v>
      </c>
      <c r="AE2495">
        <v>-0.28629999999998201</v>
      </c>
      <c r="AF2495">
        <v>-0.89495655749564595</v>
      </c>
      <c r="AG2495">
        <v>-1.1083695466729999</v>
      </c>
      <c r="AH2495">
        <v>64.811411493250702</v>
      </c>
      <c r="AI2495">
        <v>90.979652410718003</v>
      </c>
      <c r="AJ2495">
        <v>90.791125723603798</v>
      </c>
      <c r="AK2495">
        <v>64.827066029855601</v>
      </c>
      <c r="AL2495">
        <v>78.890188780834507</v>
      </c>
      <c r="AM2495">
        <v>93.353312387583998</v>
      </c>
      <c r="AN2495">
        <v>1.00000000844732</v>
      </c>
    </row>
    <row r="2496" spans="1:40" x14ac:dyDescent="0.25">
      <c r="A2496" t="str">
        <f>"20190304164138073"</f>
        <v>20190304164138073</v>
      </c>
      <c r="B2496" t="str">
        <f>"1551688898063208"</f>
        <v>1551688898063208</v>
      </c>
      <c r="C2496" t="s">
        <v>40</v>
      </c>
      <c r="D2496">
        <v>3.9911650000000001</v>
      </c>
      <c r="E2496">
        <v>0.52010270000000003</v>
      </c>
      <c r="F2496" t="s">
        <v>47</v>
      </c>
      <c r="G2496">
        <v>-413.18040000000002</v>
      </c>
      <c r="H2496" s="1">
        <v>2.7703259999999998E-6</v>
      </c>
      <c r="I2496">
        <v>284.61149999999998</v>
      </c>
      <c r="J2496">
        <v>-347.07569999999998</v>
      </c>
      <c r="K2496">
        <v>1.1083889999999901</v>
      </c>
      <c r="L2496">
        <v>284.94959999999998</v>
      </c>
      <c r="M2496">
        <v>-0.99992259999999999</v>
      </c>
      <c r="N2496">
        <v>-8.3642530000000003E-3</v>
      </c>
      <c r="O2496">
        <v>9.2233439999999996E-3</v>
      </c>
      <c r="P2496">
        <v>-0.981514</v>
      </c>
      <c r="Q2496">
        <v>0.18461459999999999</v>
      </c>
      <c r="R2496">
        <v>-5.0476510000000002E-2</v>
      </c>
      <c r="S2496">
        <v>-3.0648499999999999</v>
      </c>
      <c r="T2496">
        <v>-5.1006080000000002E-2</v>
      </c>
      <c r="U2496">
        <v>-1.5350340000000001E-2</v>
      </c>
      <c r="V2496">
        <v>-5.9623080000000002E-2</v>
      </c>
      <c r="W2496">
        <v>0.19278400000000001</v>
      </c>
      <c r="X2496">
        <v>0.97942810000000002</v>
      </c>
      <c r="Y2496">
        <v>-1.422851E-2</v>
      </c>
      <c r="Z2496">
        <v>-2.5424170000000002E-4</v>
      </c>
      <c r="AA2496">
        <v>0.99989870000000003</v>
      </c>
      <c r="AB2496">
        <v>60</v>
      </c>
      <c r="AC2496">
        <v>-66.104699999999994</v>
      </c>
      <c r="AD2496">
        <v>-1.1083862296739999</v>
      </c>
      <c r="AE2496">
        <v>-0.33809999999999701</v>
      </c>
      <c r="AF2496">
        <v>-0.94754687913929503</v>
      </c>
      <c r="AG2496">
        <v>-1.1083862296739999</v>
      </c>
      <c r="AH2496">
        <v>66.080192374678305</v>
      </c>
      <c r="AI2496">
        <v>90.960853320299194</v>
      </c>
      <c r="AJ2496">
        <v>90.821527821925002</v>
      </c>
      <c r="AK2496">
        <v>66.096279694070404</v>
      </c>
      <c r="AL2496">
        <v>78.884699889396103</v>
      </c>
      <c r="AM2496">
        <v>93.483604697163699</v>
      </c>
      <c r="AN2496">
        <v>0.99999999269714801</v>
      </c>
    </row>
    <row r="2497" spans="1:40" x14ac:dyDescent="0.25">
      <c r="A2497" t="str">
        <f>"20190304164138087"</f>
        <v>20190304164138087</v>
      </c>
      <c r="B2497" t="str">
        <f>"1551688898083703"</f>
        <v>1551688898083703</v>
      </c>
      <c r="C2497" t="s">
        <v>40</v>
      </c>
      <c r="D2497">
        <v>3.9709129999999999</v>
      </c>
      <c r="E2497">
        <v>0.52013900000000002</v>
      </c>
      <c r="F2497" t="s">
        <v>47</v>
      </c>
      <c r="G2497">
        <v>-414.27719999999999</v>
      </c>
      <c r="H2497" s="1">
        <v>2.9765600000000002E-6</v>
      </c>
      <c r="I2497">
        <v>284.47789999999998</v>
      </c>
      <c r="J2497">
        <v>-347.42399999999998</v>
      </c>
      <c r="K2497">
        <v>1.1083959999999999</v>
      </c>
      <c r="L2497">
        <v>284.95280000000002</v>
      </c>
      <c r="M2497">
        <v>-0.99992349999999997</v>
      </c>
      <c r="N2497">
        <v>-8.3738790000000007E-3</v>
      </c>
      <c r="O2497">
        <v>9.1013499999999994E-3</v>
      </c>
      <c r="P2497">
        <v>-0.98152790000000001</v>
      </c>
      <c r="Q2497">
        <v>0.18430560000000001</v>
      </c>
      <c r="R2497">
        <v>-5.132776E-2</v>
      </c>
      <c r="S2497">
        <v>-3.0649410000000001</v>
      </c>
      <c r="T2497">
        <v>-5.0551529999999997E-2</v>
      </c>
      <c r="U2497">
        <v>-2.1514889999999998E-2</v>
      </c>
      <c r="V2497">
        <v>-6.0359940000000001E-2</v>
      </c>
      <c r="W2497">
        <v>0.1924823</v>
      </c>
      <c r="X2497">
        <v>0.97944229999999999</v>
      </c>
      <c r="Y2497">
        <v>-1.6117050000000001E-2</v>
      </c>
      <c r="Z2497">
        <v>-2.7428130000000002E-4</v>
      </c>
      <c r="AA2497">
        <v>0.99987009999999998</v>
      </c>
      <c r="AB2497">
        <v>60</v>
      </c>
      <c r="AC2497">
        <v>-66.853199999999902</v>
      </c>
      <c r="AD2497">
        <v>-1.1083930234399999</v>
      </c>
      <c r="AE2497">
        <v>-0.47490000000004701</v>
      </c>
      <c r="AF2497">
        <v>-1.0830583504628599</v>
      </c>
      <c r="AG2497">
        <v>-1.1083930234399999</v>
      </c>
      <c r="AH2497">
        <v>66.827739804273193</v>
      </c>
      <c r="AI2497">
        <v>90.950085755776996</v>
      </c>
      <c r="AJ2497">
        <v>90.928495269172998</v>
      </c>
      <c r="AK2497">
        <v>66.845705605016704</v>
      </c>
      <c r="AL2497">
        <v>78.902315914372906</v>
      </c>
      <c r="AM2497">
        <v>93.5264983134077</v>
      </c>
      <c r="AN2497">
        <v>0.99999998859969097</v>
      </c>
    </row>
    <row r="2498" spans="1:40" x14ac:dyDescent="0.25">
      <c r="A2498" t="str">
        <f>"20190304164138099"</f>
        <v>20190304164138099</v>
      </c>
      <c r="B2498" t="str">
        <f>"1551688898093463"</f>
        <v>1551688898093463</v>
      </c>
      <c r="C2498" t="s">
        <v>40</v>
      </c>
      <c r="D2498">
        <v>3.972807</v>
      </c>
      <c r="E2498">
        <v>0.52010579999999995</v>
      </c>
      <c r="F2498" t="s">
        <v>47</v>
      </c>
      <c r="G2498">
        <v>-413.38929999999999</v>
      </c>
      <c r="H2498" s="1">
        <v>2.8234200000000001E-6</v>
      </c>
      <c r="I2498">
        <v>284.428</v>
      </c>
      <c r="J2498">
        <v>-347.7654</v>
      </c>
      <c r="K2498">
        <v>1.1084020000000001</v>
      </c>
      <c r="L2498">
        <v>284.95589999999999</v>
      </c>
      <c r="M2498">
        <v>-0.99992449999999999</v>
      </c>
      <c r="N2498">
        <v>-8.3833269999999994E-3</v>
      </c>
      <c r="O2498">
        <v>8.9791850000000006E-3</v>
      </c>
      <c r="P2498">
        <v>-0.98154629999999998</v>
      </c>
      <c r="Q2498">
        <v>0.18396419999999999</v>
      </c>
      <c r="R2498">
        <v>-5.2192059999999998E-2</v>
      </c>
      <c r="S2498">
        <v>-3.0648499999999999</v>
      </c>
      <c r="T2498">
        <v>-5.14977E-2</v>
      </c>
      <c r="U2498">
        <v>-2.4383539999999999E-2</v>
      </c>
      <c r="V2498">
        <v>-6.1109379999999998E-2</v>
      </c>
      <c r="W2498">
        <v>0.19214909999999999</v>
      </c>
      <c r="X2498">
        <v>0.97946129999999998</v>
      </c>
      <c r="Y2498">
        <v>-1.6930609999999999E-2</v>
      </c>
      <c r="Z2498">
        <v>-2.887931E-4</v>
      </c>
      <c r="AA2498">
        <v>0.99985670000000004</v>
      </c>
      <c r="AB2498">
        <v>60</v>
      </c>
      <c r="AC2498">
        <v>-65.623899999999907</v>
      </c>
      <c r="AD2498">
        <v>-1.1083991765799901</v>
      </c>
      <c r="AE2498">
        <v>-0.52789999999998805</v>
      </c>
      <c r="AF2498">
        <v>-1.1168300023801001</v>
      </c>
      <c r="AG2498">
        <v>-1.1083991765799901</v>
      </c>
      <c r="AH2498">
        <v>65.597801593213305</v>
      </c>
      <c r="AI2498">
        <v>90.967888419582394</v>
      </c>
      <c r="AJ2498">
        <v>90.975390368392695</v>
      </c>
      <c r="AK2498">
        <v>65.616670380715206</v>
      </c>
      <c r="AL2498">
        <v>78.921770543023598</v>
      </c>
      <c r="AM2498">
        <v>93.570102323852794</v>
      </c>
      <c r="AN2498">
        <v>1.00000003557624</v>
      </c>
    </row>
    <row r="2499" spans="1:40" x14ac:dyDescent="0.25">
      <c r="A2499" t="str">
        <f>"20190304164138111"</f>
        <v>20190304164138111</v>
      </c>
      <c r="B2499" t="str">
        <f>"1551688898103224"</f>
        <v>1551688898103224</v>
      </c>
      <c r="C2499" t="s">
        <v>40</v>
      </c>
      <c r="D2499">
        <v>3.9751729999999998</v>
      </c>
      <c r="E2499">
        <v>0.52008409999999905</v>
      </c>
      <c r="F2499" t="s">
        <v>47</v>
      </c>
      <c r="G2499">
        <v>-412.72789999999998</v>
      </c>
      <c r="H2499" s="1">
        <v>2.7109609999999999E-6</v>
      </c>
      <c r="I2499">
        <v>284.37240000000003</v>
      </c>
      <c r="J2499">
        <v>-348.09010000000001</v>
      </c>
      <c r="K2499">
        <v>1.1084080000000001</v>
      </c>
      <c r="L2499">
        <v>284.9588</v>
      </c>
      <c r="M2499">
        <v>-0.99992559999999997</v>
      </c>
      <c r="N2499">
        <v>-8.3923109999999995E-3</v>
      </c>
      <c r="O2499">
        <v>8.8609080000000007E-3</v>
      </c>
      <c r="P2499">
        <v>-0.98153190000000001</v>
      </c>
      <c r="Q2499">
        <v>0.18376120000000001</v>
      </c>
      <c r="R2499">
        <v>-5.3170120000000001E-2</v>
      </c>
      <c r="S2499">
        <v>-3.0646969999999998</v>
      </c>
      <c r="T2499">
        <v>-5.2290320000000001E-2</v>
      </c>
      <c r="U2499">
        <v>-2.752686E-2</v>
      </c>
      <c r="V2499">
        <v>-6.1975820000000001E-2</v>
      </c>
      <c r="W2499">
        <v>0.1919525</v>
      </c>
      <c r="X2499">
        <v>0.97944529999999996</v>
      </c>
      <c r="Y2499">
        <v>-1.7837860000000001E-2</v>
      </c>
      <c r="Z2499">
        <v>-3.0383489999999999E-4</v>
      </c>
      <c r="AA2499">
        <v>0.99984090000000003</v>
      </c>
      <c r="AB2499">
        <v>60</v>
      </c>
      <c r="AC2499">
        <v>-64.637799999999899</v>
      </c>
      <c r="AD2499">
        <v>-1.1084052890389999</v>
      </c>
      <c r="AE2499">
        <v>-0.58639999999996895</v>
      </c>
      <c r="AF2499">
        <v>-1.15880598228014</v>
      </c>
      <c r="AG2499">
        <v>-1.1084052890389999</v>
      </c>
      <c r="AH2499">
        <v>64.611068565651806</v>
      </c>
      <c r="AI2499">
        <v>90.982656826864698</v>
      </c>
      <c r="AJ2499">
        <v>91.0274953795805</v>
      </c>
      <c r="AK2499">
        <v>64.630964519993796</v>
      </c>
      <c r="AL2499">
        <v>78.933247374318398</v>
      </c>
      <c r="AM2499">
        <v>93.620646339289294</v>
      </c>
      <c r="AN2499">
        <v>0.99999993010650301</v>
      </c>
    </row>
    <row r="2500" spans="1:40" x14ac:dyDescent="0.25">
      <c r="A2500" t="str">
        <f>"20190304164138124"</f>
        <v>20190304164138124</v>
      </c>
      <c r="B2500" t="str">
        <f>"1551688898112984"</f>
        <v>1551688898112984</v>
      </c>
      <c r="C2500" t="s">
        <v>40</v>
      </c>
      <c r="D2500">
        <v>3.984702</v>
      </c>
      <c r="E2500">
        <v>0.52008339999999997</v>
      </c>
      <c r="F2500" t="s">
        <v>47</v>
      </c>
      <c r="G2500">
        <v>-412.23009999999999</v>
      </c>
      <c r="H2500" s="1">
        <v>2.6284600000000001E-6</v>
      </c>
      <c r="I2500">
        <v>284.30610000000001</v>
      </c>
      <c r="J2500">
        <v>-348.43790000000001</v>
      </c>
      <c r="K2500">
        <v>1.1084130000000001</v>
      </c>
      <c r="L2500">
        <v>284.96190000000001</v>
      </c>
      <c r="M2500">
        <v>-0.9999266</v>
      </c>
      <c r="N2500">
        <v>-8.4019149999999994E-3</v>
      </c>
      <c r="O2500">
        <v>8.7332039999999996E-3</v>
      </c>
      <c r="P2500">
        <v>-0.98156790000000005</v>
      </c>
      <c r="Q2500">
        <v>0.1833631</v>
      </c>
      <c r="R2500">
        <v>-5.3877220000000003E-2</v>
      </c>
      <c r="S2500">
        <v>-3.0646360000000001</v>
      </c>
      <c r="T2500">
        <v>-5.296004E-2</v>
      </c>
      <c r="U2500">
        <v>-3.1188960000000002E-2</v>
      </c>
      <c r="V2500">
        <v>-6.2561660000000005E-2</v>
      </c>
      <c r="W2500">
        <v>0.19156219999999999</v>
      </c>
      <c r="X2500">
        <v>0.97948460000000004</v>
      </c>
      <c r="Y2500">
        <v>-1.890466E-2</v>
      </c>
      <c r="Z2500">
        <v>-3.20291E-4</v>
      </c>
      <c r="AA2500">
        <v>0.99982119999999997</v>
      </c>
      <c r="AB2500">
        <v>61</v>
      </c>
      <c r="AC2500">
        <v>-63.792199999999902</v>
      </c>
      <c r="AD2500">
        <v>-1.10841037153999</v>
      </c>
      <c r="AE2500">
        <v>-0.65579999999999905</v>
      </c>
      <c r="AF2500">
        <v>-1.21253890251775</v>
      </c>
      <c r="AG2500">
        <v>-1.10841037153999</v>
      </c>
      <c r="AH2500">
        <v>63.764790981760697</v>
      </c>
      <c r="AI2500">
        <v>90.995680600537497</v>
      </c>
      <c r="AJ2500">
        <v>91.089394138680802</v>
      </c>
      <c r="AK2500">
        <v>63.785949809417197</v>
      </c>
      <c r="AL2500">
        <v>78.956034210981699</v>
      </c>
      <c r="AM2500">
        <v>93.654632716679203</v>
      </c>
      <c r="AN2500">
        <v>1.00000005970397</v>
      </c>
    </row>
    <row r="2501" spans="1:40" x14ac:dyDescent="0.25">
      <c r="A2501" t="str">
        <f>"20190304164138137"</f>
        <v>20190304164138137</v>
      </c>
      <c r="B2501" t="str">
        <f>"1551688898123719"</f>
        <v>1551688898123719</v>
      </c>
      <c r="C2501" t="s">
        <v>40</v>
      </c>
      <c r="D2501">
        <v>3.9864009999999999</v>
      </c>
      <c r="E2501">
        <v>0.520069</v>
      </c>
      <c r="F2501" t="s">
        <v>47</v>
      </c>
      <c r="G2501">
        <v>-410.85169999999999</v>
      </c>
      <c r="H2501" s="1">
        <v>2.386923E-6</v>
      </c>
      <c r="I2501">
        <v>284.27210000000002</v>
      </c>
      <c r="J2501">
        <v>-348.79199999999997</v>
      </c>
      <c r="K2501">
        <v>1.108417</v>
      </c>
      <c r="L2501">
        <v>284.96499999999997</v>
      </c>
      <c r="M2501">
        <v>-0.99992769999999997</v>
      </c>
      <c r="N2501">
        <v>-8.4116119999999902E-3</v>
      </c>
      <c r="O2501">
        <v>8.6016289999999995E-3</v>
      </c>
      <c r="P2501">
        <v>-0.98158529999999999</v>
      </c>
      <c r="Q2501">
        <v>0.1830784</v>
      </c>
      <c r="R2501">
        <v>-5.4524000000000003E-2</v>
      </c>
      <c r="S2501">
        <v>-3.0646059999999999</v>
      </c>
      <c r="T2501">
        <v>-5.4424519999999997E-2</v>
      </c>
      <c r="U2501">
        <v>-3.3874509999999997E-2</v>
      </c>
      <c r="V2501">
        <v>-6.3084489999999993E-2</v>
      </c>
      <c r="W2501">
        <v>0.19128519999999999</v>
      </c>
      <c r="X2501">
        <v>0.97950510000000002</v>
      </c>
      <c r="Y2501">
        <v>-1.9648849999999999E-2</v>
      </c>
      <c r="Z2501">
        <v>-3.374974E-4</v>
      </c>
      <c r="AA2501">
        <v>0.99980690000000005</v>
      </c>
      <c r="AB2501">
        <v>61</v>
      </c>
      <c r="AC2501">
        <v>-62.059699999999999</v>
      </c>
      <c r="AD2501">
        <v>-1.1084146130769901</v>
      </c>
      <c r="AE2501">
        <v>-0.692899999999951</v>
      </c>
      <c r="AF2501">
        <v>-1.2263165850290501</v>
      </c>
      <c r="AG2501">
        <v>-1.1084146130769901</v>
      </c>
      <c r="AH2501">
        <v>62.031658298943597</v>
      </c>
      <c r="AI2501">
        <v>91.023482539159403</v>
      </c>
      <c r="AJ2501">
        <v>91.132544499732006</v>
      </c>
      <c r="AK2501">
        <v>62.053678913003203</v>
      </c>
      <c r="AL2501">
        <v>78.9722030592023</v>
      </c>
      <c r="AM2501">
        <v>93.685013887722107</v>
      </c>
      <c r="AN2501">
        <v>0.99999996077180398</v>
      </c>
    </row>
    <row r="2502" spans="1:40" x14ac:dyDescent="0.25">
      <c r="A2502" t="str">
        <f>"20190304164138150"</f>
        <v>20190304164138150</v>
      </c>
      <c r="B2502" t="str">
        <f>"1551688898143239"</f>
        <v>1551688898143239</v>
      </c>
      <c r="C2502" t="s">
        <v>40</v>
      </c>
      <c r="D2502">
        <v>3.9539170000000001</v>
      </c>
      <c r="E2502">
        <v>0.52005570000000001</v>
      </c>
      <c r="F2502" t="s">
        <v>47</v>
      </c>
      <c r="G2502">
        <v>-410.37599999999998</v>
      </c>
      <c r="H2502" s="1">
        <v>2.3063499999999999E-6</v>
      </c>
      <c r="I2502">
        <v>284.2285</v>
      </c>
      <c r="J2502">
        <v>-349.1463</v>
      </c>
      <c r="K2502">
        <v>1.108428</v>
      </c>
      <c r="L2502">
        <v>284.96809999999999</v>
      </c>
      <c r="M2502">
        <v>-0.99992879999999995</v>
      </c>
      <c r="N2502">
        <v>-8.4212239999999997E-3</v>
      </c>
      <c r="O2502">
        <v>8.469341E-3</v>
      </c>
      <c r="P2502">
        <v>-0.98158829999999997</v>
      </c>
      <c r="Q2502">
        <v>0.18273909999999999</v>
      </c>
      <c r="R2502">
        <v>-5.5598340000000003E-2</v>
      </c>
      <c r="S2502">
        <v>-3.064514</v>
      </c>
      <c r="T2502">
        <v>-5.5156469999999999E-2</v>
      </c>
      <c r="U2502">
        <v>-3.6651610000000001E-2</v>
      </c>
      <c r="V2502">
        <v>-6.4032619999999998E-2</v>
      </c>
      <c r="W2502">
        <v>0.19095329999999999</v>
      </c>
      <c r="X2502">
        <v>0.97950839999999995</v>
      </c>
      <c r="Y2502">
        <v>-2.042252E-2</v>
      </c>
      <c r="Z2502">
        <v>-3.508715E-4</v>
      </c>
      <c r="AA2502">
        <v>0.9997914</v>
      </c>
      <c r="AB2502">
        <v>61</v>
      </c>
      <c r="AC2502">
        <v>-61.229699999999902</v>
      </c>
      <c r="AD2502">
        <v>-1.1084256936500001</v>
      </c>
      <c r="AE2502">
        <v>-0.73959999999999504</v>
      </c>
      <c r="AF2502">
        <v>-1.25775488622512</v>
      </c>
      <c r="AG2502">
        <v>-1.1084256936500001</v>
      </c>
      <c r="AH2502">
        <v>61.201186385842099</v>
      </c>
      <c r="AI2502">
        <v>91.037361736241195</v>
      </c>
      <c r="AJ2502">
        <v>91.177328546304096</v>
      </c>
      <c r="AK2502">
        <v>61.224143684552601</v>
      </c>
      <c r="AL2502">
        <v>78.991577333333893</v>
      </c>
      <c r="AM2502">
        <v>93.740229285320595</v>
      </c>
      <c r="AN2502">
        <v>1.0000000224377501</v>
      </c>
    </row>
    <row r="2503" spans="1:40" x14ac:dyDescent="0.25">
      <c r="A2503" t="str">
        <f>"20190304164138162"</f>
        <v>20190304164138162</v>
      </c>
      <c r="B2503" t="str">
        <f>"1551688898152999"</f>
        <v>1551688898152999</v>
      </c>
      <c r="C2503" t="s">
        <v>40</v>
      </c>
      <c r="D2503">
        <v>3.9435560000000001</v>
      </c>
      <c r="E2503">
        <v>0.52008259999999995</v>
      </c>
      <c r="F2503" t="s">
        <v>47</v>
      </c>
      <c r="G2503">
        <v>-409.98599999999999</v>
      </c>
      <c r="H2503" s="1">
        <v>2.2424910000000001E-6</v>
      </c>
      <c r="I2503">
        <v>284.16770000000002</v>
      </c>
      <c r="J2503">
        <v>-349.49979999999999</v>
      </c>
      <c r="K2503">
        <v>1.1084369999999999</v>
      </c>
      <c r="L2503">
        <v>284.97109999999998</v>
      </c>
      <c r="M2503">
        <v>-0.99992970000000003</v>
      </c>
      <c r="N2503">
        <v>-8.4307610000000002E-3</v>
      </c>
      <c r="O2503">
        <v>8.3371169999999998E-3</v>
      </c>
      <c r="P2503">
        <v>-0.98146339999999999</v>
      </c>
      <c r="Q2503">
        <v>0.18296709999999999</v>
      </c>
      <c r="R2503">
        <v>-5.703217E-2</v>
      </c>
      <c r="S2503">
        <v>-3.064362</v>
      </c>
      <c r="T2503">
        <v>-5.5828929999999999E-2</v>
      </c>
      <c r="U2503">
        <v>-4.0313719999999997E-2</v>
      </c>
      <c r="V2503">
        <v>-6.5339640000000004E-2</v>
      </c>
      <c r="W2503">
        <v>0.19118740000000001</v>
      </c>
      <c r="X2503">
        <v>0.97937640000000004</v>
      </c>
      <c r="Y2503">
        <v>-2.1485150000000001E-2</v>
      </c>
      <c r="Z2503">
        <v>-3.6786730000000001E-4</v>
      </c>
      <c r="AA2503">
        <v>0.99976909999999997</v>
      </c>
      <c r="AB2503">
        <v>61</v>
      </c>
      <c r="AC2503">
        <v>-60.486199999999997</v>
      </c>
      <c r="AD2503">
        <v>-1.1084347575089999</v>
      </c>
      <c r="AE2503">
        <v>-0.80339999999995304</v>
      </c>
      <c r="AF2503">
        <v>-1.30723160942234</v>
      </c>
      <c r="AG2503">
        <v>-1.1084347575089999</v>
      </c>
      <c r="AH2503">
        <v>60.457100239096903</v>
      </c>
      <c r="AI2503">
        <v>91.050111280483605</v>
      </c>
      <c r="AJ2503">
        <v>91.238683041857399</v>
      </c>
      <c r="AK2503">
        <v>60.4813892979695</v>
      </c>
      <c r="AL2503">
        <v>78.977912517888697</v>
      </c>
      <c r="AM2503">
        <v>93.816863521526699</v>
      </c>
      <c r="AN2503">
        <v>1.0000000116755201</v>
      </c>
    </row>
    <row r="2504" spans="1:40" x14ac:dyDescent="0.25">
      <c r="A2504" t="str">
        <f>"20190304164138176"</f>
        <v>20190304164138176</v>
      </c>
      <c r="B2504" t="str">
        <f>"1551688898163736"</f>
        <v>1551688898163736</v>
      </c>
      <c r="C2504" t="s">
        <v>40</v>
      </c>
      <c r="D2504">
        <v>3.9656159999999998</v>
      </c>
      <c r="E2504">
        <v>0.52012290000000005</v>
      </c>
      <c r="F2504" t="s">
        <v>47</v>
      </c>
      <c r="G2504">
        <v>-411.12830000000002</v>
      </c>
      <c r="H2504" s="1">
        <v>2.454132E-6</v>
      </c>
      <c r="I2504">
        <v>284.06459999999998</v>
      </c>
      <c r="J2504">
        <v>-349.86579999999998</v>
      </c>
      <c r="K2504">
        <v>1.1084400000000001</v>
      </c>
      <c r="L2504">
        <v>284.9742</v>
      </c>
      <c r="M2504">
        <v>-0.99993089999999996</v>
      </c>
      <c r="N2504">
        <v>-8.4405899999999996E-3</v>
      </c>
      <c r="O2504">
        <v>8.199764E-3</v>
      </c>
      <c r="P2504">
        <v>-0.98129</v>
      </c>
      <c r="Q2504">
        <v>0.183668</v>
      </c>
      <c r="R2504">
        <v>-5.7758700000000003E-2</v>
      </c>
      <c r="S2504">
        <v>-3.06427</v>
      </c>
      <c r="T2504">
        <v>-5.5113200000000001E-2</v>
      </c>
      <c r="U2504">
        <v>-4.5074459999999997E-2</v>
      </c>
      <c r="V2504">
        <v>-6.5935129999999995E-2</v>
      </c>
      <c r="W2504">
        <v>0.19189500000000001</v>
      </c>
      <c r="X2504">
        <v>0.97919809999999996</v>
      </c>
      <c r="Y2504">
        <v>-2.2900960000000001E-2</v>
      </c>
      <c r="Z2504">
        <v>-3.8084000000000002E-4</v>
      </c>
      <c r="AA2504">
        <v>0.99973769999999995</v>
      </c>
      <c r="AB2504">
        <v>61</v>
      </c>
      <c r="AC2504">
        <v>-61.262500000000003</v>
      </c>
      <c r="AD2504">
        <v>-1.10843754586799</v>
      </c>
      <c r="AE2504">
        <v>-0.90960000000001096</v>
      </c>
      <c r="AF2504">
        <v>-1.41146332136925</v>
      </c>
      <c r="AG2504">
        <v>-1.10843754586799</v>
      </c>
      <c r="AH2504">
        <v>61.232940383108698</v>
      </c>
      <c r="AI2504">
        <v>91.036778526534803</v>
      </c>
      <c r="AJ2504">
        <v>91.320475092563996</v>
      </c>
      <c r="AK2504">
        <v>61.2592348177971</v>
      </c>
      <c r="AL2504">
        <v>78.936605358569096</v>
      </c>
      <c r="AM2504">
        <v>93.852244490184205</v>
      </c>
      <c r="AN2504">
        <v>1.0000000257183601</v>
      </c>
    </row>
    <row r="2505" spans="1:40" x14ac:dyDescent="0.25">
      <c r="A2505" t="str">
        <f>"20190304164138193"</f>
        <v>20190304164138193</v>
      </c>
      <c r="B2505" t="str">
        <f>"1551688898183255"</f>
        <v>1551688898183255</v>
      </c>
      <c r="C2505" t="s">
        <v>40</v>
      </c>
      <c r="D2505">
        <v>3.9456959999999999</v>
      </c>
      <c r="E2505">
        <v>0.52025829999999995</v>
      </c>
      <c r="F2505" t="s">
        <v>47</v>
      </c>
      <c r="G2505">
        <v>-414.04199999999997</v>
      </c>
      <c r="H2505" s="1">
        <v>2.978173E-6</v>
      </c>
      <c r="I2505">
        <v>283.98219999999998</v>
      </c>
      <c r="J2505">
        <v>-350.29270000000002</v>
      </c>
      <c r="K2505">
        <v>1.1084499999999999</v>
      </c>
      <c r="L2505">
        <v>284.97770000000003</v>
      </c>
      <c r="M2505">
        <v>-0.99993209999999999</v>
      </c>
      <c r="N2505">
        <v>-8.4521609999999997E-3</v>
      </c>
      <c r="O2505">
        <v>8.0392699999999994E-3</v>
      </c>
      <c r="P2505">
        <v>-0.98119970000000001</v>
      </c>
      <c r="Q2505">
        <v>0.18385860000000001</v>
      </c>
      <c r="R2505">
        <v>-5.8679370000000002E-2</v>
      </c>
      <c r="S2505">
        <v>-3.0643310000000001</v>
      </c>
      <c r="T2505">
        <v>-5.2926420000000002E-2</v>
      </c>
      <c r="U2505">
        <v>-4.7363280000000001E-2</v>
      </c>
      <c r="V2505">
        <v>-6.6701930000000006E-2</v>
      </c>
      <c r="W2505">
        <v>0.19209380000000001</v>
      </c>
      <c r="X2505">
        <v>0.97910710000000001</v>
      </c>
      <c r="Y2505">
        <v>-2.3487040000000001E-2</v>
      </c>
      <c r="Z2505">
        <v>-3.7297259999999999E-4</v>
      </c>
      <c r="AA2505">
        <v>0.9997241</v>
      </c>
      <c r="AB2505">
        <v>61</v>
      </c>
      <c r="AC2505">
        <v>-63.749299999999899</v>
      </c>
      <c r="AD2505">
        <v>-1.1084470218269999</v>
      </c>
      <c r="AE2505">
        <v>-0.99550000000004901</v>
      </c>
      <c r="AF2505">
        <v>-1.5075282421634699</v>
      </c>
      <c r="AG2505">
        <v>-1.1084470218269999</v>
      </c>
      <c r="AH2505">
        <v>63.7199767215129</v>
      </c>
      <c r="AI2505">
        <v>90.996315021134805</v>
      </c>
      <c r="AJ2505">
        <v>91.355287619741404</v>
      </c>
      <c r="AK2505">
        <v>63.747444886765898</v>
      </c>
      <c r="AL2505">
        <v>78.924998121714495</v>
      </c>
      <c r="AM2505">
        <v>93.897268426942404</v>
      </c>
      <c r="AN2505">
        <v>0.99999994436728601</v>
      </c>
    </row>
    <row r="2506" spans="1:40" x14ac:dyDescent="0.25">
      <c r="A2506" t="str">
        <f>"20190304164138208"</f>
        <v>20190304164138208</v>
      </c>
      <c r="B2506" t="str">
        <f>"1551688898203751"</f>
        <v>1551688898203751</v>
      </c>
      <c r="C2506" t="s">
        <v>40</v>
      </c>
      <c r="D2506">
        <v>3.9499810000000002</v>
      </c>
      <c r="E2506">
        <v>0.52040679999999995</v>
      </c>
      <c r="F2506" t="s">
        <v>47</v>
      </c>
      <c r="G2506">
        <v>-415.54880000000003</v>
      </c>
      <c r="H2506" s="1">
        <v>3.2495610000000002E-6</v>
      </c>
      <c r="I2506">
        <v>283.93529999999998</v>
      </c>
      <c r="J2506">
        <v>-350.74189999999999</v>
      </c>
      <c r="K2506">
        <v>1.108457</v>
      </c>
      <c r="L2506">
        <v>284.98129999999998</v>
      </c>
      <c r="M2506">
        <v>-0.99993319999999997</v>
      </c>
      <c r="N2506">
        <v>-8.4644890000000004E-3</v>
      </c>
      <c r="O2506">
        <v>7.8701910000000003E-3</v>
      </c>
      <c r="P2506">
        <v>-0.98117849999999995</v>
      </c>
      <c r="Q2506">
        <v>0.18350089999999999</v>
      </c>
      <c r="R2506">
        <v>-6.0136200000000001E-2</v>
      </c>
      <c r="S2506">
        <v>-3.0643009999999999</v>
      </c>
      <c r="T2506">
        <v>-5.2050470000000001E-2</v>
      </c>
      <c r="U2506">
        <v>-4.8950199999999902E-2</v>
      </c>
      <c r="V2506">
        <v>-6.7997050000000003E-2</v>
      </c>
      <c r="W2506">
        <v>0.1917452</v>
      </c>
      <c r="X2506">
        <v>0.97908640000000002</v>
      </c>
      <c r="Y2506">
        <v>-2.3835849999999999E-2</v>
      </c>
      <c r="Z2506">
        <v>-3.7036509999999998E-4</v>
      </c>
      <c r="AA2506">
        <v>0.99971580000000004</v>
      </c>
      <c r="AB2506">
        <v>61</v>
      </c>
      <c r="AC2506">
        <v>-64.806899999999999</v>
      </c>
      <c r="AD2506">
        <v>-1.108453750439</v>
      </c>
      <c r="AE2506">
        <v>-1.04599999999999</v>
      </c>
      <c r="AF2506">
        <v>-1.55557360168349</v>
      </c>
      <c r="AG2506">
        <v>-1.108453750439</v>
      </c>
      <c r="AH2506">
        <v>64.777714783468895</v>
      </c>
      <c r="AI2506">
        <v>90.980047310180197</v>
      </c>
      <c r="AJ2506">
        <v>91.375637837472198</v>
      </c>
      <c r="AK2506">
        <v>64.805870193336304</v>
      </c>
      <c r="AL2506">
        <v>78.945350373175998</v>
      </c>
      <c r="AM2506">
        <v>93.972783575501296</v>
      </c>
      <c r="AN2506">
        <v>0.99999999959835095</v>
      </c>
    </row>
    <row r="2507" spans="1:40" x14ac:dyDescent="0.25">
      <c r="A2507" t="str">
        <f>"20190304164138221"</f>
        <v>20190304164138221</v>
      </c>
      <c r="B2507" t="str">
        <f>"1551688898213511"</f>
        <v>1551688898213511</v>
      </c>
      <c r="C2507" t="s">
        <v>40</v>
      </c>
      <c r="D2507">
        <v>3.940512</v>
      </c>
      <c r="E2507">
        <v>0.52045259999999904</v>
      </c>
      <c r="F2507" t="s">
        <v>47</v>
      </c>
      <c r="G2507">
        <v>-414.78179999999998</v>
      </c>
      <c r="H2507" s="1">
        <v>3.1176710000000001E-6</v>
      </c>
      <c r="I2507">
        <v>283.88749999999999</v>
      </c>
      <c r="J2507">
        <v>-351.10300000000001</v>
      </c>
      <c r="K2507">
        <v>1.108465</v>
      </c>
      <c r="L2507">
        <v>284.98419999999999</v>
      </c>
      <c r="M2507">
        <v>-0.99993430000000005</v>
      </c>
      <c r="N2507">
        <v>-8.4745029999999996E-3</v>
      </c>
      <c r="O2507">
        <v>7.7340489999999998E-3</v>
      </c>
      <c r="P2507">
        <v>-0.98115549999999996</v>
      </c>
      <c r="Q2507">
        <v>0.18348780000000001</v>
      </c>
      <c r="R2507">
        <v>-6.055054E-2</v>
      </c>
      <c r="S2507">
        <v>-3.0643009999999999</v>
      </c>
      <c r="T2507">
        <v>-5.3039429999999999E-2</v>
      </c>
      <c r="U2507">
        <v>-5.2337649999999999E-2</v>
      </c>
      <c r="V2507">
        <v>-6.8281430000000004E-2</v>
      </c>
      <c r="W2507">
        <v>0.19174060000000001</v>
      </c>
      <c r="X2507">
        <v>0.97906749999999998</v>
      </c>
      <c r="Y2507">
        <v>-2.480417E-2</v>
      </c>
      <c r="Z2507">
        <v>-3.880698E-4</v>
      </c>
      <c r="AA2507">
        <v>0.99969229999999998</v>
      </c>
      <c r="AB2507">
        <v>61</v>
      </c>
      <c r="AC2507">
        <v>-63.678799999999903</v>
      </c>
      <c r="AD2507">
        <v>-1.108461882329</v>
      </c>
      <c r="AE2507">
        <v>-1.09669999999999</v>
      </c>
      <c r="AF2507">
        <v>-1.58869854110257</v>
      </c>
      <c r="AG2507">
        <v>-1.108461882329</v>
      </c>
      <c r="AH2507">
        <v>63.649132734901102</v>
      </c>
      <c r="AI2507">
        <v>90.997405569553607</v>
      </c>
      <c r="AJ2507">
        <v>91.429820345298793</v>
      </c>
      <c r="AK2507">
        <v>63.678605109598102</v>
      </c>
      <c r="AL2507">
        <v>78.945618814283407</v>
      </c>
      <c r="AM2507">
        <v>93.9894219365395</v>
      </c>
      <c r="AN2507">
        <v>0.99999999046372701</v>
      </c>
    </row>
    <row r="2508" spans="1:40" x14ac:dyDescent="0.25">
      <c r="A2508" t="str">
        <f>"20190304164138234"</f>
        <v>20190304164138234</v>
      </c>
      <c r="B2508" t="str">
        <f>"1551688898223272"</f>
        <v>1551688898223272</v>
      </c>
      <c r="C2508" t="s">
        <v>40</v>
      </c>
      <c r="D2508">
        <v>3.9394800000000001</v>
      </c>
      <c r="E2508">
        <v>0.52051190000000003</v>
      </c>
      <c r="F2508" t="s">
        <v>47</v>
      </c>
      <c r="G2508">
        <v>-414.9248</v>
      </c>
      <c r="H2508" s="1">
        <v>3.1439710000000001E-6</v>
      </c>
      <c r="I2508">
        <v>283.87700000000001</v>
      </c>
      <c r="J2508">
        <v>-351.42419999999998</v>
      </c>
      <c r="K2508">
        <v>1.1084719999999999</v>
      </c>
      <c r="L2508">
        <v>284.98669999999998</v>
      </c>
      <c r="M2508">
        <v>-0.99993520000000002</v>
      </c>
      <c r="N2508">
        <v>-8.4831590000000005E-3</v>
      </c>
      <c r="O2508">
        <v>7.6128899999999998E-3</v>
      </c>
      <c r="P2508">
        <v>-0.98116539999999997</v>
      </c>
      <c r="Q2508">
        <v>0.1834219</v>
      </c>
      <c r="R2508">
        <v>-6.059179E-2</v>
      </c>
      <c r="S2508">
        <v>-3.0643009999999999</v>
      </c>
      <c r="T2508">
        <v>-5.3220990000000003E-2</v>
      </c>
      <c r="U2508">
        <v>-5.316162E-2</v>
      </c>
      <c r="V2508">
        <v>-6.8206119999999995E-2</v>
      </c>
      <c r="W2508">
        <v>0.19168250000000001</v>
      </c>
      <c r="X2508">
        <v>0.97908410000000001</v>
      </c>
      <c r="Y2508">
        <v>-2.49517E-2</v>
      </c>
      <c r="Z2508">
        <v>-3.9013319999999999E-4</v>
      </c>
      <c r="AA2508">
        <v>0.99968860000000004</v>
      </c>
      <c r="AB2508">
        <v>61</v>
      </c>
      <c r="AC2508">
        <v>-63.500599999999999</v>
      </c>
      <c r="AD2508">
        <v>-1.1084688560289999</v>
      </c>
      <c r="AE2508">
        <v>-1.1096999999999699</v>
      </c>
      <c r="AF2508">
        <v>-1.5926230949057401</v>
      </c>
      <c r="AG2508">
        <v>-1.1084688560289999</v>
      </c>
      <c r="AH2508">
        <v>63.470976848679598</v>
      </c>
      <c r="AI2508">
        <v>91.000207599362199</v>
      </c>
      <c r="AJ2508">
        <v>91.4373725207425</v>
      </c>
      <c r="AK2508">
        <v>63.500630340594498</v>
      </c>
      <c r="AL2508">
        <v>78.949010330276394</v>
      </c>
      <c r="AM2508">
        <v>93.9849686993782</v>
      </c>
      <c r="AN2508">
        <v>0.99999996524225598</v>
      </c>
    </row>
    <row r="2509" spans="1:40" x14ac:dyDescent="0.25">
      <c r="A2509" t="str">
        <f>"20190304164138247"</f>
        <v>20190304164138247</v>
      </c>
      <c r="B2509" t="str">
        <f>"1551688898243767"</f>
        <v>1551688898243767</v>
      </c>
      <c r="C2509" t="s">
        <v>40</v>
      </c>
      <c r="D2509">
        <v>3.9406629999999998</v>
      </c>
      <c r="E2509">
        <v>0.52067949999999996</v>
      </c>
      <c r="F2509" t="s">
        <v>47</v>
      </c>
      <c r="G2509">
        <v>-414.64980000000003</v>
      </c>
      <c r="H2509" s="1">
        <v>3.094347E-6</v>
      </c>
      <c r="I2509">
        <v>283.88670000000002</v>
      </c>
      <c r="J2509">
        <v>-351.80189999999999</v>
      </c>
      <c r="K2509">
        <v>1.108473</v>
      </c>
      <c r="L2509">
        <v>284.9896</v>
      </c>
      <c r="M2509">
        <v>-0.99993609999999999</v>
      </c>
      <c r="N2509">
        <v>-8.4933760000000004E-3</v>
      </c>
      <c r="O2509">
        <v>7.4703180000000001E-3</v>
      </c>
      <c r="P2509">
        <v>-0.98111610000000005</v>
      </c>
      <c r="Q2509">
        <v>0.18373619999999999</v>
      </c>
      <c r="R2509">
        <v>-6.0437119999999997E-2</v>
      </c>
      <c r="S2509">
        <v>-3.0643310000000001</v>
      </c>
      <c r="T2509">
        <v>-5.3723689999999998E-2</v>
      </c>
      <c r="U2509">
        <v>-5.3314210000000001E-2</v>
      </c>
      <c r="V2509">
        <v>-6.7914619999999995E-2</v>
      </c>
      <c r="W2509">
        <v>0.19200590000000001</v>
      </c>
      <c r="X2509">
        <v>0.97904100000000005</v>
      </c>
      <c r="Y2509">
        <v>-2.4858689999999999E-2</v>
      </c>
      <c r="Z2509">
        <v>-3.9097539999999998E-4</v>
      </c>
      <c r="AA2509">
        <v>0.99969090000000005</v>
      </c>
      <c r="AB2509">
        <v>61</v>
      </c>
      <c r="AC2509">
        <v>-62.847900000000003</v>
      </c>
      <c r="AD2509">
        <v>-1.1084699056530001</v>
      </c>
      <c r="AE2509">
        <v>-1.10289999999997</v>
      </c>
      <c r="AF2509">
        <v>-1.5718910955718299</v>
      </c>
      <c r="AG2509">
        <v>-1.1084699056530001</v>
      </c>
      <c r="AH2509">
        <v>62.818371643762298</v>
      </c>
      <c r="AI2509">
        <v>91.010599087167805</v>
      </c>
      <c r="AJ2509">
        <v>91.433401297049897</v>
      </c>
      <c r="AK2509">
        <v>62.847811124349498</v>
      </c>
      <c r="AL2509">
        <v>78.930130241635297</v>
      </c>
      <c r="AM2509">
        <v>93.968166343625398</v>
      </c>
      <c r="AN2509">
        <v>0.999999970462776</v>
      </c>
    </row>
    <row r="2510" spans="1:40" x14ac:dyDescent="0.25">
      <c r="A2510" t="str">
        <f>"20190304164138260"</f>
        <v>20190304164138260</v>
      </c>
      <c r="B2510" t="str">
        <f>"1551688898253528"</f>
        <v>1551688898253528</v>
      </c>
      <c r="C2510" t="s">
        <v>40</v>
      </c>
      <c r="D2510">
        <v>3.937627</v>
      </c>
      <c r="E2510">
        <v>0.52077090000000004</v>
      </c>
      <c r="F2510" t="s">
        <v>47</v>
      </c>
      <c r="G2510">
        <v>-415.36810000000003</v>
      </c>
      <c r="H2510" s="1">
        <v>3.2195210000000002E-6</v>
      </c>
      <c r="I2510">
        <v>283.91219999999998</v>
      </c>
      <c r="J2510">
        <v>-352.1628</v>
      </c>
      <c r="K2510">
        <v>1.108481</v>
      </c>
      <c r="L2510">
        <v>284.9923</v>
      </c>
      <c r="M2510">
        <v>-0.99993699999999996</v>
      </c>
      <c r="N2510">
        <v>-8.5032079999999999E-3</v>
      </c>
      <c r="O2510">
        <v>7.3341919999999998E-3</v>
      </c>
      <c r="P2510">
        <v>-0.98117169999999998</v>
      </c>
      <c r="Q2510">
        <v>0.18345639999999999</v>
      </c>
      <c r="R2510">
        <v>-6.0382680000000001E-2</v>
      </c>
      <c r="S2510">
        <v>-3.0645449999999999</v>
      </c>
      <c r="T2510">
        <v>-5.343962E-2</v>
      </c>
      <c r="U2510">
        <v>-5.1940920000000002E-2</v>
      </c>
      <c r="V2510">
        <v>-6.7729659999999997E-2</v>
      </c>
      <c r="W2510">
        <v>0.1917354</v>
      </c>
      <c r="X2510">
        <v>0.97910680000000005</v>
      </c>
      <c r="Y2510">
        <v>-2.4273719999999999E-2</v>
      </c>
      <c r="Z2510">
        <v>-3.80353E-4</v>
      </c>
      <c r="AA2510">
        <v>0.99970530000000002</v>
      </c>
      <c r="AB2510">
        <v>61</v>
      </c>
      <c r="AC2510">
        <v>-63.205300000000001</v>
      </c>
      <c r="AD2510">
        <v>-1.108477780479</v>
      </c>
      <c r="AE2510">
        <v>-1.0801000000000101</v>
      </c>
      <c r="AF2510">
        <v>-1.5431729919164101</v>
      </c>
      <c r="AG2510">
        <v>-1.108477780479</v>
      </c>
      <c r="AH2510">
        <v>63.176252407093301</v>
      </c>
      <c r="AI2510">
        <v>91.004897365034793</v>
      </c>
      <c r="AJ2510">
        <v>91.399255536963906</v>
      </c>
      <c r="AK2510">
        <v>63.204817649270701</v>
      </c>
      <c r="AL2510">
        <v>78.945921910904701</v>
      </c>
      <c r="AM2510">
        <v>93.957128638290598</v>
      </c>
      <c r="AN2510">
        <v>0.99999994813155602</v>
      </c>
    </row>
    <row r="2511" spans="1:40" x14ac:dyDescent="0.25">
      <c r="A2511" t="str">
        <f>"20190304164138274"</f>
        <v>20190304164138274</v>
      </c>
      <c r="B2511" t="str">
        <f>"1551688898263288"</f>
        <v>1551688898263288</v>
      </c>
      <c r="C2511" t="s">
        <v>40</v>
      </c>
      <c r="D2511">
        <v>3.9553289999999999</v>
      </c>
      <c r="E2511">
        <v>0.52077090000000004</v>
      </c>
      <c r="F2511" t="s">
        <v>47</v>
      </c>
      <c r="G2511">
        <v>-414.5301</v>
      </c>
      <c r="H2511" s="1">
        <v>3.06766E-6</v>
      </c>
      <c r="I2511">
        <v>283.94889999999998</v>
      </c>
      <c r="J2511">
        <v>-352.54820000000001</v>
      </c>
      <c r="K2511">
        <v>1.1084889999999901</v>
      </c>
      <c r="L2511">
        <v>284.99509999999998</v>
      </c>
      <c r="M2511">
        <v>-0.99993799999999999</v>
      </c>
      <c r="N2511">
        <v>-8.5136109999999904E-3</v>
      </c>
      <c r="O2511">
        <v>7.1875790000000004E-3</v>
      </c>
      <c r="P2511">
        <v>-0.98097679999999998</v>
      </c>
      <c r="Q2511">
        <v>0.1846727</v>
      </c>
      <c r="R2511">
        <v>-5.9839400000000001E-2</v>
      </c>
      <c r="S2511">
        <v>-3.0646059999999999</v>
      </c>
      <c r="T2511">
        <v>-5.4468389999999998E-2</v>
      </c>
      <c r="U2511">
        <v>-5.1269530000000001E-2</v>
      </c>
      <c r="V2511">
        <v>-6.7044210000000007E-2</v>
      </c>
      <c r="W2511">
        <v>0.19295950000000001</v>
      </c>
      <c r="X2511">
        <v>0.97891349999999999</v>
      </c>
      <c r="Y2511">
        <v>-2.390774E-2</v>
      </c>
      <c r="Z2511">
        <v>-3.807641E-4</v>
      </c>
      <c r="AA2511">
        <v>0.99971410000000005</v>
      </c>
      <c r="AB2511">
        <v>61</v>
      </c>
      <c r="AC2511">
        <v>-61.981900000000003</v>
      </c>
      <c r="AD2511">
        <v>-1.10848593233999</v>
      </c>
      <c r="AE2511">
        <v>-1.04619999999999</v>
      </c>
      <c r="AF2511">
        <v>-1.49121207891535</v>
      </c>
      <c r="AG2511">
        <v>-1.10848593233999</v>
      </c>
      <c r="AH2511">
        <v>61.952969619049902</v>
      </c>
      <c r="AI2511">
        <v>91.024751604013005</v>
      </c>
      <c r="AJ2511">
        <v>91.378846959328598</v>
      </c>
      <c r="AK2511">
        <v>61.980826867228998</v>
      </c>
      <c r="AL2511">
        <v>78.874451783931406</v>
      </c>
      <c r="AM2511">
        <v>93.917977395870096</v>
      </c>
      <c r="AN2511">
        <v>0.99999996760851095</v>
      </c>
    </row>
    <row r="2512" spans="1:40" x14ac:dyDescent="0.25">
      <c r="A2512" t="str">
        <f>"20190304164138286"</f>
        <v>20190304164138286</v>
      </c>
      <c r="B2512" t="str">
        <f>"1551688898273047"</f>
        <v>1551688898273047</v>
      </c>
      <c r="C2512" t="s">
        <v>40</v>
      </c>
      <c r="D2512">
        <v>3.9296139999999999</v>
      </c>
      <c r="E2512">
        <v>0.52473440000000005</v>
      </c>
      <c r="F2512" t="s">
        <v>47</v>
      </c>
      <c r="G2512">
        <v>-419.57209999999998</v>
      </c>
      <c r="H2512" s="1">
        <v>3.9656169999999996E-6</v>
      </c>
      <c r="I2512">
        <v>283.90789999999998</v>
      </c>
      <c r="J2512">
        <v>-352.86720000000003</v>
      </c>
      <c r="K2512">
        <v>1.108492</v>
      </c>
      <c r="L2512">
        <v>284.99740000000003</v>
      </c>
      <c r="M2512">
        <v>-0.99993880000000002</v>
      </c>
      <c r="N2512">
        <v>-8.5222170000000003E-3</v>
      </c>
      <c r="O2512">
        <v>7.0660810000000001E-3</v>
      </c>
      <c r="P2512">
        <v>-0.98087950000000002</v>
      </c>
      <c r="Q2512">
        <v>0.18515970000000001</v>
      </c>
      <c r="R2512">
        <v>-5.992811E-2</v>
      </c>
      <c r="S2512">
        <v>-3.0646969999999998</v>
      </c>
      <c r="T2512">
        <v>-5.0686000000000002E-2</v>
      </c>
      <c r="U2512">
        <v>-4.9713130000000001E-2</v>
      </c>
      <c r="V2512">
        <v>-6.7015630000000007E-2</v>
      </c>
      <c r="W2512">
        <v>0.19345399999999999</v>
      </c>
      <c r="X2512">
        <v>0.97881790000000002</v>
      </c>
      <c r="Y2512">
        <v>-2.3279040000000001E-2</v>
      </c>
      <c r="Z2512">
        <v>-3.4832489999999999E-4</v>
      </c>
      <c r="AA2512">
        <v>0.99972890000000003</v>
      </c>
      <c r="AB2512">
        <v>61</v>
      </c>
      <c r="AC2512">
        <v>-66.704899999999895</v>
      </c>
      <c r="AD2512">
        <v>-1.1084880343829999</v>
      </c>
      <c r="AE2512">
        <v>-1.0895000000000401</v>
      </c>
      <c r="AF2512">
        <v>-1.5604013129548699</v>
      </c>
      <c r="AG2512">
        <v>-1.1084880343829999</v>
      </c>
      <c r="AH2512">
        <v>66.677127771595707</v>
      </c>
      <c r="AI2512">
        <v>90.952177428528202</v>
      </c>
      <c r="AJ2512">
        <v>91.340611039504793</v>
      </c>
      <c r="AK2512">
        <v>66.704594788136902</v>
      </c>
      <c r="AL2512">
        <v>78.845575437406097</v>
      </c>
      <c r="AM2512">
        <v>93.916693727014305</v>
      </c>
      <c r="AN2512">
        <v>1.0000000130703499</v>
      </c>
    </row>
    <row r="2513" spans="1:40" x14ac:dyDescent="0.25">
      <c r="A2513" t="str">
        <f>"20190304164138310"</f>
        <v>20190304164138310</v>
      </c>
      <c r="B2513" t="str">
        <f>"1551688898303303"</f>
        <v>1551688898303303</v>
      </c>
      <c r="C2513" t="s">
        <v>40</v>
      </c>
      <c r="D2513">
        <v>3.9190839999999998</v>
      </c>
      <c r="E2513">
        <v>0.52472759999999996</v>
      </c>
      <c r="F2513" t="s">
        <v>47</v>
      </c>
      <c r="G2513">
        <v>-409.5403</v>
      </c>
      <c r="H2513" s="1">
        <v>4.1652149999999997E-6</v>
      </c>
      <c r="I2513">
        <v>284.64690000000002</v>
      </c>
      <c r="J2513">
        <v>-353.50869999999998</v>
      </c>
      <c r="K2513">
        <v>1.1085050000000001</v>
      </c>
      <c r="L2513">
        <v>285.00200000000001</v>
      </c>
      <c r="M2513">
        <v>-0.9999403</v>
      </c>
      <c r="N2513">
        <v>-8.5395499999999999E-3</v>
      </c>
      <c r="O2513">
        <v>6.8214840000000001E-3</v>
      </c>
      <c r="P2513">
        <v>-0.98071960000000002</v>
      </c>
      <c r="Q2513">
        <v>0.18607760000000001</v>
      </c>
      <c r="R2513">
        <v>-5.9700860000000001E-2</v>
      </c>
      <c r="S2513">
        <v>-3.068695</v>
      </c>
      <c r="T2513">
        <v>-6.0021640000000001E-2</v>
      </c>
      <c r="U2513">
        <v>-1.8981930000000001E-2</v>
      </c>
      <c r="V2513">
        <v>-6.6551780000000005E-2</v>
      </c>
      <c r="W2513">
        <v>0.1943868</v>
      </c>
      <c r="X2513">
        <v>0.97866470000000005</v>
      </c>
      <c r="Y2513">
        <v>-1.300303E-2</v>
      </c>
      <c r="Z2513">
        <v>-2.5784080000000001E-4</v>
      </c>
      <c r="AA2513">
        <v>0.99991540000000001</v>
      </c>
      <c r="AB2513">
        <v>61</v>
      </c>
      <c r="AC2513">
        <v>-56.031599999999997</v>
      </c>
      <c r="AD2513">
        <v>-1.1085008347849901</v>
      </c>
      <c r="AE2513">
        <v>-0.35509999999999298</v>
      </c>
      <c r="AF2513">
        <v>-0.73703587162631501</v>
      </c>
      <c r="AG2513">
        <v>-1.1085008347849901</v>
      </c>
      <c r="AH2513">
        <v>56.005954741075399</v>
      </c>
      <c r="AI2513">
        <v>91.133783564403501</v>
      </c>
      <c r="AJ2513">
        <v>90.753966385147905</v>
      </c>
      <c r="AK2513">
        <v>56.021772217916897</v>
      </c>
      <c r="AL2513">
        <v>78.791095398072599</v>
      </c>
      <c r="AM2513">
        <v>93.890274777841199</v>
      </c>
      <c r="AN2513">
        <v>0.99999998123074896</v>
      </c>
    </row>
    <row r="2514" spans="1:40" x14ac:dyDescent="0.25">
      <c r="A2514" t="str">
        <f>"20190304164138324"</f>
        <v>20190304164138324</v>
      </c>
      <c r="B2514" t="str">
        <f>"1551688898313065"</f>
        <v>1551688898313065</v>
      </c>
      <c r="C2514" t="s">
        <v>40</v>
      </c>
      <c r="D2514">
        <v>3.9222359999999998</v>
      </c>
      <c r="E2514">
        <v>0.52466279999999998</v>
      </c>
      <c r="F2514" t="s">
        <v>47</v>
      </c>
      <c r="G2514">
        <v>-413.27749999999997</v>
      </c>
      <c r="H2514" s="1">
        <v>2.7835929999999999E-6</v>
      </c>
      <c r="I2514">
        <v>284.65660000000003</v>
      </c>
      <c r="J2514">
        <v>-353.8954</v>
      </c>
      <c r="K2514">
        <v>1.1085069999999999</v>
      </c>
      <c r="L2514">
        <v>285.00459999999998</v>
      </c>
      <c r="M2514">
        <v>-0.99994130000000003</v>
      </c>
      <c r="N2514">
        <v>-8.5499990000000008E-3</v>
      </c>
      <c r="O2514">
        <v>6.6736929999999996E-3</v>
      </c>
      <c r="P2514">
        <v>-0.98064419999999997</v>
      </c>
      <c r="Q2514">
        <v>0.1865599</v>
      </c>
      <c r="R2514">
        <v>-5.943876E-2</v>
      </c>
      <c r="S2514">
        <v>-3.0687259999999998</v>
      </c>
      <c r="T2514">
        <v>-5.691421E-2</v>
      </c>
      <c r="U2514">
        <v>-1.773071E-2</v>
      </c>
      <c r="V2514">
        <v>-6.6146209999999997E-2</v>
      </c>
      <c r="W2514">
        <v>0.19487840000000001</v>
      </c>
      <c r="X2514">
        <v>0.97859450000000003</v>
      </c>
      <c r="Y2514">
        <v>-1.2448020000000001E-2</v>
      </c>
      <c r="Z2514">
        <v>-2.353503E-4</v>
      </c>
      <c r="AA2514">
        <v>0.99992250000000005</v>
      </c>
      <c r="AB2514">
        <v>61</v>
      </c>
      <c r="AC2514">
        <v>-59.382099999999902</v>
      </c>
      <c r="AD2514">
        <v>-1.10850421640699</v>
      </c>
      <c r="AE2514">
        <v>-0.34799999999995601</v>
      </c>
      <c r="AF2514">
        <v>-0.74404532490592101</v>
      </c>
      <c r="AG2514">
        <v>-1.10850421640699</v>
      </c>
      <c r="AH2514">
        <v>59.357771367391102</v>
      </c>
      <c r="AI2514">
        <v>91.0697882090181</v>
      </c>
      <c r="AJ2514">
        <v>90.7181607957979</v>
      </c>
      <c r="AK2514">
        <v>59.372783383860202</v>
      </c>
      <c r="AL2514">
        <v>78.762380462489403</v>
      </c>
      <c r="AM2514">
        <v>93.866915910225899</v>
      </c>
      <c r="AN2514">
        <v>1.0000000536570799</v>
      </c>
    </row>
    <row r="2515" spans="1:40" x14ac:dyDescent="0.25">
      <c r="A2515" t="str">
        <f>"20190304164138342"</f>
        <v>20190304164138342</v>
      </c>
      <c r="B2515" t="str">
        <f>"1551688898333560"</f>
        <v>1551688898333560</v>
      </c>
      <c r="C2515" t="s">
        <v>40</v>
      </c>
      <c r="D2515">
        <v>3.92611</v>
      </c>
      <c r="E2515">
        <v>0.5244529</v>
      </c>
      <c r="F2515" t="s">
        <v>47</v>
      </c>
      <c r="G2515">
        <v>-416.04969999999997</v>
      </c>
      <c r="H2515" s="1">
        <v>3.2757729999999999E-6</v>
      </c>
      <c r="I2515">
        <v>284.65170000000001</v>
      </c>
      <c r="J2515">
        <v>-354.39729999999997</v>
      </c>
      <c r="K2515">
        <v>1.1085119999999999</v>
      </c>
      <c r="L2515">
        <v>285.00799999999998</v>
      </c>
      <c r="M2515">
        <v>-0.99994240000000001</v>
      </c>
      <c r="N2515">
        <v>-8.5635590000000001E-3</v>
      </c>
      <c r="O2515">
        <v>6.4811799999999996E-3</v>
      </c>
      <c r="P2515">
        <v>-0.98059810000000003</v>
      </c>
      <c r="Q2515">
        <v>0.18682579999999999</v>
      </c>
      <c r="R2515">
        <v>-5.9362499999999999E-2</v>
      </c>
      <c r="S2515">
        <v>-3.0685419999999999</v>
      </c>
      <c r="T2515">
        <v>-5.4726599999999903E-2</v>
      </c>
      <c r="U2515">
        <v>-1.742554E-2</v>
      </c>
      <c r="V2515">
        <v>-6.5883499999999998E-2</v>
      </c>
      <c r="W2515">
        <v>0.19515660000000001</v>
      </c>
      <c r="X2515">
        <v>0.97855669999999995</v>
      </c>
      <c r="Y2515">
        <v>-1.2156729999999999E-2</v>
      </c>
      <c r="Z2515">
        <v>-2.2053599999999999E-4</v>
      </c>
      <c r="AA2515">
        <v>0.99992610000000004</v>
      </c>
      <c r="AB2515">
        <v>61</v>
      </c>
      <c r="AC2515">
        <v>-61.6524</v>
      </c>
      <c r="AD2515">
        <v>-1.108508724227</v>
      </c>
      <c r="AE2515">
        <v>-0.35629999999997602</v>
      </c>
      <c r="AF2515">
        <v>-0.75564316569545098</v>
      </c>
      <c r="AG2515">
        <v>-1.108508724227</v>
      </c>
      <c r="AH2515">
        <v>61.6288729967469</v>
      </c>
      <c r="AI2515">
        <v>91.030381511982597</v>
      </c>
      <c r="AJ2515">
        <v>90.702479092755496</v>
      </c>
      <c r="AK2515">
        <v>61.643473093545801</v>
      </c>
      <c r="AL2515">
        <v>78.746127839283702</v>
      </c>
      <c r="AM2515">
        <v>93.851752501297398</v>
      </c>
      <c r="AN2515">
        <v>0.99999997460534895</v>
      </c>
    </row>
    <row r="2516" spans="1:40" x14ac:dyDescent="0.25">
      <c r="A2516" t="str">
        <f>"20190304164138356"</f>
        <v>20190304164138356</v>
      </c>
      <c r="B2516" t="str">
        <f>"1551688898343320"</f>
        <v>1551688898343320</v>
      </c>
      <c r="C2516" t="s">
        <v>40</v>
      </c>
      <c r="D2516">
        <v>3.9331939999999999</v>
      </c>
      <c r="E2516">
        <v>0.52440189999999998</v>
      </c>
      <c r="F2516" t="s">
        <v>47</v>
      </c>
      <c r="G2516">
        <v>-415.2801</v>
      </c>
      <c r="H2516" s="1">
        <v>3.1411880000000002E-6</v>
      </c>
      <c r="I2516">
        <v>284.62959999999998</v>
      </c>
      <c r="J2516">
        <v>-354.80970000000002</v>
      </c>
      <c r="K2516">
        <v>1.108514</v>
      </c>
      <c r="L2516">
        <v>285.01069999999999</v>
      </c>
      <c r="M2516">
        <v>-0.99994340000000004</v>
      </c>
      <c r="N2516">
        <v>-8.5746929999999996E-3</v>
      </c>
      <c r="O2516">
        <v>6.3224889999999997E-3</v>
      </c>
      <c r="P2516">
        <v>-0.98050060000000006</v>
      </c>
      <c r="Q2516">
        <v>0.18733949999999999</v>
      </c>
      <c r="R2516">
        <v>-5.9353629999999998E-2</v>
      </c>
      <c r="S2516">
        <v>-3.068848</v>
      </c>
      <c r="T2516">
        <v>-5.5875300000000003E-2</v>
      </c>
      <c r="U2516">
        <v>-1.9073489999999999E-2</v>
      </c>
      <c r="V2516">
        <v>-6.5720189999999998E-2</v>
      </c>
      <c r="W2516">
        <v>0.19568089999999999</v>
      </c>
      <c r="X2516">
        <v>0.97846299999999997</v>
      </c>
      <c r="Y2516">
        <v>-1.2534200000000001E-2</v>
      </c>
      <c r="Z2516">
        <v>-2.2873570000000001E-4</v>
      </c>
      <c r="AA2516">
        <v>0.99992139999999996</v>
      </c>
      <c r="AB2516">
        <v>61</v>
      </c>
      <c r="AC2516">
        <v>-60.470399999999898</v>
      </c>
      <c r="AD2516">
        <v>-1.1085108588120001</v>
      </c>
      <c r="AE2516">
        <v>-0.38110000000000299</v>
      </c>
      <c r="AF2516">
        <v>-0.76317337085126002</v>
      </c>
      <c r="AG2516">
        <v>-1.1085108588120001</v>
      </c>
      <c r="AH2516">
        <v>60.446469916011203</v>
      </c>
      <c r="AI2516">
        <v>91.050529756686103</v>
      </c>
      <c r="AJ2516">
        <v>90.723355558100295</v>
      </c>
      <c r="AK2516">
        <v>60.4614501581406</v>
      </c>
      <c r="AL2516">
        <v>78.715497389388702</v>
      </c>
      <c r="AM2516">
        <v>93.842600367977298</v>
      </c>
      <c r="AN2516">
        <v>1.0000000001837199</v>
      </c>
    </row>
    <row r="2517" spans="1:40" x14ac:dyDescent="0.25">
      <c r="A2517" t="str">
        <f>"20190304164138371"</f>
        <v>20190304164138371</v>
      </c>
      <c r="B2517" t="str">
        <f>"1551688898363816"</f>
        <v>1551688898363816</v>
      </c>
      <c r="C2517" t="s">
        <v>40</v>
      </c>
      <c r="D2517">
        <v>3.9135089999999999</v>
      </c>
      <c r="E2517">
        <v>0.52440229999999999</v>
      </c>
      <c r="F2517" t="s">
        <v>47</v>
      </c>
      <c r="G2517">
        <v>-416.90480000000002</v>
      </c>
      <c r="H2517" s="1">
        <v>3.430843E-6</v>
      </c>
      <c r="I2517">
        <v>284.613</v>
      </c>
      <c r="J2517">
        <v>-355.2045</v>
      </c>
      <c r="K2517">
        <v>1.1085160000000001</v>
      </c>
      <c r="L2517">
        <v>285.01319999999998</v>
      </c>
      <c r="M2517">
        <v>-0.99994419999999995</v>
      </c>
      <c r="N2517">
        <v>-8.5853619999999992E-3</v>
      </c>
      <c r="O2517">
        <v>6.1708350000000004E-3</v>
      </c>
      <c r="P2517">
        <v>-0.98036089999999998</v>
      </c>
      <c r="Q2517">
        <v>0.18795580000000001</v>
      </c>
      <c r="R2517">
        <v>-5.97105E-2</v>
      </c>
      <c r="S2517">
        <v>-3.0689389999999999</v>
      </c>
      <c r="T2517">
        <v>-5.4786090000000003E-2</v>
      </c>
      <c r="U2517">
        <v>-1.9653319999999998E-2</v>
      </c>
      <c r="V2517">
        <v>-6.5929210000000002E-2</v>
      </c>
      <c r="W2517">
        <v>0.19630510000000001</v>
      </c>
      <c r="X2517">
        <v>0.97832390000000002</v>
      </c>
      <c r="Y2517">
        <v>-1.25714E-2</v>
      </c>
      <c r="Z2517">
        <v>-2.2334739999999999E-4</v>
      </c>
      <c r="AA2517">
        <v>0.99992099999999995</v>
      </c>
      <c r="AB2517">
        <v>61</v>
      </c>
      <c r="AC2517">
        <v>-61.700299999999999</v>
      </c>
      <c r="AD2517">
        <v>-1.1085125691569999</v>
      </c>
      <c r="AE2517">
        <v>-0.40019999999998301</v>
      </c>
      <c r="AF2517">
        <v>-0.78069676414483202</v>
      </c>
      <c r="AG2517">
        <v>-1.1085125691569999</v>
      </c>
      <c r="AH2517">
        <v>61.676748307567998</v>
      </c>
      <c r="AI2517">
        <v>91.029580355187903</v>
      </c>
      <c r="AJ2517">
        <v>90.725204265467298</v>
      </c>
      <c r="AK2517">
        <v>61.691649105439097</v>
      </c>
      <c r="AL2517">
        <v>78.679026045709094</v>
      </c>
      <c r="AM2517">
        <v>93.855331219943196</v>
      </c>
      <c r="AN2517">
        <v>1.00000000316422</v>
      </c>
    </row>
    <row r="2518" spans="1:40" x14ac:dyDescent="0.25">
      <c r="A2518" t="str">
        <f>"20190304164138388"</f>
        <v>20190304164138388</v>
      </c>
      <c r="B2518" t="str">
        <f>"1551688898373576"</f>
        <v>1551688898373576</v>
      </c>
      <c r="C2518" t="s">
        <v>40</v>
      </c>
      <c r="D2518">
        <v>3.9390779999999999</v>
      </c>
      <c r="E2518">
        <v>0.52429539999999997</v>
      </c>
      <c r="F2518" t="s">
        <v>47</v>
      </c>
      <c r="G2518">
        <v>-418.02859999999998</v>
      </c>
      <c r="H2518" s="1">
        <v>3.6328749999999999E-6</v>
      </c>
      <c r="I2518">
        <v>284.58210000000003</v>
      </c>
      <c r="J2518">
        <v>-355.64190000000002</v>
      </c>
      <c r="K2518">
        <v>1.1085229999999999</v>
      </c>
      <c r="L2518">
        <v>285.01589999999999</v>
      </c>
      <c r="M2518">
        <v>-0.99994519999999998</v>
      </c>
      <c r="N2518">
        <v>-8.5971709999999903E-3</v>
      </c>
      <c r="O2518">
        <v>6.0024850000000001E-3</v>
      </c>
      <c r="P2518">
        <v>-0.98019769999999995</v>
      </c>
      <c r="Q2518">
        <v>0.1885664</v>
      </c>
      <c r="R2518">
        <v>-6.0458629999999999E-2</v>
      </c>
      <c r="S2518">
        <v>-3.0692140000000001</v>
      </c>
      <c r="T2518">
        <v>-5.4155349999999998E-2</v>
      </c>
      <c r="U2518">
        <v>-2.105713E-2</v>
      </c>
      <c r="V2518">
        <v>-6.651369E-2</v>
      </c>
      <c r="W2518">
        <v>0.19692499999999999</v>
      </c>
      <c r="X2518">
        <v>0.97815969999999997</v>
      </c>
      <c r="Y2518">
        <v>-1.2859819999999999E-2</v>
      </c>
      <c r="Z2518">
        <v>-2.2303070000000001E-4</v>
      </c>
      <c r="AA2518">
        <v>0.99991730000000001</v>
      </c>
      <c r="AB2518">
        <v>62</v>
      </c>
      <c r="AC2518">
        <v>-62.386699999999898</v>
      </c>
      <c r="AD2518">
        <v>-1.108519367125</v>
      </c>
      <c r="AE2518">
        <v>-0.43379999999996199</v>
      </c>
      <c r="AF2518">
        <v>-0.80802609280898297</v>
      </c>
      <c r="AG2518">
        <v>-1.108519367125</v>
      </c>
      <c r="AH2518">
        <v>62.363283638119697</v>
      </c>
      <c r="AI2518">
        <v>91.018250815709607</v>
      </c>
      <c r="AJ2518">
        <v>90.742326120434598</v>
      </c>
      <c r="AK2518">
        <v>62.3783685862536</v>
      </c>
      <c r="AL2518">
        <v>78.642800845872898</v>
      </c>
      <c r="AM2518">
        <v>93.890056209975896</v>
      </c>
      <c r="AN2518">
        <v>0.99999996264325197</v>
      </c>
    </row>
    <row r="2519" spans="1:40" x14ac:dyDescent="0.25">
      <c r="A2519" t="str">
        <f>"20190304164138410"</f>
        <v>20190304164138410</v>
      </c>
      <c r="B2519" t="str">
        <f>"1551688898403832"</f>
        <v>1551688898403832</v>
      </c>
      <c r="C2519" t="s">
        <v>40</v>
      </c>
      <c r="D2519">
        <v>3.9415499999999999</v>
      </c>
      <c r="E2519">
        <v>0.52426279999999903</v>
      </c>
      <c r="F2519" t="s">
        <v>47</v>
      </c>
      <c r="G2519">
        <v>-420.42919999999998</v>
      </c>
      <c r="H2519" s="1">
        <v>3.8992050000000002E-6</v>
      </c>
      <c r="I2519">
        <v>284.49349999999998</v>
      </c>
      <c r="J2519">
        <v>-356.26499999999999</v>
      </c>
      <c r="K2519">
        <v>1.1085290000000001</v>
      </c>
      <c r="L2519">
        <v>285.01960000000003</v>
      </c>
      <c r="M2519">
        <v>-0.99994629999999995</v>
      </c>
      <c r="N2519">
        <v>-8.6139349999999996E-3</v>
      </c>
      <c r="O2519">
        <v>5.7623429999999996E-3</v>
      </c>
      <c r="P2519">
        <v>-0.97987930000000001</v>
      </c>
      <c r="Q2519">
        <v>0.18995509999999999</v>
      </c>
      <c r="R2519">
        <v>-6.1268410000000002E-2</v>
      </c>
      <c r="S2519">
        <v>-3.0691830000000002</v>
      </c>
      <c r="T2519">
        <v>-5.2514079999999998E-2</v>
      </c>
      <c r="U2519">
        <v>-2.4749759999999999E-2</v>
      </c>
      <c r="V2519">
        <v>-6.708857E-2</v>
      </c>
      <c r="W2519">
        <v>0.19832640000000001</v>
      </c>
      <c r="X2519">
        <v>0.97783730000000002</v>
      </c>
      <c r="Y2519">
        <v>-1.382268E-2</v>
      </c>
      <c r="Z2519">
        <v>-2.267367E-4</v>
      </c>
      <c r="AA2519">
        <v>0.99990449999999997</v>
      </c>
      <c r="AB2519">
        <v>62</v>
      </c>
      <c r="AC2519">
        <v>-64.164199999999994</v>
      </c>
      <c r="AD2519">
        <v>-1.1085251007950001</v>
      </c>
      <c r="AE2519">
        <v>-0.52610000000004198</v>
      </c>
      <c r="AF2519">
        <v>-0.89557382321145096</v>
      </c>
      <c r="AG2519">
        <v>-1.1085251007950001</v>
      </c>
      <c r="AH2519">
        <v>64.140959880440903</v>
      </c>
      <c r="AI2519">
        <v>90.990027261737595</v>
      </c>
      <c r="AJ2519">
        <v>90.799945405680702</v>
      </c>
      <c r="AK2519">
        <v>64.156789311469197</v>
      </c>
      <c r="AL2519">
        <v>78.560891631638398</v>
      </c>
      <c r="AM2519">
        <v>93.924863116155507</v>
      </c>
      <c r="AN2519">
        <v>1.00000001121644</v>
      </c>
    </row>
    <row r="2520" spans="1:40" x14ac:dyDescent="0.25">
      <c r="A2520" t="str">
        <f>"20190304164138424"</f>
        <v>20190304164138424</v>
      </c>
      <c r="B2520" t="str">
        <f>"1551688898413592"</f>
        <v>1551688898413592</v>
      </c>
      <c r="C2520" t="s">
        <v>40</v>
      </c>
      <c r="D2520">
        <v>3.932023</v>
      </c>
      <c r="E2520">
        <v>0.52428379999999997</v>
      </c>
      <c r="F2520" t="s">
        <v>47</v>
      </c>
      <c r="G2520">
        <v>-430.33359999999999</v>
      </c>
      <c r="H2520" s="1">
        <v>2.3883570000000002E-6</v>
      </c>
      <c r="I2520">
        <v>284.34859999999998</v>
      </c>
      <c r="J2520">
        <v>-356.6413</v>
      </c>
      <c r="K2520">
        <v>1.1085339999999999</v>
      </c>
      <c r="L2520">
        <v>285.02190000000002</v>
      </c>
      <c r="M2520">
        <v>-0.99994709999999998</v>
      </c>
      <c r="N2520">
        <v>-8.6242049999999994E-3</v>
      </c>
      <c r="O2520">
        <v>5.617553E-3</v>
      </c>
      <c r="P2520">
        <v>-0.97979749999999999</v>
      </c>
      <c r="Q2520">
        <v>0.19025020000000001</v>
      </c>
      <c r="R2520">
        <v>-6.166013E-2</v>
      </c>
      <c r="S2520">
        <v>-3.0687869999999999</v>
      </c>
      <c r="T2520">
        <v>-4.5928120000000003E-2</v>
      </c>
      <c r="U2520">
        <v>-2.7801510000000001E-2</v>
      </c>
      <c r="V2520">
        <v>-6.7338899999999993E-2</v>
      </c>
      <c r="W2520">
        <v>0.19863069999999999</v>
      </c>
      <c r="X2520">
        <v>0.97775829999999997</v>
      </c>
      <c r="Y2520">
        <v>-1.4673759999999999E-2</v>
      </c>
      <c r="Z2520">
        <v>-2.087015E-4</v>
      </c>
      <c r="AA2520">
        <v>0.99989229999999996</v>
      </c>
      <c r="AB2520">
        <v>62</v>
      </c>
      <c r="AC2520">
        <v>-73.692299999999904</v>
      </c>
      <c r="AD2520">
        <v>-1.108531611643</v>
      </c>
      <c r="AE2520">
        <v>-0.67330000000003998</v>
      </c>
      <c r="AF2520">
        <v>-1.0870291882357399</v>
      </c>
      <c r="AG2520">
        <v>-1.108531611643</v>
      </c>
      <c r="AH2520">
        <v>73.670685682523001</v>
      </c>
      <c r="AI2520">
        <v>90.861977568865697</v>
      </c>
      <c r="AJ2520">
        <v>90.845352051994993</v>
      </c>
      <c r="AK2520">
        <v>73.687043662527202</v>
      </c>
      <c r="AL2520">
        <v>78.543102346151002</v>
      </c>
      <c r="AM2520">
        <v>93.939779367151303</v>
      </c>
      <c r="AN2520">
        <v>0.99999998782729405</v>
      </c>
    </row>
    <row r="2521" spans="1:40" x14ac:dyDescent="0.25">
      <c r="A2521" t="str">
        <f>"20190304164138442"</f>
        <v>20190304164138442</v>
      </c>
      <c r="B2521" t="str">
        <f>"1551688898433111"</f>
        <v>1551688898433111</v>
      </c>
      <c r="C2521" t="s">
        <v>40</v>
      </c>
      <c r="D2521">
        <v>3.9284979999999998</v>
      </c>
      <c r="E2521">
        <v>0.52432449999999997</v>
      </c>
      <c r="F2521" t="s">
        <v>47</v>
      </c>
      <c r="G2521">
        <v>-432.71469999999999</v>
      </c>
      <c r="H2521" s="1">
        <v>3.4481040000000002E-6</v>
      </c>
      <c r="I2521">
        <v>284.30470000000003</v>
      </c>
      <c r="J2521">
        <v>-357.16070000000002</v>
      </c>
      <c r="K2521">
        <v>1.1085389999999999</v>
      </c>
      <c r="L2521">
        <v>285.02480000000003</v>
      </c>
      <c r="M2521">
        <v>-0.99994810000000001</v>
      </c>
      <c r="N2521">
        <v>-8.6402359999999904E-3</v>
      </c>
      <c r="O2521">
        <v>5.4170019999999998E-3</v>
      </c>
      <c r="P2521">
        <v>-0.97945510000000002</v>
      </c>
      <c r="Q2521">
        <v>0.19167409999999999</v>
      </c>
      <c r="R2521">
        <v>-6.2680650000000004E-2</v>
      </c>
      <c r="S2521">
        <v>-3.068756</v>
      </c>
      <c r="T2521">
        <v>-4.4717430000000002E-2</v>
      </c>
      <c r="U2521">
        <v>-2.893066E-2</v>
      </c>
      <c r="V2521">
        <v>-6.8163860000000007E-2</v>
      </c>
      <c r="W2521">
        <v>0.20006570000000001</v>
      </c>
      <c r="X2521">
        <v>0.97740850000000001</v>
      </c>
      <c r="Y2521">
        <v>-1.484129E-2</v>
      </c>
      <c r="Z2521">
        <v>-2.0437560000000001E-4</v>
      </c>
      <c r="AA2521">
        <v>0.9998899</v>
      </c>
      <c r="AB2521">
        <v>62</v>
      </c>
      <c r="AC2521">
        <v>-75.553999999999903</v>
      </c>
      <c r="AD2521">
        <v>-1.1085355518959901</v>
      </c>
      <c r="AE2521">
        <v>-0.72010000000000196</v>
      </c>
      <c r="AF2521">
        <v>-1.1291377919480301</v>
      </c>
      <c r="AG2521">
        <v>-1.1085355518959901</v>
      </c>
      <c r="AH2521">
        <v>75.532731971134098</v>
      </c>
      <c r="AI2521">
        <v>90.840731603411697</v>
      </c>
      <c r="AJ2521">
        <v>90.856450041722894</v>
      </c>
      <c r="AK2521">
        <v>75.549304445813405</v>
      </c>
      <c r="AL2521">
        <v>78.4591988211006</v>
      </c>
      <c r="AM2521">
        <v>93.989312894170197</v>
      </c>
      <c r="AN2521">
        <v>0.99999998599941897</v>
      </c>
    </row>
    <row r="2522" spans="1:40" x14ac:dyDescent="0.25">
      <c r="A2522" t="str">
        <f>"20190304164138454"</f>
        <v>20190304164138454</v>
      </c>
      <c r="B2522" t="str">
        <f>"1551688898443848"</f>
        <v>1551688898443848</v>
      </c>
      <c r="C2522" t="s">
        <v>40</v>
      </c>
      <c r="D2522">
        <v>3.920579</v>
      </c>
      <c r="E2522">
        <v>0.52433799999999997</v>
      </c>
      <c r="F2522" t="s">
        <v>46</v>
      </c>
      <c r="G2522">
        <v>-443.91879999999998</v>
      </c>
      <c r="H2522" s="1">
        <v>5.6995490000000003E-7</v>
      </c>
      <c r="I2522">
        <v>284.12740000000002</v>
      </c>
      <c r="J2522">
        <v>-357.50330000000002</v>
      </c>
      <c r="K2522">
        <v>1.108544</v>
      </c>
      <c r="L2522">
        <v>285.02659999999997</v>
      </c>
      <c r="M2522">
        <v>-0.99994859999999997</v>
      </c>
      <c r="N2522">
        <v>-8.6521029999999995E-3</v>
      </c>
      <c r="O2522">
        <v>5.2847859999999997E-3</v>
      </c>
      <c r="P2522">
        <v>-0.97927889999999995</v>
      </c>
      <c r="Q2522">
        <v>0.1923754</v>
      </c>
      <c r="R2522">
        <v>-6.3282619999999998E-2</v>
      </c>
      <c r="S2522">
        <v>-3.0686040000000001</v>
      </c>
      <c r="T2522">
        <v>-3.9208649999999998E-2</v>
      </c>
      <c r="U2522">
        <v>-3.1738280000000001E-2</v>
      </c>
      <c r="V2522">
        <v>-6.8636959999999997E-2</v>
      </c>
      <c r="W2522">
        <v>0.2007767</v>
      </c>
      <c r="X2522">
        <v>0.97722960000000003</v>
      </c>
      <c r="Y2522">
        <v>-1.562473E-2</v>
      </c>
      <c r="Z2522">
        <v>-1.8921359999999999E-4</v>
      </c>
      <c r="AA2522">
        <v>0.99987789999999999</v>
      </c>
      <c r="AB2522">
        <v>62</v>
      </c>
      <c r="AC2522">
        <v>-86.415499999999895</v>
      </c>
      <c r="AD2522">
        <v>-1.1085434300451</v>
      </c>
      <c r="AE2522">
        <v>-0.89919999999995004</v>
      </c>
      <c r="AF2522">
        <v>-1.35566889976212</v>
      </c>
      <c r="AG2522">
        <v>-1.1085434300451</v>
      </c>
      <c r="AH2522">
        <v>86.395325290884202</v>
      </c>
      <c r="AI2522">
        <v>90.735034654027999</v>
      </c>
      <c r="AJ2522">
        <v>90.898980726447505</v>
      </c>
      <c r="AK2522">
        <v>86.413071573806306</v>
      </c>
      <c r="AL2522">
        <v>78.417618038299295</v>
      </c>
      <c r="AM2522">
        <v>94.017643864500897</v>
      </c>
      <c r="AN2522">
        <v>1.0000000033285401</v>
      </c>
    </row>
    <row r="2523" spans="1:40" x14ac:dyDescent="0.25">
      <c r="A2523" t="str">
        <f>"20190304164138468"</f>
        <v>20190304164138468</v>
      </c>
      <c r="B2523" t="str">
        <f>"1551688898463368"</f>
        <v>1551688898463368</v>
      </c>
      <c r="C2523" t="s">
        <v>40</v>
      </c>
      <c r="D2523">
        <v>3.9234580000000001</v>
      </c>
      <c r="E2523">
        <v>0.52441289999999996</v>
      </c>
      <c r="F2523" t="s">
        <v>46</v>
      </c>
      <c r="G2523">
        <v>-449.07499999999999</v>
      </c>
      <c r="H2523" s="1">
        <v>3.3186899999999998E-6</v>
      </c>
      <c r="I2523">
        <v>284.01659999999998</v>
      </c>
      <c r="J2523">
        <v>-357.85129999999998</v>
      </c>
      <c r="K2523">
        <v>1.1085499999999999</v>
      </c>
      <c r="L2523">
        <v>285.02850000000001</v>
      </c>
      <c r="M2523">
        <v>-0.99994930000000004</v>
      </c>
      <c r="N2523">
        <v>-8.6644909999999999E-3</v>
      </c>
      <c r="O2523">
        <v>5.1497060000000004E-3</v>
      </c>
      <c r="P2523">
        <v>-0.97917770000000004</v>
      </c>
      <c r="Q2523">
        <v>0.1928047</v>
      </c>
      <c r="R2523">
        <v>-6.3543569999999994E-2</v>
      </c>
      <c r="S2523">
        <v>-3.0685730000000002</v>
      </c>
      <c r="T2523">
        <v>-3.7147279999999998E-2</v>
      </c>
      <c r="U2523">
        <v>-3.3843989999999997E-2</v>
      </c>
      <c r="V2523">
        <v>-6.8766229999999998E-2</v>
      </c>
      <c r="W2523">
        <v>0.2012167</v>
      </c>
      <c r="X2523">
        <v>0.97713000000000005</v>
      </c>
      <c r="Y2523">
        <v>-1.617594E-2</v>
      </c>
      <c r="Z2523">
        <v>-1.8570859999999999E-4</v>
      </c>
      <c r="AA2523">
        <v>0.99986920000000001</v>
      </c>
      <c r="AB2523">
        <v>62</v>
      </c>
      <c r="AC2523">
        <v>-91.223699999999994</v>
      </c>
      <c r="AD2523">
        <v>-1.10854668131</v>
      </c>
      <c r="AE2523">
        <v>-1.01190000000002</v>
      </c>
      <c r="AF2523">
        <v>-1.4814606649559801</v>
      </c>
      <c r="AG2523">
        <v>-1.10854668131</v>
      </c>
      <c r="AH2523">
        <v>91.203812696287201</v>
      </c>
      <c r="AI2523">
        <v>90.696281663794295</v>
      </c>
      <c r="AJ2523">
        <v>90.930596835974896</v>
      </c>
      <c r="AK2523">
        <v>91.222579725558504</v>
      </c>
      <c r="AL2523">
        <v>78.3918825976628</v>
      </c>
      <c r="AM2523">
        <v>94.025594739048003</v>
      </c>
      <c r="AN2523">
        <v>0.99999999582365096</v>
      </c>
    </row>
    <row r="2524" spans="1:40" x14ac:dyDescent="0.25">
      <c r="A2524" t="str">
        <f>"20190304164138479"</f>
        <v>20190304164138479</v>
      </c>
      <c r="B2524" t="str">
        <f>"1551688898473128"</f>
        <v>1551688898473128</v>
      </c>
      <c r="C2524" t="s">
        <v>40</v>
      </c>
      <c r="D2524">
        <v>3.9024939999999999</v>
      </c>
      <c r="E2524">
        <v>0.5244415</v>
      </c>
      <c r="F2524" t="s">
        <v>46</v>
      </c>
      <c r="G2524">
        <v>-453.39870000000002</v>
      </c>
      <c r="H2524" s="1">
        <v>3.0054379999999998E-7</v>
      </c>
      <c r="I2524">
        <v>283.95940000000002</v>
      </c>
      <c r="J2524">
        <v>-358.21159999999998</v>
      </c>
      <c r="K2524">
        <v>1.1085510000000001</v>
      </c>
      <c r="L2524">
        <v>285.03039999999999</v>
      </c>
      <c r="M2524">
        <v>-0.99994989999999995</v>
      </c>
      <c r="N2524">
        <v>-8.6777980000000005E-3</v>
      </c>
      <c r="O2524">
        <v>5.008897E-3</v>
      </c>
      <c r="P2524">
        <v>-0.97903470000000004</v>
      </c>
      <c r="Q2524">
        <v>0.1934003</v>
      </c>
      <c r="R2524">
        <v>-6.3933439999999994E-2</v>
      </c>
      <c r="S2524">
        <v>-3.0685419999999999</v>
      </c>
      <c r="T2524">
        <v>-3.5601500000000001E-2</v>
      </c>
      <c r="U2524">
        <v>-3.433228E-2</v>
      </c>
      <c r="V2524">
        <v>-6.9019269999999994E-2</v>
      </c>
      <c r="W2524">
        <v>0.2018238</v>
      </c>
      <c r="X2524">
        <v>0.97698689999999999</v>
      </c>
      <c r="Y2524">
        <v>-1.6194469999999999E-2</v>
      </c>
      <c r="Z2524">
        <v>-1.7885749999999999E-4</v>
      </c>
      <c r="AA2524">
        <v>0.99986889999999995</v>
      </c>
      <c r="AB2524">
        <v>62</v>
      </c>
      <c r="AC2524">
        <v>-95.187100000000001</v>
      </c>
      <c r="AD2524">
        <v>-1.1085506994562</v>
      </c>
      <c r="AE2524">
        <v>-1.07099999999996</v>
      </c>
      <c r="AF2524">
        <v>-1.5475769786543501</v>
      </c>
      <c r="AG2524">
        <v>-1.1085506994562</v>
      </c>
      <c r="AH2524">
        <v>95.167635167975305</v>
      </c>
      <c r="AI2524">
        <v>90.667285771251201</v>
      </c>
      <c r="AJ2524">
        <v>90.931638308768399</v>
      </c>
      <c r="AK2524">
        <v>95.186672715370094</v>
      </c>
      <c r="AL2524">
        <v>78.356369270178902</v>
      </c>
      <c r="AM2524">
        <v>94.040948637724497</v>
      </c>
      <c r="AN2524">
        <v>0.99999995432469002</v>
      </c>
    </row>
    <row r="2525" spans="1:40" x14ac:dyDescent="0.25">
      <c r="A2525" t="str">
        <f>"20190304164138492"</f>
        <v>20190304164138492</v>
      </c>
      <c r="B2525" t="str">
        <f>"1551688898483864"</f>
        <v>1551688898483864</v>
      </c>
      <c r="C2525" t="s">
        <v>40</v>
      </c>
      <c r="D2525">
        <v>3.9064049999999999</v>
      </c>
      <c r="E2525">
        <v>0.52448339999999904</v>
      </c>
      <c r="F2525" t="s">
        <v>46</v>
      </c>
      <c r="G2525">
        <v>-458.5557</v>
      </c>
      <c r="H2525" s="1">
        <v>3.0489140000000001E-6</v>
      </c>
      <c r="I2525">
        <v>283.86680000000001</v>
      </c>
      <c r="J2525">
        <v>-358.54820000000001</v>
      </c>
      <c r="K2525">
        <v>1.1085579999999999</v>
      </c>
      <c r="L2525">
        <v>285.03199999999998</v>
      </c>
      <c r="M2525">
        <v>-0.99995040000000002</v>
      </c>
      <c r="N2525">
        <v>-8.6914109999999996E-3</v>
      </c>
      <c r="O2525">
        <v>4.874087E-3</v>
      </c>
      <c r="P2525">
        <v>-0.9789369</v>
      </c>
      <c r="Q2525">
        <v>0.19378319999999999</v>
      </c>
      <c r="R2525">
        <v>-6.4271640000000005E-2</v>
      </c>
      <c r="S2525">
        <v>-3.0686040000000001</v>
      </c>
      <c r="T2525">
        <v>-3.3900260000000002E-2</v>
      </c>
      <c r="U2525">
        <v>-3.5583499999999997E-2</v>
      </c>
      <c r="V2525">
        <v>-6.9226880000000005E-2</v>
      </c>
      <c r="W2525">
        <v>0.2022185</v>
      </c>
      <c r="X2525">
        <v>0.97689060000000005</v>
      </c>
      <c r="Y2525">
        <v>-1.6467209999999999E-2</v>
      </c>
      <c r="Z2525">
        <v>-1.7400520000000001E-4</v>
      </c>
      <c r="AA2525">
        <v>0.99986439999999999</v>
      </c>
      <c r="AB2525">
        <v>62</v>
      </c>
      <c r="AC2525">
        <v>-100.00749999999999</v>
      </c>
      <c r="AD2525">
        <v>-1.108554951086</v>
      </c>
      <c r="AE2525">
        <v>-1.16519999999997</v>
      </c>
      <c r="AF2525">
        <v>-1.6524467913401399</v>
      </c>
      <c r="AG2525">
        <v>-1.108554951086</v>
      </c>
      <c r="AH2525">
        <v>99.988348479126401</v>
      </c>
      <c r="AI2525">
        <v>90.635116470281602</v>
      </c>
      <c r="AJ2525">
        <v>90.946806406017004</v>
      </c>
      <c r="AK2525">
        <v>100.008146198502</v>
      </c>
      <c r="AL2525">
        <v>78.333278628957501</v>
      </c>
      <c r="AM2525">
        <v>94.053461575703594</v>
      </c>
      <c r="AN2525">
        <v>0.99999996351257103</v>
      </c>
    </row>
    <row r="2526" spans="1:40" x14ac:dyDescent="0.25">
      <c r="A2526" t="str">
        <f>"20190304164138505"</f>
        <v>20190304164138505</v>
      </c>
      <c r="B2526" t="str">
        <f>"1551688898493624"</f>
        <v>1551688898493624</v>
      </c>
      <c r="C2526" t="s">
        <v>40</v>
      </c>
      <c r="D2526">
        <v>3.9051070000000001</v>
      </c>
      <c r="E2526">
        <v>0.52449299999999999</v>
      </c>
      <c r="F2526" t="s">
        <v>46</v>
      </c>
      <c r="G2526">
        <v>-462.70030000000003</v>
      </c>
      <c r="H2526" s="1">
        <v>-6.4198639999999996E-8</v>
      </c>
      <c r="I2526">
        <v>283.80149999999998</v>
      </c>
      <c r="J2526">
        <v>-358.892</v>
      </c>
      <c r="K2526">
        <v>1.108565</v>
      </c>
      <c r="L2526">
        <v>285.03379999999999</v>
      </c>
      <c r="M2526">
        <v>-0.99995100000000003</v>
      </c>
      <c r="N2526">
        <v>-8.7057469999999998E-3</v>
      </c>
      <c r="O2526">
        <v>4.7331819999999998E-3</v>
      </c>
      <c r="P2526">
        <v>-0.97869130000000004</v>
      </c>
      <c r="Q2526">
        <v>0.1948107</v>
      </c>
      <c r="R2526">
        <v>-6.4905530000000003E-2</v>
      </c>
      <c r="S2526">
        <v>-3.0686339999999999</v>
      </c>
      <c r="T2526">
        <v>-3.266144E-2</v>
      </c>
      <c r="U2526">
        <v>-3.6254880000000003E-2</v>
      </c>
      <c r="V2526">
        <v>-6.9724899999999895E-2</v>
      </c>
      <c r="W2526">
        <v>0.2032564</v>
      </c>
      <c r="X2526">
        <v>0.97663979999999995</v>
      </c>
      <c r="Y2526">
        <v>-1.6545020000000001E-2</v>
      </c>
      <c r="Z2526">
        <v>-1.69240499999999E-4</v>
      </c>
      <c r="AA2526">
        <v>0.9998631</v>
      </c>
      <c r="AB2526">
        <v>62</v>
      </c>
      <c r="AC2526">
        <v>-103.8083</v>
      </c>
      <c r="AD2526">
        <v>-1.10856506419863</v>
      </c>
      <c r="AE2526">
        <v>-1.2323</v>
      </c>
      <c r="AF2526">
        <v>-1.7234518295736501</v>
      </c>
      <c r="AG2526">
        <v>-1.10856506419863</v>
      </c>
      <c r="AH2526">
        <v>103.78946966471401</v>
      </c>
      <c r="AI2526">
        <v>90.611862942657993</v>
      </c>
      <c r="AJ2526">
        <v>90.951324271102195</v>
      </c>
      <c r="AK2526">
        <v>103.80969711926301</v>
      </c>
      <c r="AL2526">
        <v>78.272550775862598</v>
      </c>
      <c r="AM2526">
        <v>94.0835688764666</v>
      </c>
      <c r="AN2526">
        <v>1.0000000123824999</v>
      </c>
    </row>
    <row r="2527" spans="1:40" x14ac:dyDescent="0.25">
      <c r="A2527" t="str">
        <f>"20190304164138518"</f>
        <v>20190304164138518</v>
      </c>
      <c r="B2527" t="str">
        <f>"1551688898513144"</f>
        <v>1551688898513144</v>
      </c>
      <c r="C2527" t="s">
        <v>40</v>
      </c>
      <c r="D2527">
        <v>3.9001519999999998</v>
      </c>
      <c r="E2527">
        <v>0.52448619999999901</v>
      </c>
      <c r="F2527" t="s">
        <v>45</v>
      </c>
      <c r="G2527">
        <v>-473.38249999999999</v>
      </c>
      <c r="H2527" s="1">
        <v>5.02507799999999E-6</v>
      </c>
      <c r="I2527">
        <v>283.59800000000001</v>
      </c>
      <c r="J2527">
        <v>-359.25189999999998</v>
      </c>
      <c r="K2527">
        <v>1.108571</v>
      </c>
      <c r="L2527">
        <v>285.03539999999998</v>
      </c>
      <c r="M2527">
        <v>-0.99995149999999999</v>
      </c>
      <c r="N2527">
        <v>-8.721543E-3</v>
      </c>
      <c r="O2527">
        <v>4.5779339999999996E-3</v>
      </c>
      <c r="P2527">
        <v>-0.97857099999999997</v>
      </c>
      <c r="Q2527">
        <v>0.19530510000000001</v>
      </c>
      <c r="R2527">
        <v>-6.5229770000000006E-2</v>
      </c>
      <c r="S2527">
        <v>-3.068695</v>
      </c>
      <c r="T2527">
        <v>-2.9712800000000001E-2</v>
      </c>
      <c r="U2527">
        <v>-3.8482669999999997E-2</v>
      </c>
      <c r="V2527">
        <v>-6.990085E-2</v>
      </c>
      <c r="W2527">
        <v>0.2037639</v>
      </c>
      <c r="X2527">
        <v>0.97652139999999998</v>
      </c>
      <c r="Y2527">
        <v>-1.7115499999999999E-2</v>
      </c>
      <c r="Z2527">
        <v>-1.6189810000000001E-4</v>
      </c>
      <c r="AA2527">
        <v>0.99985349999999995</v>
      </c>
      <c r="AB2527">
        <v>62</v>
      </c>
      <c r="AC2527">
        <v>-114.1306</v>
      </c>
      <c r="AD2527">
        <v>-1.108565974922</v>
      </c>
      <c r="AE2527">
        <v>-1.43739999999996</v>
      </c>
      <c r="AF2527">
        <v>-1.9597022979799501</v>
      </c>
      <c r="AG2527">
        <v>-1.108565974922</v>
      </c>
      <c r="AH2527">
        <v>114.11205919055899</v>
      </c>
      <c r="AI2527">
        <v>90.556512525470296</v>
      </c>
      <c r="AJ2527">
        <v>90.983871775365699</v>
      </c>
      <c r="AK2527">
        <v>114.134269193469</v>
      </c>
      <c r="AL2527">
        <v>78.242850907948807</v>
      </c>
      <c r="AM2527">
        <v>94.094333400228194</v>
      </c>
      <c r="AN2527">
        <v>0.99999995021594501</v>
      </c>
    </row>
    <row r="2528" spans="1:40" x14ac:dyDescent="0.25">
      <c r="A2528" t="str">
        <f>"20190304164138531"</f>
        <v>20190304164138531</v>
      </c>
      <c r="B2528" t="str">
        <f>"1551688898523880"</f>
        <v>1551688898523880</v>
      </c>
      <c r="C2528" t="s">
        <v>40</v>
      </c>
      <c r="D2528">
        <v>3.9225189999999999</v>
      </c>
      <c r="E2528">
        <v>0.52451510000000001</v>
      </c>
      <c r="F2528" t="s">
        <v>45</v>
      </c>
      <c r="G2528">
        <v>-477.92689999999999</v>
      </c>
      <c r="H2528" s="1">
        <v>3.0012639999999998E-6</v>
      </c>
      <c r="I2528">
        <v>283.5</v>
      </c>
      <c r="J2528">
        <v>-359.64019999999999</v>
      </c>
      <c r="K2528">
        <v>1.108584</v>
      </c>
      <c r="L2528">
        <v>285.03719999999998</v>
      </c>
      <c r="M2528">
        <v>-0.99995230000000002</v>
      </c>
      <c r="N2528">
        <v>-8.7400389999999998E-3</v>
      </c>
      <c r="O2528">
        <v>4.4014780000000003E-3</v>
      </c>
      <c r="P2528">
        <v>-0.97826670000000004</v>
      </c>
      <c r="Q2528">
        <v>0.19648570000000001</v>
      </c>
      <c r="R2528">
        <v>-6.6241410000000001E-2</v>
      </c>
      <c r="S2528">
        <v>-3.068756</v>
      </c>
      <c r="T2528">
        <v>-2.8665900000000001E-2</v>
      </c>
      <c r="U2528">
        <v>-3.9703370000000002E-2</v>
      </c>
      <c r="V2528">
        <v>-7.0744719999999997E-2</v>
      </c>
      <c r="W2528">
        <v>0.20495749999999999</v>
      </c>
      <c r="X2528">
        <v>0.97621080000000005</v>
      </c>
      <c r="Y2528">
        <v>-1.7336540000000001E-2</v>
      </c>
      <c r="Z2528">
        <v>-1.593806E-4</v>
      </c>
      <c r="AA2528">
        <v>0.99984969999999995</v>
      </c>
      <c r="AB2528">
        <v>62</v>
      </c>
      <c r="AC2528">
        <v>-118.2867</v>
      </c>
      <c r="AD2528">
        <v>-1.108580998736</v>
      </c>
      <c r="AE2528">
        <v>-1.5371999999999799</v>
      </c>
      <c r="AF2528">
        <v>-2.05766050599793</v>
      </c>
      <c r="AG2528">
        <v>-1.108580998736</v>
      </c>
      <c r="AH2528">
        <v>118.268401671999</v>
      </c>
      <c r="AI2528">
        <v>90.536961193591793</v>
      </c>
      <c r="AJ2528">
        <v>90.996744418563907</v>
      </c>
      <c r="AK2528">
        <v>118.29149484488801</v>
      </c>
      <c r="AL2528">
        <v>78.172988358503801</v>
      </c>
      <c r="AM2528">
        <v>94.144904397246606</v>
      </c>
      <c r="AN2528">
        <v>0.99999995912538298</v>
      </c>
    </row>
    <row r="2529" spans="1:40" x14ac:dyDescent="0.25">
      <c r="A2529" t="str">
        <f>"20190304164138546"</f>
        <v>20190304164138546</v>
      </c>
      <c r="B2529" t="str">
        <f>"1551688898533640"</f>
        <v>1551688898533640</v>
      </c>
      <c r="C2529" t="s">
        <v>40</v>
      </c>
      <c r="D2529">
        <v>3.9379179999999998</v>
      </c>
      <c r="E2529">
        <v>0.52455479999999999</v>
      </c>
      <c r="F2529" t="s">
        <v>45</v>
      </c>
      <c r="G2529">
        <v>-496.21710000000002</v>
      </c>
      <c r="H2529" s="1">
        <v>2.7326989999999999E-6</v>
      </c>
      <c r="I2529">
        <v>283.13979999999998</v>
      </c>
      <c r="J2529">
        <v>-360.00659999999999</v>
      </c>
      <c r="K2529">
        <v>1.108606</v>
      </c>
      <c r="L2529">
        <v>285.03879999999998</v>
      </c>
      <c r="M2529">
        <v>-0.99995279999999998</v>
      </c>
      <c r="N2529">
        <v>-8.7587269999999991E-3</v>
      </c>
      <c r="O2529">
        <v>4.2274460000000002E-3</v>
      </c>
      <c r="P2529">
        <v>-0.97814489999999998</v>
      </c>
      <c r="Q2529">
        <v>0.19690540000000001</v>
      </c>
      <c r="R2529">
        <v>-6.6790710000000003E-2</v>
      </c>
      <c r="S2529">
        <v>-3.0687259999999998</v>
      </c>
      <c r="T2529">
        <v>-2.490854E-2</v>
      </c>
      <c r="U2529">
        <v>-4.263306E-2</v>
      </c>
      <c r="V2529">
        <v>-7.1129570000000003E-2</v>
      </c>
      <c r="W2529">
        <v>0.20539199999999999</v>
      </c>
      <c r="X2529">
        <v>0.97609159999999995</v>
      </c>
      <c r="Y2529">
        <v>-1.8117250000000001E-2</v>
      </c>
      <c r="Z2529">
        <v>-1.5015920000000001E-4</v>
      </c>
      <c r="AA2529">
        <v>0.99983580000000005</v>
      </c>
      <c r="AB2529">
        <v>62</v>
      </c>
      <c r="AC2529">
        <v>-136.2105</v>
      </c>
      <c r="AD2529">
        <v>-1.108603267301</v>
      </c>
      <c r="AE2529">
        <v>-1.899</v>
      </c>
      <c r="AF2529">
        <v>-2.4746637033596901</v>
      </c>
      <c r="AG2529">
        <v>-1.108603267301</v>
      </c>
      <c r="AH2529">
        <v>136.19223469993</v>
      </c>
      <c r="AI2529">
        <v>90.466299736432902</v>
      </c>
      <c r="AJ2529">
        <v>91.040971131614498</v>
      </c>
      <c r="AK2529">
        <v>136.21922681548901</v>
      </c>
      <c r="AL2529">
        <v>78.147553294324297</v>
      </c>
      <c r="AM2529">
        <v>94.167880500802198</v>
      </c>
      <c r="AN2529">
        <v>1.0000000504914699</v>
      </c>
    </row>
    <row r="2530" spans="1:40" x14ac:dyDescent="0.25">
      <c r="A2530" t="str">
        <f>"20190304164138558"</f>
        <v>20190304164138558</v>
      </c>
      <c r="B2530" t="str">
        <f>"1551688898553159"</f>
        <v>1551688898553159</v>
      </c>
      <c r="C2530" t="s">
        <v>40</v>
      </c>
      <c r="D2530">
        <v>3.9193259999999999</v>
      </c>
      <c r="E2530">
        <v>0.52469409999999905</v>
      </c>
      <c r="F2530" t="s">
        <v>45</v>
      </c>
      <c r="G2530">
        <v>-499.95780000000002</v>
      </c>
      <c r="H2530">
        <v>6.3541539999999999E-3</v>
      </c>
      <c r="I2530">
        <v>283.01949999999999</v>
      </c>
      <c r="J2530">
        <v>-360.38749999999999</v>
      </c>
      <c r="K2530">
        <v>1.1086229999999999</v>
      </c>
      <c r="L2530">
        <v>285.04050000000001</v>
      </c>
      <c r="M2530">
        <v>-0.99995330000000004</v>
      </c>
      <c r="N2530">
        <v>-8.7804790000000008E-3</v>
      </c>
      <c r="O2530">
        <v>4.032847E-3</v>
      </c>
      <c r="P2530">
        <v>-0.97810790000000003</v>
      </c>
      <c r="Q2530">
        <v>0.19696330000000001</v>
      </c>
      <c r="R2530">
        <v>-6.7160410000000004E-2</v>
      </c>
      <c r="S2530">
        <v>-3.0689090000000001</v>
      </c>
      <c r="T2530">
        <v>-2.417064E-2</v>
      </c>
      <c r="U2530">
        <v>-4.4281010000000003E-2</v>
      </c>
      <c r="V2530">
        <v>-7.1316450000000003E-2</v>
      </c>
      <c r="W2530">
        <v>0.20546800000000001</v>
      </c>
      <c r="X2530">
        <v>0.97606190000000004</v>
      </c>
      <c r="Y2530">
        <v>-1.8458660000000002E-2</v>
      </c>
      <c r="Z2530">
        <v>-1.5008299999999999E-4</v>
      </c>
      <c r="AA2530">
        <v>0.99982959999999999</v>
      </c>
      <c r="AB2530">
        <v>62</v>
      </c>
      <c r="AC2530">
        <v>-139.5703</v>
      </c>
      <c r="AD2530">
        <v>-1.1022688460000001</v>
      </c>
      <c r="AE2530">
        <v>-2.0210000000000101</v>
      </c>
      <c r="AF2530">
        <v>-2.58370982183646</v>
      </c>
      <c r="AG2530">
        <v>-1.1022688460000001</v>
      </c>
      <c r="AH2530">
        <v>139.55231191459001</v>
      </c>
      <c r="AI2530">
        <v>90.452469886607801</v>
      </c>
      <c r="AJ2530">
        <v>91.060668614157507</v>
      </c>
      <c r="AK2530">
        <v>139.58058000223201</v>
      </c>
      <c r="AL2530">
        <v>78.143103116517594</v>
      </c>
      <c r="AM2530">
        <v>94.178918811328302</v>
      </c>
      <c r="AN2530">
        <v>0.99999998384810596</v>
      </c>
    </row>
    <row r="2531" spans="1:40" x14ac:dyDescent="0.25">
      <c r="A2531" t="str">
        <f>"20190304164138577"</f>
        <v>20190304164138577</v>
      </c>
      <c r="B2531" t="str">
        <f>"1551688898563896"</f>
        <v>1551688898563896</v>
      </c>
      <c r="C2531" t="s">
        <v>40</v>
      </c>
      <c r="D2531">
        <v>3.896102</v>
      </c>
      <c r="E2531">
        <v>0.52475380000000005</v>
      </c>
      <c r="F2531" t="s">
        <v>45</v>
      </c>
      <c r="G2531">
        <v>-496.60680000000002</v>
      </c>
      <c r="H2531" s="1">
        <v>2.6566289999999999E-6</v>
      </c>
      <c r="I2531">
        <v>283.06020000000001</v>
      </c>
      <c r="J2531">
        <v>-360.90339999999998</v>
      </c>
      <c r="K2531">
        <v>1.108652</v>
      </c>
      <c r="L2531">
        <v>285.04250000000002</v>
      </c>
      <c r="M2531">
        <v>-0.99995420000000002</v>
      </c>
      <c r="N2531">
        <v>-8.8137400000000005E-3</v>
      </c>
      <c r="O2531">
        <v>3.747242E-3</v>
      </c>
      <c r="P2531">
        <v>-0.9780375</v>
      </c>
      <c r="Q2531">
        <v>0.19705839999999999</v>
      </c>
      <c r="R2531">
        <v>-6.7905370000000007E-2</v>
      </c>
      <c r="S2531">
        <v>-3.0691220000000001</v>
      </c>
      <c r="T2531">
        <v>-2.497804E-2</v>
      </c>
      <c r="U2531">
        <v>-4.4616700000000002E-2</v>
      </c>
      <c r="V2531">
        <v>-7.1794410000000003E-2</v>
      </c>
      <c r="W2531">
        <v>0.2055903</v>
      </c>
      <c r="X2531">
        <v>0.97600109999999995</v>
      </c>
      <c r="Y2531">
        <v>-1.828138E-2</v>
      </c>
      <c r="Z2531">
        <v>-1.5242749999999999E-4</v>
      </c>
      <c r="AA2531">
        <v>0.99983290000000002</v>
      </c>
      <c r="AB2531">
        <v>62</v>
      </c>
      <c r="AC2531">
        <v>-135.70339999999999</v>
      </c>
      <c r="AD2531">
        <v>-1.1086493433710001</v>
      </c>
      <c r="AE2531">
        <v>-1.9823</v>
      </c>
      <c r="AF2531">
        <v>-2.49065308298055</v>
      </c>
      <c r="AG2531">
        <v>-1.1086493433710001</v>
      </c>
      <c r="AH2531">
        <v>135.685964533423</v>
      </c>
      <c r="AI2531">
        <v>90.468057377912203</v>
      </c>
      <c r="AJ2531">
        <v>91.051603870117802</v>
      </c>
      <c r="AK2531">
        <v>135.71335021843601</v>
      </c>
      <c r="AL2531">
        <v>78.135942910164005</v>
      </c>
      <c r="AM2531">
        <v>94.2070866672302</v>
      </c>
      <c r="AN2531">
        <v>0.99999997798127305</v>
      </c>
    </row>
    <row r="2532" spans="1:40" x14ac:dyDescent="0.25">
      <c r="A2532" t="str">
        <f>"20190304164138600"</f>
        <v>20190304164138600</v>
      </c>
      <c r="B2532" t="str">
        <f>"1551688898593175"</f>
        <v>1551688898593175</v>
      </c>
      <c r="C2532" t="s">
        <v>40</v>
      </c>
      <c r="D2532">
        <v>3.895899</v>
      </c>
      <c r="E2532">
        <v>0.52604669999999998</v>
      </c>
      <c r="F2532" t="s">
        <v>45</v>
      </c>
      <c r="G2532">
        <v>-495.37180000000001</v>
      </c>
      <c r="H2532" s="1">
        <v>2.8713170000000002E-6</v>
      </c>
      <c r="I2532">
        <v>283.0102</v>
      </c>
      <c r="J2532">
        <v>-361.5376</v>
      </c>
      <c r="K2532">
        <v>1.1086910000000001</v>
      </c>
      <c r="L2532">
        <v>285.04480000000001</v>
      </c>
      <c r="M2532">
        <v>-0.99995520000000004</v>
      </c>
      <c r="N2532">
        <v>-8.863971E-3</v>
      </c>
      <c r="O2532">
        <v>3.3609709999999999E-3</v>
      </c>
      <c r="P2532">
        <v>-0.97816650000000005</v>
      </c>
      <c r="Q2532">
        <v>0.1961089</v>
      </c>
      <c r="R2532">
        <v>-6.8787959999999995E-2</v>
      </c>
      <c r="S2532">
        <v>-3.0692140000000001</v>
      </c>
      <c r="T2532">
        <v>-2.530468E-2</v>
      </c>
      <c r="U2532">
        <v>-4.6386719999999999E-2</v>
      </c>
      <c r="V2532">
        <v>-7.2317099999999995E-2</v>
      </c>
      <c r="W2532">
        <v>0.204684</v>
      </c>
      <c r="X2532">
        <v>0.97615300000000005</v>
      </c>
      <c r="Y2532">
        <v>-1.847116E-2</v>
      </c>
      <c r="Z2532">
        <v>-1.5592970000000001E-4</v>
      </c>
      <c r="AA2532">
        <v>0.99982939999999998</v>
      </c>
      <c r="AB2532">
        <v>62</v>
      </c>
      <c r="AC2532">
        <v>-133.83420000000001</v>
      </c>
      <c r="AD2532">
        <v>-1.1086881286829999</v>
      </c>
      <c r="AE2532">
        <v>-2.03460000000001</v>
      </c>
      <c r="AF2532">
        <v>-2.4842485411175499</v>
      </c>
      <c r="AG2532">
        <v>-1.1086881286829999</v>
      </c>
      <c r="AH2532">
        <v>133.81742438947001</v>
      </c>
      <c r="AI2532">
        <v>90.474607509068605</v>
      </c>
      <c r="AJ2532">
        <v>91.063543175058598</v>
      </c>
      <c r="AK2532">
        <v>133.84507368749999</v>
      </c>
      <c r="AL2532">
        <v>78.188998554161103</v>
      </c>
      <c r="AM2532">
        <v>94.236947633315097</v>
      </c>
      <c r="AN2532">
        <v>0.99999999110870497</v>
      </c>
    </row>
    <row r="2533" spans="1:40" x14ac:dyDescent="0.25">
      <c r="A2533" t="str">
        <f>"20190304164138621"</f>
        <v>20190304164138621</v>
      </c>
      <c r="B2533" t="str">
        <f>"1551688898613672"</f>
        <v>1551688898613672</v>
      </c>
      <c r="C2533" t="s">
        <v>40</v>
      </c>
      <c r="D2533">
        <v>3.8985750000000001</v>
      </c>
      <c r="E2533">
        <v>0.52618430000000005</v>
      </c>
      <c r="F2533" t="s">
        <v>47</v>
      </c>
      <c r="G2533">
        <v>-426.43380000000002</v>
      </c>
      <c r="H2533" s="1">
        <v>2.8595450000000001E-6</v>
      </c>
      <c r="I2533">
        <v>284.20229999999998</v>
      </c>
      <c r="J2533">
        <v>-362.14850000000001</v>
      </c>
      <c r="K2533">
        <v>1.1087359999999999</v>
      </c>
      <c r="L2533">
        <v>285.04680000000002</v>
      </c>
      <c r="M2533">
        <v>-0.99995590000000001</v>
      </c>
      <c r="N2533">
        <v>-8.9299480000000001E-3</v>
      </c>
      <c r="O2533">
        <v>2.9494679999999998E-3</v>
      </c>
      <c r="P2533">
        <v>-0.97837419999999997</v>
      </c>
      <c r="Q2533">
        <v>0.1949611</v>
      </c>
      <c r="R2533">
        <v>-6.9096889999999994E-2</v>
      </c>
      <c r="S2533">
        <v>-3.0746769999999999</v>
      </c>
      <c r="T2533">
        <v>-5.2527789999999998E-2</v>
      </c>
      <c r="U2533">
        <v>-3.9916989999999999E-2</v>
      </c>
      <c r="V2533">
        <v>-7.2242619999999994E-2</v>
      </c>
      <c r="W2533">
        <v>0.2035959</v>
      </c>
      <c r="X2533">
        <v>0.97638610000000003</v>
      </c>
      <c r="Y2533">
        <v>-1.5927050000000002E-2</v>
      </c>
      <c r="Z2533">
        <v>-2.3120549999999999E-4</v>
      </c>
      <c r="AA2533">
        <v>0.99987309999999996</v>
      </c>
      <c r="AB2533">
        <v>62</v>
      </c>
      <c r="AC2533">
        <v>-64.285300000000007</v>
      </c>
      <c r="AD2533">
        <v>-1.108733140455</v>
      </c>
      <c r="AE2533">
        <v>-0.844500000000039</v>
      </c>
      <c r="AF2533">
        <v>-1.0338038350963501</v>
      </c>
      <c r="AG2533">
        <v>-1.108733140455</v>
      </c>
      <c r="AH2533">
        <v>64.2634168403102</v>
      </c>
      <c r="AI2533">
        <v>90.988294970915504</v>
      </c>
      <c r="AJ2533">
        <v>90.921636145195805</v>
      </c>
      <c r="AK2533">
        <v>64.281294196194196</v>
      </c>
      <c r="AL2533">
        <v>78.252683904220902</v>
      </c>
      <c r="AM2533">
        <v>94.231593021622402</v>
      </c>
      <c r="AN2533">
        <v>1.00000005145724</v>
      </c>
    </row>
    <row r="2534" spans="1:40" x14ac:dyDescent="0.25">
      <c r="A2534" t="str">
        <f>"20190304164138643"</f>
        <v>20190304164138643</v>
      </c>
      <c r="B2534" t="str">
        <f>"1551688898633192"</f>
        <v>1551688898633192</v>
      </c>
      <c r="C2534" t="s">
        <v>40</v>
      </c>
      <c r="D2534">
        <v>3.8856860000000002</v>
      </c>
      <c r="E2534">
        <v>0.52616249999999998</v>
      </c>
      <c r="F2534" t="s">
        <v>47</v>
      </c>
      <c r="G2534">
        <v>-425.73239999999998</v>
      </c>
      <c r="H2534" s="1">
        <v>2.9810470000000002E-6</v>
      </c>
      <c r="I2534">
        <v>284.23570000000001</v>
      </c>
      <c r="J2534">
        <v>-362.75779999999997</v>
      </c>
      <c r="K2534">
        <v>1.108786</v>
      </c>
      <c r="L2534">
        <v>285.04849999999999</v>
      </c>
      <c r="M2534">
        <v>-0.99995619999999996</v>
      </c>
      <c r="N2534">
        <v>-9.0181529999999992E-3</v>
      </c>
      <c r="O2534">
        <v>2.500684E-3</v>
      </c>
      <c r="P2534">
        <v>-0.97846060000000001</v>
      </c>
      <c r="Q2534">
        <v>0.19439200000000001</v>
      </c>
      <c r="R2534">
        <v>-6.9474380000000002E-2</v>
      </c>
      <c r="S2534">
        <v>-3.074249</v>
      </c>
      <c r="T2534">
        <v>-5.3606750000000002E-2</v>
      </c>
      <c r="U2534">
        <v>-3.9215090000000001E-2</v>
      </c>
      <c r="V2534">
        <v>-7.2201689999999999E-2</v>
      </c>
      <c r="W2534">
        <v>0.2031066</v>
      </c>
      <c r="X2534">
        <v>0.976491</v>
      </c>
      <c r="Y2534">
        <v>-1.5251890000000001E-2</v>
      </c>
      <c r="Z2534">
        <v>-2.22795E-4</v>
      </c>
      <c r="AA2534">
        <v>0.99988370000000004</v>
      </c>
      <c r="AB2534">
        <v>62</v>
      </c>
      <c r="AC2534">
        <v>-62.974600000000002</v>
      </c>
      <c r="AD2534">
        <v>-1.1087830189529999</v>
      </c>
      <c r="AE2534">
        <v>-0.81279999999998098</v>
      </c>
      <c r="AF2534">
        <v>-0.96998279347719396</v>
      </c>
      <c r="AG2534">
        <v>-1.1087830189529999</v>
      </c>
      <c r="AH2534">
        <v>62.952858278991798</v>
      </c>
      <c r="AI2534">
        <v>91.008921337763795</v>
      </c>
      <c r="AJ2534">
        <v>90.882748207751703</v>
      </c>
      <c r="AK2534">
        <v>62.970093154588803</v>
      </c>
      <c r="AL2534">
        <v>78.281316666108097</v>
      </c>
      <c r="AM2534">
        <v>94.228751582522307</v>
      </c>
      <c r="AN2534">
        <v>1.0000000240417</v>
      </c>
    </row>
    <row r="2535" spans="1:40" x14ac:dyDescent="0.25">
      <c r="A2535" t="str">
        <f>"20190304164138656"</f>
        <v>20190304164138656</v>
      </c>
      <c r="B2535" t="str">
        <f>"1551688898643929"</f>
        <v>1551688898643929</v>
      </c>
      <c r="C2535" t="s">
        <v>40</v>
      </c>
      <c r="D2535">
        <v>3.9247070000000002</v>
      </c>
      <c r="E2535">
        <v>0.526254</v>
      </c>
      <c r="F2535" t="s">
        <v>47</v>
      </c>
      <c r="G2535">
        <v>-424.4599</v>
      </c>
      <c r="H2535" s="1">
        <v>3.2065990000000001E-6</v>
      </c>
      <c r="I2535">
        <v>284.23750000000001</v>
      </c>
      <c r="J2535">
        <v>-363.13330000000002</v>
      </c>
      <c r="K2535">
        <v>1.108824</v>
      </c>
      <c r="L2535">
        <v>285.04939999999999</v>
      </c>
      <c r="M2535">
        <v>-0.99995630000000002</v>
      </c>
      <c r="N2535">
        <v>-9.0842059999999992E-3</v>
      </c>
      <c r="O2535">
        <v>2.2084869999999999E-3</v>
      </c>
      <c r="P2535">
        <v>-0.97847830000000002</v>
      </c>
      <c r="Q2535">
        <v>0.19425980000000001</v>
      </c>
      <c r="R2535">
        <v>-6.959564E-2</v>
      </c>
      <c r="S2535">
        <v>-3.0741580000000002</v>
      </c>
      <c r="T2535">
        <v>-5.524242E-2</v>
      </c>
      <c r="U2535">
        <v>-4.040527E-2</v>
      </c>
      <c r="V2535">
        <v>-7.2050059999999999E-2</v>
      </c>
      <c r="W2535">
        <v>0.2030352</v>
      </c>
      <c r="X2535">
        <v>0.97651699999999997</v>
      </c>
      <c r="Y2535">
        <v>-1.534693E-2</v>
      </c>
      <c r="Z2535">
        <v>-2.2721540000000001E-4</v>
      </c>
      <c r="AA2535">
        <v>0.99988220000000005</v>
      </c>
      <c r="AB2535">
        <v>63</v>
      </c>
      <c r="AC2535">
        <v>-61.3265999999999</v>
      </c>
      <c r="AD2535">
        <v>-1.1088207934009999</v>
      </c>
      <c r="AE2535">
        <v>-0.81189999999997997</v>
      </c>
      <c r="AF2535">
        <v>-0.94703306930098796</v>
      </c>
      <c r="AG2535">
        <v>-1.1088207934009999</v>
      </c>
      <c r="AH2535">
        <v>61.304619854279899</v>
      </c>
      <c r="AI2535">
        <v>91.036076052405903</v>
      </c>
      <c r="AJ2535">
        <v>90.885034152226496</v>
      </c>
      <c r="AK2535">
        <v>61.321959938214597</v>
      </c>
      <c r="AL2535">
        <v>78.285494083020794</v>
      </c>
      <c r="AM2535">
        <v>94.219790990809997</v>
      </c>
      <c r="AN2535">
        <v>0.99999997743702096</v>
      </c>
    </row>
    <row r="2536" spans="1:40" x14ac:dyDescent="0.25">
      <c r="A2536" t="str">
        <f>"20190304164138670"</f>
        <v>20190304164138670</v>
      </c>
      <c r="B2536" t="str">
        <f>"1551688898663448"</f>
        <v>1551688898663448</v>
      </c>
      <c r="C2536" t="s">
        <v>40</v>
      </c>
      <c r="D2536">
        <v>3.890285</v>
      </c>
      <c r="E2536">
        <v>0.52633319999999995</v>
      </c>
      <c r="F2536" t="s">
        <v>47</v>
      </c>
      <c r="G2536">
        <v>-423.66739999999999</v>
      </c>
      <c r="H2536" s="1">
        <v>3.3448710000000002E-6</v>
      </c>
      <c r="I2536">
        <v>284.26400000000001</v>
      </c>
      <c r="J2536">
        <v>-363.48039999999997</v>
      </c>
      <c r="K2536">
        <v>1.1088559999999901</v>
      </c>
      <c r="L2536">
        <v>285.05009999999999</v>
      </c>
      <c r="M2536">
        <v>-0.99995639999999997</v>
      </c>
      <c r="N2536">
        <v>-9.1491179999999995E-3</v>
      </c>
      <c r="O2536">
        <v>1.9311650000000001E-3</v>
      </c>
      <c r="P2536">
        <v>-0.97842019999999996</v>
      </c>
      <c r="Q2536">
        <v>0.19446959999999999</v>
      </c>
      <c r="R2536">
        <v>-6.9825010000000007E-2</v>
      </c>
      <c r="S2536">
        <v>-3.074341</v>
      </c>
      <c r="T2536">
        <v>-5.6313630000000003E-2</v>
      </c>
      <c r="U2536">
        <v>-3.988647E-2</v>
      </c>
      <c r="V2536">
        <v>-7.2019860000000005E-2</v>
      </c>
      <c r="W2536">
        <v>0.20330409999999999</v>
      </c>
      <c r="X2536">
        <v>0.97646330000000003</v>
      </c>
      <c r="Y2536">
        <v>-1.4900129999999999E-2</v>
      </c>
      <c r="Z2536">
        <v>-2.2232440000000001E-4</v>
      </c>
      <c r="AA2536">
        <v>0.99988900000000003</v>
      </c>
      <c r="AB2536">
        <v>63</v>
      </c>
      <c r="AC2536">
        <v>-60.186999999999998</v>
      </c>
      <c r="AD2536">
        <v>-1.1088526551290001</v>
      </c>
      <c r="AE2536">
        <v>-0.78609999999997604</v>
      </c>
      <c r="AF2536">
        <v>-0.90202829537201801</v>
      </c>
      <c r="AG2536">
        <v>-1.1088526551290001</v>
      </c>
      <c r="AH2536">
        <v>60.164951674400299</v>
      </c>
      <c r="AI2536">
        <v>91.055735054845002</v>
      </c>
      <c r="AJ2536">
        <v>90.858947627466407</v>
      </c>
      <c r="AK2536">
        <v>60.181929341284501</v>
      </c>
      <c r="AL2536">
        <v>78.269759301126697</v>
      </c>
      <c r="AM2536">
        <v>94.218259768366593</v>
      </c>
      <c r="AN2536">
        <v>0.99999999677905904</v>
      </c>
    </row>
    <row r="2537" spans="1:40" x14ac:dyDescent="0.25">
      <c r="A2537" t="str">
        <f>"20190304164138681"</f>
        <v>20190304164138681</v>
      </c>
      <c r="B2537" t="str">
        <f>"1551688898673208"</f>
        <v>1551688898673208</v>
      </c>
      <c r="C2537" t="s">
        <v>40</v>
      </c>
      <c r="D2537">
        <v>3.8942730000000001</v>
      </c>
      <c r="E2537">
        <v>0.52634579999999997</v>
      </c>
      <c r="F2537" t="s">
        <v>47</v>
      </c>
      <c r="G2537">
        <v>-424.23320000000001</v>
      </c>
      <c r="H2537" s="1">
        <v>3.2446740000000002E-6</v>
      </c>
      <c r="I2537">
        <v>284.262</v>
      </c>
      <c r="J2537">
        <v>-363.83499999999998</v>
      </c>
      <c r="K2537">
        <v>1.1088899999999999</v>
      </c>
      <c r="L2537">
        <v>285.05090000000001</v>
      </c>
      <c r="M2537">
        <v>-0.99995630000000002</v>
      </c>
      <c r="N2537">
        <v>-9.2181260000000001E-3</v>
      </c>
      <c r="O2537">
        <v>1.642845E-3</v>
      </c>
      <c r="P2537">
        <v>-0.97834549999999998</v>
      </c>
      <c r="Q2537">
        <v>0.194664</v>
      </c>
      <c r="R2537">
        <v>-7.0331630000000006E-2</v>
      </c>
      <c r="S2537">
        <v>-3.0744929999999999</v>
      </c>
      <c r="T2537">
        <v>-5.6115270000000002E-2</v>
      </c>
      <c r="U2537">
        <v>-3.988647E-2</v>
      </c>
      <c r="V2537">
        <v>-7.2256189999999998E-2</v>
      </c>
      <c r="W2537">
        <v>0.20356089999999999</v>
      </c>
      <c r="X2537">
        <v>0.97639229999999999</v>
      </c>
      <c r="Y2537">
        <v>-1.4611290000000001E-2</v>
      </c>
      <c r="Z2537">
        <v>-2.155204E-4</v>
      </c>
      <c r="AA2537">
        <v>0.99989320000000004</v>
      </c>
      <c r="AB2537">
        <v>63</v>
      </c>
      <c r="AC2537">
        <v>-60.398200000000003</v>
      </c>
      <c r="AD2537">
        <v>-1.108886755326</v>
      </c>
      <c r="AE2537">
        <v>-0.78890000000001204</v>
      </c>
      <c r="AF2537">
        <v>-0.88782880484150395</v>
      </c>
      <c r="AG2537">
        <v>-1.108886755326</v>
      </c>
      <c r="AH2537">
        <v>60.376474470215001</v>
      </c>
      <c r="AI2537">
        <v>91.052074066159904</v>
      </c>
      <c r="AJ2537">
        <v>90.842466835859796</v>
      </c>
      <c r="AK2537">
        <v>60.393182887436602</v>
      </c>
      <c r="AL2537">
        <v>78.254731062914104</v>
      </c>
      <c r="AM2537">
        <v>94.232358215233802</v>
      </c>
      <c r="AN2537">
        <v>0.99999996025070703</v>
      </c>
    </row>
    <row r="2538" spans="1:40" x14ac:dyDescent="0.25">
      <c r="A2538" t="str">
        <f>"20190304164138694"</f>
        <v>20190304164138694</v>
      </c>
      <c r="B2538" t="str">
        <f>"1551688898683944"</f>
        <v>1551688898683944</v>
      </c>
      <c r="C2538" t="s">
        <v>40</v>
      </c>
      <c r="D2538">
        <v>3.9012549999999999</v>
      </c>
      <c r="E2538">
        <v>0.52639389999999997</v>
      </c>
      <c r="F2538" t="s">
        <v>47</v>
      </c>
      <c r="G2538">
        <v>-426.3546</v>
      </c>
      <c r="H2538" s="1">
        <v>2.8723940000000001E-6</v>
      </c>
      <c r="I2538">
        <v>284.21609999999998</v>
      </c>
      <c r="J2538">
        <v>-364.20209999999997</v>
      </c>
      <c r="K2538">
        <v>1.1089260000000001</v>
      </c>
      <c r="L2538">
        <v>285.05149999999998</v>
      </c>
      <c r="M2538">
        <v>-0.99995599999999996</v>
      </c>
      <c r="N2538">
        <v>-9.2983470000000002E-3</v>
      </c>
      <c r="O2538">
        <v>1.334319E-3</v>
      </c>
      <c r="P2538">
        <v>-0.97833590000000004</v>
      </c>
      <c r="Q2538">
        <v>0.19460160000000001</v>
      </c>
      <c r="R2538">
        <v>-7.0637309999999995E-2</v>
      </c>
      <c r="S2538">
        <v>-3.0742799999999999</v>
      </c>
      <c r="T2538">
        <v>-5.4527399999999997E-2</v>
      </c>
      <c r="U2538">
        <v>-4.1046140000000002E-2</v>
      </c>
      <c r="V2538">
        <v>-7.2271360000000007E-2</v>
      </c>
      <c r="W2538">
        <v>0.203573</v>
      </c>
      <c r="X2538">
        <v>0.9763887</v>
      </c>
      <c r="Y2538">
        <v>-1.468096E-2</v>
      </c>
      <c r="Z2538">
        <v>-2.0970369999999999E-4</v>
      </c>
      <c r="AA2538">
        <v>0.99989220000000001</v>
      </c>
      <c r="AB2538">
        <v>63</v>
      </c>
      <c r="AC2538">
        <v>-62.152500000000003</v>
      </c>
      <c r="AD2538">
        <v>-1.1089231276060001</v>
      </c>
      <c r="AE2538">
        <v>-0.83539999999999204</v>
      </c>
      <c r="AF2538">
        <v>-0.91804190026190902</v>
      </c>
      <c r="AG2538">
        <v>-1.1089231276060001</v>
      </c>
      <c r="AH2538">
        <v>62.131554794214097</v>
      </c>
      <c r="AI2538">
        <v>91.022394136886007</v>
      </c>
      <c r="AJ2538">
        <v>90.846527968641894</v>
      </c>
      <c r="AK2538">
        <v>62.148230969030799</v>
      </c>
      <c r="AL2538">
        <v>78.254023485844101</v>
      </c>
      <c r="AM2538">
        <v>94.233259109490902</v>
      </c>
      <c r="AN2538">
        <v>1.0000000046464601</v>
      </c>
    </row>
    <row r="2539" spans="1:40" x14ac:dyDescent="0.25">
      <c r="A2539" t="str">
        <f>"20190304164138707"</f>
        <v>20190304164138707</v>
      </c>
      <c r="B2539" t="str">
        <f>"1551688898703464"</f>
        <v>1551688898703464</v>
      </c>
      <c r="C2539" t="s">
        <v>40</v>
      </c>
      <c r="D2539">
        <v>3.8907280000000002</v>
      </c>
      <c r="E2539">
        <v>0.52653070000000002</v>
      </c>
      <c r="F2539" t="s">
        <v>47</v>
      </c>
      <c r="G2539">
        <v>-425.54599999999999</v>
      </c>
      <c r="H2539" s="1">
        <v>3.0161970000000002E-6</v>
      </c>
      <c r="I2539">
        <v>284.21179999999998</v>
      </c>
      <c r="J2539">
        <v>-364.54270000000002</v>
      </c>
      <c r="K2539">
        <v>1.1089580000000001</v>
      </c>
      <c r="L2539">
        <v>285.05189999999999</v>
      </c>
      <c r="M2539">
        <v>-0.99995560000000006</v>
      </c>
      <c r="N2539">
        <v>-9.3761399999999998E-3</v>
      </c>
      <c r="O2539">
        <v>1.045675E-3</v>
      </c>
      <c r="P2539">
        <v>-0.97825209999999996</v>
      </c>
      <c r="Q2539">
        <v>0.19491800000000001</v>
      </c>
      <c r="R2539">
        <v>-7.092242E-2</v>
      </c>
      <c r="S2539">
        <v>-3.0744630000000002</v>
      </c>
      <c r="T2539">
        <v>-5.5577519999999998E-2</v>
      </c>
      <c r="U2539">
        <v>-4.2083740000000001E-2</v>
      </c>
      <c r="V2539">
        <v>-7.2284490000000007E-2</v>
      </c>
      <c r="W2539">
        <v>0.2039609</v>
      </c>
      <c r="X2539">
        <v>0.97630669999999997</v>
      </c>
      <c r="Y2539">
        <v>-1.47287999999999E-2</v>
      </c>
      <c r="Z2539">
        <v>-2.1126989999999999E-4</v>
      </c>
      <c r="AA2539">
        <v>0.99989150000000004</v>
      </c>
      <c r="AB2539">
        <v>63</v>
      </c>
      <c r="AC2539">
        <v>-61.003299999999903</v>
      </c>
      <c r="AD2539">
        <v>-1.1089549838029999</v>
      </c>
      <c r="AE2539">
        <v>-0.84010000000000595</v>
      </c>
      <c r="AF2539">
        <v>-0.90359341746775501</v>
      </c>
      <c r="AG2539">
        <v>-1.1089549838029999</v>
      </c>
      <c r="AH2539">
        <v>60.982239659941897</v>
      </c>
      <c r="AI2539">
        <v>91.041687982740896</v>
      </c>
      <c r="AJ2539">
        <v>90.848907831174799</v>
      </c>
      <c r="AK2539">
        <v>60.999014878625502</v>
      </c>
      <c r="AL2539">
        <v>78.231321326921005</v>
      </c>
      <c r="AM2539">
        <v>94.234379718535493</v>
      </c>
      <c r="AN2539">
        <v>0.99999993434412704</v>
      </c>
    </row>
    <row r="2540" spans="1:40" x14ac:dyDescent="0.25">
      <c r="A2540" t="str">
        <f>"20190304164138721"</f>
        <v>20190304164138721</v>
      </c>
      <c r="B2540" t="str">
        <f>"1551688898713224"</f>
        <v>1551688898713224</v>
      </c>
      <c r="C2540" t="s">
        <v>40</v>
      </c>
      <c r="D2540">
        <v>4.0002139999999997</v>
      </c>
      <c r="E2540">
        <v>0.52653070000000002</v>
      </c>
      <c r="F2540" t="s">
        <v>47</v>
      </c>
      <c r="G2540">
        <v>-427.64120000000003</v>
      </c>
      <c r="H2540" s="1">
        <v>2.6462269999999999E-6</v>
      </c>
      <c r="I2540">
        <v>284.19260000000003</v>
      </c>
      <c r="J2540">
        <v>-364.94749999999999</v>
      </c>
      <c r="K2540">
        <v>1.1089979999999999</v>
      </c>
      <c r="L2540">
        <v>285.05239999999998</v>
      </c>
      <c r="M2540">
        <v>-0.99995489999999998</v>
      </c>
      <c r="N2540">
        <v>-9.4737490000000001E-3</v>
      </c>
      <c r="O2540">
        <v>6.983995E-4</v>
      </c>
      <c r="P2540">
        <v>-0.97814630000000002</v>
      </c>
      <c r="Q2540">
        <v>0.19527449999999999</v>
      </c>
      <c r="R2540">
        <v>-7.1400099999999994E-2</v>
      </c>
      <c r="S2540">
        <v>-3.0744319999999998</v>
      </c>
      <c r="T2540">
        <v>-5.4033159999999997E-2</v>
      </c>
      <c r="U2540">
        <v>-4.1870119999999997E-2</v>
      </c>
      <c r="V2540">
        <v>-7.2434949999999998E-2</v>
      </c>
      <c r="W2540">
        <v>0.2044077</v>
      </c>
      <c r="X2540">
        <v>0.97620220000000002</v>
      </c>
      <c r="Y2540">
        <v>-1.4312490000000001E-2</v>
      </c>
      <c r="Z2540">
        <v>-1.992215E-4</v>
      </c>
      <c r="AA2540">
        <v>0.99989749999999999</v>
      </c>
      <c r="AB2540">
        <v>63</v>
      </c>
      <c r="AC2540">
        <v>-62.6937</v>
      </c>
      <c r="AD2540">
        <v>-1.108995353773</v>
      </c>
      <c r="AE2540">
        <v>-0.85979999999995005</v>
      </c>
      <c r="AF2540">
        <v>-0.90330440838922899</v>
      </c>
      <c r="AG2540">
        <v>-1.108995353773</v>
      </c>
      <c r="AH2540">
        <v>62.6734770798925</v>
      </c>
      <c r="AI2540">
        <v>91.013626963365397</v>
      </c>
      <c r="AJ2540">
        <v>90.825739201599205</v>
      </c>
      <c r="AK2540">
        <v>62.689796289609397</v>
      </c>
      <c r="AL2540">
        <v>78.205171815008299</v>
      </c>
      <c r="AM2540">
        <v>94.243613973213698</v>
      </c>
      <c r="AN2540">
        <v>1.00000003254281</v>
      </c>
    </row>
    <row r="2541" spans="1:40" x14ac:dyDescent="0.25">
      <c r="A2541" t="str">
        <f>"20190304164138734"</f>
        <v>20190304164138734</v>
      </c>
      <c r="B2541" t="str">
        <f>"1551688898723962"</f>
        <v>1551688898723962</v>
      </c>
      <c r="C2541" t="s">
        <v>40</v>
      </c>
      <c r="D2541">
        <v>3.988667</v>
      </c>
      <c r="E2541">
        <v>0.50754949999999999</v>
      </c>
      <c r="F2541" t="s">
        <v>47</v>
      </c>
      <c r="G2541">
        <v>-429.1617</v>
      </c>
      <c r="H2541" s="1">
        <v>2.3821430000000002E-6</v>
      </c>
      <c r="I2541">
        <v>284.12810000000002</v>
      </c>
      <c r="J2541">
        <v>-365.29579999999999</v>
      </c>
      <c r="K2541">
        <v>1.109035</v>
      </c>
      <c r="L2541">
        <v>285.05259999999998</v>
      </c>
      <c r="M2541">
        <v>-0.99995420000000002</v>
      </c>
      <c r="N2541">
        <v>-9.5684010000000007E-3</v>
      </c>
      <c r="O2541">
        <v>3.94886E-4</v>
      </c>
      <c r="P2541">
        <v>-0.97805010000000003</v>
      </c>
      <c r="Q2541">
        <v>0.19556000000000001</v>
      </c>
      <c r="R2541">
        <v>-7.1933880000000006E-2</v>
      </c>
      <c r="S2541">
        <v>-3.0744020000000001</v>
      </c>
      <c r="T2541">
        <v>-5.3095700000000003E-2</v>
      </c>
      <c r="U2541">
        <v>-4.4250490000000003E-2</v>
      </c>
      <c r="V2541">
        <v>-7.2681899999999994E-2</v>
      </c>
      <c r="W2541">
        <v>0.20478099999999999</v>
      </c>
      <c r="X2541">
        <v>0.97610560000000002</v>
      </c>
      <c r="Y2541">
        <v>-1.478314E-2</v>
      </c>
      <c r="Z2541">
        <v>-2.0141789999999999E-4</v>
      </c>
      <c r="AA2541">
        <v>0.99989070000000002</v>
      </c>
      <c r="AB2541">
        <v>63</v>
      </c>
      <c r="AC2541">
        <v>-63.865900000000003</v>
      </c>
      <c r="AD2541">
        <v>-1.109032617857</v>
      </c>
      <c r="AE2541">
        <v>-0.92449999999996602</v>
      </c>
      <c r="AF2541">
        <v>-0.94943459460748403</v>
      </c>
      <c r="AG2541">
        <v>-1.109032617857</v>
      </c>
      <c r="AH2541">
        <v>63.846281507150799</v>
      </c>
      <c r="AI2541">
        <v>90.995037997032696</v>
      </c>
      <c r="AJ2541">
        <v>90.851961690149693</v>
      </c>
      <c r="AK2541">
        <v>63.862970817894599</v>
      </c>
      <c r="AL2541">
        <v>78.183321052302404</v>
      </c>
      <c r="AM2541">
        <v>94.258448305105802</v>
      </c>
      <c r="AN2541">
        <v>1.00000002944998</v>
      </c>
    </row>
    <row r="2542" spans="1:40" x14ac:dyDescent="0.25">
      <c r="A2542" t="str">
        <f>"20190304164138747"</f>
        <v>20190304164138747</v>
      </c>
      <c r="B2542" t="str">
        <f>"1551688898743726"</f>
        <v>1551688898743726</v>
      </c>
      <c r="C2542" t="s">
        <v>40</v>
      </c>
      <c r="D2542">
        <v>3.8829660000000001</v>
      </c>
      <c r="E2542">
        <v>0.49742029999999898</v>
      </c>
      <c r="F2542" t="s">
        <v>48</v>
      </c>
      <c r="G2542">
        <v>-511.95870000000002</v>
      </c>
      <c r="H2542">
        <v>0.14761260000000001</v>
      </c>
      <c r="I2542">
        <v>275.68220000000002</v>
      </c>
      <c r="J2542">
        <v>-365.65679999999998</v>
      </c>
      <c r="K2542">
        <v>1.1090719999999901</v>
      </c>
      <c r="L2542">
        <v>285.05270000000002</v>
      </c>
      <c r="M2542">
        <v>-0.99995319999999999</v>
      </c>
      <c r="N2542">
        <v>-9.6742640000000001E-3</v>
      </c>
      <c r="O2542" s="1">
        <v>7.9312479999999995E-5</v>
      </c>
      <c r="P2542">
        <v>-0.9779525</v>
      </c>
      <c r="Q2542">
        <v>0.19598589999999999</v>
      </c>
      <c r="R2542">
        <v>-7.2101199999999893E-2</v>
      </c>
      <c r="S2542">
        <v>-3.0569760000000001</v>
      </c>
      <c r="T2542">
        <v>-2.003777E-2</v>
      </c>
      <c r="U2542">
        <v>-0.1953125</v>
      </c>
      <c r="V2542">
        <v>-7.2550859999999995E-2</v>
      </c>
      <c r="W2542">
        <v>0.2053065</v>
      </c>
      <c r="X2542">
        <v>0.97600489999999995</v>
      </c>
      <c r="Y2542">
        <v>-6.3836519999999994E-2</v>
      </c>
      <c r="Z2542">
        <v>-5.1786979999999996E-4</v>
      </c>
      <c r="AA2542">
        <v>0.99796019999999996</v>
      </c>
      <c r="AB2542">
        <v>63</v>
      </c>
      <c r="AC2542">
        <v>-146.30189999999999</v>
      </c>
      <c r="AD2542">
        <v>-0.96145939999999996</v>
      </c>
      <c r="AE2542">
        <v>-9.3704999999999892</v>
      </c>
      <c r="AF2542">
        <v>-9.3817005595998797</v>
      </c>
      <c r="AG2542">
        <v>-0.96145939999999996</v>
      </c>
      <c r="AH2542">
        <v>146.294863954232</v>
      </c>
      <c r="AI2542">
        <v>90.375774314295199</v>
      </c>
      <c r="AJ2542">
        <v>93.669279837388501</v>
      </c>
      <c r="AK2542">
        <v>146.59852635328599</v>
      </c>
      <c r="AL2542">
        <v>78.152557854794694</v>
      </c>
      <c r="AM2542">
        <v>94.251235781703798</v>
      </c>
      <c r="AN2542">
        <v>0.999999975526499</v>
      </c>
    </row>
    <row r="2543" spans="1:40" x14ac:dyDescent="0.25">
      <c r="A2543" t="str">
        <f>"20190304164138760"</f>
        <v>20190304164138760</v>
      </c>
      <c r="B2543" t="str">
        <f>"1551688898753487"</f>
        <v>1551688898753487</v>
      </c>
      <c r="C2543" t="s">
        <v>40</v>
      </c>
      <c r="D2543">
        <v>3.8841960000000002</v>
      </c>
      <c r="E2543">
        <v>0.49477120000000002</v>
      </c>
      <c r="F2543" t="s">
        <v>49</v>
      </c>
      <c r="G2543">
        <v>-455.20209999999997</v>
      </c>
      <c r="H2543">
        <v>0.91798100000000005</v>
      </c>
      <c r="I2543">
        <v>276.94220000000001</v>
      </c>
      <c r="J2543">
        <v>-366.05079999999998</v>
      </c>
      <c r="K2543">
        <v>1.109116</v>
      </c>
      <c r="L2543">
        <v>285.05279999999999</v>
      </c>
      <c r="M2543">
        <v>-0.99995210000000001</v>
      </c>
      <c r="N2543">
        <v>-9.8025530000000003E-3</v>
      </c>
      <c r="O2543">
        <v>-2.6681969999999998E-4</v>
      </c>
      <c r="P2543">
        <v>-0.9778616</v>
      </c>
      <c r="Q2543">
        <v>0.19627349999999999</v>
      </c>
      <c r="R2543">
        <v>-7.2553430000000002E-2</v>
      </c>
      <c r="S2543">
        <v>-3.048584</v>
      </c>
      <c r="T2543">
        <v>-6.5034630000000001E-3</v>
      </c>
      <c r="U2543">
        <v>-0.27612300000000001</v>
      </c>
      <c r="V2543">
        <v>-7.2675290000000003E-2</v>
      </c>
      <c r="W2543">
        <v>0.20571490000000001</v>
      </c>
      <c r="X2543">
        <v>0.97590969999999999</v>
      </c>
      <c r="Y2543">
        <v>-8.9938069999999995E-2</v>
      </c>
      <c r="Z2543">
        <v>-5.3950259999999996E-4</v>
      </c>
      <c r="AA2543">
        <v>0.99594720000000003</v>
      </c>
      <c r="AB2543">
        <v>63</v>
      </c>
      <c r="AC2543">
        <v>-89.151299999999907</v>
      </c>
      <c r="AD2543">
        <v>-0.191135</v>
      </c>
      <c r="AE2543">
        <v>-8.1105999999999696</v>
      </c>
      <c r="AF2543">
        <v>-8.0867743839721502</v>
      </c>
      <c r="AG2543">
        <v>-0.191135</v>
      </c>
      <c r="AH2543">
        <v>89.1530545715394</v>
      </c>
      <c r="AI2543">
        <v>90.122333852953204</v>
      </c>
      <c r="AJ2543">
        <v>95.182924422011894</v>
      </c>
      <c r="AK2543">
        <v>89.519269389117497</v>
      </c>
      <c r="AL2543">
        <v>78.128648555027894</v>
      </c>
      <c r="AM2543">
        <v>94.258914049083998</v>
      </c>
      <c r="AN2543">
        <v>1.0000000302063401</v>
      </c>
    </row>
    <row r="2544" spans="1:40" x14ac:dyDescent="0.25">
      <c r="A2544" t="str">
        <f>"20190304164138773"</f>
        <v>20190304164138773</v>
      </c>
      <c r="B2544" t="str">
        <f>"1551688898763247"</f>
        <v>1551688898763247</v>
      </c>
      <c r="C2544" t="s">
        <v>40</v>
      </c>
      <c r="D2544">
        <v>3.8843899999999998</v>
      </c>
      <c r="E2544">
        <v>0.49299920000000003</v>
      </c>
      <c r="F2544" t="s">
        <v>48</v>
      </c>
      <c r="G2544">
        <v>-512.82539999999995</v>
      </c>
      <c r="H2544">
        <v>0.86715779999999998</v>
      </c>
      <c r="I2544">
        <v>270.67619999999999</v>
      </c>
      <c r="J2544">
        <v>-366.3974</v>
      </c>
      <c r="K2544">
        <v>1.1091610000000001</v>
      </c>
      <c r="L2544">
        <v>285.05270000000002</v>
      </c>
      <c r="M2544">
        <v>-0.99995060000000002</v>
      </c>
      <c r="N2544">
        <v>-9.9304000000000007E-3</v>
      </c>
      <c r="O2544">
        <v>-5.7262529999999999E-4</v>
      </c>
      <c r="P2544">
        <v>-0.97779430000000001</v>
      </c>
      <c r="Q2544">
        <v>0.1965083</v>
      </c>
      <c r="R2544">
        <v>-7.2821209999999997E-2</v>
      </c>
      <c r="S2544">
        <v>-3.046783</v>
      </c>
      <c r="T2544">
        <v>-5.0209759999999999E-3</v>
      </c>
      <c r="U2544">
        <v>-0.29843140000000001</v>
      </c>
      <c r="V2544">
        <v>-7.265344E-2</v>
      </c>
      <c r="W2544">
        <v>0.20607139999999999</v>
      </c>
      <c r="X2544">
        <v>0.97583609999999998</v>
      </c>
      <c r="Y2544">
        <v>-9.6912289999999998E-2</v>
      </c>
      <c r="Z2544">
        <v>-5.6674630000000002E-4</v>
      </c>
      <c r="AA2544">
        <v>0.99529279999999998</v>
      </c>
      <c r="AB2544">
        <v>63</v>
      </c>
      <c r="AC2544">
        <v>-146.427999999999</v>
      </c>
      <c r="AD2544">
        <v>-0.2420032</v>
      </c>
      <c r="AE2544">
        <v>-14.3765</v>
      </c>
      <c r="AF2544">
        <v>-14.292606469877899</v>
      </c>
      <c r="AG2544">
        <v>-0.2420032</v>
      </c>
      <c r="AH2544">
        <v>146.43581257986301</v>
      </c>
      <c r="AI2544">
        <v>90.0942404194071</v>
      </c>
      <c r="AJ2544">
        <v>95.574595258692497</v>
      </c>
      <c r="AK2544">
        <v>147.13186048975399</v>
      </c>
      <c r="AL2544">
        <v>78.1077752583723</v>
      </c>
      <c r="AM2544">
        <v>94.2579582463636</v>
      </c>
      <c r="AN2544">
        <v>1.0000000191525</v>
      </c>
    </row>
    <row r="2545" spans="1:40" x14ac:dyDescent="0.25">
      <c r="A2545" t="str">
        <f>"20190304164138788"</f>
        <v>20190304164138788</v>
      </c>
      <c r="B2545" t="str">
        <f>"1551688898783742"</f>
        <v>1551688898783742</v>
      </c>
      <c r="C2545" t="s">
        <v>40</v>
      </c>
      <c r="D2545">
        <v>3.8568479999999998</v>
      </c>
      <c r="E2545">
        <v>0.49088949999999998</v>
      </c>
      <c r="F2545" t="s">
        <v>48</v>
      </c>
      <c r="G2545">
        <v>-512.82550000000003</v>
      </c>
      <c r="H2545">
        <v>0.99285040000000002</v>
      </c>
      <c r="I2545">
        <v>269.98570000000001</v>
      </c>
      <c r="J2545">
        <v>-366.80399999999997</v>
      </c>
      <c r="K2545">
        <v>1.109205</v>
      </c>
      <c r="L2545">
        <v>285.05250000000001</v>
      </c>
      <c r="M2545">
        <v>-0.99994870000000002</v>
      </c>
      <c r="N2545">
        <v>-1.0089570000000001E-2</v>
      </c>
      <c r="O2545">
        <v>-9.3171759999999997E-4</v>
      </c>
      <c r="P2545">
        <v>-0.97767409999999999</v>
      </c>
      <c r="Q2545">
        <v>0.1970295</v>
      </c>
      <c r="R2545">
        <v>-7.3026880000000002E-2</v>
      </c>
      <c r="S2545">
        <v>-3.0453190000000001</v>
      </c>
      <c r="T2545">
        <v>-2.417326E-3</v>
      </c>
      <c r="U2545">
        <v>-0.31335449999999998</v>
      </c>
      <c r="V2545">
        <v>-7.2519609999999998E-2</v>
      </c>
      <c r="W2545">
        <v>0.2067437</v>
      </c>
      <c r="X2545">
        <v>0.97570380000000001</v>
      </c>
      <c r="Y2545">
        <v>-0.1014294</v>
      </c>
      <c r="Z2545">
        <v>-5.6183999999999997E-4</v>
      </c>
      <c r="AA2545">
        <v>0.99484260000000002</v>
      </c>
      <c r="AB2545">
        <v>63</v>
      </c>
      <c r="AC2545">
        <v>-146.0215</v>
      </c>
      <c r="AD2545">
        <v>-0.116354599999999</v>
      </c>
      <c r="AE2545">
        <v>-15.066800000000001</v>
      </c>
      <c r="AF2545">
        <v>-14.9307263571094</v>
      </c>
      <c r="AG2545">
        <v>-0.116354599999999</v>
      </c>
      <c r="AH2545">
        <v>146.03538358281099</v>
      </c>
      <c r="AI2545">
        <v>90.045414017182495</v>
      </c>
      <c r="AJ2545">
        <v>95.837663271527902</v>
      </c>
      <c r="AK2545">
        <v>146.79670768148199</v>
      </c>
      <c r="AL2545">
        <v>78.068407071807997</v>
      </c>
      <c r="AM2545">
        <v>94.250717899084805</v>
      </c>
      <c r="AN2545">
        <v>0.99999997832933996</v>
      </c>
    </row>
    <row r="2546" spans="1:40" x14ac:dyDescent="0.25">
      <c r="A2546" t="str">
        <f>"20190304164138801"</f>
        <v>20190304164138801</v>
      </c>
      <c r="B2546" t="str">
        <f>"1551688898793502"</f>
        <v>1551688898793502</v>
      </c>
      <c r="C2546" t="s">
        <v>40</v>
      </c>
      <c r="D2546">
        <v>3.8573629999999999</v>
      </c>
      <c r="E2546">
        <v>0.4901624</v>
      </c>
      <c r="F2546" t="s">
        <v>48</v>
      </c>
      <c r="G2546">
        <v>-512.82550000000003</v>
      </c>
      <c r="H2546">
        <v>1.064648</v>
      </c>
      <c r="I2546">
        <v>269.18029999999999</v>
      </c>
      <c r="J2546">
        <v>-367.19060000000002</v>
      </c>
      <c r="K2546">
        <v>1.1092439999999999</v>
      </c>
      <c r="L2546">
        <v>285.05220000000003</v>
      </c>
      <c r="M2546">
        <v>-0.99994669999999997</v>
      </c>
      <c r="N2546">
        <v>-1.0251659999999999E-2</v>
      </c>
      <c r="O2546">
        <v>-1.273901E-3</v>
      </c>
      <c r="P2546">
        <v>-0.97764340000000005</v>
      </c>
      <c r="Q2546">
        <v>0.1971166</v>
      </c>
      <c r="R2546">
        <v>-7.3201340000000004E-2</v>
      </c>
      <c r="S2546">
        <v>-3.0439759999999998</v>
      </c>
      <c r="T2546">
        <v>-9.272099E-4</v>
      </c>
      <c r="U2546">
        <v>-0.33087159999999999</v>
      </c>
      <c r="V2546">
        <v>-7.2369260000000005E-2</v>
      </c>
      <c r="W2546">
        <v>0.2069858</v>
      </c>
      <c r="X2546">
        <v>0.97566370000000002</v>
      </c>
      <c r="Y2546">
        <v>-0.106793899999999</v>
      </c>
      <c r="Z2546">
        <v>-5.7788199999999896E-4</v>
      </c>
      <c r="AA2546">
        <v>0.99428099999999997</v>
      </c>
      <c r="AB2546">
        <v>63</v>
      </c>
      <c r="AC2546">
        <v>-145.63489999999999</v>
      </c>
      <c r="AD2546">
        <v>-4.4595999999999997E-2</v>
      </c>
      <c r="AE2546">
        <v>-15.8719</v>
      </c>
      <c r="AF2546">
        <v>-15.6863514831969</v>
      </c>
      <c r="AG2546">
        <v>-4.4595999999999997E-2</v>
      </c>
      <c r="AH2546">
        <v>145.654988610619</v>
      </c>
      <c r="AI2546">
        <v>90.017441712500599</v>
      </c>
      <c r="AJ2546">
        <v>96.146792725148799</v>
      </c>
      <c r="AK2546">
        <v>146.49723314389701</v>
      </c>
      <c r="AL2546">
        <v>78.054229875163301</v>
      </c>
      <c r="AM2546">
        <v>94.242111082844801</v>
      </c>
      <c r="AN2546">
        <v>1.00000004334613</v>
      </c>
    </row>
    <row r="2547" spans="1:40" x14ac:dyDescent="0.25">
      <c r="A2547" t="str">
        <f>"20190304164138823"</f>
        <v>20190304164138823</v>
      </c>
      <c r="B2547" t="str">
        <f>"1551688898813022"</f>
        <v>1551688898813022</v>
      </c>
      <c r="C2547" t="s">
        <v>40</v>
      </c>
      <c r="D2547">
        <v>3.83352</v>
      </c>
      <c r="E2547">
        <v>0.48905510000000002</v>
      </c>
      <c r="F2547" t="s">
        <v>48</v>
      </c>
      <c r="G2547">
        <v>-512.82560000000001</v>
      </c>
      <c r="H2547">
        <v>1.1350020000000001</v>
      </c>
      <c r="I2547">
        <v>268.93079999999998</v>
      </c>
      <c r="J2547">
        <v>-367.79410000000001</v>
      </c>
      <c r="K2547">
        <v>1.109313</v>
      </c>
      <c r="L2547">
        <v>285.05130000000003</v>
      </c>
      <c r="M2547">
        <v>-0.99994300000000003</v>
      </c>
      <c r="N2547">
        <v>-1.052793E-2</v>
      </c>
      <c r="O2547">
        <v>-1.8067440000000001E-3</v>
      </c>
      <c r="P2547">
        <v>-0.97766889999999995</v>
      </c>
      <c r="Q2547">
        <v>0.19663369999999999</v>
      </c>
      <c r="R2547">
        <v>-7.4154730000000002E-2</v>
      </c>
      <c r="S2547">
        <v>-3.043304</v>
      </c>
      <c r="T2547">
        <v>5.3989890000000001E-4</v>
      </c>
      <c r="U2547">
        <v>-0.3368835</v>
      </c>
      <c r="V2547">
        <v>-7.2814669999999998E-2</v>
      </c>
      <c r="W2547">
        <v>0.20676749999999999</v>
      </c>
      <c r="X2547">
        <v>0.97567680000000001</v>
      </c>
      <c r="Y2547">
        <v>-0.1082287</v>
      </c>
      <c r="Z2547">
        <v>-5.811751E-4</v>
      </c>
      <c r="AA2547">
        <v>0.99412579999999995</v>
      </c>
      <c r="AB2547">
        <v>63</v>
      </c>
      <c r="AC2547">
        <v>-145.03149999999999</v>
      </c>
      <c r="AD2547">
        <v>2.5689E-2</v>
      </c>
      <c r="AE2547">
        <v>-16.1205</v>
      </c>
      <c r="AF2547">
        <v>-15.8584238928128</v>
      </c>
      <c r="AG2547">
        <v>2.5689E-2</v>
      </c>
      <c r="AH2547">
        <v>145.06038599247699</v>
      </c>
      <c r="AI2547">
        <v>89.9899134847646</v>
      </c>
      <c r="AJ2547">
        <v>96.238965219848893</v>
      </c>
      <c r="AK2547">
        <v>145.92465813759901</v>
      </c>
      <c r="AL2547">
        <v>78.067013538559607</v>
      </c>
      <c r="AM2547">
        <v>94.268066657837196</v>
      </c>
      <c r="AN2547">
        <v>0.99999999664084904</v>
      </c>
    </row>
    <row r="2548" spans="1:40" x14ac:dyDescent="0.25">
      <c r="A2548" t="str">
        <f>"20190304164138844"</f>
        <v>20190304164138844</v>
      </c>
      <c r="B2548" t="str">
        <f>"1551688898833518"</f>
        <v>1551688898833518</v>
      </c>
      <c r="C2548" t="s">
        <v>40</v>
      </c>
      <c r="D2548">
        <v>3.8570220000000002</v>
      </c>
      <c r="E2548">
        <v>0.48832350000000002</v>
      </c>
      <c r="F2548" t="s">
        <v>48</v>
      </c>
      <c r="G2548">
        <v>-512.82550000000003</v>
      </c>
      <c r="H2548">
        <v>1.0514969999999999</v>
      </c>
      <c r="I2548">
        <v>268.43009999999998</v>
      </c>
      <c r="J2548">
        <v>-368.38240000000002</v>
      </c>
      <c r="K2548">
        <v>1.1093820000000001</v>
      </c>
      <c r="L2548">
        <v>285.05020000000002</v>
      </c>
      <c r="M2548">
        <v>-0.99993869999999896</v>
      </c>
      <c r="N2548">
        <v>-1.082841E-2</v>
      </c>
      <c r="O2548">
        <v>-2.326056E-3</v>
      </c>
      <c r="P2548">
        <v>-0.97761089999999995</v>
      </c>
      <c r="Q2548">
        <v>0.19674730000000001</v>
      </c>
      <c r="R2548">
        <v>-7.4614470000000002E-2</v>
      </c>
      <c r="S2548">
        <v>-3.0423279999999999</v>
      </c>
      <c r="T2548">
        <v>-1.2111660000000001E-3</v>
      </c>
      <c r="U2548">
        <v>-0.34866329999999901</v>
      </c>
      <c r="V2548">
        <v>-7.2780890000000001E-2</v>
      </c>
      <c r="W2548">
        <v>0.2071692</v>
      </c>
      <c r="X2548">
        <v>0.97559410000000002</v>
      </c>
      <c r="Y2548">
        <v>-0.1115473</v>
      </c>
      <c r="Z2548">
        <v>-6.5224439999999999E-4</v>
      </c>
      <c r="AA2548">
        <v>0.9937589</v>
      </c>
      <c r="AB2548">
        <v>63</v>
      </c>
      <c r="AC2548">
        <v>-144.44309999999999</v>
      </c>
      <c r="AD2548">
        <v>-5.7884999999999902E-2</v>
      </c>
      <c r="AE2548">
        <v>-16.620100000000001</v>
      </c>
      <c r="AF2548">
        <v>-16.284050024504999</v>
      </c>
      <c r="AG2548">
        <v>-5.7884999999999902E-2</v>
      </c>
      <c r="AH2548">
        <v>144.481347844884</v>
      </c>
      <c r="AI2548">
        <v>90.022810554666293</v>
      </c>
      <c r="AJ2548">
        <v>96.4304948361237</v>
      </c>
      <c r="AK2548">
        <v>145.39612618962099</v>
      </c>
      <c r="AL2548">
        <v>78.043488389589498</v>
      </c>
      <c r="AM2548">
        <v>94.266454235311002</v>
      </c>
      <c r="AN2548">
        <v>0.99999999166632103</v>
      </c>
    </row>
    <row r="2549" spans="1:40" x14ac:dyDescent="0.25">
      <c r="A2549" t="str">
        <f>"20190304164138855"</f>
        <v>20190304164138855</v>
      </c>
      <c r="B2549" t="str">
        <f>"1551688898843278"</f>
        <v>1551688898843278</v>
      </c>
      <c r="C2549" t="s">
        <v>40</v>
      </c>
      <c r="D2549">
        <v>3.8188430000000002</v>
      </c>
      <c r="E2549">
        <v>0.4880989</v>
      </c>
      <c r="F2549" t="s">
        <v>48</v>
      </c>
      <c r="G2549">
        <v>-512.82550000000003</v>
      </c>
      <c r="H2549">
        <v>1.078808</v>
      </c>
      <c r="I2549">
        <v>268.17140000000001</v>
      </c>
      <c r="J2549">
        <v>-368.7158</v>
      </c>
      <c r="K2549">
        <v>1.109418</v>
      </c>
      <c r="L2549">
        <v>285.04939999999999</v>
      </c>
      <c r="M2549">
        <v>-0.99993609999999999</v>
      </c>
      <c r="N2549">
        <v>-1.1006480000000001E-2</v>
      </c>
      <c r="O2549">
        <v>-2.6193610000000002E-3</v>
      </c>
      <c r="P2549">
        <v>-0.97748699999999999</v>
      </c>
      <c r="Q2549">
        <v>0.1970672</v>
      </c>
      <c r="R2549">
        <v>-7.5393379999999996E-2</v>
      </c>
      <c r="S2549">
        <v>-3.0417179999999999</v>
      </c>
      <c r="T2549">
        <v>-6.4218040000000004E-4</v>
      </c>
      <c r="U2549">
        <v>-0.35543819999999998</v>
      </c>
      <c r="V2549">
        <v>-7.3280639999999994E-2</v>
      </c>
      <c r="W2549">
        <v>0.2076585</v>
      </c>
      <c r="X2549">
        <v>0.97545269999999995</v>
      </c>
      <c r="Y2549">
        <v>-0.11346249999999999</v>
      </c>
      <c r="Z2549">
        <v>-6.6666770000000004E-4</v>
      </c>
      <c r="AA2549">
        <v>0.99354209999999998</v>
      </c>
      <c r="AB2549">
        <v>63</v>
      </c>
      <c r="AC2549">
        <v>-144.1097</v>
      </c>
      <c r="AD2549">
        <v>-3.0609999999999998E-2</v>
      </c>
      <c r="AE2549">
        <v>-16.877999999999901</v>
      </c>
      <c r="AF2549">
        <v>-16.500443203166199</v>
      </c>
      <c r="AG2549">
        <v>-3.0609999999999998E-2</v>
      </c>
      <c r="AH2549">
        <v>144.15341139995601</v>
      </c>
      <c r="AI2549">
        <v>90.012087442477394</v>
      </c>
      <c r="AJ2549">
        <v>96.529911200274697</v>
      </c>
      <c r="AK2549">
        <v>145.09469866648399</v>
      </c>
      <c r="AL2549">
        <v>78.014830901874703</v>
      </c>
      <c r="AM2549">
        <v>94.296260917414102</v>
      </c>
      <c r="AN2549">
        <v>1.00000003737917</v>
      </c>
    </row>
    <row r="2550" spans="1:40" x14ac:dyDescent="0.25">
      <c r="A2550" t="str">
        <f>"20190304164138867"</f>
        <v>20190304164138867</v>
      </c>
      <c r="B2550" t="str">
        <f>"1551688898863775"</f>
        <v>1551688898863775</v>
      </c>
      <c r="C2550" t="s">
        <v>40</v>
      </c>
      <c r="D2550">
        <v>3.8534359999999999</v>
      </c>
      <c r="E2550">
        <v>0.48771009999999998</v>
      </c>
      <c r="F2550" t="s">
        <v>48</v>
      </c>
      <c r="G2550">
        <v>-512.82550000000003</v>
      </c>
      <c r="H2550">
        <v>1.1145989999999999</v>
      </c>
      <c r="I2550">
        <v>268.01819999999998</v>
      </c>
      <c r="J2550">
        <v>-369.03710000000001</v>
      </c>
      <c r="K2550">
        <v>1.1094599999999999</v>
      </c>
      <c r="L2550">
        <v>285.04849999999999</v>
      </c>
      <c r="M2550">
        <v>-0.99993330000000002</v>
      </c>
      <c r="N2550">
        <v>-1.118422E-2</v>
      </c>
      <c r="O2550">
        <v>-2.9009719999999999E-3</v>
      </c>
      <c r="P2550">
        <v>-0.97743720000000001</v>
      </c>
      <c r="Q2550">
        <v>0.1970662</v>
      </c>
      <c r="R2550">
        <v>-7.6036300000000001E-2</v>
      </c>
      <c r="S2550">
        <v>-3.041382</v>
      </c>
      <c r="T2550">
        <v>1.1098380000000001E-4</v>
      </c>
      <c r="U2550">
        <v>-0.35943599999999998</v>
      </c>
      <c r="V2550">
        <v>-7.3654670000000005E-2</v>
      </c>
      <c r="W2550">
        <v>0.20782780000000001</v>
      </c>
      <c r="X2550">
        <v>0.97538840000000004</v>
      </c>
      <c r="Y2550">
        <v>-0.1144836</v>
      </c>
      <c r="Z2550">
        <v>-6.7280399999999896E-4</v>
      </c>
      <c r="AA2550">
        <v>0.99342490000000006</v>
      </c>
      <c r="AB2550">
        <v>63</v>
      </c>
      <c r="AC2550">
        <v>-143.7884</v>
      </c>
      <c r="AD2550">
        <v>5.13899999999978E-3</v>
      </c>
      <c r="AE2550">
        <v>-17.0303</v>
      </c>
      <c r="AF2550">
        <v>-16.6130761185787</v>
      </c>
      <c r="AG2550">
        <v>5.13899999999978E-3</v>
      </c>
      <c r="AH2550">
        <v>143.83720221733199</v>
      </c>
      <c r="AI2550">
        <v>89.997966461412105</v>
      </c>
      <c r="AJ2550">
        <v>96.588421299216094</v>
      </c>
      <c r="AK2550">
        <v>144.79342204064599</v>
      </c>
      <c r="AL2550">
        <v>78.0049135358353</v>
      </c>
      <c r="AM2550">
        <v>94.318390214862305</v>
      </c>
      <c r="AN2550">
        <v>0.99999996786010303</v>
      </c>
    </row>
    <row r="2551" spans="1:40" x14ac:dyDescent="0.25">
      <c r="A2551" t="str">
        <f>"20190304164138879"</f>
        <v>20190304164138879</v>
      </c>
      <c r="B2551" t="str">
        <f>"1551688898873535"</f>
        <v>1551688898873535</v>
      </c>
      <c r="C2551" t="s">
        <v>40</v>
      </c>
      <c r="D2551">
        <v>3.8482530000000001</v>
      </c>
      <c r="E2551">
        <v>0.48752329999999999</v>
      </c>
      <c r="F2551" t="s">
        <v>48</v>
      </c>
      <c r="G2551">
        <v>-512.82550000000003</v>
      </c>
      <c r="H2551">
        <v>1.0821240000000001</v>
      </c>
      <c r="I2551">
        <v>267.81529999999998</v>
      </c>
      <c r="J2551">
        <v>-369.39330000000001</v>
      </c>
      <c r="K2551">
        <v>1.1095010000000001</v>
      </c>
      <c r="L2551">
        <v>285.04739999999998</v>
      </c>
      <c r="M2551">
        <v>-0.99992999999999999</v>
      </c>
      <c r="N2551">
        <v>-1.138844E-2</v>
      </c>
      <c r="O2551">
        <v>-3.2116229999999998E-3</v>
      </c>
      <c r="P2551">
        <v>-0.97739960000000004</v>
      </c>
      <c r="Q2551">
        <v>0.1970536</v>
      </c>
      <c r="R2551">
        <v>-7.6549870000000006E-2</v>
      </c>
      <c r="S2551">
        <v>-3.0410460000000001</v>
      </c>
      <c r="T2551">
        <v>-5.7649610000000005E-4</v>
      </c>
      <c r="U2551">
        <v>-0.3644714</v>
      </c>
      <c r="V2551">
        <v>-7.3870329999999998E-2</v>
      </c>
      <c r="W2551">
        <v>0.20801159999999999</v>
      </c>
      <c r="X2551">
        <v>0.97533300000000001</v>
      </c>
      <c r="Y2551">
        <v>-0.1158095</v>
      </c>
      <c r="Z2551">
        <v>-7.0859699999999896E-4</v>
      </c>
      <c r="AA2551">
        <v>0.99327120000000002</v>
      </c>
      <c r="AB2551">
        <v>63</v>
      </c>
      <c r="AC2551">
        <v>-143.43219999999999</v>
      </c>
      <c r="AD2551">
        <v>-2.7376999999999901E-2</v>
      </c>
      <c r="AE2551">
        <v>-17.232099999999999</v>
      </c>
      <c r="AF2551">
        <v>-16.771330491436899</v>
      </c>
      <c r="AG2551">
        <v>-2.7376999999999901E-2</v>
      </c>
      <c r="AH2551">
        <v>143.48680162926701</v>
      </c>
      <c r="AI2551">
        <v>90.010858003224897</v>
      </c>
      <c r="AJ2551">
        <v>96.666717359352205</v>
      </c>
      <c r="AK2551">
        <v>144.46363043254101</v>
      </c>
      <c r="AL2551">
        <v>77.994148360088403</v>
      </c>
      <c r="AM2551">
        <v>94.3312314391044</v>
      </c>
      <c r="AN2551">
        <v>1.0000000561389299</v>
      </c>
    </row>
    <row r="2552" spans="1:40" x14ac:dyDescent="0.25">
      <c r="A2552" t="str">
        <f>"20190304164138892"</f>
        <v>20190304164138892</v>
      </c>
      <c r="B2552" t="str">
        <f>"1551688898883294"</f>
        <v>1551688898883294</v>
      </c>
      <c r="C2552" t="s">
        <v>40</v>
      </c>
      <c r="D2552">
        <v>3.8650500000000001</v>
      </c>
      <c r="E2552">
        <v>0.48737279999999999</v>
      </c>
      <c r="F2552" t="s">
        <v>48</v>
      </c>
      <c r="G2552">
        <v>-512.82550000000003</v>
      </c>
      <c r="H2552">
        <v>1.0630500000000001</v>
      </c>
      <c r="I2552">
        <v>267.69990000000001</v>
      </c>
      <c r="J2552">
        <v>-369.71170000000001</v>
      </c>
      <c r="K2552">
        <v>1.1095429999999999</v>
      </c>
      <c r="L2552">
        <v>285.04640000000001</v>
      </c>
      <c r="M2552">
        <v>-0.99992669999999995</v>
      </c>
      <c r="N2552">
        <v>-1.15952E-2</v>
      </c>
      <c r="O2552">
        <v>-3.4865930000000001E-3</v>
      </c>
      <c r="P2552">
        <v>-0.97739189999999998</v>
      </c>
      <c r="Q2552">
        <v>0.19689590000000001</v>
      </c>
      <c r="R2552">
        <v>-7.7051720000000004E-2</v>
      </c>
      <c r="S2552">
        <v>-3.0407709999999999</v>
      </c>
      <c r="T2552">
        <v>-9.8311899999999996E-4</v>
      </c>
      <c r="U2552">
        <v>-0.36776730000000002</v>
      </c>
      <c r="V2552">
        <v>-7.4106829999999999E-2</v>
      </c>
      <c r="W2552">
        <v>0.2080545</v>
      </c>
      <c r="X2552">
        <v>0.97530589999999995</v>
      </c>
      <c r="Y2552">
        <v>-0.116608</v>
      </c>
      <c r="Z2552">
        <v>-7.3646810000000003E-4</v>
      </c>
      <c r="AA2552">
        <v>0.99317770000000005</v>
      </c>
      <c r="AB2552">
        <v>63</v>
      </c>
      <c r="AC2552">
        <v>-143.1138</v>
      </c>
      <c r="AD2552">
        <v>-4.6492999999999798E-2</v>
      </c>
      <c r="AE2552">
        <v>-17.346499999999899</v>
      </c>
      <c r="AF2552">
        <v>-16.8473796806515</v>
      </c>
      <c r="AG2552">
        <v>-4.6492999999999798E-2</v>
      </c>
      <c r="AH2552">
        <v>143.173399370792</v>
      </c>
      <c r="AI2552">
        <v>90.018478288681294</v>
      </c>
      <c r="AJ2552">
        <v>96.711198727648707</v>
      </c>
      <c r="AK2552">
        <v>144.16122450607699</v>
      </c>
      <c r="AL2552">
        <v>77.991635291642595</v>
      </c>
      <c r="AM2552">
        <v>94.345165369418893</v>
      </c>
      <c r="AN2552">
        <v>1.00000004789885</v>
      </c>
    </row>
    <row r="2553" spans="1:40" x14ac:dyDescent="0.25">
      <c r="A2553" t="str">
        <f>"20190304164138904"</f>
        <v>20190304164138904</v>
      </c>
      <c r="B2553" t="str">
        <f>"1551688898893054"</f>
        <v>1551688898893054</v>
      </c>
      <c r="C2553" t="s">
        <v>40</v>
      </c>
      <c r="D2553">
        <v>3.8460610000000002</v>
      </c>
      <c r="E2553">
        <v>0.48725970000000002</v>
      </c>
      <c r="F2553" t="s">
        <v>48</v>
      </c>
      <c r="G2553">
        <v>-512.82550000000003</v>
      </c>
      <c r="H2553">
        <v>1.028373</v>
      </c>
      <c r="I2553">
        <v>267.60629999999998</v>
      </c>
      <c r="J2553">
        <v>-370.06459999999998</v>
      </c>
      <c r="K2553">
        <v>1.1095889999999999</v>
      </c>
      <c r="L2553">
        <v>285.04509999999999</v>
      </c>
      <c r="M2553">
        <v>-0.9999228</v>
      </c>
      <c r="N2553">
        <v>-1.1833059999999999E-2</v>
      </c>
      <c r="O2553">
        <v>-3.7908740000000001E-3</v>
      </c>
      <c r="P2553">
        <v>-0.97728630000000005</v>
      </c>
      <c r="Q2553">
        <v>0.19719539999999999</v>
      </c>
      <c r="R2553">
        <v>-7.7625379999999994E-2</v>
      </c>
      <c r="S2553">
        <v>-3.0404659999999999</v>
      </c>
      <c r="T2553">
        <v>-1.7228129999999999E-3</v>
      </c>
      <c r="U2553">
        <v>-0.37051390000000001</v>
      </c>
      <c r="V2553">
        <v>-7.4386569999999999E-2</v>
      </c>
      <c r="W2553">
        <v>0.2085833</v>
      </c>
      <c r="X2553">
        <v>0.97517160000000003</v>
      </c>
      <c r="Y2553">
        <v>-0.1172016</v>
      </c>
      <c r="Z2553">
        <v>-7.7164750000000004E-4</v>
      </c>
      <c r="AA2553">
        <v>0.99310790000000004</v>
      </c>
      <c r="AB2553">
        <v>63</v>
      </c>
      <c r="AC2553">
        <v>-142.76089999999999</v>
      </c>
      <c r="AD2553">
        <v>-8.1215999999999899E-2</v>
      </c>
      <c r="AE2553">
        <v>-17.438800000000001</v>
      </c>
      <c r="AF2553">
        <v>-16.897442812063399</v>
      </c>
      <c r="AG2553">
        <v>-8.1215999999999899E-2</v>
      </c>
      <c r="AH2553">
        <v>142.82594144129399</v>
      </c>
      <c r="AI2553">
        <v>90.032354806097899</v>
      </c>
      <c r="AJ2553">
        <v>96.747182663759801</v>
      </c>
      <c r="AK2553">
        <v>143.82204183718699</v>
      </c>
      <c r="AL2553">
        <v>77.9606571059076</v>
      </c>
      <c r="AM2553">
        <v>94.362102763412494</v>
      </c>
      <c r="AN2553">
        <v>1.0000000021408999</v>
      </c>
    </row>
    <row r="2554" spans="1:40" x14ac:dyDescent="0.25">
      <c r="A2554" t="str">
        <f>"20190304164138917"</f>
        <v>20190304164138917</v>
      </c>
      <c r="B2554" t="str">
        <f>"1551688898913551"</f>
        <v>1551688898913551</v>
      </c>
      <c r="C2554" t="s">
        <v>40</v>
      </c>
      <c r="D2554">
        <v>3.8544520000000002</v>
      </c>
      <c r="E2554">
        <v>0.48703550000000001</v>
      </c>
      <c r="F2554" t="s">
        <v>48</v>
      </c>
      <c r="G2554">
        <v>-512.82550000000003</v>
      </c>
      <c r="H2554">
        <v>1.0671139999999999</v>
      </c>
      <c r="I2554">
        <v>267.50779999999997</v>
      </c>
      <c r="J2554">
        <v>-370.43079999999998</v>
      </c>
      <c r="K2554">
        <v>1.109632</v>
      </c>
      <c r="L2554">
        <v>285.04360000000003</v>
      </c>
      <c r="M2554">
        <v>-0.99991839999999999</v>
      </c>
      <c r="N2554">
        <v>-1.209788E-2</v>
      </c>
      <c r="O2554">
        <v>-4.1079419999999998E-3</v>
      </c>
      <c r="P2554">
        <v>-0.97725490000000004</v>
      </c>
      <c r="Q2554">
        <v>0.1971019</v>
      </c>
      <c r="R2554">
        <v>-7.8256560000000003E-2</v>
      </c>
      <c r="S2554">
        <v>-3.0402529999999999</v>
      </c>
      <c r="T2554">
        <v>-9.0289120000000003E-4</v>
      </c>
      <c r="U2554">
        <v>-0.37347409999999998</v>
      </c>
      <c r="V2554">
        <v>-7.4708940000000001E-2</v>
      </c>
      <c r="W2554">
        <v>0.2087475</v>
      </c>
      <c r="X2554">
        <v>0.97511179999999997</v>
      </c>
      <c r="Y2554">
        <v>-0.11784799999999999</v>
      </c>
      <c r="Z2554">
        <v>-7.8128679999999904E-4</v>
      </c>
      <c r="AA2554">
        <v>0.99303129999999995</v>
      </c>
      <c r="AB2554">
        <v>63</v>
      </c>
      <c r="AC2554">
        <v>-142.3947</v>
      </c>
      <c r="AD2554">
        <v>-4.2518E-2</v>
      </c>
      <c r="AE2554">
        <v>-17.535799999999998</v>
      </c>
      <c r="AF2554">
        <v>-16.950658561320001</v>
      </c>
      <c r="AG2554">
        <v>-4.2518E-2</v>
      </c>
      <c r="AH2554">
        <v>142.46552715835199</v>
      </c>
      <c r="AI2554">
        <v>90.016979824017298</v>
      </c>
      <c r="AJ2554">
        <v>96.785198075493696</v>
      </c>
      <c r="AK2554">
        <v>143.47039088937501</v>
      </c>
      <c r="AL2554">
        <v>77.951037152640794</v>
      </c>
      <c r="AM2554">
        <v>94.381201045987396</v>
      </c>
      <c r="AN2554">
        <v>0.99999998348570596</v>
      </c>
    </row>
    <row r="2555" spans="1:40" x14ac:dyDescent="0.25">
      <c r="A2555" t="str">
        <f>"20190304164138930"</f>
        <v>20190304164138930</v>
      </c>
      <c r="B2555" t="str">
        <f>"1551688898923311"</f>
        <v>1551688898923311</v>
      </c>
      <c r="C2555" t="s">
        <v>40</v>
      </c>
      <c r="D2555">
        <v>3.8534109999999999</v>
      </c>
      <c r="E2555">
        <v>0.4869194</v>
      </c>
      <c r="F2555" t="s">
        <v>48</v>
      </c>
      <c r="G2555">
        <v>-512.82550000000003</v>
      </c>
      <c r="H2555">
        <v>1.043032</v>
      </c>
      <c r="I2555">
        <v>267.36770000000001</v>
      </c>
      <c r="J2555">
        <v>-370.79309999999998</v>
      </c>
      <c r="K2555">
        <v>1.109672</v>
      </c>
      <c r="L2555">
        <v>285.0421</v>
      </c>
      <c r="M2555">
        <v>-0.99991379999999996</v>
      </c>
      <c r="N2555">
        <v>-1.2359490000000001E-2</v>
      </c>
      <c r="O2555">
        <v>-4.4246349999999997E-3</v>
      </c>
      <c r="P2555">
        <v>-0.97724719999999998</v>
      </c>
      <c r="Q2555">
        <v>0.19706029999999999</v>
      </c>
      <c r="R2555">
        <v>-7.8454490000000002E-2</v>
      </c>
      <c r="S2555">
        <v>-3.0398860000000001</v>
      </c>
      <c r="T2555">
        <v>-1.4201400000000001E-3</v>
      </c>
      <c r="U2555">
        <v>-0.37734990000000002</v>
      </c>
      <c r="V2555">
        <v>-7.4597579999999997E-2</v>
      </c>
      <c r="W2555">
        <v>0.2089616</v>
      </c>
      <c r="X2555">
        <v>0.97507449999999996</v>
      </c>
      <c r="Y2555">
        <v>-0.118794899999999</v>
      </c>
      <c r="Z2555">
        <v>-8.1702439999999999E-4</v>
      </c>
      <c r="AA2555">
        <v>0.99291850000000004</v>
      </c>
      <c r="AB2555">
        <v>63</v>
      </c>
      <c r="AC2555">
        <v>-142.0324</v>
      </c>
      <c r="AD2555">
        <v>-6.6640000000000005E-2</v>
      </c>
      <c r="AE2555">
        <v>-17.674399999999899</v>
      </c>
      <c r="AF2555">
        <v>-17.0457337167832</v>
      </c>
      <c r="AG2555">
        <v>-6.6640000000000005E-2</v>
      </c>
      <c r="AH2555">
        <v>142.10918740672599</v>
      </c>
      <c r="AI2555">
        <v>90.026676784251705</v>
      </c>
      <c r="AJ2555">
        <v>96.8398446173249</v>
      </c>
      <c r="AK2555">
        <v>143.127854117335</v>
      </c>
      <c r="AL2555">
        <v>77.938493881593999</v>
      </c>
      <c r="AM2555">
        <v>94.374862562855199</v>
      </c>
      <c r="AN2555">
        <v>1.0000000148833299</v>
      </c>
    </row>
    <row r="2556" spans="1:40" x14ac:dyDescent="0.25">
      <c r="A2556" t="str">
        <f>"20190304164138942"</f>
        <v>20190304164138942</v>
      </c>
      <c r="B2556" t="str">
        <f>"1551688898933070"</f>
        <v>1551688898933070</v>
      </c>
      <c r="C2556" t="s">
        <v>40</v>
      </c>
      <c r="D2556">
        <v>3.8425440000000002</v>
      </c>
      <c r="E2556">
        <v>0.486813</v>
      </c>
      <c r="F2556" t="s">
        <v>48</v>
      </c>
      <c r="G2556">
        <v>-512.82550000000003</v>
      </c>
      <c r="H2556">
        <v>1.0403639999999901</v>
      </c>
      <c r="I2556">
        <v>267.33629999999999</v>
      </c>
      <c r="J2556">
        <v>-371.14030000000002</v>
      </c>
      <c r="K2556">
        <v>1.109699</v>
      </c>
      <c r="L2556">
        <v>285.04050000000001</v>
      </c>
      <c r="M2556">
        <v>-0.99990939999999995</v>
      </c>
      <c r="N2556">
        <v>-1.2609220000000001E-2</v>
      </c>
      <c r="O2556">
        <v>-4.7298130000000002E-3</v>
      </c>
      <c r="P2556">
        <v>-0.97727779999999997</v>
      </c>
      <c r="Q2556">
        <v>0.19676009999999999</v>
      </c>
      <c r="R2556">
        <v>-7.8827900000000006E-2</v>
      </c>
      <c r="S2556">
        <v>-3.0397639999999999</v>
      </c>
      <c r="T2556">
        <v>-1.481652E-3</v>
      </c>
      <c r="U2556">
        <v>-0.37893680000000002</v>
      </c>
      <c r="V2556">
        <v>-7.4671039999999994E-2</v>
      </c>
      <c r="W2556">
        <v>0.20890510000000001</v>
      </c>
      <c r="X2556">
        <v>0.97508099999999998</v>
      </c>
      <c r="Y2556">
        <v>-0.1190071</v>
      </c>
      <c r="Z2556">
        <v>-8.3922879999999997E-4</v>
      </c>
      <c r="AA2556">
        <v>0.99289300000000003</v>
      </c>
      <c r="AB2556">
        <v>63</v>
      </c>
      <c r="AC2556">
        <v>-141.68520000000001</v>
      </c>
      <c r="AD2556">
        <v>-6.9335000000000105E-2</v>
      </c>
      <c r="AE2556">
        <v>-17.7042</v>
      </c>
      <c r="AF2556">
        <v>-17.033800195923401</v>
      </c>
      <c r="AG2556">
        <v>-6.9335000000000105E-2</v>
      </c>
      <c r="AH2556">
        <v>141.767325688553</v>
      </c>
      <c r="AI2556">
        <v>90.0278218800931</v>
      </c>
      <c r="AJ2556">
        <v>96.851427304235102</v>
      </c>
      <c r="AK2556">
        <v>142.78700847535501</v>
      </c>
      <c r="AL2556">
        <v>77.941804345822703</v>
      </c>
      <c r="AM2556">
        <v>94.379124882325101</v>
      </c>
      <c r="AN2556">
        <v>1.0000000307908401</v>
      </c>
    </row>
    <row r="2557" spans="1:40" x14ac:dyDescent="0.25">
      <c r="A2557" t="str">
        <f>"20190304164138957"</f>
        <v>20190304164138957</v>
      </c>
      <c r="B2557" t="str">
        <f>"1551688898943339"</f>
        <v>1551688898943339</v>
      </c>
      <c r="C2557" t="s">
        <v>40</v>
      </c>
      <c r="D2557">
        <v>3.8527260000000001</v>
      </c>
      <c r="E2557">
        <v>0.48669869999999998</v>
      </c>
      <c r="F2557" t="s">
        <v>48</v>
      </c>
      <c r="G2557">
        <v>-512.82550000000003</v>
      </c>
      <c r="H2557">
        <v>0.98214290000000004</v>
      </c>
      <c r="I2557">
        <v>267.2817</v>
      </c>
      <c r="J2557">
        <v>-371.55020000000002</v>
      </c>
      <c r="K2557">
        <v>1.1097269999999999</v>
      </c>
      <c r="L2557">
        <v>285.0385</v>
      </c>
      <c r="M2557">
        <v>-0.99990409999999996</v>
      </c>
      <c r="N2557">
        <v>-1.288626E-2</v>
      </c>
      <c r="O2557">
        <v>-5.0945790000000001E-3</v>
      </c>
      <c r="P2557">
        <v>-0.97722609999999999</v>
      </c>
      <c r="Q2557">
        <v>0.19693160000000001</v>
      </c>
      <c r="R2557">
        <v>-7.9040750000000007E-2</v>
      </c>
      <c r="S2557">
        <v>-3.0395810000000001</v>
      </c>
      <c r="T2557">
        <v>-2.73478E-3</v>
      </c>
      <c r="U2557">
        <v>-0.38098140000000003</v>
      </c>
      <c r="V2557">
        <v>-7.4527599999999999E-2</v>
      </c>
      <c r="W2557">
        <v>0.20934720000000001</v>
      </c>
      <c r="X2557">
        <v>0.97499709999999995</v>
      </c>
      <c r="Y2557">
        <v>-0.1193095</v>
      </c>
      <c r="Z2557">
        <v>-8.8605770000000001E-4</v>
      </c>
      <c r="AA2557">
        <v>0.99285670000000004</v>
      </c>
      <c r="AB2557">
        <v>63</v>
      </c>
      <c r="AC2557">
        <v>-141.27529999999999</v>
      </c>
      <c r="AD2557">
        <v>-0.12758410000000001</v>
      </c>
      <c r="AE2557">
        <v>-17.756799999999998</v>
      </c>
      <c r="AF2557">
        <v>-17.0367579819073</v>
      </c>
      <c r="AG2557">
        <v>-0.12758410000000001</v>
      </c>
      <c r="AH2557">
        <v>141.36382372598001</v>
      </c>
      <c r="AI2557">
        <v>90.051339252921807</v>
      </c>
      <c r="AJ2557">
        <v>96.871978650084699</v>
      </c>
      <c r="AK2557">
        <v>142.38679032363399</v>
      </c>
      <c r="AL2557">
        <v>77.915900494355995</v>
      </c>
      <c r="AM2557">
        <v>94.371120043036399</v>
      </c>
      <c r="AN2557">
        <v>0.99999997915900396</v>
      </c>
    </row>
    <row r="2558" spans="1:40" x14ac:dyDescent="0.25">
      <c r="A2558" t="str">
        <f>"20190304164138968"</f>
        <v>20190304164138968</v>
      </c>
      <c r="B2558" t="str">
        <f>"1551688898953098"</f>
        <v>1551688898953098</v>
      </c>
      <c r="C2558" t="s">
        <v>40</v>
      </c>
      <c r="D2558">
        <v>3.887937</v>
      </c>
      <c r="E2558">
        <v>0.48679099999999997</v>
      </c>
      <c r="F2558" t="s">
        <v>48</v>
      </c>
      <c r="G2558">
        <v>-512.82550000000003</v>
      </c>
      <c r="H2558">
        <v>1.003603</v>
      </c>
      <c r="I2558">
        <v>267.26949999999999</v>
      </c>
      <c r="J2558">
        <v>-371.84969999999998</v>
      </c>
      <c r="K2558">
        <v>1.1097440000000001</v>
      </c>
      <c r="L2558">
        <v>285.0369</v>
      </c>
      <c r="M2558">
        <v>-0.99990009999999996</v>
      </c>
      <c r="N2558">
        <v>-1.307813E-2</v>
      </c>
      <c r="O2558">
        <v>-5.3619519999999997E-3</v>
      </c>
      <c r="P2558">
        <v>-0.97722799999999999</v>
      </c>
      <c r="Q2558">
        <v>0.196851</v>
      </c>
      <c r="R2558">
        <v>-7.9215770000000005E-2</v>
      </c>
      <c r="S2558">
        <v>-3.0394899999999998</v>
      </c>
      <c r="T2558">
        <v>-2.2815470000000001E-3</v>
      </c>
      <c r="U2558">
        <v>-0.38229370000000001</v>
      </c>
      <c r="V2558">
        <v>-7.4440759999999995E-2</v>
      </c>
      <c r="W2558">
        <v>0.2094549</v>
      </c>
      <c r="X2558">
        <v>0.97498070000000003</v>
      </c>
      <c r="Y2558">
        <v>-0.1194699</v>
      </c>
      <c r="Z2558">
        <v>-8.9483520000000003E-4</v>
      </c>
      <c r="AA2558">
        <v>0.99283739999999998</v>
      </c>
      <c r="AB2558">
        <v>63</v>
      </c>
      <c r="AC2558">
        <v>-140.97579999999999</v>
      </c>
      <c r="AD2558">
        <v>-0.106141</v>
      </c>
      <c r="AE2558">
        <v>-17.767399999999999</v>
      </c>
      <c r="AF2558">
        <v>-17.0111649252887</v>
      </c>
      <c r="AG2558">
        <v>-0.106141</v>
      </c>
      <c r="AH2558">
        <v>141.06897045232699</v>
      </c>
      <c r="AI2558">
        <v>90.042799564587497</v>
      </c>
      <c r="AJ2558">
        <v>96.8759587157722</v>
      </c>
      <c r="AK2558">
        <v>142.09097586583999</v>
      </c>
      <c r="AL2558">
        <v>77.909590989775893</v>
      </c>
      <c r="AM2558">
        <v>94.366119650038598</v>
      </c>
      <c r="AN2558">
        <v>1.00000007362793</v>
      </c>
    </row>
    <row r="2559" spans="1:40" x14ac:dyDescent="0.25">
      <c r="A2559" t="str">
        <f>"20190304164138980"</f>
        <v>20190304164138980</v>
      </c>
      <c r="B2559" t="str">
        <f>"1551688898973595"</f>
        <v>1551688898973595</v>
      </c>
      <c r="C2559" t="s">
        <v>40</v>
      </c>
      <c r="D2559">
        <v>3.974872</v>
      </c>
      <c r="E2559">
        <v>0.52197510000000003</v>
      </c>
      <c r="F2559" t="s">
        <v>48</v>
      </c>
      <c r="G2559">
        <v>-512.82550000000003</v>
      </c>
      <c r="H2559">
        <v>0.97589110000000001</v>
      </c>
      <c r="I2559">
        <v>267.31139999999999</v>
      </c>
      <c r="J2559">
        <v>-372.21120000000002</v>
      </c>
      <c r="K2559">
        <v>1.1097629999999901</v>
      </c>
      <c r="L2559">
        <v>285.03489999999999</v>
      </c>
      <c r="M2559">
        <v>-0.9998956</v>
      </c>
      <c r="N2559">
        <v>-1.3299780000000001E-2</v>
      </c>
      <c r="O2559">
        <v>-5.6861919999999996E-3</v>
      </c>
      <c r="P2559">
        <v>-0.97724900000000003</v>
      </c>
      <c r="Q2559">
        <v>0.19671050000000001</v>
      </c>
      <c r="R2559">
        <v>-7.930972E-2</v>
      </c>
      <c r="S2559">
        <v>-3.03952</v>
      </c>
      <c r="T2559">
        <v>-2.8842690000000001E-3</v>
      </c>
      <c r="U2559">
        <v>-0.3821716</v>
      </c>
      <c r="V2559">
        <v>-7.4216829999999998E-2</v>
      </c>
      <c r="W2559">
        <v>0.20953179999999999</v>
      </c>
      <c r="X2559">
        <v>0.97498119999999999</v>
      </c>
      <c r="Y2559">
        <v>-0.119107199999999</v>
      </c>
      <c r="Z2559">
        <v>-9.2144890000000004E-4</v>
      </c>
      <c r="AA2559">
        <v>0.99288089999999996</v>
      </c>
      <c r="AB2559">
        <v>63</v>
      </c>
      <c r="AC2559">
        <v>-140.61429999999999</v>
      </c>
      <c r="AD2559">
        <v>-0.13387189999999899</v>
      </c>
      <c r="AE2559">
        <v>-17.723500000000001</v>
      </c>
      <c r="AF2559">
        <v>-16.923567861689399</v>
      </c>
      <c r="AG2559">
        <v>-0.13387189999999899</v>
      </c>
      <c r="AH2559">
        <v>140.71268892408901</v>
      </c>
      <c r="AI2559">
        <v>90.054120293375306</v>
      </c>
      <c r="AJ2559">
        <v>96.858044360528993</v>
      </c>
      <c r="AK2559">
        <v>141.726800200605</v>
      </c>
      <c r="AL2559">
        <v>77.905084380054205</v>
      </c>
      <c r="AM2559">
        <v>94.353033981670606</v>
      </c>
      <c r="AN2559">
        <v>1.00000002670996</v>
      </c>
    </row>
    <row r="2560" spans="1:40" x14ac:dyDescent="0.25">
      <c r="A2560" t="str">
        <f>"20190304164138994"</f>
        <v>20190304164138994</v>
      </c>
      <c r="B2560" t="str">
        <f>"1551688898983355"</f>
        <v>1551688898983355</v>
      </c>
      <c r="C2560" t="s">
        <v>40</v>
      </c>
      <c r="D2560">
        <v>3.9440230000000001</v>
      </c>
      <c r="E2560">
        <v>0.52958830000000001</v>
      </c>
      <c r="F2560" t="s">
        <v>48</v>
      </c>
      <c r="G2560">
        <v>-551.06209999999999</v>
      </c>
      <c r="H2560">
        <v>0.80051839999999996</v>
      </c>
      <c r="I2560">
        <v>279.036</v>
      </c>
      <c r="J2560">
        <v>-372.56049999999999</v>
      </c>
      <c r="K2560">
        <v>1.109777</v>
      </c>
      <c r="L2560">
        <v>285.03289999999998</v>
      </c>
      <c r="M2560">
        <v>-0.99989099999999997</v>
      </c>
      <c r="N2560">
        <v>-1.349391E-2</v>
      </c>
      <c r="O2560">
        <v>-5.9967759999999997E-3</v>
      </c>
      <c r="P2560">
        <v>-0.97715010000000002</v>
      </c>
      <c r="Q2560">
        <v>0.19718869999999999</v>
      </c>
      <c r="R2560">
        <v>-7.9337779999999997E-2</v>
      </c>
      <c r="S2560">
        <v>-3.0625610000000001</v>
      </c>
      <c r="T2560">
        <v>-5.2939650000000003E-3</v>
      </c>
      <c r="U2560">
        <v>-0.1027222</v>
      </c>
      <c r="V2560">
        <v>-7.3942850000000004E-2</v>
      </c>
      <c r="W2560">
        <v>0.210199</v>
      </c>
      <c r="X2560">
        <v>0.97485840000000001</v>
      </c>
      <c r="Y2560">
        <v>-2.7527920000000001E-2</v>
      </c>
      <c r="Z2560">
        <v>-2.8011810000000002E-4</v>
      </c>
      <c r="AA2560">
        <v>0.99962099999999998</v>
      </c>
      <c r="AB2560">
        <v>63</v>
      </c>
      <c r="AC2560">
        <v>-178.5016</v>
      </c>
      <c r="AD2560">
        <v>-0.309258599999999</v>
      </c>
      <c r="AE2560">
        <v>-5.9968999999999797</v>
      </c>
      <c r="AF2560">
        <v>-4.9262458330108396</v>
      </c>
      <c r="AG2560">
        <v>-0.309258599999999</v>
      </c>
      <c r="AH2560">
        <v>178.53381985847801</v>
      </c>
      <c r="AI2560">
        <v>90.099210633324802</v>
      </c>
      <c r="AJ2560">
        <v>91.580549252510494</v>
      </c>
      <c r="AK2560">
        <v>178.60203910411701</v>
      </c>
      <c r="AL2560">
        <v>77.865985994392105</v>
      </c>
      <c r="AM2560">
        <v>94.337569917946794</v>
      </c>
      <c r="AN2560">
        <v>1.0000000323588401</v>
      </c>
    </row>
    <row r="2561" spans="1:40" x14ac:dyDescent="0.25">
      <c r="A2561" t="str">
        <f>"20190304164139012"</f>
        <v>20190304164139012</v>
      </c>
      <c r="B2561" t="str">
        <f>"1551688899003851"</f>
        <v>1551688899003851</v>
      </c>
      <c r="C2561" t="s">
        <v>40</v>
      </c>
      <c r="D2561">
        <v>3.9346679999999998</v>
      </c>
      <c r="E2561">
        <v>0.53720800000000002</v>
      </c>
      <c r="F2561" t="s">
        <v>50</v>
      </c>
      <c r="G2561">
        <v>0</v>
      </c>
      <c r="H2561">
        <v>0</v>
      </c>
      <c r="I2561">
        <v>0</v>
      </c>
      <c r="J2561">
        <v>-373.09609999999998</v>
      </c>
      <c r="K2561">
        <v>1.1098059999999901</v>
      </c>
      <c r="L2561">
        <v>285.02949999999998</v>
      </c>
      <c r="M2561">
        <v>-0.99988410000000005</v>
      </c>
      <c r="N2561">
        <v>-1.3772100000000001E-2</v>
      </c>
      <c r="O2561">
        <v>-6.4684740000000001E-3</v>
      </c>
      <c r="P2561">
        <v>-0.97693490000000005</v>
      </c>
      <c r="Q2561">
        <v>0.19823840000000001</v>
      </c>
      <c r="R2561">
        <v>-7.9369510000000004E-2</v>
      </c>
      <c r="S2561">
        <v>-3.0700069999999999</v>
      </c>
      <c r="T2561">
        <v>-1.665664E-2</v>
      </c>
      <c r="U2561">
        <v>-4.3426510000000001E-2</v>
      </c>
      <c r="V2561">
        <v>-7.3516540000000005E-2</v>
      </c>
      <c r="W2561">
        <v>0.2115185</v>
      </c>
      <c r="X2561">
        <v>0.9746051</v>
      </c>
      <c r="Y2561">
        <v>-7.6750849999999999E-3</v>
      </c>
      <c r="Z2561">
        <v>-1.2767129999999901E-4</v>
      </c>
      <c r="AA2561">
        <v>0.99997060000000004</v>
      </c>
      <c r="AB2561">
        <v>62</v>
      </c>
      <c r="AC2561">
        <v>-3.0700069999999999</v>
      </c>
      <c r="AD2561">
        <v>-1.665664E-2</v>
      </c>
      <c r="AE2561">
        <v>-4.3426510000000001E-2</v>
      </c>
      <c r="AF2561">
        <v>-2.35647610483204E-2</v>
      </c>
      <c r="AG2561">
        <v>-1.665664E-2</v>
      </c>
      <c r="AH2561">
        <v>3.07013333277887</v>
      </c>
      <c r="AI2561">
        <v>90.310839170789905</v>
      </c>
      <c r="AJ2561">
        <v>90.439764236223198</v>
      </c>
      <c r="AK2561">
        <v>3.0702689495644</v>
      </c>
      <c r="AL2561">
        <v>77.788644044649899</v>
      </c>
      <c r="AM2561">
        <v>94.313773349145094</v>
      </c>
      <c r="AN2561">
        <v>0.99999992922091296</v>
      </c>
    </row>
    <row r="2562" spans="1:40" x14ac:dyDescent="0.25">
      <c r="A2562" t="str">
        <f>"20190304164139035"</f>
        <v>20190304164139035</v>
      </c>
      <c r="B2562" t="str">
        <f>"1551688899023371"</f>
        <v>1551688899023371</v>
      </c>
      <c r="C2562" t="s">
        <v>40</v>
      </c>
      <c r="D2562">
        <v>3.9560689999999998</v>
      </c>
      <c r="E2562">
        <v>0.5406474</v>
      </c>
      <c r="F2562" t="s">
        <v>50</v>
      </c>
      <c r="G2562">
        <v>0</v>
      </c>
      <c r="H2562">
        <v>0</v>
      </c>
      <c r="I2562">
        <v>0</v>
      </c>
      <c r="J2562">
        <v>-373.71109999999999</v>
      </c>
      <c r="K2562">
        <v>1.1098300000000001</v>
      </c>
      <c r="L2562">
        <v>285.02539999999999</v>
      </c>
      <c r="M2562">
        <v>-0.99987669999999995</v>
      </c>
      <c r="N2562">
        <v>-1.4057740000000001E-2</v>
      </c>
      <c r="O2562">
        <v>-7.0012779999999997E-3</v>
      </c>
      <c r="P2562">
        <v>-0.97679400000000005</v>
      </c>
      <c r="Q2562">
        <v>0.1986888</v>
      </c>
      <c r="R2562">
        <v>-7.9975660000000004E-2</v>
      </c>
      <c r="S2562">
        <v>-3.0743710000000002</v>
      </c>
      <c r="T2562">
        <v>-1.081729E-2</v>
      </c>
      <c r="U2562">
        <v>1.6510009999999999E-2</v>
      </c>
      <c r="V2562">
        <v>-7.3603199999999994E-2</v>
      </c>
      <c r="W2562">
        <v>0.2122465</v>
      </c>
      <c r="X2562">
        <v>0.97444030000000004</v>
      </c>
      <c r="Y2562">
        <v>1.2371099999999999E-2</v>
      </c>
      <c r="Z2562" s="1">
        <v>3.4931549999999999E-5</v>
      </c>
      <c r="AA2562">
        <v>0.99992349999999997</v>
      </c>
      <c r="AB2562">
        <v>62</v>
      </c>
      <c r="AC2562">
        <v>-3.0743710000000002</v>
      </c>
      <c r="AD2562">
        <v>-1.081729E-2</v>
      </c>
      <c r="AE2562">
        <v>1.6510009999999999E-2</v>
      </c>
      <c r="AF2562">
        <v>3.8035787026820901E-2</v>
      </c>
      <c r="AG2562">
        <v>-1.081729E-2</v>
      </c>
      <c r="AH2562">
        <v>3.0741419748925498</v>
      </c>
      <c r="AI2562">
        <v>90.201596112171103</v>
      </c>
      <c r="AJ2562">
        <v>89.291126145618193</v>
      </c>
      <c r="AK2562">
        <v>3.07439630117101</v>
      </c>
      <c r="AL2562">
        <v>77.745963957572499</v>
      </c>
      <c r="AM2562">
        <v>94.319566770311695</v>
      </c>
      <c r="AN2562">
        <v>0.99999995303828804</v>
      </c>
    </row>
    <row r="2563" spans="1:40" x14ac:dyDescent="0.25">
      <c r="A2563" t="str">
        <f>"20190304164139048"</f>
        <v>20190304164139048</v>
      </c>
      <c r="B2563" t="str">
        <f>"1551688899033131"</f>
        <v>1551688899033131</v>
      </c>
      <c r="C2563" t="s">
        <v>40</v>
      </c>
      <c r="D2563">
        <v>3.8969019999999999</v>
      </c>
      <c r="E2563">
        <v>0.54180309999999998</v>
      </c>
      <c r="F2563" t="s">
        <v>50</v>
      </c>
      <c r="G2563">
        <v>0</v>
      </c>
      <c r="H2563">
        <v>0</v>
      </c>
      <c r="I2563">
        <v>0</v>
      </c>
      <c r="J2563">
        <v>-374.09190000000001</v>
      </c>
      <c r="K2563">
        <v>1.109842</v>
      </c>
      <c r="L2563">
        <v>285.02269999999999</v>
      </c>
      <c r="M2563">
        <v>-0.99987219999999999</v>
      </c>
      <c r="N2563">
        <v>-1.4217840000000001E-2</v>
      </c>
      <c r="O2563">
        <v>-7.3272390000000001E-3</v>
      </c>
      <c r="P2563">
        <v>-0.97664960000000001</v>
      </c>
      <c r="Q2563">
        <v>0.19926730000000001</v>
      </c>
      <c r="R2563">
        <v>-8.0302299999999993E-2</v>
      </c>
      <c r="S2563">
        <v>-3.0768430000000002</v>
      </c>
      <c r="T2563">
        <v>-1.0465739999999999E-2</v>
      </c>
      <c r="U2563">
        <v>4.1778559999999999E-2</v>
      </c>
      <c r="V2563">
        <v>-7.3612070000000002E-2</v>
      </c>
      <c r="W2563">
        <v>0.2129798</v>
      </c>
      <c r="X2563">
        <v>0.97427960000000002</v>
      </c>
      <c r="Y2563">
        <v>2.0903020000000001E-2</v>
      </c>
      <c r="Z2563">
        <v>1.049069E-4</v>
      </c>
      <c r="AA2563">
        <v>0.99978149999999999</v>
      </c>
      <c r="AB2563">
        <v>62</v>
      </c>
      <c r="AC2563">
        <v>-3.0768430000000002</v>
      </c>
      <c r="AD2563">
        <v>-1.0465739999999999E-2</v>
      </c>
      <c r="AE2563">
        <v>4.1778559999999999E-2</v>
      </c>
      <c r="AF2563">
        <v>6.4323734375852801E-2</v>
      </c>
      <c r="AG2563">
        <v>-1.0465739999999999E-2</v>
      </c>
      <c r="AH2563">
        <v>3.0764186471113</v>
      </c>
      <c r="AI2563">
        <v>90.194872498905994</v>
      </c>
      <c r="AJ2563">
        <v>88.802197618730006</v>
      </c>
      <c r="AK2563">
        <v>3.0771088324614002</v>
      </c>
      <c r="AL2563">
        <v>77.702965651661799</v>
      </c>
      <c r="AM2563">
        <v>94.320795222221406</v>
      </c>
      <c r="AN2563">
        <v>0.99999993551694</v>
      </c>
    </row>
    <row r="2564" spans="1:40" x14ac:dyDescent="0.25">
      <c r="A2564" t="str">
        <f>"20190304164139060"</f>
        <v>20190304164139060</v>
      </c>
      <c r="B2564" t="str">
        <f>"1551688899053160"</f>
        <v>1551688899053160</v>
      </c>
      <c r="C2564" t="s">
        <v>40</v>
      </c>
      <c r="D2564">
        <v>3.962914</v>
      </c>
      <c r="E2564">
        <v>0.54340149999999998</v>
      </c>
      <c r="F2564" t="s">
        <v>50</v>
      </c>
      <c r="G2564">
        <v>0</v>
      </c>
      <c r="H2564">
        <v>0</v>
      </c>
      <c r="I2564">
        <v>0</v>
      </c>
      <c r="J2564">
        <v>-374.44650000000001</v>
      </c>
      <c r="K2564">
        <v>1.109847</v>
      </c>
      <c r="L2564">
        <v>285.02010000000001</v>
      </c>
      <c r="M2564">
        <v>-0.99986779999999997</v>
      </c>
      <c r="N2564">
        <v>-1.4358030000000001E-2</v>
      </c>
      <c r="O2564">
        <v>-7.6286069999999999E-3</v>
      </c>
      <c r="P2564">
        <v>-0.97651909999999997</v>
      </c>
      <c r="Q2564">
        <v>0.1998298</v>
      </c>
      <c r="R2564">
        <v>-8.0489210000000005E-2</v>
      </c>
      <c r="S2564">
        <v>-3.0781559999999999</v>
      </c>
      <c r="T2564">
        <v>-1.134491E-2</v>
      </c>
      <c r="U2564">
        <v>4.977417E-2</v>
      </c>
      <c r="V2564">
        <v>-7.3505829999999994E-2</v>
      </c>
      <c r="W2564">
        <v>0.2136777</v>
      </c>
      <c r="X2564">
        <v>0.97413490000000003</v>
      </c>
      <c r="Y2564">
        <v>2.3794719999999998E-2</v>
      </c>
      <c r="Z2564">
        <v>1.3327559999999999E-4</v>
      </c>
      <c r="AA2564">
        <v>0.99971690000000002</v>
      </c>
      <c r="AB2564">
        <v>62</v>
      </c>
      <c r="AC2564">
        <v>-3.0781559999999999</v>
      </c>
      <c r="AD2564">
        <v>-1.134491E-2</v>
      </c>
      <c r="AE2564">
        <v>4.977417E-2</v>
      </c>
      <c r="AF2564">
        <v>7.3256190151553699E-2</v>
      </c>
      <c r="AG2564">
        <v>-1.134491E-2</v>
      </c>
      <c r="AH2564">
        <v>3.0776448707115902</v>
      </c>
      <c r="AI2564">
        <v>90.2111447184366</v>
      </c>
      <c r="AJ2564">
        <v>88.636464476722907</v>
      </c>
      <c r="AK2564">
        <v>3.0785374980006002</v>
      </c>
      <c r="AL2564">
        <v>77.662038005972505</v>
      </c>
      <c r="AM2564">
        <v>94.315221312019801</v>
      </c>
      <c r="AN2564">
        <v>1.0000000349596401</v>
      </c>
    </row>
    <row r="2565" spans="1:40" x14ac:dyDescent="0.25">
      <c r="A2565" t="str">
        <f>"20190304164139079"</f>
        <v>20190304164139079</v>
      </c>
      <c r="B2565" t="str">
        <f>"1551688899073656"</f>
        <v>1551688899073656</v>
      </c>
      <c r="C2565" t="s">
        <v>40</v>
      </c>
      <c r="D2565">
        <v>3.9850850000000002</v>
      </c>
      <c r="E2565">
        <v>0.54449550000000002</v>
      </c>
      <c r="F2565" t="s">
        <v>50</v>
      </c>
      <c r="G2565">
        <v>0</v>
      </c>
      <c r="H2565">
        <v>0</v>
      </c>
      <c r="I2565">
        <v>0</v>
      </c>
      <c r="J2565">
        <v>-374.96870000000001</v>
      </c>
      <c r="K2565">
        <v>1.1098520000000001</v>
      </c>
      <c r="L2565">
        <v>285.01589999999999</v>
      </c>
      <c r="M2565">
        <v>-0.99986180000000002</v>
      </c>
      <c r="N2565">
        <v>-1.454298E-2</v>
      </c>
      <c r="O2565">
        <v>-8.0697809999999998E-3</v>
      </c>
      <c r="P2565">
        <v>-0.97653829999999997</v>
      </c>
      <c r="Q2565">
        <v>0.19963030000000001</v>
      </c>
      <c r="R2565">
        <v>-8.0751749999999997E-2</v>
      </c>
      <c r="S2565">
        <v>-3.0800480000000001</v>
      </c>
      <c r="T2565">
        <v>-1.383674E-2</v>
      </c>
      <c r="U2565">
        <v>6.14624E-2</v>
      </c>
      <c r="V2565">
        <v>-7.3334720000000006E-2</v>
      </c>
      <c r="W2565">
        <v>0.2136605</v>
      </c>
      <c r="X2565">
        <v>0.97415160000000001</v>
      </c>
      <c r="Y2565">
        <v>2.8017819999999999E-2</v>
      </c>
      <c r="Z2565">
        <v>1.8558950000000001E-4</v>
      </c>
      <c r="AA2565">
        <v>0.99960740000000003</v>
      </c>
      <c r="AB2565">
        <v>62</v>
      </c>
      <c r="AC2565">
        <v>-3.0800480000000001</v>
      </c>
      <c r="AD2565">
        <v>-1.383674E-2</v>
      </c>
      <c r="AE2565">
        <v>6.14624E-2</v>
      </c>
      <c r="AF2565">
        <v>8.6316595691724896E-2</v>
      </c>
      <c r="AG2565">
        <v>-1.383674E-2</v>
      </c>
      <c r="AH2565">
        <v>3.0793895263615001</v>
      </c>
      <c r="AI2565">
        <v>90.257346530392994</v>
      </c>
      <c r="AJ2565">
        <v>88.394395399234199</v>
      </c>
      <c r="AK2565">
        <v>3.0806301084568002</v>
      </c>
      <c r="AL2565">
        <v>77.663047167807605</v>
      </c>
      <c r="AM2565">
        <v>94.305140440217301</v>
      </c>
      <c r="AN2565">
        <v>1.0000000651001399</v>
      </c>
    </row>
    <row r="2566" spans="1:40" x14ac:dyDescent="0.25">
      <c r="A2566" t="str">
        <f>"20190304164139092"</f>
        <v>20190304164139092</v>
      </c>
      <c r="B2566" t="str">
        <f>"1551688899083419"</f>
        <v>1551688899083419</v>
      </c>
      <c r="C2566" t="s">
        <v>40</v>
      </c>
      <c r="D2566">
        <v>3.9844729999999999</v>
      </c>
      <c r="E2566">
        <v>0.54492039999999997</v>
      </c>
      <c r="F2566" t="s">
        <v>50</v>
      </c>
      <c r="G2566">
        <v>0</v>
      </c>
      <c r="H2566">
        <v>0</v>
      </c>
      <c r="I2566">
        <v>0</v>
      </c>
      <c r="J2566">
        <v>-375.32170000000002</v>
      </c>
      <c r="K2566">
        <v>1.1098539999999999</v>
      </c>
      <c r="L2566">
        <v>285.01299999999998</v>
      </c>
      <c r="M2566">
        <v>-0.99985760000000001</v>
      </c>
      <c r="N2566">
        <v>-1.4655690000000001E-2</v>
      </c>
      <c r="O2566">
        <v>-8.3665110000000001E-3</v>
      </c>
      <c r="P2566">
        <v>-0.97649359999999996</v>
      </c>
      <c r="Q2566">
        <v>0.1997188</v>
      </c>
      <c r="R2566">
        <v>-8.1071470000000007E-2</v>
      </c>
      <c r="S2566">
        <v>-3.0813600000000001</v>
      </c>
      <c r="T2566">
        <v>-1.7276759999999999E-2</v>
      </c>
      <c r="U2566">
        <v>6.9366460000000005E-2</v>
      </c>
      <c r="V2566">
        <v>-7.3363020000000001E-2</v>
      </c>
      <c r="W2566">
        <v>0.2138593</v>
      </c>
      <c r="X2566">
        <v>0.97410580000000002</v>
      </c>
      <c r="Y2566">
        <v>3.0868340000000001E-2</v>
      </c>
      <c r="Z2566">
        <v>2.3706779999999999E-4</v>
      </c>
      <c r="AA2566">
        <v>0.99952350000000001</v>
      </c>
      <c r="AB2566">
        <v>62</v>
      </c>
      <c r="AC2566">
        <v>-3.0813600000000001</v>
      </c>
      <c r="AD2566">
        <v>-1.7276759999999999E-2</v>
      </c>
      <c r="AE2566">
        <v>6.9366460000000005E-2</v>
      </c>
      <c r="AF2566">
        <v>9.5144043478676693E-2</v>
      </c>
      <c r="AG2566">
        <v>-1.7276759999999999E-2</v>
      </c>
      <c r="AH2566">
        <v>3.0805749173857602</v>
      </c>
      <c r="AI2566">
        <v>90.321174881334102</v>
      </c>
      <c r="AJ2566">
        <v>88.230973133547096</v>
      </c>
      <c r="AK2566">
        <v>3.08209225966255</v>
      </c>
      <c r="AL2566">
        <v>77.651386713164001</v>
      </c>
      <c r="AM2566">
        <v>94.306997284620394</v>
      </c>
      <c r="AN2566">
        <v>1.0000000212468201</v>
      </c>
    </row>
    <row r="2567" spans="1:40" x14ac:dyDescent="0.25">
      <c r="A2567" t="str">
        <f>"20190304164139105"</f>
        <v>20190304164139105</v>
      </c>
      <c r="B2567" t="str">
        <f>"1551688899093176"</f>
        <v>1551688899093176</v>
      </c>
      <c r="C2567" t="s">
        <v>40</v>
      </c>
      <c r="D2567">
        <v>3.941856</v>
      </c>
      <c r="E2567">
        <v>0.54528779999999999</v>
      </c>
      <c r="F2567" t="s">
        <v>50</v>
      </c>
      <c r="G2567">
        <v>0</v>
      </c>
      <c r="H2567">
        <v>0</v>
      </c>
      <c r="I2567">
        <v>0</v>
      </c>
      <c r="J2567">
        <v>-375.67189999999999</v>
      </c>
      <c r="K2567">
        <v>1.1098619999999999</v>
      </c>
      <c r="L2567">
        <v>285.01010000000002</v>
      </c>
      <c r="M2567">
        <v>-0.99985360000000001</v>
      </c>
      <c r="N2567">
        <v>-1.4762040000000001E-2</v>
      </c>
      <c r="O2567">
        <v>-8.6608069999999995E-3</v>
      </c>
      <c r="P2567">
        <v>-0.97640850000000001</v>
      </c>
      <c r="Q2567">
        <v>0.20001140000000001</v>
      </c>
      <c r="R2567">
        <v>-8.1377519999999995E-2</v>
      </c>
      <c r="S2567">
        <v>-3.0820310000000002</v>
      </c>
      <c r="T2567">
        <v>-1.8730879999999998E-2</v>
      </c>
      <c r="U2567">
        <v>7.1472170000000002E-2</v>
      </c>
      <c r="V2567">
        <v>-7.3381130000000003E-2</v>
      </c>
      <c r="W2567">
        <v>0.21425530000000001</v>
      </c>
      <c r="X2567">
        <v>0.97401740000000003</v>
      </c>
      <c r="Y2567">
        <v>3.1839939999999997E-2</v>
      </c>
      <c r="Z2567">
        <v>2.5659009999999999E-4</v>
      </c>
      <c r="AA2567">
        <v>0.99949290000000002</v>
      </c>
      <c r="AB2567">
        <v>62</v>
      </c>
      <c r="AC2567">
        <v>-3.0820310000000002</v>
      </c>
      <c r="AD2567">
        <v>-1.8730879999999998E-2</v>
      </c>
      <c r="AE2567">
        <v>7.1472170000000002E-2</v>
      </c>
      <c r="AF2567">
        <v>9.8161647704018501E-2</v>
      </c>
      <c r="AG2567">
        <v>-1.8730879999999998E-2</v>
      </c>
      <c r="AH2567">
        <v>3.0811825642255299</v>
      </c>
      <c r="AI2567">
        <v>90.348127037251004</v>
      </c>
      <c r="AJ2567">
        <v>88.175263435686603</v>
      </c>
      <c r="AK2567">
        <v>3.0828027100404798</v>
      </c>
      <c r="AL2567">
        <v>77.628159051036704</v>
      </c>
      <c r="AM2567">
        <v>94.308446003563006</v>
      </c>
      <c r="AN2567">
        <v>1.00000000966046</v>
      </c>
    </row>
    <row r="2568" spans="1:40" x14ac:dyDescent="0.25">
      <c r="A2568" t="str">
        <f>"20190304164139117"</f>
        <v>20190304164139117</v>
      </c>
      <c r="B2568" t="str">
        <f>"1551688899113672"</f>
        <v>1551688899113672</v>
      </c>
      <c r="C2568" t="s">
        <v>40</v>
      </c>
      <c r="D2568">
        <v>3.9797669999999998</v>
      </c>
      <c r="E2568">
        <v>0.54591659999999997</v>
      </c>
      <c r="F2568" t="s">
        <v>50</v>
      </c>
      <c r="G2568">
        <v>0</v>
      </c>
      <c r="H2568">
        <v>0</v>
      </c>
      <c r="I2568">
        <v>0</v>
      </c>
      <c r="J2568">
        <v>-376.01850000000002</v>
      </c>
      <c r="K2568">
        <v>1.1098669999999999</v>
      </c>
      <c r="L2568">
        <v>285.00700000000001</v>
      </c>
      <c r="M2568">
        <v>-0.99984969999999995</v>
      </c>
      <c r="N2568">
        <v>-1.485787E-2</v>
      </c>
      <c r="O2568">
        <v>-8.9515619999999997E-3</v>
      </c>
      <c r="P2568">
        <v>-0.97629860000000002</v>
      </c>
      <c r="Q2568">
        <v>0.2004843</v>
      </c>
      <c r="R2568">
        <v>-8.1530560000000002E-2</v>
      </c>
      <c r="S2568">
        <v>-3.0825499999999999</v>
      </c>
      <c r="T2568">
        <v>-1.921809E-2</v>
      </c>
      <c r="U2568">
        <v>7.3425290000000004E-2</v>
      </c>
      <c r="V2568">
        <v>-7.3251060000000007E-2</v>
      </c>
      <c r="W2568">
        <v>0.2148207</v>
      </c>
      <c r="X2568">
        <v>0.97390259999999995</v>
      </c>
      <c r="Y2568">
        <v>3.2759469999999999E-2</v>
      </c>
      <c r="Z2568">
        <v>2.6833910000000001E-4</v>
      </c>
      <c r="AA2568">
        <v>0.9994632</v>
      </c>
      <c r="AB2568">
        <v>62</v>
      </c>
      <c r="AC2568">
        <v>-3.0825499999999999</v>
      </c>
      <c r="AD2568">
        <v>-1.921809E-2</v>
      </c>
      <c r="AE2568">
        <v>7.3425290000000004E-2</v>
      </c>
      <c r="AF2568">
        <v>0.10101510280297001</v>
      </c>
      <c r="AG2568">
        <v>-1.921809E-2</v>
      </c>
      <c r="AH2568">
        <v>3.0816494118881899</v>
      </c>
      <c r="AI2568">
        <v>90.357117228876305</v>
      </c>
      <c r="AJ2568">
        <v>88.1225419748218</v>
      </c>
      <c r="AK2568">
        <v>3.08336447468806</v>
      </c>
      <c r="AL2568">
        <v>77.594991144614099</v>
      </c>
      <c r="AM2568">
        <v>94.301342912687701</v>
      </c>
      <c r="AN2568">
        <v>0.99999996261318602</v>
      </c>
    </row>
    <row r="2569" spans="1:40" x14ac:dyDescent="0.25">
      <c r="A2569" t="str">
        <f>"20190304164139129"</f>
        <v>20190304164139129</v>
      </c>
      <c r="B2569" t="str">
        <f>"1551688899123432"</f>
        <v>1551688899123432</v>
      </c>
      <c r="C2569" t="s">
        <v>40</v>
      </c>
      <c r="D2569">
        <v>3.9877669999999998</v>
      </c>
      <c r="E2569">
        <v>0.54612950000000005</v>
      </c>
      <c r="F2569" t="s">
        <v>43</v>
      </c>
      <c r="G2569">
        <v>-543.51599999999996</v>
      </c>
      <c r="H2569">
        <v>-0.05</v>
      </c>
      <c r="I2569">
        <v>289.21409999999997</v>
      </c>
      <c r="J2569">
        <v>-376.33640000000003</v>
      </c>
      <c r="K2569">
        <v>1.1098730000000001</v>
      </c>
      <c r="L2569">
        <v>285.00409999999999</v>
      </c>
      <c r="M2569">
        <v>-0.99984600000000001</v>
      </c>
      <c r="N2569">
        <v>-1.4939310000000001E-2</v>
      </c>
      <c r="O2569">
        <v>-9.2183609999999996E-3</v>
      </c>
      <c r="P2569">
        <v>-0.97626259999999998</v>
      </c>
      <c r="Q2569">
        <v>0.2006204</v>
      </c>
      <c r="R2569">
        <v>-8.1627140000000001E-2</v>
      </c>
      <c r="S2569">
        <v>-3.0836790000000001</v>
      </c>
      <c r="T2569">
        <v>-2.1353480000000001E-2</v>
      </c>
      <c r="U2569">
        <v>7.7453610000000006E-2</v>
      </c>
      <c r="V2569">
        <v>-7.3085430000000007E-2</v>
      </c>
      <c r="W2569">
        <v>0.2150368</v>
      </c>
      <c r="X2569">
        <v>0.97386740000000005</v>
      </c>
      <c r="Y2569">
        <v>3.4321869999999997E-2</v>
      </c>
      <c r="Z2569">
        <v>3.0137399999999998E-4</v>
      </c>
      <c r="AA2569">
        <v>0.99941080000000004</v>
      </c>
      <c r="AB2569">
        <v>62</v>
      </c>
      <c r="AC2569">
        <v>-167.179599999999</v>
      </c>
      <c r="AD2569">
        <v>-1.1598729999999999</v>
      </c>
      <c r="AE2569">
        <v>4.2099999999999804</v>
      </c>
      <c r="AF2569">
        <v>5.75083820732379</v>
      </c>
      <c r="AG2569">
        <v>-1.1598729999999999</v>
      </c>
      <c r="AH2569">
        <v>167.12564195673599</v>
      </c>
      <c r="AI2569">
        <v>90.397398344762706</v>
      </c>
      <c r="AJ2569">
        <v>88.029214446619207</v>
      </c>
      <c r="AK2569">
        <v>167.22857903155801</v>
      </c>
      <c r="AL2569">
        <v>77.582313826681201</v>
      </c>
      <c r="AM2569">
        <v>94.291807945819897</v>
      </c>
      <c r="AN2569">
        <v>1.00000000910764</v>
      </c>
    </row>
    <row r="2570" spans="1:40" x14ac:dyDescent="0.25">
      <c r="A2570" t="str">
        <f>"20190304164139146"</f>
        <v>20190304164139146</v>
      </c>
      <c r="B2570" t="str">
        <f>"1551688899133192"</f>
        <v>1551688899133192</v>
      </c>
      <c r="C2570" t="s">
        <v>40</v>
      </c>
      <c r="D2570">
        <v>4.0179179999999999</v>
      </c>
      <c r="E2570">
        <v>0.54627019999999904</v>
      </c>
      <c r="F2570" t="s">
        <v>43</v>
      </c>
      <c r="G2570">
        <v>-533.24959999999999</v>
      </c>
      <c r="H2570">
        <v>-0.05</v>
      </c>
      <c r="I2570">
        <v>288.99430000000001</v>
      </c>
      <c r="J2570">
        <v>-376.81029999999998</v>
      </c>
      <c r="K2570">
        <v>1.1098760000000001</v>
      </c>
      <c r="L2570">
        <v>284.99959999999999</v>
      </c>
      <c r="M2570">
        <v>-0.99984059999999997</v>
      </c>
      <c r="N2570">
        <v>-1.5051439999999999E-2</v>
      </c>
      <c r="O2570">
        <v>-9.616276E-3</v>
      </c>
      <c r="P2570">
        <v>-0.97611809999999999</v>
      </c>
      <c r="Q2570">
        <v>0.20157949999999999</v>
      </c>
      <c r="R2570">
        <v>-8.098996E-2</v>
      </c>
      <c r="S2570">
        <v>-3.0841980000000002</v>
      </c>
      <c r="T2570">
        <v>-2.279782E-2</v>
      </c>
      <c r="U2570">
        <v>7.8430180000000002E-2</v>
      </c>
      <c r="V2570">
        <v>-7.2060719999999995E-2</v>
      </c>
      <c r="W2570">
        <v>0.2161063</v>
      </c>
      <c r="X2570">
        <v>0.97370699999999999</v>
      </c>
      <c r="Y2570">
        <v>3.5031359999999998E-2</v>
      </c>
      <c r="Z2570">
        <v>3.195025E-4</v>
      </c>
      <c r="AA2570">
        <v>0.9993862</v>
      </c>
      <c r="AB2570">
        <v>62</v>
      </c>
      <c r="AC2570">
        <v>-156.4393</v>
      </c>
      <c r="AD2570">
        <v>-1.1598759999999999</v>
      </c>
      <c r="AE2570">
        <v>3.9947000000000199</v>
      </c>
      <c r="AF2570">
        <v>5.4987469153991801</v>
      </c>
      <c r="AG2570">
        <v>-1.1598759999999999</v>
      </c>
      <c r="AH2570">
        <v>156.38505552631</v>
      </c>
      <c r="AI2570">
        <v>90.424680862973702</v>
      </c>
      <c r="AJ2570">
        <v>87.986219028695899</v>
      </c>
      <c r="AK2570">
        <v>156.485996568198</v>
      </c>
      <c r="AL2570">
        <v>77.519560433069302</v>
      </c>
      <c r="AM2570">
        <v>94.232548465211593</v>
      </c>
      <c r="AN2570">
        <v>1.0000000010578001</v>
      </c>
    </row>
    <row r="2571" spans="1:40" x14ac:dyDescent="0.25">
      <c r="A2571" t="str">
        <f>"20190304164139158"</f>
        <v>20190304164139158</v>
      </c>
      <c r="B2571" t="str">
        <f>"1551688899143459"</f>
        <v>1551688899143459</v>
      </c>
      <c r="C2571" t="s">
        <v>40</v>
      </c>
      <c r="D2571">
        <v>3.9899439999999999</v>
      </c>
      <c r="E2571">
        <v>0.54633469999999995</v>
      </c>
      <c r="F2571" t="s">
        <v>43</v>
      </c>
      <c r="G2571">
        <v>-535.86019999999996</v>
      </c>
      <c r="H2571">
        <v>-0.05</v>
      </c>
      <c r="I2571">
        <v>289.1474</v>
      </c>
      <c r="J2571">
        <v>-377.14800000000002</v>
      </c>
      <c r="K2571">
        <v>1.1098790000000001</v>
      </c>
      <c r="L2571">
        <v>284.99630000000002</v>
      </c>
      <c r="M2571">
        <v>-0.99983670000000002</v>
      </c>
      <c r="N2571">
        <v>-1.5123960000000001E-2</v>
      </c>
      <c r="O2571">
        <v>-9.8993390000000001E-3</v>
      </c>
      <c r="P2571">
        <v>-0.976051</v>
      </c>
      <c r="Q2571">
        <v>0.20189570000000001</v>
      </c>
      <c r="R2571">
        <v>-8.1011639999999996E-2</v>
      </c>
      <c r="S2571">
        <v>-3.0847169999999999</v>
      </c>
      <c r="T2571">
        <v>-2.2495390000000001E-2</v>
      </c>
      <c r="U2571">
        <v>8.0444340000000003E-2</v>
      </c>
      <c r="V2571">
        <v>-7.1805569999999999E-2</v>
      </c>
      <c r="W2571">
        <v>0.2164932</v>
      </c>
      <c r="X2571">
        <v>0.9736399</v>
      </c>
      <c r="Y2571">
        <v>3.5962069999999999E-2</v>
      </c>
      <c r="Z2571">
        <v>3.2560059999999999E-4</v>
      </c>
      <c r="AA2571">
        <v>0.99935309999999999</v>
      </c>
      <c r="AB2571">
        <v>62</v>
      </c>
      <c r="AC2571">
        <v>-158.712199999999</v>
      </c>
      <c r="AD2571">
        <v>-1.1598790000000001</v>
      </c>
      <c r="AE2571">
        <v>4.15109999999998</v>
      </c>
      <c r="AF2571">
        <v>5.7219166303816902</v>
      </c>
      <c r="AG2571">
        <v>-1.1598790000000001</v>
      </c>
      <c r="AH2571">
        <v>158.654855919775</v>
      </c>
      <c r="AI2571">
        <v>90.418593001039994</v>
      </c>
      <c r="AJ2571">
        <v>87.934512362560596</v>
      </c>
      <c r="AK2571">
        <v>158.76224033486099</v>
      </c>
      <c r="AL2571">
        <v>77.496855183921895</v>
      </c>
      <c r="AM2571">
        <v>94.217905799346099</v>
      </c>
      <c r="AN2571">
        <v>1.00000000020063</v>
      </c>
    </row>
    <row r="2572" spans="1:40" x14ac:dyDescent="0.25">
      <c r="A2572" t="str">
        <f>"20190304164139171"</f>
        <v>20190304164139171</v>
      </c>
      <c r="B2572" t="str">
        <f>"1551688899163956"</f>
        <v>1551688899163956</v>
      </c>
      <c r="C2572" t="s">
        <v>40</v>
      </c>
      <c r="D2572">
        <v>3.9874900000000002</v>
      </c>
      <c r="E2572">
        <v>0.54646099999999997</v>
      </c>
      <c r="F2572" t="s">
        <v>43</v>
      </c>
      <c r="G2572">
        <v>-532.57039999999995</v>
      </c>
      <c r="H2572">
        <v>-0.05</v>
      </c>
      <c r="I2572">
        <v>289.05520000000001</v>
      </c>
      <c r="J2572">
        <v>-377.52960000000002</v>
      </c>
      <c r="K2572">
        <v>1.109885</v>
      </c>
      <c r="L2572">
        <v>284.99250000000001</v>
      </c>
      <c r="M2572">
        <v>-0.99983230000000001</v>
      </c>
      <c r="N2572">
        <v>-1.519857E-2</v>
      </c>
      <c r="O2572">
        <v>-1.0219489999999999E-2</v>
      </c>
      <c r="P2572">
        <v>-0.97601769999999999</v>
      </c>
      <c r="Q2572">
        <v>0.2020518</v>
      </c>
      <c r="R2572">
        <v>-8.1023629999999999E-2</v>
      </c>
      <c r="S2572">
        <v>-3.0850219999999999</v>
      </c>
      <c r="T2572">
        <v>-2.3022770000000001E-2</v>
      </c>
      <c r="U2572">
        <v>8.0566410000000005E-2</v>
      </c>
      <c r="V2572">
        <v>-7.1504230000000002E-2</v>
      </c>
      <c r="W2572">
        <v>0.2167231</v>
      </c>
      <c r="X2572">
        <v>0.97361089999999995</v>
      </c>
      <c r="Y2572">
        <v>3.631889E-2</v>
      </c>
      <c r="Z2572">
        <v>3.3251659999999997E-4</v>
      </c>
      <c r="AA2572">
        <v>0.99934020000000001</v>
      </c>
      <c r="AB2572">
        <v>62</v>
      </c>
      <c r="AC2572">
        <v>-155.040799999999</v>
      </c>
      <c r="AD2572">
        <v>-1.1598850000000001</v>
      </c>
      <c r="AE2572">
        <v>4.0627000000000004</v>
      </c>
      <c r="AF2572">
        <v>5.64679286102783</v>
      </c>
      <c r="AG2572">
        <v>-1.1598850000000001</v>
      </c>
      <c r="AH2572">
        <v>154.98251025713199</v>
      </c>
      <c r="AI2572">
        <v>90.428507770651095</v>
      </c>
      <c r="AJ2572">
        <v>87.9133494124099</v>
      </c>
      <c r="AK2572">
        <v>155.089684016799</v>
      </c>
      <c r="AL2572">
        <v>77.483362176465604</v>
      </c>
      <c r="AM2572">
        <v>94.200393036311695</v>
      </c>
      <c r="AN2572">
        <v>0.99999997079015601</v>
      </c>
    </row>
    <row r="2573" spans="1:40" x14ac:dyDescent="0.25">
      <c r="A2573" t="str">
        <f>"20190304164139191"</f>
        <v>20190304164139191</v>
      </c>
      <c r="B2573" t="str">
        <f>"1551688899183475"</f>
        <v>1551688899183475</v>
      </c>
      <c r="C2573" t="s">
        <v>40</v>
      </c>
      <c r="D2573">
        <v>3.98603</v>
      </c>
      <c r="E2573">
        <v>0.54676069999999999</v>
      </c>
      <c r="F2573" t="s">
        <v>45</v>
      </c>
      <c r="G2573">
        <v>-499.96850000000001</v>
      </c>
      <c r="H2573">
        <v>6.0737140000000002E-2</v>
      </c>
      <c r="I2573">
        <v>288.22300000000001</v>
      </c>
      <c r="J2573">
        <v>-378.04939999999999</v>
      </c>
      <c r="K2573">
        <v>1.10989</v>
      </c>
      <c r="L2573">
        <v>284.9871</v>
      </c>
      <c r="M2573">
        <v>-0.9998264</v>
      </c>
      <c r="N2573">
        <v>-1.529051E-2</v>
      </c>
      <c r="O2573">
        <v>-1.065529E-2</v>
      </c>
      <c r="P2573">
        <v>-0.97593589999999997</v>
      </c>
      <c r="Q2573">
        <v>0.2024174</v>
      </c>
      <c r="R2573">
        <v>-8.1097219999999998E-2</v>
      </c>
      <c r="S2573">
        <v>-3.0859679999999998</v>
      </c>
      <c r="T2573">
        <v>-2.644289E-2</v>
      </c>
      <c r="U2573">
        <v>8.1420899999999893E-2</v>
      </c>
      <c r="V2573">
        <v>-7.1151430000000002E-2</v>
      </c>
      <c r="W2573">
        <v>0.21717890000000001</v>
      </c>
      <c r="X2573">
        <v>0.97353520000000004</v>
      </c>
      <c r="Y2573">
        <v>3.7022359999999997E-2</v>
      </c>
      <c r="Z2573">
        <v>3.7009480000000001E-4</v>
      </c>
      <c r="AA2573">
        <v>0.99931440000000005</v>
      </c>
      <c r="AB2573">
        <v>62</v>
      </c>
      <c r="AC2573">
        <v>-121.9191</v>
      </c>
      <c r="AD2573">
        <v>-1.04915286</v>
      </c>
      <c r="AE2573">
        <v>3.2359000000000102</v>
      </c>
      <c r="AF2573">
        <v>4.5346158477926197</v>
      </c>
      <c r="AG2573">
        <v>-1.04915286</v>
      </c>
      <c r="AH2573">
        <v>121.868675440491</v>
      </c>
      <c r="AI2573">
        <v>90.492899254729906</v>
      </c>
      <c r="AJ2573">
        <v>87.869062390540705</v>
      </c>
      <c r="AK2573">
        <v>121.957523409712</v>
      </c>
      <c r="AL2573">
        <v>77.456609863590799</v>
      </c>
      <c r="AM2573">
        <v>94.180065892967505</v>
      </c>
      <c r="AN2573">
        <v>0.99999999311764698</v>
      </c>
    </row>
    <row r="2574" spans="1:40" x14ac:dyDescent="0.25">
      <c r="A2574" t="str">
        <f>"20190304164139204"</f>
        <v>20190304164139204</v>
      </c>
      <c r="B2574" t="str">
        <f>"1551688899193235"</f>
        <v>1551688899193235</v>
      </c>
      <c r="C2574" t="s">
        <v>40</v>
      </c>
      <c r="D2574">
        <v>3.988864</v>
      </c>
      <c r="E2574">
        <v>0.54689100000000002</v>
      </c>
      <c r="F2574" t="s">
        <v>45</v>
      </c>
      <c r="G2574">
        <v>-499.95780000000002</v>
      </c>
      <c r="H2574">
        <v>3.7276890000000002E-3</v>
      </c>
      <c r="I2574">
        <v>288.27390000000003</v>
      </c>
      <c r="J2574">
        <v>-378.42230000000001</v>
      </c>
      <c r="K2574">
        <v>1.1098950000000001</v>
      </c>
      <c r="L2574">
        <v>284.983</v>
      </c>
      <c r="M2574">
        <v>-0.99982199999999999</v>
      </c>
      <c r="N2574">
        <v>-1.534988E-2</v>
      </c>
      <c r="O2574">
        <v>-1.096782E-2</v>
      </c>
      <c r="P2574">
        <v>-0.97592769999999995</v>
      </c>
      <c r="Q2574">
        <v>0.20239090000000001</v>
      </c>
      <c r="R2574">
        <v>-8.1259970000000001E-2</v>
      </c>
      <c r="S2574">
        <v>-3.0867</v>
      </c>
      <c r="T2574">
        <v>-2.8007859999999999E-2</v>
      </c>
      <c r="U2574">
        <v>8.3221439999999994E-2</v>
      </c>
      <c r="V2574">
        <v>-7.1007459999999994E-2</v>
      </c>
      <c r="W2574">
        <v>0.2172114</v>
      </c>
      <c r="X2574">
        <v>0.97353849999999997</v>
      </c>
      <c r="Y2574">
        <v>3.7910579999999999E-2</v>
      </c>
      <c r="Z2574">
        <v>3.941762E-4</v>
      </c>
      <c r="AA2574">
        <v>0.99928099999999997</v>
      </c>
      <c r="AB2574">
        <v>62</v>
      </c>
      <c r="AC2574">
        <v>-121.5355</v>
      </c>
      <c r="AD2574">
        <v>-1.1061673109999901</v>
      </c>
      <c r="AE2574">
        <v>3.2909000000000201</v>
      </c>
      <c r="AF2574">
        <v>4.6234558793732603</v>
      </c>
      <c r="AG2574">
        <v>-1.1061673109999901</v>
      </c>
      <c r="AH2574">
        <v>121.48203377612001</v>
      </c>
      <c r="AI2574">
        <v>90.521320868532499</v>
      </c>
      <c r="AJ2574">
        <v>87.820445464735798</v>
      </c>
      <c r="AK2574">
        <v>121.57501585758</v>
      </c>
      <c r="AL2574">
        <v>77.454702698780395</v>
      </c>
      <c r="AM2574">
        <v>94.171623617884805</v>
      </c>
      <c r="AN2574">
        <v>1.0000000313239299</v>
      </c>
    </row>
    <row r="2575" spans="1:40" x14ac:dyDescent="0.25">
      <c r="A2575" t="str">
        <f>"20190304164139219"</f>
        <v>20190304164139219</v>
      </c>
      <c r="B2575" t="str">
        <f>"1551688899213730"</f>
        <v>1551688899213730</v>
      </c>
      <c r="C2575" t="s">
        <v>40</v>
      </c>
      <c r="D2575">
        <v>3.9667599999999998</v>
      </c>
      <c r="E2575">
        <v>0.54715309999999995</v>
      </c>
      <c r="F2575" t="s">
        <v>45</v>
      </c>
      <c r="G2575">
        <v>-495.49450000000002</v>
      </c>
      <c r="H2575" s="1">
        <v>3.2996620000000002E-6</v>
      </c>
      <c r="I2575">
        <v>288.15879999999999</v>
      </c>
      <c r="J2575">
        <v>-378.85019999999997</v>
      </c>
      <c r="K2575">
        <v>1.1098969999999999</v>
      </c>
      <c r="L2575">
        <v>284.97829999999999</v>
      </c>
      <c r="M2575">
        <v>-0.99981719999999996</v>
      </c>
      <c r="N2575">
        <v>-1.5408399999999999E-2</v>
      </c>
      <c r="O2575">
        <v>-1.1326940000000001E-2</v>
      </c>
      <c r="P2575">
        <v>-0.97582999999999998</v>
      </c>
      <c r="Q2575">
        <v>0.20280409999999999</v>
      </c>
      <c r="R2575">
        <v>-8.1403130000000004E-2</v>
      </c>
      <c r="S2575">
        <v>-3.0870359999999999</v>
      </c>
      <c r="T2575">
        <v>-2.9266360000000002E-2</v>
      </c>
      <c r="U2575">
        <v>8.3740229999999999E-2</v>
      </c>
      <c r="V2575">
        <v>-7.080024E-2</v>
      </c>
      <c r="W2575">
        <v>0.21768109999999999</v>
      </c>
      <c r="X2575">
        <v>0.9734486</v>
      </c>
      <c r="Y2575">
        <v>3.8434099999999999E-2</v>
      </c>
      <c r="Z2575">
        <v>4.1119859999999998E-4</v>
      </c>
      <c r="AA2575">
        <v>0.99926110000000001</v>
      </c>
      <c r="AB2575">
        <v>62</v>
      </c>
      <c r="AC2575">
        <v>-116.6443</v>
      </c>
      <c r="AD2575">
        <v>-1.1098937003379901</v>
      </c>
      <c r="AE2575">
        <v>3.1804999999999901</v>
      </c>
      <c r="AF2575">
        <v>4.5012684356888002</v>
      </c>
      <c r="AG2575">
        <v>-1.1098937003379901</v>
      </c>
      <c r="AH2575">
        <v>116.59023754784999</v>
      </c>
      <c r="AI2575">
        <v>90.545011047518699</v>
      </c>
      <c r="AJ2575">
        <v>87.789045939035006</v>
      </c>
      <c r="AK2575">
        <v>116.68237558868999</v>
      </c>
      <c r="AL2575">
        <v>77.427130186088604</v>
      </c>
      <c r="AM2575">
        <v>94.159875211720006</v>
      </c>
      <c r="AN2575">
        <v>0.99999995606161196</v>
      </c>
    </row>
    <row r="2576" spans="1:40" x14ac:dyDescent="0.25">
      <c r="A2576" t="str">
        <f>"20190304164139234"</f>
        <v>20190304164139234</v>
      </c>
      <c r="B2576" t="str">
        <f>"1551688899223492"</f>
        <v>1551688899223492</v>
      </c>
      <c r="C2576" t="s">
        <v>40</v>
      </c>
      <c r="D2576">
        <v>3.9498280000000001</v>
      </c>
      <c r="E2576">
        <v>0.54726409999999903</v>
      </c>
      <c r="F2576" t="s">
        <v>45</v>
      </c>
      <c r="G2576">
        <v>-491.09899999999999</v>
      </c>
      <c r="H2576" s="1">
        <v>4.0706350000000004E-6</v>
      </c>
      <c r="I2576">
        <v>288.0591</v>
      </c>
      <c r="J2576">
        <v>-379.23599999999999</v>
      </c>
      <c r="K2576">
        <v>1.1098969999999999</v>
      </c>
      <c r="L2576">
        <v>284.97379999999998</v>
      </c>
      <c r="M2576">
        <v>-0.99981279999999995</v>
      </c>
      <c r="N2576">
        <v>-1.545322E-2</v>
      </c>
      <c r="O2576">
        <v>-1.1650199999999999E-2</v>
      </c>
      <c r="P2576">
        <v>-0.97571289999999999</v>
      </c>
      <c r="Q2576">
        <v>0.20328099999999999</v>
      </c>
      <c r="R2576">
        <v>-8.1617529999999994E-2</v>
      </c>
      <c r="S2576">
        <v>-3.0877379999999999</v>
      </c>
      <c r="T2576">
        <v>-3.0530930000000001E-2</v>
      </c>
      <c r="U2576">
        <v>8.4747310000000006E-2</v>
      </c>
      <c r="V2576">
        <v>-7.0700410000000005E-2</v>
      </c>
      <c r="W2576">
        <v>0.21820039999999999</v>
      </c>
      <c r="X2576">
        <v>0.97333959999999997</v>
      </c>
      <c r="Y2576">
        <v>3.9076340000000001E-2</v>
      </c>
      <c r="Z2576">
        <v>4.303345E-4</v>
      </c>
      <c r="AA2576">
        <v>0.99923609999999896</v>
      </c>
      <c r="AB2576">
        <v>62</v>
      </c>
      <c r="AC2576">
        <v>-111.863</v>
      </c>
      <c r="AD2576">
        <v>-1.1098929293649999</v>
      </c>
      <c r="AE2576">
        <v>3.0853000000000099</v>
      </c>
      <c r="AF2576">
        <v>4.38804076545832</v>
      </c>
      <c r="AG2576">
        <v>-1.1098929293649999</v>
      </c>
      <c r="AH2576">
        <v>111.80845934984301</v>
      </c>
      <c r="AI2576">
        <v>90.568303861516796</v>
      </c>
      <c r="AJ2576">
        <v>87.752520200076006</v>
      </c>
      <c r="AK2576">
        <v>111.90003729337801</v>
      </c>
      <c r="AL2576">
        <v>77.396643825854696</v>
      </c>
      <c r="AM2576">
        <v>94.154493800231293</v>
      </c>
      <c r="AN2576">
        <v>0.99999996973124305</v>
      </c>
    </row>
    <row r="2577" spans="1:40" x14ac:dyDescent="0.25">
      <c r="A2577" t="str">
        <f>"20190304164139248"</f>
        <v>20190304164139248</v>
      </c>
      <c r="B2577" t="str">
        <f>"1551688899233251"</f>
        <v>1551688899233251</v>
      </c>
      <c r="C2577" t="s">
        <v>40</v>
      </c>
      <c r="D2577">
        <v>3.9791650000000001</v>
      </c>
      <c r="E2577">
        <v>0.54736099999999999</v>
      </c>
      <c r="F2577" t="s">
        <v>45</v>
      </c>
      <c r="G2577">
        <v>-491.10129999999998</v>
      </c>
      <c r="H2577" s="1">
        <v>4.0684979999999996E-6</v>
      </c>
      <c r="I2577">
        <v>288.03930000000003</v>
      </c>
      <c r="J2577">
        <v>-379.61340000000001</v>
      </c>
      <c r="K2577">
        <v>1.1098939999999999</v>
      </c>
      <c r="L2577">
        <v>284.96940000000001</v>
      </c>
      <c r="M2577">
        <v>-0.99980829999999998</v>
      </c>
      <c r="N2577">
        <v>-1.5492880000000001E-2</v>
      </c>
      <c r="O2577">
        <v>-1.1965430000000001E-2</v>
      </c>
      <c r="P2577">
        <v>-0.97561399999999998</v>
      </c>
      <c r="Q2577">
        <v>0.203737</v>
      </c>
      <c r="R2577">
        <v>-8.1660129999999997E-2</v>
      </c>
      <c r="S2577">
        <v>-3.0881349999999999</v>
      </c>
      <c r="T2577">
        <v>-3.0639530000000002E-2</v>
      </c>
      <c r="U2577">
        <v>8.4625240000000004E-2</v>
      </c>
      <c r="V2577">
        <v>-7.0436209999999999E-2</v>
      </c>
      <c r="W2577">
        <v>0.21869549999999999</v>
      </c>
      <c r="X2577">
        <v>0.97324759999999999</v>
      </c>
      <c r="Y2577">
        <v>3.9348330000000001E-2</v>
      </c>
      <c r="Z2577">
        <v>4.334052E-4</v>
      </c>
      <c r="AA2577">
        <v>0.99922540000000004</v>
      </c>
      <c r="AB2577">
        <v>62</v>
      </c>
      <c r="AC2577">
        <v>-111.487899999999</v>
      </c>
      <c r="AD2577">
        <v>-1.1098899315019899</v>
      </c>
      <c r="AE2577">
        <v>3.0699000000000098</v>
      </c>
      <c r="AF2577">
        <v>4.4034050007046304</v>
      </c>
      <c r="AG2577">
        <v>-1.1098899315019899</v>
      </c>
      <c r="AH2577">
        <v>111.43214442624</v>
      </c>
      <c r="AI2577">
        <v>90.570215338117194</v>
      </c>
      <c r="AJ2577">
        <v>87.737050457319796</v>
      </c>
      <c r="AK2577">
        <v>111.524636931445</v>
      </c>
      <c r="AL2577">
        <v>77.367574191057699</v>
      </c>
      <c r="AM2577">
        <v>94.1394128468567</v>
      </c>
      <c r="AN2577">
        <v>0.99999993615258498</v>
      </c>
    </row>
    <row r="2578" spans="1:40" x14ac:dyDescent="0.25">
      <c r="A2578" t="str">
        <f>"20190304164139269"</f>
        <v>20190304164139269</v>
      </c>
      <c r="B2578" t="str">
        <f>"1551688899264016"</f>
        <v>1551688899264016</v>
      </c>
      <c r="C2578" t="s">
        <v>40</v>
      </c>
      <c r="D2578">
        <v>3.950704</v>
      </c>
      <c r="E2578">
        <v>0.54761419999999905</v>
      </c>
      <c r="F2578" t="s">
        <v>45</v>
      </c>
      <c r="G2578">
        <v>-491.68130000000002</v>
      </c>
      <c r="H2578" s="1">
        <v>3.9665540000000003E-6</v>
      </c>
      <c r="I2578">
        <v>288.05009999999999</v>
      </c>
      <c r="J2578">
        <v>-380.23579999999998</v>
      </c>
      <c r="K2578">
        <v>1.109904</v>
      </c>
      <c r="L2578">
        <v>284.96179999999998</v>
      </c>
      <c r="M2578">
        <v>-0.9998013</v>
      </c>
      <c r="N2578">
        <v>-1.554847E-2</v>
      </c>
      <c r="O2578">
        <v>-1.248256E-2</v>
      </c>
      <c r="P2578">
        <v>-0.97545579999999998</v>
      </c>
      <c r="Q2578">
        <v>0.20430590000000001</v>
      </c>
      <c r="R2578">
        <v>-8.2129899999999895E-2</v>
      </c>
      <c r="S2578">
        <v>-3.0884399999999999</v>
      </c>
      <c r="T2578">
        <v>-3.0587079999999999E-2</v>
      </c>
      <c r="U2578">
        <v>8.4899899999999903E-2</v>
      </c>
      <c r="V2578">
        <v>-7.0401549999999993E-2</v>
      </c>
      <c r="W2578">
        <v>0.21931709999999999</v>
      </c>
      <c r="X2578">
        <v>0.97311029999999998</v>
      </c>
      <c r="Y2578">
        <v>3.9951170000000001E-2</v>
      </c>
      <c r="Z2578">
        <v>4.3801989999999998E-4</v>
      </c>
      <c r="AA2578">
        <v>0.99920149999999996</v>
      </c>
      <c r="AB2578">
        <v>62</v>
      </c>
      <c r="AC2578">
        <v>-111.4455</v>
      </c>
      <c r="AD2578">
        <v>-1.1099000334460001</v>
      </c>
      <c r="AE2578">
        <v>3.0882999999999998</v>
      </c>
      <c r="AF2578">
        <v>4.47890861700618</v>
      </c>
      <c r="AG2578">
        <v>-1.1099000334460001</v>
      </c>
      <c r="AH2578">
        <v>111.38722123650901</v>
      </c>
      <c r="AI2578">
        <v>90.570434735741898</v>
      </c>
      <c r="AJ2578">
        <v>87.697362554061897</v>
      </c>
      <c r="AK2578">
        <v>111.482759004586</v>
      </c>
      <c r="AL2578">
        <v>77.331073988942904</v>
      </c>
      <c r="AM2578">
        <v>94.137964746691196</v>
      </c>
      <c r="AN2578">
        <v>1.00000001228045</v>
      </c>
    </row>
    <row r="2579" spans="1:40" x14ac:dyDescent="0.25">
      <c r="A2579" t="str">
        <f>"20190304164139281"</f>
        <v>20190304164139281</v>
      </c>
      <c r="B2579" t="str">
        <f>"1551688899273776"</f>
        <v>1551688899273776</v>
      </c>
      <c r="C2579" t="s">
        <v>40</v>
      </c>
      <c r="D2579">
        <v>3.954653</v>
      </c>
      <c r="E2579">
        <v>0.54767909999999997</v>
      </c>
      <c r="F2579" t="s">
        <v>45</v>
      </c>
      <c r="G2579">
        <v>-486.07400000000001</v>
      </c>
      <c r="H2579" s="1">
        <v>3.5677440000000001E-6</v>
      </c>
      <c r="I2579">
        <v>287.87130000000002</v>
      </c>
      <c r="J2579">
        <v>-380.56610000000001</v>
      </c>
      <c r="K2579">
        <v>1.109907</v>
      </c>
      <c r="L2579">
        <v>284.95760000000001</v>
      </c>
      <c r="M2579">
        <v>-0.99979750000000001</v>
      </c>
      <c r="N2579">
        <v>-1.557504E-2</v>
      </c>
      <c r="O2579">
        <v>-1.2755590000000001E-2</v>
      </c>
      <c r="P2579">
        <v>-0.97538539999999996</v>
      </c>
      <c r="Q2579">
        <v>0.2044376</v>
      </c>
      <c r="R2579">
        <v>-8.2636860000000006E-2</v>
      </c>
      <c r="S2579">
        <v>-3.0894170000000001</v>
      </c>
      <c r="T2579">
        <v>-3.2397990000000002E-2</v>
      </c>
      <c r="U2579">
        <v>8.4930420000000006E-2</v>
      </c>
      <c r="V2579">
        <v>-7.0641670000000004E-2</v>
      </c>
      <c r="W2579">
        <v>0.2194739</v>
      </c>
      <c r="X2579">
        <v>0.97305750000000002</v>
      </c>
      <c r="Y2579">
        <v>4.022481E-2</v>
      </c>
      <c r="Z2579">
        <v>4.5931720000000001E-4</v>
      </c>
      <c r="AA2579">
        <v>0.99919060000000004</v>
      </c>
      <c r="AB2579">
        <v>62</v>
      </c>
      <c r="AC2579">
        <v>-105.50790000000001</v>
      </c>
      <c r="AD2579">
        <v>-1.109903432256</v>
      </c>
      <c r="AE2579">
        <v>2.9137</v>
      </c>
      <c r="AF2579">
        <v>4.2589705052425098</v>
      </c>
      <c r="AG2579">
        <v>-1.109903432256</v>
      </c>
      <c r="AH2579">
        <v>105.45048325008401</v>
      </c>
      <c r="AI2579">
        <v>90.602544762647398</v>
      </c>
      <c r="AJ2579">
        <v>87.687175313511403</v>
      </c>
      <c r="AK2579">
        <v>105.542290732529</v>
      </c>
      <c r="AL2579">
        <v>77.321865092427004</v>
      </c>
      <c r="AM2579">
        <v>94.152253421545197</v>
      </c>
      <c r="AN2579">
        <v>0.99999996831392302</v>
      </c>
    </row>
    <row r="2580" spans="1:40" x14ac:dyDescent="0.25">
      <c r="A2580" t="str">
        <f>"20190304164139297"</f>
        <v>20190304164139297</v>
      </c>
      <c r="B2580" t="str">
        <f>"1551688899283535"</f>
        <v>1551688899283535</v>
      </c>
      <c r="C2580" t="s">
        <v>40</v>
      </c>
      <c r="D2580">
        <v>3.935851</v>
      </c>
      <c r="E2580">
        <v>0.54774599999999996</v>
      </c>
      <c r="F2580" t="s">
        <v>45</v>
      </c>
      <c r="G2580">
        <v>-484.0421</v>
      </c>
      <c r="H2580" s="1">
        <v>3.1978449999999999E-6</v>
      </c>
      <c r="I2580">
        <v>287.76310000000001</v>
      </c>
      <c r="J2580">
        <v>-380.97829999999999</v>
      </c>
      <c r="K2580">
        <v>1.109912</v>
      </c>
      <c r="L2580">
        <v>284.95229999999998</v>
      </c>
      <c r="M2580">
        <v>-0.99979260000000003</v>
      </c>
      <c r="N2580">
        <v>-1.560367E-2</v>
      </c>
      <c r="O2580">
        <v>-1.3092370000000001E-2</v>
      </c>
      <c r="P2580">
        <v>-0.975298</v>
      </c>
      <c r="Q2580">
        <v>0.20476449999999999</v>
      </c>
      <c r="R2580">
        <v>-8.2859710000000003E-2</v>
      </c>
      <c r="S2580">
        <v>-3.0897830000000002</v>
      </c>
      <c r="T2580">
        <v>-3.3141610000000002E-2</v>
      </c>
      <c r="U2580">
        <v>8.3770750000000005E-2</v>
      </c>
      <c r="V2580">
        <v>-7.0534739999999999E-2</v>
      </c>
      <c r="W2580">
        <v>0.21982879999999999</v>
      </c>
      <c r="X2580">
        <v>0.97298510000000005</v>
      </c>
      <c r="Y2580">
        <v>4.0183219999999999E-2</v>
      </c>
      <c r="Z2580">
        <v>4.652053E-4</v>
      </c>
      <c r="AA2580">
        <v>0.99919219999999997</v>
      </c>
      <c r="AB2580">
        <v>62</v>
      </c>
      <c r="AC2580">
        <v>-103.0638</v>
      </c>
      <c r="AD2580">
        <v>-1.1099088021549901</v>
      </c>
      <c r="AE2580">
        <v>2.8108000000000199</v>
      </c>
      <c r="AF2580">
        <v>4.15959059667939</v>
      </c>
      <c r="AG2580">
        <v>-1.1099088021549901</v>
      </c>
      <c r="AH2580">
        <v>103.006222658007</v>
      </c>
      <c r="AI2580">
        <v>90.616844750615698</v>
      </c>
      <c r="AJ2580">
        <v>87.687541980573101</v>
      </c>
      <c r="AK2580">
        <v>103.09614928673101</v>
      </c>
      <c r="AL2580">
        <v>77.301021270936104</v>
      </c>
      <c r="AM2580">
        <v>94.146297534762695</v>
      </c>
      <c r="AN2580">
        <v>0.99999992783915603</v>
      </c>
    </row>
    <row r="2581" spans="1:40" x14ac:dyDescent="0.25">
      <c r="A2581" t="str">
        <f>"20190304164139310"</f>
        <v>20190304164139310</v>
      </c>
      <c r="B2581" t="str">
        <f>"1551688899304033"</f>
        <v>1551688899304033</v>
      </c>
      <c r="C2581" t="s">
        <v>40</v>
      </c>
      <c r="D2581">
        <v>3.9724370000000002</v>
      </c>
      <c r="E2581">
        <v>0.54787619999999904</v>
      </c>
      <c r="F2581" t="s">
        <v>45</v>
      </c>
      <c r="G2581">
        <v>-484.87479999999999</v>
      </c>
      <c r="H2581" s="1">
        <v>3.3448000000000001E-6</v>
      </c>
      <c r="I2581">
        <v>287.75450000000001</v>
      </c>
      <c r="J2581">
        <v>-381.3664</v>
      </c>
      <c r="K2581">
        <v>1.109904</v>
      </c>
      <c r="L2581">
        <v>284.94709999999998</v>
      </c>
      <c r="M2581">
        <v>-0.99978820000000002</v>
      </c>
      <c r="N2581">
        <v>-1.562703E-2</v>
      </c>
      <c r="O2581">
        <v>-1.3405719999999999E-2</v>
      </c>
      <c r="P2581">
        <v>-0.97523859999999996</v>
      </c>
      <c r="Q2581">
        <v>0.2049686</v>
      </c>
      <c r="R2581">
        <v>-8.3055580000000004E-2</v>
      </c>
      <c r="S2581">
        <v>-3.0900270000000001</v>
      </c>
      <c r="T2581">
        <v>-3.3010240000000003E-2</v>
      </c>
      <c r="U2581">
        <v>8.3343509999999996E-2</v>
      </c>
      <c r="V2581">
        <v>-7.0422949999999998E-2</v>
      </c>
      <c r="W2581">
        <v>0.2200558</v>
      </c>
      <c r="X2581">
        <v>0.97294190000000003</v>
      </c>
      <c r="Y2581">
        <v>4.035619E-2</v>
      </c>
      <c r="Z2581">
        <v>4.6465630000000003E-4</v>
      </c>
      <c r="AA2581">
        <v>0.99918530000000005</v>
      </c>
      <c r="AB2581">
        <v>62</v>
      </c>
      <c r="AC2581">
        <v>-103.50839999999999</v>
      </c>
      <c r="AD2581">
        <v>-1.1099006551999999</v>
      </c>
      <c r="AE2581">
        <v>2.8074000000000199</v>
      </c>
      <c r="AF2581">
        <v>4.19443958424998</v>
      </c>
      <c r="AG2581">
        <v>-1.1099006551999999</v>
      </c>
      <c r="AH2581">
        <v>103.449570842547</v>
      </c>
      <c r="AI2581">
        <v>90.614192803574994</v>
      </c>
      <c r="AJ2581">
        <v>87.678171891463506</v>
      </c>
      <c r="AK2581">
        <v>103.540518206147</v>
      </c>
      <c r="AL2581">
        <v>77.287688857961797</v>
      </c>
      <c r="AM2581">
        <v>94.139932133851005</v>
      </c>
      <c r="AN2581">
        <v>0.99999994388797397</v>
      </c>
    </row>
    <row r="2582" spans="1:40" x14ac:dyDescent="0.25">
      <c r="A2582" t="str">
        <f>"20190304164139325"</f>
        <v>20190304164139325</v>
      </c>
      <c r="B2582" t="str">
        <f>"1551688899313793"</f>
        <v>1551688899313793</v>
      </c>
      <c r="C2582" t="s">
        <v>40</v>
      </c>
      <c r="D2582">
        <v>3.9399060000000001</v>
      </c>
      <c r="E2582">
        <v>0.54788800000000004</v>
      </c>
      <c r="F2582" t="s">
        <v>45</v>
      </c>
      <c r="G2582">
        <v>-481.53219999999999</v>
      </c>
      <c r="H2582" s="1">
        <v>2.7442450000000001E-6</v>
      </c>
      <c r="I2582">
        <v>287.6671</v>
      </c>
      <c r="J2582">
        <v>-381.76679999999999</v>
      </c>
      <c r="K2582">
        <v>1.109904</v>
      </c>
      <c r="L2582">
        <v>284.94170000000003</v>
      </c>
      <c r="M2582">
        <v>-0.99978330000000004</v>
      </c>
      <c r="N2582">
        <v>-1.564728E-2</v>
      </c>
      <c r="O2582">
        <v>-1.372378E-2</v>
      </c>
      <c r="P2582">
        <v>-0.97520969999999996</v>
      </c>
      <c r="Q2582">
        <v>0.2050565</v>
      </c>
      <c r="R2582">
        <v>-8.3173159999999996E-2</v>
      </c>
      <c r="S2582">
        <v>-3.0904850000000001</v>
      </c>
      <c r="T2582">
        <v>-3.4244539999999997E-2</v>
      </c>
      <c r="U2582">
        <v>8.3923339999999999E-2</v>
      </c>
      <c r="V2582">
        <v>-7.0227239999999996E-2</v>
      </c>
      <c r="W2582">
        <v>0.2201651</v>
      </c>
      <c r="X2582">
        <v>0.9729314</v>
      </c>
      <c r="Y2582">
        <v>4.0857039999999997E-2</v>
      </c>
      <c r="Z2582">
        <v>4.8339310000000002E-4</v>
      </c>
      <c r="AA2582">
        <v>0.99916490000000002</v>
      </c>
      <c r="AB2582">
        <v>62</v>
      </c>
      <c r="AC2582">
        <v>-99.7654</v>
      </c>
      <c r="AD2582">
        <v>-1.1099012557549901</v>
      </c>
      <c r="AE2582">
        <v>2.7253999999999698</v>
      </c>
      <c r="AF2582">
        <v>4.0939631083347203</v>
      </c>
      <c r="AG2582">
        <v>-1.1099012557549901</v>
      </c>
      <c r="AH2582">
        <v>99.7062636135704</v>
      </c>
      <c r="AI2582">
        <v>90.6372367827056</v>
      </c>
      <c r="AJ2582">
        <v>87.648742314004295</v>
      </c>
      <c r="AK2582">
        <v>99.796449929387293</v>
      </c>
      <c r="AL2582">
        <v>77.281270001617102</v>
      </c>
      <c r="AM2582">
        <v>94.128511228335398</v>
      </c>
      <c r="AN2582">
        <v>1.00000002280099</v>
      </c>
    </row>
    <row r="2583" spans="1:40" x14ac:dyDescent="0.25">
      <c r="A2583" t="str">
        <f>"20190304164139347"</f>
        <v>20190304164139347</v>
      </c>
      <c r="B2583" t="str">
        <f>"1551688899333312"</f>
        <v>1551688899333312</v>
      </c>
      <c r="C2583" t="s">
        <v>40</v>
      </c>
      <c r="D2583">
        <v>3.9293480000000001</v>
      </c>
      <c r="E2583">
        <v>0.54790850000000002</v>
      </c>
      <c r="F2583" t="s">
        <v>45</v>
      </c>
      <c r="G2583">
        <v>-479.05279999999999</v>
      </c>
      <c r="H2583" s="1">
        <v>2.8578579999999999E-6</v>
      </c>
      <c r="I2583">
        <v>287.57089999999999</v>
      </c>
      <c r="J2583">
        <v>-382.37630000000001</v>
      </c>
      <c r="K2583">
        <v>1.1098969999999999</v>
      </c>
      <c r="L2583">
        <v>284.9332</v>
      </c>
      <c r="M2583">
        <v>-0.99977669999999996</v>
      </c>
      <c r="N2583">
        <v>-1.5666880000000001E-2</v>
      </c>
      <c r="O2583">
        <v>-1.4192929999999999E-2</v>
      </c>
      <c r="P2583">
        <v>-0.9750491</v>
      </c>
      <c r="Q2583">
        <v>0.20554810000000001</v>
      </c>
      <c r="R2583">
        <v>-8.3843929999999997E-2</v>
      </c>
      <c r="S2583">
        <v>-3.0907290000000001</v>
      </c>
      <c r="T2583">
        <v>-3.5261029999999999E-2</v>
      </c>
      <c r="U2583">
        <v>8.3526610000000001E-2</v>
      </c>
      <c r="V2583">
        <v>-7.0435090000000006E-2</v>
      </c>
      <c r="W2583">
        <v>0.22067629999999999</v>
      </c>
      <c r="X2583">
        <v>0.97280060000000002</v>
      </c>
      <c r="Y2583">
        <v>4.1195309999999999E-2</v>
      </c>
      <c r="Z2583">
        <v>4.9730680000000004E-4</v>
      </c>
      <c r="AA2583">
        <v>0.99915100000000001</v>
      </c>
      <c r="AB2583">
        <v>62</v>
      </c>
      <c r="AC2583">
        <v>-96.676499999999905</v>
      </c>
      <c r="AD2583">
        <v>-1.1098941421420001</v>
      </c>
      <c r="AE2583">
        <v>2.6376999999999899</v>
      </c>
      <c r="AF2583">
        <v>4.0091972162129199</v>
      </c>
      <c r="AG2583">
        <v>-1.1098941421420001</v>
      </c>
      <c r="AH2583">
        <v>96.616593853469098</v>
      </c>
      <c r="AI2583">
        <v>90.657596982507698</v>
      </c>
      <c r="AJ2583">
        <v>87.623820509124002</v>
      </c>
      <c r="AK2583">
        <v>96.706110123256707</v>
      </c>
      <c r="AL2583">
        <v>77.251242457173106</v>
      </c>
      <c r="AM2583">
        <v>94.141242661411894</v>
      </c>
      <c r="AN2583">
        <v>1.00000006932267</v>
      </c>
    </row>
    <row r="2584" spans="1:40" x14ac:dyDescent="0.25">
      <c r="A2584" t="str">
        <f>"20190304164139370"</f>
        <v>20190304164139370</v>
      </c>
      <c r="B2584" t="str">
        <f>"1551688899364077"</f>
        <v>1551688899364077</v>
      </c>
      <c r="C2584" t="s">
        <v>40</v>
      </c>
      <c r="D2584">
        <v>3.9760629999999999</v>
      </c>
      <c r="E2584">
        <v>0.54801949999999999</v>
      </c>
      <c r="F2584" t="s">
        <v>45</v>
      </c>
      <c r="G2584">
        <v>-477.35879999999997</v>
      </c>
      <c r="H2584" s="1">
        <v>3.5981790000000002E-6</v>
      </c>
      <c r="I2584">
        <v>287.44619999999998</v>
      </c>
      <c r="J2584">
        <v>-383.01369999999997</v>
      </c>
      <c r="K2584">
        <v>1.1098870000000001</v>
      </c>
      <c r="L2584">
        <v>284.92399999999998</v>
      </c>
      <c r="M2584">
        <v>-0.99976969999999998</v>
      </c>
      <c r="N2584">
        <v>-1.5674319999999999E-2</v>
      </c>
      <c r="O2584">
        <v>-1.4661860000000001E-2</v>
      </c>
      <c r="P2584">
        <v>-0.97484360000000003</v>
      </c>
      <c r="Q2584">
        <v>0.2062406</v>
      </c>
      <c r="R2584">
        <v>-8.4526799999999999E-2</v>
      </c>
      <c r="S2584">
        <v>-3.0913390000000001</v>
      </c>
      <c r="T2584">
        <v>-3.6123040000000002E-2</v>
      </c>
      <c r="U2584">
        <v>8.1787109999999996E-2</v>
      </c>
      <c r="V2584">
        <v>-7.0653679999999996E-2</v>
      </c>
      <c r="W2584">
        <v>0.22137570000000001</v>
      </c>
      <c r="X2584">
        <v>0.97262570000000004</v>
      </c>
      <c r="Y2584">
        <v>4.1096609999999999E-2</v>
      </c>
      <c r="Z2584">
        <v>5.0375309999999896E-4</v>
      </c>
      <c r="AA2584">
        <v>0.99915500000000002</v>
      </c>
      <c r="AB2584">
        <v>62</v>
      </c>
      <c r="AC2584">
        <v>-94.345100000000002</v>
      </c>
      <c r="AD2584">
        <v>-1.109883401821</v>
      </c>
      <c r="AE2584">
        <v>2.5221999999999398</v>
      </c>
      <c r="AF2584">
        <v>3.9048333312559498</v>
      </c>
      <c r="AG2584">
        <v>-1.109883401821</v>
      </c>
      <c r="AH2584">
        <v>94.284932476780995</v>
      </c>
      <c r="AI2584">
        <v>90.673853569700398</v>
      </c>
      <c r="AJ2584">
        <v>87.628436703933303</v>
      </c>
      <c r="AK2584">
        <v>94.372284367083594</v>
      </c>
      <c r="AL2584">
        <v>77.210151995035204</v>
      </c>
      <c r="AM2584">
        <v>94.154794150869705</v>
      </c>
      <c r="AN2584">
        <v>0.99999994767425904</v>
      </c>
    </row>
    <row r="2585" spans="1:40" x14ac:dyDescent="0.25">
      <c r="A2585" t="str">
        <f>"20190304164139392"</f>
        <v>20190304164139392</v>
      </c>
      <c r="B2585" t="str">
        <f>"1551688899383597"</f>
        <v>1551688899383597</v>
      </c>
      <c r="C2585" t="s">
        <v>40</v>
      </c>
      <c r="D2585">
        <v>3.9794390000000002</v>
      </c>
      <c r="E2585">
        <v>0.54815749999999996</v>
      </c>
      <c r="F2585" t="s">
        <v>45</v>
      </c>
      <c r="G2585">
        <v>-475.40809999999999</v>
      </c>
      <c r="H2585" s="1">
        <v>4.4526259999999998E-6</v>
      </c>
      <c r="I2585">
        <v>287.32490000000001</v>
      </c>
      <c r="J2585">
        <v>-383.59890000000001</v>
      </c>
      <c r="K2585">
        <v>1.1098699999999999</v>
      </c>
      <c r="L2585">
        <v>284.9153</v>
      </c>
      <c r="M2585">
        <v>-0.99976370000000003</v>
      </c>
      <c r="N2585">
        <v>-1.5668809999999998E-2</v>
      </c>
      <c r="O2585">
        <v>-1.5070679999999999E-2</v>
      </c>
      <c r="P2585">
        <v>-0.97463230000000001</v>
      </c>
      <c r="Q2585">
        <v>0.2069935</v>
      </c>
      <c r="R2585">
        <v>-8.5123290000000004E-2</v>
      </c>
      <c r="S2585">
        <v>-3.0922550000000002</v>
      </c>
      <c r="T2585">
        <v>-3.7145499999999998E-2</v>
      </c>
      <c r="U2585">
        <v>8.0352779999999999E-2</v>
      </c>
      <c r="V2585">
        <v>-7.0843989999999996E-2</v>
      </c>
      <c r="W2585">
        <v>0.2221243</v>
      </c>
      <c r="X2585">
        <v>0.97244120000000001</v>
      </c>
      <c r="Y2585">
        <v>4.1033989999999999E-2</v>
      </c>
      <c r="Z2585">
        <v>5.1287629999999999E-4</v>
      </c>
      <c r="AA2585">
        <v>0.99915759999999998</v>
      </c>
      <c r="AB2585">
        <v>62</v>
      </c>
      <c r="AC2585">
        <v>-91.809199999999905</v>
      </c>
      <c r="AD2585">
        <v>-1.109865547374</v>
      </c>
      <c r="AE2585">
        <v>2.40960000000001</v>
      </c>
      <c r="AF2585">
        <v>3.7925693025677201</v>
      </c>
      <c r="AG2585">
        <v>-1.109865547374</v>
      </c>
      <c r="AH2585">
        <v>91.749053027196794</v>
      </c>
      <c r="AI2585">
        <v>90.692467738468096</v>
      </c>
      <c r="AJ2585">
        <v>87.632950217471802</v>
      </c>
      <c r="AK2585">
        <v>91.834111934702094</v>
      </c>
      <c r="AL2585">
        <v>77.166165699096297</v>
      </c>
      <c r="AM2585">
        <v>94.166733610037596</v>
      </c>
      <c r="AN2585">
        <v>0.99999998151352398</v>
      </c>
    </row>
    <row r="2586" spans="1:40" x14ac:dyDescent="0.25">
      <c r="A2586" t="str">
        <f>"20190304164139408"</f>
        <v>20190304164139408</v>
      </c>
      <c r="B2586" t="str">
        <f>"1551688899393358"</f>
        <v>1551688899393358</v>
      </c>
      <c r="C2586" t="s">
        <v>40</v>
      </c>
      <c r="D2586">
        <v>3.9757090000000002</v>
      </c>
      <c r="E2586">
        <v>0.56034450000000002</v>
      </c>
      <c r="F2586" t="s">
        <v>45</v>
      </c>
      <c r="G2586">
        <v>-481.85989999999998</v>
      </c>
      <c r="H2586" s="1">
        <v>2.7823820000000002E-6</v>
      </c>
      <c r="I2586">
        <v>287.43849999999998</v>
      </c>
      <c r="J2586">
        <v>-384.04719999999998</v>
      </c>
      <c r="K2586">
        <v>1.109855</v>
      </c>
      <c r="L2586">
        <v>284.9085</v>
      </c>
      <c r="M2586">
        <v>-0.99975939999999996</v>
      </c>
      <c r="N2586">
        <v>-1.5656349999999999E-2</v>
      </c>
      <c r="O2586">
        <v>-1.536685E-2</v>
      </c>
      <c r="P2586">
        <v>-0.97453339999999999</v>
      </c>
      <c r="Q2586">
        <v>0.207312</v>
      </c>
      <c r="R2586">
        <v>-8.5479970000000002E-2</v>
      </c>
      <c r="S2586">
        <v>-3.092438</v>
      </c>
      <c r="T2586">
        <v>-3.4929389999999998E-2</v>
      </c>
      <c r="U2586">
        <v>7.9406740000000003E-2</v>
      </c>
      <c r="V2586">
        <v>-7.0902850000000003E-2</v>
      </c>
      <c r="W2586">
        <v>0.22243299999999999</v>
      </c>
      <c r="X2586">
        <v>0.97236639999999996</v>
      </c>
      <c r="Y2586">
        <v>4.1023509999999999E-2</v>
      </c>
      <c r="Z2586">
        <v>4.8585039999999999E-4</v>
      </c>
      <c r="AA2586">
        <v>0.99915810000000005</v>
      </c>
      <c r="AB2586">
        <v>62</v>
      </c>
      <c r="AC2586">
        <v>-97.812700000000007</v>
      </c>
      <c r="AD2586">
        <v>-1.1098522176179999</v>
      </c>
      <c r="AE2586">
        <v>2.5299999999999701</v>
      </c>
      <c r="AF2586">
        <v>4.0324396221511103</v>
      </c>
      <c r="AG2586">
        <v>-1.1098522176179999</v>
      </c>
      <c r="AH2586">
        <v>97.749688201333697</v>
      </c>
      <c r="AI2586">
        <v>90.649956890470193</v>
      </c>
      <c r="AJ2586">
        <v>87.637733192085705</v>
      </c>
      <c r="AK2586">
        <v>97.839122464938299</v>
      </c>
      <c r="AL2586">
        <v>77.148025356185101</v>
      </c>
      <c r="AM2586">
        <v>94.170502952257806</v>
      </c>
      <c r="AN2586">
        <v>1.00000003473804</v>
      </c>
    </row>
    <row r="2587" spans="1:40" x14ac:dyDescent="0.25">
      <c r="A2587" t="str">
        <f>"20190304164139425"</f>
        <v>20190304164139425</v>
      </c>
      <c r="B2587" t="str">
        <f>"1551688899413853"</f>
        <v>1551688899413853</v>
      </c>
      <c r="C2587" t="s">
        <v>40</v>
      </c>
      <c r="D2587">
        <v>4.019628</v>
      </c>
      <c r="E2587">
        <v>0.56058350000000001</v>
      </c>
      <c r="F2587" t="s">
        <v>46</v>
      </c>
      <c r="G2587">
        <v>-467.50639999999999</v>
      </c>
      <c r="H2587">
        <v>4.3218369999999999E-2</v>
      </c>
      <c r="I2587">
        <v>289.61630000000002</v>
      </c>
      <c r="J2587">
        <v>-384.5224</v>
      </c>
      <c r="K2587">
        <v>1.1098349999999999</v>
      </c>
      <c r="L2587">
        <v>284.90120000000002</v>
      </c>
      <c r="M2587">
        <v>-0.99975510000000001</v>
      </c>
      <c r="N2587">
        <v>-1.563647E-2</v>
      </c>
      <c r="O2587">
        <v>-1.5662760000000001E-2</v>
      </c>
      <c r="P2587">
        <v>-0.97424239999999995</v>
      </c>
      <c r="Q2587">
        <v>0.20847940000000001</v>
      </c>
      <c r="R2587">
        <v>-8.5954669999999997E-2</v>
      </c>
      <c r="S2587">
        <v>-3.1021420000000002</v>
      </c>
      <c r="T2587">
        <v>-3.9646389999999997E-2</v>
      </c>
      <c r="U2587">
        <v>0.1749878</v>
      </c>
      <c r="V2587">
        <v>-7.1082640000000002E-2</v>
      </c>
      <c r="W2587">
        <v>0.22358020000000001</v>
      </c>
      <c r="X2587">
        <v>0.97209009999999996</v>
      </c>
      <c r="Y2587">
        <v>7.1938959999999996E-2</v>
      </c>
      <c r="Z2587">
        <v>9.7759619999999992E-4</v>
      </c>
      <c r="AA2587">
        <v>0.99740859999999998</v>
      </c>
      <c r="AB2587">
        <v>62</v>
      </c>
      <c r="AC2587">
        <v>-82.983999999999895</v>
      </c>
      <c r="AD2587">
        <v>-1.06661663</v>
      </c>
      <c r="AE2587">
        <v>4.7150999999999996</v>
      </c>
      <c r="AF2587">
        <v>6.0134485455455602</v>
      </c>
      <c r="AG2587">
        <v>-1.06661663</v>
      </c>
      <c r="AH2587">
        <v>82.886308160301297</v>
      </c>
      <c r="AI2587">
        <v>90.735333524443604</v>
      </c>
      <c r="AJ2587">
        <v>85.850429132321395</v>
      </c>
      <c r="AK2587">
        <v>83.111005979290994</v>
      </c>
      <c r="AL2587">
        <v>77.080597207864898</v>
      </c>
      <c r="AM2587">
        <v>94.1822249111937</v>
      </c>
      <c r="AN2587">
        <v>1.0000000050297</v>
      </c>
    </row>
    <row r="2588" spans="1:40" x14ac:dyDescent="0.25">
      <c r="A2588" t="str">
        <f>"20190304164139441"</f>
        <v>20190304164139441</v>
      </c>
      <c r="B2588" t="str">
        <f>"1551688899433373"</f>
        <v>1551688899433373</v>
      </c>
      <c r="C2588" t="s">
        <v>40</v>
      </c>
      <c r="D2588">
        <v>4.0168559999999998</v>
      </c>
      <c r="E2588">
        <v>0.5610368</v>
      </c>
      <c r="F2588" t="s">
        <v>46</v>
      </c>
      <c r="G2588">
        <v>-461.65219999999999</v>
      </c>
      <c r="H2588" s="1">
        <v>-8.5948619999999895E-7</v>
      </c>
      <c r="I2588">
        <v>289.2353</v>
      </c>
      <c r="J2588">
        <v>-384.95280000000002</v>
      </c>
      <c r="K2588">
        <v>1.1098140000000001</v>
      </c>
      <c r="L2588">
        <v>284.89440000000002</v>
      </c>
      <c r="M2588">
        <v>-0.99975150000000002</v>
      </c>
      <c r="N2588">
        <v>-1.561483E-2</v>
      </c>
      <c r="O2588">
        <v>-1.59125E-2</v>
      </c>
      <c r="P2588">
        <v>-0.97408660000000002</v>
      </c>
      <c r="Q2588">
        <v>0.2091084</v>
      </c>
      <c r="R2588">
        <v>-8.619367E-2</v>
      </c>
      <c r="S2588">
        <v>-3.1043090000000002</v>
      </c>
      <c r="T2588">
        <v>-4.4668560000000003E-2</v>
      </c>
      <c r="U2588">
        <v>0.1744385</v>
      </c>
      <c r="V2588">
        <v>-7.1068229999999996E-2</v>
      </c>
      <c r="W2588">
        <v>0.22419040000000001</v>
      </c>
      <c r="X2588">
        <v>0.9719506</v>
      </c>
      <c r="Y2588">
        <v>7.1970610000000004E-2</v>
      </c>
      <c r="Z2588">
        <v>1.0603310000000001E-3</v>
      </c>
      <c r="AA2588">
        <v>0.99740620000000002</v>
      </c>
      <c r="AB2588">
        <v>62</v>
      </c>
      <c r="AC2588">
        <v>-76.699399999999898</v>
      </c>
      <c r="AD2588">
        <v>-1.1098148594861901</v>
      </c>
      <c r="AE2588">
        <v>4.3408999999999702</v>
      </c>
      <c r="AF2588">
        <v>5.5598178709003498</v>
      </c>
      <c r="AG2588">
        <v>-1.1098148594861901</v>
      </c>
      <c r="AH2588">
        <v>76.604615992275598</v>
      </c>
      <c r="AI2588">
        <v>90.827841447754807</v>
      </c>
      <c r="AJ2588">
        <v>85.848859505544795</v>
      </c>
      <c r="AK2588">
        <v>76.814129267368003</v>
      </c>
      <c r="AL2588">
        <v>77.044724635430498</v>
      </c>
      <c r="AM2588">
        <v>94.181978097419602</v>
      </c>
      <c r="AN2588">
        <v>0.99999999880392598</v>
      </c>
    </row>
    <row r="2589" spans="1:40" x14ac:dyDescent="0.25">
      <c r="A2589" t="str">
        <f>"20190304164139460"</f>
        <v>20190304164139460</v>
      </c>
      <c r="B2589" t="str">
        <f>"1551688899453400"</f>
        <v>1551688899453400</v>
      </c>
      <c r="C2589" t="s">
        <v>40</v>
      </c>
      <c r="D2589">
        <v>4.0199740000000004</v>
      </c>
      <c r="E2589">
        <v>0.56094169999999999</v>
      </c>
      <c r="F2589" t="s">
        <v>46</v>
      </c>
      <c r="G2589">
        <v>-456.26400000000001</v>
      </c>
      <c r="H2589" s="1">
        <v>1.6069959999999999E-6</v>
      </c>
      <c r="I2589">
        <v>288.95429999999999</v>
      </c>
      <c r="J2589">
        <v>-385.4667</v>
      </c>
      <c r="K2589">
        <v>1.1097859999999999</v>
      </c>
      <c r="L2589">
        <v>284.88619999999997</v>
      </c>
      <c r="M2589">
        <v>-0.99974759999999996</v>
      </c>
      <c r="N2589">
        <v>-1.5587780000000001E-2</v>
      </c>
      <c r="O2589">
        <v>-1.6183969999999999E-2</v>
      </c>
      <c r="P2589">
        <v>-0.97392849999999997</v>
      </c>
      <c r="Q2589">
        <v>0.20993290000000001</v>
      </c>
      <c r="R2589">
        <v>-8.5975850000000006E-2</v>
      </c>
      <c r="S2589">
        <v>-3.105804</v>
      </c>
      <c r="T2589">
        <v>-4.8335429999999999E-2</v>
      </c>
      <c r="U2589">
        <v>0.1768188</v>
      </c>
      <c r="V2589">
        <v>-7.0571910000000002E-2</v>
      </c>
      <c r="W2589">
        <v>0.2249929</v>
      </c>
      <c r="X2589">
        <v>0.97180129999999998</v>
      </c>
      <c r="Y2589">
        <v>7.2974349999999993E-2</v>
      </c>
      <c r="Z2589">
        <v>1.1362810000000001E-3</v>
      </c>
      <c r="AA2589">
        <v>0.99733320000000003</v>
      </c>
      <c r="AB2589">
        <v>62</v>
      </c>
      <c r="AC2589">
        <v>-70.797300000000007</v>
      </c>
      <c r="AD2589">
        <v>-1.1097843930039999</v>
      </c>
      <c r="AE2589">
        <v>4.06810000000001</v>
      </c>
      <c r="AF2589">
        <v>5.2122110473836099</v>
      </c>
      <c r="AG2589">
        <v>-1.1097843930039999</v>
      </c>
      <c r="AH2589">
        <v>70.704862935482197</v>
      </c>
      <c r="AI2589">
        <v>90.896808341115701</v>
      </c>
      <c r="AJ2589">
        <v>85.7839040329944</v>
      </c>
      <c r="AK2589">
        <v>70.905404646802197</v>
      </c>
      <c r="AL2589">
        <v>76.997539118617496</v>
      </c>
      <c r="AM2589">
        <v>94.153510691412095</v>
      </c>
      <c r="AN2589">
        <v>0.99999998310657301</v>
      </c>
    </row>
    <row r="2590" spans="1:40" x14ac:dyDescent="0.25">
      <c r="A2590" t="str">
        <f>"20190304164139472"</f>
        <v>20190304164139472</v>
      </c>
      <c r="B2590" t="str">
        <f>"1551688899463161"</f>
        <v>1551688899463161</v>
      </c>
      <c r="C2590" t="s">
        <v>40</v>
      </c>
      <c r="D2590">
        <v>4.0679610000000004</v>
      </c>
      <c r="E2590">
        <v>0.56118840000000003</v>
      </c>
      <c r="F2590" t="s">
        <v>46</v>
      </c>
      <c r="G2590">
        <v>-457.09949999999998</v>
      </c>
      <c r="H2590" s="1">
        <v>2.0514770000000002E-6</v>
      </c>
      <c r="I2590">
        <v>288.95670000000001</v>
      </c>
      <c r="J2590">
        <v>-385.82429999999999</v>
      </c>
      <c r="K2590">
        <v>1.109764</v>
      </c>
      <c r="L2590">
        <v>284.88040000000001</v>
      </c>
      <c r="M2590">
        <v>-0.99974510000000005</v>
      </c>
      <c r="N2590">
        <v>-1.557481E-2</v>
      </c>
      <c r="O2590">
        <v>-1.6352950000000002E-2</v>
      </c>
      <c r="P2590">
        <v>-0.97386499999999998</v>
      </c>
      <c r="Q2590">
        <v>0.210234</v>
      </c>
      <c r="R2590">
        <v>-8.59573E-2</v>
      </c>
      <c r="S2590">
        <v>-3.1062620000000001</v>
      </c>
      <c r="T2590">
        <v>-4.8124309999999997E-2</v>
      </c>
      <c r="U2590">
        <v>0.1765137</v>
      </c>
      <c r="V2590">
        <v>-7.0376090000000002E-2</v>
      </c>
      <c r="W2590">
        <v>0.2252846</v>
      </c>
      <c r="X2590">
        <v>0.9717479</v>
      </c>
      <c r="Y2590">
        <v>7.3037039999999998E-2</v>
      </c>
      <c r="Z2590">
        <v>1.1332789999999901E-3</v>
      </c>
      <c r="AA2590">
        <v>0.99732860000000001</v>
      </c>
      <c r="AB2590">
        <v>62</v>
      </c>
      <c r="AC2590">
        <v>-71.275199999999899</v>
      </c>
      <c r="AD2590">
        <v>-1.1097619485229999</v>
      </c>
      <c r="AE2590">
        <v>4.0762999999999998</v>
      </c>
      <c r="AF2590">
        <v>5.2401895888180201</v>
      </c>
      <c r="AG2590">
        <v>-1.1097619485229999</v>
      </c>
      <c r="AH2590">
        <v>71.181799072045607</v>
      </c>
      <c r="AI2590">
        <v>90.890789038677397</v>
      </c>
      <c r="AJ2590">
        <v>85.7896523120111</v>
      </c>
      <c r="AK2590">
        <v>71.383048951709895</v>
      </c>
      <c r="AL2590">
        <v>76.980385285805596</v>
      </c>
      <c r="AM2590">
        <v>94.142252692864105</v>
      </c>
      <c r="AN2590">
        <v>0.99999996309762795</v>
      </c>
    </row>
    <row r="2591" spans="1:40" x14ac:dyDescent="0.25">
      <c r="A2591" t="str">
        <f>"20190304164139492"</f>
        <v>20190304164139492</v>
      </c>
      <c r="B2591" t="str">
        <f>"1551688899483656"</f>
        <v>1551688899483656</v>
      </c>
      <c r="C2591" t="s">
        <v>40</v>
      </c>
      <c r="D2591">
        <v>4.0792129999999904</v>
      </c>
      <c r="E2591">
        <v>0.56130349999999996</v>
      </c>
      <c r="F2591" t="s">
        <v>46</v>
      </c>
      <c r="G2591">
        <v>-458.47469999999998</v>
      </c>
      <c r="H2591" s="1">
        <v>2.7791530000000002E-6</v>
      </c>
      <c r="I2591">
        <v>289.05119999999999</v>
      </c>
      <c r="J2591">
        <v>-386.35300000000001</v>
      </c>
      <c r="K2591">
        <v>1.1097300000000001</v>
      </c>
      <c r="L2591">
        <v>284.87169999999998</v>
      </c>
      <c r="M2591">
        <v>-0.99974149999999995</v>
      </c>
      <c r="N2591">
        <v>-1.5566160000000001E-2</v>
      </c>
      <c r="O2591">
        <v>-1.6579340000000001E-2</v>
      </c>
      <c r="P2591">
        <v>-0.97384579999999998</v>
      </c>
      <c r="Q2591">
        <v>0.21059549999999999</v>
      </c>
      <c r="R2591">
        <v>-8.5287680000000005E-2</v>
      </c>
      <c r="S2591">
        <v>-3.106506</v>
      </c>
      <c r="T2591">
        <v>-4.7453049999999997E-2</v>
      </c>
      <c r="U2591">
        <v>0.17834469999999999</v>
      </c>
      <c r="V2591">
        <v>-6.9464239999999997E-2</v>
      </c>
      <c r="W2591">
        <v>0.22564600000000001</v>
      </c>
      <c r="X2591">
        <v>0.97172970000000003</v>
      </c>
      <c r="Y2591">
        <v>7.384454E-2</v>
      </c>
      <c r="Z2591">
        <v>1.1340129999999999E-3</v>
      </c>
      <c r="AA2591">
        <v>0.99726910000000002</v>
      </c>
      <c r="AB2591">
        <v>61</v>
      </c>
      <c r="AC2591">
        <v>-72.121699999999905</v>
      </c>
      <c r="AD2591">
        <v>-1.1097272208469999</v>
      </c>
      <c r="AE2591">
        <v>4.1795000000000098</v>
      </c>
      <c r="AF2591">
        <v>5.3735323761570699</v>
      </c>
      <c r="AG2591">
        <v>-1.1097272208469999</v>
      </c>
      <c r="AH2591">
        <v>72.025487595860596</v>
      </c>
      <c r="AI2591">
        <v>90.880264506669803</v>
      </c>
      <c r="AJ2591">
        <v>85.733296506197803</v>
      </c>
      <c r="AK2591">
        <v>72.234183099996102</v>
      </c>
      <c r="AL2591">
        <v>76.959131867759794</v>
      </c>
      <c r="AM2591">
        <v>94.088841827620001</v>
      </c>
      <c r="AN2591">
        <v>1.00000000390843</v>
      </c>
    </row>
    <row r="2592" spans="1:40" x14ac:dyDescent="0.25">
      <c r="A2592" t="str">
        <f>"20190304164139504"</f>
        <v>20190304164139504</v>
      </c>
      <c r="B2592" t="str">
        <f>"1551688899493417"</f>
        <v>1551688899493417</v>
      </c>
      <c r="C2592" t="s">
        <v>40</v>
      </c>
      <c r="D2592">
        <v>4.0225070000000001</v>
      </c>
      <c r="E2592">
        <v>0.56122130000000003</v>
      </c>
      <c r="F2592" t="s">
        <v>46</v>
      </c>
      <c r="G2592">
        <v>-460.63529999999997</v>
      </c>
      <c r="H2592" s="1">
        <v>-1.3992389999999999E-6</v>
      </c>
      <c r="I2592">
        <v>289.20420000000001</v>
      </c>
      <c r="J2592">
        <v>-386.68799999999999</v>
      </c>
      <c r="K2592">
        <v>1.109707</v>
      </c>
      <c r="L2592">
        <v>284.86610000000002</v>
      </c>
      <c r="M2592">
        <v>-0.9997393</v>
      </c>
      <c r="N2592">
        <v>-1.5567640000000001E-2</v>
      </c>
      <c r="O2592">
        <v>-1.6709069999999999E-2</v>
      </c>
      <c r="P2592">
        <v>-0.97384550000000003</v>
      </c>
      <c r="Q2592">
        <v>0.21072270000000001</v>
      </c>
      <c r="R2592">
        <v>-8.4977330000000004E-2</v>
      </c>
      <c r="S2592">
        <v>-3.1064759999999998</v>
      </c>
      <c r="T2592">
        <v>-4.6408770000000002E-2</v>
      </c>
      <c r="U2592">
        <v>0.18118290000000001</v>
      </c>
      <c r="V2592">
        <v>-6.9012110000000002E-2</v>
      </c>
      <c r="W2592">
        <v>0.2257798</v>
      </c>
      <c r="X2592">
        <v>0.97173080000000001</v>
      </c>
      <c r="Y2592">
        <v>7.4882879999999999E-2</v>
      </c>
      <c r="Z2592">
        <v>1.1318420000000001E-3</v>
      </c>
      <c r="AA2592">
        <v>0.99719170000000001</v>
      </c>
      <c r="AB2592">
        <v>61</v>
      </c>
      <c r="AC2592">
        <v>-73.947299999999899</v>
      </c>
      <c r="AD2592">
        <v>-1.109708399239</v>
      </c>
      <c r="AE2592">
        <v>4.3380999999999901</v>
      </c>
      <c r="AF2592">
        <v>5.5719839382642498</v>
      </c>
      <c r="AG2592">
        <v>-1.109708399239</v>
      </c>
      <c r="AH2592">
        <v>73.847905910093402</v>
      </c>
      <c r="AI2592">
        <v>90.858475885138205</v>
      </c>
      <c r="AJ2592">
        <v>85.685085650125203</v>
      </c>
      <c r="AK2592">
        <v>74.066130350151496</v>
      </c>
      <c r="AL2592">
        <v>76.951262147913496</v>
      </c>
      <c r="AM2592">
        <v>94.062313112953007</v>
      </c>
      <c r="AN2592">
        <v>0.99999996854166495</v>
      </c>
    </row>
    <row r="2593" spans="1:40" x14ac:dyDescent="0.25">
      <c r="A2593" t="str">
        <f>"20190304164139516"</f>
        <v>20190304164139516</v>
      </c>
      <c r="B2593" t="str">
        <f>"1551688899503178"</f>
        <v>1551688899503178</v>
      </c>
      <c r="C2593" t="s">
        <v>40</v>
      </c>
      <c r="D2593">
        <v>4.033881</v>
      </c>
      <c r="E2593">
        <v>0.56116119999999903</v>
      </c>
      <c r="F2593" t="s">
        <v>46</v>
      </c>
      <c r="G2593">
        <v>-462.4828</v>
      </c>
      <c r="H2593" s="1">
        <v>-4.2065909999999997E-7</v>
      </c>
      <c r="I2593">
        <v>289.30869999999999</v>
      </c>
      <c r="J2593">
        <v>-387.03309999999999</v>
      </c>
      <c r="K2593">
        <v>1.1096839999999999</v>
      </c>
      <c r="L2593">
        <v>284.86040000000003</v>
      </c>
      <c r="M2593">
        <v>-0.99973719999999999</v>
      </c>
      <c r="N2593">
        <v>-1.557767E-2</v>
      </c>
      <c r="O2593">
        <v>-1.6826420000000002E-2</v>
      </c>
      <c r="P2593">
        <v>-0.97385860000000002</v>
      </c>
      <c r="Q2593">
        <v>0.21062500000000001</v>
      </c>
      <c r="R2593">
        <v>-8.5070099999999996E-2</v>
      </c>
      <c r="S2593">
        <v>-3.106293</v>
      </c>
      <c r="T2593">
        <v>-4.5479060000000002E-2</v>
      </c>
      <c r="U2593">
        <v>0.1820679</v>
      </c>
      <c r="V2593">
        <v>-6.8973619999999999E-2</v>
      </c>
      <c r="W2593">
        <v>0.22569710000000001</v>
      </c>
      <c r="X2593">
        <v>0.97175279999999997</v>
      </c>
      <c r="Y2593">
        <v>7.5286899999999907E-2</v>
      </c>
      <c r="Z2593">
        <v>1.121901E-3</v>
      </c>
      <c r="AA2593">
        <v>0.99716130000000003</v>
      </c>
      <c r="AB2593">
        <v>61</v>
      </c>
      <c r="AC2593">
        <v>-75.449700000000007</v>
      </c>
      <c r="AD2593">
        <v>-1.1096844206590999</v>
      </c>
      <c r="AE2593">
        <v>4.4482999999999597</v>
      </c>
      <c r="AF2593">
        <v>5.7161401264427303</v>
      </c>
      <c r="AG2593">
        <v>-1.1096844206590999</v>
      </c>
      <c r="AH2593">
        <v>75.347915313674804</v>
      </c>
      <c r="AI2593">
        <v>90.841343826069902</v>
      </c>
      <c r="AJ2593">
        <v>85.661664120480395</v>
      </c>
      <c r="AK2593">
        <v>75.572574387639406</v>
      </c>
      <c r="AL2593">
        <v>76.956126776155998</v>
      </c>
      <c r="AM2593">
        <v>94.0599634150458</v>
      </c>
      <c r="AN2593">
        <v>1.0000000227560699</v>
      </c>
    </row>
    <row r="2594" spans="1:40" x14ac:dyDescent="0.25">
      <c r="A2594" t="str">
        <f>"20190304164139531"</f>
        <v>20190304164139531</v>
      </c>
      <c r="B2594" t="str">
        <f>"1551688899523673"</f>
        <v>1551688899523673</v>
      </c>
      <c r="C2594" t="s">
        <v>40</v>
      </c>
      <c r="D2594">
        <v>4.1028520000000004</v>
      </c>
      <c r="E2594">
        <v>0.56116440000000001</v>
      </c>
      <c r="F2594" t="s">
        <v>46</v>
      </c>
      <c r="G2594">
        <v>-463.32560000000001</v>
      </c>
      <c r="H2594" s="1">
        <v>2.7395020000000001E-8</v>
      </c>
      <c r="I2594">
        <v>289.31810000000002</v>
      </c>
      <c r="J2594">
        <v>-387.41419999999999</v>
      </c>
      <c r="K2594">
        <v>1.1096600000000001</v>
      </c>
      <c r="L2594">
        <v>284.85390000000001</v>
      </c>
      <c r="M2594">
        <v>-0.99973489999999998</v>
      </c>
      <c r="N2594">
        <v>-1.5593350000000001E-2</v>
      </c>
      <c r="O2594">
        <v>-1.6943150000000001E-2</v>
      </c>
      <c r="P2594">
        <v>-0.97396479999999996</v>
      </c>
      <c r="Q2594">
        <v>0.2101896</v>
      </c>
      <c r="R2594">
        <v>-8.4930850000000002E-2</v>
      </c>
      <c r="S2594">
        <v>-3.1061100000000001</v>
      </c>
      <c r="T2594">
        <v>-4.517877E-2</v>
      </c>
      <c r="U2594">
        <v>0.18148800000000001</v>
      </c>
      <c r="V2594">
        <v>-6.8699549999999998E-2</v>
      </c>
      <c r="W2594">
        <v>0.2252846</v>
      </c>
      <c r="X2594">
        <v>0.97186790000000001</v>
      </c>
      <c r="Y2594">
        <v>7.5221410000000002E-2</v>
      </c>
      <c r="Z2594">
        <v>1.115904E-3</v>
      </c>
      <c r="AA2594">
        <v>0.9971662</v>
      </c>
      <c r="AB2594">
        <v>61</v>
      </c>
      <c r="AC2594">
        <v>-75.9114</v>
      </c>
      <c r="AD2594">
        <v>-1.1096599726049801</v>
      </c>
      <c r="AE2594">
        <v>4.4641999999999999</v>
      </c>
      <c r="AF2594">
        <v>5.7486694551015498</v>
      </c>
      <c r="AG2594">
        <v>-1.1096599726049801</v>
      </c>
      <c r="AH2594">
        <v>75.808710759303693</v>
      </c>
      <c r="AI2594">
        <v>90.836214131373893</v>
      </c>
      <c r="AJ2594">
        <v>85.663488786968003</v>
      </c>
      <c r="AK2594">
        <v>76.034460429114603</v>
      </c>
      <c r="AL2594">
        <v>76.980385736401502</v>
      </c>
      <c r="AM2594">
        <v>94.043407247057203</v>
      </c>
      <c r="AN2594">
        <v>0.99999999710888599</v>
      </c>
    </row>
    <row r="2595" spans="1:40" x14ac:dyDescent="0.25">
      <c r="A2595" t="str">
        <f>"20190304164139544"</f>
        <v>20190304164139544</v>
      </c>
      <c r="B2595" t="str">
        <f>"1551688899533433"</f>
        <v>1551688899533433</v>
      </c>
      <c r="C2595" t="s">
        <v>40</v>
      </c>
      <c r="D2595">
        <v>4.0786579999999999</v>
      </c>
      <c r="E2595">
        <v>0.56115109999999901</v>
      </c>
      <c r="F2595" t="s">
        <v>46</v>
      </c>
      <c r="G2595">
        <v>-459.40039999999999</v>
      </c>
      <c r="H2595" s="1">
        <v>3.2709919999999999E-6</v>
      </c>
      <c r="I2595">
        <v>289.06950000000001</v>
      </c>
      <c r="J2595">
        <v>-387.78489999999999</v>
      </c>
      <c r="K2595">
        <v>1.109632</v>
      </c>
      <c r="L2595">
        <v>284.84769999999997</v>
      </c>
      <c r="M2595">
        <v>-0.99973290000000004</v>
      </c>
      <c r="N2595">
        <v>-1.561157E-2</v>
      </c>
      <c r="O2595">
        <v>-1.7046200000000001E-2</v>
      </c>
      <c r="P2595">
        <v>-0.97403479999999998</v>
      </c>
      <c r="Q2595">
        <v>0.20998059999999999</v>
      </c>
      <c r="R2595">
        <v>-8.4643510000000005E-2</v>
      </c>
      <c r="S2595">
        <v>-3.1063839999999998</v>
      </c>
      <c r="T2595">
        <v>-4.7884459999999997E-2</v>
      </c>
      <c r="U2595">
        <v>0.1819153</v>
      </c>
      <c r="V2595">
        <v>-6.8292400000000003E-2</v>
      </c>
      <c r="W2595">
        <v>0.2251011</v>
      </c>
      <c r="X2595">
        <v>0.97193909999999994</v>
      </c>
      <c r="Y2595">
        <v>7.5454209999999994E-2</v>
      </c>
      <c r="Z2595">
        <v>1.167279E-3</v>
      </c>
      <c r="AA2595">
        <v>0.99714860000000005</v>
      </c>
      <c r="AB2595">
        <v>61</v>
      </c>
      <c r="AC2595">
        <v>-71.615499999999997</v>
      </c>
      <c r="AD2595">
        <v>-1.109628729008</v>
      </c>
      <c r="AE2595">
        <v>4.2218000000000302</v>
      </c>
      <c r="AF2595">
        <v>5.4408056008767698</v>
      </c>
      <c r="AG2595">
        <v>-1.109628729008</v>
      </c>
      <c r="AH2595">
        <v>71.5160080087132</v>
      </c>
      <c r="AI2595">
        <v>90.8863580917306</v>
      </c>
      <c r="AJ2595">
        <v>85.649423708099604</v>
      </c>
      <c r="AK2595">
        <v>71.731255690982394</v>
      </c>
      <c r="AL2595">
        <v>76.991176533896095</v>
      </c>
      <c r="AM2595">
        <v>94.019229162372596</v>
      </c>
      <c r="AN2595">
        <v>0.99999998561388903</v>
      </c>
    </row>
    <row r="2596" spans="1:40" x14ac:dyDescent="0.25">
      <c r="A2596" t="str">
        <f>"20190304164139557"</f>
        <v>20190304164139557</v>
      </c>
      <c r="B2596" t="str">
        <f>"1551688899543700"</f>
        <v>1551688899543700</v>
      </c>
      <c r="C2596" t="s">
        <v>40</v>
      </c>
      <c r="D2596">
        <v>4.0867809999999896</v>
      </c>
      <c r="E2596">
        <v>0.56120919999999996</v>
      </c>
      <c r="F2596" t="s">
        <v>46</v>
      </c>
      <c r="G2596">
        <v>-459.13220000000001</v>
      </c>
      <c r="H2596" s="1">
        <v>3.1291470000000001E-6</v>
      </c>
      <c r="I2596">
        <v>289.04919999999998</v>
      </c>
      <c r="J2596">
        <v>-388.13560000000001</v>
      </c>
      <c r="K2596">
        <v>1.10961</v>
      </c>
      <c r="L2596">
        <v>284.8417</v>
      </c>
      <c r="M2596">
        <v>-0.99973120000000004</v>
      </c>
      <c r="N2596">
        <v>-1.5630539999999998E-2</v>
      </c>
      <c r="O2596">
        <v>-1.71276E-2</v>
      </c>
      <c r="P2596">
        <v>-0.97396039999999995</v>
      </c>
      <c r="Q2596">
        <v>0.2104164</v>
      </c>
      <c r="R2596">
        <v>-8.4417430000000002E-2</v>
      </c>
      <c r="S2596">
        <v>-3.106293</v>
      </c>
      <c r="T2596">
        <v>-4.8310640000000002E-2</v>
      </c>
      <c r="U2596">
        <v>0.18292240000000001</v>
      </c>
      <c r="V2596">
        <v>-6.7971240000000002E-2</v>
      </c>
      <c r="W2596">
        <v>0.2255596</v>
      </c>
      <c r="X2596">
        <v>0.97185529999999998</v>
      </c>
      <c r="Y2596">
        <v>7.5858930000000005E-2</v>
      </c>
      <c r="Z2596">
        <v>1.1815110000000001E-3</v>
      </c>
      <c r="AA2596">
        <v>0.9971179</v>
      </c>
      <c r="AB2596">
        <v>61</v>
      </c>
      <c r="AC2596">
        <v>-70.996600000000001</v>
      </c>
      <c r="AD2596">
        <v>-1.109606870853</v>
      </c>
      <c r="AE2596">
        <v>4.20749999999998</v>
      </c>
      <c r="AF2596">
        <v>5.4217128042563996</v>
      </c>
      <c r="AG2596">
        <v>-1.109606870853</v>
      </c>
      <c r="AH2596">
        <v>70.896852836034597</v>
      </c>
      <c r="AI2596">
        <v>90.894053174255205</v>
      </c>
      <c r="AJ2596">
        <v>85.626917059234898</v>
      </c>
      <c r="AK2596">
        <v>71.112516051634799</v>
      </c>
      <c r="AL2596">
        <v>76.964212818667207</v>
      </c>
      <c r="AM2596">
        <v>94.000733187339193</v>
      </c>
      <c r="AN2596">
        <v>0.99999997337869295</v>
      </c>
    </row>
    <row r="2597" spans="1:40" x14ac:dyDescent="0.25">
      <c r="A2597" t="str">
        <f>"20190304164139571"</f>
        <v>20190304164139571</v>
      </c>
      <c r="B2597" t="str">
        <f>"1551688899563220"</f>
        <v>1551688899563220</v>
      </c>
      <c r="C2597" t="s">
        <v>40</v>
      </c>
      <c r="D2597">
        <v>4.0864370000000001</v>
      </c>
      <c r="E2597">
        <v>0.56119079999999999</v>
      </c>
      <c r="F2597" t="s">
        <v>46</v>
      </c>
      <c r="G2597">
        <v>-459.51400000000001</v>
      </c>
      <c r="H2597" s="1">
        <v>3.3315939999999998E-6</v>
      </c>
      <c r="I2597">
        <v>289.06569999999999</v>
      </c>
      <c r="J2597">
        <v>-388.51990000000001</v>
      </c>
      <c r="K2597">
        <v>1.1095980000000001</v>
      </c>
      <c r="L2597">
        <v>284.83510000000001</v>
      </c>
      <c r="M2597">
        <v>-0.9997296</v>
      </c>
      <c r="N2597">
        <v>-1.565078E-2</v>
      </c>
      <c r="O2597">
        <v>-1.7203949999999999E-2</v>
      </c>
      <c r="P2597">
        <v>-0.97386989999999996</v>
      </c>
      <c r="Q2597">
        <v>0.2107948</v>
      </c>
      <c r="R2597">
        <v>-8.4518099999999999E-2</v>
      </c>
      <c r="S2597">
        <v>-3.1065670000000001</v>
      </c>
      <c r="T2597">
        <v>-4.8292880000000003E-2</v>
      </c>
      <c r="U2597">
        <v>0.1838379</v>
      </c>
      <c r="V2597">
        <v>-6.7980479999999996E-2</v>
      </c>
      <c r="W2597">
        <v>0.22596189999999999</v>
      </c>
      <c r="X2597">
        <v>0.97176119999999999</v>
      </c>
      <c r="Y2597">
        <v>7.6222650000000003E-2</v>
      </c>
      <c r="Z2597">
        <v>1.18721E-3</v>
      </c>
      <c r="AA2597">
        <v>0.99709009999999998</v>
      </c>
      <c r="AB2597">
        <v>61</v>
      </c>
      <c r="AC2597">
        <v>-70.994100000000003</v>
      </c>
      <c r="AD2597">
        <v>-1.1095946684060001</v>
      </c>
      <c r="AE2597">
        <v>4.2305999999999804</v>
      </c>
      <c r="AF2597">
        <v>5.4501755170493196</v>
      </c>
      <c r="AG2597">
        <v>-1.1095946684060001</v>
      </c>
      <c r="AH2597">
        <v>70.893541991692103</v>
      </c>
      <c r="AI2597">
        <v>90.894057489057801</v>
      </c>
      <c r="AJ2597">
        <v>85.603844667084104</v>
      </c>
      <c r="AK2597">
        <v>71.111390857039297</v>
      </c>
      <c r="AL2597">
        <v>76.940551925319397</v>
      </c>
      <c r="AM2597">
        <v>94.001661482713004</v>
      </c>
      <c r="AN2597">
        <v>0.99999997786903905</v>
      </c>
    </row>
    <row r="2598" spans="1:40" x14ac:dyDescent="0.25">
      <c r="A2598" t="str">
        <f>"20190304164139592"</f>
        <v>20190304164139592</v>
      </c>
      <c r="B2598" t="str">
        <f>"1551688899583716"</f>
        <v>1551688899583716</v>
      </c>
      <c r="C2598" t="s">
        <v>40</v>
      </c>
      <c r="D2598">
        <v>4.0902459999999996</v>
      </c>
      <c r="E2598">
        <v>0.56119619999999903</v>
      </c>
      <c r="F2598" t="s">
        <v>46</v>
      </c>
      <c r="G2598">
        <v>-458.15249999999997</v>
      </c>
      <c r="H2598" s="1">
        <v>2.6125399999999998E-6</v>
      </c>
      <c r="I2598">
        <v>288.94069999999999</v>
      </c>
      <c r="J2598">
        <v>-389.09829999999999</v>
      </c>
      <c r="K2598">
        <v>1.1095600000000001</v>
      </c>
      <c r="L2598">
        <v>284.8252</v>
      </c>
      <c r="M2598">
        <v>-0.99972740000000004</v>
      </c>
      <c r="N2598">
        <v>-1.5679439999999999E-2</v>
      </c>
      <c r="O2598">
        <v>-1.7296619999999999E-2</v>
      </c>
      <c r="P2598">
        <v>-0.97384709999999997</v>
      </c>
      <c r="Q2598">
        <v>0.21094950000000001</v>
      </c>
      <c r="R2598">
        <v>-8.4394869999999997E-2</v>
      </c>
      <c r="S2598">
        <v>-3.1071469999999999</v>
      </c>
      <c r="T2598">
        <v>-4.9512390000000003E-2</v>
      </c>
      <c r="U2598">
        <v>0.183197</v>
      </c>
      <c r="V2598">
        <v>-6.7739220000000003E-2</v>
      </c>
      <c r="W2598">
        <v>0.22615279999999999</v>
      </c>
      <c r="X2598">
        <v>0.97173370000000003</v>
      </c>
      <c r="Y2598">
        <v>7.6098490000000005E-2</v>
      </c>
      <c r="Z2598">
        <v>1.207402E-3</v>
      </c>
      <c r="AA2598">
        <v>0.99709959999999997</v>
      </c>
      <c r="AB2598">
        <v>61</v>
      </c>
      <c r="AC2598">
        <v>-69.054199999999895</v>
      </c>
      <c r="AD2598">
        <v>-1.10955738746</v>
      </c>
      <c r="AE2598">
        <v>4.1154999999999902</v>
      </c>
      <c r="AF2598">
        <v>5.3080697696953996</v>
      </c>
      <c r="AG2598">
        <v>-1.10955738746</v>
      </c>
      <c r="AH2598">
        <v>68.954934470709404</v>
      </c>
      <c r="AI2598">
        <v>90.919150935075805</v>
      </c>
      <c r="AJ2598">
        <v>85.598119370727801</v>
      </c>
      <c r="AK2598">
        <v>69.167837252120606</v>
      </c>
      <c r="AL2598">
        <v>76.929324292197194</v>
      </c>
      <c r="AM2598">
        <v>93.987618122498304</v>
      </c>
      <c r="AN2598">
        <v>1.0000000372948601</v>
      </c>
    </row>
    <row r="2599" spans="1:40" x14ac:dyDescent="0.25">
      <c r="A2599" t="str">
        <f>"20190304164139615"</f>
        <v>20190304164139615</v>
      </c>
      <c r="B2599" t="str">
        <f>"1551688899603237"</f>
        <v>1551688899603237</v>
      </c>
      <c r="C2599" t="s">
        <v>40</v>
      </c>
      <c r="D2599">
        <v>4.1099139999999998</v>
      </c>
      <c r="E2599">
        <v>0.56121499999999902</v>
      </c>
      <c r="F2599" t="s">
        <v>46</v>
      </c>
      <c r="G2599">
        <v>-456.61200000000002</v>
      </c>
      <c r="H2599" s="1">
        <v>1.798276E-6</v>
      </c>
      <c r="I2599">
        <v>288.81450000000001</v>
      </c>
      <c r="J2599">
        <v>-389.72460000000001</v>
      </c>
      <c r="K2599">
        <v>1.1095109999999999</v>
      </c>
      <c r="L2599">
        <v>284.8143</v>
      </c>
      <c r="M2599">
        <v>-0.9997258</v>
      </c>
      <c r="N2599">
        <v>-1.5707280000000001E-2</v>
      </c>
      <c r="O2599">
        <v>-1.737199E-2</v>
      </c>
      <c r="P2599">
        <v>-0.97408649999999997</v>
      </c>
      <c r="Q2599">
        <v>0.20981369999999999</v>
      </c>
      <c r="R2599">
        <v>-8.446186E-2</v>
      </c>
      <c r="S2599">
        <v>-3.1075439999999999</v>
      </c>
      <c r="T2599">
        <v>-5.1071169999999999E-2</v>
      </c>
      <c r="U2599">
        <v>0.18362429999999999</v>
      </c>
      <c r="V2599">
        <v>-6.7699880000000004E-2</v>
      </c>
      <c r="W2599">
        <v>0.22505649999999999</v>
      </c>
      <c r="X2599">
        <v>0.97199089999999999</v>
      </c>
      <c r="Y2599">
        <v>7.6301800000000003E-2</v>
      </c>
      <c r="Z2599">
        <v>1.2389289999999999E-3</v>
      </c>
      <c r="AA2599">
        <v>0.99708399999999997</v>
      </c>
      <c r="AB2599">
        <v>61</v>
      </c>
      <c r="AC2599">
        <v>-66.8873999999999</v>
      </c>
      <c r="AD2599">
        <v>-1.109509201724</v>
      </c>
      <c r="AE2599">
        <v>4.0002000000000004</v>
      </c>
      <c r="AF2599">
        <v>5.1602919026697496</v>
      </c>
      <c r="AG2599">
        <v>-1.109509201724</v>
      </c>
      <c r="AH2599">
        <v>66.7894921158763</v>
      </c>
      <c r="AI2599">
        <v>90.948884390741597</v>
      </c>
      <c r="AJ2599">
        <v>85.581988668392</v>
      </c>
      <c r="AK2599">
        <v>66.997730411456203</v>
      </c>
      <c r="AL2599">
        <v>76.993799489738905</v>
      </c>
      <c r="AM2599">
        <v>93.984258589259198</v>
      </c>
      <c r="AN2599">
        <v>1.0000000058135301</v>
      </c>
    </row>
    <row r="2600" spans="1:40" x14ac:dyDescent="0.25">
      <c r="A2600" t="str">
        <f>"20190304164139638"</f>
        <v>20190304164139638</v>
      </c>
      <c r="B2600" t="str">
        <f>"1551688899623733"</f>
        <v>1551688899623733</v>
      </c>
      <c r="C2600" t="s">
        <v>40</v>
      </c>
      <c r="D2600">
        <v>4.0822320000000003</v>
      </c>
      <c r="E2600">
        <v>0.5612298</v>
      </c>
      <c r="F2600" t="s">
        <v>46</v>
      </c>
      <c r="G2600">
        <v>-450.81650000000002</v>
      </c>
      <c r="H2600" s="1">
        <v>-1.269121E-6</v>
      </c>
      <c r="I2600">
        <v>288.43279999999999</v>
      </c>
      <c r="J2600">
        <v>-390.33359999999999</v>
      </c>
      <c r="K2600">
        <v>1.1094710000000001</v>
      </c>
      <c r="L2600">
        <v>284.80369999999999</v>
      </c>
      <c r="M2600">
        <v>-0.99972439999999996</v>
      </c>
      <c r="N2600">
        <v>-1.5731470000000001E-2</v>
      </c>
      <c r="O2600">
        <v>-1.7425400000000001E-2</v>
      </c>
      <c r="P2600">
        <v>-0.97419020000000001</v>
      </c>
      <c r="Q2600">
        <v>0.20915039999999999</v>
      </c>
      <c r="R2600">
        <v>-8.4908949999999997E-2</v>
      </c>
      <c r="S2600">
        <v>-3.10791</v>
      </c>
      <c r="T2600">
        <v>-5.6443930000000003E-2</v>
      </c>
      <c r="U2600">
        <v>0.184082</v>
      </c>
      <c r="V2600">
        <v>-6.8067829999999996E-2</v>
      </c>
      <c r="W2600">
        <v>0.22442599999999999</v>
      </c>
      <c r="X2600">
        <v>0.97211099999999995</v>
      </c>
      <c r="Y2600">
        <v>7.6491089999999998E-2</v>
      </c>
      <c r="Z2600">
        <v>1.338561E-3</v>
      </c>
      <c r="AA2600">
        <v>0.99706939999999999</v>
      </c>
      <c r="AB2600">
        <v>61</v>
      </c>
      <c r="AC2600">
        <v>-60.482900000000001</v>
      </c>
      <c r="AD2600">
        <v>-1.1094722691209999</v>
      </c>
      <c r="AE2600">
        <v>3.62909999999999</v>
      </c>
      <c r="AF2600">
        <v>4.6810485481242097</v>
      </c>
      <c r="AG2600">
        <v>-1.1094722691209999</v>
      </c>
      <c r="AH2600">
        <v>60.390220432121701</v>
      </c>
      <c r="AI2600">
        <v>91.049356654163205</v>
      </c>
      <c r="AJ2600">
        <v>85.567674711763402</v>
      </c>
      <c r="AK2600">
        <v>60.581530750436599</v>
      </c>
      <c r="AL2600">
        <v>77.030873160782306</v>
      </c>
      <c r="AM2600">
        <v>94.005349501125707</v>
      </c>
      <c r="AN2600">
        <v>1.00000002763895</v>
      </c>
    </row>
    <row r="2601" spans="1:40" x14ac:dyDescent="0.25">
      <c r="A2601" t="str">
        <f>"20190304164139659"</f>
        <v>20190304164139659</v>
      </c>
      <c r="B2601" t="str">
        <f>"1551688899653988"</f>
        <v>1551688899653988</v>
      </c>
      <c r="C2601" t="s">
        <v>40</v>
      </c>
      <c r="D2601">
        <v>4.0681019999999997</v>
      </c>
      <c r="E2601">
        <v>0.56124430000000003</v>
      </c>
      <c r="F2601" t="s">
        <v>46</v>
      </c>
      <c r="G2601">
        <v>-447.76830000000001</v>
      </c>
      <c r="H2601" s="1">
        <v>2.4411249999999999E-6</v>
      </c>
      <c r="I2601">
        <v>288.18549999999999</v>
      </c>
      <c r="J2601">
        <v>-390.95</v>
      </c>
      <c r="K2601">
        <v>1.1094379999999999</v>
      </c>
      <c r="L2601">
        <v>284.79300000000001</v>
      </c>
      <c r="M2601">
        <v>-0.99972329999999998</v>
      </c>
      <c r="N2601">
        <v>-1.5753299999999901E-2</v>
      </c>
      <c r="O2601">
        <v>-1.7465769999999999E-2</v>
      </c>
      <c r="P2601">
        <v>-0.97415280000000004</v>
      </c>
      <c r="Q2601">
        <v>0.20926610000000001</v>
      </c>
      <c r="R2601">
        <v>-8.5052180000000005E-2</v>
      </c>
      <c r="S2601">
        <v>-3.108276</v>
      </c>
      <c r="T2601">
        <v>-6.0042619999999998E-2</v>
      </c>
      <c r="U2601">
        <v>0.18301390000000001</v>
      </c>
      <c r="V2601">
        <v>-6.8150370000000002E-2</v>
      </c>
      <c r="W2601">
        <v>0.22456870000000001</v>
      </c>
      <c r="X2601">
        <v>0.97207220000000005</v>
      </c>
      <c r="Y2601">
        <v>7.6180670000000006E-2</v>
      </c>
      <c r="Z2601">
        <v>1.3979939999999901E-3</v>
      </c>
      <c r="AA2601">
        <v>0.99709300000000001</v>
      </c>
      <c r="AB2601">
        <v>61</v>
      </c>
      <c r="AC2601">
        <v>-56.818300000000001</v>
      </c>
      <c r="AD2601">
        <v>-1.109435558875</v>
      </c>
      <c r="AE2601">
        <v>3.3924999999999801</v>
      </c>
      <c r="AF2601">
        <v>4.3828158757347397</v>
      </c>
      <c r="AG2601">
        <v>-1.109435558875</v>
      </c>
      <c r="AH2601">
        <v>56.728818987784003</v>
      </c>
      <c r="AI2601">
        <v>91.117052667532107</v>
      </c>
      <c r="AJ2601">
        <v>85.582157314402707</v>
      </c>
      <c r="AK2601">
        <v>56.908688493134797</v>
      </c>
      <c r="AL2601">
        <v>77.022482101349695</v>
      </c>
      <c r="AM2601">
        <v>94.0103501503377</v>
      </c>
      <c r="AN2601">
        <v>0.99999996798183199</v>
      </c>
    </row>
    <row r="2602" spans="1:40" x14ac:dyDescent="0.25">
      <c r="A2602" t="str">
        <f>"20190304164139681"</f>
        <v>20190304164139681</v>
      </c>
      <c r="B2602" t="str">
        <f>"1551688899673508"</f>
        <v>1551688899673508</v>
      </c>
      <c r="C2602" t="s">
        <v>40</v>
      </c>
      <c r="D2602">
        <v>4.1058320000000004</v>
      </c>
      <c r="E2602">
        <v>0.56134890000000004</v>
      </c>
      <c r="F2602" t="s">
        <v>46</v>
      </c>
      <c r="G2602">
        <v>-447.60789999999997</v>
      </c>
      <c r="H2602" s="1">
        <v>2.3585430000000001E-6</v>
      </c>
      <c r="I2602">
        <v>288.12139999999999</v>
      </c>
      <c r="J2602">
        <v>-391.53500000000003</v>
      </c>
      <c r="K2602">
        <v>1.109416</v>
      </c>
      <c r="L2602">
        <v>284.78280000000001</v>
      </c>
      <c r="M2602">
        <v>-0.99972269999999996</v>
      </c>
      <c r="N2602">
        <v>-1.5771500000000001E-2</v>
      </c>
      <c r="O2602">
        <v>-1.7495520000000001E-2</v>
      </c>
      <c r="P2602">
        <v>-0.97394349999999996</v>
      </c>
      <c r="Q2602">
        <v>0.2102588</v>
      </c>
      <c r="R2602">
        <v>-8.5004670000000004E-2</v>
      </c>
      <c r="S2602">
        <v>-3.1086119999999999</v>
      </c>
      <c r="T2602">
        <v>-6.0870649999999998E-2</v>
      </c>
      <c r="U2602">
        <v>0.18261720000000001</v>
      </c>
      <c r="V2602">
        <v>-6.8058919999999995E-2</v>
      </c>
      <c r="W2602">
        <v>0.22558149999999999</v>
      </c>
      <c r="X2602">
        <v>0.97184409999999999</v>
      </c>
      <c r="Y2602">
        <v>7.6076660000000004E-2</v>
      </c>
      <c r="Z2602">
        <v>1.4113140000000001E-3</v>
      </c>
      <c r="AA2602">
        <v>0.99710089999999996</v>
      </c>
      <c r="AB2602">
        <v>61</v>
      </c>
      <c r="AC2602">
        <v>-56.072899999999898</v>
      </c>
      <c r="AD2602">
        <v>-1.1094136414569999</v>
      </c>
      <c r="AE2602">
        <v>3.33859999999998</v>
      </c>
      <c r="AF2602">
        <v>4.31755114335777</v>
      </c>
      <c r="AG2602">
        <v>-1.1094136414569999</v>
      </c>
      <c r="AH2602">
        <v>55.984059863393497</v>
      </c>
      <c r="AI2602">
        <v>91.131898668116804</v>
      </c>
      <c r="AJ2602">
        <v>85.590016825414097</v>
      </c>
      <c r="AK2602">
        <v>56.161258936133102</v>
      </c>
      <c r="AL2602">
        <v>76.962925095882596</v>
      </c>
      <c r="AM2602">
        <v>94.005923187069101</v>
      </c>
      <c r="AN2602">
        <v>0.99999999221931302</v>
      </c>
    </row>
    <row r="2603" spans="1:40" x14ac:dyDescent="0.25">
      <c r="A2603" t="str">
        <f>"20190304164139704"</f>
        <v>20190304164139704</v>
      </c>
      <c r="B2603" t="str">
        <f>"1551688899694004"</f>
        <v>1551688899694004</v>
      </c>
      <c r="C2603" t="s">
        <v>40</v>
      </c>
      <c r="D2603">
        <v>4.1125499999999997</v>
      </c>
      <c r="E2603">
        <v>0.56137269999999995</v>
      </c>
      <c r="F2603" t="s">
        <v>46</v>
      </c>
      <c r="G2603">
        <v>-450.71820000000002</v>
      </c>
      <c r="H2603" s="1">
        <v>-1.314591E-6</v>
      </c>
      <c r="I2603">
        <v>288.27670000000001</v>
      </c>
      <c r="J2603">
        <v>-392.14609999999999</v>
      </c>
      <c r="K2603">
        <v>1.1093959999999901</v>
      </c>
      <c r="L2603">
        <v>284.77210000000002</v>
      </c>
      <c r="M2603">
        <v>-0.999722</v>
      </c>
      <c r="N2603">
        <v>-1.5787820000000001E-2</v>
      </c>
      <c r="O2603">
        <v>-1.7520170000000002E-2</v>
      </c>
      <c r="P2603">
        <v>-0.97382800000000003</v>
      </c>
      <c r="Q2603">
        <v>0.21062320000000001</v>
      </c>
      <c r="R2603">
        <v>-8.5424920000000001E-2</v>
      </c>
      <c r="S2603">
        <v>-3.1088260000000001</v>
      </c>
      <c r="T2603">
        <v>-5.8276410000000001E-2</v>
      </c>
      <c r="U2603">
        <v>0.18353269999999999</v>
      </c>
      <c r="V2603">
        <v>-6.8440089999999995E-2</v>
      </c>
      <c r="W2603">
        <v>0.2259652</v>
      </c>
      <c r="X2603">
        <v>0.97172820000000004</v>
      </c>
      <c r="Y2603">
        <v>7.6391500000000001E-2</v>
      </c>
      <c r="Z2603">
        <v>1.3707859999999999E-3</v>
      </c>
      <c r="AA2603">
        <v>0.99707690000000004</v>
      </c>
      <c r="AB2603">
        <v>61</v>
      </c>
      <c r="AC2603">
        <v>-58.572099999999999</v>
      </c>
      <c r="AD2603">
        <v>-1.1093973145910001</v>
      </c>
      <c r="AE2603">
        <v>3.50459999999998</v>
      </c>
      <c r="AF2603">
        <v>4.5287639610893597</v>
      </c>
      <c r="AG2603">
        <v>-1.1093973145910001</v>
      </c>
      <c r="AH2603">
        <v>58.480793522383003</v>
      </c>
      <c r="AI2603">
        <v>91.083543542774905</v>
      </c>
      <c r="AJ2603">
        <v>85.571841505971804</v>
      </c>
      <c r="AK2603">
        <v>58.666376029412902</v>
      </c>
      <c r="AL2603">
        <v>76.940358204333805</v>
      </c>
      <c r="AM2603">
        <v>94.028763938218802</v>
      </c>
      <c r="AN2603">
        <v>1.0000000061027401</v>
      </c>
    </row>
    <row r="2604" spans="1:40" x14ac:dyDescent="0.25">
      <c r="A2604" t="str">
        <f>"20190304164139727"</f>
        <v>20190304164139727</v>
      </c>
      <c r="B2604" t="str">
        <f>"1551688899713525"</f>
        <v>1551688899713525</v>
      </c>
      <c r="C2604" t="s">
        <v>40</v>
      </c>
      <c r="D2604">
        <v>4.1017729999999997</v>
      </c>
      <c r="E2604">
        <v>0.56141790000000003</v>
      </c>
      <c r="F2604" t="s">
        <v>46</v>
      </c>
      <c r="G2604">
        <v>-450.75599999999997</v>
      </c>
      <c r="H2604" s="1">
        <v>-1.2912020000000001E-6</v>
      </c>
      <c r="I2604">
        <v>288.20229999999998</v>
      </c>
      <c r="J2604">
        <v>-392.76760000000002</v>
      </c>
      <c r="K2604">
        <v>1.1093729999999999</v>
      </c>
      <c r="L2604">
        <v>284.7611</v>
      </c>
      <c r="M2604">
        <v>-0.99972130000000003</v>
      </c>
      <c r="N2604">
        <v>-1.580179E-2</v>
      </c>
      <c r="O2604">
        <v>-1.7541419999999999E-2</v>
      </c>
      <c r="P2604">
        <v>-0.97381779999999996</v>
      </c>
      <c r="Q2604">
        <v>0.21055760000000001</v>
      </c>
      <c r="R2604">
        <v>-8.5700739999999997E-2</v>
      </c>
      <c r="S2604">
        <v>-3.1093139999999999</v>
      </c>
      <c r="T2604">
        <v>-5.8854579999999997E-2</v>
      </c>
      <c r="U2604">
        <v>0.18197630000000001</v>
      </c>
      <c r="V2604">
        <v>-6.8679939999999995E-2</v>
      </c>
      <c r="W2604">
        <v>0.2259178</v>
      </c>
      <c r="X2604">
        <v>0.97172230000000004</v>
      </c>
      <c r="Y2604">
        <v>7.5905879999999995E-2</v>
      </c>
      <c r="Z2604">
        <v>1.37289799999999E-3</v>
      </c>
      <c r="AA2604">
        <v>0.9971141</v>
      </c>
      <c r="AB2604">
        <v>61</v>
      </c>
      <c r="AC2604">
        <v>-57.988399999999899</v>
      </c>
      <c r="AD2604">
        <v>-1.1093742912019999</v>
      </c>
      <c r="AE2604">
        <v>3.4411999999999798</v>
      </c>
      <c r="AF2604">
        <v>4.4563709749647504</v>
      </c>
      <c r="AG2604">
        <v>-1.1093742912019999</v>
      </c>
      <c r="AH2604">
        <v>57.897988505645102</v>
      </c>
      <c r="AI2604">
        <v>91.094464755628195</v>
      </c>
      <c r="AJ2604">
        <v>85.598658571575598</v>
      </c>
      <c r="AK2604">
        <v>58.079833217600601</v>
      </c>
      <c r="AL2604">
        <v>76.9431461347164</v>
      </c>
      <c r="AM2604">
        <v>94.042860571492994</v>
      </c>
      <c r="AN2604">
        <v>1.0000000074162601</v>
      </c>
    </row>
    <row r="2605" spans="1:40" x14ac:dyDescent="0.25">
      <c r="A2605" t="str">
        <f>"20190304164139749"</f>
        <v>20190304164139749</v>
      </c>
      <c r="B2605" t="str">
        <f>"1551688899743781"</f>
        <v>1551688899743781</v>
      </c>
      <c r="C2605" t="s">
        <v>40</v>
      </c>
      <c r="D2605">
        <v>4.1552899999999999</v>
      </c>
      <c r="E2605">
        <v>0.56156619999999902</v>
      </c>
      <c r="F2605" t="s">
        <v>46</v>
      </c>
      <c r="G2605">
        <v>-450.84820000000002</v>
      </c>
      <c r="H2605" s="1">
        <v>-1.240337E-6</v>
      </c>
      <c r="I2605">
        <v>288.1601</v>
      </c>
      <c r="J2605">
        <v>-393.38529999999997</v>
      </c>
      <c r="K2605">
        <v>1.1093500000000001</v>
      </c>
      <c r="L2605">
        <v>284.75029999999998</v>
      </c>
      <c r="M2605">
        <v>-0.99972090000000002</v>
      </c>
      <c r="N2605">
        <v>-1.5813540000000001E-2</v>
      </c>
      <c r="O2605">
        <v>-1.7559640000000001E-2</v>
      </c>
      <c r="P2605">
        <v>-0.97381850000000003</v>
      </c>
      <c r="Q2605">
        <v>0.21054149999999999</v>
      </c>
      <c r="R2605">
        <v>-8.57319E-2</v>
      </c>
      <c r="S2605">
        <v>-3.1095280000000001</v>
      </c>
      <c r="T2605">
        <v>-5.9393880000000003E-2</v>
      </c>
      <c r="U2605">
        <v>0.18197630000000001</v>
      </c>
      <c r="V2605">
        <v>-6.8679959999999998E-2</v>
      </c>
      <c r="W2605">
        <v>0.2259169</v>
      </c>
      <c r="X2605">
        <v>0.97172250000000004</v>
      </c>
      <c r="Y2605">
        <v>7.5919680000000003E-2</v>
      </c>
      <c r="Z2605">
        <v>1.382982E-3</v>
      </c>
      <c r="AA2605">
        <v>0.99711300000000003</v>
      </c>
      <c r="AB2605">
        <v>61</v>
      </c>
      <c r="AC2605">
        <v>-57.462899999999998</v>
      </c>
      <c r="AD2605">
        <v>-1.1093512403370001</v>
      </c>
      <c r="AE2605">
        <v>3.4098000000000099</v>
      </c>
      <c r="AF2605">
        <v>4.4167876419476597</v>
      </c>
      <c r="AG2605">
        <v>-1.1093512403370001</v>
      </c>
      <c r="AH2605">
        <v>57.372847667978199</v>
      </c>
      <c r="AI2605">
        <v>91.104455882586393</v>
      </c>
      <c r="AJ2605">
        <v>85.597828195592797</v>
      </c>
      <c r="AK2605">
        <v>57.5532998426809</v>
      </c>
      <c r="AL2605">
        <v>76.943198968381495</v>
      </c>
      <c r="AM2605">
        <v>94.042860915550904</v>
      </c>
      <c r="AN2605">
        <v>0.99999999980873</v>
      </c>
    </row>
    <row r="2606" spans="1:40" x14ac:dyDescent="0.25">
      <c r="A2606" t="str">
        <f>"20190304164139771"</f>
        <v>20190304164139771</v>
      </c>
      <c r="B2606" t="str">
        <f>"1551688899763300"</f>
        <v>1551688899763300</v>
      </c>
      <c r="C2606" t="s">
        <v>40</v>
      </c>
      <c r="D2606">
        <v>4.3422190000000001</v>
      </c>
      <c r="E2606">
        <v>0.58116060000000003</v>
      </c>
      <c r="F2606" t="s">
        <v>46</v>
      </c>
      <c r="G2606">
        <v>-449.3938</v>
      </c>
      <c r="H2606" s="1">
        <v>3.3119509999999999E-6</v>
      </c>
      <c r="I2606">
        <v>288.05160000000001</v>
      </c>
      <c r="J2606">
        <v>-393.97269999999997</v>
      </c>
      <c r="K2606">
        <v>1.1093360000000001</v>
      </c>
      <c r="L2606">
        <v>284.73989999999998</v>
      </c>
      <c r="M2606">
        <v>-0.99972039999999995</v>
      </c>
      <c r="N2606">
        <v>-1.5822940000000001E-2</v>
      </c>
      <c r="O2606">
        <v>-1.757529E-2</v>
      </c>
      <c r="P2606">
        <v>-0.97388960000000002</v>
      </c>
      <c r="Q2606">
        <v>0.21036840000000001</v>
      </c>
      <c r="R2606">
        <v>-8.5346539999999999E-2</v>
      </c>
      <c r="S2606">
        <v>-3.1101070000000002</v>
      </c>
      <c r="T2606">
        <v>-6.1601160000000002E-2</v>
      </c>
      <c r="U2606">
        <v>0.18331910000000001</v>
      </c>
      <c r="V2606">
        <v>-6.826691E-2</v>
      </c>
      <c r="W2606">
        <v>0.2257575</v>
      </c>
      <c r="X2606">
        <v>0.9717886</v>
      </c>
      <c r="Y2606">
        <v>7.6351810000000006E-2</v>
      </c>
      <c r="Z2606">
        <v>1.4301019999999999E-3</v>
      </c>
      <c r="AA2606">
        <v>0.99707990000000002</v>
      </c>
      <c r="AB2606">
        <v>61</v>
      </c>
      <c r="AC2606">
        <v>-55.421100000000003</v>
      </c>
      <c r="AD2606">
        <v>-1.109332688049</v>
      </c>
      <c r="AE2606">
        <v>3.3117000000000298</v>
      </c>
      <c r="AF2606">
        <v>4.2836419837740101</v>
      </c>
      <c r="AG2606">
        <v>-1.109332688049</v>
      </c>
      <c r="AH2606">
        <v>55.332235889693301</v>
      </c>
      <c r="AI2606">
        <v>91.145119568866306</v>
      </c>
      <c r="AJ2606">
        <v>85.573176595384993</v>
      </c>
      <c r="AK2606">
        <v>55.508887002088201</v>
      </c>
      <c r="AL2606">
        <v>76.952573480097101</v>
      </c>
      <c r="AM2606">
        <v>94.018354091586403</v>
      </c>
      <c r="AN2606">
        <v>0.99999995144857701</v>
      </c>
    </row>
    <row r="2607" spans="1:40" x14ac:dyDescent="0.25">
      <c r="A2607" t="str">
        <f>"20190304164139793"</f>
        <v>20190304164139793</v>
      </c>
      <c r="B2607" t="str">
        <f>"1551688899783796"</f>
        <v>1551688899783796</v>
      </c>
      <c r="C2607" t="s">
        <v>40</v>
      </c>
      <c r="D2607">
        <v>4.3453390000000001</v>
      </c>
      <c r="E2607">
        <v>0.58965900000000004</v>
      </c>
      <c r="F2607" t="s">
        <v>47</v>
      </c>
      <c r="G2607">
        <v>-428.31990000000002</v>
      </c>
      <c r="H2607" s="1">
        <v>2.1548390000000001E-6</v>
      </c>
      <c r="I2607">
        <v>288.43630000000002</v>
      </c>
      <c r="J2607">
        <v>-394.57549999999998</v>
      </c>
      <c r="K2607">
        <v>1.1093230000000001</v>
      </c>
      <c r="L2607">
        <v>284.72930000000002</v>
      </c>
      <c r="M2607">
        <v>-0.99972000000000005</v>
      </c>
      <c r="N2607">
        <v>-1.5830899999999998E-2</v>
      </c>
      <c r="O2607">
        <v>-1.7589779999999999E-2</v>
      </c>
      <c r="P2607">
        <v>-0.97396249999999995</v>
      </c>
      <c r="Q2607">
        <v>0.21029220000000001</v>
      </c>
      <c r="R2607">
        <v>-8.4700570000000003E-2</v>
      </c>
      <c r="S2607">
        <v>-3.1318049999999999</v>
      </c>
      <c r="T2607">
        <v>-0.10115</v>
      </c>
      <c r="U2607">
        <v>0.33703610000000001</v>
      </c>
      <c r="V2607">
        <v>-6.7595559999999999E-2</v>
      </c>
      <c r="W2607">
        <v>0.225693</v>
      </c>
      <c r="X2607">
        <v>0.97185060000000001</v>
      </c>
      <c r="Y2607">
        <v>0.1243756</v>
      </c>
      <c r="Z2607">
        <v>3.2788380000000001E-3</v>
      </c>
      <c r="AA2607">
        <v>0.99222980000000005</v>
      </c>
      <c r="AB2607">
        <v>61</v>
      </c>
      <c r="AC2607">
        <v>-33.744399999999999</v>
      </c>
      <c r="AD2607">
        <v>-1.1093208451609999</v>
      </c>
      <c r="AE2607">
        <v>3.7069999999999901</v>
      </c>
      <c r="AF2607">
        <v>4.2954704517514397</v>
      </c>
      <c r="AG2607">
        <v>-1.1093208451609999</v>
      </c>
      <c r="AH2607">
        <v>33.6380449054435</v>
      </c>
      <c r="AI2607">
        <v>91.8736215480656</v>
      </c>
      <c r="AJ2607">
        <v>82.722896791706404</v>
      </c>
      <c r="AK2607">
        <v>33.929334272867898</v>
      </c>
      <c r="AL2607">
        <v>76.956368130867602</v>
      </c>
      <c r="AM2607">
        <v>93.978711353270398</v>
      </c>
      <c r="AN2607">
        <v>1.0000000393505299</v>
      </c>
    </row>
    <row r="2608" spans="1:40" x14ac:dyDescent="0.25">
      <c r="A2608" t="str">
        <f>"20190304164139816"</f>
        <v>20190304164139816</v>
      </c>
      <c r="B2608" t="str">
        <f>"1551688899803316"</f>
        <v>1551688899803316</v>
      </c>
      <c r="C2608" t="s">
        <v>40</v>
      </c>
      <c r="D2608">
        <v>4.3346</v>
      </c>
      <c r="E2608">
        <v>0.59282049999999997</v>
      </c>
      <c r="F2608" t="s">
        <v>47</v>
      </c>
      <c r="G2608">
        <v>-415.8168</v>
      </c>
      <c r="H2608" s="1">
        <v>2.990698E-6</v>
      </c>
      <c r="I2608">
        <v>287.44</v>
      </c>
      <c r="J2608">
        <v>-395.20850000000002</v>
      </c>
      <c r="K2608">
        <v>1.1093090000000001</v>
      </c>
      <c r="L2608">
        <v>284.71820000000002</v>
      </c>
      <c r="M2608">
        <v>-0.99971960000000004</v>
      </c>
      <c r="N2608">
        <v>-1.58376E-2</v>
      </c>
      <c r="O2608">
        <v>-1.760335E-2</v>
      </c>
      <c r="P2608">
        <v>-0.9739141</v>
      </c>
      <c r="Q2608">
        <v>0.21048549999999999</v>
      </c>
      <c r="R2608">
        <v>-8.477722E-2</v>
      </c>
      <c r="S2608">
        <v>-3.1506959999999999</v>
      </c>
      <c r="T2608">
        <v>-0.1645442</v>
      </c>
      <c r="U2608">
        <v>0.40206910000000001</v>
      </c>
      <c r="V2608">
        <v>-6.7651160000000002E-2</v>
      </c>
      <c r="W2608">
        <v>0.22589500000000001</v>
      </c>
      <c r="X2608">
        <v>0.97179970000000004</v>
      </c>
      <c r="Y2608">
        <v>0.1437668</v>
      </c>
      <c r="Z2608">
        <v>5.5182769999999898E-3</v>
      </c>
      <c r="AA2608">
        <v>0.98959620000000004</v>
      </c>
      <c r="AB2608">
        <v>61</v>
      </c>
      <c r="AC2608">
        <v>-20.6082999999999</v>
      </c>
      <c r="AD2608">
        <v>-1.109306009302</v>
      </c>
      <c r="AE2608">
        <v>2.7217999999999698</v>
      </c>
      <c r="AF2608">
        <v>3.0754405613865798</v>
      </c>
      <c r="AG2608">
        <v>-1.109306009302</v>
      </c>
      <c r="AH2608">
        <v>20.4988107751375</v>
      </c>
      <c r="AI2608">
        <v>93.063357279668793</v>
      </c>
      <c r="AJ2608">
        <v>81.4675424659942</v>
      </c>
      <c r="AK2608">
        <v>20.7578933821279</v>
      </c>
      <c r="AL2608">
        <v>76.944486298329295</v>
      </c>
      <c r="AM2608">
        <v>93.982181368935002</v>
      </c>
      <c r="AN2608">
        <v>0.99999994369721601</v>
      </c>
    </row>
    <row r="2609" spans="1:40" x14ac:dyDescent="0.25">
      <c r="A2609" t="str">
        <f>"20190304164139839"</f>
        <v>20190304164139839</v>
      </c>
      <c r="B2609" t="str">
        <f>"1551688899833573"</f>
        <v>1551688899833573</v>
      </c>
      <c r="C2609" t="s">
        <v>40</v>
      </c>
      <c r="D2609">
        <v>4.3374889999999997</v>
      </c>
      <c r="E2609">
        <v>0.59529200000000004</v>
      </c>
      <c r="F2609" t="s">
        <v>47</v>
      </c>
      <c r="G2609">
        <v>-412.69170000000003</v>
      </c>
      <c r="H2609" s="1">
        <v>2.4687000000000002E-6</v>
      </c>
      <c r="I2609">
        <v>287.0702</v>
      </c>
      <c r="J2609">
        <v>-395.81299999999999</v>
      </c>
      <c r="K2609">
        <v>1.1093</v>
      </c>
      <c r="L2609">
        <v>284.70749999999998</v>
      </c>
      <c r="M2609">
        <v>-0.99971929999999998</v>
      </c>
      <c r="N2609">
        <v>-1.5842579999999998E-2</v>
      </c>
      <c r="O2609">
        <v>-1.76147E-2</v>
      </c>
      <c r="P2609">
        <v>-0.97380540000000004</v>
      </c>
      <c r="Q2609">
        <v>0.21107100000000001</v>
      </c>
      <c r="R2609">
        <v>-8.4568749999999998E-2</v>
      </c>
      <c r="S2609">
        <v>-3.160736</v>
      </c>
      <c r="T2609">
        <v>-0.20054759999999999</v>
      </c>
      <c r="U2609">
        <v>0.42520140000000001</v>
      </c>
      <c r="V2609">
        <v>-6.7426199999999895E-2</v>
      </c>
      <c r="W2609">
        <v>0.2264854</v>
      </c>
      <c r="X2609">
        <v>0.97167800000000004</v>
      </c>
      <c r="Y2609">
        <v>0.150371799999999</v>
      </c>
      <c r="Z2609">
        <v>6.7767189999999996E-3</v>
      </c>
      <c r="AA2609">
        <v>0.98860630000000005</v>
      </c>
      <c r="AB2609">
        <v>61</v>
      </c>
      <c r="AC2609">
        <v>-16.878699999999899</v>
      </c>
      <c r="AD2609">
        <v>-1.1092975313</v>
      </c>
      <c r="AE2609">
        <v>2.36270000000001</v>
      </c>
      <c r="AF2609">
        <v>2.6484641090864498</v>
      </c>
      <c r="AG2609">
        <v>-1.1092975313</v>
      </c>
      <c r="AH2609">
        <v>16.7634415293114</v>
      </c>
      <c r="AI2609">
        <v>93.739697628156307</v>
      </c>
      <c r="AJ2609">
        <v>81.022021435986005</v>
      </c>
      <c r="AK2609">
        <v>17.007582869317702</v>
      </c>
      <c r="AL2609">
        <v>76.909760021453906</v>
      </c>
      <c r="AM2609">
        <v>93.969477351191998</v>
      </c>
      <c r="AN2609">
        <v>1.0000000322717899</v>
      </c>
    </row>
    <row r="2610" spans="1:40" x14ac:dyDescent="0.25">
      <c r="A2610" t="str">
        <f>"20190304164139860"</f>
        <v>20190304164139860</v>
      </c>
      <c r="B2610" t="str">
        <f>"1551688899853092"</f>
        <v>1551688899853092</v>
      </c>
      <c r="C2610" t="s">
        <v>40</v>
      </c>
      <c r="D2610">
        <v>4.3277299999999999</v>
      </c>
      <c r="E2610">
        <v>0.59614579999999995</v>
      </c>
      <c r="F2610" t="s">
        <v>47</v>
      </c>
      <c r="G2610">
        <v>-411.61529999999999</v>
      </c>
      <c r="H2610" s="1">
        <v>2.2906519999999999E-6</v>
      </c>
      <c r="I2610">
        <v>286.92270000000002</v>
      </c>
      <c r="J2610">
        <v>-396.39839999999998</v>
      </c>
      <c r="K2610">
        <v>1.1092900000000001</v>
      </c>
      <c r="L2610">
        <v>284.69720000000001</v>
      </c>
      <c r="M2610">
        <v>-0.99971920000000003</v>
      </c>
      <c r="N2610">
        <v>-1.5846229999999999E-2</v>
      </c>
      <c r="O2610">
        <v>-1.7624190000000001E-2</v>
      </c>
      <c r="P2610">
        <v>-0.97370299999999999</v>
      </c>
      <c r="Q2610">
        <v>0.2116865</v>
      </c>
      <c r="R2610">
        <v>-8.4210270000000004E-2</v>
      </c>
      <c r="S2610">
        <v>-3.1674799999999999</v>
      </c>
      <c r="T2610">
        <v>-0.22235179999999999</v>
      </c>
      <c r="U2610">
        <v>0.4440308</v>
      </c>
      <c r="V2610">
        <v>-6.7055329999999996E-2</v>
      </c>
      <c r="W2610">
        <v>0.2271049</v>
      </c>
      <c r="X2610">
        <v>0.97155899999999995</v>
      </c>
      <c r="Y2610">
        <v>0.15577279999999999</v>
      </c>
      <c r="Z2610">
        <v>7.6288290000000002E-3</v>
      </c>
      <c r="AA2610">
        <v>0.98776350000000002</v>
      </c>
      <c r="AB2610">
        <v>61</v>
      </c>
      <c r="AC2610">
        <v>-15.216900000000001</v>
      </c>
      <c r="AD2610">
        <v>-1.10928770934799</v>
      </c>
      <c r="AE2610">
        <v>2.22550000000001</v>
      </c>
      <c r="AF2610">
        <v>2.4804678412062402</v>
      </c>
      <c r="AG2610">
        <v>-1.10928770934799</v>
      </c>
      <c r="AH2610">
        <v>15.0967616093996</v>
      </c>
      <c r="AI2610">
        <v>94.147050583036602</v>
      </c>
      <c r="AJ2610">
        <v>80.669405012628005</v>
      </c>
      <c r="AK2610">
        <v>15.3393432396701</v>
      </c>
      <c r="AL2610">
        <v>76.873314826827695</v>
      </c>
      <c r="AM2610">
        <v>93.948194926592905</v>
      </c>
      <c r="AN2610">
        <v>0.99999997168320898</v>
      </c>
    </row>
    <row r="2611" spans="1:40" x14ac:dyDescent="0.25">
      <c r="A2611" t="str">
        <f>"20190304164139883"</f>
        <v>20190304164139883</v>
      </c>
      <c r="B2611" t="str">
        <f>"1551688899873588"</f>
        <v>1551688899873588</v>
      </c>
      <c r="C2611" t="s">
        <v>40</v>
      </c>
      <c r="D2611">
        <v>4.3460109999999998</v>
      </c>
      <c r="E2611">
        <v>0.59693459999999998</v>
      </c>
      <c r="F2611" t="s">
        <v>47</v>
      </c>
      <c r="G2611">
        <v>-411.67070000000001</v>
      </c>
      <c r="H2611" s="1">
        <v>2.3052270000000001E-6</v>
      </c>
      <c r="I2611">
        <v>286.86840000000001</v>
      </c>
      <c r="J2611">
        <v>-397.0027</v>
      </c>
      <c r="K2611">
        <v>1.1092869999999999</v>
      </c>
      <c r="L2611">
        <v>284.68650000000002</v>
      </c>
      <c r="M2611">
        <v>-0.99971900000000002</v>
      </c>
      <c r="N2611">
        <v>-1.5848899999999999E-2</v>
      </c>
      <c r="O2611">
        <v>-1.7631910000000001E-2</v>
      </c>
      <c r="P2611">
        <v>-0.97379649999999995</v>
      </c>
      <c r="Q2611">
        <v>0.2112986</v>
      </c>
      <c r="R2611">
        <v>-8.4104100000000001E-2</v>
      </c>
      <c r="S2611">
        <v>-3.170105</v>
      </c>
      <c r="T2611">
        <v>-0.2302572</v>
      </c>
      <c r="U2611">
        <v>0.45068359999999902</v>
      </c>
      <c r="V2611">
        <v>-6.6934980000000005E-2</v>
      </c>
      <c r="W2611">
        <v>0.22672220000000001</v>
      </c>
      <c r="X2611">
        <v>0.97165670000000004</v>
      </c>
      <c r="Y2611">
        <v>0.15766250000000001</v>
      </c>
      <c r="Z2611">
        <v>7.9427390000000007E-3</v>
      </c>
      <c r="AA2611">
        <v>0.98746109999999998</v>
      </c>
      <c r="AB2611">
        <v>61</v>
      </c>
      <c r="AC2611">
        <v>-14.667999999999999</v>
      </c>
      <c r="AD2611">
        <v>-1.109284694773</v>
      </c>
      <c r="AE2611">
        <v>2.1818999999999802</v>
      </c>
      <c r="AF2611">
        <v>2.4266397792271701</v>
      </c>
      <c r="AG2611">
        <v>-1.109284694773</v>
      </c>
      <c r="AH2611">
        <v>14.5458519483249</v>
      </c>
      <c r="AI2611">
        <v>94.301782672650802</v>
      </c>
      <c r="AJ2611">
        <v>80.528743959480906</v>
      </c>
      <c r="AK2611">
        <v>14.788539551110899</v>
      </c>
      <c r="AL2611">
        <v>76.895829524525297</v>
      </c>
      <c r="AM2611">
        <v>93.940736078764303</v>
      </c>
      <c r="AN2611">
        <v>0.99999999508766502</v>
      </c>
    </row>
    <row r="2612" spans="1:40" x14ac:dyDescent="0.25">
      <c r="A2612" t="str">
        <f>"20190304164139905"</f>
        <v>20190304164139905</v>
      </c>
      <c r="B2612" t="str">
        <f>"1551688899893108"</f>
        <v>1551688899893108</v>
      </c>
      <c r="C2612" t="s">
        <v>40</v>
      </c>
      <c r="D2612">
        <v>4.3439009999999998</v>
      </c>
      <c r="E2612">
        <v>0.59711000000000003</v>
      </c>
      <c r="F2612" t="s">
        <v>47</v>
      </c>
      <c r="G2612">
        <v>-411.68349999999998</v>
      </c>
      <c r="H2612" s="1">
        <v>2.3135730000000001E-6</v>
      </c>
      <c r="I2612">
        <v>286.7989</v>
      </c>
      <c r="J2612">
        <v>-397.60050000000001</v>
      </c>
      <c r="K2612">
        <v>1.1092759999999999</v>
      </c>
      <c r="L2612">
        <v>284.67599999999999</v>
      </c>
      <c r="M2612">
        <v>-0.99971880000000002</v>
      </c>
      <c r="N2612">
        <v>-1.5850530000000002E-2</v>
      </c>
      <c r="O2612">
        <v>-1.7638350000000001E-2</v>
      </c>
      <c r="P2612">
        <v>-0.97399049999999998</v>
      </c>
      <c r="Q2612">
        <v>0.21042669999999999</v>
      </c>
      <c r="R2612">
        <v>-8.4044030000000006E-2</v>
      </c>
      <c r="S2612">
        <v>-3.1721499999999998</v>
      </c>
      <c r="T2612">
        <v>-0.2396877</v>
      </c>
      <c r="U2612">
        <v>0.45642090000000002</v>
      </c>
      <c r="V2612">
        <v>-6.6861229999999994E-2</v>
      </c>
      <c r="W2612">
        <v>0.225856</v>
      </c>
      <c r="X2612">
        <v>0.97186349999999999</v>
      </c>
      <c r="Y2612">
        <v>0.1592847</v>
      </c>
      <c r="Z2612">
        <v>8.2962729999999998E-3</v>
      </c>
      <c r="AA2612">
        <v>0.98719780000000001</v>
      </c>
      <c r="AB2612">
        <v>61</v>
      </c>
      <c r="AC2612">
        <v>-14.082999999999901</v>
      </c>
      <c r="AD2612">
        <v>-1.1092736864270001</v>
      </c>
      <c r="AE2612">
        <v>2.1229000000000098</v>
      </c>
      <c r="AF2612">
        <v>2.3567051037056999</v>
      </c>
      <c r="AG2612">
        <v>-1.1092736864270001</v>
      </c>
      <c r="AH2612">
        <v>13.958680892741199</v>
      </c>
      <c r="AI2612">
        <v>94.480507649403606</v>
      </c>
      <c r="AJ2612">
        <v>80.416876909707497</v>
      </c>
      <c r="AK2612">
        <v>14.1996239148299</v>
      </c>
      <c r="AL2612">
        <v>76.9467809919215</v>
      </c>
      <c r="AM2612">
        <v>93.9355727880221</v>
      </c>
      <c r="AN2612">
        <v>1.00000000972268</v>
      </c>
    </row>
    <row r="2613" spans="1:40" x14ac:dyDescent="0.25">
      <c r="A2613" t="str">
        <f>"20190304164139928"</f>
        <v>20190304164139928</v>
      </c>
      <c r="B2613" t="str">
        <f>"1551688899923364"</f>
        <v>1551688899923364</v>
      </c>
      <c r="C2613" t="s">
        <v>40</v>
      </c>
      <c r="D2613">
        <v>4.4451419999999997</v>
      </c>
      <c r="E2613">
        <v>0.55836869999999905</v>
      </c>
      <c r="F2613" t="s">
        <v>47</v>
      </c>
      <c r="G2613">
        <v>-411.8279</v>
      </c>
      <c r="H2613" s="1">
        <v>2.345375E-6</v>
      </c>
      <c r="I2613">
        <v>286.72800000000001</v>
      </c>
      <c r="J2613">
        <v>-398.22669999999999</v>
      </c>
      <c r="K2613">
        <v>1.1092740000000001</v>
      </c>
      <c r="L2613">
        <v>284.66489999999999</v>
      </c>
      <c r="M2613">
        <v>-0.99971869999999996</v>
      </c>
      <c r="N2613">
        <v>-1.5851400000000002E-2</v>
      </c>
      <c r="O2613">
        <v>-1.7643840000000001E-2</v>
      </c>
      <c r="P2613">
        <v>-0.97408589999999995</v>
      </c>
      <c r="Q2613">
        <v>0.2099338</v>
      </c>
      <c r="R2613">
        <v>-8.4170540000000002E-2</v>
      </c>
      <c r="S2613">
        <v>-3.1730040000000002</v>
      </c>
      <c r="T2613">
        <v>-0.247391</v>
      </c>
      <c r="U2613">
        <v>0.45764159999999998</v>
      </c>
      <c r="V2613">
        <v>-6.6977460000000003E-2</v>
      </c>
      <c r="W2613">
        <v>0.22536690000000001</v>
      </c>
      <c r="X2613">
        <v>0.97196899999999997</v>
      </c>
      <c r="Y2613">
        <v>0.15958919999999999</v>
      </c>
      <c r="Z2613">
        <v>8.5428929999999993E-3</v>
      </c>
      <c r="AA2613">
        <v>0.98714659999999999</v>
      </c>
      <c r="AB2613">
        <v>61</v>
      </c>
      <c r="AC2613">
        <v>-13.6012</v>
      </c>
      <c r="AD2613">
        <v>-1.1092716546250001</v>
      </c>
      <c r="AE2613">
        <v>2.0631000000000199</v>
      </c>
      <c r="AF2613">
        <v>2.2879104826587602</v>
      </c>
      <c r="AG2613">
        <v>-1.1092716546250001</v>
      </c>
      <c r="AH2613">
        <v>13.4750627685994</v>
      </c>
      <c r="AI2613">
        <v>94.639888204651598</v>
      </c>
      <c r="AJ2613">
        <v>80.3637336547731</v>
      </c>
      <c r="AK2613">
        <v>13.712852897851301</v>
      </c>
      <c r="AL2613">
        <v>76.975545579693502</v>
      </c>
      <c r="AM2613">
        <v>93.941966172533199</v>
      </c>
      <c r="AN2613">
        <v>0.99999997836233001</v>
      </c>
    </row>
    <row r="2614" spans="1:40" x14ac:dyDescent="0.25">
      <c r="A2614" t="str">
        <f>"20190304164139949"</f>
        <v>20190304164139949</v>
      </c>
      <c r="B2614" t="str">
        <f>"1551688899943860"</f>
        <v>1551688899943860</v>
      </c>
      <c r="C2614" t="s">
        <v>40</v>
      </c>
      <c r="D2614">
        <v>4.2673439999999996</v>
      </c>
      <c r="E2614">
        <v>0.55231359999999996</v>
      </c>
      <c r="F2614" t="s">
        <v>41</v>
      </c>
      <c r="G2614">
        <v>-399.25200000000001</v>
      </c>
      <c r="H2614">
        <v>0.87675999999999998</v>
      </c>
      <c r="I2614">
        <v>284.7013</v>
      </c>
      <c r="J2614">
        <v>-398.82150000000001</v>
      </c>
      <c r="K2614">
        <v>1.1092789999999999</v>
      </c>
      <c r="L2614">
        <v>284.65440000000001</v>
      </c>
      <c r="M2614">
        <v>-0.99971869999999996</v>
      </c>
      <c r="N2614">
        <v>-1.585166E-2</v>
      </c>
      <c r="O2614">
        <v>-1.764816E-2</v>
      </c>
      <c r="P2614">
        <v>-0.97389840000000005</v>
      </c>
      <c r="Q2614">
        <v>0.21088760000000001</v>
      </c>
      <c r="R2614">
        <v>-8.3956790000000003E-2</v>
      </c>
      <c r="S2614">
        <v>-3.2484440000000001</v>
      </c>
      <c r="T2614">
        <v>-0.7368188</v>
      </c>
      <c r="U2614">
        <v>0.11373900000000001</v>
      </c>
      <c r="V2614">
        <v>-6.6760260000000002E-2</v>
      </c>
      <c r="W2614">
        <v>0.2263182</v>
      </c>
      <c r="X2614">
        <v>0.97176289999999999</v>
      </c>
      <c r="Y2614">
        <v>5.0855629999999999E-2</v>
      </c>
      <c r="Z2614">
        <v>9.7775650000000002E-3</v>
      </c>
      <c r="AA2614">
        <v>0.99865820000000005</v>
      </c>
      <c r="AB2614">
        <v>60</v>
      </c>
      <c r="AC2614">
        <v>-0.43049999999993799</v>
      </c>
      <c r="AD2614">
        <v>-0.232519</v>
      </c>
      <c r="AE2614">
        <v>4.6899999999993697E-2</v>
      </c>
      <c r="AF2614">
        <v>4.2296925848697403E-2</v>
      </c>
      <c r="AG2614">
        <v>-0.232519</v>
      </c>
      <c r="AH2614">
        <v>0.333466375003378</v>
      </c>
      <c r="AI2614">
        <v>124.67302138726799</v>
      </c>
      <c r="AJ2614">
        <v>82.771196345985601</v>
      </c>
      <c r="AK2614">
        <v>0.408722324512796</v>
      </c>
      <c r="AL2614">
        <v>76.919594786249903</v>
      </c>
      <c r="AM2614">
        <v>93.930053680778897</v>
      </c>
      <c r="AN2614">
        <v>0.99999999689145802</v>
      </c>
    </row>
    <row r="2615" spans="1:40" x14ac:dyDescent="0.25">
      <c r="A2615" t="str">
        <f>"20190304164139972"</f>
        <v>20190304164139972</v>
      </c>
      <c r="B2615" t="str">
        <f>"1551688899963381"</f>
        <v>1551688899963381</v>
      </c>
      <c r="C2615" t="s">
        <v>40</v>
      </c>
      <c r="D2615">
        <v>4.2194330000000004</v>
      </c>
      <c r="E2615">
        <v>0.54941619999999902</v>
      </c>
      <c r="F2615" t="s">
        <v>41</v>
      </c>
      <c r="G2615">
        <v>-399.78399999999999</v>
      </c>
      <c r="H2615">
        <v>0.8570991</v>
      </c>
      <c r="I2615">
        <v>284.67140000000001</v>
      </c>
      <c r="J2615">
        <v>-399.41199999999998</v>
      </c>
      <c r="K2615">
        <v>1.1092820000000001</v>
      </c>
      <c r="L2615">
        <v>284.64400000000001</v>
      </c>
      <c r="M2615">
        <v>-0.99971849999999995</v>
      </c>
      <c r="N2615">
        <v>-1.5851549999999999E-2</v>
      </c>
      <c r="O2615">
        <v>-1.765106E-2</v>
      </c>
      <c r="P2615">
        <v>-0.97364130000000004</v>
      </c>
      <c r="Q2615">
        <v>0.21199209999999999</v>
      </c>
      <c r="R2615">
        <v>-8.415446E-2</v>
      </c>
      <c r="S2615">
        <v>-3.270813</v>
      </c>
      <c r="T2615">
        <v>-0.85709020000000002</v>
      </c>
      <c r="U2615">
        <v>5.654907E-2</v>
      </c>
      <c r="V2615">
        <v>-6.6957630000000004E-2</v>
      </c>
      <c r="W2615">
        <v>0.22741929999999999</v>
      </c>
      <c r="X2615">
        <v>0.97149220000000003</v>
      </c>
      <c r="Y2615">
        <v>3.321706E-2</v>
      </c>
      <c r="Z2615">
        <v>8.8202939999999994E-3</v>
      </c>
      <c r="AA2615">
        <v>0.99940929999999994</v>
      </c>
      <c r="AB2615">
        <v>60</v>
      </c>
      <c r="AC2615">
        <v>-0.37200000000001399</v>
      </c>
      <c r="AD2615">
        <v>-0.25218289999999899</v>
      </c>
      <c r="AE2615">
        <v>2.7400000000000001E-2</v>
      </c>
      <c r="AF2615">
        <v>2.3308717677444999E-2</v>
      </c>
      <c r="AG2615">
        <v>-0.25218289999999899</v>
      </c>
      <c r="AH2615">
        <v>0.25493275366740997</v>
      </c>
      <c r="AI2615">
        <v>134.57007985794399</v>
      </c>
      <c r="AJ2615">
        <v>84.775923085774593</v>
      </c>
      <c r="AK2615">
        <v>0.35934693579412202</v>
      </c>
      <c r="AL2615">
        <v>76.854817102923604</v>
      </c>
      <c r="AM2615">
        <v>93.942730766970598</v>
      </c>
      <c r="AN2615">
        <v>0.99999997844427302</v>
      </c>
    </row>
    <row r="2616" spans="1:40" x14ac:dyDescent="0.25">
      <c r="A2616" t="str">
        <f>"20190304164139994"</f>
        <v>20190304164139994</v>
      </c>
      <c r="B2616" t="str">
        <f>"1551688899983876"</f>
        <v>1551688899983876</v>
      </c>
      <c r="C2616" t="s">
        <v>40</v>
      </c>
      <c r="D2616">
        <v>4.2420669999999996</v>
      </c>
      <c r="E2616">
        <v>0.54854599999999998</v>
      </c>
      <c r="F2616" t="s">
        <v>41</v>
      </c>
      <c r="G2616">
        <v>-400.32279999999997</v>
      </c>
      <c r="H2616">
        <v>0.85518739999999904</v>
      </c>
      <c r="I2616">
        <v>284.65179999999998</v>
      </c>
      <c r="J2616">
        <v>-400.01209999999998</v>
      </c>
      <c r="K2616">
        <v>1.109283</v>
      </c>
      <c r="L2616">
        <v>284.63350000000003</v>
      </c>
      <c r="M2616">
        <v>-0.99971849999999995</v>
      </c>
      <c r="N2616">
        <v>-1.585075E-2</v>
      </c>
      <c r="O2616">
        <v>-1.7651449999999999E-2</v>
      </c>
      <c r="P2616">
        <v>-0.97353749999999994</v>
      </c>
      <c r="Q2616">
        <v>0.212343</v>
      </c>
      <c r="R2616">
        <v>-8.4470210000000004E-2</v>
      </c>
      <c r="S2616">
        <v>-3.28302</v>
      </c>
      <c r="T2616">
        <v>-0.91587980000000002</v>
      </c>
      <c r="U2616">
        <v>2.7740480000000001E-2</v>
      </c>
      <c r="V2616">
        <v>-6.7272070000000003E-2</v>
      </c>
      <c r="W2616">
        <v>0.22776840000000001</v>
      </c>
      <c r="X2616">
        <v>0.97138869999999999</v>
      </c>
      <c r="Y2616">
        <v>2.4510469999999999E-2</v>
      </c>
      <c r="Z2616">
        <v>8.1099250000000005E-3</v>
      </c>
      <c r="AA2616">
        <v>0.99966670000000002</v>
      </c>
      <c r="AB2616">
        <v>60</v>
      </c>
      <c r="AC2616">
        <v>-0.31069999999999698</v>
      </c>
      <c r="AD2616">
        <v>-0.25409559999999998</v>
      </c>
      <c r="AE2616">
        <v>1.8299999999953801E-2</v>
      </c>
      <c r="AF2616">
        <v>1.42706128111246E-2</v>
      </c>
      <c r="AG2616">
        <v>-0.25409559999999998</v>
      </c>
      <c r="AH2616">
        <v>0.18621442697306201</v>
      </c>
      <c r="AI2616">
        <v>143.68408761098101</v>
      </c>
      <c r="AJ2616">
        <v>85.617682032648105</v>
      </c>
      <c r="AK2616">
        <v>0.31534748634208398</v>
      </c>
      <c r="AL2616">
        <v>76.834276237722193</v>
      </c>
      <c r="AM2616">
        <v>93.961608149596799</v>
      </c>
      <c r="AN2616">
        <v>0.99999999096416703</v>
      </c>
    </row>
    <row r="2617" spans="1:40" x14ac:dyDescent="0.25">
      <c r="A2617" t="str">
        <f>"20190304164140018"</f>
        <v>20190304164140018</v>
      </c>
      <c r="B2617" t="str">
        <f>"1551688900003397"</f>
        <v>1551688900003397</v>
      </c>
      <c r="C2617" t="s">
        <v>40</v>
      </c>
      <c r="D2617">
        <v>4.2540290000000001</v>
      </c>
      <c r="E2617">
        <v>0.54985850000000003</v>
      </c>
      <c r="F2617" t="s">
        <v>41</v>
      </c>
      <c r="G2617">
        <v>-400.86630000000002</v>
      </c>
      <c r="H2617">
        <v>0.86517759999999999</v>
      </c>
      <c r="I2617">
        <v>284.63830000000002</v>
      </c>
      <c r="J2617">
        <v>-400.62450000000001</v>
      </c>
      <c r="K2617">
        <v>1.109275</v>
      </c>
      <c r="L2617">
        <v>284.62270000000001</v>
      </c>
      <c r="M2617">
        <v>-0.99971880000000002</v>
      </c>
      <c r="N2617">
        <v>-1.5849269999999999E-2</v>
      </c>
      <c r="O2617">
        <v>-1.7647400000000001E-2</v>
      </c>
      <c r="P2617">
        <v>-0.97359479999999998</v>
      </c>
      <c r="Q2617">
        <v>0.21183840000000001</v>
      </c>
      <c r="R2617">
        <v>-8.5077319999999998E-2</v>
      </c>
      <c r="S2617">
        <v>-3.2880549999999999</v>
      </c>
      <c r="T2617">
        <v>-0.93952950000000002</v>
      </c>
      <c r="U2617">
        <v>1.8554689999999999E-2</v>
      </c>
      <c r="V2617">
        <v>-6.7878740000000007E-2</v>
      </c>
      <c r="W2617">
        <v>0.22726469999999999</v>
      </c>
      <c r="X2617">
        <v>0.97146449999999995</v>
      </c>
      <c r="Y2617">
        <v>2.1741030000000001E-2</v>
      </c>
      <c r="Z2617">
        <v>7.8899869999999993E-3</v>
      </c>
      <c r="AA2617">
        <v>0.99973250000000002</v>
      </c>
      <c r="AB2617">
        <v>60</v>
      </c>
      <c r="AC2617">
        <v>-0.24180000000001201</v>
      </c>
      <c r="AD2617">
        <v>-0.24409739999999999</v>
      </c>
      <c r="AE2617">
        <v>1.5600000000006199E-2</v>
      </c>
      <c r="AF2617">
        <v>9.8593265001618892E-3</v>
      </c>
      <c r="AG2617">
        <v>-0.24409739999999999</v>
      </c>
      <c r="AH2617">
        <v>0.119852485316949</v>
      </c>
      <c r="AI2617">
        <v>153.77231952305101</v>
      </c>
      <c r="AJ2617">
        <v>85.297313100549303</v>
      </c>
      <c r="AK2617">
        <v>0.27211278037322301</v>
      </c>
      <c r="AL2617">
        <v>76.863913781282093</v>
      </c>
      <c r="AM2617">
        <v>93.996908375300194</v>
      </c>
      <c r="AN2617">
        <v>1.0000000209851601</v>
      </c>
    </row>
    <row r="2618" spans="1:40" x14ac:dyDescent="0.25">
      <c r="A2618" t="str">
        <f>"20190304164140041"</f>
        <v>20190304164140041</v>
      </c>
      <c r="B2618" t="str">
        <f>"1551688900033652"</f>
        <v>1551688900033652</v>
      </c>
      <c r="C2618" t="s">
        <v>40</v>
      </c>
      <c r="D2618">
        <v>4.233441</v>
      </c>
      <c r="E2618">
        <v>0.55130570000000001</v>
      </c>
      <c r="F2618" t="s">
        <v>41</v>
      </c>
      <c r="G2618">
        <v>-401.4128</v>
      </c>
      <c r="H2618">
        <v>0.88305659999999897</v>
      </c>
      <c r="I2618">
        <v>284.62920000000003</v>
      </c>
      <c r="J2618">
        <v>-401.27480000000003</v>
      </c>
      <c r="K2618">
        <v>1.1092630000000001</v>
      </c>
      <c r="L2618">
        <v>284.61110000000002</v>
      </c>
      <c r="M2618">
        <v>-0.99971889999999997</v>
      </c>
      <c r="N2618">
        <v>-1.5847219999999999E-2</v>
      </c>
      <c r="O2618">
        <v>-1.7634469999999999E-2</v>
      </c>
      <c r="P2618">
        <v>-0.97364209999999995</v>
      </c>
      <c r="Q2618">
        <v>0.21149789999999999</v>
      </c>
      <c r="R2618">
        <v>-8.5382449999999999E-2</v>
      </c>
      <c r="S2618">
        <v>-3.2889710000000001</v>
      </c>
      <c r="T2618">
        <v>-0.94381490000000001</v>
      </c>
      <c r="U2618">
        <v>2.6092529999999999E-2</v>
      </c>
      <c r="V2618">
        <v>-6.8190940000000005E-2</v>
      </c>
      <c r="W2618">
        <v>0.2269243</v>
      </c>
      <c r="X2618">
        <v>0.9715222</v>
      </c>
      <c r="Y2618">
        <v>2.3912249999999999E-2</v>
      </c>
      <c r="Z2618">
        <v>8.2424170000000001E-3</v>
      </c>
      <c r="AA2618">
        <v>0.99968009999999996</v>
      </c>
      <c r="AB2618">
        <v>60</v>
      </c>
      <c r="AC2618">
        <v>-0.137999999999976</v>
      </c>
      <c r="AD2618">
        <v>-0.2262064</v>
      </c>
      <c r="AE2618">
        <v>1.8100000000003998E-2</v>
      </c>
      <c r="AF2618">
        <v>5.6381359533085604E-3</v>
      </c>
      <c r="AG2618">
        <v>-0.2262064</v>
      </c>
      <c r="AH2618">
        <v>3.7803328038853397E-2</v>
      </c>
      <c r="AI2618">
        <v>170.409477346545</v>
      </c>
      <c r="AJ2618">
        <v>81.517211699261907</v>
      </c>
      <c r="AK2618">
        <v>0.229412762480209</v>
      </c>
      <c r="AL2618">
        <v>76.8839404102918</v>
      </c>
      <c r="AM2618">
        <v>94.014993986964001</v>
      </c>
      <c r="AN2618">
        <v>1.0000000136606999</v>
      </c>
    </row>
    <row r="2619" spans="1:40" x14ac:dyDescent="0.25">
      <c r="A2619" t="str">
        <f>"20190304164140061"</f>
        <v>20190304164140061</v>
      </c>
      <c r="B2619" t="str">
        <f>"1551688900053173"</f>
        <v>1551688900053173</v>
      </c>
      <c r="C2619" t="s">
        <v>40</v>
      </c>
      <c r="D2619">
        <v>4.2819349999999998</v>
      </c>
      <c r="E2619">
        <v>0.55208859999999904</v>
      </c>
      <c r="F2619" t="s">
        <v>41</v>
      </c>
      <c r="G2619">
        <v>-401.96350000000001</v>
      </c>
      <c r="H2619">
        <v>0.91128330000000002</v>
      </c>
      <c r="I2619">
        <v>284.61880000000002</v>
      </c>
      <c r="J2619">
        <v>-401.8297</v>
      </c>
      <c r="K2619">
        <v>1.109256</v>
      </c>
      <c r="L2619">
        <v>284.60140000000001</v>
      </c>
      <c r="M2619">
        <v>-0.99971940000000004</v>
      </c>
      <c r="N2619">
        <v>-1.584524E-2</v>
      </c>
      <c r="O2619">
        <v>-1.7611470000000001E-2</v>
      </c>
      <c r="P2619">
        <v>-0.97366699999999995</v>
      </c>
      <c r="Q2619">
        <v>0.2115409</v>
      </c>
      <c r="R2619">
        <v>-8.4989239999999994E-2</v>
      </c>
      <c r="S2619">
        <v>-3.289917</v>
      </c>
      <c r="T2619">
        <v>-0.94585759999999997</v>
      </c>
      <c r="U2619">
        <v>3.6987300000000001E-2</v>
      </c>
      <c r="V2619">
        <v>-6.7814070000000004E-2</v>
      </c>
      <c r="W2619">
        <v>0.22696740000000001</v>
      </c>
      <c r="X2619">
        <v>0.97153849999999997</v>
      </c>
      <c r="Y2619">
        <v>2.7057080000000001E-2</v>
      </c>
      <c r="Z2619">
        <v>8.7197919999999901E-3</v>
      </c>
      <c r="AA2619">
        <v>0.99959589999999998</v>
      </c>
      <c r="AB2619">
        <v>60</v>
      </c>
      <c r="AC2619">
        <v>-0.133800000000007</v>
      </c>
      <c r="AD2619">
        <v>-0.1979727</v>
      </c>
      <c r="AE2619">
        <v>1.7400000000009099E-2</v>
      </c>
      <c r="AF2619">
        <v>6.2654322427062002E-3</v>
      </c>
      <c r="AG2619">
        <v>-0.1979727</v>
      </c>
      <c r="AH2619">
        <v>4.23339119266656E-2</v>
      </c>
      <c r="AI2619">
        <v>167.80225876148799</v>
      </c>
      <c r="AJ2619">
        <v>81.581319537200301</v>
      </c>
      <c r="AK2619">
        <v>0.20254531760939901</v>
      </c>
      <c r="AL2619">
        <v>76.881404657430807</v>
      </c>
      <c r="AM2619">
        <v>93.992809568689196</v>
      </c>
      <c r="AN2619">
        <v>1.00000000286748</v>
      </c>
    </row>
    <row r="2620" spans="1:40" x14ac:dyDescent="0.25">
      <c r="A2620" t="str">
        <f>"20190304164140084"</f>
        <v>20190304164140084</v>
      </c>
      <c r="B2620" t="str">
        <f>"1551688900073669"</f>
        <v>1551688900073669</v>
      </c>
      <c r="C2620" t="s">
        <v>40</v>
      </c>
      <c r="D2620">
        <v>4.2463579999999999</v>
      </c>
      <c r="E2620">
        <v>0.55261479999999996</v>
      </c>
      <c r="F2620" t="s">
        <v>41</v>
      </c>
      <c r="G2620">
        <v>-402.5034</v>
      </c>
      <c r="H2620">
        <v>0.91579699999999997</v>
      </c>
      <c r="I2620">
        <v>284.61079999999998</v>
      </c>
      <c r="J2620">
        <v>-402.42700000000002</v>
      </c>
      <c r="K2620">
        <v>1.1092420000000001</v>
      </c>
      <c r="L2620">
        <v>284.59089999999998</v>
      </c>
      <c r="M2620">
        <v>-0.99972030000000001</v>
      </c>
      <c r="N2620">
        <v>-1.5842809999999999E-2</v>
      </c>
      <c r="O2620">
        <v>-1.7565839999999999E-2</v>
      </c>
      <c r="P2620">
        <v>-0.97357570000000004</v>
      </c>
      <c r="Q2620">
        <v>0.2120659</v>
      </c>
      <c r="R2620">
        <v>-8.4726529999999994E-2</v>
      </c>
      <c r="S2620">
        <v>-3.290375</v>
      </c>
      <c r="T2620">
        <v>-0.94495759999999995</v>
      </c>
      <c r="U2620">
        <v>4.4677729999999999E-2</v>
      </c>
      <c r="V2620">
        <v>-6.7588780000000001E-2</v>
      </c>
      <c r="W2620">
        <v>0.2274912</v>
      </c>
      <c r="X2620">
        <v>0.97143170000000001</v>
      </c>
      <c r="Y2620">
        <v>2.925728E-2</v>
      </c>
      <c r="Z2620">
        <v>9.0258209999999998E-3</v>
      </c>
      <c r="AA2620">
        <v>0.99953110000000001</v>
      </c>
      <c r="AB2620">
        <v>60</v>
      </c>
      <c r="AC2620">
        <v>-7.6400000000035106E-2</v>
      </c>
      <c r="AD2620">
        <v>-0.19344500000000001</v>
      </c>
      <c r="AE2620">
        <v>1.9900000000006898E-2</v>
      </c>
      <c r="AF2620">
        <v>3.0325521435151902E-3</v>
      </c>
      <c r="AG2620">
        <v>-0.19344500000000001</v>
      </c>
      <c r="AH2620">
        <v>1.08568978219632E-2</v>
      </c>
      <c r="AI2620">
        <v>176.66501871138601</v>
      </c>
      <c r="AJ2620">
        <v>74.393871703005999</v>
      </c>
      <c r="AK2620">
        <v>0.193773157655594</v>
      </c>
      <c r="AL2620">
        <v>76.850587186224899</v>
      </c>
      <c r="AM2620">
        <v>93.980023573346003</v>
      </c>
      <c r="AN2620">
        <v>1.0000000185121001</v>
      </c>
    </row>
    <row r="2621" spans="1:40" x14ac:dyDescent="0.25">
      <c r="A2621" t="str">
        <f>"20190304164140097"</f>
        <v>20190304164140097</v>
      </c>
      <c r="B2621" t="str">
        <f>"1551688900083429"</f>
        <v>1551688900083429</v>
      </c>
      <c r="C2621" t="s">
        <v>40</v>
      </c>
      <c r="D2621">
        <v>4.2221390000000003</v>
      </c>
      <c r="E2621">
        <v>0.55283950000000004</v>
      </c>
      <c r="F2621" t="s">
        <v>41</v>
      </c>
      <c r="G2621">
        <v>-403.52679999999998</v>
      </c>
      <c r="H2621">
        <v>0.79439499999999996</v>
      </c>
      <c r="I2621">
        <v>284.60820000000001</v>
      </c>
      <c r="J2621">
        <v>-402.78190000000001</v>
      </c>
      <c r="K2621">
        <v>1.1092329999999999</v>
      </c>
      <c r="L2621">
        <v>284.5847</v>
      </c>
      <c r="M2621">
        <v>-0.99972090000000002</v>
      </c>
      <c r="N2621">
        <v>-1.5841210000000001E-2</v>
      </c>
      <c r="O2621">
        <v>-1.7526489999999999E-2</v>
      </c>
      <c r="P2621">
        <v>-0.97349859999999999</v>
      </c>
      <c r="Q2621">
        <v>0.21246180000000001</v>
      </c>
      <c r="R2621">
        <v>-8.4621429999999997E-2</v>
      </c>
      <c r="S2621">
        <v>-3.291077</v>
      </c>
      <c r="T2621">
        <v>-0.94226529999999997</v>
      </c>
      <c r="U2621">
        <v>5.0537110000000003E-2</v>
      </c>
      <c r="V2621">
        <v>-6.7516140000000002E-2</v>
      </c>
      <c r="W2621">
        <v>0.2278859</v>
      </c>
      <c r="X2621">
        <v>0.97134419999999999</v>
      </c>
      <c r="Y2621">
        <v>3.0935649999999999E-2</v>
      </c>
      <c r="Z2621">
        <v>9.2376709999999994E-3</v>
      </c>
      <c r="AA2621">
        <v>0.99947870000000005</v>
      </c>
      <c r="AB2621">
        <v>60</v>
      </c>
      <c r="AC2621">
        <v>-0.74489999999997203</v>
      </c>
      <c r="AD2621">
        <v>-0.31483799999999901</v>
      </c>
      <c r="AE2621">
        <v>2.3500000000012702E-2</v>
      </c>
      <c r="AF2621">
        <v>3.1017973537728401E-2</v>
      </c>
      <c r="AG2621">
        <v>-0.31483799999999901</v>
      </c>
      <c r="AH2621">
        <v>0.63164827055010297</v>
      </c>
      <c r="AI2621">
        <v>116.465907951665</v>
      </c>
      <c r="AJ2621">
        <v>87.188668783786497</v>
      </c>
      <c r="AK2621">
        <v>0.70644505703934501</v>
      </c>
      <c r="AL2621">
        <v>76.827362057112794</v>
      </c>
      <c r="AM2621">
        <v>93.976116822234502</v>
      </c>
      <c r="AN2621">
        <v>0.99999998372647403</v>
      </c>
    </row>
    <row r="2622" spans="1:40" x14ac:dyDescent="0.25">
      <c r="A2622" t="str">
        <f>"20190304164140110"</f>
        <v>20190304164140110</v>
      </c>
      <c r="B2622" t="str">
        <f>"1551688900103924"</f>
        <v>1551688900103924</v>
      </c>
      <c r="C2622" t="s">
        <v>40</v>
      </c>
      <c r="D2622">
        <v>4.2556949999999896</v>
      </c>
      <c r="E2622">
        <v>0.55318009999999995</v>
      </c>
      <c r="F2622" t="s">
        <v>41</v>
      </c>
      <c r="G2622">
        <v>-403.56470000000002</v>
      </c>
      <c r="H2622">
        <v>0.8856733</v>
      </c>
      <c r="I2622">
        <v>284.59750000000003</v>
      </c>
      <c r="J2622">
        <v>-403.12740000000002</v>
      </c>
      <c r="K2622">
        <v>1.1092280000000001</v>
      </c>
      <c r="L2622">
        <v>284.57859999999999</v>
      </c>
      <c r="M2622">
        <v>-0.99972179999999999</v>
      </c>
      <c r="N2622">
        <v>-1.5839530000000001E-2</v>
      </c>
      <c r="O2622">
        <v>-1.7480329999999999E-2</v>
      </c>
      <c r="P2622">
        <v>-0.97329399999999999</v>
      </c>
      <c r="Q2622">
        <v>0.21337059999999999</v>
      </c>
      <c r="R2622">
        <v>-8.4689539999999994E-2</v>
      </c>
      <c r="S2622">
        <v>-3.2914430000000001</v>
      </c>
      <c r="T2622">
        <v>-0.94011739999999999</v>
      </c>
      <c r="U2622">
        <v>5.2398680000000003E-2</v>
      </c>
      <c r="V2622">
        <v>-6.7625039999999997E-2</v>
      </c>
      <c r="W2622">
        <v>0.2287921</v>
      </c>
      <c r="X2622">
        <v>0.97112359999999998</v>
      </c>
      <c r="Y2622">
        <v>3.1442280000000003E-2</v>
      </c>
      <c r="Z2622">
        <v>9.2791330000000002E-3</v>
      </c>
      <c r="AA2622">
        <v>0.99946250000000003</v>
      </c>
      <c r="AB2622">
        <v>60</v>
      </c>
      <c r="AC2622">
        <v>-0.43729999999999303</v>
      </c>
      <c r="AD2622">
        <v>-0.2235547</v>
      </c>
      <c r="AE2622">
        <v>1.89000000000305E-2</v>
      </c>
      <c r="AF2622">
        <v>2.10509780791714E-2</v>
      </c>
      <c r="AG2622">
        <v>-0.2235547</v>
      </c>
      <c r="AH2622">
        <v>0.34651324223018098</v>
      </c>
      <c r="AI2622">
        <v>122.780223558426</v>
      </c>
      <c r="AJ2622">
        <v>86.523504680312698</v>
      </c>
      <c r="AK2622">
        <v>0.41290589074394601</v>
      </c>
      <c r="AL2622">
        <v>76.774032058327904</v>
      </c>
      <c r="AM2622">
        <v>93.983411223599504</v>
      </c>
      <c r="AN2622">
        <v>1.0000000087671801</v>
      </c>
    </row>
    <row r="2623" spans="1:40" x14ac:dyDescent="0.25">
      <c r="A2623" t="str">
        <f>"20190304164140123"</f>
        <v>20190304164140123</v>
      </c>
      <c r="B2623" t="str">
        <f>"1551688900113685"</f>
        <v>1551688900113685</v>
      </c>
      <c r="C2623" t="s">
        <v>40</v>
      </c>
      <c r="D2623">
        <v>4.2650880000000004</v>
      </c>
      <c r="E2623">
        <v>0.55337449999999999</v>
      </c>
      <c r="F2623" t="s">
        <v>41</v>
      </c>
      <c r="G2623">
        <v>-404.08120000000002</v>
      </c>
      <c r="H2623">
        <v>0.83846810000000005</v>
      </c>
      <c r="I2623">
        <v>284.59440000000001</v>
      </c>
      <c r="J2623">
        <v>-403.49270000000001</v>
      </c>
      <c r="K2623">
        <v>1.109218</v>
      </c>
      <c r="L2623">
        <v>284.57229999999998</v>
      </c>
      <c r="M2623">
        <v>-0.99972280000000002</v>
      </c>
      <c r="N2623">
        <v>-1.5837670000000002E-2</v>
      </c>
      <c r="O2623">
        <v>-1.7424240000000001E-2</v>
      </c>
      <c r="P2623">
        <v>-0.9731976</v>
      </c>
      <c r="Q2623">
        <v>0.2137646</v>
      </c>
      <c r="R2623">
        <v>-8.4800739999999999E-2</v>
      </c>
      <c r="S2623">
        <v>-3.2919010000000002</v>
      </c>
      <c r="T2623">
        <v>-0.93444899999999997</v>
      </c>
      <c r="U2623">
        <v>5.3710939999999999E-2</v>
      </c>
      <c r="V2623">
        <v>-6.7783910000000003E-2</v>
      </c>
      <c r="W2623">
        <v>0.22918530000000001</v>
      </c>
      <c r="X2623">
        <v>0.97101979999999999</v>
      </c>
      <c r="Y2623">
        <v>3.1793229999999999E-2</v>
      </c>
      <c r="Z2623">
        <v>9.2607760000000001E-3</v>
      </c>
      <c r="AA2623">
        <v>0.9994516</v>
      </c>
      <c r="AB2623">
        <v>60</v>
      </c>
      <c r="AC2623">
        <v>-0.58850000000001002</v>
      </c>
      <c r="AD2623">
        <v>-0.27074989999999999</v>
      </c>
      <c r="AE2623">
        <v>2.2100000000023101E-2</v>
      </c>
      <c r="AF2623">
        <v>2.6707155591527702E-2</v>
      </c>
      <c r="AG2623">
        <v>-0.27074989999999999</v>
      </c>
      <c r="AH2623">
        <v>0.48542416848092401</v>
      </c>
      <c r="AI2623">
        <v>119.11418412944199</v>
      </c>
      <c r="AJ2623">
        <v>86.850865251060398</v>
      </c>
      <c r="AK2623">
        <v>0.55646689376385805</v>
      </c>
      <c r="AL2623">
        <v>76.750888373742299</v>
      </c>
      <c r="AM2623">
        <v>93.993164565721699</v>
      </c>
      <c r="AN2623">
        <v>1.0000000060915</v>
      </c>
    </row>
    <row r="2624" spans="1:40" x14ac:dyDescent="0.25">
      <c r="A2624" t="str">
        <f>"20190304164140136"</f>
        <v>20190304164140136</v>
      </c>
      <c r="B2624" t="str">
        <f>"1551688900123445"</f>
        <v>1551688900123445</v>
      </c>
      <c r="C2624" t="s">
        <v>40</v>
      </c>
      <c r="D2624">
        <v>4.2838250000000002</v>
      </c>
      <c r="E2624">
        <v>0.55354899999999996</v>
      </c>
      <c r="F2624" t="s">
        <v>41</v>
      </c>
      <c r="G2624">
        <v>-404.6003</v>
      </c>
      <c r="H2624">
        <v>0.79525330000000005</v>
      </c>
      <c r="I2624">
        <v>284.59100000000001</v>
      </c>
      <c r="J2624">
        <v>-403.84199999999998</v>
      </c>
      <c r="K2624">
        <v>1.109202</v>
      </c>
      <c r="L2624">
        <v>284.56619999999998</v>
      </c>
      <c r="M2624">
        <v>-0.9997239</v>
      </c>
      <c r="N2624">
        <v>-1.5835809999999999E-2</v>
      </c>
      <c r="O2624">
        <v>-1.7355949999999998E-2</v>
      </c>
      <c r="P2624">
        <v>-0.9730742</v>
      </c>
      <c r="Q2624">
        <v>0.2143757</v>
      </c>
      <c r="R2624">
        <v>-8.4672670000000005E-2</v>
      </c>
      <c r="S2624">
        <v>-3.292389</v>
      </c>
      <c r="T2624">
        <v>-0.9332317</v>
      </c>
      <c r="U2624">
        <v>5.4382319999999998E-2</v>
      </c>
      <c r="V2624">
        <v>-6.7715559999999994E-2</v>
      </c>
      <c r="W2624">
        <v>0.2297951</v>
      </c>
      <c r="X2624">
        <v>0.97088039999999998</v>
      </c>
      <c r="Y2624">
        <v>3.1928600000000001E-2</v>
      </c>
      <c r="Z2624">
        <v>9.2497810000000003E-3</v>
      </c>
      <c r="AA2624">
        <v>0.99944730000000004</v>
      </c>
      <c r="AB2624">
        <v>60</v>
      </c>
      <c r="AC2624">
        <v>-0.75830000000001896</v>
      </c>
      <c r="AD2624">
        <v>-0.31394870000000002</v>
      </c>
      <c r="AE2624">
        <v>2.4800000000027401E-2</v>
      </c>
      <c r="AF2624">
        <v>3.24095566288609E-2</v>
      </c>
      <c r="AG2624">
        <v>-0.31394870000000002</v>
      </c>
      <c r="AH2624">
        <v>0.64697585538484104</v>
      </c>
      <c r="AI2624">
        <v>115.857053615263</v>
      </c>
      <c r="AJ2624">
        <v>87.132227008893906</v>
      </c>
      <c r="AK2624">
        <v>0.71985548761089302</v>
      </c>
      <c r="AL2624">
        <v>76.714990836016398</v>
      </c>
      <c r="AM2624">
        <v>93.989721975677</v>
      </c>
      <c r="AN2624">
        <v>0.99999996807714098</v>
      </c>
    </row>
    <row r="2625" spans="1:40" x14ac:dyDescent="0.25">
      <c r="A2625" t="str">
        <f>"20190304164140151"</f>
        <v>20190304164140151</v>
      </c>
      <c r="B2625" t="str">
        <f>"1551688900143941"</f>
        <v>1551688900143941</v>
      </c>
      <c r="C2625" t="s">
        <v>40</v>
      </c>
      <c r="D2625">
        <v>4.5258379999999896</v>
      </c>
      <c r="E2625">
        <v>0.55383559999999998</v>
      </c>
      <c r="F2625" t="s">
        <v>41</v>
      </c>
      <c r="G2625">
        <v>-404.63720000000001</v>
      </c>
      <c r="H2625">
        <v>0.88431930000000003</v>
      </c>
      <c r="I2625">
        <v>284.58030000000002</v>
      </c>
      <c r="J2625">
        <v>-404.22480000000002</v>
      </c>
      <c r="K2625">
        <v>1.109189</v>
      </c>
      <c r="L2625">
        <v>284.55959999999999</v>
      </c>
      <c r="M2625">
        <v>-0.99972559999999999</v>
      </c>
      <c r="N2625">
        <v>-1.5833710000000001E-2</v>
      </c>
      <c r="O2625">
        <v>-1.7268289999999999E-2</v>
      </c>
      <c r="P2625">
        <v>-0.97290460000000001</v>
      </c>
      <c r="Q2625">
        <v>0.21504789999999999</v>
      </c>
      <c r="R2625">
        <v>-8.492073E-2</v>
      </c>
      <c r="S2625">
        <v>-3.293091</v>
      </c>
      <c r="T2625">
        <v>-0.93126450000000005</v>
      </c>
      <c r="U2625">
        <v>5.6396479999999999E-2</v>
      </c>
      <c r="V2625">
        <v>-6.8039639999999998E-2</v>
      </c>
      <c r="W2625">
        <v>0.23046610000000001</v>
      </c>
      <c r="X2625">
        <v>0.97069870000000003</v>
      </c>
      <c r="Y2625">
        <v>3.2439280000000001E-2</v>
      </c>
      <c r="Z2625">
        <v>9.2810129999999994E-3</v>
      </c>
      <c r="AA2625">
        <v>0.99943059999999995</v>
      </c>
      <c r="AB2625">
        <v>60</v>
      </c>
      <c r="AC2625">
        <v>-0.412399999999991</v>
      </c>
      <c r="AD2625">
        <v>-0.22486969999999901</v>
      </c>
      <c r="AE2625">
        <v>2.07000000000334E-2</v>
      </c>
      <c r="AF2625">
        <v>2.1455980832194299E-2</v>
      </c>
      <c r="AG2625">
        <v>-0.22486969999999901</v>
      </c>
      <c r="AH2625">
        <v>0.31774605837896203</v>
      </c>
      <c r="AI2625">
        <v>125.225708908615</v>
      </c>
      <c r="AJ2625">
        <v>86.136934700704103</v>
      </c>
      <c r="AK2625">
        <v>0.38985804943200603</v>
      </c>
      <c r="AL2625">
        <v>76.675485331309801</v>
      </c>
      <c r="AM2625">
        <v>94.009502216637003</v>
      </c>
      <c r="AN2625">
        <v>0.99999999102111403</v>
      </c>
    </row>
    <row r="2626" spans="1:40" x14ac:dyDescent="0.25">
      <c r="A2626" t="str">
        <f>"20190304164140164"</f>
        <v>20190304164140164</v>
      </c>
      <c r="B2626" t="str">
        <f>"1551688900153701"</f>
        <v>1551688900153701</v>
      </c>
      <c r="C2626" t="s">
        <v>40</v>
      </c>
      <c r="D2626">
        <v>4.4662759999999997</v>
      </c>
      <c r="E2626">
        <v>0.55424110000000004</v>
      </c>
      <c r="F2626" t="s">
        <v>41</v>
      </c>
      <c r="G2626">
        <v>-405.15699999999998</v>
      </c>
      <c r="H2626">
        <v>0.84667399999999904</v>
      </c>
      <c r="I2626">
        <v>284.5761</v>
      </c>
      <c r="J2626">
        <v>-404.56670000000003</v>
      </c>
      <c r="K2626">
        <v>1.1091719999999901</v>
      </c>
      <c r="L2626">
        <v>284.55369999999999</v>
      </c>
      <c r="M2626">
        <v>-0.99972709999999998</v>
      </c>
      <c r="N2626">
        <v>-1.5831810000000002E-2</v>
      </c>
      <c r="O2626">
        <v>-1.7180040000000001E-2</v>
      </c>
      <c r="P2626">
        <v>-0.97287429999999997</v>
      </c>
      <c r="Q2626">
        <v>0.21516179999999999</v>
      </c>
      <c r="R2626">
        <v>-8.4975999999999996E-2</v>
      </c>
      <c r="S2626">
        <v>-3.2936100000000001</v>
      </c>
      <c r="T2626">
        <v>-0.9274597</v>
      </c>
      <c r="U2626">
        <v>5.807495E-2</v>
      </c>
      <c r="V2626">
        <v>-6.8170129999999995E-2</v>
      </c>
      <c r="W2626">
        <v>0.2305807</v>
      </c>
      <c r="X2626">
        <v>0.97066240000000004</v>
      </c>
      <c r="Y2626">
        <v>3.2859510000000001E-2</v>
      </c>
      <c r="Z2626">
        <v>9.2814019999999994E-3</v>
      </c>
      <c r="AA2626">
        <v>0.99941690000000005</v>
      </c>
      <c r="AB2626">
        <v>60</v>
      </c>
      <c r="AC2626">
        <v>-0.59029999999995597</v>
      </c>
      <c r="AD2626">
        <v>-0.26249799999999901</v>
      </c>
      <c r="AE2626">
        <v>2.24000000000046E-2</v>
      </c>
      <c r="AF2626">
        <v>2.7173610978800399E-2</v>
      </c>
      <c r="AG2626">
        <v>-0.26249799999999901</v>
      </c>
      <c r="AH2626">
        <v>0.49256546574330901</v>
      </c>
      <c r="AI2626">
        <v>118.01793016797301</v>
      </c>
      <c r="AJ2626">
        <v>86.842335233918803</v>
      </c>
      <c r="AK2626">
        <v>0.55880617675590405</v>
      </c>
      <c r="AL2626">
        <v>76.668738434616898</v>
      </c>
      <c r="AM2626">
        <v>94.017316437786405</v>
      </c>
      <c r="AN2626">
        <v>1.0000000603052299</v>
      </c>
    </row>
    <row r="2627" spans="1:40" x14ac:dyDescent="0.25">
      <c r="A2627" t="str">
        <f>"20190304164140184"</f>
        <v>20190304164140184</v>
      </c>
      <c r="B2627" t="str">
        <f>"1551688900173221"</f>
        <v>1551688900173221</v>
      </c>
      <c r="C2627" t="s">
        <v>40</v>
      </c>
      <c r="D2627">
        <v>4.4427510000000003</v>
      </c>
      <c r="E2627">
        <v>0.56228140000000004</v>
      </c>
      <c r="F2627" t="s">
        <v>41</v>
      </c>
      <c r="G2627">
        <v>-405.673</v>
      </c>
      <c r="H2627">
        <v>0.79759760000000002</v>
      </c>
      <c r="I2627">
        <v>284.57470000000001</v>
      </c>
      <c r="J2627">
        <v>-405.12709999999998</v>
      </c>
      <c r="K2627">
        <v>1.109143</v>
      </c>
      <c r="L2627">
        <v>284.54430000000002</v>
      </c>
      <c r="M2627">
        <v>-0.99973029999999996</v>
      </c>
      <c r="N2627">
        <v>-1.5828660000000001E-2</v>
      </c>
      <c r="O2627">
        <v>-1.7001220000000001E-2</v>
      </c>
      <c r="P2627">
        <v>-0.97274389999999999</v>
      </c>
      <c r="Q2627">
        <v>0.21590219999999999</v>
      </c>
      <c r="R2627">
        <v>-8.4593189999999999E-2</v>
      </c>
      <c r="S2627">
        <v>-3.2941590000000001</v>
      </c>
      <c r="T2627">
        <v>-0.92775629999999998</v>
      </c>
      <c r="U2627">
        <v>6.1248780000000003E-2</v>
      </c>
      <c r="V2627">
        <v>-6.7942150000000007E-2</v>
      </c>
      <c r="W2627">
        <v>0.2313221</v>
      </c>
      <c r="X2627">
        <v>0.97050190000000003</v>
      </c>
      <c r="Y2627">
        <v>3.3614949999999998E-2</v>
      </c>
      <c r="Z2627">
        <v>9.3465370000000002E-3</v>
      </c>
      <c r="AA2627">
        <v>0.99939109999999998</v>
      </c>
      <c r="AB2627">
        <v>60</v>
      </c>
      <c r="AC2627">
        <v>-0.54590000000001704</v>
      </c>
      <c r="AD2627">
        <v>-0.31154539999999997</v>
      </c>
      <c r="AE2627">
        <v>3.03999999999859E-2</v>
      </c>
      <c r="AF2627">
        <v>2.9952418095377301E-2</v>
      </c>
      <c r="AG2627">
        <v>-0.31154539999999997</v>
      </c>
      <c r="AH2627">
        <v>0.41164596857331898</v>
      </c>
      <c r="AI2627">
        <v>127.046707623305</v>
      </c>
      <c r="AJ2627">
        <v>85.838346037656095</v>
      </c>
      <c r="AK2627">
        <v>0.51711709220793201</v>
      </c>
      <c r="AL2627">
        <v>76.625078119595301</v>
      </c>
      <c r="AM2627">
        <v>94.004585185004203</v>
      </c>
      <c r="AN2627">
        <v>0.99999999379932103</v>
      </c>
    </row>
    <row r="2628" spans="1:40" x14ac:dyDescent="0.25">
      <c r="A2628" t="str">
        <f>"20190304164140197"</f>
        <v>20190304164140197</v>
      </c>
      <c r="B2628" t="str">
        <f>"1551688900183958"</f>
        <v>1551688900183958</v>
      </c>
      <c r="C2628" t="s">
        <v>40</v>
      </c>
      <c r="D2628">
        <v>4.4369940000000003</v>
      </c>
      <c r="E2628">
        <v>0.56232569999999904</v>
      </c>
      <c r="F2628" t="s">
        <v>41</v>
      </c>
      <c r="G2628">
        <v>-406.1968</v>
      </c>
      <c r="H2628">
        <v>0.76845559999999902</v>
      </c>
      <c r="I2628">
        <v>284.58100000000002</v>
      </c>
      <c r="J2628">
        <v>-405.48309999999998</v>
      </c>
      <c r="K2628">
        <v>1.109121</v>
      </c>
      <c r="L2628">
        <v>284.53820000000002</v>
      </c>
      <c r="M2628">
        <v>-0.99973239999999997</v>
      </c>
      <c r="N2628">
        <v>-1.5826590000000001E-2</v>
      </c>
      <c r="O2628">
        <v>-1.687044E-2</v>
      </c>
      <c r="P2628">
        <v>-0.97270869999999998</v>
      </c>
      <c r="Q2628">
        <v>0.21619340000000001</v>
      </c>
      <c r="R2628">
        <v>-8.4250030000000004E-2</v>
      </c>
      <c r="S2628">
        <v>-3.329285</v>
      </c>
      <c r="T2628">
        <v>-1.0602210000000001</v>
      </c>
      <c r="U2628">
        <v>0.1137695</v>
      </c>
      <c r="V2628">
        <v>-6.7712850000000005E-2</v>
      </c>
      <c r="W2628">
        <v>0.23161480000000001</v>
      </c>
      <c r="X2628">
        <v>0.97044810000000004</v>
      </c>
      <c r="Y2628">
        <v>4.7772340000000003E-2</v>
      </c>
      <c r="Z2628">
        <v>1.2789399999999999E-2</v>
      </c>
      <c r="AA2628">
        <v>0.99877640000000001</v>
      </c>
      <c r="AB2628">
        <v>60</v>
      </c>
      <c r="AC2628">
        <v>-0.71370000000001699</v>
      </c>
      <c r="AD2628">
        <v>-0.34066540000000001</v>
      </c>
      <c r="AE2628">
        <v>4.27999999999428E-2</v>
      </c>
      <c r="AF2628">
        <v>4.4690236571556699E-2</v>
      </c>
      <c r="AG2628">
        <v>-0.34066540000000001</v>
      </c>
      <c r="AH2628">
        <v>0.58098140748590799</v>
      </c>
      <c r="AI2628">
        <v>120.312045578674</v>
      </c>
      <c r="AJ2628">
        <v>85.601357480787101</v>
      </c>
      <c r="AK2628">
        <v>0.674973723819149</v>
      </c>
      <c r="AL2628">
        <v>76.607839299668996</v>
      </c>
      <c r="AM2628">
        <v>93.991334286369096</v>
      </c>
      <c r="AN2628">
        <v>0.99999998021388603</v>
      </c>
    </row>
    <row r="2629" spans="1:40" x14ac:dyDescent="0.25">
      <c r="A2629" t="str">
        <f>"20190304164140211"</f>
        <v>20190304164140211</v>
      </c>
      <c r="B2629" t="str">
        <f>"1551688900193717"</f>
        <v>1551688900193717</v>
      </c>
      <c r="C2629" t="s">
        <v>40</v>
      </c>
      <c r="D2629">
        <v>4.4388439999999996</v>
      </c>
      <c r="E2629">
        <v>0.56234839999999997</v>
      </c>
      <c r="F2629" t="s">
        <v>41</v>
      </c>
      <c r="G2629">
        <v>-406.23680000000002</v>
      </c>
      <c r="H2629">
        <v>0.86817860000000002</v>
      </c>
      <c r="I2629">
        <v>284.5641</v>
      </c>
      <c r="J2629">
        <v>-405.8263</v>
      </c>
      <c r="K2629">
        <v>1.109097</v>
      </c>
      <c r="L2629">
        <v>284.53250000000003</v>
      </c>
      <c r="M2629">
        <v>-0.99973489999999998</v>
      </c>
      <c r="N2629">
        <v>-1.5824589999999999E-2</v>
      </c>
      <c r="O2629">
        <v>-1.6732049999999998E-2</v>
      </c>
      <c r="P2629">
        <v>-0.97271399999999997</v>
      </c>
      <c r="Q2629">
        <v>0.21635070000000001</v>
      </c>
      <c r="R2629">
        <v>-8.3787180000000003E-2</v>
      </c>
      <c r="S2629">
        <v>-3.3306269999999998</v>
      </c>
      <c r="T2629">
        <v>-1.064648</v>
      </c>
      <c r="U2629">
        <v>0.1132813</v>
      </c>
      <c r="V2629">
        <v>-6.7370559999999996E-2</v>
      </c>
      <c r="W2629">
        <v>0.2317739</v>
      </c>
      <c r="X2629">
        <v>0.97043400000000002</v>
      </c>
      <c r="Y2629">
        <v>4.7472260000000002E-2</v>
      </c>
      <c r="Z2629">
        <v>1.2744780000000001E-2</v>
      </c>
      <c r="AA2629">
        <v>0.99879119999999999</v>
      </c>
      <c r="AB2629">
        <v>60</v>
      </c>
      <c r="AC2629">
        <v>-0.41050000000001302</v>
      </c>
      <c r="AD2629">
        <v>-0.2409184</v>
      </c>
      <c r="AE2629">
        <v>3.1599999999968903E-2</v>
      </c>
      <c r="AF2629">
        <v>2.8653625439201899E-2</v>
      </c>
      <c r="AG2629">
        <v>-0.2409184</v>
      </c>
      <c r="AH2629">
        <v>0.30535635569685399</v>
      </c>
      <c r="AI2629">
        <v>128.15047632940301</v>
      </c>
      <c r="AJ2629">
        <v>84.6392520908379</v>
      </c>
      <c r="AK2629">
        <v>0.39000667901182601</v>
      </c>
      <c r="AL2629">
        <v>76.598469375994895</v>
      </c>
      <c r="AM2629">
        <v>93.971280235214607</v>
      </c>
      <c r="AN2629">
        <v>1.0000000407159599</v>
      </c>
    </row>
    <row r="2630" spans="1:40" x14ac:dyDescent="0.25">
      <c r="A2630" t="str">
        <f>"20190304164140230"</f>
        <v>20190304164140230</v>
      </c>
      <c r="B2630" t="str">
        <f>"1551688900223973"</f>
        <v>1551688900223973</v>
      </c>
      <c r="C2630" t="s">
        <v>40</v>
      </c>
      <c r="D2630">
        <v>4.4289079999999998</v>
      </c>
      <c r="E2630">
        <v>0.56247369999999997</v>
      </c>
      <c r="F2630" t="s">
        <v>41</v>
      </c>
      <c r="G2630">
        <v>-406.74950000000001</v>
      </c>
      <c r="H2630">
        <v>0.81322320000000003</v>
      </c>
      <c r="I2630">
        <v>284.5641</v>
      </c>
      <c r="J2630">
        <v>-406.34100000000001</v>
      </c>
      <c r="K2630">
        <v>1.1090629999999999</v>
      </c>
      <c r="L2630">
        <v>284.524</v>
      </c>
      <c r="M2630">
        <v>-0.99973860000000003</v>
      </c>
      <c r="N2630">
        <v>-1.582151E-2</v>
      </c>
      <c r="O2630">
        <v>-1.650772E-2</v>
      </c>
      <c r="P2630">
        <v>-0.9727732</v>
      </c>
      <c r="Q2630">
        <v>0.21663060000000001</v>
      </c>
      <c r="R2630">
        <v>-8.2362779999999997E-2</v>
      </c>
      <c r="S2630">
        <v>-3.3313290000000002</v>
      </c>
      <c r="T2630">
        <v>-1.067593</v>
      </c>
      <c r="U2630">
        <v>0.1128845</v>
      </c>
      <c r="V2630">
        <v>-6.6142919999999994E-2</v>
      </c>
      <c r="W2630">
        <v>0.23205590000000001</v>
      </c>
      <c r="X2630">
        <v>0.97045099999999995</v>
      </c>
      <c r="Y2630">
        <v>4.7134049999999997E-2</v>
      </c>
      <c r="Z2630">
        <v>1.2653299999999999E-2</v>
      </c>
      <c r="AA2630">
        <v>0.99880840000000004</v>
      </c>
      <c r="AB2630">
        <v>60</v>
      </c>
      <c r="AC2630">
        <v>-0.40850000000000303</v>
      </c>
      <c r="AD2630">
        <v>-0.29583979999999899</v>
      </c>
      <c r="AE2630">
        <v>4.0099999999995299E-2</v>
      </c>
      <c r="AF2630">
        <v>3.08256467101048E-2</v>
      </c>
      <c r="AG2630">
        <v>-0.29583979999999899</v>
      </c>
      <c r="AH2630">
        <v>0.26837061047791499</v>
      </c>
      <c r="AI2630">
        <v>137.600390634164</v>
      </c>
      <c r="AJ2630">
        <v>83.447594345927996</v>
      </c>
      <c r="AK2630">
        <v>0.40061726414050702</v>
      </c>
      <c r="AL2630">
        <v>76.581858344068294</v>
      </c>
      <c r="AM2630">
        <v>93.8990719484664</v>
      </c>
      <c r="AN2630">
        <v>0.99999998499596798</v>
      </c>
    </row>
    <row r="2631" spans="1:40" x14ac:dyDescent="0.25">
      <c r="A2631" t="str">
        <f>"20190304164140245"</f>
        <v>20190304164140245</v>
      </c>
      <c r="B2631" t="str">
        <f>"1551688900233732"</f>
        <v>1551688900233732</v>
      </c>
      <c r="C2631" t="s">
        <v>40</v>
      </c>
      <c r="D2631">
        <v>4.4220699999999997</v>
      </c>
      <c r="E2631">
        <v>0.56246269999999998</v>
      </c>
      <c r="F2631" t="s">
        <v>41</v>
      </c>
      <c r="G2631">
        <v>-407.28160000000003</v>
      </c>
      <c r="H2631">
        <v>0.80698800000000004</v>
      </c>
      <c r="I2631">
        <v>284.55700000000002</v>
      </c>
      <c r="J2631">
        <v>-406.75020000000001</v>
      </c>
      <c r="K2631">
        <v>1.1090340000000001</v>
      </c>
      <c r="L2631">
        <v>284.51729999999998</v>
      </c>
      <c r="M2631">
        <v>-0.99974189999999996</v>
      </c>
      <c r="N2631">
        <v>-1.5819010000000001E-2</v>
      </c>
      <c r="O2631">
        <v>-1.6316810000000001E-2</v>
      </c>
      <c r="P2631">
        <v>-0.97283909999999996</v>
      </c>
      <c r="Q2631">
        <v>0.21670210000000001</v>
      </c>
      <c r="R2631">
        <v>-8.1391389999999994E-2</v>
      </c>
      <c r="S2631">
        <v>-3.3321839999999998</v>
      </c>
      <c r="T2631">
        <v>-1.0703020000000001</v>
      </c>
      <c r="U2631">
        <v>0.116394</v>
      </c>
      <c r="V2631">
        <v>-6.5340699999999904E-2</v>
      </c>
      <c r="W2631">
        <v>0.23212969999999999</v>
      </c>
      <c r="X2631">
        <v>0.97048769999999995</v>
      </c>
      <c r="Y2631">
        <v>4.7937399999999998E-2</v>
      </c>
      <c r="Z2631">
        <v>1.2755849999999999E-2</v>
      </c>
      <c r="AA2631">
        <v>0.99876889999999996</v>
      </c>
      <c r="AB2631">
        <v>60</v>
      </c>
      <c r="AC2631">
        <v>-0.53140000000001897</v>
      </c>
      <c r="AD2631">
        <v>-0.30204599999999998</v>
      </c>
      <c r="AE2631">
        <v>3.9700000000038899E-2</v>
      </c>
      <c r="AF2631">
        <v>3.6605784385656197E-2</v>
      </c>
      <c r="AG2631">
        <v>-0.30204599999999998</v>
      </c>
      <c r="AH2631">
        <v>0.40164138638316699</v>
      </c>
      <c r="AI2631">
        <v>126.830457892296</v>
      </c>
      <c r="AJ2631">
        <v>84.792423033932096</v>
      </c>
      <c r="AK2631">
        <v>0.50387257597757895</v>
      </c>
      <c r="AL2631">
        <v>76.5775112833104</v>
      </c>
      <c r="AM2631">
        <v>93.851779731401294</v>
      </c>
      <c r="AN2631">
        <v>0.99999999027493502</v>
      </c>
    </row>
    <row r="2632" spans="1:40" x14ac:dyDescent="0.25">
      <c r="A2632" t="str">
        <f>"20190304164140263"</f>
        <v>20190304164140263</v>
      </c>
      <c r="B2632" t="str">
        <f>"1551688900253253"</f>
        <v>1551688900253253</v>
      </c>
      <c r="C2632" t="s">
        <v>40</v>
      </c>
      <c r="D2632">
        <v>4.450183</v>
      </c>
      <c r="E2632">
        <v>0.56234050000000002</v>
      </c>
      <c r="F2632" t="s">
        <v>41</v>
      </c>
      <c r="G2632">
        <v>-407.80149999999998</v>
      </c>
      <c r="H2632">
        <v>0.77118379999999997</v>
      </c>
      <c r="I2632">
        <v>284.55520000000001</v>
      </c>
      <c r="J2632">
        <v>-407.22469999999998</v>
      </c>
      <c r="K2632">
        <v>1.1090040000000001</v>
      </c>
      <c r="L2632">
        <v>284.50970000000001</v>
      </c>
      <c r="M2632">
        <v>-0.99974569999999996</v>
      </c>
      <c r="N2632">
        <v>-1.5816070000000002E-2</v>
      </c>
      <c r="O2632">
        <v>-1.6081999999999999E-2</v>
      </c>
      <c r="P2632">
        <v>-0.97288070000000004</v>
      </c>
      <c r="Q2632">
        <v>0.2169103</v>
      </c>
      <c r="R2632">
        <v>-8.0332100000000004E-2</v>
      </c>
      <c r="S2632">
        <v>-3.3322750000000001</v>
      </c>
      <c r="T2632">
        <v>-1.070924</v>
      </c>
      <c r="U2632">
        <v>0.1190186</v>
      </c>
      <c r="V2632">
        <v>-6.4492350000000004E-2</v>
      </c>
      <c r="W2632">
        <v>0.2323393</v>
      </c>
      <c r="X2632">
        <v>0.97049430000000003</v>
      </c>
      <c r="Y2632">
        <v>4.8466780000000001E-2</v>
      </c>
      <c r="Z2632">
        <v>1.277963E-2</v>
      </c>
      <c r="AA2632">
        <v>0.99874309999999999</v>
      </c>
      <c r="AB2632">
        <v>60</v>
      </c>
      <c r="AC2632">
        <v>-0.57679999999999099</v>
      </c>
      <c r="AD2632">
        <v>-0.33782020000000001</v>
      </c>
      <c r="AE2632">
        <v>4.5500000000004003E-2</v>
      </c>
      <c r="AF2632">
        <v>4.0846731490022201E-2</v>
      </c>
      <c r="AG2632">
        <v>-0.33782020000000001</v>
      </c>
      <c r="AH2632">
        <v>0.42955752209569098</v>
      </c>
      <c r="AI2632">
        <v>128.057605675644</v>
      </c>
      <c r="AJ2632">
        <v>84.568062940529998</v>
      </c>
      <c r="AK2632">
        <v>0.548006028972718</v>
      </c>
      <c r="AL2632">
        <v>76.565164657442395</v>
      </c>
      <c r="AM2632">
        <v>93.801892056596699</v>
      </c>
      <c r="AN2632">
        <v>0.99999999993275102</v>
      </c>
    </row>
    <row r="2633" spans="1:40" x14ac:dyDescent="0.25">
      <c r="A2633" t="str">
        <f>"20190304164140279"</f>
        <v>20190304164140279</v>
      </c>
      <c r="B2633" t="str">
        <f>"1551688900263989"</f>
        <v>1551688900263989</v>
      </c>
      <c r="C2633" t="s">
        <v>40</v>
      </c>
      <c r="D2633">
        <v>4.4747440000000003</v>
      </c>
      <c r="E2633">
        <v>0.5623224</v>
      </c>
      <c r="F2633" t="s">
        <v>41</v>
      </c>
      <c r="G2633">
        <v>-408.32839999999999</v>
      </c>
      <c r="H2633">
        <v>0.75391390000000003</v>
      </c>
      <c r="I2633">
        <v>284.55099999999999</v>
      </c>
      <c r="J2633">
        <v>-407.65570000000002</v>
      </c>
      <c r="K2633">
        <v>1.1089770000000001</v>
      </c>
      <c r="L2633">
        <v>284.50279999999998</v>
      </c>
      <c r="M2633">
        <v>-0.99974929999999995</v>
      </c>
      <c r="N2633">
        <v>-1.581335E-2</v>
      </c>
      <c r="O2633">
        <v>-1.585897E-2</v>
      </c>
      <c r="P2633">
        <v>-0.97297540000000005</v>
      </c>
      <c r="Q2633">
        <v>0.2166854</v>
      </c>
      <c r="R2633">
        <v>-7.9790219999999995E-2</v>
      </c>
      <c r="S2633">
        <v>-3.332916</v>
      </c>
      <c r="T2633">
        <v>-1.0721810000000001</v>
      </c>
      <c r="U2633">
        <v>0.12426760000000001</v>
      </c>
      <c r="V2633">
        <v>-6.4152009999999995E-2</v>
      </c>
      <c r="W2633">
        <v>0.23211670000000001</v>
      </c>
      <c r="X2633">
        <v>0.97057009999999999</v>
      </c>
      <c r="Y2633">
        <v>4.9744280000000002E-2</v>
      </c>
      <c r="Z2633">
        <v>1.293534E-2</v>
      </c>
      <c r="AA2633">
        <v>0.99867819999999996</v>
      </c>
      <c r="AB2633">
        <v>60</v>
      </c>
      <c r="AC2633">
        <v>-0.67269999999996299</v>
      </c>
      <c r="AD2633">
        <v>-0.35506310000000002</v>
      </c>
      <c r="AE2633">
        <v>4.8200000000008403E-2</v>
      </c>
      <c r="AF2633">
        <v>4.60891312400196E-2</v>
      </c>
      <c r="AG2633">
        <v>-0.35506310000000002</v>
      </c>
      <c r="AH2633">
        <v>0.52604706608130603</v>
      </c>
      <c r="AI2633">
        <v>123.91644197913899</v>
      </c>
      <c r="AJ2633">
        <v>84.992868664468602</v>
      </c>
      <c r="AK2633">
        <v>0.636332875728435</v>
      </c>
      <c r="AL2633">
        <v>76.578276916097096</v>
      </c>
      <c r="AM2633">
        <v>93.781592530579303</v>
      </c>
      <c r="AN2633">
        <v>0.999999980909969</v>
      </c>
    </row>
    <row r="2634" spans="1:40" x14ac:dyDescent="0.25">
      <c r="A2634" t="str">
        <f>"20190304164140297"</f>
        <v>20190304164140297</v>
      </c>
      <c r="B2634" t="str">
        <f>"1551688900283510"</f>
        <v>1551688900283510</v>
      </c>
      <c r="C2634" t="s">
        <v>40</v>
      </c>
      <c r="D2634">
        <v>4.463457</v>
      </c>
      <c r="E2634">
        <v>0.56227299999999902</v>
      </c>
      <c r="F2634" t="s">
        <v>41</v>
      </c>
      <c r="G2634">
        <v>-408.3777</v>
      </c>
      <c r="H2634">
        <v>0.8765001</v>
      </c>
      <c r="I2634">
        <v>284.53059999999999</v>
      </c>
      <c r="J2634">
        <v>-408.11419999999998</v>
      </c>
      <c r="K2634">
        <v>1.1089530000000001</v>
      </c>
      <c r="L2634">
        <v>284.49560000000002</v>
      </c>
      <c r="M2634">
        <v>-0.99975309999999995</v>
      </c>
      <c r="N2634">
        <v>-1.5810279999999999E-2</v>
      </c>
      <c r="O2634">
        <v>-1.5614370000000001E-2</v>
      </c>
      <c r="P2634">
        <v>-0.97298819999999997</v>
      </c>
      <c r="Q2634">
        <v>0.21666640000000001</v>
      </c>
      <c r="R2634">
        <v>-7.9684850000000002E-2</v>
      </c>
      <c r="S2634">
        <v>-3.3327640000000001</v>
      </c>
      <c r="T2634">
        <v>-1.0731389999999901</v>
      </c>
      <c r="U2634">
        <v>0.12738039999999901</v>
      </c>
      <c r="V2634">
        <v>-6.427078E-2</v>
      </c>
      <c r="W2634">
        <v>0.23209859999999999</v>
      </c>
      <c r="X2634">
        <v>0.97056659999999995</v>
      </c>
      <c r="Y2634">
        <v>5.0403290000000003E-2</v>
      </c>
      <c r="Z2634">
        <v>1.298235E-2</v>
      </c>
      <c r="AA2634">
        <v>0.99864459999999999</v>
      </c>
      <c r="AB2634">
        <v>60</v>
      </c>
      <c r="AC2634">
        <v>-0.263500000000021</v>
      </c>
      <c r="AD2634">
        <v>-0.23245289999999999</v>
      </c>
      <c r="AE2634">
        <v>3.4999999999968098E-2</v>
      </c>
      <c r="AF2634">
        <v>2.2162276700116501E-2</v>
      </c>
      <c r="AG2634">
        <v>-0.23245289999999999</v>
      </c>
      <c r="AH2634">
        <v>0.148985943751067</v>
      </c>
      <c r="AI2634">
        <v>147.057489774858</v>
      </c>
      <c r="AJ2634">
        <v>81.539058584497894</v>
      </c>
      <c r="AK2634">
        <v>0.27698795761249001</v>
      </c>
      <c r="AL2634">
        <v>76.579343472955102</v>
      </c>
      <c r="AM2634">
        <v>93.788586961802594</v>
      </c>
      <c r="AN2634">
        <v>1.0000000091596599</v>
      </c>
    </row>
    <row r="2635" spans="1:40" x14ac:dyDescent="0.25">
      <c r="A2635" t="str">
        <f>"20190304164140311"</f>
        <v>20190304164140311</v>
      </c>
      <c r="B2635" t="str">
        <f>"1551688900304005"</f>
        <v>1551688900304005</v>
      </c>
      <c r="C2635" t="s">
        <v>40</v>
      </c>
      <c r="D2635">
        <v>4.5856890000000003</v>
      </c>
      <c r="E2635">
        <v>0.56222780000000006</v>
      </c>
      <c r="F2635" t="s">
        <v>41</v>
      </c>
      <c r="G2635">
        <v>-408.90210000000002</v>
      </c>
      <c r="H2635">
        <v>0.85531699999999999</v>
      </c>
      <c r="I2635">
        <v>284.52659999999997</v>
      </c>
      <c r="J2635">
        <v>-408.51659999999998</v>
      </c>
      <c r="K2635">
        <v>1.1089310000000001</v>
      </c>
      <c r="L2635">
        <v>284.48939999999999</v>
      </c>
      <c r="M2635">
        <v>-0.9997566</v>
      </c>
      <c r="N2635">
        <v>-1.580761E-2</v>
      </c>
      <c r="O2635">
        <v>-1.539573E-2</v>
      </c>
      <c r="P2635">
        <v>-0.97295299999999996</v>
      </c>
      <c r="Q2635">
        <v>0.21677640000000001</v>
      </c>
      <c r="R2635">
        <v>-7.9816419999999999E-2</v>
      </c>
      <c r="S2635">
        <v>-3.3327939999999998</v>
      </c>
      <c r="T2635">
        <v>-1.0728569999999999</v>
      </c>
      <c r="U2635">
        <v>0.1295471</v>
      </c>
      <c r="V2635">
        <v>-6.4604540000000002E-2</v>
      </c>
      <c r="W2635">
        <v>0.232209</v>
      </c>
      <c r="X2635">
        <v>0.97051810000000005</v>
      </c>
      <c r="Y2635">
        <v>5.0822470000000002E-2</v>
      </c>
      <c r="Z2635">
        <v>1.2982789999999999E-2</v>
      </c>
      <c r="AA2635">
        <v>0.99862329999999999</v>
      </c>
      <c r="AB2635">
        <v>60</v>
      </c>
      <c r="AC2635">
        <v>-0.38550000000003498</v>
      </c>
      <c r="AD2635">
        <v>-0.25361399999999901</v>
      </c>
      <c r="AE2635">
        <v>3.7199999999984301E-2</v>
      </c>
      <c r="AF2635">
        <v>3.0186774003416499E-2</v>
      </c>
      <c r="AG2635">
        <v>-0.25361399999999901</v>
      </c>
      <c r="AH2635">
        <v>0.26937069239618899</v>
      </c>
      <c r="AI2635">
        <v>133.095885721852</v>
      </c>
      <c r="AJ2635">
        <v>83.605879694695403</v>
      </c>
      <c r="AK2635">
        <v>0.37120327617457199</v>
      </c>
      <c r="AL2635">
        <v>76.572841239342395</v>
      </c>
      <c r="AM2635">
        <v>93.808393207734198</v>
      </c>
      <c r="AN2635">
        <v>1.0000000743485999</v>
      </c>
    </row>
    <row r="2636" spans="1:40" x14ac:dyDescent="0.25">
      <c r="A2636" t="str">
        <f>"20190304164140330"</f>
        <v>20190304164140330</v>
      </c>
      <c r="B2636" t="str">
        <f>"1551688900323525"</f>
        <v>1551688900323525</v>
      </c>
      <c r="C2636" t="s">
        <v>40</v>
      </c>
      <c r="D2636">
        <v>4.4745350000000004</v>
      </c>
      <c r="E2636">
        <v>0.56221149999999998</v>
      </c>
      <c r="F2636" t="s">
        <v>41</v>
      </c>
      <c r="G2636">
        <v>-409.4203</v>
      </c>
      <c r="H2636">
        <v>0.81813499999999995</v>
      </c>
      <c r="I2636">
        <v>284.5247</v>
      </c>
      <c r="J2636">
        <v>-409.01299999999998</v>
      </c>
      <c r="K2636">
        <v>1.1089070000000001</v>
      </c>
      <c r="L2636">
        <v>284.48180000000002</v>
      </c>
      <c r="M2636">
        <v>-0.99976080000000001</v>
      </c>
      <c r="N2636">
        <v>-1.5804309999999998E-2</v>
      </c>
      <c r="O2636">
        <v>-1.5121610000000001E-2</v>
      </c>
      <c r="P2636">
        <v>-0.97286660000000003</v>
      </c>
      <c r="Q2636">
        <v>0.21685979999999999</v>
      </c>
      <c r="R2636">
        <v>-8.0637169999999994E-2</v>
      </c>
      <c r="S2636">
        <v>-3.333008</v>
      </c>
      <c r="T2636">
        <v>-1.07250499999999</v>
      </c>
      <c r="U2636">
        <v>0.1294556</v>
      </c>
      <c r="V2636">
        <v>-6.5680989999999995E-2</v>
      </c>
      <c r="W2636">
        <v>0.23229250000000001</v>
      </c>
      <c r="X2636">
        <v>0.97042580000000001</v>
      </c>
      <c r="Y2636">
        <v>5.054844E-2</v>
      </c>
      <c r="Z2636">
        <v>1.285097E-2</v>
      </c>
      <c r="AA2636">
        <v>0.9986389</v>
      </c>
      <c r="AB2636">
        <v>60</v>
      </c>
      <c r="AC2636">
        <v>-0.40729999999996302</v>
      </c>
      <c r="AD2636">
        <v>-0.29077199999999898</v>
      </c>
      <c r="AE2636">
        <v>4.2899999999974597E-2</v>
      </c>
      <c r="AF2636">
        <v>3.2614919515094098E-2</v>
      </c>
      <c r="AG2636">
        <v>-0.29077199999999898</v>
      </c>
      <c r="AH2636">
        <v>0.270337488532504</v>
      </c>
      <c r="AI2636">
        <v>136.87918842241601</v>
      </c>
      <c r="AJ2636">
        <v>83.120787087003094</v>
      </c>
      <c r="AK2636">
        <v>0.398364715637615</v>
      </c>
      <c r="AL2636">
        <v>76.567921741935905</v>
      </c>
      <c r="AM2636">
        <v>93.872024903982904</v>
      </c>
      <c r="AN2636">
        <v>1.00000001565463</v>
      </c>
    </row>
    <row r="2637" spans="1:40" x14ac:dyDescent="0.25">
      <c r="A2637" t="str">
        <f>"20190304164140345"</f>
        <v>20190304164140345</v>
      </c>
      <c r="B2637" t="str">
        <f>"1551688900333285"</f>
        <v>1551688900333285</v>
      </c>
      <c r="C2637" t="s">
        <v>40</v>
      </c>
      <c r="D2637">
        <v>4.464315</v>
      </c>
      <c r="E2637">
        <v>0.562191199999999</v>
      </c>
      <c r="F2637" t="s">
        <v>41</v>
      </c>
      <c r="G2637">
        <v>-409.94889999999998</v>
      </c>
      <c r="H2637">
        <v>0.80807790000000002</v>
      </c>
      <c r="I2637">
        <v>284.51839999999999</v>
      </c>
      <c r="J2637">
        <v>-409.40379999999999</v>
      </c>
      <c r="K2637">
        <v>1.1088990000000001</v>
      </c>
      <c r="L2637">
        <v>284.476</v>
      </c>
      <c r="M2637">
        <v>-0.99976410000000004</v>
      </c>
      <c r="N2637">
        <v>-1.580165E-2</v>
      </c>
      <c r="O2637">
        <v>-1.490375E-2</v>
      </c>
      <c r="P2637">
        <v>-0.97288470000000005</v>
      </c>
      <c r="Q2637">
        <v>0.2165234</v>
      </c>
      <c r="R2637">
        <v>-8.1322660000000005E-2</v>
      </c>
      <c r="S2637">
        <v>-3.3331599999999999</v>
      </c>
      <c r="T2637">
        <v>-1.071391</v>
      </c>
      <c r="U2637">
        <v>0.12872310000000001</v>
      </c>
      <c r="V2637">
        <v>-6.6568870000000002E-2</v>
      </c>
      <c r="W2637">
        <v>0.2319571</v>
      </c>
      <c r="X2637">
        <v>0.97044549999999996</v>
      </c>
      <c r="Y2637">
        <v>5.0148119999999997E-2</v>
      </c>
      <c r="Z2637">
        <v>1.270696E-2</v>
      </c>
      <c r="AA2637">
        <v>0.99866100000000002</v>
      </c>
      <c r="AB2637">
        <v>60</v>
      </c>
      <c r="AC2637">
        <v>-0.54509999999999004</v>
      </c>
      <c r="AD2637">
        <v>-0.30082110000000001</v>
      </c>
      <c r="AE2637">
        <v>4.23999999999864E-2</v>
      </c>
      <c r="AF2637">
        <v>3.8780586707369301E-2</v>
      </c>
      <c r="AG2637">
        <v>-0.30082110000000001</v>
      </c>
      <c r="AH2637">
        <v>0.41789981997265602</v>
      </c>
      <c r="AI2637">
        <v>125.63146316927499</v>
      </c>
      <c r="AJ2637">
        <v>84.698206687803193</v>
      </c>
      <c r="AK2637">
        <v>0.51636956498592801</v>
      </c>
      <c r="AL2637">
        <v>76.587678022498494</v>
      </c>
      <c r="AM2637">
        <v>93.924125332097304</v>
      </c>
      <c r="AN2637">
        <v>0.99999998958186798</v>
      </c>
    </row>
    <row r="2638" spans="1:40" x14ac:dyDescent="0.25">
      <c r="A2638" t="str">
        <f>"20190304164140363"</f>
        <v>20190304164140363</v>
      </c>
      <c r="B2638" t="str">
        <f>"1551688900353781"</f>
        <v>1551688900353781</v>
      </c>
      <c r="C2638" t="s">
        <v>40</v>
      </c>
      <c r="D2638">
        <v>4.4715790000000002</v>
      </c>
      <c r="E2638">
        <v>0.56212019999999996</v>
      </c>
      <c r="F2638" t="s">
        <v>41</v>
      </c>
      <c r="G2638">
        <v>-410.46510000000001</v>
      </c>
      <c r="H2638">
        <v>0.76760819999999996</v>
      </c>
      <c r="I2638">
        <v>284.51650000000001</v>
      </c>
      <c r="J2638">
        <v>-409.89600000000002</v>
      </c>
      <c r="K2638">
        <v>1.108881</v>
      </c>
      <c r="L2638">
        <v>284.46879999999999</v>
      </c>
      <c r="M2638">
        <v>-0.99976830000000005</v>
      </c>
      <c r="N2638">
        <v>-1.579823E-2</v>
      </c>
      <c r="O2638">
        <v>-1.4627080000000001E-2</v>
      </c>
      <c r="P2638">
        <v>-0.9728521</v>
      </c>
      <c r="Q2638">
        <v>0.2162625</v>
      </c>
      <c r="R2638">
        <v>-8.2398360000000004E-2</v>
      </c>
      <c r="S2638">
        <v>-3.3327330000000002</v>
      </c>
      <c r="T2638">
        <v>-1.0717840000000001</v>
      </c>
      <c r="U2638">
        <v>0.12701419999999999</v>
      </c>
      <c r="V2638">
        <v>-6.7904450000000005E-2</v>
      </c>
      <c r="W2638">
        <v>0.2316964</v>
      </c>
      <c r="X2638">
        <v>0.97041520000000003</v>
      </c>
      <c r="Y2638">
        <v>4.9413619999999998E-2</v>
      </c>
      <c r="Z2638">
        <v>1.2509340000000001E-2</v>
      </c>
      <c r="AA2638">
        <v>0.99870009999999998</v>
      </c>
      <c r="AB2638">
        <v>60</v>
      </c>
      <c r="AC2638">
        <v>-0.56910000000004801</v>
      </c>
      <c r="AD2638">
        <v>-0.34127279999999999</v>
      </c>
      <c r="AE2638">
        <v>4.7700000000020198E-2</v>
      </c>
      <c r="AF2638">
        <v>4.1279449871776501E-2</v>
      </c>
      <c r="AG2638">
        <v>-0.34127279999999999</v>
      </c>
      <c r="AH2638">
        <v>0.41879204586975999</v>
      </c>
      <c r="AI2638">
        <v>129.040946026764</v>
      </c>
      <c r="AJ2638">
        <v>84.370659561902002</v>
      </c>
      <c r="AK2638">
        <v>0.54180983258458404</v>
      </c>
      <c r="AL2638">
        <v>76.603032792318501</v>
      </c>
      <c r="AM2638">
        <v>94.002726751358495</v>
      </c>
      <c r="AN2638">
        <v>0.99999994824689897</v>
      </c>
    </row>
    <row r="2639" spans="1:40" x14ac:dyDescent="0.25">
      <c r="A2639" t="str">
        <f>"20190304164140385"</f>
        <v>20190304164140385</v>
      </c>
      <c r="B2639" t="str">
        <f>"1551688900373301"</f>
        <v>1551688900373301</v>
      </c>
      <c r="C2639" t="s">
        <v>40</v>
      </c>
      <c r="D2639">
        <v>4.4382349999999997</v>
      </c>
      <c r="E2639">
        <v>0.56210859999999996</v>
      </c>
      <c r="F2639" t="s">
        <v>41</v>
      </c>
      <c r="G2639">
        <v>-410.99220000000003</v>
      </c>
      <c r="H2639">
        <v>0.75586989999999998</v>
      </c>
      <c r="I2639">
        <v>284.50970000000001</v>
      </c>
      <c r="J2639">
        <v>-410.47859999999997</v>
      </c>
      <c r="K2639">
        <v>1.108865</v>
      </c>
      <c r="L2639">
        <v>284.46039999999999</v>
      </c>
      <c r="M2639">
        <v>-0.99977300000000002</v>
      </c>
      <c r="N2639">
        <v>-1.5794180000000001E-2</v>
      </c>
      <c r="O2639">
        <v>-1.4296990000000001E-2</v>
      </c>
      <c r="P2639">
        <v>-0.97258409999999995</v>
      </c>
      <c r="Q2639">
        <v>0.2170675</v>
      </c>
      <c r="R2639">
        <v>-8.3437830000000004E-2</v>
      </c>
      <c r="S2639">
        <v>-3.3327330000000002</v>
      </c>
      <c r="T2639">
        <v>-1.0731949999999999</v>
      </c>
      <c r="U2639">
        <v>0.123168899999999</v>
      </c>
      <c r="V2639">
        <v>-6.925721E-2</v>
      </c>
      <c r="W2639">
        <v>0.23249790000000001</v>
      </c>
      <c r="X2639">
        <v>0.97012790000000004</v>
      </c>
      <c r="Y2639">
        <v>4.8014099999999997E-2</v>
      </c>
      <c r="Z2639">
        <v>1.219541E-2</v>
      </c>
      <c r="AA2639">
        <v>0.9987722</v>
      </c>
      <c r="AB2639">
        <v>60</v>
      </c>
      <c r="AC2639">
        <v>-0.51360000000005301</v>
      </c>
      <c r="AD2639">
        <v>-0.35299509999999901</v>
      </c>
      <c r="AE2639">
        <v>4.9300000000016497E-2</v>
      </c>
      <c r="AF2639">
        <v>3.8580646251565702E-2</v>
      </c>
      <c r="AG2639">
        <v>-0.35299509999999901</v>
      </c>
      <c r="AH2639">
        <v>0.34933285866113001</v>
      </c>
      <c r="AI2639">
        <v>135.12511215523401</v>
      </c>
      <c r="AJ2639">
        <v>83.697741238179802</v>
      </c>
      <c r="AK2639">
        <v>0.498123933403681</v>
      </c>
      <c r="AL2639">
        <v>76.5558215412142</v>
      </c>
      <c r="AM2639">
        <v>94.083405038841306</v>
      </c>
      <c r="AN2639">
        <v>0.99999998849990201</v>
      </c>
    </row>
    <row r="2640" spans="1:40" x14ac:dyDescent="0.25">
      <c r="A2640" t="str">
        <f>"20190304164140398"</f>
        <v>20190304164140398</v>
      </c>
      <c r="B2640" t="str">
        <f>"1551688900393797"</f>
        <v>1551688900393797</v>
      </c>
      <c r="C2640" t="s">
        <v>40</v>
      </c>
      <c r="D2640">
        <v>4.4727870000000003</v>
      </c>
      <c r="E2640">
        <v>0.56212600000000001</v>
      </c>
      <c r="F2640" t="s">
        <v>41</v>
      </c>
      <c r="G2640">
        <v>-411.5299</v>
      </c>
      <c r="H2640">
        <v>0.77140259999999905</v>
      </c>
      <c r="I2640">
        <v>284.49810000000002</v>
      </c>
      <c r="J2640">
        <v>-410.84230000000002</v>
      </c>
      <c r="K2640">
        <v>1.108859</v>
      </c>
      <c r="L2640">
        <v>284.45519999999999</v>
      </c>
      <c r="M2640">
        <v>-0.999776</v>
      </c>
      <c r="N2640">
        <v>-1.5791670000000001E-2</v>
      </c>
      <c r="O2640">
        <v>-1.409055E-2</v>
      </c>
      <c r="P2640">
        <v>-0.97254739999999995</v>
      </c>
      <c r="Q2640">
        <v>0.21730769999999999</v>
      </c>
      <c r="R2640">
        <v>-8.3240629999999996E-2</v>
      </c>
      <c r="S2640">
        <v>-3.3336790000000001</v>
      </c>
      <c r="T2640">
        <v>-1.0701940000000001</v>
      </c>
      <c r="U2640">
        <v>0.1195374</v>
      </c>
      <c r="V2640">
        <v>-6.9255460000000005E-2</v>
      </c>
      <c r="W2640">
        <v>0.23273679999999999</v>
      </c>
      <c r="X2640">
        <v>0.97007080000000001</v>
      </c>
      <c r="Y2640">
        <v>4.6803079999999997E-2</v>
      </c>
      <c r="Z2640">
        <v>1.1899409999999999E-2</v>
      </c>
      <c r="AA2640">
        <v>0.99883319999999998</v>
      </c>
      <c r="AB2640">
        <v>59</v>
      </c>
      <c r="AC2640">
        <v>-0.68759999999997401</v>
      </c>
      <c r="AD2640">
        <v>-0.33745639999999999</v>
      </c>
      <c r="AE2640">
        <v>4.2900000000031399E-2</v>
      </c>
      <c r="AF2640">
        <v>4.24102998486671E-2</v>
      </c>
      <c r="AG2640">
        <v>-0.33745639999999999</v>
      </c>
      <c r="AH2640">
        <v>0.55400681901807503</v>
      </c>
      <c r="AI2640">
        <v>121.27209308972201</v>
      </c>
      <c r="AJ2640">
        <v>85.622434420937196</v>
      </c>
      <c r="AK2640">
        <v>0.650076157809791</v>
      </c>
      <c r="AL2640">
        <v>76.541748305980093</v>
      </c>
      <c r="AM2640">
        <v>94.083541744830598</v>
      </c>
      <c r="AN2640">
        <v>1.0000000469133401</v>
      </c>
    </row>
    <row r="2641" spans="1:40" x14ac:dyDescent="0.25">
      <c r="A2641" t="str">
        <f>"20190304164140412"</f>
        <v>20190304164140412</v>
      </c>
      <c r="B2641" t="str">
        <f>"1551688900403557"</f>
        <v>1551688900403557</v>
      </c>
      <c r="C2641" t="s">
        <v>40</v>
      </c>
      <c r="D2641">
        <v>4.4901330000000002</v>
      </c>
      <c r="E2641">
        <v>0.56287290000000001</v>
      </c>
      <c r="F2641" t="s">
        <v>41</v>
      </c>
      <c r="G2641">
        <v>-411.57170000000002</v>
      </c>
      <c r="H2641">
        <v>0.87489099999999997</v>
      </c>
      <c r="I2641">
        <v>284.48140000000001</v>
      </c>
      <c r="J2641">
        <v>-411.19299999999998</v>
      </c>
      <c r="K2641">
        <v>1.108854</v>
      </c>
      <c r="L2641">
        <v>284.45030000000003</v>
      </c>
      <c r="M2641">
        <v>-0.99977879999999997</v>
      </c>
      <c r="N2641">
        <v>-1.5789230000000001E-2</v>
      </c>
      <c r="O2641">
        <v>-1.389058E-2</v>
      </c>
      <c r="P2641">
        <v>-0.97240709999999997</v>
      </c>
      <c r="Q2641">
        <v>0.2178175</v>
      </c>
      <c r="R2641">
        <v>-8.3545679999999997E-2</v>
      </c>
      <c r="S2641">
        <v>-3.333923</v>
      </c>
      <c r="T2641">
        <v>-1.069526</v>
      </c>
      <c r="U2641">
        <v>0.119812</v>
      </c>
      <c r="V2641">
        <v>-6.9750909999999999E-2</v>
      </c>
      <c r="W2641">
        <v>0.23324400000000001</v>
      </c>
      <c r="X2641">
        <v>0.96991340000000004</v>
      </c>
      <c r="Y2641">
        <v>4.6701520000000003E-2</v>
      </c>
      <c r="Z2641">
        <v>1.181538E-2</v>
      </c>
      <c r="AA2641">
        <v>0.99883900000000003</v>
      </c>
      <c r="AB2641">
        <v>59</v>
      </c>
      <c r="AC2641">
        <v>-0.37869999999998</v>
      </c>
      <c r="AD2641">
        <v>-0.233963</v>
      </c>
      <c r="AE2641">
        <v>3.1099999999980799E-2</v>
      </c>
      <c r="AF2641">
        <v>2.6363068604845899E-2</v>
      </c>
      <c r="AG2641">
        <v>-0.233963</v>
      </c>
      <c r="AH2641">
        <v>0.27425423942384197</v>
      </c>
      <c r="AI2641">
        <v>130.33704058735299</v>
      </c>
      <c r="AJ2641">
        <v>84.509234441778702</v>
      </c>
      <c r="AK2641">
        <v>0.361454125162812</v>
      </c>
      <c r="AL2641">
        <v>76.511864539791603</v>
      </c>
      <c r="AM2641">
        <v>94.113320427499303</v>
      </c>
      <c r="AN2641">
        <v>0.99999997824069298</v>
      </c>
    </row>
    <row r="2642" spans="1:40" x14ac:dyDescent="0.25">
      <c r="A2642" t="str">
        <f>"20190304164140427"</f>
        <v>20190304164140427</v>
      </c>
      <c r="B2642" t="str">
        <f>"1551688900413318"</f>
        <v>1551688900413318</v>
      </c>
      <c r="C2642" t="s">
        <v>40</v>
      </c>
      <c r="D2642">
        <v>4.4855429999999998</v>
      </c>
      <c r="E2642">
        <v>0.56293819999999894</v>
      </c>
      <c r="F2642" t="s">
        <v>41</v>
      </c>
      <c r="G2642">
        <v>-412.07929999999999</v>
      </c>
      <c r="H2642">
        <v>0.81750089999999997</v>
      </c>
      <c r="I2642">
        <v>284.48289999999997</v>
      </c>
      <c r="J2642">
        <v>-411.5652</v>
      </c>
      <c r="K2642">
        <v>1.1088469999999999</v>
      </c>
      <c r="L2642">
        <v>284.4452</v>
      </c>
      <c r="M2642">
        <v>-0.99978180000000005</v>
      </c>
      <c r="N2642">
        <v>-1.5786620000000001E-2</v>
      </c>
      <c r="O2642">
        <v>-1.3677979999999999E-2</v>
      </c>
      <c r="P2642">
        <v>-0.97221840000000004</v>
      </c>
      <c r="Q2642">
        <v>0.2186604</v>
      </c>
      <c r="R2642">
        <v>-8.3539950000000002E-2</v>
      </c>
      <c r="S2642">
        <v>-3.3415530000000002</v>
      </c>
      <c r="T2642">
        <v>-1.098247</v>
      </c>
      <c r="U2642">
        <v>0.121307399999999</v>
      </c>
      <c r="V2642">
        <v>-6.9948239999999995E-2</v>
      </c>
      <c r="W2642">
        <v>0.23408280000000001</v>
      </c>
      <c r="X2642">
        <v>0.96969709999999998</v>
      </c>
      <c r="Y2642">
        <v>4.671467E-2</v>
      </c>
      <c r="Z2642">
        <v>1.202484E-2</v>
      </c>
      <c r="AA2642">
        <v>0.9988359</v>
      </c>
      <c r="AB2642">
        <v>59</v>
      </c>
      <c r="AC2642">
        <v>-0.51409999999998401</v>
      </c>
      <c r="AD2642">
        <v>-0.291346099999999</v>
      </c>
      <c r="AE2642">
        <v>3.7699999999972499E-2</v>
      </c>
      <c r="AF2642">
        <v>3.3900049197176201E-2</v>
      </c>
      <c r="AG2642">
        <v>-0.291346099999999</v>
      </c>
      <c r="AH2642">
        <v>0.38920664942715499</v>
      </c>
      <c r="AI2642">
        <v>126.71338913124499</v>
      </c>
      <c r="AJ2642">
        <v>85.0220784477916</v>
      </c>
      <c r="AK2642">
        <v>0.48735364908769602</v>
      </c>
      <c r="AL2642">
        <v>76.462436706416199</v>
      </c>
      <c r="AM2642">
        <v>94.125834099400606</v>
      </c>
      <c r="AN2642">
        <v>0.99999998964167303</v>
      </c>
    </row>
    <row r="2643" spans="1:40" x14ac:dyDescent="0.25">
      <c r="A2643" t="str">
        <f>"20190304164140440"</f>
        <v>20190304164140440</v>
      </c>
      <c r="B2643" t="str">
        <f>"1551688900433813"</f>
        <v>1551688900433813</v>
      </c>
      <c r="C2643" t="s">
        <v>40</v>
      </c>
      <c r="D2643">
        <v>4.8190660000000003</v>
      </c>
      <c r="E2643">
        <v>0.56289609999999901</v>
      </c>
      <c r="F2643" t="s">
        <v>41</v>
      </c>
      <c r="G2643">
        <v>-412.59230000000002</v>
      </c>
      <c r="H2643">
        <v>0.77309329999999998</v>
      </c>
      <c r="I2643">
        <v>284.4828</v>
      </c>
      <c r="J2643">
        <v>-411.96199999999999</v>
      </c>
      <c r="K2643">
        <v>1.108843</v>
      </c>
      <c r="L2643">
        <v>284.43979999999999</v>
      </c>
      <c r="M2643">
        <v>-0.99978500000000003</v>
      </c>
      <c r="N2643">
        <v>-1.5783809999999999E-2</v>
      </c>
      <c r="O2643">
        <v>-1.345097E-2</v>
      </c>
      <c r="P2643">
        <v>-0.97215119999999999</v>
      </c>
      <c r="Q2643">
        <v>0.2190791</v>
      </c>
      <c r="R2643">
        <v>-8.3225820000000006E-2</v>
      </c>
      <c r="S2643">
        <v>-3.3418580000000002</v>
      </c>
      <c r="T2643">
        <v>-1.0923860000000001</v>
      </c>
      <c r="U2643">
        <v>0.121521</v>
      </c>
      <c r="V2643">
        <v>-6.9850410000000002E-2</v>
      </c>
      <c r="W2643">
        <v>0.2344986</v>
      </c>
      <c r="X2643">
        <v>0.96960369999999996</v>
      </c>
      <c r="Y2643">
        <v>4.6599229999999998E-2</v>
      </c>
      <c r="Z2643">
        <v>1.187535E-2</v>
      </c>
      <c r="AA2643">
        <v>0.99884309999999998</v>
      </c>
      <c r="AB2643">
        <v>59</v>
      </c>
      <c r="AC2643">
        <v>-0.63030000000003295</v>
      </c>
      <c r="AD2643">
        <v>-0.33574969999999899</v>
      </c>
      <c r="AE2643">
        <v>4.3000000000006297E-2</v>
      </c>
      <c r="AF2643">
        <v>4.0138697671657397E-2</v>
      </c>
      <c r="AG2643">
        <v>-0.33574969999999899</v>
      </c>
      <c r="AH2643">
        <v>0.49099097112909201</v>
      </c>
      <c r="AI2643">
        <v>124.276264143761</v>
      </c>
      <c r="AJ2643">
        <v>85.326441180048505</v>
      </c>
      <c r="AK2643">
        <v>0.59616366027388501</v>
      </c>
      <c r="AL2643">
        <v>76.437931244607597</v>
      </c>
      <c r="AM2643">
        <v>94.120479082738697</v>
      </c>
      <c r="AN2643">
        <v>1.0000000041164001</v>
      </c>
    </row>
    <row r="2644" spans="1:40" x14ac:dyDescent="0.25">
      <c r="A2644" t="str">
        <f>"20190304164140455"</f>
        <v>20190304164140455</v>
      </c>
      <c r="B2644" t="str">
        <f>"1551688900443573"</f>
        <v>1551688900443573</v>
      </c>
      <c r="C2644" t="s">
        <v>40</v>
      </c>
      <c r="D2644">
        <v>4.4634769999999904</v>
      </c>
      <c r="E2644">
        <v>0.5659904</v>
      </c>
      <c r="F2644" t="s">
        <v>41</v>
      </c>
      <c r="G2644">
        <v>-412.63909999999998</v>
      </c>
      <c r="H2644">
        <v>0.88735280000000005</v>
      </c>
      <c r="I2644">
        <v>284.46469999999999</v>
      </c>
      <c r="J2644">
        <v>-412.3159</v>
      </c>
      <c r="K2644">
        <v>1.1088469999999999</v>
      </c>
      <c r="L2644">
        <v>284.43520000000001</v>
      </c>
      <c r="M2644">
        <v>-0.9997876</v>
      </c>
      <c r="N2644">
        <v>-1.5781299999999901E-2</v>
      </c>
      <c r="O2644">
        <v>-1.3248070000000001E-2</v>
      </c>
      <c r="P2644">
        <v>-0.9719738</v>
      </c>
      <c r="Q2644">
        <v>0.22001290000000001</v>
      </c>
      <c r="R2644">
        <v>-8.2830989999999993E-2</v>
      </c>
      <c r="S2644">
        <v>-3.3428650000000002</v>
      </c>
      <c r="T2644">
        <v>-1.0937220000000001</v>
      </c>
      <c r="U2644">
        <v>0.121337899999999</v>
      </c>
      <c r="V2644">
        <v>-6.9651229999999995E-2</v>
      </c>
      <c r="W2644">
        <v>0.2354279</v>
      </c>
      <c r="X2644">
        <v>0.96939280000000005</v>
      </c>
      <c r="Y2644">
        <v>4.6348599999999997E-2</v>
      </c>
      <c r="Z2644">
        <v>1.178207E-2</v>
      </c>
      <c r="AA2644">
        <v>0.99885579999999996</v>
      </c>
      <c r="AB2644">
        <v>59</v>
      </c>
      <c r="AC2644">
        <v>-0.323199999999985</v>
      </c>
      <c r="AD2644">
        <v>-0.221494199999999</v>
      </c>
      <c r="AE2644">
        <v>2.94999999999845E-2</v>
      </c>
      <c r="AF2644">
        <v>2.30455929692172E-2</v>
      </c>
      <c r="AG2644">
        <v>-0.221494199999999</v>
      </c>
      <c r="AH2644">
        <v>0.220211238667958</v>
      </c>
      <c r="AI2644">
        <v>135.01039545565399</v>
      </c>
      <c r="AJ2644">
        <v>84.025617317613694</v>
      </c>
      <c r="AK2644">
        <v>0.31318328439528698</v>
      </c>
      <c r="AL2644">
        <v>76.383152586462202</v>
      </c>
      <c r="AM2644">
        <v>94.109660579549498</v>
      </c>
      <c r="AN2644">
        <v>0.99999999531538097</v>
      </c>
    </row>
    <row r="2645" spans="1:40" x14ac:dyDescent="0.25">
      <c r="A2645" t="str">
        <f>"20190304164140475"</f>
        <v>20190304164140475</v>
      </c>
      <c r="B2645" t="str">
        <f>"1551688900464069"</f>
        <v>1551688900464069</v>
      </c>
      <c r="C2645" t="s">
        <v>40</v>
      </c>
      <c r="D2645">
        <v>4.473312</v>
      </c>
      <c r="E2645">
        <v>0.56606160000000005</v>
      </c>
      <c r="F2645" t="s">
        <v>41</v>
      </c>
      <c r="G2645">
        <v>-413.15379999999999</v>
      </c>
      <c r="H2645">
        <v>0.85100010000000004</v>
      </c>
      <c r="I2645">
        <v>284.47390000000001</v>
      </c>
      <c r="J2645">
        <v>-412.8614</v>
      </c>
      <c r="K2645">
        <v>1.108838</v>
      </c>
      <c r="L2645">
        <v>284.42809999999997</v>
      </c>
      <c r="M2645">
        <v>-0.99979200000000001</v>
      </c>
      <c r="N2645">
        <v>-1.577744E-2</v>
      </c>
      <c r="O2645">
        <v>-1.293619E-2</v>
      </c>
      <c r="P2645">
        <v>-0.97210439999999998</v>
      </c>
      <c r="Q2645">
        <v>0.21988050000000001</v>
      </c>
      <c r="R2645">
        <v>-8.1647689999999995E-2</v>
      </c>
      <c r="S2645">
        <v>-3.331512</v>
      </c>
      <c r="T2645">
        <v>-1.0252209999999999</v>
      </c>
      <c r="U2645">
        <v>0.1520996</v>
      </c>
      <c r="V2645">
        <v>-6.8764599999999995E-2</v>
      </c>
      <c r="W2645">
        <v>0.23529349999999999</v>
      </c>
      <c r="X2645">
        <v>0.96948869999999998</v>
      </c>
      <c r="Y2645">
        <v>5.5298319999999998E-2</v>
      </c>
      <c r="Z2645">
        <v>1.2448539999999999E-2</v>
      </c>
      <c r="AA2645">
        <v>0.99839230000000001</v>
      </c>
      <c r="AB2645">
        <v>59</v>
      </c>
      <c r="AC2645">
        <v>-0.292399999999986</v>
      </c>
      <c r="AD2645">
        <v>-0.25783789999999901</v>
      </c>
      <c r="AE2645">
        <v>4.5800000000042397E-2</v>
      </c>
      <c r="AF2645">
        <v>2.8186830752242799E-2</v>
      </c>
      <c r="AG2645">
        <v>-0.25783789999999901</v>
      </c>
      <c r="AH2645">
        <v>0.16588490444137999</v>
      </c>
      <c r="AI2645">
        <v>146.87191124568201</v>
      </c>
      <c r="AJ2645">
        <v>80.356521181870207</v>
      </c>
      <c r="AK2645">
        <v>0.30788420165021702</v>
      </c>
      <c r="AL2645">
        <v>76.391075369355093</v>
      </c>
      <c r="AM2645">
        <v>94.057122208770707</v>
      </c>
      <c r="AN2645">
        <v>0.99999997039154898</v>
      </c>
    </row>
    <row r="2646" spans="1:40" x14ac:dyDescent="0.25">
      <c r="A2646" t="str">
        <f>"20190304164140497"</f>
        <v>20190304164140497</v>
      </c>
      <c r="B2646" t="str">
        <f>"1551688900483589"</f>
        <v>1551688900483589</v>
      </c>
      <c r="C2646" t="s">
        <v>40</v>
      </c>
      <c r="D2646">
        <v>4.4685050000000004</v>
      </c>
      <c r="E2646">
        <v>0.56602189999999997</v>
      </c>
      <c r="F2646" t="s">
        <v>41</v>
      </c>
      <c r="G2646">
        <v>-413.68520000000001</v>
      </c>
      <c r="H2646">
        <v>0.85464259999999903</v>
      </c>
      <c r="I2646">
        <v>284.46710000000002</v>
      </c>
      <c r="J2646">
        <v>-413.44869999999997</v>
      </c>
      <c r="K2646">
        <v>1.10883</v>
      </c>
      <c r="L2646">
        <v>284.42059999999998</v>
      </c>
      <c r="M2646">
        <v>-0.99979629999999997</v>
      </c>
      <c r="N2646">
        <v>-1.5773309999999999E-2</v>
      </c>
      <c r="O2646">
        <v>-1.260061E-2</v>
      </c>
      <c r="P2646">
        <v>-0.97239940000000002</v>
      </c>
      <c r="Q2646">
        <v>0.21908079999999999</v>
      </c>
      <c r="R2646">
        <v>-8.0270789999999995E-2</v>
      </c>
      <c r="S2646">
        <v>-3.3317869999999998</v>
      </c>
      <c r="T2646">
        <v>-1.0280720000000001</v>
      </c>
      <c r="U2646">
        <v>0.1566467</v>
      </c>
      <c r="V2646">
        <v>-6.7708299999999999E-2</v>
      </c>
      <c r="W2646">
        <v>0.23449349999999999</v>
      </c>
      <c r="X2646">
        <v>0.96975690000000003</v>
      </c>
      <c r="Y2646">
        <v>5.6269050000000001E-2</v>
      </c>
      <c r="Z2646">
        <v>1.253783E-2</v>
      </c>
      <c r="AA2646">
        <v>0.99833689999999997</v>
      </c>
      <c r="AB2646">
        <v>59</v>
      </c>
      <c r="AC2646">
        <v>-0.23650000000003499</v>
      </c>
      <c r="AD2646">
        <v>-0.25418740000000001</v>
      </c>
      <c r="AE2646">
        <v>4.6500000000037199E-2</v>
      </c>
      <c r="AF2646">
        <v>2.3424540426912902E-2</v>
      </c>
      <c r="AG2646">
        <v>-0.25418740000000001</v>
      </c>
      <c r="AH2646">
        <v>0.111683572323967</v>
      </c>
      <c r="AI2646">
        <v>155.823010099821</v>
      </c>
      <c r="AJ2646">
        <v>78.154475578768299</v>
      </c>
      <c r="AK2646">
        <v>0.27862728462951097</v>
      </c>
      <c r="AL2646">
        <v>76.438232195792295</v>
      </c>
      <c r="AM2646">
        <v>93.993902407423107</v>
      </c>
      <c r="AN2646">
        <v>1.0000000302643699</v>
      </c>
    </row>
    <row r="2647" spans="1:40" x14ac:dyDescent="0.25">
      <c r="A2647" t="str">
        <f>"20190304164140510"</f>
        <v>20190304164140510</v>
      </c>
      <c r="B2647" t="str">
        <f>"1551688900504086"</f>
        <v>1551688900504086</v>
      </c>
      <c r="C2647" t="s">
        <v>40</v>
      </c>
      <c r="D2647">
        <v>4.4759390000000003</v>
      </c>
      <c r="E2647">
        <v>0.56575909999999996</v>
      </c>
      <c r="F2647" t="s">
        <v>41</v>
      </c>
      <c r="G2647">
        <v>-414.22089999999997</v>
      </c>
      <c r="H2647">
        <v>0.86981369999999902</v>
      </c>
      <c r="I2647">
        <v>284.45830000000001</v>
      </c>
      <c r="J2647">
        <v>-413.79410000000001</v>
      </c>
      <c r="K2647">
        <v>1.108827</v>
      </c>
      <c r="L2647">
        <v>284.41629999999998</v>
      </c>
      <c r="M2647">
        <v>-0.99979870000000004</v>
      </c>
      <c r="N2647">
        <v>-1.5770869999999999E-2</v>
      </c>
      <c r="O2647">
        <v>-1.240434E-2</v>
      </c>
      <c r="P2647">
        <v>-0.97245720000000002</v>
      </c>
      <c r="Q2647">
        <v>0.21904480000000001</v>
      </c>
      <c r="R2647">
        <v>-7.9664750000000006E-2</v>
      </c>
      <c r="S2647">
        <v>-3.3306580000000001</v>
      </c>
      <c r="T2647">
        <v>-1.0309379999999999</v>
      </c>
      <c r="U2647">
        <v>0.16073609999999999</v>
      </c>
      <c r="V2647">
        <v>-6.7290890000000006E-2</v>
      </c>
      <c r="W2647">
        <v>0.234456</v>
      </c>
      <c r="X2647">
        <v>0.96979499999999996</v>
      </c>
      <c r="Y2647">
        <v>5.7252160000000003E-2</v>
      </c>
      <c r="Z2647">
        <v>1.267449E-2</v>
      </c>
      <c r="AA2647">
        <v>0.99827929999999998</v>
      </c>
      <c r="AB2647">
        <v>59</v>
      </c>
      <c r="AC2647">
        <v>-0.42679999999995699</v>
      </c>
      <c r="AD2647">
        <v>-0.23901330000000001</v>
      </c>
      <c r="AE2647">
        <v>4.2000000000029999E-2</v>
      </c>
      <c r="AF2647">
        <v>3.6083763815235197E-2</v>
      </c>
      <c r="AG2647">
        <v>-0.23901330000000001</v>
      </c>
      <c r="AH2647">
        <v>0.325228250899326</v>
      </c>
      <c r="AI2647">
        <v>126.145419206756</v>
      </c>
      <c r="AJ2647">
        <v>83.668980886104293</v>
      </c>
      <c r="AK2647">
        <v>0.40521946001025</v>
      </c>
      <c r="AL2647">
        <v>76.440442135827297</v>
      </c>
      <c r="AM2647">
        <v>93.969204191526003</v>
      </c>
      <c r="AN2647">
        <v>1.0000000109189899</v>
      </c>
    </row>
    <row r="2648" spans="1:40" x14ac:dyDescent="0.25">
      <c r="A2648" t="str">
        <f>"20190304164140523"</f>
        <v>20190304164140523</v>
      </c>
      <c r="B2648" t="str">
        <f>"1551688900513845"</f>
        <v>1551688900513845</v>
      </c>
      <c r="C2648" t="s">
        <v>40</v>
      </c>
      <c r="D2648">
        <v>4.4575930000000001</v>
      </c>
      <c r="E2648">
        <v>0.56575909999999996</v>
      </c>
      <c r="F2648" t="s">
        <v>41</v>
      </c>
      <c r="G2648">
        <v>-414.72919999999999</v>
      </c>
      <c r="H2648">
        <v>0.81770039999999999</v>
      </c>
      <c r="I2648">
        <v>284.46129999999999</v>
      </c>
      <c r="J2648">
        <v>-414.13560000000001</v>
      </c>
      <c r="K2648">
        <v>1.1088260000000001</v>
      </c>
      <c r="L2648">
        <v>284.41210000000001</v>
      </c>
      <c r="M2648">
        <v>-0.99980119999999895</v>
      </c>
      <c r="N2648">
        <v>-1.5768480000000001E-2</v>
      </c>
      <c r="O2648">
        <v>-1.221058E-2</v>
      </c>
      <c r="P2648">
        <v>-0.97246189999999999</v>
      </c>
      <c r="Q2648">
        <v>0.21932860000000001</v>
      </c>
      <c r="R2648">
        <v>-7.8823039999999997E-2</v>
      </c>
      <c r="S2648">
        <v>-3.3316650000000001</v>
      </c>
      <c r="T2648">
        <v>-1.037172</v>
      </c>
      <c r="U2648">
        <v>0.15997310000000001</v>
      </c>
      <c r="V2648">
        <v>-6.6636529999999999E-2</v>
      </c>
      <c r="W2648">
        <v>0.23473640000000001</v>
      </c>
      <c r="X2648">
        <v>0.96977230000000003</v>
      </c>
      <c r="Y2648">
        <v>5.6809199999999997E-2</v>
      </c>
      <c r="Z2648">
        <v>1.2615879999999999E-2</v>
      </c>
      <c r="AA2648">
        <v>0.99830529999999995</v>
      </c>
      <c r="AB2648">
        <v>59</v>
      </c>
      <c r="AC2648">
        <v>-0.59359999999998003</v>
      </c>
      <c r="AD2648">
        <v>-0.29112559999999998</v>
      </c>
      <c r="AE2648">
        <v>4.9199999999984798E-2</v>
      </c>
      <c r="AF2648">
        <v>4.5561259325018602E-2</v>
      </c>
      <c r="AG2648">
        <v>-0.29112559999999998</v>
      </c>
      <c r="AH2648">
        <v>0.478617506866506</v>
      </c>
      <c r="AI2648">
        <v>121.19600343242401</v>
      </c>
      <c r="AJ2648">
        <v>84.562202066749705</v>
      </c>
      <c r="AK2648">
        <v>0.56205396645317895</v>
      </c>
      <c r="AL2648">
        <v>76.423914464958102</v>
      </c>
      <c r="AM2648">
        <v>93.930819576108505</v>
      </c>
      <c r="AN2648">
        <v>0.99999995923134399</v>
      </c>
    </row>
    <row r="2649" spans="1:40" x14ac:dyDescent="0.25">
      <c r="A2649" t="str">
        <f>"20190304164140552"</f>
        <v>20190304164140552</v>
      </c>
      <c r="B2649" t="str">
        <f>"1551688900543125"</f>
        <v>1551688900543125</v>
      </c>
      <c r="C2649" t="s">
        <v>40</v>
      </c>
      <c r="D2649">
        <v>4.4809970000000003</v>
      </c>
      <c r="E2649">
        <v>0.56240429999999997</v>
      </c>
      <c r="F2649" t="s">
        <v>41</v>
      </c>
      <c r="G2649">
        <v>-415.23750000000001</v>
      </c>
      <c r="H2649">
        <v>0.76603460000000001</v>
      </c>
      <c r="I2649">
        <v>284.46589999999998</v>
      </c>
      <c r="J2649">
        <v>-414.91919999999999</v>
      </c>
      <c r="K2649">
        <v>1.1088370000000001</v>
      </c>
      <c r="L2649">
        <v>284.40280000000001</v>
      </c>
      <c r="M2649">
        <v>-0.99980670000000005</v>
      </c>
      <c r="N2649">
        <v>-1.5763019999999999E-2</v>
      </c>
      <c r="O2649">
        <v>-1.17692E-2</v>
      </c>
      <c r="P2649">
        <v>-0.97203830000000002</v>
      </c>
      <c r="Q2649">
        <v>0.22137119999999999</v>
      </c>
      <c r="R2649">
        <v>-7.8337450000000003E-2</v>
      </c>
      <c r="S2649">
        <v>-3.3318180000000002</v>
      </c>
      <c r="T2649">
        <v>-1.036456</v>
      </c>
      <c r="U2649">
        <v>0.1617432</v>
      </c>
      <c r="V2649">
        <v>-6.6581029999999999E-2</v>
      </c>
      <c r="W2649">
        <v>0.23676659999999999</v>
      </c>
      <c r="X2649">
        <v>0.96928250000000005</v>
      </c>
      <c r="Y2649">
        <v>5.6913909999999998E-2</v>
      </c>
      <c r="Z2649">
        <v>1.2496439999999999E-2</v>
      </c>
      <c r="AA2649">
        <v>0.99830090000000005</v>
      </c>
      <c r="AB2649">
        <v>59</v>
      </c>
      <c r="AC2649">
        <v>-0.31830000000002101</v>
      </c>
      <c r="AD2649">
        <v>-0.34280240000000001</v>
      </c>
      <c r="AE2649">
        <v>6.3099999999963005E-2</v>
      </c>
      <c r="AF2649">
        <v>3.15885880335178E-2</v>
      </c>
      <c r="AG2649">
        <v>-0.34280240000000001</v>
      </c>
      <c r="AH2649">
        <v>0.150062158525512</v>
      </c>
      <c r="AI2649">
        <v>155.898892901952</v>
      </c>
      <c r="AJ2649">
        <v>78.112601614823802</v>
      </c>
      <c r="AK2649">
        <v>0.37553957948670003</v>
      </c>
      <c r="AL2649">
        <v>76.304219441689099</v>
      </c>
      <c r="AM2649">
        <v>93.929534404560201</v>
      </c>
      <c r="AN2649">
        <v>1.00000001061883</v>
      </c>
    </row>
    <row r="2650" spans="1:40" x14ac:dyDescent="0.25">
      <c r="A2650" t="str">
        <f>"20190304164140575"</f>
        <v>20190304164140575</v>
      </c>
      <c r="B2650" t="str">
        <f>"1551688900563622"</f>
        <v>1551688900563622</v>
      </c>
      <c r="C2650" t="s">
        <v>40</v>
      </c>
      <c r="D2650">
        <v>4.4789000000000003</v>
      </c>
      <c r="E2650">
        <v>0.56232850000000001</v>
      </c>
      <c r="F2650" t="s">
        <v>41</v>
      </c>
      <c r="G2650">
        <v>-415.78829999999999</v>
      </c>
      <c r="H2650">
        <v>0.82268639999999904</v>
      </c>
      <c r="I2650">
        <v>284.4366</v>
      </c>
      <c r="J2650">
        <v>-415.5025</v>
      </c>
      <c r="K2650">
        <v>1.108843</v>
      </c>
      <c r="L2650">
        <v>284.39600000000002</v>
      </c>
      <c r="M2650">
        <v>-0.99981050000000005</v>
      </c>
      <c r="N2650">
        <v>-1.5758910000000001E-2</v>
      </c>
      <c r="O2650">
        <v>-1.144147E-2</v>
      </c>
      <c r="P2650">
        <v>-0.9719276</v>
      </c>
      <c r="Q2650">
        <v>0.22182370000000001</v>
      </c>
      <c r="R2650">
        <v>-7.842847E-2</v>
      </c>
      <c r="S2650">
        <v>-3.347839</v>
      </c>
      <c r="T2650">
        <v>-1.1022339999999999</v>
      </c>
      <c r="U2650">
        <v>0.13012699999999999</v>
      </c>
      <c r="V2650">
        <v>-6.6991319999999993E-2</v>
      </c>
      <c r="W2650">
        <v>0.2372136</v>
      </c>
      <c r="X2650">
        <v>0.96914489999999998</v>
      </c>
      <c r="Y2650">
        <v>4.7114450000000002E-2</v>
      </c>
      <c r="Z2650">
        <v>1.1428280000000001E-2</v>
      </c>
      <c r="AA2650">
        <v>0.99882409999999999</v>
      </c>
      <c r="AB2650">
        <v>59</v>
      </c>
      <c r="AC2650">
        <v>-0.285799999999994</v>
      </c>
      <c r="AD2650">
        <v>-0.28615659999999998</v>
      </c>
      <c r="AE2650">
        <v>4.0600000000040298E-2</v>
      </c>
      <c r="AF2650">
        <v>2.2125616957661801E-2</v>
      </c>
      <c r="AG2650">
        <v>-0.28615659999999998</v>
      </c>
      <c r="AH2650">
        <v>0.14390554655262</v>
      </c>
      <c r="AI2650">
        <v>153.032999886299</v>
      </c>
      <c r="AJ2650">
        <v>81.259165511460395</v>
      </c>
      <c r="AK2650">
        <v>0.32106689174987402</v>
      </c>
      <c r="AL2650">
        <v>76.277856837927303</v>
      </c>
      <c r="AM2650">
        <v>93.954232243902098</v>
      </c>
      <c r="AN2650">
        <v>0.99999998308815596</v>
      </c>
    </row>
    <row r="2651" spans="1:40" x14ac:dyDescent="0.25">
      <c r="A2651" t="str">
        <f>"20190304164140597"</f>
        <v>20190304164140597</v>
      </c>
      <c r="B2651" t="str">
        <f>"1551688900584118"</f>
        <v>1551688900584118</v>
      </c>
      <c r="C2651" t="s">
        <v>40</v>
      </c>
      <c r="D2651">
        <v>4.4766029999999999</v>
      </c>
      <c r="E2651">
        <v>0.56235100000000005</v>
      </c>
      <c r="F2651" t="s">
        <v>41</v>
      </c>
      <c r="G2651">
        <v>-416.32310000000001</v>
      </c>
      <c r="H2651">
        <v>0.83949799999999997</v>
      </c>
      <c r="I2651">
        <v>284.42809999999997</v>
      </c>
      <c r="J2651">
        <v>-416.10059999999999</v>
      </c>
      <c r="K2651">
        <v>1.108843</v>
      </c>
      <c r="L2651">
        <v>284.38929999999999</v>
      </c>
      <c r="M2651">
        <v>-0.99981419999999999</v>
      </c>
      <c r="N2651">
        <v>-1.5754649999999999E-2</v>
      </c>
      <c r="O2651">
        <v>-1.110623E-2</v>
      </c>
      <c r="P2651">
        <v>-0.97195330000000002</v>
      </c>
      <c r="Q2651">
        <v>0.22172410000000001</v>
      </c>
      <c r="R2651">
        <v>-7.8392390000000006E-2</v>
      </c>
      <c r="S2651">
        <v>-3.3479309999999902</v>
      </c>
      <c r="T2651">
        <v>-1.098973</v>
      </c>
      <c r="U2651">
        <v>0.1293945</v>
      </c>
      <c r="V2651">
        <v>-6.7280519999999996E-2</v>
      </c>
      <c r="W2651">
        <v>0.23711070000000001</v>
      </c>
      <c r="X2651">
        <v>0.96915010000000001</v>
      </c>
      <c r="Y2651">
        <v>4.6621580000000003E-2</v>
      </c>
      <c r="Z2651">
        <v>1.1211509999999999E-2</v>
      </c>
      <c r="AA2651">
        <v>0.99884969999999995</v>
      </c>
      <c r="AB2651">
        <v>59</v>
      </c>
      <c r="AC2651">
        <v>-0.22250000000002401</v>
      </c>
      <c r="AD2651">
        <v>-0.269345</v>
      </c>
      <c r="AE2651">
        <v>3.87999999999806E-2</v>
      </c>
      <c r="AF2651">
        <v>1.7038126303854598E-2</v>
      </c>
      <c r="AG2651">
        <v>-0.269345</v>
      </c>
      <c r="AH2651">
        <v>9.1676602345977506E-2</v>
      </c>
      <c r="AI2651">
        <v>160.90429977693901</v>
      </c>
      <c r="AJ2651">
        <v>79.471681282786406</v>
      </c>
      <c r="AK2651">
        <v>0.28502916726301603</v>
      </c>
      <c r="AL2651">
        <v>76.283926435677699</v>
      </c>
      <c r="AM2651">
        <v>93.971226832613198</v>
      </c>
      <c r="AN2651">
        <v>1.00000003437798</v>
      </c>
    </row>
    <row r="2652" spans="1:40" x14ac:dyDescent="0.25">
      <c r="A2652" t="str">
        <f>"20190304164140620"</f>
        <v>20190304164140620</v>
      </c>
      <c r="B2652" t="str">
        <f>"1551688900613397"</f>
        <v>1551688900613397</v>
      </c>
      <c r="C2652" t="s">
        <v>40</v>
      </c>
      <c r="D2652">
        <v>4.3892949999999997</v>
      </c>
      <c r="E2652">
        <v>0.55830190000000002</v>
      </c>
      <c r="F2652" t="s">
        <v>41</v>
      </c>
      <c r="G2652">
        <v>-416.85899999999998</v>
      </c>
      <c r="H2652">
        <v>0.85981509999999906</v>
      </c>
      <c r="I2652">
        <v>284.4187</v>
      </c>
      <c r="J2652">
        <v>-416.68830000000003</v>
      </c>
      <c r="K2652">
        <v>1.108849</v>
      </c>
      <c r="L2652">
        <v>284.38299999999998</v>
      </c>
      <c r="M2652">
        <v>-0.99981799999999998</v>
      </c>
      <c r="N2652">
        <v>-1.5750480000000001E-2</v>
      </c>
      <c r="O2652">
        <v>-1.0777790000000001E-2</v>
      </c>
      <c r="P2652">
        <v>-0.97202639999999996</v>
      </c>
      <c r="Q2652">
        <v>0.22139809999999999</v>
      </c>
      <c r="R2652">
        <v>-7.8408110000000003E-2</v>
      </c>
      <c r="S2652">
        <v>-3.3478089999999998</v>
      </c>
      <c r="T2652">
        <v>-1.099099</v>
      </c>
      <c r="U2652">
        <v>0.1295471</v>
      </c>
      <c r="V2652">
        <v>-6.7615579999999995E-2</v>
      </c>
      <c r="W2652">
        <v>0.23678179999999999</v>
      </c>
      <c r="X2652">
        <v>0.96920720000000005</v>
      </c>
      <c r="Y2652">
        <v>4.6368989999999999E-2</v>
      </c>
      <c r="Z2652">
        <v>1.10706E-2</v>
      </c>
      <c r="AA2652">
        <v>0.99886299999999995</v>
      </c>
      <c r="AB2652">
        <v>59</v>
      </c>
      <c r="AC2652">
        <v>-0.17070000000001001</v>
      </c>
      <c r="AD2652">
        <v>-0.2490339</v>
      </c>
      <c r="AE2652">
        <v>3.5700000000019799E-2</v>
      </c>
      <c r="AF2652">
        <v>1.2351286692469101E-2</v>
      </c>
      <c r="AG2652">
        <v>-0.2490339</v>
      </c>
      <c r="AH2652">
        <v>5.6036377097521899E-2</v>
      </c>
      <c r="AI2652">
        <v>167.02458986472001</v>
      </c>
      <c r="AJ2652">
        <v>77.569875492329302</v>
      </c>
      <c r="AK2652">
        <v>0.25555921660230702</v>
      </c>
      <c r="AL2652">
        <v>76.303323495094304</v>
      </c>
      <c r="AM2652">
        <v>93.990705607121996</v>
      </c>
      <c r="AN2652">
        <v>1.0000000420009001</v>
      </c>
    </row>
    <row r="2653" spans="1:40" x14ac:dyDescent="0.25">
      <c r="A2653" t="str">
        <f>"20190304164140642"</f>
        <v>20190304164140642</v>
      </c>
      <c r="B2653" t="str">
        <f>"1551688900633893"</f>
        <v>1551688900633893</v>
      </c>
      <c r="C2653" t="s">
        <v>40</v>
      </c>
      <c r="D2653">
        <v>4.4151999999999996</v>
      </c>
      <c r="E2653">
        <v>0.53147679999999997</v>
      </c>
      <c r="F2653" t="s">
        <v>41</v>
      </c>
      <c r="G2653">
        <v>-417.40559999999999</v>
      </c>
      <c r="H2653">
        <v>0.90387360000000005</v>
      </c>
      <c r="I2653">
        <v>284.4067</v>
      </c>
      <c r="J2653">
        <v>-417.26900000000001</v>
      </c>
      <c r="K2653">
        <v>1.1088469999999999</v>
      </c>
      <c r="L2653">
        <v>284.3768</v>
      </c>
      <c r="M2653">
        <v>-0.99982139999999997</v>
      </c>
      <c r="N2653">
        <v>-1.5746369999999999E-2</v>
      </c>
      <c r="O2653">
        <v>-1.045305E-2</v>
      </c>
      <c r="P2653">
        <v>-0.97187820000000003</v>
      </c>
      <c r="Q2653">
        <v>0.22201589999999999</v>
      </c>
      <c r="R2653">
        <v>-7.8495519999999999E-2</v>
      </c>
      <c r="S2653">
        <v>-3.3105470000000001</v>
      </c>
      <c r="T2653">
        <v>-0.94594480000000003</v>
      </c>
      <c r="U2653">
        <v>0.1079407</v>
      </c>
      <c r="V2653">
        <v>-6.8019670000000004E-2</v>
      </c>
      <c r="W2653">
        <v>0.23739379999999999</v>
      </c>
      <c r="X2653">
        <v>0.96902920000000003</v>
      </c>
      <c r="Y2653">
        <v>4.0931120000000001E-2</v>
      </c>
      <c r="Z2653">
        <v>8.8267060000000001E-3</v>
      </c>
      <c r="AA2653">
        <v>0.99912299999999998</v>
      </c>
      <c r="AB2653">
        <v>59</v>
      </c>
      <c r="AC2653">
        <v>-0.13659999999998701</v>
      </c>
      <c r="AD2653">
        <v>-0.2049734</v>
      </c>
      <c r="AE2653">
        <v>2.98999999999978E-2</v>
      </c>
      <c r="AF2653">
        <v>9.9491110849027602E-3</v>
      </c>
      <c r="AG2653">
        <v>-0.2049734</v>
      </c>
      <c r="AH2653">
        <v>4.3281803149112903E-2</v>
      </c>
      <c r="AI2653">
        <v>167.77496461641999</v>
      </c>
      <c r="AJ2653">
        <v>77.054406734278501</v>
      </c>
      <c r="AK2653">
        <v>0.20972933510307501</v>
      </c>
      <c r="AL2653">
        <v>76.267229359098806</v>
      </c>
      <c r="AM2653">
        <v>94.015212457879599</v>
      </c>
      <c r="AN2653">
        <v>1.00000004111899</v>
      </c>
    </row>
    <row r="2654" spans="1:40" x14ac:dyDescent="0.25">
      <c r="A2654" t="str">
        <f>"20190304164140665"</f>
        <v>20190304164140665</v>
      </c>
      <c r="B2654" t="str">
        <f>"1551688900653413"</f>
        <v>1551688900653413</v>
      </c>
      <c r="C2654" t="s">
        <v>40</v>
      </c>
      <c r="D2654">
        <v>4.423394</v>
      </c>
      <c r="E2654">
        <v>0.52815889999999999</v>
      </c>
      <c r="F2654" t="s">
        <v>41</v>
      </c>
      <c r="G2654">
        <v>-418.49919999999997</v>
      </c>
      <c r="H2654">
        <v>0.98687389999999997</v>
      </c>
      <c r="I2654">
        <v>284.35419999999999</v>
      </c>
      <c r="J2654">
        <v>-417.87400000000002</v>
      </c>
      <c r="K2654">
        <v>1.1088530000000001</v>
      </c>
      <c r="L2654">
        <v>284.37060000000002</v>
      </c>
      <c r="M2654">
        <v>-0.99982490000000002</v>
      </c>
      <c r="N2654">
        <v>-1.5742059999999999E-2</v>
      </c>
      <c r="O2654">
        <v>-1.011461E-2</v>
      </c>
      <c r="P2654">
        <v>-0.97173849999999995</v>
      </c>
      <c r="Q2654">
        <v>0.22255059999999999</v>
      </c>
      <c r="R2654">
        <v>-7.8711149999999994E-2</v>
      </c>
      <c r="S2654">
        <v>-3.1535030000000002</v>
      </c>
      <c r="T2654">
        <v>-0.31275259999999999</v>
      </c>
      <c r="U2654">
        <v>-5.8563230000000001E-2</v>
      </c>
      <c r="V2654">
        <v>-6.8565009999999996E-2</v>
      </c>
      <c r="W2654">
        <v>0.2379222</v>
      </c>
      <c r="X2654">
        <v>0.96886110000000003</v>
      </c>
      <c r="Y2654">
        <v>-8.4396809999999992E-3</v>
      </c>
      <c r="Z2654">
        <v>3.57578E-4</v>
      </c>
      <c r="AA2654">
        <v>0.99996430000000003</v>
      </c>
      <c r="AB2654">
        <v>59</v>
      </c>
      <c r="AC2654">
        <v>-0.62519999999994902</v>
      </c>
      <c r="AD2654">
        <v>-0.12197909999999999</v>
      </c>
      <c r="AE2654">
        <v>-1.6400000000032802E-2</v>
      </c>
      <c r="AF2654">
        <v>-9.7055298722043999E-3</v>
      </c>
      <c r="AG2654">
        <v>-0.12197909999999999</v>
      </c>
      <c r="AH2654">
        <v>0.60241825446372899</v>
      </c>
      <c r="AI2654">
        <v>101.445182057222</v>
      </c>
      <c r="AJ2654">
        <v>90.923009536875199</v>
      </c>
      <c r="AK2654">
        <v>0.61472014076166104</v>
      </c>
      <c r="AL2654">
        <v>76.236060446753598</v>
      </c>
      <c r="AM2654">
        <v>94.047997295131196</v>
      </c>
      <c r="AN2654">
        <v>0.99999998247117405</v>
      </c>
    </row>
    <row r="2655" spans="1:40" x14ac:dyDescent="0.25">
      <c r="A2655" t="str">
        <f>"20190304164140688"</f>
        <v>20190304164140688</v>
      </c>
      <c r="B2655" t="str">
        <f>"1551688900673909"</f>
        <v>1551688900673909</v>
      </c>
      <c r="C2655" t="s">
        <v>40</v>
      </c>
      <c r="D2655">
        <v>4.4025679999999996</v>
      </c>
      <c r="E2655">
        <v>0.52727069999999998</v>
      </c>
      <c r="F2655" t="s">
        <v>41</v>
      </c>
      <c r="G2655">
        <v>-419.04149999999998</v>
      </c>
      <c r="H2655">
        <v>1.0190729999999999</v>
      </c>
      <c r="I2655">
        <v>284.34059999999999</v>
      </c>
      <c r="J2655">
        <v>-418.46969999999999</v>
      </c>
      <c r="K2655">
        <v>1.108854</v>
      </c>
      <c r="L2655">
        <v>284.3648</v>
      </c>
      <c r="M2655">
        <v>-0.9998283</v>
      </c>
      <c r="N2655">
        <v>-1.573778E-2</v>
      </c>
      <c r="O2655">
        <v>-9.7816529999999995E-3</v>
      </c>
      <c r="P2655">
        <v>-0.97166730000000001</v>
      </c>
      <c r="Q2655">
        <v>0.22284950000000001</v>
      </c>
      <c r="R2655">
        <v>-7.8745960000000004E-2</v>
      </c>
      <c r="S2655">
        <v>-3.1359560000000002</v>
      </c>
      <c r="T2655">
        <v>-0.2411557</v>
      </c>
      <c r="U2655">
        <v>-8.0963129999999994E-2</v>
      </c>
      <c r="V2655">
        <v>-6.8923949999999998E-2</v>
      </c>
      <c r="W2655">
        <v>0.23821590000000001</v>
      </c>
      <c r="X2655">
        <v>0.9687635</v>
      </c>
      <c r="Y2655">
        <v>-1.5989639999999999E-2</v>
      </c>
      <c r="Z2655">
        <v>-1.426744E-4</v>
      </c>
      <c r="AA2655">
        <v>0.99987210000000004</v>
      </c>
      <c r="AB2655">
        <v>59</v>
      </c>
      <c r="AC2655">
        <v>-0.57179999999999598</v>
      </c>
      <c r="AD2655">
        <v>-8.9781000000000097E-2</v>
      </c>
      <c r="AE2655">
        <v>-2.42000000000075E-2</v>
      </c>
      <c r="AF2655">
        <v>-1.81581366947422E-2</v>
      </c>
      <c r="AG2655">
        <v>-8.9781000000000097E-2</v>
      </c>
      <c r="AH2655">
        <v>0.55827060414305896</v>
      </c>
      <c r="AI2655">
        <v>99.131325583862903</v>
      </c>
      <c r="AJ2655">
        <v>91.862928013781499</v>
      </c>
      <c r="AK2655">
        <v>0.56573528557045205</v>
      </c>
      <c r="AL2655">
        <v>76.218735086368397</v>
      </c>
      <c r="AM2655">
        <v>94.069526263161407</v>
      </c>
      <c r="AN2655">
        <v>1.0000000224143299</v>
      </c>
    </row>
    <row r="2656" spans="1:40" x14ac:dyDescent="0.25">
      <c r="A2656" t="str">
        <f>"20190304164140709"</f>
        <v>20190304164140709</v>
      </c>
      <c r="B2656" t="str">
        <f>"1551688900703189"</f>
        <v>1551688900703189</v>
      </c>
      <c r="C2656" t="s">
        <v>40</v>
      </c>
      <c r="D2656">
        <v>4.3942990000000002</v>
      </c>
      <c r="E2656">
        <v>0.52711660000000005</v>
      </c>
      <c r="F2656" t="s">
        <v>47</v>
      </c>
      <c r="G2656">
        <v>-435.18</v>
      </c>
      <c r="H2656" s="1">
        <v>4.5762910000000001E-6</v>
      </c>
      <c r="I2656">
        <v>283.9051</v>
      </c>
      <c r="J2656">
        <v>-419.0403</v>
      </c>
      <c r="K2656">
        <v>1.1088610000000001</v>
      </c>
      <c r="L2656">
        <v>284.35930000000002</v>
      </c>
      <c r="M2656">
        <v>-0.99983160000000004</v>
      </c>
      <c r="N2656">
        <v>-1.5733589999999999E-2</v>
      </c>
      <c r="O2656">
        <v>-9.4622890000000005E-3</v>
      </c>
      <c r="P2656">
        <v>-0.97150119999999895</v>
      </c>
      <c r="Q2656">
        <v>0.223741</v>
      </c>
      <c r="R2656">
        <v>-7.8265009999999996E-2</v>
      </c>
      <c r="S2656">
        <v>-3.1281129999999999</v>
      </c>
      <c r="T2656">
        <v>-0.20757310000000001</v>
      </c>
      <c r="U2656">
        <v>-8.6059570000000002E-2</v>
      </c>
      <c r="V2656">
        <v>-6.875473E-2</v>
      </c>
      <c r="W2656">
        <v>0.2390998</v>
      </c>
      <c r="X2656">
        <v>0.96855769999999997</v>
      </c>
      <c r="Y2656">
        <v>-1.8003269999999998E-2</v>
      </c>
      <c r="Z2656">
        <v>-2.6009390000000001E-4</v>
      </c>
      <c r="AA2656">
        <v>0.99983789999999995</v>
      </c>
      <c r="AB2656">
        <v>59</v>
      </c>
      <c r="AC2656">
        <v>-16.139700000000001</v>
      </c>
      <c r="AD2656">
        <v>-1.1088564237089999</v>
      </c>
      <c r="AE2656">
        <v>-0.45420000000001398</v>
      </c>
      <c r="AF2656">
        <v>-0.30002720752849099</v>
      </c>
      <c r="AG2656">
        <v>-1.1088564237089999</v>
      </c>
      <c r="AH2656">
        <v>16.067493925350099</v>
      </c>
      <c r="AI2656">
        <v>93.947174153418899</v>
      </c>
      <c r="AJ2656">
        <v>91.069755822980795</v>
      </c>
      <c r="AK2656">
        <v>16.108505204854399</v>
      </c>
      <c r="AL2656">
        <v>76.166583683808298</v>
      </c>
      <c r="AM2656">
        <v>94.060428027003596</v>
      </c>
      <c r="AN2656">
        <v>0.99999997274335095</v>
      </c>
    </row>
    <row r="2657" spans="1:40" x14ac:dyDescent="0.25">
      <c r="A2657" t="str">
        <f>"20190304164140731"</f>
        <v>20190304164140731</v>
      </c>
      <c r="B2657" t="str">
        <f>"1551688900723685"</f>
        <v>1551688900723685</v>
      </c>
      <c r="C2657" t="s">
        <v>40</v>
      </c>
      <c r="D2657">
        <v>4.3911660000000001</v>
      </c>
      <c r="E2657">
        <v>0.527119</v>
      </c>
      <c r="F2657" t="s">
        <v>47</v>
      </c>
      <c r="G2657">
        <v>-437.35879999999997</v>
      </c>
      <c r="H2657" s="1">
        <v>5.54636899999999E-6</v>
      </c>
      <c r="I2657">
        <v>283.86090000000002</v>
      </c>
      <c r="J2657">
        <v>-419.61799999999999</v>
      </c>
      <c r="K2657">
        <v>1.1088709999999999</v>
      </c>
      <c r="L2657">
        <v>284.35399999999998</v>
      </c>
      <c r="M2657">
        <v>-0.99983460000000002</v>
      </c>
      <c r="N2657">
        <v>-1.572935E-2</v>
      </c>
      <c r="O2657">
        <v>-9.1386330000000002E-3</v>
      </c>
      <c r="P2657">
        <v>-0.9711497</v>
      </c>
      <c r="Q2657">
        <v>0.22534399999999999</v>
      </c>
      <c r="R2657">
        <v>-7.8027810000000003E-2</v>
      </c>
      <c r="S2657">
        <v>-3.1247250000000002</v>
      </c>
      <c r="T2657">
        <v>-0.18914590000000001</v>
      </c>
      <c r="U2657">
        <v>-8.5021970000000002E-2</v>
      </c>
      <c r="V2657">
        <v>-6.8833500000000006E-2</v>
      </c>
      <c r="W2657">
        <v>0.24069270000000001</v>
      </c>
      <c r="X2657">
        <v>0.9681575</v>
      </c>
      <c r="Y2657">
        <v>-1.8029429999999999E-2</v>
      </c>
      <c r="Z2657">
        <v>-2.7815990000000003E-4</v>
      </c>
      <c r="AA2657">
        <v>0.99983739999999999</v>
      </c>
      <c r="AB2657">
        <v>59</v>
      </c>
      <c r="AC2657">
        <v>-17.740799999999901</v>
      </c>
      <c r="AD2657">
        <v>-1.1088654536310001</v>
      </c>
      <c r="AE2657">
        <v>-0.49310000000002602</v>
      </c>
      <c r="AF2657">
        <v>-0.32964585931673202</v>
      </c>
      <c r="AG2657">
        <v>-1.1088654536310001</v>
      </c>
      <c r="AH2657">
        <v>17.675565785318</v>
      </c>
      <c r="AI2657">
        <v>93.589087759320094</v>
      </c>
      <c r="AJ2657">
        <v>91.068431267976194</v>
      </c>
      <c r="AK2657">
        <v>17.713381236170701</v>
      </c>
      <c r="AL2657">
        <v>76.072572124765401</v>
      </c>
      <c r="AM2657">
        <v>94.066739045977499</v>
      </c>
      <c r="AN2657">
        <v>0.99999998568089499</v>
      </c>
    </row>
    <row r="2658" spans="1:40" x14ac:dyDescent="0.25">
      <c r="A2658" t="str">
        <f>"20190304164140753"</f>
        <v>20190304164140753</v>
      </c>
      <c r="B2658" t="str">
        <f>"1551688900743205"</f>
        <v>1551688900743205</v>
      </c>
      <c r="C2658" t="s">
        <v>40</v>
      </c>
      <c r="D2658">
        <v>4.3763990000000002</v>
      </c>
      <c r="E2658">
        <v>0.52725379999999999</v>
      </c>
      <c r="F2658" t="s">
        <v>47</v>
      </c>
      <c r="G2658">
        <v>-438.88040000000001</v>
      </c>
      <c r="H2658" s="1">
        <v>6.2232400000000002E-6</v>
      </c>
      <c r="I2658">
        <v>283.8365</v>
      </c>
      <c r="J2658">
        <v>-420.2081</v>
      </c>
      <c r="K2658">
        <v>1.1088830000000001</v>
      </c>
      <c r="L2658">
        <v>284.34879999999998</v>
      </c>
      <c r="M2658">
        <v>-0.99983759999999999</v>
      </c>
      <c r="N2658">
        <v>-1.572519E-2</v>
      </c>
      <c r="O2658">
        <v>-8.8086710000000006E-3</v>
      </c>
      <c r="P2658">
        <v>-0.9709605</v>
      </c>
      <c r="Q2658">
        <v>0.2263019</v>
      </c>
      <c r="R2658">
        <v>-7.7611070000000004E-2</v>
      </c>
      <c r="S2658">
        <v>-3.1241150000000002</v>
      </c>
      <c r="T2658">
        <v>-0.179843899999999</v>
      </c>
      <c r="U2658">
        <v>-8.3923339999999999E-2</v>
      </c>
      <c r="V2658">
        <v>-6.8738300000000002E-2</v>
      </c>
      <c r="W2658">
        <v>0.24164279999999999</v>
      </c>
      <c r="X2658">
        <v>0.9679276</v>
      </c>
      <c r="Y2658">
        <v>-1.80155E-2</v>
      </c>
      <c r="Z2658">
        <v>-2.917245E-4</v>
      </c>
      <c r="AA2658">
        <v>0.99983759999999999</v>
      </c>
      <c r="AB2658">
        <v>59</v>
      </c>
      <c r="AC2658">
        <v>-18.6723</v>
      </c>
      <c r="AD2658">
        <v>-1.1088767767600001</v>
      </c>
      <c r="AE2658">
        <v>-0.51229999999998199</v>
      </c>
      <c r="AF2658">
        <v>-0.34656033828810301</v>
      </c>
      <c r="AG2658">
        <v>-1.1088767767600001</v>
      </c>
      <c r="AH2658">
        <v>18.6105039680597</v>
      </c>
      <c r="AI2658">
        <v>93.409255305307894</v>
      </c>
      <c r="AJ2658">
        <v>91.066824951970702</v>
      </c>
      <c r="AK2658">
        <v>18.646730805137899</v>
      </c>
      <c r="AL2658">
        <v>76.016480205193901</v>
      </c>
      <c r="AM2658">
        <v>94.062094747729105</v>
      </c>
      <c r="AN2658">
        <v>1.0000000177602399</v>
      </c>
    </row>
    <row r="2659" spans="1:40" x14ac:dyDescent="0.25">
      <c r="A2659" t="str">
        <f>"20190304164140776"</f>
        <v>20190304164140776</v>
      </c>
      <c r="B2659" t="str">
        <f>"1551688900763702"</f>
        <v>1551688900763702</v>
      </c>
      <c r="C2659" t="s">
        <v>40</v>
      </c>
      <c r="D2659">
        <v>4.4145320000000003</v>
      </c>
      <c r="E2659">
        <v>0.52755439999999998</v>
      </c>
      <c r="F2659" t="s">
        <v>46</v>
      </c>
      <c r="G2659">
        <v>-439.9676</v>
      </c>
      <c r="H2659" s="1">
        <v>-1.519674E-6</v>
      </c>
      <c r="I2659">
        <v>283.8297</v>
      </c>
      <c r="J2659">
        <v>-420.7921</v>
      </c>
      <c r="K2659">
        <v>1.1088910000000001</v>
      </c>
      <c r="L2659">
        <v>284.34379999999999</v>
      </c>
      <c r="M2659">
        <v>-0.99984039999999996</v>
      </c>
      <c r="N2659">
        <v>-1.572117E-2</v>
      </c>
      <c r="O2659">
        <v>-8.4866059999999903E-3</v>
      </c>
      <c r="P2659">
        <v>-0.97078719999999996</v>
      </c>
      <c r="Q2659">
        <v>0.22741939999999999</v>
      </c>
      <c r="R2659">
        <v>-7.6503280000000007E-2</v>
      </c>
      <c r="S2659">
        <v>-3.1240230000000002</v>
      </c>
      <c r="T2659">
        <v>-0.1753179</v>
      </c>
      <c r="U2659">
        <v>-8.2061770000000006E-2</v>
      </c>
      <c r="V2659">
        <v>-6.7945350000000002E-2</v>
      </c>
      <c r="W2659">
        <v>0.2427513</v>
      </c>
      <c r="X2659">
        <v>0.96770619999999996</v>
      </c>
      <c r="Y2659">
        <v>-1.774442E-2</v>
      </c>
      <c r="Z2659">
        <v>-2.9462530000000001E-4</v>
      </c>
      <c r="AA2659">
        <v>0.99984249999999997</v>
      </c>
      <c r="AB2659">
        <v>59</v>
      </c>
      <c r="AC2659">
        <v>-19.1755</v>
      </c>
      <c r="AD2659">
        <v>-1.108892519674</v>
      </c>
      <c r="AE2659">
        <v>-0.51409999999998401</v>
      </c>
      <c r="AF2659">
        <v>-0.35015632095014998</v>
      </c>
      <c r="AG2659">
        <v>-1.108892519674</v>
      </c>
      <c r="AH2659">
        <v>19.115294325032401</v>
      </c>
      <c r="AI2659">
        <v>93.319494451382099</v>
      </c>
      <c r="AJ2659">
        <v>91.049433791505095</v>
      </c>
      <c r="AK2659">
        <v>19.1506326057889</v>
      </c>
      <c r="AL2659">
        <v>75.951018985971899</v>
      </c>
      <c r="AM2659">
        <v>94.016305150517397</v>
      </c>
      <c r="AN2659">
        <v>1.00000002687837</v>
      </c>
    </row>
    <row r="2660" spans="1:40" x14ac:dyDescent="0.25">
      <c r="A2660" t="str">
        <f>"20190304164140798"</f>
        <v>20190304164140798</v>
      </c>
      <c r="B2660" t="str">
        <f>"1551688900793957"</f>
        <v>1551688900793957</v>
      </c>
      <c r="C2660" t="s">
        <v>40</v>
      </c>
      <c r="D2660">
        <v>4.4194870000000002</v>
      </c>
      <c r="E2660">
        <v>0.52760839999999998</v>
      </c>
      <c r="F2660" t="s">
        <v>46</v>
      </c>
      <c r="G2660">
        <v>-440.85219999999998</v>
      </c>
      <c r="H2660" s="1">
        <v>-1.0497690000000001E-6</v>
      </c>
      <c r="I2660">
        <v>283.84910000000002</v>
      </c>
      <c r="J2660">
        <v>-421.3877</v>
      </c>
      <c r="K2660">
        <v>1.108892</v>
      </c>
      <c r="L2660">
        <v>284.33879999999999</v>
      </c>
      <c r="M2660">
        <v>-0.99984320000000004</v>
      </c>
      <c r="N2660">
        <v>-1.5717099999999901E-2</v>
      </c>
      <c r="O2660">
        <v>-8.1684300000000008E-3</v>
      </c>
      <c r="P2660">
        <v>-0.97091170000000004</v>
      </c>
      <c r="Q2660">
        <v>0.22727820000000001</v>
      </c>
      <c r="R2660">
        <v>-7.5335970000000002E-2</v>
      </c>
      <c r="S2660">
        <v>-3.1246640000000001</v>
      </c>
      <c r="T2660">
        <v>-0.17272660000000001</v>
      </c>
      <c r="U2660">
        <v>-7.7056879999999994E-2</v>
      </c>
      <c r="V2660">
        <v>-6.7090499999999997E-2</v>
      </c>
      <c r="W2660">
        <v>0.2426055</v>
      </c>
      <c r="X2660">
        <v>0.9678023</v>
      </c>
      <c r="Y2660">
        <v>-1.6459689999999999E-2</v>
      </c>
      <c r="Z2660">
        <v>-2.6121739999999998E-4</v>
      </c>
      <c r="AA2660">
        <v>0.99986450000000004</v>
      </c>
      <c r="AB2660">
        <v>59</v>
      </c>
      <c r="AC2660">
        <v>-19.464499999999902</v>
      </c>
      <c r="AD2660">
        <v>-1.1088930497689999</v>
      </c>
      <c r="AE2660">
        <v>-0.48969999999996999</v>
      </c>
      <c r="AF2660">
        <v>-0.32960055555165202</v>
      </c>
      <c r="AG2660">
        <v>-1.1088930497689999</v>
      </c>
      <c r="AH2660">
        <v>19.404910611687399</v>
      </c>
      <c r="AI2660">
        <v>93.2701379643308</v>
      </c>
      <c r="AJ2660">
        <v>90.973099301591205</v>
      </c>
      <c r="AK2660">
        <v>19.4393630597719</v>
      </c>
      <c r="AL2660">
        <v>75.959628706066098</v>
      </c>
      <c r="AM2660">
        <v>93.965543989420993</v>
      </c>
      <c r="AN2660">
        <v>0.99999992785289205</v>
      </c>
    </row>
    <row r="2661" spans="1:40" x14ac:dyDescent="0.25">
      <c r="A2661" t="str">
        <f>"20190304164140821"</f>
        <v>20190304164140821</v>
      </c>
      <c r="B2661" t="str">
        <f>"1551688900813477"</f>
        <v>1551688900813477</v>
      </c>
      <c r="C2661" t="s">
        <v>40</v>
      </c>
      <c r="D2661">
        <v>4.4280140000000001</v>
      </c>
      <c r="E2661">
        <v>0.52766780000000002</v>
      </c>
      <c r="F2661" t="s">
        <v>46</v>
      </c>
      <c r="G2661">
        <v>-441.40699999999998</v>
      </c>
      <c r="H2661" s="1">
        <v>-7.5570700000000001E-7</v>
      </c>
      <c r="I2661">
        <v>283.87619999999998</v>
      </c>
      <c r="J2661">
        <v>-421.97379999999998</v>
      </c>
      <c r="K2661">
        <v>1.108908</v>
      </c>
      <c r="L2661">
        <v>284.33420000000001</v>
      </c>
      <c r="M2661">
        <v>-0.9998456</v>
      </c>
      <c r="N2661">
        <v>-1.5713080000000001E-2</v>
      </c>
      <c r="O2661">
        <v>-7.8773230000000003E-3</v>
      </c>
      <c r="P2661">
        <v>-0.97124200000000005</v>
      </c>
      <c r="Q2661">
        <v>0.22617670000000001</v>
      </c>
      <c r="R2661">
        <v>-7.4387129999999996E-2</v>
      </c>
      <c r="S2661">
        <v>-3.1247560000000001</v>
      </c>
      <c r="T2661">
        <v>-0.17308389999999901</v>
      </c>
      <c r="U2661">
        <v>-7.2204589999999999E-2</v>
      </c>
      <c r="V2661">
        <v>-6.6431409999999996E-2</v>
      </c>
      <c r="W2661">
        <v>0.24150160000000001</v>
      </c>
      <c r="X2661">
        <v>0.96812390000000004</v>
      </c>
      <c r="Y2661">
        <v>-1.5200480000000001E-2</v>
      </c>
      <c r="Z2661">
        <v>-2.279471E-4</v>
      </c>
      <c r="AA2661">
        <v>0.99988440000000001</v>
      </c>
      <c r="AB2661">
        <v>59</v>
      </c>
      <c r="AC2661">
        <v>-19.433199999999999</v>
      </c>
      <c r="AD2661">
        <v>-1.1089087557070001</v>
      </c>
      <c r="AE2661">
        <v>-0.458000000000026</v>
      </c>
      <c r="AF2661">
        <v>-0.30389632558595697</v>
      </c>
      <c r="AG2661">
        <v>-1.1089087557070001</v>
      </c>
      <c r="AH2661">
        <v>19.373158479492499</v>
      </c>
      <c r="AI2661">
        <v>93.275601608253396</v>
      </c>
      <c r="AJ2661">
        <v>90.898694393836806</v>
      </c>
      <c r="AK2661">
        <v>19.4072486735426</v>
      </c>
      <c r="AL2661">
        <v>76.024817327374905</v>
      </c>
      <c r="AM2661">
        <v>93.925409044922105</v>
      </c>
      <c r="AN2661">
        <v>1.0000000203941699</v>
      </c>
    </row>
    <row r="2662" spans="1:40" x14ac:dyDescent="0.25">
      <c r="A2662" t="str">
        <f>"20190304164140843"</f>
        <v>20190304164140843</v>
      </c>
      <c r="B2662" t="str">
        <f>"1551688900833973"</f>
        <v>1551688900833973</v>
      </c>
      <c r="C2662" t="s">
        <v>40</v>
      </c>
      <c r="D2662">
        <v>4.4247290000000001</v>
      </c>
      <c r="E2662">
        <v>0.52769489999999997</v>
      </c>
      <c r="F2662" t="s">
        <v>46</v>
      </c>
      <c r="G2662">
        <v>-441.46550000000002</v>
      </c>
      <c r="H2662" s="1">
        <v>-7.2577369999999999E-7</v>
      </c>
      <c r="I2662">
        <v>283.9042</v>
      </c>
      <c r="J2662">
        <v>-422.55009999999999</v>
      </c>
      <c r="K2662">
        <v>1.108935</v>
      </c>
      <c r="L2662">
        <v>284.3297</v>
      </c>
      <c r="M2662">
        <v>-0.99984759999999995</v>
      </c>
      <c r="N2662">
        <v>-1.570908E-2</v>
      </c>
      <c r="O2662">
        <v>-7.6278939999999996E-3</v>
      </c>
      <c r="P2662">
        <v>-0.97133959999999997</v>
      </c>
      <c r="Q2662">
        <v>0.22604369999999999</v>
      </c>
      <c r="R2662">
        <v>-7.3511399999999893E-2</v>
      </c>
      <c r="S2662">
        <v>-3.1249389999999999</v>
      </c>
      <c r="T2662">
        <v>-0.17778169999999999</v>
      </c>
      <c r="U2662">
        <v>-6.8939210000000001E-2</v>
      </c>
      <c r="V2662">
        <v>-6.5812399999999993E-2</v>
      </c>
      <c r="W2662">
        <v>0.24136099999999999</v>
      </c>
      <c r="X2662">
        <v>0.96820119999999998</v>
      </c>
      <c r="Y2662">
        <v>-1.4404729999999999E-2</v>
      </c>
      <c r="Z2662">
        <v>-2.0885899999999999E-4</v>
      </c>
      <c r="AA2662">
        <v>0.99989620000000001</v>
      </c>
      <c r="AB2662">
        <v>59</v>
      </c>
      <c r="AC2662">
        <v>-18.915400000000002</v>
      </c>
      <c r="AD2662">
        <v>-1.10893572577369</v>
      </c>
      <c r="AE2662">
        <v>-0.42549999999999899</v>
      </c>
      <c r="AF2662">
        <v>-0.28022251631732298</v>
      </c>
      <c r="AG2662">
        <v>-1.10893572577369</v>
      </c>
      <c r="AH2662">
        <v>18.8533291899764</v>
      </c>
      <c r="AI2662">
        <v>93.3658364500847</v>
      </c>
      <c r="AJ2662">
        <v>90.851541135587894</v>
      </c>
      <c r="AK2662">
        <v>18.887993134479999</v>
      </c>
      <c r="AL2662">
        <v>76.033118166640094</v>
      </c>
      <c r="AM2662">
        <v>93.888635184302103</v>
      </c>
      <c r="AN2662">
        <v>0.99999998399809897</v>
      </c>
    </row>
    <row r="2663" spans="1:40" x14ac:dyDescent="0.25">
      <c r="A2663" t="str">
        <f>"20190304164140866"</f>
        <v>20190304164140866</v>
      </c>
      <c r="B2663" t="str">
        <f>"1551688900853493"</f>
        <v>1551688900853493</v>
      </c>
      <c r="C2663" t="s">
        <v>40</v>
      </c>
      <c r="D2663">
        <v>4.4550769999999904</v>
      </c>
      <c r="E2663">
        <v>0.52811750000000002</v>
      </c>
      <c r="F2663" t="s">
        <v>46</v>
      </c>
      <c r="G2663">
        <v>-441.93430000000001</v>
      </c>
      <c r="H2663" s="1">
        <v>-4.7685609999999898E-7</v>
      </c>
      <c r="I2663">
        <v>283.91669999999999</v>
      </c>
      <c r="J2663">
        <v>-423.14420000000001</v>
      </c>
      <c r="K2663">
        <v>1.1089770000000001</v>
      </c>
      <c r="L2663">
        <v>284.32530000000003</v>
      </c>
      <c r="M2663">
        <v>-0.99984910000000005</v>
      </c>
      <c r="N2663">
        <v>-1.5704909999999999E-2</v>
      </c>
      <c r="O2663">
        <v>-7.41836699999999E-3</v>
      </c>
      <c r="P2663">
        <v>-0.97144090000000005</v>
      </c>
      <c r="Q2663">
        <v>0.22566359999999999</v>
      </c>
      <c r="R2663">
        <v>-7.3336879999999993E-2</v>
      </c>
      <c r="S2663">
        <v>-3.1250610000000001</v>
      </c>
      <c r="T2663">
        <v>-0.1787792</v>
      </c>
      <c r="U2663">
        <v>-6.658936E-2</v>
      </c>
      <c r="V2663">
        <v>-6.5863270000000002E-2</v>
      </c>
      <c r="W2663">
        <v>0.2409732</v>
      </c>
      <c r="X2663">
        <v>0.96829430000000005</v>
      </c>
      <c r="Y2663">
        <v>-1.3862650000000001E-2</v>
      </c>
      <c r="Z2663">
        <v>-1.9759549999999999E-4</v>
      </c>
      <c r="AA2663">
        <v>0.99990389999999996</v>
      </c>
      <c r="AB2663">
        <v>58</v>
      </c>
      <c r="AC2663">
        <v>-18.790099999999899</v>
      </c>
      <c r="AD2663">
        <v>-1.1089774768561</v>
      </c>
      <c r="AE2663">
        <v>-0.40860000000003499</v>
      </c>
      <c r="AF2663">
        <v>-0.26824576484332502</v>
      </c>
      <c r="AG2663">
        <v>-1.1089774768561</v>
      </c>
      <c r="AH2663">
        <v>18.727412532154698</v>
      </c>
      <c r="AI2663">
        <v>93.388568509905696</v>
      </c>
      <c r="AJ2663">
        <v>90.820631211053694</v>
      </c>
      <c r="AK2663">
        <v>18.762136525034499</v>
      </c>
      <c r="AL2663">
        <v>76.056012801763501</v>
      </c>
      <c r="AM2663">
        <v>93.891258665807001</v>
      </c>
      <c r="AN2663">
        <v>0.99999995243290996</v>
      </c>
    </row>
    <row r="2664" spans="1:40" x14ac:dyDescent="0.25">
      <c r="A2664" t="str">
        <f>"20190304164140889"</f>
        <v>20190304164140889</v>
      </c>
      <c r="B2664" t="str">
        <f>"1551688900883749"</f>
        <v>1551688900883749</v>
      </c>
      <c r="C2664" t="s">
        <v>40</v>
      </c>
      <c r="D2664">
        <v>4.4321780000000004</v>
      </c>
      <c r="E2664">
        <v>0.52885170000000004</v>
      </c>
      <c r="F2664" t="s">
        <v>46</v>
      </c>
      <c r="G2664">
        <v>-442.68459999999999</v>
      </c>
      <c r="H2664" s="1">
        <v>-7.8497569999999994E-8</v>
      </c>
      <c r="I2664">
        <v>283.93689999999998</v>
      </c>
      <c r="J2664">
        <v>-423.74200000000002</v>
      </c>
      <c r="K2664">
        <v>1.109024</v>
      </c>
      <c r="L2664">
        <v>284.32089999999999</v>
      </c>
      <c r="M2664">
        <v>-0.99985049999999998</v>
      </c>
      <c r="N2664">
        <v>-1.5700680000000002E-2</v>
      </c>
      <c r="O2664">
        <v>-7.2513869999999998E-3</v>
      </c>
      <c r="P2664">
        <v>-0.9711033</v>
      </c>
      <c r="Q2664">
        <v>0.2269803</v>
      </c>
      <c r="R2664">
        <v>-7.3748839999999996E-2</v>
      </c>
      <c r="S2664">
        <v>-3.1246640000000001</v>
      </c>
      <c r="T2664">
        <v>-0.17733479999999999</v>
      </c>
      <c r="U2664">
        <v>-6.2103270000000002E-2</v>
      </c>
      <c r="V2664">
        <v>-6.6464389999999998E-2</v>
      </c>
      <c r="W2664">
        <v>0.2422734</v>
      </c>
      <c r="X2664">
        <v>0.96792880000000003</v>
      </c>
      <c r="Y2664">
        <v>-1.2600099999999999E-2</v>
      </c>
      <c r="Z2664">
        <v>-1.5888400000000001E-4</v>
      </c>
      <c r="AA2664">
        <v>0.99992060000000005</v>
      </c>
      <c r="AB2664">
        <v>58</v>
      </c>
      <c r="AC2664">
        <v>-18.942599999999999</v>
      </c>
      <c r="AD2664">
        <v>-1.10902407849757</v>
      </c>
      <c r="AE2664">
        <v>-0.384000000000014</v>
      </c>
      <c r="AF2664">
        <v>-0.245770770216996</v>
      </c>
      <c r="AG2664">
        <v>-1.10902407849757</v>
      </c>
      <c r="AH2664">
        <v>18.880197655444</v>
      </c>
      <c r="AI2664">
        <v>93.361410961611199</v>
      </c>
      <c r="AJ2664">
        <v>90.745799001208098</v>
      </c>
      <c r="AK2664">
        <v>18.914338507778002</v>
      </c>
      <c r="AL2664">
        <v>75.979243346956494</v>
      </c>
      <c r="AM2664">
        <v>93.928140861161097</v>
      </c>
      <c r="AN2664">
        <v>1.0000000386775301</v>
      </c>
    </row>
    <row r="2665" spans="1:40" x14ac:dyDescent="0.25">
      <c r="A2665" t="str">
        <f>"20190304164140910"</f>
        <v>20190304164140910</v>
      </c>
      <c r="B2665" t="str">
        <f>"1551688900903269"</f>
        <v>1551688900903269</v>
      </c>
      <c r="C2665" t="s">
        <v>40</v>
      </c>
      <c r="D2665">
        <v>4.4682510000000004</v>
      </c>
      <c r="E2665">
        <v>0.52931189999999995</v>
      </c>
      <c r="F2665" t="s">
        <v>46</v>
      </c>
      <c r="G2665">
        <v>-444.46699999999998</v>
      </c>
      <c r="H2665" s="1">
        <v>8.6949469999999898E-7</v>
      </c>
      <c r="I2665">
        <v>283.94920000000002</v>
      </c>
      <c r="J2665">
        <v>-424.29559999999998</v>
      </c>
      <c r="K2665">
        <v>1.109065</v>
      </c>
      <c r="L2665">
        <v>284.31689999999998</v>
      </c>
      <c r="M2665">
        <v>-0.9998513</v>
      </c>
      <c r="N2665">
        <v>-1.5696769999999999E-2</v>
      </c>
      <c r="O2665">
        <v>-7.1339910000000001E-3</v>
      </c>
      <c r="P2665">
        <v>-0.97098689999999999</v>
      </c>
      <c r="Q2665">
        <v>0.22728139999999999</v>
      </c>
      <c r="R2665">
        <v>-7.4348239999999996E-2</v>
      </c>
      <c r="S2665">
        <v>-3.1240540000000001</v>
      </c>
      <c r="T2665">
        <v>-0.1671723</v>
      </c>
      <c r="U2665">
        <v>-5.603027E-2</v>
      </c>
      <c r="V2665">
        <v>-6.7202449999999997E-2</v>
      </c>
      <c r="W2665">
        <v>0.24256249999999999</v>
      </c>
      <c r="X2665">
        <v>0.96780540000000004</v>
      </c>
      <c r="Y2665">
        <v>-1.078319E-2</v>
      </c>
      <c r="Z2665">
        <v>-1.0349029999999999E-4</v>
      </c>
      <c r="AA2665">
        <v>0.99994179999999999</v>
      </c>
      <c r="AB2665">
        <v>58</v>
      </c>
      <c r="AC2665">
        <v>-20.171399999999998</v>
      </c>
      <c r="AD2665">
        <v>-1.1090641305052999</v>
      </c>
      <c r="AE2665">
        <v>-0.36769999999995601</v>
      </c>
      <c r="AF2665">
        <v>-0.22309611623331699</v>
      </c>
      <c r="AG2665">
        <v>-1.1090641305052999</v>
      </c>
      <c r="AH2665">
        <v>20.112729043378501</v>
      </c>
      <c r="AI2665">
        <v>93.156036534381002</v>
      </c>
      <c r="AJ2665">
        <v>90.635515033823907</v>
      </c>
      <c r="AK2665">
        <v>20.1445194704419</v>
      </c>
      <c r="AL2665">
        <v>75.962169514679402</v>
      </c>
      <c r="AM2665">
        <v>93.972127214453593</v>
      </c>
      <c r="AN2665">
        <v>1.0000000139806999</v>
      </c>
    </row>
    <row r="2666" spans="1:40" x14ac:dyDescent="0.25">
      <c r="A2666" t="str">
        <f>"20190304164140932"</f>
        <v>20190304164140932</v>
      </c>
      <c r="B2666" t="str">
        <f>"1551688900923766"</f>
        <v>1551688900923766</v>
      </c>
      <c r="C2666" t="s">
        <v>40</v>
      </c>
      <c r="D2666">
        <v>4.4508229999999998</v>
      </c>
      <c r="E2666">
        <v>0.52973749999999997</v>
      </c>
      <c r="F2666" t="s">
        <v>46</v>
      </c>
      <c r="G2666">
        <v>-445.49279999999999</v>
      </c>
      <c r="H2666" s="1">
        <v>1.4150209999999999E-6</v>
      </c>
      <c r="I2666">
        <v>283.95659999999998</v>
      </c>
      <c r="J2666">
        <v>-424.87220000000002</v>
      </c>
      <c r="K2666">
        <v>1.1091040000000001</v>
      </c>
      <c r="L2666">
        <v>284.31270000000001</v>
      </c>
      <c r="M2666">
        <v>-0.99985210000000002</v>
      </c>
      <c r="N2666">
        <v>-1.5692709999999999E-2</v>
      </c>
      <c r="O2666">
        <v>-7.0449789999999998E-3</v>
      </c>
      <c r="P2666">
        <v>-0.97094210000000003</v>
      </c>
      <c r="Q2666">
        <v>0.2272692</v>
      </c>
      <c r="R2666">
        <v>-7.4968099999999996E-2</v>
      </c>
      <c r="S2666">
        <v>-3.1238709999999998</v>
      </c>
      <c r="T2666">
        <v>-0.163444799999999</v>
      </c>
      <c r="U2666">
        <v>-5.3100590000000003E-2</v>
      </c>
      <c r="V2666">
        <v>-6.7935220000000004E-2</v>
      </c>
      <c r="W2666">
        <v>0.24253939999999999</v>
      </c>
      <c r="X2666">
        <v>0.96775999999999995</v>
      </c>
      <c r="Y2666">
        <v>-9.9376699999999991E-3</v>
      </c>
      <c r="Z2666" s="1">
        <v>-8.0020759999999995E-5</v>
      </c>
      <c r="AA2666">
        <v>0.99995060000000002</v>
      </c>
      <c r="AB2666">
        <v>58</v>
      </c>
      <c r="AC2666">
        <v>-20.6205999999999</v>
      </c>
      <c r="AD2666">
        <v>-1.1091025849789999</v>
      </c>
      <c r="AE2666">
        <v>-0.35610000000002601</v>
      </c>
      <c r="AF2666">
        <v>-0.2101936860535</v>
      </c>
      <c r="AG2666">
        <v>-1.1091025849789999</v>
      </c>
      <c r="AH2666">
        <v>20.563126825261001</v>
      </c>
      <c r="AI2666">
        <v>93.087179916005596</v>
      </c>
      <c r="AJ2666">
        <v>90.585649826895803</v>
      </c>
      <c r="AK2666">
        <v>20.594088344994301</v>
      </c>
      <c r="AL2666">
        <v>75.963533387252696</v>
      </c>
      <c r="AM2666">
        <v>94.015485804957294</v>
      </c>
      <c r="AN2666">
        <v>0.999999986134404</v>
      </c>
    </row>
    <row r="2667" spans="1:40" x14ac:dyDescent="0.25">
      <c r="A2667" t="str">
        <f>"20190304164140954"</f>
        <v>20190304164140954</v>
      </c>
      <c r="B2667" t="str">
        <f>"1551688900943285"</f>
        <v>1551688900943285</v>
      </c>
      <c r="C2667" t="s">
        <v>40</v>
      </c>
      <c r="D2667">
        <v>4.4451989999999997</v>
      </c>
      <c r="E2667">
        <v>0.53011949999999997</v>
      </c>
      <c r="F2667" t="s">
        <v>46</v>
      </c>
      <c r="G2667">
        <v>-446.25799999999998</v>
      </c>
      <c r="H2667" s="1">
        <v>1.8221469999999999E-6</v>
      </c>
      <c r="I2667">
        <v>283.95859999999999</v>
      </c>
      <c r="J2667">
        <v>-425.46140000000003</v>
      </c>
      <c r="K2667">
        <v>1.1091500000000001</v>
      </c>
      <c r="L2667">
        <v>284.30860000000001</v>
      </c>
      <c r="M2667">
        <v>-0.99985259999999998</v>
      </c>
      <c r="N2667">
        <v>-1.5688529999999999E-2</v>
      </c>
      <c r="O2667">
        <v>-6.9815500000000004E-3</v>
      </c>
      <c r="P2667">
        <v>-0.97079320000000002</v>
      </c>
      <c r="Q2667">
        <v>0.2275355</v>
      </c>
      <c r="R2667">
        <v>-7.6080490000000001E-2</v>
      </c>
      <c r="S2667">
        <v>-3.1237180000000002</v>
      </c>
      <c r="T2667">
        <v>-0.16200110000000001</v>
      </c>
      <c r="U2667">
        <v>-5.1727290000000002E-2</v>
      </c>
      <c r="V2667">
        <v>-6.9133669999999994E-2</v>
      </c>
      <c r="W2667">
        <v>0.24279339999999999</v>
      </c>
      <c r="X2667">
        <v>0.96761140000000001</v>
      </c>
      <c r="Y2667">
        <v>-9.5632200000000007E-3</v>
      </c>
      <c r="Z2667" s="1">
        <v>-7.05716E-5</v>
      </c>
      <c r="AA2667">
        <v>0.99995429999999996</v>
      </c>
      <c r="AB2667">
        <v>58</v>
      </c>
      <c r="AC2667">
        <v>-20.796600000000002</v>
      </c>
      <c r="AD2667">
        <v>-1.1091481778529999</v>
      </c>
      <c r="AE2667">
        <v>-0.35000000000002202</v>
      </c>
      <c r="AF2667">
        <v>-0.20420043229025001</v>
      </c>
      <c r="AG2667">
        <v>-1.1091481778529999</v>
      </c>
      <c r="AH2667">
        <v>20.739561458169899</v>
      </c>
      <c r="AI2667">
        <v>93.061104073960493</v>
      </c>
      <c r="AJ2667">
        <v>90.564112453417593</v>
      </c>
      <c r="AK2667">
        <v>20.770202622367101</v>
      </c>
      <c r="AL2667">
        <v>75.948531491424802</v>
      </c>
      <c r="AM2667">
        <v>94.086710793805807</v>
      </c>
      <c r="AN2667">
        <v>0.99999996041059303</v>
      </c>
    </row>
    <row r="2668" spans="1:40" x14ac:dyDescent="0.25">
      <c r="A2668" t="str">
        <f>"20190304164140977"</f>
        <v>20190304164140977</v>
      </c>
      <c r="B2668" t="str">
        <f>"1551688900963782"</f>
        <v>1551688900963782</v>
      </c>
      <c r="C2668" t="s">
        <v>40</v>
      </c>
      <c r="D2668">
        <v>4.4270849999999999</v>
      </c>
      <c r="E2668">
        <v>0.53045629999999999</v>
      </c>
      <c r="F2668" t="s">
        <v>46</v>
      </c>
      <c r="G2668">
        <v>-447.14299999999997</v>
      </c>
      <c r="H2668" s="1">
        <v>2.2936529999999999E-6</v>
      </c>
      <c r="I2668">
        <v>283.9461</v>
      </c>
      <c r="J2668">
        <v>-426.04160000000002</v>
      </c>
      <c r="K2668">
        <v>1.109186</v>
      </c>
      <c r="L2668">
        <v>284.30450000000002</v>
      </c>
      <c r="M2668">
        <v>-0.99985299999999999</v>
      </c>
      <c r="N2668">
        <v>-1.5684400000000001E-2</v>
      </c>
      <c r="O2668">
        <v>-6.9391369999999997E-3</v>
      </c>
      <c r="P2668">
        <v>-0.97048719999999999</v>
      </c>
      <c r="Q2668">
        <v>0.22866249999999999</v>
      </c>
      <c r="R2668">
        <v>-7.6603959999999999E-2</v>
      </c>
      <c r="S2668">
        <v>-3.123596</v>
      </c>
      <c r="T2668">
        <v>-0.15979119999999999</v>
      </c>
      <c r="U2668">
        <v>-5.2215579999999998E-2</v>
      </c>
      <c r="V2668">
        <v>-6.9721249999999999E-2</v>
      </c>
      <c r="W2668">
        <v>0.2439057</v>
      </c>
      <c r="X2668">
        <v>0.96728950000000002</v>
      </c>
      <c r="Y2668">
        <v>-9.7624159999999995E-3</v>
      </c>
      <c r="Z2668" s="1">
        <v>-8.0230100000000003E-5</v>
      </c>
      <c r="AA2668">
        <v>0.99995230000000002</v>
      </c>
      <c r="AB2668">
        <v>58</v>
      </c>
      <c r="AC2668">
        <v>-21.101400000000002</v>
      </c>
      <c r="AD2668">
        <v>-1.109183706347</v>
      </c>
      <c r="AE2668">
        <v>-0.35840000000001698</v>
      </c>
      <c r="AF2668">
        <v>-0.21136402739787799</v>
      </c>
      <c r="AG2668">
        <v>-1.109183706347</v>
      </c>
      <c r="AH2668">
        <v>21.045247405620501</v>
      </c>
      <c r="AI2668">
        <v>93.016814270653995</v>
      </c>
      <c r="AJ2668">
        <v>90.575420156481599</v>
      </c>
      <c r="AK2668">
        <v>21.0755166392257</v>
      </c>
      <c r="AL2668">
        <v>75.882826914277103</v>
      </c>
      <c r="AM2668">
        <v>94.122692119768502</v>
      </c>
      <c r="AN2668">
        <v>1.00000001000215</v>
      </c>
    </row>
    <row r="2669" spans="1:40" x14ac:dyDescent="0.25">
      <c r="A2669" t="str">
        <f>"20190304164140999"</f>
        <v>20190304164140999</v>
      </c>
      <c r="B2669" t="str">
        <f>"1551688900994037"</f>
        <v>1551688900994037</v>
      </c>
      <c r="C2669" t="s">
        <v>40</v>
      </c>
      <c r="D2669">
        <v>4.4257730000000004</v>
      </c>
      <c r="E2669">
        <v>0.53099300000000005</v>
      </c>
      <c r="F2669" t="s">
        <v>46</v>
      </c>
      <c r="G2669">
        <v>-448.38209999999998</v>
      </c>
      <c r="H2669" s="1">
        <v>2.9532529999999999E-6</v>
      </c>
      <c r="I2669">
        <v>283.94200000000001</v>
      </c>
      <c r="J2669">
        <v>-426.63130000000001</v>
      </c>
      <c r="K2669">
        <v>1.1092310000000001</v>
      </c>
      <c r="L2669">
        <v>284.30040000000002</v>
      </c>
      <c r="M2669">
        <v>-0.99985329999999994</v>
      </c>
      <c r="N2669">
        <v>-1.5680199999999998E-2</v>
      </c>
      <c r="O2669">
        <v>-6.9101359999999999E-3</v>
      </c>
      <c r="P2669">
        <v>-0.97028419999999904</v>
      </c>
      <c r="Q2669">
        <v>0.229381</v>
      </c>
      <c r="R2669">
        <v>-7.7029260000000002E-2</v>
      </c>
      <c r="S2669">
        <v>-3.1237789999999999</v>
      </c>
      <c r="T2669">
        <v>-0.1550918</v>
      </c>
      <c r="U2669">
        <v>-5.0689699999999997E-2</v>
      </c>
      <c r="V2669">
        <v>-7.0194530000000005E-2</v>
      </c>
      <c r="W2669">
        <v>0.24461179999999999</v>
      </c>
      <c r="X2669">
        <v>0.96707699999999996</v>
      </c>
      <c r="Y2669">
        <v>-9.3033479999999995E-3</v>
      </c>
      <c r="Z2669" s="1">
        <v>-6.9269279999999996E-5</v>
      </c>
      <c r="AA2669">
        <v>0.99995670000000003</v>
      </c>
      <c r="AB2669">
        <v>58</v>
      </c>
      <c r="AC2669">
        <v>-21.750799999999899</v>
      </c>
      <c r="AD2669">
        <v>-1.1092280467469999</v>
      </c>
      <c r="AE2669">
        <v>-0.35840000000001698</v>
      </c>
      <c r="AF2669">
        <v>-0.20753240816600799</v>
      </c>
      <c r="AG2669">
        <v>-1.1092280467469999</v>
      </c>
      <c r="AH2669">
        <v>21.696346965217199</v>
      </c>
      <c r="AI2669">
        <v>92.926571032673493</v>
      </c>
      <c r="AJ2669">
        <v>90.548035505264494</v>
      </c>
      <c r="AK2669">
        <v>21.725674401390101</v>
      </c>
      <c r="AL2669">
        <v>75.841107446456505</v>
      </c>
      <c r="AM2669">
        <v>94.151489032406502</v>
      </c>
      <c r="AN2669">
        <v>1.0000000643350699</v>
      </c>
    </row>
    <row r="2670" spans="1:40" x14ac:dyDescent="0.25">
      <c r="A2670" t="str">
        <f>"20190304164141021"</f>
        <v>20190304164141021</v>
      </c>
      <c r="B2670" t="str">
        <f>"1551688901013558"</f>
        <v>1551688901013558</v>
      </c>
      <c r="C2670" t="s">
        <v>40</v>
      </c>
      <c r="D2670">
        <v>4.4157500000000001</v>
      </c>
      <c r="E2670">
        <v>0.53128089999999994</v>
      </c>
      <c r="F2670" t="s">
        <v>46</v>
      </c>
      <c r="G2670">
        <v>-449.32990000000001</v>
      </c>
      <c r="H2670" s="1">
        <v>3.4572710000000002E-6</v>
      </c>
      <c r="I2670">
        <v>283.94940000000003</v>
      </c>
      <c r="J2670">
        <v>-427.20229999999998</v>
      </c>
      <c r="K2670">
        <v>1.1092630000000001</v>
      </c>
      <c r="L2670">
        <v>284.29649999999998</v>
      </c>
      <c r="M2670">
        <v>-0.99985349999999995</v>
      </c>
      <c r="N2670">
        <v>-1.5676120000000002E-2</v>
      </c>
      <c r="O2670">
        <v>-6.8903590000000004E-3</v>
      </c>
      <c r="P2670">
        <v>-0.97035910000000003</v>
      </c>
      <c r="Q2670">
        <v>0.22917770000000001</v>
      </c>
      <c r="R2670">
        <v>-7.6689209999999994E-2</v>
      </c>
      <c r="S2670">
        <v>-3.1241460000000001</v>
      </c>
      <c r="T2670">
        <v>-0.15266979999999999</v>
      </c>
      <c r="U2670">
        <v>-4.8309329999999998E-2</v>
      </c>
      <c r="V2670">
        <v>-6.9889839999999995E-2</v>
      </c>
      <c r="W2670">
        <v>0.2444009</v>
      </c>
      <c r="X2670">
        <v>0.96715229999999996</v>
      </c>
      <c r="Y2670">
        <v>-8.5609139999999993E-3</v>
      </c>
      <c r="Z2670" s="1">
        <v>-4.7684839999999997E-5</v>
      </c>
      <c r="AA2670">
        <v>0.9999633</v>
      </c>
      <c r="AB2670">
        <v>58</v>
      </c>
      <c r="AC2670">
        <v>-22.127600000000001</v>
      </c>
      <c r="AD2670">
        <v>-1.109259542729</v>
      </c>
      <c r="AE2670">
        <v>-0.347099999999954</v>
      </c>
      <c r="AF2670">
        <v>-0.19411822655282199</v>
      </c>
      <c r="AG2670">
        <v>-1.109259542729</v>
      </c>
      <c r="AH2670">
        <v>22.074007522210199</v>
      </c>
      <c r="AI2670">
        <v>92.876687512580702</v>
      </c>
      <c r="AJ2670">
        <v>90.503844551261494</v>
      </c>
      <c r="AK2670">
        <v>22.1027135598688</v>
      </c>
      <c r="AL2670">
        <v>75.853568163528493</v>
      </c>
      <c r="AM2670">
        <v>94.133210750988496</v>
      </c>
      <c r="AN2670">
        <v>0.99999998052566197</v>
      </c>
    </row>
    <row r="2671" spans="1:40" x14ac:dyDescent="0.25">
      <c r="A2671" t="str">
        <f>"20190304164141043"</f>
        <v>20190304164141043</v>
      </c>
      <c r="B2671" t="str">
        <f>"1551688901033077"</f>
        <v>1551688901033077</v>
      </c>
      <c r="C2671" t="s">
        <v>40</v>
      </c>
      <c r="D2671">
        <v>4.4243980000000001</v>
      </c>
      <c r="E2671">
        <v>0.53157089999999996</v>
      </c>
      <c r="F2671" t="s">
        <v>46</v>
      </c>
      <c r="G2671">
        <v>-449.82350000000002</v>
      </c>
      <c r="H2671" s="1">
        <v>3.718926E-6</v>
      </c>
      <c r="I2671">
        <v>283.97300000000001</v>
      </c>
      <c r="J2671">
        <v>-427.77370000000002</v>
      </c>
      <c r="K2671">
        <v>1.1092930000000001</v>
      </c>
      <c r="L2671">
        <v>284.29250000000002</v>
      </c>
      <c r="M2671">
        <v>-0.99985360000000001</v>
      </c>
      <c r="N2671">
        <v>-1.567201E-2</v>
      </c>
      <c r="O2671">
        <v>-6.8745859999999898E-3</v>
      </c>
      <c r="P2671">
        <v>-0.97039569999999997</v>
      </c>
      <c r="Q2671">
        <v>0.22905010000000001</v>
      </c>
      <c r="R2671">
        <v>-7.6603909999999997E-2</v>
      </c>
      <c r="S2671">
        <v>-3.124298</v>
      </c>
      <c r="T2671">
        <v>-0.15320349999999999</v>
      </c>
      <c r="U2671">
        <v>-4.4677729999999999E-2</v>
      </c>
      <c r="V2671">
        <v>-6.9835099999999997E-2</v>
      </c>
      <c r="W2671">
        <v>0.24426539999999999</v>
      </c>
      <c r="X2671">
        <v>0.96719049999999995</v>
      </c>
      <c r="Y2671">
        <v>-7.4156219999999898E-3</v>
      </c>
      <c r="Z2671" s="1">
        <v>-1.068001E-5</v>
      </c>
      <c r="AA2671">
        <v>0.99997250000000004</v>
      </c>
      <c r="AB2671">
        <v>58</v>
      </c>
      <c r="AC2671">
        <v>-22.049800000000001</v>
      </c>
      <c r="AD2671">
        <v>-1.109289281074</v>
      </c>
      <c r="AE2671">
        <v>-0.319500000000005</v>
      </c>
      <c r="AF2671">
        <v>-0.16746683217298</v>
      </c>
      <c r="AG2671">
        <v>-1.109289281074</v>
      </c>
      <c r="AH2671">
        <v>21.9958173173647</v>
      </c>
      <c r="AI2671">
        <v>92.887001396439601</v>
      </c>
      <c r="AJ2671">
        <v>90.436217357184802</v>
      </c>
      <c r="AK2671">
        <v>22.024407989952099</v>
      </c>
      <c r="AL2671">
        <v>75.861574609815094</v>
      </c>
      <c r="AM2671">
        <v>94.129822138990093</v>
      </c>
      <c r="AN2671">
        <v>0.99999999505970905</v>
      </c>
    </row>
    <row r="2672" spans="1:40" x14ac:dyDescent="0.25">
      <c r="A2672" t="str">
        <f>"20190304164141067"</f>
        <v>20190304164141067</v>
      </c>
      <c r="B2672" t="str">
        <f>"1551688901053573"</f>
        <v>1551688901053573</v>
      </c>
      <c r="C2672" t="s">
        <v>40</v>
      </c>
      <c r="D2672">
        <v>4.4096070000000003</v>
      </c>
      <c r="E2672">
        <v>0.53185329999999997</v>
      </c>
      <c r="F2672" t="s">
        <v>46</v>
      </c>
      <c r="G2672">
        <v>-450.33429999999998</v>
      </c>
      <c r="H2672" s="1">
        <v>-1.3315530000000001E-6</v>
      </c>
      <c r="I2672">
        <v>283.99110000000002</v>
      </c>
      <c r="J2672">
        <v>-428.3689</v>
      </c>
      <c r="K2672">
        <v>1.1093150000000001</v>
      </c>
      <c r="L2672">
        <v>284.2885</v>
      </c>
      <c r="M2672">
        <v>-0.99985369999999996</v>
      </c>
      <c r="N2672">
        <v>-1.5667750000000001E-2</v>
      </c>
      <c r="O2672">
        <v>-6.8610390000000002E-3</v>
      </c>
      <c r="P2672">
        <v>-0.97048599999999996</v>
      </c>
      <c r="Q2672">
        <v>0.2288068</v>
      </c>
      <c r="R2672">
        <v>-7.618664E-2</v>
      </c>
      <c r="S2672">
        <v>-3.1245120000000002</v>
      </c>
      <c r="T2672">
        <v>-0.1536305</v>
      </c>
      <c r="U2672">
        <v>-4.1748050000000002E-2</v>
      </c>
      <c r="V2672">
        <v>-6.9443909999999998E-2</v>
      </c>
      <c r="W2672">
        <v>0.2440148</v>
      </c>
      <c r="X2672">
        <v>0.96728190000000003</v>
      </c>
      <c r="Y2672">
        <v>-6.4921889999999998E-3</v>
      </c>
      <c r="Z2672" s="1">
        <v>1.9262369999999998E-5</v>
      </c>
      <c r="AA2672">
        <v>0.9999789</v>
      </c>
      <c r="AB2672">
        <v>58</v>
      </c>
      <c r="AC2672">
        <v>-21.965399999999899</v>
      </c>
      <c r="AD2672">
        <v>-1.1093163315529999</v>
      </c>
      <c r="AE2672">
        <v>-0.29739999999998101</v>
      </c>
      <c r="AF2672">
        <v>-0.146295963707996</v>
      </c>
      <c r="AG2672">
        <v>-1.1093163315529999</v>
      </c>
      <c r="AH2672">
        <v>21.9110487720612</v>
      </c>
      <c r="AI2672">
        <v>92.898241418230199</v>
      </c>
      <c r="AJ2672">
        <v>90.382547490659405</v>
      </c>
      <c r="AK2672">
        <v>21.939599894348401</v>
      </c>
      <c r="AL2672">
        <v>75.876380708024399</v>
      </c>
      <c r="AM2672">
        <v>94.106381072971402</v>
      </c>
      <c r="AN2672">
        <v>0.99999997666136797</v>
      </c>
    </row>
    <row r="2673" spans="1:40" x14ac:dyDescent="0.25">
      <c r="A2673" t="str">
        <f>"20190304164141089"</f>
        <v>20190304164141089</v>
      </c>
      <c r="B2673" t="str">
        <f>"1551688901083829"</f>
        <v>1551688901083829</v>
      </c>
      <c r="C2673" t="s">
        <v>40</v>
      </c>
      <c r="D2673">
        <v>4.4332320000000003</v>
      </c>
      <c r="E2673">
        <v>0.51524219999999998</v>
      </c>
      <c r="F2673" t="s">
        <v>46</v>
      </c>
      <c r="G2673">
        <v>-450.7765</v>
      </c>
      <c r="H2673" s="1">
        <v>-1.0970959999999999E-6</v>
      </c>
      <c r="I2673">
        <v>284.01100000000002</v>
      </c>
      <c r="J2673">
        <v>-428.96679999999998</v>
      </c>
      <c r="K2673">
        <v>1.1093409999999999</v>
      </c>
      <c r="L2673">
        <v>284.28440000000001</v>
      </c>
      <c r="M2673">
        <v>-0.99985380000000001</v>
      </c>
      <c r="N2673">
        <v>-1.5663449999999999E-2</v>
      </c>
      <c r="O2673">
        <v>-6.84828E-3</v>
      </c>
      <c r="P2673">
        <v>-0.97036929999999999</v>
      </c>
      <c r="Q2673">
        <v>0.2294069</v>
      </c>
      <c r="R2673">
        <v>-7.5867610000000002E-2</v>
      </c>
      <c r="S2673">
        <v>-3.1246640000000001</v>
      </c>
      <c r="T2673">
        <v>-0.15468989999999999</v>
      </c>
      <c r="U2673">
        <v>-3.8696290000000001E-2</v>
      </c>
      <c r="V2673">
        <v>-6.9150110000000001E-2</v>
      </c>
      <c r="W2673">
        <v>0.2446053</v>
      </c>
      <c r="X2673">
        <v>0.96715379999999995</v>
      </c>
      <c r="Y2673">
        <v>-5.5293089999999996E-3</v>
      </c>
      <c r="Z2673" s="1">
        <v>5.1456979999999997E-5</v>
      </c>
      <c r="AA2673">
        <v>0.99998469999999995</v>
      </c>
      <c r="AB2673">
        <v>58</v>
      </c>
      <c r="AC2673">
        <v>-21.809699999999999</v>
      </c>
      <c r="AD2673">
        <v>-1.109342097096</v>
      </c>
      <c r="AE2673">
        <v>-0.273400000000037</v>
      </c>
      <c r="AF2673">
        <v>-0.12369634121034399</v>
      </c>
      <c r="AG2673">
        <v>-1.109342097096</v>
      </c>
      <c r="AH2673">
        <v>21.754785646474101</v>
      </c>
      <c r="AI2673">
        <v>92.919108939935498</v>
      </c>
      <c r="AJ2673">
        <v>90.325776683450798</v>
      </c>
      <c r="AK2673">
        <v>21.783402837877599</v>
      </c>
      <c r="AL2673">
        <v>75.8414903422088</v>
      </c>
      <c r="AM2673">
        <v>94.089606808027796</v>
      </c>
      <c r="AN2673">
        <v>0.99999998167777004</v>
      </c>
    </row>
    <row r="2674" spans="1:40" x14ac:dyDescent="0.25">
      <c r="A2674" t="str">
        <f>"20190304164141103"</f>
        <v>20190304164141103</v>
      </c>
      <c r="B2674" t="str">
        <f>"1551688901093590"</f>
        <v>1551688901093590</v>
      </c>
      <c r="C2674" t="s">
        <v>40</v>
      </c>
      <c r="D2674">
        <v>4.4456020000000001</v>
      </c>
      <c r="E2674">
        <v>0.51430969999999998</v>
      </c>
      <c r="F2674" t="s">
        <v>46</v>
      </c>
      <c r="G2674">
        <v>-458.82850000000002</v>
      </c>
      <c r="H2674" s="1">
        <v>3.2459659999999998E-6</v>
      </c>
      <c r="I2674">
        <v>282.67939999999999</v>
      </c>
      <c r="J2674">
        <v>-429.30079999999998</v>
      </c>
      <c r="K2674">
        <v>1.1093500000000001</v>
      </c>
      <c r="L2674">
        <v>284.28210000000001</v>
      </c>
      <c r="M2674">
        <v>-0.99985400000000002</v>
      </c>
      <c r="N2674">
        <v>-1.5661040000000001E-2</v>
      </c>
      <c r="O2674">
        <v>-6.8417809999999999E-3</v>
      </c>
      <c r="P2674">
        <v>-0.97038449999999998</v>
      </c>
      <c r="Q2674">
        <v>0.22934669999999999</v>
      </c>
      <c r="R2674">
        <v>-7.5856789999999993E-2</v>
      </c>
      <c r="S2674">
        <v>-3.1058349999999999</v>
      </c>
      <c r="T2674">
        <v>-0.1153793</v>
      </c>
      <c r="U2674">
        <v>-0.1669312</v>
      </c>
      <c r="V2674">
        <v>-6.9151710000000005E-2</v>
      </c>
      <c r="W2674">
        <v>0.24454149999999999</v>
      </c>
      <c r="X2674">
        <v>0.96716979999999997</v>
      </c>
      <c r="Y2674">
        <v>-4.6791899999999997E-2</v>
      </c>
      <c r="Z2674">
        <v>-1.0882660000000001E-3</v>
      </c>
      <c r="AA2674">
        <v>0.99890400000000001</v>
      </c>
      <c r="AB2674">
        <v>58</v>
      </c>
      <c r="AC2674">
        <v>-29.527699999999999</v>
      </c>
      <c r="AD2674">
        <v>-1.1093467540340001</v>
      </c>
      <c r="AE2674">
        <v>-1.60270000000002</v>
      </c>
      <c r="AF2674">
        <v>-1.3986472863403701</v>
      </c>
      <c r="AG2674">
        <v>-1.1093467540340001</v>
      </c>
      <c r="AH2674">
        <v>29.4964639573912</v>
      </c>
      <c r="AI2674">
        <v>92.151434470894102</v>
      </c>
      <c r="AJ2674">
        <v>92.714786675430403</v>
      </c>
      <c r="AK2674">
        <v>29.5504357064655</v>
      </c>
      <c r="AL2674">
        <v>75.845260035717601</v>
      </c>
      <c r="AM2674">
        <v>94.089633685727904</v>
      </c>
      <c r="AN2674">
        <v>0.99999996312510597</v>
      </c>
    </row>
    <row r="2675" spans="1:40" x14ac:dyDescent="0.25">
      <c r="A2675" t="str">
        <f>"20190304164141116"</f>
        <v>20190304164141116</v>
      </c>
      <c r="B2675" t="str">
        <f>"1551688901103349"</f>
        <v>1551688901103349</v>
      </c>
      <c r="C2675" t="s">
        <v>40</v>
      </c>
      <c r="D2675">
        <v>4.4413340000000003</v>
      </c>
      <c r="E2675">
        <v>0.51377720000000004</v>
      </c>
      <c r="F2675" t="s">
        <v>46</v>
      </c>
      <c r="G2675">
        <v>-460.31639999999999</v>
      </c>
      <c r="H2675" s="1">
        <v>-1.2779629999999999E-6</v>
      </c>
      <c r="I2675">
        <v>282.54680000000002</v>
      </c>
      <c r="J2675">
        <v>-429.64909999999998</v>
      </c>
      <c r="K2675">
        <v>1.1093599999999999</v>
      </c>
      <c r="L2675">
        <v>284.27969999999999</v>
      </c>
      <c r="M2675">
        <v>-0.99985409999999997</v>
      </c>
      <c r="N2675">
        <v>-1.5658519999999999E-2</v>
      </c>
      <c r="O2675">
        <v>-6.8346750000000001E-3</v>
      </c>
      <c r="P2675">
        <v>-0.97033259999999999</v>
      </c>
      <c r="Q2675">
        <v>0.2295691</v>
      </c>
      <c r="R2675">
        <v>-7.5846549999999999E-2</v>
      </c>
      <c r="S2675">
        <v>-3.1042179999999999</v>
      </c>
      <c r="T2675">
        <v>-0.1110303</v>
      </c>
      <c r="U2675">
        <v>-0.17367550000000001</v>
      </c>
      <c r="V2675">
        <v>-6.9154240000000006E-2</v>
      </c>
      <c r="W2675">
        <v>0.24475920000000001</v>
      </c>
      <c r="X2675">
        <v>0.96711460000000005</v>
      </c>
      <c r="Y2675">
        <v>-4.8991180000000002E-2</v>
      </c>
      <c r="Z2675">
        <v>-1.1220010000000001E-3</v>
      </c>
      <c r="AA2675">
        <v>0.99879859999999998</v>
      </c>
      <c r="AB2675">
        <v>58</v>
      </c>
      <c r="AC2675">
        <v>-30.667300000000001</v>
      </c>
      <c r="AD2675">
        <v>-1.109361277963</v>
      </c>
      <c r="AE2675">
        <v>-1.7328999999999699</v>
      </c>
      <c r="AF2675">
        <v>-1.52124848401361</v>
      </c>
      <c r="AG2675">
        <v>-1.109361277963</v>
      </c>
      <c r="AH2675">
        <v>30.6384640182936</v>
      </c>
      <c r="AI2675">
        <v>92.071117599344703</v>
      </c>
      <c r="AJ2675">
        <v>92.842492296558703</v>
      </c>
      <c r="AK2675">
        <v>30.6962596548085</v>
      </c>
      <c r="AL2675">
        <v>75.832396528028696</v>
      </c>
      <c r="AM2675">
        <v>94.090015442635405</v>
      </c>
      <c r="AN2675">
        <v>1.0000000122138799</v>
      </c>
    </row>
    <row r="2676" spans="1:40" x14ac:dyDescent="0.25">
      <c r="A2676" t="str">
        <f>"20190304164141129"</f>
        <v>20190304164141129</v>
      </c>
      <c r="B2676" t="str">
        <f>"1551688901123847"</f>
        <v>1551688901123847</v>
      </c>
      <c r="C2676" t="s">
        <v>40</v>
      </c>
      <c r="D2676">
        <v>4.4402540000000004</v>
      </c>
      <c r="E2676">
        <v>0.51330829999999905</v>
      </c>
      <c r="F2676" t="s">
        <v>46</v>
      </c>
      <c r="G2676">
        <v>-460.82780000000002</v>
      </c>
      <c r="H2676" s="1">
        <v>-1.003547E-6</v>
      </c>
      <c r="I2676">
        <v>282.495</v>
      </c>
      <c r="J2676">
        <v>-429.9923</v>
      </c>
      <c r="K2676">
        <v>1.1093729999999999</v>
      </c>
      <c r="L2676">
        <v>284.2774</v>
      </c>
      <c r="M2676">
        <v>-0.99985420000000003</v>
      </c>
      <c r="N2676">
        <v>-1.565604E-2</v>
      </c>
      <c r="O2676">
        <v>-6.8283839999999998E-3</v>
      </c>
      <c r="P2676">
        <v>-0.97033780000000003</v>
      </c>
      <c r="Q2676">
        <v>0.22952910000000001</v>
      </c>
      <c r="R2676">
        <v>-7.5902140000000007E-2</v>
      </c>
      <c r="S2676">
        <v>-3.1039729999999999</v>
      </c>
      <c r="T2676">
        <v>-0.11044180000000001</v>
      </c>
      <c r="U2676">
        <v>-0.17767330000000001</v>
      </c>
      <c r="V2676">
        <v>-6.9221909999999998E-2</v>
      </c>
      <c r="W2676">
        <v>0.2447153</v>
      </c>
      <c r="X2676">
        <v>0.9671208</v>
      </c>
      <c r="Y2676">
        <v>-5.0283309999999998E-2</v>
      </c>
      <c r="Z2676">
        <v>-1.1518310000000001E-3</v>
      </c>
      <c r="AA2676">
        <v>0.99873440000000002</v>
      </c>
      <c r="AB2676">
        <v>58</v>
      </c>
      <c r="AC2676">
        <v>-30.8355</v>
      </c>
      <c r="AD2676">
        <v>-1.1093740035470001</v>
      </c>
      <c r="AE2676">
        <v>-1.78239999999999</v>
      </c>
      <c r="AF2676">
        <v>-1.56975095631955</v>
      </c>
      <c r="AG2676">
        <v>-1.1093740035470001</v>
      </c>
      <c r="AH2676">
        <v>30.807210607706701</v>
      </c>
      <c r="AI2676">
        <v>92.059671964834607</v>
      </c>
      <c r="AJ2676">
        <v>92.916927123183996</v>
      </c>
      <c r="AK2676">
        <v>30.867119304726302</v>
      </c>
      <c r="AL2676">
        <v>75.834989750378298</v>
      </c>
      <c r="AM2676">
        <v>94.093977916432905</v>
      </c>
      <c r="AN2676">
        <v>0.99999994633538702</v>
      </c>
    </row>
    <row r="2677" spans="1:40" x14ac:dyDescent="0.25">
      <c r="A2677" t="str">
        <f>"20190304164141141"</f>
        <v>20190304164141141</v>
      </c>
      <c r="B2677" t="str">
        <f>"1551688901133605"</f>
        <v>1551688901133605</v>
      </c>
      <c r="C2677" t="s">
        <v>40</v>
      </c>
      <c r="D2677">
        <v>4.4364929999999996</v>
      </c>
      <c r="E2677">
        <v>0.5131848</v>
      </c>
      <c r="F2677" t="s">
        <v>46</v>
      </c>
      <c r="G2677">
        <v>-460.98169999999999</v>
      </c>
      <c r="H2677" s="1">
        <v>-9.2027380000000004E-7</v>
      </c>
      <c r="I2677">
        <v>282.46350000000001</v>
      </c>
      <c r="J2677">
        <v>-430.30349999999999</v>
      </c>
      <c r="K2677">
        <v>1.109381</v>
      </c>
      <c r="L2677">
        <v>284.27530000000002</v>
      </c>
      <c r="M2677">
        <v>-0.99985429999999997</v>
      </c>
      <c r="N2677">
        <v>-1.5653790000000001E-2</v>
      </c>
      <c r="O2677">
        <v>-6.822903E-3</v>
      </c>
      <c r="P2677">
        <v>-0.97033100000000005</v>
      </c>
      <c r="Q2677">
        <v>0.22952839999999999</v>
      </c>
      <c r="R2677">
        <v>-7.5993909999999998E-2</v>
      </c>
      <c r="S2677">
        <v>-3.1037599999999999</v>
      </c>
      <c r="T2677">
        <v>-0.11111</v>
      </c>
      <c r="U2677">
        <v>-0.1816711</v>
      </c>
      <c r="V2677">
        <v>-6.9322999999999996E-2</v>
      </c>
      <c r="W2677">
        <v>0.2447107</v>
      </c>
      <c r="X2677">
        <v>0.96711480000000005</v>
      </c>
      <c r="Y2677">
        <v>-5.1573170000000002E-2</v>
      </c>
      <c r="Z2677">
        <v>-1.1890080000000001E-3</v>
      </c>
      <c r="AA2677">
        <v>0.99866849999999996</v>
      </c>
      <c r="AB2677">
        <v>58</v>
      </c>
      <c r="AC2677">
        <v>-30.6782</v>
      </c>
      <c r="AD2677">
        <v>-1.1093819202738</v>
      </c>
      <c r="AE2677">
        <v>-1.8118000000000001</v>
      </c>
      <c r="AF2677">
        <v>-1.6003323539866801</v>
      </c>
      <c r="AG2677">
        <v>-1.1093819202738</v>
      </c>
      <c r="AH2677">
        <v>30.6499079513348</v>
      </c>
      <c r="AI2677">
        <v>92.070114279071902</v>
      </c>
      <c r="AJ2677">
        <v>92.988886662001903</v>
      </c>
      <c r="AK2677">
        <v>30.7117021559135</v>
      </c>
      <c r="AL2677">
        <v>75.835262651046705</v>
      </c>
      <c r="AM2677">
        <v>94.099961638314795</v>
      </c>
      <c r="AN2677">
        <v>1.00000002070126</v>
      </c>
    </row>
    <row r="2678" spans="1:40" x14ac:dyDescent="0.25">
      <c r="A2678" t="str">
        <f>"20190304164141156"</f>
        <v>20190304164141156</v>
      </c>
      <c r="B2678" t="str">
        <f>"1551688901143366"</f>
        <v>1551688901143366</v>
      </c>
      <c r="C2678" t="s">
        <v>40</v>
      </c>
      <c r="D2678">
        <v>4.4296810000000004</v>
      </c>
      <c r="E2678">
        <v>0.5131618</v>
      </c>
      <c r="F2678" t="s">
        <v>46</v>
      </c>
      <c r="G2678">
        <v>-461.04050000000001</v>
      </c>
      <c r="H2678" s="1">
        <v>-8.8901479999999999E-7</v>
      </c>
      <c r="I2678">
        <v>282.46409999999997</v>
      </c>
      <c r="J2678">
        <v>-430.68099999999998</v>
      </c>
      <c r="K2678">
        <v>1.109391</v>
      </c>
      <c r="L2678">
        <v>284.27269999999999</v>
      </c>
      <c r="M2678">
        <v>-0.99985429999999997</v>
      </c>
      <c r="N2678">
        <v>-1.565101E-2</v>
      </c>
      <c r="O2678">
        <v>-6.8177740000000004E-3</v>
      </c>
      <c r="P2678">
        <v>-0.97027960000000002</v>
      </c>
      <c r="Q2678">
        <v>0.22984840000000001</v>
      </c>
      <c r="R2678">
        <v>-7.5680230000000001E-2</v>
      </c>
      <c r="S2678">
        <v>-3.1039119999999998</v>
      </c>
      <c r="T2678">
        <v>-0.11202869999999999</v>
      </c>
      <c r="U2678">
        <v>-0.18289179999999999</v>
      </c>
      <c r="V2678">
        <v>-6.9018960000000004E-2</v>
      </c>
      <c r="W2678">
        <v>0.24502599999999999</v>
      </c>
      <c r="X2678">
        <v>0.96705669999999999</v>
      </c>
      <c r="Y2678">
        <v>-5.1965839999999999E-2</v>
      </c>
      <c r="Z2678">
        <v>-1.204744E-3</v>
      </c>
      <c r="AA2678">
        <v>0.99864810000000004</v>
      </c>
      <c r="AB2678">
        <v>58</v>
      </c>
      <c r="AC2678">
        <v>-30.359500000000001</v>
      </c>
      <c r="AD2678">
        <v>-1.1093918890148</v>
      </c>
      <c r="AE2678">
        <v>-1.80860000000001</v>
      </c>
      <c r="AF2678">
        <v>-1.5994202337355801</v>
      </c>
      <c r="AG2678">
        <v>-1.1093918890148</v>
      </c>
      <c r="AH2678">
        <v>30.330768743088498</v>
      </c>
      <c r="AI2678">
        <v>92.091838677358297</v>
      </c>
      <c r="AJ2678">
        <v>93.0185594473881</v>
      </c>
      <c r="AK2678">
        <v>30.3931641655522</v>
      </c>
      <c r="AL2678">
        <v>75.816629881768606</v>
      </c>
      <c r="AM2678">
        <v>94.082285174870805</v>
      </c>
      <c r="AN2678">
        <v>1.00000000926518</v>
      </c>
    </row>
    <row r="2679" spans="1:40" x14ac:dyDescent="0.25">
      <c r="A2679" t="str">
        <f>"20190304164141169"</f>
        <v>20190304164141169</v>
      </c>
      <c r="B2679" t="str">
        <f>"1551688901163617"</f>
        <v>1551688901163617</v>
      </c>
      <c r="C2679" t="s">
        <v>40</v>
      </c>
      <c r="D2679">
        <v>4.4122960000000004</v>
      </c>
      <c r="E2679">
        <v>0.51316649999999997</v>
      </c>
      <c r="F2679" t="s">
        <v>46</v>
      </c>
      <c r="G2679">
        <v>-461.0247</v>
      </c>
      <c r="H2679" s="1">
        <v>-8.9850289999999999E-7</v>
      </c>
      <c r="I2679">
        <v>282.48930000000001</v>
      </c>
      <c r="J2679">
        <v>-431.0231</v>
      </c>
      <c r="K2679">
        <v>1.109397</v>
      </c>
      <c r="L2679">
        <v>284.27030000000002</v>
      </c>
      <c r="M2679">
        <v>-0.99985429999999997</v>
      </c>
      <c r="N2679">
        <v>-1.5648479999999999E-2</v>
      </c>
      <c r="O2679">
        <v>-6.8135779999999998E-3</v>
      </c>
      <c r="P2679">
        <v>-0.97030190000000005</v>
      </c>
      <c r="Q2679">
        <v>0.22982</v>
      </c>
      <c r="R2679">
        <v>-7.5478240000000002E-2</v>
      </c>
      <c r="S2679">
        <v>-3.1045530000000001</v>
      </c>
      <c r="T2679">
        <v>-0.1135051</v>
      </c>
      <c r="U2679">
        <v>-0.1824646</v>
      </c>
      <c r="V2679">
        <v>-6.8824930000000006E-2</v>
      </c>
      <c r="W2679">
        <v>0.24499460000000001</v>
      </c>
      <c r="X2679">
        <v>0.96707849999999995</v>
      </c>
      <c r="Y2679">
        <v>-5.1820110000000003E-2</v>
      </c>
      <c r="Z2679">
        <v>-1.209906E-3</v>
      </c>
      <c r="AA2679">
        <v>0.99865570000000004</v>
      </c>
      <c r="AB2679">
        <v>58</v>
      </c>
      <c r="AC2679">
        <v>-30.0016</v>
      </c>
      <c r="AD2679">
        <v>-1.1093978985028901</v>
      </c>
      <c r="AE2679">
        <v>-1.7809999999999999</v>
      </c>
      <c r="AF2679">
        <v>-1.57437017935589</v>
      </c>
      <c r="AG2679">
        <v>-1.1093978985028901</v>
      </c>
      <c r="AH2679">
        <v>29.972200729605301</v>
      </c>
      <c r="AI2679">
        <v>92.116875651739093</v>
      </c>
      <c r="AJ2679">
        <v>93.006850965407097</v>
      </c>
      <c r="AK2679">
        <v>30.034017742130299</v>
      </c>
      <c r="AL2679">
        <v>75.818485757580405</v>
      </c>
      <c r="AM2679">
        <v>94.070756004416296</v>
      </c>
      <c r="AN2679">
        <v>1.0000000250904499</v>
      </c>
    </row>
    <row r="2680" spans="1:40" x14ac:dyDescent="0.25">
      <c r="A2680" t="str">
        <f>"20190304164141182"</f>
        <v>20190304164141182</v>
      </c>
      <c r="B2680" t="str">
        <f>"1551688901173377"</f>
        <v>1551688901173377</v>
      </c>
      <c r="C2680" t="s">
        <v>40</v>
      </c>
      <c r="D2680">
        <v>4.4192830000000001</v>
      </c>
      <c r="E2680">
        <v>0.51321989999999995</v>
      </c>
      <c r="F2680" t="s">
        <v>46</v>
      </c>
      <c r="G2680">
        <v>-460.95429999999999</v>
      </c>
      <c r="H2680" s="1">
        <v>-9.3709680000000003E-7</v>
      </c>
      <c r="I2680">
        <v>282.51549999999997</v>
      </c>
      <c r="J2680">
        <v>-431.35059999999999</v>
      </c>
      <c r="K2680">
        <v>1.109402</v>
      </c>
      <c r="L2680">
        <v>284.2681</v>
      </c>
      <c r="M2680">
        <v>-0.99985440000000003</v>
      </c>
      <c r="N2680">
        <v>-1.564604E-2</v>
      </c>
      <c r="O2680">
        <v>-6.8097280000000001E-3</v>
      </c>
      <c r="P2680">
        <v>-0.97027490000000005</v>
      </c>
      <c r="Q2680">
        <v>0.22989119999999999</v>
      </c>
      <c r="R2680">
        <v>-7.5609419999999997E-2</v>
      </c>
      <c r="S2680">
        <v>-3.104889</v>
      </c>
      <c r="T2680">
        <v>-0.1150823</v>
      </c>
      <c r="U2680">
        <v>-0.18203739999999999</v>
      </c>
      <c r="V2680">
        <v>-6.8962979999999993E-2</v>
      </c>
      <c r="W2680">
        <v>0.2450621</v>
      </c>
      <c r="X2680">
        <v>0.96705160000000001</v>
      </c>
      <c r="Y2680">
        <v>-5.167973E-2</v>
      </c>
      <c r="Z2680">
        <v>-1.2158220000000001E-3</v>
      </c>
      <c r="AA2680">
        <v>0.99866290000000002</v>
      </c>
      <c r="AB2680">
        <v>58</v>
      </c>
      <c r="AC2680">
        <v>-29.6037</v>
      </c>
      <c r="AD2680">
        <v>-1.1094029370967999</v>
      </c>
      <c r="AE2680">
        <v>-1.7526000000000199</v>
      </c>
      <c r="AF2680">
        <v>-1.54877404794141</v>
      </c>
      <c r="AG2680">
        <v>-1.1094029370967999</v>
      </c>
      <c r="AH2680">
        <v>29.5735619660406</v>
      </c>
      <c r="AI2680">
        <v>92.145411116047001</v>
      </c>
      <c r="AJ2680">
        <v>92.997854098091196</v>
      </c>
      <c r="AK2680">
        <v>29.6348619583028</v>
      </c>
      <c r="AL2680">
        <v>75.814497213369407</v>
      </c>
      <c r="AM2680">
        <v>94.079006728711093</v>
      </c>
      <c r="AN2680">
        <v>1.00000006126472</v>
      </c>
    </row>
    <row r="2681" spans="1:40" x14ac:dyDescent="0.25">
      <c r="A2681" t="str">
        <f>"20190304164141200"</f>
        <v>20190304164141200</v>
      </c>
      <c r="B2681" t="str">
        <f>"1551688901193873"</f>
        <v>1551688901193873</v>
      </c>
      <c r="C2681" t="s">
        <v>40</v>
      </c>
      <c r="D2681">
        <v>4.4138950000000001</v>
      </c>
      <c r="E2681">
        <v>0.51330249999999999</v>
      </c>
      <c r="F2681" t="s">
        <v>46</v>
      </c>
      <c r="G2681">
        <v>-460.98140000000001</v>
      </c>
      <c r="H2681" s="1">
        <v>-9.233448E-7</v>
      </c>
      <c r="I2681">
        <v>282.5299</v>
      </c>
      <c r="J2681">
        <v>-431.83460000000002</v>
      </c>
      <c r="K2681">
        <v>1.1093999999999999</v>
      </c>
      <c r="L2681">
        <v>284.26479999999998</v>
      </c>
      <c r="M2681">
        <v>-0.99985469999999999</v>
      </c>
      <c r="N2681">
        <v>-1.5642469999999999E-2</v>
      </c>
      <c r="O2681">
        <v>-6.804587E-3</v>
      </c>
      <c r="P2681">
        <v>-0.97040280000000001</v>
      </c>
      <c r="Q2681">
        <v>0.22947090000000001</v>
      </c>
      <c r="R2681">
        <v>-7.5245999999999993E-2</v>
      </c>
      <c r="S2681">
        <v>-3.1052550000000001</v>
      </c>
      <c r="T2681">
        <v>-0.11626350000000001</v>
      </c>
      <c r="U2681">
        <v>-0.1821594</v>
      </c>
      <c r="V2681">
        <v>-6.8608080000000002E-2</v>
      </c>
      <c r="W2681">
        <v>0.24463950000000001</v>
      </c>
      <c r="X2681">
        <v>0.96718380000000004</v>
      </c>
      <c r="Y2681">
        <v>-5.1716249999999998E-2</v>
      </c>
      <c r="Z2681">
        <v>-1.2239320000000001E-3</v>
      </c>
      <c r="AA2681">
        <v>0.99866100000000002</v>
      </c>
      <c r="AB2681">
        <v>58</v>
      </c>
      <c r="AC2681">
        <v>-29.146799999999899</v>
      </c>
      <c r="AD2681">
        <v>-1.1094009233447999</v>
      </c>
      <c r="AE2681">
        <v>-1.7348999999999799</v>
      </c>
      <c r="AF2681">
        <v>-1.5342886973726899</v>
      </c>
      <c r="AG2681">
        <v>-1.1094009233447999</v>
      </c>
      <c r="AH2681">
        <v>29.115898848517698</v>
      </c>
      <c r="AI2681">
        <v>92.179060764523797</v>
      </c>
      <c r="AJ2681">
        <v>93.016463035006197</v>
      </c>
      <c r="AK2681">
        <v>29.177394982635501</v>
      </c>
      <c r="AL2681">
        <v>75.839470101802306</v>
      </c>
      <c r="AM2681">
        <v>94.057532667344503</v>
      </c>
      <c r="AN2681">
        <v>1.0000000282919801</v>
      </c>
    </row>
    <row r="2682" spans="1:40" x14ac:dyDescent="0.25">
      <c r="A2682" t="str">
        <f>"20190304164141215"</f>
        <v>20190304164141215</v>
      </c>
      <c r="B2682" t="str">
        <f>"1551688901203633"</f>
        <v>1551688901203633</v>
      </c>
      <c r="C2682" t="s">
        <v>40</v>
      </c>
      <c r="D2682">
        <v>4.4312019999999999</v>
      </c>
      <c r="E2682">
        <v>0.51326779999999905</v>
      </c>
      <c r="F2682" t="s">
        <v>46</v>
      </c>
      <c r="G2682">
        <v>-461.0772</v>
      </c>
      <c r="H2682" s="1">
        <v>-8.740861E-7</v>
      </c>
      <c r="I2682">
        <v>282.56959999999998</v>
      </c>
      <c r="J2682">
        <v>-432.19889999999998</v>
      </c>
      <c r="K2682">
        <v>1.1094059999999999</v>
      </c>
      <c r="L2682">
        <v>284.26240000000001</v>
      </c>
      <c r="M2682">
        <v>-0.99985449999999998</v>
      </c>
      <c r="N2682">
        <v>-1.5639810000000001E-2</v>
      </c>
      <c r="O2682">
        <v>-6.8015480000000001E-3</v>
      </c>
      <c r="P2682">
        <v>-0.97046549999999998</v>
      </c>
      <c r="Q2682">
        <v>0.2291485</v>
      </c>
      <c r="R2682">
        <v>-7.5414910000000002E-2</v>
      </c>
      <c r="S2682">
        <v>-3.1054080000000002</v>
      </c>
      <c r="T2682">
        <v>-0.11781229999999999</v>
      </c>
      <c r="U2682">
        <v>-0.18002319999999999</v>
      </c>
      <c r="V2682">
        <v>-6.8781750000000003E-2</v>
      </c>
      <c r="W2682">
        <v>0.24431439999999999</v>
      </c>
      <c r="X2682">
        <v>0.96725360000000005</v>
      </c>
      <c r="Y2682">
        <v>-5.1031340000000001E-2</v>
      </c>
      <c r="Z2682">
        <v>-1.215034E-3</v>
      </c>
      <c r="AA2682">
        <v>0.99869629999999998</v>
      </c>
      <c r="AB2682">
        <v>58</v>
      </c>
      <c r="AC2682">
        <v>-28.878299999999999</v>
      </c>
      <c r="AD2682">
        <v>-1.1094068740860901</v>
      </c>
      <c r="AE2682">
        <v>-1.6928000000000301</v>
      </c>
      <c r="AF2682">
        <v>-1.49412212314023</v>
      </c>
      <c r="AG2682">
        <v>-1.1094068740860901</v>
      </c>
      <c r="AH2682">
        <v>28.846719650678398</v>
      </c>
      <c r="AI2682">
        <v>92.199489395495405</v>
      </c>
      <c r="AJ2682">
        <v>92.964997821232004</v>
      </c>
      <c r="AK2682">
        <v>28.906684679083501</v>
      </c>
      <c r="AL2682">
        <v>75.858679338818604</v>
      </c>
      <c r="AM2682">
        <v>94.067476646984005</v>
      </c>
      <c r="AN2682">
        <v>0.99999999094669101</v>
      </c>
    </row>
    <row r="2683" spans="1:40" x14ac:dyDescent="0.25">
      <c r="A2683" t="str">
        <f>"20190304164141229"</f>
        <v>20190304164141229</v>
      </c>
      <c r="B2683" t="str">
        <f>"1551688901224130"</f>
        <v>1551688901224130</v>
      </c>
      <c r="C2683" t="s">
        <v>40</v>
      </c>
      <c r="D2683">
        <v>4.4111739999999999</v>
      </c>
      <c r="E2683">
        <v>0.51326570000000005</v>
      </c>
      <c r="F2683" t="s">
        <v>46</v>
      </c>
      <c r="G2683">
        <v>-461.1884</v>
      </c>
      <c r="H2683" s="1">
        <v>-8.1507639999999998E-7</v>
      </c>
      <c r="I2683">
        <v>282.5729</v>
      </c>
      <c r="J2683">
        <v>-432.57850000000002</v>
      </c>
      <c r="K2683">
        <v>1.109413</v>
      </c>
      <c r="L2683">
        <v>284.25979999999998</v>
      </c>
      <c r="M2683">
        <v>-0.99985480000000004</v>
      </c>
      <c r="N2683">
        <v>-1.5637120000000001E-2</v>
      </c>
      <c r="O2683">
        <v>-6.7992199999999999E-3</v>
      </c>
      <c r="P2683">
        <v>-0.97054470000000004</v>
      </c>
      <c r="Q2683">
        <v>0.2287845</v>
      </c>
      <c r="R2683">
        <v>-7.5506439999999994E-2</v>
      </c>
      <c r="S2683">
        <v>-3.1052550000000001</v>
      </c>
      <c r="T2683">
        <v>-0.11883589999999999</v>
      </c>
      <c r="U2683">
        <v>-0.1809692</v>
      </c>
      <c r="V2683">
        <v>-6.8877320000000006E-2</v>
      </c>
      <c r="W2683">
        <v>0.2439482</v>
      </c>
      <c r="X2683">
        <v>0.96733919999999995</v>
      </c>
      <c r="Y2683">
        <v>-5.1338710000000003E-2</v>
      </c>
      <c r="Z2683">
        <v>-1.229471E-3</v>
      </c>
      <c r="AA2683">
        <v>0.99868049999999997</v>
      </c>
      <c r="AB2683">
        <v>58</v>
      </c>
      <c r="AC2683">
        <v>-28.6098999999999</v>
      </c>
      <c r="AD2683">
        <v>-1.1094138150763999</v>
      </c>
      <c r="AE2683">
        <v>-1.6868999999999801</v>
      </c>
      <c r="AF2683">
        <v>-1.49007940751152</v>
      </c>
      <c r="AG2683">
        <v>-1.1094138150763999</v>
      </c>
      <c r="AH2683">
        <v>28.577886500843402</v>
      </c>
      <c r="AI2683">
        <v>92.220133587379607</v>
      </c>
      <c r="AJ2683">
        <v>92.984755983182097</v>
      </c>
      <c r="AK2683">
        <v>28.6382040726869</v>
      </c>
      <c r="AL2683">
        <v>75.880315402320704</v>
      </c>
      <c r="AM2683">
        <v>94.072750047472397</v>
      </c>
      <c r="AN2683">
        <v>0.99999996867512997</v>
      </c>
    </row>
    <row r="2684" spans="1:40" x14ac:dyDescent="0.25">
      <c r="A2684" t="str">
        <f>"20190304164141242"</f>
        <v>20190304164141242</v>
      </c>
      <c r="B2684" t="str">
        <f>"1551688901233889"</f>
        <v>1551688901233889</v>
      </c>
      <c r="C2684" t="s">
        <v>40</v>
      </c>
      <c r="D2684">
        <v>4.419835</v>
      </c>
      <c r="E2684">
        <v>0.51323929999999995</v>
      </c>
      <c r="F2684" t="s">
        <v>46</v>
      </c>
      <c r="G2684">
        <v>-461.23779999999999</v>
      </c>
      <c r="H2684" s="1">
        <v>-7.8957709999999997E-7</v>
      </c>
      <c r="I2684">
        <v>282.59070000000003</v>
      </c>
      <c r="J2684">
        <v>-432.91160000000002</v>
      </c>
      <c r="K2684">
        <v>1.109418</v>
      </c>
      <c r="L2684">
        <v>284.25749999999999</v>
      </c>
      <c r="M2684">
        <v>-0.99985469999999999</v>
      </c>
      <c r="N2684">
        <v>-1.5634820000000001E-2</v>
      </c>
      <c r="O2684">
        <v>-6.7971180000000004E-3</v>
      </c>
      <c r="P2684">
        <v>-0.97051109999999896</v>
      </c>
      <c r="Q2684">
        <v>0.2288829</v>
      </c>
      <c r="R2684">
        <v>-7.5635980000000005E-2</v>
      </c>
      <c r="S2684">
        <v>-3.1053160000000002</v>
      </c>
      <c r="T2684">
        <v>-0.1202083</v>
      </c>
      <c r="U2684">
        <v>-0.18084720000000001</v>
      </c>
      <c r="V2684">
        <v>-6.9011230000000007E-2</v>
      </c>
      <c r="W2684">
        <v>0.24404400000000001</v>
      </c>
      <c r="X2684">
        <v>0.96730550000000004</v>
      </c>
      <c r="Y2684">
        <v>-5.1299619999999997E-2</v>
      </c>
      <c r="Z2684">
        <v>-1.236696E-3</v>
      </c>
      <c r="AA2684">
        <v>0.99868259999999998</v>
      </c>
      <c r="AB2684">
        <v>58</v>
      </c>
      <c r="AC2684">
        <v>-28.326199999999901</v>
      </c>
      <c r="AD2684">
        <v>-1.1094187895770999</v>
      </c>
      <c r="AE2684">
        <v>-1.6667999999999601</v>
      </c>
      <c r="AF2684">
        <v>-1.47195130707491</v>
      </c>
      <c r="AG2684">
        <v>-1.1094187895770999</v>
      </c>
      <c r="AH2684">
        <v>28.293624740323601</v>
      </c>
      <c r="AI2684">
        <v>92.242439917754993</v>
      </c>
      <c r="AJ2684">
        <v>92.978078477913499</v>
      </c>
      <c r="AK2684">
        <v>28.353600329540399</v>
      </c>
      <c r="AL2684">
        <v>75.874655520732901</v>
      </c>
      <c r="AM2684">
        <v>94.080783174482704</v>
      </c>
      <c r="AN2684">
        <v>0.99999997706618104</v>
      </c>
    </row>
    <row r="2685" spans="1:40" x14ac:dyDescent="0.25">
      <c r="A2685" t="str">
        <f>"20190304164141255"</f>
        <v>20190304164141255</v>
      </c>
      <c r="B2685" t="str">
        <f>"1551688901244625"</f>
        <v>1551688901244625</v>
      </c>
      <c r="C2685" t="s">
        <v>40</v>
      </c>
      <c r="D2685">
        <v>4.4150359999999997</v>
      </c>
      <c r="E2685">
        <v>0.5132755</v>
      </c>
      <c r="F2685" t="s">
        <v>46</v>
      </c>
      <c r="G2685">
        <v>-461.69119999999998</v>
      </c>
      <c r="H2685" s="1">
        <v>-5.4771499999999995E-7</v>
      </c>
      <c r="I2685">
        <v>282.57749999999999</v>
      </c>
      <c r="J2685">
        <v>-433.26089999999999</v>
      </c>
      <c r="K2685">
        <v>1.1094219999999999</v>
      </c>
      <c r="L2685">
        <v>284.2552</v>
      </c>
      <c r="M2685">
        <v>-0.99985480000000004</v>
      </c>
      <c r="N2685">
        <v>-1.5632340000000002E-2</v>
      </c>
      <c r="O2685">
        <v>-6.7955999999999997E-3</v>
      </c>
      <c r="P2685">
        <v>-0.97054600000000002</v>
      </c>
      <c r="Q2685">
        <v>0.22867460000000001</v>
      </c>
      <c r="R2685">
        <v>-7.5819839999999999E-2</v>
      </c>
      <c r="S2685">
        <v>-3.1052550000000001</v>
      </c>
      <c r="T2685">
        <v>-0.119704</v>
      </c>
      <c r="U2685">
        <v>-0.1812744</v>
      </c>
      <c r="V2685">
        <v>-6.9198120000000002E-2</v>
      </c>
      <c r="W2685">
        <v>0.2438331</v>
      </c>
      <c r="X2685">
        <v>0.96734540000000002</v>
      </c>
      <c r="Y2685">
        <v>-5.1439430000000001E-2</v>
      </c>
      <c r="Z2685">
        <v>-1.2373919999999999E-3</v>
      </c>
      <c r="AA2685">
        <v>0.99867530000000004</v>
      </c>
      <c r="AB2685">
        <v>58</v>
      </c>
      <c r="AC2685">
        <v>-28.4302999999999</v>
      </c>
      <c r="AD2685">
        <v>-1.1094225477149999</v>
      </c>
      <c r="AE2685">
        <v>-1.67770000000001</v>
      </c>
      <c r="AF2685">
        <v>-1.48218752948308</v>
      </c>
      <c r="AG2685">
        <v>-1.1094225477149999</v>
      </c>
      <c r="AH2685">
        <v>28.397952577948601</v>
      </c>
      <c r="AI2685">
        <v>92.234197970352</v>
      </c>
      <c r="AJ2685">
        <v>92.9877541636628</v>
      </c>
      <c r="AK2685">
        <v>28.458239736170501</v>
      </c>
      <c r="AL2685">
        <v>75.887116542544604</v>
      </c>
      <c r="AM2685">
        <v>94.091628696881997</v>
      </c>
      <c r="AN2685">
        <v>1.0000000416841499</v>
      </c>
    </row>
    <row r="2686" spans="1:40" x14ac:dyDescent="0.25">
      <c r="A2686" t="str">
        <f>"20190304164141270"</f>
        <v>20190304164141270</v>
      </c>
      <c r="B2686" t="str">
        <f>"1551688901263676"</f>
        <v>1551688901263676</v>
      </c>
      <c r="C2686" t="s">
        <v>40</v>
      </c>
      <c r="D2686">
        <v>4.4243079999999999</v>
      </c>
      <c r="E2686">
        <v>0.51327129999999999</v>
      </c>
      <c r="F2686" t="s">
        <v>46</v>
      </c>
      <c r="G2686">
        <v>-461.92020000000002</v>
      </c>
      <c r="H2686" s="1">
        <v>-4.2596850000000001E-7</v>
      </c>
      <c r="I2686">
        <v>282.58010000000002</v>
      </c>
      <c r="J2686">
        <v>-433.61770000000001</v>
      </c>
      <c r="K2686">
        <v>1.109416</v>
      </c>
      <c r="L2686">
        <v>284.2527</v>
      </c>
      <c r="M2686">
        <v>-0.99985489999999999</v>
      </c>
      <c r="N2686">
        <v>-1.5629810000000001E-2</v>
      </c>
      <c r="O2686">
        <v>-6.7943190000000001E-3</v>
      </c>
      <c r="P2686">
        <v>-0.9704644</v>
      </c>
      <c r="Q2686">
        <v>0.2288858</v>
      </c>
      <c r="R2686">
        <v>-7.6227359999999994E-2</v>
      </c>
      <c r="S2686">
        <v>-3.105194</v>
      </c>
      <c r="T2686">
        <v>-0.12020459999999999</v>
      </c>
      <c r="U2686">
        <v>-0.18148800000000001</v>
      </c>
      <c r="V2686">
        <v>-6.9609050000000006E-2</v>
      </c>
      <c r="W2686">
        <v>0.24404020000000001</v>
      </c>
      <c r="X2686">
        <v>0.9672636</v>
      </c>
      <c r="Y2686">
        <v>-5.1509880000000001E-2</v>
      </c>
      <c r="Z2686">
        <v>-1.242312E-3</v>
      </c>
      <c r="AA2686">
        <v>0.99867169999999905</v>
      </c>
      <c r="AB2686">
        <v>58</v>
      </c>
      <c r="AC2686">
        <v>-28.302499999999998</v>
      </c>
      <c r="AD2686">
        <v>-1.1094164259685</v>
      </c>
      <c r="AE2686">
        <v>-1.6725999999999801</v>
      </c>
      <c r="AF2686">
        <v>-1.47797865746143</v>
      </c>
      <c r="AG2686">
        <v>-1.1094164259685</v>
      </c>
      <c r="AH2686">
        <v>28.269925870190701</v>
      </c>
      <c r="AI2686">
        <v>92.244283124748094</v>
      </c>
      <c r="AJ2686">
        <v>92.992753228162599</v>
      </c>
      <c r="AK2686">
        <v>28.330265343342599</v>
      </c>
      <c r="AL2686">
        <v>75.874879721545398</v>
      </c>
      <c r="AM2686">
        <v>94.116190270640601</v>
      </c>
      <c r="AN2686">
        <v>0.99999995547145004</v>
      </c>
    </row>
    <row r="2687" spans="1:40" x14ac:dyDescent="0.25">
      <c r="A2687" t="str">
        <f>"20190304164141291"</f>
        <v>20190304164141291</v>
      </c>
      <c r="B2687" t="str">
        <f>"1551688901283196"</f>
        <v>1551688901283196</v>
      </c>
      <c r="C2687" t="s">
        <v>40</v>
      </c>
      <c r="D2687">
        <v>4.4415319999999996</v>
      </c>
      <c r="E2687">
        <v>0.51322389999999996</v>
      </c>
      <c r="F2687" t="s">
        <v>46</v>
      </c>
      <c r="G2687">
        <v>-462.34140000000002</v>
      </c>
      <c r="H2687" s="1">
        <v>-2.0116869999999999E-7</v>
      </c>
      <c r="I2687">
        <v>282.5652</v>
      </c>
      <c r="J2687">
        <v>-434.14800000000002</v>
      </c>
      <c r="K2687">
        <v>1.109421</v>
      </c>
      <c r="L2687">
        <v>284.2491</v>
      </c>
      <c r="M2687">
        <v>-0.99985489999999999</v>
      </c>
      <c r="N2687">
        <v>-1.5626040000000001E-2</v>
      </c>
      <c r="O2687">
        <v>-6.7924500000000002E-3</v>
      </c>
      <c r="P2687">
        <v>-0.97028150000000002</v>
      </c>
      <c r="Q2687">
        <v>0.22941690000000001</v>
      </c>
      <c r="R2687">
        <v>-7.6954099999999998E-2</v>
      </c>
      <c r="S2687">
        <v>-3.1052550000000001</v>
      </c>
      <c r="T2687">
        <v>-0.1199368</v>
      </c>
      <c r="U2687">
        <v>-0.18243409999999999</v>
      </c>
      <c r="V2687">
        <v>-7.0340650000000005E-2</v>
      </c>
      <c r="W2687">
        <v>0.24456410000000001</v>
      </c>
      <c r="X2687">
        <v>0.9670784</v>
      </c>
      <c r="Y2687">
        <v>-5.1813699999999997E-2</v>
      </c>
      <c r="Z2687">
        <v>-1.2488180000000001E-3</v>
      </c>
      <c r="AA2687">
        <v>0.99865599999999999</v>
      </c>
      <c r="AB2687">
        <v>58</v>
      </c>
      <c r="AC2687">
        <v>-28.1934</v>
      </c>
      <c r="AD2687">
        <v>-1.1094212011686999</v>
      </c>
      <c r="AE2687">
        <v>-1.68389999999999</v>
      </c>
      <c r="AF2687">
        <v>-1.4900364633363801</v>
      </c>
      <c r="AG2687">
        <v>-1.1094212011686999</v>
      </c>
      <c r="AH2687">
        <v>28.160738073815399</v>
      </c>
      <c r="AI2687">
        <v>92.252911159441297</v>
      </c>
      <c r="AJ2687">
        <v>93.028800677269501</v>
      </c>
      <c r="AK2687">
        <v>28.2219452363885</v>
      </c>
      <c r="AL2687">
        <v>75.843925407912494</v>
      </c>
      <c r="AM2687">
        <v>94.160094642846104</v>
      </c>
      <c r="AN2687">
        <v>1.00000001889889</v>
      </c>
    </row>
    <row r="2688" spans="1:40" x14ac:dyDescent="0.25">
      <c r="A2688" t="str">
        <f>"20190304164141313"</f>
        <v>20190304164141313</v>
      </c>
      <c r="B2688" t="str">
        <f>"1551688901303693"</f>
        <v>1551688901303693</v>
      </c>
      <c r="C2688" t="s">
        <v>40</v>
      </c>
      <c r="D2688">
        <v>4.4406470000000002</v>
      </c>
      <c r="E2688">
        <v>0.51315670000000002</v>
      </c>
      <c r="F2688" t="s">
        <v>46</v>
      </c>
      <c r="G2688">
        <v>-463.24189999999999</v>
      </c>
      <c r="H2688" s="1">
        <v>2.8027499999999999E-7</v>
      </c>
      <c r="I2688">
        <v>282.51409999999998</v>
      </c>
      <c r="J2688">
        <v>-434.71640000000002</v>
      </c>
      <c r="K2688">
        <v>1.109424</v>
      </c>
      <c r="L2688">
        <v>284.24520000000001</v>
      </c>
      <c r="M2688">
        <v>-0.99985500000000005</v>
      </c>
      <c r="N2688">
        <v>-1.5622E-2</v>
      </c>
      <c r="O2688">
        <v>-6.7908119999999898E-3</v>
      </c>
      <c r="P2688">
        <v>-0.97008220000000001</v>
      </c>
      <c r="Q2688">
        <v>0.23006570000000001</v>
      </c>
      <c r="R2688">
        <v>-7.752676E-2</v>
      </c>
      <c r="S2688">
        <v>-3.1052249999999999</v>
      </c>
      <c r="T2688">
        <v>-0.1184098</v>
      </c>
      <c r="U2688">
        <v>-0.1851807</v>
      </c>
      <c r="V2688">
        <v>-7.0918120000000001E-2</v>
      </c>
      <c r="W2688">
        <v>0.24520539999999999</v>
      </c>
      <c r="X2688">
        <v>0.96687380000000001</v>
      </c>
      <c r="Y2688">
        <v>-5.2696319999999998E-2</v>
      </c>
      <c r="Z2688">
        <v>-1.263045E-3</v>
      </c>
      <c r="AA2688">
        <v>0.99860979999999999</v>
      </c>
      <c r="AB2688">
        <v>58</v>
      </c>
      <c r="AC2688">
        <v>-28.525499999999901</v>
      </c>
      <c r="AD2688">
        <v>-1.1094237197250001</v>
      </c>
      <c r="AE2688">
        <v>-1.7311000000000201</v>
      </c>
      <c r="AF2688">
        <v>-1.5350117812464099</v>
      </c>
      <c r="AG2688">
        <v>-1.1094237197250001</v>
      </c>
      <c r="AH2688">
        <v>28.4936573280986</v>
      </c>
      <c r="AI2688">
        <v>92.226506185089605</v>
      </c>
      <c r="AJ2688">
        <v>93.083660371473698</v>
      </c>
      <c r="AK2688">
        <v>28.5565332295354</v>
      </c>
      <c r="AL2688">
        <v>75.806027543897102</v>
      </c>
      <c r="AM2688">
        <v>94.195010409288201</v>
      </c>
      <c r="AN2688">
        <v>1.0000000065299599</v>
      </c>
    </row>
    <row r="2689" spans="1:40" x14ac:dyDescent="0.25">
      <c r="A2689" t="str">
        <f>"20190304164141334"</f>
        <v>20190304164141334</v>
      </c>
      <c r="B2689" t="str">
        <f>"1551688901323212"</f>
        <v>1551688901323212</v>
      </c>
      <c r="C2689" t="s">
        <v>40</v>
      </c>
      <c r="D2689">
        <v>4.4592169999999998</v>
      </c>
      <c r="E2689">
        <v>0.51301960000000002</v>
      </c>
      <c r="F2689" t="s">
        <v>46</v>
      </c>
      <c r="G2689">
        <v>-464.4341</v>
      </c>
      <c r="H2689" s="1">
        <v>9.1746379999999998E-7</v>
      </c>
      <c r="I2689">
        <v>282.45069999999998</v>
      </c>
      <c r="J2689">
        <v>-435.27949999999998</v>
      </c>
      <c r="K2689">
        <v>1.1094379999999999</v>
      </c>
      <c r="L2689">
        <v>284.2414</v>
      </c>
      <c r="M2689">
        <v>-0.99985500000000005</v>
      </c>
      <c r="N2689">
        <v>-1.5618E-2</v>
      </c>
      <c r="O2689">
        <v>-6.7890449999999996E-3</v>
      </c>
      <c r="P2689">
        <v>-0.97008099999999997</v>
      </c>
      <c r="Q2689">
        <v>0.2300172</v>
      </c>
      <c r="R2689">
        <v>-7.7685749999999998E-2</v>
      </c>
      <c r="S2689">
        <v>-3.1050420000000001</v>
      </c>
      <c r="T2689">
        <v>-0.1159176</v>
      </c>
      <c r="U2689">
        <v>-0.1875</v>
      </c>
      <c r="V2689">
        <v>-7.1080480000000001E-2</v>
      </c>
      <c r="W2689">
        <v>0.2451527</v>
      </c>
      <c r="X2689">
        <v>0.96687529999999999</v>
      </c>
      <c r="Y2689">
        <v>-5.3445880000000001E-2</v>
      </c>
      <c r="Z2689">
        <v>-1.2671480000000001E-3</v>
      </c>
      <c r="AA2689">
        <v>0.99856999999999996</v>
      </c>
      <c r="AB2689">
        <v>58</v>
      </c>
      <c r="AC2689">
        <v>-29.154599999999999</v>
      </c>
      <c r="AD2689">
        <v>-1.1094370825362001</v>
      </c>
      <c r="AE2689">
        <v>-1.79070000000001</v>
      </c>
      <c r="AF2689">
        <v>-1.5904083137906699</v>
      </c>
      <c r="AG2689">
        <v>-1.1094370825362001</v>
      </c>
      <c r="AH2689">
        <v>29.1240712218362</v>
      </c>
      <c r="AI2689">
        <v>92.178298206624902</v>
      </c>
      <c r="AJ2689">
        <v>93.125705435450698</v>
      </c>
      <c r="AK2689">
        <v>29.188555527454</v>
      </c>
      <c r="AL2689">
        <v>75.809142917601804</v>
      </c>
      <c r="AM2689">
        <v>94.204573566406793</v>
      </c>
      <c r="AN2689">
        <v>1.0000000633521999</v>
      </c>
    </row>
    <row r="2690" spans="1:40" x14ac:dyDescent="0.25">
      <c r="A2690" t="str">
        <f>"20190304164141358"</f>
        <v>20190304164141358</v>
      </c>
      <c r="B2690" t="str">
        <f>"1551688901343709"</f>
        <v>1551688901343709</v>
      </c>
      <c r="C2690" t="s">
        <v>40</v>
      </c>
      <c r="D2690">
        <v>4.4786320000000002</v>
      </c>
      <c r="E2690">
        <v>0.51290329999999995</v>
      </c>
      <c r="F2690" t="s">
        <v>46</v>
      </c>
      <c r="G2690">
        <v>-465.2638</v>
      </c>
      <c r="H2690" s="1">
        <v>1.36061E-6</v>
      </c>
      <c r="I2690">
        <v>282.41430000000003</v>
      </c>
      <c r="J2690">
        <v>-435.86810000000003</v>
      </c>
      <c r="K2690">
        <v>1.109442</v>
      </c>
      <c r="L2690">
        <v>284.23739999999998</v>
      </c>
      <c r="M2690">
        <v>-0.99985500000000005</v>
      </c>
      <c r="N2690">
        <v>-1.5613800000000001E-2</v>
      </c>
      <c r="O2690">
        <v>-6.7876280000000004E-3</v>
      </c>
      <c r="P2690">
        <v>-0.96997370000000005</v>
      </c>
      <c r="Q2690">
        <v>0.2303587</v>
      </c>
      <c r="R2690">
        <v>-7.8011650000000002E-2</v>
      </c>
      <c r="S2690">
        <v>-3.1046450000000001</v>
      </c>
      <c r="T2690">
        <v>-0.11487360000000001</v>
      </c>
      <c r="U2690">
        <v>-0.1891785</v>
      </c>
      <c r="V2690">
        <v>-7.1409840000000002E-2</v>
      </c>
      <c r="W2690">
        <v>0.24548780000000001</v>
      </c>
      <c r="X2690">
        <v>0.96676589999999996</v>
      </c>
      <c r="Y2690">
        <v>-5.3993060000000002E-2</v>
      </c>
      <c r="Z2690">
        <v>-1.274821E-3</v>
      </c>
      <c r="AA2690">
        <v>0.99854050000000005</v>
      </c>
      <c r="AB2690">
        <v>57</v>
      </c>
      <c r="AC2690">
        <v>-29.395699999999898</v>
      </c>
      <c r="AD2690">
        <v>-1.10944063939</v>
      </c>
      <c r="AE2690">
        <v>-1.82309999999995</v>
      </c>
      <c r="AF2690">
        <v>-1.6212061354040599</v>
      </c>
      <c r="AG2690">
        <v>-1.10944063939</v>
      </c>
      <c r="AH2690">
        <v>29.365729608862502</v>
      </c>
      <c r="AI2690">
        <v>92.160325569615296</v>
      </c>
      <c r="AJ2690">
        <v>93.159944350018904</v>
      </c>
      <c r="AK2690">
        <v>29.4313649586054</v>
      </c>
      <c r="AL2690">
        <v>75.789336480640003</v>
      </c>
      <c r="AM2690">
        <v>94.224461872882699</v>
      </c>
      <c r="AN2690">
        <v>0.99999996530023705</v>
      </c>
    </row>
    <row r="2691" spans="1:40" x14ac:dyDescent="0.25">
      <c r="A2691" t="str">
        <f>"20190304164141372"</f>
        <v>20190304164141372</v>
      </c>
      <c r="B2691" t="str">
        <f>"1551688901363229"</f>
        <v>1551688901363229</v>
      </c>
      <c r="C2691" t="s">
        <v>40</v>
      </c>
      <c r="D2691">
        <v>4.4647899999999998</v>
      </c>
      <c r="E2691">
        <v>0.51285420000000004</v>
      </c>
      <c r="F2691" t="s">
        <v>46</v>
      </c>
      <c r="G2691">
        <v>-466.30939999999998</v>
      </c>
      <c r="H2691" s="1">
        <v>1.9190460000000002E-6</v>
      </c>
      <c r="I2691">
        <v>282.36829999999998</v>
      </c>
      <c r="J2691">
        <v>-436.26949999999999</v>
      </c>
      <c r="K2691">
        <v>1.1094440000000001</v>
      </c>
      <c r="L2691">
        <v>284.23469999999998</v>
      </c>
      <c r="M2691">
        <v>-0.99985520000000006</v>
      </c>
      <c r="N2691">
        <v>-1.561094E-2</v>
      </c>
      <c r="O2691">
        <v>-6.7871569999999899E-3</v>
      </c>
      <c r="P2691">
        <v>-0.96998059999999997</v>
      </c>
      <c r="Q2691">
        <v>0.23027690000000001</v>
      </c>
      <c r="R2691">
        <v>-7.8169409999999995E-2</v>
      </c>
      <c r="S2691">
        <v>-3.1044010000000002</v>
      </c>
      <c r="T2691">
        <v>-0.1131403</v>
      </c>
      <c r="U2691">
        <v>-0.1906128</v>
      </c>
      <c r="V2691">
        <v>-7.1569090000000002E-2</v>
      </c>
      <c r="W2691">
        <v>0.24540319999999999</v>
      </c>
      <c r="X2691">
        <v>0.96677570000000002</v>
      </c>
      <c r="Y2691">
        <v>-5.445875E-2</v>
      </c>
      <c r="Z2691">
        <v>-1.2756359999999999E-3</v>
      </c>
      <c r="AA2691">
        <v>0.99851520000000005</v>
      </c>
      <c r="AB2691">
        <v>57</v>
      </c>
      <c r="AC2691">
        <v>-30.0398999999999</v>
      </c>
      <c r="AD2691">
        <v>-1.109442080954</v>
      </c>
      <c r="AE2691">
        <v>-1.8663999999999901</v>
      </c>
      <c r="AF2691">
        <v>-1.6601908724158301</v>
      </c>
      <c r="AG2691">
        <v>-1.109442080954</v>
      </c>
      <c r="AH2691">
        <v>30.011099479947099</v>
      </c>
      <c r="AI2691">
        <v>92.113901466530194</v>
      </c>
      <c r="AJ2691">
        <v>93.166331068998304</v>
      </c>
      <c r="AK2691">
        <v>30.0774531411674</v>
      </c>
      <c r="AL2691">
        <v>75.794338025845306</v>
      </c>
      <c r="AM2691">
        <v>94.233805800236993</v>
      </c>
      <c r="AN2691">
        <v>1.00000005966207</v>
      </c>
    </row>
    <row r="2692" spans="1:40" x14ac:dyDescent="0.25">
      <c r="A2692" t="str">
        <f>"20190304164141387"</f>
        <v>20190304164141387</v>
      </c>
      <c r="B2692" t="str">
        <f>"1551688901383725"</f>
        <v>1551688901383725</v>
      </c>
      <c r="C2692" t="s">
        <v>40</v>
      </c>
      <c r="D2692">
        <v>4.4605100000000002</v>
      </c>
      <c r="E2692">
        <v>0.51213469999999905</v>
      </c>
      <c r="F2692" t="s">
        <v>46</v>
      </c>
      <c r="G2692">
        <v>-466.57369999999997</v>
      </c>
      <c r="H2692" s="1">
        <v>2.059649E-6</v>
      </c>
      <c r="I2692">
        <v>282.36860000000001</v>
      </c>
      <c r="J2692">
        <v>-436.6361</v>
      </c>
      <c r="K2692">
        <v>1.109445</v>
      </c>
      <c r="L2692">
        <v>284.23219999999998</v>
      </c>
      <c r="M2692">
        <v>-0.9998551</v>
      </c>
      <c r="N2692">
        <v>-1.560832E-2</v>
      </c>
      <c r="O2692">
        <v>-6.7864429999999996E-3</v>
      </c>
      <c r="P2692">
        <v>-0.96991550000000004</v>
      </c>
      <c r="Q2692">
        <v>0.23041790000000001</v>
      </c>
      <c r="R2692">
        <v>-7.8560409999999997E-2</v>
      </c>
      <c r="S2692">
        <v>-3.1044010000000002</v>
      </c>
      <c r="T2692">
        <v>-0.1136528</v>
      </c>
      <c r="U2692">
        <v>-0.1911621</v>
      </c>
      <c r="V2692">
        <v>-7.1962040000000005E-2</v>
      </c>
      <c r="W2692">
        <v>0.24554049999999999</v>
      </c>
      <c r="X2692">
        <v>0.9667116</v>
      </c>
      <c r="Y2692">
        <v>-5.463494E-2</v>
      </c>
      <c r="Z2692">
        <v>-1.2835279999999999E-3</v>
      </c>
      <c r="AA2692">
        <v>0.99850559999999999</v>
      </c>
      <c r="AB2692">
        <v>57</v>
      </c>
      <c r="AC2692">
        <v>-29.9375999999999</v>
      </c>
      <c r="AD2692">
        <v>-1.109442940351</v>
      </c>
      <c r="AE2692">
        <v>-1.86359999999996</v>
      </c>
      <c r="AF2692">
        <v>-1.6580941688333799</v>
      </c>
      <c r="AG2692">
        <v>-1.109442940351</v>
      </c>
      <c r="AH2692">
        <v>29.9086431914996</v>
      </c>
      <c r="AI2692">
        <v>92.121124003428093</v>
      </c>
      <c r="AJ2692">
        <v>93.173151282568895</v>
      </c>
      <c r="AK2692">
        <v>29.975107630616598</v>
      </c>
      <c r="AL2692">
        <v>75.786222087993593</v>
      </c>
      <c r="AM2692">
        <v>94.257247514760493</v>
      </c>
      <c r="AN2692">
        <v>0.99999999495788505</v>
      </c>
    </row>
    <row r="2693" spans="1:40" x14ac:dyDescent="0.25">
      <c r="A2693" t="str">
        <f>"20190304164141400"</f>
        <v>20190304164141400</v>
      </c>
      <c r="B2693" t="str">
        <f>"1551688901393484"</f>
        <v>1551688901393484</v>
      </c>
      <c r="C2693" t="s">
        <v>40</v>
      </c>
      <c r="D2693">
        <v>4.4515580000000003</v>
      </c>
      <c r="E2693">
        <v>0.51154909999999998</v>
      </c>
      <c r="F2693" t="s">
        <v>46</v>
      </c>
      <c r="G2693">
        <v>-467.08690000000001</v>
      </c>
      <c r="H2693" s="1">
        <v>2.3360160000000002E-6</v>
      </c>
      <c r="I2693">
        <v>282.29360000000003</v>
      </c>
      <c r="J2693">
        <v>-436.97340000000003</v>
      </c>
      <c r="K2693">
        <v>1.1094469999999901</v>
      </c>
      <c r="L2693">
        <v>284.22989999999999</v>
      </c>
      <c r="M2693">
        <v>-0.9998553</v>
      </c>
      <c r="N2693">
        <v>-1.5605900000000001E-2</v>
      </c>
      <c r="O2693">
        <v>-6.7858469999999898E-3</v>
      </c>
      <c r="P2693">
        <v>-0.96993110000000005</v>
      </c>
      <c r="Q2693">
        <v>0.23040830000000001</v>
      </c>
      <c r="R2693">
        <v>-7.8398990000000002E-2</v>
      </c>
      <c r="S2693">
        <v>-3.103882</v>
      </c>
      <c r="T2693">
        <v>-0.1130867</v>
      </c>
      <c r="U2693">
        <v>-0.19760130000000001</v>
      </c>
      <c r="V2693">
        <v>-7.1801379999999998E-2</v>
      </c>
      <c r="W2693">
        <v>0.24552850000000001</v>
      </c>
      <c r="X2693">
        <v>0.96672659999999999</v>
      </c>
      <c r="Y2693">
        <v>-5.6707489999999999E-2</v>
      </c>
      <c r="Z2693">
        <v>-1.33371799999999E-3</v>
      </c>
      <c r="AA2693">
        <v>0.99839</v>
      </c>
      <c r="AB2693">
        <v>57</v>
      </c>
      <c r="AC2693">
        <v>-30.113499999999899</v>
      </c>
      <c r="AD2693">
        <v>-1.1094446639840001</v>
      </c>
      <c r="AE2693">
        <v>-1.9362999999999599</v>
      </c>
      <c r="AF2693">
        <v>-1.7295470193487199</v>
      </c>
      <c r="AG2693">
        <v>-1.1094446639840001</v>
      </c>
      <c r="AH2693">
        <v>30.085279699937601</v>
      </c>
      <c r="AI2693">
        <v>92.108442008321902</v>
      </c>
      <c r="AJ2693">
        <v>93.290206867731399</v>
      </c>
      <c r="AK2693">
        <v>30.155368592972899</v>
      </c>
      <c r="AL2693">
        <v>75.786931434361094</v>
      </c>
      <c r="AM2693">
        <v>94.247712088226706</v>
      </c>
      <c r="AN2693">
        <v>1.00000000081485</v>
      </c>
    </row>
    <row r="2694" spans="1:40" x14ac:dyDescent="0.25">
      <c r="A2694" t="str">
        <f>"20190304164141415"</f>
        <v>20190304164141415</v>
      </c>
      <c r="B2694" t="str">
        <f>"1551688901403244"</f>
        <v>1551688901403244</v>
      </c>
      <c r="C2694" t="s">
        <v>40</v>
      </c>
      <c r="D2694">
        <v>4.4578800000000003</v>
      </c>
      <c r="E2694">
        <v>0.51098959999999904</v>
      </c>
      <c r="F2694" t="s">
        <v>46</v>
      </c>
      <c r="G2694">
        <v>-467.3723</v>
      </c>
      <c r="H2694" s="1">
        <v>2.489707E-6</v>
      </c>
      <c r="I2694">
        <v>282.25319999999999</v>
      </c>
      <c r="J2694">
        <v>-437.34629999999999</v>
      </c>
      <c r="K2694">
        <v>1.1094520000000001</v>
      </c>
      <c r="L2694">
        <v>284.22739999999999</v>
      </c>
      <c r="M2694">
        <v>-0.9998553</v>
      </c>
      <c r="N2694">
        <v>-1.5603250000000001E-2</v>
      </c>
      <c r="O2694">
        <v>-6.785485E-3</v>
      </c>
      <c r="P2694">
        <v>-0.96994199999999997</v>
      </c>
      <c r="Q2694">
        <v>0.2303269</v>
      </c>
      <c r="R2694">
        <v>-7.8501189999999998E-2</v>
      </c>
      <c r="S2694">
        <v>-3.1036069999999998</v>
      </c>
      <c r="T2694">
        <v>-0.1132696</v>
      </c>
      <c r="U2694">
        <v>-0.20181270000000001</v>
      </c>
      <c r="V2694">
        <v>-7.190436E-2</v>
      </c>
      <c r="W2694">
        <v>0.24544479999999999</v>
      </c>
      <c r="X2694">
        <v>0.96674020000000005</v>
      </c>
      <c r="Y2694">
        <v>-5.8061139999999997E-2</v>
      </c>
      <c r="Z2694">
        <v>-1.3701970000000001E-3</v>
      </c>
      <c r="AA2694">
        <v>0.99831210000000004</v>
      </c>
      <c r="AB2694">
        <v>57</v>
      </c>
      <c r="AC2694">
        <v>-30.026</v>
      </c>
      <c r="AD2694">
        <v>-1.109449510293</v>
      </c>
      <c r="AE2694">
        <v>-1.97419999999999</v>
      </c>
      <c r="AF2694">
        <v>-1.7679853774091301</v>
      </c>
      <c r="AG2694">
        <v>-1.109449510293</v>
      </c>
      <c r="AH2694">
        <v>29.997926988235999</v>
      </c>
      <c r="AI2694">
        <v>92.114407800749206</v>
      </c>
      <c r="AJ2694">
        <v>93.372934932830503</v>
      </c>
      <c r="AK2694">
        <v>30.070455169520802</v>
      </c>
      <c r="AL2694">
        <v>75.791878466928594</v>
      </c>
      <c r="AM2694">
        <v>94.253722334308904</v>
      </c>
      <c r="AN2694">
        <v>1.00000000056504</v>
      </c>
    </row>
    <row r="2695" spans="1:40" x14ac:dyDescent="0.25">
      <c r="A2695" t="str">
        <f>"20190304164141428"</f>
        <v>20190304164141428</v>
      </c>
      <c r="B2695" t="str">
        <f>"1551688901423741"</f>
        <v>1551688901423741</v>
      </c>
      <c r="C2695" t="s">
        <v>40</v>
      </c>
      <c r="D2695">
        <v>4.4524249999999999</v>
      </c>
      <c r="E2695">
        <v>0.50990000000000002</v>
      </c>
      <c r="F2695" t="s">
        <v>46</v>
      </c>
      <c r="G2695">
        <v>-467.62439999999998</v>
      </c>
      <c r="H2695" s="1">
        <v>2.6258310000000001E-6</v>
      </c>
      <c r="I2695">
        <v>282.20760000000001</v>
      </c>
      <c r="J2695">
        <v>-437.6893</v>
      </c>
      <c r="K2695">
        <v>1.1094539999999999</v>
      </c>
      <c r="L2695">
        <v>284.22500000000002</v>
      </c>
      <c r="M2695">
        <v>-0.9998553</v>
      </c>
      <c r="N2695">
        <v>-1.5600799999999901E-2</v>
      </c>
      <c r="O2695">
        <v>-6.7851229999999997E-3</v>
      </c>
      <c r="P2695">
        <v>-0.96991249999999996</v>
      </c>
      <c r="Q2695">
        <v>0.2304206</v>
      </c>
      <c r="R2695">
        <v>-7.8585989999999994E-2</v>
      </c>
      <c r="S2695">
        <v>-3.1032099999999998</v>
      </c>
      <c r="T2695">
        <v>-0.1137079</v>
      </c>
      <c r="U2695">
        <v>-0.20700070000000001</v>
      </c>
      <c r="V2695">
        <v>-7.1990250000000006E-2</v>
      </c>
      <c r="W2695">
        <v>0.24553539999999999</v>
      </c>
      <c r="X2695">
        <v>0.96671079999999998</v>
      </c>
      <c r="Y2695">
        <v>-5.9729520000000001E-2</v>
      </c>
      <c r="Z2695">
        <v>-1.4168900000000001E-3</v>
      </c>
      <c r="AA2695">
        <v>0.99821360000000003</v>
      </c>
      <c r="AB2695">
        <v>57</v>
      </c>
      <c r="AC2695">
        <v>-29.935099999999899</v>
      </c>
      <c r="AD2695">
        <v>-1.109451374169</v>
      </c>
      <c r="AE2695">
        <v>-2.0173999999999999</v>
      </c>
      <c r="AF2695">
        <v>-1.81173817418947</v>
      </c>
      <c r="AG2695">
        <v>-1.109451374169</v>
      </c>
      <c r="AH2695">
        <v>29.907206404016001</v>
      </c>
      <c r="AI2695">
        <v>92.120612235933507</v>
      </c>
      <c r="AJ2695">
        <v>93.466664463111798</v>
      </c>
      <c r="AK2695">
        <v>29.982566141941199</v>
      </c>
      <c r="AL2695">
        <v>75.786523594509006</v>
      </c>
      <c r="AM2695">
        <v>94.258913779973099</v>
      </c>
      <c r="AN2695">
        <v>0.99999999979243104</v>
      </c>
    </row>
    <row r="2696" spans="1:40" x14ac:dyDescent="0.25">
      <c r="A2696" t="str">
        <f>"20190304164141441"</f>
        <v>20190304164141441</v>
      </c>
      <c r="B2696" t="str">
        <f>"1551688901433500"</f>
        <v>1551688901433500</v>
      </c>
      <c r="C2696" t="s">
        <v>40</v>
      </c>
      <c r="D2696">
        <v>4.4523919999999997</v>
      </c>
      <c r="E2696">
        <v>0.50941669999999994</v>
      </c>
      <c r="F2696" t="s">
        <v>46</v>
      </c>
      <c r="G2696">
        <v>-467.71039999999999</v>
      </c>
      <c r="H2696" s="1">
        <v>2.674755E-6</v>
      </c>
      <c r="I2696">
        <v>282.13479999999998</v>
      </c>
      <c r="J2696">
        <v>-438.024</v>
      </c>
      <c r="K2696">
        <v>1.1094550000000001</v>
      </c>
      <c r="L2696">
        <v>284.22269999999997</v>
      </c>
      <c r="M2696">
        <v>-0.9998553</v>
      </c>
      <c r="N2696">
        <v>-1.55984E-2</v>
      </c>
      <c r="O2696">
        <v>-6.7847589999999996E-3</v>
      </c>
      <c r="P2696">
        <v>-0.96980549999999999</v>
      </c>
      <c r="Q2696">
        <v>0.2308568</v>
      </c>
      <c r="R2696">
        <v>-7.8629290000000004E-2</v>
      </c>
      <c r="S2696">
        <v>-3.102722</v>
      </c>
      <c r="T2696">
        <v>-0.1146636</v>
      </c>
      <c r="U2696">
        <v>-0.2160339</v>
      </c>
      <c r="V2696">
        <v>-7.2035130000000003E-2</v>
      </c>
      <c r="W2696">
        <v>0.24596760000000001</v>
      </c>
      <c r="X2696">
        <v>0.96659759999999995</v>
      </c>
      <c r="Y2696">
        <v>-6.2629219999999999E-2</v>
      </c>
      <c r="Z2696">
        <v>-1.50014299999999E-3</v>
      </c>
      <c r="AA2696">
        <v>0.99803569999999997</v>
      </c>
      <c r="AB2696">
        <v>57</v>
      </c>
      <c r="AC2696">
        <v>-29.6863999999999</v>
      </c>
      <c r="AD2696">
        <v>-1.1094523252449999</v>
      </c>
      <c r="AE2696">
        <v>-2.0878999999999901</v>
      </c>
      <c r="AF2696">
        <v>-1.88379421178045</v>
      </c>
      <c r="AG2696">
        <v>-1.1094523252449999</v>
      </c>
      <c r="AH2696">
        <v>29.658663901995201</v>
      </c>
      <c r="AI2696">
        <v>92.137980764289495</v>
      </c>
      <c r="AJ2696">
        <v>93.634306138978204</v>
      </c>
      <c r="AK2696">
        <v>29.739130948059699</v>
      </c>
      <c r="AL2696">
        <v>75.760977212500705</v>
      </c>
      <c r="AM2696">
        <v>94.262056324127897</v>
      </c>
      <c r="AN2696">
        <v>1.0000000202648101</v>
      </c>
    </row>
    <row r="2697" spans="1:40" x14ac:dyDescent="0.25">
      <c r="A2697" t="str">
        <f>"20190304164141453"</f>
        <v>20190304164141453</v>
      </c>
      <c r="B2697" t="str">
        <f>"1551688901444236"</f>
        <v>1551688901444236</v>
      </c>
      <c r="C2697" t="s">
        <v>40</v>
      </c>
      <c r="D2697">
        <v>4.4412260000000003</v>
      </c>
      <c r="E2697">
        <v>0.50888630000000001</v>
      </c>
      <c r="F2697" t="s">
        <v>46</v>
      </c>
      <c r="G2697">
        <v>-468.3578</v>
      </c>
      <c r="H2697" s="1">
        <v>3.0218430000000001E-6</v>
      </c>
      <c r="I2697">
        <v>282.07569999999998</v>
      </c>
      <c r="J2697">
        <v>-438.33969999999999</v>
      </c>
      <c r="K2697">
        <v>1.109456</v>
      </c>
      <c r="L2697">
        <v>284.22059999999999</v>
      </c>
      <c r="M2697">
        <v>-0.99985539999999995</v>
      </c>
      <c r="N2697">
        <v>-1.559614E-2</v>
      </c>
      <c r="O2697">
        <v>-6.7847510000000003E-3</v>
      </c>
      <c r="P2697">
        <v>-0.96974170000000004</v>
      </c>
      <c r="Q2697">
        <v>0.2309764</v>
      </c>
      <c r="R2697">
        <v>-7.9064389999999998E-2</v>
      </c>
      <c r="S2697">
        <v>-3.1026310000000001</v>
      </c>
      <c r="T2697">
        <v>-0.1134783</v>
      </c>
      <c r="U2697">
        <v>-0.21960450000000001</v>
      </c>
      <c r="V2697">
        <v>-7.247075E-2</v>
      </c>
      <c r="W2697">
        <v>0.246084</v>
      </c>
      <c r="X2697">
        <v>0.96653540000000004</v>
      </c>
      <c r="Y2697">
        <v>-6.3774090000000005E-2</v>
      </c>
      <c r="Z2697">
        <v>-1.5205570000000001E-3</v>
      </c>
      <c r="AA2697">
        <v>0.99796320000000005</v>
      </c>
      <c r="AB2697">
        <v>57</v>
      </c>
      <c r="AC2697">
        <v>-30.0181</v>
      </c>
      <c r="AD2697">
        <v>-1.1094529781569999</v>
      </c>
      <c r="AE2697">
        <v>-2.1448999999999998</v>
      </c>
      <c r="AF2697">
        <v>-1.9385259411862199</v>
      </c>
      <c r="AG2697">
        <v>-1.1094529781569999</v>
      </c>
      <c r="AH2697">
        <v>29.991203351167002</v>
      </c>
      <c r="AI2697">
        <v>92.114146866032002</v>
      </c>
      <c r="AJ2697">
        <v>93.698253191979205</v>
      </c>
      <c r="AK2697">
        <v>30.074258880086202</v>
      </c>
      <c r="AL2697">
        <v>75.7540963737667</v>
      </c>
      <c r="AM2697">
        <v>94.288009441874493</v>
      </c>
      <c r="AN2697">
        <v>1.00000001205736</v>
      </c>
    </row>
    <row r="2698" spans="1:40" x14ac:dyDescent="0.25">
      <c r="A2698" t="str">
        <f>"20190304164141470"</f>
        <v>20190304164141470</v>
      </c>
      <c r="B2698" t="str">
        <f>"1551688901463756"</f>
        <v>1551688901463756</v>
      </c>
      <c r="C2698" t="s">
        <v>40</v>
      </c>
      <c r="D2698">
        <v>4.4448980000000002</v>
      </c>
      <c r="E2698">
        <v>0.50792029999999999</v>
      </c>
      <c r="F2698" t="s">
        <v>46</v>
      </c>
      <c r="G2698">
        <v>-468.6524</v>
      </c>
      <c r="H2698" s="1">
        <v>3.1810109999999998E-6</v>
      </c>
      <c r="I2698">
        <v>282.0215</v>
      </c>
      <c r="J2698">
        <v>-438.74209999999999</v>
      </c>
      <c r="K2698">
        <v>1.1094569999999999</v>
      </c>
      <c r="L2698">
        <v>284.21789999999999</v>
      </c>
      <c r="M2698">
        <v>-0.99985539999999995</v>
      </c>
      <c r="N2698">
        <v>-1.559317E-2</v>
      </c>
      <c r="O2698">
        <v>-6.7847369999999999E-3</v>
      </c>
      <c r="P2698">
        <v>-0.96977199999999997</v>
      </c>
      <c r="Q2698">
        <v>0.2307276</v>
      </c>
      <c r="R2698">
        <v>-7.9417180000000004E-2</v>
      </c>
      <c r="S2698">
        <v>-3.102325</v>
      </c>
      <c r="T2698">
        <v>-0.1135458</v>
      </c>
      <c r="U2698">
        <v>-0.22506709999999999</v>
      </c>
      <c r="V2698">
        <v>-7.2823979999999996E-2</v>
      </c>
      <c r="W2698">
        <v>0.24583260000000001</v>
      </c>
      <c r="X2698">
        <v>0.96657280000000001</v>
      </c>
      <c r="Y2698">
        <v>-6.5527420000000003E-2</v>
      </c>
      <c r="Z2698">
        <v>-1.5667729999999901E-3</v>
      </c>
      <c r="AA2698">
        <v>0.99784949999999994</v>
      </c>
      <c r="AB2698">
        <v>57</v>
      </c>
      <c r="AC2698">
        <v>-29.910299999999999</v>
      </c>
      <c r="AD2698">
        <v>-1.109453818989</v>
      </c>
      <c r="AE2698">
        <v>-2.1963999999999801</v>
      </c>
      <c r="AF2698">
        <v>-1.9906670331496801</v>
      </c>
      <c r="AG2698">
        <v>-1.109453818989</v>
      </c>
      <c r="AH2698">
        <v>29.8836198012328</v>
      </c>
      <c r="AI2698">
        <v>92.121478736475297</v>
      </c>
      <c r="AJ2698">
        <v>93.811069803559505</v>
      </c>
      <c r="AK2698">
        <v>29.970391646389398</v>
      </c>
      <c r="AL2698">
        <v>75.768956703938997</v>
      </c>
      <c r="AM2698">
        <v>94.308665029565603</v>
      </c>
      <c r="AN2698">
        <v>0.99999998849282001</v>
      </c>
    </row>
    <row r="2699" spans="1:40" x14ac:dyDescent="0.25">
      <c r="A2699" t="str">
        <f>"20190304164141484"</f>
        <v>20190304164141484</v>
      </c>
      <c r="B2699" t="str">
        <f>"1551688901473516"</f>
        <v>1551688901473516</v>
      </c>
      <c r="C2699" t="s">
        <v>40</v>
      </c>
      <c r="D2699">
        <v>4.4194680000000002</v>
      </c>
      <c r="E2699">
        <v>0.50746380000000002</v>
      </c>
      <c r="F2699" t="s">
        <v>46</v>
      </c>
      <c r="G2699">
        <v>-468.5215</v>
      </c>
      <c r="H2699" s="1">
        <v>3.1134009999999999E-6</v>
      </c>
      <c r="I2699">
        <v>281.97430000000003</v>
      </c>
      <c r="J2699">
        <v>-439.10570000000001</v>
      </c>
      <c r="K2699">
        <v>1.1094580000000001</v>
      </c>
      <c r="L2699">
        <v>284.21550000000002</v>
      </c>
      <c r="M2699">
        <v>-0.99985550000000001</v>
      </c>
      <c r="N2699">
        <v>-1.5590379999999999E-2</v>
      </c>
      <c r="O2699">
        <v>-6.7851989999999996E-3</v>
      </c>
      <c r="P2699">
        <v>-0.96978660000000005</v>
      </c>
      <c r="Q2699">
        <v>0.2307177</v>
      </c>
      <c r="R2699">
        <v>-7.9267900000000002E-2</v>
      </c>
      <c r="S2699">
        <v>-3.1018680000000001</v>
      </c>
      <c r="T2699">
        <v>-0.1155624</v>
      </c>
      <c r="U2699">
        <v>-0.23370360000000001</v>
      </c>
      <c r="V2699">
        <v>-7.2673959999999996E-2</v>
      </c>
      <c r="W2699">
        <v>0.24582010000000001</v>
      </c>
      <c r="X2699">
        <v>0.96658719999999998</v>
      </c>
      <c r="Y2699">
        <v>-6.8296010000000004E-2</v>
      </c>
      <c r="Z2699">
        <v>-1.656699E-3</v>
      </c>
      <c r="AA2699">
        <v>0.99766370000000004</v>
      </c>
      <c r="AB2699">
        <v>57</v>
      </c>
      <c r="AC2699">
        <v>-29.415799999999901</v>
      </c>
      <c r="AD2699">
        <v>-1.1094548865989999</v>
      </c>
      <c r="AE2699">
        <v>-2.2411999999999899</v>
      </c>
      <c r="AF2699">
        <v>-2.0386488114238301</v>
      </c>
      <c r="AG2699">
        <v>-1.1094548865989999</v>
      </c>
      <c r="AH2699">
        <v>29.388766741009398</v>
      </c>
      <c r="AI2699">
        <v>92.156767468081995</v>
      </c>
      <c r="AJ2699">
        <v>93.968154146757996</v>
      </c>
      <c r="AK2699">
        <v>29.480274586224301</v>
      </c>
      <c r="AL2699">
        <v>75.769694587965404</v>
      </c>
      <c r="AM2699">
        <v>94.299758530689104</v>
      </c>
      <c r="AN2699">
        <v>0.99999992061496201</v>
      </c>
    </row>
    <row r="2700" spans="1:40" x14ac:dyDescent="0.25">
      <c r="A2700" t="str">
        <f>"20190304164141502"</f>
        <v>20190304164141502</v>
      </c>
      <c r="B2700" t="str">
        <f>"1551688901494012"</f>
        <v>1551688901494012</v>
      </c>
      <c r="C2700" t="s">
        <v>40</v>
      </c>
      <c r="D2700">
        <v>4.4201050000000004</v>
      </c>
      <c r="E2700">
        <v>0.50663610000000003</v>
      </c>
      <c r="F2700" t="s">
        <v>46</v>
      </c>
      <c r="G2700">
        <v>-468.76609999999999</v>
      </c>
      <c r="H2700" s="1">
        <v>3.2449469999999999E-6</v>
      </c>
      <c r="I2700">
        <v>281.94240000000002</v>
      </c>
      <c r="J2700">
        <v>-439.57089999999999</v>
      </c>
      <c r="K2700">
        <v>1.109461</v>
      </c>
      <c r="L2700">
        <v>284.21230000000003</v>
      </c>
      <c r="M2700">
        <v>-0.99985559999999996</v>
      </c>
      <c r="N2700">
        <v>-1.558675E-2</v>
      </c>
      <c r="O2700">
        <v>-6.785536E-3</v>
      </c>
      <c r="P2700">
        <v>-0.96989789999999998</v>
      </c>
      <c r="Q2700">
        <v>0.23030110000000001</v>
      </c>
      <c r="R2700">
        <v>-7.9116619999999999E-2</v>
      </c>
      <c r="S2700">
        <v>-3.1016849999999998</v>
      </c>
      <c r="T2700">
        <v>-0.11601939999999999</v>
      </c>
      <c r="U2700">
        <v>-0.23770140000000001</v>
      </c>
      <c r="V2700">
        <v>-7.2521950000000002E-2</v>
      </c>
      <c r="W2700">
        <v>0.24540229999999999</v>
      </c>
      <c r="X2700">
        <v>0.96670480000000003</v>
      </c>
      <c r="Y2700">
        <v>-6.9576860000000004E-2</v>
      </c>
      <c r="Z2700">
        <v>-1.694512E-3</v>
      </c>
      <c r="AA2700">
        <v>0.9975752</v>
      </c>
      <c r="AB2700">
        <v>57</v>
      </c>
      <c r="AC2700">
        <v>-29.1952</v>
      </c>
      <c r="AD2700">
        <v>-1.109457755053</v>
      </c>
      <c r="AE2700">
        <v>-2.2698999999999998</v>
      </c>
      <c r="AF2700">
        <v>-2.0687490617839099</v>
      </c>
      <c r="AG2700">
        <v>-1.109457755053</v>
      </c>
      <c r="AH2700">
        <v>29.168063422350901</v>
      </c>
      <c r="AI2700">
        <v>92.172840994744902</v>
      </c>
      <c r="AJ2700">
        <v>94.056917834650605</v>
      </c>
      <c r="AK2700">
        <v>29.262374185994702</v>
      </c>
      <c r="AL2700">
        <v>75.794389573102407</v>
      </c>
      <c r="AM2700">
        <v>94.290278446590904</v>
      </c>
      <c r="AN2700">
        <v>0.99999994621006405</v>
      </c>
    </row>
    <row r="2701" spans="1:40" x14ac:dyDescent="0.25">
      <c r="A2701" t="str">
        <f>"20190304164141517"</f>
        <v>20190304164141517</v>
      </c>
      <c r="B2701" t="str">
        <f>"1551688901503772"</f>
        <v>1551688901503772</v>
      </c>
      <c r="C2701" t="s">
        <v>40</v>
      </c>
      <c r="D2701">
        <v>4.4273220000000002</v>
      </c>
      <c r="E2701">
        <v>0.50622619999999996</v>
      </c>
      <c r="F2701" t="s">
        <v>46</v>
      </c>
      <c r="G2701">
        <v>-468.69880000000001</v>
      </c>
      <c r="H2701" s="1">
        <v>3.2103329999999998E-6</v>
      </c>
      <c r="I2701">
        <v>281.91520000000003</v>
      </c>
      <c r="J2701">
        <v>-439.9581</v>
      </c>
      <c r="K2701">
        <v>1.109461</v>
      </c>
      <c r="L2701">
        <v>284.2097</v>
      </c>
      <c r="M2701">
        <v>-0.99985559999999996</v>
      </c>
      <c r="N2701">
        <v>-1.5583949999999999E-2</v>
      </c>
      <c r="O2701">
        <v>-6.7851630000000003E-3</v>
      </c>
      <c r="P2701">
        <v>-0.96995149999999997</v>
      </c>
      <c r="Q2701">
        <v>0.2301348</v>
      </c>
      <c r="R2701">
        <v>-7.8945100000000004E-2</v>
      </c>
      <c r="S2701">
        <v>-3.1011959999999998</v>
      </c>
      <c r="T2701">
        <v>-0.1181222</v>
      </c>
      <c r="U2701">
        <v>-0.2445679</v>
      </c>
      <c r="V2701">
        <v>-7.2350869999999998E-2</v>
      </c>
      <c r="W2701">
        <v>0.24523400000000001</v>
      </c>
      <c r="X2701">
        <v>0.96676039999999996</v>
      </c>
      <c r="Y2701">
        <v>-7.178023E-2</v>
      </c>
      <c r="Z2701">
        <v>-1.772549E-3</v>
      </c>
      <c r="AA2701">
        <v>0.9974189</v>
      </c>
      <c r="AB2701">
        <v>57</v>
      </c>
      <c r="AC2701">
        <v>-28.7407</v>
      </c>
      <c r="AD2701">
        <v>-1.1094577896669999</v>
      </c>
      <c r="AE2701">
        <v>-2.29449999999997</v>
      </c>
      <c r="AF2701">
        <v>-2.0963091527454898</v>
      </c>
      <c r="AG2701">
        <v>-1.1094577896669999</v>
      </c>
      <c r="AH2701">
        <v>28.713093154522799</v>
      </c>
      <c r="AI2701">
        <v>92.206907863331097</v>
      </c>
      <c r="AJ2701">
        <v>94.175688766769696</v>
      </c>
      <c r="AK2701">
        <v>28.810885566938701</v>
      </c>
      <c r="AL2701">
        <v>75.804337429446704</v>
      </c>
      <c r="AM2701">
        <v>94.279950046454104</v>
      </c>
      <c r="AN2701">
        <v>1.0000000170769501</v>
      </c>
    </row>
    <row r="2702" spans="1:40" x14ac:dyDescent="0.25">
      <c r="A2702" t="str">
        <f>"20190304164141531"</f>
        <v>20190304164141531</v>
      </c>
      <c r="B2702" t="str">
        <f>"1551688901523292"</f>
        <v>1551688901523292</v>
      </c>
      <c r="C2702" t="s">
        <v>40</v>
      </c>
      <c r="D2702">
        <v>4.4227319999999999</v>
      </c>
      <c r="E2702">
        <v>0.50548490000000001</v>
      </c>
      <c r="F2702" t="s">
        <v>46</v>
      </c>
      <c r="G2702">
        <v>-468.8673</v>
      </c>
      <c r="H2702" s="1">
        <v>3.3004070000000002E-6</v>
      </c>
      <c r="I2702">
        <v>281.90589999999997</v>
      </c>
      <c r="J2702">
        <v>-440.2946</v>
      </c>
      <c r="K2702">
        <v>1.109461</v>
      </c>
      <c r="L2702">
        <v>284.20740000000001</v>
      </c>
      <c r="M2702">
        <v>-0.99985579999999996</v>
      </c>
      <c r="N2702">
        <v>-1.5581680000000001E-2</v>
      </c>
      <c r="O2702">
        <v>-6.785508E-3</v>
      </c>
      <c r="P2702">
        <v>-0.96995659999999895</v>
      </c>
      <c r="Q2702">
        <v>0.23003489999999999</v>
      </c>
      <c r="R2702">
        <v>-7.9175910000000002E-2</v>
      </c>
      <c r="S2702">
        <v>-3.101105</v>
      </c>
      <c r="T2702">
        <v>-0.1190124</v>
      </c>
      <c r="U2702">
        <v>-0.2471313</v>
      </c>
      <c r="V2702">
        <v>-7.2581480000000004E-2</v>
      </c>
      <c r="W2702">
        <v>0.2451314</v>
      </c>
      <c r="X2702">
        <v>0.96676910000000005</v>
      </c>
      <c r="Y2702">
        <v>-7.2599769999999994E-2</v>
      </c>
      <c r="Z2702">
        <v>-1.8028849999999999E-3</v>
      </c>
      <c r="AA2702">
        <v>0.99735949999999995</v>
      </c>
      <c r="AB2702">
        <v>57</v>
      </c>
      <c r="AC2702">
        <v>-28.572700000000001</v>
      </c>
      <c r="AD2702">
        <v>-1.1094576995929999</v>
      </c>
      <c r="AE2702">
        <v>-2.3015000000000301</v>
      </c>
      <c r="AF2702">
        <v>-2.1043908552750699</v>
      </c>
      <c r="AG2702">
        <v>-1.1094576995929999</v>
      </c>
      <c r="AH2702">
        <v>28.544900674110799</v>
      </c>
      <c r="AI2702">
        <v>92.219782839890598</v>
      </c>
      <c r="AJ2702">
        <v>94.216339364222407</v>
      </c>
      <c r="AK2702">
        <v>28.643859931123099</v>
      </c>
      <c r="AL2702">
        <v>75.810400572246607</v>
      </c>
      <c r="AM2702">
        <v>94.293502464797797</v>
      </c>
      <c r="AN2702">
        <v>0.99999998360987996</v>
      </c>
    </row>
    <row r="2703" spans="1:40" x14ac:dyDescent="0.25">
      <c r="A2703" t="str">
        <f>"20190304164141544"</f>
        <v>20190304164141544</v>
      </c>
      <c r="B2703" t="str">
        <f>"1551688901534028"</f>
        <v>1551688901534028</v>
      </c>
      <c r="C2703" t="s">
        <v>40</v>
      </c>
      <c r="D2703">
        <v>4.4147350000000003</v>
      </c>
      <c r="E2703">
        <v>0.50513229999999998</v>
      </c>
      <c r="F2703" t="s">
        <v>46</v>
      </c>
      <c r="G2703">
        <v>-468.86369999999999</v>
      </c>
      <c r="H2703" s="1">
        <v>3.2999369999999999E-6</v>
      </c>
      <c r="I2703">
        <v>281.87279999999998</v>
      </c>
      <c r="J2703">
        <v>-440.65069999999997</v>
      </c>
      <c r="K2703">
        <v>1.1094599999999999</v>
      </c>
      <c r="L2703">
        <v>284.20499999999998</v>
      </c>
      <c r="M2703">
        <v>-0.99985559999999996</v>
      </c>
      <c r="N2703">
        <v>-1.557936E-2</v>
      </c>
      <c r="O2703">
        <v>-6.7851369999999897E-3</v>
      </c>
      <c r="P2703">
        <v>-0.97003300000000003</v>
      </c>
      <c r="Q2703">
        <v>0.22974040000000001</v>
      </c>
      <c r="R2703">
        <v>-7.9090889999999997E-2</v>
      </c>
      <c r="S2703">
        <v>-3.1008</v>
      </c>
      <c r="T2703">
        <v>-0.120417</v>
      </c>
      <c r="U2703">
        <v>-0.25338749999999999</v>
      </c>
      <c r="V2703">
        <v>-7.2496229999999995E-2</v>
      </c>
      <c r="W2703">
        <v>0.244836</v>
      </c>
      <c r="X2703">
        <v>0.9668504</v>
      </c>
      <c r="Y2703">
        <v>-7.4603459999999996E-2</v>
      </c>
      <c r="Z2703">
        <v>-1.870659E-3</v>
      </c>
      <c r="AA2703">
        <v>0.99721150000000003</v>
      </c>
      <c r="AB2703">
        <v>57</v>
      </c>
      <c r="AC2703">
        <v>-28.213000000000001</v>
      </c>
      <c r="AD2703">
        <v>-1.109456700063</v>
      </c>
      <c r="AE2703">
        <v>-2.3321999999999998</v>
      </c>
      <c r="AF2703">
        <v>-2.1374111308639598</v>
      </c>
      <c r="AG2703">
        <v>-1.109456700063</v>
      </c>
      <c r="AH2703">
        <v>28.184887283420601</v>
      </c>
      <c r="AI2703">
        <v>92.247752919390194</v>
      </c>
      <c r="AJ2703">
        <v>94.336745349536997</v>
      </c>
      <c r="AK2703">
        <v>28.2875819343184</v>
      </c>
      <c r="AL2703">
        <v>75.827858430253897</v>
      </c>
      <c r="AM2703">
        <v>94.288119127711695</v>
      </c>
      <c r="AN2703">
        <v>1.0000000331201799</v>
      </c>
    </row>
    <row r="2704" spans="1:40" x14ac:dyDescent="0.25">
      <c r="A2704" t="str">
        <f>"20190304164141558"</f>
        <v>20190304164141558</v>
      </c>
      <c r="B2704" t="str">
        <f>"1551688901553548"</f>
        <v>1551688901553548</v>
      </c>
      <c r="C2704" t="s">
        <v>40</v>
      </c>
      <c r="D2704">
        <v>4.4311809999999996</v>
      </c>
      <c r="E2704">
        <v>0.50446250000000004</v>
      </c>
      <c r="F2704" t="s">
        <v>46</v>
      </c>
      <c r="G2704">
        <v>-468.91079999999999</v>
      </c>
      <c r="H2704" s="1">
        <v>3.324841E-6</v>
      </c>
      <c r="I2704">
        <v>281.87720000000002</v>
      </c>
      <c r="J2704">
        <v>-441.01060000000001</v>
      </c>
      <c r="K2704">
        <v>1.109464</v>
      </c>
      <c r="L2704">
        <v>284.20249999999999</v>
      </c>
      <c r="M2704">
        <v>-0.99985559999999996</v>
      </c>
      <c r="N2704">
        <v>-1.557707E-2</v>
      </c>
      <c r="O2704">
        <v>-6.7850030000000004E-3</v>
      </c>
      <c r="P2704">
        <v>-0.96994170000000002</v>
      </c>
      <c r="Q2704">
        <v>0.23003509999999999</v>
      </c>
      <c r="R2704">
        <v>-7.9351690000000003E-2</v>
      </c>
      <c r="S2704">
        <v>-3.1006770000000001</v>
      </c>
      <c r="T2704">
        <v>-0.1217285</v>
      </c>
      <c r="U2704">
        <v>-0.25540160000000001</v>
      </c>
      <c r="V2704">
        <v>-7.2758119999999996E-2</v>
      </c>
      <c r="W2704">
        <v>0.24512680000000001</v>
      </c>
      <c r="X2704">
        <v>0.96675699999999998</v>
      </c>
      <c r="Y2704">
        <v>-7.5248110000000007E-2</v>
      </c>
      <c r="Z2704">
        <v>-1.9011259999999999E-3</v>
      </c>
      <c r="AA2704">
        <v>0.99716309999999997</v>
      </c>
      <c r="AB2704">
        <v>57</v>
      </c>
      <c r="AC2704">
        <v>-27.900199999999899</v>
      </c>
      <c r="AD2704">
        <v>-1.1094606751589999</v>
      </c>
      <c r="AE2704">
        <v>-2.3252999999999702</v>
      </c>
      <c r="AF2704">
        <v>-2.1325716075641399</v>
      </c>
      <c r="AG2704">
        <v>-1.1094606751589999</v>
      </c>
      <c r="AH2704">
        <v>27.871567937653101</v>
      </c>
      <c r="AI2704">
        <v>92.272886163491606</v>
      </c>
      <c r="AJ2704">
        <v>94.375417318273406</v>
      </c>
      <c r="AK2704">
        <v>27.975043591643001</v>
      </c>
      <c r="AL2704">
        <v>75.810672585875906</v>
      </c>
      <c r="AM2704">
        <v>94.303965920974093</v>
      </c>
      <c r="AN2704">
        <v>0.99999999457658695</v>
      </c>
    </row>
    <row r="2705" spans="1:40" x14ac:dyDescent="0.25">
      <c r="A2705" t="str">
        <f>"20190304164141574"</f>
        <v>20190304164141574</v>
      </c>
      <c r="B2705" t="str">
        <f>"1551688901563308"</f>
        <v>1551688901563308</v>
      </c>
      <c r="C2705" t="s">
        <v>40</v>
      </c>
      <c r="D2705">
        <v>4.4128660000000002</v>
      </c>
      <c r="E2705">
        <v>0.50446250000000004</v>
      </c>
      <c r="F2705" t="s">
        <v>46</v>
      </c>
      <c r="G2705">
        <v>-469.35410000000002</v>
      </c>
      <c r="H2705" s="1">
        <v>3.5632279999999898E-6</v>
      </c>
      <c r="I2705">
        <v>281.81950000000001</v>
      </c>
      <c r="J2705">
        <v>-441.38749999999999</v>
      </c>
      <c r="K2705">
        <v>1.1094619999999999</v>
      </c>
      <c r="L2705">
        <v>284.2</v>
      </c>
      <c r="M2705">
        <v>-0.99985590000000002</v>
      </c>
      <c r="N2705">
        <v>-1.5574650000000001E-2</v>
      </c>
      <c r="O2705">
        <v>-6.7853449999999999E-3</v>
      </c>
      <c r="P2705">
        <v>-0.96995030000000004</v>
      </c>
      <c r="Q2705">
        <v>0.23005390000000001</v>
      </c>
      <c r="R2705">
        <v>-7.919735E-2</v>
      </c>
      <c r="S2705">
        <v>-3.1004330000000002</v>
      </c>
      <c r="T2705">
        <v>-0.1213616</v>
      </c>
      <c r="U2705">
        <v>-0.2606812</v>
      </c>
      <c r="V2705">
        <v>-7.260337E-2</v>
      </c>
      <c r="W2705">
        <v>0.24514340000000001</v>
      </c>
      <c r="X2705">
        <v>0.96676450000000003</v>
      </c>
      <c r="Y2705">
        <v>-7.6939030000000005E-2</v>
      </c>
      <c r="Z2705">
        <v>-1.9436360000000001E-3</v>
      </c>
      <c r="AA2705">
        <v>0.99703390000000003</v>
      </c>
      <c r="AB2705">
        <v>57</v>
      </c>
      <c r="AC2705">
        <v>-27.9666</v>
      </c>
      <c r="AD2705">
        <v>-1.109458436772</v>
      </c>
      <c r="AE2705">
        <v>-2.3804999999999801</v>
      </c>
      <c r="AF2705">
        <v>-2.1872417113723901</v>
      </c>
      <c r="AG2705">
        <v>-1.109458436772</v>
      </c>
      <c r="AH2705">
        <v>27.938457923292798</v>
      </c>
      <c r="AI2705">
        <v>92.267136482026402</v>
      </c>
      <c r="AJ2705">
        <v>94.476432770613201</v>
      </c>
      <c r="AK2705">
        <v>28.045897301717599</v>
      </c>
      <c r="AL2705">
        <v>75.809692595123394</v>
      </c>
      <c r="AM2705">
        <v>94.294812865675794</v>
      </c>
      <c r="AN2705">
        <v>1.0000000671795799</v>
      </c>
    </row>
    <row r="2706" spans="1:40" x14ac:dyDescent="0.25">
      <c r="A2706" t="str">
        <f>"20190304164141586"</f>
        <v>20190304164141586</v>
      </c>
      <c r="B2706" t="str">
        <f>"1551688901574044"</f>
        <v>1551688901574044</v>
      </c>
      <c r="C2706" t="s">
        <v>40</v>
      </c>
      <c r="D2706">
        <v>4.4255879999999896</v>
      </c>
      <c r="E2706">
        <v>0.50382709999999997</v>
      </c>
      <c r="F2706" t="s">
        <v>46</v>
      </c>
      <c r="G2706">
        <v>-469.74040000000002</v>
      </c>
      <c r="H2706" s="1">
        <v>3.7688400000000001E-6</v>
      </c>
      <c r="I2706">
        <v>281.81889999999999</v>
      </c>
      <c r="J2706">
        <v>-441.71359999999999</v>
      </c>
      <c r="K2706">
        <v>1.1094649999999999</v>
      </c>
      <c r="L2706">
        <v>284.19779999999997</v>
      </c>
      <c r="M2706">
        <v>-0.99985579999999996</v>
      </c>
      <c r="N2706">
        <v>-1.557249E-2</v>
      </c>
      <c r="O2706">
        <v>-6.78533E-3</v>
      </c>
      <c r="P2706">
        <v>-0.96985790000000005</v>
      </c>
      <c r="Q2706">
        <v>0.23043820000000001</v>
      </c>
      <c r="R2706">
        <v>-7.9209829999999995E-2</v>
      </c>
      <c r="S2706">
        <v>-3.1004640000000001</v>
      </c>
      <c r="T2706">
        <v>-0.12132220000000001</v>
      </c>
      <c r="U2706">
        <v>-0.260376</v>
      </c>
      <c r="V2706">
        <v>-7.2615970000000002E-2</v>
      </c>
      <c r="W2706">
        <v>0.2455243</v>
      </c>
      <c r="X2706">
        <v>0.96666680000000005</v>
      </c>
      <c r="Y2706">
        <v>-7.6840909999999998E-2</v>
      </c>
      <c r="Z2706">
        <v>-1.9404450000000001E-3</v>
      </c>
      <c r="AA2706">
        <v>0.99704150000000002</v>
      </c>
      <c r="AB2706">
        <v>57</v>
      </c>
      <c r="AC2706">
        <v>-28.026800000000001</v>
      </c>
      <c r="AD2706">
        <v>-1.1094612311599901</v>
      </c>
      <c r="AE2706">
        <v>-2.3788999999999798</v>
      </c>
      <c r="AF2706">
        <v>-2.1852512298089701</v>
      </c>
      <c r="AG2706">
        <v>-1.1094612311599901</v>
      </c>
      <c r="AH2706">
        <v>27.998737210272999</v>
      </c>
      <c r="AI2706">
        <v>92.262308343918093</v>
      </c>
      <c r="AJ2706">
        <v>94.4627857968608</v>
      </c>
      <c r="AK2706">
        <v>28.1057914411026</v>
      </c>
      <c r="AL2706">
        <v>75.787179396559196</v>
      </c>
      <c r="AM2706">
        <v>94.295987944317602</v>
      </c>
      <c r="AN2706">
        <v>0.99999998160588499</v>
      </c>
    </row>
    <row r="2707" spans="1:40" x14ac:dyDescent="0.25">
      <c r="A2707" t="str">
        <f>"20190304164141599"</f>
        <v>20190304164141599</v>
      </c>
      <c r="B2707" t="str">
        <f>"1551688901593565"</f>
        <v>1551688901593565</v>
      </c>
      <c r="C2707" t="s">
        <v>40</v>
      </c>
      <c r="D2707">
        <v>4.4373839999999998</v>
      </c>
      <c r="E2707">
        <v>0.5032257</v>
      </c>
      <c r="F2707" t="s">
        <v>45</v>
      </c>
      <c r="G2707">
        <v>-470.23790000000002</v>
      </c>
      <c r="H2707" s="1">
        <v>6.2583599999999998E-6</v>
      </c>
      <c r="I2707">
        <v>281.75380000000001</v>
      </c>
      <c r="J2707">
        <v>-442.05090000000001</v>
      </c>
      <c r="K2707">
        <v>1.1094660000000001</v>
      </c>
      <c r="L2707">
        <v>284.19549999999998</v>
      </c>
      <c r="M2707">
        <v>-0.99985590000000002</v>
      </c>
      <c r="N2707">
        <v>-1.557009E-2</v>
      </c>
      <c r="O2707">
        <v>-6.7854329999999996E-3</v>
      </c>
      <c r="P2707">
        <v>-0.96970429999999996</v>
      </c>
      <c r="Q2707">
        <v>0.23106270000000001</v>
      </c>
      <c r="R2707">
        <v>-7.927265E-2</v>
      </c>
      <c r="S2707">
        <v>-3.1001889999999999</v>
      </c>
      <c r="T2707">
        <v>-0.1205826</v>
      </c>
      <c r="U2707">
        <v>-0.265625</v>
      </c>
      <c r="V2707">
        <v>-7.2679770000000005E-2</v>
      </c>
      <c r="W2707">
        <v>0.2461441</v>
      </c>
      <c r="X2707">
        <v>0.96650440000000004</v>
      </c>
      <c r="Y2707">
        <v>-7.8523170000000003E-2</v>
      </c>
      <c r="Z2707">
        <v>-1.9786349999999999E-3</v>
      </c>
      <c r="AA2707">
        <v>0.99691030000000003</v>
      </c>
      <c r="AB2707">
        <v>57</v>
      </c>
      <c r="AC2707">
        <v>-28.187000000000001</v>
      </c>
      <c r="AD2707">
        <v>-1.1094597416399901</v>
      </c>
      <c r="AE2707">
        <v>-2.44169999999996</v>
      </c>
      <c r="AF2707">
        <v>-2.2469044943547498</v>
      </c>
      <c r="AG2707">
        <v>-1.1094597416399901</v>
      </c>
      <c r="AH2707">
        <v>28.159619191097299</v>
      </c>
      <c r="AI2707">
        <v>92.249086326843496</v>
      </c>
      <c r="AJ2707">
        <v>94.562063477989994</v>
      </c>
      <c r="AK2707">
        <v>28.2708972923161</v>
      </c>
      <c r="AL2707">
        <v>75.750543603514004</v>
      </c>
      <c r="AM2707">
        <v>94.300467996109205</v>
      </c>
      <c r="AN2707">
        <v>1.0000000110757099</v>
      </c>
    </row>
    <row r="2708" spans="1:40" x14ac:dyDescent="0.25">
      <c r="A2708" t="str">
        <f>"20190304164141614"</f>
        <v>20190304164141614</v>
      </c>
      <c r="B2708" t="str">
        <f>"1551688901603324"</f>
        <v>1551688901603324</v>
      </c>
      <c r="C2708" t="s">
        <v>40</v>
      </c>
      <c r="D2708">
        <v>4.3970859999999998</v>
      </c>
      <c r="E2708">
        <v>0.50293339999999997</v>
      </c>
      <c r="F2708" t="s">
        <v>45</v>
      </c>
      <c r="G2708">
        <v>-470.88650000000001</v>
      </c>
      <c r="H2708" s="1">
        <v>5.9639959999999999E-6</v>
      </c>
      <c r="I2708">
        <v>281.67680000000001</v>
      </c>
      <c r="J2708">
        <v>-442.40660000000003</v>
      </c>
      <c r="K2708">
        <v>1.1094580000000001</v>
      </c>
      <c r="L2708">
        <v>284.19310000000002</v>
      </c>
      <c r="M2708">
        <v>-0.99985590000000002</v>
      </c>
      <c r="N2708">
        <v>-1.556753E-2</v>
      </c>
      <c r="O2708">
        <v>-6.7857719999999998E-3</v>
      </c>
      <c r="P2708">
        <v>-0.9696553</v>
      </c>
      <c r="Q2708">
        <v>0.23115869999999999</v>
      </c>
      <c r="R2708">
        <v>-7.9589450000000006E-2</v>
      </c>
      <c r="S2708">
        <v>-3.1000369999999999</v>
      </c>
      <c r="T2708">
        <v>-0.1192749</v>
      </c>
      <c r="U2708">
        <v>-0.27078249999999998</v>
      </c>
      <c r="V2708">
        <v>-7.2996909999999998E-2</v>
      </c>
      <c r="W2708">
        <v>0.24623709999999999</v>
      </c>
      <c r="X2708">
        <v>0.9664568</v>
      </c>
      <c r="Y2708">
        <v>-8.0172869999999993E-2</v>
      </c>
      <c r="Z2708">
        <v>-2.0093910000000001E-3</v>
      </c>
      <c r="AA2708">
        <v>0.99677899999999997</v>
      </c>
      <c r="AB2708">
        <v>57</v>
      </c>
      <c r="AC2708">
        <v>-28.479899999999901</v>
      </c>
      <c r="AD2708">
        <v>-1.1094520360040001</v>
      </c>
      <c r="AE2708">
        <v>-2.5163000000000002</v>
      </c>
      <c r="AF2708">
        <v>-2.3194679216723499</v>
      </c>
      <c r="AG2708">
        <v>-1.1094520360040001</v>
      </c>
      <c r="AH2708">
        <v>28.4534764100564</v>
      </c>
      <c r="AI2708">
        <v>92.225559054608297</v>
      </c>
      <c r="AJ2708">
        <v>94.660327522892203</v>
      </c>
      <c r="AK2708">
        <v>28.5694090781993</v>
      </c>
      <c r="AL2708">
        <v>75.745045756070795</v>
      </c>
      <c r="AM2708">
        <v>94.319374261653095</v>
      </c>
      <c r="AN2708">
        <v>1.00000000227609</v>
      </c>
    </row>
    <row r="2709" spans="1:40" x14ac:dyDescent="0.25">
      <c r="A2709" t="str">
        <f>"20190304164141628"</f>
        <v>20190304164141628</v>
      </c>
      <c r="B2709" t="str">
        <f>"1551688901623821"</f>
        <v>1551688901623821</v>
      </c>
      <c r="C2709" t="s">
        <v>40</v>
      </c>
      <c r="D2709">
        <v>4.4044910000000002</v>
      </c>
      <c r="E2709">
        <v>0.50237619999999905</v>
      </c>
      <c r="F2709" t="s">
        <v>45</v>
      </c>
      <c r="G2709">
        <v>-471.24459999999999</v>
      </c>
      <c r="H2709" s="1">
        <v>5.8024539999999999E-6</v>
      </c>
      <c r="I2709">
        <v>281.6456</v>
      </c>
      <c r="J2709">
        <v>-442.78809999999999</v>
      </c>
      <c r="K2709">
        <v>1.1094580000000001</v>
      </c>
      <c r="L2709">
        <v>284.19049999999999</v>
      </c>
      <c r="M2709">
        <v>-0.99985599999999997</v>
      </c>
      <c r="N2709">
        <v>-1.55648E-2</v>
      </c>
      <c r="O2709">
        <v>-6.7862290000000004E-3</v>
      </c>
      <c r="P2709">
        <v>-0.96972599999999998</v>
      </c>
      <c r="Q2709">
        <v>0.23072699999999999</v>
      </c>
      <c r="R2709">
        <v>-7.9981629999999998E-2</v>
      </c>
      <c r="S2709">
        <v>-3.0998540000000001</v>
      </c>
      <c r="T2709">
        <v>-0.11925719999999999</v>
      </c>
      <c r="U2709">
        <v>-0.27383420000000003</v>
      </c>
      <c r="V2709">
        <v>-7.3388190000000006E-2</v>
      </c>
      <c r="W2709">
        <v>0.24580399999999999</v>
      </c>
      <c r="X2709">
        <v>0.96653739999999999</v>
      </c>
      <c r="Y2709">
        <v>-8.1150319999999998E-2</v>
      </c>
      <c r="Z2709">
        <v>-2.03549E-3</v>
      </c>
      <c r="AA2709">
        <v>0.99669980000000002</v>
      </c>
      <c r="AB2709">
        <v>57</v>
      </c>
      <c r="AC2709">
        <v>-28.456499999999998</v>
      </c>
      <c r="AD2709">
        <v>-1.1094521975460001</v>
      </c>
      <c r="AE2709">
        <v>-2.5448999999999802</v>
      </c>
      <c r="AF2709">
        <v>-2.3481647186346102</v>
      </c>
      <c r="AG2709">
        <v>-1.1094521975460001</v>
      </c>
      <c r="AH2709">
        <v>28.430244803995802</v>
      </c>
      <c r="AI2709">
        <v>92.227181013082202</v>
      </c>
      <c r="AJ2709">
        <v>94.721564740830601</v>
      </c>
      <c r="AK2709">
        <v>28.548617853402501</v>
      </c>
      <c r="AL2709">
        <v>75.770647246265</v>
      </c>
      <c r="AM2709">
        <v>94.342078029670006</v>
      </c>
      <c r="AN2709">
        <v>0.99999998922311795</v>
      </c>
    </row>
    <row r="2710" spans="1:40" x14ac:dyDescent="0.25">
      <c r="A2710" t="str">
        <f>"20190304164141641"</f>
        <v>20190304164141641</v>
      </c>
      <c r="B2710" t="str">
        <f>"1551688901633581"</f>
        <v>1551688901633581</v>
      </c>
      <c r="C2710" t="s">
        <v>40</v>
      </c>
      <c r="D2710">
        <v>4.4272589999999896</v>
      </c>
      <c r="E2710">
        <v>0.5021101</v>
      </c>
      <c r="F2710" t="s">
        <v>45</v>
      </c>
      <c r="G2710">
        <v>-471.0915</v>
      </c>
      <c r="H2710" s="1">
        <v>5.8696170000000004E-6</v>
      </c>
      <c r="I2710">
        <v>281.637</v>
      </c>
      <c r="J2710">
        <v>-443.11970000000002</v>
      </c>
      <c r="K2710">
        <v>1.10945</v>
      </c>
      <c r="L2710">
        <v>284.18819999999999</v>
      </c>
      <c r="M2710">
        <v>-0.99985590000000002</v>
      </c>
      <c r="N2710">
        <v>-1.556245E-2</v>
      </c>
      <c r="O2710">
        <v>-6.7862119999999998E-3</v>
      </c>
      <c r="P2710">
        <v>-0.96983359999999996</v>
      </c>
      <c r="Q2710">
        <v>0.23024210000000001</v>
      </c>
      <c r="R2710">
        <v>-8.0071110000000001E-2</v>
      </c>
      <c r="S2710">
        <v>-3.0994869999999999</v>
      </c>
      <c r="T2710">
        <v>-0.1214954</v>
      </c>
      <c r="U2710">
        <v>-0.27963259999999901</v>
      </c>
      <c r="V2710">
        <v>-7.3477239999999999E-2</v>
      </c>
      <c r="W2710">
        <v>0.2453186</v>
      </c>
      <c r="X2710">
        <v>0.96665389999999995</v>
      </c>
      <c r="Y2710">
        <v>-8.300573E-2</v>
      </c>
      <c r="Z2710">
        <v>-2.1105540000000002E-3</v>
      </c>
      <c r="AA2710">
        <v>0.99654679999999995</v>
      </c>
      <c r="AB2710">
        <v>57</v>
      </c>
      <c r="AC2710">
        <v>-27.971799999999899</v>
      </c>
      <c r="AD2710">
        <v>-1.1094441303829901</v>
      </c>
      <c r="AE2710">
        <v>-2.5511999999999899</v>
      </c>
      <c r="AF2710">
        <v>-2.3576174037682298</v>
      </c>
      <c r="AG2710">
        <v>-1.1094441303829901</v>
      </c>
      <c r="AH2710">
        <v>27.944872041686398</v>
      </c>
      <c r="AI2710">
        <v>92.265475710268603</v>
      </c>
      <c r="AJ2710">
        <v>94.822437425657398</v>
      </c>
      <c r="AK2710">
        <v>28.066084506521701</v>
      </c>
      <c r="AL2710">
        <v>75.799336375998394</v>
      </c>
      <c r="AM2710">
        <v>94.346804640133897</v>
      </c>
      <c r="AN2710">
        <v>0.99999994134459202</v>
      </c>
    </row>
    <row r="2711" spans="1:40" x14ac:dyDescent="0.25">
      <c r="A2711" t="str">
        <f>"20190304164141655"</f>
        <v>20190304164141655</v>
      </c>
      <c r="B2711" t="str">
        <f>"1551688901643340"</f>
        <v>1551688901643340</v>
      </c>
      <c r="C2711" t="s">
        <v>40</v>
      </c>
      <c r="D2711">
        <v>4.4196819999999999</v>
      </c>
      <c r="E2711">
        <v>0.50185389999999996</v>
      </c>
      <c r="F2711" t="s">
        <v>45</v>
      </c>
      <c r="G2711">
        <v>-470.97800000000001</v>
      </c>
      <c r="H2711" s="1">
        <v>5.9213899999999999E-6</v>
      </c>
      <c r="I2711">
        <v>281.65370000000001</v>
      </c>
      <c r="J2711">
        <v>-443.43560000000002</v>
      </c>
      <c r="K2711">
        <v>1.10945</v>
      </c>
      <c r="L2711">
        <v>284.18610000000001</v>
      </c>
      <c r="M2711">
        <v>-0.99985590000000002</v>
      </c>
      <c r="N2711">
        <v>-1.5560279999999999E-2</v>
      </c>
      <c r="O2711">
        <v>-6.7865540000000002E-3</v>
      </c>
      <c r="P2711">
        <v>-0.96996309999999997</v>
      </c>
      <c r="Q2711">
        <v>0.22959379999999999</v>
      </c>
      <c r="R2711">
        <v>-8.0364409999999997E-2</v>
      </c>
      <c r="S2711">
        <v>-3.099335</v>
      </c>
      <c r="T2711">
        <v>-0.123429399999999</v>
      </c>
      <c r="U2711">
        <v>-0.28198240000000002</v>
      </c>
      <c r="V2711">
        <v>-7.3769489999999993E-2</v>
      </c>
      <c r="W2711">
        <v>0.24467</v>
      </c>
      <c r="X2711">
        <v>0.96679599999999999</v>
      </c>
      <c r="Y2711">
        <v>-8.3756010000000006E-2</v>
      </c>
      <c r="Z2711">
        <v>-2.1528379999999998E-3</v>
      </c>
      <c r="AA2711">
        <v>0.99648400000000004</v>
      </c>
      <c r="AB2711">
        <v>57</v>
      </c>
      <c r="AC2711">
        <v>-27.542399999999901</v>
      </c>
      <c r="AD2711">
        <v>-1.1094440786099999</v>
      </c>
      <c r="AE2711">
        <v>-2.5323999999999902</v>
      </c>
      <c r="AF2711">
        <v>-2.3416334039465299</v>
      </c>
      <c r="AG2711">
        <v>-1.1094440786099999</v>
      </c>
      <c r="AH2711">
        <v>27.5146832945344</v>
      </c>
      <c r="AI2711">
        <v>92.300715539586406</v>
      </c>
      <c r="AJ2711">
        <v>94.864428082473495</v>
      </c>
      <c r="AK2711">
        <v>27.636423610166599</v>
      </c>
      <c r="AL2711">
        <v>75.837666331677298</v>
      </c>
      <c r="AM2711">
        <v>94.3633881105455</v>
      </c>
      <c r="AN2711">
        <v>0.99999992608542698</v>
      </c>
    </row>
    <row r="2712" spans="1:40" x14ac:dyDescent="0.25">
      <c r="A2712" t="str">
        <f>"20190304164141671"</f>
        <v>20190304164141671</v>
      </c>
      <c r="B2712" t="str">
        <f>"1551688901663837"</f>
        <v>1551688901663837</v>
      </c>
      <c r="C2712" t="s">
        <v>40</v>
      </c>
      <c r="D2712">
        <v>4.4087199999999998</v>
      </c>
      <c r="E2712">
        <v>0.50133850000000002</v>
      </c>
      <c r="F2712" t="s">
        <v>45</v>
      </c>
      <c r="G2712">
        <v>-470.73779999999999</v>
      </c>
      <c r="H2712" s="1">
        <v>6.0300319999999999E-6</v>
      </c>
      <c r="I2712">
        <v>281.67770000000002</v>
      </c>
      <c r="J2712">
        <v>-443.86290000000002</v>
      </c>
      <c r="K2712">
        <v>1.1094550000000001</v>
      </c>
      <c r="L2712">
        <v>284.1832</v>
      </c>
      <c r="M2712">
        <v>-0.99985590000000002</v>
      </c>
      <c r="N2712">
        <v>-1.5557359999999999E-2</v>
      </c>
      <c r="O2712">
        <v>-6.7868909999999998E-3</v>
      </c>
      <c r="P2712">
        <v>-0.97001320000000002</v>
      </c>
      <c r="Q2712">
        <v>0.22939860000000001</v>
      </c>
      <c r="R2712">
        <v>-8.0315709999999998E-2</v>
      </c>
      <c r="S2712">
        <v>-3.099091</v>
      </c>
      <c r="T2712">
        <v>-0.12593389999999999</v>
      </c>
      <c r="U2712">
        <v>-0.28472900000000001</v>
      </c>
      <c r="V2712">
        <v>-7.3719809999999997E-2</v>
      </c>
      <c r="W2712">
        <v>0.24447260000000001</v>
      </c>
      <c r="X2712">
        <v>0.96684979999999998</v>
      </c>
      <c r="Y2712">
        <v>-8.4634459999999995E-2</v>
      </c>
      <c r="Z2712">
        <v>-2.2056950000000001E-3</v>
      </c>
      <c r="AA2712">
        <v>0.99640969999999995</v>
      </c>
      <c r="AB2712">
        <v>57</v>
      </c>
      <c r="AC2712">
        <v>-26.874899999999901</v>
      </c>
      <c r="AD2712">
        <v>-1.1094489699679999</v>
      </c>
      <c r="AE2712">
        <v>-2.5054999999999801</v>
      </c>
      <c r="AF2712">
        <v>-2.3191050121329702</v>
      </c>
      <c r="AG2712">
        <v>-1.1094489699679999</v>
      </c>
      <c r="AH2712">
        <v>26.845930844498401</v>
      </c>
      <c r="AI2712">
        <v>92.357717807665296</v>
      </c>
      <c r="AJ2712">
        <v>94.937279927128898</v>
      </c>
      <c r="AK2712">
        <v>26.968743537322201</v>
      </c>
      <c r="AL2712">
        <v>75.849331808078901</v>
      </c>
      <c r="AM2712">
        <v>94.360219227059702</v>
      </c>
      <c r="AN2712">
        <v>0.99999999914861804</v>
      </c>
    </row>
    <row r="2713" spans="1:40" x14ac:dyDescent="0.25">
      <c r="A2713" t="str">
        <f>"20190304164141690"</f>
        <v>20190304164141690</v>
      </c>
      <c r="B2713" t="str">
        <f>"1551688901683357"</f>
        <v>1551688901683357</v>
      </c>
      <c r="C2713" t="s">
        <v>40</v>
      </c>
      <c r="D2713">
        <v>4.4075800000000003</v>
      </c>
      <c r="E2713">
        <v>0.5008494</v>
      </c>
      <c r="F2713" t="s">
        <v>45</v>
      </c>
      <c r="G2713">
        <v>-470.90989999999999</v>
      </c>
      <c r="H2713" s="1">
        <v>5.9525290000000003E-6</v>
      </c>
      <c r="I2713">
        <v>281.66419999999999</v>
      </c>
      <c r="J2713">
        <v>-444.34370000000001</v>
      </c>
      <c r="K2713">
        <v>1.1094619999999999</v>
      </c>
      <c r="L2713">
        <v>284.17989999999998</v>
      </c>
      <c r="M2713">
        <v>-0.99985610000000003</v>
      </c>
      <c r="N2713">
        <v>-1.555409E-2</v>
      </c>
      <c r="O2713">
        <v>-6.7875829999999998E-3</v>
      </c>
      <c r="P2713">
        <v>-0.969858</v>
      </c>
      <c r="Q2713">
        <v>0.23000809999999999</v>
      </c>
      <c r="R2713">
        <v>-8.0449030000000005E-2</v>
      </c>
      <c r="S2713">
        <v>-3.0989070000000001</v>
      </c>
      <c r="T2713">
        <v>-0.12711520000000001</v>
      </c>
      <c r="U2713">
        <v>-0.28860469999999999</v>
      </c>
      <c r="V2713">
        <v>-7.38534E-2</v>
      </c>
      <c r="W2713">
        <v>0.24507680000000001</v>
      </c>
      <c r="X2713">
        <v>0.96668659999999995</v>
      </c>
      <c r="Y2713">
        <v>-8.5871779999999995E-2</v>
      </c>
      <c r="Z2713">
        <v>-2.2540160000000002E-3</v>
      </c>
      <c r="AA2713">
        <v>0.99630359999999996</v>
      </c>
      <c r="AB2713">
        <v>57</v>
      </c>
      <c r="AC2713">
        <v>-26.566199999999899</v>
      </c>
      <c r="AD2713">
        <v>-1.109456047471</v>
      </c>
      <c r="AE2713">
        <v>-2.5156999999999798</v>
      </c>
      <c r="AF2713">
        <v>-2.3312702120714701</v>
      </c>
      <c r="AG2713">
        <v>-1.109456047471</v>
      </c>
      <c r="AH2713">
        <v>26.536795040455399</v>
      </c>
      <c r="AI2713">
        <v>92.384865589177295</v>
      </c>
      <c r="AJ2713">
        <v>95.020572502401606</v>
      </c>
      <c r="AK2713">
        <v>26.662093026281699</v>
      </c>
      <c r="AL2713">
        <v>75.813627189593106</v>
      </c>
      <c r="AM2713">
        <v>94.368824549655699</v>
      </c>
      <c r="AN2713">
        <v>0.99999997260467899</v>
      </c>
    </row>
    <row r="2714" spans="1:40" x14ac:dyDescent="0.25">
      <c r="A2714" t="str">
        <f>"20190304164141704"</f>
        <v>20190304164141704</v>
      </c>
      <c r="B2714" t="str">
        <f>"1551688901694092"</f>
        <v>1551688901694092</v>
      </c>
      <c r="C2714" t="s">
        <v>40</v>
      </c>
      <c r="D2714">
        <v>4.4106389999999998</v>
      </c>
      <c r="E2714">
        <v>0.50060700000000002</v>
      </c>
      <c r="F2714" t="s">
        <v>45</v>
      </c>
      <c r="G2714">
        <v>-471.71030000000002</v>
      </c>
      <c r="H2714" s="1">
        <v>5.5914780000000004E-6</v>
      </c>
      <c r="I2714">
        <v>281.59449999999998</v>
      </c>
      <c r="J2714">
        <v>-444.69690000000003</v>
      </c>
      <c r="K2714">
        <v>1.1094809999999999</v>
      </c>
      <c r="L2714">
        <v>284.17750000000001</v>
      </c>
      <c r="M2714">
        <v>-0.99985619999999997</v>
      </c>
      <c r="N2714">
        <v>-1.555169E-2</v>
      </c>
      <c r="O2714">
        <v>-6.7878039999999997E-3</v>
      </c>
      <c r="P2714">
        <v>-0.96944980000000003</v>
      </c>
      <c r="Q2714">
        <v>0.23177410000000001</v>
      </c>
      <c r="R2714">
        <v>-8.0301719999999993E-2</v>
      </c>
      <c r="S2714">
        <v>-3.0987849999999999</v>
      </c>
      <c r="T2714">
        <v>-0.1256263</v>
      </c>
      <c r="U2714">
        <v>-0.29275509999999999</v>
      </c>
      <c r="V2714">
        <v>-7.3708419999999997E-2</v>
      </c>
      <c r="W2714">
        <v>0.24683359999999999</v>
      </c>
      <c r="X2714">
        <v>0.96625059999999996</v>
      </c>
      <c r="Y2714">
        <v>-8.7198289999999998E-2</v>
      </c>
      <c r="Z2714">
        <v>-2.2737389999999999E-3</v>
      </c>
      <c r="AA2714">
        <v>0.99618839999999997</v>
      </c>
      <c r="AB2714">
        <v>57</v>
      </c>
      <c r="AC2714">
        <v>-27.013399999999901</v>
      </c>
      <c r="AD2714">
        <v>-1.109475408522</v>
      </c>
      <c r="AE2714">
        <v>-2.5830000000000202</v>
      </c>
      <c r="AF2714">
        <v>-2.3955523405965402</v>
      </c>
      <c r="AG2714">
        <v>-1.109475408522</v>
      </c>
      <c r="AH2714">
        <v>26.985204932140402</v>
      </c>
      <c r="AI2714">
        <v>92.345132737903995</v>
      </c>
      <c r="AJ2714">
        <v>95.073008826749103</v>
      </c>
      <c r="AK2714">
        <v>27.114034962142199</v>
      </c>
      <c r="AL2714">
        <v>75.7097801282858</v>
      </c>
      <c r="AM2714">
        <v>94.3622412035091</v>
      </c>
      <c r="AN2714">
        <v>0.99999998963410797</v>
      </c>
    </row>
    <row r="2715" spans="1:40" x14ac:dyDescent="0.25">
      <c r="A2715" t="str">
        <f>"20190304164141725"</f>
        <v>20190304164141725</v>
      </c>
      <c r="B2715" t="str">
        <f>"1551688901713614"</f>
        <v>1551688901713614</v>
      </c>
      <c r="C2715" t="s">
        <v>40</v>
      </c>
      <c r="D2715">
        <v>4.4083040000000002</v>
      </c>
      <c r="E2715">
        <v>0.50013490000000005</v>
      </c>
      <c r="F2715" t="s">
        <v>45</v>
      </c>
      <c r="G2715">
        <v>-473.28320000000002</v>
      </c>
      <c r="H2715" s="1">
        <v>4.8826289999999998E-6</v>
      </c>
      <c r="I2715">
        <v>281.46449999999999</v>
      </c>
      <c r="J2715">
        <v>-445.23910000000001</v>
      </c>
      <c r="K2715">
        <v>1.109488</v>
      </c>
      <c r="L2715">
        <v>284.17380000000003</v>
      </c>
      <c r="M2715">
        <v>-0.99985610000000003</v>
      </c>
      <c r="N2715">
        <v>-1.554793E-2</v>
      </c>
      <c r="O2715">
        <v>-6.7881349999999998E-3</v>
      </c>
      <c r="P2715">
        <v>-0.9694005</v>
      </c>
      <c r="Q2715">
        <v>0.2319657</v>
      </c>
      <c r="R2715">
        <v>-8.0342490000000003E-2</v>
      </c>
      <c r="S2715">
        <v>-3.0989070000000001</v>
      </c>
      <c r="T2715">
        <v>-0.12027350000000001</v>
      </c>
      <c r="U2715">
        <v>-0.29409790000000002</v>
      </c>
      <c r="V2715">
        <v>-7.3749480000000006E-2</v>
      </c>
      <c r="W2715">
        <v>0.2470212</v>
      </c>
      <c r="X2715">
        <v>0.96619949999999999</v>
      </c>
      <c r="Y2715">
        <v>-8.7628479999999995E-2</v>
      </c>
      <c r="Z2715">
        <v>-2.2217500000000002E-3</v>
      </c>
      <c r="AA2715">
        <v>0.99615069999999994</v>
      </c>
      <c r="AB2715">
        <v>57</v>
      </c>
      <c r="AC2715">
        <v>-28.0441</v>
      </c>
      <c r="AD2715">
        <v>-1.109483117371</v>
      </c>
      <c r="AE2715">
        <v>-2.7093000000000398</v>
      </c>
      <c r="AF2715">
        <v>-2.51494752325066</v>
      </c>
      <c r="AG2715">
        <v>-1.109483117371</v>
      </c>
      <c r="AH2715">
        <v>28.0183992998519</v>
      </c>
      <c r="AI2715">
        <v>92.258564221480398</v>
      </c>
      <c r="AJ2715">
        <v>95.1291562285178</v>
      </c>
      <c r="AK2715">
        <v>28.152914825260499</v>
      </c>
      <c r="AL2715">
        <v>75.698687620630395</v>
      </c>
      <c r="AM2715">
        <v>94.364891789855506</v>
      </c>
      <c r="AN2715">
        <v>0.99999996642497901</v>
      </c>
    </row>
    <row r="2716" spans="1:40" x14ac:dyDescent="0.25">
      <c r="A2716" t="str">
        <f>"20190304164141739"</f>
        <v>20190304164141739</v>
      </c>
      <c r="B2716" t="str">
        <f>"1551688901734109"</f>
        <v>1551688901734109</v>
      </c>
      <c r="C2716" t="s">
        <v>40</v>
      </c>
      <c r="D2716">
        <v>4.3980940000000004</v>
      </c>
      <c r="E2716">
        <v>0.49968760000000001</v>
      </c>
      <c r="F2716" t="s">
        <v>45</v>
      </c>
      <c r="G2716">
        <v>-473.83280000000002</v>
      </c>
      <c r="H2716" s="1">
        <v>4.6348769999999999E-6</v>
      </c>
      <c r="I2716">
        <v>281.41890000000001</v>
      </c>
      <c r="J2716">
        <v>-445.62349999999998</v>
      </c>
      <c r="K2716">
        <v>1.1094869999999999</v>
      </c>
      <c r="L2716">
        <v>284.1712</v>
      </c>
      <c r="M2716">
        <v>-0.99985619999999997</v>
      </c>
      <c r="N2716">
        <v>-1.554523E-2</v>
      </c>
      <c r="O2716">
        <v>-6.7883529999999996E-3</v>
      </c>
      <c r="P2716">
        <v>-0.96949649999999998</v>
      </c>
      <c r="Q2716">
        <v>0.23167470000000001</v>
      </c>
      <c r="R2716">
        <v>-8.0021620000000002E-2</v>
      </c>
      <c r="S2716">
        <v>-3.0986940000000001</v>
      </c>
      <c r="T2716">
        <v>-0.12023449999999999</v>
      </c>
      <c r="U2716">
        <v>-0.29855350000000003</v>
      </c>
      <c r="V2716">
        <v>-7.3427999999999993E-2</v>
      </c>
      <c r="W2716">
        <v>0.2467287</v>
      </c>
      <c r="X2716">
        <v>0.96629880000000001</v>
      </c>
      <c r="Y2716">
        <v>-8.9052560000000003E-2</v>
      </c>
      <c r="Z2716">
        <v>-2.259839E-3</v>
      </c>
      <c r="AA2716">
        <v>0.99602440000000003</v>
      </c>
      <c r="AB2716">
        <v>57</v>
      </c>
      <c r="AC2716">
        <v>-28.209299999999999</v>
      </c>
      <c r="AD2716">
        <v>-1.1094823651229999</v>
      </c>
      <c r="AE2716">
        <v>-2.7522999999999902</v>
      </c>
      <c r="AF2716">
        <v>-2.55680098955327</v>
      </c>
      <c r="AG2716">
        <v>-1.1094823651229999</v>
      </c>
      <c r="AH2716">
        <v>28.184149361546702</v>
      </c>
      <c r="AI2716">
        <v>92.245101638757703</v>
      </c>
      <c r="AJ2716">
        <v>95.183552275701501</v>
      </c>
      <c r="AK2716">
        <v>28.321625265028</v>
      </c>
      <c r="AL2716">
        <v>75.715983113470202</v>
      </c>
      <c r="AM2716">
        <v>94.345493032352906</v>
      </c>
      <c r="AN2716">
        <v>1.00000004673456</v>
      </c>
    </row>
    <row r="2717" spans="1:40" x14ac:dyDescent="0.25">
      <c r="A2717" t="str">
        <f>"20190304164141752"</f>
        <v>20190304164141752</v>
      </c>
      <c r="B2717" t="str">
        <f>"1551688901743869"</f>
        <v>1551688901743869</v>
      </c>
      <c r="C2717" t="s">
        <v>40</v>
      </c>
      <c r="D2717">
        <v>4.4245519999999896</v>
      </c>
      <c r="E2717">
        <v>0.49947740000000002</v>
      </c>
      <c r="F2717" t="s">
        <v>45</v>
      </c>
      <c r="G2717">
        <v>-473.84190000000001</v>
      </c>
      <c r="H2717" s="1">
        <v>4.6316400000000001E-6</v>
      </c>
      <c r="I2717">
        <v>281.42759999999998</v>
      </c>
      <c r="J2717">
        <v>-445.92989999999998</v>
      </c>
      <c r="K2717">
        <v>1.109488</v>
      </c>
      <c r="L2717">
        <v>284.16910000000001</v>
      </c>
      <c r="M2717">
        <v>-0.99985619999999997</v>
      </c>
      <c r="N2717">
        <v>-1.5543070000000001E-2</v>
      </c>
      <c r="O2717">
        <v>-6.788695E-3</v>
      </c>
      <c r="P2717">
        <v>-0.96964720000000004</v>
      </c>
      <c r="Q2717">
        <v>0.23107340000000001</v>
      </c>
      <c r="R2717">
        <v>-7.9936679999999996E-2</v>
      </c>
      <c r="S2717">
        <v>-3.098633</v>
      </c>
      <c r="T2717">
        <v>-0.12183139999999899</v>
      </c>
      <c r="U2717">
        <v>-0.30126950000000002</v>
      </c>
      <c r="V2717">
        <v>-7.3341890000000007E-2</v>
      </c>
      <c r="W2717">
        <v>0.2461275</v>
      </c>
      <c r="X2717">
        <v>0.96645859999999995</v>
      </c>
      <c r="Y2717">
        <v>-8.9916049999999997E-2</v>
      </c>
      <c r="Z2717">
        <v>-2.3027590000000001E-3</v>
      </c>
      <c r="AA2717">
        <v>0.99594669999999996</v>
      </c>
      <c r="AB2717">
        <v>57</v>
      </c>
      <c r="AC2717">
        <v>-27.911999999999999</v>
      </c>
      <c r="AD2717">
        <v>-1.1094833683600001</v>
      </c>
      <c r="AE2717">
        <v>-2.74150000000003</v>
      </c>
      <c r="AF2717">
        <v>-2.5479405679476899</v>
      </c>
      <c r="AG2717">
        <v>-1.1094833683600001</v>
      </c>
      <c r="AH2717">
        <v>27.886330439689999</v>
      </c>
      <c r="AI2717">
        <v>92.268922615294997</v>
      </c>
      <c r="AJ2717">
        <v>95.220551356504203</v>
      </c>
      <c r="AK2717">
        <v>28.024460385064401</v>
      </c>
      <c r="AL2717">
        <v>75.751524775077698</v>
      </c>
      <c r="AM2717">
        <v>94.339701571581003</v>
      </c>
      <c r="AN2717">
        <v>1.0000000022994899</v>
      </c>
    </row>
    <row r="2718" spans="1:40" x14ac:dyDescent="0.25">
      <c r="A2718" t="str">
        <f>"20190304164141766"</f>
        <v>20190304164141766</v>
      </c>
      <c r="B2718" t="str">
        <f>"1551688901753630"</f>
        <v>1551688901753630</v>
      </c>
      <c r="C2718" t="s">
        <v>40</v>
      </c>
      <c r="D2718">
        <v>4.580133</v>
      </c>
      <c r="E2718">
        <v>0.49947330000000001</v>
      </c>
      <c r="F2718" t="s">
        <v>45</v>
      </c>
      <c r="G2718">
        <v>-473.62709999999998</v>
      </c>
      <c r="H2718" s="1">
        <v>4.7300630000000003E-6</v>
      </c>
      <c r="I2718">
        <v>281.46409999999997</v>
      </c>
      <c r="J2718">
        <v>-446.28579999999999</v>
      </c>
      <c r="K2718">
        <v>1.1094900000000001</v>
      </c>
      <c r="L2718">
        <v>284.16669999999999</v>
      </c>
      <c r="M2718">
        <v>-0.99985619999999997</v>
      </c>
      <c r="N2718">
        <v>-1.554054E-2</v>
      </c>
      <c r="O2718">
        <v>-6.7889150000000004E-3</v>
      </c>
      <c r="P2718">
        <v>-0.96969680000000003</v>
      </c>
      <c r="Q2718">
        <v>0.23078299999999999</v>
      </c>
      <c r="R2718">
        <v>-8.0170740000000004E-2</v>
      </c>
      <c r="S2718">
        <v>-3.098541</v>
      </c>
      <c r="T2718">
        <v>-0.1241202</v>
      </c>
      <c r="U2718">
        <v>-0.3026123</v>
      </c>
      <c r="V2718">
        <v>-7.3575619999999994E-2</v>
      </c>
      <c r="W2718">
        <v>0.2458359</v>
      </c>
      <c r="X2718">
        <v>0.96651509999999996</v>
      </c>
      <c r="Y2718">
        <v>-9.0342720000000001E-2</v>
      </c>
      <c r="Z2718">
        <v>-2.3426020000000001E-3</v>
      </c>
      <c r="AA2718">
        <v>0.99590800000000002</v>
      </c>
      <c r="AB2718">
        <v>57</v>
      </c>
      <c r="AC2718">
        <v>-27.341299999999901</v>
      </c>
      <c r="AD2718">
        <v>-1.1094852699369999</v>
      </c>
      <c r="AE2718">
        <v>-2.7026000000000101</v>
      </c>
      <c r="AF2718">
        <v>-2.5127998280195398</v>
      </c>
      <c r="AG2718">
        <v>-1.1094852699369999</v>
      </c>
      <c r="AH2718">
        <v>27.314477175229499</v>
      </c>
      <c r="AI2718">
        <v>92.316245548588</v>
      </c>
      <c r="AJ2718">
        <v>95.2561402275538</v>
      </c>
      <c r="AK2718">
        <v>27.4522455164607</v>
      </c>
      <c r="AL2718">
        <v>75.768762536389701</v>
      </c>
      <c r="AM2718">
        <v>94.353224973277094</v>
      </c>
      <c r="AN2718">
        <v>1.0000000500576001</v>
      </c>
    </row>
    <row r="2719" spans="1:40" x14ac:dyDescent="0.25">
      <c r="A2719" t="str">
        <f>"20190304164141779"</f>
        <v>20190304164141779</v>
      </c>
      <c r="B2719" t="str">
        <f>"1551688901774125"</f>
        <v>1551688901774125</v>
      </c>
      <c r="C2719" t="s">
        <v>40</v>
      </c>
      <c r="D2719">
        <v>4.502427</v>
      </c>
      <c r="E2719">
        <v>0.53323679999999996</v>
      </c>
      <c r="F2719" t="s">
        <v>45</v>
      </c>
      <c r="G2719">
        <v>-473.6551</v>
      </c>
      <c r="H2719" s="1">
        <v>4.7198759999999997E-6</v>
      </c>
      <c r="I2719">
        <v>281.48950000000002</v>
      </c>
      <c r="J2719">
        <v>-446.64510000000001</v>
      </c>
      <c r="K2719">
        <v>1.1094850000000001</v>
      </c>
      <c r="L2719">
        <v>284.16430000000003</v>
      </c>
      <c r="M2719">
        <v>-0.99985639999999998</v>
      </c>
      <c r="N2719">
        <v>-1.553797E-2</v>
      </c>
      <c r="O2719">
        <v>-6.7892530000000003E-3</v>
      </c>
      <c r="P2719">
        <v>-0.96968589999999999</v>
      </c>
      <c r="Q2719">
        <v>0.23082800000000001</v>
      </c>
      <c r="R2719">
        <v>-8.0174480000000006E-2</v>
      </c>
      <c r="S2719">
        <v>-3.0986020000000001</v>
      </c>
      <c r="T2719">
        <v>-0.12560979999999999</v>
      </c>
      <c r="U2719">
        <v>-0.3031006</v>
      </c>
      <c r="V2719">
        <v>-7.3578950000000004E-2</v>
      </c>
      <c r="W2719">
        <v>0.2458784</v>
      </c>
      <c r="X2719">
        <v>0.96650400000000003</v>
      </c>
      <c r="Y2719">
        <v>-9.0493799999999999E-2</v>
      </c>
      <c r="Z2719">
        <v>-2.3650450000000001E-3</v>
      </c>
      <c r="AA2719">
        <v>0.99589419999999995</v>
      </c>
      <c r="AB2719">
        <v>57</v>
      </c>
      <c r="AC2719">
        <v>-27.009999999999899</v>
      </c>
      <c r="AD2719">
        <v>-1.109480280124</v>
      </c>
      <c r="AE2719">
        <v>-2.6747999999999998</v>
      </c>
      <c r="AF2719">
        <v>-2.4871826610277599</v>
      </c>
      <c r="AG2719">
        <v>-1.109480280124</v>
      </c>
      <c r="AH2719">
        <v>26.982454320002599</v>
      </c>
      <c r="AI2719">
        <v>92.344666068207601</v>
      </c>
      <c r="AJ2719">
        <v>95.266515167706402</v>
      </c>
      <c r="AK2719">
        <v>27.119547658696799</v>
      </c>
      <c r="AL2719">
        <v>75.766249858514797</v>
      </c>
      <c r="AM2719">
        <v>94.353471046382396</v>
      </c>
      <c r="AN2719">
        <v>1.0000000157428299</v>
      </c>
    </row>
    <row r="2720" spans="1:40" x14ac:dyDescent="0.25">
      <c r="A2720" t="str">
        <f>"20190304164141792"</f>
        <v>20190304164141792</v>
      </c>
      <c r="B2720" t="str">
        <f>"1551688901783885"</f>
        <v>1551688901783885</v>
      </c>
      <c r="C2720" t="s">
        <v>40</v>
      </c>
      <c r="D2720">
        <v>4.3927519999999998</v>
      </c>
      <c r="E2720">
        <v>0.5395548</v>
      </c>
      <c r="F2720" t="s">
        <v>46</v>
      </c>
      <c r="G2720">
        <v>-469.86590000000001</v>
      </c>
      <c r="H2720" s="1">
        <v>3.744948E-6</v>
      </c>
      <c r="I2720">
        <v>283.89409999999998</v>
      </c>
      <c r="J2720">
        <v>-446.93779999999998</v>
      </c>
      <c r="K2720">
        <v>1.1094889999999999</v>
      </c>
      <c r="L2720">
        <v>284.16230000000002</v>
      </c>
      <c r="M2720">
        <v>-0.99985639999999998</v>
      </c>
      <c r="N2720">
        <v>-1.553588E-2</v>
      </c>
      <c r="O2720">
        <v>-6.7895949999999998E-3</v>
      </c>
      <c r="P2720">
        <v>-0.96957559999999998</v>
      </c>
      <c r="Q2720">
        <v>0.23140179999999999</v>
      </c>
      <c r="R2720">
        <v>-7.9855220000000005E-2</v>
      </c>
      <c r="S2720">
        <v>-3.1263429999999999</v>
      </c>
      <c r="T2720">
        <v>-0.14937529999999999</v>
      </c>
      <c r="U2720">
        <v>-3.6376949999999998E-2</v>
      </c>
      <c r="V2720">
        <v>-7.3260140000000001E-2</v>
      </c>
      <c r="W2720">
        <v>0.24644820000000001</v>
      </c>
      <c r="X2720">
        <v>0.96638299999999999</v>
      </c>
      <c r="Y2720">
        <v>-4.8408219999999998E-3</v>
      </c>
      <c r="Z2720" s="1">
        <v>6.5545219999999999E-5</v>
      </c>
      <c r="AA2720">
        <v>0.99998830000000005</v>
      </c>
      <c r="AB2720">
        <v>57</v>
      </c>
      <c r="AC2720">
        <v>-22.928100000000001</v>
      </c>
      <c r="AD2720">
        <v>-1.109485255052</v>
      </c>
      <c r="AE2720">
        <v>-0.26820000000003502</v>
      </c>
      <c r="AF2720">
        <v>-0.112239754119752</v>
      </c>
      <c r="AG2720">
        <v>-1.109485255052</v>
      </c>
      <c r="AH2720">
        <v>22.875834565033401</v>
      </c>
      <c r="AI2720">
        <v>92.776654348267101</v>
      </c>
      <c r="AJ2720">
        <v>90.281118163475398</v>
      </c>
      <c r="AK2720">
        <v>22.902998981364</v>
      </c>
      <c r="AL2720">
        <v>75.732565017971794</v>
      </c>
      <c r="AM2720">
        <v>94.335220627852905</v>
      </c>
      <c r="AN2720">
        <v>0.99999993304252699</v>
      </c>
    </row>
    <row r="2721" spans="1:40" x14ac:dyDescent="0.25">
      <c r="A2721" t="str">
        <f>"20190304164141809"</f>
        <v>20190304164141809</v>
      </c>
      <c r="B2721" t="str">
        <f>"1551688901803404"</f>
        <v>1551688901803404</v>
      </c>
      <c r="C2721" t="s">
        <v>40</v>
      </c>
      <c r="D2721">
        <v>4.3471359999999999</v>
      </c>
      <c r="E2721">
        <v>0.54545509999999997</v>
      </c>
      <c r="F2721" t="s">
        <v>46</v>
      </c>
      <c r="G2721">
        <v>-469.87079999999997</v>
      </c>
      <c r="H2721" s="1">
        <v>3.731177E-6</v>
      </c>
      <c r="I2721">
        <v>284.26819999999998</v>
      </c>
      <c r="J2721">
        <v>-447.34609999999998</v>
      </c>
      <c r="K2721">
        <v>1.1094930000000001</v>
      </c>
      <c r="L2721">
        <v>284.15949999999998</v>
      </c>
      <c r="M2721">
        <v>-0.99985639999999998</v>
      </c>
      <c r="N2721">
        <v>-1.553296E-2</v>
      </c>
      <c r="O2721">
        <v>-6.7899299999999996E-3</v>
      </c>
      <c r="P2721">
        <v>-0.96956779999999998</v>
      </c>
      <c r="Q2721">
        <v>0.2314534</v>
      </c>
      <c r="R2721">
        <v>-7.9798140000000004E-2</v>
      </c>
      <c r="S2721">
        <v>-3.1314700000000002</v>
      </c>
      <c r="T2721">
        <v>-0.15149889999999999</v>
      </c>
      <c r="U2721">
        <v>1.446533E-2</v>
      </c>
      <c r="V2721">
        <v>-7.3203000000000004E-2</v>
      </c>
      <c r="W2721">
        <v>0.24649679999999999</v>
      </c>
      <c r="X2721">
        <v>0.96637499999999998</v>
      </c>
      <c r="Y2721">
        <v>1.13886E-2</v>
      </c>
      <c r="Z2721">
        <v>5.8671549999999998E-4</v>
      </c>
      <c r="AA2721">
        <v>0.99993500000000002</v>
      </c>
      <c r="AB2721">
        <v>57</v>
      </c>
      <c r="AC2721">
        <v>-22.524699999999999</v>
      </c>
      <c r="AD2721">
        <v>-1.109489268823</v>
      </c>
      <c r="AE2721">
        <v>0.10869999999999801</v>
      </c>
      <c r="AF2721">
        <v>0.26102378503482199</v>
      </c>
      <c r="AG2721">
        <v>-1.109489268823</v>
      </c>
      <c r="AH2721">
        <v>22.4689294388806</v>
      </c>
      <c r="AI2721">
        <v>92.826711585747205</v>
      </c>
      <c r="AJ2721">
        <v>89.334419178968801</v>
      </c>
      <c r="AK2721">
        <v>22.4978196717678</v>
      </c>
      <c r="AL2721">
        <v>75.7296927228615</v>
      </c>
      <c r="AM2721">
        <v>94.331887927613806</v>
      </c>
      <c r="AN2721">
        <v>0.99999999612211898</v>
      </c>
    </row>
    <row r="2722" spans="1:40" x14ac:dyDescent="0.25">
      <c r="A2722" t="str">
        <f>"20190304164141826"</f>
        <v>20190304164141826</v>
      </c>
      <c r="B2722" t="str">
        <f>"1551688901814141"</f>
        <v>1551688901814141</v>
      </c>
      <c r="C2722" t="s">
        <v>40</v>
      </c>
      <c r="D2722">
        <v>4.3279610000000002</v>
      </c>
      <c r="E2722">
        <v>0.54720459999999904</v>
      </c>
      <c r="F2722" t="s">
        <v>46</v>
      </c>
      <c r="G2722">
        <v>-469.60570000000001</v>
      </c>
      <c r="H2722" s="1">
        <v>3.5759470000000002E-6</v>
      </c>
      <c r="I2722">
        <v>284.59269999999998</v>
      </c>
      <c r="J2722">
        <v>-447.79469999999998</v>
      </c>
      <c r="K2722">
        <v>1.10949599999999</v>
      </c>
      <c r="L2722">
        <v>284.15649999999999</v>
      </c>
      <c r="M2722">
        <v>-0.99985650000000004</v>
      </c>
      <c r="N2722">
        <v>-1.552974E-2</v>
      </c>
      <c r="O2722">
        <v>-6.7903829999999997E-3</v>
      </c>
      <c r="P2722">
        <v>-0.96945020000000004</v>
      </c>
      <c r="Q2722">
        <v>0.23194020000000001</v>
      </c>
      <c r="R2722">
        <v>-7.9815449999999996E-2</v>
      </c>
      <c r="S2722">
        <v>-3.1365050000000001</v>
      </c>
      <c r="T2722">
        <v>-0.1563331</v>
      </c>
      <c r="U2722">
        <v>6.1035159999999998E-2</v>
      </c>
      <c r="V2722">
        <v>-7.3220450000000006E-2</v>
      </c>
      <c r="W2722">
        <v>0.24697830000000001</v>
      </c>
      <c r="X2722">
        <v>0.96625079999999997</v>
      </c>
      <c r="Y2722">
        <v>2.6198740000000002E-2</v>
      </c>
      <c r="Z2722">
        <v>1.0888849999999999E-3</v>
      </c>
      <c r="AA2722">
        <v>0.99965610000000005</v>
      </c>
      <c r="AB2722">
        <v>56</v>
      </c>
      <c r="AC2722">
        <v>-21.811</v>
      </c>
      <c r="AD2722">
        <v>-1.10949242405299</v>
      </c>
      <c r="AE2722">
        <v>0.43619999999998499</v>
      </c>
      <c r="AF2722">
        <v>0.58280535934626199</v>
      </c>
      <c r="AG2722">
        <v>-1.10949242405299</v>
      </c>
      <c r="AH2722">
        <v>21.7512735633426</v>
      </c>
      <c r="AI2722">
        <v>92.918975728279307</v>
      </c>
      <c r="AJ2722">
        <v>88.465179536078097</v>
      </c>
      <c r="AK2722">
        <v>21.7873480982262</v>
      </c>
      <c r="AL2722">
        <v>75.701225596156803</v>
      </c>
      <c r="AM2722">
        <v>94.333471446522395</v>
      </c>
      <c r="AN2722">
        <v>1.0000000617348599</v>
      </c>
    </row>
    <row r="2723" spans="1:40" x14ac:dyDescent="0.25">
      <c r="A2723" t="str">
        <f>"20190304164141839"</f>
        <v>20190304164141839</v>
      </c>
      <c r="B2723" t="str">
        <f>"1551688901833660"</f>
        <v>1551688901833660</v>
      </c>
      <c r="C2723" t="s">
        <v>40</v>
      </c>
      <c r="D2723">
        <v>4.364331</v>
      </c>
      <c r="E2723">
        <v>0.54965249999999999</v>
      </c>
      <c r="F2723" t="s">
        <v>45</v>
      </c>
      <c r="G2723">
        <v>-470.06700000000001</v>
      </c>
      <c r="H2723" s="1">
        <v>6.590451E-6</v>
      </c>
      <c r="I2723">
        <v>284.68540000000002</v>
      </c>
      <c r="J2723">
        <v>-448.11689999999999</v>
      </c>
      <c r="K2723">
        <v>1.109504</v>
      </c>
      <c r="L2723">
        <v>284.15429999999998</v>
      </c>
      <c r="M2723">
        <v>-0.99985639999999998</v>
      </c>
      <c r="N2723">
        <v>-1.552742E-2</v>
      </c>
      <c r="O2723">
        <v>-6.7903649999999996E-3</v>
      </c>
      <c r="P2723">
        <v>-0.96941520000000003</v>
      </c>
      <c r="Q2723">
        <v>0.23229150000000001</v>
      </c>
      <c r="R2723">
        <v>-7.9214549999999995E-2</v>
      </c>
      <c r="S2723">
        <v>-3.1380919999999999</v>
      </c>
      <c r="T2723">
        <v>-0.15632379999999901</v>
      </c>
      <c r="U2723">
        <v>7.4523930000000002E-2</v>
      </c>
      <c r="V2723">
        <v>-7.2619890000000006E-2</v>
      </c>
      <c r="W2723">
        <v>0.24732709999999999</v>
      </c>
      <c r="X2723">
        <v>0.96620680000000003</v>
      </c>
      <c r="Y2723">
        <v>3.0476639999999999E-2</v>
      </c>
      <c r="Z2723">
        <v>1.2279979999999999E-3</v>
      </c>
      <c r="AA2723">
        <v>0.9995347</v>
      </c>
      <c r="AB2723">
        <v>56</v>
      </c>
      <c r="AC2723">
        <v>-21.9500999999999</v>
      </c>
      <c r="AD2723">
        <v>-1.109497409549</v>
      </c>
      <c r="AE2723">
        <v>0.53110000000003699</v>
      </c>
      <c r="AF2723">
        <v>0.67842260196164705</v>
      </c>
      <c r="AG2723">
        <v>-1.109497409549</v>
      </c>
      <c r="AH2723">
        <v>21.890092021666799</v>
      </c>
      <c r="AI2723">
        <v>92.900158531104495</v>
      </c>
      <c r="AJ2723">
        <v>88.224844665005406</v>
      </c>
      <c r="AK2723">
        <v>21.9286882974265</v>
      </c>
      <c r="AL2723">
        <v>75.680599518054194</v>
      </c>
      <c r="AM2723">
        <v>94.298256701845006</v>
      </c>
      <c r="AN2723">
        <v>0.99999996159213</v>
      </c>
    </row>
    <row r="2724" spans="1:40" x14ac:dyDescent="0.25">
      <c r="A2724" t="str">
        <f>"20190304164141853"</f>
        <v>20190304164141853</v>
      </c>
      <c r="B2724" t="str">
        <f>"1551688901843420"</f>
        <v>1551688901843420</v>
      </c>
      <c r="C2724" t="s">
        <v>40</v>
      </c>
      <c r="D2724">
        <v>4.3643619999999999</v>
      </c>
      <c r="E2724">
        <v>0.55046839999999997</v>
      </c>
      <c r="F2724" t="s">
        <v>46</v>
      </c>
      <c r="G2724">
        <v>-469.31920000000002</v>
      </c>
      <c r="H2724" s="1">
        <v>3.4147830000000001E-6</v>
      </c>
      <c r="I2724">
        <v>284.79149999999998</v>
      </c>
      <c r="J2724">
        <v>-448.476</v>
      </c>
      <c r="K2724">
        <v>1.1095029999999999</v>
      </c>
      <c r="L2724">
        <v>284.15190000000001</v>
      </c>
      <c r="M2724">
        <v>-0.99985650000000004</v>
      </c>
      <c r="N2724">
        <v>-1.552481E-2</v>
      </c>
      <c r="O2724">
        <v>-6.7908219999999898E-3</v>
      </c>
      <c r="P2724">
        <v>-0.96937329999999999</v>
      </c>
      <c r="Q2724">
        <v>0.2324291</v>
      </c>
      <c r="R2724">
        <v>-7.9326830000000001E-2</v>
      </c>
      <c r="S2724">
        <v>-3.141785</v>
      </c>
      <c r="T2724">
        <v>-0.1644071</v>
      </c>
      <c r="U2724">
        <v>9.4421389999999994E-2</v>
      </c>
      <c r="V2724">
        <v>-7.2731550000000006E-2</v>
      </c>
      <c r="W2724">
        <v>0.24746109999999999</v>
      </c>
      <c r="X2724">
        <v>0.96616409999999997</v>
      </c>
      <c r="Y2724">
        <v>3.6757959999999999E-2</v>
      </c>
      <c r="Z2724">
        <v>1.4962339999999999E-3</v>
      </c>
      <c r="AA2724">
        <v>0.99932310000000002</v>
      </c>
      <c r="AB2724">
        <v>56</v>
      </c>
      <c r="AC2724">
        <v>-20.8432</v>
      </c>
      <c r="AD2724">
        <v>-1.109499585217</v>
      </c>
      <c r="AE2724">
        <v>0.63959999999997297</v>
      </c>
      <c r="AF2724">
        <v>0.77893969822543496</v>
      </c>
      <c r="AG2724">
        <v>-1.109499585217</v>
      </c>
      <c r="AH2724">
        <v>20.779551573671299</v>
      </c>
      <c r="AI2724">
        <v>93.054197117628206</v>
      </c>
      <c r="AJ2724">
        <v>87.853222668651497</v>
      </c>
      <c r="AK2724">
        <v>20.8237244503939</v>
      </c>
      <c r="AL2724">
        <v>75.672675708153903</v>
      </c>
      <c r="AM2724">
        <v>94.305030394887595</v>
      </c>
      <c r="AN2724">
        <v>0.99999997125370998</v>
      </c>
    </row>
    <row r="2725" spans="1:40" x14ac:dyDescent="0.25">
      <c r="A2725" t="str">
        <f>"20190304164141868"</f>
        <v>20190304164141868</v>
      </c>
      <c r="B2725" t="str">
        <f>"1551688901863917"</f>
        <v>1551688901863917</v>
      </c>
      <c r="C2725" t="s">
        <v>40</v>
      </c>
      <c r="D2725">
        <v>4.395473</v>
      </c>
      <c r="E2725">
        <v>0.55161260000000001</v>
      </c>
      <c r="F2725" t="s">
        <v>46</v>
      </c>
      <c r="G2725">
        <v>-469.36340000000001</v>
      </c>
      <c r="H2725" s="1">
        <v>3.437181E-6</v>
      </c>
      <c r="I2725">
        <v>284.81670000000003</v>
      </c>
      <c r="J2725">
        <v>-448.83580000000001</v>
      </c>
      <c r="K2725">
        <v>1.109505</v>
      </c>
      <c r="L2725">
        <v>284.14940000000001</v>
      </c>
      <c r="M2725">
        <v>-0.99985650000000004</v>
      </c>
      <c r="N2725">
        <v>-1.552211E-2</v>
      </c>
      <c r="O2725">
        <v>-6.7911589999999997E-3</v>
      </c>
      <c r="P2725">
        <v>-0.96955729999999996</v>
      </c>
      <c r="Q2725">
        <v>0.23175750000000001</v>
      </c>
      <c r="R2725">
        <v>-7.9041719999999996E-2</v>
      </c>
      <c r="S2725">
        <v>-3.1430359999999999</v>
      </c>
      <c r="T2725">
        <v>-0.16695209999999999</v>
      </c>
      <c r="U2725">
        <v>0.1000366</v>
      </c>
      <c r="V2725">
        <v>-7.2444919999999996E-2</v>
      </c>
      <c r="W2725">
        <v>0.2467897</v>
      </c>
      <c r="X2725">
        <v>0.96635740000000003</v>
      </c>
      <c r="Y2725">
        <v>3.8524790000000003E-2</v>
      </c>
      <c r="Z2725">
        <v>1.5766199999999999E-3</v>
      </c>
      <c r="AA2725">
        <v>0.99925640000000004</v>
      </c>
      <c r="AB2725">
        <v>56</v>
      </c>
      <c r="AC2725">
        <v>-20.5276</v>
      </c>
      <c r="AD2725">
        <v>-1.1095015628189999</v>
      </c>
      <c r="AE2725">
        <v>0.667300000000011</v>
      </c>
      <c r="AF2725">
        <v>0.80436028022257799</v>
      </c>
      <c r="AG2725">
        <v>-1.1095015628189999</v>
      </c>
      <c r="AH2725">
        <v>20.462878667799899</v>
      </c>
      <c r="AI2725">
        <v>93.101159971327405</v>
      </c>
      <c r="AJ2725">
        <v>87.748961164000306</v>
      </c>
      <c r="AK2725">
        <v>20.508715039012099</v>
      </c>
      <c r="AL2725">
        <v>75.712376205477099</v>
      </c>
      <c r="AM2725">
        <v>94.287273422168894</v>
      </c>
      <c r="AN2725">
        <v>1.0000000234973201</v>
      </c>
    </row>
    <row r="2726" spans="1:40" x14ac:dyDescent="0.25">
      <c r="A2726" t="str">
        <f>"20190304164141883"</f>
        <v>20190304164141883</v>
      </c>
      <c r="B2726" t="str">
        <f>"1551688901873677"</f>
        <v>1551688901873677</v>
      </c>
      <c r="C2726" t="s">
        <v>40</v>
      </c>
      <c r="D2726">
        <v>4.4063460000000001</v>
      </c>
      <c r="E2726">
        <v>0.55199880000000001</v>
      </c>
      <c r="F2726" t="s">
        <v>41</v>
      </c>
      <c r="G2726">
        <v>-449.93430000000001</v>
      </c>
      <c r="H2726">
        <v>1.048783</v>
      </c>
      <c r="I2726">
        <v>284.18790000000001</v>
      </c>
      <c r="J2726">
        <v>-449.22609999999997</v>
      </c>
      <c r="K2726">
        <v>1.1094980000000001</v>
      </c>
      <c r="L2726">
        <v>284.14679999999998</v>
      </c>
      <c r="M2726">
        <v>-0.99985650000000004</v>
      </c>
      <c r="N2726">
        <v>-1.5519059999999999E-2</v>
      </c>
      <c r="O2726">
        <v>-6.791493E-3</v>
      </c>
      <c r="P2726">
        <v>-0.96961430000000004</v>
      </c>
      <c r="Q2726">
        <v>0.23155519999999999</v>
      </c>
      <c r="R2726">
        <v>-7.8934089999999998E-2</v>
      </c>
      <c r="S2726">
        <v>-3.144714</v>
      </c>
      <c r="T2726">
        <v>-0.17388809999999999</v>
      </c>
      <c r="U2726">
        <v>0.1099243</v>
      </c>
      <c r="V2726">
        <v>-7.2336819999999996E-2</v>
      </c>
      <c r="W2726">
        <v>0.24658550000000001</v>
      </c>
      <c r="X2726">
        <v>0.96641759999999999</v>
      </c>
      <c r="Y2726">
        <v>4.163451E-2</v>
      </c>
      <c r="Z2726">
        <v>1.743201E-3</v>
      </c>
      <c r="AA2726">
        <v>0.9991314</v>
      </c>
      <c r="AB2726">
        <v>56</v>
      </c>
      <c r="AC2726">
        <v>-0.70820000000003303</v>
      </c>
      <c r="AD2726">
        <v>-6.0714999999999797E-2</v>
      </c>
      <c r="AE2726">
        <v>4.1100000000028503E-2</v>
      </c>
      <c r="AF2726">
        <v>4.5575516478855903E-2</v>
      </c>
      <c r="AG2726">
        <v>-6.0714999999999797E-2</v>
      </c>
      <c r="AH2726">
        <v>0.70275666115583901</v>
      </c>
      <c r="AI2726">
        <v>94.927534953291101</v>
      </c>
      <c r="AJ2726">
        <v>86.289422481668595</v>
      </c>
      <c r="AK2726">
        <v>0.70684536054657399</v>
      </c>
      <c r="AL2726">
        <v>75.724448787504301</v>
      </c>
      <c r="AM2726">
        <v>94.280634214868996</v>
      </c>
      <c r="AN2726">
        <v>1.0000000009638601</v>
      </c>
    </row>
    <row r="2727" spans="1:40" x14ac:dyDescent="0.25">
      <c r="A2727" t="str">
        <f>"20190304164141898"</f>
        <v>20190304164141898</v>
      </c>
      <c r="B2727" t="str">
        <f>"1551688901894172"</f>
        <v>1551688901894172</v>
      </c>
      <c r="C2727" t="s">
        <v>40</v>
      </c>
      <c r="D2727">
        <v>4.377491</v>
      </c>
      <c r="E2727">
        <v>0.55243039999999999</v>
      </c>
      <c r="F2727" t="s">
        <v>41</v>
      </c>
      <c r="G2727">
        <v>-450.43110000000001</v>
      </c>
      <c r="H2727">
        <v>1.0419320000000001</v>
      </c>
      <c r="I2727">
        <v>284.19029999999998</v>
      </c>
      <c r="J2727">
        <v>-449.61529999999999</v>
      </c>
      <c r="K2727">
        <v>1.1095029999999999</v>
      </c>
      <c r="L2727">
        <v>284.14420000000001</v>
      </c>
      <c r="M2727">
        <v>-0.99985670000000004</v>
      </c>
      <c r="N2727">
        <v>-1.5516139999999999E-2</v>
      </c>
      <c r="O2727">
        <v>-6.7918290000000001E-3</v>
      </c>
      <c r="P2727">
        <v>-0.96977740000000001</v>
      </c>
      <c r="Q2727">
        <v>0.2310721</v>
      </c>
      <c r="R2727">
        <v>-7.834497E-2</v>
      </c>
      <c r="S2727">
        <v>-3.1453859999999998</v>
      </c>
      <c r="T2727">
        <v>-0.1764684</v>
      </c>
      <c r="U2727">
        <v>0.11309809999999999</v>
      </c>
      <c r="V2727">
        <v>-7.1746379999999998E-2</v>
      </c>
      <c r="W2727">
        <v>0.24610209999999999</v>
      </c>
      <c r="X2727">
        <v>0.96658489999999997</v>
      </c>
      <c r="Y2727">
        <v>4.262995E-2</v>
      </c>
      <c r="Z2727">
        <v>1.801055E-3</v>
      </c>
      <c r="AA2727">
        <v>0.99908929999999996</v>
      </c>
      <c r="AB2727">
        <v>56</v>
      </c>
      <c r="AC2727">
        <v>-0.81580000000002395</v>
      </c>
      <c r="AD2727">
        <v>-6.7571000000000006E-2</v>
      </c>
      <c r="AE2727">
        <v>4.6099999999967098E-2</v>
      </c>
      <c r="AF2727">
        <v>5.1289626383112401E-2</v>
      </c>
      <c r="AG2727">
        <v>-6.7571000000000006E-2</v>
      </c>
      <c r="AH2727">
        <v>0.80992923730891098</v>
      </c>
      <c r="AI2727">
        <v>94.759554070874898</v>
      </c>
      <c r="AJ2727">
        <v>86.3765225480617</v>
      </c>
      <c r="AK2727">
        <v>0.81435977016507499</v>
      </c>
      <c r="AL2727">
        <v>75.753027371126294</v>
      </c>
      <c r="AM2727">
        <v>94.245090186796304</v>
      </c>
      <c r="AN2727">
        <v>1.00000007778775</v>
      </c>
    </row>
    <row r="2728" spans="1:40" x14ac:dyDescent="0.25">
      <c r="A2728" t="str">
        <f>"20190304164141915"</f>
        <v>20190304164141915</v>
      </c>
      <c r="B2728" t="str">
        <f>"1551688901903933"</f>
        <v>1551688901903933</v>
      </c>
      <c r="C2728" t="s">
        <v>40</v>
      </c>
      <c r="D2728">
        <v>4.3595750000000004</v>
      </c>
      <c r="E2728">
        <v>0.55259340000000001</v>
      </c>
      <c r="F2728" t="s">
        <v>46</v>
      </c>
      <c r="G2728">
        <v>-469.05880000000002</v>
      </c>
      <c r="H2728" s="1">
        <v>3.272539E-6</v>
      </c>
      <c r="I2728">
        <v>284.87490000000003</v>
      </c>
      <c r="J2728">
        <v>-450.036</v>
      </c>
      <c r="K2728">
        <v>1.1095029999999999</v>
      </c>
      <c r="L2728">
        <v>284.1413</v>
      </c>
      <c r="M2728">
        <v>-0.99985670000000004</v>
      </c>
      <c r="N2728">
        <v>-1.551316E-2</v>
      </c>
      <c r="O2728">
        <v>-6.7921639999999998E-3</v>
      </c>
      <c r="P2728">
        <v>-0.96972760000000002</v>
      </c>
      <c r="Q2728">
        <v>0.2314427</v>
      </c>
      <c r="R2728">
        <v>-7.786448E-2</v>
      </c>
      <c r="S2728">
        <v>-3.1457820000000001</v>
      </c>
      <c r="T2728">
        <v>-0.1795069</v>
      </c>
      <c r="U2728">
        <v>0.1182251</v>
      </c>
      <c r="V2728">
        <v>-7.1265679999999998E-2</v>
      </c>
      <c r="W2728">
        <v>0.24646950000000001</v>
      </c>
      <c r="X2728">
        <v>0.96652669999999996</v>
      </c>
      <c r="Y2728">
        <v>4.424558E-2</v>
      </c>
      <c r="Z2728">
        <v>1.8864730000000001E-3</v>
      </c>
      <c r="AA2728">
        <v>0.99901890000000004</v>
      </c>
      <c r="AB2728">
        <v>56</v>
      </c>
      <c r="AC2728">
        <v>-19.0228</v>
      </c>
      <c r="AD2728">
        <v>-1.1094997274609999</v>
      </c>
      <c r="AE2728">
        <v>0.73360000000002401</v>
      </c>
      <c r="AF2728">
        <v>0.85988380068756998</v>
      </c>
      <c r="AG2728">
        <v>-1.1094997274609999</v>
      </c>
      <c r="AH2728">
        <v>18.9529996776171</v>
      </c>
      <c r="AI2728">
        <v>93.346809760340506</v>
      </c>
      <c r="AJ2728">
        <v>87.402313542219304</v>
      </c>
      <c r="AK2728">
        <v>19.004909538739501</v>
      </c>
      <c r="AL2728">
        <v>75.731305827425899</v>
      </c>
      <c r="AM2728">
        <v>94.217004060145598</v>
      </c>
      <c r="AN2728">
        <v>0.99999993669449905</v>
      </c>
    </row>
    <row r="2729" spans="1:40" x14ac:dyDescent="0.25">
      <c r="A2729" t="str">
        <f>"20190304164141933"</f>
        <v>20190304164141933</v>
      </c>
      <c r="B2729" t="str">
        <f>"1551688901923453"</f>
        <v>1551688901923453</v>
      </c>
      <c r="C2729" t="s">
        <v>40</v>
      </c>
      <c r="D2729">
        <v>4.332808</v>
      </c>
      <c r="E2729">
        <v>0.55285969999999995</v>
      </c>
      <c r="F2729" t="s">
        <v>46</v>
      </c>
      <c r="G2729">
        <v>-469.57909999999998</v>
      </c>
      <c r="H2729" s="1">
        <v>3.5485520000000002E-6</v>
      </c>
      <c r="I2729">
        <v>284.89490000000001</v>
      </c>
      <c r="J2729">
        <v>-450.47340000000003</v>
      </c>
      <c r="K2729">
        <v>1.1095079999999999</v>
      </c>
      <c r="L2729">
        <v>284.13830000000002</v>
      </c>
      <c r="M2729">
        <v>-0.99985670000000004</v>
      </c>
      <c r="N2729">
        <v>-1.551019E-2</v>
      </c>
      <c r="O2729">
        <v>-6.7926180000000003E-3</v>
      </c>
      <c r="P2729">
        <v>-0.96970540000000005</v>
      </c>
      <c r="Q2729">
        <v>0.23155480000000001</v>
      </c>
      <c r="R2729">
        <v>-7.7807749999999995E-2</v>
      </c>
      <c r="S2729">
        <v>-3.1460270000000001</v>
      </c>
      <c r="T2729">
        <v>-0.17860589999999901</v>
      </c>
      <c r="U2729">
        <v>0.121307399999999</v>
      </c>
      <c r="V2729">
        <v>-7.1208820000000006E-2</v>
      </c>
      <c r="W2729">
        <v>0.24657760000000001</v>
      </c>
      <c r="X2729">
        <v>0.96650340000000001</v>
      </c>
      <c r="Y2729">
        <v>4.5219380000000003E-2</v>
      </c>
      <c r="Z2729">
        <v>1.913208E-3</v>
      </c>
      <c r="AA2729">
        <v>0.99897530000000001</v>
      </c>
      <c r="AB2729">
        <v>56</v>
      </c>
      <c r="AC2729">
        <v>-19.105699999999899</v>
      </c>
      <c r="AD2729">
        <v>-1.1095044514479999</v>
      </c>
      <c r="AE2729">
        <v>0.75659999999999095</v>
      </c>
      <c r="AF2729">
        <v>0.88340139639234705</v>
      </c>
      <c r="AG2729">
        <v>-1.1095044514479999</v>
      </c>
      <c r="AH2729">
        <v>19.036023659209299</v>
      </c>
      <c r="AI2729">
        <v>93.332102098694506</v>
      </c>
      <c r="AJ2729">
        <v>87.342991131896596</v>
      </c>
      <c r="AK2729">
        <v>19.088781912655101</v>
      </c>
      <c r="AL2729">
        <v>75.724916058456202</v>
      </c>
      <c r="AM2729">
        <v>94.213752821295998</v>
      </c>
      <c r="AN2729">
        <v>1.0000000155395501</v>
      </c>
    </row>
    <row r="2730" spans="1:40" x14ac:dyDescent="0.25">
      <c r="A2730" t="str">
        <f>"20190304164141948"</f>
        <v>20190304164141948</v>
      </c>
      <c r="B2730" t="str">
        <f>"1551688901943949"</f>
        <v>1551688901943949</v>
      </c>
      <c r="C2730" t="s">
        <v>40</v>
      </c>
      <c r="D2730">
        <v>4.3768729999999998</v>
      </c>
      <c r="E2730">
        <v>0.55313469999999998</v>
      </c>
      <c r="F2730" t="s">
        <v>45</v>
      </c>
      <c r="G2730">
        <v>-470.07740000000001</v>
      </c>
      <c r="H2730" s="1">
        <v>6.6051810000000004E-6</v>
      </c>
      <c r="I2730">
        <v>284.90690000000001</v>
      </c>
      <c r="J2730">
        <v>-450.86529999999999</v>
      </c>
      <c r="K2730">
        <v>1.1095120000000001</v>
      </c>
      <c r="L2730">
        <v>284.13560000000001</v>
      </c>
      <c r="M2730">
        <v>-0.99985679999999999</v>
      </c>
      <c r="N2730">
        <v>-1.550757E-2</v>
      </c>
      <c r="O2730">
        <v>-6.793075E-3</v>
      </c>
      <c r="P2730">
        <v>-0.96959390000000001</v>
      </c>
      <c r="Q2730">
        <v>0.23211370000000001</v>
      </c>
      <c r="R2730">
        <v>-7.7530950000000001E-2</v>
      </c>
      <c r="S2730">
        <v>-3.1461489999999999</v>
      </c>
      <c r="T2730">
        <v>-0.17805839999999901</v>
      </c>
      <c r="U2730">
        <v>0.12335210000000001</v>
      </c>
      <c r="V2730">
        <v>-7.0932079999999995E-2</v>
      </c>
      <c r="W2730">
        <v>0.24713260000000001</v>
      </c>
      <c r="X2730">
        <v>0.96638199999999996</v>
      </c>
      <c r="Y2730">
        <v>4.5865830000000003E-2</v>
      </c>
      <c r="Z2730">
        <v>1.9312909999999999E-3</v>
      </c>
      <c r="AA2730">
        <v>0.99894570000000005</v>
      </c>
      <c r="AB2730">
        <v>56</v>
      </c>
      <c r="AC2730">
        <v>-19.2121</v>
      </c>
      <c r="AD2730">
        <v>-1.1095053948189999</v>
      </c>
      <c r="AE2730">
        <v>0.77129999999999599</v>
      </c>
      <c r="AF2730">
        <v>0.89881430077121904</v>
      </c>
      <c r="AG2730">
        <v>-1.1095053948189999</v>
      </c>
      <c r="AH2730">
        <v>19.142676429365601</v>
      </c>
      <c r="AI2730">
        <v>93.3134975238533</v>
      </c>
      <c r="AJ2730">
        <v>87.3117410518973</v>
      </c>
      <c r="AK2730">
        <v>19.195857111569399</v>
      </c>
      <c r="AL2730">
        <v>75.692101516899598</v>
      </c>
      <c r="AM2730">
        <v>94.197960897940803</v>
      </c>
      <c r="AN2730">
        <v>1.00000002593994</v>
      </c>
    </row>
    <row r="2731" spans="1:40" x14ac:dyDescent="0.25">
      <c r="A2731" t="str">
        <f>"20190304164141960"</f>
        <v>20190304164141960</v>
      </c>
      <c r="B2731" t="str">
        <f>"1551688901953709"</f>
        <v>1551688901953709</v>
      </c>
      <c r="C2731" t="s">
        <v>40</v>
      </c>
      <c r="D2731">
        <v>4.4025400000000001</v>
      </c>
      <c r="E2731">
        <v>0.55329479999999998</v>
      </c>
      <c r="F2731" t="s">
        <v>41</v>
      </c>
      <c r="G2731">
        <v>-451.94470000000001</v>
      </c>
      <c r="H2731">
        <v>1.048414</v>
      </c>
      <c r="I2731">
        <v>284.17910000000001</v>
      </c>
      <c r="J2731">
        <v>-451.17809999999997</v>
      </c>
      <c r="K2731">
        <v>1.109521</v>
      </c>
      <c r="L2731">
        <v>284.13350000000003</v>
      </c>
      <c r="M2731">
        <v>-0.99985690000000005</v>
      </c>
      <c r="N2731">
        <v>-1.550547E-2</v>
      </c>
      <c r="O2731">
        <v>-6.7932969999999898E-3</v>
      </c>
      <c r="P2731">
        <v>-0.9694933</v>
      </c>
      <c r="Q2731">
        <v>0.23258809999999999</v>
      </c>
      <c r="R2731">
        <v>-7.7367640000000001E-2</v>
      </c>
      <c r="S2731">
        <v>-3.14682</v>
      </c>
      <c r="T2731">
        <v>-0.17824799999999999</v>
      </c>
      <c r="U2731">
        <v>0.125946</v>
      </c>
      <c r="V2731">
        <v>-7.0769380000000007E-2</v>
      </c>
      <c r="W2731">
        <v>0.2476034</v>
      </c>
      <c r="X2731">
        <v>0.96627339999999995</v>
      </c>
      <c r="Y2731">
        <v>4.667806E-2</v>
      </c>
      <c r="Z2731">
        <v>1.9619590000000001E-3</v>
      </c>
      <c r="AA2731">
        <v>0.99890800000000002</v>
      </c>
      <c r="AB2731">
        <v>56</v>
      </c>
      <c r="AC2731">
        <v>-0.76660000000003903</v>
      </c>
      <c r="AD2731">
        <v>-6.1107000000000002E-2</v>
      </c>
      <c r="AE2731">
        <v>4.55999999999789E-2</v>
      </c>
      <c r="AF2731">
        <v>5.04876488392614E-2</v>
      </c>
      <c r="AG2731">
        <v>-6.1107000000000002E-2</v>
      </c>
      <c r="AH2731">
        <v>0.76145132455310205</v>
      </c>
      <c r="AI2731">
        <v>94.578183951764402</v>
      </c>
      <c r="AJ2731">
        <v>86.206584504160602</v>
      </c>
      <c r="AK2731">
        <v>0.76556592648706001</v>
      </c>
      <c r="AL2731">
        <v>75.664261296617795</v>
      </c>
      <c r="AM2731">
        <v>94.188835215410904</v>
      </c>
      <c r="AN2731">
        <v>1.0000000161923499</v>
      </c>
    </row>
    <row r="2732" spans="1:40" x14ac:dyDescent="0.25">
      <c r="A2732" t="str">
        <f>"20190304164141976"</f>
        <v>20190304164141976</v>
      </c>
      <c r="B2732" t="str">
        <f>"1551688901963469"</f>
        <v>1551688901963469</v>
      </c>
      <c r="C2732" t="s">
        <v>40</v>
      </c>
      <c r="D2732">
        <v>4.420477</v>
      </c>
      <c r="E2732">
        <v>0.55341689999999999</v>
      </c>
      <c r="F2732" t="s">
        <v>45</v>
      </c>
      <c r="G2732">
        <v>-470.80840000000001</v>
      </c>
      <c r="H2732" s="1">
        <v>6.2830309999999996E-6</v>
      </c>
      <c r="I2732">
        <v>284.92970000000003</v>
      </c>
      <c r="J2732">
        <v>-451.54809999999998</v>
      </c>
      <c r="K2732">
        <v>1.109526</v>
      </c>
      <c r="L2732">
        <v>284.13099999999997</v>
      </c>
      <c r="M2732">
        <v>-0.99985690000000005</v>
      </c>
      <c r="N2732">
        <v>-1.550284E-2</v>
      </c>
      <c r="O2732">
        <v>-6.7936350000000001E-3</v>
      </c>
      <c r="P2732">
        <v>-0.96948540000000005</v>
      </c>
      <c r="Q2732">
        <v>0.23260629999999999</v>
      </c>
      <c r="R2732">
        <v>-7.741265E-2</v>
      </c>
      <c r="S2732">
        <v>-3.1473080000000002</v>
      </c>
      <c r="T2732">
        <v>-0.17788760000000001</v>
      </c>
      <c r="U2732">
        <v>0.12765499999999999</v>
      </c>
      <c r="V2732">
        <v>-7.0814260000000004E-2</v>
      </c>
      <c r="W2732">
        <v>0.24761859999999999</v>
      </c>
      <c r="X2732">
        <v>0.96626619999999996</v>
      </c>
      <c r="Y2732">
        <v>4.7213039999999998E-2</v>
      </c>
      <c r="Z2732">
        <v>1.9774630000000001E-3</v>
      </c>
      <c r="AA2732">
        <v>0.99888290000000002</v>
      </c>
      <c r="AB2732">
        <v>56</v>
      </c>
      <c r="AC2732">
        <v>-19.260300000000001</v>
      </c>
      <c r="AD2732">
        <v>-1.1095197169689901</v>
      </c>
      <c r="AE2732">
        <v>0.79870000000005303</v>
      </c>
      <c r="AF2732">
        <v>0.92647547248300999</v>
      </c>
      <c r="AG2732">
        <v>-1.1095197169689901</v>
      </c>
      <c r="AH2732">
        <v>19.190852866294001</v>
      </c>
      <c r="AI2732">
        <v>93.305033049847196</v>
      </c>
      <c r="AJ2732">
        <v>87.236081547626796</v>
      </c>
      <c r="AK2732">
        <v>19.2452130291977</v>
      </c>
      <c r="AL2732">
        <v>75.663362170042902</v>
      </c>
      <c r="AM2732">
        <v>94.191513316269706</v>
      </c>
      <c r="AN2732">
        <v>0.999999999873873</v>
      </c>
    </row>
    <row r="2733" spans="1:40" x14ac:dyDescent="0.25">
      <c r="A2733" t="str">
        <f>"20190304164141989"</f>
        <v>20190304164141989</v>
      </c>
      <c r="B2733" t="str">
        <f>"1551688901984941"</f>
        <v>1551688901984941</v>
      </c>
      <c r="C2733" t="s">
        <v>40</v>
      </c>
      <c r="D2733">
        <v>4.3576230000000002</v>
      </c>
      <c r="E2733">
        <v>0.553616199999999</v>
      </c>
      <c r="F2733" t="s">
        <v>45</v>
      </c>
      <c r="G2733">
        <v>-471.04059999999998</v>
      </c>
      <c r="H2733" s="1">
        <v>6.1798199999999901E-6</v>
      </c>
      <c r="I2733">
        <v>284.92739999999998</v>
      </c>
      <c r="J2733">
        <v>-451.89400000000001</v>
      </c>
      <c r="K2733">
        <v>1.109537</v>
      </c>
      <c r="L2733">
        <v>284.12869999999998</v>
      </c>
      <c r="M2733">
        <v>-0.99985679999999999</v>
      </c>
      <c r="N2733">
        <v>-1.550035E-2</v>
      </c>
      <c r="O2733">
        <v>-6.7938540000000002E-3</v>
      </c>
      <c r="P2733">
        <v>-0.96951160000000003</v>
      </c>
      <c r="Q2733">
        <v>0.23241819999999999</v>
      </c>
      <c r="R2733">
        <v>-7.7646720000000002E-2</v>
      </c>
      <c r="S2733">
        <v>-3.147675</v>
      </c>
      <c r="T2733">
        <v>-0.1791664</v>
      </c>
      <c r="U2733">
        <v>0.1286011</v>
      </c>
      <c r="V2733">
        <v>-7.1048189999999997E-2</v>
      </c>
      <c r="W2733">
        <v>0.2474287</v>
      </c>
      <c r="X2733">
        <v>0.96629770000000004</v>
      </c>
      <c r="Y2733">
        <v>4.7506350000000003E-2</v>
      </c>
      <c r="Z2733">
        <v>2.0001590000000001E-3</v>
      </c>
      <c r="AA2733">
        <v>0.99886889999999995</v>
      </c>
      <c r="AB2733">
        <v>56</v>
      </c>
      <c r="AC2733">
        <v>-19.1465999999999</v>
      </c>
      <c r="AD2733">
        <v>-1.1095308201799901</v>
      </c>
      <c r="AE2733">
        <v>0.79869999999999597</v>
      </c>
      <c r="AF2733">
        <v>0.92567327822785095</v>
      </c>
      <c r="AG2733">
        <v>-1.1095308201799901</v>
      </c>
      <c r="AH2733">
        <v>19.0767803993439</v>
      </c>
      <c r="AI2733">
        <v>93.324745478262301</v>
      </c>
      <c r="AJ2733">
        <v>87.221983810929501</v>
      </c>
      <c r="AK2733">
        <v>19.131426503628699</v>
      </c>
      <c r="AL2733">
        <v>75.674592474619004</v>
      </c>
      <c r="AM2733">
        <v>94.205173501835503</v>
      </c>
      <c r="AN2733">
        <v>1.0000000259556201</v>
      </c>
    </row>
    <row r="2734" spans="1:40" x14ac:dyDescent="0.25">
      <c r="A2734" t="str">
        <f>"20190304164142004"</f>
        <v>20190304164142004</v>
      </c>
      <c r="B2734" t="str">
        <f>"1551688901993724"</f>
        <v>1551688901993724</v>
      </c>
      <c r="C2734" t="s">
        <v>40</v>
      </c>
      <c r="D2734">
        <v>4.387842</v>
      </c>
      <c r="E2734">
        <v>0.55369840000000003</v>
      </c>
      <c r="F2734" t="s">
        <v>41</v>
      </c>
      <c r="G2734">
        <v>-452.9486</v>
      </c>
      <c r="H2734">
        <v>1.049202</v>
      </c>
      <c r="I2734">
        <v>284.1721</v>
      </c>
      <c r="J2734">
        <v>-452.26499999999999</v>
      </c>
      <c r="K2734">
        <v>1.1095469999999901</v>
      </c>
      <c r="L2734">
        <v>284.12610000000001</v>
      </c>
      <c r="M2734">
        <v>-0.99985679999999999</v>
      </c>
      <c r="N2734">
        <v>-1.549765E-2</v>
      </c>
      <c r="O2734">
        <v>-6.794072E-3</v>
      </c>
      <c r="P2734">
        <v>-0.96948520000000005</v>
      </c>
      <c r="Q2734">
        <v>0.23250390000000001</v>
      </c>
      <c r="R2734">
        <v>-7.77201E-2</v>
      </c>
      <c r="S2734">
        <v>-3.1479189999999999</v>
      </c>
      <c r="T2734">
        <v>-0.18007049999999999</v>
      </c>
      <c r="U2734">
        <v>0.12936400000000001</v>
      </c>
      <c r="V2734">
        <v>-7.1121290000000004E-2</v>
      </c>
      <c r="W2734">
        <v>0.2475115</v>
      </c>
      <c r="X2734">
        <v>0.96627110000000005</v>
      </c>
      <c r="Y2734">
        <v>4.774366E-2</v>
      </c>
      <c r="Z2734">
        <v>2.0173550000000002E-3</v>
      </c>
      <c r="AA2734">
        <v>0.99885760000000001</v>
      </c>
      <c r="AB2734">
        <v>56</v>
      </c>
      <c r="AC2734">
        <v>-0.68360000000001198</v>
      </c>
      <c r="AD2734">
        <v>-6.0344999999999802E-2</v>
      </c>
      <c r="AE2734">
        <v>4.59999999999922E-2</v>
      </c>
      <c r="AF2734">
        <v>5.0254082412302302E-2</v>
      </c>
      <c r="AG2734">
        <v>-6.0344999999999802E-2</v>
      </c>
      <c r="AH2734">
        <v>0.67801204062073195</v>
      </c>
      <c r="AI2734">
        <v>95.072244939366797</v>
      </c>
      <c r="AJ2734">
        <v>85.761002498168295</v>
      </c>
      <c r="AK2734">
        <v>0.68254473776507196</v>
      </c>
      <c r="AL2734">
        <v>75.669695845335198</v>
      </c>
      <c r="AM2734">
        <v>94.209600036780301</v>
      </c>
      <c r="AN2734">
        <v>1.00000000960936</v>
      </c>
    </row>
    <row r="2735" spans="1:40" x14ac:dyDescent="0.25">
      <c r="A2735" t="str">
        <f>"20190304164142019"</f>
        <v>20190304164142019</v>
      </c>
      <c r="B2735" t="str">
        <f>"1551688902014221"</f>
        <v>1551688902014221</v>
      </c>
      <c r="C2735" t="s">
        <v>40</v>
      </c>
      <c r="D2735">
        <v>4.464798</v>
      </c>
      <c r="E2735">
        <v>0.55371169999999903</v>
      </c>
      <c r="F2735" t="s">
        <v>41</v>
      </c>
      <c r="G2735">
        <v>-453.44310000000002</v>
      </c>
      <c r="H2735">
        <v>1.042141</v>
      </c>
      <c r="I2735">
        <v>284.17509999999999</v>
      </c>
      <c r="J2735">
        <v>-452.61070000000001</v>
      </c>
      <c r="K2735">
        <v>1.1095729999999999</v>
      </c>
      <c r="L2735">
        <v>284.12380000000002</v>
      </c>
      <c r="M2735">
        <v>-0.99985690000000005</v>
      </c>
      <c r="N2735">
        <v>-1.5495190000000001E-2</v>
      </c>
      <c r="O2735">
        <v>-6.7944110000000002E-3</v>
      </c>
      <c r="P2735">
        <v>-0.96920379999999995</v>
      </c>
      <c r="Q2735">
        <v>0.2335729</v>
      </c>
      <c r="R2735">
        <v>-7.802502E-2</v>
      </c>
      <c r="S2735">
        <v>-3.1481020000000002</v>
      </c>
      <c r="T2735">
        <v>-0.1802076</v>
      </c>
      <c r="U2735">
        <v>0.13015750000000001</v>
      </c>
      <c r="V2735">
        <v>-7.1427900000000003E-2</v>
      </c>
      <c r="W2735">
        <v>0.24857389999999999</v>
      </c>
      <c r="X2735">
        <v>0.96597569999999999</v>
      </c>
      <c r="Y2735">
        <v>4.7992300000000002E-2</v>
      </c>
      <c r="Z2735">
        <v>2.0275879999999999E-3</v>
      </c>
      <c r="AA2735">
        <v>0.9988456</v>
      </c>
      <c r="AB2735">
        <v>56</v>
      </c>
      <c r="AC2735">
        <v>-0.83240000000000602</v>
      </c>
      <c r="AD2735">
        <v>-6.7431999999999895E-2</v>
      </c>
      <c r="AE2735">
        <v>5.1299999999969197E-2</v>
      </c>
      <c r="AF2735">
        <v>5.6585227838965899E-2</v>
      </c>
      <c r="AG2735">
        <v>-6.7431999999999895E-2</v>
      </c>
      <c r="AH2735">
        <v>0.826627983549167</v>
      </c>
      <c r="AI2735">
        <v>94.652724494302703</v>
      </c>
      <c r="AJ2735">
        <v>86.084036554655</v>
      </c>
      <c r="AK2735">
        <v>0.83130186203337098</v>
      </c>
      <c r="AL2735">
        <v>75.606860889676895</v>
      </c>
      <c r="AM2735">
        <v>94.228970481462795</v>
      </c>
      <c r="AN2735">
        <v>0.99999999082505497</v>
      </c>
    </row>
    <row r="2736" spans="1:40" x14ac:dyDescent="0.25">
      <c r="A2736" t="str">
        <f>"20190304164142038"</f>
        <v>20190304164142038</v>
      </c>
      <c r="B2736" t="str">
        <f>"1551688902033741"</f>
        <v>1551688902033741</v>
      </c>
      <c r="C2736" t="s">
        <v>40</v>
      </c>
      <c r="D2736">
        <v>4.7887029999999999</v>
      </c>
      <c r="E2736">
        <v>0.57350299999999999</v>
      </c>
      <c r="F2736" t="s">
        <v>45</v>
      </c>
      <c r="G2736">
        <v>-472.11320000000001</v>
      </c>
      <c r="H2736" s="1">
        <v>5.7041969999999997E-6</v>
      </c>
      <c r="I2736">
        <v>284.92739999999998</v>
      </c>
      <c r="J2736">
        <v>-453.1336</v>
      </c>
      <c r="K2736">
        <v>1.1095870000000001</v>
      </c>
      <c r="L2736">
        <v>284.12020000000001</v>
      </c>
      <c r="M2736">
        <v>-0.99985690000000005</v>
      </c>
      <c r="N2736">
        <v>-1.549152E-2</v>
      </c>
      <c r="O2736">
        <v>-6.7948599999999998E-3</v>
      </c>
      <c r="P2736">
        <v>-0.96872899999999995</v>
      </c>
      <c r="Q2736">
        <v>0.2354474</v>
      </c>
      <c r="R2736">
        <v>-7.8287300000000004E-2</v>
      </c>
      <c r="S2736">
        <v>-3.148987</v>
      </c>
      <c r="T2736">
        <v>-0.1791575</v>
      </c>
      <c r="U2736">
        <v>0.12976070000000001</v>
      </c>
      <c r="V2736">
        <v>-7.1693119999999999E-2</v>
      </c>
      <c r="W2736">
        <v>0.25043660000000001</v>
      </c>
      <c r="X2736">
        <v>0.96547479999999997</v>
      </c>
      <c r="Y2736">
        <v>4.7856990000000002E-2</v>
      </c>
      <c r="Z2736">
        <v>2.011915E-3</v>
      </c>
      <c r="AA2736">
        <v>0.99885219999999997</v>
      </c>
      <c r="AB2736">
        <v>56</v>
      </c>
      <c r="AC2736">
        <v>-18.979600000000001</v>
      </c>
      <c r="AD2736">
        <v>-1.109581295803</v>
      </c>
      <c r="AE2736">
        <v>0.80719999999996594</v>
      </c>
      <c r="AF2736">
        <v>0.932977609736656</v>
      </c>
      <c r="AG2736">
        <v>-1.109581295803</v>
      </c>
      <c r="AH2736">
        <v>18.9091655876354</v>
      </c>
      <c r="AI2736">
        <v>93.354168598154899</v>
      </c>
      <c r="AJ2736">
        <v>87.175318797513498</v>
      </c>
      <c r="AK2736">
        <v>18.964655575382402</v>
      </c>
      <c r="AL2736">
        <v>75.496650457526798</v>
      </c>
      <c r="AM2736">
        <v>94.246809953613607</v>
      </c>
      <c r="AN2736">
        <v>0.99999999175496701</v>
      </c>
    </row>
    <row r="2737" spans="1:40" x14ac:dyDescent="0.25">
      <c r="A2737" t="str">
        <f>"20190304164142054"</f>
        <v>20190304164142054</v>
      </c>
      <c r="B2737" t="str">
        <f>"1551688902043501"</f>
        <v>1551688902043501</v>
      </c>
      <c r="C2737" t="s">
        <v>40</v>
      </c>
      <c r="D2737">
        <v>4.6401019999999997</v>
      </c>
      <c r="E2737">
        <v>0.57965889999999998</v>
      </c>
      <c r="F2737" t="s">
        <v>45</v>
      </c>
      <c r="G2737">
        <v>-472.79770000000002</v>
      </c>
      <c r="H2737" s="1">
        <v>5.4853330000000001E-6</v>
      </c>
      <c r="I2737">
        <v>285.89589999999998</v>
      </c>
      <c r="J2737">
        <v>-453.51769999999999</v>
      </c>
      <c r="K2737">
        <v>1.1095919999999999</v>
      </c>
      <c r="L2737">
        <v>284.11759999999998</v>
      </c>
      <c r="M2737">
        <v>-0.99985710000000005</v>
      </c>
      <c r="N2737">
        <v>-1.548883E-2</v>
      </c>
      <c r="O2737">
        <v>-6.7953149999999997E-3</v>
      </c>
      <c r="P2737">
        <v>-0.96857380000000004</v>
      </c>
      <c r="Q2737">
        <v>0.23605300000000001</v>
      </c>
      <c r="R2737">
        <v>-7.8385159999999995E-2</v>
      </c>
      <c r="S2737">
        <v>-3.1632690000000001</v>
      </c>
      <c r="T2737">
        <v>-0.17849370000000001</v>
      </c>
      <c r="U2737">
        <v>0.28564450000000002</v>
      </c>
      <c r="V2737">
        <v>-7.179162E-2</v>
      </c>
      <c r="W2737">
        <v>0.25103769999999997</v>
      </c>
      <c r="X2737">
        <v>0.96531140000000004</v>
      </c>
      <c r="Y2737">
        <v>9.6500929999999999E-2</v>
      </c>
      <c r="Z2737">
        <v>3.7420209999999999E-3</v>
      </c>
      <c r="AA2737">
        <v>0.99532589999999999</v>
      </c>
      <c r="AB2737">
        <v>56</v>
      </c>
      <c r="AC2737">
        <v>-19.28</v>
      </c>
      <c r="AD2737">
        <v>-1.1095865146670001</v>
      </c>
      <c r="AE2737">
        <v>1.7783</v>
      </c>
      <c r="AF2737">
        <v>1.9030383508740201</v>
      </c>
      <c r="AG2737">
        <v>-1.1095865146670001</v>
      </c>
      <c r="AH2737">
        <v>19.204398165324601</v>
      </c>
      <c r="AI2737">
        <v>93.290662358022502</v>
      </c>
      <c r="AJ2737">
        <v>84.340814214467201</v>
      </c>
      <c r="AK2737">
        <v>19.330329694310699</v>
      </c>
      <c r="AL2737">
        <v>75.461074050569295</v>
      </c>
      <c r="AM2737">
        <v>94.2533405115839</v>
      </c>
      <c r="AN2737">
        <v>1.0000000312467301</v>
      </c>
    </row>
    <row r="2738" spans="1:40" x14ac:dyDescent="0.25">
      <c r="A2738" t="str">
        <f>"20190304164142068"</f>
        <v>20190304164142068</v>
      </c>
      <c r="B2738" t="str">
        <f>"1551688902063997"</f>
        <v>1551688902063997</v>
      </c>
      <c r="C2738" t="s">
        <v>40</v>
      </c>
      <c r="D2738">
        <v>4.6249710000000004</v>
      </c>
      <c r="E2738">
        <v>0.58539430000000003</v>
      </c>
      <c r="F2738" t="s">
        <v>45</v>
      </c>
      <c r="G2738">
        <v>-470.80799999999999</v>
      </c>
      <c r="H2738" s="1">
        <v>6.3703910000000004E-6</v>
      </c>
      <c r="I2738">
        <v>285.92689999999999</v>
      </c>
      <c r="J2738">
        <v>-453.86660000000001</v>
      </c>
      <c r="K2738">
        <v>1.109591</v>
      </c>
      <c r="L2738">
        <v>284.11529999999999</v>
      </c>
      <c r="M2738">
        <v>-0.99985690000000005</v>
      </c>
      <c r="N2738">
        <v>-1.5486389999999999E-2</v>
      </c>
      <c r="O2738">
        <v>-6.7955339999999998E-3</v>
      </c>
      <c r="P2738">
        <v>-0.96853820000000002</v>
      </c>
      <c r="Q2738">
        <v>0.23630490000000001</v>
      </c>
      <c r="R2738">
        <v>-7.8060420000000005E-2</v>
      </c>
      <c r="S2738">
        <v>-3.1738590000000002</v>
      </c>
      <c r="T2738">
        <v>-0.20367879999999999</v>
      </c>
      <c r="U2738">
        <v>0.3321228</v>
      </c>
      <c r="V2738">
        <v>-7.1466940000000007E-2</v>
      </c>
      <c r="W2738">
        <v>0.25128640000000002</v>
      </c>
      <c r="X2738">
        <v>0.96527079999999998</v>
      </c>
      <c r="Y2738">
        <v>0.1105442</v>
      </c>
      <c r="Z2738">
        <v>4.7228259999999899E-3</v>
      </c>
      <c r="AA2738">
        <v>0.99385999999999997</v>
      </c>
      <c r="AB2738">
        <v>56</v>
      </c>
      <c r="AC2738">
        <v>-16.941400000000002</v>
      </c>
      <c r="AD2738">
        <v>-1.109584629609</v>
      </c>
      <c r="AE2738">
        <v>1.8115999999999901</v>
      </c>
      <c r="AF2738">
        <v>1.9185609184374399</v>
      </c>
      <c r="AG2738">
        <v>-1.109584629609</v>
      </c>
      <c r="AH2738">
        <v>16.857202412215699</v>
      </c>
      <c r="AI2738">
        <v>93.741836507252302</v>
      </c>
      <c r="AJ2738">
        <v>83.506961382121403</v>
      </c>
      <c r="AK2738">
        <v>17.002274177721901</v>
      </c>
      <c r="AL2738">
        <v>75.4463529452171</v>
      </c>
      <c r="AM2738">
        <v>94.234352197963702</v>
      </c>
      <c r="AN2738">
        <v>1.00000004783528</v>
      </c>
    </row>
    <row r="2739" spans="1:40" x14ac:dyDescent="0.25">
      <c r="A2739" t="str">
        <f>"20190304164142082"</f>
        <v>20190304164142082</v>
      </c>
      <c r="B2739" t="str">
        <f>"1551688902073757"</f>
        <v>1551688902073757</v>
      </c>
      <c r="C2739" t="s">
        <v>40</v>
      </c>
      <c r="D2739">
        <v>4.6062260000000004</v>
      </c>
      <c r="E2739">
        <v>0.58717819999999898</v>
      </c>
      <c r="F2739" t="s">
        <v>41</v>
      </c>
      <c r="G2739">
        <v>-454.94150000000002</v>
      </c>
      <c r="H2739">
        <v>1.033013</v>
      </c>
      <c r="I2739">
        <v>284.24250000000001</v>
      </c>
      <c r="J2739">
        <v>-454.22480000000002</v>
      </c>
      <c r="K2739">
        <v>1.1095889999999999</v>
      </c>
      <c r="L2739">
        <v>284.11279999999999</v>
      </c>
      <c r="M2739">
        <v>-0.99985690000000005</v>
      </c>
      <c r="N2739">
        <v>-1.548388E-2</v>
      </c>
      <c r="O2739">
        <v>-6.7957529999999999E-3</v>
      </c>
      <c r="P2739">
        <v>-0.96868399999999999</v>
      </c>
      <c r="Q2739">
        <v>0.23574809999999999</v>
      </c>
      <c r="R2739">
        <v>-7.7938069999999998E-2</v>
      </c>
      <c r="S2739">
        <v>-3.1831670000000001</v>
      </c>
      <c r="T2739">
        <v>-0.22691330000000001</v>
      </c>
      <c r="U2739">
        <v>0.3762817</v>
      </c>
      <c r="V2739">
        <v>-7.1342710000000004E-2</v>
      </c>
      <c r="W2739">
        <v>0.2507298</v>
      </c>
      <c r="X2739">
        <v>0.96542470000000002</v>
      </c>
      <c r="Y2739">
        <v>0.123751</v>
      </c>
      <c r="Z2739">
        <v>5.7303659999999998E-3</v>
      </c>
      <c r="AA2739">
        <v>0.99229679999999998</v>
      </c>
      <c r="AB2739">
        <v>56</v>
      </c>
      <c r="AC2739">
        <v>-0.716700000000003</v>
      </c>
      <c r="AD2739">
        <v>-7.6575999999999894E-2</v>
      </c>
      <c r="AE2739">
        <v>0.129700000000013</v>
      </c>
      <c r="AF2739">
        <v>0.133096865602049</v>
      </c>
      <c r="AG2739">
        <v>-7.6575999999999894E-2</v>
      </c>
      <c r="AH2739">
        <v>0.70797603508337503</v>
      </c>
      <c r="AI2739">
        <v>96.067738774008106</v>
      </c>
      <c r="AJ2739">
        <v>79.352877788393698</v>
      </c>
      <c r="AK2739">
        <v>0.72443683345165899</v>
      </c>
      <c r="AL2739">
        <v>75.479298309976599</v>
      </c>
      <c r="AM2739">
        <v>94.226346989242003</v>
      </c>
      <c r="AN2739">
        <v>1.0000000331241301</v>
      </c>
    </row>
    <row r="2740" spans="1:40" x14ac:dyDescent="0.25">
      <c r="A2740" t="str">
        <f>"20190304164142096"</f>
        <v>20190304164142096</v>
      </c>
      <c r="B2740" t="str">
        <f>"1551688902083516"</f>
        <v>1551688902083516</v>
      </c>
      <c r="C2740" t="s">
        <v>40</v>
      </c>
      <c r="D2740">
        <v>4.6440010000000003</v>
      </c>
      <c r="E2740">
        <v>0.58829119999999901</v>
      </c>
      <c r="F2740" t="s">
        <v>41</v>
      </c>
      <c r="G2740">
        <v>-455.43579999999997</v>
      </c>
      <c r="H2740">
        <v>1.0213909999999999</v>
      </c>
      <c r="I2740">
        <v>284.26139999999998</v>
      </c>
      <c r="J2740">
        <v>-454.58479999999997</v>
      </c>
      <c r="K2740">
        <v>1.1095759999999999</v>
      </c>
      <c r="L2740">
        <v>284.11040000000003</v>
      </c>
      <c r="M2740">
        <v>-0.999857</v>
      </c>
      <c r="N2740">
        <v>-1.548136E-2</v>
      </c>
      <c r="O2740">
        <v>-6.795972E-3</v>
      </c>
      <c r="P2740">
        <v>-0.96920260000000003</v>
      </c>
      <c r="Q2740">
        <v>0.23363329999999999</v>
      </c>
      <c r="R2740">
        <v>-7.7858120000000003E-2</v>
      </c>
      <c r="S2740">
        <v>-3.1848749999999999</v>
      </c>
      <c r="T2740">
        <v>-0.23213339999999999</v>
      </c>
      <c r="U2740">
        <v>0.38980100000000001</v>
      </c>
      <c r="V2740">
        <v>-7.1259349999999999E-2</v>
      </c>
      <c r="W2740">
        <v>0.24862049999999999</v>
      </c>
      <c r="X2740">
        <v>0.96597619999999895</v>
      </c>
      <c r="Y2740">
        <v>0.12781129999999999</v>
      </c>
      <c r="Z2740">
        <v>6.0172840000000003E-3</v>
      </c>
      <c r="AA2740">
        <v>0.99178029999999995</v>
      </c>
      <c r="AB2740">
        <v>56</v>
      </c>
      <c r="AC2740">
        <v>-0.85099999999999898</v>
      </c>
      <c r="AD2740">
        <v>-8.8185000000000097E-2</v>
      </c>
      <c r="AE2740">
        <v>0.15099999999995301</v>
      </c>
      <c r="AF2740">
        <v>0.155165244625632</v>
      </c>
      <c r="AG2740">
        <v>-8.8185000000000097E-2</v>
      </c>
      <c r="AH2740">
        <v>0.84119682776958304</v>
      </c>
      <c r="AI2740">
        <v>95.886033341753802</v>
      </c>
      <c r="AJ2740">
        <v>79.548827212834496</v>
      </c>
      <c r="AK2740">
        <v>0.85992147921443496</v>
      </c>
      <c r="AL2740">
        <v>75.604104998035098</v>
      </c>
      <c r="AM2740">
        <v>94.219025186471796</v>
      </c>
      <c r="AN2740">
        <v>1.00000003347455</v>
      </c>
    </row>
    <row r="2741" spans="1:40" x14ac:dyDescent="0.25">
      <c r="A2741" t="str">
        <f>"20190304164142116"</f>
        <v>20190304164142116</v>
      </c>
      <c r="B2741" t="str">
        <f>"1551688902104013"</f>
        <v>1551688902104013</v>
      </c>
      <c r="C2741" t="s">
        <v>40</v>
      </c>
      <c r="D2741">
        <v>4.6313339999999998</v>
      </c>
      <c r="E2741">
        <v>0.58961739999999996</v>
      </c>
      <c r="F2741" t="s">
        <v>41</v>
      </c>
      <c r="G2741">
        <v>-455.44760000000002</v>
      </c>
      <c r="H2741">
        <v>1.0434680000000001</v>
      </c>
      <c r="I2741">
        <v>284.21850000000001</v>
      </c>
      <c r="J2741">
        <v>-455.07530000000003</v>
      </c>
      <c r="K2741">
        <v>1.1095619999999999</v>
      </c>
      <c r="L2741">
        <v>284.1071</v>
      </c>
      <c r="M2741">
        <v>-0.9998572</v>
      </c>
      <c r="N2741">
        <v>-1.5477919999999999E-2</v>
      </c>
      <c r="O2741">
        <v>-6.7965409999999997E-3</v>
      </c>
      <c r="P2741">
        <v>-0.96935870000000002</v>
      </c>
      <c r="Q2741">
        <v>0.2329213</v>
      </c>
      <c r="R2741">
        <v>-7.8048270000000003E-2</v>
      </c>
      <c r="S2741">
        <v>-3.186188</v>
      </c>
      <c r="T2741">
        <v>-0.24432989999999999</v>
      </c>
      <c r="U2741">
        <v>0.39785769999999998</v>
      </c>
      <c r="V2741">
        <v>-7.1447849999999993E-2</v>
      </c>
      <c r="W2741">
        <v>0.24790780000000001</v>
      </c>
      <c r="X2741">
        <v>0.96614540000000004</v>
      </c>
      <c r="Y2741">
        <v>0.1301832</v>
      </c>
      <c r="Z2741">
        <v>6.3919809999999997E-3</v>
      </c>
      <c r="AA2741">
        <v>0.9914693</v>
      </c>
      <c r="AB2741">
        <v>56</v>
      </c>
      <c r="AC2741">
        <v>-0.37229999999999502</v>
      </c>
      <c r="AD2741">
        <v>-6.6094000000000097E-2</v>
      </c>
      <c r="AE2741">
        <v>0.111400000000003</v>
      </c>
      <c r="AF2741">
        <v>0.110725177697481</v>
      </c>
      <c r="AG2741">
        <v>-6.6094000000000097E-2</v>
      </c>
      <c r="AH2741">
        <v>0.361089091018583</v>
      </c>
      <c r="AI2741">
        <v>99.926135896285999</v>
      </c>
      <c r="AJ2741">
        <v>72.952246827556905</v>
      </c>
      <c r="AK2741">
        <v>0.38342380398817799</v>
      </c>
      <c r="AL2741">
        <v>75.646259012757199</v>
      </c>
      <c r="AM2741">
        <v>94.229407043113</v>
      </c>
      <c r="AN2741">
        <v>1.0000000032558101</v>
      </c>
    </row>
    <row r="2742" spans="1:40" x14ac:dyDescent="0.25">
      <c r="A2742" t="str">
        <f>"20190304164142140"</f>
        <v>20190304164142140</v>
      </c>
      <c r="B2742" t="str">
        <f>"1551688902133292"</f>
        <v>1551688902133292</v>
      </c>
      <c r="C2742" t="s">
        <v>40</v>
      </c>
      <c r="D2742">
        <v>4.6436299999999999</v>
      </c>
      <c r="E2742">
        <v>0.5908099</v>
      </c>
      <c r="F2742" t="s">
        <v>41</v>
      </c>
      <c r="G2742">
        <v>-455.94389999999999</v>
      </c>
      <c r="H2742">
        <v>1.0397130000000001</v>
      </c>
      <c r="I2742">
        <v>284.2183</v>
      </c>
      <c r="J2742">
        <v>-455.65769999999998</v>
      </c>
      <c r="K2742">
        <v>1.109553</v>
      </c>
      <c r="L2742">
        <v>284.10309999999998</v>
      </c>
      <c r="M2742">
        <v>-0.9998572</v>
      </c>
      <c r="N2742">
        <v>-1.5473819999999999E-2</v>
      </c>
      <c r="O2742">
        <v>-6.7971050000000003E-3</v>
      </c>
      <c r="P2742">
        <v>-0.96945289999999995</v>
      </c>
      <c r="Q2742">
        <v>0.23255519999999999</v>
      </c>
      <c r="R2742">
        <v>-7.7971879999999993E-2</v>
      </c>
      <c r="S2742">
        <v>-3.1893009999999999</v>
      </c>
      <c r="T2742">
        <v>-0.25656879999999999</v>
      </c>
      <c r="U2742">
        <v>0.40829470000000001</v>
      </c>
      <c r="V2742">
        <v>-7.1370489999999995E-2</v>
      </c>
      <c r="W2742">
        <v>0.24753919999999999</v>
      </c>
      <c r="X2742">
        <v>0.96624569999999999</v>
      </c>
      <c r="Y2742">
        <v>0.1332034</v>
      </c>
      <c r="Z2742">
        <v>6.8035600000000002E-3</v>
      </c>
      <c r="AA2742">
        <v>0.99106539999999999</v>
      </c>
      <c r="AB2742">
        <v>56</v>
      </c>
      <c r="AC2742">
        <v>-0.286200000000008</v>
      </c>
      <c r="AD2742">
        <v>-6.9840000000000096E-2</v>
      </c>
      <c r="AE2742">
        <v>0.115200000000015</v>
      </c>
      <c r="AF2742">
        <v>0.111432485479091</v>
      </c>
      <c r="AG2742">
        <v>-6.9840000000000096E-2</v>
      </c>
      <c r="AH2742">
        <v>0.27149724593284302</v>
      </c>
      <c r="AI2742">
        <v>103.386002737973</v>
      </c>
      <c r="AJ2742">
        <v>67.684944456194998</v>
      </c>
      <c r="AK2742">
        <v>0.30167130948959398</v>
      </c>
      <c r="AL2742">
        <v>75.668058772825205</v>
      </c>
      <c r="AM2742">
        <v>94.224407285056898</v>
      </c>
      <c r="AN2742">
        <v>1.0000000775739799</v>
      </c>
    </row>
    <row r="2743" spans="1:40" x14ac:dyDescent="0.25">
      <c r="A2743" t="str">
        <f>"20190304164142155"</f>
        <v>20190304164142155</v>
      </c>
      <c r="B2743" t="str">
        <f>"1551688902144029"</f>
        <v>1551688902144029</v>
      </c>
      <c r="C2743" t="s">
        <v>40</v>
      </c>
      <c r="D2743">
        <v>4.8090440000000001</v>
      </c>
      <c r="E2743">
        <v>0.59071830000000003</v>
      </c>
      <c r="F2743" t="s">
        <v>41</v>
      </c>
      <c r="G2743">
        <v>-456.4452</v>
      </c>
      <c r="H2743">
        <v>1.043723</v>
      </c>
      <c r="I2743">
        <v>284.2063</v>
      </c>
      <c r="J2743">
        <v>-456.04349999999999</v>
      </c>
      <c r="K2743">
        <v>1.1095489999999999</v>
      </c>
      <c r="L2743">
        <v>284.10050000000001</v>
      </c>
      <c r="M2743">
        <v>-0.9998572</v>
      </c>
      <c r="N2743">
        <v>-1.547109E-2</v>
      </c>
      <c r="O2743">
        <v>-6.7974419999999999E-3</v>
      </c>
      <c r="P2743">
        <v>-0.96944240000000004</v>
      </c>
      <c r="Q2743">
        <v>0.2328606</v>
      </c>
      <c r="R2743">
        <v>-7.7185740000000003E-2</v>
      </c>
      <c r="S2743">
        <v>-3.192078</v>
      </c>
      <c r="T2743">
        <v>-0.26694269999999998</v>
      </c>
      <c r="U2743">
        <v>0.4167786</v>
      </c>
      <c r="V2743">
        <v>-7.0583870000000007E-2</v>
      </c>
      <c r="W2743">
        <v>0.2478418</v>
      </c>
      <c r="X2743">
        <v>0.96622589999999997</v>
      </c>
      <c r="Y2743">
        <v>0.13563699999999901</v>
      </c>
      <c r="Z2743">
        <v>7.154171E-3</v>
      </c>
      <c r="AA2743">
        <v>0.99073279999999997</v>
      </c>
      <c r="AB2743">
        <v>56</v>
      </c>
      <c r="AC2743">
        <v>-0.401700000000005</v>
      </c>
      <c r="AD2743">
        <v>-6.5825999999999898E-2</v>
      </c>
      <c r="AE2743">
        <v>0.105799999999987</v>
      </c>
      <c r="AF2743">
        <v>0.10586991785663</v>
      </c>
      <c r="AG2743">
        <v>-6.5825999999999898E-2</v>
      </c>
      <c r="AH2743">
        <v>0.39114932203726499</v>
      </c>
      <c r="AI2743">
        <v>99.226738758796202</v>
      </c>
      <c r="AJ2743">
        <v>74.8549880835821</v>
      </c>
      <c r="AK2743">
        <v>0.41053537474032797</v>
      </c>
      <c r="AL2743">
        <v>75.6501632569029</v>
      </c>
      <c r="AM2743">
        <v>94.178098480691304</v>
      </c>
      <c r="AN2743">
        <v>1.0000000651811101</v>
      </c>
    </row>
    <row r="2744" spans="1:40" x14ac:dyDescent="0.25">
      <c r="A2744" t="str">
        <f>"20190304164142172"</f>
        <v>20190304164142172</v>
      </c>
      <c r="B2744" t="str">
        <f>"1551688902163549"</f>
        <v>1551688902163549</v>
      </c>
      <c r="C2744" t="s">
        <v>40</v>
      </c>
      <c r="D2744">
        <v>4.6391999999999998</v>
      </c>
      <c r="E2744">
        <v>0.59140090000000001</v>
      </c>
      <c r="F2744" t="s">
        <v>41</v>
      </c>
      <c r="G2744">
        <v>-456.93709999999999</v>
      </c>
      <c r="H2744">
        <v>1.034</v>
      </c>
      <c r="I2744">
        <v>284.2174</v>
      </c>
      <c r="J2744">
        <v>-456.46499999999997</v>
      </c>
      <c r="K2744">
        <v>1.109534</v>
      </c>
      <c r="L2744">
        <v>284.09769999999997</v>
      </c>
      <c r="M2744">
        <v>-0.99985740000000001</v>
      </c>
      <c r="N2744">
        <v>-1.54681E-2</v>
      </c>
      <c r="O2744">
        <v>-6.7978960000000003E-3</v>
      </c>
      <c r="P2744">
        <v>-0.96959949999999995</v>
      </c>
      <c r="Q2744">
        <v>0.2324995</v>
      </c>
      <c r="R2744">
        <v>-7.6295929999999998E-2</v>
      </c>
      <c r="S2744">
        <v>-3.1926269999999999</v>
      </c>
      <c r="T2744">
        <v>-0.26998480000000002</v>
      </c>
      <c r="U2744">
        <v>0.41711429999999999</v>
      </c>
      <c r="V2744">
        <v>-6.9692530000000003E-2</v>
      </c>
      <c r="W2744">
        <v>0.24748000000000001</v>
      </c>
      <c r="X2744">
        <v>0.9663832</v>
      </c>
      <c r="Y2744">
        <v>0.13570579999999999</v>
      </c>
      <c r="Z2744">
        <v>7.2268319999999999E-3</v>
      </c>
      <c r="AA2744">
        <v>0.99072280000000001</v>
      </c>
      <c r="AB2744">
        <v>56</v>
      </c>
      <c r="AC2744">
        <v>-0.47210000000001101</v>
      </c>
      <c r="AD2744">
        <v>-7.5533999999999907E-2</v>
      </c>
      <c r="AE2744">
        <v>0.119700000000023</v>
      </c>
      <c r="AF2744">
        <v>0.120020131801405</v>
      </c>
      <c r="AG2744">
        <v>-7.5533999999999907E-2</v>
      </c>
      <c r="AH2744">
        <v>0.46020622047807702</v>
      </c>
      <c r="AI2744">
        <v>99.024265277876196</v>
      </c>
      <c r="AJ2744">
        <v>75.383050307306505</v>
      </c>
      <c r="AK2744">
        <v>0.48155994700591898</v>
      </c>
      <c r="AL2744">
        <v>75.671557657639397</v>
      </c>
      <c r="AM2744">
        <v>94.124851177444796</v>
      </c>
      <c r="AN2744">
        <v>0.99999994419001803</v>
      </c>
    </row>
    <row r="2745" spans="1:40" x14ac:dyDescent="0.25">
      <c r="A2745" t="str">
        <f>"20190304164142188"</f>
        <v>20190304164142188</v>
      </c>
      <c r="B2745" t="str">
        <f>"1551688902173309"</f>
        <v>1551688902173309</v>
      </c>
      <c r="C2745" t="s">
        <v>40</v>
      </c>
      <c r="D2745">
        <v>4.655481</v>
      </c>
      <c r="E2745">
        <v>0.59171609999999997</v>
      </c>
      <c r="F2745" t="s">
        <v>41</v>
      </c>
      <c r="G2745">
        <v>-457.43180000000001</v>
      </c>
      <c r="H2745">
        <v>1.026497</v>
      </c>
      <c r="I2745">
        <v>284.22590000000002</v>
      </c>
      <c r="J2745">
        <v>-456.8578</v>
      </c>
      <c r="K2745">
        <v>1.1095299999999999</v>
      </c>
      <c r="L2745">
        <v>284.09500000000003</v>
      </c>
      <c r="M2745">
        <v>-0.99985740000000001</v>
      </c>
      <c r="N2745">
        <v>-1.5465309999999999E-2</v>
      </c>
      <c r="O2745">
        <v>-6.7982320000000004E-3</v>
      </c>
      <c r="P2745">
        <v>-0.96980160000000004</v>
      </c>
      <c r="Q2745">
        <v>0.231882</v>
      </c>
      <c r="R2745">
        <v>-7.5602929999999999E-2</v>
      </c>
      <c r="S2745">
        <v>-3.1931150000000001</v>
      </c>
      <c r="T2745">
        <v>-0.27419909999999997</v>
      </c>
      <c r="U2745">
        <v>0.42337039999999998</v>
      </c>
      <c r="V2745">
        <v>-6.8998219999999999E-2</v>
      </c>
      <c r="W2745">
        <v>0.2468632</v>
      </c>
      <c r="X2745">
        <v>0.96659079999999997</v>
      </c>
      <c r="Y2745">
        <v>0.13756979999999999</v>
      </c>
      <c r="Z2745">
        <v>7.4167779999999997E-3</v>
      </c>
      <c r="AA2745">
        <v>0.99046429999999996</v>
      </c>
      <c r="AB2745">
        <v>56</v>
      </c>
      <c r="AC2745">
        <v>-0.57400000000001195</v>
      </c>
      <c r="AD2745">
        <v>-8.3032999999999899E-2</v>
      </c>
      <c r="AE2745">
        <v>0.13089999999999599</v>
      </c>
      <c r="AF2745">
        <v>0.13217060384333701</v>
      </c>
      <c r="AG2745">
        <v>-8.3032999999999899E-2</v>
      </c>
      <c r="AH2745">
        <v>0.56191952602234296</v>
      </c>
      <c r="AI2745">
        <v>98.185352988686702</v>
      </c>
      <c r="AJ2745">
        <v>76.763900825600899</v>
      </c>
      <c r="AK2745">
        <v>0.58319559440593105</v>
      </c>
      <c r="AL2745">
        <v>75.708029935934405</v>
      </c>
      <c r="AM2745">
        <v>94.083023039916597</v>
      </c>
      <c r="AN2745">
        <v>0.99999998426102399</v>
      </c>
    </row>
    <row r="2746" spans="1:40" x14ac:dyDescent="0.25">
      <c r="A2746" t="str">
        <f>"20190304164142201"</f>
        <v>20190304164142201</v>
      </c>
      <c r="B2746" t="str">
        <f>"1551688902193805"</f>
        <v>1551688902193805</v>
      </c>
      <c r="C2746" t="s">
        <v>40</v>
      </c>
      <c r="D2746">
        <v>4.6993489999999998</v>
      </c>
      <c r="E2746">
        <v>0.59219299999999997</v>
      </c>
      <c r="F2746" t="s">
        <v>41</v>
      </c>
      <c r="G2746">
        <v>-457.92529999999999</v>
      </c>
      <c r="H2746">
        <v>1.0167790000000001</v>
      </c>
      <c r="I2746">
        <v>284.238</v>
      </c>
      <c r="J2746">
        <v>-457.20060000000001</v>
      </c>
      <c r="K2746">
        <v>1.1095269999999999</v>
      </c>
      <c r="L2746">
        <v>284.09269999999998</v>
      </c>
      <c r="M2746">
        <v>-0.99985740000000001</v>
      </c>
      <c r="N2746">
        <v>-1.546286E-2</v>
      </c>
      <c r="O2746">
        <v>-6.7983319999999998E-3</v>
      </c>
      <c r="P2746">
        <v>-0.97005410000000003</v>
      </c>
      <c r="Q2746">
        <v>0.23093549999999999</v>
      </c>
      <c r="R2746">
        <v>-7.5258969999999994E-2</v>
      </c>
      <c r="S2746">
        <v>-3.1930540000000001</v>
      </c>
      <c r="T2746">
        <v>-0.27743839999999997</v>
      </c>
      <c r="U2746">
        <v>0.42742920000000001</v>
      </c>
      <c r="V2746">
        <v>-6.8652030000000003E-2</v>
      </c>
      <c r="W2746">
        <v>0.2459182</v>
      </c>
      <c r="X2746">
        <v>0.9668563</v>
      </c>
      <c r="Y2746">
        <v>0.13879079999999999</v>
      </c>
      <c r="Z2746">
        <v>7.5544979999999998E-3</v>
      </c>
      <c r="AA2746">
        <v>0.99029290000000003</v>
      </c>
      <c r="AB2746">
        <v>56</v>
      </c>
      <c r="AC2746">
        <v>-0.72469999999998402</v>
      </c>
      <c r="AD2746">
        <v>-9.2747999999999997E-2</v>
      </c>
      <c r="AE2746">
        <v>0.14530000000002</v>
      </c>
      <c r="AF2746">
        <v>0.147895191961261</v>
      </c>
      <c r="AG2746">
        <v>-9.2747999999999997E-2</v>
      </c>
      <c r="AH2746">
        <v>0.71247652483269497</v>
      </c>
      <c r="AI2746">
        <v>97.263743089566503</v>
      </c>
      <c r="AJ2746">
        <v>78.273137461681401</v>
      </c>
      <c r="AK2746">
        <v>0.73355161900641497</v>
      </c>
      <c r="AL2746">
        <v>75.763896783707494</v>
      </c>
      <c r="AM2746">
        <v>94.061493883329405</v>
      </c>
      <c r="AN2746">
        <v>0.99999998358202502</v>
      </c>
    </row>
    <row r="2747" spans="1:40" x14ac:dyDescent="0.25">
      <c r="A2747" t="str">
        <f>"20190304164142214"</f>
        <v>20190304164142214</v>
      </c>
      <c r="B2747" t="str">
        <f>"1551688902203565"</f>
        <v>1551688902203565</v>
      </c>
      <c r="C2747" t="s">
        <v>40</v>
      </c>
      <c r="D2747">
        <v>4.6700189999999999</v>
      </c>
      <c r="E2747">
        <v>0.5923889</v>
      </c>
      <c r="F2747" t="s">
        <v>41</v>
      </c>
      <c r="G2747">
        <v>-457.93970000000002</v>
      </c>
      <c r="H2747">
        <v>1.0442370000000001</v>
      </c>
      <c r="I2747">
        <v>284.19290000000001</v>
      </c>
      <c r="J2747">
        <v>-457.50670000000002</v>
      </c>
      <c r="K2747">
        <v>1.109523</v>
      </c>
      <c r="L2747">
        <v>284.09059999999999</v>
      </c>
      <c r="M2747">
        <v>-0.99985729999999995</v>
      </c>
      <c r="N2747">
        <v>-1.5460669999999999E-2</v>
      </c>
      <c r="O2747">
        <v>-6.7986720000000004E-3</v>
      </c>
      <c r="P2747">
        <v>-0.97031230000000002</v>
      </c>
      <c r="Q2747">
        <v>0.22990559999999999</v>
      </c>
      <c r="R2747">
        <v>-7.5083910000000004E-2</v>
      </c>
      <c r="S2747">
        <v>-3.1933289999999999</v>
      </c>
      <c r="T2747">
        <v>-0.28211120000000001</v>
      </c>
      <c r="U2747">
        <v>0.43243409999999899</v>
      </c>
      <c r="V2747">
        <v>-6.8474939999999998E-2</v>
      </c>
      <c r="W2747">
        <v>0.2448901</v>
      </c>
      <c r="X2747">
        <v>0.96712980000000004</v>
      </c>
      <c r="Y2747">
        <v>0.14027800000000001</v>
      </c>
      <c r="Z2747">
        <v>7.7405529999999998E-3</v>
      </c>
      <c r="AA2747">
        <v>0.99008189999999996</v>
      </c>
      <c r="AB2747">
        <v>56</v>
      </c>
      <c r="AC2747">
        <v>-0.432999999999992</v>
      </c>
      <c r="AD2747">
        <v>-6.52859999999999E-2</v>
      </c>
      <c r="AE2747">
        <v>0.10230000000001301</v>
      </c>
      <c r="AF2747">
        <v>0.10302355583627799</v>
      </c>
      <c r="AG2747">
        <v>-6.52859999999999E-2</v>
      </c>
      <c r="AH2747">
        <v>0.42318262713413501</v>
      </c>
      <c r="AI2747">
        <v>98.524925122591</v>
      </c>
      <c r="AJ2747">
        <v>76.317541427763402</v>
      </c>
      <c r="AK2747">
        <v>0.44040850441527502</v>
      </c>
      <c r="AL2747">
        <v>75.824661130934899</v>
      </c>
      <c r="AM2747">
        <v>94.0499102554774</v>
      </c>
      <c r="AN2747">
        <v>1.00000001426702</v>
      </c>
    </row>
    <row r="2748" spans="1:40" x14ac:dyDescent="0.25">
      <c r="A2748" t="str">
        <f>"20190304164142227"</f>
        <v>20190304164142227</v>
      </c>
      <c r="B2748" t="str">
        <f>"1551688902224061"</f>
        <v>1551688902224061</v>
      </c>
      <c r="C2748" t="s">
        <v>40</v>
      </c>
      <c r="D2748">
        <v>4.6948239999999997</v>
      </c>
      <c r="E2748">
        <v>0.59276790000000001</v>
      </c>
      <c r="F2748" t="s">
        <v>41</v>
      </c>
      <c r="G2748">
        <v>-458.42720000000003</v>
      </c>
      <c r="H2748">
        <v>1.0269569999999999</v>
      </c>
      <c r="I2748">
        <v>284.21629999999999</v>
      </c>
      <c r="J2748">
        <v>-457.84809999999999</v>
      </c>
      <c r="K2748">
        <v>1.109524</v>
      </c>
      <c r="L2748">
        <v>284.0883</v>
      </c>
      <c r="M2748">
        <v>-0.99985749999999995</v>
      </c>
      <c r="N2748">
        <v>-1.545824E-2</v>
      </c>
      <c r="O2748">
        <v>-6.7991299999999996E-3</v>
      </c>
      <c r="P2748">
        <v>-0.97060740000000001</v>
      </c>
      <c r="Q2748">
        <v>0.22874929999999999</v>
      </c>
      <c r="R2748">
        <v>-7.4802670000000002E-2</v>
      </c>
      <c r="S2748">
        <v>-3.1932680000000002</v>
      </c>
      <c r="T2748">
        <v>-0.28660550000000001</v>
      </c>
      <c r="U2748">
        <v>0.43457030000000002</v>
      </c>
      <c r="V2748">
        <v>-6.8191470000000004E-2</v>
      </c>
      <c r="W2748">
        <v>0.24373600000000001</v>
      </c>
      <c r="X2748">
        <v>0.96744129999999995</v>
      </c>
      <c r="Y2748">
        <v>0.14090899999999901</v>
      </c>
      <c r="Z2748">
        <v>7.880593E-3</v>
      </c>
      <c r="AA2748">
        <v>0.98999119999999996</v>
      </c>
      <c r="AB2748">
        <v>56</v>
      </c>
      <c r="AC2748">
        <v>-0.57910000000003903</v>
      </c>
      <c r="AD2748">
        <v>-8.2567000000000002E-2</v>
      </c>
      <c r="AE2748">
        <v>0.12799999999998499</v>
      </c>
      <c r="AF2748">
        <v>0.12942639276864101</v>
      </c>
      <c r="AG2748">
        <v>-8.2567000000000002E-2</v>
      </c>
      <c r="AH2748">
        <v>0.56722252287008001</v>
      </c>
      <c r="AI2748">
        <v>98.077260746862095</v>
      </c>
      <c r="AJ2748">
        <v>77.1465484360278</v>
      </c>
      <c r="AK2748">
        <v>0.58763074382234404</v>
      </c>
      <c r="AL2748">
        <v>75.892852314838194</v>
      </c>
      <c r="AM2748">
        <v>94.031905691964297</v>
      </c>
      <c r="AN2748">
        <v>0.99999999161122499</v>
      </c>
    </row>
    <row r="2749" spans="1:40" x14ac:dyDescent="0.25">
      <c r="A2749" t="str">
        <f>"20190304164142250"</f>
        <v>20190304164142250</v>
      </c>
      <c r="B2749" t="str">
        <f>"1551688902243580"</f>
        <v>1551688902243580</v>
      </c>
      <c r="C2749" t="s">
        <v>40</v>
      </c>
      <c r="D2749">
        <v>4.7142150000000003</v>
      </c>
      <c r="E2749">
        <v>0.59316469999999999</v>
      </c>
      <c r="F2749" t="s">
        <v>41</v>
      </c>
      <c r="G2749">
        <v>-458.91750000000002</v>
      </c>
      <c r="H2749">
        <v>1.0117149999999999</v>
      </c>
      <c r="I2749">
        <v>284.2355</v>
      </c>
      <c r="J2749">
        <v>-458.41669999999999</v>
      </c>
      <c r="K2749">
        <v>1.1095539999999999</v>
      </c>
      <c r="L2749">
        <v>284.08440000000002</v>
      </c>
      <c r="M2749">
        <v>-0.99985740000000001</v>
      </c>
      <c r="N2749">
        <v>-1.545418E-2</v>
      </c>
      <c r="O2749">
        <v>-6.7994559999999997E-3</v>
      </c>
      <c r="P2749">
        <v>-0.96987999999999996</v>
      </c>
      <c r="Q2749">
        <v>0.231264</v>
      </c>
      <c r="R2749">
        <v>-7.6484860000000002E-2</v>
      </c>
      <c r="S2749">
        <v>-3.1935730000000002</v>
      </c>
      <c r="T2749">
        <v>-0.29210190000000003</v>
      </c>
      <c r="U2749">
        <v>0.4394226</v>
      </c>
      <c r="V2749">
        <v>-6.9878049999999997E-2</v>
      </c>
      <c r="W2749">
        <v>0.2462357</v>
      </c>
      <c r="X2749">
        <v>0.96668770000000004</v>
      </c>
      <c r="Y2749">
        <v>0.14234229999999901</v>
      </c>
      <c r="Z2749">
        <v>8.0870219999999993E-3</v>
      </c>
      <c r="AA2749">
        <v>0.98978449999999996</v>
      </c>
      <c r="AB2749">
        <v>56</v>
      </c>
      <c r="AC2749">
        <v>-0.500800000000026</v>
      </c>
      <c r="AD2749">
        <v>-9.7839000000000204E-2</v>
      </c>
      <c r="AE2749">
        <v>0.151099999999985</v>
      </c>
      <c r="AF2749">
        <v>0.149279820968789</v>
      </c>
      <c r="AG2749">
        <v>-9.7839000000000204E-2</v>
      </c>
      <c r="AH2749">
        <v>0.48286869222699003</v>
      </c>
      <c r="AI2749">
        <v>100.95584355324399</v>
      </c>
      <c r="AJ2749">
        <v>72.820901535374006</v>
      </c>
      <c r="AK2749">
        <v>0.51480006682446899</v>
      </c>
      <c r="AL2749">
        <v>75.745129003200901</v>
      </c>
      <c r="AM2749">
        <v>94.134495162303693</v>
      </c>
      <c r="AN2749">
        <v>1.0000000355787899</v>
      </c>
    </row>
    <row r="2750" spans="1:40" x14ac:dyDescent="0.25">
      <c r="A2750" t="str">
        <f>"20190304164142272"</f>
        <v>20190304164142272</v>
      </c>
      <c r="B2750" t="str">
        <f>"1551688902264077"</f>
        <v>1551688902264077</v>
      </c>
      <c r="C2750" t="s">
        <v>40</v>
      </c>
      <c r="D2750">
        <v>4.4976450000000003</v>
      </c>
      <c r="E2750">
        <v>0.59324909999999997</v>
      </c>
      <c r="F2750" t="s">
        <v>41</v>
      </c>
      <c r="G2750">
        <v>-459.41849999999999</v>
      </c>
      <c r="H2750">
        <v>1.02111</v>
      </c>
      <c r="I2750">
        <v>284.22280000000001</v>
      </c>
      <c r="J2750">
        <v>-458.9563</v>
      </c>
      <c r="K2750">
        <v>1.1095660000000001</v>
      </c>
      <c r="L2750">
        <v>284.08069999999998</v>
      </c>
      <c r="M2750">
        <v>-0.99985760000000001</v>
      </c>
      <c r="N2750">
        <v>-1.5450180000000001E-2</v>
      </c>
      <c r="O2750">
        <v>-6.800141E-3</v>
      </c>
      <c r="P2750">
        <v>-0.9692442</v>
      </c>
      <c r="Q2750">
        <v>0.23341429999999999</v>
      </c>
      <c r="R2750">
        <v>-7.7999769999999996E-2</v>
      </c>
      <c r="S2750">
        <v>-3.1952509999999998</v>
      </c>
      <c r="T2750">
        <v>-0.28225139999999999</v>
      </c>
      <c r="U2750">
        <v>0.4405212</v>
      </c>
      <c r="V2750">
        <v>-7.1396249999999994E-2</v>
      </c>
      <c r="W2750">
        <v>0.24837200000000001</v>
      </c>
      <c r="X2750">
        <v>0.96603000000000006</v>
      </c>
      <c r="Y2750">
        <v>0.14264959999999999</v>
      </c>
      <c r="Z2750">
        <v>7.8608689999999995E-3</v>
      </c>
      <c r="AA2750">
        <v>0.98974200000000001</v>
      </c>
      <c r="AB2750">
        <v>56</v>
      </c>
      <c r="AC2750">
        <v>-0.462199999999995</v>
      </c>
      <c r="AD2750">
        <v>-8.8456000000000007E-2</v>
      </c>
      <c r="AE2750">
        <v>0.14210000000002701</v>
      </c>
      <c r="AF2750">
        <v>0.140537253501863</v>
      </c>
      <c r="AG2750">
        <v>-8.8456000000000007E-2</v>
      </c>
      <c r="AH2750">
        <v>0.44628854450148697</v>
      </c>
      <c r="AI2750">
        <v>100.705513623746</v>
      </c>
      <c r="AJ2750">
        <v>72.520669475256</v>
      </c>
      <c r="AK2750">
        <v>0.47618131894384902</v>
      </c>
      <c r="AL2750">
        <v>75.618803837730994</v>
      </c>
      <c r="AM2750">
        <v>94.226866658910296</v>
      </c>
      <c r="AN2750">
        <v>1.00000001789903</v>
      </c>
    </row>
    <row r="2751" spans="1:40" x14ac:dyDescent="0.25">
      <c r="A2751" t="str">
        <f>"20190304164142295"</f>
        <v>20190304164142295</v>
      </c>
      <c r="B2751" t="str">
        <f>"1551688902283597"</f>
        <v>1551688902283597</v>
      </c>
      <c r="C2751" t="s">
        <v>40</v>
      </c>
      <c r="D2751">
        <v>4.5714379999999997</v>
      </c>
      <c r="E2751">
        <v>0.54527009999999998</v>
      </c>
      <c r="F2751" t="s">
        <v>41</v>
      </c>
      <c r="G2751">
        <v>-459.91750000000002</v>
      </c>
      <c r="H2751">
        <v>1.026926</v>
      </c>
      <c r="I2751">
        <v>284.21179999999998</v>
      </c>
      <c r="J2751">
        <v>-459.51909999999998</v>
      </c>
      <c r="K2751">
        <v>1.10958</v>
      </c>
      <c r="L2751">
        <v>284.07679999999999</v>
      </c>
      <c r="M2751">
        <v>-0.99985780000000002</v>
      </c>
      <c r="N2751">
        <v>-1.544595E-2</v>
      </c>
      <c r="O2751">
        <v>-6.7995019999999998E-3</v>
      </c>
      <c r="P2751">
        <v>-0.96876260000000003</v>
      </c>
      <c r="Q2751">
        <v>0.234816</v>
      </c>
      <c r="R2751">
        <v>-7.9756889999999997E-2</v>
      </c>
      <c r="S2751">
        <v>-3.1964419999999998</v>
      </c>
      <c r="T2751">
        <v>-0.2748139</v>
      </c>
      <c r="U2751">
        <v>0.43600460000000002</v>
      </c>
      <c r="V2751">
        <v>-7.3156860000000004E-2</v>
      </c>
      <c r="W2751">
        <v>0.24976209999999999</v>
      </c>
      <c r="X2751">
        <v>0.96553979999999995</v>
      </c>
      <c r="Y2751">
        <v>0.14126449999999999</v>
      </c>
      <c r="Z2751">
        <v>7.6085679999999996E-3</v>
      </c>
      <c r="AA2751">
        <v>0.98994269999999995</v>
      </c>
      <c r="AB2751">
        <v>56</v>
      </c>
      <c r="AC2751">
        <v>-0.398400000000037</v>
      </c>
      <c r="AD2751">
        <v>-8.2653999999999894E-2</v>
      </c>
      <c r="AE2751">
        <v>0.13499999999998999</v>
      </c>
      <c r="AF2751">
        <v>0.13258712961683999</v>
      </c>
      <c r="AG2751">
        <v>-8.2653999999999894E-2</v>
      </c>
      <c r="AH2751">
        <v>0.38269736636336998</v>
      </c>
      <c r="AI2751">
        <v>101.534350506919</v>
      </c>
      <c r="AJ2751">
        <v>70.891139170524895</v>
      </c>
      <c r="AK2751">
        <v>0.413362195752698</v>
      </c>
      <c r="AL2751">
        <v>75.536566079755701</v>
      </c>
      <c r="AM2751">
        <v>94.332898424819106</v>
      </c>
      <c r="AN2751">
        <v>1.00000006907275</v>
      </c>
    </row>
    <row r="2752" spans="1:40" x14ac:dyDescent="0.25">
      <c r="A2752" t="str">
        <f>"20190304164142317"</f>
        <v>20190304164142317</v>
      </c>
      <c r="B2752" t="str">
        <f>"1551688902304094"</f>
        <v>1551688902304094</v>
      </c>
      <c r="C2752" t="s">
        <v>40</v>
      </c>
      <c r="D2752">
        <v>4.5654240000000001</v>
      </c>
      <c r="E2752">
        <v>0.534551</v>
      </c>
      <c r="F2752" t="s">
        <v>45</v>
      </c>
      <c r="G2752">
        <v>-491.2654</v>
      </c>
      <c r="H2752" s="1">
        <v>3.7465940000000001E-6</v>
      </c>
      <c r="I2752">
        <v>284.69</v>
      </c>
      <c r="J2752">
        <v>-460.07619999999997</v>
      </c>
      <c r="K2752">
        <v>1.1095790000000001</v>
      </c>
      <c r="L2752">
        <v>284.07299999999998</v>
      </c>
      <c r="M2752">
        <v>-0.99985780000000002</v>
      </c>
      <c r="N2752">
        <v>-1.5442040000000001E-2</v>
      </c>
      <c r="O2752">
        <v>-6.7932210000000003E-3</v>
      </c>
      <c r="P2752">
        <v>-0.96852300000000002</v>
      </c>
      <c r="Q2752">
        <v>0.23510320000000001</v>
      </c>
      <c r="R2752">
        <v>-8.179285E-2</v>
      </c>
      <c r="S2752">
        <v>-3.1282040000000002</v>
      </c>
      <c r="T2752">
        <v>-0.10933519999999899</v>
      </c>
      <c r="U2752">
        <v>6.0424800000000001E-2</v>
      </c>
      <c r="V2752">
        <v>-7.5198940000000006E-2</v>
      </c>
      <c r="W2752">
        <v>0.25004280000000001</v>
      </c>
      <c r="X2752">
        <v>0.96531020000000001</v>
      </c>
      <c r="Y2752">
        <v>2.6080599999999999E-2</v>
      </c>
      <c r="Z2752">
        <v>7.8954559999999999E-4</v>
      </c>
      <c r="AA2752">
        <v>0.99965950000000003</v>
      </c>
      <c r="AB2752">
        <v>56</v>
      </c>
      <c r="AC2752">
        <v>-31.1892</v>
      </c>
      <c r="AD2752">
        <v>-1.1095752534059999</v>
      </c>
      <c r="AE2752">
        <v>0.61700000000001798</v>
      </c>
      <c r="AF2752">
        <v>0.82783880681997402</v>
      </c>
      <c r="AG2752">
        <v>-1.1095752534059999</v>
      </c>
      <c r="AH2752">
        <v>31.1448859191343</v>
      </c>
      <c r="AI2752">
        <v>92.039650605072495</v>
      </c>
      <c r="AJ2752">
        <v>88.477422447663898</v>
      </c>
      <c r="AK2752">
        <v>31.175637816232999</v>
      </c>
      <c r="AL2752">
        <v>75.519955595204195</v>
      </c>
      <c r="AM2752">
        <v>94.454420739436202</v>
      </c>
      <c r="AN2752">
        <v>1.0000000323164999</v>
      </c>
    </row>
    <row r="2753" spans="1:40" x14ac:dyDescent="0.25">
      <c r="A2753" t="str">
        <f>"20190304164142340"</f>
        <v>20190304164142340</v>
      </c>
      <c r="B2753" t="str">
        <f>"1551688902333372"</f>
        <v>1551688902333372</v>
      </c>
      <c r="C2753" t="s">
        <v>40</v>
      </c>
      <c r="D2753">
        <v>4.5121419999999999</v>
      </c>
      <c r="E2753">
        <v>0.52965769999999901</v>
      </c>
      <c r="F2753" t="s">
        <v>45</v>
      </c>
      <c r="G2753">
        <v>-487.93169999999998</v>
      </c>
      <c r="H2753" s="1">
        <v>3.539993E-6</v>
      </c>
      <c r="I2753">
        <v>283.78469999999999</v>
      </c>
      <c r="J2753">
        <v>-460.63400000000001</v>
      </c>
      <c r="K2753">
        <v>1.109567</v>
      </c>
      <c r="L2753">
        <v>284.06920000000002</v>
      </c>
      <c r="M2753">
        <v>-0.99985800000000002</v>
      </c>
      <c r="N2753">
        <v>-1.543832E-2</v>
      </c>
      <c r="O2753">
        <v>-6.7742219999999999E-3</v>
      </c>
      <c r="P2753">
        <v>-0.9683254</v>
      </c>
      <c r="Q2753">
        <v>0.2354589</v>
      </c>
      <c r="R2753">
        <v>-8.3098989999999998E-2</v>
      </c>
      <c r="S2753">
        <v>-3.125</v>
      </c>
      <c r="T2753">
        <v>-0.1244791</v>
      </c>
      <c r="U2753">
        <v>-3.2348630000000003E-2</v>
      </c>
      <c r="V2753">
        <v>-7.6520580000000005E-2</v>
      </c>
      <c r="W2753">
        <v>0.2503937</v>
      </c>
      <c r="X2753">
        <v>0.96511530000000001</v>
      </c>
      <c r="Y2753">
        <v>-3.574186E-3</v>
      </c>
      <c r="Z2753" s="1">
        <v>6.6396449999999997E-5</v>
      </c>
      <c r="AA2753">
        <v>0.99999360000000004</v>
      </c>
      <c r="AB2753">
        <v>55</v>
      </c>
      <c r="AC2753">
        <v>-27.297699999999899</v>
      </c>
      <c r="AD2753">
        <v>-1.1095634600069999</v>
      </c>
      <c r="AE2753">
        <v>-0.284500000000036</v>
      </c>
      <c r="AF2753">
        <v>-9.9386588085364894E-2</v>
      </c>
      <c r="AG2753">
        <v>-1.1095634600069999</v>
      </c>
      <c r="AH2753">
        <v>27.253977942786001</v>
      </c>
      <c r="AI2753">
        <v>92.331321793061903</v>
      </c>
      <c r="AJ2753">
        <v>90.208938555963599</v>
      </c>
      <c r="AK2753">
        <v>27.2767359204055</v>
      </c>
      <c r="AL2753">
        <v>75.499189064398607</v>
      </c>
      <c r="AM2753">
        <v>94.533296376013098</v>
      </c>
      <c r="AN2753">
        <v>0.99999997322865697</v>
      </c>
    </row>
    <row r="2754" spans="1:40" x14ac:dyDescent="0.25">
      <c r="A2754" t="str">
        <f>"20190304164142361"</f>
        <v>20190304164142361</v>
      </c>
      <c r="B2754" t="str">
        <f>"1551688902353869"</f>
        <v>1551688902353869</v>
      </c>
      <c r="C2754" t="s">
        <v>40</v>
      </c>
      <c r="D2754">
        <v>4.4960630000000004</v>
      </c>
      <c r="E2754">
        <v>0.52826609999999996</v>
      </c>
      <c r="F2754" t="s">
        <v>45</v>
      </c>
      <c r="G2754">
        <v>-485.64339999999999</v>
      </c>
      <c r="H2754" s="1">
        <v>3.1052450000000001E-6</v>
      </c>
      <c r="I2754">
        <v>283.45479999999998</v>
      </c>
      <c r="J2754">
        <v>-461.16840000000002</v>
      </c>
      <c r="K2754">
        <v>1.1095649999999999</v>
      </c>
      <c r="L2754">
        <v>284.06569999999999</v>
      </c>
      <c r="M2754">
        <v>-0.99985829999999998</v>
      </c>
      <c r="N2754">
        <v>-1.543477E-2</v>
      </c>
      <c r="O2754">
        <v>-6.7383340000000003E-3</v>
      </c>
      <c r="P2754">
        <v>-0.96787319999999999</v>
      </c>
      <c r="Q2754">
        <v>0.23711689999999999</v>
      </c>
      <c r="R2754">
        <v>-8.3652379999999998E-2</v>
      </c>
      <c r="S2754">
        <v>-3.1252439999999999</v>
      </c>
      <c r="T2754">
        <v>-0.13865459999999999</v>
      </c>
      <c r="U2754">
        <v>-7.6782230000000007E-2</v>
      </c>
      <c r="V2754">
        <v>-7.7104489999999998E-2</v>
      </c>
      <c r="W2754">
        <v>0.25204320000000002</v>
      </c>
      <c r="X2754">
        <v>0.96463940000000004</v>
      </c>
      <c r="Y2754">
        <v>-1.7802539999999999E-2</v>
      </c>
      <c r="Z2754">
        <v>-3.3738049999999998E-4</v>
      </c>
      <c r="AA2754">
        <v>0.99984150000000005</v>
      </c>
      <c r="AB2754">
        <v>55</v>
      </c>
      <c r="AC2754">
        <v>-24.474999999999898</v>
      </c>
      <c r="AD2754">
        <v>-1.1095618947550001</v>
      </c>
      <c r="AE2754">
        <v>-0.61090000000001499</v>
      </c>
      <c r="AF2754">
        <v>-0.44503170867677799</v>
      </c>
      <c r="AG2754">
        <v>-1.1095618947550001</v>
      </c>
      <c r="AH2754">
        <v>24.428386779456499</v>
      </c>
      <c r="AI2754">
        <v>92.600213611986106</v>
      </c>
      <c r="AJ2754">
        <v>91.043688171800895</v>
      </c>
      <c r="AK2754">
        <v>24.457621745925099</v>
      </c>
      <c r="AL2754">
        <v>75.401549128659596</v>
      </c>
      <c r="AM2754">
        <v>94.569986957551393</v>
      </c>
      <c r="AN2754">
        <v>1.00000002453837</v>
      </c>
    </row>
    <row r="2755" spans="1:40" x14ac:dyDescent="0.25">
      <c r="A2755" t="str">
        <f>"20190304164142385"</f>
        <v>20190304164142385</v>
      </c>
      <c r="B2755" t="str">
        <f>"1551688902373390"</f>
        <v>1551688902373390</v>
      </c>
      <c r="C2755" t="s">
        <v>40</v>
      </c>
      <c r="D2755">
        <v>4.4883509999999998</v>
      </c>
      <c r="E2755">
        <v>0.52770030000000001</v>
      </c>
      <c r="F2755" t="s">
        <v>45</v>
      </c>
      <c r="G2755">
        <v>-486.09089999999998</v>
      </c>
      <c r="H2755" s="1">
        <v>3.1757610000000001E-6</v>
      </c>
      <c r="I2755">
        <v>283.35329999999999</v>
      </c>
      <c r="J2755">
        <v>-461.72379999999998</v>
      </c>
      <c r="K2755">
        <v>1.109564</v>
      </c>
      <c r="L2755">
        <v>284.06189999999998</v>
      </c>
      <c r="M2755">
        <v>-0.99985869999999999</v>
      </c>
      <c r="N2755">
        <v>-1.5430900000000001E-2</v>
      </c>
      <c r="O2755">
        <v>-6.6806549999999998E-3</v>
      </c>
      <c r="P2755">
        <v>-0.96732260000000003</v>
      </c>
      <c r="Q2755">
        <v>0.23942279999999999</v>
      </c>
      <c r="R2755">
        <v>-8.3452499999999999E-2</v>
      </c>
      <c r="S2755">
        <v>-3.1259459999999999</v>
      </c>
      <c r="T2755">
        <v>-0.1391684</v>
      </c>
      <c r="U2755">
        <v>-8.9355470000000006E-2</v>
      </c>
      <c r="V2755">
        <v>-7.6953199999999999E-2</v>
      </c>
      <c r="W2755">
        <v>0.25433919999999999</v>
      </c>
      <c r="X2755">
        <v>0.96404869999999998</v>
      </c>
      <c r="Y2755">
        <v>-2.1867729999999998E-2</v>
      </c>
      <c r="Z2755">
        <v>-4.611506E-4</v>
      </c>
      <c r="AA2755">
        <v>0.99976069999999995</v>
      </c>
      <c r="AB2755">
        <v>55</v>
      </c>
      <c r="AC2755">
        <v>-24.367099999999901</v>
      </c>
      <c r="AD2755">
        <v>-1.109560824239</v>
      </c>
      <c r="AE2755">
        <v>-0.70859999999998902</v>
      </c>
      <c r="AF2755">
        <v>-0.54464827441014096</v>
      </c>
      <c r="AG2755">
        <v>-1.109560824239</v>
      </c>
      <c r="AH2755">
        <v>24.320904890175601</v>
      </c>
      <c r="AI2755">
        <v>92.611465318298102</v>
      </c>
      <c r="AJ2755">
        <v>91.282881229931107</v>
      </c>
      <c r="AK2755">
        <v>24.352293149567402</v>
      </c>
      <c r="AL2755">
        <v>75.265567716008604</v>
      </c>
      <c r="AM2755">
        <v>94.563840750397802</v>
      </c>
      <c r="AN2755">
        <v>1.00000005980928</v>
      </c>
    </row>
    <row r="2756" spans="1:40" x14ac:dyDescent="0.25">
      <c r="A2756" t="str">
        <f>"20190304164142407"</f>
        <v>20190304164142407</v>
      </c>
      <c r="B2756" t="str">
        <f>"1551688902393886"</f>
        <v>1551688902393886</v>
      </c>
      <c r="C2756" t="s">
        <v>40</v>
      </c>
      <c r="D2756">
        <v>4.5248369999999998</v>
      </c>
      <c r="E2756">
        <v>0.52729669999999995</v>
      </c>
      <c r="F2756" t="s">
        <v>45</v>
      </c>
      <c r="G2756">
        <v>-487.01690000000002</v>
      </c>
      <c r="H2756" s="1">
        <v>3.3361870000000002E-6</v>
      </c>
      <c r="I2756">
        <v>283.30959999999999</v>
      </c>
      <c r="J2756">
        <v>-462.28870000000001</v>
      </c>
      <c r="K2756">
        <v>1.1095429999999999</v>
      </c>
      <c r="L2756">
        <v>284.0582</v>
      </c>
      <c r="M2756">
        <v>-0.99985930000000001</v>
      </c>
      <c r="N2756">
        <v>-1.542691E-2</v>
      </c>
      <c r="O2756">
        <v>-6.6044739999999999E-3</v>
      </c>
      <c r="P2756">
        <v>-0.967136</v>
      </c>
      <c r="Q2756">
        <v>0.2403526</v>
      </c>
      <c r="R2756">
        <v>-8.2939550000000001E-2</v>
      </c>
      <c r="S2756">
        <v>-3.1272579999999999</v>
      </c>
      <c r="T2756">
        <v>-0.1371869</v>
      </c>
      <c r="U2756">
        <v>-9.3017580000000002E-2</v>
      </c>
      <c r="V2756">
        <v>-7.6503600000000005E-2</v>
      </c>
      <c r="W2756">
        <v>0.25526599999999999</v>
      </c>
      <c r="X2756">
        <v>0.96383949999999996</v>
      </c>
      <c r="Y2756">
        <v>-2.310065E-2</v>
      </c>
      <c r="Z2756">
        <v>-4.970145E-4</v>
      </c>
      <c r="AA2756">
        <v>0.99973299999999998</v>
      </c>
      <c r="AB2756">
        <v>55</v>
      </c>
      <c r="AC2756">
        <v>-24.728200000000001</v>
      </c>
      <c r="AD2756">
        <v>-1.109539663813</v>
      </c>
      <c r="AE2756">
        <v>-0.74860000000001004</v>
      </c>
      <c r="AF2756">
        <v>-0.58407268107121402</v>
      </c>
      <c r="AG2756">
        <v>-1.109539663813</v>
      </c>
      <c r="AH2756">
        <v>24.682957451378002</v>
      </c>
      <c r="AI2756">
        <v>92.573087855922395</v>
      </c>
      <c r="AJ2756">
        <v>91.355536735659499</v>
      </c>
      <c r="AK2756">
        <v>24.714785204587301</v>
      </c>
      <c r="AL2756">
        <v>75.210653390259495</v>
      </c>
      <c r="AM2756">
        <v>94.538268816729996</v>
      </c>
      <c r="AN2756">
        <v>1.0000000566645999</v>
      </c>
    </row>
    <row r="2757" spans="1:40" x14ac:dyDescent="0.25">
      <c r="A2757" t="str">
        <f>"20190304164142429"</f>
        <v>20190304164142429</v>
      </c>
      <c r="B2757" t="str">
        <f>"1551688902424141"</f>
        <v>1551688902424141</v>
      </c>
      <c r="C2757" t="s">
        <v>40</v>
      </c>
      <c r="D2757">
        <v>4.5505240000000002</v>
      </c>
      <c r="E2757">
        <v>0.52700559999999996</v>
      </c>
      <c r="F2757" t="s">
        <v>45</v>
      </c>
      <c r="G2757">
        <v>-487.2525</v>
      </c>
      <c r="H2757" s="1">
        <v>3.3775599999999998E-6</v>
      </c>
      <c r="I2757">
        <v>283.3048</v>
      </c>
      <c r="J2757">
        <v>-462.83580000000001</v>
      </c>
      <c r="K2757">
        <v>1.1095299999999999</v>
      </c>
      <c r="L2757">
        <v>284.05459999999999</v>
      </c>
      <c r="M2757">
        <v>-0.99985990000000002</v>
      </c>
      <c r="N2757">
        <v>-1.54231E-2</v>
      </c>
      <c r="O2757">
        <v>-6.5175900000000002E-3</v>
      </c>
      <c r="P2757">
        <v>-0.96716550000000001</v>
      </c>
      <c r="Q2757">
        <v>0.24006089999999999</v>
      </c>
      <c r="R2757">
        <v>-8.3437899999999995E-2</v>
      </c>
      <c r="S2757">
        <v>-3.128387</v>
      </c>
      <c r="T2757">
        <v>-0.13904439999999901</v>
      </c>
      <c r="U2757">
        <v>-9.4421389999999994E-2</v>
      </c>
      <c r="V2757">
        <v>-7.7075480000000002E-2</v>
      </c>
      <c r="W2757">
        <v>0.25497409999999998</v>
      </c>
      <c r="X2757">
        <v>0.96387109999999998</v>
      </c>
      <c r="Y2757">
        <v>-2.3623689999999999E-2</v>
      </c>
      <c r="Z2757">
        <v>-5.1797150000000005E-4</v>
      </c>
      <c r="AA2757">
        <v>0.99972079999999997</v>
      </c>
      <c r="AB2757">
        <v>55</v>
      </c>
      <c r="AC2757">
        <v>-24.416699999999899</v>
      </c>
      <c r="AD2757">
        <v>-1.10952662244</v>
      </c>
      <c r="AE2757">
        <v>-0.74979999999999303</v>
      </c>
      <c r="AF2757">
        <v>-0.58941117838659396</v>
      </c>
      <c r="AG2757">
        <v>-1.10952662244</v>
      </c>
      <c r="AH2757">
        <v>24.370792614906399</v>
      </c>
      <c r="AI2757">
        <v>92.605938242097693</v>
      </c>
      <c r="AJ2757">
        <v>91.385436713039596</v>
      </c>
      <c r="AK2757">
        <v>24.403155278403801</v>
      </c>
      <c r="AL2757">
        <v>75.227948925671697</v>
      </c>
      <c r="AM2757">
        <v>94.571900745482196</v>
      </c>
      <c r="AN2757">
        <v>0.999999959351624</v>
      </c>
    </row>
    <row r="2758" spans="1:40" x14ac:dyDescent="0.25">
      <c r="A2758" t="str">
        <f>"20190304164142451"</f>
        <v>20190304164142451</v>
      </c>
      <c r="B2758" t="str">
        <f>"1551688902443661"</f>
        <v>1551688902443661</v>
      </c>
      <c r="C2758" t="s">
        <v>40</v>
      </c>
      <c r="D2758">
        <v>4.5704089999999997</v>
      </c>
      <c r="E2758">
        <v>0.52693829999999997</v>
      </c>
      <c r="F2758" t="s">
        <v>45</v>
      </c>
      <c r="G2758">
        <v>-486.69709999999998</v>
      </c>
      <c r="H2758" s="1">
        <v>3.2795499999999998E-6</v>
      </c>
      <c r="I2758">
        <v>283.31049999999999</v>
      </c>
      <c r="J2758">
        <v>-463.37380000000002</v>
      </c>
      <c r="K2758">
        <v>1.1095109999999999</v>
      </c>
      <c r="L2758">
        <v>284.05119999999999</v>
      </c>
      <c r="M2758">
        <v>-0.99986050000000004</v>
      </c>
      <c r="N2758">
        <v>-1.541941E-2</v>
      </c>
      <c r="O2758">
        <v>-6.4216899999999999E-3</v>
      </c>
      <c r="P2758">
        <v>-0.96708119999999997</v>
      </c>
      <c r="Q2758">
        <v>0.239926</v>
      </c>
      <c r="R2758">
        <v>-8.4791980000000003E-2</v>
      </c>
      <c r="S2758">
        <v>-3.1295470000000001</v>
      </c>
      <c r="T2758">
        <v>-0.14552079999999901</v>
      </c>
      <c r="U2758">
        <v>-9.7595210000000002E-2</v>
      </c>
      <c r="V2758">
        <v>-7.8513669999999994E-2</v>
      </c>
      <c r="W2758">
        <v>0.25483719999999999</v>
      </c>
      <c r="X2758">
        <v>0.96379130000000002</v>
      </c>
      <c r="Y2758">
        <v>-2.4717510000000002E-2</v>
      </c>
      <c r="Z2758">
        <v>-5.6558770000000001E-4</v>
      </c>
      <c r="AA2758">
        <v>0.99969430000000004</v>
      </c>
      <c r="AB2758">
        <v>55</v>
      </c>
      <c r="AC2758">
        <v>-23.3232999999999</v>
      </c>
      <c r="AD2758">
        <v>-1.1095077204499999</v>
      </c>
      <c r="AE2758">
        <v>-0.74070000000000302</v>
      </c>
      <c r="AF2758">
        <v>-0.58955909814697804</v>
      </c>
      <c r="AG2758">
        <v>-1.1095077204499999</v>
      </c>
      <c r="AH2758">
        <v>23.274958397503799</v>
      </c>
      <c r="AI2758">
        <v>92.728326482392902</v>
      </c>
      <c r="AJ2758">
        <v>91.451002654321798</v>
      </c>
      <c r="AK2758">
        <v>23.3088454393923</v>
      </c>
      <c r="AL2758">
        <v>75.236061785860201</v>
      </c>
      <c r="AM2758">
        <v>94.657222220701001</v>
      </c>
      <c r="AN2758">
        <v>1.0000000324181899</v>
      </c>
    </row>
    <row r="2759" spans="1:40" x14ac:dyDescent="0.25">
      <c r="A2759" t="str">
        <f>"20190304164142473"</f>
        <v>20190304164142473</v>
      </c>
      <c r="B2759" t="str">
        <f>"1551688902464157"</f>
        <v>1551688902464157</v>
      </c>
      <c r="C2759" t="s">
        <v>40</v>
      </c>
      <c r="D2759">
        <v>4.5867599999999999</v>
      </c>
      <c r="E2759">
        <v>0.5268465</v>
      </c>
      <c r="F2759" t="s">
        <v>45</v>
      </c>
      <c r="G2759">
        <v>-486.4606</v>
      </c>
      <c r="H2759" s="1">
        <v>3.2369120000000002E-6</v>
      </c>
      <c r="I2759">
        <v>283.30270000000002</v>
      </c>
      <c r="J2759">
        <v>-463.9264</v>
      </c>
      <c r="K2759">
        <v>1.109497</v>
      </c>
      <c r="L2759">
        <v>284.04770000000002</v>
      </c>
      <c r="M2759">
        <v>-0.99986120000000001</v>
      </c>
      <c r="N2759">
        <v>-1.5415699999999999E-2</v>
      </c>
      <c r="O2759">
        <v>-6.3152119999999997E-3</v>
      </c>
      <c r="P2759">
        <v>-0.96681919999999999</v>
      </c>
      <c r="Q2759">
        <v>0.2407378</v>
      </c>
      <c r="R2759">
        <v>-8.5476380000000005E-2</v>
      </c>
      <c r="S2759">
        <v>-3.1305239999999999</v>
      </c>
      <c r="T2759">
        <v>-0.15044689999999999</v>
      </c>
      <c r="U2759">
        <v>-0.10150149999999999</v>
      </c>
      <c r="V2759">
        <v>-7.9294450000000002E-2</v>
      </c>
      <c r="W2759">
        <v>0.25564439999999999</v>
      </c>
      <c r="X2759">
        <v>0.96351359999999997</v>
      </c>
      <c r="Y2759">
        <v>-2.6056490000000002E-2</v>
      </c>
      <c r="Z2759">
        <v>-6.2070980000000005E-4</v>
      </c>
      <c r="AA2759">
        <v>0.99966029999999995</v>
      </c>
      <c r="AB2759">
        <v>55</v>
      </c>
      <c r="AC2759">
        <v>-22.534199999999998</v>
      </c>
      <c r="AD2759">
        <v>-1.109493763088</v>
      </c>
      <c r="AE2759">
        <v>-0.74500000000000399</v>
      </c>
      <c r="AF2759">
        <v>-0.60120413607205403</v>
      </c>
      <c r="AG2759">
        <v>-1.109493763088</v>
      </c>
      <c r="AH2759">
        <v>22.484010077896301</v>
      </c>
      <c r="AI2759">
        <v>92.824012682421099</v>
      </c>
      <c r="AJ2759">
        <v>91.531677555142807</v>
      </c>
      <c r="AK2759">
        <v>22.519394574599598</v>
      </c>
      <c r="AL2759">
        <v>75.188228734404802</v>
      </c>
      <c r="AM2759">
        <v>94.704678743297606</v>
      </c>
      <c r="AN2759">
        <v>1.00000006321855</v>
      </c>
    </row>
    <row r="2760" spans="1:40" x14ac:dyDescent="0.25">
      <c r="A2760" t="str">
        <f>"20190304164142496"</f>
        <v>20190304164142496</v>
      </c>
      <c r="B2760" t="str">
        <f>"1551688902483677"</f>
        <v>1551688902483677</v>
      </c>
      <c r="C2760" t="s">
        <v>40</v>
      </c>
      <c r="D2760">
        <v>4.5506989999999998</v>
      </c>
      <c r="E2760">
        <v>0.52669860000000002</v>
      </c>
      <c r="F2760" t="s">
        <v>45</v>
      </c>
      <c r="G2760">
        <v>-486.8802</v>
      </c>
      <c r="H2760" s="1">
        <v>3.309393E-6</v>
      </c>
      <c r="I2760">
        <v>283.28050000000002</v>
      </c>
      <c r="J2760">
        <v>-464.48250000000002</v>
      </c>
      <c r="K2760">
        <v>1.109499</v>
      </c>
      <c r="L2760">
        <v>284.04430000000002</v>
      </c>
      <c r="M2760">
        <v>-0.99986200000000003</v>
      </c>
      <c r="N2760">
        <v>-1.5411940000000001E-2</v>
      </c>
      <c r="O2760">
        <v>-6.20245E-3</v>
      </c>
      <c r="P2760">
        <v>-0.96628080000000005</v>
      </c>
      <c r="Q2760">
        <v>0.24298729999999999</v>
      </c>
      <c r="R2760">
        <v>-8.519641E-2</v>
      </c>
      <c r="S2760">
        <v>-3.1314389999999999</v>
      </c>
      <c r="T2760">
        <v>-0.1513612</v>
      </c>
      <c r="U2760">
        <v>-0.1046753</v>
      </c>
      <c r="V2760">
        <v>-7.9120309999999999E-2</v>
      </c>
      <c r="W2760">
        <v>0.25788369999999999</v>
      </c>
      <c r="X2760">
        <v>0.96293090000000003</v>
      </c>
      <c r="Y2760">
        <v>-2.7169740000000001E-2</v>
      </c>
      <c r="Z2760">
        <v>-6.6167509999999995E-4</v>
      </c>
      <c r="AA2760">
        <v>0.99963060000000004</v>
      </c>
      <c r="AB2760">
        <v>55</v>
      </c>
      <c r="AC2760">
        <v>-22.397699999999901</v>
      </c>
      <c r="AD2760">
        <v>-1.1094956906069999</v>
      </c>
      <c r="AE2760">
        <v>-0.76380000000000303</v>
      </c>
      <c r="AF2760">
        <v>-0.62332044419524602</v>
      </c>
      <c r="AG2760">
        <v>-1.1094956906069999</v>
      </c>
      <c r="AH2760">
        <v>22.3472344556126</v>
      </c>
      <c r="AI2760">
        <v>92.841184367997201</v>
      </c>
      <c r="AJ2760">
        <v>91.597708812151794</v>
      </c>
      <c r="AK2760">
        <v>22.383440237768301</v>
      </c>
      <c r="AL2760">
        <v>75.055474211294396</v>
      </c>
      <c r="AM2760">
        <v>94.697220957562394</v>
      </c>
      <c r="AN2760">
        <v>0.99999997217749703</v>
      </c>
    </row>
    <row r="2761" spans="1:40" x14ac:dyDescent="0.25">
      <c r="A2761" t="str">
        <f>"20190304164142518"</f>
        <v>20190304164142518</v>
      </c>
      <c r="B2761" t="str">
        <f>"1551688902513933"</f>
        <v>1551688902513933</v>
      </c>
      <c r="C2761" t="s">
        <v>40</v>
      </c>
      <c r="D2761">
        <v>4.6137569999999997</v>
      </c>
      <c r="E2761">
        <v>0.52668340000000002</v>
      </c>
      <c r="F2761" t="s">
        <v>45</v>
      </c>
      <c r="G2761">
        <v>-488.09989999999999</v>
      </c>
      <c r="H2761" s="1">
        <v>3.5228139999999999E-6</v>
      </c>
      <c r="I2761">
        <v>283.24669999999998</v>
      </c>
      <c r="J2761">
        <v>-465.03800000000001</v>
      </c>
      <c r="K2761">
        <v>1.109507</v>
      </c>
      <c r="L2761">
        <v>284.04079999999999</v>
      </c>
      <c r="M2761">
        <v>-0.99986280000000005</v>
      </c>
      <c r="N2761">
        <v>-1.5408160000000001E-2</v>
      </c>
      <c r="O2761">
        <v>-6.0891359999999898E-3</v>
      </c>
      <c r="P2761">
        <v>-0.96573759999999997</v>
      </c>
      <c r="Q2761">
        <v>0.24498890000000001</v>
      </c>
      <c r="R2761">
        <v>-8.5623669999999999E-2</v>
      </c>
      <c r="S2761">
        <v>-3.1323850000000002</v>
      </c>
      <c r="T2761">
        <v>-0.14715249999999999</v>
      </c>
      <c r="U2761">
        <v>-0.1057739</v>
      </c>
      <c r="V2761">
        <v>-7.9653429999999997E-2</v>
      </c>
      <c r="W2761">
        <v>0.25987480000000002</v>
      </c>
      <c r="X2761">
        <v>0.96235150000000003</v>
      </c>
      <c r="Y2761">
        <v>-2.7624200000000002E-2</v>
      </c>
      <c r="Z2761">
        <v>-6.6933059999999998E-4</v>
      </c>
      <c r="AA2761">
        <v>0.99961820000000001</v>
      </c>
      <c r="AB2761">
        <v>55</v>
      </c>
      <c r="AC2761">
        <v>-23.061899999999898</v>
      </c>
      <c r="AD2761">
        <v>-1.109503477186</v>
      </c>
      <c r="AE2761">
        <v>-0.79410000000001402</v>
      </c>
      <c r="AF2761">
        <v>-0.65213395310268196</v>
      </c>
      <c r="AG2761">
        <v>-1.109503477186</v>
      </c>
      <c r="AH2761">
        <v>23.0131063323348</v>
      </c>
      <c r="AI2761">
        <v>92.759090038720799</v>
      </c>
      <c r="AJ2761">
        <v>91.623184895352495</v>
      </c>
      <c r="AK2761">
        <v>23.049063749359199</v>
      </c>
      <c r="AL2761">
        <v>74.937366571943201</v>
      </c>
      <c r="AM2761">
        <v>94.731562305564097</v>
      </c>
      <c r="AN2761">
        <v>0.99999999506902704</v>
      </c>
    </row>
    <row r="2762" spans="1:40" x14ac:dyDescent="0.25">
      <c r="A2762" t="str">
        <f>"20190304164142540"</f>
        <v>20190304164142540</v>
      </c>
      <c r="B2762" t="str">
        <f>"1551688902533453"</f>
        <v>1551688902533453</v>
      </c>
      <c r="C2762" t="s">
        <v>40</v>
      </c>
      <c r="D2762">
        <v>4.6270829999999998</v>
      </c>
      <c r="E2762">
        <v>0.52674430000000005</v>
      </c>
      <c r="F2762" t="s">
        <v>45</v>
      </c>
      <c r="G2762">
        <v>-488.7235</v>
      </c>
      <c r="H2762" s="1">
        <v>3.632525E-6</v>
      </c>
      <c r="I2762">
        <v>283.2364</v>
      </c>
      <c r="J2762">
        <v>-465.58089999999999</v>
      </c>
      <c r="K2762">
        <v>1.1095109999999999</v>
      </c>
      <c r="L2762">
        <v>284.0376</v>
      </c>
      <c r="M2762">
        <v>-0.99986339999999996</v>
      </c>
      <c r="N2762">
        <v>-1.5404549999999999E-2</v>
      </c>
      <c r="O2762">
        <v>-5.9823219999999896E-3</v>
      </c>
      <c r="P2762">
        <v>-0.96550910000000001</v>
      </c>
      <c r="Q2762">
        <v>0.24532889999999999</v>
      </c>
      <c r="R2762">
        <v>-8.7211670000000005E-2</v>
      </c>
      <c r="S2762">
        <v>-3.134277</v>
      </c>
      <c r="T2762">
        <v>-0.14681939999999999</v>
      </c>
      <c r="U2762">
        <v>-0.10644530000000001</v>
      </c>
      <c r="V2762">
        <v>-8.1342670000000006E-2</v>
      </c>
      <c r="W2762">
        <v>0.26020949999999998</v>
      </c>
      <c r="X2762">
        <v>0.96211970000000002</v>
      </c>
      <c r="Y2762">
        <v>-2.79242E-2</v>
      </c>
      <c r="Z2762">
        <v>-6.8090789999999902E-4</v>
      </c>
      <c r="AA2762">
        <v>0.99960979999999999</v>
      </c>
      <c r="AB2762">
        <v>55</v>
      </c>
      <c r="AC2762">
        <v>-23.142600000000002</v>
      </c>
      <c r="AD2762">
        <v>-1.109507367475</v>
      </c>
      <c r="AE2762">
        <v>-0.80119999999999403</v>
      </c>
      <c r="AF2762">
        <v>-0.66120480810898197</v>
      </c>
      <c r="AG2762">
        <v>-1.109507367475</v>
      </c>
      <c r="AH2762">
        <v>23.093962488235899</v>
      </c>
      <c r="AI2762">
        <v>92.7494315011282</v>
      </c>
      <c r="AJ2762">
        <v>91.639991330510398</v>
      </c>
      <c r="AK2762">
        <v>23.130051919630301</v>
      </c>
      <c r="AL2762">
        <v>74.917505974467403</v>
      </c>
      <c r="AM2762">
        <v>94.832594720249404</v>
      </c>
      <c r="AN2762">
        <v>0.99999996549053305</v>
      </c>
    </row>
    <row r="2763" spans="1:40" x14ac:dyDescent="0.25">
      <c r="A2763" t="str">
        <f>"20190304164142563"</f>
        <v>20190304164142563</v>
      </c>
      <c r="B2763" t="str">
        <f>"1551688902553949"</f>
        <v>1551688902553949</v>
      </c>
      <c r="C2763" t="s">
        <v>40</v>
      </c>
      <c r="D2763">
        <v>4.6387320000000001</v>
      </c>
      <c r="E2763">
        <v>0.52678570000000002</v>
      </c>
      <c r="F2763" t="s">
        <v>45</v>
      </c>
      <c r="G2763">
        <v>-488.75</v>
      </c>
      <c r="H2763" s="1">
        <v>3.636285E-6</v>
      </c>
      <c r="I2763">
        <v>283.22579999999999</v>
      </c>
      <c r="J2763">
        <v>-466.1309</v>
      </c>
      <c r="K2763">
        <v>1.10951</v>
      </c>
      <c r="L2763">
        <v>284.03440000000001</v>
      </c>
      <c r="M2763">
        <v>-0.99986410000000003</v>
      </c>
      <c r="N2763">
        <v>-1.540091E-2</v>
      </c>
      <c r="O2763">
        <v>-5.880924E-3</v>
      </c>
      <c r="P2763">
        <v>-0.96571079999999998</v>
      </c>
      <c r="Q2763">
        <v>0.24400369999999999</v>
      </c>
      <c r="R2763">
        <v>-8.8683999999999999E-2</v>
      </c>
      <c r="S2763">
        <v>-3.1354060000000001</v>
      </c>
      <c r="T2763">
        <v>-0.15014669999999999</v>
      </c>
      <c r="U2763">
        <v>-0.1098633</v>
      </c>
      <c r="V2763">
        <v>-8.291047E-2</v>
      </c>
      <c r="W2763">
        <v>0.25888509999999998</v>
      </c>
      <c r="X2763">
        <v>0.96234319999999896</v>
      </c>
      <c r="Y2763">
        <v>-2.9098510000000001E-2</v>
      </c>
      <c r="Z2763">
        <v>-7.2958840000000001E-4</v>
      </c>
      <c r="AA2763">
        <v>0.99957629999999997</v>
      </c>
      <c r="AB2763">
        <v>55</v>
      </c>
      <c r="AC2763">
        <v>-22.6191</v>
      </c>
      <c r="AD2763">
        <v>-1.109506363715</v>
      </c>
      <c r="AE2763">
        <v>-0.80860000000001198</v>
      </c>
      <c r="AF2763">
        <v>-0.67392957208929705</v>
      </c>
      <c r="AG2763">
        <v>-1.109506363715</v>
      </c>
      <c r="AH2763">
        <v>22.569230712026801</v>
      </c>
      <c r="AI2763">
        <v>92.813150463066805</v>
      </c>
      <c r="AJ2763">
        <v>91.710375078656995</v>
      </c>
      <c r="AK2763">
        <v>22.6065335770868</v>
      </c>
      <c r="AL2763">
        <v>74.996082369327596</v>
      </c>
      <c r="AM2763">
        <v>94.924146099734003</v>
      </c>
      <c r="AN2763">
        <v>1.00000003781193</v>
      </c>
    </row>
    <row r="2764" spans="1:40" x14ac:dyDescent="0.25">
      <c r="A2764" t="str">
        <f>"20190304164142586"</f>
        <v>20190304164142586</v>
      </c>
      <c r="B2764" t="str">
        <f>"1551688902573469"</f>
        <v>1551688902573469</v>
      </c>
      <c r="C2764" t="s">
        <v>40</v>
      </c>
      <c r="D2764">
        <v>4.6371000000000002</v>
      </c>
      <c r="E2764">
        <v>0.52678559999999996</v>
      </c>
      <c r="F2764" t="s">
        <v>45</v>
      </c>
      <c r="G2764">
        <v>-488.22809999999998</v>
      </c>
      <c r="H2764" s="1">
        <v>3.5442599999999998E-6</v>
      </c>
      <c r="I2764">
        <v>283.23200000000003</v>
      </c>
      <c r="J2764">
        <v>-466.67219999999998</v>
      </c>
      <c r="K2764">
        <v>1.1094949999999999</v>
      </c>
      <c r="L2764">
        <v>284.03120000000001</v>
      </c>
      <c r="M2764">
        <v>-0.9998648</v>
      </c>
      <c r="N2764">
        <v>-1.5397299999999999E-2</v>
      </c>
      <c r="O2764">
        <v>-5.7871909999999997E-3</v>
      </c>
      <c r="P2764">
        <v>-0.96564660000000002</v>
      </c>
      <c r="Q2764">
        <v>0.24358489999999999</v>
      </c>
      <c r="R2764">
        <v>-9.0516460000000007E-2</v>
      </c>
      <c r="S2764">
        <v>-3.1358640000000002</v>
      </c>
      <c r="T2764">
        <v>-0.1574527</v>
      </c>
      <c r="U2764">
        <v>-0.11386110000000001</v>
      </c>
      <c r="V2764">
        <v>-8.4833339999999993E-2</v>
      </c>
      <c r="W2764">
        <v>0.25846229999999998</v>
      </c>
      <c r="X2764">
        <v>0.96228919999999996</v>
      </c>
      <c r="Y2764">
        <v>-3.0454149999999999E-2</v>
      </c>
      <c r="Z2764">
        <v>-7.9732070000000004E-4</v>
      </c>
      <c r="AA2764">
        <v>0.99953590000000003</v>
      </c>
      <c r="AB2764">
        <v>55</v>
      </c>
      <c r="AC2764">
        <v>-21.555900000000001</v>
      </c>
      <c r="AD2764">
        <v>-1.10949145574</v>
      </c>
      <c r="AE2764">
        <v>-0.79919999999998403</v>
      </c>
      <c r="AF2764">
        <v>-0.672644198202343</v>
      </c>
      <c r="AG2764">
        <v>-1.10949145574</v>
      </c>
      <c r="AH2764">
        <v>21.503276219220599</v>
      </c>
      <c r="AI2764">
        <v>92.952194823426495</v>
      </c>
      <c r="AJ2764">
        <v>91.791685614593703</v>
      </c>
      <c r="AK2764">
        <v>21.542384029346199</v>
      </c>
      <c r="AL2764">
        <v>75.021159684481802</v>
      </c>
      <c r="AM2764">
        <v>95.038047686564497</v>
      </c>
      <c r="AN2764">
        <v>0.99999998026674197</v>
      </c>
    </row>
    <row r="2765" spans="1:40" x14ac:dyDescent="0.25">
      <c r="A2765" t="str">
        <f>"20190304164142608"</f>
        <v>20190304164142608</v>
      </c>
      <c r="B2765" t="str">
        <f>"1551688902603725"</f>
        <v>1551688902603725</v>
      </c>
      <c r="C2765" t="s">
        <v>40</v>
      </c>
      <c r="D2765">
        <v>4.6608929999999997</v>
      </c>
      <c r="E2765">
        <v>0.52683930000000001</v>
      </c>
      <c r="F2765" t="s">
        <v>45</v>
      </c>
      <c r="G2765">
        <v>-488.09660000000002</v>
      </c>
      <c r="H2765" s="1">
        <v>3.5193400000000002E-6</v>
      </c>
      <c r="I2765">
        <v>283.21379999999999</v>
      </c>
      <c r="J2765">
        <v>-467.23599999999999</v>
      </c>
      <c r="K2765">
        <v>1.1094759999999999</v>
      </c>
      <c r="L2765">
        <v>284.02800000000002</v>
      </c>
      <c r="M2765">
        <v>-0.99986549999999996</v>
      </c>
      <c r="N2765">
        <v>-1.5393520000000001E-2</v>
      </c>
      <c r="O2765">
        <v>-5.695861E-3</v>
      </c>
      <c r="P2765">
        <v>-0.96532309999999999</v>
      </c>
      <c r="Q2765">
        <v>0.243785</v>
      </c>
      <c r="R2765">
        <v>-9.3383740000000007E-2</v>
      </c>
      <c r="S2765">
        <v>-3.1364749999999999</v>
      </c>
      <c r="T2765">
        <v>-0.1624265</v>
      </c>
      <c r="U2765">
        <v>-0.1196594</v>
      </c>
      <c r="V2765">
        <v>-8.7791069999999999E-2</v>
      </c>
      <c r="W2765">
        <v>0.25865490000000002</v>
      </c>
      <c r="X2765">
        <v>0.9619721</v>
      </c>
      <c r="Y2765">
        <v>-3.2377719999999999E-2</v>
      </c>
      <c r="Z2765">
        <v>-8.7998130000000005E-4</v>
      </c>
      <c r="AA2765">
        <v>0.99947529999999996</v>
      </c>
      <c r="AB2765">
        <v>55</v>
      </c>
      <c r="AC2765">
        <v>-20.860600000000002</v>
      </c>
      <c r="AD2765">
        <v>-1.10947248066</v>
      </c>
      <c r="AE2765">
        <v>-0.81420000000002801</v>
      </c>
      <c r="AF2765">
        <v>-0.69339526580786404</v>
      </c>
      <c r="AG2765">
        <v>-1.10947248066</v>
      </c>
      <c r="AH2765">
        <v>20.806135855032199</v>
      </c>
      <c r="AI2765">
        <v>93.050675549181804</v>
      </c>
      <c r="AJ2765">
        <v>91.908760188874396</v>
      </c>
      <c r="AK2765">
        <v>20.847230401135899</v>
      </c>
      <c r="AL2765">
        <v>75.009735986028403</v>
      </c>
      <c r="AM2765">
        <v>95.214457461867994</v>
      </c>
      <c r="AN2765">
        <v>0.99999997522208195</v>
      </c>
    </row>
    <row r="2766" spans="1:40" x14ac:dyDescent="0.25">
      <c r="A2766" t="str">
        <f>"20190304164142630"</f>
        <v>20190304164142630</v>
      </c>
      <c r="B2766" t="str">
        <f>"1551688902623244"</f>
        <v>1551688902623244</v>
      </c>
      <c r="C2766" t="s">
        <v>40</v>
      </c>
      <c r="D2766">
        <v>4.6569059999999904</v>
      </c>
      <c r="E2766">
        <v>0.52686719999999998</v>
      </c>
      <c r="F2766" t="s">
        <v>45</v>
      </c>
      <c r="G2766">
        <v>-488.06580000000002</v>
      </c>
      <c r="H2766" s="1">
        <v>3.5102049999999998E-6</v>
      </c>
      <c r="I2766">
        <v>283.17180000000002</v>
      </c>
      <c r="J2766">
        <v>-467.77449999999999</v>
      </c>
      <c r="K2766">
        <v>1.1094619999999999</v>
      </c>
      <c r="L2766">
        <v>284.02499999999998</v>
      </c>
      <c r="M2766">
        <v>-0.99986589999999997</v>
      </c>
      <c r="N2766">
        <v>-1.538989E-2</v>
      </c>
      <c r="O2766">
        <v>-5.6152959999999997E-3</v>
      </c>
      <c r="P2766">
        <v>-0.96467499999999995</v>
      </c>
      <c r="Q2766">
        <v>0.24461340000000001</v>
      </c>
      <c r="R2766">
        <v>-9.7809809999999997E-2</v>
      </c>
      <c r="S2766">
        <v>-3.1375120000000001</v>
      </c>
      <c r="T2766">
        <v>-0.1671154</v>
      </c>
      <c r="U2766">
        <v>-0.12896730000000001</v>
      </c>
      <c r="V2766">
        <v>-9.2299300000000001E-2</v>
      </c>
      <c r="W2766">
        <v>0.25947140000000002</v>
      </c>
      <c r="X2766">
        <v>0.96133009999999997</v>
      </c>
      <c r="Y2766">
        <v>-3.53978E-2</v>
      </c>
      <c r="Z2766">
        <v>-1.0020109999999999E-3</v>
      </c>
      <c r="AA2766">
        <v>0.99937279999999995</v>
      </c>
      <c r="AB2766">
        <v>55</v>
      </c>
      <c r="AC2766">
        <v>-20.2913</v>
      </c>
      <c r="AD2766">
        <v>-1.1094584897949999</v>
      </c>
      <c r="AE2766">
        <v>-0.85319999999995799</v>
      </c>
      <c r="AF2766">
        <v>-0.73703191748225705</v>
      </c>
      <c r="AG2766">
        <v>-1.1094584897949999</v>
      </c>
      <c r="AH2766">
        <v>20.2353841040856</v>
      </c>
      <c r="AI2766">
        <v>93.136175243481702</v>
      </c>
      <c r="AJ2766">
        <v>92.085957887967595</v>
      </c>
      <c r="AK2766">
        <v>20.279173652490002</v>
      </c>
      <c r="AL2766">
        <v>74.961301784264293</v>
      </c>
      <c r="AM2766">
        <v>95.484276110516802</v>
      </c>
      <c r="AN2766">
        <v>1.00000006468222</v>
      </c>
    </row>
    <row r="2767" spans="1:40" x14ac:dyDescent="0.25">
      <c r="A2767" t="str">
        <f>"20190304164142652"</f>
        <v>20190304164142652</v>
      </c>
      <c r="B2767" t="str">
        <f>"1551688902643741"</f>
        <v>1551688902643741</v>
      </c>
      <c r="C2767" t="s">
        <v>40</v>
      </c>
      <c r="D2767">
        <v>4.8089629999999897</v>
      </c>
      <c r="E2767">
        <v>0.49372909999999998</v>
      </c>
      <c r="F2767" t="s">
        <v>45</v>
      </c>
      <c r="G2767">
        <v>-488.4889</v>
      </c>
      <c r="H2767" s="1">
        <v>3.577822E-6</v>
      </c>
      <c r="I2767">
        <v>283.08679999999998</v>
      </c>
      <c r="J2767">
        <v>-468.31610000000001</v>
      </c>
      <c r="K2767">
        <v>1.109453</v>
      </c>
      <c r="L2767">
        <v>284.02190000000002</v>
      </c>
      <c r="M2767">
        <v>-0.99986629999999999</v>
      </c>
      <c r="N2767">
        <v>-1.5386220000000001E-2</v>
      </c>
      <c r="O2767">
        <v>-5.5469469999999896E-3</v>
      </c>
      <c r="P2767">
        <v>-0.96418760000000003</v>
      </c>
      <c r="Q2767">
        <v>0.24466969999999999</v>
      </c>
      <c r="R2767">
        <v>-0.102367</v>
      </c>
      <c r="S2767">
        <v>-3.1380620000000001</v>
      </c>
      <c r="T2767">
        <v>-0.1680739</v>
      </c>
      <c r="U2767">
        <v>-0.14212040000000001</v>
      </c>
      <c r="V2767">
        <v>-9.6929100000000004E-2</v>
      </c>
      <c r="W2767">
        <v>0.259517</v>
      </c>
      <c r="X2767">
        <v>0.96086190000000005</v>
      </c>
      <c r="Y2767">
        <v>-3.9631239999999998E-2</v>
      </c>
      <c r="Z2767">
        <v>-1.15391E-3</v>
      </c>
      <c r="AA2767">
        <v>0.99921369999999998</v>
      </c>
      <c r="AB2767">
        <v>55</v>
      </c>
      <c r="AC2767">
        <v>-20.172799999999899</v>
      </c>
      <c r="AD2767">
        <v>-1.109449422178</v>
      </c>
      <c r="AE2767">
        <v>-0.93510000000003402</v>
      </c>
      <c r="AF2767">
        <v>-0.82069787329559596</v>
      </c>
      <c r="AG2767">
        <v>-1.109449422178</v>
      </c>
      <c r="AH2767">
        <v>20.116959792629601</v>
      </c>
      <c r="AI2767">
        <v>93.154043586540695</v>
      </c>
      <c r="AJ2767">
        <v>92.336161316183507</v>
      </c>
      <c r="AK2767">
        <v>20.164238004890699</v>
      </c>
      <c r="AL2767">
        <v>74.958594770442602</v>
      </c>
      <c r="AM2767">
        <v>95.760353514625507</v>
      </c>
      <c r="AN2767">
        <v>0.99999995729370905</v>
      </c>
    </row>
    <row r="2768" spans="1:40" x14ac:dyDescent="0.25">
      <c r="A2768" t="str">
        <f>"20190304164142674"</f>
        <v>20190304164142674</v>
      </c>
      <c r="B2768" t="str">
        <f>"1551688902663956"</f>
        <v>1551688902663956</v>
      </c>
      <c r="C2768" t="s">
        <v>40</v>
      </c>
      <c r="D2768">
        <v>4.7167719999999997</v>
      </c>
      <c r="E2768">
        <v>0.48118480000000002</v>
      </c>
      <c r="F2768" t="s">
        <v>45</v>
      </c>
      <c r="G2768">
        <v>-484.8698</v>
      </c>
      <c r="H2768" s="1">
        <v>2.822618E-6</v>
      </c>
      <c r="I2768">
        <v>281.79140000000001</v>
      </c>
      <c r="J2768">
        <v>-468.86840000000001</v>
      </c>
      <c r="K2768">
        <v>1.1094569999999999</v>
      </c>
      <c r="L2768">
        <v>284.01889999999997</v>
      </c>
      <c r="M2768">
        <v>-0.99986660000000005</v>
      </c>
      <c r="N2768">
        <v>-1.538261E-2</v>
      </c>
      <c r="O2768">
        <v>-5.495748E-3</v>
      </c>
      <c r="P2768">
        <v>-0.96414920000000004</v>
      </c>
      <c r="Q2768">
        <v>0.243233</v>
      </c>
      <c r="R2768">
        <v>-0.106087</v>
      </c>
      <c r="S2768">
        <v>-3.1198429999999999</v>
      </c>
      <c r="T2768">
        <v>-0.20909539999999999</v>
      </c>
      <c r="U2768">
        <v>-0.42037960000000002</v>
      </c>
      <c r="V2768">
        <v>-0.1007055</v>
      </c>
      <c r="W2768">
        <v>0.25807540000000001</v>
      </c>
      <c r="X2768">
        <v>0.96086190000000005</v>
      </c>
      <c r="Y2768">
        <v>-0.1277479</v>
      </c>
      <c r="Z2768">
        <v>-4.9631659999999998E-3</v>
      </c>
      <c r="AA2768">
        <v>0.99179419999999996</v>
      </c>
      <c r="AB2768">
        <v>55</v>
      </c>
      <c r="AC2768">
        <v>-16.001399999999901</v>
      </c>
      <c r="AD2768">
        <v>-1.1094541773819999</v>
      </c>
      <c r="AE2768">
        <v>-2.2274999999999601</v>
      </c>
      <c r="AF2768">
        <v>-2.1294738378386802</v>
      </c>
      <c r="AG2768">
        <v>-1.1094541773819999</v>
      </c>
      <c r="AH2768">
        <v>15.938237911839201</v>
      </c>
      <c r="AI2768">
        <v>93.946951980363195</v>
      </c>
      <c r="AJ2768">
        <v>97.610097208846</v>
      </c>
      <c r="AK2768">
        <v>16.118094649558898</v>
      </c>
      <c r="AL2768">
        <v>75.044106989694001</v>
      </c>
      <c r="AM2768">
        <v>95.983181586260699</v>
      </c>
      <c r="AN2768">
        <v>1.0000000503435</v>
      </c>
    </row>
    <row r="2769" spans="1:40" x14ac:dyDescent="0.25">
      <c r="A2769" t="str">
        <f>"20190304164142698"</f>
        <v>20190304164142698</v>
      </c>
      <c r="B2769" t="str">
        <f>"1551688902683476"</f>
        <v>1551688902683476</v>
      </c>
      <c r="C2769" t="s">
        <v>40</v>
      </c>
      <c r="D2769">
        <v>4.6750600000000002</v>
      </c>
      <c r="E2769">
        <v>0.47687299999999999</v>
      </c>
      <c r="F2769" t="s">
        <v>45</v>
      </c>
      <c r="G2769">
        <v>-486.036</v>
      </c>
      <c r="H2769" s="1">
        <v>2.9683730000000001E-6</v>
      </c>
      <c r="I2769">
        <v>281.0924</v>
      </c>
      <c r="J2769">
        <v>-469.42140000000001</v>
      </c>
      <c r="K2769">
        <v>1.109486</v>
      </c>
      <c r="L2769">
        <v>284.01580000000001</v>
      </c>
      <c r="M2769">
        <v>-0.9998667</v>
      </c>
      <c r="N2769">
        <v>-1.537906E-2</v>
      </c>
      <c r="O2769">
        <v>-5.4915939999999998E-3</v>
      </c>
      <c r="P2769">
        <v>-0.96385560000000003</v>
      </c>
      <c r="Q2769">
        <v>0.24316399999999999</v>
      </c>
      <c r="R2769">
        <v>-0.1088742</v>
      </c>
      <c r="S2769">
        <v>-3.1039729999999999</v>
      </c>
      <c r="T2769">
        <v>-0.2005941</v>
      </c>
      <c r="U2769">
        <v>-0.52911379999999997</v>
      </c>
      <c r="V2769">
        <v>-0.103516899999999</v>
      </c>
      <c r="W2769">
        <v>0.25799290000000002</v>
      </c>
      <c r="X2769">
        <v>0.96058520000000003</v>
      </c>
      <c r="Y2769">
        <v>-0.16222020000000001</v>
      </c>
      <c r="Z2769">
        <v>-6.1887189999999996E-3</v>
      </c>
      <c r="AA2769">
        <v>0.98673520000000003</v>
      </c>
      <c r="AB2769">
        <v>55</v>
      </c>
      <c r="AC2769">
        <v>-16.6145999999999</v>
      </c>
      <c r="AD2769">
        <v>-1.1094830316269999</v>
      </c>
      <c r="AE2769">
        <v>-2.9234000000000102</v>
      </c>
      <c r="AF2769">
        <v>-2.81990743506051</v>
      </c>
      <c r="AG2769">
        <v>-1.1094830316269999</v>
      </c>
      <c r="AH2769">
        <v>16.5587831319854</v>
      </c>
      <c r="AI2769">
        <v>93.778997352615605</v>
      </c>
      <c r="AJ2769">
        <v>99.664571083523398</v>
      </c>
      <c r="AK2769">
        <v>16.833779413782999</v>
      </c>
      <c r="AL2769">
        <v>75.048998892434199</v>
      </c>
      <c r="AM2769">
        <v>96.150709581122101</v>
      </c>
      <c r="AN2769">
        <v>1.00000000574752</v>
      </c>
    </row>
    <row r="2770" spans="1:40" x14ac:dyDescent="0.25">
      <c r="A2770" t="str">
        <f>"20190304164142720"</f>
        <v>20190304164142720</v>
      </c>
      <c r="B2770" t="str">
        <f>"1551688902713732"</f>
        <v>1551688902713732</v>
      </c>
      <c r="C2770" t="s">
        <v>40</v>
      </c>
      <c r="D2770">
        <v>4.702515</v>
      </c>
      <c r="E2770">
        <v>0.47413889999999997</v>
      </c>
      <c r="F2770" t="s">
        <v>45</v>
      </c>
      <c r="G2770">
        <v>-486.4092</v>
      </c>
      <c r="H2770" s="1">
        <v>3.01666E-6</v>
      </c>
      <c r="I2770">
        <v>280.88760000000002</v>
      </c>
      <c r="J2770">
        <v>-469.9794</v>
      </c>
      <c r="K2770">
        <v>1.109575</v>
      </c>
      <c r="L2770">
        <v>284.01260000000002</v>
      </c>
      <c r="M2770">
        <v>-0.99986609999999998</v>
      </c>
      <c r="N2770">
        <v>-1.5375369999999999E-2</v>
      </c>
      <c r="O2770">
        <v>-5.609714E-3</v>
      </c>
      <c r="P2770">
        <v>-0.96262879999999995</v>
      </c>
      <c r="Q2770">
        <v>0.24683389999999999</v>
      </c>
      <c r="R2770">
        <v>-0.11144220000000001</v>
      </c>
      <c r="S2770">
        <v>-3.099091</v>
      </c>
      <c r="T2770">
        <v>-0.20240279999999999</v>
      </c>
      <c r="U2770">
        <v>-0.57067869999999998</v>
      </c>
      <c r="V2770">
        <v>-0.10602200000000001</v>
      </c>
      <c r="W2770">
        <v>0.26162180000000002</v>
      </c>
      <c r="X2770">
        <v>0.95932969999999895</v>
      </c>
      <c r="Y2770">
        <v>-0.17513709999999999</v>
      </c>
      <c r="Z2770">
        <v>-6.747589E-3</v>
      </c>
      <c r="AA2770">
        <v>0.98452090000000003</v>
      </c>
      <c r="AB2770">
        <v>55</v>
      </c>
      <c r="AC2770">
        <v>-16.4298</v>
      </c>
      <c r="AD2770">
        <v>-1.10957198334</v>
      </c>
      <c r="AE2770">
        <v>-3.125</v>
      </c>
      <c r="AF2770">
        <v>-3.0194828364165001</v>
      </c>
      <c r="AG2770">
        <v>-1.10957198334</v>
      </c>
      <c r="AH2770">
        <v>16.374997365990598</v>
      </c>
      <c r="AI2770">
        <v>93.812366358664903</v>
      </c>
      <c r="AJ2770">
        <v>100.44774911316399</v>
      </c>
      <c r="AK2770">
        <v>16.687988654173601</v>
      </c>
      <c r="AL2770">
        <v>74.833685006435999</v>
      </c>
      <c r="AM2770">
        <v>96.306550432648805</v>
      </c>
      <c r="AN2770">
        <v>1.00000005201066</v>
      </c>
    </row>
    <row r="2771" spans="1:40" x14ac:dyDescent="0.25">
      <c r="A2771" t="str">
        <f>"20190304164142742"</f>
        <v>20190304164142742</v>
      </c>
      <c r="B2771" t="str">
        <f>"1551688902733252"</f>
        <v>1551688902733252</v>
      </c>
      <c r="C2771" t="s">
        <v>40</v>
      </c>
      <c r="D2771">
        <v>4.6694389999999997</v>
      </c>
      <c r="E2771">
        <v>0.473354</v>
      </c>
      <c r="F2771" t="s">
        <v>45</v>
      </c>
      <c r="G2771">
        <v>-487.41579999999999</v>
      </c>
      <c r="H2771" s="1">
        <v>3.1721990000000001E-6</v>
      </c>
      <c r="I2771">
        <v>280.62430000000001</v>
      </c>
      <c r="J2771">
        <v>-470.49930000000001</v>
      </c>
      <c r="K2771">
        <v>1.109721</v>
      </c>
      <c r="L2771">
        <v>284.0095</v>
      </c>
      <c r="M2771">
        <v>-0.99986450000000004</v>
      </c>
      <c r="N2771">
        <v>-1.53721E-2</v>
      </c>
      <c r="O2771">
        <v>-5.9205419999999896E-3</v>
      </c>
      <c r="P2771">
        <v>-0.96127399999999996</v>
      </c>
      <c r="Q2771">
        <v>0.25060359999999998</v>
      </c>
      <c r="R2771">
        <v>-0.1146773</v>
      </c>
      <c r="S2771">
        <v>-3.0973510000000002</v>
      </c>
      <c r="T2771">
        <v>-0.19710030000000001</v>
      </c>
      <c r="U2771">
        <v>-0.60189820000000005</v>
      </c>
      <c r="V2771">
        <v>-0.1090503</v>
      </c>
      <c r="W2771">
        <v>0.26533299999999999</v>
      </c>
      <c r="X2771">
        <v>0.95796999999999999</v>
      </c>
      <c r="Y2771">
        <v>-0.18449989999999999</v>
      </c>
      <c r="Z2771">
        <v>-6.9605309999999998E-3</v>
      </c>
      <c r="AA2771">
        <v>0.98280789999999996</v>
      </c>
      <c r="AB2771">
        <v>55</v>
      </c>
      <c r="AC2771">
        <v>-16.9164999999999</v>
      </c>
      <c r="AD2771">
        <v>-1.109717827801</v>
      </c>
      <c r="AE2771">
        <v>-3.38519999999999</v>
      </c>
      <c r="AF2771">
        <v>-3.2714379789260599</v>
      </c>
      <c r="AG2771">
        <v>-1.109717827801</v>
      </c>
      <c r="AH2771">
        <v>16.866460796122102</v>
      </c>
      <c r="AI2771">
        <v>93.695634494901</v>
      </c>
      <c r="AJ2771">
        <v>100.97685601020601</v>
      </c>
      <c r="AK2771">
        <v>17.216598964209599</v>
      </c>
      <c r="AL2771">
        <v>74.613260062120304</v>
      </c>
      <c r="AM2771">
        <v>96.494296683947198</v>
      </c>
      <c r="AN2771">
        <v>1.0000000448595401</v>
      </c>
    </row>
    <row r="2772" spans="1:40" x14ac:dyDescent="0.25">
      <c r="A2772" t="str">
        <f>"20190304164142764"</f>
        <v>20190304164142764</v>
      </c>
      <c r="B2772" t="str">
        <f>"1551688902753748"</f>
        <v>1551688902753748</v>
      </c>
      <c r="C2772" t="s">
        <v>40</v>
      </c>
      <c r="D2772">
        <v>4.6639520000000001</v>
      </c>
      <c r="E2772">
        <v>0.4728812</v>
      </c>
      <c r="F2772" t="s">
        <v>45</v>
      </c>
      <c r="G2772">
        <v>-488.73680000000002</v>
      </c>
      <c r="H2772" s="1">
        <v>3.3832550000000001E-6</v>
      </c>
      <c r="I2772">
        <v>280.35829999999999</v>
      </c>
      <c r="J2772">
        <v>-471.04199999999997</v>
      </c>
      <c r="K2772">
        <v>1.1099870000000001</v>
      </c>
      <c r="L2772">
        <v>284.00580000000002</v>
      </c>
      <c r="M2772">
        <v>-0.99985869999999999</v>
      </c>
      <c r="N2772">
        <v>-1.5487239999999999E-2</v>
      </c>
      <c r="O2772">
        <v>-6.5455060000000004E-3</v>
      </c>
      <c r="P2772">
        <v>-0.9605726</v>
      </c>
      <c r="Q2772">
        <v>0.25213469999999999</v>
      </c>
      <c r="R2772">
        <v>-0.1171692</v>
      </c>
      <c r="S2772">
        <v>-3.0960390000000002</v>
      </c>
      <c r="T2772">
        <v>-0.1883889</v>
      </c>
      <c r="U2772">
        <v>-0.61984249999999996</v>
      </c>
      <c r="V2772">
        <v>-0.1110903</v>
      </c>
      <c r="W2772">
        <v>0.266905</v>
      </c>
      <c r="X2772">
        <v>0.9572986</v>
      </c>
      <c r="Y2772">
        <v>-0.1894672</v>
      </c>
      <c r="Z2772">
        <v>-6.8923309999999998E-3</v>
      </c>
      <c r="AA2772">
        <v>0.98186280000000004</v>
      </c>
      <c r="AB2772">
        <v>55</v>
      </c>
      <c r="AC2772">
        <v>-17.694800000000001</v>
      </c>
      <c r="AD2772">
        <v>-1.1099836167449999</v>
      </c>
      <c r="AE2772">
        <v>-3.6475000000000302</v>
      </c>
      <c r="AF2772">
        <v>-3.5183063862725898</v>
      </c>
      <c r="AG2772">
        <v>-1.1099836167449999</v>
      </c>
      <c r="AH2772">
        <v>17.6516706832826</v>
      </c>
      <c r="AI2772">
        <v>93.528936788858104</v>
      </c>
      <c r="AJ2772">
        <v>101.27238811160299</v>
      </c>
      <c r="AK2772">
        <v>18.033081305428301</v>
      </c>
      <c r="AL2772">
        <v>74.519820557962603</v>
      </c>
      <c r="AM2772">
        <v>96.619316448443797</v>
      </c>
      <c r="AN2772">
        <v>0.99999997167052401</v>
      </c>
    </row>
    <row r="2773" spans="1:40" x14ac:dyDescent="0.25">
      <c r="A2773" t="str">
        <f>"20190304164142786"</f>
        <v>20190304164142786</v>
      </c>
      <c r="B2773" t="str">
        <f>"1551688902773240"</f>
        <v>1551688902773240</v>
      </c>
      <c r="C2773" t="s">
        <v>40</v>
      </c>
      <c r="D2773">
        <v>4.6928089999999996</v>
      </c>
      <c r="E2773">
        <v>0.47251379999999998</v>
      </c>
      <c r="F2773" t="s">
        <v>45</v>
      </c>
      <c r="G2773">
        <v>-489.3793</v>
      </c>
      <c r="H2773" s="1">
        <v>3.4892559999999998E-6</v>
      </c>
      <c r="I2773">
        <v>280.26710000000003</v>
      </c>
      <c r="J2773">
        <v>-471.59309999999999</v>
      </c>
      <c r="K2773">
        <v>1.1104050000000001</v>
      </c>
      <c r="L2773">
        <v>284.00150000000002</v>
      </c>
      <c r="M2773">
        <v>-0.99984649999999997</v>
      </c>
      <c r="N2773">
        <v>-1.581509E-2</v>
      </c>
      <c r="O2773">
        <v>-7.5446439999999997E-3</v>
      </c>
      <c r="P2773">
        <v>-0.95906570000000002</v>
      </c>
      <c r="Q2773">
        <v>0.25596039999999998</v>
      </c>
      <c r="R2773">
        <v>-0.12115190000000001</v>
      </c>
      <c r="S2773">
        <v>-3.0953369999999998</v>
      </c>
      <c r="T2773">
        <v>-0.18736520000000001</v>
      </c>
      <c r="U2773">
        <v>-0.63110350000000004</v>
      </c>
      <c r="V2773">
        <v>-0.1143303</v>
      </c>
      <c r="W2773">
        <v>0.27093420000000001</v>
      </c>
      <c r="X2773">
        <v>0.95578410000000003</v>
      </c>
      <c r="Y2773">
        <v>-0.19195789999999999</v>
      </c>
      <c r="Z2773">
        <v>-6.9471630000000001E-3</v>
      </c>
      <c r="AA2773">
        <v>0.98137859999999999</v>
      </c>
      <c r="AB2773">
        <v>55</v>
      </c>
      <c r="AC2773">
        <v>-17.786200000000001</v>
      </c>
      <c r="AD2773">
        <v>-1.110401510744</v>
      </c>
      <c r="AE2773">
        <v>-3.7343999999999902</v>
      </c>
      <c r="AF2773">
        <v>-3.58669720230714</v>
      </c>
      <c r="AG2773">
        <v>-1.110401510744</v>
      </c>
      <c r="AH2773">
        <v>17.747619948295899</v>
      </c>
      <c r="AI2773">
        <v>93.509348871187001</v>
      </c>
      <c r="AJ2773">
        <v>101.425278805061</v>
      </c>
      <c r="AK2773">
        <v>18.1404355561064</v>
      </c>
      <c r="AL2773">
        <v>74.280135284311299</v>
      </c>
      <c r="AM2773">
        <v>96.821274016116604</v>
      </c>
      <c r="AN2773">
        <v>1.00000000202027</v>
      </c>
    </row>
    <row r="2774" spans="1:40" x14ac:dyDescent="0.25">
      <c r="A2774" t="str">
        <f>"20190304164142802"</f>
        <v>20190304164142802</v>
      </c>
      <c r="B2774" t="str">
        <f>"1551688902793737"</f>
        <v>1551688902793737</v>
      </c>
      <c r="C2774" t="s">
        <v>40</v>
      </c>
      <c r="D2774">
        <v>4.6783080000000004</v>
      </c>
      <c r="E2774">
        <v>0.47230810000000001</v>
      </c>
      <c r="F2774" t="s">
        <v>45</v>
      </c>
      <c r="G2774">
        <v>-490.7312</v>
      </c>
      <c r="H2774" s="1">
        <v>3.4327039999999999E-6</v>
      </c>
      <c r="I2774">
        <v>280.01580000000001</v>
      </c>
      <c r="J2774">
        <v>-471.98500000000001</v>
      </c>
      <c r="K2774">
        <v>1.1107469999999999</v>
      </c>
      <c r="L2774">
        <v>283.99799999999999</v>
      </c>
      <c r="M2774">
        <v>-0.99983390000000005</v>
      </c>
      <c r="N2774">
        <v>-1.6152670000000001E-2</v>
      </c>
      <c r="O2774">
        <v>-8.4388280000000006E-3</v>
      </c>
      <c r="P2774">
        <v>-0.95812079999999999</v>
      </c>
      <c r="Q2774">
        <v>0.2582256</v>
      </c>
      <c r="R2774">
        <v>-0.1237911</v>
      </c>
      <c r="S2774">
        <v>-3.0945740000000002</v>
      </c>
      <c r="T2774">
        <v>-0.1795484</v>
      </c>
      <c r="U2774">
        <v>-0.64447019999999899</v>
      </c>
      <c r="V2774">
        <v>-0.11628529999999999</v>
      </c>
      <c r="W2774">
        <v>0.27343659999999997</v>
      </c>
      <c r="X2774">
        <v>0.95483510000000005</v>
      </c>
      <c r="Y2774">
        <v>-0.19521540000000001</v>
      </c>
      <c r="Z2774">
        <v>-6.844574E-3</v>
      </c>
      <c r="AA2774">
        <v>0.98073650000000001</v>
      </c>
      <c r="AB2774">
        <v>54</v>
      </c>
      <c r="AC2774">
        <v>-18.746199999999899</v>
      </c>
      <c r="AD2774">
        <v>-1.110743567296</v>
      </c>
      <c r="AE2774">
        <v>-3.98219999999997</v>
      </c>
      <c r="AF2774">
        <v>-3.8110396104184598</v>
      </c>
      <c r="AG2774">
        <v>-1.110743567296</v>
      </c>
      <c r="AH2774">
        <v>18.7162705561982</v>
      </c>
      <c r="AI2774">
        <v>93.328178433538497</v>
      </c>
      <c r="AJ2774">
        <v>101.509322140989</v>
      </c>
      <c r="AK2774">
        <v>19.132604572228999</v>
      </c>
      <c r="AL2774">
        <v>74.131131917839795</v>
      </c>
      <c r="AM2774">
        <v>96.943614990457405</v>
      </c>
      <c r="AN2774">
        <v>0.99999995670382902</v>
      </c>
    </row>
    <row r="2775" spans="1:40" x14ac:dyDescent="0.25">
      <c r="A2775" t="str">
        <f>"20190304164142817"</f>
        <v>20190304164142817</v>
      </c>
      <c r="B2775" t="str">
        <f>"1551688902803497"</f>
        <v>1551688902803497</v>
      </c>
      <c r="C2775" t="s">
        <v>40</v>
      </c>
      <c r="D2775">
        <v>4.7026820000000003</v>
      </c>
      <c r="E2775">
        <v>0.47223880000000001</v>
      </c>
      <c r="F2775" t="s">
        <v>45</v>
      </c>
      <c r="G2775">
        <v>-491.43630000000002</v>
      </c>
      <c r="H2775" s="1">
        <v>3.2964560000000002E-6</v>
      </c>
      <c r="I2775">
        <v>279.8879</v>
      </c>
      <c r="J2775">
        <v>-472.33710000000002</v>
      </c>
      <c r="K2775">
        <v>1.1110930000000001</v>
      </c>
      <c r="L2775">
        <v>283.99430000000001</v>
      </c>
      <c r="M2775">
        <v>-0.99981889999999995</v>
      </c>
      <c r="N2775">
        <v>-1.6516090000000001E-2</v>
      </c>
      <c r="O2775">
        <v>-9.4624900000000005E-3</v>
      </c>
      <c r="P2775">
        <v>-0.95734660000000005</v>
      </c>
      <c r="Q2775">
        <v>0.2598587</v>
      </c>
      <c r="R2775">
        <v>-0.12633820000000001</v>
      </c>
      <c r="S2775">
        <v>-3.0942379999999998</v>
      </c>
      <c r="T2775">
        <v>-0.1766933</v>
      </c>
      <c r="U2775">
        <v>-0.65380859999999996</v>
      </c>
      <c r="V2775">
        <v>-0.1180263</v>
      </c>
      <c r="W2775">
        <v>0.27533180000000002</v>
      </c>
      <c r="X2775">
        <v>0.95407660000000005</v>
      </c>
      <c r="Y2775">
        <v>-0.19707340000000001</v>
      </c>
      <c r="Z2775">
        <v>-6.8286469999999898E-3</v>
      </c>
      <c r="AA2775">
        <v>0.98036500000000004</v>
      </c>
      <c r="AB2775">
        <v>54</v>
      </c>
      <c r="AC2775">
        <v>-19.0992</v>
      </c>
      <c r="AD2775">
        <v>-1.1110897035439999</v>
      </c>
      <c r="AE2775">
        <v>-4.1063999999999998</v>
      </c>
      <c r="AF2775">
        <v>-3.91280847711147</v>
      </c>
      <c r="AG2775">
        <v>-1.1110897035439999</v>
      </c>
      <c r="AH2775">
        <v>19.075502075518301</v>
      </c>
      <c r="AI2775">
        <v>93.265694965303297</v>
      </c>
      <c r="AJ2775">
        <v>101.591843866064</v>
      </c>
      <c r="AK2775">
        <v>19.504342335515499</v>
      </c>
      <c r="AL2775">
        <v>74.018211476767206</v>
      </c>
      <c r="AM2775">
        <v>97.052081548660894</v>
      </c>
      <c r="AN2775">
        <v>0.99999998312524396</v>
      </c>
    </row>
    <row r="2776" spans="1:40" x14ac:dyDescent="0.25">
      <c r="A2776" t="str">
        <f>"20190304164142830"</f>
        <v>20190304164142830</v>
      </c>
      <c r="B2776" t="str">
        <f>"1551688902823992"</f>
        <v>1551688902823992</v>
      </c>
      <c r="C2776" t="s">
        <v>40</v>
      </c>
      <c r="D2776">
        <v>4.7256099999999996</v>
      </c>
      <c r="E2776">
        <v>0.47220859999999898</v>
      </c>
      <c r="F2776" t="s">
        <v>45</v>
      </c>
      <c r="G2776">
        <v>-492.13709999999998</v>
      </c>
      <c r="H2776" s="1">
        <v>3.160337E-6</v>
      </c>
      <c r="I2776">
        <v>279.75290000000001</v>
      </c>
      <c r="J2776">
        <v>-472.66770000000002</v>
      </c>
      <c r="K2776">
        <v>1.111461</v>
      </c>
      <c r="L2776">
        <v>283.99040000000002</v>
      </c>
      <c r="M2776">
        <v>-0.99980159999999996</v>
      </c>
      <c r="N2776">
        <v>-1.686752E-2</v>
      </c>
      <c r="O2776">
        <v>-1.059218E-2</v>
      </c>
      <c r="P2776">
        <v>-0.9556211</v>
      </c>
      <c r="Q2776">
        <v>0.26400970000000001</v>
      </c>
      <c r="R2776">
        <v>-0.13071839999999901</v>
      </c>
      <c r="S2776">
        <v>-3.0933229999999998</v>
      </c>
      <c r="T2776">
        <v>-0.17358390000000001</v>
      </c>
      <c r="U2776">
        <v>-0.662628199999999</v>
      </c>
      <c r="V2776">
        <v>-0.1215272</v>
      </c>
      <c r="W2776">
        <v>0.27970719999999999</v>
      </c>
      <c r="X2776">
        <v>0.95236290000000001</v>
      </c>
      <c r="Y2776">
        <v>-0.19870579999999999</v>
      </c>
      <c r="Z2776">
        <v>-6.794474E-3</v>
      </c>
      <c r="AA2776">
        <v>0.98003569999999995</v>
      </c>
      <c r="AB2776">
        <v>54</v>
      </c>
      <c r="AC2776">
        <v>-19.469399999999901</v>
      </c>
      <c r="AD2776">
        <v>-1.1114578396629999</v>
      </c>
      <c r="AE2776">
        <v>-4.2375000000000096</v>
      </c>
      <c r="AF2776">
        <v>-4.0185055961209599</v>
      </c>
      <c r="AG2776">
        <v>-1.1114578396629999</v>
      </c>
      <c r="AH2776">
        <v>19.4526697965394</v>
      </c>
      <c r="AI2776">
        <v>93.202649027798103</v>
      </c>
      <c r="AJ2776">
        <v>101.671899440926</v>
      </c>
      <c r="AK2776">
        <v>19.894473804768001</v>
      </c>
      <c r="AL2776">
        <v>73.757270323145704</v>
      </c>
      <c r="AM2776">
        <v>97.271983372668601</v>
      </c>
      <c r="AN2776">
        <v>1.0000000356840399</v>
      </c>
    </row>
    <row r="2777" spans="1:40" x14ac:dyDescent="0.25">
      <c r="A2777" t="str">
        <f>"20190304164142848"</f>
        <v>20190304164142848</v>
      </c>
      <c r="B2777" t="str">
        <f>"1551688902833753"</f>
        <v>1551688902833753</v>
      </c>
      <c r="C2777" t="s">
        <v>40</v>
      </c>
      <c r="D2777">
        <v>4.7370489999999998</v>
      </c>
      <c r="E2777">
        <v>0.47219100000000003</v>
      </c>
      <c r="F2777" t="s">
        <v>45</v>
      </c>
      <c r="G2777">
        <v>-493.4556</v>
      </c>
      <c r="H2777" s="1">
        <v>2.881826E-6</v>
      </c>
      <c r="I2777">
        <v>279.4307</v>
      </c>
      <c r="J2777">
        <v>-473.06830000000002</v>
      </c>
      <c r="K2777">
        <v>1.1119049999999999</v>
      </c>
      <c r="L2777">
        <v>283.98509999999999</v>
      </c>
      <c r="M2777">
        <v>-0.99977609999999995</v>
      </c>
      <c r="N2777">
        <v>-1.7296570000000001E-2</v>
      </c>
      <c r="O2777">
        <v>-1.219369E-2</v>
      </c>
      <c r="P2777">
        <v>-0.95450380000000001</v>
      </c>
      <c r="Q2777">
        <v>0.26617570000000002</v>
      </c>
      <c r="R2777">
        <v>-0.13443840000000001</v>
      </c>
      <c r="S2777">
        <v>-3.0922550000000002</v>
      </c>
      <c r="T2777">
        <v>-0.1653328</v>
      </c>
      <c r="U2777">
        <v>-0.67828369999999905</v>
      </c>
      <c r="V2777">
        <v>-0.12397130000000001</v>
      </c>
      <c r="W2777">
        <v>0.2821555</v>
      </c>
      <c r="X2777">
        <v>0.95132510000000003</v>
      </c>
      <c r="Y2777">
        <v>-0.20196700000000001</v>
      </c>
      <c r="Z2777">
        <v>-6.665865E-3</v>
      </c>
      <c r="AA2777">
        <v>0.97936959999999995</v>
      </c>
      <c r="AB2777">
        <v>54</v>
      </c>
      <c r="AC2777">
        <v>-20.3872999999999</v>
      </c>
      <c r="AD2777">
        <v>-1.1119021181740001</v>
      </c>
      <c r="AE2777">
        <v>-4.5543999999999798</v>
      </c>
      <c r="AF2777">
        <v>-4.2932644018650699</v>
      </c>
      <c r="AG2777">
        <v>-1.1119021181740001</v>
      </c>
      <c r="AH2777">
        <v>20.383578125148599</v>
      </c>
      <c r="AI2777">
        <v>93.055422081933898</v>
      </c>
      <c r="AJ2777">
        <v>101.894000182965</v>
      </c>
      <c r="AK2777">
        <v>20.860457874379399</v>
      </c>
      <c r="AL2777">
        <v>73.611106567434604</v>
      </c>
      <c r="AM2777">
        <v>97.424622305071907</v>
      </c>
      <c r="AN2777">
        <v>1.00000002764697</v>
      </c>
    </row>
    <row r="2778" spans="1:40" x14ac:dyDescent="0.25">
      <c r="A2778" t="str">
        <f>"20190304164142865"</f>
        <v>20190304164142865</v>
      </c>
      <c r="B2778" t="str">
        <f>"1551688902853273"</f>
        <v>1551688902853273</v>
      </c>
      <c r="C2778" t="s">
        <v>40</v>
      </c>
      <c r="D2778">
        <v>4.7330300000000003</v>
      </c>
      <c r="E2778">
        <v>0.47224189999999999</v>
      </c>
      <c r="F2778" t="s">
        <v>45</v>
      </c>
      <c r="G2778">
        <v>-494.42320000000001</v>
      </c>
      <c r="H2778" s="1">
        <v>2.6714200000000001E-6</v>
      </c>
      <c r="I2778">
        <v>279.2106</v>
      </c>
      <c r="J2778">
        <v>-473.47489999999999</v>
      </c>
      <c r="K2778">
        <v>1.112401</v>
      </c>
      <c r="L2778">
        <v>283.97890000000001</v>
      </c>
      <c r="M2778">
        <v>-0.99974320000000005</v>
      </c>
      <c r="N2778">
        <v>-1.7723829999999999E-2</v>
      </c>
      <c r="O2778">
        <v>-1.4124660000000001E-2</v>
      </c>
      <c r="P2778">
        <v>-0.95183189999999995</v>
      </c>
      <c r="Q2778">
        <v>0.27161439999999998</v>
      </c>
      <c r="R2778">
        <v>-0.14227490000000001</v>
      </c>
      <c r="S2778">
        <v>-3.0905149999999999</v>
      </c>
      <c r="T2778">
        <v>-0.16091610000000001</v>
      </c>
      <c r="U2778">
        <v>-0.69097900000000001</v>
      </c>
      <c r="V2778">
        <v>-0.13029959999999999</v>
      </c>
      <c r="W2778">
        <v>0.28780800000000001</v>
      </c>
      <c r="X2778">
        <v>0.94878269999999998</v>
      </c>
      <c r="Y2778">
        <v>-0.20403660000000001</v>
      </c>
      <c r="Z2778">
        <v>-6.5972110000000004E-3</v>
      </c>
      <c r="AA2778">
        <v>0.97894099999999995</v>
      </c>
      <c r="AB2778">
        <v>54</v>
      </c>
      <c r="AC2778">
        <v>-20.9483</v>
      </c>
      <c r="AD2778">
        <v>-1.1123983285800001</v>
      </c>
      <c r="AE2778">
        <v>-4.7683000000000098</v>
      </c>
      <c r="AF2778">
        <v>-4.4599333339500102</v>
      </c>
      <c r="AG2778">
        <v>-1.1123983285800001</v>
      </c>
      <c r="AH2778">
        <v>20.957385554414699</v>
      </c>
      <c r="AI2778">
        <v>92.9719271199736</v>
      </c>
      <c r="AJ2778">
        <v>102.013871904176</v>
      </c>
      <c r="AK2778">
        <v>21.455545778681401</v>
      </c>
      <c r="AL2778">
        <v>73.273230768602104</v>
      </c>
      <c r="AM2778">
        <v>97.819710666502104</v>
      </c>
      <c r="AN2778">
        <v>1.0000000212217199</v>
      </c>
    </row>
    <row r="2779" spans="1:40" x14ac:dyDescent="0.25">
      <c r="A2779" t="str">
        <f>"20190304164142880"</f>
        <v>20190304164142880</v>
      </c>
      <c r="B2779" t="str">
        <f>"1551688902873914"</f>
        <v>1551688902873914</v>
      </c>
      <c r="C2779" t="s">
        <v>40</v>
      </c>
      <c r="D2779">
        <v>4.741771</v>
      </c>
      <c r="E2779">
        <v>0.47223359999999898</v>
      </c>
      <c r="F2779" t="s">
        <v>45</v>
      </c>
      <c r="G2779">
        <v>-496.58679999999998</v>
      </c>
      <c r="H2779" s="1">
        <v>2.1865370000000001E-6</v>
      </c>
      <c r="I2779">
        <v>278.63650000000001</v>
      </c>
      <c r="J2779">
        <v>-473.8646</v>
      </c>
      <c r="K2779">
        <v>1.112886</v>
      </c>
      <c r="L2779">
        <v>283.97199999999998</v>
      </c>
      <c r="M2779">
        <v>-0.99970329999999996</v>
      </c>
      <c r="N2779">
        <v>-1.8123360000000002E-2</v>
      </c>
      <c r="O2779">
        <v>-1.6277449999999999E-2</v>
      </c>
      <c r="P2779">
        <v>-0.95034669999999999</v>
      </c>
      <c r="Q2779">
        <v>0.2739258</v>
      </c>
      <c r="R2779">
        <v>-0.1476682</v>
      </c>
      <c r="S2779">
        <v>-3.087494</v>
      </c>
      <c r="T2779">
        <v>-0.14860419999999999</v>
      </c>
      <c r="U2779">
        <v>-0.71368409999999904</v>
      </c>
      <c r="V2779">
        <v>-0.13397210000000001</v>
      </c>
      <c r="W2779">
        <v>0.29032419999999998</v>
      </c>
      <c r="X2779">
        <v>0.94750369999999995</v>
      </c>
      <c r="Y2779">
        <v>-0.2090099</v>
      </c>
      <c r="Z2779">
        <v>-6.4007480000000004E-3</v>
      </c>
      <c r="AA2779">
        <v>0.9778926</v>
      </c>
      <c r="AB2779">
        <v>54</v>
      </c>
      <c r="AC2779">
        <v>-22.722199999999901</v>
      </c>
      <c r="AD2779">
        <v>-1.1128838134629999</v>
      </c>
      <c r="AE2779">
        <v>-5.3354999999999597</v>
      </c>
      <c r="AF2779">
        <v>-4.9536107760094703</v>
      </c>
      <c r="AG2779">
        <v>-1.1128838134629999</v>
      </c>
      <c r="AH2779">
        <v>22.7543199026026</v>
      </c>
      <c r="AI2779">
        <v>92.736046242489195</v>
      </c>
      <c r="AJ2779">
        <v>102.281650236014</v>
      </c>
      <c r="AK2779">
        <v>23.313855200983799</v>
      </c>
      <c r="AL2779">
        <v>73.122632961586206</v>
      </c>
      <c r="AM2779">
        <v>98.047975471843898</v>
      </c>
      <c r="AN2779">
        <v>0.99999996309886896</v>
      </c>
    </row>
    <row r="2780" spans="1:40" x14ac:dyDescent="0.25">
      <c r="A2780" t="str">
        <f>"20190304164142896"</f>
        <v>20190304164142896</v>
      </c>
      <c r="B2780" t="str">
        <f>"1551688902883674"</f>
        <v>1551688902883674</v>
      </c>
      <c r="C2780" t="s">
        <v>40</v>
      </c>
      <c r="D2780">
        <v>4.7391529999999999</v>
      </c>
      <c r="E2780">
        <v>0.47141719999999998</v>
      </c>
      <c r="F2780" t="s">
        <v>45</v>
      </c>
      <c r="G2780">
        <v>-497.65100000000001</v>
      </c>
      <c r="H2780" s="1">
        <v>1.945506E-6</v>
      </c>
      <c r="I2780">
        <v>278.33980000000003</v>
      </c>
      <c r="J2780">
        <v>-474.21440000000001</v>
      </c>
      <c r="K2780">
        <v>1.113335</v>
      </c>
      <c r="L2780">
        <v>283.96480000000003</v>
      </c>
      <c r="M2780">
        <v>-0.9996583</v>
      </c>
      <c r="N2780">
        <v>-1.8471290000000001E-2</v>
      </c>
      <c r="O2780">
        <v>-1.8503100000000001E-2</v>
      </c>
      <c r="P2780">
        <v>-0.94886400000000004</v>
      </c>
      <c r="Q2780">
        <v>0.27589399999999997</v>
      </c>
      <c r="R2780">
        <v>-0.15342739999999999</v>
      </c>
      <c r="S2780">
        <v>-3.0848390000000001</v>
      </c>
      <c r="T2780">
        <v>-0.1443286</v>
      </c>
      <c r="U2780">
        <v>-0.73043819999999904</v>
      </c>
      <c r="V2780">
        <v>-0.13793529999999901</v>
      </c>
      <c r="W2780">
        <v>0.2924447</v>
      </c>
      <c r="X2780">
        <v>0.94628210000000001</v>
      </c>
      <c r="Y2780">
        <v>-0.212061</v>
      </c>
      <c r="Z2780">
        <v>-6.361706E-3</v>
      </c>
      <c r="AA2780">
        <v>0.97723570000000004</v>
      </c>
      <c r="AB2780">
        <v>54</v>
      </c>
      <c r="AC2780">
        <v>-23.436599999999999</v>
      </c>
      <c r="AD2780">
        <v>-1.1133330544940001</v>
      </c>
      <c r="AE2780">
        <v>-5.625</v>
      </c>
      <c r="AF2780">
        <v>-5.17926189397296</v>
      </c>
      <c r="AG2780">
        <v>-1.1133330544940001</v>
      </c>
      <c r="AH2780">
        <v>23.486570239414402</v>
      </c>
      <c r="AI2780">
        <v>92.650374564687496</v>
      </c>
      <c r="AJ2780">
        <v>102.435841748652</v>
      </c>
      <c r="AK2780">
        <v>24.076612009739598</v>
      </c>
      <c r="AL2780">
        <v>72.995625323880901</v>
      </c>
      <c r="AM2780">
        <v>98.293340286306005</v>
      </c>
      <c r="AN2780">
        <v>0.99999993116229202</v>
      </c>
    </row>
    <row r="2781" spans="1:40" x14ac:dyDescent="0.25">
      <c r="A2781" t="str">
        <f>"20190304164142911"</f>
        <v>20190304164142911</v>
      </c>
      <c r="B2781" t="str">
        <f>"1551688902893434"</f>
        <v>1551688902893434</v>
      </c>
      <c r="C2781" t="s">
        <v>40</v>
      </c>
      <c r="D2781">
        <v>4.7557239999999998</v>
      </c>
      <c r="E2781">
        <v>0.47182249999999998</v>
      </c>
      <c r="F2781" t="s">
        <v>45</v>
      </c>
      <c r="G2781">
        <v>-489.63909999999998</v>
      </c>
      <c r="H2781" s="1">
        <v>3.5280520000000001E-6</v>
      </c>
      <c r="I2781">
        <v>280.18360000000001</v>
      </c>
      <c r="J2781">
        <v>-474.5677</v>
      </c>
      <c r="K2781">
        <v>1.113799</v>
      </c>
      <c r="L2781">
        <v>283.95659999999998</v>
      </c>
      <c r="M2781">
        <v>-0.99960289999999996</v>
      </c>
      <c r="N2781">
        <v>-1.8806050000000001E-2</v>
      </c>
      <c r="O2781">
        <v>-2.098293E-2</v>
      </c>
      <c r="P2781">
        <v>-0.94631069999999995</v>
      </c>
      <c r="Q2781">
        <v>0.27802139999999997</v>
      </c>
      <c r="R2781">
        <v>-0.1649254</v>
      </c>
      <c r="S2781">
        <v>-3.10379</v>
      </c>
      <c r="T2781">
        <v>-0.22402569999999999</v>
      </c>
      <c r="U2781">
        <v>-0.76086430000000005</v>
      </c>
      <c r="V2781">
        <v>-0.14744399999999999</v>
      </c>
      <c r="W2781">
        <v>0.2946336</v>
      </c>
      <c r="X2781">
        <v>0.94416699999999998</v>
      </c>
      <c r="Y2781">
        <v>-0.21700559999999999</v>
      </c>
      <c r="Z2781">
        <v>-8.6806079999999994E-3</v>
      </c>
      <c r="AA2781">
        <v>0.97613179999999999</v>
      </c>
      <c r="AB2781">
        <v>54</v>
      </c>
      <c r="AC2781">
        <v>-15.071399999999899</v>
      </c>
      <c r="AD2781">
        <v>-1.1137954719480001</v>
      </c>
      <c r="AE2781">
        <v>-3.7729999999999602</v>
      </c>
      <c r="AF2781">
        <v>-3.4382009537626201</v>
      </c>
      <c r="AG2781">
        <v>-1.1137954719480001</v>
      </c>
      <c r="AH2781">
        <v>15.069814756525901</v>
      </c>
      <c r="AI2781">
        <v>94.121462586023995</v>
      </c>
      <c r="AJ2781">
        <v>102.852134353192</v>
      </c>
      <c r="AK2781">
        <v>15.497131442553901</v>
      </c>
      <c r="AL2781">
        <v>72.864432404164802</v>
      </c>
      <c r="AM2781">
        <v>98.875796040031503</v>
      </c>
      <c r="AN2781">
        <v>1.0000000076369799</v>
      </c>
    </row>
    <row r="2782" spans="1:40" x14ac:dyDescent="0.25">
      <c r="A2782" t="str">
        <f>"20190304164142932"</f>
        <v>20190304164142932</v>
      </c>
      <c r="B2782" t="str">
        <f>"1551688902923690"</f>
        <v>1551688902923690</v>
      </c>
      <c r="C2782" t="s">
        <v>40</v>
      </c>
      <c r="D2782">
        <v>4.7531369999999997</v>
      </c>
      <c r="E2782">
        <v>0.47250360000000002</v>
      </c>
      <c r="F2782" t="s">
        <v>45</v>
      </c>
      <c r="G2782">
        <v>-489.98070000000001</v>
      </c>
      <c r="H2782" s="1">
        <v>3.567243E-6</v>
      </c>
      <c r="I2782">
        <v>280.03179999999998</v>
      </c>
      <c r="J2782">
        <v>-475.08280000000002</v>
      </c>
      <c r="K2782">
        <v>1.1144959999999999</v>
      </c>
      <c r="L2782">
        <v>283.94279999999998</v>
      </c>
      <c r="M2782">
        <v>-0.99950000000000006</v>
      </c>
      <c r="N2782">
        <v>-1.9249659999999998E-2</v>
      </c>
      <c r="O2782">
        <v>-2.508496E-2</v>
      </c>
      <c r="P2782">
        <v>-0.9434013</v>
      </c>
      <c r="Q2782">
        <v>0.27913939999999998</v>
      </c>
      <c r="R2782">
        <v>-0.17909649999999999</v>
      </c>
      <c r="S2782">
        <v>-3.0984799999999999</v>
      </c>
      <c r="T2782">
        <v>-0.22390789999999999</v>
      </c>
      <c r="U2782">
        <v>-0.78900150000000002</v>
      </c>
      <c r="V2782">
        <v>-0.1582664</v>
      </c>
      <c r="W2782">
        <v>0.29579719999999998</v>
      </c>
      <c r="X2782">
        <v>0.94204869999999996</v>
      </c>
      <c r="Y2782">
        <v>-0.2217134</v>
      </c>
      <c r="Z2782">
        <v>-8.7411599999999996E-3</v>
      </c>
      <c r="AA2782">
        <v>0.97507270000000001</v>
      </c>
      <c r="AB2782">
        <v>53</v>
      </c>
      <c r="AC2782">
        <v>-14.8978999999999</v>
      </c>
      <c r="AD2782">
        <v>-1.1144924327569901</v>
      </c>
      <c r="AE2782">
        <v>-3.911</v>
      </c>
      <c r="AF2782">
        <v>-3.5175700426849801</v>
      </c>
      <c r="AG2782">
        <v>-1.1144924327569901</v>
      </c>
      <c r="AH2782">
        <v>14.9132569672097</v>
      </c>
      <c r="AI2782">
        <v>94.160125554430905</v>
      </c>
      <c r="AJ2782">
        <v>103.271708262777</v>
      </c>
      <c r="AK2782">
        <v>15.362962792309901</v>
      </c>
      <c r="AL2782">
        <v>72.794652789832099</v>
      </c>
      <c r="AM2782">
        <v>99.536766978821106</v>
      </c>
      <c r="AN2782">
        <v>0.99999999503424497</v>
      </c>
    </row>
    <row r="2783" spans="1:40" x14ac:dyDescent="0.25">
      <c r="A2783" t="str">
        <f>"20190304164142954"</f>
        <v>20190304164142954</v>
      </c>
      <c r="B2783" t="str">
        <f>"1551688902944186"</f>
        <v>1551688902944186</v>
      </c>
      <c r="C2783" t="s">
        <v>40</v>
      </c>
      <c r="D2783">
        <v>4.7288680000000003</v>
      </c>
      <c r="E2783">
        <v>0.47647250000000002</v>
      </c>
      <c r="F2783" t="s">
        <v>45</v>
      </c>
      <c r="G2783">
        <v>-489.75189999999998</v>
      </c>
      <c r="H2783" s="1">
        <v>3.5355930000000001E-6</v>
      </c>
      <c r="I2783">
        <v>280.041</v>
      </c>
      <c r="J2783">
        <v>-475.60160000000002</v>
      </c>
      <c r="K2783">
        <v>1.115218</v>
      </c>
      <c r="L2783">
        <v>283.9264</v>
      </c>
      <c r="M2783">
        <v>-0.99936250000000004</v>
      </c>
      <c r="N2783">
        <v>-1.9636259999999999E-2</v>
      </c>
      <c r="O2783">
        <v>-2.98169E-2</v>
      </c>
      <c r="P2783">
        <v>-0.9404361</v>
      </c>
      <c r="Q2783">
        <v>0.282139799999999</v>
      </c>
      <c r="R2783">
        <v>-0.18967680000000001</v>
      </c>
      <c r="S2783">
        <v>-3.093353</v>
      </c>
      <c r="T2783">
        <v>-0.23501839999999999</v>
      </c>
      <c r="U2783">
        <v>-0.82278439999999997</v>
      </c>
      <c r="V2783">
        <v>-0.1649688</v>
      </c>
      <c r="W2783">
        <v>0.29879060000000002</v>
      </c>
      <c r="X2783">
        <v>0.9399518</v>
      </c>
      <c r="Y2783">
        <v>-0.22737769999999999</v>
      </c>
      <c r="Z2783">
        <v>-9.1073899999999999E-3</v>
      </c>
      <c r="AA2783">
        <v>0.97376410000000002</v>
      </c>
      <c r="AB2783">
        <v>53</v>
      </c>
      <c r="AC2783">
        <v>-14.1502999999999</v>
      </c>
      <c r="AD2783">
        <v>-1.1152144644069999</v>
      </c>
      <c r="AE2783">
        <v>-3.8854000000000002</v>
      </c>
      <c r="AF2783">
        <v>-3.4417929991259602</v>
      </c>
      <c r="AG2783">
        <v>-1.1152144644069999</v>
      </c>
      <c r="AH2783">
        <v>14.1779886881765</v>
      </c>
      <c r="AI2783">
        <v>94.371082187549703</v>
      </c>
      <c r="AJ2783">
        <v>103.644951195581</v>
      </c>
      <c r="AK2783">
        <v>14.6323274154358</v>
      </c>
      <c r="AL2783">
        <v>72.615020990687896</v>
      </c>
      <c r="AM2783">
        <v>99.9544690273312</v>
      </c>
      <c r="AN2783">
        <v>0.99999995697251898</v>
      </c>
    </row>
    <row r="2784" spans="1:40" x14ac:dyDescent="0.25">
      <c r="A2784" t="str">
        <f>"20190304164142972"</f>
        <v>20190304164142972</v>
      </c>
      <c r="B2784" t="str">
        <f>"1551688902964215"</f>
        <v>1551688902964215</v>
      </c>
      <c r="C2784" t="s">
        <v>40</v>
      </c>
      <c r="D2784">
        <v>4.7774530000000004</v>
      </c>
      <c r="E2784">
        <v>0.4762845</v>
      </c>
      <c r="F2784" t="s">
        <v>45</v>
      </c>
      <c r="G2784">
        <v>-488.6422</v>
      </c>
      <c r="H2784" s="1">
        <v>3.3716329999999999E-6</v>
      </c>
      <c r="I2784">
        <v>280.41730000000001</v>
      </c>
      <c r="J2784">
        <v>-476.01229999999998</v>
      </c>
      <c r="K2784">
        <v>1.11578</v>
      </c>
      <c r="L2784">
        <v>283.91140000000001</v>
      </c>
      <c r="M2784">
        <v>-0.99922330000000004</v>
      </c>
      <c r="N2784">
        <v>-1.9904140000000001E-2</v>
      </c>
      <c r="O2784">
        <v>-3.4008179999999999E-2</v>
      </c>
      <c r="P2784">
        <v>-0.93898930000000003</v>
      </c>
      <c r="Q2784">
        <v>0.28327999999999998</v>
      </c>
      <c r="R2784">
        <v>-0.19506809999999999</v>
      </c>
      <c r="S2784">
        <v>-3.1012879999999998</v>
      </c>
      <c r="T2784">
        <v>-0.2652197</v>
      </c>
      <c r="U2784">
        <v>-0.83453369999999905</v>
      </c>
      <c r="V2784">
        <v>-0.166853799999999</v>
      </c>
      <c r="W2784">
        <v>0.29993170000000002</v>
      </c>
      <c r="X2784">
        <v>0.93925550000000002</v>
      </c>
      <c r="Y2784">
        <v>-0.22596250000000001</v>
      </c>
      <c r="Z2784">
        <v>-9.5860660000000007E-3</v>
      </c>
      <c r="AA2784">
        <v>0.97408879999999998</v>
      </c>
      <c r="AB2784">
        <v>53</v>
      </c>
      <c r="AC2784">
        <v>-12.629899999999999</v>
      </c>
      <c r="AD2784">
        <v>-1.1157766283670001</v>
      </c>
      <c r="AE2784">
        <v>-3.4941</v>
      </c>
      <c r="AF2784">
        <v>-3.0404305172815902</v>
      </c>
      <c r="AG2784">
        <v>-1.1157766283670001</v>
      </c>
      <c r="AH2784">
        <v>12.649734929931499</v>
      </c>
      <c r="AI2784">
        <v>94.9018644763417</v>
      </c>
      <c r="AJ2784">
        <v>103.514978850139</v>
      </c>
      <c r="AK2784">
        <v>13.057755129131399</v>
      </c>
      <c r="AL2784">
        <v>72.546500071427303</v>
      </c>
      <c r="AM2784">
        <v>100.07320889684399</v>
      </c>
      <c r="AN2784">
        <v>1.00000005475978</v>
      </c>
    </row>
    <row r="2785" spans="1:40" x14ac:dyDescent="0.25">
      <c r="A2785" t="str">
        <f>"20190304164142986"</f>
        <v>20190304164142986</v>
      </c>
      <c r="B2785" t="str">
        <f>"1551688902973974"</f>
        <v>1551688902973974</v>
      </c>
      <c r="C2785" t="s">
        <v>40</v>
      </c>
      <c r="D2785">
        <v>4.8061699999999998</v>
      </c>
      <c r="E2785">
        <v>0.47654800000000003</v>
      </c>
      <c r="F2785" t="s">
        <v>45</v>
      </c>
      <c r="G2785">
        <v>-488.7296</v>
      </c>
      <c r="H2785" s="1">
        <v>3.3848230000000002E-6</v>
      </c>
      <c r="I2785">
        <v>280.39080000000001</v>
      </c>
      <c r="J2785">
        <v>-476.34629999999999</v>
      </c>
      <c r="K2785">
        <v>1.116241</v>
      </c>
      <c r="L2785">
        <v>283.89789999999999</v>
      </c>
      <c r="M2785">
        <v>-0.99908710000000001</v>
      </c>
      <c r="N2785">
        <v>-2.0106220000000001E-2</v>
      </c>
      <c r="O2785">
        <v>-3.7692059999999999E-2</v>
      </c>
      <c r="P2785">
        <v>-0.93768750000000001</v>
      </c>
      <c r="Q2785">
        <v>0.28406369999999997</v>
      </c>
      <c r="R2785">
        <v>-0.20012450000000001</v>
      </c>
      <c r="S2785">
        <v>-3.0987849999999999</v>
      </c>
      <c r="T2785">
        <v>-0.27187810000000001</v>
      </c>
      <c r="U2785">
        <v>-0.85784910000000003</v>
      </c>
      <c r="V2785">
        <v>-0.16881370000000001</v>
      </c>
      <c r="W2785">
        <v>0.30068850000000003</v>
      </c>
      <c r="X2785">
        <v>0.93866309999999997</v>
      </c>
      <c r="Y2785">
        <v>-0.22933990000000001</v>
      </c>
      <c r="Z2785">
        <v>-9.719353E-3</v>
      </c>
      <c r="AA2785">
        <v>0.97329790000000005</v>
      </c>
      <c r="AB2785">
        <v>53</v>
      </c>
      <c r="AC2785">
        <v>-12.3833</v>
      </c>
      <c r="AD2785">
        <v>-1.1162376151769999</v>
      </c>
      <c r="AE2785">
        <v>-3.5070999999999799</v>
      </c>
      <c r="AF2785">
        <v>-3.0150809834057699</v>
      </c>
      <c r="AG2785">
        <v>-1.1162376151769999</v>
      </c>
      <c r="AH2785">
        <v>12.413340431139099</v>
      </c>
      <c r="AI2785">
        <v>94.993922421981097</v>
      </c>
      <c r="AJ2785">
        <v>103.652217446194</v>
      </c>
      <c r="AK2785">
        <v>12.822937276980801</v>
      </c>
      <c r="AL2785">
        <v>72.501039780651794</v>
      </c>
      <c r="AM2785">
        <v>100.195361583733</v>
      </c>
      <c r="AN2785">
        <v>1.0000000273207701</v>
      </c>
    </row>
    <row r="2786" spans="1:40" x14ac:dyDescent="0.25">
      <c r="A2786" t="str">
        <f>"20190304164142999"</f>
        <v>20190304164142999</v>
      </c>
      <c r="B2786" t="str">
        <f>"1551688902993494"</f>
        <v>1551688902993494</v>
      </c>
      <c r="C2786" t="s">
        <v>40</v>
      </c>
      <c r="D2786">
        <v>4.8114879999999998</v>
      </c>
      <c r="E2786">
        <v>0.47763030000000001</v>
      </c>
      <c r="F2786" t="s">
        <v>45</v>
      </c>
      <c r="G2786">
        <v>-489.05059999999997</v>
      </c>
      <c r="H2786" s="1">
        <v>3.4348979999999999E-6</v>
      </c>
      <c r="I2786">
        <v>280.31220000000002</v>
      </c>
      <c r="J2786">
        <v>-476.67610000000002</v>
      </c>
      <c r="K2786">
        <v>1.1167149999999999</v>
      </c>
      <c r="L2786">
        <v>283.88319999999999</v>
      </c>
      <c r="M2786">
        <v>-0.99892769999999997</v>
      </c>
      <c r="N2786">
        <v>-2.029862E-2</v>
      </c>
      <c r="O2786">
        <v>-4.1612110000000001E-2</v>
      </c>
      <c r="P2786">
        <v>-0.93480960000000002</v>
      </c>
      <c r="Q2786">
        <v>0.2875723</v>
      </c>
      <c r="R2786">
        <v>-0.20840629999999999</v>
      </c>
      <c r="S2786">
        <v>-3.0953369999999998</v>
      </c>
      <c r="T2786">
        <v>-0.27196619999999999</v>
      </c>
      <c r="U2786">
        <v>-0.87362669999999998</v>
      </c>
      <c r="V2786">
        <v>-0.17388709999999999</v>
      </c>
      <c r="W2786">
        <v>0.30408059999999998</v>
      </c>
      <c r="X2786">
        <v>0.93664199999999997</v>
      </c>
      <c r="Y2786">
        <v>-0.23040140000000001</v>
      </c>
      <c r="Z2786">
        <v>-9.5537710000000008E-3</v>
      </c>
      <c r="AA2786">
        <v>0.97304869999999999</v>
      </c>
      <c r="AB2786">
        <v>53</v>
      </c>
      <c r="AC2786">
        <v>-12.3744999999999</v>
      </c>
      <c r="AD2786">
        <v>-1.1167115651020001</v>
      </c>
      <c r="AE2786">
        <v>-3.5709999999999602</v>
      </c>
      <c r="AF2786">
        <v>-3.0300911044013499</v>
      </c>
      <c r="AG2786">
        <v>-1.1167115651020001</v>
      </c>
      <c r="AH2786">
        <v>12.419041641414401</v>
      </c>
      <c r="AI2786">
        <v>94.992497548800301</v>
      </c>
      <c r="AJ2786">
        <v>103.71156169504501</v>
      </c>
      <c r="AK2786">
        <v>12.8320338260071</v>
      </c>
      <c r="AL2786">
        <v>72.297140576535099</v>
      </c>
      <c r="AM2786">
        <v>100.51719495786099</v>
      </c>
      <c r="AN2786">
        <v>0.99999998550338398</v>
      </c>
    </row>
    <row r="2787" spans="1:40" x14ac:dyDescent="0.25">
      <c r="A2787" t="str">
        <f>"20190304164143021"</f>
        <v>20190304164143021</v>
      </c>
      <c r="B2787" t="str">
        <f>"1551688903013990"</f>
        <v>1551688903013990</v>
      </c>
      <c r="C2787" t="s">
        <v>40</v>
      </c>
      <c r="D2787">
        <v>4.820837</v>
      </c>
      <c r="E2787">
        <v>0.47825879999999998</v>
      </c>
      <c r="F2787" t="s">
        <v>45</v>
      </c>
      <c r="G2787">
        <v>-489.64080000000001</v>
      </c>
      <c r="H2787" s="1">
        <v>3.5251899999999999E-6</v>
      </c>
      <c r="I2787">
        <v>280.1474</v>
      </c>
      <c r="J2787">
        <v>-477.17739999999998</v>
      </c>
      <c r="K2787">
        <v>1.117445</v>
      </c>
      <c r="L2787">
        <v>283.858</v>
      </c>
      <c r="M2787">
        <v>-0.99862899999999999</v>
      </c>
      <c r="N2787">
        <v>-2.0591680000000001E-2</v>
      </c>
      <c r="O2787">
        <v>-4.8127589999999998E-2</v>
      </c>
      <c r="P2787">
        <v>-0.93056749999999999</v>
      </c>
      <c r="Q2787">
        <v>0.2932149</v>
      </c>
      <c r="R2787">
        <v>-0.21924679999999999</v>
      </c>
      <c r="S2787">
        <v>-3.092438</v>
      </c>
      <c r="T2787">
        <v>-0.26636670000000001</v>
      </c>
      <c r="U2787">
        <v>-0.89108279999999995</v>
      </c>
      <c r="V2787">
        <v>-0.17938889999999999</v>
      </c>
      <c r="W2787">
        <v>0.30955880000000002</v>
      </c>
      <c r="X2787">
        <v>0.93380560000000001</v>
      </c>
      <c r="Y2787">
        <v>-0.22941880000000001</v>
      </c>
      <c r="Z2787">
        <v>-9.0055139999999992E-3</v>
      </c>
      <c r="AA2787">
        <v>0.97328619999999999</v>
      </c>
      <c r="AB2787">
        <v>53</v>
      </c>
      <c r="AC2787">
        <v>-12.4634</v>
      </c>
      <c r="AD2787">
        <v>-1.1174414748099999</v>
      </c>
      <c r="AE2787">
        <v>-3.7105999999999999</v>
      </c>
      <c r="AF2787">
        <v>-3.0835685907151</v>
      </c>
      <c r="AG2787">
        <v>-1.1174414748099999</v>
      </c>
      <c r="AH2787">
        <v>12.5350124330137</v>
      </c>
      <c r="AI2787">
        <v>94.947469309763406</v>
      </c>
      <c r="AJ2787">
        <v>103.820147869121</v>
      </c>
      <c r="AK2787">
        <v>12.9569906768153</v>
      </c>
      <c r="AL2787">
        <v>71.967355566537194</v>
      </c>
      <c r="AM2787">
        <v>100.874337761058</v>
      </c>
      <c r="AN2787">
        <v>0.99999996334600405</v>
      </c>
    </row>
    <row r="2788" spans="1:40" x14ac:dyDescent="0.25">
      <c r="A2788" t="str">
        <f>"20190304164143041"</f>
        <v>20190304164143041</v>
      </c>
      <c r="B2788" t="str">
        <f>"1551688903033510"</f>
        <v>1551688903033510</v>
      </c>
      <c r="C2788" t="s">
        <v>40</v>
      </c>
      <c r="D2788">
        <v>4.8381589999999903</v>
      </c>
      <c r="E2788">
        <v>0.47900530000000002</v>
      </c>
      <c r="F2788" t="s">
        <v>45</v>
      </c>
      <c r="G2788">
        <v>-490.54809999999998</v>
      </c>
      <c r="H2788" s="1">
        <v>3.4543670000000001E-6</v>
      </c>
      <c r="I2788">
        <v>279.892</v>
      </c>
      <c r="J2788">
        <v>-477.63740000000001</v>
      </c>
      <c r="K2788">
        <v>1.118134</v>
      </c>
      <c r="L2788">
        <v>283.83170000000001</v>
      </c>
      <c r="M2788">
        <v>-0.99828260000000002</v>
      </c>
      <c r="N2788">
        <v>-2.0863070000000001E-2</v>
      </c>
      <c r="O2788">
        <v>-5.4739929999999999E-2</v>
      </c>
      <c r="P2788">
        <v>-0.92786480000000005</v>
      </c>
      <c r="Q2788">
        <v>0.29437069999999999</v>
      </c>
      <c r="R2788">
        <v>-0.22893830000000001</v>
      </c>
      <c r="S2788">
        <v>-3.0893250000000001</v>
      </c>
      <c r="T2788">
        <v>-0.25818740000000001</v>
      </c>
      <c r="U2788">
        <v>-0.91635129999999998</v>
      </c>
      <c r="V2788">
        <v>-0.1835224</v>
      </c>
      <c r="W2788">
        <v>0.31058200000000002</v>
      </c>
      <c r="X2788">
        <v>0.93266199999999999</v>
      </c>
      <c r="Y2788">
        <v>-0.23061809999999999</v>
      </c>
      <c r="Z2788">
        <v>-8.5387929999999994E-3</v>
      </c>
      <c r="AA2788">
        <v>0.97300679999999995</v>
      </c>
      <c r="AB2788">
        <v>53</v>
      </c>
      <c r="AC2788">
        <v>-12.910699999999901</v>
      </c>
      <c r="AD2788">
        <v>-1.118130545633</v>
      </c>
      <c r="AE2788">
        <v>-3.93970000000001</v>
      </c>
      <c r="AF2788">
        <v>-3.2049151821896</v>
      </c>
      <c r="AG2788">
        <v>-1.118130545633</v>
      </c>
      <c r="AH2788">
        <v>13.017718657544499</v>
      </c>
      <c r="AI2788">
        <v>94.767579034651504</v>
      </c>
      <c r="AJ2788">
        <v>103.830948620143</v>
      </c>
      <c r="AK2788">
        <v>13.452980944351699</v>
      </c>
      <c r="AL2788">
        <v>71.905692522424602</v>
      </c>
      <c r="AM2788">
        <v>101.132022730263</v>
      </c>
      <c r="AN2788">
        <v>1.00000002813487</v>
      </c>
    </row>
    <row r="2789" spans="1:40" x14ac:dyDescent="0.25">
      <c r="A2789" t="str">
        <f>"20190304164143054"</f>
        <v>20190304164143054</v>
      </c>
      <c r="B2789" t="str">
        <f>"1551688903043270"</f>
        <v>1551688903043270</v>
      </c>
      <c r="C2789" t="s">
        <v>40</v>
      </c>
      <c r="D2789">
        <v>4.8270730000000004</v>
      </c>
      <c r="E2789">
        <v>0.47919709999999899</v>
      </c>
      <c r="F2789" t="s">
        <v>45</v>
      </c>
      <c r="G2789">
        <v>-490.82769999999999</v>
      </c>
      <c r="H2789" s="1">
        <v>3.39785E-6</v>
      </c>
      <c r="I2789">
        <v>279.81299999999999</v>
      </c>
      <c r="J2789">
        <v>-477.94709999999998</v>
      </c>
      <c r="K2789">
        <v>1.118582</v>
      </c>
      <c r="L2789">
        <v>283.81180000000001</v>
      </c>
      <c r="M2789">
        <v>-0.99800029999999995</v>
      </c>
      <c r="N2789">
        <v>-2.104555E-2</v>
      </c>
      <c r="O2789">
        <v>-5.9603179999999999E-2</v>
      </c>
      <c r="P2789">
        <v>-0.92609730000000001</v>
      </c>
      <c r="Q2789">
        <v>0.28900609999999999</v>
      </c>
      <c r="R2789">
        <v>-0.24252699999999999</v>
      </c>
      <c r="S2789">
        <v>-3.0843509999999998</v>
      </c>
      <c r="T2789">
        <v>-0.2614571</v>
      </c>
      <c r="U2789">
        <v>-0.9397278</v>
      </c>
      <c r="V2789">
        <v>-0.19287480000000001</v>
      </c>
      <c r="W2789">
        <v>0.30499569999999998</v>
      </c>
      <c r="X2789">
        <v>0.93261830000000001</v>
      </c>
      <c r="Y2789">
        <v>-0.23304569999999999</v>
      </c>
      <c r="Z2789">
        <v>-8.4637930000000007E-3</v>
      </c>
      <c r="AA2789">
        <v>0.97242899999999999</v>
      </c>
      <c r="AB2789">
        <v>52</v>
      </c>
      <c r="AC2789">
        <v>-12.880599999999999</v>
      </c>
      <c r="AD2789">
        <v>-1.1185786021499999</v>
      </c>
      <c r="AE2789">
        <v>-3.9988000000000099</v>
      </c>
      <c r="AF2789">
        <v>-3.2017691351175501</v>
      </c>
      <c r="AG2789">
        <v>-1.1185786021499999</v>
      </c>
      <c r="AH2789">
        <v>13.0066168201322</v>
      </c>
      <c r="AI2789">
        <v>94.773567888782907</v>
      </c>
      <c r="AJ2789">
        <v>103.829234031043</v>
      </c>
      <c r="AK2789">
        <v>13.441526133201</v>
      </c>
      <c r="AL2789">
        <v>72.242094415203496</v>
      </c>
      <c r="AM2789">
        <v>101.68461416186901</v>
      </c>
      <c r="AN2789">
        <v>0.99999997949420905</v>
      </c>
    </row>
    <row r="2790" spans="1:40" x14ac:dyDescent="0.25">
      <c r="A2790" t="str">
        <f>"20190304164143071"</f>
        <v>20190304164143071</v>
      </c>
      <c r="B2790" t="str">
        <f>"1551688903063765"</f>
        <v>1551688903063765</v>
      </c>
      <c r="C2790" t="s">
        <v>40</v>
      </c>
      <c r="D2790">
        <v>5.0046650000000001</v>
      </c>
      <c r="E2790">
        <v>0.48432649999999999</v>
      </c>
      <c r="F2790" t="s">
        <v>45</v>
      </c>
      <c r="G2790">
        <v>-490.05619999999999</v>
      </c>
      <c r="H2790" s="1">
        <v>3.5486440000000002E-6</v>
      </c>
      <c r="I2790">
        <v>279.97239999999999</v>
      </c>
      <c r="J2790">
        <v>-478.32839999999999</v>
      </c>
      <c r="K2790">
        <v>1.1191610000000001</v>
      </c>
      <c r="L2790">
        <v>283.78550000000001</v>
      </c>
      <c r="M2790">
        <v>-0.99759909999999996</v>
      </c>
      <c r="N2790">
        <v>-2.1265389999999999E-2</v>
      </c>
      <c r="O2790">
        <v>-6.5908830000000002E-2</v>
      </c>
      <c r="P2790">
        <v>-0.92554139999999996</v>
      </c>
      <c r="Q2790">
        <v>0.2828194</v>
      </c>
      <c r="R2790">
        <v>-0.25176599999999999</v>
      </c>
      <c r="S2790">
        <v>-3.072845</v>
      </c>
      <c r="T2790">
        <v>-0.28385450000000001</v>
      </c>
      <c r="U2790">
        <v>-0.97430419999999995</v>
      </c>
      <c r="V2790">
        <v>-0.19651560000000001</v>
      </c>
      <c r="W2790">
        <v>0.29868919999999999</v>
      </c>
      <c r="X2790">
        <v>0.93389849999999996</v>
      </c>
      <c r="Y2790">
        <v>-0.23774700000000001</v>
      </c>
      <c r="Z2790">
        <v>-8.7496559999999998E-3</v>
      </c>
      <c r="AA2790">
        <v>0.97128769999999998</v>
      </c>
      <c r="AB2790">
        <v>52</v>
      </c>
      <c r="AC2790">
        <v>-11.7278</v>
      </c>
      <c r="AD2790">
        <v>-1.1191574513560001</v>
      </c>
      <c r="AE2790">
        <v>-3.8131000000000199</v>
      </c>
      <c r="AF2790">
        <v>-3.0069005585613202</v>
      </c>
      <c r="AG2790">
        <v>-1.1191574513560001</v>
      </c>
      <c r="AH2790">
        <v>11.856017745334</v>
      </c>
      <c r="AI2790">
        <v>95.227942855889793</v>
      </c>
      <c r="AJ2790">
        <v>104.23118377562901</v>
      </c>
      <c r="AK2790">
        <v>12.2824721106004</v>
      </c>
      <c r="AL2790">
        <v>72.621109803265199</v>
      </c>
      <c r="AM2790">
        <v>101.883099801706</v>
      </c>
      <c r="AN2790">
        <v>1.00000001377112</v>
      </c>
    </row>
    <row r="2791" spans="1:40" x14ac:dyDescent="0.25">
      <c r="A2791" t="str">
        <f>"20190304164143085"</f>
        <v>20190304164143085</v>
      </c>
      <c r="B2791" t="str">
        <f>"1551688903073527"</f>
        <v>1551688903073527</v>
      </c>
      <c r="C2791" t="s">
        <v>40</v>
      </c>
      <c r="D2791">
        <v>4.8564299999999996</v>
      </c>
      <c r="E2791">
        <v>0.4847204</v>
      </c>
      <c r="F2791" t="s">
        <v>45</v>
      </c>
      <c r="G2791">
        <v>-488.26940000000002</v>
      </c>
      <c r="H2791" s="1">
        <v>3.3269529999999998E-6</v>
      </c>
      <c r="I2791">
        <v>280.6626</v>
      </c>
      <c r="J2791">
        <v>-478.64370000000002</v>
      </c>
      <c r="K2791">
        <v>1.119656</v>
      </c>
      <c r="L2791">
        <v>283.76209999999998</v>
      </c>
      <c r="M2791">
        <v>-0.99721660000000001</v>
      </c>
      <c r="N2791">
        <v>-2.1444089999999999E-2</v>
      </c>
      <c r="O2791">
        <v>-7.1409619999999993E-2</v>
      </c>
      <c r="P2791">
        <v>-0.92472670000000001</v>
      </c>
      <c r="Q2791">
        <v>0.27795429999999999</v>
      </c>
      <c r="R2791">
        <v>-0.26004270000000002</v>
      </c>
      <c r="S2791">
        <v>-3.083923</v>
      </c>
      <c r="T2791">
        <v>-0.34718739999999998</v>
      </c>
      <c r="U2791">
        <v>-0.96881099999999998</v>
      </c>
      <c r="V2791">
        <v>-0.19990559999999999</v>
      </c>
      <c r="W2791">
        <v>0.29369800000000001</v>
      </c>
      <c r="X2791">
        <v>0.93476159999999997</v>
      </c>
      <c r="Y2791">
        <v>-0.22948109999999999</v>
      </c>
      <c r="Z2791">
        <v>-8.8001499999999996E-3</v>
      </c>
      <c r="AA2791">
        <v>0.97327330000000001</v>
      </c>
      <c r="AB2791">
        <v>52</v>
      </c>
      <c r="AC2791">
        <v>-9.6256999999999895</v>
      </c>
      <c r="AD2791">
        <v>-1.119652673047</v>
      </c>
      <c r="AE2791">
        <v>-3.0994999999999702</v>
      </c>
      <c r="AF2791">
        <v>-2.3749433957684398</v>
      </c>
      <c r="AG2791">
        <v>-1.119652673047</v>
      </c>
      <c r="AH2791">
        <v>9.7035438267922292</v>
      </c>
      <c r="AI2791">
        <v>96.3949030705393</v>
      </c>
      <c r="AJ2791">
        <v>103.75279288496</v>
      </c>
      <c r="AK2791">
        <v>10.052499243463901</v>
      </c>
      <c r="AL2791">
        <v>72.920519944852998</v>
      </c>
      <c r="AM2791">
        <v>102.071286805174</v>
      </c>
      <c r="AN2791">
        <v>1.0000000064749599</v>
      </c>
    </row>
    <row r="2792" spans="1:40" x14ac:dyDescent="0.25">
      <c r="A2792" t="str">
        <f>"20190304164143100"</f>
        <v>20190304164143100</v>
      </c>
      <c r="B2792" t="str">
        <f>"1551688903094021"</f>
        <v>1551688903094021</v>
      </c>
      <c r="C2792" t="s">
        <v>40</v>
      </c>
      <c r="D2792">
        <v>4.8432589999999998</v>
      </c>
      <c r="E2792">
        <v>0.48604989999999998</v>
      </c>
      <c r="F2792" t="s">
        <v>45</v>
      </c>
      <c r="G2792">
        <v>-488.00920000000002</v>
      </c>
      <c r="H2792" s="1">
        <v>3.2868419999999999E-6</v>
      </c>
      <c r="I2792">
        <v>280.73160000000001</v>
      </c>
      <c r="J2792">
        <v>-479.0052</v>
      </c>
      <c r="K2792">
        <v>1.1202449999999999</v>
      </c>
      <c r="L2792">
        <v>283.733</v>
      </c>
      <c r="M2792">
        <v>-0.9967104</v>
      </c>
      <c r="N2792">
        <v>-2.164953E-2</v>
      </c>
      <c r="O2792">
        <v>-7.8100619999999996E-2</v>
      </c>
      <c r="P2792">
        <v>-0.92322950000000004</v>
      </c>
      <c r="Q2792">
        <v>0.27444079999999998</v>
      </c>
      <c r="R2792">
        <v>-0.26894190000000001</v>
      </c>
      <c r="S2792">
        <v>-3.0748289999999998</v>
      </c>
      <c r="T2792">
        <v>-0.36759900000000001</v>
      </c>
      <c r="U2792">
        <v>-0.99496459999999998</v>
      </c>
      <c r="V2792">
        <v>-0.20291699999999999</v>
      </c>
      <c r="W2792">
        <v>0.29003800000000002</v>
      </c>
      <c r="X2792">
        <v>0.93525539999999996</v>
      </c>
      <c r="Y2792">
        <v>-0.23116039999999999</v>
      </c>
      <c r="Z2792">
        <v>-8.6151279999999997E-3</v>
      </c>
      <c r="AA2792">
        <v>0.97287749999999995</v>
      </c>
      <c r="AB2792">
        <v>52</v>
      </c>
      <c r="AC2792">
        <v>-9.0040000000000102</v>
      </c>
      <c r="AD2792">
        <v>-1.120241713158</v>
      </c>
      <c r="AE2792">
        <v>-3.0013999999999799</v>
      </c>
      <c r="AF2792">
        <v>-2.25739646156714</v>
      </c>
      <c r="AG2792">
        <v>-1.120241713158</v>
      </c>
      <c r="AH2792">
        <v>9.0843925331037205</v>
      </c>
      <c r="AI2792">
        <v>96.824441713057197</v>
      </c>
      <c r="AJ2792">
        <v>103.954880792658</v>
      </c>
      <c r="AK2792">
        <v>9.4274581927530008</v>
      </c>
      <c r="AL2792">
        <v>73.139769077381899</v>
      </c>
      <c r="AM2792">
        <v>102.241408210823</v>
      </c>
      <c r="AN2792">
        <v>1.0000000067810799</v>
      </c>
    </row>
    <row r="2793" spans="1:40" x14ac:dyDescent="0.25">
      <c r="A2793" t="str">
        <f>"20190304164143115"</f>
        <v>20190304164143115</v>
      </c>
      <c r="B2793" t="str">
        <f>"1551688903103781"</f>
        <v>1551688903103781</v>
      </c>
      <c r="C2793" t="s">
        <v>40</v>
      </c>
      <c r="D2793">
        <v>4.8498999999999999</v>
      </c>
      <c r="E2793">
        <v>0.48644979999999899</v>
      </c>
      <c r="F2793" t="s">
        <v>45</v>
      </c>
      <c r="G2793">
        <v>-487.82740000000001</v>
      </c>
      <c r="H2793" s="1">
        <v>3.2613660000000001E-6</v>
      </c>
      <c r="I2793">
        <v>280.8091</v>
      </c>
      <c r="J2793">
        <v>-479.33929999999998</v>
      </c>
      <c r="K2793">
        <v>1.120819</v>
      </c>
      <c r="L2793">
        <v>283.70319999999998</v>
      </c>
      <c r="M2793">
        <v>-0.99616740000000004</v>
      </c>
      <c r="N2793">
        <v>-2.184504E-2</v>
      </c>
      <c r="O2793">
        <v>-8.4695809999999996E-2</v>
      </c>
      <c r="P2793">
        <v>-0.91731779999999996</v>
      </c>
      <c r="Q2793">
        <v>0.27784439999999999</v>
      </c>
      <c r="R2793">
        <v>-0.28518539999999998</v>
      </c>
      <c r="S2793">
        <v>-3.0689700000000002</v>
      </c>
      <c r="T2793">
        <v>-0.38969589999999998</v>
      </c>
      <c r="U2793">
        <v>-1.01712</v>
      </c>
      <c r="V2793">
        <v>-0.2138323</v>
      </c>
      <c r="W2793">
        <v>0.29302470000000003</v>
      </c>
      <c r="X2793">
        <v>0.9318864</v>
      </c>
      <c r="Y2793">
        <v>-0.231484</v>
      </c>
      <c r="Z2793">
        <v>-8.2803500000000006E-3</v>
      </c>
      <c r="AA2793">
        <v>0.97280350000000004</v>
      </c>
      <c r="AB2793">
        <v>52</v>
      </c>
      <c r="AC2793">
        <v>-8.4881000000000295</v>
      </c>
      <c r="AD2793">
        <v>-1.1208157386340001</v>
      </c>
      <c r="AE2793">
        <v>-2.8940999999999799</v>
      </c>
      <c r="AF2793">
        <v>-2.13132643747256</v>
      </c>
      <c r="AG2793">
        <v>-1.1208157386340001</v>
      </c>
      <c r="AH2793">
        <v>8.5689155091053397</v>
      </c>
      <c r="AI2793">
        <v>97.234023790888401</v>
      </c>
      <c r="AJ2793">
        <v>103.967612305111</v>
      </c>
      <c r="AK2793">
        <v>8.9008478981064094</v>
      </c>
      <c r="AL2793">
        <v>72.960872444114003</v>
      </c>
      <c r="AM2793">
        <v>102.92347198602</v>
      </c>
      <c r="AN2793">
        <v>0.99999999491917002</v>
      </c>
    </row>
    <row r="2794" spans="1:40" x14ac:dyDescent="0.25">
      <c r="A2794" t="str">
        <f>"20190304164143134"</f>
        <v>20190304164143134</v>
      </c>
      <c r="B2794" t="str">
        <f>"1551688903123302"</f>
        <v>1551688903123302</v>
      </c>
      <c r="C2794" t="s">
        <v>40</v>
      </c>
      <c r="D2794">
        <v>4.8533949999999999</v>
      </c>
      <c r="E2794">
        <v>0.48764410000000002</v>
      </c>
      <c r="F2794" t="s">
        <v>45</v>
      </c>
      <c r="G2794">
        <v>-488.40519999999998</v>
      </c>
      <c r="H2794" s="1">
        <v>3.3414739999999998E-6</v>
      </c>
      <c r="I2794">
        <v>280.55309999999997</v>
      </c>
      <c r="J2794">
        <v>-479.7448</v>
      </c>
      <c r="K2794">
        <v>1.1215219999999999</v>
      </c>
      <c r="L2794">
        <v>283.66449999999998</v>
      </c>
      <c r="M2794">
        <v>-0.99541329999999995</v>
      </c>
      <c r="N2794">
        <v>-2.2082299999999999E-2</v>
      </c>
      <c r="O2794">
        <v>-9.3085020000000004E-2</v>
      </c>
      <c r="P2794">
        <v>-0.90744979999999997</v>
      </c>
      <c r="Q2794">
        <v>0.28929909999999998</v>
      </c>
      <c r="R2794">
        <v>-0.30469839999999998</v>
      </c>
      <c r="S2794">
        <v>-3.05484</v>
      </c>
      <c r="T2794">
        <v>-0.37766749999999999</v>
      </c>
      <c r="U2794">
        <v>-1.0614619999999999</v>
      </c>
      <c r="V2794">
        <v>-0.22702810000000001</v>
      </c>
      <c r="W2794">
        <v>0.30388929999999997</v>
      </c>
      <c r="X2794">
        <v>0.92526189999999997</v>
      </c>
      <c r="Y2794">
        <v>-0.23734759999999999</v>
      </c>
      <c r="Z2794">
        <v>-7.8264509999999999E-3</v>
      </c>
      <c r="AA2794">
        <v>0.97139319999999896</v>
      </c>
      <c r="AB2794">
        <v>52</v>
      </c>
      <c r="AC2794">
        <v>-8.6603999999999797</v>
      </c>
      <c r="AD2794">
        <v>-1.121518658526</v>
      </c>
      <c r="AE2794">
        <v>-3.1114000000000002</v>
      </c>
      <c r="AF2794">
        <v>-2.2579960300303399</v>
      </c>
      <c r="AG2794">
        <v>-1.121518658526</v>
      </c>
      <c r="AH2794">
        <v>8.7820351141671296</v>
      </c>
      <c r="AI2794">
        <v>97.050717317824095</v>
      </c>
      <c r="AJ2794">
        <v>104.419294810366</v>
      </c>
      <c r="AK2794">
        <v>9.13676588949936</v>
      </c>
      <c r="AL2794">
        <v>72.308646426668403</v>
      </c>
      <c r="AM2794">
        <v>103.786098663489</v>
      </c>
      <c r="AN2794">
        <v>1.0000000242178499</v>
      </c>
    </row>
    <row r="2795" spans="1:40" x14ac:dyDescent="0.25">
      <c r="A2795" t="str">
        <f>"20190304164143155"</f>
        <v>20190304164143155</v>
      </c>
      <c r="B2795" t="str">
        <f>"1551688903143798"</f>
        <v>1551688903143798</v>
      </c>
      <c r="C2795" t="s">
        <v>40</v>
      </c>
      <c r="D2795">
        <v>4.895537</v>
      </c>
      <c r="E2795">
        <v>0.4892263</v>
      </c>
      <c r="F2795" t="s">
        <v>45</v>
      </c>
      <c r="G2795">
        <v>-489.85219999999998</v>
      </c>
      <c r="H2795" s="1">
        <v>3.5451300000000001E-6</v>
      </c>
      <c r="I2795">
        <v>279.94670000000002</v>
      </c>
      <c r="J2795">
        <v>-480.24130000000002</v>
      </c>
      <c r="K2795">
        <v>1.1223339999999999</v>
      </c>
      <c r="L2795">
        <v>283.61239999999998</v>
      </c>
      <c r="M2795">
        <v>-0.99432810000000005</v>
      </c>
      <c r="N2795">
        <v>-2.2377810000000001E-2</v>
      </c>
      <c r="O2795">
        <v>-0.1039754</v>
      </c>
      <c r="P2795">
        <v>-0.9005263</v>
      </c>
      <c r="Q2795">
        <v>0.2925836</v>
      </c>
      <c r="R2795">
        <v>-0.32163320000000001</v>
      </c>
      <c r="S2795">
        <v>-3.0382389999999999</v>
      </c>
      <c r="T2795">
        <v>-0.3371229</v>
      </c>
      <c r="U2795">
        <v>-1.1175539999999999</v>
      </c>
      <c r="V2795">
        <v>-0.2350371</v>
      </c>
      <c r="W2795">
        <v>0.3067513</v>
      </c>
      <c r="X2795">
        <v>0.92231300000000005</v>
      </c>
      <c r="Y2795">
        <v>-0.24448259999999999</v>
      </c>
      <c r="Z2795">
        <v>-7.1174050000000003E-3</v>
      </c>
      <c r="AA2795">
        <v>0.96962760000000003</v>
      </c>
      <c r="AB2795">
        <v>52</v>
      </c>
      <c r="AC2795">
        <v>-9.6108999999999494</v>
      </c>
      <c r="AD2795">
        <v>-1.1223304548699999</v>
      </c>
      <c r="AE2795">
        <v>-3.66569999999995</v>
      </c>
      <c r="AF2795">
        <v>-2.6151408242076601</v>
      </c>
      <c r="AG2795">
        <v>-1.1223304548699999</v>
      </c>
      <c r="AH2795">
        <v>9.8230762108515393</v>
      </c>
      <c r="AI2795">
        <v>96.300441195172198</v>
      </c>
      <c r="AJ2795">
        <v>104.907747374439</v>
      </c>
      <c r="AK2795">
        <v>10.226994349492999</v>
      </c>
      <c r="AL2795">
        <v>72.136443253764398</v>
      </c>
      <c r="AM2795">
        <v>104.29664378093599</v>
      </c>
      <c r="AN2795">
        <v>1.00000003419854</v>
      </c>
    </row>
    <row r="2796" spans="1:40" x14ac:dyDescent="0.25">
      <c r="A2796" t="str">
        <f>"20190304164143178"</f>
        <v>20190304164143178</v>
      </c>
      <c r="B2796" t="str">
        <f>"1551688903163318"</f>
        <v>1551688903163318</v>
      </c>
      <c r="C2796" t="s">
        <v>40</v>
      </c>
      <c r="D2796">
        <v>4.8941980000000003</v>
      </c>
      <c r="E2796">
        <v>0.48984470000000002</v>
      </c>
      <c r="F2796" t="s">
        <v>45</v>
      </c>
      <c r="G2796">
        <v>-490.59179999999998</v>
      </c>
      <c r="H2796" s="1">
        <v>3.4231840000000001E-6</v>
      </c>
      <c r="I2796">
        <v>279.6241</v>
      </c>
      <c r="J2796">
        <v>-480.76080000000002</v>
      </c>
      <c r="K2796">
        <v>1.1231059999999999</v>
      </c>
      <c r="L2796">
        <v>283.5523</v>
      </c>
      <c r="M2796">
        <v>-0.99298129999999996</v>
      </c>
      <c r="N2796">
        <v>-2.2698289999999999E-2</v>
      </c>
      <c r="O2796">
        <v>-0.1160727</v>
      </c>
      <c r="P2796">
        <v>-0.89587629999999996</v>
      </c>
      <c r="Q2796">
        <v>0.28796389999999999</v>
      </c>
      <c r="R2796">
        <v>-0.33835330000000002</v>
      </c>
      <c r="S2796">
        <v>-3.0219119999999999</v>
      </c>
      <c r="T2796">
        <v>-0.32767269999999998</v>
      </c>
      <c r="U2796">
        <v>-1.1644289999999999</v>
      </c>
      <c r="V2796">
        <v>-0.24128859999999999</v>
      </c>
      <c r="W2796">
        <v>0.30182029999999999</v>
      </c>
      <c r="X2796">
        <v>0.92232550000000002</v>
      </c>
      <c r="Y2796">
        <v>-0.24760470000000001</v>
      </c>
      <c r="Z2796">
        <v>-6.3665179999999998E-3</v>
      </c>
      <c r="AA2796">
        <v>0.96884020000000004</v>
      </c>
      <c r="AB2796">
        <v>51</v>
      </c>
      <c r="AC2796">
        <v>-9.8309999999999604</v>
      </c>
      <c r="AD2796">
        <v>-1.1231025768159999</v>
      </c>
      <c r="AE2796">
        <v>-3.9281999999999999</v>
      </c>
      <c r="AF2796">
        <v>-2.7295112700395698</v>
      </c>
      <c r="AG2796">
        <v>-1.1231025768159999</v>
      </c>
      <c r="AH2796">
        <v>10.106845311669</v>
      </c>
      <c r="AI2796">
        <v>96.123247450202797</v>
      </c>
      <c r="AJ2796">
        <v>105.113078424805</v>
      </c>
      <c r="AK2796">
        <v>10.529003434576699</v>
      </c>
      <c r="AL2796">
        <v>72.433032676396493</v>
      </c>
      <c r="AM2796">
        <v>104.66053084622099</v>
      </c>
      <c r="AN2796">
        <v>1.0000000049661499</v>
      </c>
    </row>
    <row r="2797" spans="1:40" x14ac:dyDescent="0.25">
      <c r="A2797" t="str">
        <f>"20190304164143195"</f>
        <v>20190304164143195</v>
      </c>
      <c r="B2797" t="str">
        <f>"1551688903183814"</f>
        <v>1551688903183814</v>
      </c>
      <c r="C2797" t="s">
        <v>40</v>
      </c>
      <c r="D2797">
        <v>4.9054830000000003</v>
      </c>
      <c r="E2797">
        <v>0.50009680000000001</v>
      </c>
      <c r="F2797" t="s">
        <v>45</v>
      </c>
      <c r="G2797">
        <v>-490.55520000000001</v>
      </c>
      <c r="H2797" s="1">
        <v>3.4262470000000001E-6</v>
      </c>
      <c r="I2797">
        <v>279.60059999999999</v>
      </c>
      <c r="J2797">
        <v>-481.12529999999998</v>
      </c>
      <c r="K2797">
        <v>1.123607</v>
      </c>
      <c r="L2797">
        <v>283.50599999999997</v>
      </c>
      <c r="M2797">
        <v>-0.99189110000000003</v>
      </c>
      <c r="N2797">
        <v>-2.2937200000000001E-2</v>
      </c>
      <c r="O2797">
        <v>-0.12500349999999999</v>
      </c>
      <c r="P2797">
        <v>-0.8923046</v>
      </c>
      <c r="Q2797">
        <v>0.28561989999999998</v>
      </c>
      <c r="R2797">
        <v>-0.34959069999999998</v>
      </c>
      <c r="S2797">
        <v>-3.0019230000000001</v>
      </c>
      <c r="T2797">
        <v>-0.3442249</v>
      </c>
      <c r="U2797">
        <v>-1.2111510000000001</v>
      </c>
      <c r="V2797">
        <v>-0.244812</v>
      </c>
      <c r="W2797">
        <v>0.2993017</v>
      </c>
      <c r="X2797">
        <v>0.92221779999999998</v>
      </c>
      <c r="Y2797">
        <v>-0.25396489999999999</v>
      </c>
      <c r="Z2797">
        <v>-6.1368400000000002E-3</v>
      </c>
      <c r="AA2797">
        <v>0.967194</v>
      </c>
      <c r="AB2797">
        <v>51</v>
      </c>
      <c r="AC2797">
        <v>-9.4299000000000301</v>
      </c>
      <c r="AD2797">
        <v>-1.1236035737529999</v>
      </c>
      <c r="AE2797">
        <v>-3.9053999999999802</v>
      </c>
      <c r="AF2797">
        <v>-2.6633929756414698</v>
      </c>
      <c r="AG2797">
        <v>-1.1236035737529999</v>
      </c>
      <c r="AH2797">
        <v>9.7263405304841992</v>
      </c>
      <c r="AI2797">
        <v>96.357664407258</v>
      </c>
      <c r="AJ2797">
        <v>105.31406946068201</v>
      </c>
      <c r="AK2797">
        <v>10.146814635568401</v>
      </c>
      <c r="AL2797">
        <v>72.584334396538793</v>
      </c>
      <c r="AM2797">
        <v>104.86685454915499</v>
      </c>
      <c r="AN2797">
        <v>1.0000000468018599</v>
      </c>
    </row>
    <row r="2798" spans="1:40" x14ac:dyDescent="0.25">
      <c r="A2798" t="str">
        <f>"20190304164143211"</f>
        <v>20190304164143211</v>
      </c>
      <c r="B2798" t="str">
        <f>"1551688903203334"</f>
        <v>1551688903203334</v>
      </c>
      <c r="C2798" t="s">
        <v>40</v>
      </c>
      <c r="D2798">
        <v>4.9050260000000003</v>
      </c>
      <c r="E2798">
        <v>0.50178210000000001</v>
      </c>
      <c r="F2798" t="s">
        <v>45</v>
      </c>
      <c r="G2798">
        <v>-490.00450000000001</v>
      </c>
      <c r="H2798" s="1">
        <v>3.5655680000000002E-6</v>
      </c>
      <c r="I2798">
        <v>280.06099999999998</v>
      </c>
      <c r="J2798">
        <v>-481.48630000000003</v>
      </c>
      <c r="K2798">
        <v>1.1240709999999901</v>
      </c>
      <c r="L2798">
        <v>283.4572</v>
      </c>
      <c r="M2798">
        <v>-0.99069149999999995</v>
      </c>
      <c r="N2798">
        <v>-2.3189379999999999E-2</v>
      </c>
      <c r="O2798">
        <v>-0.1341378</v>
      </c>
      <c r="P2798">
        <v>-0.88688829999999996</v>
      </c>
      <c r="Q2798">
        <v>0.28529690000000002</v>
      </c>
      <c r="R2798">
        <v>-0.36336629999999998</v>
      </c>
      <c r="S2798">
        <v>-3.0248409999999999</v>
      </c>
      <c r="T2798">
        <v>-0.3827738</v>
      </c>
      <c r="U2798">
        <v>-1.1736150000000001</v>
      </c>
      <c r="V2798">
        <v>-0.25095089999999998</v>
      </c>
      <c r="W2798">
        <v>0.29871239999999999</v>
      </c>
      <c r="X2798">
        <v>0.92075759999999995</v>
      </c>
      <c r="Y2798">
        <v>-0.23204620000000001</v>
      </c>
      <c r="Z2798">
        <v>-3.750902E-3</v>
      </c>
      <c r="AA2798">
        <v>0.97269760000000005</v>
      </c>
      <c r="AB2798">
        <v>51</v>
      </c>
      <c r="AC2798">
        <v>-8.51819999999997</v>
      </c>
      <c r="AD2798">
        <v>-1.1240674344320001</v>
      </c>
      <c r="AE2798">
        <v>-3.3962000000000199</v>
      </c>
      <c r="AF2798">
        <v>-2.18967091279894</v>
      </c>
      <c r="AG2798">
        <v>-1.1240674344320001</v>
      </c>
      <c r="AH2798">
        <v>8.7651597868037392</v>
      </c>
      <c r="AI2798">
        <v>97.0922408790926</v>
      </c>
      <c r="AJ2798">
        <v>104.0262823365</v>
      </c>
      <c r="AK2798">
        <v>9.1041865310256895</v>
      </c>
      <c r="AL2798">
        <v>72.619716796587298</v>
      </c>
      <c r="AM2798">
        <v>105.24557272940601</v>
      </c>
      <c r="AN2798">
        <v>1.0000000050411599</v>
      </c>
    </row>
    <row r="2799" spans="1:40" x14ac:dyDescent="0.25">
      <c r="A2799" t="str">
        <f>"20190304164143233"</f>
        <v>20190304164143233</v>
      </c>
      <c r="B2799" t="str">
        <f>"1551688903223831"</f>
        <v>1551688903223831</v>
      </c>
      <c r="C2799" t="s">
        <v>40</v>
      </c>
      <c r="D2799">
        <v>4.9032519999999904</v>
      </c>
      <c r="E2799">
        <v>0.50357029999999903</v>
      </c>
      <c r="F2799" t="s">
        <v>45</v>
      </c>
      <c r="G2799">
        <v>-490.1506</v>
      </c>
      <c r="H2799" s="1">
        <v>3.5339090000000002E-6</v>
      </c>
      <c r="I2799">
        <v>279.99549999999999</v>
      </c>
      <c r="J2799">
        <v>-481.9778</v>
      </c>
      <c r="K2799">
        <v>1.124682</v>
      </c>
      <c r="L2799">
        <v>283.38569999999999</v>
      </c>
      <c r="M2799">
        <v>-0.98885429999999996</v>
      </c>
      <c r="N2799">
        <v>-2.3565280000000001E-2</v>
      </c>
      <c r="O2799">
        <v>-0.14701040000000001</v>
      </c>
      <c r="P2799">
        <v>-0.87888899999999903</v>
      </c>
      <c r="Q2799">
        <v>0.28965859999999999</v>
      </c>
      <c r="R2799">
        <v>-0.37901459999999998</v>
      </c>
      <c r="S2799">
        <v>-3.014923</v>
      </c>
      <c r="T2799">
        <v>-0.39113900000000001</v>
      </c>
      <c r="U2799">
        <v>-1.2045589999999999</v>
      </c>
      <c r="V2799">
        <v>-0.25609789999999999</v>
      </c>
      <c r="W2799">
        <v>0.30284519999999998</v>
      </c>
      <c r="X2799">
        <v>0.91798619999999997</v>
      </c>
      <c r="Y2799">
        <v>-0.22914609999999999</v>
      </c>
      <c r="Z2799">
        <v>-2.313243E-3</v>
      </c>
      <c r="AA2799">
        <v>0.97338930000000001</v>
      </c>
      <c r="AB2799">
        <v>51</v>
      </c>
      <c r="AC2799">
        <v>-8.1727999999999899</v>
      </c>
      <c r="AD2799">
        <v>-1.1246784660910001</v>
      </c>
      <c r="AE2799">
        <v>-3.3901999999999899</v>
      </c>
      <c r="AF2799">
        <v>-2.11731503189583</v>
      </c>
      <c r="AG2799">
        <v>-1.1246784660910001</v>
      </c>
      <c r="AH2799">
        <v>8.4460230919577306</v>
      </c>
      <c r="AI2799">
        <v>97.359800351490307</v>
      </c>
      <c r="AJ2799">
        <v>104.073327916148</v>
      </c>
      <c r="AK2799">
        <v>8.7797056138724905</v>
      </c>
      <c r="AL2799">
        <v>72.371427272652895</v>
      </c>
      <c r="AM2799">
        <v>105.587929700758</v>
      </c>
      <c r="AN2799">
        <v>1.0000000064689401</v>
      </c>
    </row>
    <row r="2800" spans="1:40" x14ac:dyDescent="0.25">
      <c r="A2800" t="str">
        <f>"20190304164143250"</f>
        <v>20190304164143250</v>
      </c>
      <c r="B2800" t="str">
        <f>"1551688903243350"</f>
        <v>1551688903243350</v>
      </c>
      <c r="C2800" t="s">
        <v>40</v>
      </c>
      <c r="D2800">
        <v>4.9234210000000003</v>
      </c>
      <c r="E2800">
        <v>0.50425050000000005</v>
      </c>
      <c r="F2800" t="s">
        <v>45</v>
      </c>
      <c r="G2800">
        <v>-490.83269999999999</v>
      </c>
      <c r="H2800" s="1">
        <v>3.3877129999999999E-6</v>
      </c>
      <c r="I2800">
        <v>279.70699999999999</v>
      </c>
      <c r="J2800">
        <v>-482.34930000000003</v>
      </c>
      <c r="K2800">
        <v>1.125105</v>
      </c>
      <c r="L2800">
        <v>283.32749999999999</v>
      </c>
      <c r="M2800">
        <v>-0.98730359999999995</v>
      </c>
      <c r="N2800">
        <v>-2.387657E-2</v>
      </c>
      <c r="O2800">
        <v>-0.1570396</v>
      </c>
      <c r="P2800">
        <v>-0.87240219999999902</v>
      </c>
      <c r="Q2800">
        <v>0.29247469999999998</v>
      </c>
      <c r="R2800">
        <v>-0.39162859999999999</v>
      </c>
      <c r="S2800">
        <v>-3.001312</v>
      </c>
      <c r="T2800">
        <v>-0.38120540000000003</v>
      </c>
      <c r="U2800">
        <v>-1.2468570000000001</v>
      </c>
      <c r="V2800">
        <v>-0.26056800000000002</v>
      </c>
      <c r="W2800">
        <v>0.30550709999999998</v>
      </c>
      <c r="X2800">
        <v>0.91584370000000004</v>
      </c>
      <c r="Y2800">
        <v>-0.23259750000000001</v>
      </c>
      <c r="Z2800">
        <v>-1.7874010000000001E-3</v>
      </c>
      <c r="AA2800">
        <v>0.97257139999999997</v>
      </c>
      <c r="AB2800">
        <v>50</v>
      </c>
      <c r="AC2800">
        <v>-8.4833999999999499</v>
      </c>
      <c r="AD2800">
        <v>-1.1251016122869999</v>
      </c>
      <c r="AE2800">
        <v>-3.6204999999999901</v>
      </c>
      <c r="AF2800">
        <v>-2.2100588247600901</v>
      </c>
      <c r="AG2800">
        <v>-1.1251016122869999</v>
      </c>
      <c r="AH2800">
        <v>8.8156356679141403</v>
      </c>
      <c r="AI2800">
        <v>97.057013633718199</v>
      </c>
      <c r="AJ2800">
        <v>104.073856411313</v>
      </c>
      <c r="AK2800">
        <v>9.1578188383627008</v>
      </c>
      <c r="AL2800">
        <v>72.211324723329</v>
      </c>
      <c r="AM2800">
        <v>105.88165847719399</v>
      </c>
      <c r="AN2800">
        <v>0.999999976802049</v>
      </c>
    </row>
    <row r="2801" spans="1:40" x14ac:dyDescent="0.25">
      <c r="A2801" t="str">
        <f>"20190304164143263"</f>
        <v>20190304164143263</v>
      </c>
      <c r="B2801" t="str">
        <f>"1551688903254086"</f>
        <v>1551688903254086</v>
      </c>
      <c r="C2801" t="s">
        <v>40</v>
      </c>
      <c r="D2801">
        <v>4.926272</v>
      </c>
      <c r="E2801">
        <v>0.51268820000000004</v>
      </c>
      <c r="F2801" t="s">
        <v>45</v>
      </c>
      <c r="G2801">
        <v>-491.35070000000002</v>
      </c>
      <c r="H2801" s="1">
        <v>3.2579920000000002E-6</v>
      </c>
      <c r="I2801">
        <v>279.44659999999999</v>
      </c>
      <c r="J2801">
        <v>-482.64449999999999</v>
      </c>
      <c r="K2801">
        <v>1.125427</v>
      </c>
      <c r="L2801">
        <v>283.27910000000003</v>
      </c>
      <c r="M2801">
        <v>-0.98597190000000001</v>
      </c>
      <c r="N2801">
        <v>-2.4136600000000001E-2</v>
      </c>
      <c r="O2801">
        <v>-0.165157</v>
      </c>
      <c r="P2801">
        <v>-0.86388480000000001</v>
      </c>
      <c r="Q2801">
        <v>0.29738130000000002</v>
      </c>
      <c r="R2801">
        <v>-0.40653099999999998</v>
      </c>
      <c r="S2801">
        <v>-2.9859309999999999</v>
      </c>
      <c r="T2801">
        <v>-0.37321650000000001</v>
      </c>
      <c r="U2801">
        <v>-1.2873840000000001</v>
      </c>
      <c r="V2801">
        <v>-0.26946199999999998</v>
      </c>
      <c r="W2801">
        <v>0.31006339999999999</v>
      </c>
      <c r="X2801">
        <v>0.91172960000000003</v>
      </c>
      <c r="Y2801">
        <v>-0.2375757</v>
      </c>
      <c r="Z2801">
        <v>-1.5599380000000001E-3</v>
      </c>
      <c r="AA2801">
        <v>0.9713678</v>
      </c>
      <c r="AB2801">
        <v>50</v>
      </c>
      <c r="AC2801">
        <v>-8.7062000000000204</v>
      </c>
      <c r="AD2801">
        <v>-1.125423742008</v>
      </c>
      <c r="AE2801">
        <v>-3.8325000000000302</v>
      </c>
      <c r="AF2801">
        <v>-2.3092064471911198</v>
      </c>
      <c r="AG2801">
        <v>-1.125423742008</v>
      </c>
      <c r="AH2801">
        <v>9.0924471053339708</v>
      </c>
      <c r="AI2801">
        <v>96.840917747090401</v>
      </c>
      <c r="AJ2801">
        <v>104.25011279985701</v>
      </c>
      <c r="AK2801">
        <v>9.4483653283581504</v>
      </c>
      <c r="AL2801">
        <v>71.936948176556896</v>
      </c>
      <c r="AM2801">
        <v>106.465063038547</v>
      </c>
      <c r="AN2801">
        <v>0.99999997248985895</v>
      </c>
    </row>
    <row r="2802" spans="1:40" x14ac:dyDescent="0.25">
      <c r="A2802" t="str">
        <f>"20190304164143278"</f>
        <v>20190304164143278</v>
      </c>
      <c r="B2802" t="str">
        <f>"1551688903263846"</f>
        <v>1551688903263846</v>
      </c>
      <c r="C2802" t="s">
        <v>40</v>
      </c>
      <c r="D2802">
        <v>5.2014809999999896</v>
      </c>
      <c r="E2802">
        <v>0.51268820000000004</v>
      </c>
      <c r="F2802" t="s">
        <v>45</v>
      </c>
      <c r="G2802">
        <v>-491.58100000000002</v>
      </c>
      <c r="H2802" s="1">
        <v>3.2205770000000001E-6</v>
      </c>
      <c r="I2802">
        <v>279.46600000000001</v>
      </c>
      <c r="J2802">
        <v>-482.97179999999997</v>
      </c>
      <c r="K2802">
        <v>1.125758</v>
      </c>
      <c r="L2802">
        <v>283.22219999999999</v>
      </c>
      <c r="M2802">
        <v>-0.98437730000000001</v>
      </c>
      <c r="N2802">
        <v>-2.4440389999999999E-2</v>
      </c>
      <c r="O2802">
        <v>-0.17436750000000001</v>
      </c>
      <c r="P2802">
        <v>-0.85578330000000002</v>
      </c>
      <c r="Q2802">
        <v>0.30121049999999999</v>
      </c>
      <c r="R2802">
        <v>-0.42060320000000001</v>
      </c>
      <c r="S2802">
        <v>-3.000305</v>
      </c>
      <c r="T2802">
        <v>-0.37784420000000002</v>
      </c>
      <c r="U2802">
        <v>-1.2801819999999999</v>
      </c>
      <c r="V2802">
        <v>-0.27649119999999999</v>
      </c>
      <c r="W2802">
        <v>0.31365209999999999</v>
      </c>
      <c r="X2802">
        <v>0.90839139999999996</v>
      </c>
      <c r="Y2802">
        <v>-0.22492819999999999</v>
      </c>
      <c r="Z2802">
        <v>1.7594449999999999E-4</v>
      </c>
      <c r="AA2802">
        <v>0.97437530000000006</v>
      </c>
      <c r="AB2802">
        <v>50</v>
      </c>
      <c r="AC2802">
        <v>-8.60919999999998</v>
      </c>
      <c r="AD2802">
        <v>-1.1257547794230001</v>
      </c>
      <c r="AE2802">
        <v>-3.75619999999997</v>
      </c>
      <c r="AF2802">
        <v>-2.1658979786244901</v>
      </c>
      <c r="AG2802">
        <v>-1.1257547794230001</v>
      </c>
      <c r="AH2802">
        <v>9.0030653955602808</v>
      </c>
      <c r="AI2802">
        <v>96.931587394830103</v>
      </c>
      <c r="AJ2802">
        <v>103.526792898352</v>
      </c>
      <c r="AK2802">
        <v>9.3281093686737204</v>
      </c>
      <c r="AL2802">
        <v>71.720538144457706</v>
      </c>
      <c r="AM2802">
        <v>106.928913054026</v>
      </c>
      <c r="AN2802">
        <v>0.99999997955290398</v>
      </c>
    </row>
    <row r="2803" spans="1:40" x14ac:dyDescent="0.25">
      <c r="A2803" t="str">
        <f>"20190304164143290"</f>
        <v>20190304164143290</v>
      </c>
      <c r="B2803" t="str">
        <f>"1551688903283366"</f>
        <v>1551688903283366</v>
      </c>
      <c r="C2803" t="s">
        <v>40</v>
      </c>
      <c r="D2803">
        <v>4.9750329999999998</v>
      </c>
      <c r="E2803">
        <v>0.48208839999999997</v>
      </c>
      <c r="F2803" t="s">
        <v>45</v>
      </c>
      <c r="G2803">
        <v>-492.18290000000002</v>
      </c>
      <c r="H2803" s="1">
        <v>3.052916E-6</v>
      </c>
      <c r="I2803">
        <v>279.12020000000001</v>
      </c>
      <c r="J2803">
        <v>-483.22070000000002</v>
      </c>
      <c r="K2803">
        <v>1.1259999999999999</v>
      </c>
      <c r="L2803">
        <v>283.17680000000001</v>
      </c>
      <c r="M2803">
        <v>-0.98308209999999996</v>
      </c>
      <c r="N2803">
        <v>-2.467861E-2</v>
      </c>
      <c r="O2803">
        <v>-0.18149580000000001</v>
      </c>
      <c r="P2803">
        <v>-0.84490219999999905</v>
      </c>
      <c r="Q2803">
        <v>0.3062764</v>
      </c>
      <c r="R2803">
        <v>-0.43856070000000003</v>
      </c>
      <c r="S2803">
        <v>-2.981293</v>
      </c>
      <c r="T2803">
        <v>-0.36436590000000002</v>
      </c>
      <c r="U2803">
        <v>-1.3276669999999999</v>
      </c>
      <c r="V2803">
        <v>-0.2898191</v>
      </c>
      <c r="W2803">
        <v>0.31817400000000001</v>
      </c>
      <c r="X2803">
        <v>0.90264619999999995</v>
      </c>
      <c r="Y2803">
        <v>-0.23313680000000001</v>
      </c>
      <c r="Z2803" s="1">
        <v>-8.4266999999999998E-5</v>
      </c>
      <c r="AA2803">
        <v>0.97244390000000003</v>
      </c>
      <c r="AB2803">
        <v>50</v>
      </c>
      <c r="AC2803">
        <v>-8.9621999999999904</v>
      </c>
      <c r="AD2803">
        <v>-1.1259969470840001</v>
      </c>
      <c r="AE2803">
        <v>-4.0566000000000004</v>
      </c>
      <c r="AF2803">
        <v>-2.3315430056073301</v>
      </c>
      <c r="AG2803">
        <v>-1.1259969470840001</v>
      </c>
      <c r="AH2803">
        <v>9.4262492939279099</v>
      </c>
      <c r="AI2803">
        <v>96.614409613770405</v>
      </c>
      <c r="AJ2803">
        <v>103.89302446564299</v>
      </c>
      <c r="AK2803">
        <v>9.7753842718900508</v>
      </c>
      <c r="AL2803">
        <v>71.447467655695405</v>
      </c>
      <c r="AM2803">
        <v>107.800639316019</v>
      </c>
      <c r="AN2803">
        <v>0.99999998368762399</v>
      </c>
    </row>
    <row r="2804" spans="1:40" x14ac:dyDescent="0.25">
      <c r="A2804" t="str">
        <f>"20190304164143312"</f>
        <v>20190304164143312</v>
      </c>
      <c r="B2804" t="str">
        <f>"1551688903303861"</f>
        <v>1551688903303861</v>
      </c>
      <c r="C2804" t="s">
        <v>40</v>
      </c>
      <c r="D2804">
        <v>4.9954720000000004</v>
      </c>
      <c r="E2804">
        <v>0.44203029999999999</v>
      </c>
      <c r="F2804" t="s">
        <v>45</v>
      </c>
      <c r="G2804">
        <v>-493.85969999999998</v>
      </c>
      <c r="H2804" s="1">
        <v>2.3274419999999998E-6</v>
      </c>
      <c r="I2804">
        <v>277.17939999999999</v>
      </c>
      <c r="J2804">
        <v>-483.68270000000001</v>
      </c>
      <c r="K2804">
        <v>1.1263939999999999</v>
      </c>
      <c r="L2804">
        <v>283.08850000000001</v>
      </c>
      <c r="M2804">
        <v>-0.98049359999999997</v>
      </c>
      <c r="N2804">
        <v>-2.5131400000000002E-2</v>
      </c>
      <c r="O2804">
        <v>-0.19493840000000001</v>
      </c>
      <c r="P2804">
        <v>-0.83425090000000002</v>
      </c>
      <c r="Q2804">
        <v>0.3099442</v>
      </c>
      <c r="R2804">
        <v>-0.4560264</v>
      </c>
      <c r="S2804">
        <v>-2.8309630000000001</v>
      </c>
      <c r="T2804">
        <v>-0.2996202</v>
      </c>
      <c r="U2804">
        <v>-1.5958859999999999</v>
      </c>
      <c r="V2804">
        <v>-0.29695129999999997</v>
      </c>
      <c r="W2804">
        <v>0.32166080000000002</v>
      </c>
      <c r="X2804">
        <v>0.89908519999999903</v>
      </c>
      <c r="Y2804">
        <v>-0.31055840000000001</v>
      </c>
      <c r="Z2804">
        <v>-5.2600879999999996E-3</v>
      </c>
      <c r="AA2804">
        <v>0.95053969999999999</v>
      </c>
      <c r="AB2804">
        <v>50</v>
      </c>
      <c r="AC2804">
        <v>-10.1769999999999</v>
      </c>
      <c r="AD2804">
        <v>-1.1263916725579901</v>
      </c>
      <c r="AE2804">
        <v>-5.90910000000002</v>
      </c>
      <c r="AF2804">
        <v>-3.7765511672520802</v>
      </c>
      <c r="AG2804">
        <v>-1.1263916725579901</v>
      </c>
      <c r="AH2804">
        <v>11.032832209072501</v>
      </c>
      <c r="AI2804">
        <v>95.517218252934398</v>
      </c>
      <c r="AJ2804">
        <v>108.896134396134</v>
      </c>
      <c r="AK2804">
        <v>11.7155658622377</v>
      </c>
      <c r="AL2804">
        <v>71.236606631009295</v>
      </c>
      <c r="AM2804">
        <v>108.277438811894</v>
      </c>
      <c r="AN2804">
        <v>0.99999997084368397</v>
      </c>
    </row>
    <row r="2805" spans="1:40" x14ac:dyDescent="0.25">
      <c r="A2805" t="str">
        <f>"20190304164143335"</f>
        <v>20190304164143335</v>
      </c>
      <c r="B2805" t="str">
        <f>"1551688903323383"</f>
        <v>1551688903323383</v>
      </c>
      <c r="C2805" t="s">
        <v>40</v>
      </c>
      <c r="D2805">
        <v>4.9763409999999997</v>
      </c>
      <c r="E2805">
        <v>0.44398140000000003</v>
      </c>
      <c r="F2805" t="s">
        <v>41</v>
      </c>
      <c r="G2805">
        <v>-484.52210000000002</v>
      </c>
      <c r="H2805">
        <v>1.064271</v>
      </c>
      <c r="I2805">
        <v>282.47059999999999</v>
      </c>
      <c r="J2805">
        <v>-484.16050000000001</v>
      </c>
      <c r="K2805">
        <v>1.1267389999999999</v>
      </c>
      <c r="L2805">
        <v>282.99099999999999</v>
      </c>
      <c r="M2805">
        <v>-0.97755150000000002</v>
      </c>
      <c r="N2805">
        <v>-2.562033E-2</v>
      </c>
      <c r="O2805">
        <v>-0.20913370000000001</v>
      </c>
      <c r="P2805">
        <v>-0.82631149999999998</v>
      </c>
      <c r="Q2805">
        <v>0.30922110000000003</v>
      </c>
      <c r="R2805">
        <v>-0.47073559999999998</v>
      </c>
      <c r="S2805">
        <v>-2.615723</v>
      </c>
      <c r="T2805">
        <v>-0.19360649999999999</v>
      </c>
      <c r="U2805">
        <v>-1.925049</v>
      </c>
      <c r="V2805">
        <v>-0.30004219999999998</v>
      </c>
      <c r="W2805">
        <v>0.32102509999999901</v>
      </c>
      <c r="X2805">
        <v>0.89828589999999997</v>
      </c>
      <c r="Y2805">
        <v>-0.4102113</v>
      </c>
      <c r="Z2805">
        <v>-1.077986E-2</v>
      </c>
      <c r="AA2805">
        <v>0.91192680000000004</v>
      </c>
      <c r="AB2805">
        <v>49</v>
      </c>
      <c r="AC2805">
        <v>-0.36160000000000903</v>
      </c>
      <c r="AD2805">
        <v>-6.2467999999999899E-2</v>
      </c>
      <c r="AE2805">
        <v>-0.52039999999999498</v>
      </c>
      <c r="AF2805">
        <v>-0.42906776187360901</v>
      </c>
      <c r="AG2805">
        <v>-6.2467999999999899E-2</v>
      </c>
      <c r="AH2805">
        <v>0.45801678728447098</v>
      </c>
      <c r="AI2805">
        <v>95.684221382173106</v>
      </c>
      <c r="AJ2805">
        <v>133.13087879021299</v>
      </c>
      <c r="AK2805">
        <v>0.63069863860453701</v>
      </c>
      <c r="AL2805">
        <v>71.275070036070403</v>
      </c>
      <c r="AM2805">
        <v>108.47016346501</v>
      </c>
      <c r="AN2805">
        <v>0.99999999737483003</v>
      </c>
    </row>
    <row r="2806" spans="1:40" x14ac:dyDescent="0.25">
      <c r="A2806" t="str">
        <f>"20190304164143357"</f>
        <v>20190304164143357</v>
      </c>
      <c r="B2806" t="str">
        <f>"1551688903343878"</f>
        <v>1551688903343878</v>
      </c>
      <c r="C2806" t="s">
        <v>40</v>
      </c>
      <c r="D2806">
        <v>4.895524</v>
      </c>
      <c r="E2806">
        <v>0.44771620000000001</v>
      </c>
      <c r="F2806" t="s">
        <v>41</v>
      </c>
      <c r="G2806">
        <v>-484.9676</v>
      </c>
      <c r="H2806">
        <v>1.060975</v>
      </c>
      <c r="I2806">
        <v>282.37979999999999</v>
      </c>
      <c r="J2806">
        <v>-484.6343</v>
      </c>
      <c r="K2806">
        <v>1.127046</v>
      </c>
      <c r="L2806">
        <v>282.88780000000003</v>
      </c>
      <c r="M2806">
        <v>-0.9743581</v>
      </c>
      <c r="N2806">
        <v>-2.61254E-2</v>
      </c>
      <c r="O2806">
        <v>-0.22348180000000001</v>
      </c>
      <c r="P2806">
        <v>-0.81779239999999997</v>
      </c>
      <c r="Q2806">
        <v>0.30405310000000002</v>
      </c>
      <c r="R2806">
        <v>-0.48863879999999998</v>
      </c>
      <c r="S2806">
        <v>-2.5913089999999999</v>
      </c>
      <c r="T2806">
        <v>-0.2111142</v>
      </c>
      <c r="U2806">
        <v>-1.962952</v>
      </c>
      <c r="V2806">
        <v>-0.30604949999999997</v>
      </c>
      <c r="W2806">
        <v>0.31588749999999999</v>
      </c>
      <c r="X2806">
        <v>0.89808060000000001</v>
      </c>
      <c r="Y2806">
        <v>-0.4093118</v>
      </c>
      <c r="Z2806">
        <v>-1.0331450000000001E-2</v>
      </c>
      <c r="AA2806">
        <v>0.91233609999999998</v>
      </c>
      <c r="AB2806">
        <v>49</v>
      </c>
      <c r="AC2806">
        <v>-0.33330000000000798</v>
      </c>
      <c r="AD2806">
        <v>-6.6070999999999894E-2</v>
      </c>
      <c r="AE2806">
        <v>-0.50800000000003798</v>
      </c>
      <c r="AF2806">
        <v>-0.41571493650768598</v>
      </c>
      <c r="AG2806">
        <v>-6.6070999999999894E-2</v>
      </c>
      <c r="AH2806">
        <v>0.43330784451693799</v>
      </c>
      <c r="AI2806">
        <v>96.279028417388901</v>
      </c>
      <c r="AJ2806">
        <v>133.812923318288</v>
      </c>
      <c r="AK2806">
        <v>0.60410261843208801</v>
      </c>
      <c r="AL2806">
        <v>71.585600078243203</v>
      </c>
      <c r="AM2806">
        <v>108.81817455418999</v>
      </c>
      <c r="AN2806">
        <v>0.99999998660142897</v>
      </c>
    </row>
    <row r="2807" spans="1:40" x14ac:dyDescent="0.25">
      <c r="A2807" t="str">
        <f>"20190304164143379"</f>
        <v>20190304164143379</v>
      </c>
      <c r="B2807" t="str">
        <f>"1551688903374135"</f>
        <v>1551688903374135</v>
      </c>
      <c r="C2807" t="s">
        <v>40</v>
      </c>
      <c r="D2807">
        <v>4.8948410000000004</v>
      </c>
      <c r="E2807">
        <v>0.45222410000000002</v>
      </c>
      <c r="F2807" t="s">
        <v>45</v>
      </c>
      <c r="G2807">
        <v>-496.70010000000002</v>
      </c>
      <c r="H2807" s="1">
        <v>9.7893989999999996E-7</v>
      </c>
      <c r="I2807">
        <v>273.53429999999997</v>
      </c>
      <c r="J2807">
        <v>-485.1035</v>
      </c>
      <c r="K2807">
        <v>1.127335</v>
      </c>
      <c r="L2807">
        <v>282.7792</v>
      </c>
      <c r="M2807">
        <v>-0.97091130000000003</v>
      </c>
      <c r="N2807">
        <v>-2.6636630000000001E-2</v>
      </c>
      <c r="O2807">
        <v>-0.23795379999999999</v>
      </c>
      <c r="P2807">
        <v>-0.80558209999999997</v>
      </c>
      <c r="Q2807">
        <v>0.30419689999999999</v>
      </c>
      <c r="R2807">
        <v>-0.50843099999999997</v>
      </c>
      <c r="S2807">
        <v>-2.568085</v>
      </c>
      <c r="T2807">
        <v>-0.23988000000000001</v>
      </c>
      <c r="U2807">
        <v>-1.9907840000000001</v>
      </c>
      <c r="V2807">
        <v>-0.31483290000000003</v>
      </c>
      <c r="W2807">
        <v>0.31591780000000003</v>
      </c>
      <c r="X2807">
        <v>0.89502859999999995</v>
      </c>
      <c r="Y2807">
        <v>-0.40571439999999998</v>
      </c>
      <c r="Z2807">
        <v>-9.4649230000000001E-3</v>
      </c>
      <c r="AA2807">
        <v>0.91395090000000001</v>
      </c>
      <c r="AB2807">
        <v>49</v>
      </c>
      <c r="AC2807">
        <v>-11.5966</v>
      </c>
      <c r="AD2807">
        <v>-1.1273340210600999</v>
      </c>
      <c r="AE2807">
        <v>-9.2449000000000296</v>
      </c>
      <c r="AF2807">
        <v>-6.1830026980401902</v>
      </c>
      <c r="AG2807">
        <v>-1.1273340210600999</v>
      </c>
      <c r="AH2807">
        <v>13.386556033611599</v>
      </c>
      <c r="AI2807">
        <v>94.371918805990703</v>
      </c>
      <c r="AJ2807">
        <v>114.791341974655</v>
      </c>
      <c r="AK2807">
        <v>14.788518749355299</v>
      </c>
      <c r="AL2807">
        <v>71.583770630741398</v>
      </c>
      <c r="AM2807">
        <v>109.379698111092</v>
      </c>
      <c r="AN2807">
        <v>1.0000000030486</v>
      </c>
    </row>
    <row r="2808" spans="1:40" x14ac:dyDescent="0.25">
      <c r="A2808" t="str">
        <f>"20190304164143401"</f>
        <v>20190304164143401</v>
      </c>
      <c r="B2808" t="str">
        <f>"1551688903393654"</f>
        <v>1551688903393654</v>
      </c>
      <c r="C2808" t="s">
        <v>40</v>
      </c>
      <c r="D2808">
        <v>4.9929269999999999</v>
      </c>
      <c r="E2808">
        <v>0.46767799999999998</v>
      </c>
      <c r="F2808" t="s">
        <v>45</v>
      </c>
      <c r="G2808">
        <v>-495.99450000000002</v>
      </c>
      <c r="H2808" s="1">
        <v>1.154497E-6</v>
      </c>
      <c r="I2808">
        <v>274.17579999999998</v>
      </c>
      <c r="J2808">
        <v>-485.54539999999997</v>
      </c>
      <c r="K2808">
        <v>1.1275869999999999</v>
      </c>
      <c r="L2808">
        <v>282.67079999999999</v>
      </c>
      <c r="M2808">
        <v>-0.96738979999999997</v>
      </c>
      <c r="N2808">
        <v>-2.7116540000000001E-2</v>
      </c>
      <c r="O2808">
        <v>-0.25183709999999998</v>
      </c>
      <c r="P2808">
        <v>-0.79303279999999998</v>
      </c>
      <c r="Q2808">
        <v>0.31039949999999999</v>
      </c>
      <c r="R2808">
        <v>-0.52416750000000001</v>
      </c>
      <c r="S2808">
        <v>-2.5515750000000001</v>
      </c>
      <c r="T2808">
        <v>-0.26411499999999999</v>
      </c>
      <c r="U2808">
        <v>-2.015625</v>
      </c>
      <c r="V2808">
        <v>-0.3206254</v>
      </c>
      <c r="W2808">
        <v>0.322098299999999</v>
      </c>
      <c r="X2808">
        <v>0.89075919999999897</v>
      </c>
      <c r="Y2808">
        <v>-0.40083410000000003</v>
      </c>
      <c r="Z2808">
        <v>-8.3196820000000001E-3</v>
      </c>
      <c r="AA2808">
        <v>0.91611279999999995</v>
      </c>
      <c r="AB2808">
        <v>49</v>
      </c>
      <c r="AC2808">
        <v>-10.4491</v>
      </c>
      <c r="AD2808">
        <v>-1.1275858455029999</v>
      </c>
      <c r="AE2808">
        <v>-8.4949999999999992</v>
      </c>
      <c r="AF2808">
        <v>-5.5496505936057199</v>
      </c>
      <c r="AG2808">
        <v>-1.1275858455029999</v>
      </c>
      <c r="AH2808">
        <v>12.1669096034624</v>
      </c>
      <c r="AI2808">
        <v>94.819735124382106</v>
      </c>
      <c r="AJ2808">
        <v>114.518988498677</v>
      </c>
      <c r="AK2808">
        <v>13.420274246412101</v>
      </c>
      <c r="AL2808">
        <v>71.210130427327798</v>
      </c>
      <c r="AM2808">
        <v>109.79614807177801</v>
      </c>
      <c r="AN2808">
        <v>0.99999995718634305</v>
      </c>
    </row>
    <row r="2809" spans="1:40" x14ac:dyDescent="0.25">
      <c r="A2809" t="str">
        <f>"20190304164143423"</f>
        <v>20190304164143423</v>
      </c>
      <c r="B2809" t="str">
        <f>"1551688903414151"</f>
        <v>1551688903414151</v>
      </c>
      <c r="C2809" t="s">
        <v>40</v>
      </c>
      <c r="D2809">
        <v>4.9833559999999997</v>
      </c>
      <c r="E2809">
        <v>0.47010610000000003</v>
      </c>
      <c r="F2809" t="s">
        <v>45</v>
      </c>
      <c r="G2809">
        <v>-494.81979999999999</v>
      </c>
      <c r="H2809" s="1">
        <v>1.6914649999999999E-6</v>
      </c>
      <c r="I2809">
        <v>275.62110000000001</v>
      </c>
      <c r="J2809">
        <v>-485.99700000000001</v>
      </c>
      <c r="K2809">
        <v>1.127785</v>
      </c>
      <c r="L2809">
        <v>282.55360000000002</v>
      </c>
      <c r="M2809">
        <v>-0.96350170000000002</v>
      </c>
      <c r="N2809">
        <v>-2.759404E-2</v>
      </c>
      <c r="O2809">
        <v>-0.26627679999999998</v>
      </c>
      <c r="P2809">
        <v>-0.78193829999999998</v>
      </c>
      <c r="Q2809">
        <v>0.31542120000000001</v>
      </c>
      <c r="R2809">
        <v>-0.53766389999999997</v>
      </c>
      <c r="S2809">
        <v>-2.60025</v>
      </c>
      <c r="T2809">
        <v>-0.31614019999999998</v>
      </c>
      <c r="U2809">
        <v>-1.9765010000000001</v>
      </c>
      <c r="V2809">
        <v>-0.3234146</v>
      </c>
      <c r="W2809">
        <v>0.32726680000000002</v>
      </c>
      <c r="X2809">
        <v>0.88786229999999999</v>
      </c>
      <c r="Y2809">
        <v>-0.36967620000000001</v>
      </c>
      <c r="Z2809">
        <v>-4.5710079999999997E-3</v>
      </c>
      <c r="AA2809">
        <v>0.92914940000000001</v>
      </c>
      <c r="AB2809">
        <v>48</v>
      </c>
      <c r="AC2809">
        <v>-8.8228000000000293</v>
      </c>
      <c r="AD2809">
        <v>-1.127783308535</v>
      </c>
      <c r="AE2809">
        <v>-6.9325000000000001</v>
      </c>
      <c r="AF2809">
        <v>-4.2884937417588596</v>
      </c>
      <c r="AG2809">
        <v>-1.127783308535</v>
      </c>
      <c r="AH2809">
        <v>10.247166518092399</v>
      </c>
      <c r="AI2809">
        <v>95.797128445237206</v>
      </c>
      <c r="AJ2809">
        <v>112.70956969230799</v>
      </c>
      <c r="AK2809">
        <v>11.165459928441299</v>
      </c>
      <c r="AL2809">
        <v>70.897035176378196</v>
      </c>
      <c r="AM2809">
        <v>110.014765910853</v>
      </c>
      <c r="AN2809">
        <v>1.0000000128183399</v>
      </c>
    </row>
    <row r="2810" spans="1:40" x14ac:dyDescent="0.25">
      <c r="A2810" t="str">
        <f>"20190304164143445"</f>
        <v>20190304164143445</v>
      </c>
      <c r="B2810" t="str">
        <f>"1551688903433671"</f>
        <v>1551688903433671</v>
      </c>
      <c r="C2810" t="s">
        <v>40</v>
      </c>
      <c r="D2810">
        <v>4.9342560000000004</v>
      </c>
      <c r="E2810">
        <v>0.47218349999999998</v>
      </c>
      <c r="F2810" t="s">
        <v>41</v>
      </c>
      <c r="G2810">
        <v>-486.94760000000002</v>
      </c>
      <c r="H2810">
        <v>1.0113319999999999</v>
      </c>
      <c r="I2810">
        <v>281.81189999999998</v>
      </c>
      <c r="J2810">
        <v>-486.44400000000002</v>
      </c>
      <c r="K2810">
        <v>1.127915</v>
      </c>
      <c r="L2810">
        <v>282.43110000000001</v>
      </c>
      <c r="M2810">
        <v>-0.95935119999999896</v>
      </c>
      <c r="N2810">
        <v>-2.8050950000000002E-2</v>
      </c>
      <c r="O2810">
        <v>-0.2808175</v>
      </c>
      <c r="P2810">
        <v>-0.77055069999999903</v>
      </c>
      <c r="Q2810">
        <v>0.3143957</v>
      </c>
      <c r="R2810">
        <v>-0.55444329999999997</v>
      </c>
      <c r="S2810">
        <v>-2.5798649999999999</v>
      </c>
      <c r="T2810">
        <v>-0.31603229999999999</v>
      </c>
      <c r="U2810">
        <v>-2.0131230000000002</v>
      </c>
      <c r="V2810">
        <v>-0.32916450000000003</v>
      </c>
      <c r="W2810">
        <v>0.32628970000000002</v>
      </c>
      <c r="X2810">
        <v>0.88610710000000004</v>
      </c>
      <c r="Y2810">
        <v>-0.36744139999999997</v>
      </c>
      <c r="Z2810">
        <v>-3.553156E-3</v>
      </c>
      <c r="AA2810">
        <v>0.93003990000000003</v>
      </c>
      <c r="AB2810">
        <v>48</v>
      </c>
      <c r="AC2810">
        <v>-0.50360000000000504</v>
      </c>
      <c r="AD2810">
        <v>-0.11658300000000001</v>
      </c>
      <c r="AE2810">
        <v>-0.61920000000003395</v>
      </c>
      <c r="AF2810">
        <v>-0.44332977786420902</v>
      </c>
      <c r="AG2810">
        <v>-0.11658300000000001</v>
      </c>
      <c r="AH2810">
        <v>0.64353942227232996</v>
      </c>
      <c r="AI2810">
        <v>98.485124327485096</v>
      </c>
      <c r="AJ2810">
        <v>124.562682858432</v>
      </c>
      <c r="AK2810">
        <v>0.79011130598715895</v>
      </c>
      <c r="AL2810">
        <v>70.956270896534406</v>
      </c>
      <c r="AM2810">
        <v>110.378651530063</v>
      </c>
      <c r="AN2810">
        <v>1.0000000145283701</v>
      </c>
    </row>
    <row r="2811" spans="1:40" x14ac:dyDescent="0.25">
      <c r="A2811" t="str">
        <f>"20190304164143468"</f>
        <v>20190304164143468</v>
      </c>
      <c r="B2811" t="str">
        <f>"1551688903454167"</f>
        <v>1551688903454167</v>
      </c>
      <c r="C2811" t="s">
        <v>40</v>
      </c>
      <c r="D2811">
        <v>4.9425610000000004</v>
      </c>
      <c r="E2811">
        <v>0.47437659999999998</v>
      </c>
      <c r="F2811" t="s">
        <v>41</v>
      </c>
      <c r="G2811">
        <v>-487.34629999999999</v>
      </c>
      <c r="H2811">
        <v>1.015091</v>
      </c>
      <c r="I2811">
        <v>281.70420000000001</v>
      </c>
      <c r="J2811">
        <v>-486.8997</v>
      </c>
      <c r="K2811">
        <v>1.1279969999999999</v>
      </c>
      <c r="L2811">
        <v>282.29939999999999</v>
      </c>
      <c r="M2811">
        <v>-0.95480730000000003</v>
      </c>
      <c r="N2811">
        <v>-2.8500279999999999E-2</v>
      </c>
      <c r="O2811">
        <v>-0.29585630000000002</v>
      </c>
      <c r="P2811">
        <v>-0.76027730000000004</v>
      </c>
      <c r="Q2811">
        <v>0.31099250000000001</v>
      </c>
      <c r="R2811">
        <v>-0.57031769999999904</v>
      </c>
      <c r="S2811">
        <v>-2.546478</v>
      </c>
      <c r="T2811">
        <v>-0.31839070000000003</v>
      </c>
      <c r="U2811">
        <v>-2.0523380000000002</v>
      </c>
      <c r="V2811">
        <v>-0.3331981</v>
      </c>
      <c r="W2811">
        <v>0.32304929999999998</v>
      </c>
      <c r="X2811">
        <v>0.88578679999999999</v>
      </c>
      <c r="Y2811">
        <v>-0.36746440000000002</v>
      </c>
      <c r="Z2811">
        <v>-2.546343E-3</v>
      </c>
      <c r="AA2811">
        <v>0.93003409999999997</v>
      </c>
      <c r="AB2811">
        <v>47</v>
      </c>
      <c r="AC2811">
        <v>-0.44659999999998901</v>
      </c>
      <c r="AD2811">
        <v>-0.11290599999999899</v>
      </c>
      <c r="AE2811">
        <v>-0.59519999999997697</v>
      </c>
      <c r="AF2811">
        <v>-0.42652941657724902</v>
      </c>
      <c r="AG2811">
        <v>-0.11290599999999899</v>
      </c>
      <c r="AH2811">
        <v>0.58919088989925505</v>
      </c>
      <c r="AI2811">
        <v>98.823270700552499</v>
      </c>
      <c r="AJ2811">
        <v>125.90168077977</v>
      </c>
      <c r="AK2811">
        <v>0.73608492226237399</v>
      </c>
      <c r="AL2811">
        <v>71.152566543603498</v>
      </c>
      <c r="AM2811">
        <v>110.61432245589</v>
      </c>
      <c r="AN2811">
        <v>1.0000000395641599</v>
      </c>
    </row>
    <row r="2812" spans="1:40" x14ac:dyDescent="0.25">
      <c r="A2812" t="str">
        <f>"20190304164143490"</f>
        <v>20190304164143490</v>
      </c>
      <c r="B2812" t="str">
        <f>"1551688903483446"</f>
        <v>1551688903483446</v>
      </c>
      <c r="C2812" t="s">
        <v>40</v>
      </c>
      <c r="D2812">
        <v>4.9024749999999999</v>
      </c>
      <c r="E2812">
        <v>0.4767845</v>
      </c>
      <c r="F2812" t="s">
        <v>41</v>
      </c>
      <c r="G2812">
        <v>-487.75749999999999</v>
      </c>
      <c r="H2812">
        <v>1.0134729999999901</v>
      </c>
      <c r="I2812">
        <v>281.58269999999999</v>
      </c>
      <c r="J2812">
        <v>-487.33620000000002</v>
      </c>
      <c r="K2812">
        <v>1.128061</v>
      </c>
      <c r="L2812">
        <v>282.1669</v>
      </c>
      <c r="M2812">
        <v>-0.9501503</v>
      </c>
      <c r="N2812">
        <v>-2.8915360000000001E-2</v>
      </c>
      <c r="O2812">
        <v>-0.31044829999999901</v>
      </c>
      <c r="P2812">
        <v>-0.75048119999999996</v>
      </c>
      <c r="Q2812">
        <v>0.30979370000000001</v>
      </c>
      <c r="R2812">
        <v>-0.58378619999999903</v>
      </c>
      <c r="S2812">
        <v>-2.5099179999999999</v>
      </c>
      <c r="T2812">
        <v>-0.33512779999999998</v>
      </c>
      <c r="U2812">
        <v>-2.0970759999999999</v>
      </c>
      <c r="V2812">
        <v>-0.33530100000000002</v>
      </c>
      <c r="W2812">
        <v>0.32207659999999899</v>
      </c>
      <c r="X2812">
        <v>0.88534729999999995</v>
      </c>
      <c r="Y2812">
        <v>-0.36955320000000003</v>
      </c>
      <c r="Z2812">
        <v>-1.1244530000000001E-3</v>
      </c>
      <c r="AA2812">
        <v>0.9292089</v>
      </c>
      <c r="AB2812">
        <v>47</v>
      </c>
      <c r="AC2812">
        <v>-0.42129999999997297</v>
      </c>
      <c r="AD2812">
        <v>-0.114588</v>
      </c>
      <c r="AE2812">
        <v>-0.58420000000000905</v>
      </c>
      <c r="AF2812">
        <v>-0.41398547918739598</v>
      </c>
      <c r="AG2812">
        <v>-0.114588</v>
      </c>
      <c r="AH2812">
        <v>0.56754111189928003</v>
      </c>
      <c r="AI2812">
        <v>99.264368987761998</v>
      </c>
      <c r="AJ2812">
        <v>126.10839458644899</v>
      </c>
      <c r="AK2812">
        <v>0.711770539161244</v>
      </c>
      <c r="AL2812">
        <v>71.211443966917997</v>
      </c>
      <c r="AM2812">
        <v>110.74280753932101</v>
      </c>
      <c r="AN2812">
        <v>0.999999969242924</v>
      </c>
    </row>
    <row r="2813" spans="1:40" x14ac:dyDescent="0.25">
      <c r="A2813" t="str">
        <f>"20190304164143513"</f>
        <v>20190304164143513</v>
      </c>
      <c r="B2813" t="str">
        <f>"1551688903503942"</f>
        <v>1551688903503942</v>
      </c>
      <c r="C2813" t="s">
        <v>40</v>
      </c>
      <c r="D2813">
        <v>5.0416650000000001</v>
      </c>
      <c r="E2813">
        <v>0.48895369999999999</v>
      </c>
      <c r="F2813" t="s">
        <v>45</v>
      </c>
      <c r="G2813">
        <v>-495.59769999999997</v>
      </c>
      <c r="H2813" s="1">
        <v>1.4196809999999901E-6</v>
      </c>
      <c r="I2813">
        <v>275.04750000000001</v>
      </c>
      <c r="J2813">
        <v>-487.77780000000001</v>
      </c>
      <c r="K2813">
        <v>1.128093</v>
      </c>
      <c r="L2813">
        <v>282.02629999999999</v>
      </c>
      <c r="M2813">
        <v>-0.9451309</v>
      </c>
      <c r="N2813">
        <v>-2.932235E-2</v>
      </c>
      <c r="O2813">
        <v>-0.32537349999999998</v>
      </c>
      <c r="P2813">
        <v>-0.73903969999999997</v>
      </c>
      <c r="Q2813">
        <v>0.30600189999999999</v>
      </c>
      <c r="R2813">
        <v>-0.60015289999999999</v>
      </c>
      <c r="S2813">
        <v>-2.4767459999999999</v>
      </c>
      <c r="T2813">
        <v>-0.33818910000000002</v>
      </c>
      <c r="U2813">
        <v>-2.1343990000000002</v>
      </c>
      <c r="V2813">
        <v>-0.34025620000000001</v>
      </c>
      <c r="W2813">
        <v>0.31839010000000001</v>
      </c>
      <c r="X2813">
        <v>0.88479010000000002</v>
      </c>
      <c r="Y2813">
        <v>-0.36911300000000002</v>
      </c>
      <c r="Z2813" s="1">
        <v>5.9889629999999999E-5</v>
      </c>
      <c r="AA2813">
        <v>0.92938449999999995</v>
      </c>
      <c r="AB2813">
        <v>47</v>
      </c>
      <c r="AC2813">
        <v>-7.8198999999999597</v>
      </c>
      <c r="AD2813">
        <v>-1.1280915803189999</v>
      </c>
      <c r="AE2813">
        <v>-6.9787999999999704</v>
      </c>
      <c r="AF2813">
        <v>-4.00681758605932</v>
      </c>
      <c r="AG2813">
        <v>-1.1280915803189999</v>
      </c>
      <c r="AH2813">
        <v>9.5550128220741293</v>
      </c>
      <c r="AI2813">
        <v>96.213736829419403</v>
      </c>
      <c r="AJ2813">
        <v>112.750347687396</v>
      </c>
      <c r="AK2813">
        <v>10.422353276086</v>
      </c>
      <c r="AL2813">
        <v>71.434407699307201</v>
      </c>
      <c r="AM2813">
        <v>111.03482101799899</v>
      </c>
      <c r="AN2813">
        <v>1.00000002923722</v>
      </c>
    </row>
    <row r="2814" spans="1:40" x14ac:dyDescent="0.25">
      <c r="A2814" t="str">
        <f>"20190304164143536"</f>
        <v>20190304164143536</v>
      </c>
      <c r="B2814" t="str">
        <f>"1551688903523462"</f>
        <v>1551688903523462</v>
      </c>
      <c r="C2814" t="s">
        <v>40</v>
      </c>
      <c r="D2814">
        <v>5.0338129999999897</v>
      </c>
      <c r="E2814">
        <v>0.49034860000000002</v>
      </c>
      <c r="F2814" t="s">
        <v>45</v>
      </c>
      <c r="G2814">
        <v>-494.35730000000001</v>
      </c>
      <c r="H2814" s="1">
        <v>2.0419680000000001E-6</v>
      </c>
      <c r="I2814">
        <v>276.4966</v>
      </c>
      <c r="J2814">
        <v>-488.21530000000001</v>
      </c>
      <c r="K2814">
        <v>1.1281019999999999</v>
      </c>
      <c r="L2814">
        <v>281.88040000000001</v>
      </c>
      <c r="M2814">
        <v>-0.9398493</v>
      </c>
      <c r="N2814">
        <v>-2.9721830000000001E-2</v>
      </c>
      <c r="O2814">
        <v>-0.34029419999999999</v>
      </c>
      <c r="P2814">
        <v>-0.72844180000000003</v>
      </c>
      <c r="Q2814">
        <v>0.29436960000000001</v>
      </c>
      <c r="R2814">
        <v>-0.61864330000000001</v>
      </c>
      <c r="S2814">
        <v>-2.5189509999999999</v>
      </c>
      <c r="T2814">
        <v>-0.43188929999999998</v>
      </c>
      <c r="U2814">
        <v>-2.117035</v>
      </c>
      <c r="V2814">
        <v>-0.3466032</v>
      </c>
      <c r="W2814">
        <v>0.306867</v>
      </c>
      <c r="X2814">
        <v>0.88639659999999998</v>
      </c>
      <c r="Y2814">
        <v>-0.34256120000000001</v>
      </c>
      <c r="Z2814">
        <v>7.7272909999999998E-3</v>
      </c>
      <c r="AA2814">
        <v>0.93946370000000001</v>
      </c>
      <c r="AB2814">
        <v>46</v>
      </c>
      <c r="AC2814">
        <v>-6.1419999999999897</v>
      </c>
      <c r="AD2814">
        <v>-1.1280999580319999</v>
      </c>
      <c r="AE2814">
        <v>-5.3837999999999999</v>
      </c>
      <c r="AF2814">
        <v>-2.91556602903474</v>
      </c>
      <c r="AG2814">
        <v>-1.1280999580319999</v>
      </c>
      <c r="AH2814">
        <v>7.4655706473074401</v>
      </c>
      <c r="AI2814">
        <v>98.011977634036995</v>
      </c>
      <c r="AJ2814">
        <v>111.33238118558199</v>
      </c>
      <c r="AK2814">
        <v>8.0936938337764897</v>
      </c>
      <c r="AL2814">
        <v>72.129478197745598</v>
      </c>
      <c r="AM2814">
        <v>111.35673910544899</v>
      </c>
      <c r="AN2814">
        <v>1.00000003321539</v>
      </c>
    </row>
    <row r="2815" spans="1:40" x14ac:dyDescent="0.25">
      <c r="A2815" t="str">
        <f>"20190304164143557"</f>
        <v>20190304164143557</v>
      </c>
      <c r="B2815" t="str">
        <f>"1551688903543958"</f>
        <v>1551688903543958</v>
      </c>
      <c r="C2815" t="s">
        <v>40</v>
      </c>
      <c r="D2815">
        <v>5.0202169999999997</v>
      </c>
      <c r="E2815">
        <v>0.49201270000000003</v>
      </c>
      <c r="F2815" t="s">
        <v>45</v>
      </c>
      <c r="G2815">
        <v>-494.05900000000003</v>
      </c>
      <c r="H2815" s="1">
        <v>2.1924649999999999E-6</v>
      </c>
      <c r="I2815">
        <v>276.84750000000003</v>
      </c>
      <c r="J2815">
        <v>-488.62900000000002</v>
      </c>
      <c r="K2815">
        <v>1.1281239999999999</v>
      </c>
      <c r="L2815">
        <v>281.73599999999999</v>
      </c>
      <c r="M2815">
        <v>-0.93457259999999998</v>
      </c>
      <c r="N2815">
        <v>-3.0107910000000002E-2</v>
      </c>
      <c r="O2815">
        <v>-0.35449649999999999</v>
      </c>
      <c r="P2815">
        <v>-0.71924940000000004</v>
      </c>
      <c r="Q2815">
        <v>0.28000940000000002</v>
      </c>
      <c r="R2815">
        <v>-0.63582669999999997</v>
      </c>
      <c r="S2815">
        <v>-2.4908139999999999</v>
      </c>
      <c r="T2815">
        <v>-0.48084189999999999</v>
      </c>
      <c r="U2815">
        <v>-2.145203</v>
      </c>
      <c r="V2815">
        <v>-0.351742</v>
      </c>
      <c r="W2815">
        <v>0.2927032</v>
      </c>
      <c r="X2815">
        <v>0.88915820000000001</v>
      </c>
      <c r="Y2815">
        <v>-0.339539799999999</v>
      </c>
      <c r="Z2815">
        <v>1.218994E-2</v>
      </c>
      <c r="AA2815">
        <v>0.94051269999999998</v>
      </c>
      <c r="AB2815">
        <v>46</v>
      </c>
      <c r="AC2815">
        <v>-5.43</v>
      </c>
      <c r="AD2815">
        <v>-1.1281218075349999</v>
      </c>
      <c r="AE2815">
        <v>-4.8884999999999597</v>
      </c>
      <c r="AF2815">
        <v>-2.5833526794532302</v>
      </c>
      <c r="AG2815">
        <v>-1.1281218075349999</v>
      </c>
      <c r="AH2815">
        <v>6.6521813195446597</v>
      </c>
      <c r="AI2815">
        <v>98.983238863568104</v>
      </c>
      <c r="AJ2815">
        <v>111.22351649494099</v>
      </c>
      <c r="AK2815">
        <v>7.2248104602939698</v>
      </c>
      <c r="AL2815">
        <v>72.980136975225605</v>
      </c>
      <c r="AM2815">
        <v>111.583250902336</v>
      </c>
      <c r="AN2815">
        <v>0.99999995124073804</v>
      </c>
    </row>
    <row r="2816" spans="1:40" x14ac:dyDescent="0.25">
      <c r="A2816" t="str">
        <f>"20190304164143580"</f>
        <v>20190304164143580</v>
      </c>
      <c r="B2816" t="str">
        <f>"1551688903573238"</f>
        <v>1551688903573238</v>
      </c>
      <c r="C2816" t="s">
        <v>40</v>
      </c>
      <c r="D2816">
        <v>5.2085520000000001</v>
      </c>
      <c r="E2816">
        <v>0.49356290000000003</v>
      </c>
      <c r="F2816" t="s">
        <v>45</v>
      </c>
      <c r="G2816">
        <v>-493.91480000000001</v>
      </c>
      <c r="H2816" s="1">
        <v>2.283929E-6</v>
      </c>
      <c r="I2816">
        <v>277.07010000000002</v>
      </c>
      <c r="J2816">
        <v>-489.04689999999999</v>
      </c>
      <c r="K2816">
        <v>1.128179</v>
      </c>
      <c r="L2816">
        <v>281.58390000000003</v>
      </c>
      <c r="M2816">
        <v>-0.92895910000000004</v>
      </c>
      <c r="N2816">
        <v>-3.0511130000000001E-2</v>
      </c>
      <c r="O2816">
        <v>-0.36892269999999999</v>
      </c>
      <c r="P2816">
        <v>-0.70935899999999996</v>
      </c>
      <c r="Q2816">
        <v>0.27393269999999997</v>
      </c>
      <c r="R2816">
        <v>-0.64943850000000003</v>
      </c>
      <c r="S2816">
        <v>-2.4574889999999998</v>
      </c>
      <c r="T2816">
        <v>-0.52449040000000002</v>
      </c>
      <c r="U2816">
        <v>-2.1693120000000001</v>
      </c>
      <c r="V2816">
        <v>-0.35384700000000002</v>
      </c>
      <c r="W2816">
        <v>0.28694209999999998</v>
      </c>
      <c r="X2816">
        <v>0.89020030000000006</v>
      </c>
      <c r="Y2816">
        <v>-0.3364046</v>
      </c>
      <c r="Z2816">
        <v>1.690241E-2</v>
      </c>
      <c r="AA2816">
        <v>0.94156589999999996</v>
      </c>
      <c r="AB2816">
        <v>46</v>
      </c>
      <c r="AC2816">
        <v>-4.8679000000000201</v>
      </c>
      <c r="AD2816">
        <v>-1.1281767160709999</v>
      </c>
      <c r="AE2816">
        <v>-4.5137999999999998</v>
      </c>
      <c r="AF2816">
        <v>-2.3310518484368901</v>
      </c>
      <c r="AG2816">
        <v>-1.1281767160709999</v>
      </c>
      <c r="AH2816">
        <v>6.0164482745362102</v>
      </c>
      <c r="AI2816">
        <v>99.917922281229494</v>
      </c>
      <c r="AJ2816">
        <v>111.178684497501</v>
      </c>
      <c r="AK2816">
        <v>6.5501324614816401</v>
      </c>
      <c r="AL2816">
        <v>73.3250280914028</v>
      </c>
      <c r="AM2816">
        <v>111.67739736803</v>
      </c>
      <c r="AN2816">
        <v>1.00000002114074</v>
      </c>
    </row>
    <row r="2817" spans="1:40" x14ac:dyDescent="0.25">
      <c r="A2817" t="str">
        <f>"20190304164143601"</f>
        <v>20190304164143601</v>
      </c>
      <c r="B2817" t="str">
        <f>"1551688903593734"</f>
        <v>1551688903593734</v>
      </c>
      <c r="C2817" t="s">
        <v>40</v>
      </c>
      <c r="D2817">
        <v>5.0415660000000004</v>
      </c>
      <c r="E2817">
        <v>0.49536380000000002</v>
      </c>
      <c r="F2817" t="s">
        <v>45</v>
      </c>
      <c r="G2817">
        <v>-494.08730000000003</v>
      </c>
      <c r="H2817" s="1">
        <v>2.238559E-6</v>
      </c>
      <c r="I2817">
        <v>276.98500000000001</v>
      </c>
      <c r="J2817">
        <v>-489.45089999999999</v>
      </c>
      <c r="K2817">
        <v>1.1282700000000001</v>
      </c>
      <c r="L2817">
        <v>281.43049999999999</v>
      </c>
      <c r="M2817">
        <v>-0.92325219999999997</v>
      </c>
      <c r="N2817">
        <v>-3.0909220000000001E-2</v>
      </c>
      <c r="O2817">
        <v>-0.38294929999999999</v>
      </c>
      <c r="P2817">
        <v>-0.69832099999999997</v>
      </c>
      <c r="Q2817">
        <v>0.2813389</v>
      </c>
      <c r="R2817">
        <v>-0.65817669999999995</v>
      </c>
      <c r="S2817">
        <v>-2.4181819999999998</v>
      </c>
      <c r="T2817">
        <v>-0.54125119999999904</v>
      </c>
      <c r="U2817">
        <v>-2.2063290000000002</v>
      </c>
      <c r="V2817">
        <v>-0.3527825</v>
      </c>
      <c r="W2817">
        <v>0.29472209999999899</v>
      </c>
      <c r="X2817">
        <v>0.88807849999999999</v>
      </c>
      <c r="Y2817">
        <v>-0.33761570000000002</v>
      </c>
      <c r="Z2817">
        <v>1.9725320000000001E-2</v>
      </c>
      <c r="AA2817">
        <v>0.94107739999999995</v>
      </c>
      <c r="AB2817">
        <v>45</v>
      </c>
      <c r="AC2817">
        <v>-4.6364000000000303</v>
      </c>
      <c r="AD2817">
        <v>-1.1282677614409999</v>
      </c>
      <c r="AE2817">
        <v>-4.4454999999999796</v>
      </c>
      <c r="AF2817">
        <v>-2.2601890795844199</v>
      </c>
      <c r="AG2817">
        <v>-1.1282677614409999</v>
      </c>
      <c r="AH2817">
        <v>5.8066691715618504</v>
      </c>
      <c r="AI2817">
        <v>100.263463696117</v>
      </c>
      <c r="AJ2817">
        <v>111.267987915346</v>
      </c>
      <c r="AK2817">
        <v>6.3323652520165403</v>
      </c>
      <c r="AL2817">
        <v>72.859126246795597</v>
      </c>
      <c r="AM2817">
        <v>111.665077841902</v>
      </c>
      <c r="AN2817">
        <v>1.0000000153484501</v>
      </c>
    </row>
    <row r="2818" spans="1:40" x14ac:dyDescent="0.25">
      <c r="A2818" t="str">
        <f>"20190304164143624"</f>
        <v>20190304164143624</v>
      </c>
      <c r="B2818" t="str">
        <f>"1551688903613254"</f>
        <v>1551688903613254</v>
      </c>
      <c r="C2818" t="s">
        <v>40</v>
      </c>
      <c r="D2818">
        <v>5.1660899999999996</v>
      </c>
      <c r="E2818">
        <v>0.49626179999999998</v>
      </c>
      <c r="F2818" t="s">
        <v>45</v>
      </c>
      <c r="G2818">
        <v>-494.7115</v>
      </c>
      <c r="H2818" s="1">
        <v>2.010105E-6</v>
      </c>
      <c r="I2818">
        <v>276.49540000000002</v>
      </c>
      <c r="J2818">
        <v>-489.8546</v>
      </c>
      <c r="K2818">
        <v>1.1283970000000001</v>
      </c>
      <c r="L2818">
        <v>281.27030000000002</v>
      </c>
      <c r="M2818">
        <v>-0.9172555</v>
      </c>
      <c r="N2818">
        <v>-3.1304909999999998E-2</v>
      </c>
      <c r="O2818">
        <v>-0.397067</v>
      </c>
      <c r="P2818">
        <v>-0.68106420000000001</v>
      </c>
      <c r="Q2818">
        <v>0.30286849999999998</v>
      </c>
      <c r="R2818">
        <v>-0.66664979999999996</v>
      </c>
      <c r="S2818">
        <v>-2.389618</v>
      </c>
      <c r="T2818">
        <v>-0.51252029999999904</v>
      </c>
      <c r="U2818">
        <v>-2.2417910000000001</v>
      </c>
      <c r="V2818">
        <v>-0.35446090000000002</v>
      </c>
      <c r="W2818">
        <v>0.31634570000000001</v>
      </c>
      <c r="X2818">
        <v>0.87993339999999998</v>
      </c>
      <c r="Y2818">
        <v>-0.33640989999999998</v>
      </c>
      <c r="Z2818">
        <v>1.9622629999999999E-2</v>
      </c>
      <c r="AA2818">
        <v>0.94151119999999999</v>
      </c>
      <c r="AB2818">
        <v>45</v>
      </c>
      <c r="AC2818">
        <v>-4.8568999999999898</v>
      </c>
      <c r="AD2818">
        <v>-1.1283949898950001</v>
      </c>
      <c r="AE2818">
        <v>-4.7748999999999997</v>
      </c>
      <c r="AF2818">
        <v>-2.3869738340817399</v>
      </c>
      <c r="AG2818">
        <v>-1.1283949898950001</v>
      </c>
      <c r="AH2818">
        <v>6.1843422344433501</v>
      </c>
      <c r="AI2818">
        <v>99.660341492380297</v>
      </c>
      <c r="AJ2818">
        <v>111.10511859613899</v>
      </c>
      <c r="AK2818">
        <v>6.7243593159891999</v>
      </c>
      <c r="AL2818">
        <v>71.557927635617403</v>
      </c>
      <c r="AM2818">
        <v>111.94090521339</v>
      </c>
      <c r="AN2818">
        <v>0.99999995998642899</v>
      </c>
    </row>
    <row r="2819" spans="1:40" x14ac:dyDescent="0.25">
      <c r="A2819" t="str">
        <f>"20190304164143647"</f>
        <v>20190304164143647</v>
      </c>
      <c r="B2819" t="str">
        <f>"1551688903633750"</f>
        <v>1551688903633750</v>
      </c>
      <c r="C2819" t="s">
        <v>40</v>
      </c>
      <c r="D2819">
        <v>5.4059860000000004</v>
      </c>
      <c r="E2819">
        <v>0.46658369999999999</v>
      </c>
      <c r="F2819" t="s">
        <v>45</v>
      </c>
      <c r="G2819">
        <v>-495.9522</v>
      </c>
      <c r="H2819" s="1">
        <v>1.5029930000000001E-6</v>
      </c>
      <c r="I2819">
        <v>275.37209999999999</v>
      </c>
      <c r="J2819">
        <v>-490.26150000000001</v>
      </c>
      <c r="K2819">
        <v>1.128509</v>
      </c>
      <c r="L2819">
        <v>281.10210000000001</v>
      </c>
      <c r="M2819">
        <v>-0.91090099999999996</v>
      </c>
      <c r="N2819">
        <v>-3.1691919999999998E-2</v>
      </c>
      <c r="O2819">
        <v>-0.41140640000000001</v>
      </c>
      <c r="P2819">
        <v>-0.65634669999999995</v>
      </c>
      <c r="Q2819">
        <v>0.32001659999999998</v>
      </c>
      <c r="R2819">
        <v>-0.68322680000000002</v>
      </c>
      <c r="S2819">
        <v>-2.3624269999999998</v>
      </c>
      <c r="T2819">
        <v>-0.43717980000000001</v>
      </c>
      <c r="U2819">
        <v>-2.2851560000000002</v>
      </c>
      <c r="V2819">
        <v>-0.3663978</v>
      </c>
      <c r="W2819">
        <v>0.33305370000000001</v>
      </c>
      <c r="X2819">
        <v>0.86880829999999998</v>
      </c>
      <c r="Y2819">
        <v>-0.33628809999999998</v>
      </c>
      <c r="Z2819">
        <v>1.5550929999999999E-2</v>
      </c>
      <c r="AA2819">
        <v>0.94163079999999999</v>
      </c>
      <c r="AB2819">
        <v>44</v>
      </c>
      <c r="AC2819">
        <v>-5.6906999999999899</v>
      </c>
      <c r="AD2819">
        <v>-1.1285074970069999</v>
      </c>
      <c r="AE2819">
        <v>-5.7300000000000102</v>
      </c>
      <c r="AF2819">
        <v>-2.8245616776071798</v>
      </c>
      <c r="AG2819">
        <v>-1.1285074970069999</v>
      </c>
      <c r="AH2819">
        <v>7.4003020272536304</v>
      </c>
      <c r="AI2819">
        <v>98.108357697166497</v>
      </c>
      <c r="AJ2819">
        <v>110.890952615309</v>
      </c>
      <c r="AK2819">
        <v>8.00100918234582</v>
      </c>
      <c r="AL2819">
        <v>70.545771938444005</v>
      </c>
      <c r="AM2819">
        <v>112.866347644348</v>
      </c>
      <c r="AN2819">
        <v>0.99999998853870997</v>
      </c>
    </row>
    <row r="2820" spans="1:40" x14ac:dyDescent="0.25">
      <c r="A2820" t="str">
        <f>"20190304164143669"</f>
        <v>20190304164143669</v>
      </c>
      <c r="B2820" t="str">
        <f>"1551688903664006"</f>
        <v>1551688903664006</v>
      </c>
      <c r="C2820" t="s">
        <v>40</v>
      </c>
      <c r="D2820">
        <v>5.1041210000000001</v>
      </c>
      <c r="E2820">
        <v>0.36526130000000001</v>
      </c>
      <c r="F2820" t="s">
        <v>41</v>
      </c>
      <c r="G2820">
        <v>-490.983</v>
      </c>
      <c r="H2820">
        <v>1.0494859999999999</v>
      </c>
      <c r="I2820">
        <v>280.25799999999998</v>
      </c>
      <c r="J2820">
        <v>-490.66579999999999</v>
      </c>
      <c r="K2820">
        <v>1.1285050000000001</v>
      </c>
      <c r="L2820">
        <v>280.92829999999998</v>
      </c>
      <c r="M2820">
        <v>-0.90426499999999999</v>
      </c>
      <c r="N2820">
        <v>-3.2055630000000002E-2</v>
      </c>
      <c r="O2820">
        <v>-0.4257666</v>
      </c>
      <c r="P2820">
        <v>-0.63153269999999995</v>
      </c>
      <c r="Q2820">
        <v>0.32253290000000001</v>
      </c>
      <c r="R2820">
        <v>-0.70508099999999996</v>
      </c>
      <c r="S2820">
        <v>-2.1109010000000001</v>
      </c>
      <c r="T2820">
        <v>-0.23120060000000001</v>
      </c>
      <c r="U2820">
        <v>-2.4713750000000001</v>
      </c>
      <c r="V2820">
        <v>-0.38284449999999998</v>
      </c>
      <c r="W2820">
        <v>0.33499709999999899</v>
      </c>
      <c r="X2820">
        <v>0.86093379999999997</v>
      </c>
      <c r="Y2820">
        <v>-0.41016160000000002</v>
      </c>
      <c r="Z2820">
        <v>-3.4135799999999998E-3</v>
      </c>
      <c r="AA2820">
        <v>0.91200650000000005</v>
      </c>
      <c r="AB2820">
        <v>44</v>
      </c>
      <c r="AC2820">
        <v>-0.31720000000001303</v>
      </c>
      <c r="AD2820">
        <v>-7.9018999999999701E-2</v>
      </c>
      <c r="AE2820">
        <v>-0.67029999999999701</v>
      </c>
      <c r="AF2820">
        <v>-0.46602642966865498</v>
      </c>
      <c r="AG2820">
        <v>-7.9018999999999701E-2</v>
      </c>
      <c r="AH2820">
        <v>0.56609081287263896</v>
      </c>
      <c r="AI2820">
        <v>96.150858581874701</v>
      </c>
      <c r="AJ2820">
        <v>129.46244660231801</v>
      </c>
      <c r="AK2820">
        <v>0.73748453809521897</v>
      </c>
      <c r="AL2820">
        <v>70.427638160211799</v>
      </c>
      <c r="AM2820">
        <v>113.97400581988499</v>
      </c>
      <c r="AN2820">
        <v>0.99999998808554902</v>
      </c>
    </row>
    <row r="2821" spans="1:40" x14ac:dyDescent="0.25">
      <c r="A2821" t="str">
        <f>"20190304164143691"</f>
        <v>20190304164143691</v>
      </c>
      <c r="B2821" t="str">
        <f>"1551688903683526"</f>
        <v>1551688903683526</v>
      </c>
      <c r="C2821" t="s">
        <v>40</v>
      </c>
      <c r="D2821">
        <v>5.0726649999999998</v>
      </c>
      <c r="E2821">
        <v>0.35535319999999998</v>
      </c>
      <c r="F2821" t="s">
        <v>42</v>
      </c>
      <c r="G2821">
        <v>-499.95780000000002</v>
      </c>
      <c r="H2821">
        <v>4.8635270000000001E-2</v>
      </c>
      <c r="I2821">
        <v>260.8673</v>
      </c>
      <c r="J2821">
        <v>-491.03829999999999</v>
      </c>
      <c r="K2821">
        <v>1.1284149999999999</v>
      </c>
      <c r="L2821">
        <v>280.762</v>
      </c>
      <c r="M2821">
        <v>-0.89784920000000001</v>
      </c>
      <c r="N2821">
        <v>-3.236783E-2</v>
      </c>
      <c r="O2821">
        <v>-0.43911169999999999</v>
      </c>
      <c r="P2821">
        <v>-0.61854719999999996</v>
      </c>
      <c r="Q2821">
        <v>0.31188549999999998</v>
      </c>
      <c r="R2821">
        <v>-0.72119829999999996</v>
      </c>
      <c r="S2821">
        <v>-1.4175719999999901</v>
      </c>
      <c r="T2821">
        <v>-0.16474320000000001</v>
      </c>
      <c r="U2821">
        <v>-3.060486</v>
      </c>
      <c r="V2821">
        <v>-0.3896309</v>
      </c>
      <c r="W2821">
        <v>0.32438250000000002</v>
      </c>
      <c r="X2821">
        <v>0.86195350000000004</v>
      </c>
      <c r="Y2821">
        <v>-0.62926040000000005</v>
      </c>
      <c r="Z2821">
        <v>-1.8617829999999998E-2</v>
      </c>
      <c r="AA2821">
        <v>0.77697159999999998</v>
      </c>
      <c r="AB2821">
        <v>43</v>
      </c>
      <c r="AC2821">
        <v>-8.9195000000000206</v>
      </c>
      <c r="AD2821">
        <v>-1.07977973</v>
      </c>
      <c r="AE2821">
        <v>-19.8947</v>
      </c>
      <c r="AF2821">
        <v>-13.918955591459399</v>
      </c>
      <c r="AG2821">
        <v>-1.07977973</v>
      </c>
      <c r="AH2821">
        <v>16.712149658128201</v>
      </c>
      <c r="AI2821">
        <v>92.842205827318594</v>
      </c>
      <c r="AJ2821">
        <v>129.789713182855</v>
      </c>
      <c r="AK2821">
        <v>21.776115246251202</v>
      </c>
      <c r="AL2821">
        <v>71.071832649193496</v>
      </c>
      <c r="AM2821">
        <v>114.324509322832</v>
      </c>
      <c r="AN2821">
        <v>1.00000004035165</v>
      </c>
    </row>
    <row r="2822" spans="1:40" x14ac:dyDescent="0.25">
      <c r="A2822" t="str">
        <f>"20190304164143713"</f>
        <v>20190304164143713</v>
      </c>
      <c r="B2822" t="str">
        <f>"1551688903704022"</f>
        <v>1551688903704022</v>
      </c>
      <c r="C2822" t="s">
        <v>40</v>
      </c>
      <c r="D2822">
        <v>5.0462470000000001</v>
      </c>
      <c r="E2822">
        <v>0.3526358</v>
      </c>
      <c r="F2822" t="s">
        <v>42</v>
      </c>
      <c r="G2822">
        <v>-498.32459999999998</v>
      </c>
      <c r="H2822" s="1">
        <v>-3.4749380000000002E-6</v>
      </c>
      <c r="I2822">
        <v>262.85890000000001</v>
      </c>
      <c r="J2822">
        <v>-491.41730000000001</v>
      </c>
      <c r="K2822">
        <v>1.1282779999999999</v>
      </c>
      <c r="L2822">
        <v>280.58640000000003</v>
      </c>
      <c r="M2822">
        <v>-0.89101299999999894</v>
      </c>
      <c r="N2822">
        <v>-3.2661910000000002E-2</v>
      </c>
      <c r="O2822">
        <v>-0.45280130000000002</v>
      </c>
      <c r="P2822">
        <v>-0.61775329999999995</v>
      </c>
      <c r="Q2822">
        <v>0.29418739999999999</v>
      </c>
      <c r="R2822">
        <v>-0.72927019999999998</v>
      </c>
      <c r="S2822">
        <v>-1.2807919999999999</v>
      </c>
      <c r="T2822">
        <v>-0.19835449999999999</v>
      </c>
      <c r="U2822">
        <v>-3.1470340000000001</v>
      </c>
      <c r="V2822">
        <v>-0.38308330000000002</v>
      </c>
      <c r="W2822">
        <v>0.30749149999999997</v>
      </c>
      <c r="X2822">
        <v>0.87103169999999996</v>
      </c>
      <c r="Y2822">
        <v>-0.65339550000000002</v>
      </c>
      <c r="Z2822">
        <v>-1.8563179999999999E-2</v>
      </c>
      <c r="AA2822">
        <v>0.75678909999999999</v>
      </c>
      <c r="AB2822">
        <v>43</v>
      </c>
      <c r="AC2822">
        <v>-6.9072999999999602</v>
      </c>
      <c r="AD2822">
        <v>-1.1282814749379999</v>
      </c>
      <c r="AE2822">
        <v>-17.727499999999999</v>
      </c>
      <c r="AF2822">
        <v>-12.6301424922934</v>
      </c>
      <c r="AG2822">
        <v>-1.1282814749379999</v>
      </c>
      <c r="AH2822">
        <v>14.1393734094826</v>
      </c>
      <c r="AI2822">
        <v>93.405755983782697</v>
      </c>
      <c r="AJ2822">
        <v>131.77315357058299</v>
      </c>
      <c r="AK2822">
        <v>18.992509020008601</v>
      </c>
      <c r="AL2822">
        <v>72.091879069855096</v>
      </c>
      <c r="AM2822">
        <v>113.740089414331</v>
      </c>
      <c r="AN2822">
        <v>1.0000000298580101</v>
      </c>
    </row>
    <row r="2823" spans="1:40" x14ac:dyDescent="0.25">
      <c r="A2823" t="str">
        <f>"20190304164143737"</f>
        <v>20190304164143737</v>
      </c>
      <c r="B2823" t="str">
        <f>"1551688903723542"</f>
        <v>1551688903723542</v>
      </c>
      <c r="C2823" t="s">
        <v>40</v>
      </c>
      <c r="D2823">
        <v>5.0341420000000001</v>
      </c>
      <c r="E2823">
        <v>0.35249950000000002</v>
      </c>
      <c r="F2823" t="s">
        <v>42</v>
      </c>
      <c r="G2823">
        <v>-497.10300000000001</v>
      </c>
      <c r="H2823" s="1">
        <v>-4.2471679999999997E-6</v>
      </c>
      <c r="I2823">
        <v>265.76490000000001</v>
      </c>
      <c r="J2823">
        <v>-491.79739999999998</v>
      </c>
      <c r="K2823">
        <v>1.128225</v>
      </c>
      <c r="L2823">
        <v>280.40350000000001</v>
      </c>
      <c r="M2823">
        <v>-0.883833599999999</v>
      </c>
      <c r="N2823">
        <v>-3.293596E-2</v>
      </c>
      <c r="O2823">
        <v>-0.46664060000000002</v>
      </c>
      <c r="P2823">
        <v>-0.61679689999999998</v>
      </c>
      <c r="Q2823">
        <v>0.27928589999999998</v>
      </c>
      <c r="R2823">
        <v>-0.73590859999999902</v>
      </c>
      <c r="S2823">
        <v>-1.2192989999999999</v>
      </c>
      <c r="T2823">
        <v>-0.2419615</v>
      </c>
      <c r="U2823">
        <v>-3.1784970000000001</v>
      </c>
      <c r="V2823">
        <v>-0.3750271</v>
      </c>
      <c r="W2823">
        <v>0.2934195</v>
      </c>
      <c r="X2823">
        <v>0.87935189999999996</v>
      </c>
      <c r="Y2823">
        <v>-0.65648229999999996</v>
      </c>
      <c r="Z2823">
        <v>-1.665136E-2</v>
      </c>
      <c r="AA2823">
        <v>0.75415769999999904</v>
      </c>
      <c r="AB2823">
        <v>43</v>
      </c>
      <c r="AC2823">
        <v>-5.3056000000000196</v>
      </c>
      <c r="AD2823">
        <v>-1.128229247168</v>
      </c>
      <c r="AE2823">
        <v>-14.638599999999901</v>
      </c>
      <c r="AF2823">
        <v>-10.4132829953227</v>
      </c>
      <c r="AG2823">
        <v>-1.128229247168</v>
      </c>
      <c r="AH2823">
        <v>11.466283027353899</v>
      </c>
      <c r="AI2823">
        <v>94.166079790382398</v>
      </c>
      <c r="AJ2823">
        <v>132.24464638858299</v>
      </c>
      <c r="AK2823">
        <v>15.5301323380783</v>
      </c>
      <c r="AL2823">
        <v>72.937212967467104</v>
      </c>
      <c r="AM2823">
        <v>113.097338921583</v>
      </c>
      <c r="AN2823">
        <v>1.0000000463741301</v>
      </c>
    </row>
    <row r="2824" spans="1:40" x14ac:dyDescent="0.25">
      <c r="A2824" t="str">
        <f>"20190304164143759"</f>
        <v>20190304164143759</v>
      </c>
      <c r="B2824" t="str">
        <f>"1551688903753798"</f>
        <v>1551688903753798</v>
      </c>
      <c r="C2824" t="s">
        <v>40</v>
      </c>
      <c r="D2824">
        <v>5.060594</v>
      </c>
      <c r="E2824">
        <v>0.35431629999999997</v>
      </c>
      <c r="F2824" t="s">
        <v>42</v>
      </c>
      <c r="G2824">
        <v>-496.43990000000002</v>
      </c>
      <c r="H2824" s="1">
        <v>-4.881763E-6</v>
      </c>
      <c r="I2824">
        <v>267.9753</v>
      </c>
      <c r="J2824">
        <v>-492.17110000000002</v>
      </c>
      <c r="K2824">
        <v>1.128244</v>
      </c>
      <c r="L2824">
        <v>280.21690000000001</v>
      </c>
      <c r="M2824">
        <v>-0.8764459</v>
      </c>
      <c r="N2824">
        <v>-3.3185680000000002E-2</v>
      </c>
      <c r="O2824">
        <v>-0.4803557</v>
      </c>
      <c r="P2824">
        <v>-0.60432209999999997</v>
      </c>
      <c r="Q2824">
        <v>0.27580919999999998</v>
      </c>
      <c r="R2824">
        <v>-0.74747889999999995</v>
      </c>
      <c r="S2824">
        <v>-1.1909479999999999</v>
      </c>
      <c r="T2824">
        <v>-0.2894292</v>
      </c>
      <c r="U2824">
        <v>-3.1882630000000001</v>
      </c>
      <c r="V2824">
        <v>-0.3771312</v>
      </c>
      <c r="W2824">
        <v>0.29008590000000001</v>
      </c>
      <c r="X2824">
        <v>0.87955799999999995</v>
      </c>
      <c r="Y2824">
        <v>-0.650945</v>
      </c>
      <c r="Z2824">
        <v>-1.349125E-2</v>
      </c>
      <c r="AA2824">
        <v>0.75900500000000004</v>
      </c>
      <c r="AB2824">
        <v>42</v>
      </c>
      <c r="AC2824">
        <v>-4.2687999999999899</v>
      </c>
      <c r="AD2824">
        <v>-1.1282488817630001</v>
      </c>
      <c r="AE2824">
        <v>-12.2416</v>
      </c>
      <c r="AF2824">
        <v>-8.6180703983151297</v>
      </c>
      <c r="AG2824">
        <v>-1.1282488817630001</v>
      </c>
      <c r="AH2824">
        <v>9.5546338541989204</v>
      </c>
      <c r="AI2824">
        <v>95.0111527773972</v>
      </c>
      <c r="AJ2824">
        <v>132.049767645439</v>
      </c>
      <c r="AK2824">
        <v>12.916466661487499</v>
      </c>
      <c r="AL2824">
        <v>73.136901606752502</v>
      </c>
      <c r="AM2824">
        <v>113.20837316135</v>
      </c>
      <c r="AN2824">
        <v>1.0000000233781201</v>
      </c>
    </row>
    <row r="2825" spans="1:40" x14ac:dyDescent="0.25">
      <c r="A2825" t="str">
        <f>"20190304164143780"</f>
        <v>20190304164143780</v>
      </c>
      <c r="B2825" t="str">
        <f>"1551688903774294"</f>
        <v>1551688903774294</v>
      </c>
      <c r="C2825" t="s">
        <v>40</v>
      </c>
      <c r="D2825">
        <v>5.0833519999999996</v>
      </c>
      <c r="E2825">
        <v>0.35577340000000002</v>
      </c>
      <c r="F2825" t="s">
        <v>42</v>
      </c>
      <c r="G2825">
        <v>-496.17</v>
      </c>
      <c r="H2825" s="1">
        <v>-5.27439E-6</v>
      </c>
      <c r="I2825">
        <v>269.2697</v>
      </c>
      <c r="J2825">
        <v>-492.51850000000002</v>
      </c>
      <c r="K2825">
        <v>1.128317</v>
      </c>
      <c r="L2825">
        <v>280.03699999999998</v>
      </c>
      <c r="M2825">
        <v>-0.86926630000000005</v>
      </c>
      <c r="N2825">
        <v>-3.3399480000000002E-2</v>
      </c>
      <c r="O2825">
        <v>-0.49321480000000001</v>
      </c>
      <c r="P2825">
        <v>-0.58089009999999996</v>
      </c>
      <c r="Q2825">
        <v>0.28605229999999998</v>
      </c>
      <c r="R2825">
        <v>-0.76206370000000001</v>
      </c>
      <c r="S2825">
        <v>-1.1660459999999999</v>
      </c>
      <c r="T2825">
        <v>-0.32898830000000001</v>
      </c>
      <c r="U2825">
        <v>-3.1921080000000002</v>
      </c>
      <c r="V2825">
        <v>-0.38863819999999999</v>
      </c>
      <c r="W2825">
        <v>0.29979119999999998</v>
      </c>
      <c r="X2825">
        <v>0.87125520000000001</v>
      </c>
      <c r="Y2825">
        <v>-0.64492450000000001</v>
      </c>
      <c r="Z2825">
        <v>-1.016851E-2</v>
      </c>
      <c r="AA2825">
        <v>0.76417860000000004</v>
      </c>
      <c r="AB2825">
        <v>42</v>
      </c>
      <c r="AC2825">
        <v>-3.6514999999999902</v>
      </c>
      <c r="AD2825">
        <v>-1.1283222743899901</v>
      </c>
      <c r="AE2825">
        <v>-10.767300000000001</v>
      </c>
      <c r="AF2825">
        <v>-7.4891381209255803</v>
      </c>
      <c r="AG2825">
        <v>-1.1283222743899901</v>
      </c>
      <c r="AH2825">
        <v>8.4066590630224507</v>
      </c>
      <c r="AI2825">
        <v>95.722931482827505</v>
      </c>
      <c r="AJ2825">
        <v>131.69649715271299</v>
      </c>
      <c r="AK2825">
        <v>11.315132237454501</v>
      </c>
      <c r="AL2825">
        <v>72.554937791069193</v>
      </c>
      <c r="AM2825">
        <v>114.040073630381</v>
      </c>
      <c r="AN2825">
        <v>1.0000000188118501</v>
      </c>
    </row>
    <row r="2826" spans="1:40" x14ac:dyDescent="0.25">
      <c r="A2826" t="str">
        <f>"20190304164143803"</f>
        <v>20190304164143803</v>
      </c>
      <c r="B2826" t="str">
        <f>"1551688903793815"</f>
        <v>1551688903793815</v>
      </c>
      <c r="C2826" t="s">
        <v>40</v>
      </c>
      <c r="D2826">
        <v>5.0744470000000002</v>
      </c>
      <c r="E2826">
        <v>0.35718539999999999</v>
      </c>
      <c r="F2826" t="s">
        <v>42</v>
      </c>
      <c r="G2826">
        <v>-496.4151</v>
      </c>
      <c r="H2826" s="1">
        <v>-5.1657179999999996E-6</v>
      </c>
      <c r="I2826">
        <v>268.82260000000002</v>
      </c>
      <c r="J2826">
        <v>-492.87079999999997</v>
      </c>
      <c r="K2826">
        <v>1.1283859999999999</v>
      </c>
      <c r="L2826">
        <v>279.84780000000001</v>
      </c>
      <c r="M2826">
        <v>-0.86166019999999899</v>
      </c>
      <c r="N2826">
        <v>-3.3596870000000001E-2</v>
      </c>
      <c r="O2826">
        <v>-0.5063723</v>
      </c>
      <c r="P2826">
        <v>-0.55474129999999999</v>
      </c>
      <c r="Q2826">
        <v>0.29979810000000001</v>
      </c>
      <c r="R2826">
        <v>-0.77613350000000003</v>
      </c>
      <c r="S2826">
        <v>-1.114716</v>
      </c>
      <c r="T2826">
        <v>-0.32278319999999999</v>
      </c>
      <c r="U2826">
        <v>-3.2081300000000001</v>
      </c>
      <c r="V2826">
        <v>-0.40111180000000002</v>
      </c>
      <c r="W2826">
        <v>0.31287959999999998</v>
      </c>
      <c r="X2826">
        <v>0.8609388</v>
      </c>
      <c r="Y2826">
        <v>-0.64547429999999995</v>
      </c>
      <c r="Z2826">
        <v>-9.5171200000000004E-3</v>
      </c>
      <c r="AA2826">
        <v>0.76372269999999998</v>
      </c>
      <c r="AB2826">
        <v>42</v>
      </c>
      <c r="AC2826">
        <v>-3.5443000000000202</v>
      </c>
      <c r="AD2826">
        <v>-1.1283911657179999</v>
      </c>
      <c r="AE2826">
        <v>-11.0251999999999</v>
      </c>
      <c r="AF2826">
        <v>-7.6370890095964903</v>
      </c>
      <c r="AG2826">
        <v>-1.1283911657179999</v>
      </c>
      <c r="AH2826">
        <v>8.5604466063408093</v>
      </c>
      <c r="AI2826">
        <v>95.617578008103806</v>
      </c>
      <c r="AJ2826">
        <v>131.73732484557499</v>
      </c>
      <c r="AK2826">
        <v>11.527343200555</v>
      </c>
      <c r="AL2826">
        <v>71.767144871109494</v>
      </c>
      <c r="AM2826">
        <v>114.9808342218</v>
      </c>
      <c r="AN2826">
        <v>0.99999996877041897</v>
      </c>
    </row>
    <row r="2827" spans="1:40" x14ac:dyDescent="0.25">
      <c r="A2827" t="str">
        <f>"20190304164143815"</f>
        <v>20190304164143815</v>
      </c>
      <c r="B2827" t="str">
        <f>"1551688903803575"</f>
        <v>1551688903803575</v>
      </c>
      <c r="C2827" t="s">
        <v>40</v>
      </c>
      <c r="D2827">
        <v>5.0830970000000004</v>
      </c>
      <c r="E2827">
        <v>0.35792869999999999</v>
      </c>
      <c r="F2827" t="s">
        <v>42</v>
      </c>
      <c r="G2827">
        <v>-496.94029999999998</v>
      </c>
      <c r="H2827" s="1">
        <v>-4.7181310000000004E-6</v>
      </c>
      <c r="I2827">
        <v>267.23360000000002</v>
      </c>
      <c r="J2827">
        <v>-493.05919999999998</v>
      </c>
      <c r="K2827">
        <v>1.128417</v>
      </c>
      <c r="L2827">
        <v>279.7432</v>
      </c>
      <c r="M2827">
        <v>-0.85743910000000001</v>
      </c>
      <c r="N2827">
        <v>-3.368935E-2</v>
      </c>
      <c r="O2827">
        <v>-0.51348170000000004</v>
      </c>
      <c r="P2827">
        <v>-0.54218459999999902</v>
      </c>
      <c r="Q2827">
        <v>0.30650309999999997</v>
      </c>
      <c r="R2827">
        <v>-0.78236349999999999</v>
      </c>
      <c r="S2827">
        <v>-1.0426029999999999</v>
      </c>
      <c r="T2827">
        <v>-0.2890934</v>
      </c>
      <c r="U2827">
        <v>-3.2317499999999999</v>
      </c>
      <c r="V2827">
        <v>-0.40595189999999998</v>
      </c>
      <c r="W2827">
        <v>0.31931929999999997</v>
      </c>
      <c r="X2827">
        <v>0.85629330000000003</v>
      </c>
      <c r="Y2827">
        <v>-0.65641099999999997</v>
      </c>
      <c r="Z2827">
        <v>-1.1763010000000001E-2</v>
      </c>
      <c r="AA2827">
        <v>0.75431179999999998</v>
      </c>
      <c r="AB2827">
        <v>41</v>
      </c>
      <c r="AC2827">
        <v>-3.8811</v>
      </c>
      <c r="AD2827">
        <v>-1.1284217181309999</v>
      </c>
      <c r="AE2827">
        <v>-12.509599999999899</v>
      </c>
      <c r="AF2827">
        <v>-8.6739242172643696</v>
      </c>
      <c r="AG2827">
        <v>-1.1284217181309999</v>
      </c>
      <c r="AH2827">
        <v>9.6849095245703705</v>
      </c>
      <c r="AI2827">
        <v>94.960432081456204</v>
      </c>
      <c r="AJ2827">
        <v>131.84801628257401</v>
      </c>
      <c r="AK2827">
        <v>13.050201891155099</v>
      </c>
      <c r="AL2827">
        <v>71.378235732115797</v>
      </c>
      <c r="AM2827">
        <v>115.364714761825</v>
      </c>
      <c r="AN2827">
        <v>0.99999998804549495</v>
      </c>
    </row>
    <row r="2828" spans="1:40" x14ac:dyDescent="0.25">
      <c r="A2828" t="str">
        <f>"20190304164143827"</f>
        <v>20190304164143827</v>
      </c>
      <c r="B2828" t="str">
        <f>"1551688903813334"</f>
        <v>1551688903813334</v>
      </c>
      <c r="C2828" t="s">
        <v>40</v>
      </c>
      <c r="D2828">
        <v>5.0731999999999999</v>
      </c>
      <c r="E2828">
        <v>0.358705</v>
      </c>
      <c r="F2828" t="s">
        <v>42</v>
      </c>
      <c r="G2828">
        <v>-497.27699999999999</v>
      </c>
      <c r="H2828" s="1">
        <v>-4.4012530000000003E-6</v>
      </c>
      <c r="I2828">
        <v>266.12700000000001</v>
      </c>
      <c r="J2828">
        <v>-493.24509999999998</v>
      </c>
      <c r="K2828">
        <v>1.128441</v>
      </c>
      <c r="L2828">
        <v>279.63869999999997</v>
      </c>
      <c r="M2828">
        <v>-0.85318179999999999</v>
      </c>
      <c r="N2828">
        <v>-3.3774489999999997E-2</v>
      </c>
      <c r="O2828">
        <v>-0.52051910000000001</v>
      </c>
      <c r="P2828">
        <v>-0.53033050000000004</v>
      </c>
      <c r="Q2828">
        <v>0.31066870000000002</v>
      </c>
      <c r="R2828">
        <v>-0.78881840000000003</v>
      </c>
      <c r="S2828">
        <v>-1.0047299999999999</v>
      </c>
      <c r="T2828">
        <v>-0.26880349999999997</v>
      </c>
      <c r="U2828">
        <v>-3.2435610000000001</v>
      </c>
      <c r="V2828">
        <v>-0.41065309999999999</v>
      </c>
      <c r="W2828">
        <v>0.3232447</v>
      </c>
      <c r="X2828">
        <v>0.85257079999999996</v>
      </c>
      <c r="Y2828">
        <v>-0.65919189999999905</v>
      </c>
      <c r="Z2828">
        <v>-1.268414E-2</v>
      </c>
      <c r="AA2828">
        <v>0.75186779999999998</v>
      </c>
      <c r="AB2828">
        <v>41</v>
      </c>
      <c r="AC2828">
        <v>-4.0319000000000003</v>
      </c>
      <c r="AD2828">
        <v>-1.1284454012530001</v>
      </c>
      <c r="AE2828">
        <v>-13.5116999999999</v>
      </c>
      <c r="AF2828">
        <v>-9.37459695720894</v>
      </c>
      <c r="AG2828">
        <v>-1.1284454012530001</v>
      </c>
      <c r="AH2828">
        <v>10.412332492742699</v>
      </c>
      <c r="AI2828">
        <v>94.604758634548602</v>
      </c>
      <c r="AJ2828">
        <v>131.99784431918201</v>
      </c>
      <c r="AK2828">
        <v>14.056070755127299</v>
      </c>
      <c r="AL2828">
        <v>71.140736184668299</v>
      </c>
      <c r="AM2828">
        <v>115.718466551145</v>
      </c>
      <c r="AN2828">
        <v>1.00000003681516</v>
      </c>
    </row>
    <row r="2829" spans="1:40" x14ac:dyDescent="0.25">
      <c r="A2829" t="str">
        <f>"20190304164143838"</f>
        <v>20190304164143838</v>
      </c>
      <c r="B2829" t="str">
        <f>"1551688903824071"</f>
        <v>1551688903824071</v>
      </c>
      <c r="C2829" t="s">
        <v>40</v>
      </c>
      <c r="D2829">
        <v>5.0640999999999998</v>
      </c>
      <c r="E2829">
        <v>0.35943350000000002</v>
      </c>
      <c r="F2829" t="s">
        <v>42</v>
      </c>
      <c r="G2829">
        <v>-497.4948</v>
      </c>
      <c r="H2829" s="1">
        <v>-4.1698910000000001E-6</v>
      </c>
      <c r="I2829">
        <v>265.33359999999999</v>
      </c>
      <c r="J2829">
        <v>-493.43430000000001</v>
      </c>
      <c r="K2829">
        <v>1.1284590000000001</v>
      </c>
      <c r="L2829">
        <v>279.53030000000001</v>
      </c>
      <c r="M2829">
        <v>-0.84874609999999995</v>
      </c>
      <c r="N2829">
        <v>-3.3852050000000002E-2</v>
      </c>
      <c r="O2829">
        <v>-0.52771599999999996</v>
      </c>
      <c r="P2829">
        <v>-0.5192949</v>
      </c>
      <c r="Q2829">
        <v>0.30987360000000003</v>
      </c>
      <c r="R2829">
        <v>-0.796436699999999</v>
      </c>
      <c r="S2829">
        <v>-0.96676640000000003</v>
      </c>
      <c r="T2829">
        <v>-0.25670989999999999</v>
      </c>
      <c r="U2829">
        <v>-3.2542719999999998</v>
      </c>
      <c r="V2829">
        <v>-0.41559940000000001</v>
      </c>
      <c r="W2829">
        <v>0.32224000000000003</v>
      </c>
      <c r="X2829">
        <v>0.85055190000000003</v>
      </c>
      <c r="Y2829">
        <v>-0.66166550000000002</v>
      </c>
      <c r="Z2829">
        <v>-1.314592E-2</v>
      </c>
      <c r="AA2829">
        <v>0.74968389999999996</v>
      </c>
      <c r="AB2829">
        <v>40</v>
      </c>
      <c r="AC2829">
        <v>-4.0604999999999896</v>
      </c>
      <c r="AD2829">
        <v>-1.1284631698909999</v>
      </c>
      <c r="AE2829">
        <v>-14.1967</v>
      </c>
      <c r="AF2829">
        <v>-9.8547271003590104</v>
      </c>
      <c r="AG2829">
        <v>-1.1284631698909999</v>
      </c>
      <c r="AH2829">
        <v>10.880881701020099</v>
      </c>
      <c r="AI2829">
        <v>94.395657627923498</v>
      </c>
      <c r="AJ2829">
        <v>132.16688318219499</v>
      </c>
      <c r="AK2829">
        <v>14.723541080186701</v>
      </c>
      <c r="AL2829">
        <v>71.201555323503598</v>
      </c>
      <c r="AM2829">
        <v>116.041208224578</v>
      </c>
      <c r="AN2829">
        <v>1.0000000067369801</v>
      </c>
    </row>
    <row r="2830" spans="1:40" x14ac:dyDescent="0.25">
      <c r="A2830" t="str">
        <f>"20190304164143850"</f>
        <v>20190304164143850</v>
      </c>
      <c r="B2830" t="str">
        <f>"1551688903833830"</f>
        <v>1551688903833830</v>
      </c>
      <c r="C2830" t="s">
        <v>40</v>
      </c>
      <c r="D2830">
        <v>5.0908559999999996</v>
      </c>
      <c r="E2830">
        <v>0.360155</v>
      </c>
      <c r="F2830" t="s">
        <v>42</v>
      </c>
      <c r="G2830">
        <v>-497.46660000000003</v>
      </c>
      <c r="H2830" s="1">
        <v>-4.1447719999999998E-6</v>
      </c>
      <c r="I2830">
        <v>265.27440000000001</v>
      </c>
      <c r="J2830">
        <v>-493.5899</v>
      </c>
      <c r="K2830">
        <v>1.128474</v>
      </c>
      <c r="L2830">
        <v>279.43900000000002</v>
      </c>
      <c r="M2830">
        <v>-0.84499709999999995</v>
      </c>
      <c r="N2830">
        <v>-3.3906859999999997E-2</v>
      </c>
      <c r="O2830">
        <v>-0.53369500000000003</v>
      </c>
      <c r="P2830">
        <v>-0.50935699999999995</v>
      </c>
      <c r="Q2830">
        <v>0.3080734</v>
      </c>
      <c r="R2830">
        <v>-0.80352129999999999</v>
      </c>
      <c r="S2830">
        <v>-0.92358399999999996</v>
      </c>
      <c r="T2830">
        <v>-0.2584651</v>
      </c>
      <c r="U2830">
        <v>-3.2651979999999998</v>
      </c>
      <c r="V2830">
        <v>-0.42073060000000001</v>
      </c>
      <c r="W2830">
        <v>0.32020890000000002</v>
      </c>
      <c r="X2830">
        <v>0.84879450000000001</v>
      </c>
      <c r="Y2830">
        <v>-0.6661589</v>
      </c>
      <c r="Z2830">
        <v>-1.2990160000000001E-2</v>
      </c>
      <c r="AA2830">
        <v>0.74569669999999999</v>
      </c>
      <c r="AB2830">
        <v>40</v>
      </c>
      <c r="AC2830">
        <v>-3.87670000000002</v>
      </c>
      <c r="AD2830">
        <v>-1.128478144772</v>
      </c>
      <c r="AE2830">
        <v>-14.1646</v>
      </c>
      <c r="AF2830">
        <v>-9.84761724432569</v>
      </c>
      <c r="AG2830">
        <v>-1.128478144772</v>
      </c>
      <c r="AH2830">
        <v>10.777967676958699</v>
      </c>
      <c r="AI2830">
        <v>94.419981419424502</v>
      </c>
      <c r="AJ2830">
        <v>132.41733163705101</v>
      </c>
      <c r="AK2830">
        <v>14.6428691027249</v>
      </c>
      <c r="AL2830">
        <v>71.324442042750704</v>
      </c>
      <c r="AM2830">
        <v>116.36670270245</v>
      </c>
      <c r="AN2830">
        <v>1.0000000403228999</v>
      </c>
    </row>
    <row r="2831" spans="1:40" x14ac:dyDescent="0.25">
      <c r="A2831" t="str">
        <f>"20190304164143861"</f>
        <v>20190304164143861</v>
      </c>
      <c r="B2831" t="str">
        <f>"1551688903853352"</f>
        <v>1551688903853352</v>
      </c>
      <c r="C2831" t="s">
        <v>40</v>
      </c>
      <c r="D2831">
        <v>5.1025229999999997</v>
      </c>
      <c r="E2831">
        <v>0.37856430000000002</v>
      </c>
      <c r="F2831" t="s">
        <v>42</v>
      </c>
      <c r="G2831">
        <v>-497.34699999999998</v>
      </c>
      <c r="H2831" s="1">
        <v>-4.2255420000000003E-6</v>
      </c>
      <c r="I2831">
        <v>265.57409999999999</v>
      </c>
      <c r="J2831">
        <v>-493.76100000000002</v>
      </c>
      <c r="K2831">
        <v>1.1284749999999999</v>
      </c>
      <c r="L2831">
        <v>279.33789999999999</v>
      </c>
      <c r="M2831">
        <v>-0.84080669999999902</v>
      </c>
      <c r="N2831">
        <v>-3.3963470000000003E-2</v>
      </c>
      <c r="O2831">
        <v>-0.54026890000000005</v>
      </c>
      <c r="P2831">
        <v>-0.49936960000000002</v>
      </c>
      <c r="Q2831">
        <v>0.30178519999999998</v>
      </c>
      <c r="R2831">
        <v>-0.81213000000000002</v>
      </c>
      <c r="S2831">
        <v>-0.88705440000000002</v>
      </c>
      <c r="T2831">
        <v>-0.26643050000000001</v>
      </c>
      <c r="U2831">
        <v>-3.2734679999999998</v>
      </c>
      <c r="V2831">
        <v>-0.4264018</v>
      </c>
      <c r="W2831">
        <v>0.31370690000000001</v>
      </c>
      <c r="X2831">
        <v>0.84839229999999999</v>
      </c>
      <c r="Y2831">
        <v>-0.66848730000000001</v>
      </c>
      <c r="Z2831">
        <v>-1.223225E-2</v>
      </c>
      <c r="AA2831">
        <v>0.74362299999999903</v>
      </c>
      <c r="AB2831">
        <v>40</v>
      </c>
      <c r="AC2831">
        <v>-3.5860000000000101</v>
      </c>
      <c r="AD2831">
        <v>-1.128479225542</v>
      </c>
      <c r="AE2831">
        <v>-13.7638</v>
      </c>
      <c r="AF2831">
        <v>-9.5805450381707402</v>
      </c>
      <c r="AG2831">
        <v>-1.128479225542</v>
      </c>
      <c r="AH2831">
        <v>10.391903635638799</v>
      </c>
      <c r="AI2831">
        <v>94.564798106763007</v>
      </c>
      <c r="AJ2831">
        <v>132.673701576789</v>
      </c>
      <c r="AK2831">
        <v>14.1792795925357</v>
      </c>
      <c r="AL2831">
        <v>71.717231913692103</v>
      </c>
      <c r="AM2831">
        <v>116.68409324916399</v>
      </c>
      <c r="AN2831">
        <v>1.0000000044250701</v>
      </c>
    </row>
    <row r="2832" spans="1:40" x14ac:dyDescent="0.25">
      <c r="A2832" t="str">
        <f>"20190304164143871"</f>
        <v>20190304164143871</v>
      </c>
      <c r="B2832" t="str">
        <f>"1551688903864086"</f>
        <v>1551688903864086</v>
      </c>
      <c r="C2832" t="s">
        <v>40</v>
      </c>
      <c r="D2832">
        <v>5.0612349999999999</v>
      </c>
      <c r="E2832">
        <v>0.37946980000000002</v>
      </c>
      <c r="F2832" t="s">
        <v>41</v>
      </c>
      <c r="G2832">
        <v>-494.03269999999998</v>
      </c>
      <c r="H2832">
        <v>1.0347010000000001</v>
      </c>
      <c r="I2832">
        <v>278.44670000000002</v>
      </c>
      <c r="J2832">
        <v>-493.92489999999998</v>
      </c>
      <c r="K2832">
        <v>1.12849</v>
      </c>
      <c r="L2832">
        <v>279.23809999999997</v>
      </c>
      <c r="M2832">
        <v>-0.83667130000000001</v>
      </c>
      <c r="N2832">
        <v>-3.4006309999999998E-2</v>
      </c>
      <c r="O2832">
        <v>-0.54664880000000005</v>
      </c>
      <c r="P2832">
        <v>-0.48992649999999999</v>
      </c>
      <c r="Q2832">
        <v>0.29387590000000002</v>
      </c>
      <c r="R2832">
        <v>-0.82073700000000005</v>
      </c>
      <c r="S2832">
        <v>-0.98016360000000002</v>
      </c>
      <c r="T2832">
        <v>-0.33833649999999998</v>
      </c>
      <c r="U2832">
        <v>-3.2170100000000001</v>
      </c>
      <c r="V2832">
        <v>-0.4319076</v>
      </c>
      <c r="W2832">
        <v>0.30559380000000003</v>
      </c>
      <c r="X2832">
        <v>0.8485684</v>
      </c>
      <c r="Y2832">
        <v>-0.63873970000000002</v>
      </c>
      <c r="Z2832">
        <v>-4.3279169999999997E-3</v>
      </c>
      <c r="AA2832">
        <v>0.7694107</v>
      </c>
      <c r="AB2832">
        <v>40</v>
      </c>
      <c r="AC2832">
        <v>-0.107799999999997</v>
      </c>
      <c r="AD2832">
        <v>-9.37889999999999E-2</v>
      </c>
      <c r="AE2832">
        <v>-0.79139999999995303</v>
      </c>
      <c r="AF2832">
        <v>-0.59535273435033698</v>
      </c>
      <c r="AG2832">
        <v>-9.37889999999999E-2</v>
      </c>
      <c r="AH2832">
        <v>0.51599851502285399</v>
      </c>
      <c r="AI2832">
        <v>96.788828192965497</v>
      </c>
      <c r="AJ2832">
        <v>139.084179908317</v>
      </c>
      <c r="AK2832">
        <v>0.79340766464990398</v>
      </c>
      <c r="AL2832">
        <v>72.206108794891804</v>
      </c>
      <c r="AM2832">
        <v>116.97535842939099</v>
      </c>
      <c r="AN2832">
        <v>1.0000000375073701</v>
      </c>
    </row>
    <row r="2833" spans="1:40" x14ac:dyDescent="0.25">
      <c r="A2833" t="str">
        <f>"20190304164143884"</f>
        <v>20190304164143884</v>
      </c>
      <c r="B2833" t="str">
        <f>"1551688903873847"</f>
        <v>1551688903873847</v>
      </c>
      <c r="C2833" t="s">
        <v>40</v>
      </c>
      <c r="D2833">
        <v>5.0664259999999999</v>
      </c>
      <c r="E2833">
        <v>0.3810791</v>
      </c>
      <c r="F2833" t="s">
        <v>42</v>
      </c>
      <c r="G2833">
        <v>-496.92570000000001</v>
      </c>
      <c r="H2833" s="1">
        <v>-5.3216029999999999E-6</v>
      </c>
      <c r="I2833">
        <v>269.01459999999997</v>
      </c>
      <c r="J2833">
        <v>-494.0992</v>
      </c>
      <c r="K2833">
        <v>1.128509</v>
      </c>
      <c r="L2833">
        <v>279.13119999999998</v>
      </c>
      <c r="M2833">
        <v>-0.83220130000000003</v>
      </c>
      <c r="N2833">
        <v>-3.4048050000000003E-2</v>
      </c>
      <c r="O2833">
        <v>-0.55342749999999996</v>
      </c>
      <c r="P2833">
        <v>-0.4792401</v>
      </c>
      <c r="Q2833">
        <v>0.29143580000000002</v>
      </c>
      <c r="R2833">
        <v>-0.8278856</v>
      </c>
      <c r="S2833">
        <v>-0.94467159999999994</v>
      </c>
      <c r="T2833">
        <v>-0.35525950000000001</v>
      </c>
      <c r="U2833">
        <v>-3.218445</v>
      </c>
      <c r="V2833">
        <v>-0.43669000000000002</v>
      </c>
      <c r="W2833">
        <v>0.302927</v>
      </c>
      <c r="X2833">
        <v>0.84707559999999904</v>
      </c>
      <c r="Y2833">
        <v>-0.64021660000000002</v>
      </c>
      <c r="Z2833">
        <v>-2.486916E-3</v>
      </c>
      <c r="AA2833">
        <v>0.76819040000000005</v>
      </c>
      <c r="AB2833">
        <v>40</v>
      </c>
      <c r="AC2833">
        <v>-2.8264999999999998</v>
      </c>
      <c r="AD2833">
        <v>-1.128514321603</v>
      </c>
      <c r="AE2833">
        <v>-10.1166</v>
      </c>
      <c r="AF2833">
        <v>-6.7804963738084103</v>
      </c>
      <c r="AG2833">
        <v>-1.128514321603</v>
      </c>
      <c r="AH2833">
        <v>7.86485272769937</v>
      </c>
      <c r="AI2833">
        <v>96.202356795953193</v>
      </c>
      <c r="AJ2833">
        <v>130.765489631695</v>
      </c>
      <c r="AK2833">
        <v>10.4453139769799</v>
      </c>
      <c r="AL2833">
        <v>72.366509314560801</v>
      </c>
      <c r="AM2833">
        <v>117.272309208653</v>
      </c>
      <c r="AN2833">
        <v>0.99999999777217896</v>
      </c>
    </row>
    <row r="2834" spans="1:40" x14ac:dyDescent="0.25">
      <c r="A2834" t="str">
        <f>"20190304164143896"</f>
        <v>20190304164143896</v>
      </c>
      <c r="B2834" t="str">
        <f>"1551688903894344"</f>
        <v>1551688903894344</v>
      </c>
      <c r="C2834" t="s">
        <v>40</v>
      </c>
      <c r="D2834">
        <v>5.0158610000000001</v>
      </c>
      <c r="E2834">
        <v>0.38234859999999998</v>
      </c>
      <c r="F2834" t="s">
        <v>42</v>
      </c>
      <c r="G2834">
        <v>-496.8698</v>
      </c>
      <c r="H2834" s="1">
        <v>-5.4542579999999997E-6</v>
      </c>
      <c r="I2834">
        <v>269.43349999999998</v>
      </c>
      <c r="J2834">
        <v>-494.28649999999999</v>
      </c>
      <c r="K2834">
        <v>1.1285449999999999</v>
      </c>
      <c r="L2834">
        <v>279.01310000000001</v>
      </c>
      <c r="M2834">
        <v>-0.8272465</v>
      </c>
      <c r="N2834">
        <v>-3.4079270000000002E-2</v>
      </c>
      <c r="O2834">
        <v>-0.56080450000000004</v>
      </c>
      <c r="P2834">
        <v>-0.46805580000000002</v>
      </c>
      <c r="Q2834">
        <v>0.29301929999999998</v>
      </c>
      <c r="R2834">
        <v>-0.83370480000000002</v>
      </c>
      <c r="S2834">
        <v>-0.92074579999999995</v>
      </c>
      <c r="T2834">
        <v>-0.37502659999999999</v>
      </c>
      <c r="U2834">
        <v>-3.2227169999999998</v>
      </c>
      <c r="V2834">
        <v>-0.44021450000000001</v>
      </c>
      <c r="W2834">
        <v>0.3042977</v>
      </c>
      <c r="X2834">
        <v>0.84475679999999997</v>
      </c>
      <c r="Y2834">
        <v>-0.63877709999999999</v>
      </c>
      <c r="Z2834" s="1">
        <v>-5.4761769999999999E-5</v>
      </c>
      <c r="AA2834">
        <v>0.76939190000000002</v>
      </c>
      <c r="AB2834">
        <v>39</v>
      </c>
      <c r="AC2834">
        <v>-2.5832999999999999</v>
      </c>
      <c r="AD2834">
        <v>-1.128550454258</v>
      </c>
      <c r="AE2834">
        <v>-9.5796000000000205</v>
      </c>
      <c r="AF2834">
        <v>-6.3969659076624499</v>
      </c>
      <c r="AG2834">
        <v>-1.128550454258</v>
      </c>
      <c r="AH2834">
        <v>7.4177048063827504</v>
      </c>
      <c r="AI2834">
        <v>96.572415978100807</v>
      </c>
      <c r="AJ2834">
        <v>130.774206326925</v>
      </c>
      <c r="AK2834">
        <v>9.8598754325922098</v>
      </c>
      <c r="AL2834">
        <v>72.2840826637037</v>
      </c>
      <c r="AM2834">
        <v>117.524645691516</v>
      </c>
      <c r="AN2834">
        <v>0.999999973690889</v>
      </c>
    </row>
    <row r="2835" spans="1:40" x14ac:dyDescent="0.25">
      <c r="A2835" t="str">
        <f>"20190304164143908"</f>
        <v>20190304164143908</v>
      </c>
      <c r="B2835" t="str">
        <f>"1551688903894344"</f>
        <v>1551688903894344</v>
      </c>
      <c r="C2835" t="s">
        <v>40</v>
      </c>
      <c r="D2835">
        <v>5.0158610000000001</v>
      </c>
      <c r="E2835">
        <v>0.38234859999999998</v>
      </c>
      <c r="F2835" t="s">
        <v>42</v>
      </c>
      <c r="G2835">
        <v>-496.97410000000002</v>
      </c>
      <c r="H2835" s="1">
        <v>-5.4326850000000003E-6</v>
      </c>
      <c r="I2835">
        <v>269.31569999999999</v>
      </c>
      <c r="J2835">
        <v>-494.45350000000002</v>
      </c>
      <c r="K2835">
        <v>1.1285940000000001</v>
      </c>
      <c r="L2835">
        <v>278.90589999999997</v>
      </c>
      <c r="M2835">
        <v>-0.82272269999999903</v>
      </c>
      <c r="N2835">
        <v>-3.4099320000000002E-2</v>
      </c>
      <c r="O2835">
        <v>-0.56741940000000002</v>
      </c>
      <c r="P2835">
        <v>-0.45750410000000002</v>
      </c>
      <c r="Q2835">
        <v>0.30056620000000001</v>
      </c>
      <c r="R2835">
        <v>-0.83686939999999999</v>
      </c>
      <c r="S2835">
        <v>-0.89468380000000003</v>
      </c>
      <c r="T2835">
        <v>-0.37568750000000001</v>
      </c>
      <c r="U2835">
        <v>-3.22818</v>
      </c>
      <c r="V2835">
        <v>-0.44225439999999999</v>
      </c>
      <c r="W2835">
        <v>0.31164249999999999</v>
      </c>
      <c r="X2835">
        <v>0.84100540000000001</v>
      </c>
      <c r="Y2835">
        <v>-0.63872620000000002</v>
      </c>
      <c r="Z2835">
        <v>7.530786E-4</v>
      </c>
      <c r="AA2835">
        <v>0.7694337</v>
      </c>
      <c r="AB2835">
        <v>39</v>
      </c>
      <c r="AC2835">
        <v>-2.5206</v>
      </c>
      <c r="AD2835">
        <v>-1.128599432685</v>
      </c>
      <c r="AE2835">
        <v>-9.5901999999999799</v>
      </c>
      <c r="AF2835">
        <v>-6.3809356407917699</v>
      </c>
      <c r="AG2835">
        <v>-1.128599432685</v>
      </c>
      <c r="AH2835">
        <v>7.4236249324619799</v>
      </c>
      <c r="AI2835">
        <v>96.576673857163797</v>
      </c>
      <c r="AJ2835">
        <v>130.68052372156299</v>
      </c>
      <c r="AK2835">
        <v>9.8539476084082498</v>
      </c>
      <c r="AL2835">
        <v>71.841757720779</v>
      </c>
      <c r="AM2835">
        <v>117.73826290302701</v>
      </c>
      <c r="AN2835">
        <v>1.0000000424773801</v>
      </c>
    </row>
    <row r="2836" spans="1:40" x14ac:dyDescent="0.25">
      <c r="A2836" t="str">
        <f>"20190304164143920"</f>
        <v>20190304164143920</v>
      </c>
      <c r="B2836" t="str">
        <f>"1551688903913862"</f>
        <v>1551688903913862</v>
      </c>
      <c r="C2836" t="s">
        <v>40</v>
      </c>
      <c r="D2836">
        <v>5.0109839999999997</v>
      </c>
      <c r="E2836">
        <v>0.38443749999999999</v>
      </c>
      <c r="F2836" t="s">
        <v>42</v>
      </c>
      <c r="G2836">
        <v>-497.22250000000003</v>
      </c>
      <c r="H2836" s="1">
        <v>-5.197002E-6</v>
      </c>
      <c r="I2836">
        <v>268.49369999999999</v>
      </c>
      <c r="J2836">
        <v>-494.63010000000003</v>
      </c>
      <c r="K2836">
        <v>1.1286419999999999</v>
      </c>
      <c r="L2836">
        <v>278.79109999999997</v>
      </c>
      <c r="M2836">
        <v>-0.81783689999999998</v>
      </c>
      <c r="N2836">
        <v>-3.4113699999999997E-2</v>
      </c>
      <c r="O2836">
        <v>-0.57443849999999996</v>
      </c>
      <c r="P2836">
        <v>-0.4474707</v>
      </c>
      <c r="Q2836">
        <v>0.31005700000000003</v>
      </c>
      <c r="R2836">
        <v>-0.83882969999999901</v>
      </c>
      <c r="S2836">
        <v>-0.8616028</v>
      </c>
      <c r="T2836">
        <v>-0.35118280000000002</v>
      </c>
      <c r="U2836">
        <v>-3.2399290000000001</v>
      </c>
      <c r="V2836">
        <v>-0.4427199</v>
      </c>
      <c r="W2836">
        <v>0.3209902</v>
      </c>
      <c r="X2836">
        <v>0.83723619999999899</v>
      </c>
      <c r="Y2836">
        <v>-0.64041099999999995</v>
      </c>
      <c r="Z2836">
        <v>-6.4763050000000001E-4</v>
      </c>
      <c r="AA2836">
        <v>0.7680321</v>
      </c>
      <c r="AB2836">
        <v>39</v>
      </c>
      <c r="AC2836">
        <v>-2.5923999999999898</v>
      </c>
      <c r="AD2836">
        <v>-1.128647197002</v>
      </c>
      <c r="AE2836">
        <v>-10.2973999999999</v>
      </c>
      <c r="AF2836">
        <v>-6.85896728585017</v>
      </c>
      <c r="AG2836">
        <v>-1.128647197002</v>
      </c>
      <c r="AH2836">
        <v>7.9502449578628998</v>
      </c>
      <c r="AI2836">
        <v>96.135128329627193</v>
      </c>
      <c r="AJ2836">
        <v>130.785542266508</v>
      </c>
      <c r="AK2836">
        <v>10.5605715571501</v>
      </c>
      <c r="AL2836">
        <v>71.277182158512304</v>
      </c>
      <c r="AM2836">
        <v>117.869318987376</v>
      </c>
      <c r="AN2836">
        <v>1.00000003647124</v>
      </c>
    </row>
    <row r="2837" spans="1:40" x14ac:dyDescent="0.25">
      <c r="A2837" t="str">
        <f>"20190304164143934"</f>
        <v>20190304164143934</v>
      </c>
      <c r="B2837" t="str">
        <f>"1551688903923622"</f>
        <v>1551688903923622</v>
      </c>
      <c r="C2837" t="s">
        <v>40</v>
      </c>
      <c r="D2837">
        <v>5.0776469999999998</v>
      </c>
      <c r="E2837">
        <v>0.4039082</v>
      </c>
      <c r="F2837" t="s">
        <v>41</v>
      </c>
      <c r="G2837">
        <v>-494.86430000000001</v>
      </c>
      <c r="H2837">
        <v>1.040483</v>
      </c>
      <c r="I2837">
        <v>277.88650000000001</v>
      </c>
      <c r="J2837">
        <v>-494.81630000000001</v>
      </c>
      <c r="K2837">
        <v>1.1286889999999901</v>
      </c>
      <c r="L2837">
        <v>278.66640000000001</v>
      </c>
      <c r="M2837">
        <v>-0.8125173</v>
      </c>
      <c r="N2837">
        <v>-3.4116819999999999E-2</v>
      </c>
      <c r="O2837">
        <v>-0.58193809999999901</v>
      </c>
      <c r="P2837">
        <v>-0.43742989999999998</v>
      </c>
      <c r="Q2837">
        <v>0.3167605</v>
      </c>
      <c r="R2837">
        <v>-0.8416167</v>
      </c>
      <c r="S2837">
        <v>-0.84045409999999898</v>
      </c>
      <c r="T2837">
        <v>-0.3162855</v>
      </c>
      <c r="U2837">
        <v>-3.2450260000000002</v>
      </c>
      <c r="V2837">
        <v>-0.44329760000000001</v>
      </c>
      <c r="W2837">
        <v>0.32756010000000002</v>
      </c>
      <c r="X2837">
        <v>0.83438099999999904</v>
      </c>
      <c r="Y2837">
        <v>-0.63866099999999904</v>
      </c>
      <c r="Z2837">
        <v>-2.6938520000000001E-3</v>
      </c>
      <c r="AA2837">
        <v>0.76948359999999905</v>
      </c>
      <c r="AB2837">
        <v>39</v>
      </c>
      <c r="AC2837">
        <v>-4.8000000000001798E-2</v>
      </c>
      <c r="AD2837">
        <v>-8.8205999999999701E-2</v>
      </c>
      <c r="AE2837">
        <v>-0.77989999999999704</v>
      </c>
      <c r="AF2837">
        <v>-0.59847551505279495</v>
      </c>
      <c r="AG2837">
        <v>-8.8205999999999701E-2</v>
      </c>
      <c r="AH2837">
        <v>0.48693627189310801</v>
      </c>
      <c r="AI2837">
        <v>96.521968805300304</v>
      </c>
      <c r="AJ2837">
        <v>140.86724221998</v>
      </c>
      <c r="AK2837">
        <v>0.77656949041207302</v>
      </c>
      <c r="AL2837">
        <v>70.879250115310398</v>
      </c>
      <c r="AM2837">
        <v>117.981225247362</v>
      </c>
      <c r="AN2837">
        <v>1.0000000172193799</v>
      </c>
    </row>
    <row r="2838" spans="1:40" x14ac:dyDescent="0.25">
      <c r="A2838" t="str">
        <f>"20190304164143948"</f>
        <v>20190304164143948</v>
      </c>
      <c r="B2838" t="str">
        <f>"1551688903933383"</f>
        <v>1551688903933383</v>
      </c>
      <c r="C2838" t="s">
        <v>40</v>
      </c>
      <c r="D2838">
        <v>5.0776820000000003</v>
      </c>
      <c r="E2838">
        <v>0.40308680000000002</v>
      </c>
      <c r="F2838" t="s">
        <v>42</v>
      </c>
      <c r="G2838">
        <v>-497.8725</v>
      </c>
      <c r="H2838" s="1">
        <v>-5.2868809999999998E-6</v>
      </c>
      <c r="I2838">
        <v>268.41899999999998</v>
      </c>
      <c r="J2838">
        <v>-495.01150000000001</v>
      </c>
      <c r="K2838">
        <v>1.1287240000000001</v>
      </c>
      <c r="L2838">
        <v>278.5333</v>
      </c>
      <c r="M2838">
        <v>-0.80679809999999996</v>
      </c>
      <c r="N2838">
        <v>-3.4114039999999998E-2</v>
      </c>
      <c r="O2838">
        <v>-0.58984169999999903</v>
      </c>
      <c r="P2838">
        <v>-0.42800929999999998</v>
      </c>
      <c r="Q2838">
        <v>0.32322990000000001</v>
      </c>
      <c r="R2838">
        <v>-0.84399690000000005</v>
      </c>
      <c r="S2838">
        <v>-0.95471189999999995</v>
      </c>
      <c r="T2838">
        <v>-0.35258230000000002</v>
      </c>
      <c r="U2838">
        <v>-3.2010800000000001</v>
      </c>
      <c r="V2838">
        <v>-0.4427857</v>
      </c>
      <c r="W2838">
        <v>0.333955</v>
      </c>
      <c r="X2838">
        <v>0.83211469999999899</v>
      </c>
      <c r="Y2838">
        <v>-0.60245249999999995</v>
      </c>
      <c r="Z2838">
        <v>4.2859109999999999E-3</v>
      </c>
      <c r="AA2838">
        <v>0.79814319999999905</v>
      </c>
      <c r="AB2838">
        <v>39</v>
      </c>
      <c r="AC2838">
        <v>-2.86099999999999</v>
      </c>
      <c r="AD2838">
        <v>-1.1287292868809999</v>
      </c>
      <c r="AE2838">
        <v>-10.114299999999901</v>
      </c>
      <c r="AF2838">
        <v>-6.40259961889232</v>
      </c>
      <c r="AG2838">
        <v>-1.1287292868809999</v>
      </c>
      <c r="AH2838">
        <v>8.1845250138841195</v>
      </c>
      <c r="AI2838">
        <v>96.199289606445106</v>
      </c>
      <c r="AJ2838">
        <v>128.035401979607</v>
      </c>
      <c r="AK2838">
        <v>10.452452410118701</v>
      </c>
      <c r="AL2838">
        <v>70.490995354523903</v>
      </c>
      <c r="AM2838">
        <v>118.018380290983</v>
      </c>
      <c r="AN2838">
        <v>0.999999996052789</v>
      </c>
    </row>
    <row r="2839" spans="1:40" x14ac:dyDescent="0.25">
      <c r="A2839" t="str">
        <f>"20190304164143961"</f>
        <v>20190304164143961</v>
      </c>
      <c r="B2839" t="str">
        <f>"1551688903953878"</f>
        <v>1551688903953878</v>
      </c>
      <c r="C2839" t="s">
        <v>40</v>
      </c>
      <c r="D2839">
        <v>5.0902960000000004</v>
      </c>
      <c r="E2839">
        <v>0.40345189999999997</v>
      </c>
      <c r="F2839" t="s">
        <v>42</v>
      </c>
      <c r="G2839">
        <v>-498.23349999999999</v>
      </c>
      <c r="H2839" s="1">
        <v>-4.9082989999999998E-6</v>
      </c>
      <c r="I2839">
        <v>267.11840000000001</v>
      </c>
      <c r="J2839">
        <v>-495.19139999999999</v>
      </c>
      <c r="K2839">
        <v>1.1287389999999999</v>
      </c>
      <c r="L2839">
        <v>278.40859999999998</v>
      </c>
      <c r="M2839">
        <v>-0.80139819999999995</v>
      </c>
      <c r="N2839">
        <v>-3.4105900000000001E-2</v>
      </c>
      <c r="O2839">
        <v>-0.59715810000000002</v>
      </c>
      <c r="P2839">
        <v>-0.4160529</v>
      </c>
      <c r="Q2839">
        <v>0.32681259999999901</v>
      </c>
      <c r="R2839">
        <v>-0.84858330000000004</v>
      </c>
      <c r="S2839">
        <v>-0.90774540000000004</v>
      </c>
      <c r="T2839">
        <v>-0.31800349999999999</v>
      </c>
      <c r="U2839">
        <v>-3.2160030000000002</v>
      </c>
      <c r="V2839">
        <v>-0.4460712</v>
      </c>
      <c r="W2839">
        <v>0.33727269999999998</v>
      </c>
      <c r="X2839">
        <v>0.82901599999999998</v>
      </c>
      <c r="Y2839">
        <v>-0.60719869999999898</v>
      </c>
      <c r="Z2839">
        <v>1.330372E-3</v>
      </c>
      <c r="AA2839">
        <v>0.7945489</v>
      </c>
      <c r="AB2839">
        <v>38</v>
      </c>
      <c r="AC2839">
        <v>-3.0421</v>
      </c>
      <c r="AD2839">
        <v>-1.1287439082989901</v>
      </c>
      <c r="AE2839">
        <v>-11.290199999999899</v>
      </c>
      <c r="AF2839">
        <v>-7.1687380668393699</v>
      </c>
      <c r="AG2839">
        <v>-1.1287439082989901</v>
      </c>
      <c r="AH2839">
        <v>9.1005075271315796</v>
      </c>
      <c r="AI2839">
        <v>95.564894114231507</v>
      </c>
      <c r="AJ2839">
        <v>128.22854658016999</v>
      </c>
      <c r="AK2839">
        <v>11.639763980977101</v>
      </c>
      <c r="AL2839">
        <v>70.289200097601594</v>
      </c>
      <c r="AM2839">
        <v>118.283499067397</v>
      </c>
      <c r="AN2839">
        <v>0.99999995894536398</v>
      </c>
    </row>
    <row r="2840" spans="1:40" x14ac:dyDescent="0.25">
      <c r="A2840" t="str">
        <f>"20190304164143975"</f>
        <v>20190304164143975</v>
      </c>
      <c r="B2840" t="str">
        <f>"1551688903963639"</f>
        <v>1551688903963639</v>
      </c>
      <c r="C2840" t="s">
        <v>40</v>
      </c>
      <c r="D2840">
        <v>5.1060860000000003</v>
      </c>
      <c r="E2840">
        <v>0.40389059999999999</v>
      </c>
      <c r="F2840" t="s">
        <v>41</v>
      </c>
      <c r="G2840">
        <v>-495.42570000000001</v>
      </c>
      <c r="H2840">
        <v>1.0479780000000001</v>
      </c>
      <c r="I2840">
        <v>277.53410000000002</v>
      </c>
      <c r="J2840">
        <v>-495.37490000000003</v>
      </c>
      <c r="K2840">
        <v>1.1287480000000001</v>
      </c>
      <c r="L2840">
        <v>278.2774</v>
      </c>
      <c r="M2840">
        <v>-0.7957071</v>
      </c>
      <c r="N2840">
        <v>-3.4096359999999999E-2</v>
      </c>
      <c r="O2840">
        <v>-0.60472130000000002</v>
      </c>
      <c r="P2840">
        <v>-0.40564060000000002</v>
      </c>
      <c r="Q2840">
        <v>0.32494260000000003</v>
      </c>
      <c r="R2840">
        <v>-0.85432339999999996</v>
      </c>
      <c r="S2840">
        <v>-0.86459349999999902</v>
      </c>
      <c r="T2840">
        <v>-0.29792980000000002</v>
      </c>
      <c r="U2840">
        <v>-3.2261350000000002</v>
      </c>
      <c r="V2840">
        <v>-0.4488933</v>
      </c>
      <c r="W2840">
        <v>0.3352348</v>
      </c>
      <c r="X2840">
        <v>0.82831900000000003</v>
      </c>
      <c r="Y2840">
        <v>-0.61034860000000002</v>
      </c>
      <c r="Z2840">
        <v>-1.5901399999999999E-4</v>
      </c>
      <c r="AA2840">
        <v>0.79213290000000003</v>
      </c>
      <c r="AB2840">
        <v>38</v>
      </c>
      <c r="AC2840">
        <v>-5.0799999999980999E-2</v>
      </c>
      <c r="AD2840">
        <v>-8.0769999999999703E-2</v>
      </c>
      <c r="AE2840">
        <v>-0.74329999999997598</v>
      </c>
      <c r="AF2840">
        <v>-0.55453793986641398</v>
      </c>
      <c r="AG2840">
        <v>-8.0769999999999703E-2</v>
      </c>
      <c r="AH2840">
        <v>0.48450189591193599</v>
      </c>
      <c r="AI2840">
        <v>96.259484003370602</v>
      </c>
      <c r="AJ2840">
        <v>138.856165020405</v>
      </c>
      <c r="AK2840">
        <v>0.74079565792028501</v>
      </c>
      <c r="AL2840">
        <v>70.413182664182401</v>
      </c>
      <c r="AM2840">
        <v>118.45472009040699</v>
      </c>
      <c r="AN2840">
        <v>0.99999996583846396</v>
      </c>
    </row>
    <row r="2841" spans="1:40" x14ac:dyDescent="0.25">
      <c r="A2841" t="str">
        <f>"20190304164143989"</f>
        <v>20190304164143989</v>
      </c>
      <c r="B2841" t="str">
        <f>"1551688903973398"</f>
        <v>1551688903973398</v>
      </c>
      <c r="C2841" t="s">
        <v>40</v>
      </c>
      <c r="D2841">
        <v>5.1106800000000003</v>
      </c>
      <c r="E2841">
        <v>0.40475559999999999</v>
      </c>
      <c r="F2841" t="s">
        <v>42</v>
      </c>
      <c r="G2841">
        <v>-498.42590000000001</v>
      </c>
      <c r="H2841" s="1">
        <v>-4.7223980000000003E-6</v>
      </c>
      <c r="I2841">
        <v>266.47179999999997</v>
      </c>
      <c r="J2841">
        <v>-495.55590000000001</v>
      </c>
      <c r="K2841">
        <v>1.1287450000000001</v>
      </c>
      <c r="L2841">
        <v>278.14580000000001</v>
      </c>
      <c r="M2841">
        <v>-0.78996290000000002</v>
      </c>
      <c r="N2841">
        <v>-3.4089429999999997E-2</v>
      </c>
      <c r="O2841">
        <v>-0.61220649999999999</v>
      </c>
      <c r="P2841">
        <v>-0.39600590000000002</v>
      </c>
      <c r="Q2841">
        <v>0.32108399999999998</v>
      </c>
      <c r="R2841">
        <v>-0.86028179999999999</v>
      </c>
      <c r="S2841">
        <v>-0.83538819999999903</v>
      </c>
      <c r="T2841">
        <v>-0.30906280000000003</v>
      </c>
      <c r="U2841">
        <v>-3.2324830000000002</v>
      </c>
      <c r="V2841">
        <v>-0.45140439999999998</v>
      </c>
      <c r="W2841">
        <v>0.33125870000000002</v>
      </c>
      <c r="X2841">
        <v>0.82855400000000001</v>
      </c>
      <c r="Y2841">
        <v>-0.60989409999999999</v>
      </c>
      <c r="Z2841">
        <v>1.6826759999999999E-3</v>
      </c>
      <c r="AA2841">
        <v>0.79248109999999905</v>
      </c>
      <c r="AB2841">
        <v>38</v>
      </c>
      <c r="AC2841">
        <v>-2.87</v>
      </c>
      <c r="AD2841">
        <v>-1.1287497223980001</v>
      </c>
      <c r="AE2841">
        <v>-11.673999999999999</v>
      </c>
      <c r="AF2841">
        <v>-7.4040605685112002</v>
      </c>
      <c r="AG2841">
        <v>-1.1287497223980001</v>
      </c>
      <c r="AH2841">
        <v>9.3372488495985699</v>
      </c>
      <c r="AI2841">
        <v>95.410976848186905</v>
      </c>
      <c r="AJ2841">
        <v>128.412993496468</v>
      </c>
      <c r="AK2841">
        <v>11.969895777212299</v>
      </c>
      <c r="AL2841">
        <v>70.654808627950104</v>
      </c>
      <c r="AM2841">
        <v>118.581984599481</v>
      </c>
      <c r="AN2841">
        <v>0.99999999479052504</v>
      </c>
    </row>
    <row r="2842" spans="1:40" x14ac:dyDescent="0.25">
      <c r="A2842" t="str">
        <f>"20190304164144000"</f>
        <v>20190304164144000</v>
      </c>
      <c r="B2842" t="str">
        <f>"1551688903993895"</f>
        <v>1551688903993895</v>
      </c>
      <c r="C2842" t="s">
        <v>40</v>
      </c>
      <c r="D2842">
        <v>5.0832889999999997</v>
      </c>
      <c r="E2842">
        <v>0.40647800000000001</v>
      </c>
      <c r="F2842" t="s">
        <v>42</v>
      </c>
      <c r="G2842">
        <v>-498.3503</v>
      </c>
      <c r="H2842" s="1">
        <v>-4.8974909999999997E-6</v>
      </c>
      <c r="I2842">
        <v>267.02569999999997</v>
      </c>
      <c r="J2842">
        <v>-495.71789999999999</v>
      </c>
      <c r="K2842">
        <v>1.128735</v>
      </c>
      <c r="L2842">
        <v>278.02609999999999</v>
      </c>
      <c r="M2842">
        <v>-0.78470859999999998</v>
      </c>
      <c r="N2842">
        <v>-3.408572E-2</v>
      </c>
      <c r="O2842">
        <v>-0.6189268</v>
      </c>
      <c r="P2842">
        <v>-0.38839279999999998</v>
      </c>
      <c r="Q2842">
        <v>0.31746829999999998</v>
      </c>
      <c r="R2842">
        <v>-0.86508090000000004</v>
      </c>
      <c r="S2842">
        <v>-0.81304929999999997</v>
      </c>
      <c r="T2842">
        <v>-0.32842660000000001</v>
      </c>
      <c r="U2842">
        <v>-3.235535</v>
      </c>
      <c r="V2842">
        <v>-0.45255610000000002</v>
      </c>
      <c r="W2842">
        <v>0.32761059999999997</v>
      </c>
      <c r="X2842">
        <v>0.82937590000000005</v>
      </c>
      <c r="Y2842">
        <v>-0.60833619999999899</v>
      </c>
      <c r="Z2842">
        <v>4.4746680000000002E-3</v>
      </c>
      <c r="AA2842">
        <v>0.79366689999999995</v>
      </c>
      <c r="AB2842">
        <v>37</v>
      </c>
      <c r="AC2842">
        <v>-2.6324000000000098</v>
      </c>
      <c r="AD2842">
        <v>-1.1287398974909999</v>
      </c>
      <c r="AE2842">
        <v>-11.000400000000001</v>
      </c>
      <c r="AF2842">
        <v>-6.9378286044849</v>
      </c>
      <c r="AG2842">
        <v>-1.1287398974909999</v>
      </c>
      <c r="AH2842">
        <v>8.7917188243854891</v>
      </c>
      <c r="AI2842">
        <v>95.755135996589004</v>
      </c>
      <c r="AJ2842">
        <v>128.27810872715099</v>
      </c>
      <c r="AK2842">
        <v>11.256191158133801</v>
      </c>
      <c r="AL2842">
        <v>70.876188473491396</v>
      </c>
      <c r="AM2842">
        <v>118.619469912924</v>
      </c>
      <c r="AN2842">
        <v>1.0000000561901801</v>
      </c>
    </row>
    <row r="2843" spans="1:40" x14ac:dyDescent="0.25">
      <c r="A2843" t="str">
        <f>"20190304164144012"</f>
        <v>20190304164144012</v>
      </c>
      <c r="B2843" t="str">
        <f>"1551688904003655"</f>
        <v>1551688904003655</v>
      </c>
      <c r="C2843" t="s">
        <v>40</v>
      </c>
      <c r="D2843">
        <v>5.0825490000000002</v>
      </c>
      <c r="E2843">
        <v>0.40741319999999998</v>
      </c>
      <c r="F2843" t="s">
        <v>41</v>
      </c>
      <c r="G2843">
        <v>-495.93509999999998</v>
      </c>
      <c r="H2843">
        <v>1.0339700000000001</v>
      </c>
      <c r="I2843">
        <v>277.1454</v>
      </c>
      <c r="J2843">
        <v>-495.86239999999998</v>
      </c>
      <c r="K2843">
        <v>1.1287100000000001</v>
      </c>
      <c r="L2843">
        <v>277.91609999999997</v>
      </c>
      <c r="M2843">
        <v>-0.77988769999999996</v>
      </c>
      <c r="N2843">
        <v>-3.4095500000000001E-2</v>
      </c>
      <c r="O2843">
        <v>-0.62499019999999905</v>
      </c>
      <c r="P2843">
        <v>-0.38179370000000001</v>
      </c>
      <c r="Q2843">
        <v>0.31628689999999998</v>
      </c>
      <c r="R2843">
        <v>-0.86844460000000001</v>
      </c>
      <c r="S2843">
        <v>-0.7986145</v>
      </c>
      <c r="T2843">
        <v>-0.34839150000000002</v>
      </c>
      <c r="U2843">
        <v>-3.2371829999999999</v>
      </c>
      <c r="V2843">
        <v>-0.45272370000000001</v>
      </c>
      <c r="W2843">
        <v>0.32645159999999901</v>
      </c>
      <c r="X2843">
        <v>0.82974139999999996</v>
      </c>
      <c r="Y2843">
        <v>-0.60550249999999906</v>
      </c>
      <c r="Z2843">
        <v>7.4506590000000001E-3</v>
      </c>
      <c r="AA2843">
        <v>0.79580859999999998</v>
      </c>
      <c r="AB2843">
        <v>37</v>
      </c>
      <c r="AC2843">
        <v>-7.2699999999997503E-2</v>
      </c>
      <c r="AD2843">
        <v>-9.4740000000000005E-2</v>
      </c>
      <c r="AE2843">
        <v>-0.77069999999997596</v>
      </c>
      <c r="AF2843">
        <v>-0.54774189768243697</v>
      </c>
      <c r="AG2843">
        <v>-9.4740000000000005E-2</v>
      </c>
      <c r="AH2843">
        <v>0.53074161334515602</v>
      </c>
      <c r="AI2843">
        <v>97.080837812561001</v>
      </c>
      <c r="AJ2843">
        <v>135.903086481511</v>
      </c>
      <c r="AK2843">
        <v>0.76855937585392597</v>
      </c>
      <c r="AL2843">
        <v>70.946458896230197</v>
      </c>
      <c r="AM2843">
        <v>118.61777578235299</v>
      </c>
      <c r="AN2843">
        <v>1.0000000932791</v>
      </c>
    </row>
    <row r="2844" spans="1:40" x14ac:dyDescent="0.25">
      <c r="A2844" t="str">
        <f>"20190304164144029"</f>
        <v>20190304164144029</v>
      </c>
      <c r="B2844" t="str">
        <f>"1551688904013415"</f>
        <v>1551688904013415</v>
      </c>
      <c r="C2844" t="s">
        <v>40</v>
      </c>
      <c r="D2844">
        <v>5.0811019999999996</v>
      </c>
      <c r="E2844">
        <v>0.40823159999999997</v>
      </c>
      <c r="F2844" t="s">
        <v>42</v>
      </c>
      <c r="G2844">
        <v>-498.34070000000003</v>
      </c>
      <c r="H2844" s="1">
        <v>-5.0890489999999998E-6</v>
      </c>
      <c r="I2844">
        <v>267.59359999999998</v>
      </c>
      <c r="J2844">
        <v>-496.05619999999999</v>
      </c>
      <c r="K2844">
        <v>1.1287</v>
      </c>
      <c r="L2844">
        <v>277.76659999999998</v>
      </c>
      <c r="M2844">
        <v>-0.77329599999999998</v>
      </c>
      <c r="N2844">
        <v>-3.4119379999999998E-2</v>
      </c>
      <c r="O2844">
        <v>-0.63312650000000004</v>
      </c>
      <c r="P2844">
        <v>-0.37240420000000002</v>
      </c>
      <c r="Q2844">
        <v>0.31988870000000003</v>
      </c>
      <c r="R2844">
        <v>-0.87119859999999905</v>
      </c>
      <c r="S2844">
        <v>-0.77819819999999995</v>
      </c>
      <c r="T2844">
        <v>-0.35443170000000002</v>
      </c>
      <c r="U2844">
        <v>-3.2413940000000001</v>
      </c>
      <c r="V2844">
        <v>-0.45209670000000002</v>
      </c>
      <c r="W2844">
        <v>0.33008999999999999</v>
      </c>
      <c r="X2844">
        <v>0.82864300000000002</v>
      </c>
      <c r="Y2844">
        <v>-0.60213760000000005</v>
      </c>
      <c r="Z2844">
        <v>9.240847E-3</v>
      </c>
      <c r="AA2844">
        <v>0.79833889999999996</v>
      </c>
      <c r="AB2844">
        <v>37</v>
      </c>
      <c r="AC2844">
        <v>-2.2845000000000302</v>
      </c>
      <c r="AD2844">
        <v>-1.128705089049</v>
      </c>
      <c r="AE2844">
        <v>-10.173</v>
      </c>
      <c r="AF2844">
        <v>-6.3496901082191801</v>
      </c>
      <c r="AG2844">
        <v>-1.128705089049</v>
      </c>
      <c r="AH2844">
        <v>8.1170471463696199</v>
      </c>
      <c r="AI2844">
        <v>96.250331321079898</v>
      </c>
      <c r="AJ2844">
        <v>128.034864035445</v>
      </c>
      <c r="AK2844">
        <v>10.367207629098999</v>
      </c>
      <c r="AL2844">
        <v>70.725762343774207</v>
      </c>
      <c r="AM2844">
        <v>118.61630034458</v>
      </c>
      <c r="AN2844">
        <v>1.0000000278499399</v>
      </c>
    </row>
    <row r="2845" spans="1:40" x14ac:dyDescent="0.25">
      <c r="A2845" t="str">
        <f>"20190304164144042"</f>
        <v>20190304164144042</v>
      </c>
      <c r="B2845" t="str">
        <f>"1551688904033911"</f>
        <v>1551688904033911</v>
      </c>
      <c r="C2845" t="s">
        <v>40</v>
      </c>
      <c r="D2845">
        <v>5.0852380000000004</v>
      </c>
      <c r="E2845">
        <v>0.40972049999999999</v>
      </c>
      <c r="F2845" t="s">
        <v>42</v>
      </c>
      <c r="G2845">
        <v>-498.5247</v>
      </c>
      <c r="H2845" s="1">
        <v>-4.9163050000000002E-6</v>
      </c>
      <c r="I2845">
        <v>266.99009999999998</v>
      </c>
      <c r="J2845">
        <v>-496.24290000000002</v>
      </c>
      <c r="K2845">
        <v>1.128698</v>
      </c>
      <c r="L2845">
        <v>277.61950000000002</v>
      </c>
      <c r="M2845">
        <v>-0.76677980000000001</v>
      </c>
      <c r="N2845">
        <v>-3.4159139999999998E-2</v>
      </c>
      <c r="O2845">
        <v>-0.64100069999999998</v>
      </c>
      <c r="P2845">
        <v>-0.3611221</v>
      </c>
      <c r="Q2845">
        <v>0.32368580000000002</v>
      </c>
      <c r="R2845">
        <v>-0.87453910000000001</v>
      </c>
      <c r="S2845">
        <v>-0.74450680000000002</v>
      </c>
      <c r="T2845">
        <v>-0.3404298</v>
      </c>
      <c r="U2845">
        <v>-3.250305</v>
      </c>
      <c r="V2845">
        <v>-0.45340629999999998</v>
      </c>
      <c r="W2845">
        <v>0.33383499999999999</v>
      </c>
      <c r="X2845">
        <v>0.82642420000000005</v>
      </c>
      <c r="Y2845">
        <v>-0.60243049999999998</v>
      </c>
      <c r="Z2845">
        <v>8.4422400000000002E-3</v>
      </c>
      <c r="AA2845">
        <v>0.79812669999999997</v>
      </c>
      <c r="AB2845">
        <v>37</v>
      </c>
      <c r="AC2845">
        <v>-2.2817999999999699</v>
      </c>
      <c r="AD2845">
        <v>-1.128702916305</v>
      </c>
      <c r="AE2845">
        <v>-10.6294</v>
      </c>
      <c r="AF2845">
        <v>-6.6203190334009898</v>
      </c>
      <c r="AG2845">
        <v>-1.128702916305</v>
      </c>
      <c r="AH2845">
        <v>8.4767212340455096</v>
      </c>
      <c r="AI2845">
        <v>95.990733949012593</v>
      </c>
      <c r="AJ2845">
        <v>127.989835394536</v>
      </c>
      <c r="AK2845">
        <v>10.8146843345982</v>
      </c>
      <c r="AL2845">
        <v>70.4982899247007</v>
      </c>
      <c r="AM2845">
        <v>118.750770473777</v>
      </c>
      <c r="AN2845">
        <v>1.0000000192251599</v>
      </c>
    </row>
    <row r="2846" spans="1:40" x14ac:dyDescent="0.25">
      <c r="A2846" t="str">
        <f>"20190304164144055"</f>
        <v>20190304164144055</v>
      </c>
      <c r="B2846" t="str">
        <f>"1551688904043670"</f>
        <v>1551688904043670</v>
      </c>
      <c r="C2846" t="s">
        <v>40</v>
      </c>
      <c r="D2846">
        <v>5.0880390000000002</v>
      </c>
      <c r="E2846">
        <v>0.40972049999999999</v>
      </c>
      <c r="F2846" t="s">
        <v>42</v>
      </c>
      <c r="G2846">
        <v>-498.68169999999998</v>
      </c>
      <c r="H2846" s="1">
        <v>-4.7999880000000003E-6</v>
      </c>
      <c r="I2846">
        <v>266.56650000000002</v>
      </c>
      <c r="J2846">
        <v>-496.4051</v>
      </c>
      <c r="K2846">
        <v>1.12869</v>
      </c>
      <c r="L2846">
        <v>277.48790000000002</v>
      </c>
      <c r="M2846">
        <v>-0.76094229999999996</v>
      </c>
      <c r="N2846">
        <v>-3.4216980000000001E-2</v>
      </c>
      <c r="O2846">
        <v>-0.64791690000000002</v>
      </c>
      <c r="P2846">
        <v>-0.3507845</v>
      </c>
      <c r="Q2846">
        <v>0.32567800000000002</v>
      </c>
      <c r="R2846">
        <v>-0.87800029999999996</v>
      </c>
      <c r="S2846">
        <v>-0.71859740000000005</v>
      </c>
      <c r="T2846">
        <v>-0.33257189999999998</v>
      </c>
      <c r="U2846">
        <v>-3.2567750000000002</v>
      </c>
      <c r="V2846">
        <v>-0.45517600000000003</v>
      </c>
      <c r="W2846">
        <v>0.3357985</v>
      </c>
      <c r="X2846">
        <v>0.824654</v>
      </c>
      <c r="Y2846">
        <v>-0.60166600000000003</v>
      </c>
      <c r="Z2846">
        <v>8.2512569999999997E-3</v>
      </c>
      <c r="AA2846">
        <v>0.7987052</v>
      </c>
      <c r="AB2846">
        <v>36</v>
      </c>
      <c r="AC2846">
        <v>-2.27659999999997</v>
      </c>
      <c r="AD2846">
        <v>-1.1286947999879999</v>
      </c>
      <c r="AE2846">
        <v>-10.9214</v>
      </c>
      <c r="AF2846">
        <v>-6.7702127991078704</v>
      </c>
      <c r="AG2846">
        <v>-1.1286947999879999</v>
      </c>
      <c r="AH2846">
        <v>8.7243792351748102</v>
      </c>
      <c r="AI2846">
        <v>95.835818193981794</v>
      </c>
      <c r="AJ2846">
        <v>127.811850262389</v>
      </c>
      <c r="AK2846">
        <v>11.100654320168401</v>
      </c>
      <c r="AL2846">
        <v>70.378898817223401</v>
      </c>
      <c r="AM2846">
        <v>118.896939817137</v>
      </c>
      <c r="AN2846">
        <v>1.0000000216471201</v>
      </c>
    </row>
    <row r="2847" spans="1:40" x14ac:dyDescent="0.25">
      <c r="A2847" t="str">
        <f>"20190304164144068"</f>
        <v>20190304164144068</v>
      </c>
      <c r="B2847" t="str">
        <f>"1551688904064167"</f>
        <v>1551688904064167</v>
      </c>
      <c r="C2847" t="s">
        <v>40</v>
      </c>
      <c r="D2847">
        <v>5.2051170000000004</v>
      </c>
      <c r="E2847">
        <v>0.42422609999999999</v>
      </c>
      <c r="F2847" t="s">
        <v>42</v>
      </c>
      <c r="G2847">
        <v>-498.76650000000001</v>
      </c>
      <c r="H2847" s="1">
        <v>-4.6881409999999997E-6</v>
      </c>
      <c r="I2847">
        <v>266.1936</v>
      </c>
      <c r="J2847">
        <v>-496.55200000000002</v>
      </c>
      <c r="K2847">
        <v>1.128673</v>
      </c>
      <c r="L2847">
        <v>277.36669999999998</v>
      </c>
      <c r="M2847">
        <v>-0.75554189999999999</v>
      </c>
      <c r="N2847">
        <v>-3.4279909999999997E-2</v>
      </c>
      <c r="O2847">
        <v>-0.65420319999999899</v>
      </c>
      <c r="P2847">
        <v>-0.34056779999999998</v>
      </c>
      <c r="Q2847">
        <v>0.32650020000000002</v>
      </c>
      <c r="R2847">
        <v>-0.88170949999999904</v>
      </c>
      <c r="S2847">
        <v>-0.68267819999999901</v>
      </c>
      <c r="T2847">
        <v>-0.32630219999999999</v>
      </c>
      <c r="U2847">
        <v>-3.2651370000000002</v>
      </c>
      <c r="V2847">
        <v>-0.45770670000000002</v>
      </c>
      <c r="W2847">
        <v>0.33656909999999901</v>
      </c>
      <c r="X2847">
        <v>0.82293729999999998</v>
      </c>
      <c r="Y2847">
        <v>-0.60391049999999902</v>
      </c>
      <c r="Z2847">
        <v>7.9330879999999996E-3</v>
      </c>
      <c r="AA2847">
        <v>0.79701269999999902</v>
      </c>
      <c r="AB2847">
        <v>36</v>
      </c>
      <c r="AC2847">
        <v>-2.2145000000000401</v>
      </c>
      <c r="AD2847">
        <v>-1.1286776881409999</v>
      </c>
      <c r="AE2847">
        <v>-11.1730999999999</v>
      </c>
      <c r="AF2847">
        <v>-6.9290875001350898</v>
      </c>
      <c r="AG2847">
        <v>-1.1286776881409999</v>
      </c>
      <c r="AH2847">
        <v>8.9005130889568402</v>
      </c>
      <c r="AI2847">
        <v>95.714157730963905</v>
      </c>
      <c r="AJ2847">
        <v>127.900910281055</v>
      </c>
      <c r="AK2847">
        <v>11.336017826156001</v>
      </c>
      <c r="AL2847">
        <v>70.332017432601205</v>
      </c>
      <c r="AM2847">
        <v>119.08222553737301</v>
      </c>
      <c r="AN2847">
        <v>0.99999999101549397</v>
      </c>
    </row>
    <row r="2848" spans="1:40" x14ac:dyDescent="0.25">
      <c r="A2848" t="str">
        <f>"20190304164144079"</f>
        <v>20190304164144079</v>
      </c>
      <c r="B2848" t="str">
        <f>"1551688904073927"</f>
        <v>1551688904073927</v>
      </c>
      <c r="C2848" t="s">
        <v>40</v>
      </c>
      <c r="D2848">
        <v>5.1527699999999896</v>
      </c>
      <c r="E2848">
        <v>0.42422609999999999</v>
      </c>
      <c r="F2848" t="s">
        <v>42</v>
      </c>
      <c r="G2848">
        <v>-498.87470000000002</v>
      </c>
      <c r="H2848" s="1">
        <v>-5.1568640000000004E-6</v>
      </c>
      <c r="I2848">
        <v>267.5145</v>
      </c>
      <c r="J2848">
        <v>-496.70600000000002</v>
      </c>
      <c r="K2848">
        <v>1.1286449999999999</v>
      </c>
      <c r="L2848">
        <v>277.23790000000002</v>
      </c>
      <c r="M2848">
        <v>-0.74976390000000004</v>
      </c>
      <c r="N2848">
        <v>-3.4358130000000001E-2</v>
      </c>
      <c r="O2848">
        <v>-0.66081299999999998</v>
      </c>
      <c r="P2848">
        <v>-0.33133639999999998</v>
      </c>
      <c r="Q2848">
        <v>0.32536419999999999</v>
      </c>
      <c r="R2848">
        <v>-0.88563789999999998</v>
      </c>
      <c r="S2848">
        <v>-0.76495360000000001</v>
      </c>
      <c r="T2848">
        <v>-0.37170839999999999</v>
      </c>
      <c r="U2848">
        <v>-3.2446290000000002</v>
      </c>
      <c r="V2848">
        <v>-0.45931129999999998</v>
      </c>
      <c r="W2848">
        <v>0.33548499999999998</v>
      </c>
      <c r="X2848">
        <v>0.82248589999999999</v>
      </c>
      <c r="Y2848">
        <v>-0.57621940000000005</v>
      </c>
      <c r="Z2848">
        <v>1.615956E-2</v>
      </c>
      <c r="AA2848">
        <v>0.81713530000000001</v>
      </c>
      <c r="AB2848">
        <v>36</v>
      </c>
      <c r="AC2848">
        <v>-2.16870000000005</v>
      </c>
      <c r="AD2848">
        <v>-1.1286501568639999</v>
      </c>
      <c r="AE2848">
        <v>-9.7234000000000194</v>
      </c>
      <c r="AF2848">
        <v>-5.7863406957083097</v>
      </c>
      <c r="AG2848">
        <v>-1.1286501568639999</v>
      </c>
      <c r="AH2848">
        <v>7.9540272803139196</v>
      </c>
      <c r="AI2848">
        <v>96.5458349837741</v>
      </c>
      <c r="AJ2848">
        <v>126.034880661914</v>
      </c>
      <c r="AK2848">
        <v>9.9006131021961199</v>
      </c>
      <c r="AL2848">
        <v>70.397967899661793</v>
      </c>
      <c r="AM2848">
        <v>119.18085874030299</v>
      </c>
      <c r="AN2848">
        <v>1.00000005561574</v>
      </c>
    </row>
    <row r="2849" spans="1:40" x14ac:dyDescent="0.25">
      <c r="A2849" t="str">
        <f>"20190304164144094"</f>
        <v>20190304164144094</v>
      </c>
      <c r="B2849" t="str">
        <f>"1551688904083687"</f>
        <v>1551688904083687</v>
      </c>
      <c r="C2849" t="s">
        <v>40</v>
      </c>
      <c r="D2849">
        <v>5.1197220000000003</v>
      </c>
      <c r="E2849">
        <v>0.43921070000000001</v>
      </c>
      <c r="F2849" t="s">
        <v>41</v>
      </c>
      <c r="G2849">
        <v>-496.90260000000001</v>
      </c>
      <c r="H2849">
        <v>1.0273909999999999</v>
      </c>
      <c r="I2849">
        <v>276.3596</v>
      </c>
      <c r="J2849">
        <v>-496.8648</v>
      </c>
      <c r="K2849">
        <v>1.1285860000000001</v>
      </c>
      <c r="L2849">
        <v>277.101</v>
      </c>
      <c r="M2849">
        <v>-0.74360950000000003</v>
      </c>
      <c r="N2849">
        <v>-3.4456609999999999E-2</v>
      </c>
      <c r="O2849">
        <v>-0.66772589999999998</v>
      </c>
      <c r="P2849">
        <v>-0.32196529999999901</v>
      </c>
      <c r="Q2849">
        <v>0.3194458</v>
      </c>
      <c r="R2849">
        <v>-0.8912312</v>
      </c>
      <c r="S2849">
        <v>-0.72811890000000001</v>
      </c>
      <c r="T2849">
        <v>-0.37494169999999999</v>
      </c>
      <c r="U2849">
        <v>-3.2527469999999998</v>
      </c>
      <c r="V2849">
        <v>-0.46169130000000003</v>
      </c>
      <c r="W2849">
        <v>0.3296618</v>
      </c>
      <c r="X2849">
        <v>0.82350719999999999</v>
      </c>
      <c r="Y2849">
        <v>-0.57787889999999997</v>
      </c>
      <c r="Z2849">
        <v>1.7183819999999999E-2</v>
      </c>
      <c r="AA2849">
        <v>0.81594160000000004</v>
      </c>
      <c r="AB2849">
        <v>36</v>
      </c>
      <c r="AC2849">
        <v>-3.7800000000004198E-2</v>
      </c>
      <c r="AD2849">
        <v>-0.10119499999999999</v>
      </c>
      <c r="AE2849">
        <v>-0.74139999999999795</v>
      </c>
      <c r="AF2849">
        <v>-0.51678186852191599</v>
      </c>
      <c r="AG2849">
        <v>-0.10119499999999999</v>
      </c>
      <c r="AH2849">
        <v>0.51392166344280898</v>
      </c>
      <c r="AI2849">
        <v>97.904846073451296</v>
      </c>
      <c r="AJ2849">
        <v>135.158995534448</v>
      </c>
      <c r="AK2849">
        <v>0.73581207098947998</v>
      </c>
      <c r="AL2849">
        <v>70.751749252449997</v>
      </c>
      <c r="AM2849">
        <v>119.276745663608</v>
      </c>
      <c r="AN2849">
        <v>0.99999993366338202</v>
      </c>
    </row>
    <row r="2850" spans="1:40" x14ac:dyDescent="0.25">
      <c r="A2850" t="str">
        <f>"20190304164144110"</f>
        <v>20190304164144110</v>
      </c>
      <c r="B2850" t="str">
        <f>"1551688904104183"</f>
        <v>1551688904104183</v>
      </c>
      <c r="C2850" t="s">
        <v>40</v>
      </c>
      <c r="D2850">
        <v>5.1019360000000002</v>
      </c>
      <c r="E2850">
        <v>0.44222980000000001</v>
      </c>
      <c r="F2850" t="s">
        <v>41</v>
      </c>
      <c r="G2850">
        <v>-497.10109999999997</v>
      </c>
      <c r="H2850">
        <v>1.031644</v>
      </c>
      <c r="I2850">
        <v>276.13839999999999</v>
      </c>
      <c r="J2850">
        <v>-497.04169999999999</v>
      </c>
      <c r="K2850">
        <v>1.128531</v>
      </c>
      <c r="L2850">
        <v>276.94600000000003</v>
      </c>
      <c r="M2850">
        <v>-0.73657649999999997</v>
      </c>
      <c r="N2850">
        <v>-3.4579289999999999E-2</v>
      </c>
      <c r="O2850">
        <v>-0.67546980000000001</v>
      </c>
      <c r="P2850">
        <v>-0.31141950000000002</v>
      </c>
      <c r="Q2850">
        <v>0.3165039</v>
      </c>
      <c r="R2850">
        <v>-0.89601520000000001</v>
      </c>
      <c r="S2850">
        <v>-0.78463749999999999</v>
      </c>
      <c r="T2850">
        <v>-0.32202019999999998</v>
      </c>
      <c r="U2850">
        <v>-3.1981510000000002</v>
      </c>
      <c r="V2850">
        <v>-0.46339140000000001</v>
      </c>
      <c r="W2850">
        <v>0.32685579999999997</v>
      </c>
      <c r="X2850">
        <v>0.82367089999999998</v>
      </c>
      <c r="Y2850">
        <v>-0.55290269999999897</v>
      </c>
      <c r="Z2850">
        <v>1.3183479999999999E-2</v>
      </c>
      <c r="AA2850">
        <v>0.83314159999999904</v>
      </c>
      <c r="AB2850">
        <v>36</v>
      </c>
      <c r="AC2850">
        <v>-5.93999999999823E-2</v>
      </c>
      <c r="AD2850">
        <v>-9.6886999999999904E-2</v>
      </c>
      <c r="AE2850">
        <v>-0.807599999999979</v>
      </c>
      <c r="AF2850">
        <v>-0.54723446442604795</v>
      </c>
      <c r="AG2850">
        <v>-9.6886999999999904E-2</v>
      </c>
      <c r="AH2850">
        <v>0.581293344629218</v>
      </c>
      <c r="AI2850">
        <v>96.919497905399595</v>
      </c>
      <c r="AJ2850">
        <v>133.271342605515</v>
      </c>
      <c r="AK2850">
        <v>0.80421054602317099</v>
      </c>
      <c r="AL2850">
        <v>70.921954502555394</v>
      </c>
      <c r="AM2850">
        <v>119.36179678353299</v>
      </c>
      <c r="AN2850">
        <v>1.0000000275472001</v>
      </c>
    </row>
    <row r="2851" spans="1:40" x14ac:dyDescent="0.25">
      <c r="A2851" t="str">
        <f>"20190304164144122"</f>
        <v>20190304164144122</v>
      </c>
      <c r="B2851" t="str">
        <f>"1551688904113943"</f>
        <v>1551688904113943</v>
      </c>
      <c r="C2851" t="s">
        <v>40</v>
      </c>
      <c r="D2851">
        <v>5.0874059999999997</v>
      </c>
      <c r="E2851">
        <v>0.44291239999999998</v>
      </c>
      <c r="F2851" t="s">
        <v>41</v>
      </c>
      <c r="G2851">
        <v>-497.28960000000001</v>
      </c>
      <c r="H2851">
        <v>1.024413</v>
      </c>
      <c r="I2851">
        <v>275.91480000000001</v>
      </c>
      <c r="J2851">
        <v>-497.19290000000001</v>
      </c>
      <c r="K2851">
        <v>1.128495</v>
      </c>
      <c r="L2851">
        <v>276.81099999999998</v>
      </c>
      <c r="M2851">
        <v>-0.73041250000000002</v>
      </c>
      <c r="N2851">
        <v>-3.4695009999999998E-2</v>
      </c>
      <c r="O2851">
        <v>-0.68212469999999903</v>
      </c>
      <c r="P2851">
        <v>-0.30085770000000001</v>
      </c>
      <c r="Q2851">
        <v>0.3156504</v>
      </c>
      <c r="R2851">
        <v>-0.89991659999999996</v>
      </c>
      <c r="S2851">
        <v>-0.76788330000000005</v>
      </c>
      <c r="T2851">
        <v>-0.32258249999999999</v>
      </c>
      <c r="U2851">
        <v>-3.1951900000000002</v>
      </c>
      <c r="V2851">
        <v>-0.4657539</v>
      </c>
      <c r="W2851">
        <v>0.32605849999999997</v>
      </c>
      <c r="X2851">
        <v>0.82265370000000004</v>
      </c>
      <c r="Y2851">
        <v>-0.54930500000000004</v>
      </c>
      <c r="Z2851">
        <v>1.414315E-2</v>
      </c>
      <c r="AA2851">
        <v>0.83550219999999897</v>
      </c>
      <c r="AB2851">
        <v>35</v>
      </c>
      <c r="AC2851">
        <v>-9.6699999999998398E-2</v>
      </c>
      <c r="AD2851">
        <v>-0.10408199999999999</v>
      </c>
      <c r="AE2851">
        <v>-0.89619999999996403</v>
      </c>
      <c r="AF2851">
        <v>-0.58123932439805504</v>
      </c>
      <c r="AG2851">
        <v>-0.10408199999999999</v>
      </c>
      <c r="AH2851">
        <v>0.67338382383569995</v>
      </c>
      <c r="AI2851">
        <v>96.673621572007406</v>
      </c>
      <c r="AJ2851">
        <v>130.79951240222499</v>
      </c>
      <c r="AK2851">
        <v>0.89561040031606198</v>
      </c>
      <c r="AL2851">
        <v>70.970283292609494</v>
      </c>
      <c r="AM2851">
        <v>119.516818492615</v>
      </c>
      <c r="AN2851">
        <v>0.99999997545557395</v>
      </c>
    </row>
    <row r="2852" spans="1:40" x14ac:dyDescent="0.25">
      <c r="A2852" t="str">
        <f>"20190304164144139"</f>
        <v>20190304164144139</v>
      </c>
      <c r="B2852" t="str">
        <f>"1551688904133462"</f>
        <v>1551688904133462</v>
      </c>
      <c r="C2852" t="s">
        <v>40</v>
      </c>
      <c r="D2852">
        <v>5.0969490000000004</v>
      </c>
      <c r="E2852">
        <v>0.44504329999999998</v>
      </c>
      <c r="F2852" t="s">
        <v>42</v>
      </c>
      <c r="G2852">
        <v>-499.75470000000001</v>
      </c>
      <c r="H2852" s="1">
        <v>-4.6911829999999901E-6</v>
      </c>
      <c r="I2852">
        <v>265.68740000000003</v>
      </c>
      <c r="J2852">
        <v>-497.3691</v>
      </c>
      <c r="K2852">
        <v>1.1284459999999901</v>
      </c>
      <c r="L2852">
        <v>276.64929999999998</v>
      </c>
      <c r="M2852">
        <v>-0.72296660000000001</v>
      </c>
      <c r="N2852">
        <v>-3.484814E-2</v>
      </c>
      <c r="O2852">
        <v>-0.69000349999999999</v>
      </c>
      <c r="P2852">
        <v>-0.2873658</v>
      </c>
      <c r="Q2852">
        <v>0.31667479999999998</v>
      </c>
      <c r="R2852">
        <v>-0.90395689999999995</v>
      </c>
      <c r="S2852">
        <v>-0.73724369999999995</v>
      </c>
      <c r="T2852">
        <v>-0.32475479999999901</v>
      </c>
      <c r="U2852">
        <v>-3.201111</v>
      </c>
      <c r="V2852">
        <v>-0.46887489999999998</v>
      </c>
      <c r="W2852">
        <v>0.32712669999999999</v>
      </c>
      <c r="X2852">
        <v>0.82045380000000001</v>
      </c>
      <c r="Y2852">
        <v>-0.5481743</v>
      </c>
      <c r="Z2852">
        <v>1.519788E-2</v>
      </c>
      <c r="AA2852">
        <v>0.83622600000000002</v>
      </c>
      <c r="AB2852">
        <v>35</v>
      </c>
      <c r="AC2852">
        <v>-2.3856000000000099</v>
      </c>
      <c r="AD2852">
        <v>-1.1284506911829999</v>
      </c>
      <c r="AE2852">
        <v>-10.961899999999901</v>
      </c>
      <c r="AF2852">
        <v>-6.2198982576345196</v>
      </c>
      <c r="AG2852">
        <v>-1.1284506911829999</v>
      </c>
      <c r="AH2852">
        <v>9.2010075962429703</v>
      </c>
      <c r="AI2852">
        <v>95.801701377811995</v>
      </c>
      <c r="AJ2852">
        <v>124.058766555967</v>
      </c>
      <c r="AK2852">
        <v>11.163291453862399</v>
      </c>
      <c r="AL2852">
        <v>70.905529519504995</v>
      </c>
      <c r="AM2852">
        <v>119.74720586422499</v>
      </c>
      <c r="AN2852">
        <v>0.99999999381867</v>
      </c>
    </row>
    <row r="2853" spans="1:40" x14ac:dyDescent="0.25">
      <c r="A2853" t="str">
        <f>"20190304164144152"</f>
        <v>20190304164144152</v>
      </c>
      <c r="B2853" t="str">
        <f>"1551688904144199"</f>
        <v>1551688904144199</v>
      </c>
      <c r="C2853" t="s">
        <v>40</v>
      </c>
      <c r="D2853">
        <v>5.0988150000000001</v>
      </c>
      <c r="E2853">
        <v>0.44586340000000002</v>
      </c>
      <c r="F2853" t="s">
        <v>41</v>
      </c>
      <c r="G2853">
        <v>-497.56740000000002</v>
      </c>
      <c r="H2853">
        <v>1.0389489999999999</v>
      </c>
      <c r="I2853">
        <v>275.75540000000001</v>
      </c>
      <c r="J2853">
        <v>-497.52429999999998</v>
      </c>
      <c r="K2853">
        <v>1.1284099999999999</v>
      </c>
      <c r="L2853">
        <v>276.50330000000002</v>
      </c>
      <c r="M2853">
        <v>-0.71618719999999902</v>
      </c>
      <c r="N2853">
        <v>-3.4995499999999999E-2</v>
      </c>
      <c r="O2853">
        <v>-0.69703019999999904</v>
      </c>
      <c r="P2853">
        <v>-0.27230480000000001</v>
      </c>
      <c r="Q2853">
        <v>0.32226529999999998</v>
      </c>
      <c r="R2853">
        <v>-0.90663959999999999</v>
      </c>
      <c r="S2853">
        <v>-0.71054079999999997</v>
      </c>
      <c r="T2853">
        <v>-0.32081120000000002</v>
      </c>
      <c r="U2853">
        <v>-3.2052</v>
      </c>
      <c r="V2853">
        <v>-0.47329159999999998</v>
      </c>
      <c r="W2853">
        <v>0.33261220000000002</v>
      </c>
      <c r="X2853">
        <v>0.81569859999999905</v>
      </c>
      <c r="Y2853">
        <v>-0.54689869999999996</v>
      </c>
      <c r="Z2853">
        <v>1.531152E-2</v>
      </c>
      <c r="AA2853">
        <v>0.83705879999999999</v>
      </c>
      <c r="AB2853">
        <v>35</v>
      </c>
      <c r="AC2853">
        <v>-4.3100000000038101E-2</v>
      </c>
      <c r="AD2853">
        <v>-8.9461000000000193E-2</v>
      </c>
      <c r="AE2853">
        <v>-0.747900000000015</v>
      </c>
      <c r="AF2853">
        <v>-0.49879120799617599</v>
      </c>
      <c r="AG2853">
        <v>-8.9461000000000193E-2</v>
      </c>
      <c r="AH2853">
        <v>0.54474655569839903</v>
      </c>
      <c r="AI2853">
        <v>96.906088289828901</v>
      </c>
      <c r="AJ2853">
        <v>132.478435944598</v>
      </c>
      <c r="AK2853">
        <v>0.744005880111545</v>
      </c>
      <c r="AL2853">
        <v>70.572597897678193</v>
      </c>
      <c r="AM2853">
        <v>120.12353001856199</v>
      </c>
      <c r="AN2853">
        <v>1.0000000101306701</v>
      </c>
    </row>
    <row r="2854" spans="1:40" x14ac:dyDescent="0.25">
      <c r="A2854" t="str">
        <f>"20190304164144168"</f>
        <v>20190304164144168</v>
      </c>
      <c r="B2854" t="str">
        <f>"1551688904153959"</f>
        <v>1551688904153959</v>
      </c>
      <c r="C2854" t="s">
        <v>40</v>
      </c>
      <c r="D2854">
        <v>5.1191440000000004</v>
      </c>
      <c r="E2854">
        <v>0.446718</v>
      </c>
      <c r="F2854" t="s">
        <v>41</v>
      </c>
      <c r="G2854">
        <v>-497.73140000000001</v>
      </c>
      <c r="H2854">
        <v>1.0351459999999999</v>
      </c>
      <c r="I2854">
        <v>275.5222</v>
      </c>
      <c r="J2854">
        <v>-497.68279999999999</v>
      </c>
      <c r="K2854">
        <v>1.128355</v>
      </c>
      <c r="L2854">
        <v>276.35140000000001</v>
      </c>
      <c r="M2854">
        <v>-0.70906740000000001</v>
      </c>
      <c r="N2854">
        <v>-3.5156729999999997E-2</v>
      </c>
      <c r="O2854">
        <v>-0.704264</v>
      </c>
      <c r="P2854">
        <v>-0.26219920000000002</v>
      </c>
      <c r="Q2854">
        <v>0.32312980000000002</v>
      </c>
      <c r="R2854">
        <v>-0.90930690000000003</v>
      </c>
      <c r="S2854">
        <v>-0.67791749999999995</v>
      </c>
      <c r="T2854">
        <v>-0.30544900000000003</v>
      </c>
      <c r="U2854">
        <v>-3.2138979999999999</v>
      </c>
      <c r="V2854">
        <v>-0.4738349</v>
      </c>
      <c r="W2854">
        <v>0.33367590000000003</v>
      </c>
      <c r="X2854">
        <v>0.81494840000000002</v>
      </c>
      <c r="Y2854">
        <v>-0.54707620000000001</v>
      </c>
      <c r="Z2854">
        <v>1.3571079999999999E-2</v>
      </c>
      <c r="AA2854">
        <v>0.83697279999999996</v>
      </c>
      <c r="AB2854">
        <v>34</v>
      </c>
      <c r="AC2854">
        <v>-4.8600000000021702E-2</v>
      </c>
      <c r="AD2854">
        <v>-9.3209000000000097E-2</v>
      </c>
      <c r="AE2854">
        <v>-0.82920000000001404</v>
      </c>
      <c r="AF2854">
        <v>-0.54718353929053898</v>
      </c>
      <c r="AG2854">
        <v>-9.3209000000000097E-2</v>
      </c>
      <c r="AH2854">
        <v>0.61112332516152601</v>
      </c>
      <c r="AI2854">
        <v>96.482647629816</v>
      </c>
      <c r="AJ2854">
        <v>131.840417936074</v>
      </c>
      <c r="AK2854">
        <v>0.82557220272245202</v>
      </c>
      <c r="AL2854">
        <v>70.507959923928198</v>
      </c>
      <c r="AM2854">
        <v>120.174975010311</v>
      </c>
      <c r="AN2854">
        <v>1.00000000668069</v>
      </c>
    </row>
    <row r="2855" spans="1:40" x14ac:dyDescent="0.25">
      <c r="A2855" t="str">
        <f>"20190304164144184"</f>
        <v>20190304164144184</v>
      </c>
      <c r="B2855" t="str">
        <f>"1551688904173479"</f>
        <v>1551688904173479</v>
      </c>
      <c r="C2855" t="s">
        <v>40</v>
      </c>
      <c r="D2855">
        <v>5.082325</v>
      </c>
      <c r="E2855">
        <v>0.45587860000000002</v>
      </c>
      <c r="F2855" t="s">
        <v>41</v>
      </c>
      <c r="G2855">
        <v>-497.89690000000002</v>
      </c>
      <c r="H2855">
        <v>1.028392</v>
      </c>
      <c r="I2855">
        <v>275.29480000000001</v>
      </c>
      <c r="J2855">
        <v>-497.85109999999997</v>
      </c>
      <c r="K2855">
        <v>1.1282859999999999</v>
      </c>
      <c r="L2855">
        <v>276.18650000000002</v>
      </c>
      <c r="M2855">
        <v>-0.70126119999999903</v>
      </c>
      <c r="N2855">
        <v>-3.5341129999999998E-2</v>
      </c>
      <c r="O2855">
        <v>-0.71202799999999999</v>
      </c>
      <c r="P2855">
        <v>-0.25644280000000003</v>
      </c>
      <c r="Q2855">
        <v>0.31710630000000001</v>
      </c>
      <c r="R2855">
        <v>-0.91306140000000002</v>
      </c>
      <c r="S2855">
        <v>-0.65213009999999905</v>
      </c>
      <c r="T2855">
        <v>-0.30457679999999998</v>
      </c>
      <c r="U2855">
        <v>-3.2193909999999999</v>
      </c>
      <c r="V2855">
        <v>-0.47112280000000001</v>
      </c>
      <c r="W2855">
        <v>0.32816109999999998</v>
      </c>
      <c r="X2855">
        <v>0.81875129999999996</v>
      </c>
      <c r="Y2855">
        <v>-0.54459349999999995</v>
      </c>
      <c r="Z2855">
        <v>1.415566E-2</v>
      </c>
      <c r="AA2855">
        <v>0.83858069999999896</v>
      </c>
      <c r="AB2855">
        <v>34</v>
      </c>
      <c r="AC2855">
        <v>-4.5800000000042397E-2</v>
      </c>
      <c r="AD2855">
        <v>-9.9894000000000094E-2</v>
      </c>
      <c r="AE2855">
        <v>-0.89170000000001404</v>
      </c>
      <c r="AF2855">
        <v>-0.58574249266354905</v>
      </c>
      <c r="AG2855">
        <v>-9.9894000000000094E-2</v>
      </c>
      <c r="AH2855">
        <v>0.65919890333866005</v>
      </c>
      <c r="AI2855">
        <v>96.462879295068504</v>
      </c>
      <c r="AJ2855">
        <v>131.62324001019999</v>
      </c>
      <c r="AK2855">
        <v>0.88747747752300699</v>
      </c>
      <c r="AL2855">
        <v>70.8428012156606</v>
      </c>
      <c r="AM2855">
        <v>119.91682190435399</v>
      </c>
      <c r="AN2855">
        <v>1.0000000457423599</v>
      </c>
    </row>
    <row r="2856" spans="1:40" x14ac:dyDescent="0.25">
      <c r="A2856" t="str">
        <f>"20190304164144199"</f>
        <v>20190304164144199</v>
      </c>
      <c r="B2856" t="str">
        <f>"1551688904184216"</f>
        <v>1551688904184216</v>
      </c>
      <c r="C2856" t="s">
        <v>40</v>
      </c>
      <c r="D2856">
        <v>5.1325240000000001</v>
      </c>
      <c r="E2856">
        <v>0.456482</v>
      </c>
      <c r="F2856" t="s">
        <v>41</v>
      </c>
      <c r="G2856">
        <v>-498.08940000000001</v>
      </c>
      <c r="H2856">
        <v>1.0094030000000001</v>
      </c>
      <c r="I2856">
        <v>275.08929999999998</v>
      </c>
      <c r="J2856">
        <v>-498.0172</v>
      </c>
      <c r="K2856">
        <v>1.1282080000000001</v>
      </c>
      <c r="L2856">
        <v>276.01929999999999</v>
      </c>
      <c r="M2856">
        <v>-0.69325630000000005</v>
      </c>
      <c r="N2856">
        <v>-3.553808E-2</v>
      </c>
      <c r="O2856">
        <v>-0.71981470000000003</v>
      </c>
      <c r="P2856">
        <v>-0.25029390000000001</v>
      </c>
      <c r="Q2856">
        <v>0.312164</v>
      </c>
      <c r="R2856">
        <v>-0.91646450000000002</v>
      </c>
      <c r="S2856">
        <v>-0.69763180000000002</v>
      </c>
      <c r="T2856">
        <v>-0.34794219999999998</v>
      </c>
      <c r="U2856">
        <v>-3.2105709999999998</v>
      </c>
      <c r="V2856">
        <v>-0.4683349</v>
      </c>
      <c r="W2856">
        <v>0.32372919999999999</v>
      </c>
      <c r="X2856">
        <v>0.82210810000000001</v>
      </c>
      <c r="Y2856">
        <v>-0.52314850000000002</v>
      </c>
      <c r="Z2856">
        <v>2.2795920000000001E-2</v>
      </c>
      <c r="AA2856">
        <v>0.85193660000000004</v>
      </c>
      <c r="AB2856">
        <v>33</v>
      </c>
      <c r="AC2856">
        <v>-7.2200000000009298E-2</v>
      </c>
      <c r="AD2856">
        <v>-0.11880499999999999</v>
      </c>
      <c r="AE2856">
        <v>-0.93000000000000604</v>
      </c>
      <c r="AF2856">
        <v>-0.58366429818467402</v>
      </c>
      <c r="AG2856">
        <v>-0.11880499999999999</v>
      </c>
      <c r="AH2856">
        <v>0.70844329043676002</v>
      </c>
      <c r="AI2856">
        <v>97.3748007257837</v>
      </c>
      <c r="AJ2856">
        <v>129.48404381665699</v>
      </c>
      <c r="AK2856">
        <v>0.92556498246491103</v>
      </c>
      <c r="AL2856">
        <v>71.111397310367707</v>
      </c>
      <c r="AM2856">
        <v>119.669108103526</v>
      </c>
      <c r="AN2856">
        <v>0.99999995078812798</v>
      </c>
    </row>
    <row r="2857" spans="1:40" x14ac:dyDescent="0.25">
      <c r="A2857" t="str">
        <f>"20190304164144212"</f>
        <v>20190304164144212</v>
      </c>
      <c r="B2857" t="str">
        <f>"1551688904203735"</f>
        <v>1551688904203735</v>
      </c>
      <c r="C2857" t="s">
        <v>40</v>
      </c>
      <c r="D2857">
        <v>5.1005739999999999</v>
      </c>
      <c r="E2857">
        <v>0.45774890000000001</v>
      </c>
      <c r="F2857" t="s">
        <v>41</v>
      </c>
      <c r="G2857">
        <v>-498.19760000000002</v>
      </c>
      <c r="H2857">
        <v>1.0298560000000001</v>
      </c>
      <c r="I2857">
        <v>275.15589999999997</v>
      </c>
      <c r="J2857">
        <v>-498.13639999999998</v>
      </c>
      <c r="K2857">
        <v>1.1281509999999999</v>
      </c>
      <c r="L2857">
        <v>275.89609999999999</v>
      </c>
      <c r="M2857">
        <v>-0.68730249999999904</v>
      </c>
      <c r="N2857">
        <v>-3.5689760000000001E-2</v>
      </c>
      <c r="O2857">
        <v>-0.72549390000000002</v>
      </c>
      <c r="P2857">
        <v>-0.24638299999999999</v>
      </c>
      <c r="Q2857">
        <v>0.30664039999999998</v>
      </c>
      <c r="R2857">
        <v>-0.91938410000000004</v>
      </c>
      <c r="S2857">
        <v>-0.67227169999999903</v>
      </c>
      <c r="T2857">
        <v>-0.36627130000000002</v>
      </c>
      <c r="U2857">
        <v>-3.2145999999999999</v>
      </c>
      <c r="V2857">
        <v>-0.46603299999999998</v>
      </c>
      <c r="W2857">
        <v>0.31862550000000001</v>
      </c>
      <c r="X2857">
        <v>0.82540360000000002</v>
      </c>
      <c r="Y2857">
        <v>-0.52271080000000003</v>
      </c>
      <c r="Z2857">
        <v>2.628049E-2</v>
      </c>
      <c r="AA2857">
        <v>0.85210490000000005</v>
      </c>
      <c r="AB2857">
        <v>33</v>
      </c>
      <c r="AC2857">
        <v>-6.1200000000042103E-2</v>
      </c>
      <c r="AD2857">
        <v>-9.8295000000000202E-2</v>
      </c>
      <c r="AE2857">
        <v>-0.74020000000001496</v>
      </c>
      <c r="AF2857">
        <v>-0.45663916524956699</v>
      </c>
      <c r="AG2857">
        <v>-9.8295000000000202E-2</v>
      </c>
      <c r="AH2857">
        <v>0.56946853909429296</v>
      </c>
      <c r="AI2857">
        <v>97.669404139525497</v>
      </c>
      <c r="AJ2857">
        <v>128.72504480895199</v>
      </c>
      <c r="AK2857">
        <v>0.73652946396122498</v>
      </c>
      <c r="AL2857">
        <v>71.420179363065401</v>
      </c>
      <c r="AM2857">
        <v>119.449605810954</v>
      </c>
      <c r="AN2857">
        <v>1.0000000346161</v>
      </c>
    </row>
    <row r="2858" spans="1:40" x14ac:dyDescent="0.25">
      <c r="A2858" t="str">
        <f>"20190304164144225"</f>
        <v>20190304164144225</v>
      </c>
      <c r="B2858" t="str">
        <f>"1551688904213495"</f>
        <v>1551688904213495</v>
      </c>
      <c r="C2858" t="s">
        <v>40</v>
      </c>
      <c r="D2858">
        <v>5.139608</v>
      </c>
      <c r="E2858">
        <v>0.45815230000000001</v>
      </c>
      <c r="F2858" t="s">
        <v>41</v>
      </c>
      <c r="G2858">
        <v>-498.3374</v>
      </c>
      <c r="H2858">
        <v>1.01022099999999</v>
      </c>
      <c r="I2858">
        <v>274.92</v>
      </c>
      <c r="J2858">
        <v>-498.26010000000002</v>
      </c>
      <c r="K2858">
        <v>1.1280619999999999</v>
      </c>
      <c r="L2858">
        <v>275.76679999999999</v>
      </c>
      <c r="M2858">
        <v>-0.68111690000000003</v>
      </c>
      <c r="N2858">
        <v>-3.5872189999999998E-2</v>
      </c>
      <c r="O2858">
        <v>-0.73129529999999998</v>
      </c>
      <c r="P2858">
        <v>-0.24147830000000001</v>
      </c>
      <c r="Q2858">
        <v>0.302541</v>
      </c>
      <c r="R2858">
        <v>-0.92203959999999996</v>
      </c>
      <c r="S2858">
        <v>-0.66101069999999995</v>
      </c>
      <c r="T2858">
        <v>-0.38823200000000002</v>
      </c>
      <c r="U2858">
        <v>-3.2154240000000001</v>
      </c>
      <c r="V2858">
        <v>-0.46406540000000002</v>
      </c>
      <c r="W2858">
        <v>0.31498569999999998</v>
      </c>
      <c r="X2858">
        <v>0.82790540000000001</v>
      </c>
      <c r="Y2858">
        <v>-0.51831579999999999</v>
      </c>
      <c r="Z2858">
        <v>3.0691099999999999E-2</v>
      </c>
      <c r="AA2858">
        <v>0.85463840000000002</v>
      </c>
      <c r="AB2858">
        <v>33</v>
      </c>
      <c r="AC2858">
        <v>-7.7299999999979704E-2</v>
      </c>
      <c r="AD2858">
        <v>-0.117841</v>
      </c>
      <c r="AE2858">
        <v>-0.84679999999997302</v>
      </c>
      <c r="AF2858">
        <v>-0.510766194546448</v>
      </c>
      <c r="AG2858">
        <v>-0.117841</v>
      </c>
      <c r="AH2858">
        <v>0.65967454768539002</v>
      </c>
      <c r="AI2858">
        <v>98.039602445728605</v>
      </c>
      <c r="AJ2858">
        <v>127.74954312664499</v>
      </c>
      <c r="AK2858">
        <v>0.84257884832007501</v>
      </c>
      <c r="AL2858">
        <v>71.640049843169905</v>
      </c>
      <c r="AM2858">
        <v>119.271916526241</v>
      </c>
      <c r="AN2858">
        <v>1.0000000190153999</v>
      </c>
    </row>
    <row r="2859" spans="1:40" x14ac:dyDescent="0.25">
      <c r="A2859" t="str">
        <f>"20190304164144241"</f>
        <v>20190304164144241</v>
      </c>
      <c r="B2859" t="str">
        <f>"1551688904233991"</f>
        <v>1551688904233991</v>
      </c>
      <c r="C2859" t="s">
        <v>40</v>
      </c>
      <c r="D2859">
        <v>5.1176870000000001</v>
      </c>
      <c r="E2859">
        <v>0.45910529999999999</v>
      </c>
      <c r="F2859" t="s">
        <v>41</v>
      </c>
      <c r="G2859">
        <v>-498.47480000000002</v>
      </c>
      <c r="H2859">
        <v>0.99345989999999995</v>
      </c>
      <c r="I2859">
        <v>274.6875</v>
      </c>
      <c r="J2859">
        <v>-498.42660000000001</v>
      </c>
      <c r="K2859">
        <v>1.1277729999999999</v>
      </c>
      <c r="L2859">
        <v>275.58879999999999</v>
      </c>
      <c r="M2859">
        <v>-0.67312850000000002</v>
      </c>
      <c r="N2859">
        <v>-3.623519E-2</v>
      </c>
      <c r="O2859">
        <v>-0.73863760000000001</v>
      </c>
      <c r="P2859">
        <v>-0.2313211</v>
      </c>
      <c r="Q2859">
        <v>0.29993199999999998</v>
      </c>
      <c r="R2859">
        <v>-0.92548980000000003</v>
      </c>
      <c r="S2859">
        <v>-0.64028929999999995</v>
      </c>
      <c r="T2859">
        <v>-0.4012848</v>
      </c>
      <c r="U2859">
        <v>-3.2176209999999998</v>
      </c>
      <c r="V2859">
        <v>-0.46436260000000001</v>
      </c>
      <c r="W2859">
        <v>0.3131314</v>
      </c>
      <c r="X2859">
        <v>0.82844200000000001</v>
      </c>
      <c r="Y2859">
        <v>-0.51440050000000004</v>
      </c>
      <c r="Z2859">
        <v>3.3763139999999997E-2</v>
      </c>
      <c r="AA2859">
        <v>0.85688509999999996</v>
      </c>
      <c r="AB2859">
        <v>33</v>
      </c>
      <c r="AC2859">
        <v>-4.8200000000008403E-2</v>
      </c>
      <c r="AD2859">
        <v>-0.13431309999999899</v>
      </c>
      <c r="AE2859">
        <v>-0.901299999999992</v>
      </c>
      <c r="AF2859">
        <v>-0.559083151655002</v>
      </c>
      <c r="AG2859">
        <v>-0.13431309999999899</v>
      </c>
      <c r="AH2859">
        <v>0.68350197508339094</v>
      </c>
      <c r="AI2859">
        <v>98.648633487690205</v>
      </c>
      <c r="AJ2859">
        <v>129.282088191643</v>
      </c>
      <c r="AK2859">
        <v>0.89319030964234902</v>
      </c>
      <c r="AL2859">
        <v>71.751955514847296</v>
      </c>
      <c r="AM2859">
        <v>119.271728117591</v>
      </c>
      <c r="AN2859">
        <v>1.00000002265435</v>
      </c>
    </row>
    <row r="2860" spans="1:40" x14ac:dyDescent="0.25">
      <c r="A2860" t="str">
        <f>"20190304164144256"</f>
        <v>20190304164144256</v>
      </c>
      <c r="B2860" t="str">
        <f>"1551688904243751"</f>
        <v>1551688904243751</v>
      </c>
      <c r="C2860" t="s">
        <v>40</v>
      </c>
      <c r="D2860">
        <v>5.1644360000000002</v>
      </c>
      <c r="E2860">
        <v>0.45948270000000002</v>
      </c>
      <c r="F2860" t="s">
        <v>41</v>
      </c>
      <c r="G2860">
        <v>-498.5856</v>
      </c>
      <c r="H2860">
        <v>1.020977</v>
      </c>
      <c r="I2860">
        <v>274.75139999999999</v>
      </c>
      <c r="J2860">
        <v>-498.55689999999998</v>
      </c>
      <c r="K2860">
        <v>1.1274759999999999</v>
      </c>
      <c r="L2860">
        <v>275.44549999999998</v>
      </c>
      <c r="M2860">
        <v>-0.6671203</v>
      </c>
      <c r="N2860">
        <v>-3.6489140000000003E-2</v>
      </c>
      <c r="O2860">
        <v>-0.74405569999999999</v>
      </c>
      <c r="P2860">
        <v>-0.2215114</v>
      </c>
      <c r="Q2860">
        <v>0.300900099999999</v>
      </c>
      <c r="R2860">
        <v>-0.92757330000000004</v>
      </c>
      <c r="S2860">
        <v>-0.61193850000000005</v>
      </c>
      <c r="T2860">
        <v>-0.41090569999999998</v>
      </c>
      <c r="U2860">
        <v>-3.2217410000000002</v>
      </c>
      <c r="V2860">
        <v>-0.46587509999999999</v>
      </c>
      <c r="W2860">
        <v>0.31479420000000002</v>
      </c>
      <c r="X2860">
        <v>0.82696130000000001</v>
      </c>
      <c r="Y2860">
        <v>-0.51489129999999905</v>
      </c>
      <c r="Z2860">
        <v>3.5868369999999997E-2</v>
      </c>
      <c r="AA2860">
        <v>0.85650469999999901</v>
      </c>
      <c r="AB2860">
        <v>33</v>
      </c>
      <c r="AC2860">
        <v>-2.87000000000148E-2</v>
      </c>
      <c r="AD2860">
        <v>-0.106498999999999</v>
      </c>
      <c r="AE2860">
        <v>-0.69409999999999095</v>
      </c>
      <c r="AF2860">
        <v>-0.431839091324628</v>
      </c>
      <c r="AG2860">
        <v>-0.106498999999999</v>
      </c>
      <c r="AH2860">
        <v>0.52364564780395995</v>
      </c>
      <c r="AI2860">
        <v>98.917380027433296</v>
      </c>
      <c r="AJ2860">
        <v>129.511654910472</v>
      </c>
      <c r="AK2860">
        <v>0.68704570609320403</v>
      </c>
      <c r="AL2860">
        <v>71.651609607383804</v>
      </c>
      <c r="AM2860">
        <v>119.39507515065699</v>
      </c>
      <c r="AN2860">
        <v>0.99999999442567</v>
      </c>
    </row>
    <row r="2861" spans="1:40" x14ac:dyDescent="0.25">
      <c r="A2861" t="str">
        <f>"20190304164144270"</f>
        <v>20190304164144270</v>
      </c>
      <c r="B2861" t="str">
        <f>"1551688904264247"</f>
        <v>1551688904264247</v>
      </c>
      <c r="C2861" t="s">
        <v>40</v>
      </c>
      <c r="D2861">
        <v>5.1522059999999996</v>
      </c>
      <c r="E2861">
        <v>0.46540179999999998</v>
      </c>
      <c r="F2861" t="s">
        <v>41</v>
      </c>
      <c r="G2861">
        <v>-498.72449999999998</v>
      </c>
      <c r="H2861">
        <v>1.011028</v>
      </c>
      <c r="I2861">
        <v>274.52289999999999</v>
      </c>
      <c r="J2861">
        <v>-498.67970000000003</v>
      </c>
      <c r="K2861">
        <v>1.1271530000000001</v>
      </c>
      <c r="L2861">
        <v>275.30790000000002</v>
      </c>
      <c r="M2861">
        <v>-0.66138699999999995</v>
      </c>
      <c r="N2861">
        <v>-3.6621859999999999E-2</v>
      </c>
      <c r="O2861">
        <v>-0.74915030000000005</v>
      </c>
      <c r="P2861">
        <v>-0.21171960000000001</v>
      </c>
      <c r="Q2861">
        <v>0.30183259999999901</v>
      </c>
      <c r="R2861">
        <v>-0.92955489999999996</v>
      </c>
      <c r="S2861">
        <v>-0.58596800000000004</v>
      </c>
      <c r="T2861">
        <v>-0.40715010000000001</v>
      </c>
      <c r="U2861">
        <v>-3.2263790000000001</v>
      </c>
      <c r="V2861">
        <v>-0.46762399999999998</v>
      </c>
      <c r="W2861">
        <v>0.31642310000000001</v>
      </c>
      <c r="X2861">
        <v>0.8253509</v>
      </c>
      <c r="Y2861">
        <v>-0.51522239999999997</v>
      </c>
      <c r="Z2861">
        <v>3.5792280000000003E-2</v>
      </c>
      <c r="AA2861">
        <v>0.85630879999999998</v>
      </c>
      <c r="AB2861">
        <v>32</v>
      </c>
      <c r="AC2861">
        <v>-4.4799999999952399E-2</v>
      </c>
      <c r="AD2861">
        <v>-0.11612500000000001</v>
      </c>
      <c r="AE2861">
        <v>-0.78500000000002501</v>
      </c>
      <c r="AF2861">
        <v>-0.47557937410328799</v>
      </c>
      <c r="AG2861">
        <v>-0.11612500000000001</v>
      </c>
      <c r="AH2861">
        <v>0.60493280687883</v>
      </c>
      <c r="AI2861">
        <v>98.581809952586795</v>
      </c>
      <c r="AJ2861">
        <v>128.17332896042501</v>
      </c>
      <c r="AK2861">
        <v>0.77820592232119101</v>
      </c>
      <c r="AL2861">
        <v>71.553252530858401</v>
      </c>
      <c r="AM2861">
        <v>119.53484934354999</v>
      </c>
      <c r="AN2861">
        <v>0.99999994586020802</v>
      </c>
    </row>
    <row r="2862" spans="1:40" x14ac:dyDescent="0.25">
      <c r="A2862" t="str">
        <f>"20190304164144280"</f>
        <v>20190304164144280</v>
      </c>
      <c r="B2862" t="str">
        <f>"1551688904274008"</f>
        <v>1551688904274008</v>
      </c>
      <c r="C2862" t="s">
        <v>40</v>
      </c>
      <c r="D2862">
        <v>5.1699219999999997</v>
      </c>
      <c r="E2862">
        <v>0.46574779999999999</v>
      </c>
      <c r="F2862" t="s">
        <v>41</v>
      </c>
      <c r="G2862">
        <v>-498.86750000000001</v>
      </c>
      <c r="H2862">
        <v>1.0041009999999999</v>
      </c>
      <c r="I2862">
        <v>274.30169999999998</v>
      </c>
      <c r="J2862">
        <v>-498.7912</v>
      </c>
      <c r="K2862">
        <v>1.126817</v>
      </c>
      <c r="L2862">
        <v>275.18099999999998</v>
      </c>
      <c r="M2862">
        <v>-0.65612950000000003</v>
      </c>
      <c r="N2862">
        <v>-3.6661909999999999E-2</v>
      </c>
      <c r="O2862">
        <v>-0.75375729999999996</v>
      </c>
      <c r="P2862">
        <v>-0.20394209999999999</v>
      </c>
      <c r="Q2862">
        <v>0.30202129999999999</v>
      </c>
      <c r="R2862">
        <v>-0.93123080000000003</v>
      </c>
      <c r="S2862">
        <v>-0.6006165</v>
      </c>
      <c r="T2862">
        <v>-0.39357219999999998</v>
      </c>
      <c r="U2862">
        <v>-3.2182919999999999</v>
      </c>
      <c r="V2862">
        <v>-0.46820699999999998</v>
      </c>
      <c r="W2862">
        <v>0.31735659999999999</v>
      </c>
      <c r="X2862">
        <v>0.8246618</v>
      </c>
      <c r="Y2862">
        <v>-0.50517539999999905</v>
      </c>
      <c r="Z2862">
        <v>3.4803819999999999E-2</v>
      </c>
      <c r="AA2862">
        <v>0.86231460000000004</v>
      </c>
      <c r="AB2862">
        <v>32</v>
      </c>
      <c r="AC2862">
        <v>-7.6300000000003296E-2</v>
      </c>
      <c r="AD2862">
        <v>-0.12271599999999901</v>
      </c>
      <c r="AE2862">
        <v>-0.87929999999999997</v>
      </c>
      <c r="AF2862">
        <v>-0.509914865758469</v>
      </c>
      <c r="AG2862">
        <v>-0.12271599999999901</v>
      </c>
      <c r="AH2862">
        <v>0.69979279651555704</v>
      </c>
      <c r="AI2862">
        <v>98.066600915904004</v>
      </c>
      <c r="AJ2862">
        <v>126.079532209642</v>
      </c>
      <c r="AK2862">
        <v>0.87451835031206804</v>
      </c>
      <c r="AL2862">
        <v>71.496862515702006</v>
      </c>
      <c r="AM2862">
        <v>119.586020458535</v>
      </c>
      <c r="AN2862">
        <v>1.0000000453958899</v>
      </c>
    </row>
    <row r="2863" spans="1:40" x14ac:dyDescent="0.25">
      <c r="A2863" t="str">
        <f>"20190304164144297"</f>
        <v>20190304164144297</v>
      </c>
      <c r="B2863" t="str">
        <f>"1551688904283767"</f>
        <v>1551688904283767</v>
      </c>
      <c r="C2863" t="s">
        <v>40</v>
      </c>
      <c r="D2863">
        <v>5.1438579999999998</v>
      </c>
      <c r="E2863">
        <v>0.46614260000000002</v>
      </c>
      <c r="F2863" t="s">
        <v>41</v>
      </c>
      <c r="G2863">
        <v>-498.94150000000002</v>
      </c>
      <c r="H2863">
        <v>1.025247</v>
      </c>
      <c r="I2863">
        <v>274.34199999999998</v>
      </c>
      <c r="J2863">
        <v>-498.92169999999999</v>
      </c>
      <c r="K2863">
        <v>1.126404</v>
      </c>
      <c r="L2863">
        <v>275.02690000000001</v>
      </c>
      <c r="M2863">
        <v>-0.64917979999999997</v>
      </c>
      <c r="N2863">
        <v>-3.6319740000000003E-2</v>
      </c>
      <c r="O2863">
        <v>-0.75976750000000004</v>
      </c>
      <c r="P2863">
        <v>-0.19584950000000001</v>
      </c>
      <c r="Q2863">
        <v>0.30049700000000001</v>
      </c>
      <c r="R2863">
        <v>-0.93345869999999997</v>
      </c>
      <c r="S2863">
        <v>-0.57702640000000005</v>
      </c>
      <c r="T2863">
        <v>-0.3900206</v>
      </c>
      <c r="U2863">
        <v>-3.2216490000000002</v>
      </c>
      <c r="V2863">
        <v>-0.4673254</v>
      </c>
      <c r="W2863">
        <v>0.31663530000000001</v>
      </c>
      <c r="X2863">
        <v>0.82543869999999897</v>
      </c>
      <c r="Y2863">
        <v>-0.5035733</v>
      </c>
      <c r="Z2863">
        <v>3.5410730000000001E-2</v>
      </c>
      <c r="AA2863">
        <v>0.86322649999999901</v>
      </c>
      <c r="AB2863">
        <v>32</v>
      </c>
      <c r="AC2863">
        <v>-1.9800000000032E-2</v>
      </c>
      <c r="AD2863">
        <v>-0.101157</v>
      </c>
      <c r="AE2863">
        <v>-0.68490000000002704</v>
      </c>
      <c r="AF2863">
        <v>-0.42069401926274302</v>
      </c>
      <c r="AG2863">
        <v>-0.101157</v>
      </c>
      <c r="AH2863">
        <v>0.52218893281270096</v>
      </c>
      <c r="AI2863">
        <v>98.578510237943405</v>
      </c>
      <c r="AJ2863">
        <v>128.85615724063001</v>
      </c>
      <c r="AK2863">
        <v>0.67815741391251505</v>
      </c>
      <c r="AL2863">
        <v>71.540436282523501</v>
      </c>
      <c r="AM2863">
        <v>119.51654218732</v>
      </c>
      <c r="AN2863">
        <v>0.99999999507446902</v>
      </c>
    </row>
    <row r="2864" spans="1:40" x14ac:dyDescent="0.25">
      <c r="A2864" t="str">
        <f>"20190304164144310"</f>
        <v>20190304164144310</v>
      </c>
      <c r="B2864" t="str">
        <f>"1551688904304264"</f>
        <v>1551688904304264</v>
      </c>
      <c r="C2864" t="s">
        <v>40</v>
      </c>
      <c r="D2864">
        <v>5.131418</v>
      </c>
      <c r="E2864">
        <v>0.46684799999999899</v>
      </c>
      <c r="F2864" t="s">
        <v>41</v>
      </c>
      <c r="G2864">
        <v>-499.0754</v>
      </c>
      <c r="H2864">
        <v>1.0159549999999999</v>
      </c>
      <c r="I2864">
        <v>274.11959999999999</v>
      </c>
      <c r="J2864">
        <v>-499.03269999999998</v>
      </c>
      <c r="K2864">
        <v>1.126088</v>
      </c>
      <c r="L2864">
        <v>274.89260000000002</v>
      </c>
      <c r="M2864">
        <v>-0.642567</v>
      </c>
      <c r="N2864">
        <v>-3.5803019999999998E-2</v>
      </c>
      <c r="O2864">
        <v>-0.76539299999999999</v>
      </c>
      <c r="P2864">
        <v>-0.18780050000000001</v>
      </c>
      <c r="Q2864">
        <v>0.2988478</v>
      </c>
      <c r="R2864">
        <v>-0.93563980000000002</v>
      </c>
      <c r="S2864">
        <v>-0.54605099999999995</v>
      </c>
      <c r="T2864">
        <v>-0.3925998</v>
      </c>
      <c r="U2864">
        <v>-3.2256770000000001</v>
      </c>
      <c r="V2864">
        <v>-0.46691719999999998</v>
      </c>
      <c r="W2864">
        <v>0.31549470000000002</v>
      </c>
      <c r="X2864">
        <v>0.82610620000000001</v>
      </c>
      <c r="Y2864">
        <v>-0.5043318</v>
      </c>
      <c r="Z2864">
        <v>3.707705E-2</v>
      </c>
      <c r="AA2864">
        <v>0.86271359999999997</v>
      </c>
      <c r="AB2864">
        <v>31</v>
      </c>
      <c r="AC2864">
        <v>-4.2700000000024801E-2</v>
      </c>
      <c r="AD2864">
        <v>-0.11013299999999999</v>
      </c>
      <c r="AE2864">
        <v>-0.773000000000024</v>
      </c>
      <c r="AF2864">
        <v>-0.45510936083085402</v>
      </c>
      <c r="AG2864">
        <v>-0.11013299999999999</v>
      </c>
      <c r="AH2864">
        <v>0.60719536950047004</v>
      </c>
      <c r="AI2864">
        <v>98.258064543710006</v>
      </c>
      <c r="AJ2864">
        <v>126.852551371649</v>
      </c>
      <c r="AK2864">
        <v>0.76677247260688797</v>
      </c>
      <c r="AL2864">
        <v>71.609319339026897</v>
      </c>
      <c r="AM2864">
        <v>119.47523766464801</v>
      </c>
      <c r="AN2864">
        <v>1.0000000155311799</v>
      </c>
    </row>
    <row r="2865" spans="1:40" x14ac:dyDescent="0.25">
      <c r="A2865" t="str">
        <f>"20190304164144324"</f>
        <v>20190304164144324</v>
      </c>
      <c r="B2865" t="str">
        <f>"1551688904314025"</f>
        <v>1551688904314025</v>
      </c>
      <c r="C2865" t="s">
        <v>40</v>
      </c>
      <c r="D2865">
        <v>5.182734</v>
      </c>
      <c r="E2865">
        <v>0.47242869999999998</v>
      </c>
      <c r="F2865" t="s">
        <v>41</v>
      </c>
      <c r="G2865">
        <v>-499.19459999999998</v>
      </c>
      <c r="H2865">
        <v>1.0032319999999999</v>
      </c>
      <c r="I2865">
        <v>273.89420000000001</v>
      </c>
      <c r="J2865">
        <v>-499.14940000000001</v>
      </c>
      <c r="K2865">
        <v>1.125793</v>
      </c>
      <c r="L2865">
        <v>274.7482</v>
      </c>
      <c r="M2865">
        <v>-0.6349515</v>
      </c>
      <c r="N2865">
        <v>-3.5080529999999999E-2</v>
      </c>
      <c r="O2865">
        <v>-0.77175519999999997</v>
      </c>
      <c r="P2865">
        <v>-0.17791199999999999</v>
      </c>
      <c r="Q2865">
        <v>0.29738340000000002</v>
      </c>
      <c r="R2865">
        <v>-0.93803550000000002</v>
      </c>
      <c r="S2865">
        <v>-0.5234375</v>
      </c>
      <c r="T2865">
        <v>-0.39723459999999999</v>
      </c>
      <c r="U2865">
        <v>-3.22818</v>
      </c>
      <c r="V2865">
        <v>-0.46700960000000002</v>
      </c>
      <c r="W2865">
        <v>0.31441219999999998</v>
      </c>
      <c r="X2865">
        <v>0.82646659999999905</v>
      </c>
      <c r="Y2865">
        <v>-0.50180789999999997</v>
      </c>
      <c r="Z2865">
        <v>3.9629789999999998E-2</v>
      </c>
      <c r="AA2865">
        <v>0.86407080000000003</v>
      </c>
      <c r="AB2865">
        <v>31</v>
      </c>
      <c r="AC2865">
        <v>-4.5199999999965698E-2</v>
      </c>
      <c r="AD2865">
        <v>-0.122561</v>
      </c>
      <c r="AE2865">
        <v>-0.85399999999998499</v>
      </c>
      <c r="AF2865">
        <v>-0.49746047663503401</v>
      </c>
      <c r="AG2865">
        <v>-0.122561</v>
      </c>
      <c r="AH2865">
        <v>0.67435195221264599</v>
      </c>
      <c r="AI2865">
        <v>98.320908874551805</v>
      </c>
      <c r="AJ2865">
        <v>126.415703128928</v>
      </c>
      <c r="AK2865">
        <v>0.84689945093143304</v>
      </c>
      <c r="AL2865">
        <v>71.674667869431104</v>
      </c>
      <c r="AM2865">
        <v>119.469389504679</v>
      </c>
      <c r="AN2865">
        <v>1.0000000194582701</v>
      </c>
    </row>
    <row r="2866" spans="1:40" x14ac:dyDescent="0.25">
      <c r="A2866" t="str">
        <f>"20190304164144339"</f>
        <v>20190304164144339</v>
      </c>
      <c r="B2866" t="str">
        <f>"1551688904323783"</f>
        <v>1551688904323783</v>
      </c>
      <c r="C2866" t="s">
        <v>40</v>
      </c>
      <c r="D2866">
        <v>5.182105</v>
      </c>
      <c r="E2866">
        <v>0.4727903</v>
      </c>
      <c r="F2866" t="s">
        <v>41</v>
      </c>
      <c r="G2866">
        <v>-499.32459999999998</v>
      </c>
      <c r="H2866">
        <v>1.015255</v>
      </c>
      <c r="I2866">
        <v>273.67849999999999</v>
      </c>
      <c r="J2866">
        <v>-499.2724</v>
      </c>
      <c r="K2866">
        <v>1.125594</v>
      </c>
      <c r="L2866">
        <v>274.59120000000001</v>
      </c>
      <c r="M2866">
        <v>-0.62600169999999999</v>
      </c>
      <c r="N2866">
        <v>-3.4173099999999998E-2</v>
      </c>
      <c r="O2866">
        <v>-0.77907289999999996</v>
      </c>
      <c r="P2866">
        <v>-0.16597500000000001</v>
      </c>
      <c r="Q2866">
        <v>0.29621150000000002</v>
      </c>
      <c r="R2866">
        <v>-0.94059119999999996</v>
      </c>
      <c r="S2866">
        <v>-0.52410889999999999</v>
      </c>
      <c r="T2866">
        <v>-0.3309667</v>
      </c>
      <c r="U2866">
        <v>-3.2036739999999999</v>
      </c>
      <c r="V2866">
        <v>-0.46742450000000002</v>
      </c>
      <c r="W2866">
        <v>0.3135307</v>
      </c>
      <c r="X2866">
        <v>0.82656689999999999</v>
      </c>
      <c r="Y2866">
        <v>-0.49088159999999997</v>
      </c>
      <c r="Z2866">
        <v>3.0276810000000001E-2</v>
      </c>
      <c r="AA2866">
        <v>0.87070009999999998</v>
      </c>
      <c r="AB2866">
        <v>30</v>
      </c>
      <c r="AC2866">
        <v>-5.21999999999707E-2</v>
      </c>
      <c r="AD2866">
        <v>-0.11033899999999899</v>
      </c>
      <c r="AE2866">
        <v>-0.91270000000002904</v>
      </c>
      <c r="AF2866">
        <v>-0.52336997916373496</v>
      </c>
      <c r="AG2866">
        <v>-0.11033899999999899</v>
      </c>
      <c r="AH2866">
        <v>0.73348654971018801</v>
      </c>
      <c r="AI2866">
        <v>96.981337747964602</v>
      </c>
      <c r="AJ2866">
        <v>125.509271863987</v>
      </c>
      <c r="AK2866">
        <v>0.90779587387066496</v>
      </c>
      <c r="AL2866">
        <v>71.7278637673882</v>
      </c>
      <c r="AM2866">
        <v>119.488207539016</v>
      </c>
      <c r="AN2866">
        <v>1.0000000016091699</v>
      </c>
    </row>
    <row r="2867" spans="1:40" x14ac:dyDescent="0.25">
      <c r="A2867" t="str">
        <f>"20190304164144354"</f>
        <v>20190304164144354</v>
      </c>
      <c r="B2867" t="str">
        <f>"1551688904344279"</f>
        <v>1551688904344279</v>
      </c>
      <c r="C2867" t="s">
        <v>40</v>
      </c>
      <c r="D2867">
        <v>5.1471119999999999</v>
      </c>
      <c r="E2867">
        <v>0.47313470000000002</v>
      </c>
      <c r="F2867" t="s">
        <v>41</v>
      </c>
      <c r="G2867">
        <v>-499.40600000000001</v>
      </c>
      <c r="H2867">
        <v>1.0345070000000001</v>
      </c>
      <c r="I2867">
        <v>273.71879999999999</v>
      </c>
      <c r="J2867">
        <v>-499.38400000000001</v>
      </c>
      <c r="K2867">
        <v>1.125499</v>
      </c>
      <c r="L2867">
        <v>274.4443</v>
      </c>
      <c r="M2867">
        <v>-0.61729990000000001</v>
      </c>
      <c r="N2867">
        <v>-3.3352090000000001E-2</v>
      </c>
      <c r="O2867">
        <v>-0.78602109999999903</v>
      </c>
      <c r="P2867">
        <v>-0.15354139999999999</v>
      </c>
      <c r="Q2867">
        <v>0.29568080000000002</v>
      </c>
      <c r="R2867">
        <v>-0.94286729999999996</v>
      </c>
      <c r="S2867">
        <v>-0.49050899999999997</v>
      </c>
      <c r="T2867">
        <v>-0.33484399999999997</v>
      </c>
      <c r="U2867">
        <v>-3.2083740000000001</v>
      </c>
      <c r="V2867">
        <v>-0.46856179999999997</v>
      </c>
      <c r="W2867">
        <v>0.31324190000000002</v>
      </c>
      <c r="X2867">
        <v>0.82603230000000005</v>
      </c>
      <c r="Y2867">
        <v>-0.49031920000000001</v>
      </c>
      <c r="Z2867">
        <v>3.261207E-2</v>
      </c>
      <c r="AA2867">
        <v>0.87093259999999995</v>
      </c>
      <c r="AB2867">
        <v>30</v>
      </c>
      <c r="AC2867">
        <v>-2.1999999999991301E-2</v>
      </c>
      <c r="AD2867">
        <v>-9.0991999999999906E-2</v>
      </c>
      <c r="AE2867">
        <v>-0.72550000000001003</v>
      </c>
      <c r="AF2867">
        <v>-0.424132610409169</v>
      </c>
      <c r="AG2867">
        <v>-9.0991999999999906E-2</v>
      </c>
      <c r="AH2867">
        <v>0.57512522471082395</v>
      </c>
      <c r="AI2867">
        <v>97.2565496720608</v>
      </c>
      <c r="AJ2867">
        <v>126.407339286344</v>
      </c>
      <c r="AK2867">
        <v>0.720372847472177</v>
      </c>
      <c r="AL2867">
        <v>71.745288603658807</v>
      </c>
      <c r="AM2867">
        <v>119.563811189479</v>
      </c>
      <c r="AN2867">
        <v>1.00000000448907</v>
      </c>
    </row>
    <row r="2868" spans="1:40" x14ac:dyDescent="0.25">
      <c r="A2868" t="str">
        <f>"20190304164144369"</f>
        <v>20190304164144369</v>
      </c>
      <c r="B2868" t="str">
        <f>"1551688904363799"</f>
        <v>1551688904363799</v>
      </c>
      <c r="C2868" t="s">
        <v>40</v>
      </c>
      <c r="D2868">
        <v>5.1797849999999999</v>
      </c>
      <c r="E2868">
        <v>0.47698839999999998</v>
      </c>
      <c r="F2868" t="s">
        <v>41</v>
      </c>
      <c r="G2868">
        <v>-499.5197</v>
      </c>
      <c r="H2868">
        <v>1.0265470000000001</v>
      </c>
      <c r="I2868">
        <v>273.49900000000002</v>
      </c>
      <c r="J2868">
        <v>-499.49959999999999</v>
      </c>
      <c r="K2868">
        <v>1.1255059999999999</v>
      </c>
      <c r="L2868">
        <v>274.28879999999998</v>
      </c>
      <c r="M2868">
        <v>-0.60785500000000003</v>
      </c>
      <c r="N2868">
        <v>-3.2530789999999997E-2</v>
      </c>
      <c r="O2868">
        <v>-0.79338149999999996</v>
      </c>
      <c r="P2868">
        <v>-0.14270179999999999</v>
      </c>
      <c r="Q2868">
        <v>0.29466409999999998</v>
      </c>
      <c r="R2868">
        <v>-0.94488570000000005</v>
      </c>
      <c r="S2868">
        <v>-0.4607849</v>
      </c>
      <c r="T2868">
        <v>-0.33619450000000001</v>
      </c>
      <c r="U2868">
        <v>-3.2122190000000002</v>
      </c>
      <c r="V2868">
        <v>-0.46762579999999998</v>
      </c>
      <c r="W2868">
        <v>0.31258469999999999</v>
      </c>
      <c r="X2868">
        <v>0.82681130000000003</v>
      </c>
      <c r="Y2868">
        <v>-0.48798010000000003</v>
      </c>
      <c r="Z2868">
        <v>3.4631599999999998E-2</v>
      </c>
      <c r="AA2868">
        <v>0.87216749999999899</v>
      </c>
      <c r="AB2868">
        <v>30</v>
      </c>
      <c r="AC2868">
        <v>-2.0100000000013499E-2</v>
      </c>
      <c r="AD2868">
        <v>-9.8959000000000005E-2</v>
      </c>
      <c r="AE2868">
        <v>-0.78979999999995698</v>
      </c>
      <c r="AF2868">
        <v>-0.45720949833527802</v>
      </c>
      <c r="AG2868">
        <v>-9.8959000000000005E-2</v>
      </c>
      <c r="AH2868">
        <v>0.62929581480714303</v>
      </c>
      <c r="AI2868">
        <v>97.250270076999499</v>
      </c>
      <c r="AJ2868">
        <v>125.999959846274</v>
      </c>
      <c r="AK2868">
        <v>0.78412156683946799</v>
      </c>
      <c r="AL2868">
        <v>71.784934335179798</v>
      </c>
      <c r="AM2868">
        <v>119.491520129496</v>
      </c>
      <c r="AN2868">
        <v>1.0000000046537001</v>
      </c>
    </row>
    <row r="2869" spans="1:40" x14ac:dyDescent="0.25">
      <c r="A2869" t="str">
        <f>"20190304164144388"</f>
        <v>20190304164144388</v>
      </c>
      <c r="B2869" t="str">
        <f>"1551688904373559"</f>
        <v>1551688904373559</v>
      </c>
      <c r="C2869" t="s">
        <v>40</v>
      </c>
      <c r="D2869">
        <v>5.1740269999999997</v>
      </c>
      <c r="E2869">
        <v>0.4770047</v>
      </c>
      <c r="F2869" t="s">
        <v>41</v>
      </c>
      <c r="G2869">
        <v>-499.6456</v>
      </c>
      <c r="H2869">
        <v>0.99876370000000003</v>
      </c>
      <c r="I2869">
        <v>273.29059999999998</v>
      </c>
      <c r="J2869">
        <v>-499.6397</v>
      </c>
      <c r="K2869">
        <v>1.1256139999999999</v>
      </c>
      <c r="L2869">
        <v>274.09460000000001</v>
      </c>
      <c r="M2869">
        <v>-0.59587199999999996</v>
      </c>
      <c r="N2869">
        <v>-3.1603760000000002E-2</v>
      </c>
      <c r="O2869">
        <v>-0.80245719999999898</v>
      </c>
      <c r="P2869">
        <v>-0.13235629999999901</v>
      </c>
      <c r="Q2869">
        <v>0.29365609999999998</v>
      </c>
      <c r="R2869">
        <v>-0.94670350000000003</v>
      </c>
      <c r="S2869">
        <v>-0.47216799999999998</v>
      </c>
      <c r="T2869">
        <v>-0.4102613</v>
      </c>
      <c r="U2869">
        <v>-3.2316280000000002</v>
      </c>
      <c r="V2869">
        <v>-0.46351819999999999</v>
      </c>
      <c r="W2869">
        <v>0.31217339999999999</v>
      </c>
      <c r="X2869">
        <v>0.82927600000000001</v>
      </c>
      <c r="Y2869">
        <v>-0.47246769999999999</v>
      </c>
      <c r="Z2869">
        <v>5.1533429999999998E-2</v>
      </c>
      <c r="AA2869">
        <v>0.87984010000000001</v>
      </c>
      <c r="AB2869">
        <v>29</v>
      </c>
      <c r="AC2869">
        <v>-5.8999999999968999E-3</v>
      </c>
      <c r="AD2869">
        <v>-0.126850299999999</v>
      </c>
      <c r="AE2869">
        <v>-0.80400000000003002</v>
      </c>
      <c r="AF2869">
        <v>-0.46305760082423097</v>
      </c>
      <c r="AG2869">
        <v>-0.126850299999999</v>
      </c>
      <c r="AH2869">
        <v>0.633253010161267</v>
      </c>
      <c r="AI2869">
        <v>99.185047367025902</v>
      </c>
      <c r="AJ2869">
        <v>126.175627342333</v>
      </c>
      <c r="AK2869">
        <v>0.79468403480219096</v>
      </c>
      <c r="AL2869">
        <v>71.809741767098302</v>
      </c>
      <c r="AM2869">
        <v>119.20271172563</v>
      </c>
      <c r="AN2869">
        <v>1.0000000187873901</v>
      </c>
    </row>
    <row r="2870" spans="1:40" x14ac:dyDescent="0.25">
      <c r="A2870" t="str">
        <f>"20190304164144404"</f>
        <v>20190304164144404</v>
      </c>
      <c r="B2870" t="str">
        <f>"1551688904394055"</f>
        <v>1551688904394055</v>
      </c>
      <c r="C2870" t="s">
        <v>40</v>
      </c>
      <c r="D2870">
        <v>5.1842860000000002</v>
      </c>
      <c r="E2870">
        <v>0.47741620000000001</v>
      </c>
      <c r="F2870" t="s">
        <v>41</v>
      </c>
      <c r="G2870">
        <v>-499.77539999999999</v>
      </c>
      <c r="H2870">
        <v>0.99572130000000003</v>
      </c>
      <c r="I2870">
        <v>273.08749999999998</v>
      </c>
      <c r="J2870">
        <v>-499.75639999999999</v>
      </c>
      <c r="K2870">
        <v>1.1257619999999999</v>
      </c>
      <c r="L2870">
        <v>273.92869999999999</v>
      </c>
      <c r="M2870">
        <v>-0.58557360000000003</v>
      </c>
      <c r="N2870">
        <v>-3.0902010000000001E-2</v>
      </c>
      <c r="O2870">
        <v>-0.81003019999999903</v>
      </c>
      <c r="P2870">
        <v>-0.12229810000000001</v>
      </c>
      <c r="Q2870">
        <v>0.29478710000000002</v>
      </c>
      <c r="R2870">
        <v>-0.94770460000000001</v>
      </c>
      <c r="S2870">
        <v>-0.4363708</v>
      </c>
      <c r="T2870">
        <v>-0.4175644</v>
      </c>
      <c r="U2870">
        <v>-3.2374269999999998</v>
      </c>
      <c r="V2870">
        <v>-0.4607753</v>
      </c>
      <c r="W2870">
        <v>0.31384269999999997</v>
      </c>
      <c r="X2870">
        <v>0.83017399999999997</v>
      </c>
      <c r="Y2870">
        <v>-0.47101229999999999</v>
      </c>
      <c r="Z2870">
        <v>5.4832680000000002E-2</v>
      </c>
      <c r="AA2870">
        <v>0.8804208</v>
      </c>
      <c r="AB2870">
        <v>29</v>
      </c>
      <c r="AC2870">
        <v>-1.9000000000005401E-2</v>
      </c>
      <c r="AD2870">
        <v>-0.13004070000000001</v>
      </c>
      <c r="AE2870">
        <v>-0.84120000000001405</v>
      </c>
      <c r="AF2870">
        <v>-0.46628433169481898</v>
      </c>
      <c r="AG2870">
        <v>-0.13004070000000001</v>
      </c>
      <c r="AH2870">
        <v>0.67669083634232297</v>
      </c>
      <c r="AI2870">
        <v>98.992018161227307</v>
      </c>
      <c r="AJ2870">
        <v>124.569387755146</v>
      </c>
      <c r="AK2870">
        <v>0.83201090715822201</v>
      </c>
      <c r="AL2870">
        <v>71.70903709753</v>
      </c>
      <c r="AM2870">
        <v>119.031790569069</v>
      </c>
      <c r="AN2870">
        <v>0.99999999385468996</v>
      </c>
    </row>
    <row r="2871" spans="1:40" x14ac:dyDescent="0.25">
      <c r="A2871" t="str">
        <f>"20190304164144420"</f>
        <v>20190304164144420</v>
      </c>
      <c r="B2871" t="str">
        <f>"1551688904413576"</f>
        <v>1551688904413576</v>
      </c>
      <c r="C2871" t="s">
        <v>40</v>
      </c>
      <c r="D2871">
        <v>5.179011</v>
      </c>
      <c r="E2871">
        <v>0.4777537</v>
      </c>
      <c r="F2871" t="s">
        <v>41</v>
      </c>
      <c r="G2871">
        <v>-499.88630000000001</v>
      </c>
      <c r="H2871">
        <v>0.99188149999999997</v>
      </c>
      <c r="I2871">
        <v>272.88200000000001</v>
      </c>
      <c r="J2871">
        <v>-499.87020000000001</v>
      </c>
      <c r="K2871">
        <v>1.1262110000000001</v>
      </c>
      <c r="L2871">
        <v>273.76319999999998</v>
      </c>
      <c r="M2871">
        <v>-0.57486709999999996</v>
      </c>
      <c r="N2871">
        <v>-3.0264309999999999E-2</v>
      </c>
      <c r="O2871">
        <v>-0.81768730000000001</v>
      </c>
      <c r="P2871">
        <v>-0.1103005</v>
      </c>
      <c r="Q2871">
        <v>0.30186039999999997</v>
      </c>
      <c r="R2871">
        <v>-0.94695030000000002</v>
      </c>
      <c r="S2871">
        <v>-0.40148929999999999</v>
      </c>
      <c r="T2871">
        <v>-0.41460789999999997</v>
      </c>
      <c r="U2871">
        <v>-3.242645</v>
      </c>
      <c r="V2871">
        <v>-0.45847510000000002</v>
      </c>
      <c r="W2871">
        <v>0.3213317</v>
      </c>
      <c r="X2871">
        <v>0.82858109999999996</v>
      </c>
      <c r="Y2871">
        <v>-0.46896969999999999</v>
      </c>
      <c r="Z2871">
        <v>5.6092959999999997E-2</v>
      </c>
      <c r="AA2871">
        <v>0.88143119999999997</v>
      </c>
      <c r="AB2871">
        <v>28</v>
      </c>
      <c r="AC2871">
        <v>-1.60999999999944E-2</v>
      </c>
      <c r="AD2871">
        <v>-0.13432949999999999</v>
      </c>
      <c r="AE2871">
        <v>-0.881199999999978</v>
      </c>
      <c r="AF2871">
        <v>-0.48242730793324501</v>
      </c>
      <c r="AG2871">
        <v>-0.13432949999999999</v>
      </c>
      <c r="AH2871">
        <v>0.713559653152813</v>
      </c>
      <c r="AI2871">
        <v>98.864126619363802</v>
      </c>
      <c r="AJ2871">
        <v>124.062054054809</v>
      </c>
      <c r="AK2871">
        <v>0.87174990715085898</v>
      </c>
      <c r="AL2871">
        <v>71.256521562697102</v>
      </c>
      <c r="AM2871">
        <v>118.95687655709899</v>
      </c>
      <c r="AN2871">
        <v>1.00000005901105</v>
      </c>
    </row>
    <row r="2872" spans="1:40" x14ac:dyDescent="0.25">
      <c r="A2872" t="str">
        <f>"20190304164144434"</f>
        <v>20190304164144434</v>
      </c>
      <c r="B2872" t="str">
        <f>"1551688904424311"</f>
        <v>1551688904424311</v>
      </c>
      <c r="C2872" t="s">
        <v>40</v>
      </c>
      <c r="D2872">
        <v>5.1864439999999998</v>
      </c>
      <c r="E2872">
        <v>0.47841099999999998</v>
      </c>
      <c r="F2872" t="s">
        <v>41</v>
      </c>
      <c r="G2872">
        <v>-499.96820000000002</v>
      </c>
      <c r="H2872">
        <v>1.020052</v>
      </c>
      <c r="I2872">
        <v>272.88389999999998</v>
      </c>
      <c r="J2872">
        <v>-499.95760000000001</v>
      </c>
      <c r="K2872">
        <v>1.127211</v>
      </c>
      <c r="L2872">
        <v>273.63290000000001</v>
      </c>
      <c r="M2872">
        <v>-0.56598440000000005</v>
      </c>
      <c r="N2872">
        <v>-2.9903829999999999E-2</v>
      </c>
      <c r="O2872">
        <v>-0.82387350000000004</v>
      </c>
      <c r="P2872">
        <v>-9.7773170000000006E-2</v>
      </c>
      <c r="Q2872">
        <v>0.30673800000000001</v>
      </c>
      <c r="R2872">
        <v>-0.94675880000000001</v>
      </c>
      <c r="S2872">
        <v>-0.36157230000000001</v>
      </c>
      <c r="T2872">
        <v>-0.39239940000000001</v>
      </c>
      <c r="U2872">
        <v>-3.2510680000000001</v>
      </c>
      <c r="V2872">
        <v>-0.45934330000000001</v>
      </c>
      <c r="W2872">
        <v>0.32624969999999998</v>
      </c>
      <c r="X2872">
        <v>0.82617489999999905</v>
      </c>
      <c r="Y2872">
        <v>-0.47043570000000001</v>
      </c>
      <c r="Z2872">
        <v>5.2639850000000002E-2</v>
      </c>
      <c r="AA2872">
        <v>0.88086279999999995</v>
      </c>
      <c r="AB2872">
        <v>28</v>
      </c>
      <c r="AC2872">
        <v>-1.06000000000108E-2</v>
      </c>
      <c r="AD2872">
        <v>-0.10715899999999901</v>
      </c>
      <c r="AE2872">
        <v>-0.74900000000002298</v>
      </c>
      <c r="AF2872">
        <v>-0.40704491723243702</v>
      </c>
      <c r="AG2872">
        <v>-0.10715899999999901</v>
      </c>
      <c r="AH2872">
        <v>0.61085835519203602</v>
      </c>
      <c r="AI2872">
        <v>98.305524052892494</v>
      </c>
      <c r="AJ2872">
        <v>123.677469113515</v>
      </c>
      <c r="AK2872">
        <v>0.74183323330360496</v>
      </c>
      <c r="AL2872">
        <v>70.958696100170499</v>
      </c>
      <c r="AM2872">
        <v>119.073532570406</v>
      </c>
      <c r="AN2872">
        <v>1.0000000496974899</v>
      </c>
    </row>
    <row r="2873" spans="1:40" x14ac:dyDescent="0.25">
      <c r="A2873" t="str">
        <f>"20190304164144448"</f>
        <v>20190304164144448</v>
      </c>
      <c r="B2873" t="str">
        <f>"1551688904443831"</f>
        <v>1551688904443831</v>
      </c>
      <c r="C2873" t="s">
        <v>40</v>
      </c>
      <c r="D2873">
        <v>5.1630500000000001</v>
      </c>
      <c r="E2873">
        <v>0.48425469999999998</v>
      </c>
      <c r="F2873" t="s">
        <v>41</v>
      </c>
      <c r="G2873">
        <v>-500.05130000000003</v>
      </c>
      <c r="H2873">
        <v>1.0197670000000001</v>
      </c>
      <c r="I2873">
        <v>272.70389999999998</v>
      </c>
      <c r="J2873">
        <v>-500.05090000000001</v>
      </c>
      <c r="K2873">
        <v>1.1286560000000001</v>
      </c>
      <c r="L2873">
        <v>273.49130000000002</v>
      </c>
      <c r="M2873">
        <v>-0.55600509999999903</v>
      </c>
      <c r="N2873">
        <v>-2.953774E-2</v>
      </c>
      <c r="O2873">
        <v>-0.830654</v>
      </c>
      <c r="P2873">
        <v>-8.3716609999999997E-2</v>
      </c>
      <c r="Q2873">
        <v>0.31054500000000002</v>
      </c>
      <c r="R2873">
        <v>-0.94686510000000002</v>
      </c>
      <c r="S2873">
        <v>-0.32833859999999998</v>
      </c>
      <c r="T2873">
        <v>-0.37659989999999999</v>
      </c>
      <c r="U2873">
        <v>-3.2568359999999998</v>
      </c>
      <c r="V2873">
        <v>-0.46079189999999998</v>
      </c>
      <c r="W2873">
        <v>0.3299608</v>
      </c>
      <c r="X2873">
        <v>0.82389120000000005</v>
      </c>
      <c r="Y2873">
        <v>-0.46892099999999998</v>
      </c>
      <c r="Z2873">
        <v>5.0694940000000001E-2</v>
      </c>
      <c r="AA2873">
        <v>0.88178409999999996</v>
      </c>
      <c r="AB2873">
        <v>28</v>
      </c>
      <c r="AC2873">
        <v>-4.0000000001327803E-4</v>
      </c>
      <c r="AD2873">
        <v>-0.108888999999999</v>
      </c>
      <c r="AE2873">
        <v>-0.78740000000004695</v>
      </c>
      <c r="AF2873">
        <v>-0.42944440772502901</v>
      </c>
      <c r="AG2873">
        <v>-0.108888999999999</v>
      </c>
      <c r="AH2873">
        <v>0.64228194635667901</v>
      </c>
      <c r="AI2873">
        <v>98.022084867827203</v>
      </c>
      <c r="AJ2873">
        <v>123.76759342920801</v>
      </c>
      <c r="AK2873">
        <v>0.78025983637697505</v>
      </c>
      <c r="AL2873">
        <v>70.733603911815607</v>
      </c>
      <c r="AM2873">
        <v>119.217731599253</v>
      </c>
      <c r="AN2873">
        <v>1.00000000703984</v>
      </c>
    </row>
    <row r="2874" spans="1:40" x14ac:dyDescent="0.25">
      <c r="A2874" t="str">
        <f>"20190304164144464"</f>
        <v>20190304164144464</v>
      </c>
      <c r="B2874" t="str">
        <f>"1551688904453592"</f>
        <v>1551688904453592</v>
      </c>
      <c r="C2874" t="s">
        <v>40</v>
      </c>
      <c r="D2874">
        <v>5.218604</v>
      </c>
      <c r="E2874">
        <v>0.48425469999999998</v>
      </c>
      <c r="F2874" t="s">
        <v>41</v>
      </c>
      <c r="G2874">
        <v>-500.1497</v>
      </c>
      <c r="H2874">
        <v>1.0311459999999999</v>
      </c>
      <c r="I2874">
        <v>272.50360000000001</v>
      </c>
      <c r="J2874">
        <v>-500.15260000000001</v>
      </c>
      <c r="K2874">
        <v>1.130808</v>
      </c>
      <c r="L2874">
        <v>273.33190000000002</v>
      </c>
      <c r="M2874">
        <v>-0.54434249999999995</v>
      </c>
      <c r="N2874">
        <v>-2.9069950000000001E-2</v>
      </c>
      <c r="O2874">
        <v>-0.83835949999999904</v>
      </c>
      <c r="P2874">
        <v>-6.4925150000000001E-2</v>
      </c>
      <c r="Q2874">
        <v>0.31649159999999998</v>
      </c>
      <c r="R2874">
        <v>-0.94637110000000002</v>
      </c>
      <c r="S2874">
        <v>-0.323974599999999</v>
      </c>
      <c r="T2874">
        <v>-0.3202412</v>
      </c>
      <c r="U2874">
        <v>-3.2447810000000001</v>
      </c>
      <c r="V2874">
        <v>-0.46458250000000001</v>
      </c>
      <c r="W2874">
        <v>0.33543650000000003</v>
      </c>
      <c r="X2874">
        <v>0.81953980000000004</v>
      </c>
      <c r="Y2874">
        <v>-0.45758080000000001</v>
      </c>
      <c r="Z2874">
        <v>4.0983150000000003E-2</v>
      </c>
      <c r="AA2874">
        <v>0.88822309999999904</v>
      </c>
      <c r="AB2874">
        <v>27</v>
      </c>
      <c r="AC2874">
        <v>2.9000000000110001E-3</v>
      </c>
      <c r="AD2874">
        <v>-9.9662000000000098E-2</v>
      </c>
      <c r="AE2874">
        <v>-0.82830000000001203</v>
      </c>
      <c r="AF2874">
        <v>-0.44703003413471198</v>
      </c>
      <c r="AG2874">
        <v>-9.9662000000000098E-2</v>
      </c>
      <c r="AH2874">
        <v>0.68323613812505501</v>
      </c>
      <c r="AI2874">
        <v>96.959227467165903</v>
      </c>
      <c r="AJ2874">
        <v>123.196056055044</v>
      </c>
      <c r="AK2874">
        <v>0.82254482315708599</v>
      </c>
      <c r="AL2874">
        <v>70.400916829089695</v>
      </c>
      <c r="AM2874">
        <v>119.548127631238</v>
      </c>
      <c r="AN2874">
        <v>1.0000000143112699</v>
      </c>
    </row>
    <row r="2875" spans="1:40" x14ac:dyDescent="0.25">
      <c r="A2875" t="str">
        <f>"20190304164144477"</f>
        <v>20190304164144477</v>
      </c>
      <c r="B2875" t="str">
        <f>"1551688904464329"</f>
        <v>1551688904464329</v>
      </c>
      <c r="C2875" t="s">
        <v>40</v>
      </c>
      <c r="D2875">
        <v>5.1794669999999998</v>
      </c>
      <c r="E2875">
        <v>0.48504360000000002</v>
      </c>
      <c r="F2875" t="s">
        <v>41</v>
      </c>
      <c r="G2875">
        <v>-500.23649999999998</v>
      </c>
      <c r="H2875">
        <v>1.0358889999999901</v>
      </c>
      <c r="I2875">
        <v>272.3021</v>
      </c>
      <c r="J2875">
        <v>-500.23140000000001</v>
      </c>
      <c r="K2875">
        <v>1.1329049999999901</v>
      </c>
      <c r="L2875">
        <v>273.20319999999998</v>
      </c>
      <c r="M2875">
        <v>-0.53466610000000003</v>
      </c>
      <c r="N2875">
        <v>-2.8442760000000001E-2</v>
      </c>
      <c r="O2875">
        <v>-0.84458489999999997</v>
      </c>
      <c r="P2875">
        <v>-5.2480520000000003E-2</v>
      </c>
      <c r="Q2875">
        <v>0.32030219999999998</v>
      </c>
      <c r="R2875">
        <v>-0.94586099999999995</v>
      </c>
      <c r="S2875">
        <v>-0.26528930000000001</v>
      </c>
      <c r="T2875">
        <v>-0.29977500000000001</v>
      </c>
      <c r="U2875">
        <v>-3.2520449999999999</v>
      </c>
      <c r="V2875">
        <v>-0.46541199999999999</v>
      </c>
      <c r="W2875">
        <v>0.33849780000000002</v>
      </c>
      <c r="X2875">
        <v>0.817808599999999</v>
      </c>
      <c r="Y2875">
        <v>-0.46349220000000002</v>
      </c>
      <c r="Z2875">
        <v>3.7604579999999999E-2</v>
      </c>
      <c r="AA2875">
        <v>0.8853027</v>
      </c>
      <c r="AB2875">
        <v>27</v>
      </c>
      <c r="AC2875">
        <v>-5.0999999999703496E-3</v>
      </c>
      <c r="AD2875">
        <v>-9.7016000000000005E-2</v>
      </c>
      <c r="AE2875">
        <v>-0.90109999999998502</v>
      </c>
      <c r="AF2875">
        <v>-0.47220003482059902</v>
      </c>
      <c r="AG2875">
        <v>-9.7016000000000005E-2</v>
      </c>
      <c r="AH2875">
        <v>0.75533598100923205</v>
      </c>
      <c r="AI2875">
        <v>96.215595182505098</v>
      </c>
      <c r="AJ2875">
        <v>122.01165825278299</v>
      </c>
      <c r="AK2875">
        <v>0.89605659494685597</v>
      </c>
      <c r="AL2875">
        <v>70.214621631260101</v>
      </c>
      <c r="AM2875">
        <v>119.644052176239</v>
      </c>
      <c r="AN2875">
        <v>0.99999999829139896</v>
      </c>
    </row>
    <row r="2876" spans="1:40" x14ac:dyDescent="0.25">
      <c r="A2876" t="str">
        <f>"20190304164144492"</f>
        <v>20190304164144492</v>
      </c>
      <c r="B2876" t="str">
        <f>"1551688904484242"</f>
        <v>1551688904484242</v>
      </c>
      <c r="C2876" t="s">
        <v>40</v>
      </c>
      <c r="D2876">
        <v>5.2265860000000002</v>
      </c>
      <c r="E2876">
        <v>0.485653</v>
      </c>
      <c r="F2876" t="s">
        <v>41</v>
      </c>
      <c r="G2876">
        <v>-500.29430000000002</v>
      </c>
      <c r="H2876">
        <v>1.0528649999999999</v>
      </c>
      <c r="I2876">
        <v>272.31240000000003</v>
      </c>
      <c r="J2876">
        <v>-500.30950000000001</v>
      </c>
      <c r="K2876">
        <v>1.1351279999999999</v>
      </c>
      <c r="L2876">
        <v>273.07029999999997</v>
      </c>
      <c r="M2876">
        <v>-0.5245784</v>
      </c>
      <c r="N2876">
        <v>-2.7618319999999998E-2</v>
      </c>
      <c r="O2876">
        <v>-0.85091410000000001</v>
      </c>
      <c r="P2876">
        <v>-4.0897269999999999E-2</v>
      </c>
      <c r="Q2876">
        <v>0.3246156</v>
      </c>
      <c r="R2876">
        <v>-0.94496170000000002</v>
      </c>
      <c r="S2876">
        <v>-0.23049929999999999</v>
      </c>
      <c r="T2876">
        <v>-0.29278850000000001</v>
      </c>
      <c r="U2876">
        <v>-3.258057</v>
      </c>
      <c r="V2876">
        <v>-0.4650764</v>
      </c>
      <c r="W2876">
        <v>0.34193299999999999</v>
      </c>
      <c r="X2876">
        <v>0.8165694</v>
      </c>
      <c r="Y2876">
        <v>-0.46252670000000001</v>
      </c>
      <c r="Z2876">
        <v>3.7543519999999997E-2</v>
      </c>
      <c r="AA2876">
        <v>0.88581010000000004</v>
      </c>
      <c r="AB2876">
        <v>27</v>
      </c>
      <c r="AC2876">
        <v>1.51999999999929E-2</v>
      </c>
      <c r="AD2876">
        <v>-8.2263000000000197E-2</v>
      </c>
      <c r="AE2876">
        <v>-0.75789999999994895</v>
      </c>
      <c r="AF2876">
        <v>-0.40588861576642099</v>
      </c>
      <c r="AG2876">
        <v>-8.2263000000000197E-2</v>
      </c>
      <c r="AH2876">
        <v>0.62976095347528505</v>
      </c>
      <c r="AI2876">
        <v>96.265797112428402</v>
      </c>
      <c r="AJ2876">
        <v>122.80227401071799</v>
      </c>
      <c r="AK2876">
        <v>0.753731801173257</v>
      </c>
      <c r="AL2876">
        <v>70.005311408015501</v>
      </c>
      <c r="AM2876">
        <v>119.663638818908</v>
      </c>
      <c r="AN2876">
        <v>0.99999990967115504</v>
      </c>
    </row>
    <row r="2877" spans="1:40" x14ac:dyDescent="0.25">
      <c r="A2877" t="str">
        <f>"20190304164144504"</f>
        <v>20190304164144504</v>
      </c>
      <c r="B2877" t="str">
        <f>"1551688904494001"</f>
        <v>1551688904494001</v>
      </c>
      <c r="C2877" t="s">
        <v>40</v>
      </c>
      <c r="D2877">
        <v>5.2212370000000004</v>
      </c>
      <c r="E2877">
        <v>0.48618270000000002</v>
      </c>
      <c r="F2877" t="s">
        <v>41</v>
      </c>
      <c r="G2877">
        <v>-500.36700000000002</v>
      </c>
      <c r="H2877">
        <v>1.052081</v>
      </c>
      <c r="I2877">
        <v>272.11750000000001</v>
      </c>
      <c r="J2877">
        <v>-500.38420000000002</v>
      </c>
      <c r="K2877">
        <v>1.1373230000000001</v>
      </c>
      <c r="L2877">
        <v>272.93979999999999</v>
      </c>
      <c r="M2877">
        <v>-0.51462629999999998</v>
      </c>
      <c r="N2877">
        <v>-2.6727839999999999E-2</v>
      </c>
      <c r="O2877">
        <v>-0.85699789999999998</v>
      </c>
      <c r="P2877">
        <v>-3.0740079999999999E-2</v>
      </c>
      <c r="Q2877">
        <v>0.3287775</v>
      </c>
      <c r="R2877">
        <v>-0.9439071</v>
      </c>
      <c r="S2877">
        <v>-0.19647220000000001</v>
      </c>
      <c r="T2877">
        <v>-0.28440110000000002</v>
      </c>
      <c r="U2877">
        <v>-3.2638850000000001</v>
      </c>
      <c r="V2877">
        <v>-0.46370509999999898</v>
      </c>
      <c r="W2877">
        <v>0.3452383</v>
      </c>
      <c r="X2877">
        <v>0.81595839999999997</v>
      </c>
      <c r="Y2877">
        <v>-0.46155079999999998</v>
      </c>
      <c r="Z2877">
        <v>3.7180400000000002E-2</v>
      </c>
      <c r="AA2877">
        <v>0.88633430000000002</v>
      </c>
      <c r="AB2877">
        <v>26</v>
      </c>
      <c r="AC2877">
        <v>1.72000000000593E-2</v>
      </c>
      <c r="AD2877">
        <v>-8.5241999999999804E-2</v>
      </c>
      <c r="AE2877">
        <v>-0.82229999999998404</v>
      </c>
      <c r="AF2877">
        <v>-0.43341859428131102</v>
      </c>
      <c r="AG2877">
        <v>-8.5241999999999804E-2</v>
      </c>
      <c r="AH2877">
        <v>0.68870885813483995</v>
      </c>
      <c r="AI2877">
        <v>95.980120780535302</v>
      </c>
      <c r="AJ2877">
        <v>122.18304803589</v>
      </c>
      <c r="AK2877">
        <v>0.81819176707308805</v>
      </c>
      <c r="AL2877">
        <v>69.803656989155996</v>
      </c>
      <c r="AM2877">
        <v>119.609353871818</v>
      </c>
      <c r="AN2877">
        <v>1.0000000070417201</v>
      </c>
    </row>
    <row r="2878" spans="1:40" x14ac:dyDescent="0.25">
      <c r="A2878" t="str">
        <f>"20190304164144522"</f>
        <v>20190304164144522</v>
      </c>
      <c r="B2878" t="str">
        <f>"1551688904513520"</f>
        <v>1551688904513520</v>
      </c>
      <c r="C2878" t="s">
        <v>40</v>
      </c>
      <c r="D2878">
        <v>5.2352809999999996</v>
      </c>
      <c r="E2878">
        <v>0.48725499999999999</v>
      </c>
      <c r="F2878" t="s">
        <v>41</v>
      </c>
      <c r="G2878">
        <v>-500.43549999999999</v>
      </c>
      <c r="H2878">
        <v>1.0505100000000001</v>
      </c>
      <c r="I2878">
        <v>271.91359999999997</v>
      </c>
      <c r="J2878">
        <v>-500.47680000000003</v>
      </c>
      <c r="K2878">
        <v>1.140118</v>
      </c>
      <c r="L2878">
        <v>272.7704</v>
      </c>
      <c r="M2878">
        <v>-0.50180979999999997</v>
      </c>
      <c r="N2878">
        <v>-2.5548749999999999E-2</v>
      </c>
      <c r="O2878">
        <v>-0.86460079999999995</v>
      </c>
      <c r="P2878">
        <v>-1.8053130000000001E-2</v>
      </c>
      <c r="Q2878">
        <v>0.33312350000000002</v>
      </c>
      <c r="R2878">
        <v>-0.94271079999999996</v>
      </c>
      <c r="S2878">
        <v>-0.16333010000000001</v>
      </c>
      <c r="T2878">
        <v>-0.27655819999999998</v>
      </c>
      <c r="U2878">
        <v>-3.2692570000000001</v>
      </c>
      <c r="V2878">
        <v>-0.46176040000000002</v>
      </c>
      <c r="W2878">
        <v>0.34863620000000001</v>
      </c>
      <c r="X2878">
        <v>0.81561640000000002</v>
      </c>
      <c r="Y2878">
        <v>-0.45744570000000001</v>
      </c>
      <c r="Z2878">
        <v>3.745474E-2</v>
      </c>
      <c r="AA2878">
        <v>0.88844840000000003</v>
      </c>
      <c r="AB2878">
        <v>26</v>
      </c>
      <c r="AC2878">
        <v>4.1300000000035197E-2</v>
      </c>
      <c r="AD2878">
        <v>-8.9607999999999896E-2</v>
      </c>
      <c r="AE2878">
        <v>-0.85680000000002099</v>
      </c>
      <c r="AF2878">
        <v>-0.46078230186736702</v>
      </c>
      <c r="AG2878">
        <v>-8.9607999999999896E-2</v>
      </c>
      <c r="AH2878">
        <v>0.71252474342903105</v>
      </c>
      <c r="AI2878">
        <v>96.028273180609204</v>
      </c>
      <c r="AJ2878">
        <v>122.890326515056</v>
      </c>
      <c r="AK2878">
        <v>0.853253440295904</v>
      </c>
      <c r="AL2878">
        <v>69.596078090477107</v>
      </c>
      <c r="AM2878">
        <v>119.51632589659999</v>
      </c>
      <c r="AN2878">
        <v>0.99999998945377899</v>
      </c>
    </row>
    <row r="2879" spans="1:40" x14ac:dyDescent="0.25">
      <c r="A2879" t="str">
        <f>"20190304164144535"</f>
        <v>20190304164144535</v>
      </c>
      <c r="B2879" t="str">
        <f>"1551688904524257"</f>
        <v>1551688904524257</v>
      </c>
      <c r="C2879" t="s">
        <v>40</v>
      </c>
      <c r="D2879">
        <v>5.2126679999999999</v>
      </c>
      <c r="E2879">
        <v>0.48781020000000003</v>
      </c>
      <c r="F2879" t="s">
        <v>41</v>
      </c>
      <c r="G2879">
        <v>-500.51679999999999</v>
      </c>
      <c r="H2879">
        <v>1.0524230000000001</v>
      </c>
      <c r="I2879">
        <v>271.7167</v>
      </c>
      <c r="J2879">
        <v>-500.54649999999998</v>
      </c>
      <c r="K2879">
        <v>1.1422000000000001</v>
      </c>
      <c r="L2879">
        <v>272.63600000000002</v>
      </c>
      <c r="M2879">
        <v>-0.49184800000000001</v>
      </c>
      <c r="N2879">
        <v>-2.4721699999999999E-2</v>
      </c>
      <c r="O2879">
        <v>-0.87033019999999905</v>
      </c>
      <c r="P2879">
        <v>-6.8255329999999999E-3</v>
      </c>
      <c r="Q2879">
        <v>0.33272499999999999</v>
      </c>
      <c r="R2879">
        <v>-0.94299940000000004</v>
      </c>
      <c r="S2879">
        <v>-0.1239319</v>
      </c>
      <c r="T2879">
        <v>-0.272648</v>
      </c>
      <c r="U2879">
        <v>-3.2762449999999999</v>
      </c>
      <c r="V2879">
        <v>-0.46200020000000003</v>
      </c>
      <c r="W2879">
        <v>0.34776590000000002</v>
      </c>
      <c r="X2879">
        <v>0.81585209999999997</v>
      </c>
      <c r="Y2879">
        <v>-0.4580227</v>
      </c>
      <c r="Z2879">
        <v>3.7863649999999999E-2</v>
      </c>
      <c r="AA2879">
        <v>0.88813379999999997</v>
      </c>
      <c r="AB2879">
        <v>26</v>
      </c>
      <c r="AC2879">
        <v>2.9699999999991102E-2</v>
      </c>
      <c r="AD2879">
        <v>-8.9777000000000204E-2</v>
      </c>
      <c r="AE2879">
        <v>-0.91929999999996403</v>
      </c>
      <c r="AF2879">
        <v>-0.47363832474714201</v>
      </c>
      <c r="AG2879">
        <v>-8.9777000000000204E-2</v>
      </c>
      <c r="AH2879">
        <v>0.77831161480637501</v>
      </c>
      <c r="AI2879">
        <v>95.627586896459206</v>
      </c>
      <c r="AJ2879">
        <v>121.322430954881</v>
      </c>
      <c r="AK2879">
        <v>0.91551195630684501</v>
      </c>
      <c r="AL2879">
        <v>69.649271204688603</v>
      </c>
      <c r="AM2879">
        <v>119.521981948079</v>
      </c>
      <c r="AN2879">
        <v>0.99999997753862901</v>
      </c>
    </row>
    <row r="2880" spans="1:40" x14ac:dyDescent="0.25">
      <c r="A2880" t="str">
        <f>"20190304164144555"</f>
        <v>20190304164144555</v>
      </c>
      <c r="B2880" t="str">
        <f>"1551688904543777"</f>
        <v>1551688904543777</v>
      </c>
      <c r="C2880" t="s">
        <v>40</v>
      </c>
      <c r="D2880">
        <v>5.1948800000000004</v>
      </c>
      <c r="E2880">
        <v>0.49144290000000002</v>
      </c>
      <c r="F2880" t="s">
        <v>41</v>
      </c>
      <c r="G2880">
        <v>-500.57279999999997</v>
      </c>
      <c r="H2880">
        <v>1.0647580000000001</v>
      </c>
      <c r="I2880">
        <v>271.72340000000003</v>
      </c>
      <c r="J2880">
        <v>-500.64019999999999</v>
      </c>
      <c r="K2880">
        <v>1.1449419999999999</v>
      </c>
      <c r="L2880">
        <v>272.44909999999999</v>
      </c>
      <c r="M2880">
        <v>-0.4781203</v>
      </c>
      <c r="N2880">
        <v>-2.371061E-2</v>
      </c>
      <c r="O2880">
        <v>-0.87797449999999999</v>
      </c>
      <c r="P2880">
        <v>1.1629570000000001E-2</v>
      </c>
      <c r="Q2880">
        <v>0.32650180000000001</v>
      </c>
      <c r="R2880">
        <v>-0.94512549999999995</v>
      </c>
      <c r="S2880">
        <v>-9.4177250000000004E-2</v>
      </c>
      <c r="T2880">
        <v>-0.27818939999999998</v>
      </c>
      <c r="U2880">
        <v>-3.2788089999999999</v>
      </c>
      <c r="V2880">
        <v>-0.46579870000000001</v>
      </c>
      <c r="W2880">
        <v>0.3411303</v>
      </c>
      <c r="X2880">
        <v>0.81649349999999998</v>
      </c>
      <c r="Y2880">
        <v>-0.45215899999999998</v>
      </c>
      <c r="Z2880">
        <v>4.1097540000000002E-2</v>
      </c>
      <c r="AA2880">
        <v>0.89098999999999995</v>
      </c>
      <c r="AB2880">
        <v>26</v>
      </c>
      <c r="AC2880">
        <v>6.7400000000020499E-2</v>
      </c>
      <c r="AD2880">
        <v>-8.0183999999999797E-2</v>
      </c>
      <c r="AE2880">
        <v>-0.72569999999996004</v>
      </c>
      <c r="AF2880">
        <v>-0.40140290419449798</v>
      </c>
      <c r="AG2880">
        <v>-8.0183999999999797E-2</v>
      </c>
      <c r="AH2880">
        <v>0.59785430274365703</v>
      </c>
      <c r="AI2880">
        <v>96.353718719509402</v>
      </c>
      <c r="AJ2880">
        <v>123.87764432081001</v>
      </c>
      <c r="AK2880">
        <v>0.72455747367678303</v>
      </c>
      <c r="AL2880">
        <v>70.054246423986498</v>
      </c>
      <c r="AM2880">
        <v>119.704184221959</v>
      </c>
      <c r="AN2880">
        <v>0.99999997302101395</v>
      </c>
    </row>
    <row r="2881" spans="1:40" x14ac:dyDescent="0.25">
      <c r="A2881" t="str">
        <f>"20190304164144570"</f>
        <v>20190304164144570</v>
      </c>
      <c r="B2881" t="str">
        <f>"1551688904564273"</f>
        <v>1551688904564273</v>
      </c>
      <c r="C2881" t="s">
        <v>40</v>
      </c>
      <c r="D2881">
        <v>5.207541</v>
      </c>
      <c r="E2881">
        <v>0.47888429999999998</v>
      </c>
      <c r="F2881" t="s">
        <v>41</v>
      </c>
      <c r="G2881">
        <v>-500.66379999999998</v>
      </c>
      <c r="H2881">
        <v>1.0430280000000001</v>
      </c>
      <c r="I2881">
        <v>271.49810000000002</v>
      </c>
      <c r="J2881">
        <v>-500.71080000000001</v>
      </c>
      <c r="K2881">
        <v>1.146971</v>
      </c>
      <c r="L2881">
        <v>272.3023</v>
      </c>
      <c r="M2881">
        <v>-0.46744669999999999</v>
      </c>
      <c r="N2881">
        <v>-2.3048430000000002E-2</v>
      </c>
      <c r="O2881">
        <v>-0.88372090000000003</v>
      </c>
      <c r="P2881">
        <v>2.516562E-2</v>
      </c>
      <c r="Q2881">
        <v>0.32331480000000001</v>
      </c>
      <c r="R2881">
        <v>-0.94595720000000005</v>
      </c>
      <c r="S2881">
        <v>-8.1359860000000006E-2</v>
      </c>
      <c r="T2881">
        <v>-0.35333379999999998</v>
      </c>
      <c r="U2881">
        <v>-3.2972410000000001</v>
      </c>
      <c r="V2881">
        <v>-0.46774300000000002</v>
      </c>
      <c r="W2881">
        <v>0.33784940000000002</v>
      </c>
      <c r="X2881">
        <v>0.81674609999999903</v>
      </c>
      <c r="Y2881">
        <v>-0.44482329999999998</v>
      </c>
      <c r="Z2881">
        <v>5.969899E-2</v>
      </c>
      <c r="AA2881">
        <v>0.89362649999999999</v>
      </c>
      <c r="AB2881">
        <v>25</v>
      </c>
      <c r="AC2881">
        <v>4.7000000000025403E-2</v>
      </c>
      <c r="AD2881">
        <v>-0.10394299999999899</v>
      </c>
      <c r="AE2881">
        <v>-0.80419999999998004</v>
      </c>
      <c r="AF2881">
        <v>-0.41072827691569003</v>
      </c>
      <c r="AG2881">
        <v>-0.10394299999999899</v>
      </c>
      <c r="AH2881">
        <v>0.67761974596881802</v>
      </c>
      <c r="AI2881">
        <v>97.473286351633007</v>
      </c>
      <c r="AJ2881">
        <v>121.221472589463</v>
      </c>
      <c r="AK2881">
        <v>0.79916855846184098</v>
      </c>
      <c r="AL2881">
        <v>70.254097259813094</v>
      </c>
      <c r="AM2881">
        <v>119.79937127962199</v>
      </c>
      <c r="AN2881">
        <v>0.99999996149728398</v>
      </c>
    </row>
    <row r="2882" spans="1:40" x14ac:dyDescent="0.25">
      <c r="A2882" t="str">
        <f>"20190304164144599"</f>
        <v>20190304164144599</v>
      </c>
      <c r="B2882" t="str">
        <f>"1551688904594060"</f>
        <v>1551688904594060</v>
      </c>
      <c r="C2882" t="s">
        <v>40</v>
      </c>
      <c r="D2882">
        <v>5.197336</v>
      </c>
      <c r="E2882">
        <v>0.48136499999999999</v>
      </c>
      <c r="F2882" t="s">
        <v>41</v>
      </c>
      <c r="G2882">
        <v>-500.69549999999998</v>
      </c>
      <c r="H2882">
        <v>1.0294110000000001</v>
      </c>
      <c r="I2882">
        <v>271.33679999999998</v>
      </c>
      <c r="J2882">
        <v>-500.84289999999999</v>
      </c>
      <c r="K2882">
        <v>1.1506780000000001</v>
      </c>
      <c r="L2882">
        <v>272.01339999999999</v>
      </c>
      <c r="M2882">
        <v>-0.44648919999999997</v>
      </c>
      <c r="N2882">
        <v>-2.20325E-2</v>
      </c>
      <c r="O2882">
        <v>-0.89451789999999998</v>
      </c>
      <c r="P2882">
        <v>5.3899130000000003E-2</v>
      </c>
      <c r="Q2882">
        <v>0.32083099999999998</v>
      </c>
      <c r="R2882">
        <v>-0.9456019</v>
      </c>
      <c r="S2882">
        <v>5.3558349999999998E-2</v>
      </c>
      <c r="T2882">
        <v>-0.40256229999999998</v>
      </c>
      <c r="U2882">
        <v>-3.3075260000000002</v>
      </c>
      <c r="V2882">
        <v>-0.47294269999999999</v>
      </c>
      <c r="W2882">
        <v>0.33548679999999997</v>
      </c>
      <c r="X2882">
        <v>0.81472309999999903</v>
      </c>
      <c r="Y2882">
        <v>-0.46002270000000001</v>
      </c>
      <c r="Z2882">
        <v>7.3003230000000002E-2</v>
      </c>
      <c r="AA2882">
        <v>0.88490089999999999</v>
      </c>
      <c r="AB2882">
        <v>25</v>
      </c>
      <c r="AC2882">
        <v>0.147400000000004</v>
      </c>
      <c r="AD2882">
        <v>-0.121267</v>
      </c>
      <c r="AE2882">
        <v>-0.67660000000000697</v>
      </c>
      <c r="AF2882">
        <v>-0.42113646716276198</v>
      </c>
      <c r="AG2882">
        <v>-0.121267</v>
      </c>
      <c r="AH2882">
        <v>0.52349472147154896</v>
      </c>
      <c r="AI2882">
        <v>100.231336772053</v>
      </c>
      <c r="AJ2882">
        <v>128.81567845321399</v>
      </c>
      <c r="AK2882">
        <v>0.68272127011827199</v>
      </c>
      <c r="AL2882">
        <v>70.397856472887895</v>
      </c>
      <c r="AM2882">
        <v>120.13495157862501</v>
      </c>
      <c r="AN2882">
        <v>0.99999996006556902</v>
      </c>
    </row>
    <row r="2883" spans="1:40" x14ac:dyDescent="0.25">
      <c r="A2883" t="str">
        <f>"20190304164144614"</f>
        <v>20190304164144614</v>
      </c>
      <c r="B2883" t="str">
        <f>"1551688904603821"</f>
        <v>1551688904603821</v>
      </c>
      <c r="C2883" t="s">
        <v>40</v>
      </c>
      <c r="D2883">
        <v>5.2274570000000002</v>
      </c>
      <c r="E2883">
        <v>0.48214170000000001</v>
      </c>
      <c r="F2883" t="s">
        <v>41</v>
      </c>
      <c r="G2883">
        <v>-500.8116</v>
      </c>
      <c r="H2883">
        <v>1.0424340000000001</v>
      </c>
      <c r="I2883">
        <v>271.11950000000002</v>
      </c>
      <c r="J2883">
        <v>-500.90050000000002</v>
      </c>
      <c r="K2883">
        <v>1.152264</v>
      </c>
      <c r="L2883">
        <v>271.87950000000001</v>
      </c>
      <c r="M2883">
        <v>-0.43673099999999998</v>
      </c>
      <c r="N2883">
        <v>-2.1690549999999999E-2</v>
      </c>
      <c r="O2883">
        <v>-0.89933090000000004</v>
      </c>
      <c r="P2883">
        <v>6.7201659999999996E-2</v>
      </c>
      <c r="Q2883">
        <v>0.32102360000000002</v>
      </c>
      <c r="R2883">
        <v>-0.94468419999999997</v>
      </c>
      <c r="S2883">
        <v>0.1156311</v>
      </c>
      <c r="T2883">
        <v>-0.39978750000000002</v>
      </c>
      <c r="U2883">
        <v>-3.3016359999999998</v>
      </c>
      <c r="V2883">
        <v>-0.47519450000000002</v>
      </c>
      <c r="W2883">
        <v>0.33582770000000001</v>
      </c>
      <c r="X2883">
        <v>0.81327119999999997</v>
      </c>
      <c r="Y2883">
        <v>-0.46700140000000001</v>
      </c>
      <c r="Z2883">
        <v>7.3369530000000002E-2</v>
      </c>
      <c r="AA2883">
        <v>0.88120750000000003</v>
      </c>
      <c r="AB2883">
        <v>25</v>
      </c>
      <c r="AC2883">
        <v>8.8900000000023696E-2</v>
      </c>
      <c r="AD2883">
        <v>-0.109829999999999</v>
      </c>
      <c r="AE2883">
        <v>-0.75999999999999002</v>
      </c>
      <c r="AF2883">
        <v>-0.40364689603444998</v>
      </c>
      <c r="AG2883">
        <v>-0.109829999999999</v>
      </c>
      <c r="AH2883">
        <v>0.631801170336174</v>
      </c>
      <c r="AI2883">
        <v>98.334073924343798</v>
      </c>
      <c r="AJ2883">
        <v>122.57380908654601</v>
      </c>
      <c r="AK2883">
        <v>0.75773753003029098</v>
      </c>
      <c r="AL2883">
        <v>70.377123231411304</v>
      </c>
      <c r="AM2883">
        <v>120.29775122681799</v>
      </c>
      <c r="AN2883">
        <v>1.0000000508334801</v>
      </c>
    </row>
    <row r="2884" spans="1:40" x14ac:dyDescent="0.25">
      <c r="A2884" t="str">
        <f>"20190304164144630"</f>
        <v>20190304164144630</v>
      </c>
      <c r="B2884" t="str">
        <f>"1551688904624316"</f>
        <v>1551688904624316</v>
      </c>
      <c r="C2884" t="s">
        <v>40</v>
      </c>
      <c r="D2884">
        <v>5.2067880000000004</v>
      </c>
      <c r="E2884">
        <v>0.48413830000000002</v>
      </c>
      <c r="F2884" t="s">
        <v>41</v>
      </c>
      <c r="G2884">
        <v>-500.85950000000003</v>
      </c>
      <c r="H2884">
        <v>1.041463</v>
      </c>
      <c r="I2884">
        <v>270.96350000000001</v>
      </c>
      <c r="J2884">
        <v>-500.96190000000001</v>
      </c>
      <c r="K2884">
        <v>1.1539459999999999</v>
      </c>
      <c r="L2884">
        <v>271.73259999999999</v>
      </c>
      <c r="M2884">
        <v>-0.42594219999999999</v>
      </c>
      <c r="N2884">
        <v>-2.1377340000000002E-2</v>
      </c>
      <c r="O2884">
        <v>-0.90449800000000002</v>
      </c>
      <c r="P2884">
        <v>8.2023029999999997E-2</v>
      </c>
      <c r="Q2884">
        <v>0.320582599999999</v>
      </c>
      <c r="R2884">
        <v>-0.94366260000000002</v>
      </c>
      <c r="S2884">
        <v>0.1488342</v>
      </c>
      <c r="T2884">
        <v>-0.39918219999999999</v>
      </c>
      <c r="U2884">
        <v>-3.3006899999999999</v>
      </c>
      <c r="V2884">
        <v>-0.47796119999999997</v>
      </c>
      <c r="W2884">
        <v>0.33558070000000001</v>
      </c>
      <c r="X2884">
        <v>0.81175039999999998</v>
      </c>
      <c r="Y2884">
        <v>-0.46530349999999998</v>
      </c>
      <c r="Z2884">
        <v>7.4477160000000001E-2</v>
      </c>
      <c r="AA2884">
        <v>0.88201240000000003</v>
      </c>
      <c r="AB2884">
        <v>24</v>
      </c>
      <c r="AC2884">
        <v>0.102399999999988</v>
      </c>
      <c r="AD2884">
        <v>-0.112482999999999</v>
      </c>
      <c r="AE2884">
        <v>-0.76909999999998002</v>
      </c>
      <c r="AF2884">
        <v>-0.41165679728733301</v>
      </c>
      <c r="AG2884">
        <v>-0.112482999999999</v>
      </c>
      <c r="AH2884">
        <v>0.63875689995610496</v>
      </c>
      <c r="AI2884">
        <v>98.419806003788096</v>
      </c>
      <c r="AJ2884">
        <v>122.800384438634</v>
      </c>
      <c r="AK2884">
        <v>0.768195366611514</v>
      </c>
      <c r="AL2884">
        <v>70.392146401415602</v>
      </c>
      <c r="AM2884">
        <v>120.489711112875</v>
      </c>
      <c r="AN2884">
        <v>1.0000000134090401</v>
      </c>
    </row>
    <row r="2885" spans="1:40" x14ac:dyDescent="0.25">
      <c r="A2885" t="str">
        <f>"20190304164144644"</f>
        <v>20190304164144644</v>
      </c>
      <c r="B2885" t="str">
        <f>"1551688904634077"</f>
        <v>1551688904634077</v>
      </c>
      <c r="C2885" t="s">
        <v>40</v>
      </c>
      <c r="D2885">
        <v>5.2296100000000001</v>
      </c>
      <c r="E2885">
        <v>0.48503489999999999</v>
      </c>
      <c r="F2885" t="s">
        <v>41</v>
      </c>
      <c r="G2885">
        <v>-500.90960000000001</v>
      </c>
      <c r="H2885">
        <v>1.0393790000000001</v>
      </c>
      <c r="I2885">
        <v>270.77440000000001</v>
      </c>
      <c r="J2885">
        <v>-501.01740000000001</v>
      </c>
      <c r="K2885">
        <v>1.1555409999999999</v>
      </c>
      <c r="L2885">
        <v>271.59559999999999</v>
      </c>
      <c r="M2885">
        <v>-0.4157651</v>
      </c>
      <c r="N2885">
        <v>-2.119364E-2</v>
      </c>
      <c r="O2885">
        <v>-0.90922499999999995</v>
      </c>
      <c r="P2885">
        <v>9.9739140000000004E-2</v>
      </c>
      <c r="Q2885">
        <v>0.31910519999999998</v>
      </c>
      <c r="R2885">
        <v>-0.94245639999999997</v>
      </c>
      <c r="S2885">
        <v>0.179595899999999</v>
      </c>
      <c r="T2885">
        <v>-0.39426719999999998</v>
      </c>
      <c r="U2885">
        <v>-3.2973940000000002</v>
      </c>
      <c r="V2885">
        <v>-0.48406850000000001</v>
      </c>
      <c r="W2885">
        <v>0.3342521</v>
      </c>
      <c r="X2885">
        <v>0.80867369999999905</v>
      </c>
      <c r="Y2885">
        <v>-0.463648</v>
      </c>
      <c r="Z2885">
        <v>7.4410500000000004E-2</v>
      </c>
      <c r="AA2885">
        <v>0.88288929999999999</v>
      </c>
      <c r="AB2885">
        <v>24</v>
      </c>
      <c r="AC2885">
        <v>0.107799999999997</v>
      </c>
      <c r="AD2885">
        <v>-0.116161999999999</v>
      </c>
      <c r="AE2885">
        <v>-0.82119999999997595</v>
      </c>
      <c r="AF2885">
        <v>-0.43106043188068399</v>
      </c>
      <c r="AG2885">
        <v>-0.116161999999999</v>
      </c>
      <c r="AH2885">
        <v>0.68845177762174103</v>
      </c>
      <c r="AI2885">
        <v>98.138656378868703</v>
      </c>
      <c r="AJ2885">
        <v>122.051924409713</v>
      </c>
      <c r="AK2885">
        <v>0.82053187402300098</v>
      </c>
      <c r="AL2885">
        <v>70.472934353200799</v>
      </c>
      <c r="AM2885">
        <v>120.90455258035701</v>
      </c>
      <c r="AN2885">
        <v>0.99999996605917396</v>
      </c>
    </row>
    <row r="2886" spans="1:40" x14ac:dyDescent="0.25">
      <c r="A2886" t="str">
        <f>"20190304164144658"</f>
        <v>20190304164144658</v>
      </c>
      <c r="B2886" t="str">
        <f>"1551688904643837"</f>
        <v>1551688904643837</v>
      </c>
      <c r="C2886" t="s">
        <v>40</v>
      </c>
      <c r="D2886">
        <v>5.2290749999999999</v>
      </c>
      <c r="E2886">
        <v>0.48592819999999998</v>
      </c>
      <c r="F2886" t="s">
        <v>41</v>
      </c>
      <c r="G2886">
        <v>-500.9479</v>
      </c>
      <c r="H2886">
        <v>1.032823</v>
      </c>
      <c r="I2886">
        <v>270.5872</v>
      </c>
      <c r="J2886">
        <v>-501.0686</v>
      </c>
      <c r="K2886">
        <v>1.1573929999999999</v>
      </c>
      <c r="L2886">
        <v>271.46429999999998</v>
      </c>
      <c r="M2886">
        <v>-0.40581319999999999</v>
      </c>
      <c r="N2886">
        <v>-2.1309040000000001E-2</v>
      </c>
      <c r="O2886">
        <v>-0.91370790000000002</v>
      </c>
      <c r="P2886">
        <v>0.1127233</v>
      </c>
      <c r="Q2886">
        <v>0.31831920000000002</v>
      </c>
      <c r="R2886">
        <v>-0.94125809999999999</v>
      </c>
      <c r="S2886">
        <v>0.2271118</v>
      </c>
      <c r="T2886">
        <v>-0.40096870000000001</v>
      </c>
      <c r="U2886">
        <v>-3.2949220000000001</v>
      </c>
      <c r="V2886">
        <v>-0.48642790000000002</v>
      </c>
      <c r="W2886">
        <v>0.33364759999999999</v>
      </c>
      <c r="X2886">
        <v>0.80750679999999997</v>
      </c>
      <c r="Y2886">
        <v>-0.4666593</v>
      </c>
      <c r="Z2886">
        <v>7.6577370000000006E-2</v>
      </c>
      <c r="AA2886">
        <v>0.8811158</v>
      </c>
      <c r="AB2886">
        <v>23</v>
      </c>
      <c r="AC2886">
        <v>0.120699999999999</v>
      </c>
      <c r="AD2886">
        <v>-0.12457</v>
      </c>
      <c r="AE2886">
        <v>-0.877099999999984</v>
      </c>
      <c r="AF2886">
        <v>-0.45727672805037201</v>
      </c>
      <c r="AG2886">
        <v>-0.12457</v>
      </c>
      <c r="AH2886">
        <v>0.73799279110606197</v>
      </c>
      <c r="AI2886">
        <v>98.1653072682318</v>
      </c>
      <c r="AJ2886">
        <v>121.783274905304</v>
      </c>
      <c r="AK2886">
        <v>0.87707072157322097</v>
      </c>
      <c r="AL2886">
        <v>70.509680386590503</v>
      </c>
      <c r="AM2886">
        <v>121.064020593975</v>
      </c>
      <c r="AN2886">
        <v>1.0000000274651999</v>
      </c>
    </row>
    <row r="2887" spans="1:40" x14ac:dyDescent="0.25">
      <c r="A2887" t="str">
        <f>"20190304164144678"</f>
        <v>20190304164144678</v>
      </c>
      <c r="B2887" t="str">
        <f>"1551688904664333"</f>
        <v>1551688904664333</v>
      </c>
      <c r="C2887" t="s">
        <v>40</v>
      </c>
      <c r="D2887">
        <v>5.1947519999999896</v>
      </c>
      <c r="E2887">
        <v>0.4960097</v>
      </c>
      <c r="F2887" t="s">
        <v>41</v>
      </c>
      <c r="G2887">
        <v>-500.9975</v>
      </c>
      <c r="H2887">
        <v>1.048308</v>
      </c>
      <c r="I2887">
        <v>270.57810000000001</v>
      </c>
      <c r="J2887">
        <v>-501.1361</v>
      </c>
      <c r="K2887">
        <v>1.160601</v>
      </c>
      <c r="L2887">
        <v>271.28550000000001</v>
      </c>
      <c r="M2887">
        <v>-0.39178629999999998</v>
      </c>
      <c r="N2887">
        <v>-2.1894150000000001E-2</v>
      </c>
      <c r="O2887">
        <v>-0.91979580000000005</v>
      </c>
      <c r="P2887">
        <v>0.12951679999999999</v>
      </c>
      <c r="Q2887">
        <v>0.31966080000000002</v>
      </c>
      <c r="R2887">
        <v>-0.93863869999999905</v>
      </c>
      <c r="S2887">
        <v>0.26440429999999998</v>
      </c>
      <c r="T2887">
        <v>-0.4052771</v>
      </c>
      <c r="U2887">
        <v>-3.2926639999999998</v>
      </c>
      <c r="V2887">
        <v>-0.48861880000000002</v>
      </c>
      <c r="W2887">
        <v>0.33501910000000001</v>
      </c>
      <c r="X2887">
        <v>0.80561400000000005</v>
      </c>
      <c r="Y2887">
        <v>-0.46307280000000001</v>
      </c>
      <c r="Z2887">
        <v>7.8240580000000004E-2</v>
      </c>
      <c r="AA2887">
        <v>0.88286010000000004</v>
      </c>
      <c r="AB2887">
        <v>23</v>
      </c>
      <c r="AC2887">
        <v>0.138599999999996</v>
      </c>
      <c r="AD2887">
        <v>-0.112292999999999</v>
      </c>
      <c r="AE2887">
        <v>-0.70740000000000602</v>
      </c>
      <c r="AF2887">
        <v>-0.39514142242837003</v>
      </c>
      <c r="AG2887">
        <v>-0.112292999999999</v>
      </c>
      <c r="AH2887">
        <v>0.58237248585842505</v>
      </c>
      <c r="AI2887">
        <v>99.065631208141298</v>
      </c>
      <c r="AJ2887">
        <v>124.157006119516</v>
      </c>
      <c r="AK2887">
        <v>0.71267396041432396</v>
      </c>
      <c r="AL2887">
        <v>70.426301059942205</v>
      </c>
      <c r="AM2887">
        <v>121.237534745795</v>
      </c>
      <c r="AN2887">
        <v>1.00000002303712</v>
      </c>
    </row>
    <row r="2888" spans="1:40" x14ac:dyDescent="0.25">
      <c r="A2888" t="str">
        <f>"20190304164144693"</f>
        <v>20190304164144693</v>
      </c>
      <c r="B2888" t="str">
        <f>"1551688904683852"</f>
        <v>1551688904683852</v>
      </c>
      <c r="C2888" t="s">
        <v>40</v>
      </c>
      <c r="D2888">
        <v>5.222709</v>
      </c>
      <c r="E2888">
        <v>0.49764269999999999</v>
      </c>
      <c r="F2888" t="s">
        <v>41</v>
      </c>
      <c r="G2888">
        <v>-501.06470000000002</v>
      </c>
      <c r="H2888">
        <v>1.0401819999999999</v>
      </c>
      <c r="I2888">
        <v>270.33170000000001</v>
      </c>
      <c r="J2888">
        <v>-501.1859</v>
      </c>
      <c r="K2888">
        <v>1.163473</v>
      </c>
      <c r="L2888">
        <v>271.1481</v>
      </c>
      <c r="M2888">
        <v>-0.38082850000000001</v>
      </c>
      <c r="N2888">
        <v>-2.2658950000000001E-2</v>
      </c>
      <c r="O2888">
        <v>-0.92436819999999997</v>
      </c>
      <c r="P2888">
        <v>0.140099</v>
      </c>
      <c r="Q2888">
        <v>0.3205538</v>
      </c>
      <c r="R2888">
        <v>-0.9368128</v>
      </c>
      <c r="S2888">
        <v>0.24755859999999999</v>
      </c>
      <c r="T2888">
        <v>-0.41716900000000001</v>
      </c>
      <c r="U2888">
        <v>-3.3040769999999902</v>
      </c>
      <c r="V2888">
        <v>-0.48845660000000002</v>
      </c>
      <c r="W2888">
        <v>0.33590759999999997</v>
      </c>
      <c r="X2888">
        <v>0.80534229999999996</v>
      </c>
      <c r="Y2888">
        <v>-0.4477391</v>
      </c>
      <c r="Z2888">
        <v>8.1443329999999994E-2</v>
      </c>
      <c r="AA2888">
        <v>0.89044749999999995</v>
      </c>
      <c r="AB2888">
        <v>23</v>
      </c>
      <c r="AC2888">
        <v>0.121199999999987</v>
      </c>
      <c r="AD2888">
        <v>-0.123291</v>
      </c>
      <c r="AE2888">
        <v>-0.81639999999998702</v>
      </c>
      <c r="AF2888">
        <v>-0.41381621363195797</v>
      </c>
      <c r="AG2888">
        <v>-0.123291</v>
      </c>
      <c r="AH2888">
        <v>0.69321088925066698</v>
      </c>
      <c r="AI2888">
        <v>98.682789141071197</v>
      </c>
      <c r="AJ2888">
        <v>120.83533152626801</v>
      </c>
      <c r="AK2888">
        <v>0.81669202660574003</v>
      </c>
      <c r="AL2888">
        <v>70.372261780065202</v>
      </c>
      <c r="AM2888">
        <v>121.237669493949</v>
      </c>
      <c r="AN2888">
        <v>0.99999999299530495</v>
      </c>
    </row>
    <row r="2889" spans="1:40" x14ac:dyDescent="0.25">
      <c r="A2889" t="str">
        <f>"20190304164144710"</f>
        <v>20190304164144710</v>
      </c>
      <c r="B2889" t="str">
        <f>"1551688904693613"</f>
        <v>1551688904693613</v>
      </c>
      <c r="C2889" t="s">
        <v>40</v>
      </c>
      <c r="D2889">
        <v>5.2119730000000004</v>
      </c>
      <c r="E2889">
        <v>0.4986411</v>
      </c>
      <c r="F2889" t="s">
        <v>41</v>
      </c>
      <c r="G2889">
        <v>-501.1062</v>
      </c>
      <c r="H2889">
        <v>1.042732</v>
      </c>
      <c r="I2889">
        <v>270.19979999999998</v>
      </c>
      <c r="J2889">
        <v>-501.23500000000001</v>
      </c>
      <c r="K2889">
        <v>1.166587</v>
      </c>
      <c r="L2889">
        <v>271.00839999999999</v>
      </c>
      <c r="M2889">
        <v>-0.3696545</v>
      </c>
      <c r="N2889">
        <v>-2.3604940000000001E-2</v>
      </c>
      <c r="O2889">
        <v>-0.92886950000000001</v>
      </c>
      <c r="P2889">
        <v>0.15073900000000001</v>
      </c>
      <c r="Q2889">
        <v>0.32258999999999999</v>
      </c>
      <c r="R2889">
        <v>-0.93445919999999905</v>
      </c>
      <c r="S2889">
        <v>0.27880860000000002</v>
      </c>
      <c r="T2889">
        <v>-0.42062650000000001</v>
      </c>
      <c r="U2889">
        <v>-3.3045960000000001</v>
      </c>
      <c r="V2889">
        <v>-0.48821120000000001</v>
      </c>
      <c r="W2889">
        <v>0.33790730000000002</v>
      </c>
      <c r="X2889">
        <v>0.80465430000000004</v>
      </c>
      <c r="Y2889">
        <v>-0.44528790000000001</v>
      </c>
      <c r="Z2889">
        <v>8.2183580000000006E-2</v>
      </c>
      <c r="AA2889">
        <v>0.89160779999999995</v>
      </c>
      <c r="AB2889">
        <v>22</v>
      </c>
      <c r="AC2889">
        <v>0.12880000000001199</v>
      </c>
      <c r="AD2889">
        <v>-0.12385500000000001</v>
      </c>
      <c r="AE2889">
        <v>-0.80860000000001198</v>
      </c>
      <c r="AF2889">
        <v>-0.40929254744823201</v>
      </c>
      <c r="AG2889">
        <v>-0.12385500000000001</v>
      </c>
      <c r="AH2889">
        <v>0.68792779614678701</v>
      </c>
      <c r="AI2889">
        <v>98.795418380269695</v>
      </c>
      <c r="AJ2889">
        <v>120.751139044669</v>
      </c>
      <c r="AK2889">
        <v>0.81000315007599799</v>
      </c>
      <c r="AL2889">
        <v>70.250573971508103</v>
      </c>
      <c r="AM2889">
        <v>121.24661631998799</v>
      </c>
      <c r="AN2889">
        <v>1.0000000308535999</v>
      </c>
    </row>
    <row r="2890" spans="1:40" x14ac:dyDescent="0.25">
      <c r="A2890" t="str">
        <f>"20190304164144734"</f>
        <v>20190304164144734</v>
      </c>
      <c r="B2890" t="str">
        <f>"1551688904723868"</f>
        <v>1551688904723868</v>
      </c>
      <c r="C2890" t="s">
        <v>40</v>
      </c>
      <c r="D2890">
        <v>5.2156599999999997</v>
      </c>
      <c r="E2890">
        <v>0.50047390000000003</v>
      </c>
      <c r="F2890" t="s">
        <v>41</v>
      </c>
      <c r="G2890">
        <v>-501.14400000000001</v>
      </c>
      <c r="H2890">
        <v>1.047156</v>
      </c>
      <c r="I2890">
        <v>270.06670000000003</v>
      </c>
      <c r="J2890">
        <v>-501.3057</v>
      </c>
      <c r="K2890">
        <v>1.1715990000000001</v>
      </c>
      <c r="L2890">
        <v>270.79610000000002</v>
      </c>
      <c r="M2890">
        <v>-0.35278510000000002</v>
      </c>
      <c r="N2890">
        <v>-2.5231469999999999E-2</v>
      </c>
      <c r="O2890">
        <v>-0.93536419999999998</v>
      </c>
      <c r="P2890">
        <v>0.1571195</v>
      </c>
      <c r="Q2890">
        <v>0.325702299999999</v>
      </c>
      <c r="R2890">
        <v>-0.93232610000000005</v>
      </c>
      <c r="S2890">
        <v>0.31869509999999901</v>
      </c>
      <c r="T2890">
        <v>-0.41904910000000001</v>
      </c>
      <c r="U2890">
        <v>-3.3036799999999999</v>
      </c>
      <c r="V2890">
        <v>-0.47975459999999898</v>
      </c>
      <c r="W2890">
        <v>0.34102510000000003</v>
      </c>
      <c r="X2890">
        <v>0.80841669999999999</v>
      </c>
      <c r="Y2890">
        <v>-0.43976660000000001</v>
      </c>
      <c r="Z2890">
        <v>8.1481990000000004E-2</v>
      </c>
      <c r="AA2890">
        <v>0.89440819999999999</v>
      </c>
      <c r="AB2890">
        <v>22</v>
      </c>
      <c r="AC2890">
        <v>0.16169999999999601</v>
      </c>
      <c r="AD2890">
        <v>-0.124443</v>
      </c>
      <c r="AE2890">
        <v>-0.72939999999999805</v>
      </c>
      <c r="AF2890">
        <v>-0.39766694612178299</v>
      </c>
      <c r="AG2890">
        <v>-0.124443</v>
      </c>
      <c r="AH2890">
        <v>0.60852526431007403</v>
      </c>
      <c r="AI2890">
        <v>99.714154697731601</v>
      </c>
      <c r="AJ2890">
        <v>123.16433133394101</v>
      </c>
      <c r="AK2890">
        <v>0.73751478465890496</v>
      </c>
      <c r="AL2890">
        <v>70.060660616656094</v>
      </c>
      <c r="AM2890">
        <v>120.686997151198</v>
      </c>
      <c r="AN2890">
        <v>1.00000007794502</v>
      </c>
    </row>
    <row r="2891" spans="1:40" x14ac:dyDescent="0.25">
      <c r="A2891" t="str">
        <f>"20190304164144757"</f>
        <v>20190304164144757</v>
      </c>
      <c r="B2891" t="str">
        <f>"1551688904744364"</f>
        <v>1551688904744364</v>
      </c>
      <c r="C2891" t="s">
        <v>40</v>
      </c>
      <c r="D2891">
        <v>5.5893280000000001</v>
      </c>
      <c r="E2891">
        <v>0.51025829999999905</v>
      </c>
      <c r="F2891" t="s">
        <v>41</v>
      </c>
      <c r="G2891">
        <v>-501.20159999999998</v>
      </c>
      <c r="H2891">
        <v>1.0472919999999999</v>
      </c>
      <c r="I2891">
        <v>269.81</v>
      </c>
      <c r="J2891">
        <v>-501.36579999999998</v>
      </c>
      <c r="K2891">
        <v>1.1763889999999999</v>
      </c>
      <c r="L2891">
        <v>270.59989999999999</v>
      </c>
      <c r="M2891">
        <v>-0.3372057</v>
      </c>
      <c r="N2891">
        <v>-2.668104E-2</v>
      </c>
      <c r="O2891">
        <v>-0.94105289999999997</v>
      </c>
      <c r="P2891">
        <v>0.16333049999999999</v>
      </c>
      <c r="Q2891">
        <v>0.32476319999999997</v>
      </c>
      <c r="R2891">
        <v>-0.93158589999999997</v>
      </c>
      <c r="S2891">
        <v>0.3493347</v>
      </c>
      <c r="T2891">
        <v>-0.41649120000000001</v>
      </c>
      <c r="U2891">
        <v>-3.3044129999999998</v>
      </c>
      <c r="V2891">
        <v>-0.47294589999999997</v>
      </c>
      <c r="W2891">
        <v>0.33980280000000002</v>
      </c>
      <c r="X2891">
        <v>0.81293059999999995</v>
      </c>
      <c r="Y2891">
        <v>-0.4330387</v>
      </c>
      <c r="Z2891">
        <v>8.055097E-2</v>
      </c>
      <c r="AA2891">
        <v>0.89776889999999998</v>
      </c>
      <c r="AB2891">
        <v>21</v>
      </c>
      <c r="AC2891">
        <v>0.16419999999999299</v>
      </c>
      <c r="AD2891">
        <v>-0.12909699999999899</v>
      </c>
      <c r="AE2891">
        <v>-0.78989999999998795</v>
      </c>
      <c r="AF2891">
        <v>-0.41051842827185497</v>
      </c>
      <c r="AG2891">
        <v>-0.12909699999999899</v>
      </c>
      <c r="AH2891">
        <v>0.67103206069337695</v>
      </c>
      <c r="AI2891">
        <v>99.319792160574494</v>
      </c>
      <c r="AJ2891">
        <v>121.45711518971</v>
      </c>
      <c r="AK2891">
        <v>0.79716713544788997</v>
      </c>
      <c r="AL2891">
        <v>70.135139211023599</v>
      </c>
      <c r="AM2891">
        <v>120.189943018685</v>
      </c>
      <c r="AN2891">
        <v>0.99999996381550404</v>
      </c>
    </row>
    <row r="2892" spans="1:40" x14ac:dyDescent="0.25">
      <c r="A2892" t="str">
        <f>"20190304164144779"</f>
        <v>20190304164144779</v>
      </c>
      <c r="B2892" t="str">
        <f>"1551688904773644"</f>
        <v>1551688904773644</v>
      </c>
      <c r="C2892" t="s">
        <v>40</v>
      </c>
      <c r="D2892">
        <v>5.169238</v>
      </c>
      <c r="E2892">
        <v>0.51109769999999999</v>
      </c>
      <c r="F2892" t="s">
        <v>42</v>
      </c>
      <c r="G2892">
        <v>-500.57780000000002</v>
      </c>
      <c r="H2892">
        <v>7.9986130000000003E-2</v>
      </c>
      <c r="I2892">
        <v>262.06630000000001</v>
      </c>
      <c r="J2892">
        <v>-501.4171</v>
      </c>
      <c r="K2892">
        <v>1.180777</v>
      </c>
      <c r="L2892">
        <v>270.41550000000001</v>
      </c>
      <c r="M2892">
        <v>-0.32230700000000001</v>
      </c>
      <c r="N2892">
        <v>-2.787102E-2</v>
      </c>
      <c r="O2892">
        <v>-0.94622490000000004</v>
      </c>
      <c r="P2892">
        <v>0.16749459999999999</v>
      </c>
      <c r="Q2892">
        <v>0.32249840000000002</v>
      </c>
      <c r="R2892">
        <v>-0.93163320000000005</v>
      </c>
      <c r="S2892">
        <v>0.3061218</v>
      </c>
      <c r="T2892">
        <v>-0.42593229999999999</v>
      </c>
      <c r="U2892">
        <v>-3.3151549999999999</v>
      </c>
      <c r="V2892">
        <v>-0.46504329999999999</v>
      </c>
      <c r="W2892">
        <v>0.33718239999999999</v>
      </c>
      <c r="X2892">
        <v>0.81856139999999999</v>
      </c>
      <c r="Y2892">
        <v>-0.40675430000000001</v>
      </c>
      <c r="Z2892">
        <v>8.3339140000000006E-2</v>
      </c>
      <c r="AA2892">
        <v>0.90972830000000005</v>
      </c>
      <c r="AB2892">
        <v>21</v>
      </c>
      <c r="AC2892">
        <v>0.83929999999997995</v>
      </c>
      <c r="AD2892">
        <v>-1.10079087</v>
      </c>
      <c r="AE2892">
        <v>-8.3491999999999909</v>
      </c>
      <c r="AF2892">
        <v>-3.4275420528632199</v>
      </c>
      <c r="AG2892">
        <v>-1.10079087</v>
      </c>
      <c r="AH2892">
        <v>7.5035453327981898</v>
      </c>
      <c r="AI2892">
        <v>97.600661457771594</v>
      </c>
      <c r="AJ2892">
        <v>114.550431250035</v>
      </c>
      <c r="AK2892">
        <v>8.3224382019320906</v>
      </c>
      <c r="AL2892">
        <v>70.294696746817607</v>
      </c>
      <c r="AM2892">
        <v>119.601889423163</v>
      </c>
      <c r="AN2892">
        <v>1.0000000036573</v>
      </c>
    </row>
    <row r="2893" spans="1:40" x14ac:dyDescent="0.25">
      <c r="A2893" t="str">
        <f>"20190304164144801"</f>
        <v>20190304164144801</v>
      </c>
      <c r="B2893" t="str">
        <f>"1551688904794140"</f>
        <v>1551688904794140</v>
      </c>
      <c r="C2893" t="s">
        <v>40</v>
      </c>
      <c r="D2893">
        <v>5.2346629999999896</v>
      </c>
      <c r="E2893">
        <v>0.51153999999999999</v>
      </c>
      <c r="F2893" t="s">
        <v>42</v>
      </c>
      <c r="G2893">
        <v>-500.5539</v>
      </c>
      <c r="H2893">
        <v>7.998624E-2</v>
      </c>
      <c r="I2893">
        <v>261.6746</v>
      </c>
      <c r="J2893">
        <v>-501.4624</v>
      </c>
      <c r="K2893">
        <v>1.18467099999999</v>
      </c>
      <c r="L2893">
        <v>270.23349999999999</v>
      </c>
      <c r="M2893">
        <v>-0.30722389999999999</v>
      </c>
      <c r="N2893">
        <v>-2.8903249999999998E-2</v>
      </c>
      <c r="O2893">
        <v>-0.9511984</v>
      </c>
      <c r="P2893">
        <v>0.1701443</v>
      </c>
      <c r="Q2893">
        <v>0.31935479999999999</v>
      </c>
      <c r="R2893">
        <v>-0.93223599999999995</v>
      </c>
      <c r="S2893">
        <v>0.32644649999999997</v>
      </c>
      <c r="T2893">
        <v>-0.41628090000000001</v>
      </c>
      <c r="U2893">
        <v>-3.3055110000000001</v>
      </c>
      <c r="V2893">
        <v>-0.45549000000000001</v>
      </c>
      <c r="W2893">
        <v>0.33393299999999998</v>
      </c>
      <c r="X2893">
        <v>0.82523789999999997</v>
      </c>
      <c r="Y2893">
        <v>-0.39804630000000002</v>
      </c>
      <c r="Z2893">
        <v>8.1249189999999999E-2</v>
      </c>
      <c r="AA2893">
        <v>0.91376020000000002</v>
      </c>
      <c r="AB2893">
        <v>20</v>
      </c>
      <c r="AC2893">
        <v>0.90850000000000297</v>
      </c>
      <c r="AD2893">
        <v>-1.1046847599999901</v>
      </c>
      <c r="AE2893">
        <v>-8.5588999999999906</v>
      </c>
      <c r="AF2893">
        <v>-3.4384796748785602</v>
      </c>
      <c r="AG2893">
        <v>-1.1046847599999901</v>
      </c>
      <c r="AH2893">
        <v>7.7379165159193697</v>
      </c>
      <c r="AI2893">
        <v>97.432929682463595</v>
      </c>
      <c r="AJ2893">
        <v>113.958814006976</v>
      </c>
      <c r="AK2893">
        <v>8.5392518935131001</v>
      </c>
      <c r="AL2893">
        <v>70.492332509832806</v>
      </c>
      <c r="AM2893">
        <v>118.89649868101699</v>
      </c>
      <c r="AN2893">
        <v>0.99999999009270502</v>
      </c>
    </row>
    <row r="2894" spans="1:40" x14ac:dyDescent="0.25">
      <c r="A2894" t="str">
        <f>"20190304164144824"</f>
        <v>20190304164144824</v>
      </c>
      <c r="B2894" t="str">
        <f>"1551688904813708"</f>
        <v>1551688904813708</v>
      </c>
      <c r="C2894" t="s">
        <v>40</v>
      </c>
      <c r="D2894">
        <v>5.1827319999999997</v>
      </c>
      <c r="E2894">
        <v>0.5189551</v>
      </c>
      <c r="F2894" t="s">
        <v>42</v>
      </c>
      <c r="G2894">
        <v>-500.57589999999999</v>
      </c>
      <c r="H2894">
        <v>7.998624E-2</v>
      </c>
      <c r="I2894">
        <v>261.67329999999998</v>
      </c>
      <c r="J2894">
        <v>-501.50200000000001</v>
      </c>
      <c r="K2894">
        <v>1.1878869999999999</v>
      </c>
      <c r="L2894">
        <v>270.05169999999998</v>
      </c>
      <c r="M2894">
        <v>-0.29157270000000002</v>
      </c>
      <c r="N2894">
        <v>-2.9844610000000001E-2</v>
      </c>
      <c r="O2894">
        <v>-0.95608309999999996</v>
      </c>
      <c r="P2894">
        <v>0.17409549999999999</v>
      </c>
      <c r="Q2894">
        <v>0.31635809999999998</v>
      </c>
      <c r="R2894">
        <v>-0.93252809999999997</v>
      </c>
      <c r="S2894">
        <v>0.34191890000000003</v>
      </c>
      <c r="T2894">
        <v>-0.42607460000000003</v>
      </c>
      <c r="U2894">
        <v>-3.3016359999999998</v>
      </c>
      <c r="V2894">
        <v>-0.44620569999999998</v>
      </c>
      <c r="W2894">
        <v>0.33124480000000001</v>
      </c>
      <c r="X2894">
        <v>0.83137079999999997</v>
      </c>
      <c r="Y2894">
        <v>-0.38727919999999999</v>
      </c>
      <c r="Z2894">
        <v>8.4208710000000006E-2</v>
      </c>
      <c r="AA2894">
        <v>0.91810879999999995</v>
      </c>
      <c r="AB2894">
        <v>20</v>
      </c>
      <c r="AC2894">
        <v>0.92609999999996195</v>
      </c>
      <c r="AD2894">
        <v>-1.1079007599999999</v>
      </c>
      <c r="AE2894">
        <v>-8.3783999999999992</v>
      </c>
      <c r="AF2894">
        <v>-3.2732798642352399</v>
      </c>
      <c r="AG2894">
        <v>-1.1079007599999999</v>
      </c>
      <c r="AH2894">
        <v>7.6123698575058896</v>
      </c>
      <c r="AI2894">
        <v>97.615449075862102</v>
      </c>
      <c r="AJ2894">
        <v>113.26745596716501</v>
      </c>
      <c r="AK2894">
        <v>8.3600227279045498</v>
      </c>
      <c r="AL2894">
        <v>70.655653314225503</v>
      </c>
      <c r="AM2894">
        <v>118.222936430061</v>
      </c>
      <c r="AN2894">
        <v>1.0000000256660799</v>
      </c>
    </row>
    <row r="2895" spans="1:40" x14ac:dyDescent="0.25">
      <c r="A2895" t="str">
        <f>"20190304164144844"</f>
        <v>20190304164144844</v>
      </c>
      <c r="B2895" t="str">
        <f>"1551688904834156"</f>
        <v>1551688904834156</v>
      </c>
      <c r="C2895" t="s">
        <v>40</v>
      </c>
      <c r="D2895">
        <v>5.1860179999999998</v>
      </c>
      <c r="E2895">
        <v>0.51949449999999997</v>
      </c>
      <c r="F2895" t="s">
        <v>42</v>
      </c>
      <c r="G2895">
        <v>-500.84269999999998</v>
      </c>
      <c r="H2895">
        <v>7.9985920000000002E-2</v>
      </c>
      <c r="I2895">
        <v>262.77760000000001</v>
      </c>
      <c r="J2895">
        <v>-501.53379999999999</v>
      </c>
      <c r="K2895">
        <v>1.1903300000000001</v>
      </c>
      <c r="L2895">
        <v>269.88339999999999</v>
      </c>
      <c r="M2895">
        <v>-0.2763564</v>
      </c>
      <c r="N2895">
        <v>-3.069916E-2</v>
      </c>
      <c r="O2895">
        <v>-0.9605648</v>
      </c>
      <c r="P2895">
        <v>0.17748949999999999</v>
      </c>
      <c r="Q2895">
        <v>0.31427739999999998</v>
      </c>
      <c r="R2895">
        <v>-0.93259170000000002</v>
      </c>
      <c r="S2895">
        <v>0.30203249999999998</v>
      </c>
      <c r="T2895">
        <v>-0.50761650000000003</v>
      </c>
      <c r="U2895">
        <v>-3.3328549999999999</v>
      </c>
      <c r="V2895">
        <v>-0.43638209999999999</v>
      </c>
      <c r="W2895">
        <v>0.32985910000000002</v>
      </c>
      <c r="X2895">
        <v>0.83711630000000004</v>
      </c>
      <c r="Y2895">
        <v>-0.36044080000000001</v>
      </c>
      <c r="Z2895">
        <v>0.10561760000000001</v>
      </c>
      <c r="AA2895">
        <v>0.92678329999999998</v>
      </c>
      <c r="AB2895">
        <v>19</v>
      </c>
      <c r="AC2895">
        <v>0.69110000000000504</v>
      </c>
      <c r="AD2895">
        <v>-1.11034408</v>
      </c>
      <c r="AE2895">
        <v>-7.1057999999999799</v>
      </c>
      <c r="AF2895">
        <v>-2.5667344011097701</v>
      </c>
      <c r="AG2895">
        <v>-1.11034408</v>
      </c>
      <c r="AH2895">
        <v>6.4809583102815198</v>
      </c>
      <c r="AI2895">
        <v>99.050431515352699</v>
      </c>
      <c r="AJ2895">
        <v>111.605666622152</v>
      </c>
      <c r="AK2895">
        <v>7.0585983085481301</v>
      </c>
      <c r="AL2895">
        <v>70.7397769672518</v>
      </c>
      <c r="AM2895">
        <v>117.53267451240301</v>
      </c>
      <c r="AN2895">
        <v>1.0000000313894499</v>
      </c>
    </row>
    <row r="2896" spans="1:40" x14ac:dyDescent="0.25">
      <c r="A2896" t="str">
        <f>"20190304164144868"</f>
        <v>20190304164144868</v>
      </c>
      <c r="B2896" t="str">
        <f>"1551688904853676"</f>
        <v>1551688904853676</v>
      </c>
      <c r="C2896" t="s">
        <v>40</v>
      </c>
      <c r="D2896">
        <v>5.1797979999999999</v>
      </c>
      <c r="E2896">
        <v>0.51986709999999903</v>
      </c>
      <c r="F2896" t="s">
        <v>42</v>
      </c>
      <c r="G2896">
        <v>-500.84429999999998</v>
      </c>
      <c r="H2896">
        <v>7.9985920000000002E-2</v>
      </c>
      <c r="I2896">
        <v>262.77789999999999</v>
      </c>
      <c r="J2896">
        <v>-501.56200000000001</v>
      </c>
      <c r="K2896">
        <v>1.1924189999999999</v>
      </c>
      <c r="L2896">
        <v>269.70979999999997</v>
      </c>
      <c r="M2896">
        <v>-0.25957560000000002</v>
      </c>
      <c r="N2896">
        <v>-3.1580799999999999E-2</v>
      </c>
      <c r="O2896">
        <v>-0.96520649999999997</v>
      </c>
      <c r="P2896">
        <v>0.1825234</v>
      </c>
      <c r="Q2896">
        <v>0.31277860000000002</v>
      </c>
      <c r="R2896">
        <v>-0.93212399999999995</v>
      </c>
      <c r="S2896">
        <v>0.32321169999999999</v>
      </c>
      <c r="T2896">
        <v>-0.52048109999999903</v>
      </c>
      <c r="U2896">
        <v>-3.3307500000000001</v>
      </c>
      <c r="V2896">
        <v>-0.42642219999999997</v>
      </c>
      <c r="W2896">
        <v>0.32934269999999999</v>
      </c>
      <c r="X2896">
        <v>0.8424355</v>
      </c>
      <c r="Y2896">
        <v>-0.35001769999999999</v>
      </c>
      <c r="Z2896">
        <v>0.1095539</v>
      </c>
      <c r="AA2896">
        <v>0.9303148</v>
      </c>
      <c r="AB2896">
        <v>19</v>
      </c>
      <c r="AC2896">
        <v>0.71769999999997902</v>
      </c>
      <c r="AD2896">
        <v>-1.11243308</v>
      </c>
      <c r="AE2896">
        <v>-6.9318999999999802</v>
      </c>
      <c r="AF2896">
        <v>-2.4313707478414699</v>
      </c>
      <c r="AG2896">
        <v>-1.11243308</v>
      </c>
      <c r="AH2896">
        <v>6.3459621653771201</v>
      </c>
      <c r="AI2896">
        <v>99.296545926735206</v>
      </c>
      <c r="AJ2896">
        <v>110.963667924669</v>
      </c>
      <c r="AK2896">
        <v>6.8862404020870001</v>
      </c>
      <c r="AL2896">
        <v>70.771115860403995</v>
      </c>
      <c r="AM2896">
        <v>116.84752317458801</v>
      </c>
      <c r="AN2896">
        <v>1.00000003917818</v>
      </c>
    </row>
    <row r="2897" spans="1:40" x14ac:dyDescent="0.25">
      <c r="A2897" t="str">
        <f>"20190304164144891"</f>
        <v>20190304164144891</v>
      </c>
      <c r="B2897" t="str">
        <f>"1551688904883933"</f>
        <v>1551688904883933</v>
      </c>
      <c r="C2897" t="s">
        <v>40</v>
      </c>
      <c r="D2897">
        <v>5.1761799999999996</v>
      </c>
      <c r="E2897">
        <v>0.51997970000000004</v>
      </c>
      <c r="F2897" t="s">
        <v>42</v>
      </c>
      <c r="G2897">
        <v>-500.81119999999999</v>
      </c>
      <c r="H2897">
        <v>7.9985970000000003E-2</v>
      </c>
      <c r="I2897">
        <v>262.63389999999998</v>
      </c>
      <c r="J2897">
        <v>-501.58620000000002</v>
      </c>
      <c r="K2897">
        <v>1.19421</v>
      </c>
      <c r="L2897">
        <v>269.53109999999998</v>
      </c>
      <c r="M2897">
        <v>-0.24088490000000001</v>
      </c>
      <c r="N2897">
        <v>-3.247908E-2</v>
      </c>
      <c r="O2897">
        <v>-0.97001029999999999</v>
      </c>
      <c r="P2897">
        <v>0.1895657</v>
      </c>
      <c r="Q2897">
        <v>0.31024180000000001</v>
      </c>
      <c r="R2897">
        <v>-0.93156609999999995</v>
      </c>
      <c r="S2897">
        <v>0.35278320000000002</v>
      </c>
      <c r="T2897">
        <v>-0.52269650000000001</v>
      </c>
      <c r="U2897">
        <v>-3.3247379999999902</v>
      </c>
      <c r="V2897">
        <v>-0.41655140000000002</v>
      </c>
      <c r="W2897">
        <v>0.32797949999999998</v>
      </c>
      <c r="X2897">
        <v>0.84788819999999998</v>
      </c>
      <c r="Y2897">
        <v>-0.34026529999999999</v>
      </c>
      <c r="Z2897">
        <v>0.1108242</v>
      </c>
      <c r="AA2897">
        <v>0.93377600000000005</v>
      </c>
      <c r="AB2897">
        <v>18</v>
      </c>
      <c r="AC2897">
        <v>0.775000000000034</v>
      </c>
      <c r="AD2897">
        <v>-1.1142240299999999</v>
      </c>
      <c r="AE2897">
        <v>-6.89719999999999</v>
      </c>
      <c r="AF2897">
        <v>-2.3538001946746601</v>
      </c>
      <c r="AG2897">
        <v>-1.1142240299999999</v>
      </c>
      <c r="AH2897">
        <v>6.3436125123162501</v>
      </c>
      <c r="AI2897">
        <v>99.351223547092602</v>
      </c>
      <c r="AJ2897">
        <v>110.35739394915799</v>
      </c>
      <c r="AK2897">
        <v>6.8573530062185899</v>
      </c>
      <c r="AL2897">
        <v>70.853815045090101</v>
      </c>
      <c r="AM2897">
        <v>116.16401153547601</v>
      </c>
      <c r="AN2897">
        <v>1.0000000104807201</v>
      </c>
    </row>
    <row r="2898" spans="1:40" x14ac:dyDescent="0.25">
      <c r="A2898" t="str">
        <f>"20190304164144914"</f>
        <v>20190304164144914</v>
      </c>
      <c r="B2898" t="str">
        <f>"1551688904903452"</f>
        <v>1551688904903452</v>
      </c>
      <c r="C2898" t="s">
        <v>40</v>
      </c>
      <c r="D2898">
        <v>5.1652480000000001</v>
      </c>
      <c r="E2898">
        <v>0.52020270000000002</v>
      </c>
      <c r="F2898" t="s">
        <v>42</v>
      </c>
      <c r="G2898">
        <v>-500.7638</v>
      </c>
      <c r="H2898">
        <v>7.9986000000000002E-2</v>
      </c>
      <c r="I2898">
        <v>262.52460000000002</v>
      </c>
      <c r="J2898">
        <v>-501.60419999999999</v>
      </c>
      <c r="K2898">
        <v>1.1956469999999999</v>
      </c>
      <c r="L2898">
        <v>269.36340000000001</v>
      </c>
      <c r="M2898">
        <v>-0.22182360000000001</v>
      </c>
      <c r="N2898">
        <v>-3.3301490000000003E-2</v>
      </c>
      <c r="O2898">
        <v>-0.9745182</v>
      </c>
      <c r="P2898">
        <v>0.1994292</v>
      </c>
      <c r="Q2898">
        <v>0.307577299999999</v>
      </c>
      <c r="R2898">
        <v>-0.93038949999999998</v>
      </c>
      <c r="S2898">
        <v>0.38931270000000001</v>
      </c>
      <c r="T2898">
        <v>-0.5274683</v>
      </c>
      <c r="U2898">
        <v>-3.3168639999999998</v>
      </c>
      <c r="V2898">
        <v>-0.40892879999999998</v>
      </c>
      <c r="W2898">
        <v>0.32639299999999999</v>
      </c>
      <c r="X2898">
        <v>0.85219999999999996</v>
      </c>
      <c r="Y2898">
        <v>-0.33219609999999999</v>
      </c>
      <c r="Z2898">
        <v>0.1128132</v>
      </c>
      <c r="AA2898">
        <v>0.93643949999999998</v>
      </c>
      <c r="AB2898">
        <v>18</v>
      </c>
      <c r="AC2898">
        <v>0.84039999999998805</v>
      </c>
      <c r="AD2898">
        <v>-1.11566099999999</v>
      </c>
      <c r="AE2898">
        <v>-6.8387999999999902</v>
      </c>
      <c r="AF2898">
        <v>-2.2775753218292198</v>
      </c>
      <c r="AG2898">
        <v>-1.11566099999999</v>
      </c>
      <c r="AH2898">
        <v>6.31611394892355</v>
      </c>
      <c r="AI2898">
        <v>99.4343030643726</v>
      </c>
      <c r="AJ2898">
        <v>109.829180475662</v>
      </c>
      <c r="AK2898">
        <v>6.8062724180944398</v>
      </c>
      <c r="AL2898">
        <v>70.950009092735698</v>
      </c>
      <c r="AM2898">
        <v>115.634054826064</v>
      </c>
      <c r="AN2898">
        <v>0.99999999695921904</v>
      </c>
    </row>
    <row r="2899" spans="1:40" x14ac:dyDescent="0.25">
      <c r="A2899" t="str">
        <f>"20190304164144934"</f>
        <v>20190304164144934</v>
      </c>
      <c r="B2899" t="str">
        <f>"1551688904923948"</f>
        <v>1551688904923948</v>
      </c>
      <c r="C2899" t="s">
        <v>40</v>
      </c>
      <c r="D2899">
        <v>5.1596270000000004</v>
      </c>
      <c r="E2899">
        <v>0.520312</v>
      </c>
      <c r="F2899" t="s">
        <v>42</v>
      </c>
      <c r="G2899">
        <v>-500.7131</v>
      </c>
      <c r="H2899">
        <v>7.9986020000000005E-2</v>
      </c>
      <c r="I2899">
        <v>262.44560000000001</v>
      </c>
      <c r="J2899">
        <v>-501.61590000000001</v>
      </c>
      <c r="K2899">
        <v>1.1967650000000001</v>
      </c>
      <c r="L2899">
        <v>269.21859999999998</v>
      </c>
      <c r="M2899">
        <v>-0.20407030000000001</v>
      </c>
      <c r="N2899">
        <v>-3.3979170000000003E-2</v>
      </c>
      <c r="O2899">
        <v>-0.97836639999999997</v>
      </c>
      <c r="P2899">
        <v>0.21121390000000001</v>
      </c>
      <c r="Q2899">
        <v>0.30608780000000002</v>
      </c>
      <c r="R2899">
        <v>-0.92827760000000004</v>
      </c>
      <c r="S2899">
        <v>0.4263306</v>
      </c>
      <c r="T2899">
        <v>-0.53373839999999995</v>
      </c>
      <c r="U2899">
        <v>-3.3095400000000001</v>
      </c>
      <c r="V2899">
        <v>-0.40424949999999998</v>
      </c>
      <c r="W2899">
        <v>0.32570460000000001</v>
      </c>
      <c r="X2899">
        <v>0.85469229999999996</v>
      </c>
      <c r="Y2899">
        <v>-0.32557249999999999</v>
      </c>
      <c r="Z2899">
        <v>0.1151563</v>
      </c>
      <c r="AA2899">
        <v>0.93847840000000005</v>
      </c>
      <c r="AB2899">
        <v>17</v>
      </c>
      <c r="AC2899">
        <v>0.90280000000001304</v>
      </c>
      <c r="AD2899">
        <v>-1.1167789800000001</v>
      </c>
      <c r="AE2899">
        <v>-6.7729999999999597</v>
      </c>
      <c r="AF2899">
        <v>-2.2077698705910298</v>
      </c>
      <c r="AG2899">
        <v>-1.1167789800000001</v>
      </c>
      <c r="AH2899">
        <v>6.2782515837931996</v>
      </c>
      <c r="AI2899">
        <v>99.525900917304497</v>
      </c>
      <c r="AJ2899">
        <v>109.37440819181199</v>
      </c>
      <c r="AK2899">
        <v>6.7481764974740601</v>
      </c>
      <c r="AL2899">
        <v>70.991732290922201</v>
      </c>
      <c r="AM2899">
        <v>115.313055920267</v>
      </c>
      <c r="AN2899">
        <v>1.0000000361953401</v>
      </c>
    </row>
    <row r="2900" spans="1:40" x14ac:dyDescent="0.25">
      <c r="A2900" t="str">
        <f>"20190304164144959"</f>
        <v>20190304164144959</v>
      </c>
      <c r="B2900" t="str">
        <f>"1551688904954204"</f>
        <v>1551688904954204</v>
      </c>
      <c r="C2900" t="s">
        <v>40</v>
      </c>
      <c r="D2900">
        <v>5.1538870000000001</v>
      </c>
      <c r="E2900">
        <v>0.52270099999999997</v>
      </c>
      <c r="F2900" t="s">
        <v>42</v>
      </c>
      <c r="G2900">
        <v>-500.65460000000002</v>
      </c>
      <c r="H2900">
        <v>7.9986050000000003E-2</v>
      </c>
      <c r="I2900">
        <v>262.32069999999999</v>
      </c>
      <c r="J2900">
        <v>-501.62479999999999</v>
      </c>
      <c r="K2900">
        <v>1.1979679999999999</v>
      </c>
      <c r="L2900">
        <v>269.05270000000002</v>
      </c>
      <c r="M2900">
        <v>-0.18224389999999999</v>
      </c>
      <c r="N2900">
        <v>-3.4697640000000002E-2</v>
      </c>
      <c r="O2900">
        <v>-0.98264110000000005</v>
      </c>
      <c r="P2900">
        <v>0.22824549999999999</v>
      </c>
      <c r="Q2900">
        <v>0.3080215</v>
      </c>
      <c r="R2900">
        <v>-0.92359480000000005</v>
      </c>
      <c r="S2900">
        <v>0.46038820000000003</v>
      </c>
      <c r="T2900">
        <v>-0.53482149999999995</v>
      </c>
      <c r="U2900">
        <v>-3.3034059999999998</v>
      </c>
      <c r="V2900">
        <v>-0.40087869999999998</v>
      </c>
      <c r="W2900">
        <v>0.32832359999999999</v>
      </c>
      <c r="X2900">
        <v>0.85527770000000003</v>
      </c>
      <c r="Y2900">
        <v>-0.31425340000000002</v>
      </c>
      <c r="Z2900">
        <v>0.11624809999999999</v>
      </c>
      <c r="AA2900">
        <v>0.94219489999999995</v>
      </c>
      <c r="AB2900">
        <v>17</v>
      </c>
      <c r="AC2900">
        <v>0.97019999999997697</v>
      </c>
      <c r="AD2900">
        <v>-1.1179819499999999</v>
      </c>
      <c r="AE2900">
        <v>-6.7320000000000197</v>
      </c>
      <c r="AF2900">
        <v>-2.1241473516469398</v>
      </c>
      <c r="AG2900">
        <v>-1.1179819499999999</v>
      </c>
      <c r="AH2900">
        <v>6.2727283364479201</v>
      </c>
      <c r="AI2900">
        <v>99.581909480215003</v>
      </c>
      <c r="AJ2900">
        <v>108.707751868825</v>
      </c>
      <c r="AK2900">
        <v>6.7163238750756502</v>
      </c>
      <c r="AL2900">
        <v>70.832944239642799</v>
      </c>
      <c r="AM2900">
        <v>115.113037681349</v>
      </c>
      <c r="AN2900">
        <v>1.0000000312739601</v>
      </c>
    </row>
    <row r="2901" spans="1:40" x14ac:dyDescent="0.25">
      <c r="A2901" t="str">
        <f>"20190304164144981"</f>
        <v>20190304164144981</v>
      </c>
      <c r="B2901" t="str">
        <f>"1551688904973725"</f>
        <v>1551688904973725</v>
      </c>
      <c r="C2901" t="s">
        <v>40</v>
      </c>
      <c r="D2901">
        <v>5.10914</v>
      </c>
      <c r="E2901">
        <v>0.52283820000000003</v>
      </c>
      <c r="F2901" t="s">
        <v>42</v>
      </c>
      <c r="G2901">
        <v>-500.46179999999998</v>
      </c>
      <c r="H2901">
        <v>7.9986340000000003E-2</v>
      </c>
      <c r="I2901">
        <v>261.32729999999998</v>
      </c>
      <c r="J2901">
        <v>-501.62810000000002</v>
      </c>
      <c r="K2901">
        <v>1.1990099999999999</v>
      </c>
      <c r="L2901">
        <v>268.89999999999998</v>
      </c>
      <c r="M2901">
        <v>-0.16071750000000001</v>
      </c>
      <c r="N2901">
        <v>-3.5270040000000003E-2</v>
      </c>
      <c r="O2901">
        <v>-0.98637010000000003</v>
      </c>
      <c r="P2901">
        <v>0.24470939999999999</v>
      </c>
      <c r="Q2901">
        <v>0.31167719999999999</v>
      </c>
      <c r="R2901">
        <v>-0.91813679999999998</v>
      </c>
      <c r="S2901">
        <v>0.49444579999999999</v>
      </c>
      <c r="T2901">
        <v>-0.47531760000000001</v>
      </c>
      <c r="U2901">
        <v>-3.2845149999999999</v>
      </c>
      <c r="V2901">
        <v>-0.39740930000000002</v>
      </c>
      <c r="W2901">
        <v>0.33245609999999998</v>
      </c>
      <c r="X2901">
        <v>0.85530039999999996</v>
      </c>
      <c r="Y2901">
        <v>-0.30418669999999998</v>
      </c>
      <c r="Z2901">
        <v>0.1008554</v>
      </c>
      <c r="AA2901">
        <v>0.9472585</v>
      </c>
      <c r="AB2901">
        <v>16</v>
      </c>
      <c r="AC2901">
        <v>1.1663000000000301</v>
      </c>
      <c r="AD2901">
        <v>-1.1190236600000001</v>
      </c>
      <c r="AE2901">
        <v>-7.5726999999999904</v>
      </c>
      <c r="AF2901">
        <v>-2.31946788826609</v>
      </c>
      <c r="AG2901">
        <v>-1.1190236600000001</v>
      </c>
      <c r="AH2901">
        <v>7.13439501184076</v>
      </c>
      <c r="AI2901">
        <v>98.483915437374307</v>
      </c>
      <c r="AJ2901">
        <v>108.00989617536899</v>
      </c>
      <c r="AK2901">
        <v>7.5849678589507397</v>
      </c>
      <c r="AL2901">
        <v>70.582081104983601</v>
      </c>
      <c r="AM2901">
        <v>114.921604849625</v>
      </c>
      <c r="AN2901">
        <v>0.99999999219693003</v>
      </c>
    </row>
    <row r="2902" spans="1:40" x14ac:dyDescent="0.25">
      <c r="A2902" t="str">
        <f>"20190304164145003"</f>
        <v>20190304164145003</v>
      </c>
      <c r="B2902" t="str">
        <f>"1551688904994220"</f>
        <v>1551688904994220</v>
      </c>
      <c r="C2902" t="s">
        <v>40</v>
      </c>
      <c r="D2902">
        <v>5.0932829999999996</v>
      </c>
      <c r="E2902">
        <v>0.52336450000000001</v>
      </c>
      <c r="F2902" t="s">
        <v>42</v>
      </c>
      <c r="G2902">
        <v>-500.30950000000001</v>
      </c>
      <c r="H2902">
        <v>7.9986420000000003E-2</v>
      </c>
      <c r="I2902">
        <v>261.00220000000002</v>
      </c>
      <c r="J2902">
        <v>-501.6268</v>
      </c>
      <c r="K2902">
        <v>1.19967</v>
      </c>
      <c r="L2902">
        <v>268.75569999999999</v>
      </c>
      <c r="M2902">
        <v>-0.13961860000000001</v>
      </c>
      <c r="N2902">
        <v>-3.5879769999999998E-2</v>
      </c>
      <c r="O2902">
        <v>-0.98955510000000002</v>
      </c>
      <c r="P2902">
        <v>0.25935390000000003</v>
      </c>
      <c r="Q2902">
        <v>0.31533040000000001</v>
      </c>
      <c r="R2902">
        <v>-0.91285400000000005</v>
      </c>
      <c r="S2902">
        <v>0.54751590000000006</v>
      </c>
      <c r="T2902">
        <v>-0.46463480000000001</v>
      </c>
      <c r="U2902">
        <v>-3.2792970000000001</v>
      </c>
      <c r="V2902">
        <v>-0.3925651</v>
      </c>
      <c r="W2902">
        <v>0.33690949999999997</v>
      </c>
      <c r="X2902">
        <v>0.85579470000000002</v>
      </c>
      <c r="Y2902">
        <v>-0.29909669999999999</v>
      </c>
      <c r="Z2902">
        <v>9.8065940000000004E-2</v>
      </c>
      <c r="AA2902">
        <v>0.94917030000000002</v>
      </c>
      <c r="AB2902">
        <v>16</v>
      </c>
      <c r="AC2902">
        <v>1.3172999999999799</v>
      </c>
      <c r="AD2902">
        <v>-1.11968358</v>
      </c>
      <c r="AE2902">
        <v>-7.7534999999999696</v>
      </c>
      <c r="AF2902">
        <v>-2.3401775655018802</v>
      </c>
      <c r="AG2902">
        <v>-1.11968358</v>
      </c>
      <c r="AH2902">
        <v>7.3445525738490396</v>
      </c>
      <c r="AI2902">
        <v>98.264733341188403</v>
      </c>
      <c r="AJ2902">
        <v>107.673317437379</v>
      </c>
      <c r="AK2902">
        <v>7.7892602259413897</v>
      </c>
      <c r="AL2902">
        <v>70.311303799611196</v>
      </c>
      <c r="AM2902">
        <v>114.641591413679</v>
      </c>
      <c r="AN2902">
        <v>0.99999996873817398</v>
      </c>
    </row>
    <row r="2903" spans="1:40" x14ac:dyDescent="0.25">
      <c r="A2903" t="str">
        <f>"20190304164145026"</f>
        <v>20190304164145026</v>
      </c>
      <c r="B2903" t="str">
        <f>"1551688905013741"</f>
        <v>1551688905013741</v>
      </c>
      <c r="C2903" t="s">
        <v>40</v>
      </c>
      <c r="D2903">
        <v>5.1073829999999996</v>
      </c>
      <c r="E2903">
        <v>0.52359619999999996</v>
      </c>
      <c r="F2903" t="s">
        <v>42</v>
      </c>
      <c r="G2903">
        <v>-500.15769999999998</v>
      </c>
      <c r="H2903">
        <v>7.9986509999999997E-2</v>
      </c>
      <c r="I2903">
        <v>260.66449999999998</v>
      </c>
      <c r="J2903">
        <v>-501.62099999999998</v>
      </c>
      <c r="K2903">
        <v>1.200089</v>
      </c>
      <c r="L2903">
        <v>268.61070000000001</v>
      </c>
      <c r="M2903">
        <v>-0.11769540000000001</v>
      </c>
      <c r="N2903">
        <v>-3.6482960000000002E-2</v>
      </c>
      <c r="O2903">
        <v>-0.99237949999999997</v>
      </c>
      <c r="P2903">
        <v>0.27339970000000002</v>
      </c>
      <c r="Q2903">
        <v>0.31640180000000001</v>
      </c>
      <c r="R2903">
        <v>-0.90837389999999996</v>
      </c>
      <c r="S2903">
        <v>0.59442139999999999</v>
      </c>
      <c r="T2903">
        <v>-0.45306750000000001</v>
      </c>
      <c r="U2903">
        <v>-3.2740170000000002</v>
      </c>
      <c r="V2903">
        <v>-0.38650669999999998</v>
      </c>
      <c r="W2903">
        <v>0.33898640000000002</v>
      </c>
      <c r="X2903">
        <v>0.85772999999999899</v>
      </c>
      <c r="Y2903">
        <v>-0.29152359999999999</v>
      </c>
      <c r="Z2903">
        <v>9.4992359999999998E-2</v>
      </c>
      <c r="AA2903">
        <v>0.95183530000000005</v>
      </c>
      <c r="AB2903">
        <v>15</v>
      </c>
      <c r="AC2903">
        <v>1.4633</v>
      </c>
      <c r="AD2903">
        <v>-1.1201024900000001</v>
      </c>
      <c r="AE2903">
        <v>-7.9462000000000304</v>
      </c>
      <c r="AF2903">
        <v>-2.3439241167913001</v>
      </c>
      <c r="AG2903">
        <v>-1.1201024900000001</v>
      </c>
      <c r="AH2903">
        <v>7.5730196825743201</v>
      </c>
      <c r="AI2903">
        <v>98.042313572508604</v>
      </c>
      <c r="AJ2903">
        <v>107.197810845056</v>
      </c>
      <c r="AK2903">
        <v>8.00619990794873</v>
      </c>
      <c r="AL2903">
        <v>70.184867484432999</v>
      </c>
      <c r="AM2903">
        <v>114.257080260012</v>
      </c>
      <c r="AN2903">
        <v>0.99999998071492402</v>
      </c>
    </row>
    <row r="2904" spans="1:40" x14ac:dyDescent="0.25">
      <c r="A2904" t="str">
        <f>"20190304164145046"</f>
        <v>20190304164145046</v>
      </c>
      <c r="B2904" t="str">
        <f>"1551688905034236"</f>
        <v>1551688905034236</v>
      </c>
      <c r="C2904" t="s">
        <v>40</v>
      </c>
      <c r="D2904">
        <v>5.0785920000000004</v>
      </c>
      <c r="E2904">
        <v>0.52723409999999904</v>
      </c>
      <c r="F2904" t="s">
        <v>42</v>
      </c>
      <c r="G2904">
        <v>-500.02069999999998</v>
      </c>
      <c r="H2904">
        <v>7.9986559999999998E-2</v>
      </c>
      <c r="I2904">
        <v>260.4819</v>
      </c>
      <c r="J2904">
        <v>-501.61290000000002</v>
      </c>
      <c r="K2904">
        <v>1.2003950000000001</v>
      </c>
      <c r="L2904">
        <v>268.49040000000002</v>
      </c>
      <c r="M2904">
        <v>-9.8759029999999998E-2</v>
      </c>
      <c r="N2904">
        <v>-3.6872849999999999E-2</v>
      </c>
      <c r="O2904">
        <v>-0.99442790000000003</v>
      </c>
      <c r="P2904">
        <v>0.28315949999999901</v>
      </c>
      <c r="Q2904">
        <v>0.31551610000000002</v>
      </c>
      <c r="R2904">
        <v>-0.90568820000000005</v>
      </c>
      <c r="S2904">
        <v>0.64294430000000002</v>
      </c>
      <c r="T2904">
        <v>-0.45001400000000003</v>
      </c>
      <c r="U2904">
        <v>-3.2658390000000002</v>
      </c>
      <c r="V2904">
        <v>-0.37914989999999998</v>
      </c>
      <c r="W2904">
        <v>0.33889629999999998</v>
      </c>
      <c r="X2904">
        <v>0.8610428</v>
      </c>
      <c r="Y2904">
        <v>-0.28739100000000001</v>
      </c>
      <c r="Z2904">
        <v>9.4406169999999998E-2</v>
      </c>
      <c r="AA2904">
        <v>0.95314940000000004</v>
      </c>
      <c r="AB2904">
        <v>15</v>
      </c>
      <c r="AC2904">
        <v>1.59220000000004</v>
      </c>
      <c r="AD2904">
        <v>-1.1204084400000001</v>
      </c>
      <c r="AE2904">
        <v>-8.0085000000000193</v>
      </c>
      <c r="AF2904">
        <v>-2.3319487072489302</v>
      </c>
      <c r="AG2904">
        <v>-1.1204084400000001</v>
      </c>
      <c r="AH2904">
        <v>7.6675762777217997</v>
      </c>
      <c r="AI2904">
        <v>97.958393230561796</v>
      </c>
      <c r="AJ2904">
        <v>106.91614963089999</v>
      </c>
      <c r="AK2904">
        <v>8.0922818673316907</v>
      </c>
      <c r="AL2904">
        <v>70.190355569512406</v>
      </c>
      <c r="AM2904">
        <v>113.765719295311</v>
      </c>
      <c r="AN2904">
        <v>1.00000002612776</v>
      </c>
    </row>
    <row r="2905" spans="1:40" x14ac:dyDescent="0.25">
      <c r="A2905" t="str">
        <f>"20190304164145070"</f>
        <v>20190304164145070</v>
      </c>
      <c r="B2905" t="str">
        <f>"1551688905063516"</f>
        <v>1551688905063516</v>
      </c>
      <c r="C2905" t="s">
        <v>40</v>
      </c>
      <c r="D2905">
        <v>5.1161969999999997</v>
      </c>
      <c r="E2905">
        <v>0.51986279999999996</v>
      </c>
      <c r="F2905" t="s">
        <v>42</v>
      </c>
      <c r="G2905">
        <v>-500.09609999999998</v>
      </c>
      <c r="H2905">
        <v>7.9986440000000006E-2</v>
      </c>
      <c r="I2905">
        <v>260.9205</v>
      </c>
      <c r="J2905">
        <v>-501.59879999999998</v>
      </c>
      <c r="K2905">
        <v>1.2008379999999901</v>
      </c>
      <c r="L2905">
        <v>268.34910000000002</v>
      </c>
      <c r="M2905">
        <v>-7.5318239999999995E-2</v>
      </c>
      <c r="N2905">
        <v>-3.7113739999999999E-2</v>
      </c>
      <c r="O2905">
        <v>-0.99646869999999999</v>
      </c>
      <c r="P2905">
        <v>0.29797319999999999</v>
      </c>
      <c r="Q2905">
        <v>0.31527070000000001</v>
      </c>
      <c r="R2905">
        <v>-0.90100860000000005</v>
      </c>
      <c r="S2905">
        <v>0.65640259999999995</v>
      </c>
      <c r="T2905">
        <v>-0.48489110000000002</v>
      </c>
      <c r="U2905">
        <v>-3.2760929999999999</v>
      </c>
      <c r="V2905">
        <v>-0.37290790000000001</v>
      </c>
      <c r="W2905">
        <v>0.3391035</v>
      </c>
      <c r="X2905">
        <v>0.86368310000000004</v>
      </c>
      <c r="Y2905">
        <v>-0.26780510000000002</v>
      </c>
      <c r="Z2905">
        <v>0.104641899999999</v>
      </c>
      <c r="AA2905">
        <v>0.95777369999999995</v>
      </c>
      <c r="AB2905">
        <v>14</v>
      </c>
      <c r="AC2905">
        <v>1.5026999999999999</v>
      </c>
      <c r="AD2905">
        <v>-1.12085155999999</v>
      </c>
      <c r="AE2905">
        <v>-7.4286000000000101</v>
      </c>
      <c r="AF2905">
        <v>-2.0142668652864799</v>
      </c>
      <c r="AG2905">
        <v>-1.12085155999999</v>
      </c>
      <c r="AH2905">
        <v>7.1380955151775796</v>
      </c>
      <c r="AI2905">
        <v>98.5936431518967</v>
      </c>
      <c r="AJ2905">
        <v>105.758295457606</v>
      </c>
      <c r="AK2905">
        <v>7.50106571148019</v>
      </c>
      <c r="AL2905">
        <v>70.177735957192297</v>
      </c>
      <c r="AM2905">
        <v>113.35298353594</v>
      </c>
      <c r="AN2905">
        <v>0.99999999141013496</v>
      </c>
    </row>
    <row r="2906" spans="1:40" x14ac:dyDescent="0.25">
      <c r="A2906" t="str">
        <f>"20190304164145093"</f>
        <v>20190304164145093</v>
      </c>
      <c r="B2906" t="str">
        <f>"1551688905084012"</f>
        <v>1551688905084012</v>
      </c>
      <c r="C2906" t="s">
        <v>40</v>
      </c>
      <c r="D2906">
        <v>5.0920870000000003</v>
      </c>
      <c r="E2906">
        <v>0.52032460000000003</v>
      </c>
      <c r="F2906" t="s">
        <v>42</v>
      </c>
      <c r="G2906">
        <v>-499.2106</v>
      </c>
      <c r="H2906" s="1">
        <v>-5.5195500000000004E-6</v>
      </c>
      <c r="I2906">
        <v>258.40519999999998</v>
      </c>
      <c r="J2906">
        <v>-501.58150000000001</v>
      </c>
      <c r="K2906">
        <v>1.201319</v>
      </c>
      <c r="L2906">
        <v>268.22149999999999</v>
      </c>
      <c r="M2906">
        <v>-5.2998320000000002E-2</v>
      </c>
      <c r="N2906">
        <v>-3.7153119999999998E-2</v>
      </c>
      <c r="O2906">
        <v>-0.99790330000000005</v>
      </c>
      <c r="P2906">
        <v>0.313285799999999</v>
      </c>
      <c r="Q2906">
        <v>0.31493199999999999</v>
      </c>
      <c r="R2906">
        <v>-0.89591869999999996</v>
      </c>
      <c r="S2906">
        <v>0.77102660000000001</v>
      </c>
      <c r="T2906">
        <v>-0.38767580000000001</v>
      </c>
      <c r="U2906">
        <v>-3.2102360000000001</v>
      </c>
      <c r="V2906">
        <v>-0.36837520000000001</v>
      </c>
      <c r="W2906">
        <v>0.33882410000000002</v>
      </c>
      <c r="X2906">
        <v>0.86573549999999999</v>
      </c>
      <c r="Y2906">
        <v>-0.28324660000000002</v>
      </c>
      <c r="Z2906">
        <v>7.8359460000000006E-2</v>
      </c>
      <c r="AA2906">
        <v>0.95584049999999998</v>
      </c>
      <c r="AB2906">
        <v>14</v>
      </c>
      <c r="AC2906">
        <v>2.3708999999999998</v>
      </c>
      <c r="AD2906">
        <v>-1.20132451955</v>
      </c>
      <c r="AE2906">
        <v>-9.8163000000000107</v>
      </c>
      <c r="AF2906">
        <v>-2.8478685823604599</v>
      </c>
      <c r="AG2906">
        <v>-1.20132451955</v>
      </c>
      <c r="AH2906">
        <v>9.5417152172546196</v>
      </c>
      <c r="AI2906">
        <v>96.879113857728697</v>
      </c>
      <c r="AJ2906">
        <v>106.61852604149399</v>
      </c>
      <c r="AK2906">
        <v>10.029848720237799</v>
      </c>
      <c r="AL2906">
        <v>70.194752071302901</v>
      </c>
      <c r="AM2906">
        <v>113.050018538308</v>
      </c>
      <c r="AN2906">
        <v>1.0000000073380499</v>
      </c>
    </row>
    <row r="2907" spans="1:40" x14ac:dyDescent="0.25">
      <c r="A2907" t="str">
        <f>"20190304164145115"</f>
        <v>20190304164145115</v>
      </c>
      <c r="B2907" t="str">
        <f>"1551688905103532"</f>
        <v>1551688905103532</v>
      </c>
      <c r="C2907" t="s">
        <v>40</v>
      </c>
      <c r="D2907">
        <v>5.111421</v>
      </c>
      <c r="E2907">
        <v>0.52116459999999998</v>
      </c>
      <c r="F2907" t="s">
        <v>42</v>
      </c>
      <c r="G2907">
        <v>-498.98129999999998</v>
      </c>
      <c r="H2907" s="1">
        <v>-5.4129899999999998E-6</v>
      </c>
      <c r="I2907">
        <v>258.21159999999998</v>
      </c>
      <c r="J2907">
        <v>-501.56099999999998</v>
      </c>
      <c r="K2907">
        <v>1.2017530000000001</v>
      </c>
      <c r="L2907">
        <v>268.10329999999999</v>
      </c>
      <c r="M2907">
        <v>-3.1274209999999997E-2</v>
      </c>
      <c r="N2907">
        <v>-3.7094210000000002E-2</v>
      </c>
      <c r="O2907">
        <v>-0.9988224</v>
      </c>
      <c r="P2907">
        <v>0.32749230000000001</v>
      </c>
      <c r="Q2907">
        <v>0.31482080000000001</v>
      </c>
      <c r="R2907">
        <v>-0.89086299999999996</v>
      </c>
      <c r="S2907">
        <v>0.82946779999999998</v>
      </c>
      <c r="T2907">
        <v>-0.38322109999999998</v>
      </c>
      <c r="U2907">
        <v>-3.193146</v>
      </c>
      <c r="V2907">
        <v>-0.36340499999999998</v>
      </c>
      <c r="W2907">
        <v>0.33867059999999999</v>
      </c>
      <c r="X2907">
        <v>0.86789349999999998</v>
      </c>
      <c r="Y2907">
        <v>-0.28003850000000002</v>
      </c>
      <c r="Z2907">
        <v>7.7745229999999999E-2</v>
      </c>
      <c r="AA2907">
        <v>0.9568354</v>
      </c>
      <c r="AB2907">
        <v>14</v>
      </c>
      <c r="AC2907">
        <v>2.5796999999999999</v>
      </c>
      <c r="AD2907">
        <v>-1.2017584129899901</v>
      </c>
      <c r="AE2907">
        <v>-9.8917000000000108</v>
      </c>
      <c r="AF2907">
        <v>-2.84863566612791</v>
      </c>
      <c r="AG2907">
        <v>-1.2017584129899901</v>
      </c>
      <c r="AH2907">
        <v>9.6724455629652208</v>
      </c>
      <c r="AI2907">
        <v>96.796692016374806</v>
      </c>
      <c r="AJ2907">
        <v>106.410248776675</v>
      </c>
      <c r="AK2907">
        <v>10.154563093016501</v>
      </c>
      <c r="AL2907">
        <v>70.204100470841794</v>
      </c>
      <c r="AM2907">
        <v>112.720071297429</v>
      </c>
      <c r="AN2907">
        <v>1.0000000483358</v>
      </c>
    </row>
    <row r="2908" spans="1:40" x14ac:dyDescent="0.25">
      <c r="A2908" t="str">
        <f>"20190304164145137"</f>
        <v>20190304164145137</v>
      </c>
      <c r="B2908" t="str">
        <f>"1551688905133789"</f>
        <v>1551688905133789</v>
      </c>
      <c r="C2908" t="s">
        <v>40</v>
      </c>
      <c r="D2908">
        <v>5.0790470000000001</v>
      </c>
      <c r="E2908">
        <v>0.52718710000000002</v>
      </c>
      <c r="F2908" t="s">
        <v>42</v>
      </c>
      <c r="G2908">
        <v>-498.78579999999999</v>
      </c>
      <c r="H2908" s="1">
        <v>-5.3324720000000003E-6</v>
      </c>
      <c r="I2908">
        <v>258.07690000000002</v>
      </c>
      <c r="J2908">
        <v>-501.53519999999997</v>
      </c>
      <c r="K2908">
        <v>1.20211</v>
      </c>
      <c r="L2908">
        <v>267.98110000000003</v>
      </c>
      <c r="M2908">
        <v>-7.5974769999999896E-3</v>
      </c>
      <c r="N2908">
        <v>-3.6990559999999999E-2</v>
      </c>
      <c r="O2908">
        <v>-0.99928689999999998</v>
      </c>
      <c r="P2908">
        <v>0.34451090000000001</v>
      </c>
      <c r="Q2908">
        <v>0.31545430000000002</v>
      </c>
      <c r="R2908">
        <v>-0.88419539999999996</v>
      </c>
      <c r="S2908">
        <v>0.87985230000000003</v>
      </c>
      <c r="T2908">
        <v>-0.38100020000000001</v>
      </c>
      <c r="U2908">
        <v>-3.1787109999999998</v>
      </c>
      <c r="V2908">
        <v>-0.35955209999999999</v>
      </c>
      <c r="W2908">
        <v>0.33923140000000002</v>
      </c>
      <c r="X2908">
        <v>0.86927809999999905</v>
      </c>
      <c r="Y2908">
        <v>-0.27251910000000001</v>
      </c>
      <c r="Z2908">
        <v>7.7774289999999996E-2</v>
      </c>
      <c r="AA2908">
        <v>0.95900180000000002</v>
      </c>
      <c r="AB2908">
        <v>13</v>
      </c>
      <c r="AC2908">
        <v>2.7493999999999699</v>
      </c>
      <c r="AD2908">
        <v>-1.202115332472</v>
      </c>
      <c r="AE2908">
        <v>-9.9041999999999994</v>
      </c>
      <c r="AF2908">
        <v>-2.78650600613248</v>
      </c>
      <c r="AG2908">
        <v>-1.202115332472</v>
      </c>
      <c r="AH2908">
        <v>9.7496580810006606</v>
      </c>
      <c r="AI2908">
        <v>96.760934406399201</v>
      </c>
      <c r="AJ2908">
        <v>105.950228110498</v>
      </c>
      <c r="AK2908">
        <v>10.2110493922612</v>
      </c>
      <c r="AL2908">
        <v>70.169946996300993</v>
      </c>
      <c r="AM2908">
        <v>112.47103847070299</v>
      </c>
      <c r="AN2908">
        <v>1.00000003524998</v>
      </c>
    </row>
    <row r="2909" spans="1:40" x14ac:dyDescent="0.25">
      <c r="A2909" t="str">
        <f>"20190304164145162"</f>
        <v>20190304164145162</v>
      </c>
      <c r="B2909" t="str">
        <f>"1551688905154285"</f>
        <v>1551688905154285</v>
      </c>
      <c r="C2909" t="s">
        <v>40</v>
      </c>
      <c r="D2909">
        <v>5.0752699999999997</v>
      </c>
      <c r="E2909">
        <v>0.52845940000000002</v>
      </c>
      <c r="F2909" t="s">
        <v>42</v>
      </c>
      <c r="G2909">
        <v>-498.7672</v>
      </c>
      <c r="H2909" s="1">
        <v>-5.3617779999999999E-6</v>
      </c>
      <c r="I2909">
        <v>258.17270000000002</v>
      </c>
      <c r="J2909">
        <v>-501.50420000000003</v>
      </c>
      <c r="K2909">
        <v>1.202159</v>
      </c>
      <c r="L2909">
        <v>267.85820000000001</v>
      </c>
      <c r="M2909">
        <v>1.7621729999999999E-2</v>
      </c>
      <c r="N2909">
        <v>-3.6939800000000002E-2</v>
      </c>
      <c r="O2909">
        <v>-0.9991622</v>
      </c>
      <c r="P2909">
        <v>0.36424139999999999</v>
      </c>
      <c r="Q2909">
        <v>0.31691390000000003</v>
      </c>
      <c r="R2909">
        <v>-0.87572499999999998</v>
      </c>
      <c r="S2909">
        <v>0.89801030000000004</v>
      </c>
      <c r="T2909">
        <v>-0.39000430000000003</v>
      </c>
      <c r="U2909">
        <v>-3.182159</v>
      </c>
      <c r="V2909">
        <v>-0.35697139999999999</v>
      </c>
      <c r="W2909">
        <v>0.340864099999999</v>
      </c>
      <c r="X2909">
        <v>0.86970289999999995</v>
      </c>
      <c r="Y2909">
        <v>-0.2529843</v>
      </c>
      <c r="Z2909">
        <v>8.0719920000000001E-2</v>
      </c>
      <c r="AA2909">
        <v>0.96409710000000004</v>
      </c>
      <c r="AB2909">
        <v>13</v>
      </c>
      <c r="AC2909">
        <v>2.7370000000000201</v>
      </c>
      <c r="AD2909">
        <v>-1.202164361778</v>
      </c>
      <c r="AE2909">
        <v>-9.6854999999999905</v>
      </c>
      <c r="AF2909">
        <v>-2.52969271445876</v>
      </c>
      <c r="AG2909">
        <v>-1.202164361778</v>
      </c>
      <c r="AH2909">
        <v>9.5953652159104905</v>
      </c>
      <c r="AI2909">
        <v>96.9075244391355</v>
      </c>
      <c r="AJ2909">
        <v>104.76922935578</v>
      </c>
      <c r="AK2909">
        <v>9.9957780091906692</v>
      </c>
      <c r="AL2909">
        <v>70.070472064788802</v>
      </c>
      <c r="AM2909">
        <v>112.315802361672</v>
      </c>
      <c r="AN2909">
        <v>1.00000002467758</v>
      </c>
    </row>
    <row r="2910" spans="1:40" x14ac:dyDescent="0.25">
      <c r="A2910" t="str">
        <f>"20190304164145184"</f>
        <v>20190304164145184</v>
      </c>
      <c r="B2910" t="str">
        <f>"1551688905173804"</f>
        <v>1551688905173804</v>
      </c>
      <c r="C2910" t="s">
        <v>40</v>
      </c>
      <c r="D2910">
        <v>5.07613</v>
      </c>
      <c r="E2910">
        <v>0.52920970000000001</v>
      </c>
      <c r="F2910" t="s">
        <v>42</v>
      </c>
      <c r="G2910">
        <v>-498.54640000000001</v>
      </c>
      <c r="H2910" s="1">
        <v>-5.2814239999999998E-6</v>
      </c>
      <c r="I2910">
        <v>258.05169999999998</v>
      </c>
      <c r="J2910">
        <v>-501.47300000000001</v>
      </c>
      <c r="K2910">
        <v>1.201935</v>
      </c>
      <c r="L2910">
        <v>267.75220000000002</v>
      </c>
      <c r="M2910">
        <v>4.0914609999999997E-2</v>
      </c>
      <c r="N2910">
        <v>-3.6906220000000003E-2</v>
      </c>
      <c r="O2910">
        <v>-0.9984809</v>
      </c>
      <c r="P2910">
        <v>0.38190829999999998</v>
      </c>
      <c r="Q2910">
        <v>0.31791469999999999</v>
      </c>
      <c r="R2910">
        <v>-0.86780009999999996</v>
      </c>
      <c r="S2910">
        <v>0.95577999999999996</v>
      </c>
      <c r="T2910">
        <v>-0.38845770000000002</v>
      </c>
      <c r="U2910">
        <v>-3.168793</v>
      </c>
      <c r="V2910">
        <v>-0.35398220000000002</v>
      </c>
      <c r="W2910">
        <v>0.3422655</v>
      </c>
      <c r="X2910">
        <v>0.87037410000000004</v>
      </c>
      <c r="Y2910">
        <v>-0.2477047</v>
      </c>
      <c r="Z2910">
        <v>8.0563529999999994E-2</v>
      </c>
      <c r="AA2910">
        <v>0.96548009999999995</v>
      </c>
      <c r="AB2910">
        <v>13</v>
      </c>
      <c r="AC2910">
        <v>2.9266000000000001</v>
      </c>
      <c r="AD2910">
        <v>-1.2019402814239999</v>
      </c>
      <c r="AE2910">
        <v>-9.7005000000000301</v>
      </c>
      <c r="AF2910">
        <v>-2.4919179762613601</v>
      </c>
      <c r="AG2910">
        <v>-1.2019402814239999</v>
      </c>
      <c r="AH2910">
        <v>9.6760308757254396</v>
      </c>
      <c r="AI2910">
        <v>96.859331979449294</v>
      </c>
      <c r="AJ2910">
        <v>104.441853336549</v>
      </c>
      <c r="AK2910">
        <v>10.0637909928871</v>
      </c>
      <c r="AL2910">
        <v>69.985040688599298</v>
      </c>
      <c r="AM2910">
        <v>112.131635055026</v>
      </c>
      <c r="AN2910">
        <v>1.0000000721789399</v>
      </c>
    </row>
    <row r="2911" spans="1:40" x14ac:dyDescent="0.25">
      <c r="A2911" t="str">
        <f>"20190304164145205"</f>
        <v>20190304164145205</v>
      </c>
      <c r="B2911" t="str">
        <f>"1551688905194301"</f>
        <v>1551688905194301</v>
      </c>
      <c r="C2911" t="s">
        <v>40</v>
      </c>
      <c r="D2911">
        <v>5.0814750000000002</v>
      </c>
      <c r="E2911">
        <v>0.53591880000000003</v>
      </c>
      <c r="F2911" t="s">
        <v>42</v>
      </c>
      <c r="G2911">
        <v>-498.33300000000003</v>
      </c>
      <c r="H2911" s="1">
        <v>-5.2197969999999997E-6</v>
      </c>
      <c r="I2911">
        <v>257.98180000000002</v>
      </c>
      <c r="J2911">
        <v>-501.4409</v>
      </c>
      <c r="K2911">
        <v>1.201719</v>
      </c>
      <c r="L2911">
        <v>267.6542</v>
      </c>
      <c r="M2911">
        <v>6.3658709999999993E-2</v>
      </c>
      <c r="N2911">
        <v>-3.672342E-2</v>
      </c>
      <c r="O2911">
        <v>-0.99729590000000001</v>
      </c>
      <c r="P2911">
        <v>0.39748810000000001</v>
      </c>
      <c r="Q2911">
        <v>0.31801639999999998</v>
      </c>
      <c r="R2911">
        <v>-0.86073739999999999</v>
      </c>
      <c r="S2911">
        <v>1.013336</v>
      </c>
      <c r="T2911">
        <v>-0.3878953</v>
      </c>
      <c r="U2911">
        <v>-3.1531370000000001</v>
      </c>
      <c r="V2911">
        <v>-0.34950769999999998</v>
      </c>
      <c r="W2911">
        <v>0.34263640000000001</v>
      </c>
      <c r="X2911">
        <v>0.8720348</v>
      </c>
      <c r="Y2911">
        <v>-0.24302399999999999</v>
      </c>
      <c r="Z2911">
        <v>8.0821050000000005E-2</v>
      </c>
      <c r="AA2911">
        <v>0.96664740000000005</v>
      </c>
      <c r="AB2911">
        <v>12</v>
      </c>
      <c r="AC2911">
        <v>3.1078999999999701</v>
      </c>
      <c r="AD2911">
        <v>-1.2017242197969999</v>
      </c>
      <c r="AE2911">
        <v>-9.6723999999999801</v>
      </c>
      <c r="AF2911">
        <v>-2.4511441452502298</v>
      </c>
      <c r="AG2911">
        <v>-1.2017242197969999</v>
      </c>
      <c r="AH2911">
        <v>9.7148072944491908</v>
      </c>
      <c r="AI2911">
        <v>96.839463767399295</v>
      </c>
      <c r="AJ2911">
        <v>104.160749560214</v>
      </c>
      <c r="AK2911">
        <v>10.0910717711016</v>
      </c>
      <c r="AL2911">
        <v>69.962420844292694</v>
      </c>
      <c r="AM2911">
        <v>111.840695087797</v>
      </c>
      <c r="AN2911">
        <v>1.0000000136876399</v>
      </c>
    </row>
    <row r="2912" spans="1:40" x14ac:dyDescent="0.25">
      <c r="A2912" t="str">
        <f>"20190304164145227"</f>
        <v>20190304164145227</v>
      </c>
      <c r="B2912" t="str">
        <f>"1551688905213821"</f>
        <v>1551688905213821</v>
      </c>
      <c r="C2912" t="s">
        <v>40</v>
      </c>
      <c r="D2912">
        <v>5.093388</v>
      </c>
      <c r="E2912">
        <v>0.53737290000000004</v>
      </c>
      <c r="F2912" t="s">
        <v>42</v>
      </c>
      <c r="G2912">
        <v>-498.50580000000002</v>
      </c>
      <c r="H2912" s="1">
        <v>-5.466772E-6</v>
      </c>
      <c r="I2912">
        <v>258.61750000000001</v>
      </c>
      <c r="J2912">
        <v>-501.4042</v>
      </c>
      <c r="K2912">
        <v>1.2015979999999999</v>
      </c>
      <c r="L2912">
        <v>267.55430000000001</v>
      </c>
      <c r="M2912">
        <v>8.7867089999999995E-2</v>
      </c>
      <c r="N2912">
        <v>-3.6244230000000002E-2</v>
      </c>
      <c r="O2912">
        <v>-0.99547260000000004</v>
      </c>
      <c r="P2912">
        <v>0.41520279999999998</v>
      </c>
      <c r="Q2912">
        <v>0.31717060000000002</v>
      </c>
      <c r="R2912">
        <v>-0.85264869999999904</v>
      </c>
      <c r="S2912">
        <v>1.0283199999999999</v>
      </c>
      <c r="T2912">
        <v>-0.42102859999999998</v>
      </c>
      <c r="U2912">
        <v>-3.1660460000000001</v>
      </c>
      <c r="V2912">
        <v>-0.34614349999999999</v>
      </c>
      <c r="W2912">
        <v>0.34161619999999998</v>
      </c>
      <c r="X2912">
        <v>0.87377519999999997</v>
      </c>
      <c r="Y2912">
        <v>-0.2221766</v>
      </c>
      <c r="Z2912">
        <v>9.0702309999999994E-2</v>
      </c>
      <c r="AA2912">
        <v>0.97077840000000004</v>
      </c>
      <c r="AB2912">
        <v>12</v>
      </c>
      <c r="AC2912">
        <v>2.8983999999999801</v>
      </c>
      <c r="AD2912">
        <v>-1.2016034667719999</v>
      </c>
      <c r="AE2912">
        <v>-8.9367999999999999</v>
      </c>
      <c r="AF2912">
        <v>-2.0675868570146498</v>
      </c>
      <c r="AG2912">
        <v>-1.2016034667719999</v>
      </c>
      <c r="AH2912">
        <v>9.0096525830218397</v>
      </c>
      <c r="AI2912">
        <v>97.406321017857195</v>
      </c>
      <c r="AJ2912">
        <v>102.924777230307</v>
      </c>
      <c r="AK2912">
        <v>9.3216203510661408</v>
      </c>
      <c r="AL2912">
        <v>70.024628197578707</v>
      </c>
      <c r="AM2912">
        <v>111.610850405195</v>
      </c>
      <c r="AN2912">
        <v>1.00000002541486</v>
      </c>
    </row>
    <row r="2913" spans="1:40" x14ac:dyDescent="0.25">
      <c r="A2913" t="str">
        <f>"20190304164145248"</f>
        <v>20190304164145248</v>
      </c>
      <c r="B2913" t="str">
        <f>"1551688905244077"</f>
        <v>1551688905244077</v>
      </c>
      <c r="C2913" t="s">
        <v>40</v>
      </c>
      <c r="D2913">
        <v>5.070894</v>
      </c>
      <c r="E2913">
        <v>0.53926169999999995</v>
      </c>
      <c r="F2913" t="s">
        <v>42</v>
      </c>
      <c r="G2913">
        <v>-498.37329999999997</v>
      </c>
      <c r="H2913" s="1">
        <v>-5.5002759999999999E-6</v>
      </c>
      <c r="I2913">
        <v>258.78500000000003</v>
      </c>
      <c r="J2913">
        <v>-501.3646</v>
      </c>
      <c r="K2913">
        <v>1.201489</v>
      </c>
      <c r="L2913">
        <v>267.45609999999999</v>
      </c>
      <c r="M2913">
        <v>0.11229119999999999</v>
      </c>
      <c r="N2913">
        <v>-3.5513169999999997E-2</v>
      </c>
      <c r="O2913">
        <v>-0.99304060000000005</v>
      </c>
      <c r="P2913">
        <v>0.42990089999999997</v>
      </c>
      <c r="Q2913">
        <v>0.31580380000000002</v>
      </c>
      <c r="R2913">
        <v>-0.8458447</v>
      </c>
      <c r="S2913">
        <v>1.088379</v>
      </c>
      <c r="T2913">
        <v>-0.43148370000000003</v>
      </c>
      <c r="U2913">
        <v>-3.1489560000000001</v>
      </c>
      <c r="V2913">
        <v>-0.33956350000000002</v>
      </c>
      <c r="W2913">
        <v>0.33990860000000001</v>
      </c>
      <c r="X2913">
        <v>0.87701700000000005</v>
      </c>
      <c r="Y2913">
        <v>-0.2163185</v>
      </c>
      <c r="Z2913">
        <v>9.4573959999999999E-2</v>
      </c>
      <c r="AA2913">
        <v>0.97173149999999997</v>
      </c>
      <c r="AB2913">
        <v>11</v>
      </c>
      <c r="AC2913">
        <v>2.9913000000000198</v>
      </c>
      <c r="AD2913">
        <v>-1.201494500276</v>
      </c>
      <c r="AE2913">
        <v>-8.6710999999999601</v>
      </c>
      <c r="AF2913">
        <v>-1.9643503474188799</v>
      </c>
      <c r="AG2913">
        <v>-1.201494500276</v>
      </c>
      <c r="AH2913">
        <v>8.8012864362815506</v>
      </c>
      <c r="AI2913">
        <v>97.589129454338902</v>
      </c>
      <c r="AJ2913">
        <v>102.58158266001701</v>
      </c>
      <c r="AK2913">
        <v>9.0975218743936992</v>
      </c>
      <c r="AL2913">
        <v>70.128694879824295</v>
      </c>
      <c r="AM2913">
        <v>111.16541006611</v>
      </c>
      <c r="AN2913">
        <v>1.0000000225876</v>
      </c>
    </row>
    <row r="2914" spans="1:40" x14ac:dyDescent="0.25">
      <c r="A2914" t="str">
        <f>"20190304164145272"</f>
        <v>20190304164145272</v>
      </c>
      <c r="B2914" t="str">
        <f>"1551688905263597"</f>
        <v>1551688905263597</v>
      </c>
      <c r="C2914" t="s">
        <v>40</v>
      </c>
      <c r="D2914">
        <v>5.3266540000000004</v>
      </c>
      <c r="E2914">
        <v>0.54258260000000003</v>
      </c>
      <c r="F2914" t="s">
        <v>42</v>
      </c>
      <c r="G2914">
        <v>-498.28649999999999</v>
      </c>
      <c r="H2914" s="1">
        <v>-5.5480699999999999E-6</v>
      </c>
      <c r="I2914">
        <v>258.97070000000002</v>
      </c>
      <c r="J2914">
        <v>-501.32150000000001</v>
      </c>
      <c r="K2914">
        <v>1.2012020000000001</v>
      </c>
      <c r="L2914">
        <v>267.35840000000002</v>
      </c>
      <c r="M2914">
        <v>0.13703089999999901</v>
      </c>
      <c r="N2914">
        <v>-3.462987E-2</v>
      </c>
      <c r="O2914">
        <v>-0.98996130000000004</v>
      </c>
      <c r="P2914">
        <v>0.44362380000000001</v>
      </c>
      <c r="Q2914">
        <v>0.3152258</v>
      </c>
      <c r="R2914">
        <v>-0.83894650000000004</v>
      </c>
      <c r="S2914">
        <v>1.137054</v>
      </c>
      <c r="T2914">
        <v>-0.44384099999999999</v>
      </c>
      <c r="U2914">
        <v>-3.1345519999999998</v>
      </c>
      <c r="V2914">
        <v>-0.33162940000000002</v>
      </c>
      <c r="W2914">
        <v>0.33899990000000002</v>
      </c>
      <c r="X2914">
        <v>0.88039820000000002</v>
      </c>
      <c r="Y2914">
        <v>-0.20662230000000001</v>
      </c>
      <c r="Z2914">
        <v>9.9019780000000002E-2</v>
      </c>
      <c r="AA2914">
        <v>0.97339730000000002</v>
      </c>
      <c r="AB2914">
        <v>11</v>
      </c>
      <c r="AC2914">
        <v>3.0350000000000201</v>
      </c>
      <c r="AD2914">
        <v>-1.20120754807</v>
      </c>
      <c r="AE2914">
        <v>-8.3876999999999899</v>
      </c>
      <c r="AF2914">
        <v>-1.82320806040427</v>
      </c>
      <c r="AG2914">
        <v>-1.20120754807</v>
      </c>
      <c r="AH2914">
        <v>8.5692178209354495</v>
      </c>
      <c r="AI2914">
        <v>97.807037001202005</v>
      </c>
      <c r="AJ2914">
        <v>102.011287933131</v>
      </c>
      <c r="AK2914">
        <v>8.8429905160924598</v>
      </c>
      <c r="AL2914">
        <v>70.184045518785098</v>
      </c>
      <c r="AM2914">
        <v>110.640445529045</v>
      </c>
      <c r="AN2914">
        <v>0.99999999085380498</v>
      </c>
    </row>
    <row r="2915" spans="1:40" x14ac:dyDescent="0.25">
      <c r="A2915" t="str">
        <f>"20190304164145294"</f>
        <v>20190304164145294</v>
      </c>
      <c r="B2915" t="str">
        <f>"1551688905284093"</f>
        <v>1551688905284093</v>
      </c>
      <c r="C2915" t="s">
        <v>40</v>
      </c>
      <c r="D2915">
        <v>5.103764</v>
      </c>
      <c r="E2915">
        <v>0.50133760000000005</v>
      </c>
      <c r="F2915" t="s">
        <v>42</v>
      </c>
      <c r="G2915">
        <v>-498.36619999999999</v>
      </c>
      <c r="H2915" s="1">
        <v>-5.7361780000000001E-6</v>
      </c>
      <c r="I2915">
        <v>259.4819</v>
      </c>
      <c r="J2915">
        <v>-501.27710000000002</v>
      </c>
      <c r="K2915">
        <v>1.2006399999999999</v>
      </c>
      <c r="L2915">
        <v>267.26440000000002</v>
      </c>
      <c r="M2915">
        <v>0.16117909999999999</v>
      </c>
      <c r="N2915">
        <v>-3.3670459999999999E-2</v>
      </c>
      <c r="O2915">
        <v>-0.98635070000000002</v>
      </c>
      <c r="P2915">
        <v>0.45693489999999998</v>
      </c>
      <c r="Q2915">
        <v>0.31623519999999999</v>
      </c>
      <c r="R2915">
        <v>-0.83138819999999902</v>
      </c>
      <c r="S2915">
        <v>1.1758120000000001</v>
      </c>
      <c r="T2915">
        <v>-0.47791610000000001</v>
      </c>
      <c r="U2915">
        <v>-3.133759</v>
      </c>
      <c r="V2915">
        <v>-0.3237158</v>
      </c>
      <c r="W2915">
        <v>0.33977580000000002</v>
      </c>
      <c r="X2915">
        <v>0.88304039999999995</v>
      </c>
      <c r="Y2915">
        <v>-0.19302250000000001</v>
      </c>
      <c r="Z2915">
        <v>0.10930049999999999</v>
      </c>
      <c r="AA2915">
        <v>0.97508760000000005</v>
      </c>
      <c r="AB2915">
        <v>11</v>
      </c>
      <c r="AC2915">
        <v>2.9109000000000198</v>
      </c>
      <c r="AD2915">
        <v>-1.2006457361780001</v>
      </c>
      <c r="AE2915">
        <v>-7.7825000000000202</v>
      </c>
      <c r="AF2915">
        <v>-1.5846225845064701</v>
      </c>
      <c r="AG2915">
        <v>-1.2006457361780001</v>
      </c>
      <c r="AH2915">
        <v>7.9833804655127203</v>
      </c>
      <c r="AI2915">
        <v>98.391484544674597</v>
      </c>
      <c r="AJ2915">
        <v>101.226728942718</v>
      </c>
      <c r="AK2915">
        <v>8.2272074591723108</v>
      </c>
      <c r="AL2915">
        <v>70.136783378466802</v>
      </c>
      <c r="AM2915">
        <v>110.13254676375</v>
      </c>
      <c r="AN2915">
        <v>0.99999993073371696</v>
      </c>
    </row>
    <row r="2916" spans="1:40" x14ac:dyDescent="0.25">
      <c r="A2916" t="str">
        <f>"20190304164145318"</f>
        <v>20190304164145318</v>
      </c>
      <c r="B2916" t="str">
        <f>"1551688905303614"</f>
        <v>1551688905303614</v>
      </c>
      <c r="C2916" t="s">
        <v>40</v>
      </c>
      <c r="D2916">
        <v>5.063447</v>
      </c>
      <c r="E2916">
        <v>0.49238989999999999</v>
      </c>
      <c r="F2916" t="s">
        <v>42</v>
      </c>
      <c r="G2916">
        <v>-496.72059999999999</v>
      </c>
      <c r="H2916" s="1">
        <v>-5.0867720000000002E-6</v>
      </c>
      <c r="I2916">
        <v>258.4314</v>
      </c>
      <c r="J2916">
        <v>-501.23110000000003</v>
      </c>
      <c r="K2916">
        <v>1.1998879999999901</v>
      </c>
      <c r="L2916">
        <v>267.17219999999998</v>
      </c>
      <c r="M2916">
        <v>0.1849345</v>
      </c>
      <c r="N2916">
        <v>-3.2597830000000001E-2</v>
      </c>
      <c r="O2916">
        <v>-0.98221009999999997</v>
      </c>
      <c r="P2916">
        <v>0.47049069999999998</v>
      </c>
      <c r="Q2916">
        <v>0.31708910000000001</v>
      </c>
      <c r="R2916">
        <v>-0.82346419999999998</v>
      </c>
      <c r="S2916">
        <v>1.5111079999999999</v>
      </c>
      <c r="T2916">
        <v>-0.3981827</v>
      </c>
      <c r="U2916">
        <v>-2.9293819999999999</v>
      </c>
      <c r="V2916">
        <v>-0.31630160000000002</v>
      </c>
      <c r="W2916">
        <v>0.34038790000000002</v>
      </c>
      <c r="X2916">
        <v>0.88548819999999995</v>
      </c>
      <c r="Y2916">
        <v>-0.28353430000000002</v>
      </c>
      <c r="Z2916">
        <v>9.0101230000000004E-2</v>
      </c>
      <c r="AA2916">
        <v>0.95471989999999995</v>
      </c>
      <c r="AB2916">
        <v>11</v>
      </c>
      <c r="AC2916">
        <v>4.5105000000000297</v>
      </c>
      <c r="AD2916">
        <v>-1.1998930867719999</v>
      </c>
      <c r="AE2916">
        <v>-8.7407999999999699</v>
      </c>
      <c r="AF2916">
        <v>-2.7739975907399201</v>
      </c>
      <c r="AG2916">
        <v>-1.1998930867719999</v>
      </c>
      <c r="AH2916">
        <v>9.2862624674236791</v>
      </c>
      <c r="AI2916">
        <v>97.057636767327395</v>
      </c>
      <c r="AJ2916">
        <v>106.63196726782</v>
      </c>
      <c r="AK2916">
        <v>9.76572970478888</v>
      </c>
      <c r="AL2916">
        <v>70.099490972075401</v>
      </c>
      <c r="AM2916">
        <v>109.65702693572599</v>
      </c>
      <c r="AN2916">
        <v>0.99999998848410399</v>
      </c>
    </row>
    <row r="2917" spans="1:40" x14ac:dyDescent="0.25">
      <c r="A2917" t="str">
        <f>"20190304164145339"</f>
        <v>20190304164145339</v>
      </c>
      <c r="B2917" t="str">
        <f>"1551688905333869"</f>
        <v>1551688905333869</v>
      </c>
      <c r="C2917" t="s">
        <v>40</v>
      </c>
      <c r="D2917">
        <v>5.0221609999999997</v>
      </c>
      <c r="E2917">
        <v>0.49073109999999998</v>
      </c>
      <c r="F2917" t="s">
        <v>42</v>
      </c>
      <c r="G2917">
        <v>-495.9391</v>
      </c>
      <c r="H2917" s="1">
        <v>-4.7452470000000001E-6</v>
      </c>
      <c r="I2917">
        <v>257.83510000000001</v>
      </c>
      <c r="J2917">
        <v>-501.18470000000002</v>
      </c>
      <c r="K2917">
        <v>1.1991339999999999</v>
      </c>
      <c r="L2917">
        <v>267.0829</v>
      </c>
      <c r="M2917">
        <v>0.20777699999999999</v>
      </c>
      <c r="N2917">
        <v>-3.1417779999999999E-2</v>
      </c>
      <c r="O2917">
        <v>-0.97767159999999997</v>
      </c>
      <c r="P2917">
        <v>0.48225820000000003</v>
      </c>
      <c r="Q2917">
        <v>0.31756050000000002</v>
      </c>
      <c r="R2917">
        <v>-0.81644499999999998</v>
      </c>
      <c r="S2917">
        <v>1.620331</v>
      </c>
      <c r="T2917">
        <v>-0.36738670000000001</v>
      </c>
      <c r="U2917">
        <v>-2.8588559999999998</v>
      </c>
      <c r="V2917">
        <v>-0.30776500000000001</v>
      </c>
      <c r="W2917">
        <v>0.34052110000000002</v>
      </c>
      <c r="X2917">
        <v>0.88844029999999996</v>
      </c>
      <c r="Y2917">
        <v>-0.2991258</v>
      </c>
      <c r="Z2917">
        <v>8.2643610000000006E-2</v>
      </c>
      <c r="AA2917">
        <v>0.95062809999999998</v>
      </c>
      <c r="AB2917">
        <v>11</v>
      </c>
      <c r="AC2917">
        <v>5.24560000000002</v>
      </c>
      <c r="AD2917">
        <v>-1.1991387452469999</v>
      </c>
      <c r="AE2917">
        <v>-9.2477999999999803</v>
      </c>
      <c r="AF2917">
        <v>-3.1682748211334499</v>
      </c>
      <c r="AG2917">
        <v>-1.1991387452469999</v>
      </c>
      <c r="AH2917">
        <v>10.008908540756901</v>
      </c>
      <c r="AI2917">
        <v>96.516152536818396</v>
      </c>
      <c r="AJ2917">
        <v>107.564948220048</v>
      </c>
      <c r="AK2917">
        <v>10.5666526984574</v>
      </c>
      <c r="AL2917">
        <v>70.091375375567594</v>
      </c>
      <c r="AM2917">
        <v>109.106619871644</v>
      </c>
      <c r="AN2917">
        <v>1.0000000407171401</v>
      </c>
    </row>
    <row r="2918" spans="1:40" x14ac:dyDescent="0.25">
      <c r="A2918" t="str">
        <f>"20190304164145365"</f>
        <v>20190304164145365</v>
      </c>
      <c r="B2918" t="str">
        <f>"1551688905353389"</f>
        <v>1551688905353389</v>
      </c>
      <c r="C2918" t="s">
        <v>40</v>
      </c>
      <c r="D2918">
        <v>4.9928290000000004</v>
      </c>
      <c r="E2918">
        <v>0.49159059999999999</v>
      </c>
      <c r="F2918" t="s">
        <v>42</v>
      </c>
      <c r="G2918">
        <v>-495.53269999999998</v>
      </c>
      <c r="H2918" s="1">
        <v>-4.5771959999999999E-6</v>
      </c>
      <c r="I2918">
        <v>257.5532</v>
      </c>
      <c r="J2918">
        <v>-501.13209999999998</v>
      </c>
      <c r="K2918">
        <v>1.1983919999999999</v>
      </c>
      <c r="L2918">
        <v>266.98570000000001</v>
      </c>
      <c r="M2918">
        <v>0.23210620000000001</v>
      </c>
      <c r="N2918">
        <v>-3.0038619999999999E-2</v>
      </c>
      <c r="O2918">
        <v>-0.97222640000000005</v>
      </c>
      <c r="P2918">
        <v>0.4942105</v>
      </c>
      <c r="Q2918">
        <v>0.318187</v>
      </c>
      <c r="R2918">
        <v>-0.80901990000000001</v>
      </c>
      <c r="S2918">
        <v>1.6746220000000001</v>
      </c>
      <c r="T2918">
        <v>-0.355292</v>
      </c>
      <c r="U2918">
        <v>-2.8235779999999999</v>
      </c>
      <c r="V2918">
        <v>-0.2980873</v>
      </c>
      <c r="W2918">
        <v>0.34060489999999999</v>
      </c>
      <c r="X2918">
        <v>0.89170190000000005</v>
      </c>
      <c r="Y2918">
        <v>-0.29419820000000002</v>
      </c>
      <c r="Z2918">
        <v>8.0394069999999998E-2</v>
      </c>
      <c r="AA2918">
        <v>0.95235720000000001</v>
      </c>
      <c r="AB2918">
        <v>11</v>
      </c>
      <c r="AC2918">
        <v>5.5994000000000002</v>
      </c>
      <c r="AD2918">
        <v>-1.1983965771959999</v>
      </c>
      <c r="AE2918">
        <v>-9.4324999999999992</v>
      </c>
      <c r="AF2918">
        <v>-3.2176083765753098</v>
      </c>
      <c r="AG2918">
        <v>-1.1983965771959999</v>
      </c>
      <c r="AH2918">
        <v>10.351359426002601</v>
      </c>
      <c r="AI2918">
        <v>96.308665154030393</v>
      </c>
      <c r="AJ2918">
        <v>107.267293245874</v>
      </c>
      <c r="AK2918">
        <v>10.9059525025343</v>
      </c>
      <c r="AL2918">
        <v>70.086268030756997</v>
      </c>
      <c r="AM2918">
        <v>108.484282034491</v>
      </c>
      <c r="AN2918">
        <v>1.0000000073944499</v>
      </c>
    </row>
    <row r="2919" spans="1:40" x14ac:dyDescent="0.25">
      <c r="A2919" t="str">
        <f>"20190304164145408"</f>
        <v>20190304164145408</v>
      </c>
      <c r="B2919" t="str">
        <f>"1551688905393405"</f>
        <v>1551688905393405</v>
      </c>
      <c r="C2919" t="s">
        <v>40</v>
      </c>
      <c r="D2919">
        <v>4.9735569999999996</v>
      </c>
      <c r="E2919">
        <v>0.49266700000000002</v>
      </c>
      <c r="F2919" t="s">
        <v>42</v>
      </c>
      <c r="G2919">
        <v>-495.27980000000002</v>
      </c>
      <c r="H2919" s="1">
        <v>-4.4929249999999998E-6</v>
      </c>
      <c r="I2919">
        <v>257.43740000000003</v>
      </c>
      <c r="J2919">
        <v>-501.03339999999997</v>
      </c>
      <c r="K2919">
        <v>1.1973400000000001</v>
      </c>
      <c r="L2919">
        <v>266.81299999999999</v>
      </c>
      <c r="M2919">
        <v>0.2736035</v>
      </c>
      <c r="N2919">
        <v>-2.7539689999999999E-2</v>
      </c>
      <c r="O2919">
        <v>-0.96144819999999998</v>
      </c>
      <c r="P2919">
        <v>0.51360890000000003</v>
      </c>
      <c r="Q2919">
        <v>0.32089790000000001</v>
      </c>
      <c r="R2919">
        <v>-0.79575779999999996</v>
      </c>
      <c r="S2919">
        <v>1.7152400000000001</v>
      </c>
      <c r="T2919">
        <v>-0.3512344</v>
      </c>
      <c r="U2919">
        <v>-2.798492</v>
      </c>
      <c r="V2919">
        <v>-0.28076190000000001</v>
      </c>
      <c r="W2919">
        <v>0.34202440000000001</v>
      </c>
      <c r="X2919">
        <v>0.8967676</v>
      </c>
      <c r="Y2919">
        <v>-0.2670265</v>
      </c>
      <c r="Z2919">
        <v>8.0972619999999995E-2</v>
      </c>
      <c r="AA2919">
        <v>0.96028139999999995</v>
      </c>
      <c r="AB2919">
        <v>11</v>
      </c>
      <c r="AC2919">
        <v>5.7535999999999401</v>
      </c>
      <c r="AD2919">
        <v>-1.1973444929249999</v>
      </c>
      <c r="AE2919">
        <v>-9.3755999999999595</v>
      </c>
      <c r="AF2919">
        <v>-2.9329683121515</v>
      </c>
      <c r="AG2919">
        <v>-1.1973444929249999</v>
      </c>
      <c r="AH2919">
        <v>10.468351346214</v>
      </c>
      <c r="AI2919">
        <v>96.285024359934994</v>
      </c>
      <c r="AJ2919">
        <v>105.65153356448</v>
      </c>
      <c r="AK2919">
        <v>10.937198766713699</v>
      </c>
      <c r="AL2919">
        <v>69.999741115946406</v>
      </c>
      <c r="AM2919">
        <v>107.384405188336</v>
      </c>
      <c r="AN2919">
        <v>1.0000000315483599</v>
      </c>
    </row>
    <row r="2920" spans="1:40" x14ac:dyDescent="0.25">
      <c r="A2920" t="str">
        <f>"20190304164145429"</f>
        <v>20190304164145429</v>
      </c>
      <c r="B2920" t="str">
        <f>"1551688905423661"</f>
        <v>1551688905423661</v>
      </c>
      <c r="C2920" t="s">
        <v>40</v>
      </c>
      <c r="D2920">
        <v>5.3232589999999904</v>
      </c>
      <c r="E2920">
        <v>0.49474170000000001</v>
      </c>
      <c r="F2920" t="s">
        <v>42</v>
      </c>
      <c r="G2920">
        <v>-494.8578</v>
      </c>
      <c r="H2920" s="1">
        <v>-4.3605430000000001E-6</v>
      </c>
      <c r="I2920">
        <v>257.26830000000001</v>
      </c>
      <c r="J2920">
        <v>-500.98719999999997</v>
      </c>
      <c r="K2920">
        <v>1.1969749999999999</v>
      </c>
      <c r="L2920">
        <v>266.73540000000003</v>
      </c>
      <c r="M2920">
        <v>0.29158479999999998</v>
      </c>
      <c r="N2920">
        <v>-2.6407130000000001E-2</v>
      </c>
      <c r="O2920">
        <v>-0.95618029999999998</v>
      </c>
      <c r="P2920">
        <v>0.52325940000000004</v>
      </c>
      <c r="Q2920">
        <v>0.32185560000000002</v>
      </c>
      <c r="R2920">
        <v>-0.78905559999999997</v>
      </c>
      <c r="S2920">
        <v>1.7843629999999999</v>
      </c>
      <c r="T2920">
        <v>-0.34595479999999901</v>
      </c>
      <c r="U2920">
        <v>-2.7577820000000002</v>
      </c>
      <c r="V2920">
        <v>-0.274698</v>
      </c>
      <c r="W2920">
        <v>0.3422579</v>
      </c>
      <c r="X2920">
        <v>0.89855469999999904</v>
      </c>
      <c r="Y2920">
        <v>-0.27245999999999998</v>
      </c>
      <c r="Z2920">
        <v>8.0374029999999999E-2</v>
      </c>
      <c r="AA2920">
        <v>0.9588042</v>
      </c>
      <c r="AB2920">
        <v>11</v>
      </c>
      <c r="AC2920">
        <v>6.1293999999999702</v>
      </c>
      <c r="AD2920">
        <v>-1.1969793605429999</v>
      </c>
      <c r="AE2920">
        <v>-9.4671000000000092</v>
      </c>
      <c r="AF2920">
        <v>-3.06688484845666</v>
      </c>
      <c r="AG2920">
        <v>-1.1969793605429999</v>
      </c>
      <c r="AH2920">
        <v>10.722496194766</v>
      </c>
      <c r="AI2920">
        <v>96.126023793974298</v>
      </c>
      <c r="AJ2920">
        <v>105.961768982398</v>
      </c>
      <c r="AK2920">
        <v>11.216526508239101</v>
      </c>
      <c r="AL2920">
        <v>69.985502726066798</v>
      </c>
      <c r="AM2920">
        <v>106.99896546465099</v>
      </c>
      <c r="AN2920">
        <v>1.0000000051042399</v>
      </c>
    </row>
    <row r="2921" spans="1:40" x14ac:dyDescent="0.25">
      <c r="A2921" t="str">
        <f>"20190304164145451"</f>
        <v>20190304164145451</v>
      </c>
      <c r="B2921" t="str">
        <f>"1551688905444157"</f>
        <v>1551688905444157</v>
      </c>
      <c r="C2921" t="s">
        <v>40</v>
      </c>
      <c r="D2921">
        <v>4.9306599999999996</v>
      </c>
      <c r="E2921">
        <v>0.49607970000000001</v>
      </c>
      <c r="F2921" t="s">
        <v>42</v>
      </c>
      <c r="G2921">
        <v>-494.61619999999999</v>
      </c>
      <c r="H2921" s="1">
        <v>-4.2395889999999999E-6</v>
      </c>
      <c r="I2921">
        <v>257.03879999999998</v>
      </c>
      <c r="J2921">
        <v>-500.93380000000002</v>
      </c>
      <c r="K2921">
        <v>1.1964159999999999</v>
      </c>
      <c r="L2921">
        <v>266.64830000000001</v>
      </c>
      <c r="M2921">
        <v>0.31115470000000001</v>
      </c>
      <c r="N2921">
        <v>-2.5457710000000001E-2</v>
      </c>
      <c r="O2921">
        <v>-0.95001829999999998</v>
      </c>
      <c r="P2921">
        <v>0.53612439999999995</v>
      </c>
      <c r="Q2921">
        <v>0.32160559999999899</v>
      </c>
      <c r="R2921">
        <v>-0.78047469999999997</v>
      </c>
      <c r="S2921">
        <v>1.8031919999999999</v>
      </c>
      <c r="T2921">
        <v>-0.33878160000000002</v>
      </c>
      <c r="U2921">
        <v>-2.7444459999999999</v>
      </c>
      <c r="V2921">
        <v>-0.27044990000000002</v>
      </c>
      <c r="W2921">
        <v>0.34159289999999998</v>
      </c>
      <c r="X2921">
        <v>0.90009509999999904</v>
      </c>
      <c r="Y2921">
        <v>-0.25953910000000002</v>
      </c>
      <c r="Z2921">
        <v>7.8719620000000004E-2</v>
      </c>
      <c r="AA2921">
        <v>0.96251889999999996</v>
      </c>
      <c r="AB2921">
        <v>11</v>
      </c>
      <c r="AC2921">
        <v>6.3176000000000201</v>
      </c>
      <c r="AD2921">
        <v>-1.196420239589</v>
      </c>
      <c r="AE2921">
        <v>-9.6095000000000201</v>
      </c>
      <c r="AF2921">
        <v>-2.98051202750983</v>
      </c>
      <c r="AG2921">
        <v>-1.196420239589</v>
      </c>
      <c r="AH2921">
        <v>10.97971226066</v>
      </c>
      <c r="AI2921">
        <v>96.003202143330896</v>
      </c>
      <c r="AJ2921">
        <v>105.187316782369</v>
      </c>
      <c r="AK2921">
        <v>11.4397969677227</v>
      </c>
      <c r="AL2921">
        <v>70.026048595378199</v>
      </c>
      <c r="AM2921">
        <v>106.723848780743</v>
      </c>
      <c r="AN2921">
        <v>1.0000000233922099</v>
      </c>
    </row>
    <row r="2922" spans="1:40" x14ac:dyDescent="0.25">
      <c r="A2922" t="str">
        <f>"20190304164145475"</f>
        <v>20190304164145475</v>
      </c>
      <c r="B2922" t="str">
        <f>"1551688905463677"</f>
        <v>1551688905463677</v>
      </c>
      <c r="C2922" t="s">
        <v>40</v>
      </c>
      <c r="D2922">
        <v>5.3328620000000004</v>
      </c>
      <c r="E2922">
        <v>0.49741000000000002</v>
      </c>
      <c r="F2922" t="s">
        <v>42</v>
      </c>
      <c r="G2922">
        <v>-494.36689999999999</v>
      </c>
      <c r="H2922" s="1">
        <v>-4.1480129999999997E-6</v>
      </c>
      <c r="I2922">
        <v>256.8997</v>
      </c>
      <c r="J2922">
        <v>-500.88119999999998</v>
      </c>
      <c r="K2922">
        <v>1.195478</v>
      </c>
      <c r="L2922">
        <v>266.56360000000001</v>
      </c>
      <c r="M2922">
        <v>0.32902490000000001</v>
      </c>
      <c r="N2922">
        <v>-2.533813E-2</v>
      </c>
      <c r="O2922">
        <v>-0.94398119999999996</v>
      </c>
      <c r="P2922">
        <v>0.54771269999999905</v>
      </c>
      <c r="Q2922">
        <v>0.32089620000000002</v>
      </c>
      <c r="R2922">
        <v>-0.77268130000000002</v>
      </c>
      <c r="S2922">
        <v>1.833588</v>
      </c>
      <c r="T2922">
        <v>-0.33406069999999999</v>
      </c>
      <c r="U2922">
        <v>-2.7219850000000001</v>
      </c>
      <c r="V2922">
        <v>-0.26581070000000001</v>
      </c>
      <c r="W2922">
        <v>0.34159060000000002</v>
      </c>
      <c r="X2922">
        <v>0.90147690000000003</v>
      </c>
      <c r="Y2922">
        <v>-0.25246439999999998</v>
      </c>
      <c r="Z2922">
        <v>7.7163570000000001E-2</v>
      </c>
      <c r="AA2922">
        <v>0.96452450000000001</v>
      </c>
      <c r="AB2922">
        <v>11</v>
      </c>
      <c r="AC2922">
        <v>6.5142999999999898</v>
      </c>
      <c r="AD2922">
        <v>-1.195482148013</v>
      </c>
      <c r="AE2922">
        <v>-9.6639000000000106</v>
      </c>
      <c r="AF2922">
        <v>-2.93973489724885</v>
      </c>
      <c r="AG2922">
        <v>-1.195482148013</v>
      </c>
      <c r="AH2922">
        <v>11.1521818577465</v>
      </c>
      <c r="AI2922">
        <v>95.917933828657496</v>
      </c>
      <c r="AJ2922">
        <v>104.767345351328</v>
      </c>
      <c r="AK2922">
        <v>11.594929021799601</v>
      </c>
      <c r="AL2922">
        <v>70.026189025232497</v>
      </c>
      <c r="AM2922">
        <v>106.428751124858</v>
      </c>
      <c r="AN2922">
        <v>1.00000003373822</v>
      </c>
    </row>
    <row r="2923" spans="1:40" x14ac:dyDescent="0.25">
      <c r="A2923" t="str">
        <f>"20190304164145495"</f>
        <v>20190304164145495</v>
      </c>
      <c r="B2923" t="str">
        <f>"1551688905484173"</f>
        <v>1551688905484173</v>
      </c>
      <c r="C2923" t="s">
        <v>40</v>
      </c>
      <c r="D2923">
        <v>4.8975010000000001</v>
      </c>
      <c r="E2923">
        <v>0.51101609999999997</v>
      </c>
      <c r="F2923" t="s">
        <v>42</v>
      </c>
      <c r="G2923">
        <v>-494.19069999999999</v>
      </c>
      <c r="H2923" s="1">
        <v>-4.0981039999999999E-6</v>
      </c>
      <c r="I2923">
        <v>256.84480000000002</v>
      </c>
      <c r="J2923">
        <v>-500.83449999999999</v>
      </c>
      <c r="K2923">
        <v>1.194761</v>
      </c>
      <c r="L2923">
        <v>266.4896</v>
      </c>
      <c r="M2923">
        <v>0.34396280000000001</v>
      </c>
      <c r="N2923">
        <v>-2.5498529999999998E-2</v>
      </c>
      <c r="O2923">
        <v>-0.93863700000000005</v>
      </c>
      <c r="P2923">
        <v>0.55364760000000002</v>
      </c>
      <c r="Q2923">
        <v>0.32189210000000001</v>
      </c>
      <c r="R2923">
        <v>-0.76802340000000002</v>
      </c>
      <c r="S2923">
        <v>1.8601380000000001</v>
      </c>
      <c r="T2923">
        <v>-0.33237359999999999</v>
      </c>
      <c r="U2923">
        <v>-2.7020569999999999</v>
      </c>
      <c r="V2923">
        <v>-0.2578722</v>
      </c>
      <c r="W2923">
        <v>0.3433271</v>
      </c>
      <c r="X2923">
        <v>0.90312150000000002</v>
      </c>
      <c r="Y2923">
        <v>-0.24689810000000001</v>
      </c>
      <c r="Z2923">
        <v>7.6278399999999996E-2</v>
      </c>
      <c r="AA2923">
        <v>0.96603470000000002</v>
      </c>
      <c r="AB2923">
        <v>10</v>
      </c>
      <c r="AC2923">
        <v>6.6437999999999899</v>
      </c>
      <c r="AD2923">
        <v>-1.1947650981039999</v>
      </c>
      <c r="AE2923">
        <v>-9.6447999999999698</v>
      </c>
      <c r="AF2923">
        <v>-2.88954157111373</v>
      </c>
      <c r="AG2923">
        <v>-1.1947650981039999</v>
      </c>
      <c r="AH2923">
        <v>11.2250534332047</v>
      </c>
      <c r="AI2923">
        <v>95.885091142593495</v>
      </c>
      <c r="AJ2923">
        <v>104.435610471605</v>
      </c>
      <c r="AK2923">
        <v>11.652413428519599</v>
      </c>
      <c r="AL2923">
        <v>69.920290996793895</v>
      </c>
      <c r="AM2923">
        <v>105.935863356347</v>
      </c>
      <c r="AN2923">
        <v>1.0000000064447401</v>
      </c>
    </row>
    <row r="2924" spans="1:40" x14ac:dyDescent="0.25">
      <c r="A2924" t="str">
        <f>"20190304164145517"</f>
        <v>20190304164145517</v>
      </c>
      <c r="B2924" t="str">
        <f>"1551688905503693"</f>
        <v>1551688905503693</v>
      </c>
      <c r="C2924" t="s">
        <v>40</v>
      </c>
      <c r="D2924">
        <v>4.8894339999999996</v>
      </c>
      <c r="E2924">
        <v>0.51415940000000004</v>
      </c>
      <c r="F2924" t="s">
        <v>42</v>
      </c>
      <c r="G2924">
        <v>-493.70319999999998</v>
      </c>
      <c r="H2924" s="1">
        <v>-3.561036E-6</v>
      </c>
      <c r="I2924">
        <v>255.5932</v>
      </c>
      <c r="J2924">
        <v>-500.78519999999997</v>
      </c>
      <c r="K2924">
        <v>1.194251</v>
      </c>
      <c r="L2924">
        <v>266.41329999999999</v>
      </c>
      <c r="M2924">
        <v>0.35876140000000001</v>
      </c>
      <c r="N2924">
        <v>-2.5668219999999999E-2</v>
      </c>
      <c r="O2924">
        <v>-0.93307660000000003</v>
      </c>
      <c r="P2924">
        <v>0.55612329999999999</v>
      </c>
      <c r="Q2924">
        <v>0.32206940000000001</v>
      </c>
      <c r="R2924">
        <v>-0.76615819999999901</v>
      </c>
      <c r="S2924">
        <v>1.7929079999999999</v>
      </c>
      <c r="T2924">
        <v>-0.30037999999999998</v>
      </c>
      <c r="U2924">
        <v>-2.7395019999999999</v>
      </c>
      <c r="V2924">
        <v>-0.24603920000000001</v>
      </c>
      <c r="W2924">
        <v>0.34407579999999999</v>
      </c>
      <c r="X2924">
        <v>0.90613279999999996</v>
      </c>
      <c r="Y2924">
        <v>-0.2092879</v>
      </c>
      <c r="Z2924">
        <v>6.5855540000000004E-2</v>
      </c>
      <c r="AA2924">
        <v>0.975634</v>
      </c>
      <c r="AB2924">
        <v>10</v>
      </c>
      <c r="AC2924">
        <v>7.0819999999999901</v>
      </c>
      <c r="AD2924">
        <v>-1.194254561036</v>
      </c>
      <c r="AE2924">
        <v>-10.820099999999901</v>
      </c>
      <c r="AF2924">
        <v>-2.7040500963976299</v>
      </c>
      <c r="AG2924">
        <v>-1.194254561036</v>
      </c>
      <c r="AH2924">
        <v>12.5339935570502</v>
      </c>
      <c r="AI2924">
        <v>95.321088899950993</v>
      </c>
      <c r="AJ2924">
        <v>102.174252499841</v>
      </c>
      <c r="AK2924">
        <v>12.877854066907201</v>
      </c>
      <c r="AL2924">
        <v>69.874611623581998</v>
      </c>
      <c r="AM2924">
        <v>105.191070807524</v>
      </c>
      <c r="AN2924">
        <v>1.00000004765905</v>
      </c>
    </row>
    <row r="2925" spans="1:40" x14ac:dyDescent="0.25">
      <c r="A2925" t="str">
        <f>"20190304164145541"</f>
        <v>20190304164145541</v>
      </c>
      <c r="B2925" t="str">
        <f>"1551688905533950"</f>
        <v>1551688905533950</v>
      </c>
      <c r="C2925" t="s">
        <v>40</v>
      </c>
      <c r="D2925">
        <v>4.8756899999999996</v>
      </c>
      <c r="E2925">
        <v>0.51670379999999905</v>
      </c>
      <c r="F2925" t="s">
        <v>42</v>
      </c>
      <c r="G2925">
        <v>-493.79199999999997</v>
      </c>
      <c r="H2925" s="1">
        <v>-3.6344330000000002E-6</v>
      </c>
      <c r="I2925">
        <v>255.70920000000001</v>
      </c>
      <c r="J2925">
        <v>-500.72919999999999</v>
      </c>
      <c r="K2925">
        <v>1.1938200000000001</v>
      </c>
      <c r="L2925">
        <v>266.32889999999998</v>
      </c>
      <c r="M2925">
        <v>0.37468210000000002</v>
      </c>
      <c r="N2925">
        <v>-2.5725189999999998E-2</v>
      </c>
      <c r="O2925">
        <v>-0.92679639999999996</v>
      </c>
      <c r="P2925">
        <v>0.55922839999999996</v>
      </c>
      <c r="Q2925">
        <v>0.31842150000000002</v>
      </c>
      <c r="R2925">
        <v>-0.76542250000000001</v>
      </c>
      <c r="S2925">
        <v>1.7922359999999999</v>
      </c>
      <c r="T2925">
        <v>-0.3060677</v>
      </c>
      <c r="U2925">
        <v>-2.7432859999999999</v>
      </c>
      <c r="V2925">
        <v>-0.23327149999999999</v>
      </c>
      <c r="W2925">
        <v>0.34081030000000001</v>
      </c>
      <c r="X2925">
        <v>0.91073199999999999</v>
      </c>
      <c r="Y2925">
        <v>-0.19170870000000001</v>
      </c>
      <c r="Z2925">
        <v>6.6773029999999997E-2</v>
      </c>
      <c r="AA2925">
        <v>0.97917779999999999</v>
      </c>
      <c r="AB2925">
        <v>10</v>
      </c>
      <c r="AC2925">
        <v>6.9372000000000096</v>
      </c>
      <c r="AD2925">
        <v>-1.193823634433</v>
      </c>
      <c r="AE2925">
        <v>-10.6196999999999</v>
      </c>
      <c r="AF2925">
        <v>-2.4296507508949099</v>
      </c>
      <c r="AG2925">
        <v>-1.193823634433</v>
      </c>
      <c r="AH2925">
        <v>12.336392060069601</v>
      </c>
      <c r="AI2925">
        <v>95.423890354084804</v>
      </c>
      <c r="AJ2925">
        <v>101.141796004573</v>
      </c>
      <c r="AK2925">
        <v>12.6299242555608</v>
      </c>
      <c r="AL2925">
        <v>70.073750696940493</v>
      </c>
      <c r="AM2925">
        <v>104.366663936896</v>
      </c>
      <c r="AN2925">
        <v>1.0000000145611601</v>
      </c>
    </row>
    <row r="2926" spans="1:40" x14ac:dyDescent="0.25">
      <c r="A2926" t="str">
        <f>"20190304164145565"</f>
        <v>20190304164145565</v>
      </c>
      <c r="B2926" t="str">
        <f>"1551688905553469"</f>
        <v>1551688905553469</v>
      </c>
      <c r="C2926" t="s">
        <v>40</v>
      </c>
      <c r="D2926">
        <v>4.8408639999999998</v>
      </c>
      <c r="E2926">
        <v>0.51804529999999904</v>
      </c>
      <c r="F2926" t="s">
        <v>42</v>
      </c>
      <c r="G2926">
        <v>-494.13959999999997</v>
      </c>
      <c r="H2926" s="1">
        <v>-3.8770509999999998E-6</v>
      </c>
      <c r="I2926">
        <v>256.22190000000001</v>
      </c>
      <c r="J2926">
        <v>-500.67759999999998</v>
      </c>
      <c r="K2926">
        <v>1.1933180000000001</v>
      </c>
      <c r="L2926">
        <v>266.25400000000002</v>
      </c>
      <c r="M2926">
        <v>0.38912859999999999</v>
      </c>
      <c r="N2926">
        <v>-2.5455169999999999E-2</v>
      </c>
      <c r="O2926">
        <v>-0.92083159999999997</v>
      </c>
      <c r="P2926">
        <v>0.55961609999999995</v>
      </c>
      <c r="Q2926">
        <v>0.31032480000000001</v>
      </c>
      <c r="R2926">
        <v>-0.76845839999999999</v>
      </c>
      <c r="S2926">
        <v>1.7904659999999999</v>
      </c>
      <c r="T2926">
        <v>-0.324378</v>
      </c>
      <c r="U2926">
        <v>-2.746216</v>
      </c>
      <c r="V2926">
        <v>-0.21790119999999999</v>
      </c>
      <c r="W2926">
        <v>0.3327794</v>
      </c>
      <c r="X2926">
        <v>0.91748399999999997</v>
      </c>
      <c r="Y2926">
        <v>-0.17522779999999999</v>
      </c>
      <c r="Z2926">
        <v>7.1625389999999997E-2</v>
      </c>
      <c r="AA2926">
        <v>0.98191910000000004</v>
      </c>
      <c r="AB2926">
        <v>10</v>
      </c>
      <c r="AC2926">
        <v>6.53800000000001</v>
      </c>
      <c r="AD2926">
        <v>-1.1933218770509999</v>
      </c>
      <c r="AE2926">
        <v>-10.0321</v>
      </c>
      <c r="AF2926">
        <v>-2.0964856127995399</v>
      </c>
      <c r="AG2926">
        <v>-1.1933218770509999</v>
      </c>
      <c r="AH2926">
        <v>11.669921160819699</v>
      </c>
      <c r="AI2926">
        <v>95.747181436723196</v>
      </c>
      <c r="AJ2926">
        <v>100.184473572465</v>
      </c>
      <c r="AK2926">
        <v>11.9166408407182</v>
      </c>
      <c r="AL2926">
        <v>70.562438666624999</v>
      </c>
      <c r="AM2926">
        <v>103.360144551761</v>
      </c>
      <c r="AN2926">
        <v>0.99999997614089897</v>
      </c>
    </row>
    <row r="2927" spans="1:40" x14ac:dyDescent="0.25">
      <c r="A2927" t="str">
        <f>"20190304164145586"</f>
        <v>20190304164145586</v>
      </c>
      <c r="B2927" t="str">
        <f>"1551688905573964"</f>
        <v>1551688905573964</v>
      </c>
      <c r="C2927" t="s">
        <v>40</v>
      </c>
      <c r="D2927">
        <v>4.8485019999999999</v>
      </c>
      <c r="E2927">
        <v>0.52612819999999905</v>
      </c>
      <c r="F2927" t="s">
        <v>42</v>
      </c>
      <c r="G2927">
        <v>-494.69170000000003</v>
      </c>
      <c r="H2927" s="1">
        <v>-4.254749E-6</v>
      </c>
      <c r="I2927">
        <v>257.04399999999998</v>
      </c>
      <c r="J2927">
        <v>-500.62430000000001</v>
      </c>
      <c r="K2927">
        <v>1.192477</v>
      </c>
      <c r="L2927">
        <v>266.1798</v>
      </c>
      <c r="M2927">
        <v>0.40397850000000002</v>
      </c>
      <c r="N2927">
        <v>-2.4991699999999999E-2</v>
      </c>
      <c r="O2927">
        <v>-0.9144272</v>
      </c>
      <c r="P2927">
        <v>0.56003709999999995</v>
      </c>
      <c r="Q2927">
        <v>0.3035448</v>
      </c>
      <c r="R2927">
        <v>-0.7708564</v>
      </c>
      <c r="S2927">
        <v>1.7855529999999999</v>
      </c>
      <c r="T2927">
        <v>-0.35596440000000001</v>
      </c>
      <c r="U2927">
        <v>-2.7473139999999998</v>
      </c>
      <c r="V2927">
        <v>-0.20208419999999999</v>
      </c>
      <c r="W2927">
        <v>0.3259147</v>
      </c>
      <c r="X2927">
        <v>0.92354829999999999</v>
      </c>
      <c r="Y2927">
        <v>-0.15747249999999999</v>
      </c>
      <c r="Z2927">
        <v>8.0335889999999993E-2</v>
      </c>
      <c r="AA2927">
        <v>0.98425019999999996</v>
      </c>
      <c r="AB2927">
        <v>10</v>
      </c>
      <c r="AC2927">
        <v>5.9325999999999697</v>
      </c>
      <c r="AD2927">
        <v>-1.192481254749</v>
      </c>
      <c r="AE2927">
        <v>-9.1357999999999606</v>
      </c>
      <c r="AF2927">
        <v>-1.7142617869211401</v>
      </c>
      <c r="AG2927">
        <v>-1.192481254749</v>
      </c>
      <c r="AH2927">
        <v>10.6266733935338</v>
      </c>
      <c r="AI2927">
        <v>96.321657477663706</v>
      </c>
      <c r="AJ2927">
        <v>99.163830035753506</v>
      </c>
      <c r="AK2927">
        <v>10.8299073140016</v>
      </c>
      <c r="AL2927">
        <v>70.978997779347793</v>
      </c>
      <c r="AM2927">
        <v>102.342521716834</v>
      </c>
      <c r="AN2927">
        <v>0.99999993899930795</v>
      </c>
    </row>
    <row r="2928" spans="1:40" x14ac:dyDescent="0.25">
      <c r="A2928" t="str">
        <f>"20190304164145608"</f>
        <v>20190304164145608</v>
      </c>
      <c r="B2928" t="str">
        <f>"1551688905604220"</f>
        <v>1551688905604220</v>
      </c>
      <c r="C2928" t="s">
        <v>40</v>
      </c>
      <c r="D2928">
        <v>4.8481909999999999</v>
      </c>
      <c r="E2928">
        <v>0.52669529999999998</v>
      </c>
      <c r="F2928" t="s">
        <v>42</v>
      </c>
      <c r="G2928">
        <v>-495.31740000000002</v>
      </c>
      <c r="H2928" s="1">
        <v>-4.5822199999999996E-6</v>
      </c>
      <c r="I2928">
        <v>257.68009999999998</v>
      </c>
      <c r="J2928">
        <v>-500.57299999999998</v>
      </c>
      <c r="K2928">
        <v>1.191379</v>
      </c>
      <c r="L2928">
        <v>266.11059999999998</v>
      </c>
      <c r="M2928">
        <v>0.41801500000000003</v>
      </c>
      <c r="N2928">
        <v>-2.4600529999999999E-2</v>
      </c>
      <c r="O2928">
        <v>-0.908107</v>
      </c>
      <c r="P2928">
        <v>0.56231569999999997</v>
      </c>
      <c r="Q2928">
        <v>0.30259259999999999</v>
      </c>
      <c r="R2928">
        <v>-0.7695708</v>
      </c>
      <c r="S2928">
        <v>1.7376400000000001</v>
      </c>
      <c r="T2928">
        <v>-0.39045259999999998</v>
      </c>
      <c r="U2928">
        <v>-2.78302</v>
      </c>
      <c r="V2928">
        <v>-0.1899844</v>
      </c>
      <c r="W2928">
        <v>0.32491370000000003</v>
      </c>
      <c r="X2928">
        <v>0.92646479999999998</v>
      </c>
      <c r="Y2928">
        <v>-0.12389799999999999</v>
      </c>
      <c r="Z2928">
        <v>8.8894100000000004E-2</v>
      </c>
      <c r="AA2928">
        <v>0.98830519999999999</v>
      </c>
      <c r="AB2928">
        <v>10</v>
      </c>
      <c r="AC2928">
        <v>5.25560000000001</v>
      </c>
      <c r="AD2928">
        <v>-1.1913835822200001</v>
      </c>
      <c r="AE2928">
        <v>-8.4304999999999897</v>
      </c>
      <c r="AF2928">
        <v>-1.23124231087512</v>
      </c>
      <c r="AG2928">
        <v>-1.1913835822200001</v>
      </c>
      <c r="AH2928">
        <v>9.7159662712425092</v>
      </c>
      <c r="AI2928">
        <v>96.935857261373599</v>
      </c>
      <c r="AJ2928">
        <v>97.222231838511505</v>
      </c>
      <c r="AK2928">
        <v>9.8658680840559896</v>
      </c>
      <c r="AL2928">
        <v>71.039653488594595</v>
      </c>
      <c r="AM2928">
        <v>101.58863467378001</v>
      </c>
      <c r="AN2928">
        <v>1.00000000516504</v>
      </c>
    </row>
    <row r="2929" spans="1:40" x14ac:dyDescent="0.25">
      <c r="A2929" t="str">
        <f>"20190304164145629"</f>
        <v>20190304164145629</v>
      </c>
      <c r="B2929" t="str">
        <f>"1551688905623740"</f>
        <v>1551688905623740</v>
      </c>
      <c r="C2929" t="s">
        <v>40</v>
      </c>
      <c r="D2929">
        <v>4.826117</v>
      </c>
      <c r="E2929">
        <v>0.52767810000000004</v>
      </c>
      <c r="F2929" t="s">
        <v>42</v>
      </c>
      <c r="G2929">
        <v>-495.05829999999997</v>
      </c>
      <c r="H2929" s="1">
        <v>-4.3964580000000003E-6</v>
      </c>
      <c r="I2929">
        <v>257.26940000000002</v>
      </c>
      <c r="J2929">
        <v>-500.51819999999998</v>
      </c>
      <c r="K2929">
        <v>1.1899500000000001</v>
      </c>
      <c r="L2929">
        <v>266.03919999999999</v>
      </c>
      <c r="M2929">
        <v>0.43230069999999998</v>
      </c>
      <c r="N2929">
        <v>-2.4345970000000001E-2</v>
      </c>
      <c r="O2929">
        <v>-0.9014008</v>
      </c>
      <c r="P2929">
        <v>0.5669457</v>
      </c>
      <c r="Q2929">
        <v>0.3059405</v>
      </c>
      <c r="R2929">
        <v>-0.76483540000000005</v>
      </c>
      <c r="S2929">
        <v>1.733368</v>
      </c>
      <c r="T2929">
        <v>-0.37446980000000002</v>
      </c>
      <c r="U2929">
        <v>-2.778931</v>
      </c>
      <c r="V2929">
        <v>-0.18089169999999999</v>
      </c>
      <c r="W2929">
        <v>0.32837100000000002</v>
      </c>
      <c r="X2929">
        <v>0.92706569999999999</v>
      </c>
      <c r="Y2929">
        <v>-0.1080528</v>
      </c>
      <c r="Z2929">
        <v>8.3869520000000003E-2</v>
      </c>
      <c r="AA2929">
        <v>0.99060110000000001</v>
      </c>
      <c r="AB2929">
        <v>10</v>
      </c>
      <c r="AC2929">
        <v>5.4599000000000002</v>
      </c>
      <c r="AD2929">
        <v>-1.1899543964579999</v>
      </c>
      <c r="AE2929">
        <v>-8.7697999999999698</v>
      </c>
      <c r="AF2929">
        <v>-1.1158966345121</v>
      </c>
      <c r="AG2929">
        <v>-1.1899543964579999</v>
      </c>
      <c r="AH2929">
        <v>10.1340058398052</v>
      </c>
      <c r="AI2929">
        <v>96.657239079268706</v>
      </c>
      <c r="AJ2929">
        <v>96.283756036214001</v>
      </c>
      <c r="AK2929">
        <v>10.2644674058507</v>
      </c>
      <c r="AL2929">
        <v>70.830069709068198</v>
      </c>
      <c r="AM2929">
        <v>101.040989697383</v>
      </c>
      <c r="AN2929">
        <v>1.0000000664431801</v>
      </c>
    </row>
    <row r="2930" spans="1:40" x14ac:dyDescent="0.25">
      <c r="A2930" t="str">
        <f>"20190304164145653"</f>
        <v>20190304164145653</v>
      </c>
      <c r="B2930" t="str">
        <f>"1551688905644236"</f>
        <v>1551688905644236</v>
      </c>
      <c r="C2930" t="s">
        <v>40</v>
      </c>
      <c r="D2930">
        <v>4.8143570000000002</v>
      </c>
      <c r="E2930">
        <v>0.52870189999999995</v>
      </c>
      <c r="F2930" t="s">
        <v>42</v>
      </c>
      <c r="G2930">
        <v>-494.7758</v>
      </c>
      <c r="H2930" s="1">
        <v>-4.1993779999999998E-6</v>
      </c>
      <c r="I2930">
        <v>256.83749999999998</v>
      </c>
      <c r="J2930">
        <v>-500.4615</v>
      </c>
      <c r="K2930">
        <v>1.188164</v>
      </c>
      <c r="L2930">
        <v>265.96699999999998</v>
      </c>
      <c r="M2930">
        <v>0.44617960000000001</v>
      </c>
      <c r="N2930">
        <v>-2.4220729999999999E-2</v>
      </c>
      <c r="O2930">
        <v>-0.89461579999999996</v>
      </c>
      <c r="P2930">
        <v>0.57012099999999999</v>
      </c>
      <c r="Q2930">
        <v>0.31226959999999998</v>
      </c>
      <c r="R2930">
        <v>-0.75990119999999906</v>
      </c>
      <c r="S2930">
        <v>1.734955</v>
      </c>
      <c r="T2930">
        <v>-0.3595217</v>
      </c>
      <c r="U2930">
        <v>-2.7801209999999998</v>
      </c>
      <c r="V2930">
        <v>-0.17069860000000001</v>
      </c>
      <c r="W2930">
        <v>0.33498410000000001</v>
      </c>
      <c r="X2930">
        <v>0.92663240000000002</v>
      </c>
      <c r="Y2930">
        <v>-9.3153029999999998E-2</v>
      </c>
      <c r="Z2930">
        <v>7.8840839999999995E-2</v>
      </c>
      <c r="AA2930">
        <v>0.9925254</v>
      </c>
      <c r="AB2930">
        <v>10</v>
      </c>
      <c r="AC2930">
        <v>5.68569999999999</v>
      </c>
      <c r="AD2930">
        <v>-1.188168199378</v>
      </c>
      <c r="AE2930">
        <v>-9.1295000000000002</v>
      </c>
      <c r="AF2930">
        <v>-1.00119851118207</v>
      </c>
      <c r="AG2930">
        <v>-1.188168199378</v>
      </c>
      <c r="AH2930">
        <v>10.578276274872801</v>
      </c>
      <c r="AI2930">
        <v>96.380411473261901</v>
      </c>
      <c r="AJ2930">
        <v>95.406747980641299</v>
      </c>
      <c r="AK2930">
        <v>10.691775861677201</v>
      </c>
      <c r="AL2930">
        <v>70.428428556739902</v>
      </c>
      <c r="AM2930">
        <v>100.43766420239299</v>
      </c>
      <c r="AN2930">
        <v>0.99999998201226403</v>
      </c>
    </row>
    <row r="2931" spans="1:40" x14ac:dyDescent="0.25">
      <c r="A2931" t="str">
        <f>"20190304164145675"</f>
        <v>20190304164145675</v>
      </c>
      <c r="B2931" t="str">
        <f>"1551688905663757"</f>
        <v>1551688905663757</v>
      </c>
      <c r="C2931" t="s">
        <v>40</v>
      </c>
      <c r="D2931">
        <v>4.81168</v>
      </c>
      <c r="E2931">
        <v>0.52945339999999996</v>
      </c>
      <c r="F2931" t="s">
        <v>42</v>
      </c>
      <c r="G2931">
        <v>-494.45929999999998</v>
      </c>
      <c r="H2931" s="1">
        <v>-3.9672809999999998E-6</v>
      </c>
      <c r="I2931">
        <v>256.32040000000001</v>
      </c>
      <c r="J2931">
        <v>-500.404</v>
      </c>
      <c r="K2931">
        <v>1.1860470000000001</v>
      </c>
      <c r="L2931">
        <v>265.89499999999998</v>
      </c>
      <c r="M2931">
        <v>0.45933020000000002</v>
      </c>
      <c r="N2931">
        <v>-2.417627E-2</v>
      </c>
      <c r="O2931">
        <v>-0.88793670000000002</v>
      </c>
      <c r="P2931">
        <v>0.57434649999999998</v>
      </c>
      <c r="Q2931">
        <v>0.31486259999999999</v>
      </c>
      <c r="R2931">
        <v>-0.75563749999999996</v>
      </c>
      <c r="S2931">
        <v>1.7345279999999901</v>
      </c>
      <c r="T2931">
        <v>-0.3433599</v>
      </c>
      <c r="U2931">
        <v>-2.7876889999999999</v>
      </c>
      <c r="V2931">
        <v>-0.16164489999999901</v>
      </c>
      <c r="W2931">
        <v>0.3380011</v>
      </c>
      <c r="X2931">
        <v>0.92716030000000005</v>
      </c>
      <c r="Y2931">
        <v>-7.7397820000000006E-2</v>
      </c>
      <c r="Z2931">
        <v>7.3323869999999999E-2</v>
      </c>
      <c r="AA2931">
        <v>0.99430039999999997</v>
      </c>
      <c r="AB2931">
        <v>10</v>
      </c>
      <c r="AC2931">
        <v>5.9447000000000099</v>
      </c>
      <c r="AD2931">
        <v>-1.18605096728099</v>
      </c>
      <c r="AE2931">
        <v>-9.57459999999997</v>
      </c>
      <c r="AF2931">
        <v>-0.87122253866232402</v>
      </c>
      <c r="AG2931">
        <v>-1.18605096728099</v>
      </c>
      <c r="AH2931">
        <v>11.112426374447899</v>
      </c>
      <c r="AI2931">
        <v>96.073728590493303</v>
      </c>
      <c r="AJ2931">
        <v>94.4828620696277</v>
      </c>
      <c r="AK2931">
        <v>11.2094498320117</v>
      </c>
      <c r="AL2931">
        <v>70.244863415025904</v>
      </c>
      <c r="AM2931">
        <v>99.889776163369007</v>
      </c>
      <c r="AN2931">
        <v>1.0000000195966501</v>
      </c>
    </row>
    <row r="2932" spans="1:40" x14ac:dyDescent="0.25">
      <c r="A2932" t="str">
        <f>"20190304164145697"</f>
        <v>20190304164145697</v>
      </c>
      <c r="B2932" t="str">
        <f>"1551688905684267"</f>
        <v>1551688905684267</v>
      </c>
      <c r="C2932" t="s">
        <v>40</v>
      </c>
      <c r="D2932">
        <v>4.8036629999999896</v>
      </c>
      <c r="E2932">
        <v>0.53003489999999998</v>
      </c>
      <c r="F2932" t="s">
        <v>42</v>
      </c>
      <c r="G2932">
        <v>-494.27420000000001</v>
      </c>
      <c r="H2932" s="1">
        <v>-3.850593E-6</v>
      </c>
      <c r="I2932">
        <v>256.07400000000001</v>
      </c>
      <c r="J2932">
        <v>-500.34820000000002</v>
      </c>
      <c r="K2932">
        <v>1.1837789999999999</v>
      </c>
      <c r="L2932">
        <v>265.82560000000001</v>
      </c>
      <c r="M2932">
        <v>0.47123549999999997</v>
      </c>
      <c r="N2932">
        <v>-2.4206579999999998E-2</v>
      </c>
      <c r="O2932">
        <v>-0.88167519999999999</v>
      </c>
      <c r="P2932">
        <v>0.57979630000000004</v>
      </c>
      <c r="Q2932">
        <v>0.32031539999999997</v>
      </c>
      <c r="R2932">
        <v>-0.74915559999999903</v>
      </c>
      <c r="S2932">
        <v>1.7400819999999999</v>
      </c>
      <c r="T2932">
        <v>-0.33668759999999998</v>
      </c>
      <c r="U2932">
        <v>-2.787903</v>
      </c>
      <c r="V2932">
        <v>-0.15582950000000001</v>
      </c>
      <c r="W2932">
        <v>0.34391949999999999</v>
      </c>
      <c r="X2932">
        <v>0.92597870000000004</v>
      </c>
      <c r="Y2932">
        <v>-6.5496090000000007E-2</v>
      </c>
      <c r="Z2932">
        <v>7.0608740000000003E-2</v>
      </c>
      <c r="AA2932">
        <v>0.9953516</v>
      </c>
      <c r="AB2932">
        <v>10</v>
      </c>
      <c r="AC2932">
        <v>6.0740000000000096</v>
      </c>
      <c r="AD2932">
        <v>-1.1837828505929999</v>
      </c>
      <c r="AE2932">
        <v>-9.7515999999999892</v>
      </c>
      <c r="AF2932">
        <v>-0.75223118657337595</v>
      </c>
      <c r="AG2932">
        <v>-1.1837828505929999</v>
      </c>
      <c r="AH2932">
        <v>11.342956173624</v>
      </c>
      <c r="AI2932">
        <v>95.945015969656893</v>
      </c>
      <c r="AJ2932">
        <v>93.794130416414305</v>
      </c>
      <c r="AK2932">
        <v>11.4293415537452</v>
      </c>
      <c r="AL2932">
        <v>69.884148103677106</v>
      </c>
      <c r="AM2932">
        <v>99.552586758476593</v>
      </c>
      <c r="AN2932">
        <v>1.00000000420209</v>
      </c>
    </row>
    <row r="2933" spans="1:40" x14ac:dyDescent="0.25">
      <c r="A2933" t="str">
        <f>"20190304164145720"</f>
        <v>20190304164145720</v>
      </c>
      <c r="B2933" t="str">
        <f>"1551688905713534"</f>
        <v>1551688905713534</v>
      </c>
      <c r="C2933" t="s">
        <v>40</v>
      </c>
      <c r="D2933">
        <v>4.7760309999999997</v>
      </c>
      <c r="E2933">
        <v>0.53069149999999998</v>
      </c>
      <c r="F2933" t="s">
        <v>42</v>
      </c>
      <c r="G2933">
        <v>-493.88080000000002</v>
      </c>
      <c r="H2933" s="1">
        <v>-3.6116190000000002E-6</v>
      </c>
      <c r="I2933">
        <v>255.6009</v>
      </c>
      <c r="J2933">
        <v>-500.2894</v>
      </c>
      <c r="K2933">
        <v>1.181244</v>
      </c>
      <c r="L2933">
        <v>265.75259999999997</v>
      </c>
      <c r="M2933">
        <v>0.48293819999999998</v>
      </c>
      <c r="N2933">
        <v>-2.4359740000000001E-2</v>
      </c>
      <c r="O2933">
        <v>-0.87531550000000002</v>
      </c>
      <c r="P2933">
        <v>0.58663269999999901</v>
      </c>
      <c r="Q2933">
        <v>0.32784360000000001</v>
      </c>
      <c r="R2933">
        <v>-0.7405273</v>
      </c>
      <c r="S2933">
        <v>1.758972</v>
      </c>
      <c r="T2933">
        <v>-0.32195879999999999</v>
      </c>
      <c r="U2933">
        <v>-2.780853</v>
      </c>
      <c r="V2933">
        <v>-0.15224379999999901</v>
      </c>
      <c r="W2933">
        <v>0.35205059999999999</v>
      </c>
      <c r="X2933">
        <v>0.92351620000000001</v>
      </c>
      <c r="Y2933">
        <v>-5.83819E-2</v>
      </c>
      <c r="Z2933">
        <v>6.5765580000000004E-2</v>
      </c>
      <c r="AA2933">
        <v>0.9961257</v>
      </c>
      <c r="AB2933">
        <v>10</v>
      </c>
      <c r="AC2933">
        <v>6.4085999999999697</v>
      </c>
      <c r="AD2933">
        <v>-1.181247611619</v>
      </c>
      <c r="AE2933">
        <v>-10.1516999999999</v>
      </c>
      <c r="AF2933">
        <v>-0.70033287534956701</v>
      </c>
      <c r="AG2933">
        <v>-1.181247611619</v>
      </c>
      <c r="AH2933">
        <v>11.869541629910501</v>
      </c>
      <c r="AI2933">
        <v>95.673515852132894</v>
      </c>
      <c r="AJ2933">
        <v>93.376680636094306</v>
      </c>
      <c r="AK2933">
        <v>11.948716690943399</v>
      </c>
      <c r="AL2933">
        <v>69.387209321264294</v>
      </c>
      <c r="AM2933">
        <v>99.361148434829403</v>
      </c>
      <c r="AN2933">
        <v>0.99999998563061998</v>
      </c>
    </row>
    <row r="2934" spans="1:40" x14ac:dyDescent="0.25">
      <c r="A2934" t="str">
        <f>"20190304164145742"</f>
        <v>20190304164145742</v>
      </c>
      <c r="B2934" t="str">
        <f>"1551688905734030"</f>
        <v>1551688905734030</v>
      </c>
      <c r="C2934" t="s">
        <v>40</v>
      </c>
      <c r="D2934">
        <v>4.7911140000000003</v>
      </c>
      <c r="E2934">
        <v>0.53478400000000004</v>
      </c>
      <c r="F2934" t="s">
        <v>42</v>
      </c>
      <c r="G2934">
        <v>-493.3931</v>
      </c>
      <c r="H2934" s="1">
        <v>-3.2735239999999999E-6</v>
      </c>
      <c r="I2934">
        <v>255.11529999999999</v>
      </c>
      <c r="J2934">
        <v>-500.23090000000002</v>
      </c>
      <c r="K2934">
        <v>1.1786219999999901</v>
      </c>
      <c r="L2934">
        <v>265.67930000000001</v>
      </c>
      <c r="M2934">
        <v>0.4936876</v>
      </c>
      <c r="N2934">
        <v>-2.46445E-2</v>
      </c>
      <c r="O2934">
        <v>-0.86929020000000001</v>
      </c>
      <c r="P2934">
        <v>0.59122039999999998</v>
      </c>
      <c r="Q2934">
        <v>0.33236599999999999</v>
      </c>
      <c r="R2934">
        <v>-0.73484119999999997</v>
      </c>
      <c r="S2934">
        <v>1.793488</v>
      </c>
      <c r="T2934">
        <v>-0.30720409999999998</v>
      </c>
      <c r="U2934">
        <v>-2.7664179999999998</v>
      </c>
      <c r="V2934">
        <v>-0.14623259999999999</v>
      </c>
      <c r="W2934">
        <v>0.3572843</v>
      </c>
      <c r="X2934">
        <v>0.92247710000000005</v>
      </c>
      <c r="Y2934">
        <v>-5.740547E-2</v>
      </c>
      <c r="Z2934">
        <v>6.1009870000000001E-2</v>
      </c>
      <c r="AA2934">
        <v>0.99648510000000001</v>
      </c>
      <c r="AB2934">
        <v>10</v>
      </c>
      <c r="AC2934">
        <v>6.8378000000000103</v>
      </c>
      <c r="AD2934">
        <v>-1.1786252735239999</v>
      </c>
      <c r="AE2934">
        <v>-10.564</v>
      </c>
      <c r="AF2934">
        <v>-0.722599024154439</v>
      </c>
      <c r="AG2934">
        <v>-1.1786252735239999</v>
      </c>
      <c r="AH2934">
        <v>12.453484516663799</v>
      </c>
      <c r="AI2934">
        <v>95.397470580604093</v>
      </c>
      <c r="AJ2934">
        <v>93.320797842919404</v>
      </c>
      <c r="AK2934">
        <v>12.529987369981001</v>
      </c>
      <c r="AL2934">
        <v>69.066491525709793</v>
      </c>
      <c r="AM2934">
        <v>99.007669473186297</v>
      </c>
      <c r="AN2934">
        <v>1.0000000221768199</v>
      </c>
    </row>
    <row r="2935" spans="1:40" x14ac:dyDescent="0.25">
      <c r="A2935" t="str">
        <f>"20190304164145776"</f>
        <v>20190304164145776</v>
      </c>
      <c r="B2935" t="str">
        <f>"1551688905764285"</f>
        <v>1551688905764285</v>
      </c>
      <c r="C2935" t="s">
        <v>40</v>
      </c>
      <c r="D2935">
        <v>4.7474350000000003</v>
      </c>
      <c r="E2935">
        <v>0.53638949999999996</v>
      </c>
      <c r="F2935" t="s">
        <v>42</v>
      </c>
      <c r="G2935">
        <v>-494.19959999999998</v>
      </c>
      <c r="H2935" s="1">
        <v>-3.9454119999999999E-6</v>
      </c>
      <c r="I2935">
        <v>256.39150000000001</v>
      </c>
      <c r="J2935">
        <v>-500.1438</v>
      </c>
      <c r="K2935">
        <v>1.174849</v>
      </c>
      <c r="L2935">
        <v>265.5686</v>
      </c>
      <c r="M2935">
        <v>0.50764370000000003</v>
      </c>
      <c r="N2935">
        <v>-2.5190690000000002E-2</v>
      </c>
      <c r="O2935">
        <v>-0.86119880000000004</v>
      </c>
      <c r="P2935">
        <v>0.60789819999999894</v>
      </c>
      <c r="Q2935">
        <v>0.32510050000000001</v>
      </c>
      <c r="R2935">
        <v>-0.72440990000000005</v>
      </c>
      <c r="S2935">
        <v>1.8095399999999999</v>
      </c>
      <c r="T2935">
        <v>-0.35361679999999901</v>
      </c>
      <c r="U2935">
        <v>-2.7865600000000001</v>
      </c>
      <c r="V2935">
        <v>-0.14930889999999999</v>
      </c>
      <c r="W2935">
        <v>0.35133690000000001</v>
      </c>
      <c r="X2935">
        <v>0.9242669</v>
      </c>
      <c r="Y2935">
        <v>-4.1626580000000003E-2</v>
      </c>
      <c r="Z2935">
        <v>7.0998039999999998E-2</v>
      </c>
      <c r="AA2935">
        <v>0.99660749999999998</v>
      </c>
      <c r="AB2935">
        <v>10</v>
      </c>
      <c r="AC2935">
        <v>5.9442000000000199</v>
      </c>
      <c r="AD2935">
        <v>-1.174852945412</v>
      </c>
      <c r="AE2935">
        <v>-9.1770999999999905</v>
      </c>
      <c r="AF2935">
        <v>-0.45533009956355702</v>
      </c>
      <c r="AG2935">
        <v>-1.174852945412</v>
      </c>
      <c r="AH2935">
        <v>10.799623868177401</v>
      </c>
      <c r="AI2935">
        <v>96.203122617769594</v>
      </c>
      <c r="AJ2935">
        <v>92.414255479886094</v>
      </c>
      <c r="AK2935">
        <v>10.872878213105301</v>
      </c>
      <c r="AL2935">
        <v>69.430893016125296</v>
      </c>
      <c r="AM2935">
        <v>99.176459913923694</v>
      </c>
      <c r="AN2935">
        <v>1.00000003367821</v>
      </c>
    </row>
    <row r="2936" spans="1:40" x14ac:dyDescent="0.25">
      <c r="A2936" t="str">
        <f>"20190304164145799"</f>
        <v>20190304164145799</v>
      </c>
      <c r="B2936" t="str">
        <f>"1551688905793565"</f>
        <v>1551688905793565</v>
      </c>
      <c r="C2936" t="s">
        <v>40</v>
      </c>
      <c r="D2936">
        <v>4.9195929999999999</v>
      </c>
      <c r="E2936">
        <v>0.53687109999999905</v>
      </c>
      <c r="F2936" t="s">
        <v>42</v>
      </c>
      <c r="G2936">
        <v>-494.61309999999997</v>
      </c>
      <c r="H2936" s="1">
        <v>-4.3267859999999998E-6</v>
      </c>
      <c r="I2936">
        <v>257.29669999999999</v>
      </c>
      <c r="J2936">
        <v>-500.08659999999998</v>
      </c>
      <c r="K2936">
        <v>1.172688</v>
      </c>
      <c r="L2936">
        <v>265.49450000000002</v>
      </c>
      <c r="M2936">
        <v>0.51562839999999999</v>
      </c>
      <c r="N2936">
        <v>-2.5561239999999999E-2</v>
      </c>
      <c r="O2936">
        <v>-0.85643099999999905</v>
      </c>
      <c r="P2936">
        <v>0.61942589999999997</v>
      </c>
      <c r="Q2936">
        <v>0.32146089999999999</v>
      </c>
      <c r="R2936">
        <v>-0.71622229999999998</v>
      </c>
      <c r="S2936">
        <v>1.8492740000000001</v>
      </c>
      <c r="T2936">
        <v>-0.39282640000000002</v>
      </c>
      <c r="U2936">
        <v>-2.7658079999999998</v>
      </c>
      <c r="V2936">
        <v>-0.15395149999999999</v>
      </c>
      <c r="W2936">
        <v>0.34852</v>
      </c>
      <c r="X2936">
        <v>0.92457160000000005</v>
      </c>
      <c r="Y2936">
        <v>-4.5212620000000002E-2</v>
      </c>
      <c r="Z2936">
        <v>8.0411549999999998E-2</v>
      </c>
      <c r="AA2936">
        <v>0.99573579999999995</v>
      </c>
      <c r="AB2936">
        <v>10</v>
      </c>
      <c r="AC2936">
        <v>5.4734999999999996</v>
      </c>
      <c r="AD2936">
        <v>-1.1726923267860001</v>
      </c>
      <c r="AE2936">
        <v>-8.1978000000000293</v>
      </c>
      <c r="AF2936">
        <v>-0.454376073427394</v>
      </c>
      <c r="AG2936">
        <v>-1.1726923267860001</v>
      </c>
      <c r="AH2936">
        <v>9.7089425005234506</v>
      </c>
      <c r="AI2936">
        <v>96.879637113791404</v>
      </c>
      <c r="AJ2936">
        <v>92.679473040447803</v>
      </c>
      <c r="AK2936">
        <v>9.7900576805183697</v>
      </c>
      <c r="AL2936">
        <v>69.603180521463003</v>
      </c>
      <c r="AM2936">
        <v>99.453653547193397</v>
      </c>
      <c r="AN2936">
        <v>0.99999994913940304</v>
      </c>
    </row>
    <row r="2937" spans="1:40" x14ac:dyDescent="0.25">
      <c r="A2937" t="str">
        <f>"20190304164145821"</f>
        <v>20190304164145821</v>
      </c>
      <c r="B2937" t="str">
        <f>"1551688905814061"</f>
        <v>1551688905814061</v>
      </c>
      <c r="C2937" t="s">
        <v>40</v>
      </c>
      <c r="D2937">
        <v>4.7329850000000002</v>
      </c>
      <c r="E2937">
        <v>0.49719340000000001</v>
      </c>
      <c r="F2937" t="s">
        <v>42</v>
      </c>
      <c r="G2937">
        <v>-494.76659999999998</v>
      </c>
      <c r="H2937" s="1">
        <v>-4.4900670000000002E-6</v>
      </c>
      <c r="I2937">
        <v>257.69650000000001</v>
      </c>
      <c r="J2937">
        <v>-500.02960000000002</v>
      </c>
      <c r="K2937">
        <v>1.170795</v>
      </c>
      <c r="L2937">
        <v>265.4196</v>
      </c>
      <c r="M2937">
        <v>0.52256219999999998</v>
      </c>
      <c r="N2937">
        <v>-2.5914159999999999E-2</v>
      </c>
      <c r="O2937">
        <v>-0.85220739999999995</v>
      </c>
      <c r="P2937">
        <v>0.62462430000000002</v>
      </c>
      <c r="Q2937">
        <v>0.32125479999999901</v>
      </c>
      <c r="R2937">
        <v>-0.71178680000000005</v>
      </c>
      <c r="S2937">
        <v>1.876892</v>
      </c>
      <c r="T2937">
        <v>-0.4137228</v>
      </c>
      <c r="U2937">
        <v>-2.7511290000000002</v>
      </c>
      <c r="V2937">
        <v>-0.15244929999999901</v>
      </c>
      <c r="W2937">
        <v>0.34892050000000002</v>
      </c>
      <c r="X2937">
        <v>0.92466950000000003</v>
      </c>
      <c r="Y2937">
        <v>-4.6133239999999999E-2</v>
      </c>
      <c r="Z2937">
        <v>8.5023509999999997E-2</v>
      </c>
      <c r="AA2937">
        <v>0.99531040000000004</v>
      </c>
      <c r="AB2937">
        <v>10</v>
      </c>
      <c r="AC2937">
        <v>5.2630000000000301</v>
      </c>
      <c r="AD2937">
        <v>-1.170799490067</v>
      </c>
      <c r="AE2937">
        <v>-7.7230999999999801</v>
      </c>
      <c r="AF2937">
        <v>-0.44257272940854198</v>
      </c>
      <c r="AG2937">
        <v>-1.170799490067</v>
      </c>
      <c r="AH2937">
        <v>9.1908237937254693</v>
      </c>
      <c r="AI2937">
        <v>97.251373964998606</v>
      </c>
      <c r="AJ2937">
        <v>92.756877702032895</v>
      </c>
      <c r="AK2937">
        <v>9.2756608429840401</v>
      </c>
      <c r="AL2937">
        <v>69.578697593016599</v>
      </c>
      <c r="AM2937">
        <v>99.362075964482003</v>
      </c>
      <c r="AN2937">
        <v>0.99999999431049402</v>
      </c>
    </row>
    <row r="2938" spans="1:40" x14ac:dyDescent="0.25">
      <c r="A2938" t="str">
        <f>"20190304164145843"</f>
        <v>20190304164145843</v>
      </c>
      <c r="B2938" t="str">
        <f>"1551688905833581"</f>
        <v>1551688905833581</v>
      </c>
      <c r="C2938" t="s">
        <v>40</v>
      </c>
      <c r="D2938">
        <v>4.7110050000000001</v>
      </c>
      <c r="E2938">
        <v>0.48741020000000002</v>
      </c>
      <c r="F2938" t="s">
        <v>42</v>
      </c>
      <c r="G2938">
        <v>-493.70510000000002</v>
      </c>
      <c r="H2938" s="1">
        <v>-4.393049E-6</v>
      </c>
      <c r="I2938">
        <v>257.96469999999999</v>
      </c>
      <c r="J2938">
        <v>-499.97519999999997</v>
      </c>
      <c r="K2938">
        <v>1.1692</v>
      </c>
      <c r="L2938">
        <v>265.3467</v>
      </c>
      <c r="M2938">
        <v>0.52812519999999996</v>
      </c>
      <c r="N2938">
        <v>-2.6241609999999999E-2</v>
      </c>
      <c r="O2938">
        <v>-0.84876090000000004</v>
      </c>
      <c r="P2938">
        <v>0.62312619999999996</v>
      </c>
      <c r="Q2938">
        <v>0.32571739999999999</v>
      </c>
      <c r="R2938">
        <v>-0.71107100000000001</v>
      </c>
      <c r="S2938">
        <v>2.1365660000000002</v>
      </c>
      <c r="T2938">
        <v>-0.39552520000000002</v>
      </c>
      <c r="U2938">
        <v>-2.5184630000000001</v>
      </c>
      <c r="V2938">
        <v>-0.144785</v>
      </c>
      <c r="W2938">
        <v>0.35373840000000001</v>
      </c>
      <c r="X2938">
        <v>0.92407059999999996</v>
      </c>
      <c r="Y2938">
        <v>-0.14344319999999999</v>
      </c>
      <c r="Z2938">
        <v>8.4420830000000002E-2</v>
      </c>
      <c r="AA2938">
        <v>0.98605129999999996</v>
      </c>
      <c r="AB2938">
        <v>10</v>
      </c>
      <c r="AC2938">
        <v>6.2700999999999496</v>
      </c>
      <c r="AD2938">
        <v>-1.1692043930489999</v>
      </c>
      <c r="AE2938">
        <v>-7.3819999999999997</v>
      </c>
      <c r="AF2938">
        <v>-1.4032368502827599</v>
      </c>
      <c r="AG2938">
        <v>-1.1692043930489999</v>
      </c>
      <c r="AH2938">
        <v>9.4426453128297094</v>
      </c>
      <c r="AI2938">
        <v>96.982622587406496</v>
      </c>
      <c r="AJ2938">
        <v>98.452655311171796</v>
      </c>
      <c r="AK2938">
        <v>9.61767451490336</v>
      </c>
      <c r="AL2938">
        <v>69.283856646868003</v>
      </c>
      <c r="AM2938">
        <v>98.904805540101407</v>
      </c>
      <c r="AN2938">
        <v>1.0000000128219599</v>
      </c>
    </row>
    <row r="2939" spans="1:40" x14ac:dyDescent="0.25">
      <c r="A2939" t="str">
        <f>"20190304164145865"</f>
        <v>20190304164145865</v>
      </c>
      <c r="B2939" t="str">
        <f>"1551688905854077"</f>
        <v>1551688905854077</v>
      </c>
      <c r="C2939" t="s">
        <v>40</v>
      </c>
      <c r="D2939">
        <v>4.6807410000000003</v>
      </c>
      <c r="E2939">
        <v>0.48474689999999998</v>
      </c>
      <c r="F2939" t="s">
        <v>42</v>
      </c>
      <c r="G2939">
        <v>-493.089</v>
      </c>
      <c r="H2939" s="1">
        <v>-4.1761529999999997E-6</v>
      </c>
      <c r="I2939">
        <v>257.64850000000001</v>
      </c>
      <c r="J2939">
        <v>-499.92020000000002</v>
      </c>
      <c r="K2939">
        <v>1.1677879999999901</v>
      </c>
      <c r="L2939">
        <v>265.27190000000002</v>
      </c>
      <c r="M2939">
        <v>0.53276029999999996</v>
      </c>
      <c r="N2939">
        <v>-2.6586129999999999E-2</v>
      </c>
      <c r="O2939">
        <v>-0.84584859999999995</v>
      </c>
      <c r="P2939">
        <v>0.61671860000000001</v>
      </c>
      <c r="Q2939">
        <v>0.33789079999999999</v>
      </c>
      <c r="R2939">
        <v>-0.71097699999999997</v>
      </c>
      <c r="S2939">
        <v>2.2013850000000001</v>
      </c>
      <c r="T2939">
        <v>-0.37377440000000001</v>
      </c>
      <c r="U2939">
        <v>-2.4609990000000002</v>
      </c>
      <c r="V2939">
        <v>-0.13348570000000001</v>
      </c>
      <c r="W2939">
        <v>0.36608289999999999</v>
      </c>
      <c r="X2939">
        <v>0.92095870000000002</v>
      </c>
      <c r="Y2939">
        <v>-0.164178399999999</v>
      </c>
      <c r="Z2939">
        <v>7.8991110000000003E-2</v>
      </c>
      <c r="AA2939">
        <v>0.98326279999999999</v>
      </c>
      <c r="AB2939">
        <v>10</v>
      </c>
      <c r="AC2939">
        <v>6.8312000000000204</v>
      </c>
      <c r="AD2939">
        <v>-1.1677921761529999</v>
      </c>
      <c r="AE2939">
        <v>-7.6234000000000002</v>
      </c>
      <c r="AF2939">
        <v>-1.69525901957467</v>
      </c>
      <c r="AG2939">
        <v>-1.1677921761529999</v>
      </c>
      <c r="AH2939">
        <v>9.9615500273620494</v>
      </c>
      <c r="AI2939">
        <v>96.592336417151301</v>
      </c>
      <c r="AJ2939">
        <v>99.658082193652007</v>
      </c>
      <c r="AK2939">
        <v>10.1720263791326</v>
      </c>
      <c r="AL2939">
        <v>68.525759129936603</v>
      </c>
      <c r="AM2939">
        <v>98.247138820889305</v>
      </c>
      <c r="AN2939">
        <v>1.0000000244412901</v>
      </c>
    </row>
    <row r="2940" spans="1:40" x14ac:dyDescent="0.25">
      <c r="A2940" t="str">
        <f>"20190304164145886"</f>
        <v>20190304164145886</v>
      </c>
      <c r="B2940" t="str">
        <f>"1551688905873597"</f>
        <v>1551688905873597</v>
      </c>
      <c r="C2940" t="s">
        <v>40</v>
      </c>
      <c r="D2940">
        <v>4.6367330000000004</v>
      </c>
      <c r="E2940">
        <v>0.48485400000000001</v>
      </c>
      <c r="F2940" t="s">
        <v>42</v>
      </c>
      <c r="G2940">
        <v>-492.02710000000002</v>
      </c>
      <c r="H2940" s="1">
        <v>-3.5283909999999999E-6</v>
      </c>
      <c r="I2940">
        <v>256.5566</v>
      </c>
      <c r="J2940">
        <v>-499.86919999999998</v>
      </c>
      <c r="K2940">
        <v>1.1666879999999999</v>
      </c>
      <c r="L2940">
        <v>265.2011</v>
      </c>
      <c r="M2940">
        <v>0.53636909999999904</v>
      </c>
      <c r="N2940">
        <v>-2.691955E-2</v>
      </c>
      <c r="O2940">
        <v>-0.84355400000000003</v>
      </c>
      <c r="P2940">
        <v>0.60966940000000003</v>
      </c>
      <c r="Q2940">
        <v>0.3479179</v>
      </c>
      <c r="R2940">
        <v>-0.71221939999999995</v>
      </c>
      <c r="S2940">
        <v>2.2192989999999999</v>
      </c>
      <c r="T2940">
        <v>-0.32834980000000002</v>
      </c>
      <c r="U2940">
        <v>-2.4504999999999999</v>
      </c>
      <c r="V2940">
        <v>-0.12222959999999999</v>
      </c>
      <c r="W2940">
        <v>0.3762083</v>
      </c>
      <c r="X2940">
        <v>0.91843739999999996</v>
      </c>
      <c r="Y2940">
        <v>-0.166748799999999</v>
      </c>
      <c r="Z2940">
        <v>6.6478540000000003E-2</v>
      </c>
      <c r="AA2940">
        <v>0.98375579999999996</v>
      </c>
      <c r="AB2940">
        <v>10</v>
      </c>
      <c r="AC2940">
        <v>7.8420999999999497</v>
      </c>
      <c r="AD2940">
        <v>-1.166691528391</v>
      </c>
      <c r="AE2940">
        <v>-8.6444999999999901</v>
      </c>
      <c r="AF2940">
        <v>-1.9597280081222901</v>
      </c>
      <c r="AG2940">
        <v>-1.166691528391</v>
      </c>
      <c r="AH2940">
        <v>11.3887359290402</v>
      </c>
      <c r="AI2940">
        <v>95.764978376227404</v>
      </c>
      <c r="AJ2940">
        <v>99.763610007019096</v>
      </c>
      <c r="AK2940">
        <v>11.614861559642</v>
      </c>
      <c r="AL2940">
        <v>67.900987351474896</v>
      </c>
      <c r="AM2940">
        <v>97.580623678609797</v>
      </c>
      <c r="AN2940">
        <v>1.0000000089119001</v>
      </c>
    </row>
    <row r="2941" spans="1:40" x14ac:dyDescent="0.25">
      <c r="A2941" t="str">
        <f>"20190304164145909"</f>
        <v>20190304164145909</v>
      </c>
      <c r="B2941" t="str">
        <f>"1551688905903853"</f>
        <v>1551688905903853</v>
      </c>
      <c r="C2941" t="s">
        <v>40</v>
      </c>
      <c r="D2941">
        <v>4.6413229999999999</v>
      </c>
      <c r="E2941">
        <v>0.48580960000000001</v>
      </c>
      <c r="F2941" t="s">
        <v>42</v>
      </c>
      <c r="G2941">
        <v>-491.00439999999998</v>
      </c>
      <c r="H2941" s="1">
        <v>-2.764357E-6</v>
      </c>
      <c r="I2941">
        <v>255.40989999999999</v>
      </c>
      <c r="J2941">
        <v>-499.8134</v>
      </c>
      <c r="K2941">
        <v>1.1656610000000001</v>
      </c>
      <c r="L2941">
        <v>265.12259999999998</v>
      </c>
      <c r="M2941">
        <v>0.53959579999999996</v>
      </c>
      <c r="N2941">
        <v>-2.728187E-2</v>
      </c>
      <c r="O2941">
        <v>-0.84148230000000002</v>
      </c>
      <c r="P2941">
        <v>0.6038386</v>
      </c>
      <c r="Q2941">
        <v>0.35195330000000002</v>
      </c>
      <c r="R2941">
        <v>-0.715198</v>
      </c>
      <c r="S2941">
        <v>2.2213440000000002</v>
      </c>
      <c r="T2941">
        <v>-0.29235050000000001</v>
      </c>
      <c r="U2941">
        <v>-2.4534910000000001</v>
      </c>
      <c r="V2941">
        <v>-0.11172360000000001</v>
      </c>
      <c r="W2941">
        <v>0.38039020000000001</v>
      </c>
      <c r="X2941">
        <v>0.91805289999999995</v>
      </c>
      <c r="Y2941">
        <v>-0.16333439999999999</v>
      </c>
      <c r="Z2941">
        <v>5.6313820000000001E-2</v>
      </c>
      <c r="AA2941">
        <v>0.98496220000000001</v>
      </c>
      <c r="AB2941">
        <v>10</v>
      </c>
      <c r="AC2941">
        <v>8.8090000000000206</v>
      </c>
      <c r="AD2941">
        <v>-1.165663764357</v>
      </c>
      <c r="AE2941">
        <v>-9.7126999999999803</v>
      </c>
      <c r="AF2941">
        <v>-2.15545946165141</v>
      </c>
      <c r="AG2941">
        <v>-1.165663764357</v>
      </c>
      <c r="AH2941">
        <v>12.829783749337601</v>
      </c>
      <c r="AI2941">
        <v>95.1200503791394</v>
      </c>
      <c r="AJ2941">
        <v>99.536878076268493</v>
      </c>
      <c r="AK2941">
        <v>13.061704657399201</v>
      </c>
      <c r="AL2941">
        <v>67.642145298198102</v>
      </c>
      <c r="AM2941">
        <v>96.938562721652801</v>
      </c>
      <c r="AN2941">
        <v>0.99999999712570498</v>
      </c>
    </row>
    <row r="2942" spans="1:40" x14ac:dyDescent="0.25">
      <c r="A2942" t="str">
        <f>"20190304164145932"</f>
        <v>20190304164145932</v>
      </c>
      <c r="B2942" t="str">
        <f>"1551688905924349"</f>
        <v>1551688905924349</v>
      </c>
      <c r="C2942" t="s">
        <v>40</v>
      </c>
      <c r="D2942">
        <v>4.6397490000000001</v>
      </c>
      <c r="E2942">
        <v>0.486209</v>
      </c>
      <c r="F2942" t="s">
        <v>42</v>
      </c>
      <c r="G2942">
        <v>-490.69889999999998</v>
      </c>
      <c r="H2942" s="1">
        <v>-2.4967359999999999E-6</v>
      </c>
      <c r="I2942">
        <v>254.97559999999999</v>
      </c>
      <c r="J2942">
        <v>-499.75869999999998</v>
      </c>
      <c r="K2942">
        <v>1.1647879999999999</v>
      </c>
      <c r="L2942">
        <v>265.04410000000001</v>
      </c>
      <c r="M2942">
        <v>0.54209359999999995</v>
      </c>
      <c r="N2942">
        <v>-2.761309E-2</v>
      </c>
      <c r="O2942">
        <v>-0.83986439999999996</v>
      </c>
      <c r="P2942">
        <v>0.59464899999999998</v>
      </c>
      <c r="Q2942">
        <v>0.3540623</v>
      </c>
      <c r="R2942">
        <v>-0.72182590000000002</v>
      </c>
      <c r="S2942">
        <v>2.213959</v>
      </c>
      <c r="T2942">
        <v>-0.28314509999999998</v>
      </c>
      <c r="U2942">
        <v>-2.4647519999999998</v>
      </c>
      <c r="V2942">
        <v>-9.7385250000000007E-2</v>
      </c>
      <c r="W2942">
        <v>0.38248690000000002</v>
      </c>
      <c r="X2942">
        <v>0.91881440000000003</v>
      </c>
      <c r="Y2942">
        <v>-0.15666079999999999</v>
      </c>
      <c r="Z2942">
        <v>5.3249299999999999E-2</v>
      </c>
      <c r="AA2942">
        <v>0.98621590000000003</v>
      </c>
      <c r="AB2942">
        <v>10</v>
      </c>
      <c r="AC2942">
        <v>9.0597999999999903</v>
      </c>
      <c r="AD2942">
        <v>-1.1647904967360001</v>
      </c>
      <c r="AE2942">
        <v>-10.0685</v>
      </c>
      <c r="AF2942">
        <v>-2.1359579443756198</v>
      </c>
      <c r="AG2942">
        <v>-1.1647904967360001</v>
      </c>
      <c r="AH2942">
        <v>13.274361952513299</v>
      </c>
      <c r="AI2942">
        <v>94.951343833742598</v>
      </c>
      <c r="AJ2942">
        <v>99.141024783985401</v>
      </c>
      <c r="AK2942">
        <v>13.4954710361573</v>
      </c>
      <c r="AL2942">
        <v>67.512187917949007</v>
      </c>
      <c r="AM2942">
        <v>96.050198326216105</v>
      </c>
      <c r="AN2942">
        <v>1.0000000086182601</v>
      </c>
    </row>
    <row r="2943" spans="1:40" x14ac:dyDescent="0.25">
      <c r="A2943" t="str">
        <f>"20190304164145954"</f>
        <v>20190304164145954</v>
      </c>
      <c r="B2943" t="str">
        <f>"1551688905943869"</f>
        <v>1551688905943869</v>
      </c>
      <c r="C2943" t="s">
        <v>40</v>
      </c>
      <c r="D2943">
        <v>4.6282220000000001</v>
      </c>
      <c r="E2943">
        <v>0.48685909999999899</v>
      </c>
      <c r="F2943" t="s">
        <v>42</v>
      </c>
      <c r="G2943">
        <v>-490.59219999999999</v>
      </c>
      <c r="H2943" s="1">
        <v>-2.369212E-6</v>
      </c>
      <c r="I2943">
        <v>254.74449999999999</v>
      </c>
      <c r="J2943">
        <v>-499.70440000000002</v>
      </c>
      <c r="K2943">
        <v>1.1640330000000001</v>
      </c>
      <c r="L2943">
        <v>264.96499999999997</v>
      </c>
      <c r="M2943">
        <v>0.54393269999999905</v>
      </c>
      <c r="N2943">
        <v>-2.78956E-2</v>
      </c>
      <c r="O2943">
        <v>-0.8386652</v>
      </c>
      <c r="P2943">
        <v>0.58449090000000004</v>
      </c>
      <c r="Q2943">
        <v>0.35038629999999998</v>
      </c>
      <c r="R2943">
        <v>-0.73184719999999903</v>
      </c>
      <c r="S2943">
        <v>2.2047119999999998</v>
      </c>
      <c r="T2943">
        <v>-0.28015299999999999</v>
      </c>
      <c r="U2943">
        <v>-2.4772340000000002</v>
      </c>
      <c r="V2943">
        <v>-8.1354999999999997E-2</v>
      </c>
      <c r="W2943">
        <v>0.37873180000000001</v>
      </c>
      <c r="X2943">
        <v>0.92192379999999996</v>
      </c>
      <c r="Y2943">
        <v>-0.15002389999999999</v>
      </c>
      <c r="Z2943">
        <v>5.190546E-2</v>
      </c>
      <c r="AA2943">
        <v>0.9873189</v>
      </c>
      <c r="AB2943">
        <v>10</v>
      </c>
      <c r="AC2943">
        <v>9.1122000000000298</v>
      </c>
      <c r="AD2943">
        <v>-1.164035369212</v>
      </c>
      <c r="AE2943">
        <v>-10.2204999999999</v>
      </c>
      <c r="AF2943">
        <v>-2.06868129736355</v>
      </c>
      <c r="AG2943">
        <v>-1.164035369212</v>
      </c>
      <c r="AH2943">
        <v>13.4361641275446</v>
      </c>
      <c r="AI2943">
        <v>94.894046762340395</v>
      </c>
      <c r="AJ2943">
        <v>98.752740301889304</v>
      </c>
      <c r="AK2943">
        <v>13.644226878543</v>
      </c>
      <c r="AL2943">
        <v>67.744849356583003</v>
      </c>
      <c r="AM2943">
        <v>95.042992658424694</v>
      </c>
      <c r="AN2943">
        <v>0.99999995268133801</v>
      </c>
    </row>
    <row r="2944" spans="1:40" x14ac:dyDescent="0.25">
      <c r="A2944" t="str">
        <f>"20190304164145977"</f>
        <v>20190304164145977</v>
      </c>
      <c r="B2944" t="str">
        <f>"1551688905963389"</f>
        <v>1551688905963389</v>
      </c>
      <c r="C2944" t="s">
        <v>40</v>
      </c>
      <c r="D2944">
        <v>4.6375909999999996</v>
      </c>
      <c r="E2944">
        <v>0.4875292</v>
      </c>
      <c r="F2944" t="s">
        <v>42</v>
      </c>
      <c r="G2944">
        <v>-491.11669999999998</v>
      </c>
      <c r="H2944" s="1">
        <v>-2.7082199999999999E-6</v>
      </c>
      <c r="I2944">
        <v>255.20939999999999</v>
      </c>
      <c r="J2944">
        <v>-499.6506</v>
      </c>
      <c r="K2944">
        <v>1.1614960000000001</v>
      </c>
      <c r="L2944">
        <v>264.8886</v>
      </c>
      <c r="M2944">
        <v>0.54420749999999996</v>
      </c>
      <c r="N2944">
        <v>-2.6880250000000001E-2</v>
      </c>
      <c r="O2944">
        <v>-0.83852009999999899</v>
      </c>
      <c r="P2944">
        <v>0.58124750000000003</v>
      </c>
      <c r="Q2944">
        <v>0.34459040000000002</v>
      </c>
      <c r="R2944">
        <v>-0.73716289999999995</v>
      </c>
      <c r="S2944">
        <v>2.192383</v>
      </c>
      <c r="T2944">
        <v>-0.29717169999999998</v>
      </c>
      <c r="U2944">
        <v>-2.4905400000000002</v>
      </c>
      <c r="V2944">
        <v>-7.4961219999999995E-2</v>
      </c>
      <c r="W2944">
        <v>0.37204720000000002</v>
      </c>
      <c r="X2944">
        <v>0.92518199999999995</v>
      </c>
      <c r="Y2944">
        <v>-0.1441346</v>
      </c>
      <c r="Z2944">
        <v>5.6955539999999999E-2</v>
      </c>
      <c r="AA2944">
        <v>0.98791770000000001</v>
      </c>
      <c r="AB2944">
        <v>9</v>
      </c>
      <c r="AC2944">
        <v>8.5339000000000098</v>
      </c>
      <c r="AD2944">
        <v>-1.1614987082199999</v>
      </c>
      <c r="AE2944">
        <v>-9.6791999999999998</v>
      </c>
      <c r="AF2944">
        <v>-1.8738539993057399</v>
      </c>
      <c r="AG2944">
        <v>-1.1614987082199999</v>
      </c>
      <c r="AH2944">
        <v>12.662437131468399</v>
      </c>
      <c r="AI2944">
        <v>95.184802545506997</v>
      </c>
      <c r="AJ2944">
        <v>98.417836209042406</v>
      </c>
      <c r="AK2944">
        <v>12.8529265993509</v>
      </c>
      <c r="AL2944">
        <v>68.158071491563803</v>
      </c>
      <c r="AM2944">
        <v>94.632169577262403</v>
      </c>
      <c r="AN2944">
        <v>1.0000000183278599</v>
      </c>
    </row>
    <row r="2945" spans="1:40" x14ac:dyDescent="0.25">
      <c r="A2945" t="str">
        <f>"20190304164145999"</f>
        <v>20190304164145999</v>
      </c>
      <c r="B2945" t="str">
        <f>"1551688905993645"</f>
        <v>1551688905993645</v>
      </c>
      <c r="C2945" t="s">
        <v>40</v>
      </c>
      <c r="D2945">
        <v>4.6263319999999997</v>
      </c>
      <c r="E2945">
        <v>0.48863190000000001</v>
      </c>
      <c r="F2945" t="s">
        <v>42</v>
      </c>
      <c r="G2945">
        <v>-491.88780000000003</v>
      </c>
      <c r="H2945" s="1">
        <v>-3.2347659999999998E-6</v>
      </c>
      <c r="I2945">
        <v>255.95849999999999</v>
      </c>
      <c r="J2945">
        <v>-499.59480000000002</v>
      </c>
      <c r="K2945">
        <v>1.159686</v>
      </c>
      <c r="L2945">
        <v>264.8073</v>
      </c>
      <c r="M2945">
        <v>0.54406919999999903</v>
      </c>
      <c r="N2945">
        <v>-2.6250760000000001E-2</v>
      </c>
      <c r="O2945">
        <v>-0.83862979999999998</v>
      </c>
      <c r="P2945">
        <v>0.57887169999999999</v>
      </c>
      <c r="Q2945">
        <v>0.3461225</v>
      </c>
      <c r="R2945">
        <v>-0.73831369999999996</v>
      </c>
      <c r="S2945">
        <v>2.177521</v>
      </c>
      <c r="T2945">
        <v>-0.3258084</v>
      </c>
      <c r="U2945">
        <v>-2.5049440000000001</v>
      </c>
      <c r="V2945">
        <v>-7.3318530000000007E-2</v>
      </c>
      <c r="W2945">
        <v>0.3727473</v>
      </c>
      <c r="X2945">
        <v>0.92503179999999996</v>
      </c>
      <c r="Y2945">
        <v>-0.13778309999999999</v>
      </c>
      <c r="Z2945">
        <v>6.4727610000000005E-2</v>
      </c>
      <c r="AA2945">
        <v>0.98834509999999998</v>
      </c>
      <c r="AB2945">
        <v>9</v>
      </c>
      <c r="AC2945">
        <v>7.7069999999999901</v>
      </c>
      <c r="AD2945">
        <v>-1.1596892347659999</v>
      </c>
      <c r="AE2945">
        <v>-8.8488000000000095</v>
      </c>
      <c r="AF2945">
        <v>-1.63357371630735</v>
      </c>
      <c r="AG2945">
        <v>-1.1596892347659999</v>
      </c>
      <c r="AH2945">
        <v>11.5056372109292</v>
      </c>
      <c r="AI2945">
        <v>95.698811844629205</v>
      </c>
      <c r="AJ2945">
        <v>98.080861194168705</v>
      </c>
      <c r="AK2945">
        <v>11.6787469292455</v>
      </c>
      <c r="AL2945">
        <v>68.114849372005907</v>
      </c>
      <c r="AM2945">
        <v>94.5318209025193</v>
      </c>
      <c r="AN2945">
        <v>0.99999999375494497</v>
      </c>
    </row>
    <row r="2946" spans="1:40" x14ac:dyDescent="0.25">
      <c r="A2946" t="str">
        <f>"20190304164146023"</f>
        <v>20190304164146023</v>
      </c>
      <c r="B2946" t="str">
        <f>"1551688906014142"</f>
        <v>1551688906014142</v>
      </c>
      <c r="C2946" t="s">
        <v>40</v>
      </c>
      <c r="D2946">
        <v>4.633934</v>
      </c>
      <c r="E2946">
        <v>0.48939339999999998</v>
      </c>
      <c r="F2946" t="s">
        <v>42</v>
      </c>
      <c r="G2946">
        <v>-491.94529999999997</v>
      </c>
      <c r="H2946" s="1">
        <v>-3.2176739999999998E-6</v>
      </c>
      <c r="I2946">
        <v>255.88300000000001</v>
      </c>
      <c r="J2946">
        <v>-499.53489999999999</v>
      </c>
      <c r="K2946">
        <v>1.1577839999999999</v>
      </c>
      <c r="L2946">
        <v>264.71960000000001</v>
      </c>
      <c r="M2946">
        <v>0.54572549999999997</v>
      </c>
      <c r="N2946">
        <v>-2.618407E-2</v>
      </c>
      <c r="O2946">
        <v>-0.83755499999999905</v>
      </c>
      <c r="P2946">
        <v>0.57163609999999998</v>
      </c>
      <c r="Q2946">
        <v>0.35023349999999998</v>
      </c>
      <c r="R2946">
        <v>-0.74200339999999998</v>
      </c>
      <c r="S2946">
        <v>2.1617739999999999</v>
      </c>
      <c r="T2946">
        <v>-0.32773360000000001</v>
      </c>
      <c r="U2946">
        <v>-2.5220340000000001</v>
      </c>
      <c r="V2946">
        <v>-6.372092E-2</v>
      </c>
      <c r="W2946">
        <v>0.37642209999999998</v>
      </c>
      <c r="X2946">
        <v>0.92425429999999997</v>
      </c>
      <c r="Y2946">
        <v>-0.12895299999999901</v>
      </c>
      <c r="Z2946">
        <v>6.4848329999999996E-2</v>
      </c>
      <c r="AA2946">
        <v>0.98952810000000002</v>
      </c>
      <c r="AB2946">
        <v>10</v>
      </c>
      <c r="AC2946">
        <v>7.5896000000000097</v>
      </c>
      <c r="AD2946">
        <v>-1.1577872176739901</v>
      </c>
      <c r="AE2946">
        <v>-8.8366000000000309</v>
      </c>
      <c r="AF2946">
        <v>-1.5198606286970699</v>
      </c>
      <c r="AG2946">
        <v>-1.1577872176739901</v>
      </c>
      <c r="AH2946">
        <v>11.433976559202399</v>
      </c>
      <c r="AI2946">
        <v>95.731899797879095</v>
      </c>
      <c r="AJ2946">
        <v>97.571651549751095</v>
      </c>
      <c r="AK2946">
        <v>11.592509112718499</v>
      </c>
      <c r="AL2946">
        <v>67.887764980319702</v>
      </c>
      <c r="AM2946">
        <v>93.943905633792795</v>
      </c>
      <c r="AN2946">
        <v>0.99999998204127305</v>
      </c>
    </row>
    <row r="2947" spans="1:40" x14ac:dyDescent="0.25">
      <c r="A2947" t="str">
        <f>"20190304164146044"</f>
        <v>20190304164146044</v>
      </c>
      <c r="B2947" t="str">
        <f>"1551688906033661"</f>
        <v>1551688906033661</v>
      </c>
      <c r="C2947" t="s">
        <v>40</v>
      </c>
      <c r="D2947">
        <v>4.6318830000000002</v>
      </c>
      <c r="E2947">
        <v>0.4900024</v>
      </c>
      <c r="F2947" t="s">
        <v>42</v>
      </c>
      <c r="G2947">
        <v>-491.66660000000002</v>
      </c>
      <c r="H2947" s="1">
        <v>-2.9594310000000002E-6</v>
      </c>
      <c r="I2947">
        <v>255.4539</v>
      </c>
      <c r="J2947">
        <v>-499.48469999999998</v>
      </c>
      <c r="K2947">
        <v>1.1560889999999999</v>
      </c>
      <c r="L2947">
        <v>264.64519999999999</v>
      </c>
      <c r="M2947">
        <v>0.54733409999999905</v>
      </c>
      <c r="N2947">
        <v>-2.6864720000000002E-2</v>
      </c>
      <c r="O2947">
        <v>-0.83648319999999998</v>
      </c>
      <c r="P2947">
        <v>0.56107819999999997</v>
      </c>
      <c r="Q2947">
        <v>0.34901359999999998</v>
      </c>
      <c r="R2947">
        <v>-0.75058740000000002</v>
      </c>
      <c r="S2947">
        <v>2.1523129999999999</v>
      </c>
      <c r="T2947">
        <v>-0.31670280000000001</v>
      </c>
      <c r="U2947">
        <v>-2.5345460000000002</v>
      </c>
      <c r="V2947">
        <v>-4.8176709999999998E-2</v>
      </c>
      <c r="W2947">
        <v>0.37548799999999999</v>
      </c>
      <c r="X2947">
        <v>0.92557429999999996</v>
      </c>
      <c r="Y2947">
        <v>-0.1226616</v>
      </c>
      <c r="Z2947">
        <v>6.1076970000000001E-2</v>
      </c>
      <c r="AA2947">
        <v>0.99056739999999999</v>
      </c>
      <c r="AB2947">
        <v>10</v>
      </c>
      <c r="AC2947">
        <v>7.8180999999999496</v>
      </c>
      <c r="AD2947">
        <v>-1.156091959431</v>
      </c>
      <c r="AE2947">
        <v>-9.1912999999999805</v>
      </c>
      <c r="AF2947">
        <v>-1.4958111775696701</v>
      </c>
      <c r="AG2947">
        <v>-1.156091959431</v>
      </c>
      <c r="AH2947">
        <v>11.862904191288299</v>
      </c>
      <c r="AI2947">
        <v>95.522691653776704</v>
      </c>
      <c r="AJ2947">
        <v>97.186583288602407</v>
      </c>
      <c r="AK2947">
        <v>12.0125973689826</v>
      </c>
      <c r="AL2947">
        <v>67.945522790254898</v>
      </c>
      <c r="AM2947">
        <v>92.9795915706041</v>
      </c>
      <c r="AN2947">
        <v>1.00000000917545</v>
      </c>
    </row>
    <row r="2948" spans="1:40" x14ac:dyDescent="0.25">
      <c r="A2948" t="str">
        <f>"20190304164146065"</f>
        <v>20190304164146065</v>
      </c>
      <c r="B2948" t="str">
        <f>"1551688906054157"</f>
        <v>1551688906054157</v>
      </c>
      <c r="C2948" t="s">
        <v>40</v>
      </c>
      <c r="D2948">
        <v>4.658283</v>
      </c>
      <c r="E2948">
        <v>0.49056319999999998</v>
      </c>
      <c r="F2948" t="s">
        <v>42</v>
      </c>
      <c r="G2948">
        <v>-491.7611</v>
      </c>
      <c r="H2948" s="1">
        <v>-3.0014179999999998E-6</v>
      </c>
      <c r="I2948">
        <v>255.4932</v>
      </c>
      <c r="J2948">
        <v>-499.4359</v>
      </c>
      <c r="K2948">
        <v>1.154398</v>
      </c>
      <c r="L2948">
        <v>264.57170000000002</v>
      </c>
      <c r="M2948">
        <v>0.54780169999999995</v>
      </c>
      <c r="N2948">
        <v>-2.7769780000000001E-2</v>
      </c>
      <c r="O2948">
        <v>-0.83614719999999998</v>
      </c>
      <c r="P2948">
        <v>0.56093179999999998</v>
      </c>
      <c r="Q2948">
        <v>0.34086809999999901</v>
      </c>
      <c r="R2948">
        <v>-0.75443019999999905</v>
      </c>
      <c r="S2948">
        <v>2.1456300000000001</v>
      </c>
      <c r="T2948">
        <v>-0.3211659</v>
      </c>
      <c r="U2948">
        <v>-2.5424500000000001</v>
      </c>
      <c r="V2948">
        <v>-4.5273439999999998E-2</v>
      </c>
      <c r="W2948">
        <v>0.36823980000000001</v>
      </c>
      <c r="X2948">
        <v>0.92862789999999995</v>
      </c>
      <c r="Y2948">
        <v>-0.1190326</v>
      </c>
      <c r="Z2948">
        <v>6.1322429999999997E-2</v>
      </c>
      <c r="AA2948">
        <v>0.99099490000000001</v>
      </c>
      <c r="AB2948">
        <v>10</v>
      </c>
      <c r="AC2948">
        <v>7.6748000000000003</v>
      </c>
      <c r="AD2948">
        <v>-1.154401001418</v>
      </c>
      <c r="AE2948">
        <v>-9.0785000000000196</v>
      </c>
      <c r="AF2948">
        <v>-1.4311067991744799</v>
      </c>
      <c r="AG2948">
        <v>-1.154401001418</v>
      </c>
      <c r="AH2948">
        <v>11.6895508298058</v>
      </c>
      <c r="AI2948">
        <v>95.5984241122827</v>
      </c>
      <c r="AJ2948">
        <v>96.979769149594304</v>
      </c>
      <c r="AK2948">
        <v>11.833271185320299</v>
      </c>
      <c r="AL2948">
        <v>68.392898048753906</v>
      </c>
      <c r="AM2948">
        <v>92.791133874923403</v>
      </c>
      <c r="AN2948">
        <v>1.0000000056659399</v>
      </c>
    </row>
    <row r="2949" spans="1:40" x14ac:dyDescent="0.25">
      <c r="A2949" t="str">
        <f>"20190304164146087"</f>
        <v>20190304164146087</v>
      </c>
      <c r="B2949" t="str">
        <f>"1551688906074276"</f>
        <v>1551688906074276</v>
      </c>
      <c r="C2949" t="s">
        <v>40</v>
      </c>
      <c r="D2949">
        <v>4.6483639999999999</v>
      </c>
      <c r="E2949">
        <v>0.49107010000000001</v>
      </c>
      <c r="F2949" t="s">
        <v>42</v>
      </c>
      <c r="G2949">
        <v>-492.39960000000002</v>
      </c>
      <c r="H2949" s="1">
        <v>-3.473589E-6</v>
      </c>
      <c r="I2949">
        <v>256.19779999999997</v>
      </c>
      <c r="J2949">
        <v>-499.38479999999998</v>
      </c>
      <c r="K2949">
        <v>1.1524719999999999</v>
      </c>
      <c r="L2949">
        <v>264.49310000000003</v>
      </c>
      <c r="M2949">
        <v>0.54679080000000002</v>
      </c>
      <c r="N2949">
        <v>-2.8389770000000002E-2</v>
      </c>
      <c r="O2949">
        <v>-0.83678809999999904</v>
      </c>
      <c r="P2949">
        <v>0.57046189999999997</v>
      </c>
      <c r="Q2949">
        <v>0.33131569999999999</v>
      </c>
      <c r="R2949">
        <v>-0.75153449999999999</v>
      </c>
      <c r="S2949">
        <v>2.1385190000000001</v>
      </c>
      <c r="T2949">
        <v>-0.35085549999999999</v>
      </c>
      <c r="U2949">
        <v>-2.5450439999999999</v>
      </c>
      <c r="V2949">
        <v>-5.5891610000000001E-2</v>
      </c>
      <c r="W2949">
        <v>0.35970229999999997</v>
      </c>
      <c r="X2949">
        <v>0.93139170000000004</v>
      </c>
      <c r="Y2949">
        <v>-0.1177245</v>
      </c>
      <c r="Z2949">
        <v>6.8562159999999997E-2</v>
      </c>
      <c r="AA2949">
        <v>0.99067660000000002</v>
      </c>
      <c r="AB2949">
        <v>9</v>
      </c>
      <c r="AC2949">
        <v>6.9851999999999599</v>
      </c>
      <c r="AD2949">
        <v>-1.1524754735889999</v>
      </c>
      <c r="AE2949">
        <v>-8.2953000000000507</v>
      </c>
      <c r="AF2949">
        <v>-1.2952380923293401</v>
      </c>
      <c r="AG2949">
        <v>-1.1524754735889999</v>
      </c>
      <c r="AH2949">
        <v>10.644966546604101</v>
      </c>
      <c r="AI2949">
        <v>96.134157817904907</v>
      </c>
      <c r="AJ2949">
        <v>96.937425179770301</v>
      </c>
      <c r="AK2949">
        <v>10.7852285192</v>
      </c>
      <c r="AL2949">
        <v>68.918086897867695</v>
      </c>
      <c r="AM2949">
        <v>93.434127347277993</v>
      </c>
      <c r="AN2949">
        <v>1.00000005776128</v>
      </c>
    </row>
    <row r="2950" spans="1:40" x14ac:dyDescent="0.25">
      <c r="A2950" t="str">
        <f>"20190304164146132"</f>
        <v>20190304164146132</v>
      </c>
      <c r="B2950" t="str">
        <f>"1551688906124035"</f>
        <v>1551688906124035</v>
      </c>
      <c r="C2950" t="s">
        <v>40</v>
      </c>
      <c r="D2950">
        <v>4.7208069999999998</v>
      </c>
      <c r="E2950">
        <v>0.48973290000000003</v>
      </c>
      <c r="F2950" t="s">
        <v>42</v>
      </c>
      <c r="G2950">
        <v>-493.06740000000002</v>
      </c>
      <c r="H2950" s="1">
        <v>-3.9386150000000001E-6</v>
      </c>
      <c r="I2950">
        <v>256.96170000000001</v>
      </c>
      <c r="J2950">
        <v>-499.2824</v>
      </c>
      <c r="K2950">
        <v>1.1483509999999999</v>
      </c>
      <c r="L2950">
        <v>264.32920000000001</v>
      </c>
      <c r="M2950">
        <v>0.54305939999999997</v>
      </c>
      <c r="N2950">
        <v>-2.882009E-2</v>
      </c>
      <c r="O2950">
        <v>-0.83919979999999905</v>
      </c>
      <c r="P2950">
        <v>0.58012600000000003</v>
      </c>
      <c r="Q2950">
        <v>0.31685999999999998</v>
      </c>
      <c r="R2950">
        <v>-0.75036950000000002</v>
      </c>
      <c r="S2950">
        <v>2.1336979999999999</v>
      </c>
      <c r="T2950">
        <v>-0.38925349999999997</v>
      </c>
      <c r="U2950">
        <v>-2.5437620000000001</v>
      </c>
      <c r="V2950">
        <v>-6.8821300000000002E-2</v>
      </c>
      <c r="W2950">
        <v>0.34623470000000001</v>
      </c>
      <c r="X2950">
        <v>0.93562020000000001</v>
      </c>
      <c r="Y2950">
        <v>-0.1206955</v>
      </c>
      <c r="Z2950">
        <v>7.8547790000000006E-2</v>
      </c>
      <c r="AA2950">
        <v>0.98957709999999999</v>
      </c>
      <c r="AB2950">
        <v>9</v>
      </c>
      <c r="AC2950">
        <v>6.2149999999999697</v>
      </c>
      <c r="AD2950">
        <v>-1.148354938615</v>
      </c>
      <c r="AE2950">
        <v>-7.3674999999999997</v>
      </c>
      <c r="AF2950">
        <v>-1.19813470911953</v>
      </c>
      <c r="AG2950">
        <v>-1.148354938615</v>
      </c>
      <c r="AH2950">
        <v>9.4280658751315194</v>
      </c>
      <c r="AI2950">
        <v>96.889647633434194</v>
      </c>
      <c r="AJ2950">
        <v>97.242424183042203</v>
      </c>
      <c r="AK2950">
        <v>9.5730179145375995</v>
      </c>
      <c r="AL2950">
        <v>69.7428152992252</v>
      </c>
      <c r="AM2950">
        <v>94.206922180189096</v>
      </c>
      <c r="AN2950">
        <v>0.99999999873290901</v>
      </c>
    </row>
    <row r="2951" spans="1:40" x14ac:dyDescent="0.25">
      <c r="A2951" t="str">
        <f>"20190304164146155"</f>
        <v>20190304164146155</v>
      </c>
      <c r="B2951" t="str">
        <f>"1551688906143555"</f>
        <v>1551688906143555</v>
      </c>
      <c r="C2951" t="s">
        <v>40</v>
      </c>
      <c r="D2951">
        <v>4.5896169999999996</v>
      </c>
      <c r="E2951">
        <v>0.35253469999999998</v>
      </c>
      <c r="F2951" t="s">
        <v>42</v>
      </c>
      <c r="G2951">
        <v>-493.53</v>
      </c>
      <c r="H2951" s="1">
        <v>-4.2498359999999997E-6</v>
      </c>
      <c r="I2951">
        <v>257.63510000000002</v>
      </c>
      <c r="J2951">
        <v>-499.23430000000002</v>
      </c>
      <c r="K2951">
        <v>1.146469</v>
      </c>
      <c r="L2951">
        <v>264.24930000000001</v>
      </c>
      <c r="M2951">
        <v>0.54144380000000003</v>
      </c>
      <c r="N2951">
        <v>-2.9072069999999998E-2</v>
      </c>
      <c r="O2951">
        <v>-0.84023419999999904</v>
      </c>
      <c r="P2951">
        <v>0.57979519999999996</v>
      </c>
      <c r="Q2951">
        <v>0.31185580000000002</v>
      </c>
      <c r="R2951">
        <v>-0.75271759999999999</v>
      </c>
      <c r="S2951">
        <v>2.1581730000000001</v>
      </c>
      <c r="T2951">
        <v>-0.43083539999999998</v>
      </c>
      <c r="U2951">
        <v>-2.511444</v>
      </c>
      <c r="V2951">
        <v>-6.9272509999999995E-2</v>
      </c>
      <c r="W2951">
        <v>0.34151749999999997</v>
      </c>
      <c r="X2951">
        <v>0.93731909999999896</v>
      </c>
      <c r="Y2951">
        <v>-0.1336019</v>
      </c>
      <c r="Z2951">
        <v>9.0036309999999994E-2</v>
      </c>
      <c r="AA2951">
        <v>0.9869367</v>
      </c>
      <c r="AB2951">
        <v>9</v>
      </c>
      <c r="AC2951">
        <v>5.7043000000000399</v>
      </c>
      <c r="AD2951">
        <v>-1.146473249836</v>
      </c>
      <c r="AE2951">
        <v>-6.6141999999999799</v>
      </c>
      <c r="AF2951">
        <v>-1.1917098367369701</v>
      </c>
      <c r="AG2951">
        <v>-1.146473249836</v>
      </c>
      <c r="AH2951">
        <v>8.5031828470441493</v>
      </c>
      <c r="AI2951">
        <v>97.6053643875657</v>
      </c>
      <c r="AJ2951">
        <v>97.977965102989103</v>
      </c>
      <c r="AK2951">
        <v>8.6624876206451802</v>
      </c>
      <c r="AL2951">
        <v>70.030644415391293</v>
      </c>
      <c r="AM2951">
        <v>94.226756780424594</v>
      </c>
      <c r="AN2951">
        <v>0.99999998933637901</v>
      </c>
    </row>
    <row r="2952" spans="1:40" x14ac:dyDescent="0.25">
      <c r="A2952" t="str">
        <f>"20190304164146176"</f>
        <v>20190304164146176</v>
      </c>
      <c r="B2952" t="str">
        <f>"1551688906173811"</f>
        <v>1551688906173811</v>
      </c>
      <c r="C2952" t="s">
        <v>40</v>
      </c>
      <c r="D2952">
        <v>4.7905249999999997</v>
      </c>
      <c r="E2952">
        <v>0.28442849999999997</v>
      </c>
      <c r="F2952" t="s">
        <v>42</v>
      </c>
      <c r="G2952">
        <v>-487.77659999999997</v>
      </c>
      <c r="H2952" s="1">
        <v>-3.7005800000000001E-6</v>
      </c>
      <c r="I2952">
        <v>257.33960000000002</v>
      </c>
      <c r="J2952">
        <v>-499.18880000000001</v>
      </c>
      <c r="K2952">
        <v>1.1447940000000001</v>
      </c>
      <c r="L2952">
        <v>264.17270000000002</v>
      </c>
      <c r="M2952">
        <v>0.53981619999999997</v>
      </c>
      <c r="N2952">
        <v>-2.937731E-2</v>
      </c>
      <c r="O2952">
        <v>-0.84127019999999997</v>
      </c>
      <c r="P2952">
        <v>0.57936299999999996</v>
      </c>
      <c r="Q2952">
        <v>0.30776439999999999</v>
      </c>
      <c r="R2952">
        <v>-0.75473169999999901</v>
      </c>
      <c r="S2952">
        <v>2.9924010000000001</v>
      </c>
      <c r="T2952">
        <v>-0.29942350000000001</v>
      </c>
      <c r="U2952">
        <v>-1.8045960000000001</v>
      </c>
      <c r="V2952">
        <v>-6.9999839999999994E-2</v>
      </c>
      <c r="W2952">
        <v>0.33771659999999998</v>
      </c>
      <c r="X2952">
        <v>0.93864130000000001</v>
      </c>
      <c r="Y2952">
        <v>-0.43939549999999999</v>
      </c>
      <c r="Z2952">
        <v>6.1584849999999997E-2</v>
      </c>
      <c r="AA2952">
        <v>0.89618019999999998</v>
      </c>
      <c r="AB2952">
        <v>9</v>
      </c>
      <c r="AC2952">
        <v>11.4122</v>
      </c>
      <c r="AD2952">
        <v>-1.1447977005800001</v>
      </c>
      <c r="AE2952">
        <v>-6.8331</v>
      </c>
      <c r="AF2952">
        <v>-5.87118882839754</v>
      </c>
      <c r="AG2952">
        <v>-1.1447977005800001</v>
      </c>
      <c r="AH2952">
        <v>11.826513460612301</v>
      </c>
      <c r="AI2952">
        <v>94.9553179329329</v>
      </c>
      <c r="AJ2952">
        <v>116.401774582152</v>
      </c>
      <c r="AK2952">
        <v>13.253220011302799</v>
      </c>
      <c r="AL2952">
        <v>70.262181765151695</v>
      </c>
      <c r="AM2952">
        <v>94.264978434055706</v>
      </c>
      <c r="AN2952">
        <v>0.99999998479063701</v>
      </c>
    </row>
    <row r="2953" spans="1:40" x14ac:dyDescent="0.25">
      <c r="A2953" t="str">
        <f>"20190304164146200"</f>
        <v>20190304164146200</v>
      </c>
      <c r="B2953" t="str">
        <f>"1551688906194156"</f>
        <v>1551688906194156</v>
      </c>
      <c r="C2953" t="s">
        <v>40</v>
      </c>
      <c r="D2953">
        <v>4.8012940000000004</v>
      </c>
      <c r="E2953">
        <v>0.28800920000000002</v>
      </c>
      <c r="F2953" t="s">
        <v>42</v>
      </c>
      <c r="G2953">
        <v>-484.58839999999998</v>
      </c>
      <c r="H2953" s="1">
        <v>-4.5047619999999998E-6</v>
      </c>
      <c r="I2953">
        <v>257.89589999999998</v>
      </c>
      <c r="J2953">
        <v>-499.13869999999997</v>
      </c>
      <c r="K2953">
        <v>1.1429769999999999</v>
      </c>
      <c r="L2953">
        <v>264.08769999999998</v>
      </c>
      <c r="M2953">
        <v>0.53769299999999998</v>
      </c>
      <c r="N2953">
        <v>-2.9682429999999999E-2</v>
      </c>
      <c r="O2953">
        <v>-0.84261799999999998</v>
      </c>
      <c r="P2953">
        <v>0.57566859999999997</v>
      </c>
      <c r="Q2953">
        <v>0.3060832</v>
      </c>
      <c r="R2953">
        <v>-0.75823430000000003</v>
      </c>
      <c r="S2953">
        <v>3.4102779999999999</v>
      </c>
      <c r="T2953">
        <v>-0.26739489999999999</v>
      </c>
      <c r="U2953">
        <v>-1.4660949999999999</v>
      </c>
      <c r="V2953">
        <v>-6.7814970000000002E-2</v>
      </c>
      <c r="W2953">
        <v>0.33619060000000001</v>
      </c>
      <c r="X2953">
        <v>0.9393492</v>
      </c>
      <c r="Y2953">
        <v>-0.5599925</v>
      </c>
      <c r="Z2953">
        <v>5.2354129999999999E-2</v>
      </c>
      <c r="AA2953">
        <v>0.82684179999999996</v>
      </c>
      <c r="AB2953">
        <v>9</v>
      </c>
      <c r="AC2953">
        <v>14.550299999999901</v>
      </c>
      <c r="AD2953">
        <v>-1.142981504762</v>
      </c>
      <c r="AE2953">
        <v>-6.1917999999999997</v>
      </c>
      <c r="AF2953">
        <v>-8.8885554854336508</v>
      </c>
      <c r="AG2953">
        <v>-1.142981504762</v>
      </c>
      <c r="AH2953">
        <v>12.9788566474658</v>
      </c>
      <c r="AI2953">
        <v>94.155749144593798</v>
      </c>
      <c r="AJ2953">
        <v>124.405249840118</v>
      </c>
      <c r="AK2953">
        <v>15.7722397018726</v>
      </c>
      <c r="AL2953">
        <v>70.355045089049895</v>
      </c>
      <c r="AM2953">
        <v>94.129222962020705</v>
      </c>
      <c r="AN2953">
        <v>0.99999995461254898</v>
      </c>
    </row>
    <row r="2954" spans="1:40" x14ac:dyDescent="0.25">
      <c r="A2954" t="str">
        <f>"20190304164146223"</f>
        <v>20190304164146223</v>
      </c>
      <c r="B2954" t="str">
        <f>"1551688906213676"</f>
        <v>1551688906213676</v>
      </c>
      <c r="C2954" t="s">
        <v>40</v>
      </c>
      <c r="D2954">
        <v>4.6610459999999998</v>
      </c>
      <c r="E2954">
        <v>0.2881705</v>
      </c>
      <c r="F2954" t="s">
        <v>42</v>
      </c>
      <c r="G2954">
        <v>-484.80169999999998</v>
      </c>
      <c r="H2954" s="1">
        <v>-4.4026729999999997E-6</v>
      </c>
      <c r="I2954">
        <v>257.74610000000001</v>
      </c>
      <c r="J2954">
        <v>-499.09100000000001</v>
      </c>
      <c r="K2954">
        <v>1.141157</v>
      </c>
      <c r="L2954">
        <v>264.00700000000001</v>
      </c>
      <c r="M2954">
        <v>0.53542330000000005</v>
      </c>
      <c r="N2954">
        <v>-2.9870009999999999E-2</v>
      </c>
      <c r="O2954">
        <v>-0.84405589999999997</v>
      </c>
      <c r="P2954">
        <v>0.57122309999999998</v>
      </c>
      <c r="Q2954">
        <v>0.30666680000000002</v>
      </c>
      <c r="R2954">
        <v>-0.76135419999999998</v>
      </c>
      <c r="S2954">
        <v>3.383575</v>
      </c>
      <c r="T2954">
        <v>-0.26974680000000001</v>
      </c>
      <c r="U2954">
        <v>-1.4966429999999999</v>
      </c>
      <c r="V2954">
        <v>-6.5258070000000001E-2</v>
      </c>
      <c r="W2954">
        <v>0.33680300000000002</v>
      </c>
      <c r="X2954">
        <v>0.93931100000000001</v>
      </c>
      <c r="Y2954">
        <v>-0.55353909999999995</v>
      </c>
      <c r="Z2954">
        <v>5.2860459999999998E-2</v>
      </c>
      <c r="AA2954">
        <v>0.83114390000000005</v>
      </c>
      <c r="AB2954">
        <v>9</v>
      </c>
      <c r="AC2954">
        <v>14.289300000000001</v>
      </c>
      <c r="AD2954">
        <v>-1.1411614026729999</v>
      </c>
      <c r="AE2954">
        <v>-6.2608999999999897</v>
      </c>
      <c r="AF2954">
        <v>-8.6662510675292008</v>
      </c>
      <c r="AG2954">
        <v>-1.1411614026729999</v>
      </c>
      <c r="AH2954">
        <v>12.8722691247666</v>
      </c>
      <c r="AI2954">
        <v>94.205920939547596</v>
      </c>
      <c r="AJ2954">
        <v>123.95039859697999</v>
      </c>
      <c r="AK2954">
        <v>15.559610192187399</v>
      </c>
      <c r="AL2954">
        <v>70.317785522154395</v>
      </c>
      <c r="AM2954">
        <v>93.974204139813295</v>
      </c>
      <c r="AN2954">
        <v>1.0000000156150599</v>
      </c>
    </row>
    <row r="2955" spans="1:40" x14ac:dyDescent="0.25">
      <c r="A2955" t="str">
        <f>"20190304164146244"</f>
        <v>20190304164146244</v>
      </c>
      <c r="B2955" t="str">
        <f>"1551688906234172"</f>
        <v>1551688906234172</v>
      </c>
      <c r="C2955" t="s">
        <v>40</v>
      </c>
      <c r="D2955">
        <v>4.7730540000000001</v>
      </c>
      <c r="E2955">
        <v>0.2881609</v>
      </c>
      <c r="F2955" t="s">
        <v>42</v>
      </c>
      <c r="G2955">
        <v>-483.0505</v>
      </c>
      <c r="H2955" s="1">
        <v>-4.3109779999999997E-6</v>
      </c>
      <c r="I2955">
        <v>256.80829999999997</v>
      </c>
      <c r="J2955">
        <v>-499.0446</v>
      </c>
      <c r="K2955">
        <v>1.13922099999999</v>
      </c>
      <c r="L2955">
        <v>263.92849999999999</v>
      </c>
      <c r="M2955">
        <v>0.53322130000000001</v>
      </c>
      <c r="N2955">
        <v>-2.9973400000000001E-2</v>
      </c>
      <c r="O2955">
        <v>-0.84544470000000005</v>
      </c>
      <c r="P2955">
        <v>0.56929240000000003</v>
      </c>
      <c r="Q2955">
        <v>0.30568659999999998</v>
      </c>
      <c r="R2955">
        <v>-0.76319209999999904</v>
      </c>
      <c r="S2955">
        <v>3.3666689999999999</v>
      </c>
      <c r="T2955">
        <v>-0.23951410000000001</v>
      </c>
      <c r="U2955">
        <v>-1.5109250000000001</v>
      </c>
      <c r="V2955">
        <v>-6.5329949999999998E-2</v>
      </c>
      <c r="W2955">
        <v>0.33589010000000002</v>
      </c>
      <c r="X2955">
        <v>0.93963280000000005</v>
      </c>
      <c r="Y2955">
        <v>-0.55167369999999905</v>
      </c>
      <c r="Z2955">
        <v>4.4694829999999998E-2</v>
      </c>
      <c r="AA2955">
        <v>0.83286170000000004</v>
      </c>
      <c r="AB2955">
        <v>9</v>
      </c>
      <c r="AC2955">
        <v>15.9941</v>
      </c>
      <c r="AD2955">
        <v>-1.13922531097799</v>
      </c>
      <c r="AE2955">
        <v>-7.1202000000000103</v>
      </c>
      <c r="AF2955">
        <v>-9.6888309876133594</v>
      </c>
      <c r="AG2955">
        <v>-1.13922531097799</v>
      </c>
      <c r="AH2955">
        <v>14.4933005838841</v>
      </c>
      <c r="AI2955">
        <v>93.738772218834697</v>
      </c>
      <c r="AJ2955">
        <v>123.762890269005</v>
      </c>
      <c r="AK2955">
        <v>17.4707481817615</v>
      </c>
      <c r="AL2955">
        <v>70.373326046698807</v>
      </c>
      <c r="AM2955">
        <v>93.977209384711202</v>
      </c>
      <c r="AN2955">
        <v>0.99999998024042602</v>
      </c>
    </row>
    <row r="2956" spans="1:40" x14ac:dyDescent="0.25">
      <c r="A2956" t="str">
        <f>"20190304164146265"</f>
        <v>20190304164146265</v>
      </c>
      <c r="B2956" t="str">
        <f>"1551688906253692"</f>
        <v>1551688906253692</v>
      </c>
      <c r="C2956" t="s">
        <v>40</v>
      </c>
      <c r="D2956">
        <v>4.771655</v>
      </c>
      <c r="E2956">
        <v>0.28837629999999997</v>
      </c>
      <c r="F2956" t="s">
        <v>42</v>
      </c>
      <c r="G2956">
        <v>-482.51080000000002</v>
      </c>
      <c r="H2956" s="1">
        <v>-4.3035299999999999E-6</v>
      </c>
      <c r="I2956">
        <v>256.43860000000001</v>
      </c>
      <c r="J2956">
        <v>-499.00200000000001</v>
      </c>
      <c r="K2956">
        <v>1.137365</v>
      </c>
      <c r="L2956">
        <v>263.85579999999999</v>
      </c>
      <c r="M2956">
        <v>0.53129510000000002</v>
      </c>
      <c r="N2956">
        <v>-3.0044439999999999E-2</v>
      </c>
      <c r="O2956">
        <v>-0.84665380000000001</v>
      </c>
      <c r="P2956">
        <v>0.56872650000000002</v>
      </c>
      <c r="Q2956">
        <v>0.30410579999999998</v>
      </c>
      <c r="R2956">
        <v>-0.76424449999999999</v>
      </c>
      <c r="S2956">
        <v>3.355896</v>
      </c>
      <c r="T2956">
        <v>-0.23123070000000001</v>
      </c>
      <c r="U2956">
        <v>-1.5202329999999999</v>
      </c>
      <c r="V2956">
        <v>-6.6562129999999997E-2</v>
      </c>
      <c r="W2956">
        <v>0.33440629999999999</v>
      </c>
      <c r="X2956">
        <v>0.94007549999999995</v>
      </c>
      <c r="Y2956">
        <v>-0.55076340000000001</v>
      </c>
      <c r="Z2956">
        <v>4.2453930000000001E-2</v>
      </c>
      <c r="AA2956">
        <v>0.83358099999999902</v>
      </c>
      <c r="AB2956">
        <v>9</v>
      </c>
      <c r="AC2956">
        <v>16.4911999999999</v>
      </c>
      <c r="AD2956">
        <v>-1.1373693035300001</v>
      </c>
      <c r="AE2956">
        <v>-7.4171999999999798</v>
      </c>
      <c r="AF2956">
        <v>-9.9866321524516692</v>
      </c>
      <c r="AG2956">
        <v>-1.1373693035300001</v>
      </c>
      <c r="AH2956">
        <v>14.9889881841092</v>
      </c>
      <c r="AI2956">
        <v>93.613313979087394</v>
      </c>
      <c r="AJ2956">
        <v>123.67411589510399</v>
      </c>
      <c r="AK2956">
        <v>18.047055091187602</v>
      </c>
      <c r="AL2956">
        <v>70.463560963017102</v>
      </c>
      <c r="AM2956">
        <v>94.0500736661986</v>
      </c>
      <c r="AN2956">
        <v>1.0000000181650299</v>
      </c>
    </row>
    <row r="2957" spans="1:40" x14ac:dyDescent="0.25">
      <c r="A2957" t="str">
        <f>"20190304164146289"</f>
        <v>20190304164146289</v>
      </c>
      <c r="B2957" t="str">
        <f>"1551688906283585"</f>
        <v>1551688906283585</v>
      </c>
      <c r="C2957" t="s">
        <v>40</v>
      </c>
      <c r="D2957">
        <v>4.8064299999999998</v>
      </c>
      <c r="E2957">
        <v>0.28859230000000002</v>
      </c>
      <c r="F2957" t="s">
        <v>42</v>
      </c>
      <c r="G2957">
        <v>-483.02190000000002</v>
      </c>
      <c r="H2957" s="1">
        <v>-4.205982E-6</v>
      </c>
      <c r="I2957">
        <v>256.55149999999998</v>
      </c>
      <c r="J2957">
        <v>-498.9522</v>
      </c>
      <c r="K2957">
        <v>1.135211</v>
      </c>
      <c r="L2957">
        <v>263.77019999999999</v>
      </c>
      <c r="M2957">
        <v>0.52907399999999905</v>
      </c>
      <c r="N2957">
        <v>-3.0114100000000001E-2</v>
      </c>
      <c r="O2957">
        <v>-0.84804120000000005</v>
      </c>
      <c r="P2957">
        <v>0.56810059999999996</v>
      </c>
      <c r="Q2957">
        <v>0.30087909999999901</v>
      </c>
      <c r="R2957">
        <v>-0.76598549999999999</v>
      </c>
      <c r="S2957">
        <v>3.3466800000000001</v>
      </c>
      <c r="T2957">
        <v>-0.23819709999999999</v>
      </c>
      <c r="U2957">
        <v>-1.5297240000000001</v>
      </c>
      <c r="V2957">
        <v>-6.7678799999999997E-2</v>
      </c>
      <c r="W2957">
        <v>0.3313045</v>
      </c>
      <c r="X2957">
        <v>0.94109339999999997</v>
      </c>
      <c r="Y2957">
        <v>-0.55003329999999995</v>
      </c>
      <c r="Z2957">
        <v>4.4341940000000003E-2</v>
      </c>
      <c r="AA2957">
        <v>0.83396479999999995</v>
      </c>
      <c r="AB2957">
        <v>9</v>
      </c>
      <c r="AC2957">
        <v>15.9302999999999</v>
      </c>
      <c r="AD2957">
        <v>-1.135215205982</v>
      </c>
      <c r="AE2957">
        <v>-7.2187000000000099</v>
      </c>
      <c r="AF2957">
        <v>-9.6540476949334906</v>
      </c>
      <c r="AG2957">
        <v>-1.135215205982</v>
      </c>
      <c r="AH2957">
        <v>14.495593161014</v>
      </c>
      <c r="AI2957">
        <v>93.729360240578799</v>
      </c>
      <c r="AJ2957">
        <v>123.663567675454</v>
      </c>
      <c r="AK2957">
        <v>17.453124979486599</v>
      </c>
      <c r="AL2957">
        <v>70.652026322269506</v>
      </c>
      <c r="AM2957">
        <v>94.113348776954297</v>
      </c>
      <c r="AN2957">
        <v>0.99999993960662303</v>
      </c>
    </row>
    <row r="2958" spans="1:40" x14ac:dyDescent="0.25">
      <c r="A2958" t="str">
        <f>"20190304164146311"</f>
        <v>20190304164146311</v>
      </c>
      <c r="B2958" t="str">
        <f>"1551688906304081"</f>
        <v>1551688906304081</v>
      </c>
      <c r="C2958" t="s">
        <v>40</v>
      </c>
      <c r="D2958">
        <v>4.8133480000000004</v>
      </c>
      <c r="E2958">
        <v>0.28859509999999899</v>
      </c>
      <c r="F2958" t="s">
        <v>42</v>
      </c>
      <c r="G2958">
        <v>-483.6456</v>
      </c>
      <c r="H2958" s="1">
        <v>-4.1635790000000003E-6</v>
      </c>
      <c r="I2958">
        <v>256.71069999999997</v>
      </c>
      <c r="J2958">
        <v>-498.90640000000002</v>
      </c>
      <c r="K2958">
        <v>1.133356</v>
      </c>
      <c r="L2958">
        <v>263.69060000000002</v>
      </c>
      <c r="M2958">
        <v>0.52689140000000001</v>
      </c>
      <c r="N2958">
        <v>-3.015688E-2</v>
      </c>
      <c r="O2958">
        <v>-0.84939759999999997</v>
      </c>
      <c r="P2958">
        <v>0.56496020000000002</v>
      </c>
      <c r="Q2958">
        <v>0.30246250000000002</v>
      </c>
      <c r="R2958">
        <v>-0.76768259999999999</v>
      </c>
      <c r="S2958">
        <v>3.3368530000000001</v>
      </c>
      <c r="T2958">
        <v>-0.247478</v>
      </c>
      <c r="U2958">
        <v>-1.5389710000000001</v>
      </c>
      <c r="V2958">
        <v>-6.6477999999999995E-2</v>
      </c>
      <c r="W2958">
        <v>0.3328914</v>
      </c>
      <c r="X2958">
        <v>0.94061890000000004</v>
      </c>
      <c r="Y2958">
        <v>-0.54920959999999996</v>
      </c>
      <c r="Z2958">
        <v>4.6894659999999998E-2</v>
      </c>
      <c r="AA2958">
        <v>0.83436790000000005</v>
      </c>
      <c r="AB2958">
        <v>9</v>
      </c>
      <c r="AC2958">
        <v>15.2608</v>
      </c>
      <c r="AD2958">
        <v>-1.133360163579</v>
      </c>
      <c r="AE2958">
        <v>-6.9799000000000397</v>
      </c>
      <c r="AF2958">
        <v>-9.2468836603430393</v>
      </c>
      <c r="AG2958">
        <v>-1.133360163579</v>
      </c>
      <c r="AH2958">
        <v>13.912391000626601</v>
      </c>
      <c r="AI2958">
        <v>93.881299540199194</v>
      </c>
      <c r="AJ2958">
        <v>123.610036412</v>
      </c>
      <c r="AK2958">
        <v>16.7434759247482</v>
      </c>
      <c r="AL2958">
        <v>70.555633255798298</v>
      </c>
      <c r="AM2958">
        <v>94.042642602500393</v>
      </c>
      <c r="AN2958">
        <v>0.999999961857584</v>
      </c>
    </row>
    <row r="2959" spans="1:40" x14ac:dyDescent="0.25">
      <c r="A2959" t="str">
        <f>"20190304164146336"</f>
        <v>20190304164146336</v>
      </c>
      <c r="B2959" t="str">
        <f>"1551688906323600"</f>
        <v>1551688906323600</v>
      </c>
      <c r="C2959" t="s">
        <v>40</v>
      </c>
      <c r="D2959">
        <v>4.8422679999999998</v>
      </c>
      <c r="E2959">
        <v>0.28846899999999998</v>
      </c>
      <c r="F2959" t="s">
        <v>42</v>
      </c>
      <c r="G2959">
        <v>-483.14060000000001</v>
      </c>
      <c r="H2959" s="1">
        <v>-4.1007130000000001E-6</v>
      </c>
      <c r="I2959">
        <v>256.33499999999998</v>
      </c>
      <c r="J2959">
        <v>-498.8596</v>
      </c>
      <c r="K2959">
        <v>1.131602</v>
      </c>
      <c r="L2959">
        <v>263.60840000000002</v>
      </c>
      <c r="M2959">
        <v>0.5244103</v>
      </c>
      <c r="N2959">
        <v>-3.017632E-2</v>
      </c>
      <c r="O2959">
        <v>-0.85093090000000005</v>
      </c>
      <c r="P2959">
        <v>0.55759250000000005</v>
      </c>
      <c r="Q2959">
        <v>0.30832140000000002</v>
      </c>
      <c r="R2959">
        <v>-0.77073230000000004</v>
      </c>
      <c r="S2959">
        <v>3.328217</v>
      </c>
      <c r="T2959">
        <v>-0.23925650000000001</v>
      </c>
      <c r="U2959">
        <v>-1.5527949999999999</v>
      </c>
      <c r="V2959">
        <v>-6.1167649999999997E-2</v>
      </c>
      <c r="W2959">
        <v>0.33859159999999999</v>
      </c>
      <c r="X2959">
        <v>0.93894310000000003</v>
      </c>
      <c r="Y2959">
        <v>-0.54809039999999998</v>
      </c>
      <c r="Z2959">
        <v>4.4617850000000001E-2</v>
      </c>
      <c r="AA2959">
        <v>0.83522819999999998</v>
      </c>
      <c r="AB2959">
        <v>9</v>
      </c>
      <c r="AC2959">
        <v>15.7189999999999</v>
      </c>
      <c r="AD2959">
        <v>-1.1316061007130001</v>
      </c>
      <c r="AE2959">
        <v>-7.2734000000000298</v>
      </c>
      <c r="AF2959">
        <v>-9.5252331745491094</v>
      </c>
      <c r="AG2959">
        <v>-1.1316061007130001</v>
      </c>
      <c r="AH2959">
        <v>14.3775687158036</v>
      </c>
      <c r="AI2959">
        <v>93.753987618551605</v>
      </c>
      <c r="AJ2959">
        <v>123.52473330674</v>
      </c>
      <c r="AK2959">
        <v>17.2836651661144</v>
      </c>
      <c r="AL2959">
        <v>70.208909002228097</v>
      </c>
      <c r="AM2959">
        <v>93.727279089441893</v>
      </c>
      <c r="AN2959">
        <v>0.99999994901734501</v>
      </c>
    </row>
    <row r="2960" spans="1:40" x14ac:dyDescent="0.25">
      <c r="A2960" t="str">
        <f>"20190304164146356"</f>
        <v>20190304164146356</v>
      </c>
      <c r="B2960" t="str">
        <f>"1551688906344097"</f>
        <v>1551688906344097</v>
      </c>
      <c r="C2960" t="s">
        <v>40</v>
      </c>
      <c r="D2960">
        <v>4.8805829999999997</v>
      </c>
      <c r="E2960">
        <v>0.28817949999999998</v>
      </c>
      <c r="F2960" t="s">
        <v>42</v>
      </c>
      <c r="G2960">
        <v>-480.79719999999998</v>
      </c>
      <c r="H2960" s="1">
        <v>-4.2829269999999998E-6</v>
      </c>
      <c r="I2960">
        <v>255.03819999999999</v>
      </c>
      <c r="J2960">
        <v>-498.8168</v>
      </c>
      <c r="K2960">
        <v>1.130117</v>
      </c>
      <c r="L2960">
        <v>263.53230000000002</v>
      </c>
      <c r="M2960">
        <v>0.52188239999999997</v>
      </c>
      <c r="N2960">
        <v>-3.0184329999999999E-2</v>
      </c>
      <c r="O2960">
        <v>-0.8524832</v>
      </c>
      <c r="P2960">
        <v>0.54822150000000003</v>
      </c>
      <c r="Q2960">
        <v>0.31229649999999998</v>
      </c>
      <c r="R2960">
        <v>-0.77583749999999996</v>
      </c>
      <c r="S2960">
        <v>3.3186949999999902</v>
      </c>
      <c r="T2960">
        <v>-0.20791609999999999</v>
      </c>
      <c r="U2960">
        <v>-1.574646</v>
      </c>
      <c r="V2960">
        <v>-5.3155910000000001E-2</v>
      </c>
      <c r="W2960">
        <v>0.34234569999999998</v>
      </c>
      <c r="X2960">
        <v>0.93806920000000005</v>
      </c>
      <c r="Y2960">
        <v>-0.54555200000000004</v>
      </c>
      <c r="Z2960">
        <v>3.5929199999999897E-2</v>
      </c>
      <c r="AA2960">
        <v>0.83730649999999995</v>
      </c>
      <c r="AB2960">
        <v>9</v>
      </c>
      <c r="AC2960">
        <v>18.019600000000001</v>
      </c>
      <c r="AD2960">
        <v>-1.130121282927</v>
      </c>
      <c r="AE2960">
        <v>-8.4941000000000297</v>
      </c>
      <c r="AF2960">
        <v>-10.8983935814506</v>
      </c>
      <c r="AG2960">
        <v>-1.130121282927</v>
      </c>
      <c r="AH2960">
        <v>16.599357400748499</v>
      </c>
      <c r="AI2960">
        <v>93.257305912712994</v>
      </c>
      <c r="AJ2960">
        <v>123.28710702161899</v>
      </c>
      <c r="AK2960">
        <v>19.889465123228302</v>
      </c>
      <c r="AL2960">
        <v>69.980148125075701</v>
      </c>
      <c r="AM2960">
        <v>93.243210415546102</v>
      </c>
      <c r="AN2960">
        <v>0.99999997653252803</v>
      </c>
    </row>
    <row r="2961" spans="1:40" x14ac:dyDescent="0.25">
      <c r="A2961" t="str">
        <f>"20190304164146378"</f>
        <v>20190304164146378</v>
      </c>
      <c r="B2961" t="str">
        <f>"1551688906374354"</f>
        <v>1551688906374354</v>
      </c>
      <c r="C2961" t="s">
        <v>40</v>
      </c>
      <c r="D2961">
        <v>4.9012419999999999</v>
      </c>
      <c r="E2961">
        <v>0.28725820000000002</v>
      </c>
      <c r="F2961" t="s">
        <v>42</v>
      </c>
      <c r="G2961">
        <v>-479.61520000000002</v>
      </c>
      <c r="H2961">
        <v>7.9986710000000003E-2</v>
      </c>
      <c r="I2961">
        <v>254.2141</v>
      </c>
      <c r="J2961">
        <v>-498.77449999999999</v>
      </c>
      <c r="K2961">
        <v>1.128736</v>
      </c>
      <c r="L2961">
        <v>263.45600000000002</v>
      </c>
      <c r="M2961">
        <v>0.51913599999999904</v>
      </c>
      <c r="N2961">
        <v>-3.019581E-2</v>
      </c>
      <c r="O2961">
        <v>-0.85415830000000004</v>
      </c>
      <c r="P2961">
        <v>0.54166250000000005</v>
      </c>
      <c r="Q2961">
        <v>0.30972290000000002</v>
      </c>
      <c r="R2961">
        <v>-0.78145640000000005</v>
      </c>
      <c r="S2961">
        <v>3.305237</v>
      </c>
      <c r="T2961">
        <v>-0.18076239999999999</v>
      </c>
      <c r="U2961">
        <v>-1.6039730000000001</v>
      </c>
      <c r="V2961">
        <v>-4.7670789999999998E-2</v>
      </c>
      <c r="W2961">
        <v>0.33968350000000003</v>
      </c>
      <c r="X2961">
        <v>0.93933089999999997</v>
      </c>
      <c r="Y2961">
        <v>-0.54117409999999999</v>
      </c>
      <c r="Z2961">
        <v>2.8331680000000001E-2</v>
      </c>
      <c r="AA2961">
        <v>0.84043319999999999</v>
      </c>
      <c r="AB2961">
        <v>9</v>
      </c>
      <c r="AC2961">
        <v>19.159299999999899</v>
      </c>
      <c r="AD2961">
        <v>-1.0487492899999999</v>
      </c>
      <c r="AE2961">
        <v>-9.2418999999999496</v>
      </c>
      <c r="AF2961">
        <v>-11.5444857167541</v>
      </c>
      <c r="AG2961">
        <v>-1.0487492899999999</v>
      </c>
      <c r="AH2961">
        <v>17.8051842451097</v>
      </c>
      <c r="AI2961">
        <v>92.829373265883802</v>
      </c>
      <c r="AJ2961">
        <v>122.958478702837</v>
      </c>
      <c r="AK2961">
        <v>21.2461669846567</v>
      </c>
      <c r="AL2961">
        <v>70.142406855469901</v>
      </c>
      <c r="AM2961">
        <v>92.905252884625497</v>
      </c>
      <c r="AN2961">
        <v>0.99999996204314101</v>
      </c>
    </row>
    <row r="2962" spans="1:40" x14ac:dyDescent="0.25">
      <c r="A2962" t="str">
        <f>"20190304164146402"</f>
        <v>20190304164146402</v>
      </c>
      <c r="B2962" t="str">
        <f>"1551688906393585"</f>
        <v>1551688906393585</v>
      </c>
      <c r="C2962" t="s">
        <v>40</v>
      </c>
      <c r="D2962">
        <v>4.8988360000000002</v>
      </c>
      <c r="E2962">
        <v>0.28687240000000003</v>
      </c>
      <c r="F2962" t="s">
        <v>42</v>
      </c>
      <c r="G2962">
        <v>-479.80279999999999</v>
      </c>
      <c r="H2962">
        <v>7.9986680000000004E-2</v>
      </c>
      <c r="I2962">
        <v>254.08850000000001</v>
      </c>
      <c r="J2962">
        <v>-498.72809999999998</v>
      </c>
      <c r="K2962">
        <v>1.127321</v>
      </c>
      <c r="L2962">
        <v>263.37119999999999</v>
      </c>
      <c r="M2962">
        <v>0.51585409999999998</v>
      </c>
      <c r="N2962">
        <v>-3.02159E-2</v>
      </c>
      <c r="O2962">
        <v>-0.85614369999999995</v>
      </c>
      <c r="P2962">
        <v>0.53658909999999904</v>
      </c>
      <c r="Q2962">
        <v>0.30357269999999997</v>
      </c>
      <c r="R2962">
        <v>-0.78734740000000003</v>
      </c>
      <c r="S2962">
        <v>3.2951969999999999</v>
      </c>
      <c r="T2962">
        <v>-0.1821575</v>
      </c>
      <c r="U2962">
        <v>-1.6270450000000001</v>
      </c>
      <c r="V2962">
        <v>-4.3987239999999997E-2</v>
      </c>
      <c r="W2962">
        <v>0.33353430000000001</v>
      </c>
      <c r="X2962">
        <v>0.94171119999999997</v>
      </c>
      <c r="Y2962">
        <v>-0.53864060000000002</v>
      </c>
      <c r="Z2962">
        <v>2.857794E-2</v>
      </c>
      <c r="AA2962">
        <v>0.84205079999999999</v>
      </c>
      <c r="AB2962">
        <v>9</v>
      </c>
      <c r="AC2962">
        <v>18.9253</v>
      </c>
      <c r="AD2962">
        <v>-1.04733432</v>
      </c>
      <c r="AE2962">
        <v>-9.28269999999997</v>
      </c>
      <c r="AF2962">
        <v>-11.3913476452593</v>
      </c>
      <c r="AG2962">
        <v>-1.04733432</v>
      </c>
      <c r="AH2962">
        <v>17.674472463109399</v>
      </c>
      <c r="AI2962">
        <v>92.851441768386806</v>
      </c>
      <c r="AJ2962">
        <v>122.802124144129</v>
      </c>
      <c r="AK2962">
        <v>21.053424595590599</v>
      </c>
      <c r="AL2962">
        <v>70.516565795669393</v>
      </c>
      <c r="AM2962">
        <v>92.674336537005502</v>
      </c>
      <c r="AN2962">
        <v>0.99999999538237305</v>
      </c>
    </row>
    <row r="2963" spans="1:40" x14ac:dyDescent="0.25">
      <c r="A2963" t="str">
        <f>"20190304164146426"</f>
        <v>20190304164146426</v>
      </c>
      <c r="B2963" t="str">
        <f>"1551688906414081"</f>
        <v>1551688906414081</v>
      </c>
      <c r="C2963" t="s">
        <v>40</v>
      </c>
      <c r="D2963">
        <v>4.9152469999999999</v>
      </c>
      <c r="E2963">
        <v>0.268368099999999</v>
      </c>
      <c r="F2963" t="s">
        <v>42</v>
      </c>
      <c r="G2963">
        <v>-480.89699999999999</v>
      </c>
      <c r="H2963" s="1">
        <v>-4.0328109999999998E-6</v>
      </c>
      <c r="I2963">
        <v>254.38130000000001</v>
      </c>
      <c r="J2963">
        <v>-498.68360000000001</v>
      </c>
      <c r="K2963">
        <v>1.1261369999999999</v>
      </c>
      <c r="L2963">
        <v>263.28789999999998</v>
      </c>
      <c r="M2963">
        <v>0.51234170000000001</v>
      </c>
      <c r="N2963">
        <v>-3.023679E-2</v>
      </c>
      <c r="O2963">
        <v>-0.85824940000000005</v>
      </c>
      <c r="P2963">
        <v>0.53154499999999905</v>
      </c>
      <c r="Q2963">
        <v>0.29862569999999999</v>
      </c>
      <c r="R2963">
        <v>-0.79264319999999999</v>
      </c>
      <c r="S2963">
        <v>3.2810670000000002</v>
      </c>
      <c r="T2963">
        <v>-0.2074366</v>
      </c>
      <c r="U2963">
        <v>-1.6542049999999999</v>
      </c>
      <c r="V2963">
        <v>-4.0872070000000003E-2</v>
      </c>
      <c r="W2963">
        <v>0.32858929999999997</v>
      </c>
      <c r="X2963">
        <v>0.94358810000000004</v>
      </c>
      <c r="Y2963">
        <v>-0.53482220000000003</v>
      </c>
      <c r="Z2963">
        <v>3.5340509999999999E-2</v>
      </c>
      <c r="AA2963">
        <v>0.84422520000000001</v>
      </c>
      <c r="AB2963">
        <v>9</v>
      </c>
      <c r="AC2963">
        <v>17.7866</v>
      </c>
      <c r="AD2963">
        <v>-1.126141032811</v>
      </c>
      <c r="AE2963">
        <v>-8.9065999999999601</v>
      </c>
      <c r="AF2963">
        <v>-10.6728036743907</v>
      </c>
      <c r="AG2963">
        <v>-1.126141032811</v>
      </c>
      <c r="AH2963">
        <v>16.711004740185398</v>
      </c>
      <c r="AI2963">
        <v>93.250580360539004</v>
      </c>
      <c r="AJ2963">
        <v>122.565116711953</v>
      </c>
      <c r="AK2963">
        <v>19.860377925013601</v>
      </c>
      <c r="AL2963">
        <v>70.816825470975601</v>
      </c>
      <c r="AM2963">
        <v>92.480249768398494</v>
      </c>
      <c r="AN2963">
        <v>0.999999978321092</v>
      </c>
    </row>
    <row r="2964" spans="1:40" x14ac:dyDescent="0.25">
      <c r="A2964" t="str">
        <f>"20190304164146445"</f>
        <v>20190304164146445</v>
      </c>
      <c r="B2964" t="str">
        <f>"1551688906433600"</f>
        <v>1551688906433600</v>
      </c>
      <c r="C2964" t="s">
        <v>40</v>
      </c>
      <c r="D2964">
        <v>4.9191859999999998</v>
      </c>
      <c r="E2964">
        <v>0.26486079999999901</v>
      </c>
      <c r="F2964" t="s">
        <v>42</v>
      </c>
      <c r="G2964">
        <v>-479.95780000000002</v>
      </c>
      <c r="H2964">
        <v>4.2217320000000003E-2</v>
      </c>
      <c r="I2964">
        <v>254.4546</v>
      </c>
      <c r="J2964">
        <v>-498.64550000000003</v>
      </c>
      <c r="K2964">
        <v>1.125251</v>
      </c>
      <c r="L2964">
        <v>263.21539999999999</v>
      </c>
      <c r="M2964">
        <v>0.50906019999999996</v>
      </c>
      <c r="N2964">
        <v>-3.025048E-2</v>
      </c>
      <c r="O2964">
        <v>-0.86019950000000001</v>
      </c>
      <c r="P2964">
        <v>0.52584310000000001</v>
      </c>
      <c r="Q2964">
        <v>0.2951337</v>
      </c>
      <c r="R2964">
        <v>-0.79773780000000005</v>
      </c>
      <c r="S2964">
        <v>3.3778079999999999</v>
      </c>
      <c r="T2964">
        <v>-0.19551959999999999</v>
      </c>
      <c r="U2964">
        <v>-1.5933839999999999</v>
      </c>
      <c r="V2964">
        <v>-3.703174E-2</v>
      </c>
      <c r="W2964">
        <v>0.32505129999999999</v>
      </c>
      <c r="X2964">
        <v>0.94497100000000001</v>
      </c>
      <c r="Y2964">
        <v>-0.56004679999999996</v>
      </c>
      <c r="Z2964">
        <v>3.1865629999999999E-2</v>
      </c>
      <c r="AA2964">
        <v>0.82784789999999997</v>
      </c>
      <c r="AB2964">
        <v>9</v>
      </c>
      <c r="AC2964">
        <v>18.6877</v>
      </c>
      <c r="AD2964">
        <v>-1.08303368</v>
      </c>
      <c r="AE2964">
        <v>-8.7607999999999802</v>
      </c>
      <c r="AF2964">
        <v>-11.5887802803143</v>
      </c>
      <c r="AG2964">
        <v>-1.08303368</v>
      </c>
      <c r="AH2964">
        <v>17.0101631272675</v>
      </c>
      <c r="AI2964">
        <v>93.012055514488907</v>
      </c>
      <c r="AJ2964">
        <v>124.266043413327</v>
      </c>
      <c r="AK2964">
        <v>20.611124179764399</v>
      </c>
      <c r="AL2964">
        <v>71.031315887707194</v>
      </c>
      <c r="AM2964">
        <v>92.244171797148297</v>
      </c>
      <c r="AN2964">
        <v>0.99999994412005699</v>
      </c>
    </row>
    <row r="2965" spans="1:40" x14ac:dyDescent="0.25">
      <c r="A2965" t="str">
        <f>"20190304164146465"</f>
        <v>20190304164146465</v>
      </c>
      <c r="B2965" t="str">
        <f>"1551688906454097"</f>
        <v>1551688906454097</v>
      </c>
      <c r="C2965" t="s">
        <v>40</v>
      </c>
      <c r="D2965">
        <v>4.9277930000000003</v>
      </c>
      <c r="E2965">
        <v>0.26175920000000003</v>
      </c>
      <c r="F2965" t="s">
        <v>42</v>
      </c>
      <c r="G2965">
        <v>-480.04640000000001</v>
      </c>
      <c r="H2965" s="1">
        <v>-4.2615370000000002E-6</v>
      </c>
      <c r="I2965">
        <v>254.38829999999999</v>
      </c>
      <c r="J2965">
        <v>-498.6069</v>
      </c>
      <c r="K2965">
        <v>1.1244769999999999</v>
      </c>
      <c r="L2965">
        <v>263.14060000000001</v>
      </c>
      <c r="M2965">
        <v>0.50549529999999998</v>
      </c>
      <c r="N2965">
        <v>-3.0257139999999998E-2</v>
      </c>
      <c r="O2965">
        <v>-0.86229889999999998</v>
      </c>
      <c r="P2965">
        <v>0.52063139999999997</v>
      </c>
      <c r="Q2965">
        <v>0.2898405</v>
      </c>
      <c r="R2965">
        <v>-0.80307919999999999</v>
      </c>
      <c r="S2965">
        <v>3.3837890000000002</v>
      </c>
      <c r="T2965">
        <v>-0.20472109999999999</v>
      </c>
      <c r="U2965">
        <v>-1.6059270000000001</v>
      </c>
      <c r="V2965">
        <v>-3.388306E-2</v>
      </c>
      <c r="W2965">
        <v>0.31973590000000002</v>
      </c>
      <c r="X2965">
        <v>0.94690070000000004</v>
      </c>
      <c r="Y2965">
        <v>-0.56143920000000003</v>
      </c>
      <c r="Z2965">
        <v>3.4197369999999998E-2</v>
      </c>
      <c r="AA2965">
        <v>0.82681109999999902</v>
      </c>
      <c r="AB2965">
        <v>9</v>
      </c>
      <c r="AC2965">
        <v>18.560499999999902</v>
      </c>
      <c r="AD2965">
        <v>-1.1244812615369999</v>
      </c>
      <c r="AE2965">
        <v>-8.7523000000000195</v>
      </c>
      <c r="AF2965">
        <v>-11.551069151233801</v>
      </c>
      <c r="AG2965">
        <v>-1.1244812615369999</v>
      </c>
      <c r="AH2965">
        <v>16.8863893727112</v>
      </c>
      <c r="AI2965">
        <v>93.145938692073301</v>
      </c>
      <c r="AJ2965">
        <v>124.37392815874701</v>
      </c>
      <c r="AK2965">
        <v>20.4900415492733</v>
      </c>
      <c r="AL2965">
        <v>71.3530464243631</v>
      </c>
      <c r="AM2965">
        <v>92.049347286008299</v>
      </c>
      <c r="AN2965">
        <v>1.0000000215821301</v>
      </c>
    </row>
    <row r="2966" spans="1:40" x14ac:dyDescent="0.25">
      <c r="A2966" t="str">
        <f>"20190304164146490"</f>
        <v>20190304164146490</v>
      </c>
      <c r="B2966" t="str">
        <f>"1551688906484353"</f>
        <v>1551688906484353</v>
      </c>
      <c r="C2966" t="s">
        <v>40</v>
      </c>
      <c r="D2966">
        <v>4.9699739999999997</v>
      </c>
      <c r="E2966">
        <v>0.24780070000000001</v>
      </c>
      <c r="F2966" t="s">
        <v>42</v>
      </c>
      <c r="G2966">
        <v>-480.7672</v>
      </c>
      <c r="H2966" s="1">
        <v>-4.153379E-6</v>
      </c>
      <c r="I2966">
        <v>254.63409999999999</v>
      </c>
      <c r="J2966">
        <v>-498.56290000000001</v>
      </c>
      <c r="K2966">
        <v>1.1237360000000001</v>
      </c>
      <c r="L2966">
        <v>263.05360000000002</v>
      </c>
      <c r="M2966">
        <v>0.50116830000000001</v>
      </c>
      <c r="N2966">
        <v>-3.025539E-2</v>
      </c>
      <c r="O2966">
        <v>-0.86482079999999995</v>
      </c>
      <c r="P2966">
        <v>0.51663689999999995</v>
      </c>
      <c r="Q2966">
        <v>0.28630090000000002</v>
      </c>
      <c r="R2966">
        <v>-0.80691899999999905</v>
      </c>
      <c r="S2966">
        <v>3.3886720000000001</v>
      </c>
      <c r="T2966">
        <v>-0.21359600000000001</v>
      </c>
      <c r="U2966">
        <v>-1.6158140000000001</v>
      </c>
      <c r="V2966">
        <v>-3.3359260000000002E-2</v>
      </c>
      <c r="W2966">
        <v>0.31621729999999998</v>
      </c>
      <c r="X2966">
        <v>0.9481001</v>
      </c>
      <c r="Y2966">
        <v>-0.56397929999999996</v>
      </c>
      <c r="Z2966">
        <v>3.64955E-2</v>
      </c>
      <c r="AA2966">
        <v>0.8249822</v>
      </c>
      <c r="AB2966">
        <v>9</v>
      </c>
      <c r="AC2966">
        <v>17.7957</v>
      </c>
      <c r="AD2966">
        <v>-1.1237401533789999</v>
      </c>
      <c r="AE2966">
        <v>-8.4195000000000206</v>
      </c>
      <c r="AF2966">
        <v>-11.1393267880671</v>
      </c>
      <c r="AG2966">
        <v>-1.1237401533789999</v>
      </c>
      <c r="AH2966">
        <v>16.154783298448201</v>
      </c>
      <c r="AI2966">
        <v>93.277550077354704</v>
      </c>
      <c r="AJ2966">
        <v>124.587714383204</v>
      </c>
      <c r="AK2966">
        <v>19.655137156567601</v>
      </c>
      <c r="AL2966">
        <v>71.565683468921804</v>
      </c>
      <c r="AM2966">
        <v>92.015142320823202</v>
      </c>
      <c r="AN2966">
        <v>1.00000001033352</v>
      </c>
    </row>
    <row r="2967" spans="1:40" x14ac:dyDescent="0.25">
      <c r="A2967" t="str">
        <f>"20190304164146511"</f>
        <v>20190304164146511</v>
      </c>
      <c r="B2967" t="str">
        <f>"1551688906503873"</f>
        <v>1551688906503873</v>
      </c>
      <c r="C2967" t="s">
        <v>40</v>
      </c>
      <c r="D2967">
        <v>4.9585619999999997</v>
      </c>
      <c r="E2967">
        <v>0.24780279999999999</v>
      </c>
      <c r="F2967" t="s">
        <v>42</v>
      </c>
      <c r="G2967">
        <v>-476.27260000000001</v>
      </c>
      <c r="H2967">
        <v>7.9986520000000005E-2</v>
      </c>
      <c r="I2967">
        <v>253.0052</v>
      </c>
      <c r="J2967">
        <v>-498.524</v>
      </c>
      <c r="K2967">
        <v>1.1232070000000001</v>
      </c>
      <c r="L2967">
        <v>262.97539999999998</v>
      </c>
      <c r="M2967">
        <v>0.4971296</v>
      </c>
      <c r="N2967">
        <v>-3.024605E-2</v>
      </c>
      <c r="O2967">
        <v>-0.86714899999999995</v>
      </c>
      <c r="P2967">
        <v>0.51798370000000005</v>
      </c>
      <c r="Q2967">
        <v>0.285107</v>
      </c>
      <c r="R2967">
        <v>-0.80647800000000003</v>
      </c>
      <c r="S2967">
        <v>3.4602970000000002</v>
      </c>
      <c r="T2967">
        <v>-0.16202900000000001</v>
      </c>
      <c r="U2967">
        <v>-1.5598749999999999</v>
      </c>
      <c r="V2967">
        <v>-3.9237710000000002E-2</v>
      </c>
      <c r="W2967">
        <v>0.31518659999999998</v>
      </c>
      <c r="X2967">
        <v>0.94821820000000001</v>
      </c>
      <c r="Y2967">
        <v>-0.58578699999999995</v>
      </c>
      <c r="Z2967">
        <v>2.2511079999999999E-2</v>
      </c>
      <c r="AA2967">
        <v>0.81015239999999999</v>
      </c>
      <c r="AB2967">
        <v>9</v>
      </c>
      <c r="AC2967">
        <v>22.251399999999901</v>
      </c>
      <c r="AD2967">
        <v>-1.04322048</v>
      </c>
      <c r="AE2967">
        <v>-9.97019999999997</v>
      </c>
      <c r="AF2967">
        <v>-14.3191488525229</v>
      </c>
      <c r="AG2967">
        <v>-1.04322048</v>
      </c>
      <c r="AH2967">
        <v>19.680472814880702</v>
      </c>
      <c r="AI2967">
        <v>92.454372473653507</v>
      </c>
      <c r="AJ2967">
        <v>126.038944554148</v>
      </c>
      <c r="AK2967">
        <v>24.360774680782601</v>
      </c>
      <c r="AL2967">
        <v>71.6279204519996</v>
      </c>
      <c r="AM2967">
        <v>92.369574105777104</v>
      </c>
      <c r="AN2967">
        <v>0.99999997275842101</v>
      </c>
    </row>
    <row r="2968" spans="1:40" x14ac:dyDescent="0.25">
      <c r="A2968" t="str">
        <f>"20190304164146534"</f>
        <v>20190304164146534</v>
      </c>
      <c r="B2968" t="str">
        <f>"1551688906524369"</f>
        <v>1551688906524369</v>
      </c>
      <c r="C2968" t="s">
        <v>40</v>
      </c>
      <c r="D2968">
        <v>4.9728430000000001</v>
      </c>
      <c r="E2968">
        <v>0.24728459999999999</v>
      </c>
      <c r="F2968" t="s">
        <v>42</v>
      </c>
      <c r="G2968">
        <v>-475.0009</v>
      </c>
      <c r="H2968">
        <v>7.9986390000000004E-2</v>
      </c>
      <c r="I2968">
        <v>252.41470000000001</v>
      </c>
      <c r="J2968">
        <v>-498.48520000000002</v>
      </c>
      <c r="K2968">
        <v>1.122781</v>
      </c>
      <c r="L2968">
        <v>262.89609999999999</v>
      </c>
      <c r="M2968">
        <v>0.49289880000000003</v>
      </c>
      <c r="N2968">
        <v>-3.0230150000000001E-2</v>
      </c>
      <c r="O2968">
        <v>-0.86956160000000005</v>
      </c>
      <c r="P2968">
        <v>0.52056789999999997</v>
      </c>
      <c r="Q2968">
        <v>0.28696329999999998</v>
      </c>
      <c r="R2968">
        <v>-0.80415289999999995</v>
      </c>
      <c r="S2968">
        <v>3.4585270000000001</v>
      </c>
      <c r="T2968">
        <v>-0.1533813</v>
      </c>
      <c r="U2968">
        <v>-1.5527040000000001</v>
      </c>
      <c r="V2968">
        <v>-4.725008E-2</v>
      </c>
      <c r="W2968">
        <v>0.31722590000000001</v>
      </c>
      <c r="X2968">
        <v>0.94717220000000002</v>
      </c>
      <c r="Y2968">
        <v>-0.59102080000000001</v>
      </c>
      <c r="Z2968">
        <v>2.0285109999999999E-2</v>
      </c>
      <c r="AA2968">
        <v>0.80640129999999999</v>
      </c>
      <c r="AB2968">
        <v>9</v>
      </c>
      <c r="AC2968">
        <v>23.484300000000001</v>
      </c>
      <c r="AD2968">
        <v>-1.0427946100000001</v>
      </c>
      <c r="AE2968">
        <v>-10.481399999999899</v>
      </c>
      <c r="AF2968">
        <v>-15.236695603795701</v>
      </c>
      <c r="AG2968">
        <v>-1.0427946100000001</v>
      </c>
      <c r="AH2968">
        <v>20.665084330089702</v>
      </c>
      <c r="AI2968">
        <v>92.325805106478001</v>
      </c>
      <c r="AJ2968">
        <v>126.401942479692</v>
      </c>
      <c r="AK2968">
        <v>25.696109119691499</v>
      </c>
      <c r="AL2968">
        <v>71.504758409000502</v>
      </c>
      <c r="AM2968">
        <v>92.855856428161204</v>
      </c>
      <c r="AN2968">
        <v>1.00000000907182</v>
      </c>
    </row>
    <row r="2969" spans="1:40" x14ac:dyDescent="0.25">
      <c r="A2969" t="str">
        <f>"20190304164146556"</f>
        <v>20190304164146556</v>
      </c>
      <c r="B2969" t="str">
        <f>"1551688906543889"</f>
        <v>1551688906543889</v>
      </c>
      <c r="C2969" t="s">
        <v>40</v>
      </c>
      <c r="D2969">
        <v>4.9784259999999998</v>
      </c>
      <c r="E2969">
        <v>0.24671000000000001</v>
      </c>
      <c r="F2969" t="s">
        <v>43</v>
      </c>
      <c r="G2969">
        <v>-470.53719999999998</v>
      </c>
      <c r="H2969">
        <v>-0.05</v>
      </c>
      <c r="I2969">
        <v>250.45920000000001</v>
      </c>
      <c r="J2969">
        <v>-498.44639999999998</v>
      </c>
      <c r="K2969">
        <v>1.122428</v>
      </c>
      <c r="L2969">
        <v>262.8152</v>
      </c>
      <c r="M2969">
        <v>0.48846400000000001</v>
      </c>
      <c r="N2969">
        <v>-3.020898E-2</v>
      </c>
      <c r="O2969">
        <v>-0.87206099999999998</v>
      </c>
      <c r="P2969">
        <v>0.52139139999999995</v>
      </c>
      <c r="Q2969">
        <v>0.28986699999999999</v>
      </c>
      <c r="R2969">
        <v>-0.80257590000000001</v>
      </c>
      <c r="S2969">
        <v>3.4627080000000001</v>
      </c>
      <c r="T2969">
        <v>-0.14530499999999999</v>
      </c>
      <c r="U2969">
        <v>-1.540894</v>
      </c>
      <c r="V2969">
        <v>-5.3541239999999997E-2</v>
      </c>
      <c r="W2969">
        <v>0.32024770000000002</v>
      </c>
      <c r="X2969">
        <v>0.94581959999999998</v>
      </c>
      <c r="Y2969">
        <v>-0.59781119999999899</v>
      </c>
      <c r="Z2969">
        <v>1.8194160000000001E-2</v>
      </c>
      <c r="AA2969">
        <v>0.80143050000000005</v>
      </c>
      <c r="AB2969">
        <v>9</v>
      </c>
      <c r="AC2969">
        <v>27.909199999999998</v>
      </c>
      <c r="AD2969">
        <v>-1.172428</v>
      </c>
      <c r="AE2969">
        <v>-12.3559999999999</v>
      </c>
      <c r="AF2969">
        <v>-18.284441381912998</v>
      </c>
      <c r="AG2969">
        <v>-1.172428</v>
      </c>
      <c r="AH2969">
        <v>24.382991652232899</v>
      </c>
      <c r="AI2969">
        <v>92.203036395828704</v>
      </c>
      <c r="AJ2969">
        <v>126.86568298069599</v>
      </c>
      <c r="AK2969">
        <v>30.4996010789758</v>
      </c>
      <c r="AL2969">
        <v>71.322094316389794</v>
      </c>
      <c r="AM2969">
        <v>93.239958832603605</v>
      </c>
      <c r="AN2969">
        <v>0.999999984740093</v>
      </c>
    </row>
    <row r="2970" spans="1:40" x14ac:dyDescent="0.25">
      <c r="A2970" t="str">
        <f>"20190304164146580"</f>
        <v>20190304164146580</v>
      </c>
      <c r="B2970" t="str">
        <f>"1551688906574145"</f>
        <v>1551688906574145</v>
      </c>
      <c r="C2970" t="s">
        <v>40</v>
      </c>
      <c r="D2970">
        <v>5.6821330000000003</v>
      </c>
      <c r="E2970">
        <v>0.2911725</v>
      </c>
      <c r="F2970" t="s">
        <v>43</v>
      </c>
      <c r="G2970">
        <v>-469.09949999999998</v>
      </c>
      <c r="H2970">
        <v>-0.05</v>
      </c>
      <c r="I2970">
        <v>249.8023</v>
      </c>
      <c r="J2970">
        <v>-498.40699999999998</v>
      </c>
      <c r="K2970">
        <v>1.122123</v>
      </c>
      <c r="L2970">
        <v>262.73169999999999</v>
      </c>
      <c r="M2970">
        <v>0.48378209999999999</v>
      </c>
      <c r="N2970">
        <v>-3.0183330000000001E-2</v>
      </c>
      <c r="O2970">
        <v>-0.87466790000000005</v>
      </c>
      <c r="P2970">
        <v>0.51510809999999996</v>
      </c>
      <c r="Q2970">
        <v>0.29224800000000001</v>
      </c>
      <c r="R2970">
        <v>-0.80576349999999997</v>
      </c>
      <c r="S2970">
        <v>3.4654240000000001</v>
      </c>
      <c r="T2970">
        <v>-0.1384457</v>
      </c>
      <c r="U2970">
        <v>-1.536621</v>
      </c>
      <c r="V2970">
        <v>-5.157366E-2</v>
      </c>
      <c r="W2970">
        <v>0.32252619999999999</v>
      </c>
      <c r="X2970">
        <v>0.94515450000000001</v>
      </c>
      <c r="Y2970">
        <v>-0.60319109999999998</v>
      </c>
      <c r="Z2970">
        <v>1.6368290000000001E-2</v>
      </c>
      <c r="AA2970">
        <v>0.79742869999999999</v>
      </c>
      <c r="AB2970">
        <v>9</v>
      </c>
      <c r="AC2970">
        <v>29.307500000000001</v>
      </c>
      <c r="AD2970">
        <v>-1.172123</v>
      </c>
      <c r="AE2970">
        <v>-12.9293999999999</v>
      </c>
      <c r="AF2970">
        <v>-19.362225350643499</v>
      </c>
      <c r="AG2970">
        <v>-1.172123</v>
      </c>
      <c r="AH2970">
        <v>25.464896114817801</v>
      </c>
      <c r="AI2970">
        <v>92.098398971382196</v>
      </c>
      <c r="AJ2970">
        <v>127.24753125921799</v>
      </c>
      <c r="AK2970">
        <v>32.0114132302011</v>
      </c>
      <c r="AL2970">
        <v>71.184232460589598</v>
      </c>
      <c r="AM2970">
        <v>93.123325868302601</v>
      </c>
      <c r="AN2970">
        <v>1.0000000104812401</v>
      </c>
    </row>
    <row r="2971" spans="1:40" x14ac:dyDescent="0.25">
      <c r="A2971" t="str">
        <f>"20190304164146603"</f>
        <v>20190304164146603</v>
      </c>
      <c r="B2971" t="str">
        <f>"1551688906594172"</f>
        <v>1551688906594172</v>
      </c>
      <c r="C2971" t="s">
        <v>40</v>
      </c>
      <c r="D2971">
        <v>5.7476859999999999</v>
      </c>
      <c r="E2971">
        <v>0.4160218</v>
      </c>
      <c r="F2971" t="s">
        <v>51</v>
      </c>
      <c r="G2971">
        <v>-473.52499999999998</v>
      </c>
      <c r="H2971">
        <v>0.43767060000000002</v>
      </c>
      <c r="I2971">
        <v>248.92509999999999</v>
      </c>
      <c r="J2971">
        <v>-498.36939999999998</v>
      </c>
      <c r="K2971">
        <v>1.121883</v>
      </c>
      <c r="L2971">
        <v>262.65039999999999</v>
      </c>
      <c r="M2971">
        <v>0.4791417</v>
      </c>
      <c r="N2971">
        <v>-3.0154839999999999E-2</v>
      </c>
      <c r="O2971">
        <v>-0.87721970000000005</v>
      </c>
      <c r="P2971">
        <v>0.50218090000000004</v>
      </c>
      <c r="Q2971">
        <v>0.29227969999999998</v>
      </c>
      <c r="R2971">
        <v>-0.81387189999999998</v>
      </c>
      <c r="S2971">
        <v>3.1440730000000001</v>
      </c>
      <c r="T2971">
        <v>-8.6486939999999998E-2</v>
      </c>
      <c r="U2971">
        <v>-1.7445980000000001</v>
      </c>
      <c r="V2971">
        <v>-4.1426419999999999E-2</v>
      </c>
      <c r="W2971">
        <v>0.32225500000000001</v>
      </c>
      <c r="X2971">
        <v>0.94574610000000003</v>
      </c>
      <c r="Y2971">
        <v>-0.53446669999999996</v>
      </c>
      <c r="Z2971">
        <v>2.1691369999999998E-3</v>
      </c>
      <c r="AA2971">
        <v>0.84518680000000002</v>
      </c>
      <c r="AB2971">
        <v>9</v>
      </c>
      <c r="AC2971">
        <v>24.8444</v>
      </c>
      <c r="AD2971">
        <v>-0.68421239999999905</v>
      </c>
      <c r="AE2971">
        <v>-13.725300000000001</v>
      </c>
      <c r="AF2971">
        <v>-15.2157115949689</v>
      </c>
      <c r="AG2971">
        <v>-0.68421239999999905</v>
      </c>
      <c r="AH2971">
        <v>23.9410675278586</v>
      </c>
      <c r="AI2971">
        <v>91.381701955577</v>
      </c>
      <c r="AJ2971">
        <v>122.437941324256</v>
      </c>
      <c r="AK2971">
        <v>28.3753544528182</v>
      </c>
      <c r="AL2971">
        <v>71.200648485855496</v>
      </c>
      <c r="AM2971">
        <v>92.508117905166699</v>
      </c>
      <c r="AN2971">
        <v>1.0000000594821099</v>
      </c>
    </row>
    <row r="2972" spans="1:40" x14ac:dyDescent="0.25">
      <c r="A2972" t="str">
        <f>"20190304164146625"</f>
        <v>20190304164146625</v>
      </c>
      <c r="B2972" t="str">
        <f>"1551688906613692"</f>
        <v>1551688906613692</v>
      </c>
      <c r="C2972" t="s">
        <v>40</v>
      </c>
      <c r="D2972">
        <v>5.1262610000000004</v>
      </c>
      <c r="E2972">
        <v>0.53090269999999995</v>
      </c>
      <c r="F2972" t="s">
        <v>42</v>
      </c>
      <c r="G2972">
        <v>-483.4896</v>
      </c>
      <c r="H2972" s="1">
        <v>-4.4985500000000003E-6</v>
      </c>
      <c r="I2972">
        <v>247.4271</v>
      </c>
      <c r="J2972">
        <v>-498.33240000000001</v>
      </c>
      <c r="K2972">
        <v>1.12171</v>
      </c>
      <c r="L2972">
        <v>262.56909999999999</v>
      </c>
      <c r="M2972">
        <v>0.47445799999999999</v>
      </c>
      <c r="N2972">
        <v>-3.0120950000000001E-2</v>
      </c>
      <c r="O2972">
        <v>-0.87976279999999996</v>
      </c>
      <c r="P2972">
        <v>0.49079620000000002</v>
      </c>
      <c r="Q2972">
        <v>0.29020750000000001</v>
      </c>
      <c r="R2972">
        <v>-0.82152250000000004</v>
      </c>
      <c r="S2972">
        <v>2.285126</v>
      </c>
      <c r="T2972">
        <v>-0.17229149999999999</v>
      </c>
      <c r="U2972">
        <v>-2.3378909999999999</v>
      </c>
      <c r="V2972">
        <v>-3.296818E-2</v>
      </c>
      <c r="W2972">
        <v>0.319936</v>
      </c>
      <c r="X2972">
        <v>0.94686539999999997</v>
      </c>
      <c r="Y2972">
        <v>-0.27521459999999998</v>
      </c>
      <c r="Z2972">
        <v>2.5343979999999999E-2</v>
      </c>
      <c r="AA2972">
        <v>0.96104869999999998</v>
      </c>
      <c r="AB2972">
        <v>9</v>
      </c>
      <c r="AC2972">
        <v>14.8428</v>
      </c>
      <c r="AD2972">
        <v>-1.12171449855</v>
      </c>
      <c r="AE2972">
        <v>-15.1419999999999</v>
      </c>
      <c r="AF2972">
        <v>-5.8601653721668603</v>
      </c>
      <c r="AG2972">
        <v>-1.12171449855</v>
      </c>
      <c r="AH2972">
        <v>20.316037401439701</v>
      </c>
      <c r="AI2972">
        <v>93.036714812479104</v>
      </c>
      <c r="AJ2972">
        <v>106.090217440061</v>
      </c>
      <c r="AK2972">
        <v>21.1740680385725</v>
      </c>
      <c r="AL2972">
        <v>71.340945815483494</v>
      </c>
      <c r="AM2972">
        <v>91.994132219241493</v>
      </c>
      <c r="AN2972">
        <v>1.0000000153528299</v>
      </c>
    </row>
    <row r="2973" spans="1:40" x14ac:dyDescent="0.25">
      <c r="A2973" t="str">
        <f>"20190304164146645"</f>
        <v>20190304164146645</v>
      </c>
      <c r="B2973" t="str">
        <f>"1551688906634189"</f>
        <v>1551688906634189</v>
      </c>
      <c r="C2973" t="s">
        <v>40</v>
      </c>
      <c r="D2973">
        <v>5.2336919999999996</v>
      </c>
      <c r="E2973">
        <v>0.55368949999999995</v>
      </c>
      <c r="F2973" t="s">
        <v>42</v>
      </c>
      <c r="G2973">
        <v>-492.0147</v>
      </c>
      <c r="H2973" s="1">
        <v>-8.5841900000000001E-7</v>
      </c>
      <c r="I2973">
        <v>250.34049999999999</v>
      </c>
      <c r="J2973">
        <v>-498.29849999999999</v>
      </c>
      <c r="K2973">
        <v>1.1216280000000001</v>
      </c>
      <c r="L2973">
        <v>262.49360000000001</v>
      </c>
      <c r="M2973">
        <v>0.47010420000000003</v>
      </c>
      <c r="N2973">
        <v>-3.0083169999999999E-2</v>
      </c>
      <c r="O2973">
        <v>-0.88209799999999905</v>
      </c>
      <c r="P2973">
        <v>0.48433890000000002</v>
      </c>
      <c r="Q2973">
        <v>0.29006759999999998</v>
      </c>
      <c r="R2973">
        <v>-0.82539490000000004</v>
      </c>
      <c r="S2973">
        <v>1.4782409999999999</v>
      </c>
      <c r="T2973">
        <v>-0.26246009999999997</v>
      </c>
      <c r="U2973">
        <v>-2.8612669999999998</v>
      </c>
      <c r="V2973">
        <v>-3.023605E-2</v>
      </c>
      <c r="W2973">
        <v>0.31968079999999999</v>
      </c>
      <c r="X2973">
        <v>0.94704279999999996</v>
      </c>
      <c r="Y2973">
        <v>1.328201E-2</v>
      </c>
      <c r="Z2973">
        <v>4.4854850000000002E-2</v>
      </c>
      <c r="AA2973">
        <v>0.99890520000000005</v>
      </c>
      <c r="AB2973">
        <v>9</v>
      </c>
      <c r="AC2973">
        <v>6.2837999999999798</v>
      </c>
      <c r="AD2973">
        <v>-1.121628858419</v>
      </c>
      <c r="AE2973">
        <v>-12.1531</v>
      </c>
      <c r="AF2973">
        <v>0.16923564379025799</v>
      </c>
      <c r="AG2973">
        <v>-1.121628858419</v>
      </c>
      <c r="AH2973">
        <v>13.589127241326899</v>
      </c>
      <c r="AI2973">
        <v>94.718059214210101</v>
      </c>
      <c r="AJ2973">
        <v>89.286489359370293</v>
      </c>
      <c r="AK2973">
        <v>13.636387761432299</v>
      </c>
      <c r="AL2973">
        <v>71.356378817978793</v>
      </c>
      <c r="AM2973">
        <v>91.828649973100596</v>
      </c>
      <c r="AN2973">
        <v>1.00000004882004</v>
      </c>
    </row>
    <row r="2974" spans="1:40" x14ac:dyDescent="0.25">
      <c r="A2974" t="str">
        <f>"20190304164146668"</f>
        <v>20190304164146668</v>
      </c>
      <c r="B2974" t="str">
        <f>"1551688906664445"</f>
        <v>1551688906664445</v>
      </c>
      <c r="C2974" t="s">
        <v>40</v>
      </c>
      <c r="D2974">
        <v>5.2185009999999998</v>
      </c>
      <c r="E2974">
        <v>0.57011869999999998</v>
      </c>
      <c r="F2974" t="s">
        <v>41</v>
      </c>
      <c r="G2974">
        <v>-497.97930000000002</v>
      </c>
      <c r="H2974">
        <v>1.051185</v>
      </c>
      <c r="I2974">
        <v>261.76249999999999</v>
      </c>
      <c r="J2974">
        <v>-498.26400000000001</v>
      </c>
      <c r="K2974">
        <v>1.121626</v>
      </c>
      <c r="L2974">
        <v>262.4151</v>
      </c>
      <c r="M2974">
        <v>0.4655475</v>
      </c>
      <c r="N2974">
        <v>-2.9645390000000001E-2</v>
      </c>
      <c r="O2974">
        <v>-0.88452619999999904</v>
      </c>
      <c r="P2974">
        <v>0.47774339999999998</v>
      </c>
      <c r="Q2974">
        <v>0.29308220000000001</v>
      </c>
      <c r="R2974">
        <v>-0.8281693</v>
      </c>
      <c r="S2974">
        <v>1.2986759999999999</v>
      </c>
      <c r="T2974">
        <v>-0.285296299999999</v>
      </c>
      <c r="U2974">
        <v>-2.9728089999999998</v>
      </c>
      <c r="V2974">
        <v>-2.837019E-2</v>
      </c>
      <c r="W2974">
        <v>0.32215700000000003</v>
      </c>
      <c r="X2974">
        <v>0.94626100000000002</v>
      </c>
      <c r="Y2974">
        <v>7.2975929999999994E-2</v>
      </c>
      <c r="Z2974">
        <v>4.9378770000000002E-2</v>
      </c>
      <c r="AA2974">
        <v>0.99611059999999996</v>
      </c>
      <c r="AB2974">
        <v>9</v>
      </c>
      <c r="AC2974">
        <v>0.28469999999998602</v>
      </c>
      <c r="AD2974">
        <v>-7.0440999999999906E-2</v>
      </c>
      <c r="AE2974">
        <v>-0.65260000000000595</v>
      </c>
      <c r="AF2974">
        <v>5.1510369638087201E-2</v>
      </c>
      <c r="AG2974">
        <v>-7.0440999999999906E-2</v>
      </c>
      <c r="AH2974">
        <v>0.70321226277137205</v>
      </c>
      <c r="AI2974">
        <v>95.705071389620002</v>
      </c>
      <c r="AJ2974">
        <v>85.810560563484998</v>
      </c>
      <c r="AK2974">
        <v>0.70860619470428399</v>
      </c>
      <c r="AL2974">
        <v>71.206577465629096</v>
      </c>
      <c r="AM2974">
        <v>91.717290865521903</v>
      </c>
      <c r="AN2974">
        <v>0.99999994022531602</v>
      </c>
    </row>
    <row r="2975" spans="1:40" x14ac:dyDescent="0.25">
      <c r="A2975" t="str">
        <f>"20190304164146690"</f>
        <v>20190304164146690</v>
      </c>
      <c r="B2975" t="str">
        <f>"1551688906683965"</f>
        <v>1551688906683965</v>
      </c>
      <c r="C2975" t="s">
        <v>40</v>
      </c>
      <c r="D2975">
        <v>5.1652250000000004</v>
      </c>
      <c r="E2975">
        <v>0.57467699999999999</v>
      </c>
      <c r="F2975" t="s">
        <v>41</v>
      </c>
      <c r="G2975">
        <v>-497.9821</v>
      </c>
      <c r="H2975">
        <v>1.0418179999999999</v>
      </c>
      <c r="I2975">
        <v>261.68</v>
      </c>
      <c r="J2975">
        <v>-498.22730000000001</v>
      </c>
      <c r="K2975">
        <v>1.1215389999999901</v>
      </c>
      <c r="L2975">
        <v>262.33069999999998</v>
      </c>
      <c r="M2975">
        <v>0.46059899999999998</v>
      </c>
      <c r="N2975">
        <v>-2.8150930000000001E-2</v>
      </c>
      <c r="O2975">
        <v>-0.88716219999999901</v>
      </c>
      <c r="P2975">
        <v>0.46929480000000001</v>
      </c>
      <c r="Q2975">
        <v>0.29929420000000001</v>
      </c>
      <c r="R2975">
        <v>-0.83077429999999997</v>
      </c>
      <c r="S2975">
        <v>1.1747129999999999</v>
      </c>
      <c r="T2975">
        <v>-0.33203850000000001</v>
      </c>
      <c r="U2975">
        <v>-3.0623469999999999</v>
      </c>
      <c r="V2975">
        <v>-2.6048809999999999E-2</v>
      </c>
      <c r="W2975">
        <v>0.3267197</v>
      </c>
      <c r="X2975">
        <v>0.9447622</v>
      </c>
      <c r="Y2975">
        <v>0.1128883</v>
      </c>
      <c r="Z2975">
        <v>6.1163559999999999E-2</v>
      </c>
      <c r="AA2975">
        <v>0.99172340000000003</v>
      </c>
      <c r="AB2975">
        <v>9</v>
      </c>
      <c r="AC2975">
        <v>0.24520000000001099</v>
      </c>
      <c r="AD2975">
        <v>-7.9720999999999695E-2</v>
      </c>
      <c r="AE2975">
        <v>-0.65069999999997197</v>
      </c>
      <c r="AF2975">
        <v>8.1145595357884098E-2</v>
      </c>
      <c r="AG2975">
        <v>-7.9720999999999695E-2</v>
      </c>
      <c r="AH2975">
        <v>0.68153087129069501</v>
      </c>
      <c r="AI2975">
        <v>96.625388716575898</v>
      </c>
      <c r="AJ2975">
        <v>83.210116255840305</v>
      </c>
      <c r="AK2975">
        <v>0.69095902484101002</v>
      </c>
      <c r="AL2975">
        <v>70.930204090215796</v>
      </c>
      <c r="AM2975">
        <v>91.579348589577606</v>
      </c>
      <c r="AN2975">
        <v>0.99999995870967195</v>
      </c>
    </row>
    <row r="2976" spans="1:40" x14ac:dyDescent="0.25">
      <c r="A2976" t="str">
        <f>"20190304164146713"</f>
        <v>20190304164146713</v>
      </c>
      <c r="B2976" t="str">
        <f>"1551688906704461"</f>
        <v>1551688906704461</v>
      </c>
      <c r="C2976" t="s">
        <v>40</v>
      </c>
      <c r="D2976">
        <v>5.162687</v>
      </c>
      <c r="E2976">
        <v>0.57732340000000004</v>
      </c>
      <c r="F2976" t="s">
        <v>41</v>
      </c>
      <c r="G2976">
        <v>-497.96179999999998</v>
      </c>
      <c r="H2976">
        <v>1.040602</v>
      </c>
      <c r="I2976">
        <v>261.60239999999999</v>
      </c>
      <c r="J2976">
        <v>-498.19170000000003</v>
      </c>
      <c r="K2976">
        <v>1.1211660000000001</v>
      </c>
      <c r="L2976">
        <v>262.25069999999999</v>
      </c>
      <c r="M2976">
        <v>0.45572059999999998</v>
      </c>
      <c r="N2976">
        <v>-2.7361070000000001E-2</v>
      </c>
      <c r="O2976">
        <v>-0.88970239999999901</v>
      </c>
      <c r="P2976">
        <v>0.46168359999999897</v>
      </c>
      <c r="Q2976">
        <v>0.3042995</v>
      </c>
      <c r="R2976">
        <v>-0.83321699999999999</v>
      </c>
      <c r="S2976">
        <v>1.129883</v>
      </c>
      <c r="T2976">
        <v>-0.34291860000000002</v>
      </c>
      <c r="U2976">
        <v>-3.0963750000000001</v>
      </c>
      <c r="V2976">
        <v>-2.3805130000000001E-2</v>
      </c>
      <c r="W2976">
        <v>0.33083750000000001</v>
      </c>
      <c r="X2976">
        <v>0.94338739999999999</v>
      </c>
      <c r="Y2976">
        <v>0.123726</v>
      </c>
      <c r="Z2976">
        <v>6.4172339999999994E-2</v>
      </c>
      <c r="AA2976">
        <v>0.99023930000000004</v>
      </c>
      <c r="AB2976">
        <v>9</v>
      </c>
      <c r="AC2976">
        <v>0.22990000000004299</v>
      </c>
      <c r="AD2976">
        <v>-8.0563999999999802E-2</v>
      </c>
      <c r="AE2976">
        <v>-0.64830000000000598</v>
      </c>
      <c r="AF2976">
        <v>8.97045626204174E-2</v>
      </c>
      <c r="AG2976">
        <v>-8.0563999999999802E-2</v>
      </c>
      <c r="AH2976">
        <v>0.67259287954553704</v>
      </c>
      <c r="AI2976">
        <v>96.771024533095797</v>
      </c>
      <c r="AJ2976">
        <v>82.403221326024706</v>
      </c>
      <c r="AK2976">
        <v>0.68331445782031996</v>
      </c>
      <c r="AL2976">
        <v>70.6803830114102</v>
      </c>
      <c r="AM2976">
        <v>91.445476270667498</v>
      </c>
      <c r="AN2976">
        <v>0.99999996104966205</v>
      </c>
    </row>
    <row r="2977" spans="1:40" x14ac:dyDescent="0.25">
      <c r="A2977" t="str">
        <f>"20190304164146734"</f>
        <v>20190304164146734</v>
      </c>
      <c r="B2977" t="str">
        <f>"1551688906723980"</f>
        <v>1551688906723980</v>
      </c>
      <c r="C2977" t="s">
        <v>40</v>
      </c>
      <c r="D2977">
        <v>5.1717309999999896</v>
      </c>
      <c r="E2977">
        <v>0.57885030000000004</v>
      </c>
      <c r="F2977" t="s">
        <v>41</v>
      </c>
      <c r="G2977">
        <v>-497.93770000000001</v>
      </c>
      <c r="H2977">
        <v>1.040589</v>
      </c>
      <c r="I2977">
        <v>261.52690000000001</v>
      </c>
      <c r="J2977">
        <v>-498.15780000000001</v>
      </c>
      <c r="K2977">
        <v>1.120797</v>
      </c>
      <c r="L2977">
        <v>262.1746</v>
      </c>
      <c r="M2977">
        <v>0.45056030000000002</v>
      </c>
      <c r="N2977">
        <v>-2.7123620000000001E-2</v>
      </c>
      <c r="O2977">
        <v>-0.89233419999999897</v>
      </c>
      <c r="P2977">
        <v>0.45355810000000002</v>
      </c>
      <c r="Q2977">
        <v>0.30971510000000002</v>
      </c>
      <c r="R2977">
        <v>-0.8356806</v>
      </c>
      <c r="S2977">
        <v>1.0950930000000001</v>
      </c>
      <c r="T2977">
        <v>-0.3470955</v>
      </c>
      <c r="U2977">
        <v>-3.120514</v>
      </c>
      <c r="V2977">
        <v>-2.108614E-2</v>
      </c>
      <c r="W2977">
        <v>0.33590320000000001</v>
      </c>
      <c r="X2977">
        <v>0.94166050000000001</v>
      </c>
      <c r="Y2977">
        <v>0.13024669999999999</v>
      </c>
      <c r="Z2977">
        <v>6.5219299999999994E-2</v>
      </c>
      <c r="AA2977">
        <v>0.98933419999999905</v>
      </c>
      <c r="AB2977">
        <v>9</v>
      </c>
      <c r="AC2977">
        <v>0.22010000000000199</v>
      </c>
      <c r="AD2977">
        <v>-8.0208000000000002E-2</v>
      </c>
      <c r="AE2977">
        <v>-0.64769999999998595</v>
      </c>
      <c r="AF2977">
        <v>9.41656879327325E-2</v>
      </c>
      <c r="AG2977">
        <v>-8.0208000000000002E-2</v>
      </c>
      <c r="AH2977">
        <v>0.66819609689708803</v>
      </c>
      <c r="AI2977">
        <v>96.778494842911897</v>
      </c>
      <c r="AJ2977">
        <v>81.978403567036395</v>
      </c>
      <c r="AK2977">
        <v>0.67954876495829697</v>
      </c>
      <c r="AL2977">
        <v>70.372530417553705</v>
      </c>
      <c r="AM2977">
        <v>91.2827818067328</v>
      </c>
      <c r="AN2977">
        <v>1.0000000411652901</v>
      </c>
    </row>
    <row r="2978" spans="1:40" x14ac:dyDescent="0.25">
      <c r="A2978" t="str">
        <f>"20190304164146749"</f>
        <v>20190304164146749</v>
      </c>
      <c r="B2978" t="str">
        <f>"1551688906743500"</f>
        <v>1551688906743500</v>
      </c>
      <c r="C2978" t="s">
        <v>40</v>
      </c>
      <c r="D2978">
        <v>5.1733729999999998</v>
      </c>
      <c r="E2978">
        <v>0.57968399999999998</v>
      </c>
      <c r="F2978" t="s">
        <v>41</v>
      </c>
      <c r="G2978">
        <v>-497.91410000000002</v>
      </c>
      <c r="H2978">
        <v>1.041275</v>
      </c>
      <c r="I2978">
        <v>261.452</v>
      </c>
      <c r="J2978">
        <v>-498.1354</v>
      </c>
      <c r="K2978">
        <v>1.120466</v>
      </c>
      <c r="L2978">
        <v>262.1234</v>
      </c>
      <c r="M2978">
        <v>0.4470404</v>
      </c>
      <c r="N2978">
        <v>-2.6997210000000001E-2</v>
      </c>
      <c r="O2978">
        <v>-0.89410639999999997</v>
      </c>
      <c r="P2978">
        <v>0.44864779999999999</v>
      </c>
      <c r="Q2978">
        <v>0.3125019</v>
      </c>
      <c r="R2978">
        <v>-0.83729200000000004</v>
      </c>
      <c r="S2978">
        <v>1.0604549999999999</v>
      </c>
      <c r="T2978">
        <v>-0.34475790000000001</v>
      </c>
      <c r="U2978">
        <v>-3.1420590000000002</v>
      </c>
      <c r="V2978">
        <v>-1.9738309999999998E-2</v>
      </c>
      <c r="W2978">
        <v>0.33851219999999999</v>
      </c>
      <c r="X2978">
        <v>0.94075500000000001</v>
      </c>
      <c r="Y2978">
        <v>0.13817929999999901</v>
      </c>
      <c r="Z2978">
        <v>6.441972E-2</v>
      </c>
      <c r="AA2978">
        <v>0.98831000000000002</v>
      </c>
      <c r="AB2978">
        <v>9</v>
      </c>
      <c r="AC2978">
        <v>0.22129999999998501</v>
      </c>
      <c r="AD2978">
        <v>-7.9190999999999998E-2</v>
      </c>
      <c r="AE2978">
        <v>-0.67140000000000499</v>
      </c>
      <c r="AF2978">
        <v>0.101046461650944</v>
      </c>
      <c r="AG2978">
        <v>-7.9190999999999998E-2</v>
      </c>
      <c r="AH2978">
        <v>0.69081910123534096</v>
      </c>
      <c r="AI2978">
        <v>96.471203611395197</v>
      </c>
      <c r="AJ2978">
        <v>81.678329853317194</v>
      </c>
      <c r="AK2978">
        <v>0.70264687612255206</v>
      </c>
      <c r="AL2978">
        <v>70.213745672842805</v>
      </c>
      <c r="AM2978">
        <v>91.2019664537289</v>
      </c>
      <c r="AN2978">
        <v>1.00000004022774</v>
      </c>
    </row>
    <row r="2979" spans="1:40" x14ac:dyDescent="0.25">
      <c r="A2979" t="str">
        <f>"20190304164146768"</f>
        <v>20190304164146768</v>
      </c>
      <c r="B2979" t="str">
        <f>"1551688906763997"</f>
        <v>1551688906763997</v>
      </c>
      <c r="C2979" t="s">
        <v>40</v>
      </c>
      <c r="D2979">
        <v>5.2167899999999996</v>
      </c>
      <c r="E2979">
        <v>0.58010790000000001</v>
      </c>
      <c r="F2979" t="s">
        <v>41</v>
      </c>
      <c r="G2979">
        <v>-497.89049999999997</v>
      </c>
      <c r="H2979">
        <v>1.0377179999999999</v>
      </c>
      <c r="I2979">
        <v>261.37979999999999</v>
      </c>
      <c r="J2979">
        <v>-498.10669999999999</v>
      </c>
      <c r="K2979">
        <v>1.1198920000000001</v>
      </c>
      <c r="L2979">
        <v>262.05599999999998</v>
      </c>
      <c r="M2979">
        <v>0.4426852</v>
      </c>
      <c r="N2979">
        <v>-2.667866E-2</v>
      </c>
      <c r="O2979">
        <v>-0.89628009999999902</v>
      </c>
      <c r="P2979">
        <v>0.4404595</v>
      </c>
      <c r="Q2979">
        <v>0.31711879999999998</v>
      </c>
      <c r="R2979">
        <v>-0.83989930000000002</v>
      </c>
      <c r="S2979">
        <v>1.040192</v>
      </c>
      <c r="T2979">
        <v>-0.35021590000000002</v>
      </c>
      <c r="U2979">
        <v>-3.156342</v>
      </c>
      <c r="V2979">
        <v>-1.5804510000000001E-2</v>
      </c>
      <c r="W2979">
        <v>0.34270590000000001</v>
      </c>
      <c r="X2979">
        <v>0.93930979999999997</v>
      </c>
      <c r="Y2979">
        <v>0.14045589999999999</v>
      </c>
      <c r="Z2979">
        <v>6.6065310000000002E-2</v>
      </c>
      <c r="AA2979">
        <v>0.98788030000000004</v>
      </c>
      <c r="AB2979">
        <v>8</v>
      </c>
      <c r="AC2979">
        <v>0.21620000000001399</v>
      </c>
      <c r="AD2979">
        <v>-8.2174000000000094E-2</v>
      </c>
      <c r="AE2979">
        <v>-0.67619999999999403</v>
      </c>
      <c r="AF2979">
        <v>0.1042093438471</v>
      </c>
      <c r="AG2979">
        <v>-8.2174000000000094E-2</v>
      </c>
      <c r="AH2979">
        <v>0.69274151668079498</v>
      </c>
      <c r="AI2979">
        <v>96.690315386820103</v>
      </c>
      <c r="AJ2979">
        <v>81.445121656599397</v>
      </c>
      <c r="AK2979">
        <v>0.705338899079195</v>
      </c>
      <c r="AL2979">
        <v>69.958182047757006</v>
      </c>
      <c r="AM2979">
        <v>90.963948509735602</v>
      </c>
      <c r="AN2979">
        <v>1.00000000840359</v>
      </c>
    </row>
    <row r="2980" spans="1:40" x14ac:dyDescent="0.25">
      <c r="A2980" t="str">
        <f>"20190304164146791"</f>
        <v>20190304164146791</v>
      </c>
      <c r="B2980" t="str">
        <f>"1551688906784493"</f>
        <v>1551688906784493</v>
      </c>
      <c r="C2980" t="s">
        <v>40</v>
      </c>
      <c r="D2980">
        <v>5.1459359999999998</v>
      </c>
      <c r="E2980">
        <v>0.58027090000000003</v>
      </c>
      <c r="F2980" t="s">
        <v>41</v>
      </c>
      <c r="G2980">
        <v>-497.86759999999998</v>
      </c>
      <c r="H2980">
        <v>1.0374699999999999</v>
      </c>
      <c r="I2980">
        <v>261.30549999999999</v>
      </c>
      <c r="J2980">
        <v>-498.0727</v>
      </c>
      <c r="K2980">
        <v>1.1191059999999999</v>
      </c>
      <c r="L2980">
        <v>261.97219999999999</v>
      </c>
      <c r="M2980">
        <v>0.43802659999999999</v>
      </c>
      <c r="N2980">
        <v>-2.5982979999999999E-2</v>
      </c>
      <c r="O2980">
        <v>-0.89858660000000001</v>
      </c>
      <c r="P2980">
        <v>0.42973299999999998</v>
      </c>
      <c r="Q2980">
        <v>0.32284220000000002</v>
      </c>
      <c r="R2980">
        <v>-0.84326900000000005</v>
      </c>
      <c r="S2980">
        <v>1.0113529999999999</v>
      </c>
      <c r="T2980">
        <v>-0.34745530000000002</v>
      </c>
      <c r="U2980">
        <v>-3.1726679999999998</v>
      </c>
      <c r="V2980">
        <v>-9.5851300000000007E-3</v>
      </c>
      <c r="W2980">
        <v>0.34759430000000002</v>
      </c>
      <c r="X2980">
        <v>0.93759599999999998</v>
      </c>
      <c r="Y2980">
        <v>0.14494309999999999</v>
      </c>
      <c r="Z2980">
        <v>6.5912659999999998E-2</v>
      </c>
      <c r="AA2980">
        <v>0.98724219999999896</v>
      </c>
      <c r="AB2980">
        <v>8</v>
      </c>
      <c r="AC2980">
        <v>0.20510000000001499</v>
      </c>
      <c r="AD2980">
        <v>-8.1635999999999806E-2</v>
      </c>
      <c r="AE2980">
        <v>-0.66669999999999097</v>
      </c>
      <c r="AF2980">
        <v>0.10631240928075</v>
      </c>
      <c r="AG2980">
        <v>-8.1635999999999806E-2</v>
      </c>
      <c r="AH2980">
        <v>0.67984750773059999</v>
      </c>
      <c r="AI2980">
        <v>96.765835368786497</v>
      </c>
      <c r="AJ2980">
        <v>81.112246431261994</v>
      </c>
      <c r="AK2980">
        <v>0.69293534953167601</v>
      </c>
      <c r="AL2980">
        <v>69.659757105837102</v>
      </c>
      <c r="AM2980">
        <v>90.585719610715103</v>
      </c>
      <c r="AN2980">
        <v>0.99999996566280203</v>
      </c>
    </row>
    <row r="2981" spans="1:40" x14ac:dyDescent="0.25">
      <c r="A2981" t="str">
        <f>"20190304164146814"</f>
        <v>20190304164146814</v>
      </c>
      <c r="B2981" t="str">
        <f>"1551688906804012"</f>
        <v>1551688906804012</v>
      </c>
      <c r="C2981" t="s">
        <v>40</v>
      </c>
      <c r="D2981">
        <v>5.145181</v>
      </c>
      <c r="E2981">
        <v>0.58022830000000003</v>
      </c>
      <c r="F2981" t="s">
        <v>41</v>
      </c>
      <c r="G2981">
        <v>-497.84539999999998</v>
      </c>
      <c r="H2981">
        <v>1.039914</v>
      </c>
      <c r="I2981">
        <v>261.2296</v>
      </c>
      <c r="J2981">
        <v>-498.04039999999998</v>
      </c>
      <c r="K2981">
        <v>1.118541</v>
      </c>
      <c r="L2981">
        <v>261.88940000000002</v>
      </c>
      <c r="M2981">
        <v>0.43392989999999998</v>
      </c>
      <c r="N2981">
        <v>-2.5168389999999999E-2</v>
      </c>
      <c r="O2981">
        <v>-0.90059509999999898</v>
      </c>
      <c r="P2981">
        <v>0.42104970000000003</v>
      </c>
      <c r="Q2981">
        <v>0.32731700000000002</v>
      </c>
      <c r="R2981">
        <v>-0.84592040000000002</v>
      </c>
      <c r="S2981">
        <v>0.97619630000000002</v>
      </c>
      <c r="T2981">
        <v>-0.34043099999999998</v>
      </c>
      <c r="U2981">
        <v>-3.1904599999999999</v>
      </c>
      <c r="V2981">
        <v>-5.1851019999999996E-3</v>
      </c>
      <c r="W2981">
        <v>0.35116449999999999</v>
      </c>
      <c r="X2981">
        <v>0.9362994</v>
      </c>
      <c r="Y2981">
        <v>0.15190689999999901</v>
      </c>
      <c r="Z2981">
        <v>6.4687250000000002E-2</v>
      </c>
      <c r="AA2981">
        <v>0.98627569999999998</v>
      </c>
      <c r="AB2981">
        <v>8</v>
      </c>
      <c r="AC2981">
        <v>0.19499999999999301</v>
      </c>
      <c r="AD2981">
        <v>-7.8627000000000002E-2</v>
      </c>
      <c r="AE2981">
        <v>-0.65980000000001804</v>
      </c>
      <c r="AF2981">
        <v>0.109298506992437</v>
      </c>
      <c r="AG2981">
        <v>-7.8627000000000002E-2</v>
      </c>
      <c r="AH2981">
        <v>0.67028989178278198</v>
      </c>
      <c r="AI2981">
        <v>96.603955814293599</v>
      </c>
      <c r="AJ2981">
        <v>80.738769992185198</v>
      </c>
      <c r="AK2981">
        <v>0.68367895081386698</v>
      </c>
      <c r="AL2981">
        <v>69.441441863154495</v>
      </c>
      <c r="AM2981">
        <v>90.317293190626401</v>
      </c>
      <c r="AN2981">
        <v>0.99999997889168002</v>
      </c>
    </row>
    <row r="2982" spans="1:40" x14ac:dyDescent="0.25">
      <c r="A2982" t="str">
        <f>"20190304164146836"</f>
        <v>20190304164146836</v>
      </c>
      <c r="B2982" t="str">
        <f>"1551688906823532"</f>
        <v>1551688906823532</v>
      </c>
      <c r="C2982" t="s">
        <v>40</v>
      </c>
      <c r="D2982">
        <v>5.1313700000000004</v>
      </c>
      <c r="E2982">
        <v>0.58008269999999995</v>
      </c>
      <c r="F2982" t="s">
        <v>41</v>
      </c>
      <c r="G2982">
        <v>-497.82190000000003</v>
      </c>
      <c r="H2982">
        <v>1.040721</v>
      </c>
      <c r="I2982">
        <v>261.15559999999999</v>
      </c>
      <c r="J2982">
        <v>-498.01069999999999</v>
      </c>
      <c r="K2982">
        <v>1.118317</v>
      </c>
      <c r="L2982">
        <v>261.81079999999997</v>
      </c>
      <c r="M2982">
        <v>0.43007089999999998</v>
      </c>
      <c r="N2982">
        <v>-2.4409420000000001E-2</v>
      </c>
      <c r="O2982">
        <v>-0.90246519999999997</v>
      </c>
      <c r="P2982">
        <v>0.4117208</v>
      </c>
      <c r="Q2982">
        <v>0.33141500000000002</v>
      </c>
      <c r="R2982">
        <v>-0.84891119999999898</v>
      </c>
      <c r="S2982">
        <v>0.95401000000000002</v>
      </c>
      <c r="T2982">
        <v>-0.33877750000000001</v>
      </c>
      <c r="U2982">
        <v>-3.2026059999999998</v>
      </c>
      <c r="V2982" s="1">
        <v>-9.5257539999999997E-5</v>
      </c>
      <c r="W2982">
        <v>0.35440470000000002</v>
      </c>
      <c r="X2982">
        <v>0.93509219999999904</v>
      </c>
      <c r="Y2982">
        <v>0.15498489999999901</v>
      </c>
      <c r="Z2982">
        <v>6.4928009999999994E-2</v>
      </c>
      <c r="AA2982">
        <v>0.98578089999999996</v>
      </c>
      <c r="AB2982">
        <v>8</v>
      </c>
      <c r="AC2982">
        <v>0.188799999999957</v>
      </c>
      <c r="AD2982">
        <v>-7.7595999999999998E-2</v>
      </c>
      <c r="AE2982">
        <v>-0.65519999999997902</v>
      </c>
      <c r="AF2982">
        <v>0.110005577279739</v>
      </c>
      <c r="AG2982">
        <v>-7.7595999999999998E-2</v>
      </c>
      <c r="AH2982">
        <v>0.66409256209549306</v>
      </c>
      <c r="AI2982">
        <v>96.575709253491695</v>
      </c>
      <c r="AJ2982">
        <v>80.594477320565602</v>
      </c>
      <c r="AK2982">
        <v>0.67759965855894999</v>
      </c>
      <c r="AL2982">
        <v>69.243037098281803</v>
      </c>
      <c r="AM2982">
        <v>90.005836702509001</v>
      </c>
      <c r="AN2982">
        <v>1.0000000614784601</v>
      </c>
    </row>
    <row r="2983" spans="1:40" x14ac:dyDescent="0.25">
      <c r="A2983" t="str">
        <f>"20190304164146857"</f>
        <v>20190304164146857</v>
      </c>
      <c r="B2983" t="str">
        <f>"1551688906853789"</f>
        <v>1551688906853789</v>
      </c>
      <c r="C2983" t="s">
        <v>40</v>
      </c>
      <c r="D2983">
        <v>5.0286600000000004</v>
      </c>
      <c r="E2983">
        <v>0.57973920000000001</v>
      </c>
      <c r="F2983" t="s">
        <v>41</v>
      </c>
      <c r="G2983">
        <v>-497.79939999999999</v>
      </c>
      <c r="H2983">
        <v>1.041598</v>
      </c>
      <c r="I2983">
        <v>261.08170000000001</v>
      </c>
      <c r="J2983">
        <v>-497.98180000000002</v>
      </c>
      <c r="K2983">
        <v>1.118285</v>
      </c>
      <c r="L2983">
        <v>261.73360000000002</v>
      </c>
      <c r="M2983">
        <v>0.42603740000000001</v>
      </c>
      <c r="N2983">
        <v>-2.368145E-2</v>
      </c>
      <c r="O2983">
        <v>-0.90439570000000002</v>
      </c>
      <c r="P2983">
        <v>0.4022115</v>
      </c>
      <c r="Q2983">
        <v>0.3346616</v>
      </c>
      <c r="R2983">
        <v>-0.85219009999999995</v>
      </c>
      <c r="S2983">
        <v>0.93151859999999997</v>
      </c>
      <c r="T2983">
        <v>-0.33757930000000003</v>
      </c>
      <c r="U2983">
        <v>-3.213959</v>
      </c>
      <c r="V2983">
        <v>4.8788049999999999E-3</v>
      </c>
      <c r="W2983">
        <v>0.35685090000000003</v>
      </c>
      <c r="X2983">
        <v>0.9341486</v>
      </c>
      <c r="Y2983">
        <v>0.15788050000000001</v>
      </c>
      <c r="Z2983">
        <v>6.5289899999999998E-2</v>
      </c>
      <c r="AA2983">
        <v>0.98529739999999999</v>
      </c>
      <c r="AB2983">
        <v>8</v>
      </c>
      <c r="AC2983">
        <v>0.18240000000002901</v>
      </c>
      <c r="AD2983">
        <v>-7.6686999999999894E-2</v>
      </c>
      <c r="AE2983">
        <v>-0.65190000000001103</v>
      </c>
      <c r="AF2983">
        <v>0.111374296689425</v>
      </c>
      <c r="AG2983">
        <v>-7.6686999999999894E-2</v>
      </c>
      <c r="AH2983">
        <v>0.65901437734135704</v>
      </c>
      <c r="AI2983">
        <v>96.545447084229096</v>
      </c>
      <c r="AJ2983">
        <v>80.407577031628406</v>
      </c>
      <c r="AK2983">
        <v>0.67274443845689402</v>
      </c>
      <c r="AL2983">
        <v>69.093075238715997</v>
      </c>
      <c r="AM2983">
        <v>89.700762390487299</v>
      </c>
      <c r="AN2983">
        <v>0.99999998722549799</v>
      </c>
    </row>
    <row r="2984" spans="1:40" x14ac:dyDescent="0.25">
      <c r="A2984" t="str">
        <f>"20190304164146880"</f>
        <v>20190304164146880</v>
      </c>
      <c r="B2984" t="str">
        <f>"1551688906874285"</f>
        <v>1551688906874285</v>
      </c>
      <c r="C2984" t="s">
        <v>40</v>
      </c>
      <c r="D2984">
        <v>4.9826969999999999</v>
      </c>
      <c r="E2984">
        <v>0.57941419999999999</v>
      </c>
      <c r="F2984" t="s">
        <v>41</v>
      </c>
      <c r="G2984">
        <v>-497.77690000000001</v>
      </c>
      <c r="H2984">
        <v>1.04084</v>
      </c>
      <c r="I2984">
        <v>261.00920000000002</v>
      </c>
      <c r="J2984">
        <v>-497.9522</v>
      </c>
      <c r="K2984">
        <v>1.1182879999999999</v>
      </c>
      <c r="L2984">
        <v>261.65370000000001</v>
      </c>
      <c r="M2984">
        <v>0.42159580000000002</v>
      </c>
      <c r="N2984">
        <v>-2.2905459999999999E-2</v>
      </c>
      <c r="O2984">
        <v>-0.90649460000000004</v>
      </c>
      <c r="P2984">
        <v>0.39255950000000001</v>
      </c>
      <c r="Q2984">
        <v>0.33634120000000001</v>
      </c>
      <c r="R2984">
        <v>-0.85602099999999903</v>
      </c>
      <c r="S2984">
        <v>0.91275019999999996</v>
      </c>
      <c r="T2984">
        <v>-0.34423179999999998</v>
      </c>
      <c r="U2984">
        <v>-3.224701</v>
      </c>
      <c r="V2984">
        <v>9.6662310000000008E-3</v>
      </c>
      <c r="W2984">
        <v>0.3577283</v>
      </c>
      <c r="X2984">
        <v>0.93377569999999999</v>
      </c>
      <c r="Y2984">
        <v>0.1592578</v>
      </c>
      <c r="Z2984">
        <v>6.7762459999999997E-2</v>
      </c>
      <c r="AA2984">
        <v>0.98490869999999997</v>
      </c>
      <c r="AB2984">
        <v>8</v>
      </c>
      <c r="AC2984">
        <v>0.17529999999999199</v>
      </c>
      <c r="AD2984">
        <v>-7.7447999999999906E-2</v>
      </c>
      <c r="AE2984">
        <v>-0.64449999999999297</v>
      </c>
      <c r="AF2984">
        <v>0.11134252702922701</v>
      </c>
      <c r="AG2984">
        <v>-7.7447999999999906E-2</v>
      </c>
      <c r="AH2984">
        <v>0.64958023160119704</v>
      </c>
      <c r="AI2984">
        <v>96.7023150304192</v>
      </c>
      <c r="AJ2984">
        <v>80.273628266036795</v>
      </c>
      <c r="AK2984">
        <v>0.66358859869373799</v>
      </c>
      <c r="AL2984">
        <v>69.039251805126995</v>
      </c>
      <c r="AM2984">
        <v>89.406908470020298</v>
      </c>
      <c r="AN2984">
        <v>1.00000001527656</v>
      </c>
    </row>
    <row r="2985" spans="1:40" x14ac:dyDescent="0.25">
      <c r="A2985" t="str">
        <f>"20190304164146903"</f>
        <v>20190304164146903</v>
      </c>
      <c r="B2985" t="str">
        <f>"1551688906893804"</f>
        <v>1551688906893804</v>
      </c>
      <c r="C2985" t="s">
        <v>40</v>
      </c>
      <c r="D2985">
        <v>4.9439900000000003</v>
      </c>
      <c r="E2985">
        <v>0.57906659999999999</v>
      </c>
      <c r="F2985" t="s">
        <v>41</v>
      </c>
      <c r="G2985">
        <v>-497.75450000000001</v>
      </c>
      <c r="H2985">
        <v>1.0402450000000001</v>
      </c>
      <c r="I2985">
        <v>260.93689999999998</v>
      </c>
      <c r="J2985">
        <v>-497.9228</v>
      </c>
      <c r="K2985">
        <v>1.1181219999999901</v>
      </c>
      <c r="L2985">
        <v>261.57400000000001</v>
      </c>
      <c r="M2985">
        <v>0.41706900000000002</v>
      </c>
      <c r="N2985">
        <v>-2.2080740000000001E-2</v>
      </c>
      <c r="O2985">
        <v>-0.90860680000000005</v>
      </c>
      <c r="P2985">
        <v>0.38539990000000002</v>
      </c>
      <c r="Q2985">
        <v>0.33707169999999997</v>
      </c>
      <c r="R2985">
        <v>-0.85898209999999997</v>
      </c>
      <c r="S2985">
        <v>0.89266970000000001</v>
      </c>
      <c r="T2985">
        <v>-0.35096250000000001</v>
      </c>
      <c r="U2985">
        <v>-3.2331240000000001</v>
      </c>
      <c r="V2985">
        <v>1.182621E-2</v>
      </c>
      <c r="W2985">
        <v>0.35767310000000002</v>
      </c>
      <c r="X2985">
        <v>0.93377200000000005</v>
      </c>
      <c r="Y2985">
        <v>0.1607267</v>
      </c>
      <c r="Z2985">
        <v>7.0372119999999996E-2</v>
      </c>
      <c r="AA2985">
        <v>0.984487</v>
      </c>
      <c r="AB2985">
        <v>8</v>
      </c>
      <c r="AC2985">
        <v>0.16829999999998699</v>
      </c>
      <c r="AD2985">
        <v>-7.7876999999999696E-2</v>
      </c>
      <c r="AE2985">
        <v>-0.63710000000003197</v>
      </c>
      <c r="AF2985">
        <v>0.11126950275122</v>
      </c>
      <c r="AG2985">
        <v>-7.7876999999999696E-2</v>
      </c>
      <c r="AH2985">
        <v>0.64028135768352301</v>
      </c>
      <c r="AI2985">
        <v>96.833357772424407</v>
      </c>
      <c r="AJ2985">
        <v>80.141469925651094</v>
      </c>
      <c r="AK2985">
        <v>0.65452726938498096</v>
      </c>
      <c r="AL2985">
        <v>69.042638869967504</v>
      </c>
      <c r="AM2985">
        <v>89.274388506922804</v>
      </c>
      <c r="AN2985">
        <v>1.00000002684528</v>
      </c>
    </row>
    <row r="2986" spans="1:40" x14ac:dyDescent="0.25">
      <c r="A2986" t="str">
        <f>"20190304164146925"</f>
        <v>20190304164146925</v>
      </c>
      <c r="B2986" t="str">
        <f>"1551688906914300"</f>
        <v>1551688906914300</v>
      </c>
      <c r="C2986" t="s">
        <v>40</v>
      </c>
      <c r="D2986">
        <v>4.9543419999999996</v>
      </c>
      <c r="E2986">
        <v>0.57883200000000001</v>
      </c>
      <c r="F2986" t="s">
        <v>41</v>
      </c>
      <c r="G2986">
        <v>-497.71260000000001</v>
      </c>
      <c r="H2986">
        <v>1.032365</v>
      </c>
      <c r="I2986">
        <v>260.79539999999997</v>
      </c>
      <c r="J2986">
        <v>-497.89409999999998</v>
      </c>
      <c r="K2986">
        <v>1.117729</v>
      </c>
      <c r="L2986">
        <v>261.49619999999999</v>
      </c>
      <c r="M2986">
        <v>0.4127905</v>
      </c>
      <c r="N2986">
        <v>-2.1241969999999999E-2</v>
      </c>
      <c r="O2986">
        <v>-0.91057840000000001</v>
      </c>
      <c r="P2986">
        <v>0.38010110000000003</v>
      </c>
      <c r="Q2986">
        <v>0.3374298</v>
      </c>
      <c r="R2986">
        <v>-0.86119959999999995</v>
      </c>
      <c r="S2986">
        <v>0.87429809999999997</v>
      </c>
      <c r="T2986">
        <v>-0.35644009999999998</v>
      </c>
      <c r="U2986">
        <v>-3.2401119999999999</v>
      </c>
      <c r="V2986">
        <v>1.246568E-2</v>
      </c>
      <c r="W2986">
        <v>0.35725499999999999</v>
      </c>
      <c r="X2986">
        <v>0.93392370000000002</v>
      </c>
      <c r="Y2986">
        <v>0.1618675</v>
      </c>
      <c r="Z2986">
        <v>7.2696759999999999E-2</v>
      </c>
      <c r="AA2986">
        <v>0.98413119999999998</v>
      </c>
      <c r="AB2986">
        <v>8</v>
      </c>
      <c r="AC2986">
        <v>0.18149999999997099</v>
      </c>
      <c r="AD2986">
        <v>-8.5364000000000204E-2</v>
      </c>
      <c r="AE2986">
        <v>-0.70080000000001497</v>
      </c>
      <c r="AF2986">
        <v>0.122340451289118</v>
      </c>
      <c r="AG2986">
        <v>-8.5364000000000204E-2</v>
      </c>
      <c r="AH2986">
        <v>0.70343451295552295</v>
      </c>
      <c r="AI2986">
        <v>96.817831905877597</v>
      </c>
      <c r="AJ2986">
        <v>80.133875689385107</v>
      </c>
      <c r="AK2986">
        <v>0.71907879438528699</v>
      </c>
      <c r="AL2986">
        <v>69.068288493179296</v>
      </c>
      <c r="AM2986">
        <v>89.235281809844807</v>
      </c>
      <c r="AN2986">
        <v>1.00000000281227</v>
      </c>
    </row>
    <row r="2987" spans="1:40" x14ac:dyDescent="0.25">
      <c r="A2987" t="str">
        <f>"20190304164146945"</f>
        <v>20190304164146945</v>
      </c>
      <c r="B2987" t="str">
        <f>"1551688906933820"</f>
        <v>1551688906933820</v>
      </c>
      <c r="C2987" t="s">
        <v>40</v>
      </c>
      <c r="D2987">
        <v>4.9189930000000004</v>
      </c>
      <c r="E2987">
        <v>0.57868960000000003</v>
      </c>
      <c r="F2987" t="s">
        <v>41</v>
      </c>
      <c r="G2987">
        <v>-497.69009999999997</v>
      </c>
      <c r="H2987">
        <v>1.031569</v>
      </c>
      <c r="I2987">
        <v>260.72410000000002</v>
      </c>
      <c r="J2987">
        <v>-497.86689999999999</v>
      </c>
      <c r="K2987">
        <v>1.117197</v>
      </c>
      <c r="L2987">
        <v>261.42160000000001</v>
      </c>
      <c r="M2987">
        <v>0.40884340000000002</v>
      </c>
      <c r="N2987">
        <v>-2.0447219999999999E-2</v>
      </c>
      <c r="O2987">
        <v>-0.91237570000000001</v>
      </c>
      <c r="P2987">
        <v>0.37415159999999997</v>
      </c>
      <c r="Q2987">
        <v>0.33935659999999901</v>
      </c>
      <c r="R2987">
        <v>-0.86304579999999997</v>
      </c>
      <c r="S2987">
        <v>0.85870360000000001</v>
      </c>
      <c r="T2987">
        <v>-0.3604908</v>
      </c>
      <c r="U2987">
        <v>-3.2457579999999999</v>
      </c>
      <c r="V2987">
        <v>1.4096930000000001E-2</v>
      </c>
      <c r="W2987">
        <v>0.3584251</v>
      </c>
      <c r="X2987">
        <v>0.93345210000000001</v>
      </c>
      <c r="Y2987">
        <v>0.16247590000000001</v>
      </c>
      <c r="Z2987">
        <v>7.4628070000000005E-2</v>
      </c>
      <c r="AA2987">
        <v>0.98388629999999999</v>
      </c>
      <c r="AB2987">
        <v>8</v>
      </c>
      <c r="AC2987">
        <v>0.176800000000014</v>
      </c>
      <c r="AD2987">
        <v>-8.5627999999999996E-2</v>
      </c>
      <c r="AE2987">
        <v>-0.69749999999999002</v>
      </c>
      <c r="AF2987">
        <v>0.12215624519111</v>
      </c>
      <c r="AG2987">
        <v>-8.5627999999999996E-2</v>
      </c>
      <c r="AH2987">
        <v>0.69891612489206301</v>
      </c>
      <c r="AI2987">
        <v>96.8815134033444</v>
      </c>
      <c r="AJ2987">
        <v>80.086010529097507</v>
      </c>
      <c r="AK2987">
        <v>0.71465939597638295</v>
      </c>
      <c r="AL2987">
        <v>68.996493602116999</v>
      </c>
      <c r="AM2987">
        <v>89.134788814227704</v>
      </c>
      <c r="AN2987">
        <v>1.0000000493699199</v>
      </c>
    </row>
    <row r="2988" spans="1:40" x14ac:dyDescent="0.25">
      <c r="A2988" t="str">
        <f>"20190304164146969"</f>
        <v>20190304164146969</v>
      </c>
      <c r="B2988" t="str">
        <f>"1551688906964077"</f>
        <v>1551688906964077</v>
      </c>
      <c r="C2988" t="s">
        <v>40</v>
      </c>
      <c r="D2988">
        <v>4.9584299999999999</v>
      </c>
      <c r="E2988">
        <v>0.57840729999999996</v>
      </c>
      <c r="F2988" t="s">
        <v>41</v>
      </c>
      <c r="G2988">
        <v>-497.66750000000002</v>
      </c>
      <c r="H2988">
        <v>1.0322389999999999</v>
      </c>
      <c r="I2988">
        <v>260.65210000000002</v>
      </c>
      <c r="J2988">
        <v>-497.83690000000001</v>
      </c>
      <c r="K2988">
        <v>1.11652</v>
      </c>
      <c r="L2988">
        <v>261.3381</v>
      </c>
      <c r="M2988">
        <v>0.40451779999999998</v>
      </c>
      <c r="N2988">
        <v>-1.961212E-2</v>
      </c>
      <c r="O2988">
        <v>-0.91431980000000002</v>
      </c>
      <c r="P2988">
        <v>0.36730200000000002</v>
      </c>
      <c r="Q2988">
        <v>0.34080559999999899</v>
      </c>
      <c r="R2988">
        <v>-0.86541349999999995</v>
      </c>
      <c r="S2988">
        <v>0.84307860000000001</v>
      </c>
      <c r="T2988">
        <v>-0.35837599999999997</v>
      </c>
      <c r="U2988">
        <v>-3.2514949999999998</v>
      </c>
      <c r="V2988">
        <v>1.6453740000000001E-2</v>
      </c>
      <c r="W2988">
        <v>0.35908200000000001</v>
      </c>
      <c r="X2988">
        <v>0.93316100000000002</v>
      </c>
      <c r="Y2988">
        <v>0.16266749999999999</v>
      </c>
      <c r="Z2988">
        <v>7.5031769999999998E-2</v>
      </c>
      <c r="AA2988">
        <v>0.98382400000000003</v>
      </c>
      <c r="AB2988">
        <v>8</v>
      </c>
      <c r="AC2988">
        <v>0.169399999999996</v>
      </c>
      <c r="AD2988">
        <v>-8.4281000000000203E-2</v>
      </c>
      <c r="AE2988">
        <v>-0.68599999999997796</v>
      </c>
      <c r="AF2988">
        <v>0.12091677751637001</v>
      </c>
      <c r="AG2988">
        <v>-8.4281000000000203E-2</v>
      </c>
      <c r="AH2988">
        <v>0.68612129971888702</v>
      </c>
      <c r="AI2988">
        <v>96.897705788342904</v>
      </c>
      <c r="AJ2988">
        <v>80.005257846831199</v>
      </c>
      <c r="AK2988">
        <v>0.70177388949281805</v>
      </c>
      <c r="AL2988">
        <v>68.956171457355595</v>
      </c>
      <c r="AM2988">
        <v>88.989850432853899</v>
      </c>
      <c r="AN2988">
        <v>1.0000000301024901</v>
      </c>
    </row>
    <row r="2989" spans="1:40" x14ac:dyDescent="0.25">
      <c r="A2989" t="str">
        <f>"20190304164146991"</f>
        <v>20190304164146991</v>
      </c>
      <c r="B2989" t="str">
        <f>"1551688906983597"</f>
        <v>1551688906983597</v>
      </c>
      <c r="C2989" t="s">
        <v>40</v>
      </c>
      <c r="D2989">
        <v>4.8375570000000003</v>
      </c>
      <c r="E2989">
        <v>0.57819309999999902</v>
      </c>
      <c r="F2989" t="s">
        <v>41</v>
      </c>
      <c r="G2989">
        <v>-497.64510000000001</v>
      </c>
      <c r="H2989">
        <v>1.032921</v>
      </c>
      <c r="I2989">
        <v>260.58049999999997</v>
      </c>
      <c r="J2989">
        <v>-497.80869999999999</v>
      </c>
      <c r="K2989">
        <v>1.1158589999999999</v>
      </c>
      <c r="L2989">
        <v>261.25920000000002</v>
      </c>
      <c r="M2989">
        <v>0.40039239999999998</v>
      </c>
      <c r="N2989">
        <v>-1.889014E-2</v>
      </c>
      <c r="O2989">
        <v>-0.91614930000000006</v>
      </c>
      <c r="P2989">
        <v>0.36239690000000002</v>
      </c>
      <c r="Q2989">
        <v>0.34080359999999998</v>
      </c>
      <c r="R2989">
        <v>-0.86748029999999998</v>
      </c>
      <c r="S2989">
        <v>0.82559199999999999</v>
      </c>
      <c r="T2989">
        <v>-0.35750019999999999</v>
      </c>
      <c r="U2989">
        <v>-3.256958</v>
      </c>
      <c r="V2989">
        <v>1.721934E-2</v>
      </c>
      <c r="W2989">
        <v>0.35841390000000001</v>
      </c>
      <c r="X2989">
        <v>0.93340400000000001</v>
      </c>
      <c r="Y2989">
        <v>0.16358989999999901</v>
      </c>
      <c r="Z2989">
        <v>7.5637209999999996E-2</v>
      </c>
      <c r="AA2989">
        <v>0.98362459999999996</v>
      </c>
      <c r="AB2989">
        <v>8</v>
      </c>
      <c r="AC2989">
        <v>0.16359999999997399</v>
      </c>
      <c r="AD2989">
        <v>-8.2937999999999901E-2</v>
      </c>
      <c r="AE2989">
        <v>-0.67870000000004804</v>
      </c>
      <c r="AF2989">
        <v>0.120189765924306</v>
      </c>
      <c r="AG2989">
        <v>-8.2937999999999901E-2</v>
      </c>
      <c r="AH2989">
        <v>0.67785064818237495</v>
      </c>
      <c r="AI2989">
        <v>96.869614540291494</v>
      </c>
      <c r="AJ2989">
        <v>79.945379151894201</v>
      </c>
      <c r="AK2989">
        <v>0.69340161012086299</v>
      </c>
      <c r="AL2989">
        <v>68.997180520544006</v>
      </c>
      <c r="AM2989">
        <v>88.943133295065195</v>
      </c>
      <c r="AN2989">
        <v>1.00000002829962</v>
      </c>
    </row>
    <row r="2990" spans="1:40" x14ac:dyDescent="0.25">
      <c r="A2990" t="str">
        <f>"20190304164147014"</f>
        <v>20190304164147014</v>
      </c>
      <c r="B2990" t="str">
        <f>"1551688907004093"</f>
        <v>1551688907004093</v>
      </c>
      <c r="C2990" t="s">
        <v>40</v>
      </c>
      <c r="D2990">
        <v>4.8006169999999999</v>
      </c>
      <c r="E2990">
        <v>0.57805899999999999</v>
      </c>
      <c r="F2990" t="s">
        <v>41</v>
      </c>
      <c r="G2990">
        <v>-497.62259999999998</v>
      </c>
      <c r="H2990">
        <v>1.0333600000000001</v>
      </c>
      <c r="I2990">
        <v>260.50920000000002</v>
      </c>
      <c r="J2990">
        <v>-497.78</v>
      </c>
      <c r="K2990">
        <v>1.1151979999999999</v>
      </c>
      <c r="L2990">
        <v>261.1782</v>
      </c>
      <c r="M2990">
        <v>0.39606429999999998</v>
      </c>
      <c r="N2990">
        <v>-1.8220690000000001E-2</v>
      </c>
      <c r="O2990">
        <v>-0.91804209999999997</v>
      </c>
      <c r="P2990">
        <v>0.35895169999999998</v>
      </c>
      <c r="Q2990">
        <v>0.3405859</v>
      </c>
      <c r="R2990">
        <v>-0.86899680000000001</v>
      </c>
      <c r="S2990">
        <v>0.80892940000000002</v>
      </c>
      <c r="T2990">
        <v>-0.3584987</v>
      </c>
      <c r="U2990">
        <v>-3.2612299999999999</v>
      </c>
      <c r="V2990">
        <v>1.627777E-2</v>
      </c>
      <c r="W2990">
        <v>0.35758800000000002</v>
      </c>
      <c r="X2990">
        <v>0.93373759999999995</v>
      </c>
      <c r="Y2990">
        <v>0.16399129999999901</v>
      </c>
      <c r="Z2990">
        <v>7.6726180000000005E-2</v>
      </c>
      <c r="AA2990">
        <v>0.98347340000000005</v>
      </c>
      <c r="AB2990">
        <v>8</v>
      </c>
      <c r="AC2990">
        <v>0.15739999999999499</v>
      </c>
      <c r="AD2990">
        <v>-8.18379999999998E-2</v>
      </c>
      <c r="AE2990">
        <v>-0.66899999999998205</v>
      </c>
      <c r="AF2990">
        <v>0.118802623909137</v>
      </c>
      <c r="AG2990">
        <v>-8.18379999999998E-2</v>
      </c>
      <c r="AH2990">
        <v>0.66716293838479401</v>
      </c>
      <c r="AI2990">
        <v>96.886030561856401</v>
      </c>
      <c r="AJ2990">
        <v>79.903096145970807</v>
      </c>
      <c r="AK2990">
        <v>0.682581795864736</v>
      </c>
      <c r="AL2990">
        <v>69.047860003927596</v>
      </c>
      <c r="AM2990">
        <v>89.001268601729805</v>
      </c>
      <c r="AN2990">
        <v>1.00000002459696</v>
      </c>
    </row>
    <row r="2991" spans="1:40" x14ac:dyDescent="0.25">
      <c r="A2991" t="str">
        <f>"20190304164147036"</f>
        <v>20190304164147036</v>
      </c>
      <c r="B2991" t="str">
        <f>"1551688907023612"</f>
        <v>1551688907023612</v>
      </c>
      <c r="C2991" t="s">
        <v>40</v>
      </c>
      <c r="D2991">
        <v>4.7870189999999999</v>
      </c>
      <c r="E2991">
        <v>0.57784820000000003</v>
      </c>
      <c r="F2991" t="s">
        <v>41</v>
      </c>
      <c r="G2991">
        <v>-497.60090000000002</v>
      </c>
      <c r="H2991">
        <v>1.0339370000000001</v>
      </c>
      <c r="I2991">
        <v>260.43759999999997</v>
      </c>
      <c r="J2991">
        <v>-497.75279999999998</v>
      </c>
      <c r="K2991">
        <v>1.114601</v>
      </c>
      <c r="L2991">
        <v>261.10059999999999</v>
      </c>
      <c r="M2991">
        <v>0.39183459999999998</v>
      </c>
      <c r="N2991">
        <v>-1.7644839999999998E-2</v>
      </c>
      <c r="O2991">
        <v>-0.91986650000000003</v>
      </c>
      <c r="P2991">
        <v>0.35662090000000002</v>
      </c>
      <c r="Q2991">
        <v>0.34042699999999998</v>
      </c>
      <c r="R2991">
        <v>-0.87001810000000002</v>
      </c>
      <c r="S2991">
        <v>0.79067989999999999</v>
      </c>
      <c r="T2991">
        <v>-0.35745369999999999</v>
      </c>
      <c r="U2991">
        <v>-3.2657470000000002</v>
      </c>
      <c r="V2991">
        <v>1.429477E-2</v>
      </c>
      <c r="W2991">
        <v>0.35690889999999997</v>
      </c>
      <c r="X2991">
        <v>0.93402980000000002</v>
      </c>
      <c r="Y2991">
        <v>0.16496240000000001</v>
      </c>
      <c r="Z2991">
        <v>7.717794E-2</v>
      </c>
      <c r="AA2991">
        <v>0.98327569999999997</v>
      </c>
      <c r="AB2991">
        <v>8</v>
      </c>
      <c r="AC2991">
        <v>0.15189999999995499</v>
      </c>
      <c r="AD2991">
        <v>-8.0663999999999805E-2</v>
      </c>
      <c r="AE2991">
        <v>-0.66300000000001003</v>
      </c>
      <c r="AF2991">
        <v>0.118411943217509</v>
      </c>
      <c r="AG2991">
        <v>-8.0663999999999805E-2</v>
      </c>
      <c r="AH2991">
        <v>0.66021006798175796</v>
      </c>
      <c r="AI2991">
        <v>96.857476767163703</v>
      </c>
      <c r="AJ2991">
        <v>79.831829106127003</v>
      </c>
      <c r="AK2991">
        <v>0.67557782901529895</v>
      </c>
      <c r="AL2991">
        <v>69.089517787254195</v>
      </c>
      <c r="AM2991">
        <v>89.123190659031295</v>
      </c>
      <c r="AN2991">
        <v>0.99999998531830103</v>
      </c>
    </row>
    <row r="2992" spans="1:40" x14ac:dyDescent="0.25">
      <c r="A2992" t="str">
        <f>"20190304164147058"</f>
        <v>20190304164147058</v>
      </c>
      <c r="B2992" t="str">
        <f>"1551688907053869"</f>
        <v>1551688907053869</v>
      </c>
      <c r="C2992" t="s">
        <v>40</v>
      </c>
      <c r="D2992">
        <v>4.7776839999999998</v>
      </c>
      <c r="E2992">
        <v>0.5768934</v>
      </c>
      <c r="F2992" t="s">
        <v>41</v>
      </c>
      <c r="G2992">
        <v>-497.57830000000001</v>
      </c>
      <c r="H2992">
        <v>1.0346839999999999</v>
      </c>
      <c r="I2992">
        <v>260.36660000000001</v>
      </c>
      <c r="J2992">
        <v>-497.72680000000003</v>
      </c>
      <c r="K2992">
        <v>1.114039</v>
      </c>
      <c r="L2992">
        <v>261.02530000000002</v>
      </c>
      <c r="M2992">
        <v>0.38768350000000001</v>
      </c>
      <c r="N2992">
        <v>-1.7144929999999999E-2</v>
      </c>
      <c r="O2992">
        <v>-0.92163329999999999</v>
      </c>
      <c r="P2992">
        <v>0.35519650000000003</v>
      </c>
      <c r="Q2992">
        <v>0.33889010000000003</v>
      </c>
      <c r="R2992">
        <v>-0.87120010000000003</v>
      </c>
      <c r="S2992">
        <v>0.77700809999999998</v>
      </c>
      <c r="T2992">
        <v>-0.3559234</v>
      </c>
      <c r="U2992">
        <v>-3.269012</v>
      </c>
      <c r="V2992">
        <v>1.168398E-2</v>
      </c>
      <c r="W2992">
        <v>0.35492940000000001</v>
      </c>
      <c r="X2992">
        <v>0.93482010000000004</v>
      </c>
      <c r="Y2992">
        <v>0.16463630000000001</v>
      </c>
      <c r="Z2992">
        <v>7.7459269999999997E-2</v>
      </c>
      <c r="AA2992">
        <v>0.98330819999999997</v>
      </c>
      <c r="AB2992">
        <v>8</v>
      </c>
      <c r="AC2992">
        <v>0.14850000000001201</v>
      </c>
      <c r="AD2992">
        <v>-7.9354999999999995E-2</v>
      </c>
      <c r="AE2992">
        <v>-0.65870000000001006</v>
      </c>
      <c r="AF2992">
        <v>0.11690730190000399</v>
      </c>
      <c r="AG2992">
        <v>-7.9354999999999995E-2</v>
      </c>
      <c r="AH2992">
        <v>0.65569229865166301</v>
      </c>
      <c r="AI2992">
        <v>96.794520210288695</v>
      </c>
      <c r="AJ2992">
        <v>79.890623332753904</v>
      </c>
      <c r="AK2992">
        <v>0.67074356036688199</v>
      </c>
      <c r="AL2992">
        <v>69.210882616487794</v>
      </c>
      <c r="AM2992">
        <v>89.283917958162505</v>
      </c>
      <c r="AN2992">
        <v>1.0000000068685</v>
      </c>
    </row>
    <row r="2993" spans="1:40" x14ac:dyDescent="0.25">
      <c r="A2993" t="str">
        <f>"20190304164147081"</f>
        <v>20190304164147081</v>
      </c>
      <c r="B2993" t="str">
        <f>"1551688907074365"</f>
        <v>1551688907074365</v>
      </c>
      <c r="C2993" t="s">
        <v>40</v>
      </c>
      <c r="D2993">
        <v>4.7374219999999996</v>
      </c>
      <c r="E2993">
        <v>0.57686879999999996</v>
      </c>
      <c r="F2993" t="s">
        <v>42</v>
      </c>
      <c r="G2993">
        <v>-494.52300000000002</v>
      </c>
      <c r="H2993" s="1">
        <v>-4.2986919999999998E-6</v>
      </c>
      <c r="I2993">
        <v>247.2611</v>
      </c>
      <c r="J2993">
        <v>-497.69959999999998</v>
      </c>
      <c r="K2993">
        <v>1.1134660000000001</v>
      </c>
      <c r="L2993">
        <v>260.94540000000001</v>
      </c>
      <c r="M2993">
        <v>0.38323740000000001</v>
      </c>
      <c r="N2993">
        <v>-1.667182E-2</v>
      </c>
      <c r="O2993">
        <v>-0.92349959999999998</v>
      </c>
      <c r="P2993">
        <v>0.35500979999999999</v>
      </c>
      <c r="Q2993">
        <v>0.33739580000000002</v>
      </c>
      <c r="R2993">
        <v>-0.87185559999999995</v>
      </c>
      <c r="S2993">
        <v>0.75372309999999998</v>
      </c>
      <c r="T2993">
        <v>-0.26208619999999999</v>
      </c>
      <c r="U2993">
        <v>-3.2381289999999998</v>
      </c>
      <c r="V2993">
        <v>7.474746E-3</v>
      </c>
      <c r="W2993">
        <v>0.35301979999999999</v>
      </c>
      <c r="X2993">
        <v>0.93558600000000003</v>
      </c>
      <c r="Y2993">
        <v>0.16413929999999999</v>
      </c>
      <c r="Z2993">
        <v>5.4217660000000001E-2</v>
      </c>
      <c r="AA2993">
        <v>0.98494610000000005</v>
      </c>
      <c r="AB2993">
        <v>8</v>
      </c>
      <c r="AC2993">
        <v>3.1765999999999499</v>
      </c>
      <c r="AD2993">
        <v>-1.113470298692</v>
      </c>
      <c r="AE2993">
        <v>-13.6843</v>
      </c>
      <c r="AF2993">
        <v>2.29663933967689</v>
      </c>
      <c r="AG2993">
        <v>-1.113470298692</v>
      </c>
      <c r="AH2993">
        <v>13.770252069104799</v>
      </c>
      <c r="AI2993">
        <v>94.560192816988703</v>
      </c>
      <c r="AJ2993">
        <v>80.531211318570001</v>
      </c>
      <c r="AK2993">
        <v>14.004792408647299</v>
      </c>
      <c r="AL2993">
        <v>69.327868945895901</v>
      </c>
      <c r="AM2993">
        <v>89.542252356404703</v>
      </c>
      <c r="AN2993">
        <v>1.0000000072079001</v>
      </c>
    </row>
    <row r="2994" spans="1:40" x14ac:dyDescent="0.25">
      <c r="A2994" t="str">
        <f>"20190304164147103"</f>
        <v>20190304164147103</v>
      </c>
      <c r="B2994" t="str">
        <f>"1551688907093885"</f>
        <v>1551688907093885</v>
      </c>
      <c r="C2994" t="s">
        <v>40</v>
      </c>
      <c r="D2994">
        <v>4.7328960000000002</v>
      </c>
      <c r="E2994">
        <v>0.57675330000000002</v>
      </c>
      <c r="F2994" t="s">
        <v>42</v>
      </c>
      <c r="G2994">
        <v>-494.55329999999998</v>
      </c>
      <c r="H2994" s="1">
        <v>-4.2943359999999998E-6</v>
      </c>
      <c r="I2994">
        <v>247.23249999999999</v>
      </c>
      <c r="J2994">
        <v>-497.67320000000001</v>
      </c>
      <c r="K2994">
        <v>1.1129530000000001</v>
      </c>
      <c r="L2994">
        <v>260.86700000000002</v>
      </c>
      <c r="M2994">
        <v>0.3788282</v>
      </c>
      <c r="N2994">
        <v>-1.6263710000000001E-2</v>
      </c>
      <c r="O2994">
        <v>-0.92532420000000004</v>
      </c>
      <c r="P2994">
        <v>0.35667539999999998</v>
      </c>
      <c r="Q2994">
        <v>0.33701700000000001</v>
      </c>
      <c r="R2994">
        <v>-0.87132259999999995</v>
      </c>
      <c r="S2994">
        <v>0.74340819999999996</v>
      </c>
      <c r="T2994">
        <v>-0.26308759999999998</v>
      </c>
      <c r="U2994">
        <v>-3.2400509999999998</v>
      </c>
      <c r="V2994">
        <v>1.184938E-3</v>
      </c>
      <c r="W2994">
        <v>0.35228310000000002</v>
      </c>
      <c r="X2994">
        <v>0.93589270000000002</v>
      </c>
      <c r="Y2994">
        <v>0.16255229999999901</v>
      </c>
      <c r="Z2994">
        <v>5.5060659999999997E-2</v>
      </c>
      <c r="AA2994">
        <v>0.98516239999999999</v>
      </c>
      <c r="AB2994">
        <v>8</v>
      </c>
      <c r="AC2994">
        <v>3.1199000000000199</v>
      </c>
      <c r="AD2994">
        <v>-1.112957294336</v>
      </c>
      <c r="AE2994">
        <v>-13.634499999999999</v>
      </c>
      <c r="AF2994">
        <v>2.2641793715643401</v>
      </c>
      <c r="AG2994">
        <v>-1.112957294336</v>
      </c>
      <c r="AH2994">
        <v>13.7132359959921</v>
      </c>
      <c r="AI2994">
        <v>94.578203718179196</v>
      </c>
      <c r="AJ2994">
        <v>80.624532485994493</v>
      </c>
      <c r="AK2994">
        <v>13.9433863766091</v>
      </c>
      <c r="AL2994">
        <v>69.372975824271506</v>
      </c>
      <c r="AM2994">
        <v>89.927457591978893</v>
      </c>
      <c r="AN2994">
        <v>0.99999996626848098</v>
      </c>
    </row>
    <row r="2995" spans="1:40" x14ac:dyDescent="0.25">
      <c r="A2995" t="str">
        <f>"20190304164147125"</f>
        <v>20190304164147125</v>
      </c>
      <c r="B2995" t="str">
        <f>"1551688907114381"</f>
        <v>1551688907114381</v>
      </c>
      <c r="C2995" t="s">
        <v>40</v>
      </c>
      <c r="D2995">
        <v>4.7026110000000001</v>
      </c>
      <c r="E2995">
        <v>0.57495609999999997</v>
      </c>
      <c r="F2995" t="s">
        <v>41</v>
      </c>
      <c r="G2995">
        <v>-497.49250000000001</v>
      </c>
      <c r="H2995">
        <v>1.049501</v>
      </c>
      <c r="I2995">
        <v>260.0729</v>
      </c>
      <c r="J2995">
        <v>-497.64789999999999</v>
      </c>
      <c r="K2995">
        <v>1.112506</v>
      </c>
      <c r="L2995">
        <v>260.7903</v>
      </c>
      <c r="M2995">
        <v>0.37447770000000002</v>
      </c>
      <c r="N2995">
        <v>-1.5911979999999999E-2</v>
      </c>
      <c r="O2995">
        <v>-0.92709940000000002</v>
      </c>
      <c r="P2995">
        <v>0.35603200000000002</v>
      </c>
      <c r="Q2995">
        <v>0.33697250000000001</v>
      </c>
      <c r="R2995">
        <v>-0.871602399999999</v>
      </c>
      <c r="S2995">
        <v>0.73779300000000003</v>
      </c>
      <c r="T2995">
        <v>-0.25893690000000003</v>
      </c>
      <c r="U2995">
        <v>-3.2411799999999999</v>
      </c>
      <c r="V2995">
        <v>-2.5729469999999999E-3</v>
      </c>
      <c r="W2995">
        <v>0.35192119999999999</v>
      </c>
      <c r="X2995">
        <v>0.93602609999999997</v>
      </c>
      <c r="Y2995">
        <v>0.159611</v>
      </c>
      <c r="Z2995">
        <v>5.448629E-2</v>
      </c>
      <c r="AA2995">
        <v>0.98567519999999997</v>
      </c>
      <c r="AB2995">
        <v>8</v>
      </c>
      <c r="AC2995">
        <v>0.15539999999998599</v>
      </c>
      <c r="AD2995">
        <v>-6.3004999999999894E-2</v>
      </c>
      <c r="AE2995">
        <v>-0.71739999999999704</v>
      </c>
      <c r="AF2995">
        <v>0.123683603486844</v>
      </c>
      <c r="AG2995">
        <v>-6.3004999999999894E-2</v>
      </c>
      <c r="AH2995">
        <v>0.71809603080598605</v>
      </c>
      <c r="AI2995">
        <v>94.941833547473493</v>
      </c>
      <c r="AJ2995">
        <v>80.2273607944839</v>
      </c>
      <c r="AK2995">
        <v>0.73138852414828204</v>
      </c>
      <c r="AL2995">
        <v>69.395130723068704</v>
      </c>
      <c r="AM2995">
        <v>90.157494147565401</v>
      </c>
      <c r="AN2995">
        <v>1.0000000054734499</v>
      </c>
    </row>
    <row r="2996" spans="1:40" x14ac:dyDescent="0.25">
      <c r="A2996" t="str">
        <f>"20190304164147147"</f>
        <v>20190304164147147</v>
      </c>
      <c r="B2996" t="str">
        <f>"1551688907133901"</f>
        <v>1551688907133901</v>
      </c>
      <c r="C2996" t="s">
        <v>40</v>
      </c>
      <c r="D2996">
        <v>4.6900700000000004</v>
      </c>
      <c r="E2996">
        <v>0.57353529999999997</v>
      </c>
      <c r="F2996" t="s">
        <v>41</v>
      </c>
      <c r="G2996">
        <v>-497.46870000000001</v>
      </c>
      <c r="H2996">
        <v>1.0339419999999999</v>
      </c>
      <c r="I2996">
        <v>260.01620000000003</v>
      </c>
      <c r="J2996">
        <v>-497.6232</v>
      </c>
      <c r="K2996">
        <v>1.1121219999999901</v>
      </c>
      <c r="L2996">
        <v>260.71370000000002</v>
      </c>
      <c r="M2996">
        <v>0.37010080000000001</v>
      </c>
      <c r="N2996">
        <v>-1.5599770000000001E-2</v>
      </c>
      <c r="O2996">
        <v>-0.92886069999999998</v>
      </c>
      <c r="P2996">
        <v>0.35236040000000002</v>
      </c>
      <c r="Q2996">
        <v>0.33664939999999999</v>
      </c>
      <c r="R2996">
        <v>-0.8732181</v>
      </c>
      <c r="S2996">
        <v>0.75616459999999996</v>
      </c>
      <c r="T2996">
        <v>-0.32908690000000002</v>
      </c>
      <c r="U2996">
        <v>-3.260284</v>
      </c>
      <c r="V2996">
        <v>-3.042346E-3</v>
      </c>
      <c r="W2996">
        <v>0.35130830000000002</v>
      </c>
      <c r="X2996">
        <v>0.9362549</v>
      </c>
      <c r="Y2996">
        <v>0.1511942</v>
      </c>
      <c r="Z2996">
        <v>7.3300779999999996E-2</v>
      </c>
      <c r="AA2996">
        <v>0.98578259999999995</v>
      </c>
      <c r="AB2996">
        <v>8</v>
      </c>
      <c r="AC2996">
        <v>0.15449999999998401</v>
      </c>
      <c r="AD2996">
        <v>-7.8179999999999902E-2</v>
      </c>
      <c r="AE2996">
        <v>-0.69749999999999002</v>
      </c>
      <c r="AF2996">
        <v>0.11329350379932</v>
      </c>
      <c r="AG2996">
        <v>-7.8179999999999902E-2</v>
      </c>
      <c r="AH2996">
        <v>0.69680197542909195</v>
      </c>
      <c r="AI2996">
        <v>96.319416488366997</v>
      </c>
      <c r="AJ2996">
        <v>80.765052171097594</v>
      </c>
      <c r="AK2996">
        <v>0.71026792364924596</v>
      </c>
      <c r="AL2996">
        <v>69.432642684938997</v>
      </c>
      <c r="AM2996">
        <v>90.1861811052608</v>
      </c>
      <c r="AN2996">
        <v>1.00000000764604</v>
      </c>
    </row>
    <row r="2997" spans="1:40" x14ac:dyDescent="0.25">
      <c r="A2997" t="str">
        <f>"20190304164147170"</f>
        <v>20190304164147170</v>
      </c>
      <c r="B2997" t="str">
        <f>"1551688907164157"</f>
        <v>1551688907164157</v>
      </c>
      <c r="C2997" t="s">
        <v>40</v>
      </c>
      <c r="D2997">
        <v>5.1121499999999997</v>
      </c>
      <c r="E2997">
        <v>0.57307949999999996</v>
      </c>
      <c r="F2997" t="s">
        <v>41</v>
      </c>
      <c r="G2997">
        <v>-497.44499999999999</v>
      </c>
      <c r="H2997">
        <v>1.0320959999999999</v>
      </c>
      <c r="I2997">
        <v>259.94850000000002</v>
      </c>
      <c r="J2997">
        <v>-497.59769999999997</v>
      </c>
      <c r="K2997">
        <v>1.111748</v>
      </c>
      <c r="L2997">
        <v>260.63389999999998</v>
      </c>
      <c r="M2997">
        <v>0.36549290000000001</v>
      </c>
      <c r="N2997">
        <v>-1.5222799999999899E-2</v>
      </c>
      <c r="O2997">
        <v>-0.93068980000000001</v>
      </c>
      <c r="P2997">
        <v>0.34917300000000001</v>
      </c>
      <c r="Q2997">
        <v>0.33440180000000003</v>
      </c>
      <c r="R2997">
        <v>-0.87535940000000001</v>
      </c>
      <c r="S2997">
        <v>0.75888059999999902</v>
      </c>
      <c r="T2997">
        <v>-0.341416</v>
      </c>
      <c r="U2997">
        <v>-3.2609560000000002</v>
      </c>
      <c r="V2997">
        <v>-3.9991699999999998E-3</v>
      </c>
      <c r="W2997">
        <v>0.3487229</v>
      </c>
      <c r="X2997">
        <v>0.93721739999999998</v>
      </c>
      <c r="Y2997">
        <v>0.1456316</v>
      </c>
      <c r="Z2997">
        <v>7.7221079999999998E-2</v>
      </c>
      <c r="AA2997">
        <v>0.98632059999999999</v>
      </c>
      <c r="AB2997">
        <v>8</v>
      </c>
      <c r="AC2997">
        <v>0.15269999999998099</v>
      </c>
      <c r="AD2997">
        <v>-7.9652000000000001E-2</v>
      </c>
      <c r="AE2997">
        <v>-0.68539999999995804</v>
      </c>
      <c r="AF2997">
        <v>0.107027951071755</v>
      </c>
      <c r="AG2997">
        <v>-7.9652000000000001E-2</v>
      </c>
      <c r="AH2997">
        <v>0.68497251516493296</v>
      </c>
      <c r="AI2997">
        <v>96.554027631849095</v>
      </c>
      <c r="AJ2997">
        <v>81.119259557291102</v>
      </c>
      <c r="AK2997">
        <v>0.69784437372955399</v>
      </c>
      <c r="AL2997">
        <v>69.590779307039</v>
      </c>
      <c r="AM2997">
        <v>90.244483480439698</v>
      </c>
      <c r="AN2997">
        <v>1.0000000546039201</v>
      </c>
    </row>
    <row r="2998" spans="1:40" x14ac:dyDescent="0.25">
      <c r="A2998" t="str">
        <f>"20190304164147193"</f>
        <v>20190304164147193</v>
      </c>
      <c r="B2998" t="str">
        <f>"1551688907183676"</f>
        <v>1551688907183676</v>
      </c>
      <c r="C2998" t="s">
        <v>40</v>
      </c>
      <c r="D2998">
        <v>4.6176649999999997</v>
      </c>
      <c r="E2998">
        <v>0.54789409999999905</v>
      </c>
      <c r="F2998" t="s">
        <v>41</v>
      </c>
      <c r="G2998">
        <v>-497.42340000000002</v>
      </c>
      <c r="H2998">
        <v>1.030975</v>
      </c>
      <c r="I2998">
        <v>259.87869999999998</v>
      </c>
      <c r="J2998">
        <v>-497.57209999999998</v>
      </c>
      <c r="K2998">
        <v>1.111335</v>
      </c>
      <c r="L2998">
        <v>260.55180000000001</v>
      </c>
      <c r="M2998">
        <v>0.3607031</v>
      </c>
      <c r="N2998">
        <v>-1.4676399999999999E-2</v>
      </c>
      <c r="O2998">
        <v>-0.93256530000000004</v>
      </c>
      <c r="P2998">
        <v>0.34829490000000002</v>
      </c>
      <c r="Q2998">
        <v>0.332132599999999</v>
      </c>
      <c r="R2998">
        <v>-0.87657220000000002</v>
      </c>
      <c r="S2998">
        <v>0.75332639999999995</v>
      </c>
      <c r="T2998">
        <v>-0.347282599999999</v>
      </c>
      <c r="U2998">
        <v>-3.2593079999999999</v>
      </c>
      <c r="V2998">
        <v>-7.6040630000000003E-3</v>
      </c>
      <c r="W2998">
        <v>0.34596359999999998</v>
      </c>
      <c r="X2998">
        <v>0.93821710000000003</v>
      </c>
      <c r="Y2998">
        <v>0.14207729999999999</v>
      </c>
      <c r="Z2998">
        <v>7.9667680000000005E-2</v>
      </c>
      <c r="AA2998">
        <v>0.98664439999999998</v>
      </c>
      <c r="AB2998">
        <v>8</v>
      </c>
      <c r="AC2998">
        <v>0.148699999999962</v>
      </c>
      <c r="AD2998">
        <v>-8.0359999999999904E-2</v>
      </c>
      <c r="AE2998">
        <v>-0.67310000000003301</v>
      </c>
      <c r="AF2998">
        <v>0.102731856137428</v>
      </c>
      <c r="AG2998">
        <v>-8.0359999999999904E-2</v>
      </c>
      <c r="AH2998">
        <v>0.67228312567959903</v>
      </c>
      <c r="AI2998">
        <v>96.738898893910701</v>
      </c>
      <c r="AJ2998">
        <v>81.311818711774606</v>
      </c>
      <c r="AK2998">
        <v>0.68481834448193102</v>
      </c>
      <c r="AL2998">
        <v>69.7593710004722</v>
      </c>
      <c r="AM2998">
        <v>90.464360730359104</v>
      </c>
      <c r="AN2998">
        <v>0.99999998051573802</v>
      </c>
    </row>
    <row r="2999" spans="1:40" x14ac:dyDescent="0.25">
      <c r="A2999" t="str">
        <f>"20190304164147215"</f>
        <v>20190304164147215</v>
      </c>
      <c r="B2999" t="str">
        <f>"1551688907204173"</f>
        <v>1551688907204173</v>
      </c>
      <c r="C2999" t="s">
        <v>40</v>
      </c>
      <c r="D2999">
        <v>4.5823839999999896</v>
      </c>
      <c r="E2999">
        <v>0.49516860000000001</v>
      </c>
      <c r="F2999" t="s">
        <v>41</v>
      </c>
      <c r="G2999">
        <v>-497.35899999999998</v>
      </c>
      <c r="H2999">
        <v>1.0282199999999999</v>
      </c>
      <c r="I2999">
        <v>259.82569999999998</v>
      </c>
      <c r="J2999">
        <v>-497.54820000000001</v>
      </c>
      <c r="K2999">
        <v>1.1110519999999999</v>
      </c>
      <c r="L2999">
        <v>260.4744</v>
      </c>
      <c r="M2999">
        <v>0.35621360000000002</v>
      </c>
      <c r="N2999">
        <v>-1.4251069999999999E-2</v>
      </c>
      <c r="O2999">
        <v>-0.93429580000000001</v>
      </c>
      <c r="P2999">
        <v>0.348145599999999</v>
      </c>
      <c r="Q2999">
        <v>0.33050429999999997</v>
      </c>
      <c r="R2999">
        <v>-0.87724659999999999</v>
      </c>
      <c r="S2999">
        <v>0.93572999999999995</v>
      </c>
      <c r="T2999">
        <v>-0.36488680000000001</v>
      </c>
      <c r="U2999">
        <v>-3.1888730000000001</v>
      </c>
      <c r="V2999">
        <v>-1.179622E-2</v>
      </c>
      <c r="W2999">
        <v>0.34395530000000002</v>
      </c>
      <c r="X2999">
        <v>0.93891190000000002</v>
      </c>
      <c r="Y2999">
        <v>7.9814969999999999E-2</v>
      </c>
      <c r="Z2999">
        <v>8.7005470000000001E-2</v>
      </c>
      <c r="AA2999">
        <v>0.99300529999999998</v>
      </c>
      <c r="AB2999">
        <v>8</v>
      </c>
      <c r="AC2999">
        <v>0.189199999999971</v>
      </c>
      <c r="AD2999">
        <v>-8.2832000000000003E-2</v>
      </c>
      <c r="AE2999">
        <v>-0.64870000000001904</v>
      </c>
      <c r="AF2999">
        <v>5.3508480941231798E-2</v>
      </c>
      <c r="AG2999">
        <v>-8.2832000000000003E-2</v>
      </c>
      <c r="AH2999">
        <v>0.66357072161469799</v>
      </c>
      <c r="AI2999">
        <v>97.092509303593701</v>
      </c>
      <c r="AJ2999">
        <v>85.389804230094498</v>
      </c>
      <c r="AK2999">
        <v>0.67085795839424101</v>
      </c>
      <c r="AL2999">
        <v>69.881963088020498</v>
      </c>
      <c r="AM2999">
        <v>90.719809879987807</v>
      </c>
      <c r="AN2999">
        <v>0.99999997758299397</v>
      </c>
    </row>
    <row r="3000" spans="1:40" x14ac:dyDescent="0.25">
      <c r="A3000" t="str">
        <f>"20190304164147237"</f>
        <v>20190304164147237</v>
      </c>
      <c r="B3000" t="str">
        <f>"1551688907223692"</f>
        <v>1551688907223692</v>
      </c>
      <c r="C3000" t="s">
        <v>40</v>
      </c>
      <c r="D3000">
        <v>4.5120550000000001</v>
      </c>
      <c r="E3000">
        <v>0.49477450000000001</v>
      </c>
      <c r="F3000" t="s">
        <v>42</v>
      </c>
      <c r="G3000">
        <v>-492.70389999999998</v>
      </c>
      <c r="H3000" s="1">
        <v>-4.6753820000000001E-6</v>
      </c>
      <c r="I3000">
        <v>249.31620000000001</v>
      </c>
      <c r="J3000">
        <v>-497.52429999999998</v>
      </c>
      <c r="K3000">
        <v>1.1109</v>
      </c>
      <c r="L3000">
        <v>260.39530000000002</v>
      </c>
      <c r="M3000">
        <v>0.3517014</v>
      </c>
      <c r="N3000">
        <v>-1.3999060000000001E-2</v>
      </c>
      <c r="O3000">
        <v>-0.93600760000000005</v>
      </c>
      <c r="P3000">
        <v>0.3473194</v>
      </c>
      <c r="Q3000">
        <v>0.3298565</v>
      </c>
      <c r="R3000">
        <v>-0.87781799999999999</v>
      </c>
      <c r="S3000">
        <v>1.3083499999999999</v>
      </c>
      <c r="T3000">
        <v>-0.30007099999999998</v>
      </c>
      <c r="U3000">
        <v>-3.0135800000000001</v>
      </c>
      <c r="V3000">
        <v>-1.5448419999999999E-2</v>
      </c>
      <c r="W3000">
        <v>0.34307989999999999</v>
      </c>
      <c r="X3000">
        <v>0.93917919999999999</v>
      </c>
      <c r="Y3000">
        <v>-4.8979170000000002E-2</v>
      </c>
      <c r="Z3000">
        <v>7.3010859999999997E-2</v>
      </c>
      <c r="AA3000">
        <v>0.99612769999999995</v>
      </c>
      <c r="AB3000">
        <v>8</v>
      </c>
      <c r="AC3000">
        <v>4.8204000000000002</v>
      </c>
      <c r="AD3000">
        <v>-1.110904675382</v>
      </c>
      <c r="AE3000">
        <v>-11.0791</v>
      </c>
      <c r="AF3000">
        <v>-0.61029700946818299</v>
      </c>
      <c r="AG3000">
        <v>-1.110904675382</v>
      </c>
      <c r="AH3000">
        <v>11.965491288894</v>
      </c>
      <c r="AI3000">
        <v>95.297424063234203</v>
      </c>
      <c r="AJ3000">
        <v>92.919827264800702</v>
      </c>
      <c r="AK3000">
        <v>12.032437551142699</v>
      </c>
      <c r="AL3000">
        <v>69.935370717559707</v>
      </c>
      <c r="AM3000">
        <v>90.942364833936296</v>
      </c>
      <c r="AN3000">
        <v>1.00000002058857</v>
      </c>
    </row>
    <row r="3001" spans="1:40" x14ac:dyDescent="0.25">
      <c r="A3001" t="str">
        <f>"20190304164147260"</f>
        <v>20190304164147260</v>
      </c>
      <c r="B3001" t="str">
        <f>"1551688907253950"</f>
        <v>1551688907253950</v>
      </c>
      <c r="C3001" t="s">
        <v>40</v>
      </c>
      <c r="D3001">
        <v>4.4759580000000003</v>
      </c>
      <c r="E3001">
        <v>0.4954153</v>
      </c>
      <c r="F3001" t="s">
        <v>42</v>
      </c>
      <c r="G3001">
        <v>-492.68849999999998</v>
      </c>
      <c r="H3001" s="1">
        <v>-4.6392399999999998E-6</v>
      </c>
      <c r="I3001">
        <v>249.21799999999999</v>
      </c>
      <c r="J3001">
        <v>-497.49950000000001</v>
      </c>
      <c r="K3001">
        <v>1.1108119999999999</v>
      </c>
      <c r="L3001">
        <v>260.31240000000003</v>
      </c>
      <c r="M3001">
        <v>0.34703620000000002</v>
      </c>
      <c r="N3001">
        <v>-1.3807740000000001E-2</v>
      </c>
      <c r="O3001">
        <v>-0.93775010000000003</v>
      </c>
      <c r="P3001">
        <v>0.34728039999999999</v>
      </c>
      <c r="Q3001">
        <v>0.3302504</v>
      </c>
      <c r="R3001">
        <v>-0.87768519999999906</v>
      </c>
      <c r="S3001">
        <v>1.3040769999999999</v>
      </c>
      <c r="T3001">
        <v>-0.29958109999999999</v>
      </c>
      <c r="U3001">
        <v>-3.014221</v>
      </c>
      <c r="V3001">
        <v>-2.0245920000000001E-2</v>
      </c>
      <c r="W3001">
        <v>0.34329890000000002</v>
      </c>
      <c r="X3001">
        <v>0.93900799999999995</v>
      </c>
      <c r="Y3001">
        <v>-5.2679230000000001E-2</v>
      </c>
      <c r="Z3001">
        <v>7.3266399999999995E-2</v>
      </c>
      <c r="AA3001">
        <v>0.99592009999999997</v>
      </c>
      <c r="AB3001">
        <v>8</v>
      </c>
      <c r="AC3001">
        <v>4.8110000000000301</v>
      </c>
      <c r="AD3001">
        <v>-1.1108166392399901</v>
      </c>
      <c r="AE3001">
        <v>-11.0944</v>
      </c>
      <c r="AF3001">
        <v>-0.65588593588273703</v>
      </c>
      <c r="AG3001">
        <v>-1.1108166392399901</v>
      </c>
      <c r="AH3001">
        <v>11.9734834799252</v>
      </c>
      <c r="AI3001">
        <v>95.292443580437407</v>
      </c>
      <c r="AJ3001">
        <v>93.135426369309698</v>
      </c>
      <c r="AK3001">
        <v>12.0427740413471</v>
      </c>
      <c r="AL3001">
        <v>69.922011747998198</v>
      </c>
      <c r="AM3001">
        <v>91.235161005884393</v>
      </c>
      <c r="AN3001">
        <v>1.00000002804092</v>
      </c>
    </row>
    <row r="3002" spans="1:40" x14ac:dyDescent="0.25">
      <c r="A3002" t="str">
        <f>"20190304164147283"</f>
        <v>20190304164147283</v>
      </c>
      <c r="B3002" t="str">
        <f>"1551688907274445"</f>
        <v>1551688907274445</v>
      </c>
      <c r="C3002" t="s">
        <v>40</v>
      </c>
      <c r="D3002">
        <v>4.4659300000000002</v>
      </c>
      <c r="E3002">
        <v>0.4954983</v>
      </c>
      <c r="F3002" t="s">
        <v>42</v>
      </c>
      <c r="G3002">
        <v>-492.64269999999999</v>
      </c>
      <c r="H3002" s="1">
        <v>-4.5498689999999996E-6</v>
      </c>
      <c r="I3002">
        <v>248.97929999999999</v>
      </c>
      <c r="J3002">
        <v>-497.47649999999999</v>
      </c>
      <c r="K3002">
        <v>1.110735</v>
      </c>
      <c r="L3002">
        <v>260.2346</v>
      </c>
      <c r="M3002">
        <v>0.3427095</v>
      </c>
      <c r="N3002">
        <v>-1.3588650000000001E-2</v>
      </c>
      <c r="O3002">
        <v>-0.93934320000000004</v>
      </c>
      <c r="P3002">
        <v>0.34987740000000001</v>
      </c>
      <c r="Q3002">
        <v>0.32945219999999997</v>
      </c>
      <c r="R3002">
        <v>-0.87695339999999999</v>
      </c>
      <c r="S3002">
        <v>1.2932429999999999</v>
      </c>
      <c r="T3002">
        <v>-0.29577740000000002</v>
      </c>
      <c r="U3002">
        <v>-3.0176699999999999</v>
      </c>
      <c r="V3002">
        <v>-2.735899E-2</v>
      </c>
      <c r="W3002">
        <v>0.34230759999999899</v>
      </c>
      <c r="X3002">
        <v>0.93918959999999996</v>
      </c>
      <c r="Y3002">
        <v>-5.3876430000000003E-2</v>
      </c>
      <c r="Z3002">
        <v>7.2542990000000002E-2</v>
      </c>
      <c r="AA3002">
        <v>0.99590900000000004</v>
      </c>
      <c r="AB3002">
        <v>8</v>
      </c>
      <c r="AC3002">
        <v>4.8337999999999903</v>
      </c>
      <c r="AD3002">
        <v>-1.110739549869</v>
      </c>
      <c r="AE3002">
        <v>-11.2553</v>
      </c>
      <c r="AF3002">
        <v>-0.67778896678450196</v>
      </c>
      <c r="AG3002">
        <v>-1.110739549869</v>
      </c>
      <c r="AH3002">
        <v>12.130565547196699</v>
      </c>
      <c r="AI3002">
        <v>95.223617273276105</v>
      </c>
      <c r="AJ3002">
        <v>93.198046243024507</v>
      </c>
      <c r="AK3002">
        <v>12.200154127140101</v>
      </c>
      <c r="AL3002">
        <v>69.9824731282324</v>
      </c>
      <c r="AM3002">
        <v>91.668578405311393</v>
      </c>
      <c r="AN3002">
        <v>1.0000000560498601</v>
      </c>
    </row>
    <row r="3003" spans="1:40" x14ac:dyDescent="0.25">
      <c r="A3003" t="str">
        <f>"20190304164147304"</f>
        <v>20190304164147304</v>
      </c>
      <c r="B3003" t="str">
        <f>"1551688907293965"</f>
        <v>1551688907293965</v>
      </c>
      <c r="C3003" t="s">
        <v>40</v>
      </c>
      <c r="D3003">
        <v>4.4493460000000002</v>
      </c>
      <c r="E3003">
        <v>0.49579780000000001</v>
      </c>
      <c r="F3003" t="s">
        <v>42</v>
      </c>
      <c r="G3003">
        <v>-492.62139999999999</v>
      </c>
      <c r="H3003" s="1">
        <v>-4.5237649999999999E-6</v>
      </c>
      <c r="I3003">
        <v>248.91370000000001</v>
      </c>
      <c r="J3003">
        <v>-497.45409999999998</v>
      </c>
      <c r="K3003">
        <v>1.110646</v>
      </c>
      <c r="L3003">
        <v>260.15750000000003</v>
      </c>
      <c r="M3003">
        <v>0.33850849999999999</v>
      </c>
      <c r="N3003">
        <v>-1.336275E-2</v>
      </c>
      <c r="O3003">
        <v>-0.94086860000000005</v>
      </c>
      <c r="P3003">
        <v>0.35009570000000001</v>
      </c>
      <c r="Q3003">
        <v>0.32947349999999997</v>
      </c>
      <c r="R3003">
        <v>-0.87685840000000004</v>
      </c>
      <c r="S3003">
        <v>1.2934570000000001</v>
      </c>
      <c r="T3003">
        <v>-0.29591309999999998</v>
      </c>
      <c r="U3003">
        <v>-3.016022</v>
      </c>
      <c r="V3003">
        <v>-3.1861760000000003E-2</v>
      </c>
      <c r="W3003">
        <v>0.34212029999999999</v>
      </c>
      <c r="X3003">
        <v>0.93911579999999995</v>
      </c>
      <c r="Y3003">
        <v>-5.8580460000000001E-2</v>
      </c>
      <c r="Z3003">
        <v>7.3015090000000005E-2</v>
      </c>
      <c r="AA3003">
        <v>0.99560890000000002</v>
      </c>
      <c r="AB3003">
        <v>8</v>
      </c>
      <c r="AC3003">
        <v>4.8326999999999796</v>
      </c>
      <c r="AD3003">
        <v>-1.110650523765</v>
      </c>
      <c r="AE3003">
        <v>-11.2438</v>
      </c>
      <c r="AF3003">
        <v>-0.73482794403310003</v>
      </c>
      <c r="AG3003">
        <v>-1.110650523765</v>
      </c>
      <c r="AH3003">
        <v>12.116150912313101</v>
      </c>
      <c r="AI3003">
        <v>95.227939158235401</v>
      </c>
      <c r="AJ3003">
        <v>93.470659327645706</v>
      </c>
      <c r="AK3003">
        <v>12.1891193128633</v>
      </c>
      <c r="AL3003">
        <v>69.993892593053005</v>
      </c>
      <c r="AM3003">
        <v>91.943151650637702</v>
      </c>
      <c r="AN3003">
        <v>0.99999997861601297</v>
      </c>
    </row>
    <row r="3004" spans="1:40" x14ac:dyDescent="0.25">
      <c r="A3004" t="str">
        <f>"20190304164147327"</f>
        <v>20190304164147327</v>
      </c>
      <c r="B3004" t="str">
        <f>"1551688907313484"</f>
        <v>1551688907313484</v>
      </c>
      <c r="C3004" t="s">
        <v>40</v>
      </c>
      <c r="D3004">
        <v>4.458113</v>
      </c>
      <c r="E3004">
        <v>0.49603720000000001</v>
      </c>
      <c r="F3004" t="s">
        <v>42</v>
      </c>
      <c r="G3004">
        <v>-492.59059999999999</v>
      </c>
      <c r="H3004" s="1">
        <v>-4.4612959999999998E-6</v>
      </c>
      <c r="I3004">
        <v>248.74619999999999</v>
      </c>
      <c r="J3004">
        <v>-497.43110000000001</v>
      </c>
      <c r="K3004">
        <v>1.110552</v>
      </c>
      <c r="L3004">
        <v>260.07780000000002</v>
      </c>
      <c r="M3004">
        <v>0.33425909999999998</v>
      </c>
      <c r="N3004">
        <v>-1.318039E-2</v>
      </c>
      <c r="O3004">
        <v>-0.94238920000000004</v>
      </c>
      <c r="P3004">
        <v>0.35204289999999999</v>
      </c>
      <c r="Q3004">
        <v>0.33025349999999998</v>
      </c>
      <c r="R3004">
        <v>-0.87578459999999902</v>
      </c>
      <c r="S3004">
        <v>1.2862849999999999</v>
      </c>
      <c r="T3004">
        <v>-0.29374359999999999</v>
      </c>
      <c r="U3004">
        <v>-3.0180660000000001</v>
      </c>
      <c r="V3004">
        <v>-3.834278E-2</v>
      </c>
      <c r="W3004">
        <v>0.34273229999999999</v>
      </c>
      <c r="X3004">
        <v>0.93865030000000005</v>
      </c>
      <c r="Y3004">
        <v>-6.0851139999999998E-2</v>
      </c>
      <c r="Z3004">
        <v>7.2727719999999996E-2</v>
      </c>
      <c r="AA3004">
        <v>0.99549379999999998</v>
      </c>
      <c r="AB3004">
        <v>8</v>
      </c>
      <c r="AC3004">
        <v>4.84050000000002</v>
      </c>
      <c r="AD3004">
        <v>-1.1105564612959999</v>
      </c>
      <c r="AE3004">
        <v>-11.3316</v>
      </c>
      <c r="AF3004">
        <v>-0.767775122695042</v>
      </c>
      <c r="AG3004">
        <v>-1.1105564612959999</v>
      </c>
      <c r="AH3004">
        <v>12.198736868290499</v>
      </c>
      <c r="AI3004">
        <v>95.191574572246694</v>
      </c>
      <c r="AJ3004">
        <v>93.601383158187204</v>
      </c>
      <c r="AK3004">
        <v>12.2732227012528</v>
      </c>
      <c r="AL3004">
        <v>69.956571583334707</v>
      </c>
      <c r="AM3004">
        <v>92.339165891470699</v>
      </c>
      <c r="AN3004">
        <v>0.99999999196575395</v>
      </c>
    </row>
    <row r="3005" spans="1:40" x14ac:dyDescent="0.25">
      <c r="A3005" t="str">
        <f>"20190304164147352"</f>
        <v>20190304164147352</v>
      </c>
      <c r="B3005" t="str">
        <f>"1551688907343740"</f>
        <v>1551688907343740</v>
      </c>
      <c r="C3005" t="s">
        <v>40</v>
      </c>
      <c r="D3005">
        <v>4.4602209999999998</v>
      </c>
      <c r="E3005">
        <v>0.4962222</v>
      </c>
      <c r="F3005" t="s">
        <v>42</v>
      </c>
      <c r="G3005">
        <v>-492.50400000000002</v>
      </c>
      <c r="H3005" s="1">
        <v>-4.3640710000000001E-6</v>
      </c>
      <c r="I3005">
        <v>248.50559999999999</v>
      </c>
      <c r="J3005">
        <v>-497.40629999999999</v>
      </c>
      <c r="K3005">
        <v>1.1104579999999999</v>
      </c>
      <c r="L3005">
        <v>259.99029999999999</v>
      </c>
      <c r="M3005">
        <v>0.32966790000000001</v>
      </c>
      <c r="N3005">
        <v>-1.303697E-2</v>
      </c>
      <c r="O3005">
        <v>-0.94400700000000004</v>
      </c>
      <c r="P3005">
        <v>0.35312300000000002</v>
      </c>
      <c r="Q3005">
        <v>0.33051619999999998</v>
      </c>
      <c r="R3005">
        <v>-0.87525039999999998</v>
      </c>
      <c r="S3005">
        <v>1.285034</v>
      </c>
      <c r="T3005">
        <v>-0.28964440000000002</v>
      </c>
      <c r="U3005">
        <v>-3.0181580000000001</v>
      </c>
      <c r="V3005">
        <v>-4.4151160000000002E-2</v>
      </c>
      <c r="W3005">
        <v>0.34286440000000001</v>
      </c>
      <c r="X3005">
        <v>0.93834680000000004</v>
      </c>
      <c r="Y3005">
        <v>-6.5375039999999995E-2</v>
      </c>
      <c r="Z3005">
        <v>7.1875330000000001E-2</v>
      </c>
      <c r="AA3005">
        <v>0.99526879999999995</v>
      </c>
      <c r="AB3005">
        <v>8</v>
      </c>
      <c r="AC3005">
        <v>4.9022999999999604</v>
      </c>
      <c r="AD3005">
        <v>-1.1104623640710001</v>
      </c>
      <c r="AE3005">
        <v>-11.4847</v>
      </c>
      <c r="AF3005">
        <v>-0.83513568849337205</v>
      </c>
      <c r="AG3005">
        <v>-1.1104623640710001</v>
      </c>
      <c r="AH3005">
        <v>12.361072942129899</v>
      </c>
      <c r="AI3005">
        <v>95.121797468706404</v>
      </c>
      <c r="AJ3005">
        <v>93.865129217804494</v>
      </c>
      <c r="AK3005">
        <v>12.4389188662387</v>
      </c>
      <c r="AL3005">
        <v>69.948515205724405</v>
      </c>
      <c r="AM3005">
        <v>92.6938982375775</v>
      </c>
      <c r="AN3005">
        <v>1.0000000193934699</v>
      </c>
    </row>
    <row r="3006" spans="1:40" x14ac:dyDescent="0.25">
      <c r="A3006" t="str">
        <f>"20190304164147372"</f>
        <v>20190304164147372</v>
      </c>
      <c r="B3006" t="str">
        <f>"1551688907364237"</f>
        <v>1551688907364237</v>
      </c>
      <c r="C3006" t="s">
        <v>40</v>
      </c>
      <c r="D3006">
        <v>4.4564690000000002</v>
      </c>
      <c r="E3006">
        <v>0.49631639999999999</v>
      </c>
      <c r="F3006" t="s">
        <v>42</v>
      </c>
      <c r="G3006">
        <v>-492.43900000000002</v>
      </c>
      <c r="H3006" s="1">
        <v>-4.2860640000000002E-6</v>
      </c>
      <c r="I3006">
        <v>248.31030000000001</v>
      </c>
      <c r="J3006">
        <v>-497.38589999999999</v>
      </c>
      <c r="K3006">
        <v>1.110385</v>
      </c>
      <c r="L3006">
        <v>259.9178</v>
      </c>
      <c r="M3006">
        <v>0.32589960000000001</v>
      </c>
      <c r="N3006">
        <v>-1.293388E-2</v>
      </c>
      <c r="O3006">
        <v>-0.94531600000000005</v>
      </c>
      <c r="P3006">
        <v>0.35498570000000002</v>
      </c>
      <c r="Q3006">
        <v>0.32954020000000001</v>
      </c>
      <c r="R3006">
        <v>-0.8748648</v>
      </c>
      <c r="S3006">
        <v>1.283539</v>
      </c>
      <c r="T3006">
        <v>-0.28694150000000002</v>
      </c>
      <c r="U3006">
        <v>-3.018097</v>
      </c>
      <c r="V3006">
        <v>-4.9813959999999997E-2</v>
      </c>
      <c r="W3006">
        <v>0.34180120000000003</v>
      </c>
      <c r="X3006">
        <v>0.93845109999999998</v>
      </c>
      <c r="Y3006">
        <v>-6.8960610000000006E-2</v>
      </c>
      <c r="Z3006">
        <v>7.1351680000000001E-2</v>
      </c>
      <c r="AA3006">
        <v>0.99506450000000002</v>
      </c>
      <c r="AB3006">
        <v>8</v>
      </c>
      <c r="AC3006">
        <v>4.9468999999999701</v>
      </c>
      <c r="AD3006">
        <v>-1.1103892860639999</v>
      </c>
      <c r="AE3006">
        <v>-11.6074999999999</v>
      </c>
      <c r="AF3006">
        <v>-0.88671167218509395</v>
      </c>
      <c r="AG3006">
        <v>-1.1103892860639999</v>
      </c>
      <c r="AH3006">
        <v>12.4892771018378</v>
      </c>
      <c r="AI3006">
        <v>95.067970448142006</v>
      </c>
      <c r="AJ3006">
        <v>94.0610620964178</v>
      </c>
      <c r="AK3006">
        <v>12.569855388296499</v>
      </c>
      <c r="AL3006">
        <v>70.013348605164197</v>
      </c>
      <c r="AM3006">
        <v>93.038467956325306</v>
      </c>
      <c r="AN3006">
        <v>0.99999997901176496</v>
      </c>
    </row>
    <row r="3007" spans="1:40" x14ac:dyDescent="0.25">
      <c r="A3007" t="str">
        <f>"20190304164147394"</f>
        <v>20190304164147394</v>
      </c>
      <c r="B3007" t="str">
        <f>"1551688907383757"</f>
        <v>1551688907383757</v>
      </c>
      <c r="C3007" t="s">
        <v>40</v>
      </c>
      <c r="D3007">
        <v>4.4599710000000004</v>
      </c>
      <c r="E3007">
        <v>0.49640580000000001</v>
      </c>
      <c r="F3007" t="s">
        <v>42</v>
      </c>
      <c r="G3007">
        <v>-492.45760000000001</v>
      </c>
      <c r="H3007" s="1">
        <v>-4.3027259999999998E-6</v>
      </c>
      <c r="I3007">
        <v>248.34950000000001</v>
      </c>
      <c r="J3007">
        <v>-497.36410000000001</v>
      </c>
      <c r="K3007">
        <v>1.1103209999999999</v>
      </c>
      <c r="L3007">
        <v>259.83859999999999</v>
      </c>
      <c r="M3007">
        <v>0.32181789999999999</v>
      </c>
      <c r="N3007">
        <v>-1.282516E-2</v>
      </c>
      <c r="O3007">
        <v>-0.94671470000000002</v>
      </c>
      <c r="P3007">
        <v>0.35786839999999998</v>
      </c>
      <c r="Q3007">
        <v>0.3288046</v>
      </c>
      <c r="R3007">
        <v>-0.87396669999999999</v>
      </c>
      <c r="S3007">
        <v>1.2852170000000001</v>
      </c>
      <c r="T3007">
        <v>-0.2895663</v>
      </c>
      <c r="U3007">
        <v>-3.0167540000000002</v>
      </c>
      <c r="V3007">
        <v>-5.6912629999999999E-2</v>
      </c>
      <c r="W3007">
        <v>0.34097349999999998</v>
      </c>
      <c r="X3007">
        <v>0.93834859999999998</v>
      </c>
      <c r="Y3007">
        <v>-7.3859939999999999E-2</v>
      </c>
      <c r="Z3007">
        <v>7.2396189999999999E-2</v>
      </c>
      <c r="AA3007">
        <v>0.9946374</v>
      </c>
      <c r="AB3007">
        <v>8</v>
      </c>
      <c r="AC3007">
        <v>4.9064999999999896</v>
      </c>
      <c r="AD3007">
        <v>-1.1103253027259901</v>
      </c>
      <c r="AE3007">
        <v>-11.489099999999899</v>
      </c>
      <c r="AF3007">
        <v>-0.94030810670623399</v>
      </c>
      <c r="AG3007">
        <v>-1.1103253027259901</v>
      </c>
      <c r="AH3007">
        <v>12.359297985429199</v>
      </c>
      <c r="AI3007">
        <v>95.118799947127798</v>
      </c>
      <c r="AJ3007">
        <v>94.350740276241794</v>
      </c>
      <c r="AK3007">
        <v>12.444647375721299</v>
      </c>
      <c r="AL3007">
        <v>70.063804686752505</v>
      </c>
      <c r="AM3007">
        <v>93.470846320418801</v>
      </c>
      <c r="AN3007">
        <v>1.00000003513886</v>
      </c>
    </row>
    <row r="3008" spans="1:40" x14ac:dyDescent="0.25">
      <c r="A3008" t="str">
        <f>"20190304164147409"</f>
        <v>20190304164147409</v>
      </c>
      <c r="B3008" t="str">
        <f>"1551688907404253"</f>
        <v>1551688907404253</v>
      </c>
      <c r="C3008" t="s">
        <v>40</v>
      </c>
      <c r="D3008">
        <v>4.4638819999999999</v>
      </c>
      <c r="E3008">
        <v>0.49644139999999998</v>
      </c>
      <c r="F3008" t="s">
        <v>42</v>
      </c>
      <c r="G3008">
        <v>-492.4588</v>
      </c>
      <c r="H3008" s="1">
        <v>-4.3061579999999996E-6</v>
      </c>
      <c r="I3008">
        <v>248.35900000000001</v>
      </c>
      <c r="J3008">
        <v>-497.35019999999997</v>
      </c>
      <c r="K3008">
        <v>1.1102959999999999</v>
      </c>
      <c r="L3008">
        <v>259.7876</v>
      </c>
      <c r="M3008">
        <v>0.3192102</v>
      </c>
      <c r="N3008">
        <v>-1.276005E-2</v>
      </c>
      <c r="O3008">
        <v>-0.94759819999999995</v>
      </c>
      <c r="P3008">
        <v>0.35885549999999999</v>
      </c>
      <c r="Q3008">
        <v>0.32931899999999997</v>
      </c>
      <c r="R3008">
        <v>-0.87336819999999904</v>
      </c>
      <c r="S3008">
        <v>1.2882690000000001</v>
      </c>
      <c r="T3008">
        <v>-0.29160239999999998</v>
      </c>
      <c r="U3008">
        <v>-3.0148619999999999</v>
      </c>
      <c r="V3008">
        <v>-6.0641689999999998E-2</v>
      </c>
      <c r="W3008">
        <v>0.34142699999999998</v>
      </c>
      <c r="X3008">
        <v>0.93794999999999995</v>
      </c>
      <c r="Y3008">
        <v>-7.765698E-2</v>
      </c>
      <c r="Z3008">
        <v>7.3178919999999995E-2</v>
      </c>
      <c r="AA3008">
        <v>0.99429080000000003</v>
      </c>
      <c r="AB3008">
        <v>8</v>
      </c>
      <c r="AC3008">
        <v>4.8913999999999698</v>
      </c>
      <c r="AD3008">
        <v>-1.1103003061579999</v>
      </c>
      <c r="AE3008">
        <v>-11.4285999999999</v>
      </c>
      <c r="AF3008">
        <v>-0.97922499209099201</v>
      </c>
      <c r="AG3008">
        <v>-1.1103003061579999</v>
      </c>
      <c r="AH3008">
        <v>12.294041960717299</v>
      </c>
      <c r="AI3008">
        <v>95.144295814949004</v>
      </c>
      <c r="AJ3008">
        <v>94.554015780857299</v>
      </c>
      <c r="AK3008">
        <v>12.3828557322965</v>
      </c>
      <c r="AL3008">
        <v>70.036161654095196</v>
      </c>
      <c r="AM3008">
        <v>93.6992203992383</v>
      </c>
      <c r="AN3008">
        <v>1.0000000066975201</v>
      </c>
    </row>
    <row r="3009" spans="1:40" x14ac:dyDescent="0.25">
      <c r="A3009" t="str">
        <f>"20190304164147428"</f>
        <v>20190304164147428</v>
      </c>
      <c r="B3009" t="str">
        <f>"1551688907414014"</f>
        <v>1551688907414014</v>
      </c>
      <c r="C3009" t="s">
        <v>40</v>
      </c>
      <c r="D3009">
        <v>4.4658300000000004</v>
      </c>
      <c r="E3009">
        <v>0.4964383</v>
      </c>
      <c r="F3009" t="s">
        <v>42</v>
      </c>
      <c r="G3009">
        <v>-492.38490000000002</v>
      </c>
      <c r="H3009" s="1">
        <v>-4.2296990000000001E-6</v>
      </c>
      <c r="I3009">
        <v>248.1728</v>
      </c>
      <c r="J3009">
        <v>-497.33139999999997</v>
      </c>
      <c r="K3009">
        <v>1.1102700000000001</v>
      </c>
      <c r="L3009">
        <v>259.71800000000002</v>
      </c>
      <c r="M3009">
        <v>0.31567979999999901</v>
      </c>
      <c r="N3009">
        <v>-1.2681339999999999E-2</v>
      </c>
      <c r="O3009">
        <v>-0.94878119999999999</v>
      </c>
      <c r="P3009">
        <v>0.3617957</v>
      </c>
      <c r="Q3009">
        <v>0.330729299999999</v>
      </c>
      <c r="R3009">
        <v>-0.87162070000000003</v>
      </c>
      <c r="S3009">
        <v>1.2885439999999999</v>
      </c>
      <c r="T3009">
        <v>-0.28813509999999998</v>
      </c>
      <c r="U3009">
        <v>-3.01416</v>
      </c>
      <c r="V3009">
        <v>-6.7501220000000001E-2</v>
      </c>
      <c r="W3009">
        <v>0.34276139999999999</v>
      </c>
      <c r="X3009">
        <v>0.93699429999999995</v>
      </c>
      <c r="Y3009">
        <v>-8.1552299999999994E-2</v>
      </c>
      <c r="Z3009">
        <v>7.2397370000000003E-2</v>
      </c>
      <c r="AA3009">
        <v>0.99403609999999998</v>
      </c>
      <c r="AB3009">
        <v>8</v>
      </c>
      <c r="AC3009">
        <v>4.9464999999999497</v>
      </c>
      <c r="AD3009">
        <v>-1.110274229699</v>
      </c>
      <c r="AE3009">
        <v>-11.545199999999999</v>
      </c>
      <c r="AF3009">
        <v>-1.04051352010161</v>
      </c>
      <c r="AG3009">
        <v>-1.110274229699</v>
      </c>
      <c r="AH3009">
        <v>12.4193404667864</v>
      </c>
      <c r="AI3009">
        <v>95.0908518766214</v>
      </c>
      <c r="AJ3009">
        <v>94.789153379228694</v>
      </c>
      <c r="AK3009">
        <v>12.5122098320244</v>
      </c>
      <c r="AL3009">
        <v>69.954798092407998</v>
      </c>
      <c r="AM3009">
        <v>94.120478872174502</v>
      </c>
      <c r="AN3009">
        <v>1.0000000551319601</v>
      </c>
    </row>
    <row r="3010" spans="1:40" x14ac:dyDescent="0.25">
      <c r="A3010" t="str">
        <f>"20190304164147451"</f>
        <v>20190304164147451</v>
      </c>
      <c r="B3010" t="str">
        <f>"1551688907433533"</f>
        <v>1551688907433533</v>
      </c>
      <c r="C3010" t="s">
        <v>40</v>
      </c>
      <c r="D3010">
        <v>4.4588519999999896</v>
      </c>
      <c r="E3010">
        <v>0.49655369999999999</v>
      </c>
      <c r="F3010" t="s">
        <v>42</v>
      </c>
      <c r="G3010">
        <v>-492.24619999999999</v>
      </c>
      <c r="H3010" s="1">
        <v>-4.1138060000000001E-6</v>
      </c>
      <c r="I3010">
        <v>247.90459999999999</v>
      </c>
      <c r="J3010">
        <v>-497.3107</v>
      </c>
      <c r="K3010">
        <v>1.11025</v>
      </c>
      <c r="L3010">
        <v>259.64060000000001</v>
      </c>
      <c r="M3010">
        <v>0.31178410000000001</v>
      </c>
      <c r="N3010">
        <v>-1.2607749999999999E-2</v>
      </c>
      <c r="O3010">
        <v>-0.95006939999999995</v>
      </c>
      <c r="P3010">
        <v>0.36344650000000001</v>
      </c>
      <c r="Q3010">
        <v>0.3320495</v>
      </c>
      <c r="R3010">
        <v>-0.87043090000000001</v>
      </c>
      <c r="S3010">
        <v>1.2962039999999999</v>
      </c>
      <c r="T3010">
        <v>-0.28300879999999901</v>
      </c>
      <c r="U3010">
        <v>-3.0112610000000002</v>
      </c>
      <c r="V3010">
        <v>-7.3315489999999997E-2</v>
      </c>
      <c r="W3010">
        <v>0.34400770000000003</v>
      </c>
      <c r="X3010">
        <v>0.93610020000000005</v>
      </c>
      <c r="Y3010">
        <v>-8.8157390000000002E-2</v>
      </c>
      <c r="Z3010">
        <v>7.1148569999999994E-2</v>
      </c>
      <c r="AA3010">
        <v>0.99356230000000001</v>
      </c>
      <c r="AB3010">
        <v>8</v>
      </c>
      <c r="AC3010">
        <v>5.0644999999999998</v>
      </c>
      <c r="AD3010">
        <v>-1.110254113806</v>
      </c>
      <c r="AE3010">
        <v>-11.736000000000001</v>
      </c>
      <c r="AF3010">
        <v>-1.1439888267946801</v>
      </c>
      <c r="AG3010">
        <v>-1.110254113806</v>
      </c>
      <c r="AH3010">
        <v>12.6347314728378</v>
      </c>
      <c r="AI3010">
        <v>95.001508355543805</v>
      </c>
      <c r="AJ3010">
        <v>95.173635190805697</v>
      </c>
      <c r="AK3010">
        <v>12.7349053401968</v>
      </c>
      <c r="AL3010">
        <v>69.878766594995895</v>
      </c>
      <c r="AM3010">
        <v>94.478271233344302</v>
      </c>
      <c r="AN3010">
        <v>1.00000002158663</v>
      </c>
    </row>
    <row r="3011" spans="1:40" x14ac:dyDescent="0.25">
      <c r="A3011" t="str">
        <f>"20190304164147472"</f>
        <v>20190304164147472</v>
      </c>
      <c r="B3011" t="str">
        <f>"1551688907463789"</f>
        <v>1551688907463789</v>
      </c>
      <c r="C3011" t="s">
        <v>40</v>
      </c>
      <c r="D3011">
        <v>4.4291429999999998</v>
      </c>
      <c r="E3011">
        <v>0.4967839</v>
      </c>
      <c r="F3011" t="s">
        <v>42</v>
      </c>
      <c r="G3011">
        <v>-492.12580000000003</v>
      </c>
      <c r="H3011" s="1">
        <v>-4.0042949999999996E-6</v>
      </c>
      <c r="I3011">
        <v>247.6455</v>
      </c>
      <c r="J3011">
        <v>-497.29020000000003</v>
      </c>
      <c r="K3011">
        <v>1.110225</v>
      </c>
      <c r="L3011">
        <v>259.56270000000001</v>
      </c>
      <c r="M3011">
        <v>0.30789879999999997</v>
      </c>
      <c r="N3011">
        <v>-1.2543459999999999E-2</v>
      </c>
      <c r="O3011">
        <v>-0.95133650000000003</v>
      </c>
      <c r="P3011">
        <v>0.36559160000000002</v>
      </c>
      <c r="Q3011">
        <v>0.33268330000000002</v>
      </c>
      <c r="R3011">
        <v>-0.8692896</v>
      </c>
      <c r="S3011">
        <v>1.300934</v>
      </c>
      <c r="T3011">
        <v>-0.2785707</v>
      </c>
      <c r="U3011">
        <v>-3.0096440000000002</v>
      </c>
      <c r="V3011">
        <v>-7.9562569999999999E-2</v>
      </c>
      <c r="W3011">
        <v>0.34458030000000001</v>
      </c>
      <c r="X3011">
        <v>0.93537910000000002</v>
      </c>
      <c r="Y3011">
        <v>-9.3768400000000002E-2</v>
      </c>
      <c r="Z3011">
        <v>7.0065359999999993E-2</v>
      </c>
      <c r="AA3011">
        <v>0.99312560000000005</v>
      </c>
      <c r="AB3011">
        <v>8</v>
      </c>
      <c r="AC3011">
        <v>5.1643999999999997</v>
      </c>
      <c r="AD3011">
        <v>-1.110229004295</v>
      </c>
      <c r="AE3011">
        <v>-11.917199999999999</v>
      </c>
      <c r="AF3011">
        <v>-1.2348653543105801</v>
      </c>
      <c r="AG3011">
        <v>-1.110229004295</v>
      </c>
      <c r="AH3011">
        <v>12.8346146303595</v>
      </c>
      <c r="AI3011">
        <v>94.9213199600282</v>
      </c>
      <c r="AJ3011">
        <v>95.495720692700502</v>
      </c>
      <c r="AK3011">
        <v>12.9415931629414</v>
      </c>
      <c r="AL3011">
        <v>69.843820554151606</v>
      </c>
      <c r="AM3011">
        <v>94.861828782281705</v>
      </c>
      <c r="AN3011">
        <v>0.99999992320494901</v>
      </c>
    </row>
    <row r="3012" spans="1:40" x14ac:dyDescent="0.25">
      <c r="A3012" t="str">
        <f>"20190304164147495"</f>
        <v>20190304164147495</v>
      </c>
      <c r="B3012" t="str">
        <f>"1551688907484285"</f>
        <v>1551688907484285</v>
      </c>
      <c r="C3012" t="s">
        <v>40</v>
      </c>
      <c r="D3012">
        <v>4.4702659999999996</v>
      </c>
      <c r="E3012">
        <v>0.49678919999999999</v>
      </c>
      <c r="F3012" t="s">
        <v>42</v>
      </c>
      <c r="G3012">
        <v>-492.0421</v>
      </c>
      <c r="H3012" s="1">
        <v>-3.9175530000000002E-6</v>
      </c>
      <c r="I3012">
        <v>247.4545</v>
      </c>
      <c r="J3012">
        <v>-497.27010000000001</v>
      </c>
      <c r="K3012">
        <v>1.1102030000000001</v>
      </c>
      <c r="L3012">
        <v>259.4853</v>
      </c>
      <c r="M3012">
        <v>0.30407319999999999</v>
      </c>
      <c r="N3012">
        <v>-1.2485970000000001E-2</v>
      </c>
      <c r="O3012">
        <v>-0.95256689999999999</v>
      </c>
      <c r="P3012">
        <v>0.3690773</v>
      </c>
      <c r="Q3012">
        <v>0.33188899999999999</v>
      </c>
      <c r="R3012">
        <v>-0.86811949999999904</v>
      </c>
      <c r="S3012">
        <v>1.3038940000000001</v>
      </c>
      <c r="T3012">
        <v>-0.27583750000000001</v>
      </c>
      <c r="U3012">
        <v>-3.0083009999999999</v>
      </c>
      <c r="V3012">
        <v>-8.7025140000000001E-2</v>
      </c>
      <c r="W3012">
        <v>0.34373779999999998</v>
      </c>
      <c r="X3012">
        <v>0.93502459999999998</v>
      </c>
      <c r="Y3012">
        <v>-9.876923E-2</v>
      </c>
      <c r="Z3012">
        <v>6.9466780000000006E-2</v>
      </c>
      <c r="AA3012">
        <v>0.99268279999999998</v>
      </c>
      <c r="AB3012">
        <v>8</v>
      </c>
      <c r="AC3012">
        <v>5.2279999999999998</v>
      </c>
      <c r="AD3012">
        <v>-1.110206917553</v>
      </c>
      <c r="AE3012">
        <v>-12.030799999999999</v>
      </c>
      <c r="AF3012">
        <v>-1.3124775426028199</v>
      </c>
      <c r="AG3012">
        <v>-1.110206917553</v>
      </c>
      <c r="AH3012">
        <v>12.958034281221799</v>
      </c>
      <c r="AI3012">
        <v>94.872170779503904</v>
      </c>
      <c r="AJ3012">
        <v>95.783580782467396</v>
      </c>
      <c r="AK3012">
        <v>13.0715649075747</v>
      </c>
      <c r="AL3012">
        <v>69.895235132920405</v>
      </c>
      <c r="AM3012">
        <v>95.317346757746293</v>
      </c>
      <c r="AN3012">
        <v>1.000000026373</v>
      </c>
    </row>
    <row r="3013" spans="1:40" x14ac:dyDescent="0.25">
      <c r="A3013" t="str">
        <f>"20190304164147515"</f>
        <v>20190304164147515</v>
      </c>
      <c r="B3013" t="str">
        <f>"1551688907503805"</f>
        <v>1551688907503805</v>
      </c>
      <c r="C3013" t="s">
        <v>40</v>
      </c>
      <c r="D3013">
        <v>4.4006509999999999</v>
      </c>
      <c r="E3013">
        <v>0.47613929999999999</v>
      </c>
      <c r="F3013" t="s">
        <v>42</v>
      </c>
      <c r="G3013">
        <v>-492.03410000000002</v>
      </c>
      <c r="H3013" s="1">
        <v>-3.932468E-6</v>
      </c>
      <c r="I3013">
        <v>247.49420000000001</v>
      </c>
      <c r="J3013">
        <v>-497.2509</v>
      </c>
      <c r="K3013">
        <v>1.110179</v>
      </c>
      <c r="L3013">
        <v>259.41050000000001</v>
      </c>
      <c r="M3013">
        <v>0.30041899999999999</v>
      </c>
      <c r="N3013">
        <v>-1.2436590000000001E-2</v>
      </c>
      <c r="O3013">
        <v>-0.95372639999999997</v>
      </c>
      <c r="P3013">
        <v>0.372556</v>
      </c>
      <c r="Q3013">
        <v>0.33102769999999998</v>
      </c>
      <c r="R3013">
        <v>-0.8669618</v>
      </c>
      <c r="S3013">
        <v>1.31189</v>
      </c>
      <c r="T3013">
        <v>-0.278165</v>
      </c>
      <c r="U3013">
        <v>-3.0043950000000001</v>
      </c>
      <c r="V3013">
        <v>-9.4299820000000006E-2</v>
      </c>
      <c r="W3013">
        <v>0.34283580000000002</v>
      </c>
      <c r="X3013">
        <v>0.93465030000000004</v>
      </c>
      <c r="Y3013">
        <v>-0.1052449</v>
      </c>
      <c r="Z3013">
        <v>7.0364350000000006E-2</v>
      </c>
      <c r="AA3013">
        <v>0.9919538</v>
      </c>
      <c r="AB3013">
        <v>8</v>
      </c>
      <c r="AC3013">
        <v>5.2167999999999699</v>
      </c>
      <c r="AD3013">
        <v>-1.1101829324679999</v>
      </c>
      <c r="AE3013">
        <v>-11.9163</v>
      </c>
      <c r="AF3013">
        <v>-1.3855328150597099</v>
      </c>
      <c r="AG3013">
        <v>-1.1101829324679999</v>
      </c>
      <c r="AH3013">
        <v>12.839593726330699</v>
      </c>
      <c r="AI3013">
        <v>94.913437540375895</v>
      </c>
      <c r="AJ3013">
        <v>96.159009289292001</v>
      </c>
      <c r="AK3013">
        <v>12.961765866670399</v>
      </c>
      <c r="AL3013">
        <v>69.950259448956004</v>
      </c>
      <c r="AM3013">
        <v>95.761256129012096</v>
      </c>
      <c r="AN3013">
        <v>1.00000001255188</v>
      </c>
    </row>
    <row r="3014" spans="1:40" x14ac:dyDescent="0.25">
      <c r="A3014" t="str">
        <f>"20190304164147531"</f>
        <v>20190304164147531</v>
      </c>
      <c r="B3014" t="str">
        <f>"1551688907524301"</f>
        <v>1551688907524301</v>
      </c>
      <c r="C3014" t="s">
        <v>40</v>
      </c>
      <c r="D3014">
        <v>4.3999009999999998</v>
      </c>
      <c r="E3014">
        <v>0.47377750000000002</v>
      </c>
      <c r="F3014" t="s">
        <v>42</v>
      </c>
      <c r="G3014">
        <v>-489.1164</v>
      </c>
      <c r="H3014" s="1">
        <v>-1.6935989999999999E-6</v>
      </c>
      <c r="I3014">
        <v>243.21530000000001</v>
      </c>
      <c r="J3014">
        <v>-497.23689999999999</v>
      </c>
      <c r="K3014">
        <v>1.1101730000000001</v>
      </c>
      <c r="L3014">
        <v>259.35500000000002</v>
      </c>
      <c r="M3014">
        <v>0.29773680000000002</v>
      </c>
      <c r="N3014">
        <v>-1.2404399999999999E-2</v>
      </c>
      <c r="O3014">
        <v>-0.95456759999999996</v>
      </c>
      <c r="P3014">
        <v>0.3732048</v>
      </c>
      <c r="Q3014">
        <v>0.33098359999999999</v>
      </c>
      <c r="R3014">
        <v>-0.86669989999999997</v>
      </c>
      <c r="S3014">
        <v>1.460968</v>
      </c>
      <c r="T3014">
        <v>-0.1993906</v>
      </c>
      <c r="U3014">
        <v>-2.9086910000000001</v>
      </c>
      <c r="V3014">
        <v>-9.7640539999999998E-2</v>
      </c>
      <c r="W3014">
        <v>0.34276180000000001</v>
      </c>
      <c r="X3014">
        <v>0.93433429999999995</v>
      </c>
      <c r="Y3014">
        <v>-0.16178229999999999</v>
      </c>
      <c r="Z3014">
        <v>4.8333010000000003E-2</v>
      </c>
      <c r="AA3014">
        <v>0.98564209999999997</v>
      </c>
      <c r="AB3014">
        <v>8</v>
      </c>
      <c r="AC3014">
        <v>8.1204999999999892</v>
      </c>
      <c r="AD3014">
        <v>-1.11017469359899</v>
      </c>
      <c r="AE3014">
        <v>-16.139700000000001</v>
      </c>
      <c r="AF3014">
        <v>-2.9353269966055899</v>
      </c>
      <c r="AG3014">
        <v>-1.11017469359899</v>
      </c>
      <c r="AH3014">
        <v>17.758524892730701</v>
      </c>
      <c r="AI3014">
        <v>93.529426498962493</v>
      </c>
      <c r="AJ3014">
        <v>99.385623864838394</v>
      </c>
      <c r="AK3014">
        <v>18.033686223095</v>
      </c>
      <c r="AL3014">
        <v>69.954771610769001</v>
      </c>
      <c r="AM3014">
        <v>95.965914048043899</v>
      </c>
      <c r="AN3014">
        <v>0.99999995537360897</v>
      </c>
    </row>
    <row r="3015" spans="1:40" x14ac:dyDescent="0.25">
      <c r="A3015" t="str">
        <f>"20190304164147550"</f>
        <v>20190304164147550</v>
      </c>
      <c r="B3015" t="str">
        <f>"1551688907543822"</f>
        <v>1551688907543822</v>
      </c>
      <c r="C3015" t="s">
        <v>40</v>
      </c>
      <c r="D3015">
        <v>4.3859640000000004</v>
      </c>
      <c r="E3015">
        <v>0.47298750000000001</v>
      </c>
      <c r="F3015" t="s">
        <v>42</v>
      </c>
      <c r="G3015">
        <v>-488.94200000000001</v>
      </c>
      <c r="H3015" s="1">
        <v>-1.6703599999999899E-6</v>
      </c>
      <c r="I3015">
        <v>243.089</v>
      </c>
      <c r="J3015">
        <v>-497.21940000000001</v>
      </c>
      <c r="K3015">
        <v>1.1101669999999999</v>
      </c>
      <c r="L3015">
        <v>259.28519999999997</v>
      </c>
      <c r="M3015">
        <v>0.29440050000000001</v>
      </c>
      <c r="N3015">
        <v>-1.23686E-2</v>
      </c>
      <c r="O3015">
        <v>-0.95560210000000001</v>
      </c>
      <c r="P3015">
        <v>0.37680780000000003</v>
      </c>
      <c r="Q3015">
        <v>0.33254549999999999</v>
      </c>
      <c r="R3015">
        <v>-0.86453989999999903</v>
      </c>
      <c r="S3015">
        <v>1.4789429999999999</v>
      </c>
      <c r="T3015">
        <v>-0.19794049999999999</v>
      </c>
      <c r="U3015">
        <v>-2.9001769999999998</v>
      </c>
      <c r="V3015">
        <v>-0.1050007</v>
      </c>
      <c r="W3015">
        <v>0.34428399999999998</v>
      </c>
      <c r="X3015">
        <v>0.93297549999999996</v>
      </c>
      <c r="Y3015">
        <v>-0.1712456</v>
      </c>
      <c r="Z3015">
        <v>4.805682E-2</v>
      </c>
      <c r="AA3015">
        <v>0.98405560000000003</v>
      </c>
      <c r="AB3015">
        <v>8</v>
      </c>
      <c r="AC3015">
        <v>8.2774000000000498</v>
      </c>
      <c r="AD3015">
        <v>-1.11016867036</v>
      </c>
      <c r="AE3015">
        <v>-16.196199999999902</v>
      </c>
      <c r="AF3015">
        <v>-3.13031018843437</v>
      </c>
      <c r="AG3015">
        <v>-1.11016867036</v>
      </c>
      <c r="AH3015">
        <v>17.848870007959299</v>
      </c>
      <c r="AI3015">
        <v>93.505743519607094</v>
      </c>
      <c r="AJ3015">
        <v>99.947292857229996</v>
      </c>
      <c r="AK3015">
        <v>18.1552603097145</v>
      </c>
      <c r="AL3015">
        <v>69.861904383421603</v>
      </c>
      <c r="AM3015">
        <v>96.421270483284502</v>
      </c>
      <c r="AN3015">
        <v>0.99999995162836797</v>
      </c>
    </row>
    <row r="3016" spans="1:40" x14ac:dyDescent="0.25">
      <c r="A3016" t="str">
        <f>"20190304164147575"</f>
        <v>20190304164147575</v>
      </c>
      <c r="B3016" t="str">
        <f>"1551688907564317"</f>
        <v>1551688907564317</v>
      </c>
      <c r="C3016" t="s">
        <v>40</v>
      </c>
      <c r="D3016">
        <v>4.3610119999999997</v>
      </c>
      <c r="E3016">
        <v>0.47308289999999997</v>
      </c>
      <c r="F3016" t="s">
        <v>42</v>
      </c>
      <c r="G3016">
        <v>-488.92950000000002</v>
      </c>
      <c r="H3016" s="1">
        <v>-1.7436159999999999E-6</v>
      </c>
      <c r="I3016">
        <v>243.25450000000001</v>
      </c>
      <c r="J3016">
        <v>-497.19819999999999</v>
      </c>
      <c r="K3016">
        <v>1.110174</v>
      </c>
      <c r="L3016">
        <v>259.19940000000003</v>
      </c>
      <c r="M3016">
        <v>0.29035640000000001</v>
      </c>
      <c r="N3016">
        <v>-1.232982E-2</v>
      </c>
      <c r="O3016">
        <v>-0.95683929999999995</v>
      </c>
      <c r="P3016">
        <v>0.3795482</v>
      </c>
      <c r="Q3016">
        <v>0.33623579999999997</v>
      </c>
      <c r="R3016">
        <v>-0.86190990000000001</v>
      </c>
      <c r="S3016">
        <v>1.4969479999999999</v>
      </c>
      <c r="T3016">
        <v>-0.20046910000000001</v>
      </c>
      <c r="U3016">
        <v>-2.8947449999999999</v>
      </c>
      <c r="V3016">
        <v>-0.1123531</v>
      </c>
      <c r="W3016">
        <v>0.34792060000000002</v>
      </c>
      <c r="X3016">
        <v>0.93076740000000002</v>
      </c>
      <c r="Y3016">
        <v>-0.1809684</v>
      </c>
      <c r="Z3016">
        <v>4.8930260000000003E-2</v>
      </c>
      <c r="AA3016">
        <v>0.98227100000000001</v>
      </c>
      <c r="AB3016">
        <v>8</v>
      </c>
      <c r="AC3016">
        <v>8.26869999999996</v>
      </c>
      <c r="AD3016">
        <v>-1.110175743616</v>
      </c>
      <c r="AE3016">
        <v>-15.944900000000001</v>
      </c>
      <c r="AF3016">
        <v>-3.2698702859831301</v>
      </c>
      <c r="AG3016">
        <v>-1.110175743616</v>
      </c>
      <c r="AH3016">
        <v>17.591709913949298</v>
      </c>
      <c r="AI3016">
        <v>93.550375282491302</v>
      </c>
      <c r="AJ3016">
        <v>100.52972058299</v>
      </c>
      <c r="AK3016">
        <v>17.927431482658399</v>
      </c>
      <c r="AL3016">
        <v>69.639816751705098</v>
      </c>
      <c r="AM3016">
        <v>96.882882706531603</v>
      </c>
      <c r="AN3016">
        <v>0.99999995794336405</v>
      </c>
    </row>
    <row r="3017" spans="1:40" x14ac:dyDescent="0.25">
      <c r="A3017" t="str">
        <f>"20190304164147594"</f>
        <v>20190304164147594</v>
      </c>
      <c r="B3017" t="str">
        <f>"1551688907583837"</f>
        <v>1551688907583837</v>
      </c>
      <c r="C3017" t="s">
        <v>40</v>
      </c>
      <c r="D3017">
        <v>4.3431930000000003</v>
      </c>
      <c r="E3017">
        <v>0.47332920000000001</v>
      </c>
      <c r="F3017" t="s">
        <v>42</v>
      </c>
      <c r="G3017">
        <v>-488.4606</v>
      </c>
      <c r="H3017" s="1">
        <v>-1.4653110000000001E-6</v>
      </c>
      <c r="I3017">
        <v>242.4119</v>
      </c>
      <c r="J3017">
        <v>-497.18119999999999</v>
      </c>
      <c r="K3017">
        <v>1.1101920000000001</v>
      </c>
      <c r="L3017">
        <v>259.12990000000002</v>
      </c>
      <c r="M3017">
        <v>0.2871282</v>
      </c>
      <c r="N3017">
        <v>-1.23017E-2</v>
      </c>
      <c r="O3017">
        <v>-0.95781329999999998</v>
      </c>
      <c r="P3017">
        <v>0.3829206</v>
      </c>
      <c r="Q3017">
        <v>0.339999</v>
      </c>
      <c r="R3017">
        <v>-0.85893709999999901</v>
      </c>
      <c r="S3017">
        <v>1.5054019999999999</v>
      </c>
      <c r="T3017">
        <v>-0.19127330000000001</v>
      </c>
      <c r="U3017">
        <v>-2.892334</v>
      </c>
      <c r="V3017">
        <v>-0.1195933</v>
      </c>
      <c r="W3017">
        <v>0.35163729999999999</v>
      </c>
      <c r="X3017">
        <v>0.92846580000000001</v>
      </c>
      <c r="Y3017">
        <v>-0.18693969999999999</v>
      </c>
      <c r="Z3017">
        <v>4.6249579999999998E-2</v>
      </c>
      <c r="AA3017">
        <v>0.98128210000000005</v>
      </c>
      <c r="AB3017">
        <v>8</v>
      </c>
      <c r="AC3017">
        <v>8.7205999999999904</v>
      </c>
      <c r="AD3017">
        <v>-1.1101934653109999</v>
      </c>
      <c r="AE3017">
        <v>-16.718</v>
      </c>
      <c r="AF3017">
        <v>-3.5404921989572702</v>
      </c>
      <c r="AG3017">
        <v>-1.1101934653109999</v>
      </c>
      <c r="AH3017">
        <v>18.4540782347426</v>
      </c>
      <c r="AI3017">
        <v>93.381233754702706</v>
      </c>
      <c r="AJ3017">
        <v>100.86046774969699</v>
      </c>
      <c r="AK3017">
        <v>18.823406122041199</v>
      </c>
      <c r="AL3017">
        <v>69.412508527784595</v>
      </c>
      <c r="AM3017">
        <v>97.339708650653705</v>
      </c>
      <c r="AN3017">
        <v>1.0000000449629001</v>
      </c>
    </row>
    <row r="3018" spans="1:40" x14ac:dyDescent="0.25">
      <c r="A3018" t="str">
        <f>"20190304164147617"</f>
        <v>20190304164147617</v>
      </c>
      <c r="B3018" t="str">
        <f>"1551688907604333"</f>
        <v>1551688907604333</v>
      </c>
      <c r="C3018" t="s">
        <v>40</v>
      </c>
      <c r="D3018">
        <v>4.3196570000000003</v>
      </c>
      <c r="E3018">
        <v>0.47376079999999998</v>
      </c>
      <c r="F3018" t="s">
        <v>42</v>
      </c>
      <c r="G3018">
        <v>-487.86509999999998</v>
      </c>
      <c r="H3018" s="1">
        <v>-1.1527560000000001E-6</v>
      </c>
      <c r="I3018">
        <v>241.36619999999999</v>
      </c>
      <c r="J3018">
        <v>-497.16250000000002</v>
      </c>
      <c r="K3018">
        <v>1.1102190000000001</v>
      </c>
      <c r="L3018">
        <v>259.05220000000003</v>
      </c>
      <c r="M3018">
        <v>0.28357130000000003</v>
      </c>
      <c r="N3018">
        <v>-1.227342E-2</v>
      </c>
      <c r="O3018">
        <v>-0.95887259999999996</v>
      </c>
      <c r="P3018">
        <v>0.38587080000000001</v>
      </c>
      <c r="Q3018">
        <v>0.342466099999999</v>
      </c>
      <c r="R3018">
        <v>-0.85663349999999905</v>
      </c>
      <c r="S3018">
        <v>1.515015</v>
      </c>
      <c r="T3018">
        <v>-0.18054129999999999</v>
      </c>
      <c r="U3018">
        <v>-2.888763</v>
      </c>
      <c r="V3018">
        <v>-0.12654799999999999</v>
      </c>
      <c r="W3018">
        <v>0.35406130000000002</v>
      </c>
      <c r="X3018">
        <v>0.92662080000000002</v>
      </c>
      <c r="Y3018">
        <v>-0.19371160000000001</v>
      </c>
      <c r="Z3018">
        <v>4.3115140000000003E-2</v>
      </c>
      <c r="AA3018">
        <v>0.98011060000000005</v>
      </c>
      <c r="AB3018">
        <v>8</v>
      </c>
      <c r="AC3018">
        <v>9.2974000000000299</v>
      </c>
      <c r="AD3018">
        <v>-1.1102201527560001</v>
      </c>
      <c r="AE3018">
        <v>-17.686</v>
      </c>
      <c r="AF3018">
        <v>-3.8880699940421</v>
      </c>
      <c r="AG3018">
        <v>-1.1102201527560001</v>
      </c>
      <c r="AH3018">
        <v>19.536257227354</v>
      </c>
      <c r="AI3018">
        <v>93.190115578102194</v>
      </c>
      <c r="AJ3018">
        <v>101.255830728817</v>
      </c>
      <c r="AK3018">
        <v>19.950313870199999</v>
      </c>
      <c r="AL3018">
        <v>69.264074399629806</v>
      </c>
      <c r="AM3018">
        <v>97.776737031566697</v>
      </c>
      <c r="AN3018">
        <v>0.99999995372716399</v>
      </c>
    </row>
    <row r="3019" spans="1:40" x14ac:dyDescent="0.25">
      <c r="A3019" t="str">
        <f>"20190304164147632"</f>
        <v>20190304164147632</v>
      </c>
      <c r="B3019" t="str">
        <f>"1551688907623853"</f>
        <v>1551688907623853</v>
      </c>
      <c r="C3019" t="s">
        <v>40</v>
      </c>
      <c r="D3019">
        <v>4.2990570000000004</v>
      </c>
      <c r="E3019">
        <v>0.47416819999999998</v>
      </c>
      <c r="F3019" t="s">
        <v>42</v>
      </c>
      <c r="G3019">
        <v>-487.53680000000003</v>
      </c>
      <c r="H3019" s="1">
        <v>-1.036985E-6</v>
      </c>
      <c r="I3019">
        <v>240.76939999999999</v>
      </c>
      <c r="J3019">
        <v>-497.14870000000002</v>
      </c>
      <c r="K3019">
        <v>1.110231</v>
      </c>
      <c r="L3019">
        <v>258.99430000000001</v>
      </c>
      <c r="M3019">
        <v>0.2809624</v>
      </c>
      <c r="N3019">
        <v>-1.2254309999999999E-2</v>
      </c>
      <c r="O3019">
        <v>-0.95964050000000001</v>
      </c>
      <c r="P3019">
        <v>0.38706000000000002</v>
      </c>
      <c r="Q3019">
        <v>0.34295690000000001</v>
      </c>
      <c r="R3019">
        <v>-0.8559002</v>
      </c>
      <c r="S3019">
        <v>1.5201720000000001</v>
      </c>
      <c r="T3019">
        <v>-0.17533560000000001</v>
      </c>
      <c r="U3019">
        <v>-2.8873899999999999</v>
      </c>
      <c r="V3019">
        <v>-0.13043879999999999</v>
      </c>
      <c r="W3019">
        <v>0.35452689999999998</v>
      </c>
      <c r="X3019">
        <v>0.92590300000000003</v>
      </c>
      <c r="Y3019">
        <v>-0.19797300000000001</v>
      </c>
      <c r="Z3019">
        <v>4.1600529999999997E-2</v>
      </c>
      <c r="AA3019">
        <v>0.97932430000000004</v>
      </c>
      <c r="AB3019">
        <v>8</v>
      </c>
      <c r="AC3019">
        <v>9.6118999999999897</v>
      </c>
      <c r="AD3019">
        <v>-1.1102320369850001</v>
      </c>
      <c r="AE3019">
        <v>-18.224900000000002</v>
      </c>
      <c r="AF3019">
        <v>-4.0918846095434196</v>
      </c>
      <c r="AG3019">
        <v>-1.1102320369850001</v>
      </c>
      <c r="AH3019">
        <v>20.1329964655745</v>
      </c>
      <c r="AI3019">
        <v>93.093258573760295</v>
      </c>
      <c r="AJ3019">
        <v>101.48846783396</v>
      </c>
      <c r="AK3019">
        <v>20.574588246587101</v>
      </c>
      <c r="AL3019">
        <v>69.235547693893096</v>
      </c>
      <c r="AM3019">
        <v>98.018908940524597</v>
      </c>
      <c r="AN3019">
        <v>0.99999998438902404</v>
      </c>
    </row>
    <row r="3020" spans="1:40" x14ac:dyDescent="0.25">
      <c r="A3020" t="str">
        <f>"20190304164147652"</f>
        <v>20190304164147652</v>
      </c>
      <c r="B3020" t="str">
        <f>"1551688907644349"</f>
        <v>1551688907644349</v>
      </c>
      <c r="C3020" t="s">
        <v>40</v>
      </c>
      <c r="D3020">
        <v>4.3310519999999997</v>
      </c>
      <c r="E3020">
        <v>0.47913929999999999</v>
      </c>
      <c r="F3020" t="s">
        <v>42</v>
      </c>
      <c r="G3020">
        <v>-487.61470000000003</v>
      </c>
      <c r="H3020" s="1">
        <v>-1.049473E-6</v>
      </c>
      <c r="I3020">
        <v>240.86699999999999</v>
      </c>
      <c r="J3020">
        <v>-497.13279999999997</v>
      </c>
      <c r="K3020">
        <v>1.1102479999999999</v>
      </c>
      <c r="L3020">
        <v>258.92720000000003</v>
      </c>
      <c r="M3020">
        <v>0.27798600000000001</v>
      </c>
      <c r="N3020">
        <v>-1.2234E-2</v>
      </c>
      <c r="O3020">
        <v>-0.96050740000000001</v>
      </c>
      <c r="P3020">
        <v>0.39058009999999999</v>
      </c>
      <c r="Q3020">
        <v>0.34339819999999999</v>
      </c>
      <c r="R3020">
        <v>-0.85412279999999996</v>
      </c>
      <c r="S3020">
        <v>1.519379</v>
      </c>
      <c r="T3020">
        <v>-0.17693220000000001</v>
      </c>
      <c r="U3020">
        <v>-2.888855</v>
      </c>
      <c r="V3020">
        <v>-0.13721320000000001</v>
      </c>
      <c r="W3020">
        <v>0.3549388</v>
      </c>
      <c r="X3020">
        <v>0.92476530000000001</v>
      </c>
      <c r="Y3020">
        <v>-0.20058400000000001</v>
      </c>
      <c r="Z3020">
        <v>4.212722E-2</v>
      </c>
      <c r="AA3020">
        <v>0.97877029999999998</v>
      </c>
      <c r="AB3020">
        <v>8</v>
      </c>
      <c r="AC3020">
        <v>9.5180999999999401</v>
      </c>
      <c r="AD3020">
        <v>-1.110249049473</v>
      </c>
      <c r="AE3020">
        <v>-18.060199999999998</v>
      </c>
      <c r="AF3020">
        <v>-4.1098748374222396</v>
      </c>
      <c r="AG3020">
        <v>-1.110249049473</v>
      </c>
      <c r="AH3020">
        <v>19.935384845321501</v>
      </c>
      <c r="AI3020">
        <v>93.122121862624198</v>
      </c>
      <c r="AJ3020">
        <v>101.648882975275</v>
      </c>
      <c r="AK3020">
        <v>20.3848790298644</v>
      </c>
      <c r="AL3020">
        <v>69.210305008864495</v>
      </c>
      <c r="AM3020">
        <v>98.439756744209703</v>
      </c>
      <c r="AN3020">
        <v>0.99999993704188295</v>
      </c>
    </row>
    <row r="3021" spans="1:40" x14ac:dyDescent="0.25">
      <c r="A3021" t="str">
        <f>"20190304164147674"</f>
        <v>20190304164147674</v>
      </c>
      <c r="B3021" t="str">
        <f>"1551688907663869"</f>
        <v>1551688907663869</v>
      </c>
      <c r="C3021" t="s">
        <v>40</v>
      </c>
      <c r="D3021">
        <v>4.3044560000000001</v>
      </c>
      <c r="E3021">
        <v>0.47975659999999998</v>
      </c>
      <c r="F3021" t="s">
        <v>42</v>
      </c>
      <c r="G3021">
        <v>-489.30619999999999</v>
      </c>
      <c r="H3021" s="1">
        <v>-1.8659490000000001E-6</v>
      </c>
      <c r="I3021">
        <v>243.69550000000001</v>
      </c>
      <c r="J3021">
        <v>-497.11399999999998</v>
      </c>
      <c r="K3021">
        <v>1.1102700000000001</v>
      </c>
      <c r="L3021">
        <v>258.84710000000001</v>
      </c>
      <c r="M3021">
        <v>0.27450229999999998</v>
      </c>
      <c r="N3021">
        <v>-1.221215E-2</v>
      </c>
      <c r="O3021">
        <v>-0.9615089</v>
      </c>
      <c r="P3021">
        <v>0.39320840000000001</v>
      </c>
      <c r="Q3021">
        <v>0.34402389999999999</v>
      </c>
      <c r="R3021">
        <v>-0.85266330000000001</v>
      </c>
      <c r="S3021">
        <v>1.496918</v>
      </c>
      <c r="T3021">
        <v>-0.21234790000000001</v>
      </c>
      <c r="U3021">
        <v>-2.9132389999999999</v>
      </c>
      <c r="V3021">
        <v>-0.14352790000000001</v>
      </c>
      <c r="W3021">
        <v>0.35553119999999999</v>
      </c>
      <c r="X3021">
        <v>0.92357860000000003</v>
      </c>
      <c r="Y3021">
        <v>-0.1945559</v>
      </c>
      <c r="Z3021">
        <v>5.256736E-2</v>
      </c>
      <c r="AA3021">
        <v>0.97948179999999996</v>
      </c>
      <c r="AB3021">
        <v>8</v>
      </c>
      <c r="AC3021">
        <v>7.8078000000000403</v>
      </c>
      <c r="AD3021">
        <v>-1.1102718659490001</v>
      </c>
      <c r="AE3021">
        <v>-15.1516</v>
      </c>
      <c r="AF3021">
        <v>-3.3342230072419601</v>
      </c>
      <c r="AG3021">
        <v>-1.1102718659490001</v>
      </c>
      <c r="AH3021">
        <v>16.642291775834199</v>
      </c>
      <c r="AI3021">
        <v>93.742612913875107</v>
      </c>
      <c r="AJ3021">
        <v>101.329014316976</v>
      </c>
      <c r="AK3021">
        <v>17.009280473621999</v>
      </c>
      <c r="AL3021">
        <v>69.173997429438202</v>
      </c>
      <c r="AM3021">
        <v>98.833341553357599</v>
      </c>
      <c r="AN3021">
        <v>1.0000000613149</v>
      </c>
    </row>
    <row r="3022" spans="1:40" x14ac:dyDescent="0.25">
      <c r="A3022" t="str">
        <f>"20190304164147695"</f>
        <v>20190304164147695</v>
      </c>
      <c r="B3022" t="str">
        <f>"1551688907684366"</f>
        <v>1551688907684366</v>
      </c>
      <c r="C3022" t="s">
        <v>40</v>
      </c>
      <c r="D3022">
        <v>4.2834089999999998</v>
      </c>
      <c r="E3022">
        <v>0.48016170000000002</v>
      </c>
      <c r="F3022" t="s">
        <v>42</v>
      </c>
      <c r="G3022">
        <v>-489.24950000000001</v>
      </c>
      <c r="H3022" s="1">
        <v>-1.8164150000000001E-6</v>
      </c>
      <c r="I3022">
        <v>243.5566</v>
      </c>
      <c r="J3022">
        <v>-497.09730000000002</v>
      </c>
      <c r="K3022">
        <v>1.110287</v>
      </c>
      <c r="L3022">
        <v>258.7747</v>
      </c>
      <c r="M3022">
        <v>0.27141579999999998</v>
      </c>
      <c r="N3022">
        <v>-1.21943E-2</v>
      </c>
      <c r="O3022">
        <v>-0.96238520000000005</v>
      </c>
      <c r="P3022">
        <v>0.39604129999999999</v>
      </c>
      <c r="Q3022">
        <v>0.34506170000000003</v>
      </c>
      <c r="R3022">
        <v>-0.85093149999999995</v>
      </c>
      <c r="S3022">
        <v>1.4981690000000001</v>
      </c>
      <c r="T3022">
        <v>-0.2115042</v>
      </c>
      <c r="U3022">
        <v>-2.912811</v>
      </c>
      <c r="V3022">
        <v>-0.14971799999999999</v>
      </c>
      <c r="W3022">
        <v>0.35653639999999998</v>
      </c>
      <c r="X3022">
        <v>0.92220729999999995</v>
      </c>
      <c r="Y3022">
        <v>-0.19809689999999999</v>
      </c>
      <c r="Z3022">
        <v>5.2387419999999997E-2</v>
      </c>
      <c r="AA3022">
        <v>0.97878149999999997</v>
      </c>
      <c r="AB3022">
        <v>8</v>
      </c>
      <c r="AC3022">
        <v>7.8478000000000003</v>
      </c>
      <c r="AD3022">
        <v>-1.110288816415</v>
      </c>
      <c r="AE3022">
        <v>-15.2180999999999</v>
      </c>
      <c r="AF3022">
        <v>-3.4080971983038499</v>
      </c>
      <c r="AG3022">
        <v>-1.110288816415</v>
      </c>
      <c r="AH3022">
        <v>16.706686888599801</v>
      </c>
      <c r="AI3022">
        <v>93.725650228206405</v>
      </c>
      <c r="AJ3022">
        <v>101.52991003215</v>
      </c>
      <c r="AK3022">
        <v>17.086873750416</v>
      </c>
      <c r="AL3022">
        <v>69.112363668129206</v>
      </c>
      <c r="AM3022">
        <v>99.221370218710106</v>
      </c>
      <c r="AN3022">
        <v>0.99999999411112495</v>
      </c>
    </row>
    <row r="3023" spans="1:40" x14ac:dyDescent="0.25">
      <c r="A3023" t="str">
        <f>"20190304164147717"</f>
        <v>20190304164147717</v>
      </c>
      <c r="B3023" t="str">
        <f>"1551688907703885"</f>
        <v>1551688907703885</v>
      </c>
      <c r="C3023" t="s">
        <v>40</v>
      </c>
      <c r="D3023">
        <v>4.2764430000000004</v>
      </c>
      <c r="E3023">
        <v>0.48061480000000001</v>
      </c>
      <c r="F3023" t="s">
        <v>42</v>
      </c>
      <c r="G3023">
        <v>-489.11860000000001</v>
      </c>
      <c r="H3023" s="1">
        <v>-1.734412E-6</v>
      </c>
      <c r="I3023">
        <v>243.31129999999999</v>
      </c>
      <c r="J3023">
        <v>-497.0795</v>
      </c>
      <c r="K3023">
        <v>1.110311</v>
      </c>
      <c r="L3023">
        <v>258.69659999999999</v>
      </c>
      <c r="M3023">
        <v>0.26815060000000002</v>
      </c>
      <c r="N3023">
        <v>-1.217707E-2</v>
      </c>
      <c r="O3023">
        <v>-0.96330000000000005</v>
      </c>
      <c r="P3023">
        <v>0.3983044</v>
      </c>
      <c r="Q3023">
        <v>0.34573480000000001</v>
      </c>
      <c r="R3023">
        <v>-0.84960069999999999</v>
      </c>
      <c r="S3023">
        <v>1.502075</v>
      </c>
      <c r="T3023">
        <v>-0.20902419999999999</v>
      </c>
      <c r="U3023">
        <v>-2.9111630000000002</v>
      </c>
      <c r="V3023">
        <v>-0.15541340000000001</v>
      </c>
      <c r="W3023">
        <v>0.35717870000000002</v>
      </c>
      <c r="X3023">
        <v>0.92101569999999999</v>
      </c>
      <c r="Y3023">
        <v>-0.2026975</v>
      </c>
      <c r="Z3023">
        <v>5.1722499999999998E-2</v>
      </c>
      <c r="AA3023">
        <v>0.97787449999999998</v>
      </c>
      <c r="AB3023">
        <v>8</v>
      </c>
      <c r="AC3023">
        <v>7.9608999999999801</v>
      </c>
      <c r="AD3023">
        <v>-1.1103127344120001</v>
      </c>
      <c r="AE3023">
        <v>-15.385300000000001</v>
      </c>
      <c r="AF3023">
        <v>-3.5289229895605199</v>
      </c>
      <c r="AG3023">
        <v>-1.1103127344120001</v>
      </c>
      <c r="AH3023">
        <v>16.887261752434199</v>
      </c>
      <c r="AI3023">
        <v>93.682382842469906</v>
      </c>
      <c r="AJ3023">
        <v>101.80321906784501</v>
      </c>
      <c r="AK3023">
        <v>17.287732683312601</v>
      </c>
      <c r="AL3023">
        <v>69.072967467612202</v>
      </c>
      <c r="AM3023">
        <v>99.577939061517398</v>
      </c>
      <c r="AN3023">
        <v>0.99999993413986699</v>
      </c>
    </row>
    <row r="3024" spans="1:40" x14ac:dyDescent="0.25">
      <c r="A3024" t="str">
        <f>"20190304164147740"</f>
        <v>20190304164147740</v>
      </c>
      <c r="B3024" t="str">
        <f>"1551688907734142"</f>
        <v>1551688907734142</v>
      </c>
      <c r="C3024" t="s">
        <v>40</v>
      </c>
      <c r="D3024">
        <v>4.3078070000000004</v>
      </c>
      <c r="E3024">
        <v>0.48102800000000001</v>
      </c>
      <c r="F3024" t="s">
        <v>42</v>
      </c>
      <c r="G3024">
        <v>-489.01150000000001</v>
      </c>
      <c r="H3024" s="1">
        <v>-1.6467550000000001E-6</v>
      </c>
      <c r="I3024">
        <v>243.06270000000001</v>
      </c>
      <c r="J3024">
        <v>-497.0609</v>
      </c>
      <c r="K3024">
        <v>1.110328</v>
      </c>
      <c r="L3024">
        <v>258.6146</v>
      </c>
      <c r="M3024">
        <v>0.26479320000000001</v>
      </c>
      <c r="N3024">
        <v>-1.2160890000000001E-2</v>
      </c>
      <c r="O3024">
        <v>-0.96422870000000005</v>
      </c>
      <c r="P3024">
        <v>0.39967999999999998</v>
      </c>
      <c r="Q3024">
        <v>0.34628389999999998</v>
      </c>
      <c r="R3024">
        <v>-0.84873069999999895</v>
      </c>
      <c r="S3024">
        <v>1.5022279999999999</v>
      </c>
      <c r="T3024">
        <v>-0.20673559999999999</v>
      </c>
      <c r="U3024">
        <v>-2.9109799999999999</v>
      </c>
      <c r="V3024">
        <v>-0.160209299999999</v>
      </c>
      <c r="W3024">
        <v>0.35769889999999999</v>
      </c>
      <c r="X3024">
        <v>0.91999160000000002</v>
      </c>
      <c r="Y3024">
        <v>-0.2061877</v>
      </c>
      <c r="Z3024">
        <v>5.110783E-2</v>
      </c>
      <c r="AA3024">
        <v>0.97717679999999996</v>
      </c>
      <c r="AB3024">
        <v>8</v>
      </c>
      <c r="AC3024">
        <v>8.0493999999999897</v>
      </c>
      <c r="AD3024">
        <v>-1.1103296467549999</v>
      </c>
      <c r="AE3024">
        <v>-15.5518999999999</v>
      </c>
      <c r="AF3024">
        <v>-3.6291040422650802</v>
      </c>
      <c r="AG3024">
        <v>-1.1103296467549999</v>
      </c>
      <c r="AH3024">
        <v>17.0596941238265</v>
      </c>
      <c r="AI3024">
        <v>93.642560455136604</v>
      </c>
      <c r="AJ3024">
        <v>102.009492321764</v>
      </c>
      <c r="AK3024">
        <v>17.476738587979401</v>
      </c>
      <c r="AL3024">
        <v>69.041056058909604</v>
      </c>
      <c r="AM3024">
        <v>99.878546992718299</v>
      </c>
      <c r="AN3024">
        <v>1.0000000334691199</v>
      </c>
    </row>
    <row r="3025" spans="1:40" x14ac:dyDescent="0.25">
      <c r="A3025" t="str">
        <f>"20190304164147763"</f>
        <v>20190304164147763</v>
      </c>
      <c r="B3025" t="str">
        <f>"1551688907753661"</f>
        <v>1551688907753661</v>
      </c>
      <c r="C3025" t="s">
        <v>40</v>
      </c>
      <c r="D3025">
        <v>4.2744949999999999</v>
      </c>
      <c r="E3025">
        <v>0.484709</v>
      </c>
      <c r="F3025" t="s">
        <v>42</v>
      </c>
      <c r="G3025">
        <v>-488.97710000000001</v>
      </c>
      <c r="H3025" s="1">
        <v>-1.6017230000000001E-6</v>
      </c>
      <c r="I3025">
        <v>242.9435</v>
      </c>
      <c r="J3025">
        <v>-497.04300000000001</v>
      </c>
      <c r="K3025">
        <v>1.110344</v>
      </c>
      <c r="L3025">
        <v>258.53489999999999</v>
      </c>
      <c r="M3025">
        <v>0.2616039</v>
      </c>
      <c r="N3025">
        <v>-1.2147170000000001E-2</v>
      </c>
      <c r="O3025">
        <v>-0.96509889999999998</v>
      </c>
      <c r="P3025">
        <v>0.40015790000000001</v>
      </c>
      <c r="Q3025">
        <v>0.34763680000000002</v>
      </c>
      <c r="R3025">
        <v>-0.84795180000000003</v>
      </c>
      <c r="S3025">
        <v>1.5019229999999999</v>
      </c>
      <c r="T3025">
        <v>-0.20629220000000001</v>
      </c>
      <c r="U3025">
        <v>-2.911591</v>
      </c>
      <c r="V3025">
        <v>-0.16394129999999901</v>
      </c>
      <c r="W3025">
        <v>0.35902329999999999</v>
      </c>
      <c r="X3025">
        <v>0.91881749999999995</v>
      </c>
      <c r="Y3025">
        <v>-0.20925849999999999</v>
      </c>
      <c r="Z3025">
        <v>5.1029699999999997E-2</v>
      </c>
      <c r="AA3025">
        <v>0.97652799999999995</v>
      </c>
      <c r="AB3025">
        <v>8</v>
      </c>
      <c r="AC3025">
        <v>8.0658999999999992</v>
      </c>
      <c r="AD3025">
        <v>-1.110345601723</v>
      </c>
      <c r="AE3025">
        <v>-15.591399999999901</v>
      </c>
      <c r="AF3025">
        <v>-3.6911258323585998</v>
      </c>
      <c r="AG3025">
        <v>-1.110345601723</v>
      </c>
      <c r="AH3025">
        <v>17.090203954251901</v>
      </c>
      <c r="AI3025">
        <v>93.633713214676405</v>
      </c>
      <c r="AJ3025">
        <v>102.18748577441301</v>
      </c>
      <c r="AK3025">
        <v>17.519484823004799</v>
      </c>
      <c r="AL3025">
        <v>68.959775211532403</v>
      </c>
      <c r="AM3025">
        <v>100.116618785737</v>
      </c>
      <c r="AN3025">
        <v>1.00000003904741</v>
      </c>
    </row>
    <row r="3026" spans="1:40" x14ac:dyDescent="0.25">
      <c r="A3026" t="str">
        <f>"20190304164147784"</f>
        <v>20190304164147784</v>
      </c>
      <c r="B3026" t="str">
        <f>"1551688907774157"</f>
        <v>1551688907774157</v>
      </c>
      <c r="C3026" t="s">
        <v>40</v>
      </c>
      <c r="D3026">
        <v>4.260713</v>
      </c>
      <c r="E3026">
        <v>0.48497020000000002</v>
      </c>
      <c r="F3026" t="s">
        <v>42</v>
      </c>
      <c r="G3026">
        <v>-489.83</v>
      </c>
      <c r="H3026" s="1">
        <v>-2.00746E-6</v>
      </c>
      <c r="I3026">
        <v>244.24189999999999</v>
      </c>
      <c r="J3026">
        <v>-497.02589999999998</v>
      </c>
      <c r="K3026">
        <v>1.110358</v>
      </c>
      <c r="L3026">
        <v>258.45740000000001</v>
      </c>
      <c r="M3026">
        <v>0.25856750000000001</v>
      </c>
      <c r="N3026">
        <v>-1.2135369999999999E-2</v>
      </c>
      <c r="O3026">
        <v>-0.96591700000000003</v>
      </c>
      <c r="P3026">
        <v>0.40180060000000001</v>
      </c>
      <c r="Q3026">
        <v>0.35045460000000001</v>
      </c>
      <c r="R3026">
        <v>-0.84601309999999996</v>
      </c>
      <c r="S3026">
        <v>1.4801029999999999</v>
      </c>
      <c r="T3026">
        <v>-0.2278432</v>
      </c>
      <c r="U3026">
        <v>-2.9329070000000002</v>
      </c>
      <c r="V3026">
        <v>-0.16893949999999999</v>
      </c>
      <c r="W3026">
        <v>0.3618073</v>
      </c>
      <c r="X3026">
        <v>0.91681780000000002</v>
      </c>
      <c r="Y3026">
        <v>-0.20349819999999999</v>
      </c>
      <c r="Z3026">
        <v>5.7303769999999997E-2</v>
      </c>
      <c r="AA3026">
        <v>0.97739690000000001</v>
      </c>
      <c r="AB3026">
        <v>8</v>
      </c>
      <c r="AC3026">
        <v>7.1958999999999902</v>
      </c>
      <c r="AD3026">
        <v>-1.11036000746</v>
      </c>
      <c r="AE3026">
        <v>-14.2155</v>
      </c>
      <c r="AF3026">
        <v>-3.2593874146542001</v>
      </c>
      <c r="AG3026">
        <v>-1.11036000746</v>
      </c>
      <c r="AH3026">
        <v>15.5174050495136</v>
      </c>
      <c r="AI3026">
        <v>94.0057493602459</v>
      </c>
      <c r="AJ3026">
        <v>101.8623689943</v>
      </c>
      <c r="AK3026">
        <v>15.8948534166139</v>
      </c>
      <c r="AL3026">
        <v>68.788769445183803</v>
      </c>
      <c r="AM3026">
        <v>100.44061899860201</v>
      </c>
      <c r="AN3026">
        <v>0.999999977695189</v>
      </c>
    </row>
    <row r="3027" spans="1:40" x14ac:dyDescent="0.25">
      <c r="A3027" t="str">
        <f>"20190304164147818"</f>
        <v>20190304164147818</v>
      </c>
      <c r="B3027" t="str">
        <f>"1551688907804414"</f>
        <v>1551688907804414</v>
      </c>
      <c r="C3027" t="s">
        <v>40</v>
      </c>
      <c r="D3027">
        <v>4.2590560000000002</v>
      </c>
      <c r="E3027">
        <v>0.4853595</v>
      </c>
      <c r="F3027" t="s">
        <v>42</v>
      </c>
      <c r="G3027">
        <v>-489.52640000000002</v>
      </c>
      <c r="H3027" s="1">
        <v>-1.8008720000000001E-6</v>
      </c>
      <c r="I3027">
        <v>243.63480000000001</v>
      </c>
      <c r="J3027">
        <v>-497.00040000000001</v>
      </c>
      <c r="K3027">
        <v>1.1103749999999999</v>
      </c>
      <c r="L3027">
        <v>258.34059999999999</v>
      </c>
      <c r="M3027">
        <v>0.25407220000000003</v>
      </c>
      <c r="N3027">
        <v>-1.212122E-2</v>
      </c>
      <c r="O3027">
        <v>-0.96710960000000001</v>
      </c>
      <c r="P3027">
        <v>0.40011679999999999</v>
      </c>
      <c r="Q3027">
        <v>0.353049</v>
      </c>
      <c r="R3027">
        <v>-0.84573259999999995</v>
      </c>
      <c r="S3027">
        <v>1.483643</v>
      </c>
      <c r="T3027">
        <v>-0.21966669999999999</v>
      </c>
      <c r="U3027">
        <v>-2.932404</v>
      </c>
      <c r="V3027">
        <v>-0.17166509999999999</v>
      </c>
      <c r="W3027">
        <v>0.36437170000000002</v>
      </c>
      <c r="X3027">
        <v>0.91529470000000002</v>
      </c>
      <c r="Y3027">
        <v>-0.209119</v>
      </c>
      <c r="Z3027">
        <v>5.492495E-2</v>
      </c>
      <c r="AA3027">
        <v>0.97634650000000001</v>
      </c>
      <c r="AB3027">
        <v>8</v>
      </c>
      <c r="AC3027">
        <v>7.4739999999999798</v>
      </c>
      <c r="AD3027">
        <v>-1.1103768008720001</v>
      </c>
      <c r="AE3027">
        <v>-14.705799999999901</v>
      </c>
      <c r="AF3027">
        <v>-3.4763469579965598</v>
      </c>
      <c r="AG3027">
        <v>-1.1103768008720001</v>
      </c>
      <c r="AH3027">
        <v>16.049517943466999</v>
      </c>
      <c r="AI3027">
        <v>93.868249847957202</v>
      </c>
      <c r="AJ3027">
        <v>102.22154705665599</v>
      </c>
      <c r="AK3027">
        <v>16.4591904731051</v>
      </c>
      <c r="AL3027">
        <v>68.631079169529102</v>
      </c>
      <c r="AM3027">
        <v>100.622518230097</v>
      </c>
      <c r="AN3027">
        <v>1.00000001508349</v>
      </c>
    </row>
    <row r="3028" spans="1:40" x14ac:dyDescent="0.25">
      <c r="A3028" t="str">
        <f>"20190304164147841"</f>
        <v>20190304164147841</v>
      </c>
      <c r="B3028" t="str">
        <f>"1551688907833693"</f>
        <v>1551688907833693</v>
      </c>
      <c r="C3028" t="s">
        <v>40</v>
      </c>
      <c r="D3028">
        <v>4.2368629999999996</v>
      </c>
      <c r="E3028">
        <v>0.48557600000000001</v>
      </c>
      <c r="F3028" t="s">
        <v>42</v>
      </c>
      <c r="G3028">
        <v>-489.334</v>
      </c>
      <c r="H3028" s="1">
        <v>-1.597968E-6</v>
      </c>
      <c r="I3028">
        <v>243.0823</v>
      </c>
      <c r="J3028">
        <v>-496.98250000000002</v>
      </c>
      <c r="K3028">
        <v>1.1103700000000001</v>
      </c>
      <c r="L3028">
        <v>258.25790000000001</v>
      </c>
      <c r="M3028">
        <v>0.25094040000000001</v>
      </c>
      <c r="N3028">
        <v>-1.2113250000000001E-2</v>
      </c>
      <c r="O3028">
        <v>-0.96792679999999998</v>
      </c>
      <c r="P3028">
        <v>0.39800469999999999</v>
      </c>
      <c r="Q3028">
        <v>0.35439080000000001</v>
      </c>
      <c r="R3028">
        <v>-0.84616759999999902</v>
      </c>
      <c r="S3028">
        <v>1.4761959999999901</v>
      </c>
      <c r="T3028">
        <v>-0.2138079</v>
      </c>
      <c r="U3028">
        <v>-2.9380649999999999</v>
      </c>
      <c r="V3028">
        <v>-0.17248329999999901</v>
      </c>
      <c r="W3028">
        <v>0.36570039999999998</v>
      </c>
      <c r="X3028">
        <v>0.9146107</v>
      </c>
      <c r="Y3028">
        <v>-0.2095986</v>
      </c>
      <c r="Z3028">
        <v>5.3159129999999999E-2</v>
      </c>
      <c r="AA3028">
        <v>0.97634140000000003</v>
      </c>
      <c r="AB3028">
        <v>8</v>
      </c>
      <c r="AC3028">
        <v>7.6485000000000101</v>
      </c>
      <c r="AD3028">
        <v>-1.110371597968</v>
      </c>
      <c r="AE3028">
        <v>-15.175599999999999</v>
      </c>
      <c r="AF3028">
        <v>-3.5799970228570701</v>
      </c>
      <c r="AG3028">
        <v>-1.110371597968</v>
      </c>
      <c r="AH3028">
        <v>16.538798626071099</v>
      </c>
      <c r="AI3028">
        <v>93.754235976028397</v>
      </c>
      <c r="AJ3028">
        <v>102.213840713208</v>
      </c>
      <c r="AK3028">
        <v>16.958218177714599</v>
      </c>
      <c r="AL3028">
        <v>68.549307175286003</v>
      </c>
      <c r="AM3028">
        <v>100.679785259132</v>
      </c>
      <c r="AN3028">
        <v>1.0000000019467701</v>
      </c>
    </row>
    <row r="3029" spans="1:40" x14ac:dyDescent="0.25">
      <c r="A3029" t="str">
        <f>"20190304164147864"</f>
        <v>20190304164147864</v>
      </c>
      <c r="B3029" t="str">
        <f>"1551688907854189"</f>
        <v>1551688907854189</v>
      </c>
      <c r="C3029" t="s">
        <v>40</v>
      </c>
      <c r="D3029">
        <v>4.2152779999999996</v>
      </c>
      <c r="E3029">
        <v>0.48575430000000003</v>
      </c>
      <c r="F3029" t="s">
        <v>42</v>
      </c>
      <c r="G3029">
        <v>-489.23129999999998</v>
      </c>
      <c r="H3029" s="1">
        <v>-1.45977E-6</v>
      </c>
      <c r="I3029">
        <v>242.71770000000001</v>
      </c>
      <c r="J3029">
        <v>-496.96550000000002</v>
      </c>
      <c r="K3029">
        <v>1.110368</v>
      </c>
      <c r="L3029">
        <v>258.17739999999998</v>
      </c>
      <c r="M3029">
        <v>0.24794260000000001</v>
      </c>
      <c r="N3029">
        <v>-1.210664E-2</v>
      </c>
      <c r="O3029">
        <v>-0.96869930000000004</v>
      </c>
      <c r="P3029">
        <v>0.39551350000000002</v>
      </c>
      <c r="Q3029">
        <v>0.3550913</v>
      </c>
      <c r="R3029">
        <v>-0.8470415</v>
      </c>
      <c r="S3029">
        <v>1.467957</v>
      </c>
      <c r="T3029">
        <v>-0.21028479999999999</v>
      </c>
      <c r="U3029">
        <v>-2.9430540000000001</v>
      </c>
      <c r="V3029">
        <v>-0.1726953</v>
      </c>
      <c r="W3029">
        <v>0.36639169999999999</v>
      </c>
      <c r="X3029">
        <v>0.91429389999999999</v>
      </c>
      <c r="Y3029">
        <v>-0.2098016</v>
      </c>
      <c r="Z3029">
        <v>5.2108139999999997E-2</v>
      </c>
      <c r="AA3029">
        <v>0.97635450000000001</v>
      </c>
      <c r="AB3029">
        <v>8</v>
      </c>
      <c r="AC3029">
        <v>7.7342000000000404</v>
      </c>
      <c r="AD3029">
        <v>-1.11036945977</v>
      </c>
      <c r="AE3029">
        <v>-15.4596999999999</v>
      </c>
      <c r="AF3029">
        <v>-3.6442273533126501</v>
      </c>
      <c r="AG3029">
        <v>-1.11036945977</v>
      </c>
      <c r="AH3029">
        <v>16.825252374696301</v>
      </c>
      <c r="AI3029">
        <v>93.690389696692307</v>
      </c>
      <c r="AJ3029">
        <v>102.221076334297</v>
      </c>
      <c r="AK3029">
        <v>17.2511573760153</v>
      </c>
      <c r="AL3029">
        <v>68.506743224535896</v>
      </c>
      <c r="AM3029">
        <v>100.69622883622201</v>
      </c>
      <c r="AN3029">
        <v>0.99999994002409298</v>
      </c>
    </row>
    <row r="3030" spans="1:40" x14ac:dyDescent="0.25">
      <c r="A3030" t="str">
        <f>"20190304164147885"</f>
        <v>20190304164147885</v>
      </c>
      <c r="B3030" t="str">
        <f>"1551688907873710"</f>
        <v>1551688907873710</v>
      </c>
      <c r="C3030" t="s">
        <v>40</v>
      </c>
      <c r="D3030">
        <v>4.2200280000000001</v>
      </c>
      <c r="E3030">
        <v>0.48587269999999999</v>
      </c>
      <c r="F3030" t="s">
        <v>42</v>
      </c>
      <c r="G3030">
        <v>-489.24110000000002</v>
      </c>
      <c r="H3030" s="1">
        <v>-1.3859050000000001E-6</v>
      </c>
      <c r="I3030">
        <v>242.5496</v>
      </c>
      <c r="J3030">
        <v>-496.95030000000003</v>
      </c>
      <c r="K3030">
        <v>1.1103529999999999</v>
      </c>
      <c r="L3030">
        <v>258.10509999999999</v>
      </c>
      <c r="M3030">
        <v>0.24528939999999999</v>
      </c>
      <c r="N3030">
        <v>-1.210119E-2</v>
      </c>
      <c r="O3030">
        <v>-0.96937450000000003</v>
      </c>
      <c r="P3030">
        <v>0.3936479</v>
      </c>
      <c r="Q3030">
        <v>0.35552009999999901</v>
      </c>
      <c r="R3030">
        <v>-0.8477306</v>
      </c>
      <c r="S3030">
        <v>1.457581</v>
      </c>
      <c r="T3030">
        <v>-0.2095263</v>
      </c>
      <c r="U3030">
        <v>-2.9489749999999999</v>
      </c>
      <c r="V3030">
        <v>-0.17323429999999901</v>
      </c>
      <c r="W3030">
        <v>0.36681140000000001</v>
      </c>
      <c r="X3030">
        <v>0.91402360000000005</v>
      </c>
      <c r="Y3030">
        <v>-0.20894450000000001</v>
      </c>
      <c r="Z3030">
        <v>5.1876909999999998E-2</v>
      </c>
      <c r="AA3030">
        <v>0.97655049999999999</v>
      </c>
      <c r="AB3030">
        <v>8</v>
      </c>
      <c r="AC3030">
        <v>7.7092000000000098</v>
      </c>
      <c r="AD3030">
        <v>-1.110354385905</v>
      </c>
      <c r="AE3030">
        <v>-15.555499999999901</v>
      </c>
      <c r="AF3030">
        <v>-3.6428689921459099</v>
      </c>
      <c r="AG3030">
        <v>-1.110354385905</v>
      </c>
      <c r="AH3030">
        <v>16.902192869708401</v>
      </c>
      <c r="AI3030">
        <v>93.674393518824203</v>
      </c>
      <c r="AJ3030">
        <v>102.162705660415</v>
      </c>
      <c r="AK3030">
        <v>17.325920037939099</v>
      </c>
      <c r="AL3030">
        <v>68.480896553305499</v>
      </c>
      <c r="AM3030">
        <v>100.73193822179699</v>
      </c>
      <c r="AN3030">
        <v>0.99999993361170203</v>
      </c>
    </row>
    <row r="3031" spans="1:40" x14ac:dyDescent="0.25">
      <c r="A3031" t="str">
        <f>"20190304164147907"</f>
        <v>20190304164147907</v>
      </c>
      <c r="B3031" t="str">
        <f>"1551688907903967"</f>
        <v>1551688907903967</v>
      </c>
      <c r="C3031" t="s">
        <v>40</v>
      </c>
      <c r="D3031">
        <v>4.4946650000000004</v>
      </c>
      <c r="E3031">
        <v>0.50463930000000001</v>
      </c>
      <c r="F3031" t="s">
        <v>42</v>
      </c>
      <c r="G3031">
        <v>-489.29939999999999</v>
      </c>
      <c r="H3031" s="1">
        <v>-1.354096E-6</v>
      </c>
      <c r="I3031">
        <v>242.49950000000001</v>
      </c>
      <c r="J3031">
        <v>-496.93369999999999</v>
      </c>
      <c r="K3031">
        <v>1.110358</v>
      </c>
      <c r="L3031">
        <v>258.02510000000001</v>
      </c>
      <c r="M3031">
        <v>0.2423874</v>
      </c>
      <c r="N3031">
        <v>-1.209584E-2</v>
      </c>
      <c r="O3031">
        <v>-0.97010430000000003</v>
      </c>
      <c r="P3031">
        <v>0.39144299999999999</v>
      </c>
      <c r="Q3031">
        <v>0.35463699999999998</v>
      </c>
      <c r="R3031">
        <v>-0.8491206</v>
      </c>
      <c r="S3031">
        <v>1.448456</v>
      </c>
      <c r="T3031">
        <v>-0.2102087</v>
      </c>
      <c r="U3031">
        <v>-2.9544069999999998</v>
      </c>
      <c r="V3031">
        <v>-0.1735111</v>
      </c>
      <c r="W3031">
        <v>0.36592580000000002</v>
      </c>
      <c r="X3031">
        <v>0.91432610000000003</v>
      </c>
      <c r="Y3031">
        <v>-0.20872389999999999</v>
      </c>
      <c r="Z3031">
        <v>5.2083400000000002E-2</v>
      </c>
      <c r="AA3031">
        <v>0.97658670000000003</v>
      </c>
      <c r="AB3031">
        <v>8</v>
      </c>
      <c r="AC3031">
        <v>7.6342999999999899</v>
      </c>
      <c r="AD3031">
        <v>-1.110359354096</v>
      </c>
      <c r="AE3031">
        <v>-15.525599999999899</v>
      </c>
      <c r="AF3031">
        <v>-3.6281792724969502</v>
      </c>
      <c r="AG3031">
        <v>-1.110359354096</v>
      </c>
      <c r="AH3031">
        <v>16.843766281552298</v>
      </c>
      <c r="AI3031">
        <v>93.687214645401895</v>
      </c>
      <c r="AJ3031">
        <v>102.15588816393699</v>
      </c>
      <c r="AK3031">
        <v>17.265834624372001</v>
      </c>
      <c r="AL3031">
        <v>68.535430989789901</v>
      </c>
      <c r="AM3031">
        <v>100.745213560276</v>
      </c>
      <c r="AN3031">
        <v>1.0000000050350299</v>
      </c>
    </row>
    <row r="3032" spans="1:40" x14ac:dyDescent="0.25">
      <c r="A3032" t="str">
        <f>"20190304164147929"</f>
        <v>20190304164147929</v>
      </c>
      <c r="B3032" t="str">
        <f>"1551688907924464"</f>
        <v>1551688907924464</v>
      </c>
      <c r="C3032" t="s">
        <v>40</v>
      </c>
      <c r="D3032">
        <v>4.3762879999999997</v>
      </c>
      <c r="E3032">
        <v>0.55771119999999996</v>
      </c>
      <c r="F3032" t="s">
        <v>42</v>
      </c>
      <c r="G3032">
        <v>-490.5215</v>
      </c>
      <c r="H3032" s="1">
        <v>-1.6618689999999999E-6</v>
      </c>
      <c r="I3032">
        <v>243.1395</v>
      </c>
      <c r="J3032">
        <v>-496.91800000000001</v>
      </c>
      <c r="K3032">
        <v>1.110366</v>
      </c>
      <c r="L3032">
        <v>257.94839999999999</v>
      </c>
      <c r="M3032">
        <v>0.23963950000000001</v>
      </c>
      <c r="N3032">
        <v>-1.2091559999999999E-2</v>
      </c>
      <c r="O3032">
        <v>-0.97078660000000006</v>
      </c>
      <c r="P3032">
        <v>0.3886078</v>
      </c>
      <c r="Q3032">
        <v>0.35477880000000001</v>
      </c>
      <c r="R3032">
        <v>-0.85036219999999996</v>
      </c>
      <c r="S3032">
        <v>1.30365</v>
      </c>
      <c r="T3032">
        <v>-0.22574540000000001</v>
      </c>
      <c r="U3032">
        <v>-3.026367</v>
      </c>
      <c r="V3032">
        <v>-0.17306340000000001</v>
      </c>
      <c r="W3032">
        <v>0.36606250000000001</v>
      </c>
      <c r="X3032">
        <v>0.91435619999999995</v>
      </c>
      <c r="Y3032">
        <v>-0.16326740000000001</v>
      </c>
      <c r="Z3032">
        <v>5.6227770000000003E-2</v>
      </c>
      <c r="AA3032">
        <v>0.98497829999999997</v>
      </c>
      <c r="AB3032">
        <v>8</v>
      </c>
      <c r="AC3032">
        <v>6.3964999999999996</v>
      </c>
      <c r="AD3032">
        <v>-1.1103676618689999</v>
      </c>
      <c r="AE3032">
        <v>-14.8088999999999</v>
      </c>
      <c r="AF3032">
        <v>-2.6484852172823201</v>
      </c>
      <c r="AG3032">
        <v>-1.1103676618689999</v>
      </c>
      <c r="AH3032">
        <v>15.835272003991699</v>
      </c>
      <c r="AI3032">
        <v>93.956234336002495</v>
      </c>
      <c r="AJ3032">
        <v>99.494964977593597</v>
      </c>
      <c r="AK3032">
        <v>16.093577281980899</v>
      </c>
      <c r="AL3032">
        <v>68.527014088598406</v>
      </c>
      <c r="AM3032">
        <v>100.717786785551</v>
      </c>
      <c r="AN3032">
        <v>0.99999997740212399</v>
      </c>
    </row>
    <row r="3033" spans="1:40" x14ac:dyDescent="0.25">
      <c r="A3033" t="str">
        <f>"20190304164147952"</f>
        <v>20190304164147952</v>
      </c>
      <c r="B3033" t="str">
        <f>"1551688907943981"</f>
        <v>1551688907943981</v>
      </c>
      <c r="C3033" t="s">
        <v>40</v>
      </c>
      <c r="D3033">
        <v>4.4336330000000004</v>
      </c>
      <c r="E3033">
        <v>0.5603224</v>
      </c>
      <c r="F3033" t="s">
        <v>42</v>
      </c>
      <c r="G3033">
        <v>-493.43329999999997</v>
      </c>
      <c r="H3033" s="1">
        <v>-3.526047E-6</v>
      </c>
      <c r="I3033">
        <v>245.679</v>
      </c>
      <c r="J3033">
        <v>-496.90159999999997</v>
      </c>
      <c r="K3033">
        <v>1.1103670000000001</v>
      </c>
      <c r="L3033">
        <v>257.86739999999998</v>
      </c>
      <c r="M3033">
        <v>0.23677200000000001</v>
      </c>
      <c r="N3033">
        <v>-1.2087809999999999E-2</v>
      </c>
      <c r="O3033">
        <v>-0.97149030000000003</v>
      </c>
      <c r="P3033">
        <v>0.3855421</v>
      </c>
      <c r="Q3033">
        <v>0.35465859999999999</v>
      </c>
      <c r="R3033">
        <v>-0.85180710000000004</v>
      </c>
      <c r="S3033">
        <v>0.91757200000000005</v>
      </c>
      <c r="T3033">
        <v>-0.29237069999999998</v>
      </c>
      <c r="U3033">
        <v>-3.2306520000000001</v>
      </c>
      <c r="V3033">
        <v>-0.17245629999999901</v>
      </c>
      <c r="W3033">
        <v>0.36593910000000002</v>
      </c>
      <c r="X3033">
        <v>0.91452029999999995</v>
      </c>
      <c r="Y3033">
        <v>-3.6892170000000002E-2</v>
      </c>
      <c r="Z3033">
        <v>7.2995119999999997E-2</v>
      </c>
      <c r="AA3033">
        <v>0.99664969999999997</v>
      </c>
      <c r="AB3033">
        <v>8</v>
      </c>
      <c r="AC3033">
        <v>3.4683000000000002</v>
      </c>
      <c r="AD3033">
        <v>-1.110370526047</v>
      </c>
      <c r="AE3033">
        <v>-12.1883999999999</v>
      </c>
      <c r="AF3033">
        <v>-0.47989868457193402</v>
      </c>
      <c r="AG3033">
        <v>-1.110370526047</v>
      </c>
      <c r="AH3033">
        <v>12.566549293870001</v>
      </c>
      <c r="AI3033">
        <v>95.045837721202503</v>
      </c>
      <c r="AJ3033">
        <v>92.186981784139306</v>
      </c>
      <c r="AK3033">
        <v>12.624634117780699</v>
      </c>
      <c r="AL3033">
        <v>68.534611818133001</v>
      </c>
      <c r="AM3033">
        <v>100.67918318037</v>
      </c>
      <c r="AN3033">
        <v>0.99999998971529502</v>
      </c>
    </row>
    <row r="3034" spans="1:40" x14ac:dyDescent="0.25">
      <c r="A3034" t="str">
        <f>"20190304164147974"</f>
        <v>20190304164147974</v>
      </c>
      <c r="B3034" t="str">
        <f>"1551688907963501"</f>
        <v>1551688907963501</v>
      </c>
      <c r="C3034" t="s">
        <v>40</v>
      </c>
      <c r="D3034">
        <v>4.3114710000000001</v>
      </c>
      <c r="E3034">
        <v>0.56130619999999998</v>
      </c>
      <c r="F3034" t="s">
        <v>41</v>
      </c>
      <c r="G3034">
        <v>-496.69990000000001</v>
      </c>
      <c r="H3034">
        <v>1.0306740000000001</v>
      </c>
      <c r="I3034">
        <v>257.1318</v>
      </c>
      <c r="J3034">
        <v>-496.88600000000002</v>
      </c>
      <c r="K3034">
        <v>1.1103590000000001</v>
      </c>
      <c r="L3034">
        <v>257.78960000000001</v>
      </c>
      <c r="M3034">
        <v>0.23405100000000001</v>
      </c>
      <c r="N3034">
        <v>-1.208453E-2</v>
      </c>
      <c r="O3034">
        <v>-0.97214940000000005</v>
      </c>
      <c r="P3034">
        <v>0.38318580000000002</v>
      </c>
      <c r="Q3034">
        <v>0.35341630000000002</v>
      </c>
      <c r="R3034">
        <v>-0.85338499999999995</v>
      </c>
      <c r="S3034">
        <v>0.89511109999999905</v>
      </c>
      <c r="T3034">
        <v>-0.35344300000000001</v>
      </c>
      <c r="U3034">
        <v>-3.2639309999999999</v>
      </c>
      <c r="V3034">
        <v>-0.1723701</v>
      </c>
      <c r="W3034">
        <v>0.36469980000000002</v>
      </c>
      <c r="X3034">
        <v>0.91503140000000005</v>
      </c>
      <c r="Y3034">
        <v>-3.027881E-2</v>
      </c>
      <c r="Z3034">
        <v>8.9713479999999998E-2</v>
      </c>
      <c r="AA3034">
        <v>0.99550720000000004</v>
      </c>
      <c r="AB3034">
        <v>8</v>
      </c>
      <c r="AC3034">
        <v>0.186099999999953</v>
      </c>
      <c r="AD3034">
        <v>-7.96850000000002E-2</v>
      </c>
      <c r="AE3034">
        <v>-0.65780000000000804</v>
      </c>
      <c r="AF3034">
        <v>-2.65988193552055E-2</v>
      </c>
      <c r="AG3034">
        <v>-7.96850000000002E-2</v>
      </c>
      <c r="AH3034">
        <v>0.67392979252844698</v>
      </c>
      <c r="AI3034">
        <v>96.738107491624007</v>
      </c>
      <c r="AJ3034">
        <v>92.2601901741142</v>
      </c>
      <c r="AK3034">
        <v>0.67914546429577705</v>
      </c>
      <c r="AL3034">
        <v>68.610889357350302</v>
      </c>
      <c r="AM3034">
        <v>100.668142839547</v>
      </c>
      <c r="AN3034">
        <v>0.99999992924000203</v>
      </c>
    </row>
    <row r="3035" spans="1:40" x14ac:dyDescent="0.25">
      <c r="A3035" t="str">
        <f>"20190304164147995"</f>
        <v>20190304164147995</v>
      </c>
      <c r="B3035" t="str">
        <f>"1551688907983998"</f>
        <v>1551688907983998</v>
      </c>
      <c r="C3035" t="s">
        <v>40</v>
      </c>
      <c r="D3035">
        <v>4.2840980000000002</v>
      </c>
      <c r="E3035">
        <v>0.56158069999999904</v>
      </c>
      <c r="F3035" t="s">
        <v>41</v>
      </c>
      <c r="G3035">
        <v>-496.69159999999999</v>
      </c>
      <c r="H3035">
        <v>1.0244249999999999</v>
      </c>
      <c r="I3035">
        <v>257.06560000000002</v>
      </c>
      <c r="J3035">
        <v>-496.87150000000003</v>
      </c>
      <c r="K3035">
        <v>1.110352</v>
      </c>
      <c r="L3035">
        <v>257.71620000000001</v>
      </c>
      <c r="M3035">
        <v>0.23151830000000001</v>
      </c>
      <c r="N3035">
        <v>-1.2081679999999999E-2</v>
      </c>
      <c r="O3035">
        <v>-0.97275560000000005</v>
      </c>
      <c r="P3035">
        <v>0.38115690000000002</v>
      </c>
      <c r="Q3035">
        <v>0.35181570000000001</v>
      </c>
      <c r="R3035">
        <v>-0.85495330000000003</v>
      </c>
      <c r="S3035">
        <v>0.88293459999999901</v>
      </c>
      <c r="T3035">
        <v>-0.38834619999999997</v>
      </c>
      <c r="U3035">
        <v>-3.279785</v>
      </c>
      <c r="V3035">
        <v>-0.1724301</v>
      </c>
      <c r="W3035">
        <v>0.36310360000000003</v>
      </c>
      <c r="X3035">
        <v>0.91565479999999999</v>
      </c>
      <c r="Y3035">
        <v>-2.796964E-2</v>
      </c>
      <c r="Z3035">
        <v>9.9248119999999995E-2</v>
      </c>
      <c r="AA3035">
        <v>0.99466960000000004</v>
      </c>
      <c r="AB3035">
        <v>8</v>
      </c>
      <c r="AC3035">
        <v>0.17990000000003101</v>
      </c>
      <c r="AD3035">
        <v>-8.5927000000000003E-2</v>
      </c>
      <c r="AE3035">
        <v>-0.65059999999999696</v>
      </c>
      <c r="AF3035">
        <v>-2.3986024246223502E-2</v>
      </c>
      <c r="AG3035">
        <v>-8.5927000000000003E-2</v>
      </c>
      <c r="AH3035">
        <v>0.663817350158451</v>
      </c>
      <c r="AI3035">
        <v>97.370810934823595</v>
      </c>
      <c r="AJ3035">
        <v>92.069395018448503</v>
      </c>
      <c r="AK3035">
        <v>0.66978522905445403</v>
      </c>
      <c r="AL3035">
        <v>68.709079335596996</v>
      </c>
      <c r="AM3035">
        <v>100.664672127917</v>
      </c>
      <c r="AN3035">
        <v>1.0000000382409999</v>
      </c>
    </row>
    <row r="3036" spans="1:40" x14ac:dyDescent="0.25">
      <c r="A3036" t="str">
        <f>"20190304164148019"</f>
        <v>20190304164148019</v>
      </c>
      <c r="B3036" t="str">
        <f>"1551688908004438"</f>
        <v>1551688908004438</v>
      </c>
      <c r="C3036" t="s">
        <v>40</v>
      </c>
      <c r="D3036">
        <v>4.2983699999999896</v>
      </c>
      <c r="E3036">
        <v>0.56202540000000001</v>
      </c>
      <c r="F3036" t="s">
        <v>41</v>
      </c>
      <c r="G3036">
        <v>-496.68020000000001</v>
      </c>
      <c r="H3036">
        <v>1.020878</v>
      </c>
      <c r="I3036">
        <v>256.99650000000003</v>
      </c>
      <c r="J3036">
        <v>-496.85550000000001</v>
      </c>
      <c r="K3036">
        <v>1.1103449999999999</v>
      </c>
      <c r="L3036">
        <v>257.6345</v>
      </c>
      <c r="M3036">
        <v>0.2287284</v>
      </c>
      <c r="N3036">
        <v>-1.207884E-2</v>
      </c>
      <c r="O3036">
        <v>-0.97341549999999999</v>
      </c>
      <c r="P3036">
        <v>0.37900679999999998</v>
      </c>
      <c r="Q3036">
        <v>0.34984379999999998</v>
      </c>
      <c r="R3036">
        <v>-0.85671649999999999</v>
      </c>
      <c r="S3036">
        <v>0.87484740000000005</v>
      </c>
      <c r="T3036">
        <v>-0.40766669999999999</v>
      </c>
      <c r="U3036">
        <v>-3.286667</v>
      </c>
      <c r="V3036">
        <v>-0.17257500000000001</v>
      </c>
      <c r="W3036">
        <v>0.36113719999999999</v>
      </c>
      <c r="X3036">
        <v>0.91640480000000002</v>
      </c>
      <c r="Y3036">
        <v>-2.7883249999999998E-2</v>
      </c>
      <c r="Z3036">
        <v>0.1046105</v>
      </c>
      <c r="AA3036">
        <v>0.99412230000000001</v>
      </c>
      <c r="AB3036">
        <v>8</v>
      </c>
      <c r="AC3036">
        <v>0.17529999999999199</v>
      </c>
      <c r="AD3036">
        <v>-8.9466999999999894E-2</v>
      </c>
      <c r="AE3036">
        <v>-0.63799999999997603</v>
      </c>
      <c r="AF3036">
        <v>-2.4269076527463001E-2</v>
      </c>
      <c r="AG3036">
        <v>-8.9466999999999894E-2</v>
      </c>
      <c r="AH3036">
        <v>0.64931117976186703</v>
      </c>
      <c r="AI3036">
        <v>97.839839737926198</v>
      </c>
      <c r="AJ3036">
        <v>92.1405278701302</v>
      </c>
      <c r="AK3036">
        <v>0.65589506807738895</v>
      </c>
      <c r="AL3036">
        <v>68.829947815128705</v>
      </c>
      <c r="AM3036">
        <v>100.66489341997401</v>
      </c>
      <c r="AN3036">
        <v>0.99999998265594003</v>
      </c>
    </row>
    <row r="3037" spans="1:40" x14ac:dyDescent="0.25">
      <c r="A3037" t="str">
        <f>"20190304164148042"</f>
        <v>20190304164148042</v>
      </c>
      <c r="B3037" t="str">
        <f>"1551688908033719"</f>
        <v>1551688908033719</v>
      </c>
      <c r="C3037" t="s">
        <v>40</v>
      </c>
      <c r="D3037">
        <v>4.1763349999999999</v>
      </c>
      <c r="E3037">
        <v>0.56230259999999999</v>
      </c>
      <c r="F3037" t="s">
        <v>41</v>
      </c>
      <c r="G3037">
        <v>-496.67</v>
      </c>
      <c r="H3037">
        <v>1.020319</v>
      </c>
      <c r="I3037">
        <v>256.92570000000001</v>
      </c>
      <c r="J3037">
        <v>-496.83949999999999</v>
      </c>
      <c r="K3037">
        <v>1.110328</v>
      </c>
      <c r="L3037">
        <v>257.55130000000003</v>
      </c>
      <c r="M3037">
        <v>0.22592290000000001</v>
      </c>
      <c r="N3037">
        <v>-1.207624E-2</v>
      </c>
      <c r="O3037">
        <v>-0.97407060000000001</v>
      </c>
      <c r="P3037">
        <v>0.37595460000000003</v>
      </c>
      <c r="Q3037">
        <v>0.34873900000000002</v>
      </c>
      <c r="R3037">
        <v>-0.85851029999999995</v>
      </c>
      <c r="S3037">
        <v>0.86251829999999996</v>
      </c>
      <c r="T3037">
        <v>-0.41745779999999899</v>
      </c>
      <c r="U3037">
        <v>-3.2905730000000002</v>
      </c>
      <c r="V3037">
        <v>-0.17185159999999999</v>
      </c>
      <c r="W3037">
        <v>0.3600352</v>
      </c>
      <c r="X3037">
        <v>0.91697419999999996</v>
      </c>
      <c r="Y3037">
        <v>-2.6911569999999999E-2</v>
      </c>
      <c r="Z3037">
        <v>0.10739890000000001</v>
      </c>
      <c r="AA3037">
        <v>0.9938517</v>
      </c>
      <c r="AB3037">
        <v>8</v>
      </c>
      <c r="AC3037">
        <v>0.16949999999997001</v>
      </c>
      <c r="AD3037">
        <v>-9.0009000000000006E-2</v>
      </c>
      <c r="AE3037">
        <v>-0.62560000000001903</v>
      </c>
      <c r="AF3037">
        <v>-2.3319615171113701E-2</v>
      </c>
      <c r="AG3037">
        <v>-9.0009000000000006E-2</v>
      </c>
      <c r="AH3037">
        <v>0.63546479826327096</v>
      </c>
      <c r="AI3037">
        <v>98.056552782393993</v>
      </c>
      <c r="AJ3037">
        <v>92.101636864911995</v>
      </c>
      <c r="AK3037">
        <v>0.64223121565718699</v>
      </c>
      <c r="AL3037">
        <v>68.897642220705606</v>
      </c>
      <c r="AM3037">
        <v>100.614762148412</v>
      </c>
      <c r="AN3037">
        <v>1.00000000056361</v>
      </c>
    </row>
    <row r="3038" spans="1:40" x14ac:dyDescent="0.25">
      <c r="A3038" t="str">
        <f>"20190304164148064"</f>
        <v>20190304164148064</v>
      </c>
      <c r="B3038" t="str">
        <f>"1551688908054215"</f>
        <v>1551688908054215</v>
      </c>
      <c r="C3038" t="s">
        <v>40</v>
      </c>
      <c r="D3038">
        <v>4.2526120000000001</v>
      </c>
      <c r="E3038">
        <v>0.5621642</v>
      </c>
      <c r="F3038" t="s">
        <v>41</v>
      </c>
      <c r="G3038">
        <v>-496.64299999999997</v>
      </c>
      <c r="H3038">
        <v>1.0125740000000001</v>
      </c>
      <c r="I3038">
        <v>256.78859999999997</v>
      </c>
      <c r="J3038">
        <v>-496.82429999999999</v>
      </c>
      <c r="K3038">
        <v>1.110317</v>
      </c>
      <c r="L3038">
        <v>257.47109999999998</v>
      </c>
      <c r="M3038">
        <v>0.2232478</v>
      </c>
      <c r="N3038">
        <v>-1.207424E-2</v>
      </c>
      <c r="O3038">
        <v>-0.97468710000000003</v>
      </c>
      <c r="P3038">
        <v>0.37280570000000002</v>
      </c>
      <c r="Q3038">
        <v>0.34665319999999999</v>
      </c>
      <c r="R3038">
        <v>-0.86072519999999997</v>
      </c>
      <c r="S3038">
        <v>0.84881589999999996</v>
      </c>
      <c r="T3038">
        <v>-0.42156300000000002</v>
      </c>
      <c r="U3038">
        <v>-3.2939150000000001</v>
      </c>
      <c r="V3038">
        <v>-0.170821</v>
      </c>
      <c r="W3038">
        <v>0.35795719999999998</v>
      </c>
      <c r="X3038">
        <v>0.91797980000000001</v>
      </c>
      <c r="Y3038">
        <v>-2.550384E-2</v>
      </c>
      <c r="Z3038">
        <v>0.1086052</v>
      </c>
      <c r="AA3038">
        <v>0.99375769999999997</v>
      </c>
      <c r="AB3038">
        <v>8</v>
      </c>
      <c r="AC3038">
        <v>0.18129999999996399</v>
      </c>
      <c r="AD3038">
        <v>-9.7742999999999899E-2</v>
      </c>
      <c r="AE3038">
        <v>-0.68250000000000399</v>
      </c>
      <c r="AF3038">
        <v>-2.3888264416035799E-2</v>
      </c>
      <c r="AG3038">
        <v>-9.7742999999999899E-2</v>
      </c>
      <c r="AH3038">
        <v>0.69248342755618397</v>
      </c>
      <c r="AI3038">
        <v>98.029425878366993</v>
      </c>
      <c r="AJ3038">
        <v>91.975721213108898</v>
      </c>
      <c r="AK3038">
        <v>0.69975541488849602</v>
      </c>
      <c r="AL3038">
        <v>69.025207355037097</v>
      </c>
      <c r="AM3038">
        <v>100.541238479272</v>
      </c>
      <c r="AN3038">
        <v>1.00000004214043</v>
      </c>
    </row>
    <row r="3039" spans="1:40" x14ac:dyDescent="0.25">
      <c r="A3039" t="str">
        <f>"20190304164148085"</f>
        <v>20190304164148085</v>
      </c>
      <c r="B3039" t="str">
        <f>"1551688908073735"</f>
        <v>1551688908073735</v>
      </c>
      <c r="C3039" t="s">
        <v>40</v>
      </c>
      <c r="D3039">
        <v>4.2176629999999999</v>
      </c>
      <c r="E3039">
        <v>0.56189100000000003</v>
      </c>
      <c r="F3039" t="s">
        <v>41</v>
      </c>
      <c r="G3039">
        <v>-496.63249999999999</v>
      </c>
      <c r="H3039">
        <v>1.011841</v>
      </c>
      <c r="I3039">
        <v>256.71800000000002</v>
      </c>
      <c r="J3039">
        <v>-496.81049999999999</v>
      </c>
      <c r="K3039">
        <v>1.1102970000000001</v>
      </c>
      <c r="L3039">
        <v>257.39769999999999</v>
      </c>
      <c r="M3039">
        <v>0.22082109999999999</v>
      </c>
      <c r="N3039">
        <v>-1.2072869999999999E-2</v>
      </c>
      <c r="O3039">
        <v>-0.97523959999999998</v>
      </c>
      <c r="P3039">
        <v>0.3694152</v>
      </c>
      <c r="Q3039">
        <v>0.34345989999999998</v>
      </c>
      <c r="R3039">
        <v>-0.86346239999999996</v>
      </c>
      <c r="S3039">
        <v>0.8392944</v>
      </c>
      <c r="T3039">
        <v>-0.43082920000000002</v>
      </c>
      <c r="U3039">
        <v>-3.29541</v>
      </c>
      <c r="V3039">
        <v>-0.16920729999999901</v>
      </c>
      <c r="W3039">
        <v>0.35477920000000002</v>
      </c>
      <c r="X3039">
        <v>0.91951110000000003</v>
      </c>
      <c r="Y3039">
        <v>-2.5113710000000001E-2</v>
      </c>
      <c r="Z3039">
        <v>0.1112981</v>
      </c>
      <c r="AA3039">
        <v>0.99346970000000001</v>
      </c>
      <c r="AB3039">
        <v>8</v>
      </c>
      <c r="AC3039">
        <v>0.17799999999999699</v>
      </c>
      <c r="AD3039">
        <v>-9.8455999999999794E-2</v>
      </c>
      <c r="AE3039">
        <v>-0.679699999999968</v>
      </c>
      <c r="AF3039">
        <v>-2.3049668002493799E-2</v>
      </c>
      <c r="AG3039">
        <v>-9.8455999999999794E-2</v>
      </c>
      <c r="AH3039">
        <v>0.68870462416767997</v>
      </c>
      <c r="AI3039">
        <v>98.131286999999304</v>
      </c>
      <c r="AJ3039">
        <v>91.916868112803101</v>
      </c>
      <c r="AK3039">
        <v>0.69608830652509202</v>
      </c>
      <c r="AL3039">
        <v>69.220087919494702</v>
      </c>
      <c r="AM3039">
        <v>100.426848648529</v>
      </c>
      <c r="AN3039">
        <v>1.0000000270745599</v>
      </c>
    </row>
    <row r="3040" spans="1:40" x14ac:dyDescent="0.25">
      <c r="A3040" t="str">
        <f>"20190304164148109"</f>
        <v>20190304164148109</v>
      </c>
      <c r="B3040" t="str">
        <f>"1551688908103524"</f>
        <v>1551688908103524</v>
      </c>
      <c r="C3040" t="s">
        <v>40</v>
      </c>
      <c r="D3040">
        <v>4.1003629999999998</v>
      </c>
      <c r="E3040">
        <v>0.56168490000000004</v>
      </c>
      <c r="F3040" t="s">
        <v>41</v>
      </c>
      <c r="G3040">
        <v>-496.62270000000001</v>
      </c>
      <c r="H3040">
        <v>1.009015</v>
      </c>
      <c r="I3040">
        <v>256.64850000000001</v>
      </c>
      <c r="J3040">
        <v>-496.79570000000001</v>
      </c>
      <c r="K3040">
        <v>1.110279</v>
      </c>
      <c r="L3040">
        <v>257.31819999999999</v>
      </c>
      <c r="M3040">
        <v>0.21821160000000001</v>
      </c>
      <c r="N3040">
        <v>-1.207192E-2</v>
      </c>
      <c r="O3040">
        <v>-0.975827</v>
      </c>
      <c r="P3040">
        <v>0.36611460000000001</v>
      </c>
      <c r="Q3040">
        <v>0.34024140000000003</v>
      </c>
      <c r="R3040">
        <v>-0.86613890000000004</v>
      </c>
      <c r="S3040">
        <v>0.82769780000000004</v>
      </c>
      <c r="T3040">
        <v>-0.44483630000000002</v>
      </c>
      <c r="U3040">
        <v>-3.2971949999999999</v>
      </c>
      <c r="V3040">
        <v>-0.16787389999999999</v>
      </c>
      <c r="W3040">
        <v>0.35157699999999997</v>
      </c>
      <c r="X3040">
        <v>0.92098420000000003</v>
      </c>
      <c r="Y3040">
        <v>-2.4261029999999999E-2</v>
      </c>
      <c r="Z3040">
        <v>0.1153293</v>
      </c>
      <c r="AA3040">
        <v>0.993031</v>
      </c>
      <c r="AB3040">
        <v>8</v>
      </c>
      <c r="AC3040">
        <v>0.17300000000000099</v>
      </c>
      <c r="AD3040">
        <v>-0.10126400000000001</v>
      </c>
      <c r="AE3040">
        <v>-0.66969999999997698</v>
      </c>
      <c r="AF3040">
        <v>-2.2207426904343502E-2</v>
      </c>
      <c r="AG3040">
        <v>-0.10126400000000001</v>
      </c>
      <c r="AH3040">
        <v>0.67680583513033699</v>
      </c>
      <c r="AI3040">
        <v>98.504986718684805</v>
      </c>
      <c r="AJ3040">
        <v>91.879321114774697</v>
      </c>
      <c r="AK3040">
        <v>0.68469971956484998</v>
      </c>
      <c r="AL3040">
        <v>69.416197393953595</v>
      </c>
      <c r="AM3040">
        <v>100.330271238177</v>
      </c>
      <c r="AN3040">
        <v>0.99999996493992405</v>
      </c>
    </row>
    <row r="3041" spans="1:40" x14ac:dyDescent="0.25">
      <c r="A3041" t="str">
        <f>"20190304164148130"</f>
        <v>20190304164148130</v>
      </c>
      <c r="B3041" t="str">
        <f>"1551688908124020"</f>
        <v>1551688908124020</v>
      </c>
      <c r="C3041" t="s">
        <v>40</v>
      </c>
      <c r="D3041">
        <v>4.1629639999999997</v>
      </c>
      <c r="E3041">
        <v>0.56141750000000001</v>
      </c>
      <c r="F3041" t="s">
        <v>41</v>
      </c>
      <c r="G3041">
        <v>-496.61270000000002</v>
      </c>
      <c r="H3041">
        <v>1.0088379999999999</v>
      </c>
      <c r="I3041">
        <v>256.57769999999999</v>
      </c>
      <c r="J3041">
        <v>-496.78109999999998</v>
      </c>
      <c r="K3041">
        <v>1.110263</v>
      </c>
      <c r="L3041">
        <v>257.23840000000001</v>
      </c>
      <c r="M3041">
        <v>0.2156103</v>
      </c>
      <c r="N3041">
        <v>-1.207102E-2</v>
      </c>
      <c r="O3041">
        <v>-0.97640470000000001</v>
      </c>
      <c r="P3041">
        <v>0.36298370000000002</v>
      </c>
      <c r="Q3041">
        <v>0.33720679999999997</v>
      </c>
      <c r="R3041">
        <v>-0.86863939999999995</v>
      </c>
      <c r="S3041">
        <v>0.81488039999999995</v>
      </c>
      <c r="T3041">
        <v>-0.45116329999999999</v>
      </c>
      <c r="U3041">
        <v>-3.2964479999999998</v>
      </c>
      <c r="V3041">
        <v>-0.16674340000000001</v>
      </c>
      <c r="W3041">
        <v>0.34855760000000002</v>
      </c>
      <c r="X3041">
        <v>0.9223363</v>
      </c>
      <c r="Y3041">
        <v>-2.328736E-2</v>
      </c>
      <c r="Z3041">
        <v>0.1173004</v>
      </c>
      <c r="AA3041">
        <v>0.99282340000000002</v>
      </c>
      <c r="AB3041">
        <v>8</v>
      </c>
      <c r="AC3041">
        <v>0.168399999999962</v>
      </c>
      <c r="AD3041">
        <v>-0.101425</v>
      </c>
      <c r="AE3041">
        <v>-0.66070000000001905</v>
      </c>
      <c r="AF3041">
        <v>-2.1498703264377101E-2</v>
      </c>
      <c r="AG3041">
        <v>-0.101425</v>
      </c>
      <c r="AH3041">
        <v>0.66671589877292203</v>
      </c>
      <c r="AI3041">
        <v>98.6454479904002</v>
      </c>
      <c r="AJ3041">
        <v>91.8469010572434</v>
      </c>
      <c r="AK3041">
        <v>0.67472906751053396</v>
      </c>
      <c r="AL3041">
        <v>69.600883288714499</v>
      </c>
      <c r="AM3041">
        <v>100.24746315117299</v>
      </c>
      <c r="AN3041">
        <v>1.0000000061295</v>
      </c>
    </row>
    <row r="3042" spans="1:40" x14ac:dyDescent="0.25">
      <c r="A3042" t="str">
        <f>"20190304164148153"</f>
        <v>20190304164148153</v>
      </c>
      <c r="B3042" t="str">
        <f>"1551688908143539"</f>
        <v>1551688908143539</v>
      </c>
      <c r="C3042" t="s">
        <v>40</v>
      </c>
      <c r="D3042">
        <v>4.1823930000000002</v>
      </c>
      <c r="E3042">
        <v>0.56115789999999999</v>
      </c>
      <c r="F3042" t="s">
        <v>41</v>
      </c>
      <c r="G3042">
        <v>-496.60309999999998</v>
      </c>
      <c r="H3042">
        <v>1.0082040000000001</v>
      </c>
      <c r="I3042">
        <v>256.50709999999998</v>
      </c>
      <c r="J3042">
        <v>-496.76710000000003</v>
      </c>
      <c r="K3042">
        <v>1.110255</v>
      </c>
      <c r="L3042">
        <v>257.16079999999999</v>
      </c>
      <c r="M3042">
        <v>0.2131015</v>
      </c>
      <c r="N3042">
        <v>-1.207011E-2</v>
      </c>
      <c r="O3042">
        <v>-0.97695549999999998</v>
      </c>
      <c r="P3042">
        <v>0.3596992</v>
      </c>
      <c r="Q3042">
        <v>0.33567659999999899</v>
      </c>
      <c r="R3042">
        <v>-0.87059619999999904</v>
      </c>
      <c r="S3042">
        <v>0.80361939999999998</v>
      </c>
      <c r="T3042">
        <v>-0.45951160000000002</v>
      </c>
      <c r="U3042">
        <v>-3.2962340000000001</v>
      </c>
      <c r="V3042">
        <v>-0.16549839999999999</v>
      </c>
      <c r="W3042">
        <v>0.34703440000000002</v>
      </c>
      <c r="X3042">
        <v>0.92313460000000003</v>
      </c>
      <c r="Y3042">
        <v>-2.25998E-2</v>
      </c>
      <c r="Z3042">
        <v>0.1198116</v>
      </c>
      <c r="AA3042">
        <v>0.99253939999999996</v>
      </c>
      <c r="AB3042">
        <v>8</v>
      </c>
      <c r="AC3042">
        <v>0.164000000000044</v>
      </c>
      <c r="AD3042">
        <v>-0.102050999999999</v>
      </c>
      <c r="AE3042">
        <v>-0.65370000000001405</v>
      </c>
      <c r="AF3042">
        <v>-2.0448919955868401E-2</v>
      </c>
      <c r="AG3042">
        <v>-0.102050999999999</v>
      </c>
      <c r="AH3042">
        <v>0.65853456888865602</v>
      </c>
      <c r="AI3042">
        <v>98.804698485905604</v>
      </c>
      <c r="AJ3042">
        <v>91.7785861270971</v>
      </c>
      <c r="AK3042">
        <v>0.66670858952748602</v>
      </c>
      <c r="AL3042">
        <v>69.693968225928998</v>
      </c>
      <c r="AM3042">
        <v>100.16393997761</v>
      </c>
      <c r="AN3042">
        <v>1.0000000424515301</v>
      </c>
    </row>
    <row r="3043" spans="1:40" x14ac:dyDescent="0.25">
      <c r="A3043" t="str">
        <f>"20190304164148174"</f>
        <v>20190304164148174</v>
      </c>
      <c r="B3043" t="str">
        <f>"1551688908164035"</f>
        <v>1551688908164035</v>
      </c>
      <c r="C3043" t="s">
        <v>40</v>
      </c>
      <c r="D3043">
        <v>4.061286</v>
      </c>
      <c r="E3043">
        <v>0.56115329999999997</v>
      </c>
      <c r="F3043" t="s">
        <v>41</v>
      </c>
      <c r="G3043">
        <v>-496.59280000000001</v>
      </c>
      <c r="H3043">
        <v>1.008748</v>
      </c>
      <c r="I3043">
        <v>256.43619999999999</v>
      </c>
      <c r="J3043">
        <v>-496.75360000000001</v>
      </c>
      <c r="K3043">
        <v>1.110255</v>
      </c>
      <c r="L3043">
        <v>257.08479999999997</v>
      </c>
      <c r="M3043">
        <v>0.21067140000000001</v>
      </c>
      <c r="N3043">
        <v>-1.2069150000000001E-2</v>
      </c>
      <c r="O3043">
        <v>-0.97748270000000004</v>
      </c>
      <c r="P3043">
        <v>0.35631469999999998</v>
      </c>
      <c r="Q3043">
        <v>0.33465230000000001</v>
      </c>
      <c r="R3043">
        <v>-0.87238079999999996</v>
      </c>
      <c r="S3043">
        <v>0.79330440000000002</v>
      </c>
      <c r="T3043">
        <v>-0.46161659999999999</v>
      </c>
      <c r="U3043">
        <v>-3.2960820000000002</v>
      </c>
      <c r="V3043">
        <v>-0.16412389999999999</v>
      </c>
      <c r="W3043">
        <v>0.34601369999999998</v>
      </c>
      <c r="X3043">
        <v>0.92376290000000005</v>
      </c>
      <c r="Y3043">
        <v>-2.214205E-2</v>
      </c>
      <c r="Z3043">
        <v>0.12055689999999999</v>
      </c>
      <c r="AA3043">
        <v>0.99245950000000005</v>
      </c>
      <c r="AB3043">
        <v>8</v>
      </c>
      <c r="AC3043">
        <v>0.160799999999994</v>
      </c>
      <c r="AD3043">
        <v>-0.101507</v>
      </c>
      <c r="AE3043">
        <v>-0.64859999999998696</v>
      </c>
      <c r="AF3043">
        <v>-2.00759943717898E-2</v>
      </c>
      <c r="AG3043">
        <v>-0.101507</v>
      </c>
      <c r="AH3043">
        <v>0.65285537556526996</v>
      </c>
      <c r="AI3043">
        <v>98.833567679392601</v>
      </c>
      <c r="AJ3043">
        <v>91.761350859658705</v>
      </c>
      <c r="AK3043">
        <v>0.66100443115268603</v>
      </c>
      <c r="AL3043">
        <v>69.756312259175104</v>
      </c>
      <c r="AM3043">
        <v>100.074548452683</v>
      </c>
      <c r="AN3043">
        <v>1.00000001527765</v>
      </c>
    </row>
    <row r="3044" spans="1:40" x14ac:dyDescent="0.25">
      <c r="A3044" t="str">
        <f>"20190304164148196"</f>
        <v>20190304164148196</v>
      </c>
      <c r="B3044" t="str">
        <f>"1551688908183556"</f>
        <v>1551688908183556</v>
      </c>
      <c r="C3044" t="s">
        <v>40</v>
      </c>
      <c r="D3044">
        <v>4.1457240000000004</v>
      </c>
      <c r="E3044">
        <v>0.5609381</v>
      </c>
      <c r="F3044" t="s">
        <v>41</v>
      </c>
      <c r="G3044">
        <v>-496.58300000000003</v>
      </c>
      <c r="H3044">
        <v>1.0098499999999999</v>
      </c>
      <c r="I3044">
        <v>256.36489999999998</v>
      </c>
      <c r="J3044">
        <v>-496.74009999999998</v>
      </c>
      <c r="K3044">
        <v>1.110255</v>
      </c>
      <c r="L3044">
        <v>257.00839999999999</v>
      </c>
      <c r="M3044">
        <v>0.20824780000000001</v>
      </c>
      <c r="N3044">
        <v>-1.206813E-2</v>
      </c>
      <c r="O3044">
        <v>-0.97800180000000003</v>
      </c>
      <c r="P3044">
        <v>0.3529234</v>
      </c>
      <c r="Q3044">
        <v>0.3339086</v>
      </c>
      <c r="R3044">
        <v>-0.87404249999999895</v>
      </c>
      <c r="S3044">
        <v>0.78170779999999995</v>
      </c>
      <c r="T3044">
        <v>-0.45880559999999998</v>
      </c>
      <c r="U3044">
        <v>-3.2955930000000002</v>
      </c>
      <c r="V3044">
        <v>-0.16276769999999999</v>
      </c>
      <c r="W3044">
        <v>0.34527089999999999</v>
      </c>
      <c r="X3044">
        <v>0.92428060000000001</v>
      </c>
      <c r="Y3044">
        <v>-2.1369429999999998E-2</v>
      </c>
      <c r="Z3044">
        <v>0.1199339</v>
      </c>
      <c r="AA3044">
        <v>0.99255190000000004</v>
      </c>
      <c r="AB3044">
        <v>8</v>
      </c>
      <c r="AC3044">
        <v>0.157099999999957</v>
      </c>
      <c r="AD3044">
        <v>-0.10040499999999999</v>
      </c>
      <c r="AE3044">
        <v>-0.64350000000001695</v>
      </c>
      <c r="AF3044">
        <v>-1.9196984007430799E-2</v>
      </c>
      <c r="AG3044">
        <v>-0.10040499999999999</v>
      </c>
      <c r="AH3044">
        <v>0.647237193743045</v>
      </c>
      <c r="AI3044">
        <v>98.8141130650191</v>
      </c>
      <c r="AJ3044">
        <v>91.698888462051897</v>
      </c>
      <c r="AK3044">
        <v>0.65526000426117403</v>
      </c>
      <c r="AL3044">
        <v>69.801666049427197</v>
      </c>
      <c r="AM3044">
        <v>99.987500040050904</v>
      </c>
      <c r="AN3044">
        <v>0.99999997304322896</v>
      </c>
    </row>
    <row r="3045" spans="1:40" x14ac:dyDescent="0.25">
      <c r="A3045" t="str">
        <f>"20190304164148222"</f>
        <v>20190304164148222</v>
      </c>
      <c r="B3045" t="str">
        <f>"1551688908214239"</f>
        <v>1551688908214239</v>
      </c>
      <c r="C3045" t="s">
        <v>40</v>
      </c>
      <c r="D3045">
        <v>4.122725</v>
      </c>
      <c r="E3045">
        <v>0.56071910000000003</v>
      </c>
      <c r="F3045" t="s">
        <v>41</v>
      </c>
      <c r="G3045">
        <v>-496.5729</v>
      </c>
      <c r="H3045">
        <v>1.010864</v>
      </c>
      <c r="I3045">
        <v>256.29390000000001</v>
      </c>
      <c r="J3045">
        <v>-496.72449999999998</v>
      </c>
      <c r="K3045">
        <v>1.110269</v>
      </c>
      <c r="L3045">
        <v>256.91890000000001</v>
      </c>
      <c r="M3045">
        <v>0.20545140000000001</v>
      </c>
      <c r="N3045">
        <v>-1.206665E-2</v>
      </c>
      <c r="O3045">
        <v>-0.97859309999999999</v>
      </c>
      <c r="P3045">
        <v>0.3501631</v>
      </c>
      <c r="Q3045">
        <v>0.33289999999999997</v>
      </c>
      <c r="R3045">
        <v>-0.87553630000000005</v>
      </c>
      <c r="S3045">
        <v>0.77163700000000002</v>
      </c>
      <c r="T3045">
        <v>-0.45793210000000001</v>
      </c>
      <c r="U3045">
        <v>-3.2956850000000002</v>
      </c>
      <c r="V3045">
        <v>-0.16242379999999901</v>
      </c>
      <c r="W3045">
        <v>0.34426069999999998</v>
      </c>
      <c r="X3045">
        <v>0.92471780000000003</v>
      </c>
      <c r="Y3045">
        <v>-2.135126E-2</v>
      </c>
      <c r="Z3045">
        <v>0.1198405</v>
      </c>
      <c r="AA3045">
        <v>0.99256350000000004</v>
      </c>
      <c r="AB3045">
        <v>8</v>
      </c>
      <c r="AC3045">
        <v>0.15159999999997301</v>
      </c>
      <c r="AD3045">
        <v>-9.9404999999999896E-2</v>
      </c>
      <c r="AE3045">
        <v>-0.625</v>
      </c>
      <c r="AF3045">
        <v>-1.9483562969177699E-2</v>
      </c>
      <c r="AG3045">
        <v>-9.9404999999999896E-2</v>
      </c>
      <c r="AH3045">
        <v>0.62781490420220798</v>
      </c>
      <c r="AI3045">
        <v>98.992971355243498</v>
      </c>
      <c r="AJ3045">
        <v>91.777542629045001</v>
      </c>
      <c r="AK3045">
        <v>0.63593436547288495</v>
      </c>
      <c r="AL3045">
        <v>69.8633265779863</v>
      </c>
      <c r="AM3045">
        <v>99.962203918542798</v>
      </c>
      <c r="AN3045">
        <v>0.99999996500388399</v>
      </c>
    </row>
    <row r="3046" spans="1:40" x14ac:dyDescent="0.25">
      <c r="A3046" t="str">
        <f>"20190304164148243"</f>
        <v>20190304164148243</v>
      </c>
      <c r="B3046" t="str">
        <f>"1551688908233759"</f>
        <v>1551688908233759</v>
      </c>
      <c r="C3046" t="s">
        <v>40</v>
      </c>
      <c r="D3046">
        <v>4.0700779999999996</v>
      </c>
      <c r="E3046">
        <v>0.56060449999999995</v>
      </c>
      <c r="F3046" t="s">
        <v>41</v>
      </c>
      <c r="G3046">
        <v>-496.548</v>
      </c>
      <c r="H3046">
        <v>1.0052639999999999</v>
      </c>
      <c r="I3046">
        <v>256.15620000000001</v>
      </c>
      <c r="J3046">
        <v>-496.71179999999998</v>
      </c>
      <c r="K3046">
        <v>1.110277</v>
      </c>
      <c r="L3046">
        <v>256.8442</v>
      </c>
      <c r="M3046">
        <v>0.20315349999999999</v>
      </c>
      <c r="N3046">
        <v>-1.206554E-2</v>
      </c>
      <c r="O3046">
        <v>-0.97907279999999997</v>
      </c>
      <c r="P3046">
        <v>0.34924119999999997</v>
      </c>
      <c r="Q3046">
        <v>0.33181680000000002</v>
      </c>
      <c r="R3046">
        <v>-0.87631539999999997</v>
      </c>
      <c r="S3046">
        <v>0.76229859999999905</v>
      </c>
      <c r="T3046">
        <v>-0.45370880000000002</v>
      </c>
      <c r="U3046">
        <v>-3.2941440000000002</v>
      </c>
      <c r="V3046">
        <v>-0.163553799999999</v>
      </c>
      <c r="W3046">
        <v>0.34317530000000002</v>
      </c>
      <c r="X3046">
        <v>0.92492209999999997</v>
      </c>
      <c r="Y3046">
        <v>-2.1161180000000002E-2</v>
      </c>
      <c r="Z3046">
        <v>0.1188362</v>
      </c>
      <c r="AA3046">
        <v>0.99268840000000003</v>
      </c>
      <c r="AB3046">
        <v>8</v>
      </c>
      <c r="AC3046">
        <v>0.16379999999997999</v>
      </c>
      <c r="AD3046">
        <v>-0.105013</v>
      </c>
      <c r="AE3046">
        <v>-0.68799999999998795</v>
      </c>
      <c r="AF3046">
        <v>-2.0159538755211301E-2</v>
      </c>
      <c r="AG3046">
        <v>-0.105013</v>
      </c>
      <c r="AH3046">
        <v>0.69167992336488604</v>
      </c>
      <c r="AI3046">
        <v>98.629287168774695</v>
      </c>
      <c r="AJ3046">
        <v>91.669456566751407</v>
      </c>
      <c r="AK3046">
        <v>0.69989660204767301</v>
      </c>
      <c r="AL3046">
        <v>69.929551213447795</v>
      </c>
      <c r="AM3046">
        <v>100.027938911476</v>
      </c>
      <c r="AN3046">
        <v>1.00000001154647</v>
      </c>
    </row>
    <row r="3047" spans="1:40" x14ac:dyDescent="0.25">
      <c r="A3047" t="str">
        <f>"20190304164148266"</f>
        <v>20190304164148266</v>
      </c>
      <c r="B3047" t="str">
        <f>"1551688908254255"</f>
        <v>1551688908254255</v>
      </c>
      <c r="C3047" t="s">
        <v>40</v>
      </c>
      <c r="D3047">
        <v>3.985179</v>
      </c>
      <c r="E3047">
        <v>0.56060399999999999</v>
      </c>
      <c r="F3047" t="s">
        <v>41</v>
      </c>
      <c r="G3047">
        <v>-496.53739999999999</v>
      </c>
      <c r="H3047">
        <v>1.006246</v>
      </c>
      <c r="I3047">
        <v>256.08539999999999</v>
      </c>
      <c r="J3047">
        <v>-496.69830000000002</v>
      </c>
      <c r="K3047">
        <v>1.110285</v>
      </c>
      <c r="L3047">
        <v>256.76510000000002</v>
      </c>
      <c r="M3047">
        <v>0.2007485</v>
      </c>
      <c r="N3047">
        <v>-1.206429E-2</v>
      </c>
      <c r="O3047">
        <v>-0.97956869999999996</v>
      </c>
      <c r="P3047">
        <v>0.34767759999999998</v>
      </c>
      <c r="Q3047">
        <v>0.33149689999999998</v>
      </c>
      <c r="R3047">
        <v>-0.87705789999999995</v>
      </c>
      <c r="S3047">
        <v>0.75665280000000001</v>
      </c>
      <c r="T3047">
        <v>-0.45109939999999998</v>
      </c>
      <c r="U3047">
        <v>-3.2926790000000001</v>
      </c>
      <c r="V3047">
        <v>-0.1641619</v>
      </c>
      <c r="W3047">
        <v>0.34285139999999997</v>
      </c>
      <c r="X3047">
        <v>0.92493440000000005</v>
      </c>
      <c r="Y3047">
        <v>-2.2112779999999999E-2</v>
      </c>
      <c r="Z3047">
        <v>0.11826979999999999</v>
      </c>
      <c r="AA3047">
        <v>0.99273529999999999</v>
      </c>
      <c r="AB3047">
        <v>8</v>
      </c>
      <c r="AC3047">
        <v>0.16090000000002599</v>
      </c>
      <c r="AD3047">
        <v>-0.10403900000000001</v>
      </c>
      <c r="AE3047">
        <v>-0.67970000000002495</v>
      </c>
      <c r="AF3047">
        <v>-2.07060022106553E-2</v>
      </c>
      <c r="AG3047">
        <v>-0.10403900000000001</v>
      </c>
      <c r="AH3047">
        <v>0.68301070956152798</v>
      </c>
      <c r="AI3047">
        <v>98.657035712192396</v>
      </c>
      <c r="AJ3047">
        <v>91.736434405687007</v>
      </c>
      <c r="AK3047">
        <v>0.69119930658550999</v>
      </c>
      <c r="AL3047">
        <v>69.949306201881797</v>
      </c>
      <c r="AM3047">
        <v>100.064331241018</v>
      </c>
      <c r="AN3047">
        <v>0.99999992809846205</v>
      </c>
    </row>
    <row r="3048" spans="1:40" x14ac:dyDescent="0.25">
      <c r="A3048" t="str">
        <f>"20190304164148286"</f>
        <v>20190304164148286</v>
      </c>
      <c r="B3048" t="str">
        <f>"1551688908273775"</f>
        <v>1551688908273775</v>
      </c>
      <c r="C3048" t="s">
        <v>40</v>
      </c>
      <c r="D3048">
        <v>3.987187</v>
      </c>
      <c r="E3048">
        <v>0.56058599999999903</v>
      </c>
      <c r="F3048" t="s">
        <v>41</v>
      </c>
      <c r="G3048">
        <v>-496.5274</v>
      </c>
      <c r="H3048">
        <v>1.008267</v>
      </c>
      <c r="I3048">
        <v>256.01400000000001</v>
      </c>
      <c r="J3048">
        <v>-496.6866</v>
      </c>
      <c r="K3048">
        <v>1.110295</v>
      </c>
      <c r="L3048">
        <v>256.69499999999999</v>
      </c>
      <c r="M3048">
        <v>0.1986424</v>
      </c>
      <c r="N3048">
        <v>-1.2063239999999999E-2</v>
      </c>
      <c r="O3048">
        <v>-0.97999789999999998</v>
      </c>
      <c r="P3048">
        <v>0.3453251</v>
      </c>
      <c r="Q3048">
        <v>0.33178669999999999</v>
      </c>
      <c r="R3048">
        <v>-0.87787709999999997</v>
      </c>
      <c r="S3048">
        <v>0.74984740000000005</v>
      </c>
      <c r="T3048">
        <v>-0.44656560000000001</v>
      </c>
      <c r="U3048">
        <v>-3.292068</v>
      </c>
      <c r="V3048">
        <v>-0.1636956</v>
      </c>
      <c r="W3048">
        <v>0.34313670000000002</v>
      </c>
      <c r="X3048">
        <v>0.92491129999999999</v>
      </c>
      <c r="Y3048">
        <v>-2.238354E-2</v>
      </c>
      <c r="Z3048">
        <v>0.11711530000000001</v>
      </c>
      <c r="AA3048">
        <v>0.99286600000000003</v>
      </c>
      <c r="AB3048">
        <v>8</v>
      </c>
      <c r="AC3048">
        <v>0.15919999999999801</v>
      </c>
      <c r="AD3048">
        <v>-0.10202799999999999</v>
      </c>
      <c r="AE3048">
        <v>-0.68099999999998295</v>
      </c>
      <c r="AF3048">
        <v>-2.0309449131326901E-2</v>
      </c>
      <c r="AG3048">
        <v>-0.10202799999999999</v>
      </c>
      <c r="AH3048">
        <v>0.68448522512593002</v>
      </c>
      <c r="AI3048">
        <v>98.474298198639403</v>
      </c>
      <c r="AJ3048">
        <v>91.699531816250897</v>
      </c>
      <c r="AK3048">
        <v>0.69234544118071095</v>
      </c>
      <c r="AL3048">
        <v>69.931905115556603</v>
      </c>
      <c r="AM3048">
        <v>100.03657118855899</v>
      </c>
      <c r="AN3048">
        <v>0.99999997860696899</v>
      </c>
    </row>
    <row r="3049" spans="1:40" x14ac:dyDescent="0.25">
      <c r="A3049" t="str">
        <f>"20190304164148309"</f>
        <v>20190304164148309</v>
      </c>
      <c r="B3049" t="str">
        <f>"1551688908304032"</f>
        <v>1551688908304032</v>
      </c>
      <c r="C3049" t="s">
        <v>40</v>
      </c>
      <c r="D3049">
        <v>3.984337</v>
      </c>
      <c r="E3049">
        <v>0.560540699999999</v>
      </c>
      <c r="F3049" t="s">
        <v>41</v>
      </c>
      <c r="G3049">
        <v>-496.51679999999999</v>
      </c>
      <c r="H3049">
        <v>1.0093179999999999</v>
      </c>
      <c r="I3049">
        <v>255.94329999999999</v>
      </c>
      <c r="J3049">
        <v>-496.67270000000002</v>
      </c>
      <c r="K3049">
        <v>1.1103050000000001</v>
      </c>
      <c r="L3049">
        <v>256.61160000000001</v>
      </c>
      <c r="M3049">
        <v>0.1961791</v>
      </c>
      <c r="N3049">
        <v>-1.206191E-2</v>
      </c>
      <c r="O3049">
        <v>-0.98049390000000003</v>
      </c>
      <c r="P3049">
        <v>0.3428948</v>
      </c>
      <c r="Q3049">
        <v>0.33182260000000002</v>
      </c>
      <c r="R3049">
        <v>-0.87881589999999998</v>
      </c>
      <c r="S3049">
        <v>0.74481200000000003</v>
      </c>
      <c r="T3049">
        <v>-0.4410577</v>
      </c>
      <c r="U3049">
        <v>-3.2910460000000001</v>
      </c>
      <c r="V3049">
        <v>-0.16347</v>
      </c>
      <c r="W3049">
        <v>0.34316760000000002</v>
      </c>
      <c r="X3049">
        <v>0.92493979999999998</v>
      </c>
      <c r="Y3049">
        <v>-2.355523E-2</v>
      </c>
      <c r="Z3049">
        <v>0.11570039999999999</v>
      </c>
      <c r="AA3049">
        <v>0.99300480000000002</v>
      </c>
      <c r="AB3049">
        <v>8</v>
      </c>
      <c r="AC3049">
        <v>0.15590000000003101</v>
      </c>
      <c r="AD3049">
        <v>-0.10098699999999899</v>
      </c>
      <c r="AE3049">
        <v>-0.66830000000001599</v>
      </c>
      <c r="AF3049">
        <v>-2.1292971843973801E-2</v>
      </c>
      <c r="AG3049">
        <v>-0.10098699999999899</v>
      </c>
      <c r="AH3049">
        <v>0.67135943982623802</v>
      </c>
      <c r="AI3049">
        <v>98.550156041719205</v>
      </c>
      <c r="AJ3049">
        <v>91.816595585125896</v>
      </c>
      <c r="AK3049">
        <v>0.67924609845235595</v>
      </c>
      <c r="AL3049">
        <v>69.930021470584506</v>
      </c>
      <c r="AM3049">
        <v>100.022717193527</v>
      </c>
      <c r="AN3049">
        <v>1.0000000381068901</v>
      </c>
    </row>
    <row r="3050" spans="1:40" x14ac:dyDescent="0.25">
      <c r="A3050" t="str">
        <f>"20190304164148333"</f>
        <v>20190304164148333</v>
      </c>
      <c r="B3050" t="str">
        <f>"1551688908323552"</f>
        <v>1551688908323552</v>
      </c>
      <c r="C3050" t="s">
        <v>40</v>
      </c>
      <c r="D3050">
        <v>4.0060960000000003</v>
      </c>
      <c r="E3050">
        <v>0.56049119999999997</v>
      </c>
      <c r="F3050" t="s">
        <v>41</v>
      </c>
      <c r="G3050">
        <v>-496.50670000000002</v>
      </c>
      <c r="H3050">
        <v>1.0124230000000001</v>
      </c>
      <c r="I3050">
        <v>255.8715</v>
      </c>
      <c r="J3050">
        <v>-496.65949999999998</v>
      </c>
      <c r="K3050">
        <v>1.110311</v>
      </c>
      <c r="L3050">
        <v>256.53089999999997</v>
      </c>
      <c r="M3050">
        <v>0.1938405</v>
      </c>
      <c r="N3050">
        <v>-1.2060349999999999E-2</v>
      </c>
      <c r="O3050">
        <v>-0.98095909999999997</v>
      </c>
      <c r="P3050">
        <v>0.34032469999999998</v>
      </c>
      <c r="Q3050">
        <v>0.33204909999999999</v>
      </c>
      <c r="R3050">
        <v>-0.87972899999999998</v>
      </c>
      <c r="S3050">
        <v>0.7385254</v>
      </c>
      <c r="T3050">
        <v>-0.43487330000000002</v>
      </c>
      <c r="U3050">
        <v>-3.2897949999999998</v>
      </c>
      <c r="V3050">
        <v>-0.1629969</v>
      </c>
      <c r="W3050">
        <v>0.343387099999999</v>
      </c>
      <c r="X3050">
        <v>0.92494180000000004</v>
      </c>
      <c r="Y3050">
        <v>-2.4256460000000001E-2</v>
      </c>
      <c r="Z3050">
        <v>0.1140964</v>
      </c>
      <c r="AA3050">
        <v>0.99317350000000004</v>
      </c>
      <c r="AB3050">
        <v>8</v>
      </c>
      <c r="AC3050">
        <v>0.152799999999956</v>
      </c>
      <c r="AD3050">
        <v>-9.7888000000000197E-2</v>
      </c>
      <c r="AE3050">
        <v>-0.65939999999997601</v>
      </c>
      <c r="AF3050">
        <v>-2.1621525182455401E-2</v>
      </c>
      <c r="AG3050">
        <v>-9.7888000000000197E-2</v>
      </c>
      <c r="AH3050">
        <v>0.66265334823834998</v>
      </c>
      <c r="AI3050">
        <v>98.398629258463501</v>
      </c>
      <c r="AJ3050">
        <v>91.868824466445602</v>
      </c>
      <c r="AK3050">
        <v>0.67019326378792499</v>
      </c>
      <c r="AL3050">
        <v>69.916630831925005</v>
      </c>
      <c r="AM3050">
        <v>99.994274827625503</v>
      </c>
      <c r="AN3050">
        <v>1.0000000116216301</v>
      </c>
    </row>
    <row r="3051" spans="1:40" x14ac:dyDescent="0.25">
      <c r="A3051" t="str">
        <f>"20190304164148354"</f>
        <v>20190304164148354</v>
      </c>
      <c r="B3051" t="str">
        <f>"1551688908344048"</f>
        <v>1551688908344048</v>
      </c>
      <c r="C3051" t="s">
        <v>40</v>
      </c>
      <c r="D3051">
        <v>4.0201229999999999</v>
      </c>
      <c r="E3051">
        <v>0.56045509999999998</v>
      </c>
      <c r="F3051" t="s">
        <v>41</v>
      </c>
      <c r="G3051">
        <v>-496.49759999999998</v>
      </c>
      <c r="H3051">
        <v>1.0145869999999999</v>
      </c>
      <c r="I3051">
        <v>255.80019999999999</v>
      </c>
      <c r="J3051">
        <v>-496.6472</v>
      </c>
      <c r="K3051">
        <v>1.1103339999999999</v>
      </c>
      <c r="L3051">
        <v>256.45499999999998</v>
      </c>
      <c r="M3051">
        <v>0.1916843</v>
      </c>
      <c r="N3051">
        <v>-1.2058630000000001E-2</v>
      </c>
      <c r="O3051">
        <v>-0.98138270000000005</v>
      </c>
      <c r="P3051">
        <v>0.33712229999999999</v>
      </c>
      <c r="Q3051">
        <v>0.33272309999999999</v>
      </c>
      <c r="R3051">
        <v>-0.88070680000000001</v>
      </c>
      <c r="S3051">
        <v>0.73010249999999999</v>
      </c>
      <c r="T3051">
        <v>-0.43030829999999998</v>
      </c>
      <c r="U3051">
        <v>-3.2901150000000001</v>
      </c>
      <c r="V3051">
        <v>-0.161721799999999</v>
      </c>
      <c r="W3051">
        <v>0.34405160000000001</v>
      </c>
      <c r="X3051">
        <v>0.92491869999999998</v>
      </c>
      <c r="Y3051">
        <v>-2.404212E-2</v>
      </c>
      <c r="Z3051">
        <v>0.1128936</v>
      </c>
      <c r="AA3051">
        <v>0.99331619999999998</v>
      </c>
      <c r="AB3051">
        <v>8</v>
      </c>
      <c r="AC3051">
        <v>0.14960000000001999</v>
      </c>
      <c r="AD3051">
        <v>-9.5746999999999804E-2</v>
      </c>
      <c r="AE3051">
        <v>-0.65479999999999405</v>
      </c>
      <c r="AF3051">
        <v>-2.08772797578777E-2</v>
      </c>
      <c r="AG3051">
        <v>-9.5746999999999804E-2</v>
      </c>
      <c r="AH3051">
        <v>0.65796387626640795</v>
      </c>
      <c r="AI3051">
        <v>98.275466506803994</v>
      </c>
      <c r="AJ3051">
        <v>91.817392815641696</v>
      </c>
      <c r="AK3051">
        <v>0.665221625693727</v>
      </c>
      <c r="AL3051">
        <v>69.876087819190801</v>
      </c>
      <c r="AM3051">
        <v>99.917892201499996</v>
      </c>
      <c r="AN3051">
        <v>1.00000002283374</v>
      </c>
    </row>
    <row r="3052" spans="1:40" x14ac:dyDescent="0.25">
      <c r="A3052" t="str">
        <f>"20190304164148375"</f>
        <v>20190304164148375</v>
      </c>
      <c r="B3052" t="str">
        <f>"1551688908363567"</f>
        <v>1551688908363567</v>
      </c>
      <c r="C3052" t="s">
        <v>40</v>
      </c>
      <c r="D3052">
        <v>4.0099660000000004</v>
      </c>
      <c r="E3052">
        <v>0.55915899999999996</v>
      </c>
      <c r="F3052" t="s">
        <v>41</v>
      </c>
      <c r="G3052">
        <v>-496.48820000000001</v>
      </c>
      <c r="H3052">
        <v>1.0161180000000001</v>
      </c>
      <c r="I3052">
        <v>255.72929999999999</v>
      </c>
      <c r="J3052">
        <v>-496.63560000000001</v>
      </c>
      <c r="K3052">
        <v>1.1103540000000001</v>
      </c>
      <c r="L3052">
        <v>256.38310000000001</v>
      </c>
      <c r="M3052">
        <v>0.18969330000000001</v>
      </c>
      <c r="N3052">
        <v>-1.2056610000000001E-2</v>
      </c>
      <c r="O3052">
        <v>-0.98176940000000001</v>
      </c>
      <c r="P3052">
        <v>0.3336384</v>
      </c>
      <c r="Q3052">
        <v>0.33407480000000001</v>
      </c>
      <c r="R3052">
        <v>-0.881520999999999</v>
      </c>
      <c r="S3052">
        <v>0.72186280000000003</v>
      </c>
      <c r="T3052">
        <v>-0.4267801</v>
      </c>
      <c r="U3052">
        <v>-3.29129</v>
      </c>
      <c r="V3052">
        <v>-0.16004789999999999</v>
      </c>
      <c r="W3052">
        <v>0.34538869999999999</v>
      </c>
      <c r="X3052">
        <v>0.92471150000000002</v>
      </c>
      <c r="Y3052">
        <v>-2.3647899999999999E-2</v>
      </c>
      <c r="Z3052">
        <v>0.11194610000000001</v>
      </c>
      <c r="AA3052">
        <v>0.99343289999999995</v>
      </c>
      <c r="AB3052">
        <v>8</v>
      </c>
      <c r="AC3052">
        <v>0.147400000000004</v>
      </c>
      <c r="AD3052">
        <v>-9.4236E-2</v>
      </c>
      <c r="AE3052">
        <v>-0.65380000000001803</v>
      </c>
      <c r="AF3052">
        <v>-2.0291662186918798E-2</v>
      </c>
      <c r="AG3052">
        <v>-9.4236E-2</v>
      </c>
      <c r="AH3052">
        <v>0.65690315621232698</v>
      </c>
      <c r="AI3052">
        <v>98.159825912321196</v>
      </c>
      <c r="AJ3052">
        <v>91.769297370947001</v>
      </c>
      <c r="AK3052">
        <v>0.66393819884988203</v>
      </c>
      <c r="AL3052">
        <v>69.794475189873495</v>
      </c>
      <c r="AM3052">
        <v>99.819401635793994</v>
      </c>
      <c r="AN3052">
        <v>1.00000002130717</v>
      </c>
    </row>
    <row r="3053" spans="1:40" x14ac:dyDescent="0.25">
      <c r="A3053" t="str">
        <f>"20190304164148391"</f>
        <v>20190304164148391</v>
      </c>
      <c r="B3053" t="str">
        <f>"1551688908384064"</f>
        <v>1551688908384064</v>
      </c>
      <c r="C3053" t="s">
        <v>40</v>
      </c>
      <c r="D3053">
        <v>4.0139089999999999</v>
      </c>
      <c r="E3053">
        <v>0.55871800000000005</v>
      </c>
      <c r="F3053" t="s">
        <v>41</v>
      </c>
      <c r="G3053">
        <v>-496.4753</v>
      </c>
      <c r="H3053">
        <v>1.036286</v>
      </c>
      <c r="I3053">
        <v>255.64660000000001</v>
      </c>
      <c r="J3053">
        <v>-496.62619999999998</v>
      </c>
      <c r="K3053">
        <v>1.1103730000000001</v>
      </c>
      <c r="L3053">
        <v>256.32369999999997</v>
      </c>
      <c r="M3053">
        <v>0.18809210000000001</v>
      </c>
      <c r="N3053">
        <v>-1.20546E-2</v>
      </c>
      <c r="O3053">
        <v>-0.9820776</v>
      </c>
      <c r="P3053">
        <v>0.33156249999999998</v>
      </c>
      <c r="Q3053">
        <v>0.33403319999999997</v>
      </c>
      <c r="R3053">
        <v>-0.88231990000000005</v>
      </c>
      <c r="S3053">
        <v>0.71105959999999901</v>
      </c>
      <c r="T3053">
        <v>-0.32673560000000001</v>
      </c>
      <c r="U3053">
        <v>-3.2578740000000002</v>
      </c>
      <c r="V3053">
        <v>-0.15939220000000001</v>
      </c>
      <c r="W3053">
        <v>0.34533760000000002</v>
      </c>
      <c r="X3053">
        <v>0.92484379999999999</v>
      </c>
      <c r="Y3053">
        <v>-2.4864259999999999E-2</v>
      </c>
      <c r="Z3053">
        <v>8.4250279999999997E-2</v>
      </c>
      <c r="AA3053">
        <v>0.99613430000000003</v>
      </c>
      <c r="AB3053">
        <v>8</v>
      </c>
      <c r="AC3053">
        <v>0.150899999999978</v>
      </c>
      <c r="AD3053">
        <v>-7.4087E-2</v>
      </c>
      <c r="AE3053">
        <v>-0.67709999999996695</v>
      </c>
      <c r="AF3053">
        <v>-2.06048441503036E-2</v>
      </c>
      <c r="AG3053">
        <v>-7.4087E-2</v>
      </c>
      <c r="AH3053">
        <v>0.68557850963450595</v>
      </c>
      <c r="AI3053">
        <v>96.164967985105207</v>
      </c>
      <c r="AJ3053">
        <v>91.721488231906207</v>
      </c>
      <c r="AK3053">
        <v>0.68987776891571795</v>
      </c>
      <c r="AL3053">
        <v>69.797594367748204</v>
      </c>
      <c r="AM3053">
        <v>99.778578936013901</v>
      </c>
      <c r="AN3053">
        <v>0.99999999289651897</v>
      </c>
    </row>
    <row r="3054" spans="1:40" x14ac:dyDescent="0.25">
      <c r="A3054" t="str">
        <f>"20190304164148409"</f>
        <v>20190304164148409</v>
      </c>
      <c r="B3054" t="str">
        <f>"1551688908393824"</f>
        <v>1551688908393824</v>
      </c>
      <c r="C3054" t="s">
        <v>40</v>
      </c>
      <c r="D3054">
        <v>4.05375</v>
      </c>
      <c r="E3054">
        <v>0.55872029999999995</v>
      </c>
      <c r="F3054" t="s">
        <v>41</v>
      </c>
      <c r="G3054">
        <v>-496.46420000000001</v>
      </c>
      <c r="H3054">
        <v>1.0351459999999999</v>
      </c>
      <c r="I3054">
        <v>255.57749999999999</v>
      </c>
      <c r="J3054">
        <v>-496.61660000000001</v>
      </c>
      <c r="K3054">
        <v>1.1103989999999999</v>
      </c>
      <c r="L3054">
        <v>256.26350000000002</v>
      </c>
      <c r="M3054">
        <v>0.18651000000000001</v>
      </c>
      <c r="N3054">
        <v>-1.205231E-2</v>
      </c>
      <c r="O3054">
        <v>-0.98237920000000001</v>
      </c>
      <c r="P3054">
        <v>0.32989859999999999</v>
      </c>
      <c r="Q3054">
        <v>0.33340429999999999</v>
      </c>
      <c r="R3054">
        <v>-0.8831812</v>
      </c>
      <c r="S3054">
        <v>0.70788569999999995</v>
      </c>
      <c r="T3054">
        <v>-0.32802100000000001</v>
      </c>
      <c r="U3054">
        <v>-3.2583009999999999</v>
      </c>
      <c r="V3054">
        <v>-0.15911449999999999</v>
      </c>
      <c r="W3054">
        <v>0.3446999</v>
      </c>
      <c r="X3054">
        <v>0.92512950000000005</v>
      </c>
      <c r="Y3054">
        <v>-2.5513000000000001E-2</v>
      </c>
      <c r="Z3054">
        <v>8.4664799999999998E-2</v>
      </c>
      <c r="AA3054">
        <v>0.99608280000000005</v>
      </c>
      <c r="AB3054">
        <v>8</v>
      </c>
      <c r="AC3054">
        <v>0.15240000000000001</v>
      </c>
      <c r="AD3054">
        <v>-7.5253E-2</v>
      </c>
      <c r="AE3054">
        <v>-0.68600000000003503</v>
      </c>
      <c r="AF3054">
        <v>-2.15234843891784E-2</v>
      </c>
      <c r="AG3054">
        <v>-7.5253E-2</v>
      </c>
      <c r="AH3054">
        <v>0.69442376147816798</v>
      </c>
      <c r="AI3054">
        <v>96.181922059501801</v>
      </c>
      <c r="AJ3054">
        <v>91.775299477338095</v>
      </c>
      <c r="AK3054">
        <v>0.69882088899426797</v>
      </c>
      <c r="AL3054">
        <v>69.836522759687298</v>
      </c>
      <c r="AM3054">
        <v>99.758913636486497</v>
      </c>
      <c r="AN3054">
        <v>1.00000001847025</v>
      </c>
    </row>
    <row r="3055" spans="1:40" x14ac:dyDescent="0.25">
      <c r="A3055" t="str">
        <f>"20190304164148432"</f>
        <v>20190304164148432</v>
      </c>
      <c r="B3055" t="str">
        <f>"1551688908424080"</f>
        <v>1551688908424080</v>
      </c>
      <c r="C3055" t="s">
        <v>40</v>
      </c>
      <c r="D3055">
        <v>4.0320080000000003</v>
      </c>
      <c r="E3055">
        <v>0.55797010000000002</v>
      </c>
      <c r="F3055" t="s">
        <v>41</v>
      </c>
      <c r="G3055">
        <v>-496.45460000000003</v>
      </c>
      <c r="H3055">
        <v>1.0340510000000001</v>
      </c>
      <c r="I3055">
        <v>255.5085</v>
      </c>
      <c r="J3055">
        <v>-496.60379999999998</v>
      </c>
      <c r="K3055">
        <v>1.1104339999999999</v>
      </c>
      <c r="L3055">
        <v>256.18290000000002</v>
      </c>
      <c r="M3055">
        <v>0.1844691</v>
      </c>
      <c r="N3055">
        <v>-1.2048939999999999E-2</v>
      </c>
      <c r="O3055">
        <v>-0.98276450000000004</v>
      </c>
      <c r="P3055">
        <v>0.32805060000000003</v>
      </c>
      <c r="Q3055">
        <v>0.33301550000000002</v>
      </c>
      <c r="R3055">
        <v>-0.88401569999999996</v>
      </c>
      <c r="S3055">
        <v>0.70019529999999996</v>
      </c>
      <c r="T3055">
        <v>-0.32917370000000001</v>
      </c>
      <c r="U3055">
        <v>-3.2594910000000001</v>
      </c>
      <c r="V3055">
        <v>-0.15910469999999999</v>
      </c>
      <c r="W3055">
        <v>0.34429559999999998</v>
      </c>
      <c r="X3055">
        <v>0.92528169999999998</v>
      </c>
      <c r="Y3055">
        <v>-2.526194E-2</v>
      </c>
      <c r="Z3055">
        <v>8.5044999999999996E-2</v>
      </c>
      <c r="AA3055">
        <v>0.99605679999999996</v>
      </c>
      <c r="AB3055">
        <v>8</v>
      </c>
      <c r="AC3055">
        <v>0.14919999999995001</v>
      </c>
      <c r="AD3055">
        <v>-7.6382999999999798E-2</v>
      </c>
      <c r="AE3055">
        <v>-0.67440000000001898</v>
      </c>
      <c r="AF3055">
        <v>-2.19556102767848E-2</v>
      </c>
      <c r="AG3055">
        <v>-7.6382999999999798E-2</v>
      </c>
      <c r="AH3055">
        <v>0.68200868079239496</v>
      </c>
      <c r="AI3055">
        <v>96.387050253430104</v>
      </c>
      <c r="AJ3055">
        <v>91.8438614383698</v>
      </c>
      <c r="AK3055">
        <v>0.68662380688977698</v>
      </c>
      <c r="AL3055">
        <v>69.861197385439397</v>
      </c>
      <c r="AM3055">
        <v>99.756749835462799</v>
      </c>
      <c r="AN3055">
        <v>0.99999999504817005</v>
      </c>
    </row>
    <row r="3056" spans="1:40" x14ac:dyDescent="0.25">
      <c r="A3056" t="str">
        <f>"20190304164148447"</f>
        <v>20190304164148447</v>
      </c>
      <c r="B3056" t="str">
        <f>"1551688908433840"</f>
        <v>1551688908433840</v>
      </c>
      <c r="C3056" t="s">
        <v>40</v>
      </c>
      <c r="D3056">
        <v>4.05138</v>
      </c>
      <c r="E3056">
        <v>0.55778859999999997</v>
      </c>
      <c r="F3056" t="s">
        <v>41</v>
      </c>
      <c r="G3056">
        <v>-496.44439999999997</v>
      </c>
      <c r="H3056">
        <v>1.0344230000000001</v>
      </c>
      <c r="I3056">
        <v>255.43809999999999</v>
      </c>
      <c r="J3056">
        <v>-496.59570000000002</v>
      </c>
      <c r="K3056">
        <v>1.1104529999999999</v>
      </c>
      <c r="L3056">
        <v>256.13159999999999</v>
      </c>
      <c r="M3056">
        <v>0.18321660000000001</v>
      </c>
      <c r="N3056">
        <v>-1.20467E-2</v>
      </c>
      <c r="O3056">
        <v>-0.9829987</v>
      </c>
      <c r="P3056">
        <v>0.32717649999999998</v>
      </c>
      <c r="Q3056">
        <v>0.33286339999999998</v>
      </c>
      <c r="R3056">
        <v>-0.88439690000000004</v>
      </c>
      <c r="S3056">
        <v>0.69790649999999999</v>
      </c>
      <c r="T3056">
        <v>-0.33261000000000002</v>
      </c>
      <c r="U3056">
        <v>-3.2599490000000002</v>
      </c>
      <c r="V3056">
        <v>-0.15937999999999999</v>
      </c>
      <c r="W3056">
        <v>0.34413270000000001</v>
      </c>
      <c r="X3056">
        <v>0.92529490000000003</v>
      </c>
      <c r="Y3056">
        <v>-2.581932E-2</v>
      </c>
      <c r="Z3056">
        <v>8.6074399999999995E-2</v>
      </c>
      <c r="AA3056">
        <v>0.99595409999999995</v>
      </c>
      <c r="AB3056">
        <v>8</v>
      </c>
      <c r="AC3056">
        <v>0.15130000000004801</v>
      </c>
      <c r="AD3056">
        <v>-7.6030000000000195E-2</v>
      </c>
      <c r="AE3056">
        <v>-0.69350000000000001</v>
      </c>
      <c r="AF3056">
        <v>-2.1422778081680902E-2</v>
      </c>
      <c r="AG3056">
        <v>-7.6030000000000195E-2</v>
      </c>
      <c r="AH3056">
        <v>0.70143413508341101</v>
      </c>
      <c r="AI3056">
        <v>96.183403869728494</v>
      </c>
      <c r="AJ3056">
        <v>91.749349341110005</v>
      </c>
      <c r="AK3056">
        <v>0.70586779369861496</v>
      </c>
      <c r="AL3056">
        <v>69.871137944206097</v>
      </c>
      <c r="AM3056">
        <v>99.7731699752905</v>
      </c>
      <c r="AN3056">
        <v>0.99999997578764899</v>
      </c>
    </row>
    <row r="3057" spans="1:40" x14ac:dyDescent="0.25">
      <c r="A3057" t="str">
        <f>"20190304164148466"</f>
        <v>20190304164148466</v>
      </c>
      <c r="B3057" t="str">
        <f>"1551688908454335"</f>
        <v>1551688908454335</v>
      </c>
      <c r="C3057" t="s">
        <v>40</v>
      </c>
      <c r="D3057">
        <v>4.1796499999999996</v>
      </c>
      <c r="E3057">
        <v>0.55793029999999999</v>
      </c>
      <c r="F3057" t="s">
        <v>41</v>
      </c>
      <c r="G3057">
        <v>-496.43310000000002</v>
      </c>
      <c r="H3057">
        <v>1.032518</v>
      </c>
      <c r="I3057">
        <v>255.36959999999999</v>
      </c>
      <c r="J3057">
        <v>-496.5856</v>
      </c>
      <c r="K3057">
        <v>1.110474</v>
      </c>
      <c r="L3057">
        <v>256.06720000000001</v>
      </c>
      <c r="M3057">
        <v>0.18169940000000001</v>
      </c>
      <c r="N3057">
        <v>-1.204384E-2</v>
      </c>
      <c r="O3057">
        <v>-0.9832805</v>
      </c>
      <c r="P3057">
        <v>0.32601570000000002</v>
      </c>
      <c r="Q3057">
        <v>0.33295910000000001</v>
      </c>
      <c r="R3057">
        <v>-0.88478950000000001</v>
      </c>
      <c r="S3057">
        <v>0.69598389999999999</v>
      </c>
      <c r="T3057">
        <v>-0.33324399999999998</v>
      </c>
      <c r="U3057">
        <v>-3.2600859999999998</v>
      </c>
      <c r="V3057">
        <v>-0.15962509999999999</v>
      </c>
      <c r="W3057">
        <v>0.34421370000000001</v>
      </c>
      <c r="X3057">
        <v>0.92522260000000001</v>
      </c>
      <c r="Y3057">
        <v>-2.6787149999999999E-2</v>
      </c>
      <c r="Z3057">
        <v>8.6302030000000002E-2</v>
      </c>
      <c r="AA3057">
        <v>0.99590889999999999</v>
      </c>
      <c r="AB3057">
        <v>8</v>
      </c>
      <c r="AC3057">
        <v>0.15249999999997499</v>
      </c>
      <c r="AD3057">
        <v>-7.79559999999999E-2</v>
      </c>
      <c r="AE3057">
        <v>-0.69760000000002198</v>
      </c>
      <c r="AF3057">
        <v>-2.2925225784619498E-2</v>
      </c>
      <c r="AG3057">
        <v>-7.79559999999999E-2</v>
      </c>
      <c r="AH3057">
        <v>0.70529146631317197</v>
      </c>
      <c r="AI3057">
        <v>96.304008704553198</v>
      </c>
      <c r="AJ3057">
        <v>91.861721626134994</v>
      </c>
      <c r="AK3057">
        <v>0.709956869371274</v>
      </c>
      <c r="AL3057">
        <v>69.866196596997597</v>
      </c>
      <c r="AM3057">
        <v>99.788659064568606</v>
      </c>
      <c r="AN3057">
        <v>1.00000005168422</v>
      </c>
    </row>
    <row r="3058" spans="1:40" x14ac:dyDescent="0.25">
      <c r="A3058" t="str">
        <f>"20190304164148489"</f>
        <v>20190304164148489</v>
      </c>
      <c r="B3058" t="str">
        <f>"1551688908473857"</f>
        <v>1551688908473857</v>
      </c>
      <c r="C3058" t="s">
        <v>40</v>
      </c>
      <c r="D3058">
        <v>4.0865119999999999</v>
      </c>
      <c r="E3058">
        <v>0.56218990000000002</v>
      </c>
      <c r="F3058" t="s">
        <v>41</v>
      </c>
      <c r="G3058">
        <v>-496.42329999999998</v>
      </c>
      <c r="H3058">
        <v>1.0327029999999999</v>
      </c>
      <c r="I3058">
        <v>255.29949999999999</v>
      </c>
      <c r="J3058">
        <v>-496.57350000000002</v>
      </c>
      <c r="K3058">
        <v>1.1105069999999999</v>
      </c>
      <c r="L3058">
        <v>255.99029999999999</v>
      </c>
      <c r="M3058">
        <v>0.17997439999999901</v>
      </c>
      <c r="N3058">
        <v>-1.204036E-2</v>
      </c>
      <c r="O3058">
        <v>-0.98359759999999996</v>
      </c>
      <c r="P3058">
        <v>0.32501099999999999</v>
      </c>
      <c r="Q3058">
        <v>0.3324126</v>
      </c>
      <c r="R3058">
        <v>-0.88536419999999905</v>
      </c>
      <c r="S3058">
        <v>0.68966669999999997</v>
      </c>
      <c r="T3058">
        <v>-0.33030379999999998</v>
      </c>
      <c r="U3058">
        <v>-3.260834</v>
      </c>
      <c r="V3058">
        <v>-0.16019140000000001</v>
      </c>
      <c r="W3058">
        <v>0.34365220000000002</v>
      </c>
      <c r="X3058">
        <v>0.92533339999999997</v>
      </c>
      <c r="Y3058">
        <v>-2.666317E-2</v>
      </c>
      <c r="Z3058">
        <v>8.5487939999999998E-2</v>
      </c>
      <c r="AA3058">
        <v>0.99598229999999999</v>
      </c>
      <c r="AB3058">
        <v>8</v>
      </c>
      <c r="AC3058">
        <v>0.15020000000004</v>
      </c>
      <c r="AD3058">
        <v>-7.7803999999999707E-2</v>
      </c>
      <c r="AE3058">
        <v>-0.69079999999999497</v>
      </c>
      <c r="AF3058">
        <v>-2.3131557248489799E-2</v>
      </c>
      <c r="AG3058">
        <v>-7.7803999999999707E-2</v>
      </c>
      <c r="AH3058">
        <v>0.69809681038013804</v>
      </c>
      <c r="AI3058">
        <v>96.356001443017803</v>
      </c>
      <c r="AJ3058">
        <v>91.897811099441498</v>
      </c>
      <c r="AK3058">
        <v>0.70279989187510705</v>
      </c>
      <c r="AL3058">
        <v>69.900457470465</v>
      </c>
      <c r="AM3058">
        <v>99.821557598878996</v>
      </c>
      <c r="AN3058">
        <v>1.00000001017718</v>
      </c>
    </row>
    <row r="3059" spans="1:40" x14ac:dyDescent="0.25">
      <c r="A3059" t="str">
        <f>"20190304164148510"</f>
        <v>20190304164148510</v>
      </c>
      <c r="B3059" t="str">
        <f>"1551688908504112"</f>
        <v>1551688908504112</v>
      </c>
      <c r="C3059" t="s">
        <v>40</v>
      </c>
      <c r="D3059">
        <v>4.1633190000000004</v>
      </c>
      <c r="E3059">
        <v>0.56054999999999999</v>
      </c>
      <c r="F3059" t="s">
        <v>42</v>
      </c>
      <c r="G3059">
        <v>-494.07799999999997</v>
      </c>
      <c r="H3059" s="1">
        <v>-2.7506739999999999E-6</v>
      </c>
      <c r="I3059">
        <v>243.4717</v>
      </c>
      <c r="J3059">
        <v>-496.56119999999999</v>
      </c>
      <c r="K3059">
        <v>1.1105389999999999</v>
      </c>
      <c r="L3059">
        <v>255.9119</v>
      </c>
      <c r="M3059">
        <v>0.178309299999999</v>
      </c>
      <c r="N3059">
        <v>-1.203688E-2</v>
      </c>
      <c r="O3059">
        <v>-0.98390129999999998</v>
      </c>
      <c r="P3059">
        <v>0.32488529999999999</v>
      </c>
      <c r="Q3059">
        <v>0.3324802</v>
      </c>
      <c r="R3059">
        <v>-0.88538549999999905</v>
      </c>
      <c r="S3059">
        <v>0.64956669999999905</v>
      </c>
      <c r="T3059">
        <v>-0.28905730000000002</v>
      </c>
      <c r="U3059">
        <v>-3.258499</v>
      </c>
      <c r="V3059">
        <v>-0.16166449999999999</v>
      </c>
      <c r="W3059">
        <v>0.34370109999999998</v>
      </c>
      <c r="X3059">
        <v>0.92505899999999996</v>
      </c>
      <c r="Y3059">
        <v>-1.693447E-2</v>
      </c>
      <c r="Z3059">
        <v>7.3628460000000007E-2</v>
      </c>
      <c r="AA3059">
        <v>0.99714199999999997</v>
      </c>
      <c r="AB3059">
        <v>8</v>
      </c>
      <c r="AC3059">
        <v>2.4831999999999499</v>
      </c>
      <c r="AD3059">
        <v>-1.1105417506740001</v>
      </c>
      <c r="AE3059">
        <v>-12.440200000000001</v>
      </c>
      <c r="AF3059">
        <v>-0.22332503220583</v>
      </c>
      <c r="AG3059">
        <v>-1.1105417506740001</v>
      </c>
      <c r="AH3059">
        <v>12.587154037945099</v>
      </c>
      <c r="AI3059">
        <v>95.041257558628004</v>
      </c>
      <c r="AJ3059">
        <v>91.016452121212097</v>
      </c>
      <c r="AK3059">
        <v>12.638022939722701</v>
      </c>
      <c r="AL3059">
        <v>69.897473869777599</v>
      </c>
      <c r="AM3059">
        <v>99.912974057059003</v>
      </c>
      <c r="AN3059">
        <v>1.0000000050912199</v>
      </c>
    </row>
    <row r="3060" spans="1:40" x14ac:dyDescent="0.25">
      <c r="A3060" t="str">
        <f>"20190304164148524"</f>
        <v>20190304164148524</v>
      </c>
      <c r="B3060" t="str">
        <f>"1551688908513873"</f>
        <v>1551688908513873</v>
      </c>
      <c r="C3060" t="s">
        <v>40</v>
      </c>
      <c r="D3060">
        <v>4.1728680000000002</v>
      </c>
      <c r="E3060">
        <v>0.56044130000000003</v>
      </c>
      <c r="F3060" t="s">
        <v>42</v>
      </c>
      <c r="G3060">
        <v>-494.00940000000003</v>
      </c>
      <c r="H3060" s="1">
        <v>-2.670121E-6</v>
      </c>
      <c r="I3060">
        <v>243.32650000000001</v>
      </c>
      <c r="J3060">
        <v>-496.55369999999999</v>
      </c>
      <c r="K3060">
        <v>1.1105579999999999</v>
      </c>
      <c r="L3060">
        <v>255.86359999999999</v>
      </c>
      <c r="M3060">
        <v>0.1773255</v>
      </c>
      <c r="N3060">
        <v>-1.20348E-2</v>
      </c>
      <c r="O3060">
        <v>-0.98407880000000003</v>
      </c>
      <c r="P3060">
        <v>0.3249359</v>
      </c>
      <c r="Q3060">
        <v>0.33214490000000002</v>
      </c>
      <c r="R3060">
        <v>-0.88549259999999996</v>
      </c>
      <c r="S3060">
        <v>0.65978999999999999</v>
      </c>
      <c r="T3060">
        <v>-0.28713820000000001</v>
      </c>
      <c r="U3060">
        <v>-3.2540589999999998</v>
      </c>
      <c r="V3060">
        <v>-0.16264039999999999</v>
      </c>
      <c r="W3060">
        <v>0.34335579999999999</v>
      </c>
      <c r="X3060">
        <v>0.92501619999999996</v>
      </c>
      <c r="Y3060">
        <v>-2.1210039999999999E-2</v>
      </c>
      <c r="Z3060">
        <v>7.3176000000000005E-2</v>
      </c>
      <c r="AA3060">
        <v>0.99709349999999997</v>
      </c>
      <c r="AB3060">
        <v>8</v>
      </c>
      <c r="AC3060">
        <v>2.5442999999999598</v>
      </c>
      <c r="AD3060">
        <v>-1.110560670121</v>
      </c>
      <c r="AE3060">
        <v>-12.537099999999899</v>
      </c>
      <c r="AF3060">
        <v>-0.27856508482804698</v>
      </c>
      <c r="AG3060">
        <v>-1.110560670121</v>
      </c>
      <c r="AH3060">
        <v>12.6939220750366</v>
      </c>
      <c r="AI3060">
        <v>94.998741665270899</v>
      </c>
      <c r="AJ3060">
        <v>91.257140406509905</v>
      </c>
      <c r="AK3060">
        <v>12.745454136891601</v>
      </c>
      <c r="AL3060">
        <v>69.918540831070899</v>
      </c>
      <c r="AM3060">
        <v>99.972069043656703</v>
      </c>
      <c r="AN3060">
        <v>1.0000000376841101</v>
      </c>
    </row>
    <row r="3061" spans="1:40" x14ac:dyDescent="0.25">
      <c r="A3061" t="str">
        <f>"20190304164148544"</f>
        <v>20190304164148544</v>
      </c>
      <c r="B3061" t="str">
        <f>"1551688908534368"</f>
        <v>1551688908534368</v>
      </c>
      <c r="C3061" t="s">
        <v>40</v>
      </c>
      <c r="D3061">
        <v>4.2081059999999999</v>
      </c>
      <c r="E3061">
        <v>0.56012489999999904</v>
      </c>
      <c r="F3061" t="s">
        <v>42</v>
      </c>
      <c r="G3061">
        <v>-494.00389999999999</v>
      </c>
      <c r="H3061" s="1">
        <v>-2.651861E-6</v>
      </c>
      <c r="I3061">
        <v>243.28729999999999</v>
      </c>
      <c r="J3061">
        <v>-496.54320000000001</v>
      </c>
      <c r="K3061">
        <v>1.110589</v>
      </c>
      <c r="L3061">
        <v>255.79640000000001</v>
      </c>
      <c r="M3061">
        <v>0.17602619999999999</v>
      </c>
      <c r="N3061">
        <v>-1.203187E-2</v>
      </c>
      <c r="O3061">
        <v>-0.98431210000000002</v>
      </c>
      <c r="P3061">
        <v>0.32610529999999999</v>
      </c>
      <c r="Q3061">
        <v>0.33243739999999999</v>
      </c>
      <c r="R3061">
        <v>-0.88495249999999903</v>
      </c>
      <c r="S3061">
        <v>0.65966800000000003</v>
      </c>
      <c r="T3061">
        <v>-0.2873192</v>
      </c>
      <c r="U3061">
        <v>-3.2536770000000002</v>
      </c>
      <c r="V3061">
        <v>-0.16513539999999999</v>
      </c>
      <c r="W3061">
        <v>0.34362939999999997</v>
      </c>
      <c r="X3061">
        <v>0.92447239999999997</v>
      </c>
      <c r="Y3061">
        <v>-2.251469E-2</v>
      </c>
      <c r="Z3061">
        <v>7.3269399999999998E-2</v>
      </c>
      <c r="AA3061">
        <v>0.997058</v>
      </c>
      <c r="AB3061">
        <v>8</v>
      </c>
      <c r="AC3061">
        <v>2.5393000000000199</v>
      </c>
      <c r="AD3061">
        <v>-1.110591651861</v>
      </c>
      <c r="AE3061">
        <v>-12.5091</v>
      </c>
      <c r="AF3061">
        <v>-0.295320176493022</v>
      </c>
      <c r="AG3061">
        <v>-1.110591651861</v>
      </c>
      <c r="AH3061">
        <v>12.6648852305362</v>
      </c>
      <c r="AI3061">
        <v>95.010128257003402</v>
      </c>
      <c r="AJ3061">
        <v>91.335782651114698</v>
      </c>
      <c r="AK3061">
        <v>12.716915731673399</v>
      </c>
      <c r="AL3061">
        <v>69.901849187201506</v>
      </c>
      <c r="AM3061">
        <v>100.12773733701501</v>
      </c>
      <c r="AN3061">
        <v>1.00000004161963</v>
      </c>
    </row>
    <row r="3062" spans="1:40" x14ac:dyDescent="0.25">
      <c r="A3062" t="str">
        <f>"20190304164148557"</f>
        <v>20190304164148557</v>
      </c>
      <c r="B3062" t="str">
        <f>"1551688908544128"</f>
        <v>1551688908544128</v>
      </c>
      <c r="C3062" t="s">
        <v>40</v>
      </c>
      <c r="D3062">
        <v>4.1435300000000002</v>
      </c>
      <c r="E3062">
        <v>0.56026730000000002</v>
      </c>
      <c r="F3062" t="s">
        <v>42</v>
      </c>
      <c r="G3062">
        <v>-493.94659999999999</v>
      </c>
      <c r="H3062" s="1">
        <v>-2.546197E-6</v>
      </c>
      <c r="I3062">
        <v>243.07660000000001</v>
      </c>
      <c r="J3062">
        <v>-496.53550000000001</v>
      </c>
      <c r="K3062">
        <v>1.110608</v>
      </c>
      <c r="L3062">
        <v>255.74709999999999</v>
      </c>
      <c r="M3062">
        <v>0.17512720000000001</v>
      </c>
      <c r="N3062">
        <v>-1.202991E-2</v>
      </c>
      <c r="O3062">
        <v>-0.98447240000000003</v>
      </c>
      <c r="P3062">
        <v>0.32622780000000001</v>
      </c>
      <c r="Q3062">
        <v>0.33313989999999999</v>
      </c>
      <c r="R3062">
        <v>-0.88464319999999896</v>
      </c>
      <c r="S3062">
        <v>0.66384889999999996</v>
      </c>
      <c r="T3062">
        <v>-0.28394209999999998</v>
      </c>
      <c r="U3062">
        <v>-3.2520449999999999</v>
      </c>
      <c r="V3062">
        <v>-0.16617560000000001</v>
      </c>
      <c r="W3062">
        <v>0.34431669999999998</v>
      </c>
      <c r="X3062">
        <v>0.92403009999999997</v>
      </c>
      <c r="Y3062">
        <v>-2.4768889999999998E-2</v>
      </c>
      <c r="Z3062">
        <v>7.2327139999999998E-2</v>
      </c>
      <c r="AA3062">
        <v>0.9970734</v>
      </c>
      <c r="AB3062">
        <v>8</v>
      </c>
      <c r="AC3062">
        <v>2.5889000000000202</v>
      </c>
      <c r="AD3062">
        <v>-1.1106105461969999</v>
      </c>
      <c r="AE3062">
        <v>-12.670499999999899</v>
      </c>
      <c r="AF3062">
        <v>-0.327360897120335</v>
      </c>
      <c r="AG3062">
        <v>-1.1106105461969999</v>
      </c>
      <c r="AH3062">
        <v>12.833429850321201</v>
      </c>
      <c r="AI3062">
        <v>94.944478131189399</v>
      </c>
      <c r="AJ3062">
        <v>91.461209625560997</v>
      </c>
      <c r="AK3062">
        <v>12.885555582333399</v>
      </c>
      <c r="AL3062">
        <v>69.859909245803493</v>
      </c>
      <c r="AM3062">
        <v>100.194975332257</v>
      </c>
      <c r="AN3062">
        <v>0.99999997282012898</v>
      </c>
    </row>
    <row r="3063" spans="1:40" x14ac:dyDescent="0.25">
      <c r="A3063" t="str">
        <f>"20190304164148576"</f>
        <v>20190304164148576</v>
      </c>
      <c r="B3063" t="str">
        <f>"1551688908563648"</f>
        <v>1551688908563648</v>
      </c>
      <c r="C3063" t="s">
        <v>40</v>
      </c>
      <c r="D3063">
        <v>4.1332649999999997</v>
      </c>
      <c r="E3063">
        <v>0.5604903</v>
      </c>
      <c r="F3063" t="s">
        <v>42</v>
      </c>
      <c r="G3063">
        <v>-493.9203</v>
      </c>
      <c r="H3063" s="1">
        <v>-2.459879E-6</v>
      </c>
      <c r="I3063">
        <v>242.89160000000001</v>
      </c>
      <c r="J3063">
        <v>-496.52550000000002</v>
      </c>
      <c r="K3063">
        <v>1.1106339999999999</v>
      </c>
      <c r="L3063">
        <v>255.68350000000001</v>
      </c>
      <c r="M3063">
        <v>0.1740245</v>
      </c>
      <c r="N3063">
        <v>-1.2027629999999999E-2</v>
      </c>
      <c r="O3063">
        <v>-0.98466790000000004</v>
      </c>
      <c r="P3063">
        <v>0.32707140000000001</v>
      </c>
      <c r="Q3063">
        <v>0.33367140000000001</v>
      </c>
      <c r="R3063">
        <v>-0.88413120000000001</v>
      </c>
      <c r="S3063">
        <v>0.66174319999999998</v>
      </c>
      <c r="T3063">
        <v>-0.28103630000000002</v>
      </c>
      <c r="U3063">
        <v>-3.2530359999999998</v>
      </c>
      <c r="V3063">
        <v>-0.168156</v>
      </c>
      <c r="W3063">
        <v>0.3448292</v>
      </c>
      <c r="X3063">
        <v>0.92348059999999998</v>
      </c>
      <c r="Y3063">
        <v>-2.52217E-2</v>
      </c>
      <c r="Z3063">
        <v>7.1476709999999999E-2</v>
      </c>
      <c r="AA3063">
        <v>0.99712339999999999</v>
      </c>
      <c r="AB3063">
        <v>8</v>
      </c>
      <c r="AC3063">
        <v>2.6052000000000199</v>
      </c>
      <c r="AD3063">
        <v>-1.1106364598789999</v>
      </c>
      <c r="AE3063">
        <v>-12.791899999999901</v>
      </c>
      <c r="AF3063">
        <v>-0.33673998127045501</v>
      </c>
      <c r="AG3063">
        <v>-1.1106364598789999</v>
      </c>
      <c r="AH3063">
        <v>12.9563066034319</v>
      </c>
      <c r="AI3063">
        <v>94.897867493941703</v>
      </c>
      <c r="AJ3063">
        <v>91.488806782563003</v>
      </c>
      <c r="AK3063">
        <v>13.008181577881301</v>
      </c>
      <c r="AL3063">
        <v>69.828630528015907</v>
      </c>
      <c r="AM3063">
        <v>100.31988643511301</v>
      </c>
      <c r="AN3063">
        <v>1.0000000180424899</v>
      </c>
    </row>
    <row r="3064" spans="1:40" x14ac:dyDescent="0.25">
      <c r="A3064" t="str">
        <f>"20190304164148591"</f>
        <v>20190304164148591</v>
      </c>
      <c r="B3064" t="str">
        <f>"1551688908584145"</f>
        <v>1551688908584145</v>
      </c>
      <c r="C3064" t="s">
        <v>40</v>
      </c>
      <c r="D3064">
        <v>4.2625270000000004</v>
      </c>
      <c r="E3064">
        <v>0.56010899999999997</v>
      </c>
      <c r="F3064" t="s">
        <v>42</v>
      </c>
      <c r="G3064">
        <v>-493.88099999999997</v>
      </c>
      <c r="H3064" s="1">
        <v>-2.3610170000000002E-6</v>
      </c>
      <c r="I3064">
        <v>242.68559999999999</v>
      </c>
      <c r="J3064">
        <v>-496.51729999999998</v>
      </c>
      <c r="K3064">
        <v>1.1106560000000001</v>
      </c>
      <c r="L3064">
        <v>255.63140000000001</v>
      </c>
      <c r="M3064">
        <v>0.17317660000000001</v>
      </c>
      <c r="N3064">
        <v>-1.2025930000000001E-2</v>
      </c>
      <c r="O3064">
        <v>-0.98481759999999996</v>
      </c>
      <c r="P3064">
        <v>0.3272465</v>
      </c>
      <c r="Q3064">
        <v>0.33370379999999999</v>
      </c>
      <c r="R3064">
        <v>-0.88405419999999901</v>
      </c>
      <c r="S3064">
        <v>0.66189580000000003</v>
      </c>
      <c r="T3064">
        <v>-0.27797830000000001</v>
      </c>
      <c r="U3064">
        <v>-3.2532040000000002</v>
      </c>
      <c r="V3064">
        <v>-0.16915820000000001</v>
      </c>
      <c r="W3064">
        <v>0.34484890000000001</v>
      </c>
      <c r="X3064">
        <v>0.92329019999999995</v>
      </c>
      <c r="Y3064">
        <v>-2.612979E-2</v>
      </c>
      <c r="Z3064">
        <v>7.0590180000000002E-2</v>
      </c>
      <c r="AA3064">
        <v>0.99716309999999997</v>
      </c>
      <c r="AB3064">
        <v>8</v>
      </c>
      <c r="AC3064">
        <v>2.6362999999999999</v>
      </c>
      <c r="AD3064">
        <v>-1.11065836101699</v>
      </c>
      <c r="AE3064">
        <v>-12.9458</v>
      </c>
      <c r="AF3064">
        <v>-0.35190353104229299</v>
      </c>
      <c r="AG3064">
        <v>-1.11065836101699</v>
      </c>
      <c r="AH3064">
        <v>13.114067446411999</v>
      </c>
      <c r="AI3064">
        <v>94.839215900704204</v>
      </c>
      <c r="AJ3064">
        <v>91.537108897053002</v>
      </c>
      <c r="AK3064">
        <v>13.1657192389592</v>
      </c>
      <c r="AL3064">
        <v>69.827428230178995</v>
      </c>
      <c r="AM3064">
        <v>100.382153212449</v>
      </c>
      <c r="AN3064">
        <v>1.00000002693724</v>
      </c>
    </row>
    <row r="3065" spans="1:40" x14ac:dyDescent="0.25">
      <c r="A3065" t="str">
        <f>"20190304164148611"</f>
        <v>20190304164148611</v>
      </c>
      <c r="B3065" t="str">
        <f>"1551688908603664"</f>
        <v>1551688908603664</v>
      </c>
      <c r="C3065" t="s">
        <v>40</v>
      </c>
      <c r="D3065">
        <v>4.2578639999999996</v>
      </c>
      <c r="E3065">
        <v>0.55972379999999999</v>
      </c>
      <c r="F3065" t="s">
        <v>42</v>
      </c>
      <c r="G3065">
        <v>-493.87270000000001</v>
      </c>
      <c r="H3065" s="1">
        <v>-2.3550919999999999E-6</v>
      </c>
      <c r="I3065">
        <v>242.67689999999999</v>
      </c>
      <c r="J3065">
        <v>-496.50670000000002</v>
      </c>
      <c r="K3065">
        <v>1.1106849999999999</v>
      </c>
      <c r="L3065">
        <v>255.5634</v>
      </c>
      <c r="M3065">
        <v>0.1721406</v>
      </c>
      <c r="N3065">
        <v>-1.202399E-2</v>
      </c>
      <c r="O3065">
        <v>-0.98499919999999996</v>
      </c>
      <c r="P3065">
        <v>0.3280014</v>
      </c>
      <c r="Q3065">
        <v>0.33328249999999998</v>
      </c>
      <c r="R3065">
        <v>-0.88393319999999997</v>
      </c>
      <c r="S3065">
        <v>0.6640625</v>
      </c>
      <c r="T3065">
        <v>-0.27888790000000002</v>
      </c>
      <c r="U3065">
        <v>-3.2528990000000002</v>
      </c>
      <c r="V3065">
        <v>-0.1709212</v>
      </c>
      <c r="W3065">
        <v>0.34441290000000002</v>
      </c>
      <c r="X3065">
        <v>0.92312819999999995</v>
      </c>
      <c r="Y3065">
        <v>-2.783211E-2</v>
      </c>
      <c r="Z3065">
        <v>7.0882429999999996E-2</v>
      </c>
      <c r="AA3065">
        <v>0.99709630000000005</v>
      </c>
      <c r="AB3065">
        <v>8</v>
      </c>
      <c r="AC3065">
        <v>2.6340000000000101</v>
      </c>
      <c r="AD3065">
        <v>-1.110687355092</v>
      </c>
      <c r="AE3065">
        <v>-12.8865</v>
      </c>
      <c r="AF3065">
        <v>-0.37356138609454498</v>
      </c>
      <c r="AG3065">
        <v>-1.110687355092</v>
      </c>
      <c r="AH3065">
        <v>13.0544696888541</v>
      </c>
      <c r="AI3065">
        <v>94.861090331308702</v>
      </c>
      <c r="AJ3065">
        <v>91.639105386339395</v>
      </c>
      <c r="AK3065">
        <v>13.1069582042193</v>
      </c>
      <c r="AL3065">
        <v>69.854038619031201</v>
      </c>
      <c r="AM3065">
        <v>100.489768745099</v>
      </c>
      <c r="AN3065">
        <v>0.99999998796554401</v>
      </c>
    </row>
    <row r="3066" spans="1:40" x14ac:dyDescent="0.25">
      <c r="A3066" t="str">
        <f>"20190304164148626"</f>
        <v>20190304164148626</v>
      </c>
      <c r="B3066" t="str">
        <f>"1551688908614400"</f>
        <v>1551688908614400</v>
      </c>
      <c r="C3066" t="s">
        <v>40</v>
      </c>
      <c r="D3066">
        <v>4.293558</v>
      </c>
      <c r="E3066">
        <v>0.5595812</v>
      </c>
      <c r="F3066" t="s">
        <v>42</v>
      </c>
      <c r="G3066">
        <v>-493.87110000000001</v>
      </c>
      <c r="H3066" s="1">
        <v>-2.3769800000000002E-6</v>
      </c>
      <c r="I3066">
        <v>242.72900000000001</v>
      </c>
      <c r="J3066">
        <v>-496.49900000000002</v>
      </c>
      <c r="K3066">
        <v>1.1107009999999999</v>
      </c>
      <c r="L3066">
        <v>255.5146</v>
      </c>
      <c r="M3066">
        <v>0.1714435</v>
      </c>
      <c r="N3066">
        <v>-1.202279E-2</v>
      </c>
      <c r="O3066">
        <v>-0.98512049999999995</v>
      </c>
      <c r="P3066">
        <v>0.32802429999999999</v>
      </c>
      <c r="Q3066">
        <v>0.33315509999999998</v>
      </c>
      <c r="R3066">
        <v>-0.88397250000000005</v>
      </c>
      <c r="S3066">
        <v>0.66784670000000002</v>
      </c>
      <c r="T3066">
        <v>-0.28144469999999999</v>
      </c>
      <c r="U3066">
        <v>-3.2522129999999998</v>
      </c>
      <c r="V3066">
        <v>-0.17160909999999999</v>
      </c>
      <c r="W3066">
        <v>0.34427540000000001</v>
      </c>
      <c r="X3066">
        <v>0.92305179999999998</v>
      </c>
      <c r="Y3066">
        <v>-2.9681720000000002E-2</v>
      </c>
      <c r="Z3066">
        <v>7.1657849999999995E-2</v>
      </c>
      <c r="AA3066">
        <v>0.99698750000000003</v>
      </c>
      <c r="AB3066">
        <v>8</v>
      </c>
      <c r="AC3066">
        <v>2.6279000000000101</v>
      </c>
      <c r="AD3066">
        <v>-1.1107033769800001</v>
      </c>
      <c r="AE3066">
        <v>-12.785599999999899</v>
      </c>
      <c r="AF3066">
        <v>-0.39396624962080201</v>
      </c>
      <c r="AG3066">
        <v>-1.1107033769800001</v>
      </c>
      <c r="AH3066">
        <v>12.953047283771101</v>
      </c>
      <c r="AI3066">
        <v>94.898779803055206</v>
      </c>
      <c r="AJ3066">
        <v>91.742111051936007</v>
      </c>
      <c r="AK3066">
        <v>13.006548555750101</v>
      </c>
      <c r="AL3066">
        <v>69.862428754159097</v>
      </c>
      <c r="AM3066">
        <v>100.53189605927901</v>
      </c>
      <c r="AN3066">
        <v>0.99999992986560204</v>
      </c>
    </row>
    <row r="3067" spans="1:40" x14ac:dyDescent="0.25">
      <c r="A3067" t="str">
        <f>"20190304164148644"</f>
        <v>20190304164148644</v>
      </c>
      <c r="B3067" t="str">
        <f>"1551688908633920"</f>
        <v>1551688908633920</v>
      </c>
      <c r="C3067" t="s">
        <v>40</v>
      </c>
      <c r="D3067">
        <v>4.1558710000000003</v>
      </c>
      <c r="E3067">
        <v>0.5620771</v>
      </c>
      <c r="F3067" t="s">
        <v>42</v>
      </c>
      <c r="G3067">
        <v>-493.87639999999999</v>
      </c>
      <c r="H3067" s="1">
        <v>-2.3857689999999999E-6</v>
      </c>
      <c r="I3067">
        <v>242.74619999999999</v>
      </c>
      <c r="J3067">
        <v>-496.48880000000003</v>
      </c>
      <c r="K3067">
        <v>1.1107180000000001</v>
      </c>
      <c r="L3067">
        <v>255.45089999999999</v>
      </c>
      <c r="M3067">
        <v>0.1705969</v>
      </c>
      <c r="N3067">
        <v>-1.2021499999999999E-2</v>
      </c>
      <c r="O3067">
        <v>-0.98526789999999997</v>
      </c>
      <c r="P3067">
        <v>0.32742549999999998</v>
      </c>
      <c r="Q3067">
        <v>0.3325533</v>
      </c>
      <c r="R3067">
        <v>-0.88442149999999997</v>
      </c>
      <c r="S3067">
        <v>0.66806030000000005</v>
      </c>
      <c r="T3067">
        <v>-0.28293160000000001</v>
      </c>
      <c r="U3067">
        <v>-3.2525330000000001</v>
      </c>
      <c r="V3067">
        <v>-0.171756399999999</v>
      </c>
      <c r="W3067">
        <v>0.34366659999999999</v>
      </c>
      <c r="X3067">
        <v>0.9232513</v>
      </c>
      <c r="Y3067">
        <v>-3.0577130000000001E-2</v>
      </c>
      <c r="Z3067">
        <v>7.2105139999999998E-2</v>
      </c>
      <c r="AA3067">
        <v>0.99692820000000004</v>
      </c>
      <c r="AB3067">
        <v>8</v>
      </c>
      <c r="AC3067">
        <v>2.6124000000000298</v>
      </c>
      <c r="AD3067">
        <v>-1.110720385769</v>
      </c>
      <c r="AE3067">
        <v>-12.704700000000001</v>
      </c>
      <c r="AF3067">
        <v>-0.40360097118765598</v>
      </c>
      <c r="AG3067">
        <v>-1.110720385769</v>
      </c>
      <c r="AH3067">
        <v>12.86975604367</v>
      </c>
      <c r="AI3067">
        <v>94.930260228424899</v>
      </c>
      <c r="AJ3067">
        <v>91.796231086879004</v>
      </c>
      <c r="AK3067">
        <v>12.9239008872278</v>
      </c>
      <c r="AL3067">
        <v>69.899578225166096</v>
      </c>
      <c r="AM3067">
        <v>100.53850690122</v>
      </c>
      <c r="AN3067">
        <v>0.999999977924104</v>
      </c>
    </row>
    <row r="3068" spans="1:40" x14ac:dyDescent="0.25">
      <c r="A3068" t="str">
        <f>"20190304164148661"</f>
        <v>20190304164148661</v>
      </c>
      <c r="B3068" t="str">
        <f>"1551688908654416"</f>
        <v>1551688908654416</v>
      </c>
      <c r="C3068" t="s">
        <v>40</v>
      </c>
      <c r="D3068">
        <v>4.1552259999999999</v>
      </c>
      <c r="E3068">
        <v>0.56172580000000005</v>
      </c>
      <c r="F3068" t="s">
        <v>42</v>
      </c>
      <c r="G3068">
        <v>-492.98140000000001</v>
      </c>
      <c r="H3068" s="1">
        <v>-4.1708160000000004E-6</v>
      </c>
      <c r="I3068">
        <v>237.68889999999999</v>
      </c>
      <c r="J3068">
        <v>-496.47919999999999</v>
      </c>
      <c r="K3068">
        <v>1.110727</v>
      </c>
      <c r="L3068">
        <v>255.38990000000001</v>
      </c>
      <c r="M3068">
        <v>0.16984639999999901</v>
      </c>
      <c r="N3068">
        <v>-1.2020650000000001E-2</v>
      </c>
      <c r="O3068">
        <v>-0.98539730000000003</v>
      </c>
      <c r="P3068">
        <v>0.32725850000000001</v>
      </c>
      <c r="Q3068">
        <v>0.3320903</v>
      </c>
      <c r="R3068">
        <v>-0.88465709999999997</v>
      </c>
      <c r="S3068">
        <v>0.63818359999999996</v>
      </c>
      <c r="T3068">
        <v>-0.2020952</v>
      </c>
      <c r="U3068">
        <v>-3.2317809999999998</v>
      </c>
      <c r="V3068">
        <v>-0.17226949999999999</v>
      </c>
      <c r="W3068">
        <v>0.34319769999999999</v>
      </c>
      <c r="X3068">
        <v>0.92333010000000004</v>
      </c>
      <c r="Y3068">
        <v>-2.4030630000000001E-2</v>
      </c>
      <c r="Z3068">
        <v>4.866678E-2</v>
      </c>
      <c r="AA3068">
        <v>0.99852600000000002</v>
      </c>
      <c r="AB3068">
        <v>8</v>
      </c>
      <c r="AC3068">
        <v>3.4977999999999798</v>
      </c>
      <c r="AD3068">
        <v>-1.1107311708159999</v>
      </c>
      <c r="AE3068">
        <v>-17.701000000000001</v>
      </c>
      <c r="AF3068">
        <v>-0.438641082755514</v>
      </c>
      <c r="AG3068">
        <v>-1.1107311708159999</v>
      </c>
      <c r="AH3068">
        <v>17.969811005886601</v>
      </c>
      <c r="AI3068">
        <v>93.5359563061416</v>
      </c>
      <c r="AJ3068">
        <v>91.398305909270903</v>
      </c>
      <c r="AK3068">
        <v>18.009448556815499</v>
      </c>
      <c r="AL3068">
        <v>69.928183675689795</v>
      </c>
      <c r="AM3068">
        <v>100.568399289648</v>
      </c>
      <c r="AN3068">
        <v>0.99999995774077399</v>
      </c>
    </row>
    <row r="3069" spans="1:40" x14ac:dyDescent="0.25">
      <c r="A3069" t="str">
        <f>"20190304164148677"</f>
        <v>20190304164148677</v>
      </c>
      <c r="B3069" t="str">
        <f>"1551688908673936"</f>
        <v>1551688908673936</v>
      </c>
      <c r="C3069" t="s">
        <v>40</v>
      </c>
      <c r="D3069">
        <v>4.1675339999999998</v>
      </c>
      <c r="E3069">
        <v>0.56157690000000005</v>
      </c>
      <c r="F3069" t="s">
        <v>42</v>
      </c>
      <c r="G3069">
        <v>-493.04570000000001</v>
      </c>
      <c r="H3069" s="1">
        <v>-4.2875339999999997E-6</v>
      </c>
      <c r="I3069">
        <v>237.9983</v>
      </c>
      <c r="J3069">
        <v>-496.47039999999998</v>
      </c>
      <c r="K3069">
        <v>1.1107229999999999</v>
      </c>
      <c r="L3069">
        <v>255.33420000000001</v>
      </c>
      <c r="M3069">
        <v>0.16921240000000001</v>
      </c>
      <c r="N3069">
        <v>-1.2020350000000001E-2</v>
      </c>
      <c r="O3069">
        <v>-0.9855064</v>
      </c>
      <c r="P3069">
        <v>0.32717289999999999</v>
      </c>
      <c r="Q3069">
        <v>0.3306906</v>
      </c>
      <c r="R3069">
        <v>-0.88521280000000002</v>
      </c>
      <c r="S3069">
        <v>0.63818359999999996</v>
      </c>
      <c r="T3069">
        <v>-0.20645169999999999</v>
      </c>
      <c r="U3069">
        <v>-3.2325740000000001</v>
      </c>
      <c r="V3069">
        <v>-0.17269100000000001</v>
      </c>
      <c r="W3069">
        <v>0.34180080000000002</v>
      </c>
      <c r="X3069">
        <v>0.92376950000000002</v>
      </c>
      <c r="Y3069">
        <v>-2.4614210000000001E-2</v>
      </c>
      <c r="Z3069">
        <v>4.9960579999999997E-2</v>
      </c>
      <c r="AA3069">
        <v>0.9984478</v>
      </c>
      <c r="AB3069">
        <v>8</v>
      </c>
      <c r="AC3069">
        <v>3.4246999999999699</v>
      </c>
      <c r="AD3069">
        <v>-1.110727287534</v>
      </c>
      <c r="AE3069">
        <v>-17.335899999999999</v>
      </c>
      <c r="AF3069">
        <v>-0.43990835592750399</v>
      </c>
      <c r="AG3069">
        <v>-1.110727287534</v>
      </c>
      <c r="AH3069">
        <v>17.595897121676</v>
      </c>
      <c r="AI3069">
        <v>93.610833735597197</v>
      </c>
      <c r="AJ3069">
        <v>91.432131745331404</v>
      </c>
      <c r="AK3069">
        <v>17.636406379574399</v>
      </c>
      <c r="AL3069">
        <v>70.013374028654894</v>
      </c>
      <c r="AM3069">
        <v>100.58874787157799</v>
      </c>
      <c r="AN3069">
        <v>1.0000000287459401</v>
      </c>
    </row>
    <row r="3070" spans="1:40" x14ac:dyDescent="0.25">
      <c r="A3070" t="str">
        <f>"20190304164148699"</f>
        <v>20190304164148699</v>
      </c>
      <c r="B3070" t="str">
        <f>"1551688908695408"</f>
        <v>1551688908695408</v>
      </c>
      <c r="C3070" t="s">
        <v>40</v>
      </c>
      <c r="D3070">
        <v>4.1994989999999897</v>
      </c>
      <c r="E3070">
        <v>0.56156430000000002</v>
      </c>
      <c r="F3070" t="s">
        <v>42</v>
      </c>
      <c r="G3070">
        <v>-493.0865</v>
      </c>
      <c r="H3070" s="1">
        <v>-4.3345800000000003E-6</v>
      </c>
      <c r="I3070">
        <v>238.11529999999999</v>
      </c>
      <c r="J3070">
        <v>-496.45859999999999</v>
      </c>
      <c r="K3070">
        <v>1.110717</v>
      </c>
      <c r="L3070">
        <v>255.25980000000001</v>
      </c>
      <c r="M3070">
        <v>0.1684254</v>
      </c>
      <c r="N3070">
        <v>-1.2020339999999999E-2</v>
      </c>
      <c r="O3070">
        <v>-0.98564130000000005</v>
      </c>
      <c r="P3070">
        <v>0.32749440000000002</v>
      </c>
      <c r="Q3070">
        <v>0.33004410000000001</v>
      </c>
      <c r="R3070">
        <v>-0.885335399999999</v>
      </c>
      <c r="S3070">
        <v>0.63519289999999995</v>
      </c>
      <c r="T3070">
        <v>-0.20849490000000001</v>
      </c>
      <c r="U3070">
        <v>-3.2321620000000002</v>
      </c>
      <c r="V3070">
        <v>-0.17372860000000001</v>
      </c>
      <c r="W3070">
        <v>0.34115410000000002</v>
      </c>
      <c r="X3070">
        <v>0.92381400000000002</v>
      </c>
      <c r="Y3070">
        <v>-2.4541110000000001E-2</v>
      </c>
      <c r="Z3070">
        <v>5.0594119999999999E-2</v>
      </c>
      <c r="AA3070">
        <v>0.99841769999999996</v>
      </c>
      <c r="AB3070">
        <v>8</v>
      </c>
      <c r="AC3070">
        <v>3.3720999999999801</v>
      </c>
      <c r="AD3070">
        <v>-1.11072133458</v>
      </c>
      <c r="AE3070">
        <v>-17.144500000000001</v>
      </c>
      <c r="AF3070">
        <v>-0.434387874306286</v>
      </c>
      <c r="AG3070">
        <v>-1.11072133458</v>
      </c>
      <c r="AH3070">
        <v>17.3972330453268</v>
      </c>
      <c r="AI3070">
        <v>93.651939315229001</v>
      </c>
      <c r="AJ3070">
        <v>91.430309150477996</v>
      </c>
      <c r="AK3070">
        <v>17.438065040073901</v>
      </c>
      <c r="AL3070">
        <v>70.052796873686106</v>
      </c>
      <c r="AM3070">
        <v>100.650416791458</v>
      </c>
      <c r="AN3070">
        <v>1.0000000265003799</v>
      </c>
    </row>
    <row r="3071" spans="1:40" x14ac:dyDescent="0.25">
      <c r="A3071" t="str">
        <f>"20190304164148723"</f>
        <v>20190304164148723</v>
      </c>
      <c r="B3071" t="str">
        <f>"1551688908713952"</f>
        <v>1551688908713952</v>
      </c>
      <c r="C3071" t="s">
        <v>40</v>
      </c>
      <c r="D3071">
        <v>4.1894339999999897</v>
      </c>
      <c r="E3071">
        <v>0.56143369999999904</v>
      </c>
      <c r="F3071" t="s">
        <v>42</v>
      </c>
      <c r="G3071">
        <v>-493.14729999999997</v>
      </c>
      <c r="H3071" s="1">
        <v>-4.4193820000000003E-6</v>
      </c>
      <c r="I3071">
        <v>238.33279999999999</v>
      </c>
      <c r="J3071">
        <v>-496.44569999999999</v>
      </c>
      <c r="K3071">
        <v>1.110717</v>
      </c>
      <c r="L3071">
        <v>255.17920000000001</v>
      </c>
      <c r="M3071">
        <v>0.1676501</v>
      </c>
      <c r="N3071">
        <v>-1.202084E-2</v>
      </c>
      <c r="O3071">
        <v>-0.98577340000000002</v>
      </c>
      <c r="P3071">
        <v>0.327849</v>
      </c>
      <c r="Q3071">
        <v>0.32978069999999998</v>
      </c>
      <c r="R3071">
        <v>-0.88530209999999998</v>
      </c>
      <c r="S3071">
        <v>0.63256840000000003</v>
      </c>
      <c r="T3071">
        <v>-0.21218799999999999</v>
      </c>
      <c r="U3071">
        <v>-3.233673</v>
      </c>
      <c r="V3071">
        <v>-0.17480999999999999</v>
      </c>
      <c r="W3071">
        <v>0.34089190000000003</v>
      </c>
      <c r="X3071">
        <v>0.92370680000000005</v>
      </c>
      <c r="Y3071">
        <v>-2.444781E-2</v>
      </c>
      <c r="Z3071">
        <v>5.168201E-2</v>
      </c>
      <c r="AA3071">
        <v>0.99836429999999998</v>
      </c>
      <c r="AB3071">
        <v>8</v>
      </c>
      <c r="AC3071">
        <v>3.2984000000000102</v>
      </c>
      <c r="AD3071">
        <v>-1.1107214193820001</v>
      </c>
      <c r="AE3071">
        <v>-16.846399999999999</v>
      </c>
      <c r="AF3071">
        <v>-0.42542408164948697</v>
      </c>
      <c r="AG3071">
        <v>-1.1107214193820001</v>
      </c>
      <c r="AH3071">
        <v>17.089401822070599</v>
      </c>
      <c r="AI3071">
        <v>93.717546007850899</v>
      </c>
      <c r="AJ3071">
        <v>91.426028326797393</v>
      </c>
      <c r="AK3071">
        <v>17.130742609615901</v>
      </c>
      <c r="AL3071">
        <v>70.068778042758098</v>
      </c>
      <c r="AM3071">
        <v>100.716396251465</v>
      </c>
      <c r="AN3071">
        <v>1.00000003797592</v>
      </c>
    </row>
    <row r="3072" spans="1:40" x14ac:dyDescent="0.25">
      <c r="A3072" t="str">
        <f>"20190304164148744"</f>
        <v>20190304164148744</v>
      </c>
      <c r="B3072" t="str">
        <f>"1551688908734448"</f>
        <v>1551688908734448</v>
      </c>
      <c r="C3072" t="s">
        <v>40</v>
      </c>
      <c r="D3072">
        <v>4.2018810000000002</v>
      </c>
      <c r="E3072">
        <v>0.56113169999999901</v>
      </c>
      <c r="F3072" t="s">
        <v>42</v>
      </c>
      <c r="G3072">
        <v>-493.94990000000001</v>
      </c>
      <c r="H3072" s="1">
        <v>-2.268778E-6</v>
      </c>
      <c r="I3072">
        <v>242.42779999999999</v>
      </c>
      <c r="J3072">
        <v>-496.43400000000003</v>
      </c>
      <c r="K3072">
        <v>1.1107039999999999</v>
      </c>
      <c r="L3072">
        <v>255.10550000000001</v>
      </c>
      <c r="M3072">
        <v>0.16699929999999999</v>
      </c>
      <c r="N3072">
        <v>-1.2021759999999999E-2</v>
      </c>
      <c r="O3072">
        <v>-0.98588370000000003</v>
      </c>
      <c r="P3072">
        <v>0.32862219999999998</v>
      </c>
      <c r="Q3072">
        <v>0.32923400000000003</v>
      </c>
      <c r="R3072">
        <v>-0.88521890000000003</v>
      </c>
      <c r="S3072">
        <v>0.63772580000000001</v>
      </c>
      <c r="T3072">
        <v>-0.2838098</v>
      </c>
      <c r="U3072">
        <v>-3.2582239999999998</v>
      </c>
      <c r="V3072">
        <v>-0.176191299999999</v>
      </c>
      <c r="W3072">
        <v>0.34034890000000001</v>
      </c>
      <c r="X3072">
        <v>0.92364449999999998</v>
      </c>
      <c r="Y3072">
        <v>-2.4958520000000001E-2</v>
      </c>
      <c r="Z3072">
        <v>7.2367239999999999E-2</v>
      </c>
      <c r="AA3072">
        <v>0.99706570000000005</v>
      </c>
      <c r="AB3072">
        <v>8</v>
      </c>
      <c r="AC3072">
        <v>2.48410000000001</v>
      </c>
      <c r="AD3072">
        <v>-1.110706268778</v>
      </c>
      <c r="AE3072">
        <v>-12.6777</v>
      </c>
      <c r="AF3072">
        <v>-0.32945536592754199</v>
      </c>
      <c r="AG3072">
        <v>-1.110706268778</v>
      </c>
      <c r="AH3072">
        <v>12.8197520528808</v>
      </c>
      <c r="AI3072">
        <v>94.950127829137301</v>
      </c>
      <c r="AJ3072">
        <v>91.472122704980606</v>
      </c>
      <c r="AK3072">
        <v>12.871994870686599</v>
      </c>
      <c r="AL3072">
        <v>70.101866707574004</v>
      </c>
      <c r="AM3072">
        <v>100.799801786739</v>
      </c>
      <c r="AN3072">
        <v>0.99999995515357398</v>
      </c>
    </row>
    <row r="3073" spans="1:40" x14ac:dyDescent="0.25">
      <c r="A3073" t="str">
        <f>"20190304164148757"</f>
        <v>20190304164148757</v>
      </c>
      <c r="B3073" t="str">
        <f>"1551688908744208"</f>
        <v>1551688908744208</v>
      </c>
      <c r="C3073" t="s">
        <v>40</v>
      </c>
      <c r="D3073">
        <v>4.2563930000000001</v>
      </c>
      <c r="E3073">
        <v>0.56122159999999999</v>
      </c>
      <c r="F3073" t="s">
        <v>42</v>
      </c>
      <c r="G3073">
        <v>-493.9366</v>
      </c>
      <c r="H3073" s="1">
        <v>-2.2425710000000002E-6</v>
      </c>
      <c r="I3073">
        <v>242.375</v>
      </c>
      <c r="J3073">
        <v>-496.42649999999998</v>
      </c>
      <c r="K3073">
        <v>1.110695</v>
      </c>
      <c r="L3073">
        <v>255.05850000000001</v>
      </c>
      <c r="M3073">
        <v>0.1666009</v>
      </c>
      <c r="N3073">
        <v>-1.202253E-2</v>
      </c>
      <c r="O3073">
        <v>-0.98595140000000003</v>
      </c>
      <c r="P3073">
        <v>0.32924700000000001</v>
      </c>
      <c r="Q3073">
        <v>0.3289049</v>
      </c>
      <c r="R3073">
        <v>-0.88510919999999904</v>
      </c>
      <c r="S3073">
        <v>0.63900760000000001</v>
      </c>
      <c r="T3073">
        <v>-0.284201599999999</v>
      </c>
      <c r="U3073">
        <v>-3.2574160000000001</v>
      </c>
      <c r="V3073">
        <v>-0.1771925</v>
      </c>
      <c r="W3073">
        <v>0.34002339999999998</v>
      </c>
      <c r="X3073">
        <v>0.92357290000000003</v>
      </c>
      <c r="Y3073">
        <v>-2.5784519999999998E-2</v>
      </c>
      <c r="Z3073">
        <v>7.2506909999999994E-2</v>
      </c>
      <c r="AA3073">
        <v>0.99703450000000005</v>
      </c>
      <c r="AB3073">
        <v>8</v>
      </c>
      <c r="AC3073">
        <v>2.4898999999999698</v>
      </c>
      <c r="AD3073">
        <v>-1.110697242571</v>
      </c>
      <c r="AE3073">
        <v>-12.6835</v>
      </c>
      <c r="AF3073">
        <v>-0.33935668155423299</v>
      </c>
      <c r="AG3073">
        <v>-1.110697242571</v>
      </c>
      <c r="AH3073">
        <v>12.826354732108801</v>
      </c>
      <c r="AI3073">
        <v>94.947454933949203</v>
      </c>
      <c r="AJ3073">
        <v>91.515564707365797</v>
      </c>
      <c r="AK3073">
        <v>12.8788270830794</v>
      </c>
      <c r="AL3073">
        <v>70.121700230382402</v>
      </c>
      <c r="AM3073">
        <v>100.860537816972</v>
      </c>
      <c r="AN3073">
        <v>0.999999998109109</v>
      </c>
    </row>
    <row r="3074" spans="1:40" x14ac:dyDescent="0.25">
      <c r="A3074" t="str">
        <f>"20190304164148777"</f>
        <v>20190304164148777</v>
      </c>
      <c r="B3074" t="str">
        <f>"1551688908763728"</f>
        <v>1551688908763728</v>
      </c>
      <c r="C3074" t="s">
        <v>40</v>
      </c>
      <c r="D3074">
        <v>4.2577829999999999</v>
      </c>
      <c r="E3074">
        <v>0.56091859999999905</v>
      </c>
      <c r="F3074" t="s">
        <v>42</v>
      </c>
      <c r="G3074">
        <v>-493.9588</v>
      </c>
      <c r="H3074" s="1">
        <v>-2.2905590000000001E-6</v>
      </c>
      <c r="I3074">
        <v>242.47309999999999</v>
      </c>
      <c r="J3074">
        <v>-496.41590000000002</v>
      </c>
      <c r="K3074">
        <v>1.1106769999999999</v>
      </c>
      <c r="L3074">
        <v>254.9924</v>
      </c>
      <c r="M3074">
        <v>0.16605210000000001</v>
      </c>
      <c r="N3074">
        <v>-1.202404E-2</v>
      </c>
      <c r="O3074">
        <v>-0.98604380000000003</v>
      </c>
      <c r="P3074">
        <v>0.33075399999999999</v>
      </c>
      <c r="Q3074">
        <v>0.32795849999999999</v>
      </c>
      <c r="R3074">
        <v>-0.88489869999999904</v>
      </c>
      <c r="S3074">
        <v>0.63891600000000004</v>
      </c>
      <c r="T3074">
        <v>-0.28757850000000001</v>
      </c>
      <c r="U3074">
        <v>-3.258591</v>
      </c>
      <c r="V3074">
        <v>-0.17921319999999999</v>
      </c>
      <c r="W3074">
        <v>0.33908640000000001</v>
      </c>
      <c r="X3074">
        <v>0.92352749999999995</v>
      </c>
      <c r="Y3074">
        <v>-2.6231669999999999E-2</v>
      </c>
      <c r="Z3074">
        <v>7.3481530000000003E-2</v>
      </c>
      <c r="AA3074">
        <v>0.99695149999999999</v>
      </c>
      <c r="AB3074">
        <v>8</v>
      </c>
      <c r="AC3074">
        <v>2.45710000000002</v>
      </c>
      <c r="AD3074">
        <v>-1.1106792905589999</v>
      </c>
      <c r="AE3074">
        <v>-12.519299999999999</v>
      </c>
      <c r="AF3074">
        <v>-0.341389652870625</v>
      </c>
      <c r="AG3074">
        <v>-1.1106792905589999</v>
      </c>
      <c r="AH3074">
        <v>12.6575754474718</v>
      </c>
      <c r="AI3074">
        <v>95.012942592763494</v>
      </c>
      <c r="AJ3074">
        <v>91.544959810675905</v>
      </c>
      <c r="AK3074">
        <v>12.710797441152399</v>
      </c>
      <c r="AL3074">
        <v>70.178777606893604</v>
      </c>
      <c r="AM3074">
        <v>100.98192333669201</v>
      </c>
      <c r="AN3074">
        <v>1.0000000004877201</v>
      </c>
    </row>
    <row r="3075" spans="1:40" x14ac:dyDescent="0.25">
      <c r="A3075" t="str">
        <f>"20190304164148792"</f>
        <v>20190304164148792</v>
      </c>
      <c r="B3075" t="str">
        <f>"1551688908784224"</f>
        <v>1551688908784224</v>
      </c>
      <c r="C3075" t="s">
        <v>40</v>
      </c>
      <c r="D3075">
        <v>4.2599689999999999</v>
      </c>
      <c r="E3075">
        <v>0.56094940000000004</v>
      </c>
      <c r="F3075" t="s">
        <v>42</v>
      </c>
      <c r="G3075">
        <v>-493.99740000000003</v>
      </c>
      <c r="H3075" s="1">
        <v>-2.4126629999999998E-6</v>
      </c>
      <c r="I3075">
        <v>242.7338</v>
      </c>
      <c r="J3075">
        <v>-496.40789999999998</v>
      </c>
      <c r="K3075">
        <v>1.1106579999999999</v>
      </c>
      <c r="L3075">
        <v>254.94220000000001</v>
      </c>
      <c r="M3075">
        <v>0.1656437</v>
      </c>
      <c r="N3075">
        <v>-1.202547E-2</v>
      </c>
      <c r="O3075">
        <v>-0.98611249999999995</v>
      </c>
      <c r="P3075">
        <v>0.33181450000000001</v>
      </c>
      <c r="Q3075">
        <v>0.3278528</v>
      </c>
      <c r="R3075">
        <v>-0.88454089999999996</v>
      </c>
      <c r="S3075">
        <v>0.64303589999999999</v>
      </c>
      <c r="T3075">
        <v>-0.29530909999999999</v>
      </c>
      <c r="U3075">
        <v>-3.2593380000000001</v>
      </c>
      <c r="V3075">
        <v>-0.18068670000000001</v>
      </c>
      <c r="W3075">
        <v>0.33898739999999999</v>
      </c>
      <c r="X3075">
        <v>0.92327669999999995</v>
      </c>
      <c r="Y3075">
        <v>-2.7781400000000001E-2</v>
      </c>
      <c r="Z3075">
        <v>7.5734770000000007E-2</v>
      </c>
      <c r="AA3075">
        <v>0.99674090000000004</v>
      </c>
      <c r="AB3075">
        <v>8</v>
      </c>
      <c r="AC3075">
        <v>2.4104999999999501</v>
      </c>
      <c r="AD3075">
        <v>-1.110660412663</v>
      </c>
      <c r="AE3075">
        <v>-12.208399999999999</v>
      </c>
      <c r="AF3075">
        <v>-0.35200122174861798</v>
      </c>
      <c r="AG3075">
        <v>-1.110660412663</v>
      </c>
      <c r="AH3075">
        <v>12.3407322430976</v>
      </c>
      <c r="AI3075">
        <v>95.140659712625506</v>
      </c>
      <c r="AJ3075">
        <v>91.633834776205504</v>
      </c>
      <c r="AK3075">
        <v>12.3956098562434</v>
      </c>
      <c r="AL3075">
        <v>70.184807039484099</v>
      </c>
      <c r="AM3075">
        <v>101.07292841110601</v>
      </c>
      <c r="AN3075">
        <v>1.0000000028392699</v>
      </c>
    </row>
    <row r="3076" spans="1:40" x14ac:dyDescent="0.25">
      <c r="A3076" t="str">
        <f>"20190304164148812"</f>
        <v>20190304164148812</v>
      </c>
      <c r="B3076" t="str">
        <f>"1551688908803743"</f>
        <v>1551688908803743</v>
      </c>
      <c r="C3076" t="s">
        <v>40</v>
      </c>
      <c r="D3076">
        <v>4.254842</v>
      </c>
      <c r="E3076">
        <v>0.56102589999999997</v>
      </c>
      <c r="F3076" t="s">
        <v>42</v>
      </c>
      <c r="G3076">
        <v>-494.00110000000001</v>
      </c>
      <c r="H3076" s="1">
        <v>-2.4297970000000001E-6</v>
      </c>
      <c r="I3076">
        <v>242.7714</v>
      </c>
      <c r="J3076">
        <v>-496.3972</v>
      </c>
      <c r="K3076">
        <v>1.1106339999999999</v>
      </c>
      <c r="L3076">
        <v>254.87450000000001</v>
      </c>
      <c r="M3076">
        <v>0.1650992</v>
      </c>
      <c r="N3076">
        <v>-1.2027650000000001E-2</v>
      </c>
      <c r="O3076">
        <v>-0.98620359999999996</v>
      </c>
      <c r="P3076">
        <v>0.33373079999999999</v>
      </c>
      <c r="Q3076">
        <v>0.3276058</v>
      </c>
      <c r="R3076">
        <v>-0.883911</v>
      </c>
      <c r="S3076">
        <v>0.64468380000000003</v>
      </c>
      <c r="T3076">
        <v>-0.29749949999999997</v>
      </c>
      <c r="U3076">
        <v>-3.26004</v>
      </c>
      <c r="V3076">
        <v>-0.18316940000000001</v>
      </c>
      <c r="W3076">
        <v>0.33875050000000001</v>
      </c>
      <c r="X3076">
        <v>0.92287439999999998</v>
      </c>
      <c r="Y3076">
        <v>-2.8767330000000001E-2</v>
      </c>
      <c r="Z3076">
        <v>7.63654E-2</v>
      </c>
      <c r="AA3076">
        <v>0.99666480000000002</v>
      </c>
      <c r="AB3076">
        <v>8</v>
      </c>
      <c r="AC3076">
        <v>2.3960999999999899</v>
      </c>
      <c r="AD3076">
        <v>-1.1106364297969999</v>
      </c>
      <c r="AE3076">
        <v>-12.1031</v>
      </c>
      <c r="AF3076">
        <v>-0.361923993561794</v>
      </c>
      <c r="AG3076">
        <v>-1.1106364297969999</v>
      </c>
      <c r="AH3076">
        <v>12.233477616829701</v>
      </c>
      <c r="AI3076">
        <v>95.185214566784495</v>
      </c>
      <c r="AJ3076">
        <v>91.694585234408706</v>
      </c>
      <c r="AK3076">
        <v>12.289120263785399</v>
      </c>
      <c r="AL3076">
        <v>70.199234855737004</v>
      </c>
      <c r="AM3076">
        <v>101.226006137713</v>
      </c>
      <c r="AN3076">
        <v>1.00000004426098</v>
      </c>
    </row>
    <row r="3077" spans="1:40" x14ac:dyDescent="0.25">
      <c r="A3077" t="str">
        <f>"20190304164148834"</f>
        <v>20190304164148834</v>
      </c>
      <c r="B3077" t="str">
        <f>"1551688908824240"</f>
        <v>1551688908824240</v>
      </c>
      <c r="C3077" t="s">
        <v>40</v>
      </c>
      <c r="D3077">
        <v>4.2490240000000004</v>
      </c>
      <c r="E3077">
        <v>0.56107659999999904</v>
      </c>
      <c r="F3077" t="s">
        <v>42</v>
      </c>
      <c r="G3077">
        <v>-493.99250000000001</v>
      </c>
      <c r="H3077" s="1">
        <v>-2.4306890000000002E-6</v>
      </c>
      <c r="I3077">
        <v>242.77889999999999</v>
      </c>
      <c r="J3077">
        <v>-496.38529999999997</v>
      </c>
      <c r="K3077">
        <v>1.1105969999999901</v>
      </c>
      <c r="L3077">
        <v>254.79929999999999</v>
      </c>
      <c r="M3077">
        <v>0.1644987</v>
      </c>
      <c r="N3077">
        <v>-1.203035E-2</v>
      </c>
      <c r="O3077">
        <v>-0.98630390000000001</v>
      </c>
      <c r="P3077">
        <v>0.33516190000000001</v>
      </c>
      <c r="Q3077">
        <v>0.32825700000000002</v>
      </c>
      <c r="R3077">
        <v>-0.883127199999999</v>
      </c>
      <c r="S3077">
        <v>0.64816280000000004</v>
      </c>
      <c r="T3077">
        <v>-0.29936360000000001</v>
      </c>
      <c r="U3077">
        <v>-3.260284</v>
      </c>
      <c r="V3077">
        <v>-0.1852461</v>
      </c>
      <c r="W3077">
        <v>0.3394122</v>
      </c>
      <c r="X3077">
        <v>0.92221649999999999</v>
      </c>
      <c r="Y3077">
        <v>-3.0375719999999998E-2</v>
      </c>
      <c r="Z3077">
        <v>7.6907379999999997E-2</v>
      </c>
      <c r="AA3077">
        <v>0.9965754</v>
      </c>
      <c r="AB3077">
        <v>8</v>
      </c>
      <c r="AC3077">
        <v>2.3927999999999598</v>
      </c>
      <c r="AD3077">
        <v>-1.1105994306889999</v>
      </c>
      <c r="AE3077">
        <v>-12.020399999999899</v>
      </c>
      <c r="AF3077">
        <v>-0.379598593737766</v>
      </c>
      <c r="AG3077">
        <v>-1.1105994306889999</v>
      </c>
      <c r="AH3077">
        <v>12.150498131764</v>
      </c>
      <c r="AI3077">
        <v>95.2199967198856</v>
      </c>
      <c r="AJ3077">
        <v>91.789418445968295</v>
      </c>
      <c r="AK3077">
        <v>12.207052512290399</v>
      </c>
      <c r="AL3077">
        <v>70.158934157018706</v>
      </c>
      <c r="AM3077">
        <v>101.357882734407</v>
      </c>
      <c r="AN3077">
        <v>1.0000000159731499</v>
      </c>
    </row>
    <row r="3078" spans="1:40" x14ac:dyDescent="0.25">
      <c r="A3078" t="str">
        <f>"20190304164148848"</f>
        <v>20190304164148848</v>
      </c>
      <c r="B3078" t="str">
        <f>"1551688908843760"</f>
        <v>1551688908843760</v>
      </c>
      <c r="C3078" t="s">
        <v>40</v>
      </c>
      <c r="D3078">
        <v>4.2562040000000003</v>
      </c>
      <c r="E3078">
        <v>0.56112099999999998</v>
      </c>
      <c r="F3078" t="s">
        <v>42</v>
      </c>
      <c r="G3078">
        <v>-493.9538</v>
      </c>
      <c r="H3078" s="1">
        <v>-2.3528230000000002E-6</v>
      </c>
      <c r="I3078">
        <v>242.62139999999999</v>
      </c>
      <c r="J3078">
        <v>-496.37759999999997</v>
      </c>
      <c r="K3078">
        <v>1.1105769999999999</v>
      </c>
      <c r="L3078">
        <v>254.75049999999999</v>
      </c>
      <c r="M3078">
        <v>0.1641078</v>
      </c>
      <c r="N3078">
        <v>-1.203221E-2</v>
      </c>
      <c r="O3078">
        <v>-0.98636919999999995</v>
      </c>
      <c r="P3078">
        <v>0.3355534</v>
      </c>
      <c r="Q3078">
        <v>0.32844709999999899</v>
      </c>
      <c r="R3078">
        <v>-0.88290800000000003</v>
      </c>
      <c r="S3078">
        <v>0.65100100000000005</v>
      </c>
      <c r="T3078">
        <v>-0.29734769999999999</v>
      </c>
      <c r="U3078">
        <v>-3.2604829999999998</v>
      </c>
      <c r="V3078">
        <v>-0.1860163</v>
      </c>
      <c r="W3078">
        <v>0.33961170000000002</v>
      </c>
      <c r="X3078">
        <v>0.92198800000000003</v>
      </c>
      <c r="Y3078">
        <v>-3.1603220000000001E-2</v>
      </c>
      <c r="Z3078">
        <v>7.6307219999999995E-2</v>
      </c>
      <c r="AA3078">
        <v>0.99658340000000001</v>
      </c>
      <c r="AB3078">
        <v>8</v>
      </c>
      <c r="AC3078">
        <v>2.4237999999999702</v>
      </c>
      <c r="AD3078">
        <v>-1.1105793528229999</v>
      </c>
      <c r="AE3078">
        <v>-12.1290999999999</v>
      </c>
      <c r="AF3078">
        <v>-0.39710921160493001</v>
      </c>
      <c r="AG3078">
        <v>-1.1105793528229999</v>
      </c>
      <c r="AH3078">
        <v>12.263560548625</v>
      </c>
      <c r="AI3078">
        <v>95.171854486116203</v>
      </c>
      <c r="AJ3078">
        <v>91.854659936806897</v>
      </c>
      <c r="AK3078">
        <v>12.320146084955701</v>
      </c>
      <c r="AL3078">
        <v>70.146781933752294</v>
      </c>
      <c r="AM3078">
        <v>101.406622877825</v>
      </c>
      <c r="AN3078">
        <v>1.00000002139328</v>
      </c>
    </row>
    <row r="3079" spans="1:40" x14ac:dyDescent="0.25">
      <c r="A3079" t="str">
        <f>"20190304164148869"</f>
        <v>20190304164148869</v>
      </c>
      <c r="B3079" t="str">
        <f>"1551688908864256"</f>
        <v>1551688908864256</v>
      </c>
      <c r="C3079" t="s">
        <v>40</v>
      </c>
      <c r="D3079">
        <v>4.2361149999999999</v>
      </c>
      <c r="E3079">
        <v>0.56124399999999997</v>
      </c>
      <c r="F3079" t="s">
        <v>42</v>
      </c>
      <c r="G3079">
        <v>-493.95119999999997</v>
      </c>
      <c r="H3079" s="1">
        <v>-2.3401930000000001E-6</v>
      </c>
      <c r="I3079">
        <v>242.59350000000001</v>
      </c>
      <c r="J3079">
        <v>-496.36649999999997</v>
      </c>
      <c r="K3079">
        <v>1.110544</v>
      </c>
      <c r="L3079">
        <v>254.68049999999999</v>
      </c>
      <c r="M3079">
        <v>0.16354350000000001</v>
      </c>
      <c r="N3079">
        <v>-1.2034970000000001E-2</v>
      </c>
      <c r="O3079">
        <v>-0.98646279999999997</v>
      </c>
      <c r="P3079">
        <v>0.33608189999999999</v>
      </c>
      <c r="Q3079">
        <v>0.32922439999999997</v>
      </c>
      <c r="R3079">
        <v>-0.88241759999999902</v>
      </c>
      <c r="S3079">
        <v>0.65090939999999997</v>
      </c>
      <c r="T3079">
        <v>-0.29793309999999901</v>
      </c>
      <c r="U3079">
        <v>-3.2613370000000002</v>
      </c>
      <c r="V3079">
        <v>-0.18712139999999999</v>
      </c>
      <c r="W3079">
        <v>0.34040009999999998</v>
      </c>
      <c r="X3079">
        <v>0.92147349999999995</v>
      </c>
      <c r="Y3079">
        <v>-3.20953E-2</v>
      </c>
      <c r="Z3079">
        <v>7.6465580000000005E-2</v>
      </c>
      <c r="AA3079">
        <v>0.99655550000000004</v>
      </c>
      <c r="AB3079">
        <v>8</v>
      </c>
      <c r="AC3079">
        <v>2.4152999999999998</v>
      </c>
      <c r="AD3079">
        <v>-1.110546340193</v>
      </c>
      <c r="AE3079">
        <v>-12.0869999999999</v>
      </c>
      <c r="AF3079">
        <v>-0.40261438125474303</v>
      </c>
      <c r="AG3079">
        <v>-1.110546340193</v>
      </c>
      <c r="AH3079">
        <v>12.2200749389648</v>
      </c>
      <c r="AI3079">
        <v>95.189909673937507</v>
      </c>
      <c r="AJ3079">
        <v>91.887039444187707</v>
      </c>
      <c r="AK3079">
        <v>12.2770372251462</v>
      </c>
      <c r="AL3079">
        <v>70.0987484061706</v>
      </c>
      <c r="AM3079">
        <v>101.478832135899</v>
      </c>
      <c r="AN3079">
        <v>1.0000000288101001</v>
      </c>
    </row>
    <row r="3080" spans="1:40" x14ac:dyDescent="0.25">
      <c r="A3080" t="str">
        <f>"20190304164148891"</f>
        <v>20190304164148891</v>
      </c>
      <c r="B3080" t="str">
        <f>"1551688908883776"</f>
        <v>1551688908883776</v>
      </c>
      <c r="C3080" t="s">
        <v>40</v>
      </c>
      <c r="D3080">
        <v>4.2428850000000002</v>
      </c>
      <c r="E3080">
        <v>0.56140119999999905</v>
      </c>
      <c r="F3080" t="s">
        <v>42</v>
      </c>
      <c r="G3080">
        <v>-493.92509999999999</v>
      </c>
      <c r="H3080" s="1">
        <v>-2.2782390000000001E-6</v>
      </c>
      <c r="I3080">
        <v>242.46530000000001</v>
      </c>
      <c r="J3080">
        <v>-496.3544</v>
      </c>
      <c r="K3080">
        <v>1.1105160000000001</v>
      </c>
      <c r="L3080">
        <v>254.60339999999999</v>
      </c>
      <c r="M3080">
        <v>0.16291530000000001</v>
      </c>
      <c r="N3080">
        <v>-1.2038139999999999E-2</v>
      </c>
      <c r="O3080">
        <v>-0.98656699999999997</v>
      </c>
      <c r="P3080">
        <v>0.337047599999999</v>
      </c>
      <c r="Q3080">
        <v>0.32825759999999998</v>
      </c>
      <c r="R3080">
        <v>-0.88240940000000001</v>
      </c>
      <c r="S3080">
        <v>0.65197749999999999</v>
      </c>
      <c r="T3080">
        <v>-0.29657240000000001</v>
      </c>
      <c r="U3080">
        <v>-3.2621000000000002</v>
      </c>
      <c r="V3080">
        <v>-0.18863859999999999</v>
      </c>
      <c r="W3080">
        <v>0.33945160000000002</v>
      </c>
      <c r="X3080">
        <v>0.92151400000000006</v>
      </c>
      <c r="Y3080">
        <v>-3.3006699999999903E-2</v>
      </c>
      <c r="Z3080">
        <v>7.605141E-2</v>
      </c>
      <c r="AA3080">
        <v>0.99655749999999999</v>
      </c>
      <c r="AB3080">
        <v>8</v>
      </c>
      <c r="AC3080">
        <v>2.4293000000000098</v>
      </c>
      <c r="AD3080">
        <v>-1.110518278239</v>
      </c>
      <c r="AE3080">
        <v>-12.1380999999999</v>
      </c>
      <c r="AF3080">
        <v>-0.41586827740032001</v>
      </c>
      <c r="AG3080">
        <v>-1.110518278239</v>
      </c>
      <c r="AH3080">
        <v>12.2729369605106</v>
      </c>
      <c r="AI3080">
        <v>95.1673861858241</v>
      </c>
      <c r="AJ3080">
        <v>91.940724047331599</v>
      </c>
      <c r="AK3080">
        <v>12.330092412756599</v>
      </c>
      <c r="AL3080">
        <v>70.156533501107603</v>
      </c>
      <c r="AM3080">
        <v>101.568909271878</v>
      </c>
      <c r="AN3080">
        <v>0.99999998117425903</v>
      </c>
    </row>
    <row r="3081" spans="1:40" x14ac:dyDescent="0.25">
      <c r="A3081" t="str">
        <f>"20190304164148914"</f>
        <v>20190304164148914</v>
      </c>
      <c r="B3081" t="str">
        <f>"1551688908904272"</f>
        <v>1551688908904272</v>
      </c>
      <c r="C3081" t="s">
        <v>40</v>
      </c>
      <c r="D3081">
        <v>4.2557739999999997</v>
      </c>
      <c r="E3081">
        <v>0.56142099999999995</v>
      </c>
      <c r="F3081" t="s">
        <v>42</v>
      </c>
      <c r="G3081">
        <v>-493.947</v>
      </c>
      <c r="H3081" s="1">
        <v>-2.3244769999999999E-6</v>
      </c>
      <c r="I3081">
        <v>242.55950000000001</v>
      </c>
      <c r="J3081">
        <v>-496.34269999999998</v>
      </c>
      <c r="K3081">
        <v>1.1104769999999999</v>
      </c>
      <c r="L3081">
        <v>254.52809999999999</v>
      </c>
      <c r="M3081">
        <v>0.16229560000000001</v>
      </c>
      <c r="N3081">
        <v>-1.2041339999999999E-2</v>
      </c>
      <c r="O3081">
        <v>-0.98666880000000001</v>
      </c>
      <c r="P3081">
        <v>0.33779160000000003</v>
      </c>
      <c r="Q3081">
        <v>0.32644459999999997</v>
      </c>
      <c r="R3081">
        <v>-0.88279730000000001</v>
      </c>
      <c r="S3081">
        <v>0.65216059999999998</v>
      </c>
      <c r="T3081">
        <v>-0.30082890000000001</v>
      </c>
      <c r="U3081">
        <v>-3.2625890000000002</v>
      </c>
      <c r="V3081">
        <v>-0.1898688</v>
      </c>
      <c r="W3081">
        <v>0.337659599999999</v>
      </c>
      <c r="X3081">
        <v>0.92191959999999995</v>
      </c>
      <c r="Y3081">
        <v>-3.3639879999999997E-2</v>
      </c>
      <c r="Z3081">
        <v>7.7298899999999907E-2</v>
      </c>
      <c r="AA3081">
        <v>0.99644029999999995</v>
      </c>
      <c r="AB3081">
        <v>8</v>
      </c>
      <c r="AC3081">
        <v>2.3957000000000299</v>
      </c>
      <c r="AD3081">
        <v>-1.1104793244769999</v>
      </c>
      <c r="AE3081">
        <v>-11.968599999999901</v>
      </c>
      <c r="AF3081">
        <v>-0.41788301571254499</v>
      </c>
      <c r="AG3081">
        <v>-1.1104793244769999</v>
      </c>
      <c r="AH3081">
        <v>12.0985989201933</v>
      </c>
      <c r="AI3081">
        <v>95.2411357729912</v>
      </c>
      <c r="AJ3081">
        <v>91.978197543120103</v>
      </c>
      <c r="AK3081">
        <v>12.1566396005069</v>
      </c>
      <c r="AL3081">
        <v>70.265650884782602</v>
      </c>
      <c r="AM3081">
        <v>101.63731994022901</v>
      </c>
      <c r="AN3081">
        <v>0.99999995777487904</v>
      </c>
    </row>
    <row r="3082" spans="1:40" x14ac:dyDescent="0.25">
      <c r="A3082" t="str">
        <f>"20190304164148934"</f>
        <v>20190304164148934</v>
      </c>
      <c r="B3082" t="str">
        <f>"1551688908923792"</f>
        <v>1551688908923792</v>
      </c>
      <c r="C3082" t="s">
        <v>40</v>
      </c>
      <c r="D3082">
        <v>4.2853839999999996</v>
      </c>
      <c r="E3082">
        <v>0.56150319999999898</v>
      </c>
      <c r="F3082" t="s">
        <v>42</v>
      </c>
      <c r="G3082">
        <v>-493.99489999999997</v>
      </c>
      <c r="H3082" s="1">
        <v>-2.4353939999999998E-6</v>
      </c>
      <c r="I3082">
        <v>242.78829999999999</v>
      </c>
      <c r="J3082">
        <v>-496.33179999999999</v>
      </c>
      <c r="K3082">
        <v>1.1104449999999999</v>
      </c>
      <c r="L3082">
        <v>254.4572</v>
      </c>
      <c r="M3082">
        <v>0.16170870000000001</v>
      </c>
      <c r="N3082">
        <v>-1.204439E-2</v>
      </c>
      <c r="O3082">
        <v>-0.98676509999999995</v>
      </c>
      <c r="P3082">
        <v>0.33764309999999997</v>
      </c>
      <c r="Q3082">
        <v>0.32429439999999998</v>
      </c>
      <c r="R3082">
        <v>-0.88364609999999899</v>
      </c>
      <c r="S3082">
        <v>0.65252690000000002</v>
      </c>
      <c r="T3082">
        <v>-0.30862699999999998</v>
      </c>
      <c r="U3082">
        <v>-3.2627410000000001</v>
      </c>
      <c r="V3082">
        <v>-0.19011819999999999</v>
      </c>
      <c r="W3082">
        <v>0.33553169999999999</v>
      </c>
      <c r="X3082">
        <v>0.92264489999999999</v>
      </c>
      <c r="Y3082">
        <v>-3.4296100000000003E-2</v>
      </c>
      <c r="Z3082">
        <v>7.9595070000000004E-2</v>
      </c>
      <c r="AA3082">
        <v>0.99623709999999999</v>
      </c>
      <c r="AB3082">
        <v>8</v>
      </c>
      <c r="AC3082">
        <v>2.3369000000000102</v>
      </c>
      <c r="AD3082">
        <v>-1.1104474353939999</v>
      </c>
      <c r="AE3082">
        <v>-11.668900000000001</v>
      </c>
      <c r="AF3082">
        <v>-0.41542208680916398</v>
      </c>
      <c r="AG3082">
        <v>-1.1104474353939999</v>
      </c>
      <c r="AH3082">
        <v>11.7905642474592</v>
      </c>
      <c r="AI3082">
        <v>95.376987981207506</v>
      </c>
      <c r="AJ3082">
        <v>92.017892436788003</v>
      </c>
      <c r="AK3082">
        <v>11.850024231639599</v>
      </c>
      <c r="AL3082">
        <v>70.395127062157798</v>
      </c>
      <c r="AM3082">
        <v>101.643278566015</v>
      </c>
      <c r="AN3082">
        <v>1.00000003158606</v>
      </c>
    </row>
    <row r="3083" spans="1:40" x14ac:dyDescent="0.25">
      <c r="A3083" t="str">
        <f>"20190304164148949"</f>
        <v>20190304164148949</v>
      </c>
      <c r="B3083" t="str">
        <f>"1551688908944288"</f>
        <v>1551688908944288</v>
      </c>
      <c r="C3083" t="s">
        <v>40</v>
      </c>
      <c r="D3083">
        <v>4.2950970000000002</v>
      </c>
      <c r="E3083">
        <v>0.56150710000000004</v>
      </c>
      <c r="F3083" t="s">
        <v>42</v>
      </c>
      <c r="G3083">
        <v>-494.04939999999999</v>
      </c>
      <c r="H3083" s="1">
        <v>-2.5489740000000002E-6</v>
      </c>
      <c r="I3083">
        <v>243.01929999999999</v>
      </c>
      <c r="J3083">
        <v>-496.32369999999997</v>
      </c>
      <c r="K3083">
        <v>1.1104259999999999</v>
      </c>
      <c r="L3083">
        <v>254.4051</v>
      </c>
      <c r="M3083">
        <v>0.16127529999999901</v>
      </c>
      <c r="N3083">
        <v>-1.204671E-2</v>
      </c>
      <c r="O3083">
        <v>-0.98683620000000005</v>
      </c>
      <c r="P3083">
        <v>0.33707389999999998</v>
      </c>
      <c r="Q3083">
        <v>0.32342870000000001</v>
      </c>
      <c r="R3083">
        <v>-0.88418050000000004</v>
      </c>
      <c r="S3083">
        <v>0.65100100000000005</v>
      </c>
      <c r="T3083">
        <v>-0.3167372</v>
      </c>
      <c r="U3083">
        <v>-3.2624970000000002</v>
      </c>
      <c r="V3083">
        <v>-0.18986600000000001</v>
      </c>
      <c r="W3083">
        <v>0.33467940000000002</v>
      </c>
      <c r="X3083">
        <v>0.92300629999999995</v>
      </c>
      <c r="Y3083">
        <v>-3.4262290000000001E-2</v>
      </c>
      <c r="Z3083">
        <v>8.1996020000000003E-2</v>
      </c>
      <c r="AA3083">
        <v>0.99604360000000003</v>
      </c>
      <c r="AB3083">
        <v>8</v>
      </c>
      <c r="AC3083">
        <v>2.2742999999999798</v>
      </c>
      <c r="AD3083">
        <v>-1.110428548974</v>
      </c>
      <c r="AE3083">
        <v>-11.3858</v>
      </c>
      <c r="AF3083">
        <v>-0.404443458609127</v>
      </c>
      <c r="AG3083">
        <v>-1.110428548974</v>
      </c>
      <c r="AH3083">
        <v>11.498375165664701</v>
      </c>
      <c r="AI3083">
        <v>95.512711311219704</v>
      </c>
      <c r="AJ3083">
        <v>92.014489301122794</v>
      </c>
      <c r="AK3083">
        <v>11.558947076787</v>
      </c>
      <c r="AL3083">
        <v>70.446956681846203</v>
      </c>
      <c r="AM3083">
        <v>101.62382508504299</v>
      </c>
      <c r="AN3083">
        <v>1.0000000142900201</v>
      </c>
    </row>
    <row r="3084" spans="1:40" x14ac:dyDescent="0.25">
      <c r="A3084" t="str">
        <f>"20190304164148967"</f>
        <v>20190304164148967</v>
      </c>
      <c r="B3084" t="str">
        <f>"1551688908954048"</f>
        <v>1551688908954048</v>
      </c>
      <c r="C3084" t="s">
        <v>40</v>
      </c>
      <c r="D3084">
        <v>4.3507930000000004</v>
      </c>
      <c r="E3084">
        <v>0.56150710000000004</v>
      </c>
      <c r="F3084" t="s">
        <v>42</v>
      </c>
      <c r="G3084">
        <v>-494.0761</v>
      </c>
      <c r="H3084" s="1">
        <v>-2.5945470000000001E-6</v>
      </c>
      <c r="I3084">
        <v>243.10890000000001</v>
      </c>
      <c r="J3084">
        <v>-496.31420000000003</v>
      </c>
      <c r="K3084">
        <v>1.1104019999999999</v>
      </c>
      <c r="L3084">
        <v>254.34280000000001</v>
      </c>
      <c r="M3084">
        <v>0.1607565</v>
      </c>
      <c r="N3084">
        <v>-1.2049539999999999E-2</v>
      </c>
      <c r="O3084">
        <v>-0.98692069999999998</v>
      </c>
      <c r="P3084">
        <v>0.33594750000000001</v>
      </c>
      <c r="Q3084">
        <v>0.32117770000000001</v>
      </c>
      <c r="R3084">
        <v>-0.88542919999999903</v>
      </c>
      <c r="S3084">
        <v>0.64920040000000001</v>
      </c>
      <c r="T3084">
        <v>-0.32073629999999997</v>
      </c>
      <c r="U3084">
        <v>-3.262772</v>
      </c>
      <c r="V3084">
        <v>-0.1890289</v>
      </c>
      <c r="W3084">
        <v>0.33244889999999999</v>
      </c>
      <c r="X3084">
        <v>0.92398360000000002</v>
      </c>
      <c r="Y3084">
        <v>-3.422331E-2</v>
      </c>
      <c r="Z3084">
        <v>8.3176310000000003E-2</v>
      </c>
      <c r="AA3084">
        <v>0.99594700000000003</v>
      </c>
      <c r="AB3084">
        <v>8</v>
      </c>
      <c r="AC3084">
        <v>2.23810000000003</v>
      </c>
      <c r="AD3084">
        <v>-1.110404594547</v>
      </c>
      <c r="AE3084">
        <v>-11.2339</v>
      </c>
      <c r="AF3084">
        <v>-0.39918277613504199</v>
      </c>
      <c r="AG3084">
        <v>-1.110404594547</v>
      </c>
      <c r="AH3084">
        <v>11.341013482251199</v>
      </c>
      <c r="AI3084">
        <v>95.588597176382294</v>
      </c>
      <c r="AJ3084">
        <v>92.015873637473106</v>
      </c>
      <c r="AK3084">
        <v>11.402233643324299</v>
      </c>
      <c r="AL3084">
        <v>70.582517553305195</v>
      </c>
      <c r="AM3084">
        <v>101.562050549068</v>
      </c>
      <c r="AN3084">
        <v>0.99999994460768804</v>
      </c>
    </row>
    <row r="3085" spans="1:40" x14ac:dyDescent="0.25">
      <c r="A3085" t="str">
        <f>"20190304164148981"</f>
        <v>20190304164148981</v>
      </c>
      <c r="B3085" t="str">
        <f>"1551688908974544"</f>
        <v>1551688908974544</v>
      </c>
      <c r="C3085" t="s">
        <v>40</v>
      </c>
      <c r="D3085">
        <v>4.3446290000000003</v>
      </c>
      <c r="E3085">
        <v>0.56149550000000004</v>
      </c>
      <c r="F3085" t="s">
        <v>42</v>
      </c>
      <c r="G3085">
        <v>-494.13580000000002</v>
      </c>
      <c r="H3085" s="1">
        <v>-2.712918E-6</v>
      </c>
      <c r="I3085">
        <v>243.34780000000001</v>
      </c>
      <c r="J3085">
        <v>-496.30680000000001</v>
      </c>
      <c r="K3085">
        <v>1.110387</v>
      </c>
      <c r="L3085">
        <v>254.2945</v>
      </c>
      <c r="M3085">
        <v>0.160354</v>
      </c>
      <c r="N3085">
        <v>-1.205176E-2</v>
      </c>
      <c r="O3085">
        <v>-0.98698600000000003</v>
      </c>
      <c r="P3085">
        <v>0.3354163</v>
      </c>
      <c r="Q3085">
        <v>0.32000079999999997</v>
      </c>
      <c r="R3085">
        <v>-0.88605639999999997</v>
      </c>
      <c r="S3085">
        <v>0.64636229999999995</v>
      </c>
      <c r="T3085">
        <v>-0.32948090000000002</v>
      </c>
      <c r="U3085">
        <v>-3.2624360000000001</v>
      </c>
      <c r="V3085">
        <v>-0.18877430000000001</v>
      </c>
      <c r="W3085">
        <v>0.33128479999999999</v>
      </c>
      <c r="X3085">
        <v>0.92445370000000004</v>
      </c>
      <c r="Y3085">
        <v>-3.3773440000000002E-2</v>
      </c>
      <c r="Z3085">
        <v>8.5768750000000005E-2</v>
      </c>
      <c r="AA3085">
        <v>0.99574249999999997</v>
      </c>
      <c r="AB3085">
        <v>8</v>
      </c>
      <c r="AC3085">
        <v>2.17099999999999</v>
      </c>
      <c r="AD3085">
        <v>-1.110389712918</v>
      </c>
      <c r="AE3085">
        <v>-10.9466999999999</v>
      </c>
      <c r="AF3085">
        <v>-0.38362972082101998</v>
      </c>
      <c r="AG3085">
        <v>-1.110389712918</v>
      </c>
      <c r="AH3085">
        <v>11.0438453751092</v>
      </c>
      <c r="AI3085">
        <v>95.738000285846795</v>
      </c>
      <c r="AJ3085">
        <v>91.989481799810093</v>
      </c>
      <c r="AK3085">
        <v>11.106154048390099</v>
      </c>
      <c r="AL3085">
        <v>70.653223806360501</v>
      </c>
      <c r="AM3085">
        <v>101.541182120415</v>
      </c>
      <c r="AN3085">
        <v>0.99999999924760996</v>
      </c>
    </row>
    <row r="3086" spans="1:40" x14ac:dyDescent="0.25">
      <c r="A3086" t="str">
        <f>"20190304164149002"</f>
        <v>20190304164149002</v>
      </c>
      <c r="B3086" t="str">
        <f>"1551688908994064"</f>
        <v>1551688908994064</v>
      </c>
      <c r="C3086" t="s">
        <v>40</v>
      </c>
      <c r="D3086">
        <v>4.3753859999999998</v>
      </c>
      <c r="E3086">
        <v>0.55154789999999998</v>
      </c>
      <c r="F3086" t="s">
        <v>42</v>
      </c>
      <c r="G3086">
        <v>-494.25970000000001</v>
      </c>
      <c r="H3086" s="1">
        <v>-2.9956499999999999E-6</v>
      </c>
      <c r="I3086">
        <v>243.93010000000001</v>
      </c>
      <c r="J3086">
        <v>-496.29610000000002</v>
      </c>
      <c r="K3086">
        <v>1.110363</v>
      </c>
      <c r="L3086">
        <v>254.22389999999999</v>
      </c>
      <c r="M3086">
        <v>0.15976689999999999</v>
      </c>
      <c r="N3086">
        <v>-1.205519E-2</v>
      </c>
      <c r="O3086">
        <v>-0.98708119999999999</v>
      </c>
      <c r="P3086">
        <v>0.33378079999999999</v>
      </c>
      <c r="Q3086">
        <v>0.31828329999999999</v>
      </c>
      <c r="R3086">
        <v>-0.88729139999999995</v>
      </c>
      <c r="S3086">
        <v>0.64544679999999999</v>
      </c>
      <c r="T3086">
        <v>-0.35010950000000002</v>
      </c>
      <c r="U3086">
        <v>-3.2679290000000001</v>
      </c>
      <c r="V3086">
        <v>-0.18750349999999999</v>
      </c>
      <c r="W3086">
        <v>0.32958720000000002</v>
      </c>
      <c r="X3086">
        <v>0.92531870000000005</v>
      </c>
      <c r="Y3086">
        <v>-3.367614E-2</v>
      </c>
      <c r="Z3086">
        <v>9.166386E-2</v>
      </c>
      <c r="AA3086">
        <v>0.99522040000000001</v>
      </c>
      <c r="AB3086">
        <v>8</v>
      </c>
      <c r="AC3086">
        <v>2.0364000000000102</v>
      </c>
      <c r="AD3086">
        <v>-1.11036599565</v>
      </c>
      <c r="AE3086">
        <v>-10.2937999999999</v>
      </c>
      <c r="AF3086">
        <v>-0.36146282213268299</v>
      </c>
      <c r="AG3086">
        <v>-1.11036599565</v>
      </c>
      <c r="AH3086">
        <v>10.3708036519125</v>
      </c>
      <c r="AI3086">
        <v>96.107499639118302</v>
      </c>
      <c r="AJ3086">
        <v>91.996172593546902</v>
      </c>
      <c r="AK3086">
        <v>10.436337307820301</v>
      </c>
      <c r="AL3086">
        <v>70.756277680024994</v>
      </c>
      <c r="AM3086">
        <v>101.45511821896</v>
      </c>
      <c r="AN3086">
        <v>0.99999999074289003</v>
      </c>
    </row>
    <row r="3087" spans="1:40" x14ac:dyDescent="0.25">
      <c r="A3087" t="str">
        <f>"20190304164149016"</f>
        <v>20190304164149016</v>
      </c>
      <c r="B3087" t="str">
        <f>"1551688909003825"</f>
        <v>1551688909003825</v>
      </c>
      <c r="C3087" t="s">
        <v>40</v>
      </c>
      <c r="D3087">
        <v>4.3555400000000004</v>
      </c>
      <c r="E3087">
        <v>0.55056479999999997</v>
      </c>
      <c r="F3087" t="s">
        <v>41</v>
      </c>
      <c r="G3087">
        <v>-496.13889999999998</v>
      </c>
      <c r="H3087">
        <v>0.89809850000000002</v>
      </c>
      <c r="I3087">
        <v>253.50899999999999</v>
      </c>
      <c r="J3087">
        <v>-496.28879999999998</v>
      </c>
      <c r="K3087">
        <v>1.1103479999999999</v>
      </c>
      <c r="L3087">
        <v>254.17670000000001</v>
      </c>
      <c r="M3087">
        <v>0.15937470000000001</v>
      </c>
      <c r="N3087">
        <v>-1.2057470000000001E-2</v>
      </c>
      <c r="O3087">
        <v>-0.98714460000000004</v>
      </c>
      <c r="P3087">
        <v>0.3329259</v>
      </c>
      <c r="Q3087">
        <v>0.31667329999999999</v>
      </c>
      <c r="R3087">
        <v>-0.88818839999999999</v>
      </c>
      <c r="S3087">
        <v>0.76394649999999997</v>
      </c>
      <c r="T3087">
        <v>-1.027617</v>
      </c>
      <c r="U3087">
        <v>-3.462326</v>
      </c>
      <c r="V3087">
        <v>-0.18688009999999999</v>
      </c>
      <c r="W3087">
        <v>0.32799129999999999</v>
      </c>
      <c r="X3087">
        <v>0.92601160000000005</v>
      </c>
      <c r="Y3087">
        <v>-4.9183980000000002E-2</v>
      </c>
      <c r="Z3087">
        <v>0.26465429999999901</v>
      </c>
      <c r="AA3087">
        <v>0.96308830000000001</v>
      </c>
      <c r="AB3087">
        <v>8</v>
      </c>
      <c r="AC3087">
        <v>0.149900000000002</v>
      </c>
      <c r="AD3087">
        <v>-0.21224949999999901</v>
      </c>
      <c r="AE3087">
        <v>-0.66769999999999596</v>
      </c>
      <c r="AF3087">
        <v>-3.7914161572906002E-2</v>
      </c>
      <c r="AG3087">
        <v>-0.21224949999999901</v>
      </c>
      <c r="AH3087">
        <v>0.62311282363619602</v>
      </c>
      <c r="AI3087">
        <v>108.77797748828399</v>
      </c>
      <c r="AJ3087">
        <v>93.481948131955804</v>
      </c>
      <c r="AK3087">
        <v>0.65936099738906195</v>
      </c>
      <c r="AL3087">
        <v>70.853098639656096</v>
      </c>
      <c r="AM3087">
        <v>101.40971537943599</v>
      </c>
      <c r="AN3087">
        <v>0.99999997399312901</v>
      </c>
    </row>
    <row r="3088" spans="1:40" x14ac:dyDescent="0.25">
      <c r="A3088" t="str">
        <f>"20190304164149045"</f>
        <v>20190304164149045</v>
      </c>
      <c r="B3088" t="str">
        <f>"1551688909034080"</f>
        <v>1551688909034080</v>
      </c>
      <c r="C3088" t="s">
        <v>40</v>
      </c>
      <c r="D3088">
        <v>4.2636180000000001</v>
      </c>
      <c r="E3088">
        <v>0.5504483</v>
      </c>
      <c r="F3088" t="s">
        <v>41</v>
      </c>
      <c r="G3088">
        <v>-496.14069999999998</v>
      </c>
      <c r="H3088">
        <v>0.90524070000000001</v>
      </c>
      <c r="I3088">
        <v>253.50569999999999</v>
      </c>
      <c r="J3088">
        <v>-496.27409999999998</v>
      </c>
      <c r="K3088">
        <v>1.1103190000000001</v>
      </c>
      <c r="L3088">
        <v>254.0796</v>
      </c>
      <c r="M3088">
        <v>0.15857079999999901</v>
      </c>
      <c r="N3088">
        <v>-1.206229E-2</v>
      </c>
      <c r="O3088">
        <v>-0.98727419999999999</v>
      </c>
      <c r="P3088">
        <v>0.33041900000000002</v>
      </c>
      <c r="Q3088">
        <v>0.3144151</v>
      </c>
      <c r="R3088">
        <v>-0.88992549999999904</v>
      </c>
      <c r="S3088">
        <v>0.76870729999999998</v>
      </c>
      <c r="T3088">
        <v>-1.0594190000000001</v>
      </c>
      <c r="U3088">
        <v>-3.4672550000000002</v>
      </c>
      <c r="V3088">
        <v>-0.18487410000000001</v>
      </c>
      <c r="W3088">
        <v>0.32575739999999997</v>
      </c>
      <c r="X3088">
        <v>0.92720210000000003</v>
      </c>
      <c r="Y3088">
        <v>-5.0505679999999997E-2</v>
      </c>
      <c r="Z3088">
        <v>0.27216879999999999</v>
      </c>
      <c r="AA3088">
        <v>0.96092319999999998</v>
      </c>
      <c r="AB3088">
        <v>8</v>
      </c>
      <c r="AC3088">
        <v>0.133399999999994</v>
      </c>
      <c r="AD3088">
        <v>-0.20507829999999999</v>
      </c>
      <c r="AE3088">
        <v>-0.57390000000000896</v>
      </c>
      <c r="AF3088">
        <v>-3.6303477542417403E-2</v>
      </c>
      <c r="AG3088">
        <v>-0.20507829999999999</v>
      </c>
      <c r="AH3088">
        <v>0.52427776957547501</v>
      </c>
      <c r="AI3088">
        <v>111.317172513366</v>
      </c>
      <c r="AJ3088">
        <v>93.961108444964495</v>
      </c>
      <c r="AK3088">
        <v>0.56412962276731904</v>
      </c>
      <c r="AL3088">
        <v>70.988532355404402</v>
      </c>
      <c r="AM3088">
        <v>101.27627916678</v>
      </c>
      <c r="AN3088">
        <v>1.0000000253749799</v>
      </c>
    </row>
    <row r="3089" spans="1:40" x14ac:dyDescent="0.25">
      <c r="A3089" t="str">
        <f>"20190304164149070"</f>
        <v>20190304164149070</v>
      </c>
      <c r="B3089" t="str">
        <f>"1551688909064337"</f>
        <v>1551688909064337</v>
      </c>
      <c r="C3089" t="s">
        <v>40</v>
      </c>
      <c r="D3089">
        <v>4.2679499999999999</v>
      </c>
      <c r="E3089">
        <v>0.55113970000000001</v>
      </c>
      <c r="F3089" t="s">
        <v>41</v>
      </c>
      <c r="G3089">
        <v>-496.1207</v>
      </c>
      <c r="H3089">
        <v>0.88997399999999904</v>
      </c>
      <c r="I3089">
        <v>253.37629999999999</v>
      </c>
      <c r="J3089">
        <v>-496.26130000000001</v>
      </c>
      <c r="K3089">
        <v>1.110298</v>
      </c>
      <c r="L3089">
        <v>253.99440000000001</v>
      </c>
      <c r="M3089">
        <v>0.15786800000000001</v>
      </c>
      <c r="N3089">
        <v>-1.206642E-2</v>
      </c>
      <c r="O3089">
        <v>-0.9873866</v>
      </c>
      <c r="P3089">
        <v>0.32856929999999901</v>
      </c>
      <c r="Q3089">
        <v>0.31255270000000002</v>
      </c>
      <c r="R3089">
        <v>-0.89126519999999998</v>
      </c>
      <c r="S3089">
        <v>0.75970459999999995</v>
      </c>
      <c r="T3089">
        <v>-1.088112</v>
      </c>
      <c r="U3089">
        <v>-3.4735109999999998</v>
      </c>
      <c r="V3089">
        <v>-0.18348980000000001</v>
      </c>
      <c r="W3089">
        <v>0.3239147</v>
      </c>
      <c r="X3089">
        <v>0.92812220000000001</v>
      </c>
      <c r="Y3089">
        <v>-4.8060470000000001E-2</v>
      </c>
      <c r="Z3089">
        <v>0.27887909999999999</v>
      </c>
      <c r="AA3089">
        <v>0.95912280000000005</v>
      </c>
      <c r="AB3089">
        <v>8</v>
      </c>
      <c r="AC3089">
        <v>0.140600000000006</v>
      </c>
      <c r="AD3089">
        <v>-0.22032399999999999</v>
      </c>
      <c r="AE3089">
        <v>-0.61810000000002596</v>
      </c>
      <c r="AF3089">
        <v>-3.6804998474090599E-2</v>
      </c>
      <c r="AG3089">
        <v>-0.22032399999999999</v>
      </c>
      <c r="AH3089">
        <v>0.564365860012641</v>
      </c>
      <c r="AI3089">
        <v>111.284128447347</v>
      </c>
      <c r="AJ3089">
        <v>93.731248326831405</v>
      </c>
      <c r="AK3089">
        <v>0.60696465863877602</v>
      </c>
      <c r="AL3089">
        <v>71.100165182506103</v>
      </c>
      <c r="AM3089">
        <v>101.18316722979399</v>
      </c>
      <c r="AN3089">
        <v>1.0000000288564801</v>
      </c>
    </row>
    <row r="3090" spans="1:40" x14ac:dyDescent="0.25">
      <c r="A3090" t="str">
        <f>"20190304164149091"</f>
        <v>20190304164149091</v>
      </c>
      <c r="B3090" t="str">
        <f>"1551688909083856"</f>
        <v>1551688909083856</v>
      </c>
      <c r="C3090" t="s">
        <v>40</v>
      </c>
      <c r="D3090">
        <v>4.2709799999999998</v>
      </c>
      <c r="E3090">
        <v>0.55157789999999995</v>
      </c>
      <c r="F3090" t="s">
        <v>41</v>
      </c>
      <c r="G3090">
        <v>-496.11320000000001</v>
      </c>
      <c r="H3090">
        <v>0.89498719999999998</v>
      </c>
      <c r="I3090">
        <v>253.3058</v>
      </c>
      <c r="J3090">
        <v>-496.25020000000001</v>
      </c>
      <c r="K3090">
        <v>1.110277</v>
      </c>
      <c r="L3090">
        <v>253.92099999999999</v>
      </c>
      <c r="M3090">
        <v>0.1572636</v>
      </c>
      <c r="N3090">
        <v>-1.2069979999999999E-2</v>
      </c>
      <c r="O3090">
        <v>-0.987483</v>
      </c>
      <c r="P3090">
        <v>0.3270362</v>
      </c>
      <c r="Q3090">
        <v>0.31056790000000001</v>
      </c>
      <c r="R3090">
        <v>-0.89252189999999998</v>
      </c>
      <c r="S3090">
        <v>0.74594119999999997</v>
      </c>
      <c r="T3090">
        <v>-1.0856520000000001</v>
      </c>
      <c r="U3090">
        <v>-3.4716800000000001</v>
      </c>
      <c r="V3090">
        <v>-0.18234120000000001</v>
      </c>
      <c r="W3090">
        <v>0.32194889999999998</v>
      </c>
      <c r="X3090">
        <v>0.92903210000000003</v>
      </c>
      <c r="Y3090">
        <v>-4.5170019999999998E-2</v>
      </c>
      <c r="Z3090">
        <v>0.27857579999999998</v>
      </c>
      <c r="AA3090">
        <v>0.95935139999999997</v>
      </c>
      <c r="AB3090">
        <v>8</v>
      </c>
      <c r="AC3090">
        <v>0.13700000000000001</v>
      </c>
      <c r="AD3090">
        <v>-0.2152898</v>
      </c>
      <c r="AE3090">
        <v>-0.61519999999998698</v>
      </c>
      <c r="AF3090">
        <v>-3.4512511443875599E-2</v>
      </c>
      <c r="AG3090">
        <v>-0.2152898</v>
      </c>
      <c r="AH3090">
        <v>0.56335816954062001</v>
      </c>
      <c r="AI3090">
        <v>110.87881610214799</v>
      </c>
      <c r="AJ3090">
        <v>93.505679200186094</v>
      </c>
      <c r="AK3090">
        <v>0.60408049018186405</v>
      </c>
      <c r="AL3090">
        <v>71.2191733733669</v>
      </c>
      <c r="AM3090">
        <v>101.10429647331</v>
      </c>
      <c r="AN3090">
        <v>1.00000002512952</v>
      </c>
    </row>
    <row r="3091" spans="1:40" x14ac:dyDescent="0.25">
      <c r="A3091" t="str">
        <f>"20190304164149113"</f>
        <v>20190304164149113</v>
      </c>
      <c r="B3091" t="str">
        <f>"1551688909104352"</f>
        <v>1551688909104352</v>
      </c>
      <c r="C3091" t="s">
        <v>40</v>
      </c>
      <c r="D3091">
        <v>4.2926229999999999</v>
      </c>
      <c r="E3091">
        <v>0.55179239999999996</v>
      </c>
      <c r="F3091" t="s">
        <v>41</v>
      </c>
      <c r="G3091">
        <v>-496.10579999999999</v>
      </c>
      <c r="H3091">
        <v>0.896374</v>
      </c>
      <c r="I3091">
        <v>253.23689999999999</v>
      </c>
      <c r="J3091">
        <v>-496.23939999999999</v>
      </c>
      <c r="K3091">
        <v>1.110257</v>
      </c>
      <c r="L3091">
        <v>253.84819999999999</v>
      </c>
      <c r="M3091">
        <v>0.1566652</v>
      </c>
      <c r="N3091">
        <v>-1.2073459999999999E-2</v>
      </c>
      <c r="O3091">
        <v>-0.98757799999999996</v>
      </c>
      <c r="P3091">
        <v>0.32587270000000002</v>
      </c>
      <c r="Q3091">
        <v>0.30913590000000002</v>
      </c>
      <c r="R3091">
        <v>-0.89344409999999896</v>
      </c>
      <c r="S3091">
        <v>0.73443599999999998</v>
      </c>
      <c r="T3091">
        <v>-1.0846579999999999</v>
      </c>
      <c r="U3091">
        <v>-3.4695589999999998</v>
      </c>
      <c r="V3091">
        <v>-0.1816043</v>
      </c>
      <c r="W3091">
        <v>0.32053229999999999</v>
      </c>
      <c r="X3091">
        <v>0.92966599999999999</v>
      </c>
      <c r="Y3091">
        <v>-4.2854219999999998E-2</v>
      </c>
      <c r="Z3091">
        <v>0.27862940000000003</v>
      </c>
      <c r="AA3091">
        <v>0.95944209999999996</v>
      </c>
      <c r="AB3091">
        <v>8</v>
      </c>
      <c r="AC3091">
        <v>0.133600000000001</v>
      </c>
      <c r="AD3091">
        <v>-0.21388299999999999</v>
      </c>
      <c r="AE3091">
        <v>-0.61129999999999995</v>
      </c>
      <c r="AF3091">
        <v>-3.2389347791837303E-2</v>
      </c>
      <c r="AG3091">
        <v>-0.21388299999999999</v>
      </c>
      <c r="AH3091">
        <v>0.55933180706409702</v>
      </c>
      <c r="AI3091">
        <v>110.894389995198</v>
      </c>
      <c r="AJ3091">
        <v>93.314138016319006</v>
      </c>
      <c r="AK3091">
        <v>0.59970582616226797</v>
      </c>
      <c r="AL3091">
        <v>71.304880322998201</v>
      </c>
      <c r="AM3091">
        <v>101.05317324684501</v>
      </c>
      <c r="AN3091">
        <v>0.99999997433888899</v>
      </c>
    </row>
    <row r="3092" spans="1:40" x14ac:dyDescent="0.25">
      <c r="A3092" t="str">
        <f>"20190304164149135"</f>
        <v>20190304164149135</v>
      </c>
      <c r="B3092" t="str">
        <f>"1551688909123872"</f>
        <v>1551688909123872</v>
      </c>
      <c r="C3092" t="s">
        <v>40</v>
      </c>
      <c r="D3092">
        <v>4.2933690000000002</v>
      </c>
      <c r="E3092">
        <v>0.55199860000000001</v>
      </c>
      <c r="F3092" t="s">
        <v>41</v>
      </c>
      <c r="G3092">
        <v>-496.0967</v>
      </c>
      <c r="H3092">
        <v>0.89767050000000004</v>
      </c>
      <c r="I3092">
        <v>253.16829999999999</v>
      </c>
      <c r="J3092">
        <v>-496.22829999999999</v>
      </c>
      <c r="K3092">
        <v>1.110241</v>
      </c>
      <c r="L3092">
        <v>253.774</v>
      </c>
      <c r="M3092">
        <v>0.15605529999999901</v>
      </c>
      <c r="N3092">
        <v>-1.207714E-2</v>
      </c>
      <c r="O3092">
        <v>-0.98767470000000002</v>
      </c>
      <c r="P3092">
        <v>0.32501190000000002</v>
      </c>
      <c r="Q3092">
        <v>0.30781310000000001</v>
      </c>
      <c r="R3092">
        <v>-0.89421399999999995</v>
      </c>
      <c r="S3092">
        <v>0.72741699999999998</v>
      </c>
      <c r="T3092">
        <v>-1.084195</v>
      </c>
      <c r="U3092">
        <v>-3.46759</v>
      </c>
      <c r="V3092">
        <v>-0.18120020000000001</v>
      </c>
      <c r="W3092">
        <v>0.31922489999999998</v>
      </c>
      <c r="X3092">
        <v>0.93019459999999998</v>
      </c>
      <c r="Y3092">
        <v>-4.1716709999999997E-2</v>
      </c>
      <c r="Z3092">
        <v>0.27876010000000001</v>
      </c>
      <c r="AA3092">
        <v>0.95945429999999998</v>
      </c>
      <c r="AB3092">
        <v>8</v>
      </c>
      <c r="AC3092">
        <v>0.131599999999991</v>
      </c>
      <c r="AD3092">
        <v>-0.2125705</v>
      </c>
      <c r="AE3092">
        <v>-0.60570000000001301</v>
      </c>
      <c r="AF3092">
        <v>-3.17264065209341E-2</v>
      </c>
      <c r="AG3092">
        <v>-0.2125705</v>
      </c>
      <c r="AH3092">
        <v>0.55369428405799204</v>
      </c>
      <c r="AI3092">
        <v>110.971050376929</v>
      </c>
      <c r="AJ3092">
        <v>93.279433699200993</v>
      </c>
      <c r="AK3092">
        <v>0.593944561840138</v>
      </c>
      <c r="AL3092">
        <v>71.383943810016405</v>
      </c>
      <c r="AM3092">
        <v>101.02306784166601</v>
      </c>
      <c r="AN3092">
        <v>1.0000000215646001</v>
      </c>
    </row>
    <row r="3093" spans="1:40" x14ac:dyDescent="0.25">
      <c r="A3093" t="str">
        <f>"20190304164149158"</f>
        <v>20190304164149158</v>
      </c>
      <c r="B3093" t="str">
        <f>"1551688909154128"</f>
        <v>1551688909154128</v>
      </c>
      <c r="C3093" t="s">
        <v>40</v>
      </c>
      <c r="D3093">
        <v>4.0146459999999999</v>
      </c>
      <c r="E3093">
        <v>0.5521876</v>
      </c>
      <c r="F3093" t="s">
        <v>41</v>
      </c>
      <c r="G3093">
        <v>-496.08859999999999</v>
      </c>
      <c r="H3093">
        <v>0.89928050000000004</v>
      </c>
      <c r="I3093">
        <v>253.09950000000001</v>
      </c>
      <c r="J3093">
        <v>-496.21730000000002</v>
      </c>
      <c r="K3093">
        <v>1.110214</v>
      </c>
      <c r="L3093">
        <v>253.69980000000001</v>
      </c>
      <c r="M3093">
        <v>0.1554442</v>
      </c>
      <c r="N3093">
        <v>-1.2081069999999999E-2</v>
      </c>
      <c r="O3093">
        <v>-0.98777090000000001</v>
      </c>
      <c r="P3093">
        <v>0.3244959</v>
      </c>
      <c r="Q3093">
        <v>0.30664469999999999</v>
      </c>
      <c r="R3093">
        <v>-0.8948026</v>
      </c>
      <c r="S3093">
        <v>0.72100830000000005</v>
      </c>
      <c r="T3093">
        <v>-1.083634</v>
      </c>
      <c r="U3093">
        <v>-3.4658509999999998</v>
      </c>
      <c r="V3093">
        <v>-0.1811651</v>
      </c>
      <c r="W3093">
        <v>0.31807229999999997</v>
      </c>
      <c r="X3093">
        <v>0.93059610000000004</v>
      </c>
      <c r="Y3093">
        <v>-4.0729050000000003E-2</v>
      </c>
      <c r="Z3093">
        <v>0.27884320000000001</v>
      </c>
      <c r="AA3093">
        <v>0.95947260000000001</v>
      </c>
      <c r="AB3093">
        <v>8</v>
      </c>
      <c r="AC3093">
        <v>0.12870000000003701</v>
      </c>
      <c r="AD3093">
        <v>-0.2109335</v>
      </c>
      <c r="AE3093">
        <v>-0.60030000000000405</v>
      </c>
      <c r="AF3093">
        <v>-3.0245212222437499E-2</v>
      </c>
      <c r="AG3093">
        <v>-0.2109335</v>
      </c>
      <c r="AH3093">
        <v>0.54828804489610905</v>
      </c>
      <c r="AI3093">
        <v>111.013226985106</v>
      </c>
      <c r="AJ3093">
        <v>93.157406937577903</v>
      </c>
      <c r="AK3093">
        <v>0.58824101732251499</v>
      </c>
      <c r="AL3093">
        <v>71.453613127059597</v>
      </c>
      <c r="AM3093">
        <v>101.016346278607</v>
      </c>
      <c r="AN3093">
        <v>0.99999994141025295</v>
      </c>
    </row>
    <row r="3094" spans="1:40" x14ac:dyDescent="0.25">
      <c r="A3094" t="str">
        <f>"20190304164149180"</f>
        <v>20190304164149180</v>
      </c>
      <c r="B3094" t="str">
        <f>"1551688909173648"</f>
        <v>1551688909173648</v>
      </c>
      <c r="C3094" t="s">
        <v>40</v>
      </c>
      <c r="D3094">
        <v>4.2239789999999999</v>
      </c>
      <c r="E3094">
        <v>0.55296610000000002</v>
      </c>
      <c r="F3094" t="s">
        <v>41</v>
      </c>
      <c r="G3094">
        <v>-496.07889999999998</v>
      </c>
      <c r="H3094">
        <v>0.90102890000000002</v>
      </c>
      <c r="I3094">
        <v>253.0309</v>
      </c>
      <c r="J3094">
        <v>-496.20569999999998</v>
      </c>
      <c r="K3094">
        <v>1.110222</v>
      </c>
      <c r="L3094">
        <v>253.62039999999999</v>
      </c>
      <c r="M3094">
        <v>0.15478819999999999</v>
      </c>
      <c r="N3094">
        <v>-1.208246E-2</v>
      </c>
      <c r="O3094">
        <v>-0.98787389999999997</v>
      </c>
      <c r="P3094">
        <v>0.3243625</v>
      </c>
      <c r="Q3094">
        <v>0.305483</v>
      </c>
      <c r="R3094">
        <v>-0.8952483</v>
      </c>
      <c r="S3094">
        <v>0.71820069999999903</v>
      </c>
      <c r="T3094">
        <v>-1.082938</v>
      </c>
      <c r="U3094">
        <v>-3.4633639999999999</v>
      </c>
      <c r="V3094">
        <v>-0.18159639999999999</v>
      </c>
      <c r="W3094">
        <v>0.31691019999999998</v>
      </c>
      <c r="X3094">
        <v>0.93090850000000003</v>
      </c>
      <c r="Y3094">
        <v>-4.0780129999999998E-2</v>
      </c>
      <c r="Z3094">
        <v>0.27892220000000001</v>
      </c>
      <c r="AA3094">
        <v>0.95944739999999995</v>
      </c>
      <c r="AB3094">
        <v>8</v>
      </c>
      <c r="AC3094">
        <v>0.12680000000000199</v>
      </c>
      <c r="AD3094">
        <v>-0.20919309999999999</v>
      </c>
      <c r="AE3094">
        <v>-0.58949999999998604</v>
      </c>
      <c r="AF3094">
        <v>-3.0362763599678599E-2</v>
      </c>
      <c r="AG3094">
        <v>-0.20919309999999999</v>
      </c>
      <c r="AH3094">
        <v>0.53734721856952194</v>
      </c>
      <c r="AI3094">
        <v>111.240462823657</v>
      </c>
      <c r="AJ3094">
        <v>93.234054673317004</v>
      </c>
      <c r="AK3094">
        <v>0.57743024150577804</v>
      </c>
      <c r="AL3094">
        <v>71.523830236548307</v>
      </c>
      <c r="AM3094">
        <v>101.038314583012</v>
      </c>
      <c r="AN3094">
        <v>0.99999998136462398</v>
      </c>
    </row>
    <row r="3095" spans="1:40" x14ac:dyDescent="0.25">
      <c r="A3095" t="str">
        <f>"20190304164149203"</f>
        <v>20190304164149203</v>
      </c>
      <c r="B3095" t="str">
        <f>"1551688909194144"</f>
        <v>1551688909194144</v>
      </c>
      <c r="C3095" t="s">
        <v>40</v>
      </c>
      <c r="D3095">
        <v>4.2923460000000002</v>
      </c>
      <c r="E3095">
        <v>0.55325190000000002</v>
      </c>
      <c r="F3095" t="s">
        <v>41</v>
      </c>
      <c r="G3095">
        <v>-496.07080000000002</v>
      </c>
      <c r="H3095">
        <v>0.90607570000000004</v>
      </c>
      <c r="I3095">
        <v>252.9607</v>
      </c>
      <c r="J3095">
        <v>-496.19420000000002</v>
      </c>
      <c r="K3095">
        <v>1.110115</v>
      </c>
      <c r="L3095">
        <v>253.54169999999999</v>
      </c>
      <c r="M3095">
        <v>0.154121799999999</v>
      </c>
      <c r="N3095">
        <v>-1.162943E-2</v>
      </c>
      <c r="O3095">
        <v>-0.98798370000000002</v>
      </c>
      <c r="P3095">
        <v>0.32489210000000002</v>
      </c>
      <c r="Q3095">
        <v>0.3044946</v>
      </c>
      <c r="R3095">
        <v>-0.89539310000000005</v>
      </c>
      <c r="S3095">
        <v>0.70962519999999996</v>
      </c>
      <c r="T3095">
        <v>-1.0701860000000001</v>
      </c>
      <c r="U3095">
        <v>-3.4591219999999998</v>
      </c>
      <c r="V3095">
        <v>-0.1827483</v>
      </c>
      <c r="W3095">
        <v>0.31549110000000002</v>
      </c>
      <c r="X3095">
        <v>0.93116509999999997</v>
      </c>
      <c r="Y3095">
        <v>-3.9549109999999998E-2</v>
      </c>
      <c r="Z3095">
        <v>0.27664050000000001</v>
      </c>
      <c r="AA3095">
        <v>0.96015930000000005</v>
      </c>
      <c r="AB3095">
        <v>8</v>
      </c>
      <c r="AC3095">
        <v>0.12340000000000299</v>
      </c>
      <c r="AD3095">
        <v>-0.20403930000000001</v>
      </c>
      <c r="AE3095">
        <v>-0.58099999999998797</v>
      </c>
      <c r="AF3095">
        <v>-2.8957386282495501E-2</v>
      </c>
      <c r="AG3095">
        <v>-0.20403930000000001</v>
      </c>
      <c r="AH3095">
        <v>0.53047639447573702</v>
      </c>
      <c r="AI3095">
        <v>111.009899785163</v>
      </c>
      <c r="AJ3095">
        <v>93.1245329944133</v>
      </c>
      <c r="AK3095">
        <v>0.56910084454407595</v>
      </c>
      <c r="AL3095">
        <v>71.609536588278502</v>
      </c>
      <c r="AM3095">
        <v>101.103612498294</v>
      </c>
      <c r="AN3095">
        <v>1.0000000093950501</v>
      </c>
    </row>
    <row r="3096" spans="1:40" x14ac:dyDescent="0.25">
      <c r="A3096" t="str">
        <f>"20190304164149224"</f>
        <v>20190304164149224</v>
      </c>
      <c r="B3096" t="str">
        <f>"1551688909213664"</f>
        <v>1551688909213664</v>
      </c>
      <c r="C3096" t="s">
        <v>40</v>
      </c>
      <c r="D3096">
        <v>4.4004580000000004</v>
      </c>
      <c r="E3096">
        <v>0.55334280000000002</v>
      </c>
      <c r="F3096" t="s">
        <v>41</v>
      </c>
      <c r="G3096">
        <v>-496.04820000000001</v>
      </c>
      <c r="H3096">
        <v>0.88969140000000002</v>
      </c>
      <c r="I3096">
        <v>252.82810000000001</v>
      </c>
      <c r="J3096">
        <v>-496.1832</v>
      </c>
      <c r="K3096">
        <v>1.109961</v>
      </c>
      <c r="L3096">
        <v>253.4666</v>
      </c>
      <c r="M3096">
        <v>0.15347079999999999</v>
      </c>
      <c r="N3096">
        <v>-1.0935810000000001E-2</v>
      </c>
      <c r="O3096">
        <v>-0.98809279999999999</v>
      </c>
      <c r="P3096">
        <v>0.32522259999999997</v>
      </c>
      <c r="Q3096">
        <v>0.30343300000000001</v>
      </c>
      <c r="R3096">
        <v>-0.89563329999999997</v>
      </c>
      <c r="S3096">
        <v>0.70849609999999996</v>
      </c>
      <c r="T3096">
        <v>-1.0673220000000001</v>
      </c>
      <c r="U3096">
        <v>-3.456375</v>
      </c>
      <c r="V3096">
        <v>-0.18367149999999999</v>
      </c>
      <c r="W3096">
        <v>0.31377749999999999</v>
      </c>
      <c r="X3096">
        <v>0.93156240000000001</v>
      </c>
      <c r="Y3096">
        <v>-4.005131E-2</v>
      </c>
      <c r="Z3096">
        <v>0.27684199999999998</v>
      </c>
      <c r="AA3096">
        <v>0.96008039999999994</v>
      </c>
      <c r="AB3096">
        <v>8</v>
      </c>
      <c r="AC3096">
        <v>0.13499999999998999</v>
      </c>
      <c r="AD3096">
        <v>-0.22026959999999901</v>
      </c>
      <c r="AE3096">
        <v>-0.63849999999999296</v>
      </c>
      <c r="AF3096">
        <v>-3.1782878212297E-2</v>
      </c>
      <c r="AG3096">
        <v>-0.22026959999999901</v>
      </c>
      <c r="AH3096">
        <v>0.58501112861697302</v>
      </c>
      <c r="AI3096">
        <v>110.60463530834799</v>
      </c>
      <c r="AJ3096">
        <v>93.109746483766301</v>
      </c>
      <c r="AK3096">
        <v>0.62591282830544503</v>
      </c>
      <c r="AL3096">
        <v>71.712972064836194</v>
      </c>
      <c r="AM3096">
        <v>101.15366153705899</v>
      </c>
      <c r="AN3096">
        <v>1.0000000222561201</v>
      </c>
    </row>
    <row r="3097" spans="1:40" x14ac:dyDescent="0.25">
      <c r="A3097" t="str">
        <f>"20190304164149245"</f>
        <v>20190304164149245</v>
      </c>
      <c r="B3097" t="str">
        <f>"1551688909234160"</f>
        <v>1551688909234160</v>
      </c>
      <c r="C3097" t="s">
        <v>40</v>
      </c>
      <c r="D3097">
        <v>4.2047129999999999</v>
      </c>
      <c r="E3097">
        <v>0.54938569999999998</v>
      </c>
      <c r="F3097" t="s">
        <v>41</v>
      </c>
      <c r="G3097">
        <v>-496.03769999999997</v>
      </c>
      <c r="H3097">
        <v>0.889622899999999</v>
      </c>
      <c r="I3097">
        <v>252.75640000000001</v>
      </c>
      <c r="J3097">
        <v>-496.17189999999999</v>
      </c>
      <c r="K3097">
        <v>1.1098440000000001</v>
      </c>
      <c r="L3097">
        <v>253.38820000000001</v>
      </c>
      <c r="M3097">
        <v>0.1527944</v>
      </c>
      <c r="N3097">
        <v>-1.0298160000000001E-2</v>
      </c>
      <c r="O3097">
        <v>-0.98820469999999905</v>
      </c>
      <c r="P3097">
        <v>0.32561089999999998</v>
      </c>
      <c r="Q3097">
        <v>0.30330849999999998</v>
      </c>
      <c r="R3097">
        <v>-0.89553479999999996</v>
      </c>
      <c r="S3097">
        <v>0.70864869999999902</v>
      </c>
      <c r="T3097">
        <v>-1.0718379999999901</v>
      </c>
      <c r="U3097">
        <v>-3.455368</v>
      </c>
      <c r="V3097">
        <v>-0.18472649999999999</v>
      </c>
      <c r="W3097">
        <v>0.31304939999999998</v>
      </c>
      <c r="X3097">
        <v>0.9315987</v>
      </c>
      <c r="Y3097">
        <v>-4.0728250000000001E-2</v>
      </c>
      <c r="Z3097">
        <v>0.2786747</v>
      </c>
      <c r="AA3097">
        <v>0.95952159999999997</v>
      </c>
      <c r="AB3097">
        <v>8</v>
      </c>
      <c r="AC3097">
        <v>0.134200000000021</v>
      </c>
      <c r="AD3097">
        <v>-0.2202211</v>
      </c>
      <c r="AE3097">
        <v>-0.63179999999999803</v>
      </c>
      <c r="AF3097">
        <v>-3.2325612649061197E-2</v>
      </c>
      <c r="AG3097">
        <v>-0.2202211</v>
      </c>
      <c r="AH3097">
        <v>0.57772598321080604</v>
      </c>
      <c r="AI3097">
        <v>110.836362904453</v>
      </c>
      <c r="AJ3097">
        <v>93.202542386279703</v>
      </c>
      <c r="AK3097">
        <v>0.61912001243316295</v>
      </c>
      <c r="AL3097">
        <v>71.756901533819303</v>
      </c>
      <c r="AM3097">
        <v>101.215681881984</v>
      </c>
      <c r="AN3097">
        <v>0.99999997224214898</v>
      </c>
    </row>
    <row r="3098" spans="1:40" x14ac:dyDescent="0.25">
      <c r="A3098" t="str">
        <f>"20190304164149270"</f>
        <v>20190304164149270</v>
      </c>
      <c r="B3098" t="str">
        <f>"1551688909264416"</f>
        <v>1551688909264416</v>
      </c>
      <c r="C3098" t="s">
        <v>40</v>
      </c>
      <c r="D3098">
        <v>4.341259</v>
      </c>
      <c r="E3098">
        <v>0.54648200000000002</v>
      </c>
      <c r="F3098" t="s">
        <v>41</v>
      </c>
      <c r="G3098">
        <v>-496.0231</v>
      </c>
      <c r="H3098">
        <v>0.86982079999999995</v>
      </c>
      <c r="I3098">
        <v>252.69319999999999</v>
      </c>
      <c r="J3098">
        <v>-496.15969999999999</v>
      </c>
      <c r="K3098">
        <v>1.109802</v>
      </c>
      <c r="L3098">
        <v>253.30330000000001</v>
      </c>
      <c r="M3098">
        <v>0.1520802</v>
      </c>
      <c r="N3098">
        <v>-9.8189469999999997E-3</v>
      </c>
      <c r="O3098">
        <v>-0.98831970000000002</v>
      </c>
      <c r="P3098">
        <v>0.32506239999999997</v>
      </c>
      <c r="Q3098">
        <v>0.3029715</v>
      </c>
      <c r="R3098">
        <v>-0.89584750000000002</v>
      </c>
      <c r="S3098">
        <v>0.74829100000000004</v>
      </c>
      <c r="T3098">
        <v>-1.203406</v>
      </c>
      <c r="U3098">
        <v>-3.4854280000000002</v>
      </c>
      <c r="V3098">
        <v>-0.1848292</v>
      </c>
      <c r="W3098">
        <v>0.31225770000000003</v>
      </c>
      <c r="X3098">
        <v>0.93184409999999895</v>
      </c>
      <c r="Y3098">
        <v>-4.832272E-2</v>
      </c>
      <c r="Z3098">
        <v>0.30834489999999998</v>
      </c>
      <c r="AA3098">
        <v>0.95004650000000002</v>
      </c>
      <c r="AB3098">
        <v>8</v>
      </c>
      <c r="AC3098">
        <v>0.13659999999998701</v>
      </c>
      <c r="AD3098">
        <v>-0.23998119999999901</v>
      </c>
      <c r="AE3098">
        <v>-0.61010000000001696</v>
      </c>
      <c r="AF3098">
        <v>-3.6800343144114997E-2</v>
      </c>
      <c r="AG3098">
        <v>-0.23998119999999901</v>
      </c>
      <c r="AH3098">
        <v>0.54367492184247801</v>
      </c>
      <c r="AI3098">
        <v>113.76859444881801</v>
      </c>
      <c r="AJ3098">
        <v>93.872337896633496</v>
      </c>
      <c r="AK3098">
        <v>0.59542225541995697</v>
      </c>
      <c r="AL3098">
        <v>71.804658461623902</v>
      </c>
      <c r="AM3098">
        <v>101.21887885230301</v>
      </c>
      <c r="AN3098">
        <v>1.0000000655433601</v>
      </c>
    </row>
    <row r="3099" spans="1:40" x14ac:dyDescent="0.25">
      <c r="A3099" t="str">
        <f>"20190304164149294"</f>
        <v>20190304164149294</v>
      </c>
      <c r="B3099" t="str">
        <f>"1551688909283937"</f>
        <v>1551688909283937</v>
      </c>
      <c r="C3099" t="s">
        <v>40</v>
      </c>
      <c r="D3099">
        <v>4.3595480000000002</v>
      </c>
      <c r="E3099">
        <v>0.54604580000000003</v>
      </c>
      <c r="F3099" t="s">
        <v>41</v>
      </c>
      <c r="G3099">
        <v>-496.00959999999998</v>
      </c>
      <c r="H3099">
        <v>0.86570979999999997</v>
      </c>
      <c r="I3099">
        <v>252.6225</v>
      </c>
      <c r="J3099">
        <v>-496.14699999999999</v>
      </c>
      <c r="K3099">
        <v>1.1098049999999999</v>
      </c>
      <c r="L3099">
        <v>253.215</v>
      </c>
      <c r="M3099">
        <v>0.15135109999999999</v>
      </c>
      <c r="N3099">
        <v>-9.4535829999999998E-3</v>
      </c>
      <c r="O3099">
        <v>-0.98843510000000001</v>
      </c>
      <c r="P3099">
        <v>0.32295069999999998</v>
      </c>
      <c r="Q3099">
        <v>0.30375839999999998</v>
      </c>
      <c r="R3099">
        <v>-0.89634469999999999</v>
      </c>
      <c r="S3099">
        <v>0.771698</v>
      </c>
      <c r="T3099">
        <v>-1.2517199999999999</v>
      </c>
      <c r="U3099">
        <v>-3.492111</v>
      </c>
      <c r="V3099">
        <v>-0.18337220000000001</v>
      </c>
      <c r="W3099">
        <v>0.31269390000000002</v>
      </c>
      <c r="X3099">
        <v>0.93198559999999997</v>
      </c>
      <c r="Y3099">
        <v>-5.396368E-2</v>
      </c>
      <c r="Z3099">
        <v>0.31934380000000001</v>
      </c>
      <c r="AA3099">
        <v>0.94610119999999998</v>
      </c>
      <c r="AB3099">
        <v>8</v>
      </c>
      <c r="AC3099">
        <v>0.13740000000001301</v>
      </c>
      <c r="AD3099">
        <v>-0.24409520000000001</v>
      </c>
      <c r="AE3099">
        <v>-0.59250000000000103</v>
      </c>
      <c r="AF3099">
        <v>-3.97373330868123E-2</v>
      </c>
      <c r="AG3099">
        <v>-0.24409520000000001</v>
      </c>
      <c r="AH3099">
        <v>0.52234110127713995</v>
      </c>
      <c r="AI3099">
        <v>114.983802420359</v>
      </c>
      <c r="AJ3099">
        <v>94.350422334669304</v>
      </c>
      <c r="AK3099">
        <v>0.57792884370595898</v>
      </c>
      <c r="AL3099">
        <v>71.778347336149295</v>
      </c>
      <c r="AM3099">
        <v>101.131010479891</v>
      </c>
      <c r="AN3099">
        <v>0.99999999871870404</v>
      </c>
    </row>
    <row r="3100" spans="1:40" x14ac:dyDescent="0.25">
      <c r="A3100" t="str">
        <f>"20190304164149315"</f>
        <v>20190304164149315</v>
      </c>
      <c r="B3100" t="str">
        <f>"1551688909304432"</f>
        <v>1551688909304432</v>
      </c>
      <c r="C3100" t="s">
        <v>40</v>
      </c>
      <c r="D3100">
        <v>4.3886830000000003</v>
      </c>
      <c r="E3100">
        <v>0.54583599999999999</v>
      </c>
      <c r="F3100" t="s">
        <v>41</v>
      </c>
      <c r="G3100">
        <v>-495.99990000000003</v>
      </c>
      <c r="H3100">
        <v>0.86961619999999995</v>
      </c>
      <c r="I3100">
        <v>252.5471</v>
      </c>
      <c r="J3100">
        <v>-496.13580000000002</v>
      </c>
      <c r="K3100">
        <v>1.109815</v>
      </c>
      <c r="L3100">
        <v>253.136</v>
      </c>
      <c r="M3100">
        <v>0.15070420000000001</v>
      </c>
      <c r="N3100">
        <v>-9.1551659999999993E-3</v>
      </c>
      <c r="O3100">
        <v>-0.98853670000000005</v>
      </c>
      <c r="P3100">
        <v>0.32000289999999998</v>
      </c>
      <c r="Q3100">
        <v>0.30479460000000003</v>
      </c>
      <c r="R3100">
        <v>-0.89705020000000002</v>
      </c>
      <c r="S3100">
        <v>0.77166749999999995</v>
      </c>
      <c r="T3100">
        <v>-1.2567649999999999</v>
      </c>
      <c r="U3100">
        <v>-3.494812</v>
      </c>
      <c r="V3100">
        <v>-0.18097669999999999</v>
      </c>
      <c r="W3100">
        <v>0.31344429999999901</v>
      </c>
      <c r="X3100">
        <v>0.93220170000000002</v>
      </c>
      <c r="Y3100">
        <v>-5.4364559999999999E-2</v>
      </c>
      <c r="Z3100">
        <v>0.3206234</v>
      </c>
      <c r="AA3100">
        <v>0.94564530000000002</v>
      </c>
      <c r="AB3100">
        <v>8</v>
      </c>
      <c r="AC3100">
        <v>0.135899999999992</v>
      </c>
      <c r="AD3100">
        <v>-0.24019879999999999</v>
      </c>
      <c r="AE3100">
        <v>-0.58889999999999498</v>
      </c>
      <c r="AF3100">
        <v>-3.9374977923140798E-2</v>
      </c>
      <c r="AG3100">
        <v>-0.24019879999999999</v>
      </c>
      <c r="AH3100">
        <v>0.52044910405590294</v>
      </c>
      <c r="AI3100">
        <v>114.71221760535001</v>
      </c>
      <c r="AJ3100">
        <v>94.326514207487193</v>
      </c>
      <c r="AK3100">
        <v>0.57455471655924995</v>
      </c>
      <c r="AL3100">
        <v>71.733075972589205</v>
      </c>
      <c r="AM3100">
        <v>100.986676435058</v>
      </c>
      <c r="AN3100">
        <v>0.99999995231413397</v>
      </c>
    </row>
    <row r="3101" spans="1:40" x14ac:dyDescent="0.25">
      <c r="A3101" t="str">
        <f>"20190304164149337"</f>
        <v>20190304164149337</v>
      </c>
      <c r="B3101" t="str">
        <f>"1551688909323952"</f>
        <v>1551688909323952</v>
      </c>
      <c r="C3101" t="s">
        <v>40</v>
      </c>
      <c r="D3101">
        <v>4.3888429999999996</v>
      </c>
      <c r="E3101">
        <v>0.54577799999999999</v>
      </c>
      <c r="F3101" t="s">
        <v>41</v>
      </c>
      <c r="G3101">
        <v>-495.98989999999998</v>
      </c>
      <c r="H3101">
        <v>0.87094020000000005</v>
      </c>
      <c r="I3101">
        <v>252.47219999999999</v>
      </c>
      <c r="J3101">
        <v>-496.12439999999998</v>
      </c>
      <c r="K3101">
        <v>1.109815</v>
      </c>
      <c r="L3101">
        <v>253.05619999999999</v>
      </c>
      <c r="M3101">
        <v>0.15004770000000001</v>
      </c>
      <c r="N3101">
        <v>-8.8665219999999999E-3</v>
      </c>
      <c r="O3101">
        <v>-0.98863909999999999</v>
      </c>
      <c r="P3101">
        <v>0.31763649999999999</v>
      </c>
      <c r="Q3101">
        <v>0.30421670000000001</v>
      </c>
      <c r="R3101">
        <v>-0.89808670000000002</v>
      </c>
      <c r="S3101">
        <v>0.76986690000000002</v>
      </c>
      <c r="T3101">
        <v>-1.258203</v>
      </c>
      <c r="U3101">
        <v>-3.4971309999999902</v>
      </c>
      <c r="V3101">
        <v>-0.179113299999999</v>
      </c>
      <c r="W3101">
        <v>0.31259520000000002</v>
      </c>
      <c r="X3101">
        <v>0.93284650000000002</v>
      </c>
      <c r="Y3101">
        <v>-5.4400560000000001E-2</v>
      </c>
      <c r="Z3101">
        <v>0.3211</v>
      </c>
      <c r="AA3101">
        <v>0.94548149999999997</v>
      </c>
      <c r="AB3101">
        <v>8</v>
      </c>
      <c r="AC3101">
        <v>0.13450000000000201</v>
      </c>
      <c r="AD3101">
        <v>-0.238874799999999</v>
      </c>
      <c r="AE3101">
        <v>-0.58400000000000296</v>
      </c>
      <c r="AF3101">
        <v>-3.9129054459855601E-2</v>
      </c>
      <c r="AG3101">
        <v>-0.238874799999999</v>
      </c>
      <c r="AH3101">
        <v>0.51564446760381399</v>
      </c>
      <c r="AI3101">
        <v>114.79348021197301</v>
      </c>
      <c r="AJ3101">
        <v>94.339503966922905</v>
      </c>
      <c r="AK3101">
        <v>0.56963275006655201</v>
      </c>
      <c r="AL3101">
        <v>71.784300204789901</v>
      </c>
      <c r="AM3101">
        <v>100.868926490371</v>
      </c>
      <c r="AN3101">
        <v>0.99999996293108895</v>
      </c>
    </row>
    <row r="3102" spans="1:40" x14ac:dyDescent="0.25">
      <c r="A3102" t="str">
        <f>"20190304164149360"</f>
        <v>20190304164149360</v>
      </c>
      <c r="B3102" t="str">
        <f>"1551688909354209"</f>
        <v>1551688909354209</v>
      </c>
      <c r="C3102" t="s">
        <v>40</v>
      </c>
      <c r="D3102">
        <v>4.4119449999999896</v>
      </c>
      <c r="E3102">
        <v>0.54575399999999996</v>
      </c>
      <c r="F3102" t="s">
        <v>41</v>
      </c>
      <c r="G3102">
        <v>-495.98099999999999</v>
      </c>
      <c r="H3102">
        <v>0.87168219999999996</v>
      </c>
      <c r="I3102">
        <v>252.39660000000001</v>
      </c>
      <c r="J3102">
        <v>-496.1121</v>
      </c>
      <c r="K3102">
        <v>1.109802</v>
      </c>
      <c r="L3102">
        <v>252.96889999999999</v>
      </c>
      <c r="M3102">
        <v>0.14932719999999999</v>
      </c>
      <c r="N3102">
        <v>-8.5865219999999992E-3</v>
      </c>
      <c r="O3102">
        <v>-0.98875080000000004</v>
      </c>
      <c r="P3102">
        <v>0.31552249999999998</v>
      </c>
      <c r="Q3102">
        <v>0.30300179999999999</v>
      </c>
      <c r="R3102">
        <v>-0.89924199999999999</v>
      </c>
      <c r="S3102">
        <v>0.76364140000000003</v>
      </c>
      <c r="T3102">
        <v>-1.2621739999999999</v>
      </c>
      <c r="U3102">
        <v>-3.4978790000000002</v>
      </c>
      <c r="V3102">
        <v>-0.1775407</v>
      </c>
      <c r="W3102">
        <v>0.31112000000000001</v>
      </c>
      <c r="X3102">
        <v>0.93364000000000003</v>
      </c>
      <c r="Y3102">
        <v>-5.3394570000000002E-2</v>
      </c>
      <c r="Z3102">
        <v>0.32234010000000002</v>
      </c>
      <c r="AA3102">
        <v>0.94511690000000004</v>
      </c>
      <c r="AB3102">
        <v>8</v>
      </c>
      <c r="AC3102">
        <v>0.13110000000000299</v>
      </c>
      <c r="AD3102">
        <v>-0.23811979999999999</v>
      </c>
      <c r="AE3102">
        <v>-0.57229999999998404</v>
      </c>
      <c r="AF3102">
        <v>-3.7928197080194202E-2</v>
      </c>
      <c r="AG3102">
        <v>-0.23811979999999999</v>
      </c>
      <c r="AH3102">
        <v>0.50276245345816595</v>
      </c>
      <c r="AI3102">
        <v>115.280470113416</v>
      </c>
      <c r="AJ3102">
        <v>94.314198697376497</v>
      </c>
      <c r="AK3102">
        <v>0.55759274734618702</v>
      </c>
      <c r="AL3102">
        <v>71.8732601874583</v>
      </c>
      <c r="AM3102">
        <v>100.76679801815</v>
      </c>
      <c r="AN3102">
        <v>1.00000000207824</v>
      </c>
    </row>
    <row r="3103" spans="1:40" x14ac:dyDescent="0.25">
      <c r="A3103" t="str">
        <f>"20190304164149381"</f>
        <v>20190304164149381</v>
      </c>
      <c r="B3103" t="str">
        <f>"1551688909373729"</f>
        <v>1551688909373729</v>
      </c>
      <c r="C3103" t="s">
        <v>40</v>
      </c>
      <c r="D3103">
        <v>4.4336070000000003</v>
      </c>
      <c r="E3103">
        <v>0.54574350000000005</v>
      </c>
      <c r="F3103" t="s">
        <v>41</v>
      </c>
      <c r="G3103">
        <v>-495.97140000000002</v>
      </c>
      <c r="H3103">
        <v>0.87428609999999896</v>
      </c>
      <c r="I3103">
        <v>252.3194</v>
      </c>
      <c r="J3103">
        <v>-496.1</v>
      </c>
      <c r="K3103">
        <v>1.1097859999999999</v>
      </c>
      <c r="L3103">
        <v>252.88329999999999</v>
      </c>
      <c r="M3103">
        <v>0.14862249999999999</v>
      </c>
      <c r="N3103">
        <v>-8.3548059999999993E-3</v>
      </c>
      <c r="O3103">
        <v>-0.98885869999999998</v>
      </c>
      <c r="P3103">
        <v>0.313083</v>
      </c>
      <c r="Q3103">
        <v>0.30092950000000002</v>
      </c>
      <c r="R3103">
        <v>-0.9007889</v>
      </c>
      <c r="S3103">
        <v>0.75839230000000002</v>
      </c>
      <c r="T3103">
        <v>-1.268003</v>
      </c>
      <c r="U3103">
        <v>-3.4972530000000002</v>
      </c>
      <c r="V3103">
        <v>-0.17557059999999999</v>
      </c>
      <c r="W3103">
        <v>0.30883739999999998</v>
      </c>
      <c r="X3103">
        <v>0.93476970000000004</v>
      </c>
      <c r="Y3103">
        <v>-5.2664599999999999E-2</v>
      </c>
      <c r="Z3103">
        <v>0.32406780000000002</v>
      </c>
      <c r="AA3103">
        <v>0.94456680000000004</v>
      </c>
      <c r="AB3103">
        <v>8</v>
      </c>
      <c r="AC3103">
        <v>0.12860000000000499</v>
      </c>
      <c r="AD3103">
        <v>-0.23549990000000001</v>
      </c>
      <c r="AE3103">
        <v>-0.56389999999998897</v>
      </c>
      <c r="AF3103">
        <v>-3.7194110240035799E-2</v>
      </c>
      <c r="AG3103">
        <v>-0.23549990000000001</v>
      </c>
      <c r="AH3103">
        <v>0.49472932670382602</v>
      </c>
      <c r="AI3103">
        <v>115.392667212194</v>
      </c>
      <c r="AJ3103">
        <v>94.299450139627794</v>
      </c>
      <c r="AK3103">
        <v>0.54918185643498796</v>
      </c>
      <c r="AL3103">
        <v>72.010818909594093</v>
      </c>
      <c r="AM3103">
        <v>100.637493796763</v>
      </c>
      <c r="AN3103">
        <v>0.99999998363060405</v>
      </c>
    </row>
    <row r="3104" spans="1:40" x14ac:dyDescent="0.25">
      <c r="A3104" t="str">
        <f>"20190304164149403"</f>
        <v>20190304164149403</v>
      </c>
      <c r="B3104" t="str">
        <f>"1551688909394224"</f>
        <v>1551688909394224</v>
      </c>
      <c r="C3104" t="s">
        <v>40</v>
      </c>
      <c r="D3104">
        <v>4.4307059999999998</v>
      </c>
      <c r="E3104">
        <v>0.54579109999999997</v>
      </c>
      <c r="F3104" t="s">
        <v>41</v>
      </c>
      <c r="G3104">
        <v>-495.96300000000002</v>
      </c>
      <c r="H3104">
        <v>0.8754516</v>
      </c>
      <c r="I3104">
        <v>252.24209999999999</v>
      </c>
      <c r="J3104">
        <v>-496.0883</v>
      </c>
      <c r="K3104">
        <v>1.109761</v>
      </c>
      <c r="L3104">
        <v>252.80019999999999</v>
      </c>
      <c r="M3104">
        <v>0.1479492</v>
      </c>
      <c r="N3104">
        <v>-8.1559900000000001E-3</v>
      </c>
      <c r="O3104">
        <v>-0.9889616</v>
      </c>
      <c r="P3104">
        <v>0.31140079999999998</v>
      </c>
      <c r="Q3104">
        <v>0.29897889999999999</v>
      </c>
      <c r="R3104">
        <v>-0.90202119999999997</v>
      </c>
      <c r="S3104">
        <v>0.7507935</v>
      </c>
      <c r="T3104">
        <v>-1.277048</v>
      </c>
      <c r="U3104">
        <v>-3.496048</v>
      </c>
      <c r="V3104">
        <v>-0.17436660000000001</v>
      </c>
      <c r="W3104">
        <v>0.30670589999999998</v>
      </c>
      <c r="X3104">
        <v>0.93569639999999998</v>
      </c>
      <c r="Y3104">
        <v>-5.1270589999999998E-2</v>
      </c>
      <c r="Z3104">
        <v>0.3265827</v>
      </c>
      <c r="AA3104">
        <v>0.94377699999999998</v>
      </c>
      <c r="AB3104">
        <v>9</v>
      </c>
      <c r="AC3104">
        <v>0.12529999999998101</v>
      </c>
      <c r="AD3104">
        <v>-0.2343094</v>
      </c>
      <c r="AE3104">
        <v>-0.55809999999999504</v>
      </c>
      <c r="AF3104">
        <v>-3.5406504783858199E-2</v>
      </c>
      <c r="AG3104">
        <v>-0.2343094</v>
      </c>
      <c r="AH3104">
        <v>0.48852124836128502</v>
      </c>
      <c r="AI3104">
        <v>115.565292531777</v>
      </c>
      <c r="AJ3104">
        <v>94.145372108862702</v>
      </c>
      <c r="AK3104">
        <v>0.54296180861073196</v>
      </c>
      <c r="AL3104">
        <v>72.139175340916395</v>
      </c>
      <c r="AM3104">
        <v>100.555964572937</v>
      </c>
      <c r="AN3104">
        <v>0.99999998663166401</v>
      </c>
    </row>
    <row r="3105" spans="1:40" x14ac:dyDescent="0.25">
      <c r="A3105" t="str">
        <f>"20190304164149424"</f>
        <v>20190304164149424</v>
      </c>
      <c r="B3105" t="str">
        <f>"1551688909413744"</f>
        <v>1551688909413744</v>
      </c>
      <c r="C3105" t="s">
        <v>40</v>
      </c>
      <c r="D3105">
        <v>4.4631600000000002</v>
      </c>
      <c r="E3105">
        <v>0.54576859999999905</v>
      </c>
      <c r="F3105" t="s">
        <v>41</v>
      </c>
      <c r="G3105">
        <v>-495.93950000000001</v>
      </c>
      <c r="H3105">
        <v>0.85147850000000003</v>
      </c>
      <c r="I3105">
        <v>252.09719999999999</v>
      </c>
      <c r="J3105">
        <v>-496.07679999999999</v>
      </c>
      <c r="K3105">
        <v>1.109753</v>
      </c>
      <c r="L3105">
        <v>252.71770000000001</v>
      </c>
      <c r="M3105">
        <v>0.14729879999999901</v>
      </c>
      <c r="N3105">
        <v>-7.9690590000000006E-3</v>
      </c>
      <c r="O3105">
        <v>-0.98906000000000005</v>
      </c>
      <c r="P3105">
        <v>0.31090069999999997</v>
      </c>
      <c r="Q3105">
        <v>0.29726730000000001</v>
      </c>
      <c r="R3105">
        <v>-0.90275870000000003</v>
      </c>
      <c r="S3105">
        <v>0.7421875</v>
      </c>
      <c r="T3105">
        <v>-1.283803</v>
      </c>
      <c r="U3105">
        <v>-3.4951780000000001</v>
      </c>
      <c r="V3105">
        <v>-0.1743874</v>
      </c>
      <c r="W3105">
        <v>0.30481960000000002</v>
      </c>
      <c r="X3105">
        <v>0.93630869999999999</v>
      </c>
      <c r="Y3105">
        <v>-4.9615439999999997E-2</v>
      </c>
      <c r="Z3105">
        <v>0.32853199999999999</v>
      </c>
      <c r="AA3105">
        <v>0.94318880000000005</v>
      </c>
      <c r="AB3105">
        <v>9</v>
      </c>
      <c r="AC3105">
        <v>0.13729999999998199</v>
      </c>
      <c r="AD3105">
        <v>-0.25827450000000002</v>
      </c>
      <c r="AE3105">
        <v>-0.62050000000002103</v>
      </c>
      <c r="AF3105">
        <v>-3.81065460905066E-2</v>
      </c>
      <c r="AG3105">
        <v>-0.25827450000000002</v>
      </c>
      <c r="AH3105">
        <v>0.54409081620710498</v>
      </c>
      <c r="AI3105">
        <v>115.338963666224</v>
      </c>
      <c r="AJ3105">
        <v>94.0062885775925</v>
      </c>
      <c r="AK3105">
        <v>0.60348375494797901</v>
      </c>
      <c r="AL3105">
        <v>72.252688465600301</v>
      </c>
      <c r="AM3105">
        <v>100.55044664416501</v>
      </c>
      <c r="AN3105">
        <v>0.999999967759304</v>
      </c>
    </row>
    <row r="3106" spans="1:40" x14ac:dyDescent="0.25">
      <c r="A3106" t="str">
        <f>"20190304164149446"</f>
        <v>20190304164149446</v>
      </c>
      <c r="B3106" t="str">
        <f>"1551688909434241"</f>
        <v>1551688909434241</v>
      </c>
      <c r="C3106" t="s">
        <v>40</v>
      </c>
      <c r="D3106">
        <v>4.4698699999999896</v>
      </c>
      <c r="E3106">
        <v>0.54564569999999901</v>
      </c>
      <c r="F3106" t="s">
        <v>41</v>
      </c>
      <c r="G3106">
        <v>-495.92939999999999</v>
      </c>
      <c r="H3106">
        <v>0.85145590000000004</v>
      </c>
      <c r="I3106">
        <v>252.0181</v>
      </c>
      <c r="J3106">
        <v>-496.0643</v>
      </c>
      <c r="K3106">
        <v>1.1097509999999999</v>
      </c>
      <c r="L3106">
        <v>252.6284</v>
      </c>
      <c r="M3106">
        <v>0.1466172</v>
      </c>
      <c r="N3106">
        <v>-7.7783640000000003E-3</v>
      </c>
      <c r="O3106">
        <v>-0.98916289999999996</v>
      </c>
      <c r="P3106">
        <v>0.31075160000000002</v>
      </c>
      <c r="Q3106">
        <v>0.29681289999999999</v>
      </c>
      <c r="R3106">
        <v>-0.90295970000000003</v>
      </c>
      <c r="S3106">
        <v>0.73651119999999903</v>
      </c>
      <c r="T3106">
        <v>-1.2899590000000001</v>
      </c>
      <c r="U3106">
        <v>-3.4942630000000001</v>
      </c>
      <c r="V3106">
        <v>-0.174866299999999</v>
      </c>
      <c r="W3106">
        <v>0.30418279999999998</v>
      </c>
      <c r="X3106">
        <v>0.93642650000000005</v>
      </c>
      <c r="Y3106">
        <v>-4.876105E-2</v>
      </c>
      <c r="Z3106">
        <v>0.330318099999999</v>
      </c>
      <c r="AA3106">
        <v>0.94260929999999998</v>
      </c>
      <c r="AB3106">
        <v>9</v>
      </c>
      <c r="AC3106">
        <v>0.13490000000001601</v>
      </c>
      <c r="AD3106">
        <v>-0.258295099999999</v>
      </c>
      <c r="AE3106">
        <v>-0.61029999999999496</v>
      </c>
      <c r="AF3106">
        <v>-3.7546798685769198E-2</v>
      </c>
      <c r="AG3106">
        <v>-0.258295099999999</v>
      </c>
      <c r="AH3106">
        <v>0.532538344934817</v>
      </c>
      <c r="AI3106">
        <v>115.818868821225</v>
      </c>
      <c r="AJ3106">
        <v>94.032984763918094</v>
      </c>
      <c r="AK3106">
        <v>0.59306256803264301</v>
      </c>
      <c r="AL3106">
        <v>72.290993934575994</v>
      </c>
      <c r="AM3106">
        <v>100.57746624168399</v>
      </c>
      <c r="AN3106">
        <v>0.99999999429689002</v>
      </c>
    </row>
    <row r="3107" spans="1:40" x14ac:dyDescent="0.25">
      <c r="A3107" t="str">
        <f>"20190304164149471"</f>
        <v>20190304164149471</v>
      </c>
      <c r="B3107" t="str">
        <f>"1551688909464496"</f>
        <v>1551688909464496</v>
      </c>
      <c r="C3107" t="s">
        <v>40</v>
      </c>
      <c r="D3107">
        <v>4.4621629999999897</v>
      </c>
      <c r="E3107">
        <v>0.54547460000000003</v>
      </c>
      <c r="F3107" t="s">
        <v>41</v>
      </c>
      <c r="G3107">
        <v>-495.91930000000002</v>
      </c>
      <c r="H3107">
        <v>0.85399650000000005</v>
      </c>
      <c r="I3107">
        <v>251.93709999999999</v>
      </c>
      <c r="J3107">
        <v>-496.05110000000002</v>
      </c>
      <c r="K3107">
        <v>1.109764</v>
      </c>
      <c r="L3107">
        <v>252.5342</v>
      </c>
      <c r="M3107">
        <v>0.1459307</v>
      </c>
      <c r="N3107">
        <v>-7.5977519999999897E-3</v>
      </c>
      <c r="O3107">
        <v>-0.98926579999999997</v>
      </c>
      <c r="P3107">
        <v>0.31142740000000002</v>
      </c>
      <c r="Q3107">
        <v>0.2969234</v>
      </c>
      <c r="R3107">
        <v>-0.9026904</v>
      </c>
      <c r="S3107">
        <v>0.73406979999999999</v>
      </c>
      <c r="T3107">
        <v>-1.292799</v>
      </c>
      <c r="U3107">
        <v>-3.4947360000000001</v>
      </c>
      <c r="V3107">
        <v>-0.1762387</v>
      </c>
      <c r="W3107">
        <v>0.30411549999999998</v>
      </c>
      <c r="X3107">
        <v>0.936191</v>
      </c>
      <c r="Y3107">
        <v>-4.8738190000000001E-2</v>
      </c>
      <c r="Z3107">
        <v>0.33117479999999999</v>
      </c>
      <c r="AA3107">
        <v>0.94230990000000003</v>
      </c>
      <c r="AB3107">
        <v>9</v>
      </c>
      <c r="AC3107">
        <v>0.131799999999998</v>
      </c>
      <c r="AD3107">
        <v>-0.25576749999999898</v>
      </c>
      <c r="AE3107">
        <v>-0.59710000000001096</v>
      </c>
      <c r="AF3107">
        <v>-3.6810869400803699E-2</v>
      </c>
      <c r="AG3107">
        <v>-0.25576749999999898</v>
      </c>
      <c r="AH3107">
        <v>0.519117616030631</v>
      </c>
      <c r="AI3107">
        <v>116.172389425698</v>
      </c>
      <c r="AJ3107">
        <v>94.056080835068201</v>
      </c>
      <c r="AK3107">
        <v>0.57987511882785403</v>
      </c>
      <c r="AL3107">
        <v>72.295040943383</v>
      </c>
      <c r="AM3107">
        <v>100.661206033958</v>
      </c>
      <c r="AN3107">
        <v>0.99999995259946795</v>
      </c>
    </row>
    <row r="3108" spans="1:40" x14ac:dyDescent="0.25">
      <c r="A3108" t="str">
        <f>"20190304164149494"</f>
        <v>20190304164149494</v>
      </c>
      <c r="B3108" t="str">
        <f>"1551688909484016"</f>
        <v>1551688909484016</v>
      </c>
      <c r="C3108" t="s">
        <v>40</v>
      </c>
      <c r="D3108">
        <v>4.4718349999999996</v>
      </c>
      <c r="E3108">
        <v>0.54534950000000004</v>
      </c>
      <c r="F3108" t="s">
        <v>41</v>
      </c>
      <c r="G3108">
        <v>-495.90789999999998</v>
      </c>
      <c r="H3108">
        <v>0.85800980000000004</v>
      </c>
      <c r="I3108">
        <v>251.85480000000001</v>
      </c>
      <c r="J3108">
        <v>-496.03800000000001</v>
      </c>
      <c r="K3108">
        <v>1.109777</v>
      </c>
      <c r="L3108">
        <v>252.44030000000001</v>
      </c>
      <c r="M3108">
        <v>0.14529400000000001</v>
      </c>
      <c r="N3108">
        <v>-7.442293E-3</v>
      </c>
      <c r="O3108">
        <v>-0.98936080000000004</v>
      </c>
      <c r="P3108">
        <v>0.31281300000000001</v>
      </c>
      <c r="Q3108">
        <v>0.29766239999999999</v>
      </c>
      <c r="R3108">
        <v>-0.90196750000000003</v>
      </c>
      <c r="S3108">
        <v>0.73733519999999997</v>
      </c>
      <c r="T3108">
        <v>-1.295067</v>
      </c>
      <c r="U3108">
        <v>-3.4949949999999999</v>
      </c>
      <c r="V3108">
        <v>-0.1783361</v>
      </c>
      <c r="W3108">
        <v>0.30469420000000003</v>
      </c>
      <c r="X3108">
        <v>0.93560549999999998</v>
      </c>
      <c r="Y3108">
        <v>-5.016292E-2</v>
      </c>
      <c r="Z3108">
        <v>0.33182899999999999</v>
      </c>
      <c r="AA3108">
        <v>0.94200490000000003</v>
      </c>
      <c r="AB3108">
        <v>9</v>
      </c>
      <c r="AC3108">
        <v>0.130100000000027</v>
      </c>
      <c r="AD3108">
        <v>-0.25176720000000002</v>
      </c>
      <c r="AE3108">
        <v>-0.58549999999999602</v>
      </c>
      <c r="AF3108">
        <v>-3.7108720626054199E-2</v>
      </c>
      <c r="AG3108">
        <v>-0.25176720000000002</v>
      </c>
      <c r="AH3108">
        <v>0.50857695857460405</v>
      </c>
      <c r="AI3108">
        <v>116.276931517542</v>
      </c>
      <c r="AJ3108">
        <v>94.173236308786599</v>
      </c>
      <c r="AK3108">
        <v>0.56869526368287704</v>
      </c>
      <c r="AL3108">
        <v>72.260232542955194</v>
      </c>
      <c r="AM3108">
        <v>100.79171582145401</v>
      </c>
      <c r="AN3108">
        <v>0.99999998585354899</v>
      </c>
    </row>
    <row r="3109" spans="1:40" x14ac:dyDescent="0.25">
      <c r="A3109" t="str">
        <f>"20190304164149515"</f>
        <v>20190304164149515</v>
      </c>
      <c r="B3109" t="str">
        <f>"1551688909504264"</f>
        <v>1551688909504264</v>
      </c>
      <c r="C3109" t="s">
        <v>40</v>
      </c>
      <c r="D3109">
        <v>4.4686949999999896</v>
      </c>
      <c r="E3109">
        <v>0.5454078</v>
      </c>
      <c r="F3109" t="s">
        <v>41</v>
      </c>
      <c r="G3109">
        <v>-495.89569999999998</v>
      </c>
      <c r="H3109">
        <v>0.86212749999999905</v>
      </c>
      <c r="I3109">
        <v>251.77180000000001</v>
      </c>
      <c r="J3109">
        <v>-496.02600000000001</v>
      </c>
      <c r="K3109">
        <v>1.1097999999999999</v>
      </c>
      <c r="L3109">
        <v>252.35419999999999</v>
      </c>
      <c r="M3109">
        <v>0.14476510000000001</v>
      </c>
      <c r="N3109">
        <v>-7.3183639999999999E-3</v>
      </c>
      <c r="O3109">
        <v>-0.98943899999999996</v>
      </c>
      <c r="P3109">
        <v>0.31516260000000001</v>
      </c>
      <c r="Q3109">
        <v>0.29910389999999998</v>
      </c>
      <c r="R3109">
        <v>-0.90067189999999997</v>
      </c>
      <c r="S3109">
        <v>0.74594119999999997</v>
      </c>
      <c r="T3109">
        <v>-1.2943979999999999</v>
      </c>
      <c r="U3109">
        <v>-3.4945369999999998</v>
      </c>
      <c r="V3109">
        <v>-0.18137149999999999</v>
      </c>
      <c r="W3109">
        <v>0.30600060000000001</v>
      </c>
      <c r="X3109">
        <v>0.93459510000000001</v>
      </c>
      <c r="Y3109">
        <v>-5.2945029999999997E-2</v>
      </c>
      <c r="Z3109">
        <v>0.33176840000000002</v>
      </c>
      <c r="AA3109">
        <v>0.94187399999999999</v>
      </c>
      <c r="AB3109">
        <v>9</v>
      </c>
      <c r="AC3109">
        <v>0.130300000000033</v>
      </c>
      <c r="AD3109">
        <v>-0.24767249999999999</v>
      </c>
      <c r="AE3109">
        <v>-0.58239999999997805</v>
      </c>
      <c r="AF3109">
        <v>-3.80591022557649E-2</v>
      </c>
      <c r="AG3109">
        <v>-0.24767249999999999</v>
      </c>
      <c r="AH3109">
        <v>0.50769020922300701</v>
      </c>
      <c r="AI3109">
        <v>115.94184473641199</v>
      </c>
      <c r="AJ3109">
        <v>94.287171052933999</v>
      </c>
      <c r="AK3109">
        <v>0.56616208903605103</v>
      </c>
      <c r="AL3109">
        <v>72.181627378486098</v>
      </c>
      <c r="AM3109">
        <v>100.98254959056899</v>
      </c>
      <c r="AN3109">
        <v>0.99999999457831001</v>
      </c>
    </row>
    <row r="3110" spans="1:40" x14ac:dyDescent="0.25">
      <c r="A3110" t="str">
        <f>"20190304164149537"</f>
        <v>20190304164149537</v>
      </c>
      <c r="B3110" t="str">
        <f>"1551688909523784"</f>
        <v>1551688909523784</v>
      </c>
      <c r="C3110" t="s">
        <v>40</v>
      </c>
      <c r="D3110">
        <v>4.4582649999999999</v>
      </c>
      <c r="E3110">
        <v>0.54542630000000003</v>
      </c>
      <c r="F3110" t="s">
        <v>41</v>
      </c>
      <c r="G3110">
        <v>-495.88229999999999</v>
      </c>
      <c r="H3110">
        <v>0.86458119999999905</v>
      </c>
      <c r="I3110">
        <v>251.68879999999999</v>
      </c>
      <c r="J3110">
        <v>-496.0129</v>
      </c>
      <c r="K3110">
        <v>1.109834</v>
      </c>
      <c r="L3110">
        <v>252.26070000000001</v>
      </c>
      <c r="M3110">
        <v>0.1442621</v>
      </c>
      <c r="N3110">
        <v>-7.1986180000000004E-3</v>
      </c>
      <c r="O3110">
        <v>-0.98951339999999999</v>
      </c>
      <c r="P3110">
        <v>0.31749949999999999</v>
      </c>
      <c r="Q3110">
        <v>0.30032730000000002</v>
      </c>
      <c r="R3110">
        <v>-0.89944310000000005</v>
      </c>
      <c r="S3110">
        <v>0.75534060000000003</v>
      </c>
      <c r="T3110">
        <v>-1.287547</v>
      </c>
      <c r="U3110">
        <v>-3.4941710000000001</v>
      </c>
      <c r="V3110">
        <v>-0.18436659999999999</v>
      </c>
      <c r="W3110">
        <v>0.30708809999999997</v>
      </c>
      <c r="X3110">
        <v>0.93365189999999998</v>
      </c>
      <c r="Y3110">
        <v>-5.6007790000000002E-2</v>
      </c>
      <c r="Z3110">
        <v>0.33024930000000002</v>
      </c>
      <c r="AA3110">
        <v>0.94223060000000003</v>
      </c>
      <c r="AB3110">
        <v>9</v>
      </c>
      <c r="AC3110">
        <v>0.13060000000001501</v>
      </c>
      <c r="AD3110">
        <v>-0.24525279999999999</v>
      </c>
      <c r="AE3110">
        <v>-0.57190000000002705</v>
      </c>
      <c r="AF3110">
        <v>-3.9775840648730798E-2</v>
      </c>
      <c r="AG3110">
        <v>-0.24525279999999999</v>
      </c>
      <c r="AH3110">
        <v>0.49775676663117802</v>
      </c>
      <c r="AI3110">
        <v>116.157985646444</v>
      </c>
      <c r="AJ3110">
        <v>94.5688085390927</v>
      </c>
      <c r="AK3110">
        <v>0.55632081763518204</v>
      </c>
      <c r="AL3110">
        <v>72.116166935559207</v>
      </c>
      <c r="AM3110">
        <v>101.170384992812</v>
      </c>
      <c r="AN3110">
        <v>1.0000000073653801</v>
      </c>
    </row>
    <row r="3111" spans="1:40" x14ac:dyDescent="0.25">
      <c r="A3111" t="str">
        <f>"20190304164149559"</f>
        <v>20190304164149559</v>
      </c>
      <c r="B3111" t="str">
        <f>"1551688909554040"</f>
        <v>1551688909554040</v>
      </c>
      <c r="C3111" t="s">
        <v>40</v>
      </c>
      <c r="D3111">
        <v>4.4641400000000004</v>
      </c>
      <c r="E3111">
        <v>0.54538909999999996</v>
      </c>
      <c r="F3111" t="s">
        <v>41</v>
      </c>
      <c r="G3111">
        <v>-495.86900000000003</v>
      </c>
      <c r="H3111">
        <v>0.86879309999999998</v>
      </c>
      <c r="I3111">
        <v>251.60429999999999</v>
      </c>
      <c r="J3111">
        <v>-496.00009999999997</v>
      </c>
      <c r="K3111">
        <v>1.1098709999999901</v>
      </c>
      <c r="L3111">
        <v>252.16919999999999</v>
      </c>
      <c r="M3111">
        <v>0.14385129999999999</v>
      </c>
      <c r="N3111">
        <v>-7.0927560000000004E-3</v>
      </c>
      <c r="O3111">
        <v>-0.98957410000000001</v>
      </c>
      <c r="P3111">
        <v>0.31890649999999998</v>
      </c>
      <c r="Q3111">
        <v>0.30149870000000001</v>
      </c>
      <c r="R3111">
        <v>-0.89855319999999905</v>
      </c>
      <c r="S3111">
        <v>0.76727290000000004</v>
      </c>
      <c r="T3111">
        <v>-1.282602</v>
      </c>
      <c r="U3111">
        <v>-3.492874</v>
      </c>
      <c r="V3111">
        <v>-0.18630859999999999</v>
      </c>
      <c r="W3111">
        <v>0.30813570000000001</v>
      </c>
      <c r="X3111">
        <v>0.93292090000000005</v>
      </c>
      <c r="Y3111">
        <v>-5.9645280000000002E-2</v>
      </c>
      <c r="Z3111">
        <v>0.3291982</v>
      </c>
      <c r="AA3111">
        <v>0.94237519999999997</v>
      </c>
      <c r="AB3111">
        <v>9</v>
      </c>
      <c r="AC3111">
        <v>0.13109999999994601</v>
      </c>
      <c r="AD3111">
        <v>-0.24107789999999901</v>
      </c>
      <c r="AE3111">
        <v>-0.56489999999999396</v>
      </c>
      <c r="AF3111">
        <v>-4.1330176746786802E-2</v>
      </c>
      <c r="AG3111">
        <v>-0.24107789999999901</v>
      </c>
      <c r="AH3111">
        <v>0.49273096168235703</v>
      </c>
      <c r="AI3111">
        <v>115.991856218309</v>
      </c>
      <c r="AJ3111">
        <v>94.794734839660094</v>
      </c>
      <c r="AK3111">
        <v>0.55010047989321997</v>
      </c>
      <c r="AL3111">
        <v>72.053084184186105</v>
      </c>
      <c r="AM3111">
        <v>101.293657630327</v>
      </c>
      <c r="AN3111">
        <v>0.99999995485262905</v>
      </c>
    </row>
    <row r="3112" spans="1:40" x14ac:dyDescent="0.25">
      <c r="A3112" t="str">
        <f>"20190304164149582"</f>
        <v>20190304164149582</v>
      </c>
      <c r="B3112" t="str">
        <f>"1551688909574537"</f>
        <v>1551688909574537</v>
      </c>
      <c r="C3112" t="s">
        <v>40</v>
      </c>
      <c r="D3112">
        <v>4.486084</v>
      </c>
      <c r="E3112">
        <v>0.54532950000000002</v>
      </c>
      <c r="F3112" t="s">
        <v>41</v>
      </c>
      <c r="G3112">
        <v>-495.85640000000001</v>
      </c>
      <c r="H3112">
        <v>0.87214329999999995</v>
      </c>
      <c r="I3112">
        <v>251.51929999999999</v>
      </c>
      <c r="J3112">
        <v>-495.98649999999998</v>
      </c>
      <c r="K3112">
        <v>1.1099110000000001</v>
      </c>
      <c r="L3112">
        <v>252.0728</v>
      </c>
      <c r="M3112">
        <v>0.1435111</v>
      </c>
      <c r="N3112">
        <v>-6.9889629999999999E-3</v>
      </c>
      <c r="O3112">
        <v>-0.98962430000000001</v>
      </c>
      <c r="P3112">
        <v>0.32090150000000001</v>
      </c>
      <c r="Q3112">
        <v>0.30229200000000001</v>
      </c>
      <c r="R3112">
        <v>-0.89757589999999998</v>
      </c>
      <c r="S3112">
        <v>0.77331539999999999</v>
      </c>
      <c r="T3112">
        <v>-1.277757</v>
      </c>
      <c r="U3112">
        <v>-3.4929809999999999</v>
      </c>
      <c r="V3112">
        <v>-0.1887809</v>
      </c>
      <c r="W3112">
        <v>0.30880479999999999</v>
      </c>
      <c r="X3112">
        <v>0.93220250000000004</v>
      </c>
      <c r="Y3112">
        <v>-6.1619960000000001E-2</v>
      </c>
      <c r="Z3112">
        <v>0.32811050000000003</v>
      </c>
      <c r="AA3112">
        <v>0.9426274</v>
      </c>
      <c r="AB3112">
        <v>9</v>
      </c>
      <c r="AC3112">
        <v>0.13009999999996999</v>
      </c>
      <c r="AD3112">
        <v>-0.2377677</v>
      </c>
      <c r="AE3112">
        <v>-0.55350000000001298</v>
      </c>
      <c r="AF3112">
        <v>-4.1977334433882497E-2</v>
      </c>
      <c r="AG3112">
        <v>-0.2377677</v>
      </c>
      <c r="AH3112">
        <v>0.48213115942075502</v>
      </c>
      <c r="AI3112">
        <v>116.164939196321</v>
      </c>
      <c r="AJ3112">
        <v>94.9759783747255</v>
      </c>
      <c r="AK3112">
        <v>0.53920870788022801</v>
      </c>
      <c r="AL3112">
        <v>72.012784292193601</v>
      </c>
      <c r="AM3112">
        <v>101.448180406539</v>
      </c>
      <c r="AN3112">
        <v>1.0000000668570399</v>
      </c>
    </row>
    <row r="3113" spans="1:40" x14ac:dyDescent="0.25">
      <c r="A3113" t="str">
        <f>"20190304164149603"</f>
        <v>20190304164149603</v>
      </c>
      <c r="B3113" t="str">
        <f>"1551688909594056"</f>
        <v>1551688909594056</v>
      </c>
      <c r="C3113" t="s">
        <v>40</v>
      </c>
      <c r="D3113">
        <v>4.4785820000000003</v>
      </c>
      <c r="E3113">
        <v>0.54525769999999996</v>
      </c>
      <c r="F3113" t="s">
        <v>41</v>
      </c>
      <c r="G3113">
        <v>-495.827</v>
      </c>
      <c r="H3113">
        <v>0.84962549999999903</v>
      </c>
      <c r="I3113">
        <v>251.36</v>
      </c>
      <c r="J3113">
        <v>-495.97340000000003</v>
      </c>
      <c r="K3113">
        <v>1.1099399999999999</v>
      </c>
      <c r="L3113">
        <v>251.98099999999999</v>
      </c>
      <c r="M3113">
        <v>0.14328370000000001</v>
      </c>
      <c r="N3113">
        <v>-6.8957119999999896E-3</v>
      </c>
      <c r="O3113">
        <v>-0.98965789999999998</v>
      </c>
      <c r="P3113">
        <v>0.32370330000000003</v>
      </c>
      <c r="Q3113">
        <v>0.30332540000000002</v>
      </c>
      <c r="R3113">
        <v>-0.89622019999999902</v>
      </c>
      <c r="S3113">
        <v>0.78213500000000002</v>
      </c>
      <c r="T3113">
        <v>-1.2752399999999999</v>
      </c>
      <c r="U3113">
        <v>-3.4921720000000001</v>
      </c>
      <c r="V3113">
        <v>-0.19199640000000001</v>
      </c>
      <c r="W3113">
        <v>0.30972300000000003</v>
      </c>
      <c r="X3113">
        <v>0.93124059999999997</v>
      </c>
      <c r="Y3113">
        <v>-6.4202560000000006E-2</v>
      </c>
      <c r="Z3113">
        <v>0.32758979999999999</v>
      </c>
      <c r="AA3113">
        <v>0.94263620000000004</v>
      </c>
      <c r="AB3113">
        <v>10</v>
      </c>
      <c r="AC3113">
        <v>0.14640000000002801</v>
      </c>
      <c r="AD3113">
        <v>-0.2603145</v>
      </c>
      <c r="AE3113">
        <v>-0.62099999999998001</v>
      </c>
      <c r="AF3113">
        <v>-4.7929466243324698E-2</v>
      </c>
      <c r="AG3113">
        <v>-0.2603145</v>
      </c>
      <c r="AH3113">
        <v>0.54486772953237095</v>
      </c>
      <c r="AI3113">
        <v>115.450686612612</v>
      </c>
      <c r="AJ3113">
        <v>95.027102042080003</v>
      </c>
      <c r="AK3113">
        <v>0.60575714220335897</v>
      </c>
      <c r="AL3113">
        <v>71.957462104986604</v>
      </c>
      <c r="AM3113">
        <v>101.649592931526</v>
      </c>
      <c r="AN3113">
        <v>1.00000000471516</v>
      </c>
    </row>
    <row r="3114" spans="1:40" x14ac:dyDescent="0.25">
      <c r="A3114" t="str">
        <f>"20190304164149617"</f>
        <v>20190304164149617</v>
      </c>
      <c r="B3114" t="str">
        <f>"1551688909614409"</f>
        <v>1551688909614409</v>
      </c>
      <c r="C3114" t="s">
        <v>40</v>
      </c>
      <c r="D3114">
        <v>4.6647420000000004</v>
      </c>
      <c r="E3114">
        <v>0.5453209</v>
      </c>
      <c r="F3114" t="s">
        <v>41</v>
      </c>
      <c r="G3114">
        <v>-495.81299999999999</v>
      </c>
      <c r="H3114">
        <v>0.85207619999999895</v>
      </c>
      <c r="I3114">
        <v>251.2731</v>
      </c>
      <c r="J3114">
        <v>-495.9649</v>
      </c>
      <c r="K3114">
        <v>1.1099559999999999</v>
      </c>
      <c r="L3114">
        <v>251.9211</v>
      </c>
      <c r="M3114">
        <v>0.1431761</v>
      </c>
      <c r="N3114">
        <v>-6.8377069999999898E-3</v>
      </c>
      <c r="O3114">
        <v>-0.9896739</v>
      </c>
      <c r="P3114">
        <v>0.32540989999999997</v>
      </c>
      <c r="Q3114">
        <v>0.3033227</v>
      </c>
      <c r="R3114">
        <v>-0.89560300000000004</v>
      </c>
      <c r="S3114">
        <v>0.7924194</v>
      </c>
      <c r="T3114">
        <v>-1.271854</v>
      </c>
      <c r="U3114">
        <v>-3.491638</v>
      </c>
      <c r="V3114">
        <v>-0.19389310000000001</v>
      </c>
      <c r="W3114">
        <v>0.3096527</v>
      </c>
      <c r="X3114">
        <v>0.93087089999999995</v>
      </c>
      <c r="Y3114">
        <v>-6.7044740000000005E-2</v>
      </c>
      <c r="Z3114">
        <v>0.32678420000000002</v>
      </c>
      <c r="AA3114">
        <v>0.9427179</v>
      </c>
      <c r="AB3114">
        <v>10</v>
      </c>
      <c r="AC3114">
        <v>0.15189999999995499</v>
      </c>
      <c r="AD3114">
        <v>-0.25787979999999999</v>
      </c>
      <c r="AE3114">
        <v>-0.64799999999999602</v>
      </c>
      <c r="AF3114">
        <v>-5.0042111931864398E-2</v>
      </c>
      <c r="AG3114">
        <v>-0.25787979999999999</v>
      </c>
      <c r="AH3114">
        <v>0.57652209561682899</v>
      </c>
      <c r="AI3114">
        <v>114.01904171130801</v>
      </c>
      <c r="AJ3114">
        <v>94.960839286574696</v>
      </c>
      <c r="AK3114">
        <v>0.63354868080445204</v>
      </c>
      <c r="AL3114">
        <v>71.961697805749594</v>
      </c>
      <c r="AM3114">
        <v>101.766027369751</v>
      </c>
      <c r="AN3114">
        <v>0.99999998065585405</v>
      </c>
    </row>
    <row r="3115" spans="1:40" x14ac:dyDescent="0.25">
      <c r="A3115" t="str">
        <f>"20190304164149631"</f>
        <v>20190304164149631</v>
      </c>
      <c r="B3115" t="str">
        <f>"1551688909624169"</f>
        <v>1551688909624169</v>
      </c>
      <c r="C3115" t="s">
        <v>40</v>
      </c>
      <c r="D3115">
        <v>4.667573</v>
      </c>
      <c r="E3115">
        <v>0.5453209</v>
      </c>
      <c r="F3115" t="s">
        <v>41</v>
      </c>
      <c r="G3115">
        <v>-495.81540000000001</v>
      </c>
      <c r="H3115">
        <v>0.87110290000000001</v>
      </c>
      <c r="I3115">
        <v>251.26480000000001</v>
      </c>
      <c r="J3115">
        <v>-495.95609999999999</v>
      </c>
      <c r="K3115">
        <v>1.1099680000000001</v>
      </c>
      <c r="L3115">
        <v>251.86019999999999</v>
      </c>
      <c r="M3115">
        <v>0.14309630000000001</v>
      </c>
      <c r="N3115">
        <v>-6.7801449999999996E-3</v>
      </c>
      <c r="O3115">
        <v>-0.9896855</v>
      </c>
      <c r="P3115">
        <v>0.32680740000000003</v>
      </c>
      <c r="Q3115">
        <v>0.30378529999999998</v>
      </c>
      <c r="R3115">
        <v>-0.89493659999999997</v>
      </c>
      <c r="S3115">
        <v>0.79644780000000004</v>
      </c>
      <c r="T3115">
        <v>-1.270203</v>
      </c>
      <c r="U3115">
        <v>-3.490494</v>
      </c>
      <c r="V3115">
        <v>-0.19546060000000001</v>
      </c>
      <c r="W3115">
        <v>0.31004939999999998</v>
      </c>
      <c r="X3115">
        <v>0.93041090000000004</v>
      </c>
      <c r="Y3115">
        <v>-6.8247970000000005E-2</v>
      </c>
      <c r="Z3115">
        <v>0.32650359999999901</v>
      </c>
      <c r="AA3115">
        <v>0.94272880000000003</v>
      </c>
      <c r="AB3115">
        <v>10</v>
      </c>
      <c r="AC3115">
        <v>0.14069999999998101</v>
      </c>
      <c r="AD3115">
        <v>-0.2388651</v>
      </c>
      <c r="AE3115">
        <v>-0.59539999999998305</v>
      </c>
      <c r="AF3115">
        <v>-4.6901038468711E-2</v>
      </c>
      <c r="AG3115">
        <v>-0.2388651</v>
      </c>
      <c r="AH3115">
        <v>0.52879838051293304</v>
      </c>
      <c r="AI3115">
        <v>114.22520547224001</v>
      </c>
      <c r="AJ3115">
        <v>95.068506846412006</v>
      </c>
      <c r="AK3115">
        <v>0.58213741559923304</v>
      </c>
      <c r="AL3115">
        <v>71.937791658928603</v>
      </c>
      <c r="AM3115">
        <v>101.86416192319101</v>
      </c>
      <c r="AN3115">
        <v>0.99999995971576405</v>
      </c>
    </row>
    <row r="3116" spans="1:40" x14ac:dyDescent="0.25">
      <c r="A3116" t="str">
        <f>"20190304164149648"</f>
        <v>20190304164149648</v>
      </c>
      <c r="B3116" t="str">
        <f>"1551688909643688"</f>
        <v>1551688909643688</v>
      </c>
      <c r="C3116" t="s">
        <v>40</v>
      </c>
      <c r="D3116">
        <v>4.4089669999999996</v>
      </c>
      <c r="E3116">
        <v>0.55618819999999902</v>
      </c>
      <c r="F3116" t="s">
        <v>41</v>
      </c>
      <c r="G3116">
        <v>-495.80040000000002</v>
      </c>
      <c r="H3116">
        <v>0.86335599999999901</v>
      </c>
      <c r="I3116">
        <v>251.1816</v>
      </c>
      <c r="J3116">
        <v>-495.94560000000001</v>
      </c>
      <c r="K3116">
        <v>1.109979</v>
      </c>
      <c r="L3116">
        <v>251.78649999999999</v>
      </c>
      <c r="M3116">
        <v>0.14303560000000001</v>
      </c>
      <c r="N3116">
        <v>-6.710288E-3</v>
      </c>
      <c r="O3116">
        <v>-0.98969479999999999</v>
      </c>
      <c r="P3116">
        <v>0.32956249999999998</v>
      </c>
      <c r="Q3116">
        <v>0.3047397</v>
      </c>
      <c r="R3116">
        <v>-0.89360090000000003</v>
      </c>
      <c r="S3116">
        <v>0.80105590000000004</v>
      </c>
      <c r="T3116">
        <v>-1.26837</v>
      </c>
      <c r="U3116">
        <v>-3.4902340000000001</v>
      </c>
      <c r="V3116">
        <v>-0.19844970000000001</v>
      </c>
      <c r="W3116">
        <v>0.31092330000000001</v>
      </c>
      <c r="X3116">
        <v>0.92948609999999998</v>
      </c>
      <c r="Y3116">
        <v>-6.9537870000000002E-2</v>
      </c>
      <c r="Z3116">
        <v>0.32611079999999998</v>
      </c>
      <c r="AA3116">
        <v>0.94277049999999996</v>
      </c>
      <c r="AB3116">
        <v>10</v>
      </c>
      <c r="AC3116">
        <v>0.14519999999998801</v>
      </c>
      <c r="AD3116">
        <v>-0.24662300000000001</v>
      </c>
      <c r="AE3116">
        <v>-0.604899999999986</v>
      </c>
      <c r="AF3116">
        <v>-4.9416005107026401E-2</v>
      </c>
      <c r="AG3116">
        <v>-0.24662300000000001</v>
      </c>
      <c r="AH3116">
        <v>0.53531364520114799</v>
      </c>
      <c r="AI3116">
        <v>114.643620184043</v>
      </c>
      <c r="AJ3116">
        <v>95.274154681917494</v>
      </c>
      <c r="AK3116">
        <v>0.59146051806378297</v>
      </c>
      <c r="AL3116">
        <v>71.8851182872978</v>
      </c>
      <c r="AM3116">
        <v>102.05196889062999</v>
      </c>
      <c r="AN3116">
        <v>0.99999999600309497</v>
      </c>
    </row>
    <row r="3117" spans="1:40" x14ac:dyDescent="0.25">
      <c r="A3117" t="str">
        <f>"20190304164149663"</f>
        <v>20190304164149663</v>
      </c>
      <c r="B3117" t="str">
        <f>"1551688909654425"</f>
        <v>1551688909654425</v>
      </c>
      <c r="C3117" t="s">
        <v>40</v>
      </c>
      <c r="D3117">
        <v>4.4429650000000001</v>
      </c>
      <c r="E3117">
        <v>0.54402299999999904</v>
      </c>
      <c r="F3117" t="s">
        <v>41</v>
      </c>
      <c r="G3117">
        <v>-495.7953</v>
      </c>
      <c r="H3117">
        <v>0.94978379999999996</v>
      </c>
      <c r="I3117">
        <v>251.0564</v>
      </c>
      <c r="J3117">
        <v>-495.93619999999999</v>
      </c>
      <c r="K3117">
        <v>1.1099779999999999</v>
      </c>
      <c r="L3117">
        <v>251.72210000000001</v>
      </c>
      <c r="M3117">
        <v>0.14301340000000001</v>
      </c>
      <c r="N3117">
        <v>-6.6476720000000003E-3</v>
      </c>
      <c r="O3117">
        <v>-0.98969839999999998</v>
      </c>
      <c r="P3117">
        <v>0.33077879999999998</v>
      </c>
      <c r="Q3117">
        <v>0.30561739999999998</v>
      </c>
      <c r="R3117">
        <v>-0.89285119999999896</v>
      </c>
      <c r="S3117">
        <v>0.69119259999999905</v>
      </c>
      <c r="T3117">
        <v>-0.73584709999999998</v>
      </c>
      <c r="U3117">
        <v>-3.3532099999999998</v>
      </c>
      <c r="V3117">
        <v>-0.19979069999999999</v>
      </c>
      <c r="W3117">
        <v>0.31173210000000001</v>
      </c>
      <c r="X3117">
        <v>0.92892770000000002</v>
      </c>
      <c r="Y3117">
        <v>-5.547208E-2</v>
      </c>
      <c r="Z3117">
        <v>0.2024473</v>
      </c>
      <c r="AA3117">
        <v>0.97772079999999995</v>
      </c>
      <c r="AB3117">
        <v>10</v>
      </c>
      <c r="AC3117">
        <v>0.14089999999998701</v>
      </c>
      <c r="AD3117">
        <v>-0.16019420000000001</v>
      </c>
      <c r="AE3117">
        <v>-0.66570000000001495</v>
      </c>
      <c r="AF3117">
        <v>-4.1921948830609797E-2</v>
      </c>
      <c r="AG3117">
        <v>-0.16019420000000001</v>
      </c>
      <c r="AH3117">
        <v>0.64335029525102405</v>
      </c>
      <c r="AI3117">
        <v>103.953870020179</v>
      </c>
      <c r="AJ3117">
        <v>93.728232918389807</v>
      </c>
      <c r="AK3117">
        <v>0.66431862378453299</v>
      </c>
      <c r="AL3117">
        <v>71.836353115974902</v>
      </c>
      <c r="AM3117">
        <v>102.13808027539299</v>
      </c>
      <c r="AN3117">
        <v>0.99999994890209298</v>
      </c>
    </row>
    <row r="3118" spans="1:40" x14ac:dyDescent="0.25">
      <c r="A3118" t="str">
        <f>"20190304164149677"</f>
        <v>20190304164149677</v>
      </c>
      <c r="B3118" t="str">
        <f>"1551688909673946"</f>
        <v>1551688909673946</v>
      </c>
      <c r="C3118" t="s">
        <v>40</v>
      </c>
      <c r="D3118">
        <v>4.464772</v>
      </c>
      <c r="E3118">
        <v>0.54286459999999903</v>
      </c>
      <c r="F3118" t="s">
        <v>42</v>
      </c>
      <c r="G3118">
        <v>-492.91399999999999</v>
      </c>
      <c r="H3118" s="1">
        <v>-4.5958839999999999E-6</v>
      </c>
      <c r="I3118">
        <v>238.97309999999999</v>
      </c>
      <c r="J3118">
        <v>-495.92669999999998</v>
      </c>
      <c r="K3118">
        <v>1.109969</v>
      </c>
      <c r="L3118">
        <v>251.65600000000001</v>
      </c>
      <c r="M3118">
        <v>0.14302909999999999</v>
      </c>
      <c r="N3118">
        <v>-6.5807349999999999E-3</v>
      </c>
      <c r="O3118">
        <v>-0.98969669999999998</v>
      </c>
      <c r="P3118">
        <v>0.33175919999999998</v>
      </c>
      <c r="Q3118">
        <v>0.3059462</v>
      </c>
      <c r="R3118">
        <v>-0.89237489999999997</v>
      </c>
      <c r="S3118">
        <v>0.75283809999999995</v>
      </c>
      <c r="T3118">
        <v>-0.27649279999999998</v>
      </c>
      <c r="U3118">
        <v>-3.175735</v>
      </c>
      <c r="V3118">
        <v>-0.20082149999999999</v>
      </c>
      <c r="W3118">
        <v>0.3119922</v>
      </c>
      <c r="X3118">
        <v>0.9286181</v>
      </c>
      <c r="Y3118">
        <v>-8.8391070000000002E-2</v>
      </c>
      <c r="Z3118">
        <v>7.7634330000000001E-2</v>
      </c>
      <c r="AA3118">
        <v>0.99305589999999999</v>
      </c>
      <c r="AB3118">
        <v>10</v>
      </c>
      <c r="AC3118">
        <v>3.0126999999999899</v>
      </c>
      <c r="AD3118">
        <v>-1.109973595884</v>
      </c>
      <c r="AE3118">
        <v>-12.682899999999901</v>
      </c>
      <c r="AF3118">
        <v>-1.1592558261113299</v>
      </c>
      <c r="AG3118">
        <v>-1.109973595884</v>
      </c>
      <c r="AH3118">
        <v>12.889953364470999</v>
      </c>
      <c r="AI3118">
        <v>94.901998621367497</v>
      </c>
      <c r="AJ3118">
        <v>95.139060843976395</v>
      </c>
      <c r="AK3118">
        <v>12.9894885654583</v>
      </c>
      <c r="AL3118">
        <v>71.820669041428999</v>
      </c>
      <c r="AM3118">
        <v>102.20277980666501</v>
      </c>
      <c r="AN3118">
        <v>0.99999999168534903</v>
      </c>
    </row>
    <row r="3119" spans="1:40" x14ac:dyDescent="0.25">
      <c r="A3119" t="str">
        <f>"20190304164149696"</f>
        <v>20190304164149696</v>
      </c>
      <c r="B3119" t="str">
        <f>"1551688909683705"</f>
        <v>1551688909683705</v>
      </c>
      <c r="C3119" t="s">
        <v>40</v>
      </c>
      <c r="D3119">
        <v>4.4658340000000001</v>
      </c>
      <c r="E3119">
        <v>0.5431203</v>
      </c>
      <c r="F3119" t="s">
        <v>42</v>
      </c>
      <c r="G3119">
        <v>-492.30020000000002</v>
      </c>
      <c r="H3119" s="1">
        <v>-3.6311470000000001E-6</v>
      </c>
      <c r="I3119">
        <v>236.6267</v>
      </c>
      <c r="J3119">
        <v>-495.91559999999998</v>
      </c>
      <c r="K3119">
        <v>1.1099589999999999</v>
      </c>
      <c r="L3119">
        <v>251.57939999999999</v>
      </c>
      <c r="M3119">
        <v>0.14308309999999999</v>
      </c>
      <c r="N3119">
        <v>-6.4991950000000001E-3</v>
      </c>
      <c r="O3119">
        <v>-0.98968940000000005</v>
      </c>
      <c r="P3119">
        <v>0.33429720000000002</v>
      </c>
      <c r="Q3119">
        <v>0.3054692</v>
      </c>
      <c r="R3119">
        <v>-0.89159080000000002</v>
      </c>
      <c r="S3119">
        <v>0.76211549999999995</v>
      </c>
      <c r="T3119">
        <v>-0.2332639</v>
      </c>
      <c r="U3119">
        <v>-3.1584469999999998</v>
      </c>
      <c r="V3119">
        <v>-0.20340140000000001</v>
      </c>
      <c r="W3119">
        <v>0.31143130000000002</v>
      </c>
      <c r="X3119">
        <v>0.92824479999999998</v>
      </c>
      <c r="Y3119">
        <v>-9.2531269999999999E-2</v>
      </c>
      <c r="Z3119">
        <v>6.4975450000000004E-2</v>
      </c>
      <c r="AA3119">
        <v>0.99358749999999996</v>
      </c>
      <c r="AB3119">
        <v>10</v>
      </c>
      <c r="AC3119">
        <v>3.6153999999999602</v>
      </c>
      <c r="AD3119">
        <v>-1.1099626311469999</v>
      </c>
      <c r="AE3119">
        <v>-14.952699999999901</v>
      </c>
      <c r="AF3119">
        <v>-1.43122376726681</v>
      </c>
      <c r="AG3119">
        <v>-1.1099626311469999</v>
      </c>
      <c r="AH3119">
        <v>15.236831289709601</v>
      </c>
      <c r="AI3119">
        <v>94.148289172497897</v>
      </c>
      <c r="AJ3119">
        <v>95.3661533881818</v>
      </c>
      <c r="AK3119">
        <v>15.3441013508646</v>
      </c>
      <c r="AL3119">
        <v>71.854491474616296</v>
      </c>
      <c r="AM3119">
        <v>102.359576164861</v>
      </c>
      <c r="AN3119">
        <v>0.99999999643434501</v>
      </c>
    </row>
    <row r="3120" spans="1:40" x14ac:dyDescent="0.25">
      <c r="A3120" t="str">
        <f>"20190304164149716"</f>
        <v>20190304164149716</v>
      </c>
      <c r="B3120" t="str">
        <f>"1551688909703960"</f>
        <v>1551688909703960</v>
      </c>
      <c r="C3120" t="s">
        <v>40</v>
      </c>
      <c r="D3120">
        <v>4.4349049999999997</v>
      </c>
      <c r="E3120">
        <v>0.54371569999999902</v>
      </c>
      <c r="F3120" t="s">
        <v>42</v>
      </c>
      <c r="G3120">
        <v>-492.17520000000002</v>
      </c>
      <c r="H3120" s="1">
        <v>-3.4165989999999998E-6</v>
      </c>
      <c r="I3120">
        <v>236.20419999999999</v>
      </c>
      <c r="J3120">
        <v>-495.90199999999999</v>
      </c>
      <c r="K3120">
        <v>1.10995</v>
      </c>
      <c r="L3120">
        <v>251.48650000000001</v>
      </c>
      <c r="M3120">
        <v>0.1431974</v>
      </c>
      <c r="N3120">
        <v>-6.3930549999999999E-3</v>
      </c>
      <c r="O3120">
        <v>-0.98967360000000004</v>
      </c>
      <c r="P3120">
        <v>0.33602169999999998</v>
      </c>
      <c r="Q3120">
        <v>0.30543540000000002</v>
      </c>
      <c r="R3120">
        <v>-0.89095400000000002</v>
      </c>
      <c r="S3120">
        <v>0.7675476</v>
      </c>
      <c r="T3120">
        <v>-0.22776969999999999</v>
      </c>
      <c r="U3120">
        <v>-3.1550600000000002</v>
      </c>
      <c r="V3120">
        <v>-0.20509959999999999</v>
      </c>
      <c r="W3120">
        <v>0.31129089999999998</v>
      </c>
      <c r="X3120">
        <v>0.92791820000000003</v>
      </c>
      <c r="Y3120">
        <v>-9.4298980000000004E-2</v>
      </c>
      <c r="Z3120">
        <v>6.3458669999999995E-2</v>
      </c>
      <c r="AA3120">
        <v>0.99351940000000005</v>
      </c>
      <c r="AB3120">
        <v>10</v>
      </c>
      <c r="AC3120">
        <v>3.7267999999999599</v>
      </c>
      <c r="AD3120">
        <v>-1.1099534165989999</v>
      </c>
      <c r="AE3120">
        <v>-15.282299999999999</v>
      </c>
      <c r="AF3120">
        <v>-1.4925291211816301</v>
      </c>
      <c r="AG3120">
        <v>-1.1099534165989999</v>
      </c>
      <c r="AH3120">
        <v>15.580897797015</v>
      </c>
      <c r="AI3120">
        <v>94.056252815468895</v>
      </c>
      <c r="AJ3120">
        <v>95.471795216573199</v>
      </c>
      <c r="AK3120">
        <v>15.691526883181901</v>
      </c>
      <c r="AL3120">
        <v>71.862957183382804</v>
      </c>
      <c r="AM3120">
        <v>102.46380488895799</v>
      </c>
      <c r="AN3120">
        <v>1.0000000281171</v>
      </c>
    </row>
    <row r="3121" spans="1:40" x14ac:dyDescent="0.25">
      <c r="A3121" t="str">
        <f>"20190304164149739"</f>
        <v>20190304164149739</v>
      </c>
      <c r="B3121" t="str">
        <f>"1551688909734216"</f>
        <v>1551688909734216</v>
      </c>
      <c r="C3121" t="s">
        <v>40</v>
      </c>
      <c r="D3121">
        <v>4.4455790000000004</v>
      </c>
      <c r="E3121">
        <v>0.54486659999999998</v>
      </c>
      <c r="F3121" t="s">
        <v>42</v>
      </c>
      <c r="G3121">
        <v>-492.04020000000003</v>
      </c>
      <c r="H3121" s="1">
        <v>-3.1345199999999999E-6</v>
      </c>
      <c r="I3121">
        <v>235.63040000000001</v>
      </c>
      <c r="J3121">
        <v>-495.88670000000002</v>
      </c>
      <c r="K3121">
        <v>1.109942</v>
      </c>
      <c r="L3121">
        <v>251.38239999999999</v>
      </c>
      <c r="M3121">
        <v>0.14338689999999901</v>
      </c>
      <c r="N3121">
        <v>-6.2613410000000001E-3</v>
      </c>
      <c r="O3121">
        <v>-0.98964700000000005</v>
      </c>
      <c r="P3121">
        <v>0.33734130000000001</v>
      </c>
      <c r="Q3121">
        <v>0.30567359999999999</v>
      </c>
      <c r="R3121">
        <v>-0.89037350000000004</v>
      </c>
      <c r="S3121">
        <v>0.76797490000000002</v>
      </c>
      <c r="T3121">
        <v>-0.22073209999999999</v>
      </c>
      <c r="U3121">
        <v>-3.1532439999999999</v>
      </c>
      <c r="V3121">
        <v>-0.20632139999999999</v>
      </c>
      <c r="W3121">
        <v>0.31139689999999998</v>
      </c>
      <c r="X3121">
        <v>0.92761170000000004</v>
      </c>
      <c r="Y3121">
        <v>-9.4397690000000006E-2</v>
      </c>
      <c r="Z3121">
        <v>6.1476450000000002E-2</v>
      </c>
      <c r="AA3121">
        <v>0.99363460000000003</v>
      </c>
      <c r="AB3121">
        <v>10</v>
      </c>
      <c r="AC3121">
        <v>3.84649999999999</v>
      </c>
      <c r="AD3121">
        <v>-1.10994513452</v>
      </c>
      <c r="AE3121">
        <v>-15.751999999999899</v>
      </c>
      <c r="AF3121">
        <v>-1.5408568883738301</v>
      </c>
      <c r="AG3121">
        <v>-1.10994513452</v>
      </c>
      <c r="AH3121">
        <v>16.0654934718929</v>
      </c>
      <c r="AI3121">
        <v>93.934217676306403</v>
      </c>
      <c r="AJ3121">
        <v>95.478535325286501</v>
      </c>
      <c r="AK3121">
        <v>16.177339047183501</v>
      </c>
      <c r="AL3121">
        <v>71.856565797626303</v>
      </c>
      <c r="AM3121">
        <v>102.539723871384</v>
      </c>
      <c r="AN3121">
        <v>1.00000000770223</v>
      </c>
    </row>
    <row r="3122" spans="1:40" x14ac:dyDescent="0.25">
      <c r="A3122" t="str">
        <f>"20190304164149753"</f>
        <v>20190304164149753</v>
      </c>
      <c r="B3122" t="str">
        <f>"1551688909743977"</f>
        <v>1551688909743977</v>
      </c>
      <c r="C3122" t="s">
        <v>40</v>
      </c>
      <c r="D3122">
        <v>4.4052769999999999</v>
      </c>
      <c r="E3122">
        <v>0.54501469999999996</v>
      </c>
      <c r="F3122" t="s">
        <v>42</v>
      </c>
      <c r="G3122">
        <v>-492.1327</v>
      </c>
      <c r="H3122" s="1">
        <v>-3.2513659999999998E-6</v>
      </c>
      <c r="I3122">
        <v>235.84540000000001</v>
      </c>
      <c r="J3122">
        <v>-495.87709999999998</v>
      </c>
      <c r="K3122">
        <v>1.1099330000000001</v>
      </c>
      <c r="L3122">
        <v>251.31710000000001</v>
      </c>
      <c r="M3122">
        <v>0.143541</v>
      </c>
      <c r="N3122">
        <v>-6.1694890000000002E-3</v>
      </c>
      <c r="O3122">
        <v>-0.98962510000000004</v>
      </c>
      <c r="P3122">
        <v>0.33790619999999999</v>
      </c>
      <c r="Q3122">
        <v>0.30584050000000002</v>
      </c>
      <c r="R3122">
        <v>-0.89010159999999905</v>
      </c>
      <c r="S3122">
        <v>0.76297000000000004</v>
      </c>
      <c r="T3122">
        <v>-0.22558739999999999</v>
      </c>
      <c r="U3122">
        <v>-3.1577760000000001</v>
      </c>
      <c r="V3122">
        <v>-0.20678260000000001</v>
      </c>
      <c r="W3122">
        <v>0.311473</v>
      </c>
      <c r="X3122">
        <v>0.92748339999999996</v>
      </c>
      <c r="Y3122">
        <v>-9.2405509999999996E-2</v>
      </c>
      <c r="Z3122">
        <v>6.2967490000000001E-2</v>
      </c>
      <c r="AA3122">
        <v>0.99372850000000001</v>
      </c>
      <c r="AB3122">
        <v>10</v>
      </c>
      <c r="AC3122">
        <v>3.7443999999999802</v>
      </c>
      <c r="AD3122">
        <v>-1.109936251366</v>
      </c>
      <c r="AE3122">
        <v>-15.471699999999901</v>
      </c>
      <c r="AF3122">
        <v>-1.47757354133216</v>
      </c>
      <c r="AG3122">
        <v>-1.109936251366</v>
      </c>
      <c r="AH3122">
        <v>15.7722777255943</v>
      </c>
      <c r="AI3122">
        <v>94.007925605545196</v>
      </c>
      <c r="AJ3122">
        <v>95.351944914876498</v>
      </c>
      <c r="AK3122">
        <v>15.880174013700801</v>
      </c>
      <c r="AL3122">
        <v>71.851976600344102</v>
      </c>
      <c r="AM3122">
        <v>102.56854824380601</v>
      </c>
      <c r="AN3122">
        <v>0.99999996533365898</v>
      </c>
    </row>
    <row r="3123" spans="1:40" x14ac:dyDescent="0.25">
      <c r="A3123" t="str">
        <f>"20190304164149772"</f>
        <v>20190304164149772</v>
      </c>
      <c r="B3123" t="str">
        <f>"1551688909764473"</f>
        <v>1551688909764473</v>
      </c>
      <c r="C3123" t="s">
        <v>40</v>
      </c>
      <c r="D3123">
        <v>4.4459780000000002</v>
      </c>
      <c r="E3123">
        <v>0.54542219999999997</v>
      </c>
      <c r="F3123" t="s">
        <v>42</v>
      </c>
      <c r="G3123">
        <v>-492.13900000000001</v>
      </c>
      <c r="H3123" s="1">
        <v>-3.255845E-6</v>
      </c>
      <c r="I3123">
        <v>235.8519</v>
      </c>
      <c r="J3123">
        <v>-495.86380000000003</v>
      </c>
      <c r="K3123">
        <v>1.109928</v>
      </c>
      <c r="L3123">
        <v>251.2277</v>
      </c>
      <c r="M3123">
        <v>0.1437851</v>
      </c>
      <c r="N3123">
        <v>-6.0357309999999999E-3</v>
      </c>
      <c r="O3123">
        <v>-0.98959059999999999</v>
      </c>
      <c r="P3123">
        <v>0.33915519999999999</v>
      </c>
      <c r="Q3123">
        <v>0.30560169999999998</v>
      </c>
      <c r="R3123">
        <v>-0.88970890000000002</v>
      </c>
      <c r="S3123">
        <v>0.76342769999999904</v>
      </c>
      <c r="T3123">
        <v>-0.2266802</v>
      </c>
      <c r="U3123">
        <v>-3.1584319999999999</v>
      </c>
      <c r="V3123">
        <v>-0.20785680000000001</v>
      </c>
      <c r="W3123">
        <v>0.31110139999999997</v>
      </c>
      <c r="X3123">
        <v>0.92736799999999997</v>
      </c>
      <c r="Y3123">
        <v>-9.2242790000000005E-2</v>
      </c>
      <c r="Z3123">
        <v>6.3413490000000003E-2</v>
      </c>
      <c r="AA3123">
        <v>0.99371520000000002</v>
      </c>
      <c r="AB3123">
        <v>10</v>
      </c>
      <c r="AC3123">
        <v>3.7248000000000099</v>
      </c>
      <c r="AD3123">
        <v>-1.1099312558450001</v>
      </c>
      <c r="AE3123">
        <v>-15.3757999999999</v>
      </c>
      <c r="AF3123">
        <v>-1.46801717800301</v>
      </c>
      <c r="AG3123">
        <v>-1.1099312558450001</v>
      </c>
      <c r="AH3123">
        <v>15.674452592723901</v>
      </c>
      <c r="AI3123">
        <v>94.032848254491697</v>
      </c>
      <c r="AJ3123">
        <v>95.350524693222297</v>
      </c>
      <c r="AK3123">
        <v>15.7821255193704</v>
      </c>
      <c r="AL3123">
        <v>71.8743809152663</v>
      </c>
      <c r="AM3123">
        <v>102.63327105637801</v>
      </c>
      <c r="AN3123">
        <v>0.99999996890609899</v>
      </c>
    </row>
    <row r="3124" spans="1:40" x14ac:dyDescent="0.25">
      <c r="A3124" t="str">
        <f>"20190304164149786"</f>
        <v>20190304164149786</v>
      </c>
      <c r="B3124" t="str">
        <f>"1551688909774233"</f>
        <v>1551688909774233</v>
      </c>
      <c r="C3124" t="s">
        <v>40</v>
      </c>
      <c r="D3124">
        <v>4.4488779999999997</v>
      </c>
      <c r="E3124">
        <v>0.54563309999999998</v>
      </c>
      <c r="F3124" t="s">
        <v>42</v>
      </c>
      <c r="G3124">
        <v>-492.23630000000003</v>
      </c>
      <c r="H3124" s="1">
        <v>-3.420496E-6</v>
      </c>
      <c r="I3124">
        <v>236.1754</v>
      </c>
      <c r="J3124">
        <v>-495.85449999999997</v>
      </c>
      <c r="K3124">
        <v>1.109918</v>
      </c>
      <c r="L3124">
        <v>251.16540000000001</v>
      </c>
      <c r="M3124">
        <v>0.14397570000000001</v>
      </c>
      <c r="N3124">
        <v>-5.9384640000000001E-3</v>
      </c>
      <c r="O3124">
        <v>-0.98956330000000003</v>
      </c>
      <c r="P3124">
        <v>0.3397732</v>
      </c>
      <c r="Q3124">
        <v>0.30557709999999999</v>
      </c>
      <c r="R3124">
        <v>-0.88948139999999998</v>
      </c>
      <c r="S3124">
        <v>0.76190190000000002</v>
      </c>
      <c r="T3124">
        <v>-0.23312649999999999</v>
      </c>
      <c r="U3124">
        <v>-3.1615449999999998</v>
      </c>
      <c r="V3124">
        <v>-0.2083293</v>
      </c>
      <c r="W3124">
        <v>0.3109809</v>
      </c>
      <c r="X3124">
        <v>0.92730239999999997</v>
      </c>
      <c r="Y3124">
        <v>-9.1343919999999995E-2</v>
      </c>
      <c r="Z3124">
        <v>6.5407160000000006E-2</v>
      </c>
      <c r="AA3124">
        <v>0.99366900000000002</v>
      </c>
      <c r="AB3124">
        <v>10</v>
      </c>
      <c r="AC3124">
        <v>3.6181999999999399</v>
      </c>
      <c r="AD3124">
        <v>-1.109921420496</v>
      </c>
      <c r="AE3124">
        <v>-14.99</v>
      </c>
      <c r="AF3124">
        <v>-1.4149370552572</v>
      </c>
      <c r="AG3124">
        <v>-1.109921420496</v>
      </c>
      <c r="AH3124">
        <v>15.275620725291599</v>
      </c>
      <c r="AI3124">
        <v>94.138136461435806</v>
      </c>
      <c r="AJ3124">
        <v>95.292043777888395</v>
      </c>
      <c r="AK3124">
        <v>15.381110524697901</v>
      </c>
      <c r="AL3124">
        <v>71.881645594715593</v>
      </c>
      <c r="AM3124">
        <v>102.66193100668799</v>
      </c>
      <c r="AN3124">
        <v>0.99999997922452899</v>
      </c>
    </row>
    <row r="3125" spans="1:40" x14ac:dyDescent="0.25">
      <c r="A3125" t="str">
        <f>"20190304164149805"</f>
        <v>20190304164149805</v>
      </c>
      <c r="B3125" t="str">
        <f>"1551688909793752"</f>
        <v>1551688909793752</v>
      </c>
      <c r="C3125" t="s">
        <v>40</v>
      </c>
      <c r="D3125">
        <v>4.4517569999999997</v>
      </c>
      <c r="E3125">
        <v>0.54603139999999994</v>
      </c>
      <c r="F3125" t="s">
        <v>42</v>
      </c>
      <c r="G3125">
        <v>-492.27159999999998</v>
      </c>
      <c r="H3125" s="1">
        <v>-3.4769769999999999E-6</v>
      </c>
      <c r="I3125">
        <v>236.2851</v>
      </c>
      <c r="J3125">
        <v>-495.84070000000003</v>
      </c>
      <c r="K3125">
        <v>1.1099049999999999</v>
      </c>
      <c r="L3125">
        <v>251.07249999999999</v>
      </c>
      <c r="M3125">
        <v>0.1442927</v>
      </c>
      <c r="N3125">
        <v>-5.7892129999999997E-3</v>
      </c>
      <c r="O3125">
        <v>-0.98951820000000001</v>
      </c>
      <c r="P3125">
        <v>0.34038859999999999</v>
      </c>
      <c r="Q3125">
        <v>0.30537760000000003</v>
      </c>
      <c r="R3125">
        <v>-0.88931469999999901</v>
      </c>
      <c r="S3125">
        <v>0.76156619999999997</v>
      </c>
      <c r="T3125">
        <v>-0.2359174</v>
      </c>
      <c r="U3125">
        <v>-3.1628569999999998</v>
      </c>
      <c r="V3125">
        <v>-0.20867369999999999</v>
      </c>
      <c r="W3125">
        <v>0.31063639999999998</v>
      </c>
      <c r="X3125">
        <v>0.92734039999999995</v>
      </c>
      <c r="Y3125">
        <v>-9.0816830000000001E-2</v>
      </c>
      <c r="Z3125">
        <v>6.6370960000000007E-2</v>
      </c>
      <c r="AA3125">
        <v>0.99365349999999997</v>
      </c>
      <c r="AB3125">
        <v>11</v>
      </c>
      <c r="AC3125">
        <v>3.5691000000000401</v>
      </c>
      <c r="AD3125">
        <v>-1.109908476977</v>
      </c>
      <c r="AE3125">
        <v>-14.7873999999999</v>
      </c>
      <c r="AF3125">
        <v>-1.39059595648345</v>
      </c>
      <c r="AG3125">
        <v>-1.109908476977</v>
      </c>
      <c r="AH3125">
        <v>15.067437015769301</v>
      </c>
      <c r="AI3125">
        <v>94.195189394461295</v>
      </c>
      <c r="AJ3125">
        <v>95.272974509346895</v>
      </c>
      <c r="AK3125">
        <v>15.172122862857099</v>
      </c>
      <c r="AL3125">
        <v>71.902412011417695</v>
      </c>
      <c r="AM3125">
        <v>102.681683727999</v>
      </c>
      <c r="AN3125">
        <v>0.99999995177440304</v>
      </c>
    </row>
    <row r="3126" spans="1:40" x14ac:dyDescent="0.25">
      <c r="A3126" t="str">
        <f>"20190304164149820"</f>
        <v>20190304164149820</v>
      </c>
      <c r="B3126" t="str">
        <f>"1551688909813635"</f>
        <v>1551688909813635</v>
      </c>
      <c r="C3126" t="s">
        <v>40</v>
      </c>
      <c r="D3126">
        <v>4.4926979999999999</v>
      </c>
      <c r="E3126">
        <v>0.54640219999999995</v>
      </c>
      <c r="F3126" t="s">
        <v>42</v>
      </c>
      <c r="G3126">
        <v>-492.35509999999999</v>
      </c>
      <c r="H3126" s="1">
        <v>-3.602462E-6</v>
      </c>
      <c r="I3126">
        <v>236.5258</v>
      </c>
      <c r="J3126">
        <v>-495.82960000000003</v>
      </c>
      <c r="K3126">
        <v>1.109891</v>
      </c>
      <c r="L3126">
        <v>250.99889999999999</v>
      </c>
      <c r="M3126">
        <v>0.1445651</v>
      </c>
      <c r="N3126">
        <v>-5.6709960000000002E-3</v>
      </c>
      <c r="O3126">
        <v>-0.98947929999999995</v>
      </c>
      <c r="P3126">
        <v>0.34062310000000001</v>
      </c>
      <c r="Q3126">
        <v>0.305531</v>
      </c>
      <c r="R3126">
        <v>-0.88917230000000003</v>
      </c>
      <c r="S3126">
        <v>0.758606</v>
      </c>
      <c r="T3126">
        <v>-0.2415631</v>
      </c>
      <c r="U3126">
        <v>-3.1659700000000002</v>
      </c>
      <c r="V3126">
        <v>-0.20867620000000001</v>
      </c>
      <c r="W3126">
        <v>0.31067630000000002</v>
      </c>
      <c r="X3126">
        <v>0.9273266</v>
      </c>
      <c r="Y3126">
        <v>-8.9414199999999999E-2</v>
      </c>
      <c r="Z3126">
        <v>6.8140019999999996E-2</v>
      </c>
      <c r="AA3126">
        <v>0.99366089999999996</v>
      </c>
      <c r="AB3126">
        <v>11</v>
      </c>
      <c r="AC3126">
        <v>3.4745000000000301</v>
      </c>
      <c r="AD3126">
        <v>-1.109894602462</v>
      </c>
      <c r="AE3126">
        <v>-14.473099999999899</v>
      </c>
      <c r="AF3126">
        <v>-1.3382209309308699</v>
      </c>
      <c r="AG3126">
        <v>-1.109894602462</v>
      </c>
      <c r="AH3126">
        <v>14.7413908517482</v>
      </c>
      <c r="AI3126">
        <v>94.288167965075402</v>
      </c>
      <c r="AJ3126">
        <v>95.1870833287377</v>
      </c>
      <c r="AK3126">
        <v>14.8435610798946</v>
      </c>
      <c r="AL3126">
        <v>71.900009151975397</v>
      </c>
      <c r="AM3126">
        <v>102.68201336677799</v>
      </c>
      <c r="AN3126">
        <v>1.0000000714478401</v>
      </c>
    </row>
    <row r="3127" spans="1:40" x14ac:dyDescent="0.25">
      <c r="A3127" t="str">
        <f>"20190304164149839"</f>
        <v>20190304164149839</v>
      </c>
      <c r="B3127" t="str">
        <f>"1551688909834131"</f>
        <v>1551688909834131</v>
      </c>
      <c r="C3127" t="s">
        <v>40</v>
      </c>
      <c r="D3127">
        <v>4.4739000000000004</v>
      </c>
      <c r="E3127">
        <v>0.54666380000000003</v>
      </c>
      <c r="F3127" t="s">
        <v>42</v>
      </c>
      <c r="G3127">
        <v>-492.41849999999999</v>
      </c>
      <c r="H3127" s="1">
        <v>-3.6994399999999999E-6</v>
      </c>
      <c r="I3127">
        <v>236.71250000000001</v>
      </c>
      <c r="J3127">
        <v>-495.81610000000001</v>
      </c>
      <c r="K3127">
        <v>1.109869</v>
      </c>
      <c r="L3127">
        <v>250.9093</v>
      </c>
      <c r="M3127">
        <v>0.14492049999999901</v>
      </c>
      <c r="N3127">
        <v>-5.5315599999999996E-3</v>
      </c>
      <c r="O3127">
        <v>-0.98942779999999997</v>
      </c>
      <c r="P3127">
        <v>0.341084</v>
      </c>
      <c r="Q3127">
        <v>0.30575360000000001</v>
      </c>
      <c r="R3127">
        <v>-0.8889186</v>
      </c>
      <c r="S3127">
        <v>0.75656129999999999</v>
      </c>
      <c r="T3127">
        <v>-0.246172</v>
      </c>
      <c r="U3127">
        <v>-3.1686860000000001</v>
      </c>
      <c r="V3127">
        <v>-0.20883860000000001</v>
      </c>
      <c r="W3127">
        <v>0.3107665</v>
      </c>
      <c r="X3127">
        <v>0.92725970000000002</v>
      </c>
      <c r="Y3127">
        <v>-8.8233500000000006E-2</v>
      </c>
      <c r="Z3127">
        <v>6.9616709999999998E-2</v>
      </c>
      <c r="AA3127">
        <v>0.99366410000000005</v>
      </c>
      <c r="AB3127">
        <v>11</v>
      </c>
      <c r="AC3127">
        <v>3.3976000000000099</v>
      </c>
      <c r="AD3127">
        <v>-1.1098726994400001</v>
      </c>
      <c r="AE3127">
        <v>-14.1967999999999</v>
      </c>
      <c r="AF3127">
        <v>-1.29679620537388</v>
      </c>
      <c r="AG3127">
        <v>-1.1098726994400001</v>
      </c>
      <c r="AH3127">
        <v>14.4557497029171</v>
      </c>
      <c r="AI3127">
        <v>94.372907350781503</v>
      </c>
      <c r="AJ3127">
        <v>95.126167442170498</v>
      </c>
      <c r="AK3127">
        <v>14.556173854437899</v>
      </c>
      <c r="AL3127">
        <v>71.894569938816602</v>
      </c>
      <c r="AM3127">
        <v>102.69244944117099</v>
      </c>
      <c r="AN3127">
        <v>0.99999996480814901</v>
      </c>
    </row>
    <row r="3128" spans="1:40" x14ac:dyDescent="0.25">
      <c r="A3128" t="str">
        <f>"20190304164149853"</f>
        <v>20190304164149853</v>
      </c>
      <c r="B3128" t="str">
        <f>"1551688909843890"</f>
        <v>1551688909843890</v>
      </c>
      <c r="C3128" t="s">
        <v>40</v>
      </c>
      <c r="D3128">
        <v>4.5095070000000002</v>
      </c>
      <c r="E3128">
        <v>0.54681990000000003</v>
      </c>
      <c r="F3128" t="s">
        <v>42</v>
      </c>
      <c r="G3128">
        <v>-492.44909999999999</v>
      </c>
      <c r="H3128" s="1">
        <v>-3.7310860000000002E-6</v>
      </c>
      <c r="I3128">
        <v>236.76740000000001</v>
      </c>
      <c r="J3128">
        <v>-495.80549999999999</v>
      </c>
      <c r="K3128">
        <v>1.1098520000000001</v>
      </c>
      <c r="L3128">
        <v>250.83969999999999</v>
      </c>
      <c r="M3128">
        <v>0.1452119</v>
      </c>
      <c r="N3128">
        <v>-5.4271959999999996E-3</v>
      </c>
      <c r="O3128">
        <v>-0.98938559999999998</v>
      </c>
      <c r="P3128">
        <v>0.34132889999999999</v>
      </c>
      <c r="Q3128">
        <v>0.30599320000000002</v>
      </c>
      <c r="R3128">
        <v>-0.88874209999999998</v>
      </c>
      <c r="S3128">
        <v>0.75491330000000001</v>
      </c>
      <c r="T3128">
        <v>-0.2488426</v>
      </c>
      <c r="U3128">
        <v>-3.170731</v>
      </c>
      <c r="V3128">
        <v>-0.2088342</v>
      </c>
      <c r="W3128">
        <v>0.31090830000000003</v>
      </c>
      <c r="X3128">
        <v>0.92721319999999996</v>
      </c>
      <c r="Y3128">
        <v>-8.7292869999999995E-2</v>
      </c>
      <c r="Z3128">
        <v>7.0484050000000006E-2</v>
      </c>
      <c r="AA3128">
        <v>0.99368599999999996</v>
      </c>
      <c r="AB3128">
        <v>11</v>
      </c>
      <c r="AC3128">
        <v>3.3563999999999998</v>
      </c>
      <c r="AD3128">
        <v>-1.109855731086</v>
      </c>
      <c r="AE3128">
        <v>-14.072299999999901</v>
      </c>
      <c r="AF3128">
        <v>-1.26985377168419</v>
      </c>
      <c r="AG3128">
        <v>-1.109855731086</v>
      </c>
      <c r="AH3128">
        <v>14.3262185938655</v>
      </c>
      <c r="AI3128">
        <v>94.412638413273896</v>
      </c>
      <c r="AJ3128">
        <v>95.065370787140395</v>
      </c>
      <c r="AK3128">
        <v>14.4251463612853</v>
      </c>
      <c r="AL3128">
        <v>71.886022731784195</v>
      </c>
      <c r="AM3128">
        <v>102.69280658379</v>
      </c>
      <c r="AN3128">
        <v>1.0000000061763801</v>
      </c>
    </row>
    <row r="3129" spans="1:40" x14ac:dyDescent="0.25">
      <c r="A3129" t="str">
        <f>"20190304164149873"</f>
        <v>20190304164149873</v>
      </c>
      <c r="B3129" t="str">
        <f>"1551688909864386"</f>
        <v>1551688909864386</v>
      </c>
      <c r="C3129" t="s">
        <v>40</v>
      </c>
      <c r="D3129">
        <v>4.5049089999999996</v>
      </c>
      <c r="E3129">
        <v>0.54699619999999904</v>
      </c>
      <c r="F3129" t="s">
        <v>42</v>
      </c>
      <c r="G3129">
        <v>-492.44779999999997</v>
      </c>
      <c r="H3129" s="1">
        <v>-3.7111419999999998E-6</v>
      </c>
      <c r="I3129">
        <v>236.7217</v>
      </c>
      <c r="J3129">
        <v>-495.79109999999997</v>
      </c>
      <c r="K3129">
        <v>1.1098330000000001</v>
      </c>
      <c r="L3129">
        <v>250.7448</v>
      </c>
      <c r="M3129">
        <v>0.14562410000000001</v>
      </c>
      <c r="N3129">
        <v>-5.2896640000000003E-3</v>
      </c>
      <c r="O3129">
        <v>-0.98932580000000003</v>
      </c>
      <c r="P3129">
        <v>0.34214919999999999</v>
      </c>
      <c r="Q3129">
        <v>0.30608259999999998</v>
      </c>
      <c r="R3129">
        <v>-0.88839619999999997</v>
      </c>
      <c r="S3129">
        <v>0.75433349999999999</v>
      </c>
      <c r="T3129">
        <v>-0.2493312</v>
      </c>
      <c r="U3129">
        <v>-3.1716310000000001</v>
      </c>
      <c r="V3129">
        <v>-0.20930869999999999</v>
      </c>
      <c r="W3129">
        <v>0.31086940000000002</v>
      </c>
      <c r="X3129">
        <v>0.92711929999999998</v>
      </c>
      <c r="Y3129">
        <v>-8.663875E-2</v>
      </c>
      <c r="Z3129">
        <v>7.0743070000000005E-2</v>
      </c>
      <c r="AA3129">
        <v>0.99372490000000002</v>
      </c>
      <c r="AB3129">
        <v>11</v>
      </c>
      <c r="AC3129">
        <v>3.3433000000000002</v>
      </c>
      <c r="AD3129">
        <v>-1.109836711142</v>
      </c>
      <c r="AE3129">
        <v>-14.023099999999999</v>
      </c>
      <c r="AF3129">
        <v>-1.25807305077722</v>
      </c>
      <c r="AG3129">
        <v>-1.109836711142</v>
      </c>
      <c r="AH3129">
        <v>14.2758710643194</v>
      </c>
      <c r="AI3129">
        <v>94.428261619570705</v>
      </c>
      <c r="AJ3129">
        <v>95.036227885443793</v>
      </c>
      <c r="AK3129">
        <v>14.3741079713338</v>
      </c>
      <c r="AL3129">
        <v>71.888368676984896</v>
      </c>
      <c r="AM3129">
        <v>102.721955420001</v>
      </c>
      <c r="AN3129">
        <v>1.0000000560922599</v>
      </c>
    </row>
    <row r="3130" spans="1:40" x14ac:dyDescent="0.25">
      <c r="A3130" t="str">
        <f>"20190304164149896"</f>
        <v>20190304164149896</v>
      </c>
      <c r="B3130" t="str">
        <f>"1551688909883905"</f>
        <v>1551688909883905</v>
      </c>
      <c r="C3130" t="s">
        <v>40</v>
      </c>
      <c r="D3130">
        <v>4.5192709999999998</v>
      </c>
      <c r="E3130">
        <v>0.54718669999999903</v>
      </c>
      <c r="F3130" t="s">
        <v>42</v>
      </c>
      <c r="G3130">
        <v>-492.471</v>
      </c>
      <c r="H3130" s="1">
        <v>-3.7498690000000001E-6</v>
      </c>
      <c r="I3130">
        <v>236.79750000000001</v>
      </c>
      <c r="J3130">
        <v>-495.77390000000003</v>
      </c>
      <c r="K3130">
        <v>1.1098059999999901</v>
      </c>
      <c r="L3130">
        <v>250.63220000000001</v>
      </c>
      <c r="M3130">
        <v>0.14613190000000001</v>
      </c>
      <c r="N3130">
        <v>-5.1355359999999996E-3</v>
      </c>
      <c r="O3130">
        <v>-0.98925200000000002</v>
      </c>
      <c r="P3130">
        <v>0.34278750000000002</v>
      </c>
      <c r="Q3130">
        <v>0.30621920000000002</v>
      </c>
      <c r="R3130">
        <v>-0.88810299999999998</v>
      </c>
      <c r="S3130">
        <v>0.75531009999999998</v>
      </c>
      <c r="T3130">
        <v>-0.25248769999999998</v>
      </c>
      <c r="U3130">
        <v>-3.1729889999999998</v>
      </c>
      <c r="V3130">
        <v>-0.209504</v>
      </c>
      <c r="W3130">
        <v>0.31086439999999999</v>
      </c>
      <c r="X3130">
        <v>0.92707680000000003</v>
      </c>
      <c r="Y3130">
        <v>-8.6303829999999998E-2</v>
      </c>
      <c r="Z3130">
        <v>7.1808319999999995E-2</v>
      </c>
      <c r="AA3130">
        <v>0.99367760000000005</v>
      </c>
      <c r="AB3130">
        <v>11</v>
      </c>
      <c r="AC3130">
        <v>3.3029000000000202</v>
      </c>
      <c r="AD3130">
        <v>-1.1098097498689901</v>
      </c>
      <c r="AE3130">
        <v>-13.8346999999999</v>
      </c>
      <c r="AF3130">
        <v>-1.2381873516503501</v>
      </c>
      <c r="AG3130">
        <v>-1.1098097498689901</v>
      </c>
      <c r="AH3130">
        <v>14.083107747526199</v>
      </c>
      <c r="AI3130">
        <v>94.488599420736406</v>
      </c>
      <c r="AJ3130">
        <v>95.024527204009999</v>
      </c>
      <c r="AK3130">
        <v>14.180927664547299</v>
      </c>
      <c r="AL3130">
        <v>71.888668985284994</v>
      </c>
      <c r="AM3130">
        <v>102.73400377289001</v>
      </c>
      <c r="AN3130">
        <v>0.99999999715080001</v>
      </c>
    </row>
    <row r="3131" spans="1:40" x14ac:dyDescent="0.25">
      <c r="A3131" t="str">
        <f>"20190304164149918"</f>
        <v>20190304164149918</v>
      </c>
      <c r="B3131" t="str">
        <f>"1551688909914162"</f>
        <v>1551688909914162</v>
      </c>
      <c r="C3131" t="s">
        <v>40</v>
      </c>
      <c r="D3131">
        <v>4.6856540000000004</v>
      </c>
      <c r="E3131">
        <v>0.52874790000000005</v>
      </c>
      <c r="F3131" t="s">
        <v>42</v>
      </c>
      <c r="G3131">
        <v>-492.48880000000003</v>
      </c>
      <c r="H3131" s="1">
        <v>-3.7696170000000001E-6</v>
      </c>
      <c r="I3131">
        <v>236.83260000000001</v>
      </c>
      <c r="J3131">
        <v>-495.75720000000001</v>
      </c>
      <c r="K3131">
        <v>1.109783</v>
      </c>
      <c r="L3131">
        <v>250.52340000000001</v>
      </c>
      <c r="M3131">
        <v>0.14663509999999999</v>
      </c>
      <c r="N3131">
        <v>-4.9955729999999997E-3</v>
      </c>
      <c r="O3131">
        <v>-0.98917809999999995</v>
      </c>
      <c r="P3131">
        <v>0.34346300000000002</v>
      </c>
      <c r="Q3131">
        <v>0.30654140000000002</v>
      </c>
      <c r="R3131">
        <v>-0.88773069999999898</v>
      </c>
      <c r="S3131">
        <v>0.75567629999999997</v>
      </c>
      <c r="T3131">
        <v>-0.2552893</v>
      </c>
      <c r="U3131">
        <v>-3.1743320000000002</v>
      </c>
      <c r="V3131">
        <v>-0.2097503</v>
      </c>
      <c r="W3131">
        <v>0.31105880000000002</v>
      </c>
      <c r="X3131">
        <v>0.92695590000000005</v>
      </c>
      <c r="Y3131">
        <v>-8.5795369999999996E-2</v>
      </c>
      <c r="Z3131">
        <v>7.2753760000000001E-2</v>
      </c>
      <c r="AA3131">
        <v>0.99365289999999995</v>
      </c>
      <c r="AB3131">
        <v>11</v>
      </c>
      <c r="AC3131">
        <v>3.2683999999999802</v>
      </c>
      <c r="AD3131">
        <v>-1.1097867696170001</v>
      </c>
      <c r="AE3131">
        <v>-13.6907999999999</v>
      </c>
      <c r="AF3131">
        <v>-1.2179218137576999</v>
      </c>
      <c r="AG3131">
        <v>-1.1097867696170001</v>
      </c>
      <c r="AH3131">
        <v>13.9354453396396</v>
      </c>
      <c r="AI3131">
        <v>94.536075784579097</v>
      </c>
      <c r="AJ3131">
        <v>94.994811167103805</v>
      </c>
      <c r="AK3131">
        <v>14.032519268917</v>
      </c>
      <c r="AL3131">
        <v>71.876949780350998</v>
      </c>
      <c r="AM3131">
        <v>102.75009373482</v>
      </c>
      <c r="AN3131">
        <v>1.00000000297617</v>
      </c>
    </row>
    <row r="3132" spans="1:40" x14ac:dyDescent="0.25">
      <c r="A3132" t="str">
        <f>"20190304164149939"</f>
        <v>20190304164149939</v>
      </c>
      <c r="B3132" t="str">
        <f>"1551688909934658"</f>
        <v>1551688909934658</v>
      </c>
      <c r="C3132" t="s">
        <v>40</v>
      </c>
      <c r="D3132">
        <v>4.5711449999999996</v>
      </c>
      <c r="E3132">
        <v>0.51605840000000003</v>
      </c>
      <c r="F3132" t="s">
        <v>42</v>
      </c>
      <c r="G3132">
        <v>-491.64339999999999</v>
      </c>
      <c r="H3132" s="1">
        <v>-3.2718670000000001E-6</v>
      </c>
      <c r="I3132">
        <v>236.19659999999999</v>
      </c>
      <c r="J3132">
        <v>-495.73970000000003</v>
      </c>
      <c r="K3132">
        <v>1.1097589999999999</v>
      </c>
      <c r="L3132">
        <v>250.4093</v>
      </c>
      <c r="M3132">
        <v>0.14716870000000001</v>
      </c>
      <c r="N3132">
        <v>-4.8569169999999997E-3</v>
      </c>
      <c r="O3132">
        <v>-0.98909959999999997</v>
      </c>
      <c r="P3132">
        <v>0.34445300000000001</v>
      </c>
      <c r="Q3132">
        <v>0.3068594</v>
      </c>
      <c r="R3132">
        <v>-0.887237099999999</v>
      </c>
      <c r="S3132">
        <v>0.89489750000000001</v>
      </c>
      <c r="T3132">
        <v>-0.24141660000000001</v>
      </c>
      <c r="U3132">
        <v>-3.1165620000000001</v>
      </c>
      <c r="V3132">
        <v>-0.21029510000000001</v>
      </c>
      <c r="W3132">
        <v>0.31125049999999999</v>
      </c>
      <c r="X3132">
        <v>0.92676809999999998</v>
      </c>
      <c r="Y3132">
        <v>-0.13083419999999901</v>
      </c>
      <c r="Z3132">
        <v>6.9416080000000005E-2</v>
      </c>
      <c r="AA3132">
        <v>0.98897109999999999</v>
      </c>
      <c r="AB3132">
        <v>11</v>
      </c>
      <c r="AC3132">
        <v>4.0963000000000402</v>
      </c>
      <c r="AD3132">
        <v>-1.1097622718669999</v>
      </c>
      <c r="AE3132">
        <v>-14.2127</v>
      </c>
      <c r="AF3132">
        <v>-1.9490353711775601</v>
      </c>
      <c r="AG3132">
        <v>-1.1097622718669999</v>
      </c>
      <c r="AH3132">
        <v>14.578726796472299</v>
      </c>
      <c r="AI3132">
        <v>94.314833838936494</v>
      </c>
      <c r="AJ3132">
        <v>97.614741767334905</v>
      </c>
      <c r="AK3132">
        <v>14.750240207682801</v>
      </c>
      <c r="AL3132">
        <v>71.865392541791195</v>
      </c>
      <c r="AM3132">
        <v>102.784628974721</v>
      </c>
      <c r="AN3132">
        <v>1.0000000070059301</v>
      </c>
    </row>
    <row r="3133" spans="1:40" x14ac:dyDescent="0.25">
      <c r="A3133" t="str">
        <f>"20190304164149963"</f>
        <v>20190304164149963</v>
      </c>
      <c r="B3133" t="str">
        <f>"1551688909954179"</f>
        <v>1551688909954179</v>
      </c>
      <c r="C3133" t="s">
        <v>40</v>
      </c>
      <c r="D3133">
        <v>4.5149119999999998</v>
      </c>
      <c r="E3133">
        <v>0.51081359999999998</v>
      </c>
      <c r="F3133" t="s">
        <v>42</v>
      </c>
      <c r="G3133">
        <v>-491.73360000000002</v>
      </c>
      <c r="H3133" s="1">
        <v>-4.0488610000000003E-6</v>
      </c>
      <c r="I3133">
        <v>237.98089999999999</v>
      </c>
      <c r="J3133">
        <v>-495.72120000000001</v>
      </c>
      <c r="K3133">
        <v>1.109734</v>
      </c>
      <c r="L3133">
        <v>250.2895</v>
      </c>
      <c r="M3133">
        <v>0.14773029999999901</v>
      </c>
      <c r="N3133">
        <v>-4.7208500000000004E-3</v>
      </c>
      <c r="O3133">
        <v>-0.98901640000000002</v>
      </c>
      <c r="P3133">
        <v>0.34556479999999901</v>
      </c>
      <c r="Q3133">
        <v>0.30741570000000001</v>
      </c>
      <c r="R3133">
        <v>-0.88661190000000001</v>
      </c>
      <c r="S3133">
        <v>0.99600219999999995</v>
      </c>
      <c r="T3133">
        <v>-0.27591290000000002</v>
      </c>
      <c r="U3133">
        <v>-3.0899960000000002</v>
      </c>
      <c r="V3133">
        <v>-0.21095420000000001</v>
      </c>
      <c r="W3133">
        <v>0.31168319999999999</v>
      </c>
      <c r="X3133">
        <v>0.92647279999999999</v>
      </c>
      <c r="Y3133">
        <v>-0.1617845</v>
      </c>
      <c r="Z3133">
        <v>8.0179159999999999E-2</v>
      </c>
      <c r="AA3133">
        <v>0.98356350000000003</v>
      </c>
      <c r="AB3133">
        <v>11</v>
      </c>
      <c r="AC3133">
        <v>3.98759999999998</v>
      </c>
      <c r="AD3133">
        <v>-1.109738048861</v>
      </c>
      <c r="AE3133">
        <v>-12.3086</v>
      </c>
      <c r="AF3133">
        <v>-2.1099502268166201</v>
      </c>
      <c r="AG3133">
        <v>-1.109738048861</v>
      </c>
      <c r="AH3133">
        <v>12.6694347146179</v>
      </c>
      <c r="AI3133">
        <v>94.938192845470297</v>
      </c>
      <c r="AJ3133">
        <v>99.455184045327997</v>
      </c>
      <c r="AK3133">
        <v>12.8917797252629</v>
      </c>
      <c r="AL3133">
        <v>71.839302192373594</v>
      </c>
      <c r="AM3133">
        <v>102.82732744966199</v>
      </c>
      <c r="AN3133">
        <v>0.999999970399859</v>
      </c>
    </row>
    <row r="3134" spans="1:40" x14ac:dyDescent="0.25">
      <c r="A3134" t="str">
        <f>"20190304164149983"</f>
        <v>20190304164149983</v>
      </c>
      <c r="B3134" t="str">
        <f>"1551688909973698"</f>
        <v>1551688909973698</v>
      </c>
      <c r="C3134" t="s">
        <v>40</v>
      </c>
      <c r="D3134">
        <v>4.4746990000000002</v>
      </c>
      <c r="E3134">
        <v>0.50844120000000004</v>
      </c>
      <c r="F3134" t="s">
        <v>42</v>
      </c>
      <c r="G3134">
        <v>-491.82310000000001</v>
      </c>
      <c r="H3134" s="1">
        <v>-4.3252620000000001E-6</v>
      </c>
      <c r="I3134">
        <v>238.7465</v>
      </c>
      <c r="J3134">
        <v>-495.70440000000002</v>
      </c>
      <c r="K3134">
        <v>1.1097079999999999</v>
      </c>
      <c r="L3134">
        <v>250.18119999999999</v>
      </c>
      <c r="M3134">
        <v>0.1482367</v>
      </c>
      <c r="N3134">
        <v>-4.6072099999999996E-3</v>
      </c>
      <c r="O3134">
        <v>-0.98894130000000002</v>
      </c>
      <c r="P3134">
        <v>0.34671099999999999</v>
      </c>
      <c r="Q3134">
        <v>0.30737309999999901</v>
      </c>
      <c r="R3134">
        <v>-0.886179099999999</v>
      </c>
      <c r="S3134">
        <v>1.040405</v>
      </c>
      <c r="T3134">
        <v>-0.29619060000000003</v>
      </c>
      <c r="U3134">
        <v>-3.0808559999999998</v>
      </c>
      <c r="V3134">
        <v>-0.2116712</v>
      </c>
      <c r="W3134">
        <v>0.3115387</v>
      </c>
      <c r="X3134">
        <v>0.92635789999999996</v>
      </c>
      <c r="Y3134">
        <v>-0.1747243</v>
      </c>
      <c r="Z3134">
        <v>8.6419570000000001E-2</v>
      </c>
      <c r="AA3134">
        <v>0.98081759999999996</v>
      </c>
      <c r="AB3134">
        <v>12</v>
      </c>
      <c r="AC3134">
        <v>3.8813</v>
      </c>
      <c r="AD3134">
        <v>-1.10971232526199</v>
      </c>
      <c r="AE3134">
        <v>-11.4346999999999</v>
      </c>
      <c r="AF3134">
        <v>-2.1254085338741802</v>
      </c>
      <c r="AG3134">
        <v>-1.10971232526199</v>
      </c>
      <c r="AH3134">
        <v>11.7842022150012</v>
      </c>
      <c r="AI3134">
        <v>95.294717569889102</v>
      </c>
      <c r="AJ3134">
        <v>100.223997875579</v>
      </c>
      <c r="AK3134">
        <v>12.0256494512664</v>
      </c>
      <c r="AL3134">
        <v>71.848015977764206</v>
      </c>
      <c r="AM3134">
        <v>102.871019259051</v>
      </c>
      <c r="AN3134">
        <v>1.00000000869976</v>
      </c>
    </row>
    <row r="3135" spans="1:40" x14ac:dyDescent="0.25">
      <c r="A3135" t="str">
        <f>"20190304164149999"</f>
        <v>20190304164149999</v>
      </c>
      <c r="B3135" t="str">
        <f>"1551688909994195"</f>
        <v>1551688909994195</v>
      </c>
      <c r="C3135" t="s">
        <v>40</v>
      </c>
      <c r="D3135">
        <v>4.4766009999999996</v>
      </c>
      <c r="E3135">
        <v>0.50719929999999902</v>
      </c>
      <c r="F3135" t="s">
        <v>42</v>
      </c>
      <c r="G3135">
        <v>-491.89819999999997</v>
      </c>
      <c r="H3135" s="1">
        <v>-4.4802080000000001E-6</v>
      </c>
      <c r="I3135">
        <v>239.1626</v>
      </c>
      <c r="J3135">
        <v>-495.6918</v>
      </c>
      <c r="K3135">
        <v>1.109696</v>
      </c>
      <c r="L3135">
        <v>250.10050000000001</v>
      </c>
      <c r="M3135">
        <v>0.14861170000000001</v>
      </c>
      <c r="N3135">
        <v>-4.5282509999999996E-3</v>
      </c>
      <c r="O3135">
        <v>-0.98888540000000003</v>
      </c>
      <c r="P3135">
        <v>0.34697800000000001</v>
      </c>
      <c r="Q3135">
        <v>0.307760799999999</v>
      </c>
      <c r="R3135">
        <v>-0.88594019999999996</v>
      </c>
      <c r="S3135">
        <v>1.0628660000000001</v>
      </c>
      <c r="T3135">
        <v>-0.3098862</v>
      </c>
      <c r="U3135">
        <v>-3.0769199999999999</v>
      </c>
      <c r="V3135">
        <v>-0.21161489999999999</v>
      </c>
      <c r="W3135">
        <v>0.3118553</v>
      </c>
      <c r="X3135">
        <v>0.92626419999999998</v>
      </c>
      <c r="Y3135">
        <v>-0.18101410000000001</v>
      </c>
      <c r="Z3135">
        <v>9.0608250000000001E-2</v>
      </c>
      <c r="AA3135">
        <v>0.9792978</v>
      </c>
      <c r="AB3135">
        <v>12</v>
      </c>
      <c r="AC3135">
        <v>3.7936000000000201</v>
      </c>
      <c r="AD3135">
        <v>-1.1097004802079999</v>
      </c>
      <c r="AE3135">
        <v>-10.937900000000001</v>
      </c>
      <c r="AF3135">
        <v>-2.1066021561908901</v>
      </c>
      <c r="AG3135">
        <v>-1.1097004802079999</v>
      </c>
      <c r="AH3135">
        <v>11.276610570010501</v>
      </c>
      <c r="AI3135">
        <v>95.525247807347299</v>
      </c>
      <c r="AJ3135">
        <v>100.581550089755</v>
      </c>
      <c r="AK3135">
        <v>11.5252398564157</v>
      </c>
      <c r="AL3135">
        <v>71.828924535171794</v>
      </c>
      <c r="AM3135">
        <v>102.868968164734</v>
      </c>
      <c r="AN3135">
        <v>0.99999998112086896</v>
      </c>
    </row>
    <row r="3136" spans="1:40" x14ac:dyDescent="0.25">
      <c r="A3136" t="str">
        <f>"20190304164150018"</f>
        <v>20190304164150018</v>
      </c>
      <c r="B3136" t="str">
        <f>"1551688910003955"</f>
        <v>1551688910003955</v>
      </c>
      <c r="C3136" t="s">
        <v>40</v>
      </c>
      <c r="D3136">
        <v>4.4831899999999996</v>
      </c>
      <c r="E3136">
        <v>0.50677229999999995</v>
      </c>
      <c r="F3136" t="s">
        <v>42</v>
      </c>
      <c r="G3136">
        <v>-491.90769999999998</v>
      </c>
      <c r="H3136" s="1">
        <v>-4.5182829999999997E-6</v>
      </c>
      <c r="I3136">
        <v>239.2696</v>
      </c>
      <c r="J3136">
        <v>-495.67619999999999</v>
      </c>
      <c r="K3136">
        <v>1.1096900000000001</v>
      </c>
      <c r="L3136">
        <v>249.99979999999999</v>
      </c>
      <c r="M3136">
        <v>0.1490764</v>
      </c>
      <c r="N3136">
        <v>-4.4360500000000004E-3</v>
      </c>
      <c r="O3136">
        <v>-0.98881580000000002</v>
      </c>
      <c r="P3136">
        <v>0.3467343</v>
      </c>
      <c r="Q3136">
        <v>0.30856640000000002</v>
      </c>
      <c r="R3136">
        <v>-0.88575519999999996</v>
      </c>
      <c r="S3136">
        <v>1.0743100000000001</v>
      </c>
      <c r="T3136">
        <v>-0.31504510000000002</v>
      </c>
      <c r="U3136">
        <v>-3.0749050000000002</v>
      </c>
      <c r="V3136">
        <v>-0.21096139999999999</v>
      </c>
      <c r="W3136">
        <v>0.31257800000000002</v>
      </c>
      <c r="X3136">
        <v>0.92616969999999998</v>
      </c>
      <c r="Y3136">
        <v>-0.18395130000000001</v>
      </c>
      <c r="Z3136">
        <v>9.2231889999999997E-2</v>
      </c>
      <c r="AA3136">
        <v>0.97859859999999999</v>
      </c>
      <c r="AB3136">
        <v>12</v>
      </c>
      <c r="AC3136">
        <v>3.7685000000000102</v>
      </c>
      <c r="AD3136">
        <v>-1.109694518283</v>
      </c>
      <c r="AE3136">
        <v>-10.7301999999999</v>
      </c>
      <c r="AF3136">
        <v>-2.1066958885267302</v>
      </c>
      <c r="AG3136">
        <v>-1.109694518283</v>
      </c>
      <c r="AH3136">
        <v>11.066729614974401</v>
      </c>
      <c r="AI3136">
        <v>95.625721266724497</v>
      </c>
      <c r="AJ3136">
        <v>100.778039652559</v>
      </c>
      <c r="AK3136">
        <v>11.319986477977499</v>
      </c>
      <c r="AL3136">
        <v>71.7853386774635</v>
      </c>
      <c r="AM3136">
        <v>102.83180985339401</v>
      </c>
      <c r="AN3136">
        <v>1.00000001578602</v>
      </c>
    </row>
    <row r="3137" spans="1:40" x14ac:dyDescent="0.25">
      <c r="A3137" t="str">
        <f>"20190304164150041"</f>
        <v>20190304164150041</v>
      </c>
      <c r="B3137" t="str">
        <f>"1551688910034210"</f>
        <v>1551688910034210</v>
      </c>
      <c r="C3137" t="s">
        <v>40</v>
      </c>
      <c r="D3137">
        <v>4.448861</v>
      </c>
      <c r="E3137">
        <v>0.50581899999999902</v>
      </c>
      <c r="F3137" t="s">
        <v>42</v>
      </c>
      <c r="G3137">
        <v>-491.85410000000002</v>
      </c>
      <c r="H3137" s="1">
        <v>-4.4602330000000004E-6</v>
      </c>
      <c r="I3137">
        <v>239.12700000000001</v>
      </c>
      <c r="J3137">
        <v>-495.65690000000001</v>
      </c>
      <c r="K3137">
        <v>1.109674</v>
      </c>
      <c r="L3137">
        <v>249.87639999999999</v>
      </c>
      <c r="M3137">
        <v>0.14964179999999999</v>
      </c>
      <c r="N3137">
        <v>-4.3316869999999999E-3</v>
      </c>
      <c r="O3137">
        <v>-0.98873089999999997</v>
      </c>
      <c r="P3137">
        <v>0.346616799999999</v>
      </c>
      <c r="Q3137">
        <v>0.30896699999999999</v>
      </c>
      <c r="R3137">
        <v>-0.88566180000000005</v>
      </c>
      <c r="S3137">
        <v>1.0803529999999999</v>
      </c>
      <c r="T3137">
        <v>-0.31366430000000001</v>
      </c>
      <c r="U3137">
        <v>-3.0733030000000001</v>
      </c>
      <c r="V3137">
        <v>-0.21032609999999999</v>
      </c>
      <c r="W3137">
        <v>0.31288460000000001</v>
      </c>
      <c r="X3137">
        <v>0.9262106</v>
      </c>
      <c r="Y3137">
        <v>-0.18527250000000001</v>
      </c>
      <c r="Z3137">
        <v>9.1907199999999994E-2</v>
      </c>
      <c r="AA3137">
        <v>0.97837989999999997</v>
      </c>
      <c r="AB3137">
        <v>12</v>
      </c>
      <c r="AC3137">
        <v>3.8027999999999902</v>
      </c>
      <c r="AD3137">
        <v>-1.1096784602330001</v>
      </c>
      <c r="AE3137">
        <v>-10.7493999999999</v>
      </c>
      <c r="AF3137">
        <v>-2.1312205826176198</v>
      </c>
      <c r="AG3137">
        <v>-1.1096784602330001</v>
      </c>
      <c r="AH3137">
        <v>11.092365241950199</v>
      </c>
      <c r="AI3137">
        <v>95.610900088004101</v>
      </c>
      <c r="AJ3137">
        <v>100.875930219777</v>
      </c>
      <c r="AK3137">
        <v>11.349627928602001</v>
      </c>
      <c r="AL3137">
        <v>71.766843052679903</v>
      </c>
      <c r="AM3137">
        <v>102.79389476921401</v>
      </c>
      <c r="AN3137">
        <v>0.99999995840536404</v>
      </c>
    </row>
    <row r="3138" spans="1:40" x14ac:dyDescent="0.25">
      <c r="A3138" t="str">
        <f>"20190304164150063"</f>
        <v>20190304164150063</v>
      </c>
      <c r="B3138" t="str">
        <f>"1551688910053730"</f>
        <v>1551688910053730</v>
      </c>
      <c r="C3138" t="s">
        <v>40</v>
      </c>
      <c r="D3138">
        <v>4.4413859999999996</v>
      </c>
      <c r="E3138">
        <v>0.50534690000000004</v>
      </c>
      <c r="F3138" t="s">
        <v>42</v>
      </c>
      <c r="G3138">
        <v>-491.82310000000001</v>
      </c>
      <c r="H3138" s="1">
        <v>-4.4299079999999999E-6</v>
      </c>
      <c r="I3138">
        <v>239.054</v>
      </c>
      <c r="J3138">
        <v>-495.6377</v>
      </c>
      <c r="K3138">
        <v>1.1096629999999901</v>
      </c>
      <c r="L3138">
        <v>249.75360000000001</v>
      </c>
      <c r="M3138">
        <v>0.1501989</v>
      </c>
      <c r="N3138">
        <v>-4.2378939999999999E-3</v>
      </c>
      <c r="O3138">
        <v>-0.98864700000000005</v>
      </c>
      <c r="P3138">
        <v>0.34655350000000001</v>
      </c>
      <c r="Q3138">
        <v>0.30918879999999999</v>
      </c>
      <c r="R3138">
        <v>-0.88560930000000004</v>
      </c>
      <c r="S3138">
        <v>1.0880129999999999</v>
      </c>
      <c r="T3138">
        <v>-0.31492029999999999</v>
      </c>
      <c r="U3138">
        <v>-3.0713349999999999</v>
      </c>
      <c r="V3138">
        <v>-0.20974680000000001</v>
      </c>
      <c r="W3138">
        <v>0.313021299999999</v>
      </c>
      <c r="X3138">
        <v>0.9262958</v>
      </c>
      <c r="Y3138">
        <v>-0.1870705</v>
      </c>
      <c r="Z3138">
        <v>9.2370900000000006E-2</v>
      </c>
      <c r="AA3138">
        <v>0.97799400000000003</v>
      </c>
      <c r="AB3138">
        <v>12</v>
      </c>
      <c r="AC3138">
        <v>3.81459999999998</v>
      </c>
      <c r="AD3138">
        <v>-1.1096674299079901</v>
      </c>
      <c r="AE3138">
        <v>-10.6996</v>
      </c>
      <c r="AF3138">
        <v>-2.1437853218359502</v>
      </c>
      <c r="AG3138">
        <v>-1.1096674299079901</v>
      </c>
      <c r="AH3138">
        <v>11.0457631558941</v>
      </c>
      <c r="AI3138">
        <v>95.632334895676493</v>
      </c>
      <c r="AJ3138">
        <v>100.983537090376</v>
      </c>
      <c r="AK3138">
        <v>11.306461029306501</v>
      </c>
      <c r="AL3138">
        <v>71.7585969232194</v>
      </c>
      <c r="AM3138">
        <v>102.758676508062</v>
      </c>
      <c r="AN3138">
        <v>0.99999998173078397</v>
      </c>
    </row>
    <row r="3139" spans="1:40" x14ac:dyDescent="0.25">
      <c r="A3139" t="str">
        <f>"20190304164150078"</f>
        <v>20190304164150078</v>
      </c>
      <c r="B3139" t="str">
        <f>"1551688910064467"</f>
        <v>1551688910064467</v>
      </c>
      <c r="C3139" t="s">
        <v>40</v>
      </c>
      <c r="D3139">
        <v>4.4010899999999999</v>
      </c>
      <c r="E3139">
        <v>0.50516300000000003</v>
      </c>
      <c r="F3139" t="s">
        <v>42</v>
      </c>
      <c r="G3139">
        <v>-491.80520000000001</v>
      </c>
      <c r="H3139" s="1">
        <v>-4.398244E-6</v>
      </c>
      <c r="I3139">
        <v>238.97030000000001</v>
      </c>
      <c r="J3139">
        <v>-495.62450000000001</v>
      </c>
      <c r="K3139">
        <v>1.109656</v>
      </c>
      <c r="L3139">
        <v>249.67</v>
      </c>
      <c r="M3139">
        <v>0.15057609999999999</v>
      </c>
      <c r="N3139">
        <v>-4.1795160000000003E-3</v>
      </c>
      <c r="O3139">
        <v>-0.98858959999999996</v>
      </c>
      <c r="P3139">
        <v>0.34684809999999999</v>
      </c>
      <c r="Q3139">
        <v>0.3095485</v>
      </c>
      <c r="R3139">
        <v>-0.88536769999999998</v>
      </c>
      <c r="S3139">
        <v>1.09137</v>
      </c>
      <c r="T3139">
        <v>-0.31599460000000001</v>
      </c>
      <c r="U3139">
        <v>-3.0707239999999998</v>
      </c>
      <c r="V3139">
        <v>-0.20972060000000001</v>
      </c>
      <c r="W3139">
        <v>0.3133261</v>
      </c>
      <c r="X3139">
        <v>0.92619870000000004</v>
      </c>
      <c r="Y3139">
        <v>-0.18769520000000001</v>
      </c>
      <c r="Z3139">
        <v>9.2740879999999998E-2</v>
      </c>
      <c r="AA3139">
        <v>0.97783929999999997</v>
      </c>
      <c r="AB3139">
        <v>12</v>
      </c>
      <c r="AC3139">
        <v>3.8192999999999899</v>
      </c>
      <c r="AD3139">
        <v>-1.1096603982440001</v>
      </c>
      <c r="AE3139">
        <v>-10.699699999999901</v>
      </c>
      <c r="AF3139">
        <v>-2.1441645038601602</v>
      </c>
      <c r="AG3139">
        <v>-1.1096603982440001</v>
      </c>
      <c r="AH3139">
        <v>11.0474113371729</v>
      </c>
      <c r="AI3139">
        <v>95.631458926826497</v>
      </c>
      <c r="AJ3139">
        <v>100.98383347398099</v>
      </c>
      <c r="AK3139">
        <v>11.308142414726801</v>
      </c>
      <c r="AL3139">
        <v>71.740208547635305</v>
      </c>
      <c r="AM3139">
        <v>102.758428594411</v>
      </c>
      <c r="AN3139">
        <v>1.00000000344363</v>
      </c>
    </row>
    <row r="3140" spans="1:40" x14ac:dyDescent="0.25">
      <c r="A3140" t="str">
        <f>"20190304164150097"</f>
        <v>20190304164150097</v>
      </c>
      <c r="B3140" t="str">
        <f>"1551688910083986"</f>
        <v>1551688910083986</v>
      </c>
      <c r="C3140" t="s">
        <v>40</v>
      </c>
      <c r="D3140">
        <v>4.4079969999999999</v>
      </c>
      <c r="E3140">
        <v>0.50493999999999895</v>
      </c>
      <c r="F3140" t="s">
        <v>42</v>
      </c>
      <c r="G3140">
        <v>-491.77690000000001</v>
      </c>
      <c r="H3140" s="1">
        <v>-4.3598670000000001E-6</v>
      </c>
      <c r="I3140">
        <v>238.87219999999999</v>
      </c>
      <c r="J3140">
        <v>-495.608</v>
      </c>
      <c r="K3140">
        <v>1.109648</v>
      </c>
      <c r="L3140">
        <v>249.565</v>
      </c>
      <c r="M3140">
        <v>0.15104779999999901</v>
      </c>
      <c r="N3140">
        <v>-4.1111129999999996E-3</v>
      </c>
      <c r="O3140">
        <v>-0.98851809999999996</v>
      </c>
      <c r="P3140">
        <v>0.34656389999999998</v>
      </c>
      <c r="Q3140">
        <v>0.31046000000000001</v>
      </c>
      <c r="R3140">
        <v>-0.88516010000000001</v>
      </c>
      <c r="S3140">
        <v>1.0939639999999999</v>
      </c>
      <c r="T3140">
        <v>-0.31550590000000001</v>
      </c>
      <c r="U3140">
        <v>-3.0700989999999999</v>
      </c>
      <c r="V3140">
        <v>-0.20902960000000001</v>
      </c>
      <c r="W3140">
        <v>0.3141737</v>
      </c>
      <c r="X3140">
        <v>0.9260678</v>
      </c>
      <c r="Y3140">
        <v>-0.18802630000000001</v>
      </c>
      <c r="Z3140">
        <v>9.2651049999999999E-2</v>
      </c>
      <c r="AA3140">
        <v>0.97778419999999999</v>
      </c>
      <c r="AB3140">
        <v>12</v>
      </c>
      <c r="AC3140">
        <v>3.83109999999999</v>
      </c>
      <c r="AD3140">
        <v>-1.1096523598670001</v>
      </c>
      <c r="AE3140">
        <v>-10.6928</v>
      </c>
      <c r="AF3140">
        <v>-2.1514716570594099</v>
      </c>
      <c r="AG3140">
        <v>-1.1096523598670001</v>
      </c>
      <c r="AH3140">
        <v>11.0433973394942</v>
      </c>
      <c r="AI3140">
        <v>95.632684248556401</v>
      </c>
      <c r="AJ3140">
        <v>101.024258163715</v>
      </c>
      <c r="AK3140">
        <v>11.3056084952928</v>
      </c>
      <c r="AL3140">
        <v>71.689062514746396</v>
      </c>
      <c r="AM3140">
        <v>102.719499903133</v>
      </c>
      <c r="AN3140">
        <v>1.0000000288223401</v>
      </c>
    </row>
    <row r="3141" spans="1:40" x14ac:dyDescent="0.25">
      <c r="A3141" t="str">
        <f>"20190304164150119"</f>
        <v>20190304164150119</v>
      </c>
      <c r="B3141" t="str">
        <f>"1551688910104482"</f>
        <v>1551688910104482</v>
      </c>
      <c r="C3141" t="s">
        <v>40</v>
      </c>
      <c r="D3141">
        <v>4.3875769999999896</v>
      </c>
      <c r="E3141">
        <v>0.50471080000000001</v>
      </c>
      <c r="F3141" t="s">
        <v>42</v>
      </c>
      <c r="G3141">
        <v>-491.75</v>
      </c>
      <c r="H3141" s="1">
        <v>-4.3119869999999998E-6</v>
      </c>
      <c r="I3141">
        <v>238.74549999999999</v>
      </c>
      <c r="J3141">
        <v>-495.58870000000002</v>
      </c>
      <c r="K3141">
        <v>1.1096429999999999</v>
      </c>
      <c r="L3141">
        <v>249.44290000000001</v>
      </c>
      <c r="M3141">
        <v>0.1515947</v>
      </c>
      <c r="N3141">
        <v>-4.0378840000000003E-3</v>
      </c>
      <c r="O3141">
        <v>-0.9884347</v>
      </c>
      <c r="P3141">
        <v>0.34600589999999998</v>
      </c>
      <c r="Q3141">
        <v>0.31184699999999999</v>
      </c>
      <c r="R3141">
        <v>-0.88489119999999999</v>
      </c>
      <c r="S3141">
        <v>1.095032</v>
      </c>
      <c r="T3141">
        <v>-0.31495689999999998</v>
      </c>
      <c r="U3141">
        <v>-3.0709379999999999</v>
      </c>
      <c r="V3141">
        <v>-0.20800850000000001</v>
      </c>
      <c r="W3141">
        <v>0.31549120000000003</v>
      </c>
      <c r="X3141">
        <v>0.9258497</v>
      </c>
      <c r="Y3141">
        <v>-0.18770529999999999</v>
      </c>
      <c r="Z3141">
        <v>9.2516760000000003E-2</v>
      </c>
      <c r="AA3141">
        <v>0.97785849999999996</v>
      </c>
      <c r="AB3141">
        <v>13</v>
      </c>
      <c r="AC3141">
        <v>3.83870000000001</v>
      </c>
      <c r="AD3141">
        <v>-1.1096473119869901</v>
      </c>
      <c r="AE3141">
        <v>-10.6974</v>
      </c>
      <c r="AF3141">
        <v>-2.1521370836718101</v>
      </c>
      <c r="AG3141">
        <v>-1.1096473119869901</v>
      </c>
      <c r="AH3141">
        <v>11.0503586612069</v>
      </c>
      <c r="AI3141">
        <v>95.629198831643606</v>
      </c>
      <c r="AJ3141">
        <v>101.020807439122</v>
      </c>
      <c r="AK3141">
        <v>11.3125345402887</v>
      </c>
      <c r="AL3141">
        <v>71.6095294221427</v>
      </c>
      <c r="AM3141">
        <v>102.662258905518</v>
      </c>
      <c r="AN3141">
        <v>0.99999995016988796</v>
      </c>
    </row>
    <row r="3142" spans="1:40" x14ac:dyDescent="0.25">
      <c r="A3142" t="str">
        <f>"20190304164150153"</f>
        <v>20190304164150153</v>
      </c>
      <c r="B3142" t="str">
        <f>"1551688910144499"</f>
        <v>1551688910144499</v>
      </c>
      <c r="C3142" t="s">
        <v>40</v>
      </c>
      <c r="D3142">
        <v>4.3449099999999996</v>
      </c>
      <c r="E3142">
        <v>0.50435189999999996</v>
      </c>
      <c r="F3142" t="s">
        <v>42</v>
      </c>
      <c r="G3142">
        <v>-491.69470000000001</v>
      </c>
      <c r="H3142" s="1">
        <v>-4.2289829999999998E-6</v>
      </c>
      <c r="I3142">
        <v>238.53049999999999</v>
      </c>
      <c r="J3142">
        <v>-495.55799999999999</v>
      </c>
      <c r="K3142">
        <v>1.1096410000000001</v>
      </c>
      <c r="L3142">
        <v>249.24930000000001</v>
      </c>
      <c r="M3142">
        <v>0.15246089999999901</v>
      </c>
      <c r="N3142">
        <v>-3.9338659999999899E-3</v>
      </c>
      <c r="O3142">
        <v>-0.98830150000000005</v>
      </c>
      <c r="P3142">
        <v>0.34650540000000002</v>
      </c>
      <c r="Q3142">
        <v>0.31271130000000003</v>
      </c>
      <c r="R3142">
        <v>-0.8843898</v>
      </c>
      <c r="S3142">
        <v>1.0961299999999901</v>
      </c>
      <c r="T3142">
        <v>-0.31235279999999999</v>
      </c>
      <c r="U3142">
        <v>-3.0717319999999999</v>
      </c>
      <c r="V3142">
        <v>-0.2077705</v>
      </c>
      <c r="W3142">
        <v>0.31625569999999997</v>
      </c>
      <c r="X3142">
        <v>0.92564239999999998</v>
      </c>
      <c r="Y3142">
        <v>-0.18709919999999999</v>
      </c>
      <c r="Z3142">
        <v>9.1786049999999994E-2</v>
      </c>
      <c r="AA3142">
        <v>0.97804360000000001</v>
      </c>
      <c r="AB3142">
        <v>13</v>
      </c>
      <c r="AC3142">
        <v>3.8633000000000299</v>
      </c>
      <c r="AD3142">
        <v>-1.1096452289830001</v>
      </c>
      <c r="AE3142">
        <v>-10.7188</v>
      </c>
      <c r="AF3142">
        <v>-2.16340481792031</v>
      </c>
      <c r="AG3142">
        <v>-1.1096452289830001</v>
      </c>
      <c r="AH3142">
        <v>11.077428117533101</v>
      </c>
      <c r="AI3142">
        <v>95.614953165165204</v>
      </c>
      <c r="AJ3142">
        <v>101.050682977045</v>
      </c>
      <c r="AK3142">
        <v>11.3411219303699</v>
      </c>
      <c r="AL3142">
        <v>71.563365060181994</v>
      </c>
      <c r="AM3142">
        <v>102.650978766476</v>
      </c>
      <c r="AN3142">
        <v>1.00000005056524</v>
      </c>
    </row>
    <row r="3143" spans="1:40" x14ac:dyDescent="0.25">
      <c r="A3143" t="str">
        <f>"20190304164150174"</f>
        <v>20190304164150174</v>
      </c>
      <c r="B3143" t="str">
        <f>"1551688910164019"</f>
        <v>1551688910164019</v>
      </c>
      <c r="C3143" t="s">
        <v>40</v>
      </c>
      <c r="D3143">
        <v>4.3616989999999998</v>
      </c>
      <c r="E3143">
        <v>0.50419729999999996</v>
      </c>
      <c r="F3143" t="s">
        <v>42</v>
      </c>
      <c r="G3143">
        <v>-491.65089999999998</v>
      </c>
      <c r="H3143" s="1">
        <v>-4.1625670000000003E-6</v>
      </c>
      <c r="I3143">
        <v>238.35810000000001</v>
      </c>
      <c r="J3143">
        <v>-495.53800000000001</v>
      </c>
      <c r="K3143">
        <v>1.1096299999999999</v>
      </c>
      <c r="L3143">
        <v>249.12370000000001</v>
      </c>
      <c r="M3143">
        <v>0.1530224</v>
      </c>
      <c r="N3143">
        <v>-3.8694979999999999E-3</v>
      </c>
      <c r="O3143">
        <v>-0.98821539999999997</v>
      </c>
      <c r="P3143">
        <v>0.34762759999999998</v>
      </c>
      <c r="Q3143">
        <v>0.31388319999999997</v>
      </c>
      <c r="R3143">
        <v>-0.88353440000000005</v>
      </c>
      <c r="S3143">
        <v>1.1017459999999999</v>
      </c>
      <c r="T3143">
        <v>-0.31290689999999999</v>
      </c>
      <c r="U3143">
        <v>-3.071167</v>
      </c>
      <c r="V3143">
        <v>-0.20848710000000001</v>
      </c>
      <c r="W3143">
        <v>0.31736340000000002</v>
      </c>
      <c r="X3143">
        <v>0.92510199999999998</v>
      </c>
      <c r="Y3143">
        <v>-0.1881775</v>
      </c>
      <c r="Z3143">
        <v>9.1982809999999998E-2</v>
      </c>
      <c r="AA3143">
        <v>0.97781819999999997</v>
      </c>
      <c r="AB3143">
        <v>13</v>
      </c>
      <c r="AC3143">
        <v>3.88710000000003</v>
      </c>
      <c r="AD3143">
        <v>-1.1096341625670001</v>
      </c>
      <c r="AE3143">
        <v>-10.765599999999999</v>
      </c>
      <c r="AF3143">
        <v>-2.17350214086024</v>
      </c>
      <c r="AG3143">
        <v>-1.1096341625670001</v>
      </c>
      <c r="AH3143">
        <v>11.129029130445801</v>
      </c>
      <c r="AI3143">
        <v>95.589026777167007</v>
      </c>
      <c r="AJ3143">
        <v>101.05078079070201</v>
      </c>
      <c r="AK3143">
        <v>11.3934493862645</v>
      </c>
      <c r="AL3143">
        <v>71.496451839477899</v>
      </c>
      <c r="AM3143">
        <v>102.70037488171999</v>
      </c>
      <c r="AN3143">
        <v>1.0000000544649801</v>
      </c>
    </row>
    <row r="3144" spans="1:40" x14ac:dyDescent="0.25">
      <c r="A3144" t="str">
        <f>"20190304164150196"</f>
        <v>20190304164150196</v>
      </c>
      <c r="B3144" t="str">
        <f>"1551688910184515"</f>
        <v>1551688910184515</v>
      </c>
      <c r="C3144" t="s">
        <v>40</v>
      </c>
      <c r="D3144">
        <v>4.3195600000000001</v>
      </c>
      <c r="E3144">
        <v>0.50404689999999996</v>
      </c>
      <c r="F3144" t="s">
        <v>42</v>
      </c>
      <c r="G3144">
        <v>-491.58440000000002</v>
      </c>
      <c r="H3144" s="1">
        <v>-4.0843549999999996E-6</v>
      </c>
      <c r="I3144">
        <v>238.16300000000001</v>
      </c>
      <c r="J3144">
        <v>-495.51780000000002</v>
      </c>
      <c r="K3144">
        <v>1.109629</v>
      </c>
      <c r="L3144">
        <v>248.99799999999999</v>
      </c>
      <c r="M3144">
        <v>0.1535849</v>
      </c>
      <c r="N3144">
        <v>-3.8047379999999998E-3</v>
      </c>
      <c r="O3144">
        <v>-0.98812820000000001</v>
      </c>
      <c r="P3144">
        <v>0.34920669999999998</v>
      </c>
      <c r="Q3144">
        <v>0.31448540000000003</v>
      </c>
      <c r="R3144">
        <v>-0.88269690000000001</v>
      </c>
      <c r="S3144">
        <v>1.1074219999999999</v>
      </c>
      <c r="T3144">
        <v>-0.31081379999999997</v>
      </c>
      <c r="U3144">
        <v>-3.07016</v>
      </c>
      <c r="V3144">
        <v>-0.2096517</v>
      </c>
      <c r="W3144">
        <v>0.31790180000000001</v>
      </c>
      <c r="X3144">
        <v>0.92465379999999997</v>
      </c>
      <c r="Y3144">
        <v>-0.18934039999999999</v>
      </c>
      <c r="Z3144">
        <v>9.1388990000000003E-2</v>
      </c>
      <c r="AA3144">
        <v>0.9776494</v>
      </c>
      <c r="AB3144">
        <v>13</v>
      </c>
      <c r="AC3144">
        <v>3.9333999999999998</v>
      </c>
      <c r="AD3144">
        <v>-1.109633084355</v>
      </c>
      <c r="AE3144">
        <v>-10.835000000000001</v>
      </c>
      <c r="AF3144">
        <v>-2.2022192082117198</v>
      </c>
      <c r="AG3144">
        <v>-1.109633084355</v>
      </c>
      <c r="AH3144">
        <v>11.206709264455201</v>
      </c>
      <c r="AI3144">
        <v>95.549265689904999</v>
      </c>
      <c r="AJ3144">
        <v>101.117477375955</v>
      </c>
      <c r="AK3144">
        <v>11.4748153606469</v>
      </c>
      <c r="AL3144">
        <v>71.463918379547593</v>
      </c>
      <c r="AM3144">
        <v>102.77498529447701</v>
      </c>
      <c r="AN3144">
        <v>1.0000000198052801</v>
      </c>
    </row>
    <row r="3145" spans="1:40" x14ac:dyDescent="0.25">
      <c r="A3145" t="str">
        <f>"20190304164150218"</f>
        <v>20190304164150218</v>
      </c>
      <c r="B3145" t="str">
        <f>"1551688910204035"</f>
        <v>1551688910204035</v>
      </c>
      <c r="C3145" t="s">
        <v>40</v>
      </c>
      <c r="D3145">
        <v>4.3137369999999997</v>
      </c>
      <c r="E3145">
        <v>0.50391569999999997</v>
      </c>
      <c r="F3145" t="s">
        <v>42</v>
      </c>
      <c r="G3145">
        <v>-491.53750000000002</v>
      </c>
      <c r="H3145" s="1">
        <v>-4.0296299999999999E-6</v>
      </c>
      <c r="I3145">
        <v>238.02869999999999</v>
      </c>
      <c r="J3145">
        <v>-495.49610000000001</v>
      </c>
      <c r="K3145">
        <v>1.1096239999999999</v>
      </c>
      <c r="L3145">
        <v>248.8629</v>
      </c>
      <c r="M3145">
        <v>0.15418750000000001</v>
      </c>
      <c r="N3145">
        <v>-3.7321609999999999E-3</v>
      </c>
      <c r="O3145">
        <v>-0.98803479999999999</v>
      </c>
      <c r="P3145">
        <v>0.35116940000000002</v>
      </c>
      <c r="Q3145">
        <v>0.31563540000000001</v>
      </c>
      <c r="R3145">
        <v>-0.8815075</v>
      </c>
      <c r="S3145">
        <v>1.1135250000000001</v>
      </c>
      <c r="T3145">
        <v>-0.31042959999999997</v>
      </c>
      <c r="U3145">
        <v>-3.068756</v>
      </c>
      <c r="V3145">
        <v>-0.21121309999999999</v>
      </c>
      <c r="W3145">
        <v>0.31897910000000002</v>
      </c>
      <c r="X3145">
        <v>0.92392719999999995</v>
      </c>
      <c r="Y3145">
        <v>-0.190606</v>
      </c>
      <c r="Z3145">
        <v>9.1328069999999997E-2</v>
      </c>
      <c r="AA3145">
        <v>0.97740910000000003</v>
      </c>
      <c r="AB3145">
        <v>13</v>
      </c>
      <c r="AC3145">
        <v>3.9585999999999899</v>
      </c>
      <c r="AD3145">
        <v>-1.1096280296299901</v>
      </c>
      <c r="AE3145">
        <v>-10.834199999999999</v>
      </c>
      <c r="AF3145">
        <v>-2.2202052029483599</v>
      </c>
      <c r="AG3145">
        <v>-1.1096280296299901</v>
      </c>
      <c r="AH3145">
        <v>11.2112581866102</v>
      </c>
      <c r="AI3145">
        <v>95.545407507950003</v>
      </c>
      <c r="AJ3145">
        <v>101.201555493575</v>
      </c>
      <c r="AK3145">
        <v>11.482721612674201</v>
      </c>
      <c r="AL3145">
        <v>71.398804649286305</v>
      </c>
      <c r="AM3145">
        <v>102.876754253122</v>
      </c>
      <c r="AN3145">
        <v>1.00000005537412</v>
      </c>
    </row>
    <row r="3146" spans="1:40" x14ac:dyDescent="0.25">
      <c r="A3146" t="str">
        <f>"20190304164150242"</f>
        <v>20190304164150242</v>
      </c>
      <c r="B3146" t="str">
        <f>"1551688910234291"</f>
        <v>1551688910234291</v>
      </c>
      <c r="C3146" t="s">
        <v>40</v>
      </c>
      <c r="D3146">
        <v>4.2982230000000001</v>
      </c>
      <c r="E3146">
        <v>0.50371449999999995</v>
      </c>
      <c r="F3146" t="s">
        <v>42</v>
      </c>
      <c r="G3146">
        <v>-491.45609999999999</v>
      </c>
      <c r="H3146" s="1">
        <v>-3.9219779999999997E-6</v>
      </c>
      <c r="I3146">
        <v>237.82820000000001</v>
      </c>
      <c r="J3146">
        <v>-495.47309999999999</v>
      </c>
      <c r="K3146">
        <v>1.1096170000000001</v>
      </c>
      <c r="L3146">
        <v>248.72049999999999</v>
      </c>
      <c r="M3146">
        <v>0.15482109999999999</v>
      </c>
      <c r="N3146">
        <v>-3.6496850000000002E-3</v>
      </c>
      <c r="O3146">
        <v>-0.98793589999999998</v>
      </c>
      <c r="P3146">
        <v>0.35270940000000001</v>
      </c>
      <c r="Q3146">
        <v>0.31590030000000002</v>
      </c>
      <c r="R3146">
        <v>-0.88079680000000005</v>
      </c>
      <c r="S3146">
        <v>1.122681</v>
      </c>
      <c r="T3146">
        <v>-0.30835240000000003</v>
      </c>
      <c r="U3146">
        <v>-3.0663909999999999</v>
      </c>
      <c r="V3146">
        <v>-0.21225369999999999</v>
      </c>
      <c r="W3146">
        <v>0.31916430000000001</v>
      </c>
      <c r="X3146">
        <v>0.92362460000000002</v>
      </c>
      <c r="Y3146">
        <v>-0.19281219999999999</v>
      </c>
      <c r="Z3146">
        <v>9.0766089999999994E-2</v>
      </c>
      <c r="AA3146">
        <v>0.97702869999999997</v>
      </c>
      <c r="AB3146">
        <v>13</v>
      </c>
      <c r="AC3146">
        <v>4.0169999999999897</v>
      </c>
      <c r="AD3146">
        <v>-1.109620921978</v>
      </c>
      <c r="AE3146">
        <v>-10.892299999999899</v>
      </c>
      <c r="AF3146">
        <v>-2.26153548869042</v>
      </c>
      <c r="AG3146">
        <v>-1.109620921978</v>
      </c>
      <c r="AH3146">
        <v>11.2798389247437</v>
      </c>
      <c r="AI3146">
        <v>95.509282817688302</v>
      </c>
      <c r="AJ3146">
        <v>101.3371232285</v>
      </c>
      <c r="AK3146">
        <v>11.557705980222099</v>
      </c>
      <c r="AL3146">
        <v>71.387606066534801</v>
      </c>
      <c r="AM3146">
        <v>102.94216149161301</v>
      </c>
      <c r="AN3146">
        <v>0.99999994264166803</v>
      </c>
    </row>
    <row r="3147" spans="1:40" x14ac:dyDescent="0.25">
      <c r="A3147" t="str">
        <f>"20190304164150263"</f>
        <v>20190304164150263</v>
      </c>
      <c r="B3147" t="str">
        <f>"1551688910253810"</f>
        <v>1551688910253810</v>
      </c>
      <c r="C3147" t="s">
        <v>40</v>
      </c>
      <c r="D3147">
        <v>4.2255180000000001</v>
      </c>
      <c r="E3147">
        <v>0.46489269999999999</v>
      </c>
      <c r="F3147" t="s">
        <v>42</v>
      </c>
      <c r="G3147">
        <v>-491.40730000000002</v>
      </c>
      <c r="H3147" s="1">
        <v>-3.8609339999999901E-6</v>
      </c>
      <c r="I3147">
        <v>237.71619999999999</v>
      </c>
      <c r="J3147">
        <v>-495.45209999999997</v>
      </c>
      <c r="K3147">
        <v>1.1096090000000001</v>
      </c>
      <c r="L3147">
        <v>248.59110000000001</v>
      </c>
      <c r="M3147">
        <v>0.1553938</v>
      </c>
      <c r="N3147">
        <v>-3.5702339999999998E-3</v>
      </c>
      <c r="O3147">
        <v>-0.98784629999999995</v>
      </c>
      <c r="P3147">
        <v>0.35456310000000002</v>
      </c>
      <c r="Q3147">
        <v>0.3162799</v>
      </c>
      <c r="R3147">
        <v>-0.87991600000000003</v>
      </c>
      <c r="S3147">
        <v>1.1318969999999999</v>
      </c>
      <c r="T3147">
        <v>-0.30891299999999999</v>
      </c>
      <c r="U3147">
        <v>-3.0635530000000002</v>
      </c>
      <c r="V3147">
        <v>-0.21368780000000001</v>
      </c>
      <c r="W3147">
        <v>0.319467</v>
      </c>
      <c r="X3147">
        <v>0.92318920000000004</v>
      </c>
      <c r="Y3147">
        <v>-0.1951164</v>
      </c>
      <c r="Z3147">
        <v>9.1013659999999996E-2</v>
      </c>
      <c r="AA3147">
        <v>0.97654810000000003</v>
      </c>
      <c r="AB3147">
        <v>14</v>
      </c>
      <c r="AC3147">
        <v>4.0447999999999498</v>
      </c>
      <c r="AD3147">
        <v>-1.1096128609339999</v>
      </c>
      <c r="AE3147">
        <v>-10.8749</v>
      </c>
      <c r="AF3147">
        <v>-2.2848661452745098</v>
      </c>
      <c r="AG3147">
        <v>-1.1096128609339999</v>
      </c>
      <c r="AH3147">
        <v>11.268280127774799</v>
      </c>
      <c r="AI3147">
        <v>95.512442904274494</v>
      </c>
      <c r="AJ3147">
        <v>101.462441239537</v>
      </c>
      <c r="AK3147">
        <v>11.551016883416599</v>
      </c>
      <c r="AL3147">
        <v>71.369305036121204</v>
      </c>
      <c r="AM3147">
        <v>103.032566758732</v>
      </c>
      <c r="AN3147">
        <v>0.99999996947723901</v>
      </c>
    </row>
    <row r="3148" spans="1:40" x14ac:dyDescent="0.25">
      <c r="A3148" t="str">
        <f>"20190304164150286"</f>
        <v>20190304164150286</v>
      </c>
      <c r="B3148" t="str">
        <f>"1551688910274306"</f>
        <v>1551688910274306</v>
      </c>
      <c r="C3148" t="s">
        <v>40</v>
      </c>
      <c r="D3148">
        <v>4.3933150000000003</v>
      </c>
      <c r="E3148">
        <v>0.45955259999999998</v>
      </c>
      <c r="F3148" t="s">
        <v>42</v>
      </c>
      <c r="G3148">
        <v>-488.90260000000001</v>
      </c>
      <c r="H3148" s="1">
        <v>-2.5487799999999999E-6</v>
      </c>
      <c r="I3148">
        <v>235.12029999999999</v>
      </c>
      <c r="J3148">
        <v>-495.43009999999998</v>
      </c>
      <c r="K3148">
        <v>1.10959599999999</v>
      </c>
      <c r="L3148">
        <v>248.4555</v>
      </c>
      <c r="M3148">
        <v>0.15599260000000001</v>
      </c>
      <c r="N3148">
        <v>-3.486706E-3</v>
      </c>
      <c r="O3148">
        <v>-0.98775230000000003</v>
      </c>
      <c r="P3148">
        <v>0.35604720000000001</v>
      </c>
      <c r="Q3148">
        <v>0.3166196</v>
      </c>
      <c r="R3148">
        <v>-0.87919419999999904</v>
      </c>
      <c r="S3148">
        <v>1.421295</v>
      </c>
      <c r="T3148">
        <v>-0.24079239999999999</v>
      </c>
      <c r="U3148">
        <v>-2.9232480000000001</v>
      </c>
      <c r="V3148">
        <v>-0.21470900000000001</v>
      </c>
      <c r="W3148">
        <v>0.31972590000000001</v>
      </c>
      <c r="X3148">
        <v>0.92286259999999998</v>
      </c>
      <c r="Y3148">
        <v>-0.29046090000000002</v>
      </c>
      <c r="Z3148">
        <v>7.1333939999999998E-2</v>
      </c>
      <c r="AA3148">
        <v>0.95422430000000003</v>
      </c>
      <c r="AB3148">
        <v>14</v>
      </c>
      <c r="AC3148">
        <v>6.5274999999999697</v>
      </c>
      <c r="AD3148">
        <v>-1.10959854877999</v>
      </c>
      <c r="AE3148">
        <v>-13.3352</v>
      </c>
      <c r="AF3148">
        <v>-4.3431283260362603</v>
      </c>
      <c r="AG3148">
        <v>-1.10959854877999</v>
      </c>
      <c r="AH3148">
        <v>14.1113823329209</v>
      </c>
      <c r="AI3148">
        <v>94.297844940739694</v>
      </c>
      <c r="AJ3148">
        <v>107.107048226968</v>
      </c>
      <c r="AK3148">
        <v>14.806251515550599</v>
      </c>
      <c r="AL3148">
        <v>71.353650554664895</v>
      </c>
      <c r="AM3148">
        <v>103.09718156644099</v>
      </c>
      <c r="AN3148">
        <v>0.99999999214528501</v>
      </c>
    </row>
    <row r="3149" spans="1:40" x14ac:dyDescent="0.25">
      <c r="A3149" t="str">
        <f>"20190304164150310"</f>
        <v>20190304164150310</v>
      </c>
      <c r="B3149" t="str">
        <f>"1551688910304564"</f>
        <v>1551688910304564</v>
      </c>
      <c r="C3149" t="s">
        <v>40</v>
      </c>
      <c r="D3149">
        <v>4.1753289999999996</v>
      </c>
      <c r="E3149">
        <v>0.45758300000000002</v>
      </c>
      <c r="F3149" t="s">
        <v>42</v>
      </c>
      <c r="G3149">
        <v>-488.0899</v>
      </c>
      <c r="H3149" s="1">
        <v>-2.1825580000000002E-6</v>
      </c>
      <c r="I3149">
        <v>233.9306</v>
      </c>
      <c r="J3149">
        <v>-495.40480000000002</v>
      </c>
      <c r="K3149">
        <v>1.1095839999999999</v>
      </c>
      <c r="L3149">
        <v>248.30080000000001</v>
      </c>
      <c r="M3149">
        <v>0.1566736</v>
      </c>
      <c r="N3149">
        <v>-3.3922919999999999E-3</v>
      </c>
      <c r="O3149">
        <v>-0.98764490000000005</v>
      </c>
      <c r="P3149">
        <v>0.35761219999999999</v>
      </c>
      <c r="Q3149">
        <v>0.31677640000000001</v>
      </c>
      <c r="R3149">
        <v>-0.87850239999999902</v>
      </c>
      <c r="S3149">
        <v>1.464874</v>
      </c>
      <c r="T3149">
        <v>-0.22144079999999999</v>
      </c>
      <c r="U3149">
        <v>-2.8987120000000002</v>
      </c>
      <c r="V3149">
        <v>-0.21572910000000001</v>
      </c>
      <c r="W3149">
        <v>0.31979190000000002</v>
      </c>
      <c r="X3149">
        <v>0.92260180000000003</v>
      </c>
      <c r="Y3149">
        <v>-0.30461860000000002</v>
      </c>
      <c r="Z3149">
        <v>6.5589839999999996E-2</v>
      </c>
      <c r="AA3149">
        <v>0.95021339999999999</v>
      </c>
      <c r="AB3149">
        <v>14</v>
      </c>
      <c r="AC3149">
        <v>7.3149000000000202</v>
      </c>
      <c r="AD3149">
        <v>-1.109586182558</v>
      </c>
      <c r="AE3149">
        <v>-14.370200000000001</v>
      </c>
      <c r="AF3149">
        <v>-4.94968254191624</v>
      </c>
      <c r="AG3149">
        <v>-1.109586182558</v>
      </c>
      <c r="AH3149">
        <v>15.2665015446391</v>
      </c>
      <c r="AI3149">
        <v>93.955025898610302</v>
      </c>
      <c r="AJ3149">
        <v>107.96365441261401</v>
      </c>
      <c r="AK3149">
        <v>16.087156621813001</v>
      </c>
      <c r="AL3149">
        <v>71.349659507845701</v>
      </c>
      <c r="AM3149">
        <v>103.160837400975</v>
      </c>
      <c r="AN3149">
        <v>0.99999999262782902</v>
      </c>
    </row>
    <row r="3150" spans="1:40" x14ac:dyDescent="0.25">
      <c r="A3150" t="str">
        <f>"20190304164150331"</f>
        <v>20190304164150331</v>
      </c>
      <c r="B3150" t="str">
        <f>"1551688910324083"</f>
        <v>1551688910324083</v>
      </c>
      <c r="C3150" t="s">
        <v>40</v>
      </c>
      <c r="D3150">
        <v>4.3773269999999904</v>
      </c>
      <c r="E3150">
        <v>0.45722420000000003</v>
      </c>
      <c r="F3150" t="s">
        <v>42</v>
      </c>
      <c r="G3150">
        <v>-487.4957</v>
      </c>
      <c r="H3150" s="1">
        <v>-1.8549039999999999E-6</v>
      </c>
      <c r="I3150">
        <v>232.9211</v>
      </c>
      <c r="J3150">
        <v>-495.38209999999998</v>
      </c>
      <c r="K3150">
        <v>1.1095729999999999</v>
      </c>
      <c r="L3150">
        <v>248.1619</v>
      </c>
      <c r="M3150">
        <v>0.15728249999999999</v>
      </c>
      <c r="N3150">
        <v>-3.3098009999999998E-3</v>
      </c>
      <c r="O3150">
        <v>-0.98754810000000004</v>
      </c>
      <c r="P3150">
        <v>0.35938799999999999</v>
      </c>
      <c r="Q3150">
        <v>0.31665260000000001</v>
      </c>
      <c r="R3150">
        <v>-0.87782199999999899</v>
      </c>
      <c r="S3150">
        <v>1.48407</v>
      </c>
      <c r="T3150">
        <v>-0.2082021</v>
      </c>
      <c r="U3150">
        <v>-2.885834</v>
      </c>
      <c r="V3150">
        <v>-0.21702440000000001</v>
      </c>
      <c r="W3150">
        <v>0.31958769999999997</v>
      </c>
      <c r="X3150">
        <v>0.92236879999999999</v>
      </c>
      <c r="Y3150">
        <v>-0.31086009999999997</v>
      </c>
      <c r="Z3150">
        <v>6.1660039999999999E-2</v>
      </c>
      <c r="AA3150">
        <v>0.94845349999999995</v>
      </c>
      <c r="AB3150">
        <v>14</v>
      </c>
      <c r="AC3150">
        <v>7.8863999999999796</v>
      </c>
      <c r="AD3150">
        <v>-1.1095748549040001</v>
      </c>
      <c r="AE3150">
        <v>-15.2408</v>
      </c>
      <c r="AF3150">
        <v>-5.3686723184875103</v>
      </c>
      <c r="AG3150">
        <v>-1.1095748549040001</v>
      </c>
      <c r="AH3150">
        <v>16.223676849449301</v>
      </c>
      <c r="AI3150">
        <v>93.714976423795704</v>
      </c>
      <c r="AJ3150">
        <v>108.310199715634</v>
      </c>
      <c r="AK3150">
        <v>17.124879250298001</v>
      </c>
      <c r="AL3150">
        <v>71.362008315443802</v>
      </c>
      <c r="AM3150">
        <v>103.240310790924</v>
      </c>
      <c r="AN3150">
        <v>1.00000004570004</v>
      </c>
    </row>
    <row r="3151" spans="1:40" x14ac:dyDescent="0.25">
      <c r="A3151" t="str">
        <f>"20190304164150355"</f>
        <v>20190304164150355</v>
      </c>
      <c r="B3151" t="str">
        <f>"1551688910344579"</f>
        <v>1551688910344579</v>
      </c>
      <c r="C3151" t="s">
        <v>40</v>
      </c>
      <c r="D3151">
        <v>4.1229300000000002</v>
      </c>
      <c r="E3151">
        <v>0.45706210000000003</v>
      </c>
      <c r="F3151" t="s">
        <v>42</v>
      </c>
      <c r="G3151">
        <v>-487.32709999999997</v>
      </c>
      <c r="H3151" s="1">
        <v>-1.7515850000000001E-6</v>
      </c>
      <c r="I3151">
        <v>232.61060000000001</v>
      </c>
      <c r="J3151">
        <v>-495.35849999999999</v>
      </c>
      <c r="K3151">
        <v>1.109572</v>
      </c>
      <c r="L3151">
        <v>248.01830000000001</v>
      </c>
      <c r="M3151">
        <v>0.15791140000000001</v>
      </c>
      <c r="N3151">
        <v>-3.2290359999999998E-3</v>
      </c>
      <c r="O3151">
        <v>-0.98744829999999995</v>
      </c>
      <c r="P3151">
        <v>0.3614579</v>
      </c>
      <c r="Q3151">
        <v>0.31706269999999998</v>
      </c>
      <c r="R3151">
        <v>-0.87682369999999898</v>
      </c>
      <c r="S3151">
        <v>1.4921260000000001</v>
      </c>
      <c r="T3151">
        <v>-0.2055399</v>
      </c>
      <c r="U3151">
        <v>-2.8807680000000002</v>
      </c>
      <c r="V3151">
        <v>-0.21864239999999999</v>
      </c>
      <c r="W3151">
        <v>0.31991799999999998</v>
      </c>
      <c r="X3151">
        <v>0.92187200000000002</v>
      </c>
      <c r="Y3151">
        <v>-0.31304759999999998</v>
      </c>
      <c r="Z3151">
        <v>6.0940569999999999E-2</v>
      </c>
      <c r="AA3151">
        <v>0.94778030000000002</v>
      </c>
      <c r="AB3151">
        <v>14</v>
      </c>
      <c r="AC3151">
        <v>8.0314000000000192</v>
      </c>
      <c r="AD3151">
        <v>-1.1095737515849999</v>
      </c>
      <c r="AE3151">
        <v>-15.4077</v>
      </c>
      <c r="AF3151">
        <v>-5.4752397729315296</v>
      </c>
      <c r="AG3151">
        <v>-1.1095737515849999</v>
      </c>
      <c r="AH3151">
        <v>16.415694543738599</v>
      </c>
      <c r="AI3151">
        <v>93.668767173451897</v>
      </c>
      <c r="AJ3151">
        <v>108.445445038344</v>
      </c>
      <c r="AK3151">
        <v>17.340254664641702</v>
      </c>
      <c r="AL3151">
        <v>71.342034152011095</v>
      </c>
      <c r="AM3151">
        <v>103.34243780021799</v>
      </c>
      <c r="AN3151">
        <v>1.0000000050928799</v>
      </c>
    </row>
    <row r="3152" spans="1:40" x14ac:dyDescent="0.25">
      <c r="A3152" t="str">
        <f>"20190304164150375"</f>
        <v>20190304164150375</v>
      </c>
      <c r="B3152" t="str">
        <f>"1551688910364099"</f>
        <v>1551688910364099</v>
      </c>
      <c r="C3152" t="s">
        <v>40</v>
      </c>
      <c r="D3152">
        <v>4.2891000000000004</v>
      </c>
      <c r="E3152">
        <v>0.45690560000000002</v>
      </c>
      <c r="F3152" t="s">
        <v>42</v>
      </c>
      <c r="G3152">
        <v>-487.15629999999999</v>
      </c>
      <c r="H3152" s="1">
        <v>-1.6535449999999999E-6</v>
      </c>
      <c r="I3152">
        <v>232.28370000000001</v>
      </c>
      <c r="J3152">
        <v>-495.33600000000001</v>
      </c>
      <c r="K3152">
        <v>1.109561</v>
      </c>
      <c r="L3152">
        <v>247.8819</v>
      </c>
      <c r="M3152">
        <v>0.1585078</v>
      </c>
      <c r="N3152">
        <v>-3.1584849999999999E-3</v>
      </c>
      <c r="O3152">
        <v>-0.98735289999999998</v>
      </c>
      <c r="P3152">
        <v>0.36335030000000001</v>
      </c>
      <c r="Q3152">
        <v>0.31786940000000002</v>
      </c>
      <c r="R3152">
        <v>-0.87574889999999905</v>
      </c>
      <c r="S3152">
        <v>1.4995419999999999</v>
      </c>
      <c r="T3152">
        <v>-0.20285420000000001</v>
      </c>
      <c r="U3152">
        <v>-2.876633</v>
      </c>
      <c r="V3152">
        <v>-0.22012899999999999</v>
      </c>
      <c r="W3152">
        <v>0.32065290000000002</v>
      </c>
      <c r="X3152">
        <v>0.92126269999999999</v>
      </c>
      <c r="Y3152">
        <v>-0.31497509999999901</v>
      </c>
      <c r="Z3152">
        <v>6.0190859999999999E-2</v>
      </c>
      <c r="AA3152">
        <v>0.94718939999999996</v>
      </c>
      <c r="AB3152">
        <v>14</v>
      </c>
      <c r="AC3152">
        <v>8.17970000000002</v>
      </c>
      <c r="AD3152">
        <v>-1.1095626535450001</v>
      </c>
      <c r="AE3152">
        <v>-15.598199999999901</v>
      </c>
      <c r="AF3152">
        <v>-5.5816889146532596</v>
      </c>
      <c r="AG3152">
        <v>-1.1095626535450001</v>
      </c>
      <c r="AH3152">
        <v>16.631548524329901</v>
      </c>
      <c r="AI3152">
        <v>93.618992662963805</v>
      </c>
      <c r="AJ3152">
        <v>108.552189910763</v>
      </c>
      <c r="AK3152">
        <v>17.578247544600199</v>
      </c>
      <c r="AL3152">
        <v>71.297586110057694</v>
      </c>
      <c r="AM3152">
        <v>103.43844020608</v>
      </c>
      <c r="AN3152">
        <v>1.0000000106653499</v>
      </c>
    </row>
    <row r="3153" spans="1:40" x14ac:dyDescent="0.25">
      <c r="A3153" t="str">
        <f>"20190304164150397"</f>
        <v>20190304164150397</v>
      </c>
      <c r="B3153" t="str">
        <f>"1551688910383618"</f>
        <v>1551688910383618</v>
      </c>
      <c r="C3153" t="s">
        <v>40</v>
      </c>
      <c r="D3153">
        <v>4.1224860000000003</v>
      </c>
      <c r="E3153">
        <v>0.45672499999999999</v>
      </c>
      <c r="F3153" t="s">
        <v>42</v>
      </c>
      <c r="G3153">
        <v>-487.00740000000002</v>
      </c>
      <c r="H3153" s="1">
        <v>-1.5995830000000001E-6</v>
      </c>
      <c r="I3153">
        <v>232.0087</v>
      </c>
      <c r="J3153">
        <v>-495.31299999999999</v>
      </c>
      <c r="K3153">
        <v>1.1095630000000001</v>
      </c>
      <c r="L3153">
        <v>247.7431</v>
      </c>
      <c r="M3153">
        <v>0.15911429999999999</v>
      </c>
      <c r="N3153">
        <v>-3.093667E-3</v>
      </c>
      <c r="O3153">
        <v>-0.98725549999999995</v>
      </c>
      <c r="P3153">
        <v>0.36509849999999999</v>
      </c>
      <c r="Q3153">
        <v>0.31804310000000002</v>
      </c>
      <c r="R3153">
        <v>-0.87495829999999997</v>
      </c>
      <c r="S3153">
        <v>1.507477</v>
      </c>
      <c r="T3153">
        <v>-0.20083200000000001</v>
      </c>
      <c r="U3153">
        <v>-2.873062</v>
      </c>
      <c r="V3153">
        <v>-0.22141920000000001</v>
      </c>
      <c r="W3153">
        <v>0.3207622</v>
      </c>
      <c r="X3153">
        <v>0.92091540000000005</v>
      </c>
      <c r="Y3153">
        <v>-0.31694410000000001</v>
      </c>
      <c r="Z3153">
        <v>5.9626890000000002E-2</v>
      </c>
      <c r="AA3153">
        <v>0.94656810000000002</v>
      </c>
      <c r="AB3153">
        <v>15</v>
      </c>
      <c r="AC3153">
        <v>8.3056000000000196</v>
      </c>
      <c r="AD3153">
        <v>-1.1095645995829999</v>
      </c>
      <c r="AE3153">
        <v>-15.7343999999999</v>
      </c>
      <c r="AF3153">
        <v>-5.6741397967484897</v>
      </c>
      <c r="AG3153">
        <v>-1.1095645995829999</v>
      </c>
      <c r="AH3153">
        <v>16.790190446290101</v>
      </c>
      <c r="AI3153">
        <v>93.582369838680194</v>
      </c>
      <c r="AJ3153">
        <v>108.672360381454</v>
      </c>
      <c r="AK3153">
        <v>17.7577445430545</v>
      </c>
      <c r="AL3153">
        <v>71.290974477570103</v>
      </c>
      <c r="AM3153">
        <v>103.51923284511901</v>
      </c>
      <c r="AN3153">
        <v>1.0000000125173201</v>
      </c>
    </row>
    <row r="3154" spans="1:40" x14ac:dyDescent="0.25">
      <c r="A3154" t="str">
        <f>"20190304164150420"</f>
        <v>20190304164150420</v>
      </c>
      <c r="B3154" t="str">
        <f>"1551688910413875"</f>
        <v>1551688910413875</v>
      </c>
      <c r="C3154" t="s">
        <v>40</v>
      </c>
      <c r="D3154">
        <v>4.1001010000000004</v>
      </c>
      <c r="E3154">
        <v>0.45652379999999998</v>
      </c>
      <c r="F3154" t="s">
        <v>42</v>
      </c>
      <c r="G3154">
        <v>-486.93979999999999</v>
      </c>
      <c r="H3154" s="1">
        <v>-1.573446E-6</v>
      </c>
      <c r="I3154">
        <v>231.87899999999999</v>
      </c>
      <c r="J3154">
        <v>-495.28699999999998</v>
      </c>
      <c r="K3154">
        <v>1.109553</v>
      </c>
      <c r="L3154">
        <v>247.58680000000001</v>
      </c>
      <c r="M3154">
        <v>0.15979699999999999</v>
      </c>
      <c r="N3154">
        <v>-3.0288490000000001E-3</v>
      </c>
      <c r="O3154">
        <v>-0.98714519999999994</v>
      </c>
      <c r="P3154">
        <v>0.36684670000000003</v>
      </c>
      <c r="Q3154">
        <v>0.31818069999999998</v>
      </c>
      <c r="R3154">
        <v>-0.87417639999999996</v>
      </c>
      <c r="S3154">
        <v>1.514648</v>
      </c>
      <c r="T3154">
        <v>-0.20071140000000001</v>
      </c>
      <c r="U3154">
        <v>-2.8696899999999999</v>
      </c>
      <c r="V3154">
        <v>-0.22263740000000001</v>
      </c>
      <c r="W3154">
        <v>0.32083489999999998</v>
      </c>
      <c r="X3154">
        <v>0.92059630000000003</v>
      </c>
      <c r="Y3154">
        <v>-0.31859720000000002</v>
      </c>
      <c r="Z3154">
        <v>5.9654789999999999E-2</v>
      </c>
      <c r="AA3154">
        <v>0.94601120000000005</v>
      </c>
      <c r="AB3154">
        <v>15</v>
      </c>
      <c r="AC3154">
        <v>8.3471999999999795</v>
      </c>
      <c r="AD3154">
        <v>-1.1095545734459999</v>
      </c>
      <c r="AE3154">
        <v>-15.707799999999899</v>
      </c>
      <c r="AF3154">
        <v>-5.7076579380708896</v>
      </c>
      <c r="AG3154">
        <v>-1.1095545734459999</v>
      </c>
      <c r="AH3154">
        <v>16.774547472671699</v>
      </c>
      <c r="AI3154">
        <v>93.583154315264494</v>
      </c>
      <c r="AJ3154">
        <v>108.791233638747</v>
      </c>
      <c r="AK3154">
        <v>17.753701400057299</v>
      </c>
      <c r="AL3154">
        <v>71.286576321760904</v>
      </c>
      <c r="AM3154">
        <v>103.595397075471</v>
      </c>
      <c r="AN3154">
        <v>0.99999999625522995</v>
      </c>
    </row>
    <row r="3155" spans="1:40" x14ac:dyDescent="0.25">
      <c r="A3155" t="str">
        <f>"20190304164150443"</f>
        <v>20190304164150443</v>
      </c>
      <c r="B3155" t="str">
        <f>"1551688910434371"</f>
        <v>1551688910434371</v>
      </c>
      <c r="C3155" t="s">
        <v>40</v>
      </c>
      <c r="D3155">
        <v>4.0940469999999998</v>
      </c>
      <c r="E3155">
        <v>0.45656970000000002</v>
      </c>
      <c r="F3155" t="s">
        <v>42</v>
      </c>
      <c r="G3155">
        <v>-486.9572</v>
      </c>
      <c r="H3155" s="1">
        <v>-1.5742830000000001E-6</v>
      </c>
      <c r="I3155">
        <v>231.89510000000001</v>
      </c>
      <c r="J3155">
        <v>-495.26249999999999</v>
      </c>
      <c r="K3155">
        <v>1.1095549999999901</v>
      </c>
      <c r="L3155">
        <v>247.43979999999999</v>
      </c>
      <c r="M3155">
        <v>0.16043929999999901</v>
      </c>
      <c r="N3155">
        <v>-2.9755039999999999E-3</v>
      </c>
      <c r="O3155">
        <v>-0.98704139999999996</v>
      </c>
      <c r="P3155">
        <v>0.36877070000000001</v>
      </c>
      <c r="Q3155">
        <v>0.31813819999999998</v>
      </c>
      <c r="R3155">
        <v>-0.87338229999999994</v>
      </c>
      <c r="S3155">
        <v>1.521881</v>
      </c>
      <c r="T3155">
        <v>-0.2027205</v>
      </c>
      <c r="U3155">
        <v>-2.866943</v>
      </c>
      <c r="V3155">
        <v>-0.22406899999999999</v>
      </c>
      <c r="W3155">
        <v>0.32073780000000002</v>
      </c>
      <c r="X3155">
        <v>0.92028270000000001</v>
      </c>
      <c r="Y3155">
        <v>-0.32019940000000002</v>
      </c>
      <c r="Z3155">
        <v>6.0321230000000003E-2</v>
      </c>
      <c r="AA3155">
        <v>0.94542780000000004</v>
      </c>
      <c r="AB3155">
        <v>15</v>
      </c>
      <c r="AC3155">
        <v>8.3052999999999795</v>
      </c>
      <c r="AD3155">
        <v>-1.10955657428299</v>
      </c>
      <c r="AE3155">
        <v>-15.544699999999899</v>
      </c>
      <c r="AF3155">
        <v>-5.6812011439427899</v>
      </c>
      <c r="AG3155">
        <v>-1.10955657428299</v>
      </c>
      <c r="AH3155">
        <v>16.609996678213399</v>
      </c>
      <c r="AI3155">
        <v>93.616604002700896</v>
      </c>
      <c r="AJ3155">
        <v>108.882486178288</v>
      </c>
      <c r="AK3155">
        <v>17.589745645680399</v>
      </c>
      <c r="AL3155">
        <v>71.292449277864094</v>
      </c>
      <c r="AM3155">
        <v>103.68402966727101</v>
      </c>
      <c r="AN3155">
        <v>0.99999995051456303</v>
      </c>
    </row>
    <row r="3156" spans="1:40" x14ac:dyDescent="0.25">
      <c r="A3156" t="str">
        <f>"20190304164150463"</f>
        <v>20190304164150463</v>
      </c>
      <c r="B3156" t="str">
        <f>"1551688910453891"</f>
        <v>1551688910453891</v>
      </c>
      <c r="C3156" t="s">
        <v>40</v>
      </c>
      <c r="D3156">
        <v>4.1908899999999996</v>
      </c>
      <c r="E3156">
        <v>0.45673639999999999</v>
      </c>
      <c r="F3156" t="s">
        <v>42</v>
      </c>
      <c r="G3156">
        <v>-486.9393</v>
      </c>
      <c r="H3156" s="1">
        <v>-1.5603309999999999E-6</v>
      </c>
      <c r="I3156">
        <v>231.84010000000001</v>
      </c>
      <c r="J3156">
        <v>-495.23809999999997</v>
      </c>
      <c r="K3156">
        <v>1.109559</v>
      </c>
      <c r="L3156">
        <v>247.2945</v>
      </c>
      <c r="M3156">
        <v>0.16107349999999901</v>
      </c>
      <c r="N3156">
        <v>-2.9299959999999998E-3</v>
      </c>
      <c r="O3156">
        <v>-0.98693819999999999</v>
      </c>
      <c r="P3156">
        <v>0.37130200000000002</v>
      </c>
      <c r="Q3156">
        <v>0.31781239999999999</v>
      </c>
      <c r="R3156">
        <v>-0.87242790000000003</v>
      </c>
      <c r="S3156">
        <v>1.528046</v>
      </c>
      <c r="T3156">
        <v>-0.2037023</v>
      </c>
      <c r="U3156">
        <v>-2.863937</v>
      </c>
      <c r="V3156">
        <v>-0.2261339</v>
      </c>
      <c r="W3156">
        <v>0.32036379999999998</v>
      </c>
      <c r="X3156">
        <v>0.9199079</v>
      </c>
      <c r="Y3156">
        <v>-0.321577</v>
      </c>
      <c r="Z3156">
        <v>6.0673579999999998E-2</v>
      </c>
      <c r="AA3156">
        <v>0.94493749999999999</v>
      </c>
      <c r="AB3156">
        <v>15</v>
      </c>
      <c r="AC3156">
        <v>8.2987999999999698</v>
      </c>
      <c r="AD3156">
        <v>-1.1095605603309999</v>
      </c>
      <c r="AE3156">
        <v>-15.4543999999999</v>
      </c>
      <c r="AF3156">
        <v>-5.6784131324864804</v>
      </c>
      <c r="AG3156">
        <v>-1.1095605603309999</v>
      </c>
      <c r="AH3156">
        <v>16.523215013038701</v>
      </c>
      <c r="AI3156">
        <v>93.633750906582193</v>
      </c>
      <c r="AJ3156">
        <v>108.965935744935</v>
      </c>
      <c r="AK3156">
        <v>17.5069167675905</v>
      </c>
      <c r="AL3156">
        <v>71.315073092585195</v>
      </c>
      <c r="AM3156">
        <v>103.81074007720601</v>
      </c>
      <c r="AN3156">
        <v>1.0000000247810199</v>
      </c>
    </row>
    <row r="3157" spans="1:40" x14ac:dyDescent="0.25">
      <c r="A3157" t="str">
        <f>"20190304164150489"</f>
        <v>20190304164150489</v>
      </c>
      <c r="B3157" t="str">
        <f>"1551688910484148"</f>
        <v>1551688910484148</v>
      </c>
      <c r="C3157" t="s">
        <v>40</v>
      </c>
      <c r="D3157">
        <v>4.0880489999999998</v>
      </c>
      <c r="E3157">
        <v>0.4570842</v>
      </c>
      <c r="F3157" t="s">
        <v>42</v>
      </c>
      <c r="G3157">
        <v>-486.91890000000001</v>
      </c>
      <c r="H3157" s="1">
        <v>-1.5500509999999999E-6</v>
      </c>
      <c r="I3157">
        <v>231.79390000000001</v>
      </c>
      <c r="J3157">
        <v>-495.20940000000002</v>
      </c>
      <c r="K3157">
        <v>1.1095619999999999</v>
      </c>
      <c r="L3157">
        <v>247.12389999999999</v>
      </c>
      <c r="M3157">
        <v>0.1618183</v>
      </c>
      <c r="N3157">
        <v>-2.8842210000000002E-3</v>
      </c>
      <c r="O3157">
        <v>-0.98681660000000004</v>
      </c>
      <c r="P3157">
        <v>0.37380809999999998</v>
      </c>
      <c r="Q3157">
        <v>0.31808639999999999</v>
      </c>
      <c r="R3157">
        <v>-0.87125739999999996</v>
      </c>
      <c r="S3157">
        <v>1.5349729999999999</v>
      </c>
      <c r="T3157">
        <v>-0.2047243</v>
      </c>
      <c r="U3157">
        <v>-2.860001</v>
      </c>
      <c r="V3157">
        <v>-0.22810649999999999</v>
      </c>
      <c r="W3157">
        <v>0.32058969999999998</v>
      </c>
      <c r="X3157">
        <v>0.91934199999999999</v>
      </c>
      <c r="Y3157">
        <v>-0.32317030000000002</v>
      </c>
      <c r="Z3157">
        <v>6.1048779999999997E-2</v>
      </c>
      <c r="AA3157">
        <v>0.94436960000000003</v>
      </c>
      <c r="AB3157">
        <v>15</v>
      </c>
      <c r="AC3157">
        <v>8.2904999999999998</v>
      </c>
      <c r="AD3157">
        <v>-1.1095635500509999</v>
      </c>
      <c r="AE3157">
        <v>-15.329999999999901</v>
      </c>
      <c r="AF3157">
        <v>-5.6775384861692499</v>
      </c>
      <c r="AG3157">
        <v>-1.1095635500509999</v>
      </c>
      <c r="AH3157">
        <v>16.403032466573201</v>
      </c>
      <c r="AI3157">
        <v>93.657540520464593</v>
      </c>
      <c r="AJ3157">
        <v>109.092137330808</v>
      </c>
      <c r="AK3157">
        <v>17.393247213588101</v>
      </c>
      <c r="AL3157">
        <v>71.301409244940501</v>
      </c>
      <c r="AM3157">
        <v>103.934781482473</v>
      </c>
      <c r="AN3157">
        <v>1.00000002202616</v>
      </c>
    </row>
    <row r="3158" spans="1:40" x14ac:dyDescent="0.25">
      <c r="A3158" t="str">
        <f>"20190304164150510"</f>
        <v>20190304164150510</v>
      </c>
      <c r="B3158" t="str">
        <f>"1551688910504643"</f>
        <v>1551688910504643</v>
      </c>
      <c r="C3158" t="s">
        <v>40</v>
      </c>
      <c r="D3158">
        <v>4.0366499999999998</v>
      </c>
      <c r="E3158">
        <v>0.45726840000000002</v>
      </c>
      <c r="F3158" t="s">
        <v>42</v>
      </c>
      <c r="G3158">
        <v>-486.81610000000001</v>
      </c>
      <c r="H3158" s="1">
        <v>-1.4931609999999999E-6</v>
      </c>
      <c r="I3158">
        <v>231.54640000000001</v>
      </c>
      <c r="J3158">
        <v>-495.1841</v>
      </c>
      <c r="K3158">
        <v>1.1095630000000001</v>
      </c>
      <c r="L3158">
        <v>246.97470000000001</v>
      </c>
      <c r="M3158">
        <v>0.1624698</v>
      </c>
      <c r="N3158">
        <v>-2.8501109999999998E-3</v>
      </c>
      <c r="O3158">
        <v>-0.98670950000000002</v>
      </c>
      <c r="P3158">
        <v>0.37596039999999997</v>
      </c>
      <c r="Q3158">
        <v>0.31823289999999999</v>
      </c>
      <c r="R3158">
        <v>-0.87027690000000002</v>
      </c>
      <c r="S3158">
        <v>1.5394289999999999</v>
      </c>
      <c r="T3158">
        <v>-0.203509</v>
      </c>
      <c r="U3158">
        <v>-2.857132</v>
      </c>
      <c r="V3158">
        <v>-0.2297862</v>
      </c>
      <c r="W3158">
        <v>0.32069900000000001</v>
      </c>
      <c r="X3158">
        <v>0.91888550000000002</v>
      </c>
      <c r="Y3158">
        <v>-0.32409260000000001</v>
      </c>
      <c r="Z3158">
        <v>6.0718170000000002E-2</v>
      </c>
      <c r="AA3158">
        <v>0.94407479999999999</v>
      </c>
      <c r="AB3158">
        <v>16</v>
      </c>
      <c r="AC3158">
        <v>8.3679999999999897</v>
      </c>
      <c r="AD3158">
        <v>-1.10956449316099</v>
      </c>
      <c r="AE3158">
        <v>-15.4283</v>
      </c>
      <c r="AF3158">
        <v>-5.7272861926191299</v>
      </c>
      <c r="AG3158">
        <v>-1.10956449316099</v>
      </c>
      <c r="AH3158">
        <v>16.516854219176398</v>
      </c>
      <c r="AI3158">
        <v>93.631704125111099</v>
      </c>
      <c r="AJ3158">
        <v>109.12419607019601</v>
      </c>
      <c r="AK3158">
        <v>17.516832299082299</v>
      </c>
      <c r="AL3158">
        <v>71.294798350317393</v>
      </c>
      <c r="AM3158">
        <v>104.04004770532801</v>
      </c>
      <c r="AN3158">
        <v>1.00000005421084</v>
      </c>
    </row>
    <row r="3159" spans="1:40" x14ac:dyDescent="0.25">
      <c r="A3159" t="str">
        <f>"20190304164150532"</f>
        <v>20190304164150532</v>
      </c>
      <c r="B3159" t="str">
        <f>"1551688910524163"</f>
        <v>1551688910524163</v>
      </c>
      <c r="C3159" t="s">
        <v>40</v>
      </c>
      <c r="D3159">
        <v>4.0736600000000003</v>
      </c>
      <c r="E3159">
        <v>0.4574879</v>
      </c>
      <c r="F3159" t="s">
        <v>42</v>
      </c>
      <c r="G3159">
        <v>-486.74119999999999</v>
      </c>
      <c r="H3159" s="1">
        <v>-1.4558519999999901E-6</v>
      </c>
      <c r="I3159">
        <v>231.37819999999999</v>
      </c>
      <c r="J3159">
        <v>-495.15789999999998</v>
      </c>
      <c r="K3159">
        <v>1.1095600000000001</v>
      </c>
      <c r="L3159">
        <v>246.8202</v>
      </c>
      <c r="M3159">
        <v>0.16314409999999999</v>
      </c>
      <c r="N3159">
        <v>-2.8202560000000002E-3</v>
      </c>
      <c r="O3159">
        <v>-0.98659850000000004</v>
      </c>
      <c r="P3159">
        <v>0.37801610000000002</v>
      </c>
      <c r="Q3159">
        <v>0.31823200000000001</v>
      </c>
      <c r="R3159">
        <v>-0.8693864</v>
      </c>
      <c r="S3159">
        <v>1.544983</v>
      </c>
      <c r="T3159">
        <v>-0.2030399</v>
      </c>
      <c r="U3159">
        <v>-2.8540190000000001</v>
      </c>
      <c r="V3159">
        <v>-0.23133580000000001</v>
      </c>
      <c r="W3159">
        <v>0.32066519999999998</v>
      </c>
      <c r="X3159">
        <v>0.9185084</v>
      </c>
      <c r="Y3159">
        <v>-0.32530140000000002</v>
      </c>
      <c r="Z3159">
        <v>6.0610700000000003E-2</v>
      </c>
      <c r="AA3159">
        <v>0.94366589999999995</v>
      </c>
      <c r="AB3159">
        <v>16</v>
      </c>
      <c r="AC3159">
        <v>8.4166999999999899</v>
      </c>
      <c r="AD3159">
        <v>-1.1095614558519999</v>
      </c>
      <c r="AE3159">
        <v>-15.442</v>
      </c>
      <c r="AF3159">
        <v>-5.76171978874308</v>
      </c>
      <c r="AG3159">
        <v>-1.1095614558519999</v>
      </c>
      <c r="AH3159">
        <v>16.542404851128001</v>
      </c>
      <c r="AI3159">
        <v>93.624366664085002</v>
      </c>
      <c r="AJ3159">
        <v>109.203227700697</v>
      </c>
      <c r="AK3159">
        <v>17.552199286896499</v>
      </c>
      <c r="AL3159">
        <v>71.296842882504805</v>
      </c>
      <c r="AM3159">
        <v>104.13651690019201</v>
      </c>
      <c r="AN3159">
        <v>1.0000000518616099</v>
      </c>
    </row>
    <row r="3160" spans="1:40" x14ac:dyDescent="0.25">
      <c r="A3160" t="str">
        <f>"20190304164150554"</f>
        <v>20190304164150554</v>
      </c>
      <c r="B3160" t="str">
        <f>"1551688910543682"</f>
        <v>1551688910543682</v>
      </c>
      <c r="C3160" t="s">
        <v>40</v>
      </c>
      <c r="D3160">
        <v>4.043679</v>
      </c>
      <c r="E3160">
        <v>0.45749519999999999</v>
      </c>
      <c r="F3160" t="s">
        <v>42</v>
      </c>
      <c r="G3160">
        <v>-486.68200000000002</v>
      </c>
      <c r="H3160" s="1">
        <v>-1.4200069999999999E-6</v>
      </c>
      <c r="I3160">
        <v>231.22659999999999</v>
      </c>
      <c r="J3160">
        <v>-495.1318</v>
      </c>
      <c r="K3160">
        <v>1.1095569999999999</v>
      </c>
      <c r="L3160">
        <v>246.66749999999999</v>
      </c>
      <c r="M3160">
        <v>0.1638105</v>
      </c>
      <c r="N3160">
        <v>-2.7956529999999999E-3</v>
      </c>
      <c r="O3160">
        <v>-0.98648800000000003</v>
      </c>
      <c r="P3160">
        <v>0.38016129999999998</v>
      </c>
      <c r="Q3160">
        <v>0.3184303</v>
      </c>
      <c r="R3160">
        <v>-0.86837770000000003</v>
      </c>
      <c r="S3160">
        <v>1.549744</v>
      </c>
      <c r="T3160">
        <v>-0.20287430000000001</v>
      </c>
      <c r="U3160">
        <v>-2.8511660000000001</v>
      </c>
      <c r="V3160">
        <v>-0.23300000000000001</v>
      </c>
      <c r="W3160">
        <v>0.32083539999999999</v>
      </c>
      <c r="X3160">
        <v>0.91802819999999996</v>
      </c>
      <c r="Y3160">
        <v>-0.3262758</v>
      </c>
      <c r="Z3160">
        <v>6.0593809999999998E-2</v>
      </c>
      <c r="AA3160">
        <v>0.94333049999999996</v>
      </c>
      <c r="AB3160">
        <v>16</v>
      </c>
      <c r="AC3160">
        <v>8.44980000000003</v>
      </c>
      <c r="AD3160">
        <v>-1.1095584200069999</v>
      </c>
      <c r="AE3160">
        <v>-15.440899999999999</v>
      </c>
      <c r="AF3160">
        <v>-5.78328587596868</v>
      </c>
      <c r="AG3160">
        <v>-1.1095584200069999</v>
      </c>
      <c r="AH3160">
        <v>16.550724344177599</v>
      </c>
      <c r="AI3160">
        <v>93.621272579179603</v>
      </c>
      <c r="AJ3160">
        <v>109.260842467242</v>
      </c>
      <c r="AK3160">
        <v>17.567128158226101</v>
      </c>
      <c r="AL3160">
        <v>71.286547408023793</v>
      </c>
      <c r="AM3160">
        <v>104.24123671586401</v>
      </c>
      <c r="AN3160">
        <v>1.00000006494419</v>
      </c>
    </row>
    <row r="3161" spans="1:40" x14ac:dyDescent="0.25">
      <c r="A3161" t="str">
        <f>"20190304164150575"</f>
        <v>20190304164150575</v>
      </c>
      <c r="B3161" t="str">
        <f>"1551688910564179"</f>
        <v>1551688910564179</v>
      </c>
      <c r="C3161" t="s">
        <v>40</v>
      </c>
      <c r="D3161">
        <v>4.0297020000000003</v>
      </c>
      <c r="E3161">
        <v>0.45762629999999999</v>
      </c>
      <c r="F3161" t="s">
        <v>42</v>
      </c>
      <c r="G3161">
        <v>-486.61939999999998</v>
      </c>
      <c r="H3161" s="1">
        <v>-1.3892099999999901E-6</v>
      </c>
      <c r="I3161">
        <v>231.08709999999999</v>
      </c>
      <c r="J3161">
        <v>-495.10559999999998</v>
      </c>
      <c r="K3161">
        <v>1.109556</v>
      </c>
      <c r="L3161">
        <v>246.51410000000001</v>
      </c>
      <c r="M3161">
        <v>0.1644794</v>
      </c>
      <c r="N3161">
        <v>-2.775451E-3</v>
      </c>
      <c r="O3161">
        <v>-0.98637699999999995</v>
      </c>
      <c r="P3161">
        <v>0.38219950000000003</v>
      </c>
      <c r="Q3161">
        <v>0.31835530000000001</v>
      </c>
      <c r="R3161">
        <v>-0.86751080000000003</v>
      </c>
      <c r="S3161">
        <v>1.5559689999999999</v>
      </c>
      <c r="T3161">
        <v>-0.20281389999999999</v>
      </c>
      <c r="U3161">
        <v>-2.8479000000000001</v>
      </c>
      <c r="V3161">
        <v>-0.23453479999999999</v>
      </c>
      <c r="W3161">
        <v>0.32073649999999998</v>
      </c>
      <c r="X3161">
        <v>0.91767180000000004</v>
      </c>
      <c r="Y3161">
        <v>-0.32767790000000002</v>
      </c>
      <c r="Z3161">
        <v>6.0601090000000003E-2</v>
      </c>
      <c r="AA3161">
        <v>0.94284400000000002</v>
      </c>
      <c r="AB3161">
        <v>16</v>
      </c>
      <c r="AC3161">
        <v>8.4861999999999895</v>
      </c>
      <c r="AD3161">
        <v>-1.1095573892099999</v>
      </c>
      <c r="AE3161">
        <v>-15.427</v>
      </c>
      <c r="AF3161">
        <v>-5.8101156408355399</v>
      </c>
      <c r="AG3161">
        <v>-1.1095573892099999</v>
      </c>
      <c r="AH3161">
        <v>16.546988560228499</v>
      </c>
      <c r="AI3161">
        <v>93.620168736477098</v>
      </c>
      <c r="AJ3161">
        <v>109.34761678069</v>
      </c>
      <c r="AK3161">
        <v>17.5724611757194</v>
      </c>
      <c r="AL3161">
        <v>71.292528948521905</v>
      </c>
      <c r="AM3161">
        <v>104.336529828192</v>
      </c>
      <c r="AN3161">
        <v>1.00000000367926</v>
      </c>
    </row>
    <row r="3162" spans="1:40" x14ac:dyDescent="0.25">
      <c r="A3162" t="str">
        <f>"20190304164150600"</f>
        <v>20190304164150600</v>
      </c>
      <c r="B3162" t="str">
        <f>"1551688910594435"</f>
        <v>1551688910594435</v>
      </c>
      <c r="C3162" t="s">
        <v>40</v>
      </c>
      <c r="D3162">
        <v>4.0344870000000004</v>
      </c>
      <c r="E3162">
        <v>0.45767849999999999</v>
      </c>
      <c r="F3162" t="s">
        <v>42</v>
      </c>
      <c r="G3162">
        <v>-486.57839999999999</v>
      </c>
      <c r="H3162" s="1">
        <v>-1.362597E-6</v>
      </c>
      <c r="I3162">
        <v>230.9768</v>
      </c>
      <c r="J3162">
        <v>-495.07650000000001</v>
      </c>
      <c r="K3162">
        <v>1.109558</v>
      </c>
      <c r="L3162">
        <v>246.34479999999999</v>
      </c>
      <c r="M3162">
        <v>0.165217</v>
      </c>
      <c r="N3162">
        <v>-2.7599230000000001E-3</v>
      </c>
      <c r="O3162">
        <v>-0.98625370000000001</v>
      </c>
      <c r="P3162">
        <v>0.3845807</v>
      </c>
      <c r="Q3162">
        <v>0.31904250000000001</v>
      </c>
      <c r="R3162">
        <v>-0.86620450000000004</v>
      </c>
      <c r="S3162">
        <v>1.56131</v>
      </c>
      <c r="T3162">
        <v>-0.2031569</v>
      </c>
      <c r="U3162">
        <v>-2.8448329999999999</v>
      </c>
      <c r="V3162">
        <v>-0.2364173</v>
      </c>
      <c r="W3162">
        <v>0.32140210000000002</v>
      </c>
      <c r="X3162">
        <v>0.91695559999999998</v>
      </c>
      <c r="Y3162">
        <v>-0.3287564</v>
      </c>
      <c r="Z3162">
        <v>6.0732099999999997E-2</v>
      </c>
      <c r="AA3162">
        <v>0.94245999999999996</v>
      </c>
      <c r="AB3162">
        <v>16</v>
      </c>
      <c r="AC3162">
        <v>8.4981000000000204</v>
      </c>
      <c r="AD3162">
        <v>-1.1095593625969999</v>
      </c>
      <c r="AE3162">
        <v>-15.367999999999901</v>
      </c>
      <c r="AF3162">
        <v>-5.8190182732958098</v>
      </c>
      <c r="AG3162">
        <v>-1.1095593625969999</v>
      </c>
      <c r="AH3162">
        <v>16.494986390211398</v>
      </c>
      <c r="AI3162">
        <v>93.629690423932999</v>
      </c>
      <c r="AJ3162">
        <v>109.431566132808</v>
      </c>
      <c r="AK3162">
        <v>17.526456334848099</v>
      </c>
      <c r="AL3162">
        <v>71.252261056316499</v>
      </c>
      <c r="AM3162">
        <v>104.457615760772</v>
      </c>
      <c r="AN3162">
        <v>1.00000001099753</v>
      </c>
    </row>
    <row r="3163" spans="1:40" x14ac:dyDescent="0.25">
      <c r="A3163" t="str">
        <f>"20190304164150622"</f>
        <v>20190304164150622</v>
      </c>
      <c r="B3163" t="str">
        <f>"1551688910613955"</f>
        <v>1551688910613955</v>
      </c>
      <c r="C3163" t="s">
        <v>40</v>
      </c>
      <c r="D3163">
        <v>4.0461910000000003</v>
      </c>
      <c r="E3163">
        <v>0.45776600000000001</v>
      </c>
      <c r="F3163" t="s">
        <v>42</v>
      </c>
      <c r="G3163">
        <v>-486.43959999999998</v>
      </c>
      <c r="H3163" s="1">
        <v>-1.3113090000000001E-6</v>
      </c>
      <c r="I3163">
        <v>230.71770000000001</v>
      </c>
      <c r="J3163">
        <v>-495.04770000000002</v>
      </c>
      <c r="K3163">
        <v>1.1095680000000001</v>
      </c>
      <c r="L3163">
        <v>246.1782</v>
      </c>
      <c r="M3163">
        <v>0.16594449999999999</v>
      </c>
      <c r="N3163">
        <v>-2.7561040000000001E-3</v>
      </c>
      <c r="O3163">
        <v>-0.98613130000000004</v>
      </c>
      <c r="P3163">
        <v>0.38724989999999998</v>
      </c>
      <c r="Q3163">
        <v>0.31914940000000003</v>
      </c>
      <c r="R3163">
        <v>-0.8649751</v>
      </c>
      <c r="S3163">
        <v>1.5699459999999901</v>
      </c>
      <c r="T3163">
        <v>-0.20168839999999999</v>
      </c>
      <c r="U3163">
        <v>-2.8406069999999999</v>
      </c>
      <c r="V3163">
        <v>-0.23858190000000001</v>
      </c>
      <c r="W3163">
        <v>0.32149870000000003</v>
      </c>
      <c r="X3163">
        <v>0.91636090000000003</v>
      </c>
      <c r="Y3163">
        <v>-0.33086149999999998</v>
      </c>
      <c r="Z3163">
        <v>6.0283450000000002E-2</v>
      </c>
      <c r="AA3163">
        <v>0.94175189999999998</v>
      </c>
      <c r="AB3163">
        <v>16</v>
      </c>
      <c r="AC3163">
        <v>8.6081000000000305</v>
      </c>
      <c r="AD3163">
        <v>-1.1095693113089999</v>
      </c>
      <c r="AE3163">
        <v>-15.4604999999999</v>
      </c>
      <c r="AF3163">
        <v>-5.8999567327306899</v>
      </c>
      <c r="AG3163">
        <v>-1.1095693113089999</v>
      </c>
      <c r="AH3163">
        <v>16.609308062123699</v>
      </c>
      <c r="AI3163">
        <v>93.602041492835397</v>
      </c>
      <c r="AJ3163">
        <v>109.55605072171301</v>
      </c>
      <c r="AK3163">
        <v>17.660966785745899</v>
      </c>
      <c r="AL3163">
        <v>71.246416207460399</v>
      </c>
      <c r="AM3163">
        <v>104.593428122063</v>
      </c>
      <c r="AN3163">
        <v>1.00000001807905</v>
      </c>
    </row>
    <row r="3164" spans="1:40" x14ac:dyDescent="0.25">
      <c r="A3164" t="str">
        <f>"20190304164150644"</f>
        <v>20190304164150644</v>
      </c>
      <c r="B3164" t="str">
        <f>"1551688910634451"</f>
        <v>1551688910634451</v>
      </c>
      <c r="C3164" t="s">
        <v>40</v>
      </c>
      <c r="D3164">
        <v>4.0332100000000004</v>
      </c>
      <c r="E3164">
        <v>0.45765149999999999</v>
      </c>
      <c r="F3164" t="s">
        <v>42</v>
      </c>
      <c r="G3164">
        <v>-486.37709999999998</v>
      </c>
      <c r="H3164" s="1">
        <v>-1.2860189999999999E-6</v>
      </c>
      <c r="I3164">
        <v>230.59440000000001</v>
      </c>
      <c r="J3164">
        <v>-495.02</v>
      </c>
      <c r="K3164">
        <v>1.10958</v>
      </c>
      <c r="L3164">
        <v>246.01849999999999</v>
      </c>
      <c r="M3164">
        <v>0.16664409999999999</v>
      </c>
      <c r="N3164">
        <v>-2.7675640000000001E-3</v>
      </c>
      <c r="O3164">
        <v>-0.98601349999999999</v>
      </c>
      <c r="P3164">
        <v>0.38958019999999999</v>
      </c>
      <c r="Q3164">
        <v>0.31935760000000002</v>
      </c>
      <c r="R3164">
        <v>-0.86385140000000005</v>
      </c>
      <c r="S3164">
        <v>1.5780940000000001</v>
      </c>
      <c r="T3164">
        <v>-0.20194670000000001</v>
      </c>
      <c r="U3164">
        <v>-2.836319</v>
      </c>
      <c r="V3164">
        <v>-0.240422</v>
      </c>
      <c r="W3164">
        <v>0.321710099999999</v>
      </c>
      <c r="X3164">
        <v>0.9158056</v>
      </c>
      <c r="Y3164">
        <v>-0.33285979999999998</v>
      </c>
      <c r="Z3164">
        <v>6.0361430000000001E-2</v>
      </c>
      <c r="AA3164">
        <v>0.94104239999999995</v>
      </c>
      <c r="AB3164">
        <v>17</v>
      </c>
      <c r="AC3164">
        <v>8.6428999999999903</v>
      </c>
      <c r="AD3164">
        <v>-1.109581286019</v>
      </c>
      <c r="AE3164">
        <v>-15.4240999999999</v>
      </c>
      <c r="AF3164">
        <v>-5.9283534670849498</v>
      </c>
      <c r="AG3164">
        <v>-1.109581286019</v>
      </c>
      <c r="AH3164">
        <v>16.583405435491802</v>
      </c>
      <c r="AI3164">
        <v>93.605113163874904</v>
      </c>
      <c r="AJ3164">
        <v>109.671314475961</v>
      </c>
      <c r="AK3164">
        <v>17.6461293574223</v>
      </c>
      <c r="AL3164">
        <v>71.233624175493802</v>
      </c>
      <c r="AM3164">
        <v>104.709651840973</v>
      </c>
      <c r="AN3164">
        <v>1.00000001175868</v>
      </c>
    </row>
    <row r="3165" spans="1:40" x14ac:dyDescent="0.25">
      <c r="A3165" t="str">
        <f>"20190304164150664"</f>
        <v>20190304164150664</v>
      </c>
      <c r="B3165" t="str">
        <f>"1551688910653971"</f>
        <v>1551688910653971</v>
      </c>
      <c r="C3165" t="s">
        <v>40</v>
      </c>
      <c r="D3165">
        <v>3.9760930000000001</v>
      </c>
      <c r="E3165">
        <v>0.41333959999999997</v>
      </c>
      <c r="F3165" t="s">
        <v>42</v>
      </c>
      <c r="G3165">
        <v>-486.29270000000002</v>
      </c>
      <c r="H3165" s="1">
        <v>-1.249644E-6</v>
      </c>
      <c r="I3165">
        <v>230.42160000000001</v>
      </c>
      <c r="J3165">
        <v>-494.99290000000002</v>
      </c>
      <c r="K3165">
        <v>1.1095980000000001</v>
      </c>
      <c r="L3165">
        <v>245.8629</v>
      </c>
      <c r="M3165">
        <v>0.16732900000000001</v>
      </c>
      <c r="N3165">
        <v>-2.790514E-3</v>
      </c>
      <c r="O3165">
        <v>-0.98589740000000003</v>
      </c>
      <c r="P3165">
        <v>0.39241140000000002</v>
      </c>
      <c r="Q3165">
        <v>0.319391799999999</v>
      </c>
      <c r="R3165">
        <v>-0.86255599999999999</v>
      </c>
      <c r="S3165">
        <v>1.5849299999999999</v>
      </c>
      <c r="T3165">
        <v>-0.20150799999999999</v>
      </c>
      <c r="U3165">
        <v>-2.8325200000000001</v>
      </c>
      <c r="V3165">
        <v>-0.24280019999999999</v>
      </c>
      <c r="W3165">
        <v>0.32175609999999999</v>
      </c>
      <c r="X3165">
        <v>0.91516180000000003</v>
      </c>
      <c r="Y3165">
        <v>-0.3344761</v>
      </c>
      <c r="Z3165">
        <v>6.0213200000000001E-2</v>
      </c>
      <c r="AA3165">
        <v>0.9404787</v>
      </c>
      <c r="AB3165">
        <v>17</v>
      </c>
      <c r="AC3165">
        <v>8.7001999999999899</v>
      </c>
      <c r="AD3165">
        <v>-1.1095992496439999</v>
      </c>
      <c r="AE3165">
        <v>-15.441299999999901</v>
      </c>
      <c r="AF3165">
        <v>-5.9703486469407103</v>
      </c>
      <c r="AG3165">
        <v>-1.1095992496439999</v>
      </c>
      <c r="AH3165">
        <v>16.614275293980398</v>
      </c>
      <c r="AI3165">
        <v>93.5963668961396</v>
      </c>
      <c r="AJ3165">
        <v>109.765927045288</v>
      </c>
      <c r="AK3165">
        <v>17.689274066648601</v>
      </c>
      <c r="AL3165">
        <v>71.230840777247494</v>
      </c>
      <c r="AM3165">
        <v>104.858741455339</v>
      </c>
      <c r="AN3165">
        <v>1.0000000225932399</v>
      </c>
    </row>
    <row r="3166" spans="1:40" x14ac:dyDescent="0.25">
      <c r="A3166" t="str">
        <f>"20190304164150679"</f>
        <v>20190304164150679</v>
      </c>
      <c r="B3166" t="str">
        <f>"1551688910674467"</f>
        <v>1551688910674467</v>
      </c>
      <c r="C3166" t="s">
        <v>40</v>
      </c>
      <c r="D3166">
        <v>3.9527380000000001</v>
      </c>
      <c r="E3166">
        <v>0.40618090000000001</v>
      </c>
      <c r="F3166" t="s">
        <v>41</v>
      </c>
      <c r="G3166">
        <v>-494.43259999999998</v>
      </c>
      <c r="H3166">
        <v>1.060718</v>
      </c>
      <c r="I3166">
        <v>245.08080000000001</v>
      </c>
      <c r="J3166">
        <v>-494.97300000000001</v>
      </c>
      <c r="K3166">
        <v>1.1096090000000001</v>
      </c>
      <c r="L3166">
        <v>245.74930000000001</v>
      </c>
      <c r="M3166">
        <v>0.16783310000000001</v>
      </c>
      <c r="N3166">
        <v>-2.8134449999999999E-3</v>
      </c>
      <c r="O3166">
        <v>-0.9858114</v>
      </c>
      <c r="P3166">
        <v>0.39345259999999999</v>
      </c>
      <c r="Q3166">
        <v>0.31995800000000002</v>
      </c>
      <c r="R3166">
        <v>-0.861871099999999</v>
      </c>
      <c r="S3166">
        <v>1.9125669999999999</v>
      </c>
      <c r="T3166">
        <v>-0.16686189999999901</v>
      </c>
      <c r="U3166">
        <v>-2.669724</v>
      </c>
      <c r="V3166">
        <v>-0.24347929999999901</v>
      </c>
      <c r="W3166">
        <v>0.3223375</v>
      </c>
      <c r="X3166">
        <v>0.9147767</v>
      </c>
      <c r="Y3166">
        <v>-0.43693579999999999</v>
      </c>
      <c r="Z3166">
        <v>4.932375E-2</v>
      </c>
      <c r="AA3166">
        <v>0.89813940000000003</v>
      </c>
      <c r="AB3166">
        <v>17</v>
      </c>
      <c r="AC3166">
        <v>0.54040000000003297</v>
      </c>
      <c r="AD3166">
        <v>-4.8890999999999997E-2</v>
      </c>
      <c r="AE3166">
        <v>-0.66849999999999399</v>
      </c>
      <c r="AF3166">
        <v>-0.419181720046642</v>
      </c>
      <c r="AG3166">
        <v>-4.8890999999999997E-2</v>
      </c>
      <c r="AH3166">
        <v>0.74729748657305195</v>
      </c>
      <c r="AI3166">
        <v>93.265754247921194</v>
      </c>
      <c r="AJ3166">
        <v>119.289382627037</v>
      </c>
      <c r="AK3166">
        <v>0.858229093972385</v>
      </c>
      <c r="AL3166">
        <v>71.195654404995807</v>
      </c>
      <c r="AM3166">
        <v>104.904447681317</v>
      </c>
      <c r="AN3166">
        <v>1.0000000221488099</v>
      </c>
    </row>
    <row r="3167" spans="1:40" x14ac:dyDescent="0.25">
      <c r="A3167" t="str">
        <f>"20190304164150699"</f>
        <v>20190304164150699</v>
      </c>
      <c r="B3167" t="str">
        <f>"1551688910693987"</f>
        <v>1551688910693987</v>
      </c>
      <c r="C3167" t="s">
        <v>40</v>
      </c>
      <c r="D3167">
        <v>3.9461200000000001</v>
      </c>
      <c r="E3167">
        <v>0.40397939999999999</v>
      </c>
      <c r="F3167" t="s">
        <v>45</v>
      </c>
      <c r="G3167">
        <v>-481.28440000000001</v>
      </c>
      <c r="H3167" s="1">
        <v>3.7721639999999999E-6</v>
      </c>
      <c r="I3167">
        <v>227.38159999999999</v>
      </c>
      <c r="J3167">
        <v>-494.94740000000002</v>
      </c>
      <c r="K3167">
        <v>1.1096330000000001</v>
      </c>
      <c r="L3167">
        <v>245.6035</v>
      </c>
      <c r="M3167">
        <v>0.16848949999999999</v>
      </c>
      <c r="N3167">
        <v>-2.8536099999999999E-3</v>
      </c>
      <c r="O3167">
        <v>-0.98569949999999995</v>
      </c>
      <c r="P3167">
        <v>0.39490619999999999</v>
      </c>
      <c r="Q3167">
        <v>0.32052989999999998</v>
      </c>
      <c r="R3167">
        <v>-0.86099389999999998</v>
      </c>
      <c r="S3167">
        <v>1.9685060000000001</v>
      </c>
      <c r="T3167">
        <v>-0.15956819999999999</v>
      </c>
      <c r="U3167">
        <v>-2.6413880000000001</v>
      </c>
      <c r="V3167">
        <v>-0.2444606</v>
      </c>
      <c r="W3167">
        <v>0.32293690000000003</v>
      </c>
      <c r="X3167">
        <v>0.91430339999999999</v>
      </c>
      <c r="Y3167">
        <v>-0.4532312</v>
      </c>
      <c r="Z3167">
        <v>4.6951510000000002E-2</v>
      </c>
      <c r="AA3167">
        <v>0.89015569999999899</v>
      </c>
      <c r="AB3167">
        <v>17</v>
      </c>
      <c r="AC3167">
        <v>13.663</v>
      </c>
      <c r="AD3167">
        <v>-1.109629227836</v>
      </c>
      <c r="AE3167">
        <v>-18.221900000000002</v>
      </c>
      <c r="AF3167">
        <v>-10.3728318702302</v>
      </c>
      <c r="AG3167">
        <v>-1.109629227836</v>
      </c>
      <c r="AH3167">
        <v>20.215483025477401</v>
      </c>
      <c r="AI3167">
        <v>92.795894557777501</v>
      </c>
      <c r="AJ3167">
        <v>117.16295952061201</v>
      </c>
      <c r="AK3167">
        <v>22.748465266577799</v>
      </c>
      <c r="AL3167">
        <v>71.159369893038502</v>
      </c>
      <c r="AM3167">
        <v>104.969226227006</v>
      </c>
      <c r="AN3167">
        <v>0.99999996679276404</v>
      </c>
    </row>
    <row r="3168" spans="1:40" x14ac:dyDescent="0.25">
      <c r="A3168" t="str">
        <f>"20190304164150724"</f>
        <v>20190304164150724</v>
      </c>
      <c r="B3168" t="str">
        <f>"1551688910714483"</f>
        <v>1551688910714483</v>
      </c>
      <c r="C3168" t="s">
        <v>40</v>
      </c>
      <c r="D3168">
        <v>3.9757039999999999</v>
      </c>
      <c r="E3168">
        <v>0.4033369</v>
      </c>
      <c r="F3168" t="s">
        <v>45</v>
      </c>
      <c r="G3168">
        <v>-480.68049999999999</v>
      </c>
      <c r="H3168" s="1">
        <v>3.4997219999999999E-6</v>
      </c>
      <c r="I3168">
        <v>226.755</v>
      </c>
      <c r="J3168">
        <v>-494.91559999999998</v>
      </c>
      <c r="K3168">
        <v>1.109675</v>
      </c>
      <c r="L3168">
        <v>245.423</v>
      </c>
      <c r="M3168">
        <v>0.16933389999999901</v>
      </c>
      <c r="N3168">
        <v>-2.9299769999999998E-3</v>
      </c>
      <c r="O3168">
        <v>-0.98555440000000005</v>
      </c>
      <c r="P3168">
        <v>0.39727119999999999</v>
      </c>
      <c r="Q3168">
        <v>0.32059919999999997</v>
      </c>
      <c r="R3168">
        <v>-0.85987899999999995</v>
      </c>
      <c r="S3168">
        <v>1.9901120000000001</v>
      </c>
      <c r="T3168">
        <v>-0.15478420000000001</v>
      </c>
      <c r="U3168">
        <v>-2.6292110000000002</v>
      </c>
      <c r="V3168">
        <v>-0.24621589999999999</v>
      </c>
      <c r="W3168">
        <v>0.32305780000000001</v>
      </c>
      <c r="X3168">
        <v>0.91378959999999998</v>
      </c>
      <c r="Y3168">
        <v>-0.45914270000000001</v>
      </c>
      <c r="Z3168">
        <v>4.5380169999999997E-2</v>
      </c>
      <c r="AA3168">
        <v>0.88720270000000001</v>
      </c>
      <c r="AB3168">
        <v>17</v>
      </c>
      <c r="AC3168">
        <v>14.2350999999999</v>
      </c>
      <c r="AD3168">
        <v>-1.109671500278</v>
      </c>
      <c r="AE3168">
        <v>-18.667999999999999</v>
      </c>
      <c r="AF3168">
        <v>-10.844158054478401</v>
      </c>
      <c r="AG3168">
        <v>-1.109671500278</v>
      </c>
      <c r="AH3168">
        <v>20.7625147681531</v>
      </c>
      <c r="AI3168">
        <v>92.712275517036005</v>
      </c>
      <c r="AJ3168">
        <v>117.57784108408801</v>
      </c>
      <c r="AK3168">
        <v>23.450141881166001</v>
      </c>
      <c r="AL3168">
        <v>71.152051599176701</v>
      </c>
      <c r="AM3168">
        <v>105.079924362386</v>
      </c>
      <c r="AN3168">
        <v>1.0000000223109</v>
      </c>
    </row>
    <row r="3169" spans="1:40" x14ac:dyDescent="0.25">
      <c r="A3169" t="str">
        <f>"20190304164150744"</f>
        <v>20190304164150744</v>
      </c>
      <c r="B3169" t="str">
        <f>"1551688910734003"</f>
        <v>1551688910734003</v>
      </c>
      <c r="C3169" t="s">
        <v>40</v>
      </c>
      <c r="D3169">
        <v>3.9428890000000001</v>
      </c>
      <c r="E3169">
        <v>0.40327689999999999</v>
      </c>
      <c r="F3169" t="s">
        <v>41</v>
      </c>
      <c r="G3169">
        <v>-494.31970000000001</v>
      </c>
      <c r="H3169">
        <v>1.063544</v>
      </c>
      <c r="I3169">
        <v>244.64259999999999</v>
      </c>
      <c r="J3169">
        <v>-494.88659999999999</v>
      </c>
      <c r="K3169">
        <v>1.109726</v>
      </c>
      <c r="L3169">
        <v>245.26</v>
      </c>
      <c r="M3169">
        <v>0.1701443</v>
      </c>
      <c r="N3169">
        <v>-3.0326120000000001E-3</v>
      </c>
      <c r="O3169">
        <v>-0.98541449999999997</v>
      </c>
      <c r="P3169">
        <v>0.40007809999999999</v>
      </c>
      <c r="Q3169">
        <v>0.32082519999999998</v>
      </c>
      <c r="R3169">
        <v>-0.85849229999999999</v>
      </c>
      <c r="S3169">
        <v>2.0029910000000002</v>
      </c>
      <c r="T3169">
        <v>-0.15493889999999999</v>
      </c>
      <c r="U3169">
        <v>-2.6212309999999999</v>
      </c>
      <c r="V3169">
        <v>-0.24849379999999999</v>
      </c>
      <c r="W3169">
        <v>0.32335209999999998</v>
      </c>
      <c r="X3169">
        <v>0.91306860000000001</v>
      </c>
      <c r="Y3169">
        <v>-0.46246609999999999</v>
      </c>
      <c r="Z3169">
        <v>4.5330929999999998E-2</v>
      </c>
      <c r="AA3169">
        <v>0.88547739999999997</v>
      </c>
      <c r="AB3169">
        <v>17</v>
      </c>
      <c r="AC3169">
        <v>0.56689999999997498</v>
      </c>
      <c r="AD3169">
        <v>-4.6181999999999897E-2</v>
      </c>
      <c r="AE3169">
        <v>-0.61740000000000295</v>
      </c>
      <c r="AF3169">
        <v>-0.45221367292190201</v>
      </c>
      <c r="AG3169">
        <v>-4.6181999999999897E-2</v>
      </c>
      <c r="AH3169">
        <v>0.70271968455057399</v>
      </c>
      <c r="AI3169">
        <v>93.163217187014197</v>
      </c>
      <c r="AJ3169">
        <v>122.76206259732101</v>
      </c>
      <c r="AK3169">
        <v>0.83692588570098303</v>
      </c>
      <c r="AL3169">
        <v>71.134232850295007</v>
      </c>
      <c r="AM3169">
        <v>105.224456124231</v>
      </c>
      <c r="AN3169">
        <v>1.0000000087594001</v>
      </c>
    </row>
    <row r="3170" spans="1:40" x14ac:dyDescent="0.25">
      <c r="A3170" t="str">
        <f>"20190304164150766"</f>
        <v>20190304164150766</v>
      </c>
      <c r="B3170" t="str">
        <f>"1551688910754499"</f>
        <v>1551688910754499</v>
      </c>
      <c r="C3170" t="s">
        <v>40</v>
      </c>
      <c r="D3170">
        <v>3.9790350000000001</v>
      </c>
      <c r="E3170">
        <v>0.40410829999999998</v>
      </c>
      <c r="F3170" t="s">
        <v>41</v>
      </c>
      <c r="G3170">
        <v>-494.29349999999999</v>
      </c>
      <c r="H3170">
        <v>1.0636559999999999</v>
      </c>
      <c r="I3170">
        <v>244.48859999999999</v>
      </c>
      <c r="J3170">
        <v>-494.85750000000002</v>
      </c>
      <c r="K3170">
        <v>1.109788</v>
      </c>
      <c r="L3170">
        <v>245.0968</v>
      </c>
      <c r="M3170">
        <v>0.17100129999999999</v>
      </c>
      <c r="N3170">
        <v>-3.1591649999999998E-3</v>
      </c>
      <c r="O3170">
        <v>-0.98526599999999998</v>
      </c>
      <c r="P3170">
        <v>0.402505</v>
      </c>
      <c r="Q3170">
        <v>0.32084559999999901</v>
      </c>
      <c r="R3170">
        <v>-0.85734969999999999</v>
      </c>
      <c r="S3170">
        <v>2.0119319999999998</v>
      </c>
      <c r="T3170">
        <v>-0.15617549999999999</v>
      </c>
      <c r="U3170">
        <v>-2.6152340000000001</v>
      </c>
      <c r="V3170">
        <v>-0.25031829999999999</v>
      </c>
      <c r="W3170">
        <v>0.32345940000000001</v>
      </c>
      <c r="X3170">
        <v>0.91253200000000001</v>
      </c>
      <c r="Y3170">
        <v>-0.4645686</v>
      </c>
      <c r="Z3170">
        <v>4.5600370000000001E-2</v>
      </c>
      <c r="AA3170">
        <v>0.88436229999999905</v>
      </c>
      <c r="AB3170">
        <v>17</v>
      </c>
      <c r="AC3170">
        <v>0.56400000000002104</v>
      </c>
      <c r="AD3170">
        <v>-4.6131999999999999E-2</v>
      </c>
      <c r="AE3170">
        <v>-0.60820000000000995</v>
      </c>
      <c r="AF3170">
        <v>-0.45029629487862599</v>
      </c>
      <c r="AG3170">
        <v>-4.6131999999999999E-2</v>
      </c>
      <c r="AH3170">
        <v>0.69354151396825803</v>
      </c>
      <c r="AI3170">
        <v>93.193162484706804</v>
      </c>
      <c r="AJ3170">
        <v>122.99448928319001</v>
      </c>
      <c r="AK3170">
        <v>0.82818762741470697</v>
      </c>
      <c r="AL3170">
        <v>71.127734577861204</v>
      </c>
      <c r="AM3170">
        <v>105.339586421326</v>
      </c>
      <c r="AN3170">
        <v>0.99999994289362304</v>
      </c>
    </row>
    <row r="3171" spans="1:40" x14ac:dyDescent="0.25">
      <c r="A3171" t="str">
        <f>"20190304164150789"</f>
        <v>20190304164150789</v>
      </c>
      <c r="B3171" t="str">
        <f>"1551688910783779"</f>
        <v>1551688910783779</v>
      </c>
      <c r="C3171" t="s">
        <v>40</v>
      </c>
      <c r="D3171">
        <v>3.97424</v>
      </c>
      <c r="E3171">
        <v>0.40527560000000001</v>
      </c>
      <c r="F3171" t="s">
        <v>41</v>
      </c>
      <c r="G3171">
        <v>-494.26889999999997</v>
      </c>
      <c r="H3171">
        <v>1.0646850000000001</v>
      </c>
      <c r="I3171">
        <v>244.33269999999999</v>
      </c>
      <c r="J3171">
        <v>-494.82440000000003</v>
      </c>
      <c r="K3171">
        <v>1.109872</v>
      </c>
      <c r="L3171">
        <v>244.91319999999999</v>
      </c>
      <c r="M3171">
        <v>0.17203489999999999</v>
      </c>
      <c r="N3171">
        <v>-3.325747E-3</v>
      </c>
      <c r="O3171">
        <v>-0.9850854</v>
      </c>
      <c r="P3171">
        <v>0.40515230000000002</v>
      </c>
      <c r="Q3171">
        <v>0.32046069999999999</v>
      </c>
      <c r="R3171">
        <v>-0.85624609999999901</v>
      </c>
      <c r="S3171">
        <v>2.0130620000000001</v>
      </c>
      <c r="T3171">
        <v>-0.1541563</v>
      </c>
      <c r="U3171">
        <v>-2.6117859999999999</v>
      </c>
      <c r="V3171">
        <v>-0.25220039999999999</v>
      </c>
      <c r="W3171">
        <v>0.32318920000000001</v>
      </c>
      <c r="X3171">
        <v>0.91210950000000002</v>
      </c>
      <c r="Y3171">
        <v>-0.46446290000000001</v>
      </c>
      <c r="Z3171">
        <v>4.4850660000000001E-2</v>
      </c>
      <c r="AA3171">
        <v>0.88445609999999997</v>
      </c>
      <c r="AB3171">
        <v>18</v>
      </c>
      <c r="AC3171">
        <v>0.55550000000005095</v>
      </c>
      <c r="AD3171">
        <v>-4.5186999999999797E-2</v>
      </c>
      <c r="AE3171">
        <v>-0.58050000000000002</v>
      </c>
      <c r="AF3171">
        <v>-0.44594060379586697</v>
      </c>
      <c r="AG3171">
        <v>-4.5186999999999797E-2</v>
      </c>
      <c r="AH3171">
        <v>0.665306727315507</v>
      </c>
      <c r="AI3171">
        <v>93.229081417627796</v>
      </c>
      <c r="AJ3171">
        <v>123.83308551991</v>
      </c>
      <c r="AK3171">
        <v>0.80220815783317301</v>
      </c>
      <c r="AL3171">
        <v>71.144096141912499</v>
      </c>
      <c r="AM3171">
        <v>105.456245615057</v>
      </c>
      <c r="AN3171">
        <v>1.00000002037352</v>
      </c>
    </row>
    <row r="3172" spans="1:40" x14ac:dyDescent="0.25">
      <c r="A3172" t="str">
        <f>"20190304164150812"</f>
        <v>20190304164150812</v>
      </c>
      <c r="B3172" t="str">
        <f>"1551688910804411"</f>
        <v>1551688910804411</v>
      </c>
      <c r="C3172" t="s">
        <v>40</v>
      </c>
      <c r="D3172">
        <v>3.9938560000000001</v>
      </c>
      <c r="E3172">
        <v>0.40588030000000003</v>
      </c>
      <c r="F3172" t="s">
        <v>41</v>
      </c>
      <c r="G3172">
        <v>-494.25299999999999</v>
      </c>
      <c r="H3172">
        <v>1.0662320000000001</v>
      </c>
      <c r="I3172">
        <v>244.17230000000001</v>
      </c>
      <c r="J3172">
        <v>-494.79219999999998</v>
      </c>
      <c r="K3172">
        <v>1.109964</v>
      </c>
      <c r="L3172">
        <v>244.7364</v>
      </c>
      <c r="M3172">
        <v>0.17311799999999999</v>
      </c>
      <c r="N3172">
        <v>-3.5133120000000002E-3</v>
      </c>
      <c r="O3172">
        <v>-0.98489510000000002</v>
      </c>
      <c r="P3172">
        <v>0.40763959999999999</v>
      </c>
      <c r="Q3172">
        <v>0.31975969999999998</v>
      </c>
      <c r="R3172">
        <v>-0.85532730000000001</v>
      </c>
      <c r="S3172">
        <v>2.012543</v>
      </c>
      <c r="T3172">
        <v>-0.153668</v>
      </c>
      <c r="U3172">
        <v>-2.6089020000000001</v>
      </c>
      <c r="V3172">
        <v>-0.25385279999999999</v>
      </c>
      <c r="W3172">
        <v>0.32261830000000002</v>
      </c>
      <c r="X3172">
        <v>0.91185320000000003</v>
      </c>
      <c r="Y3172">
        <v>-0.46385739999999998</v>
      </c>
      <c r="Z3172">
        <v>4.4562060000000001E-2</v>
      </c>
      <c r="AA3172">
        <v>0.88478840000000003</v>
      </c>
      <c r="AB3172">
        <v>18</v>
      </c>
      <c r="AC3172">
        <v>0.53919999999993695</v>
      </c>
      <c r="AD3172">
        <v>-4.3731999999999799E-2</v>
      </c>
      <c r="AE3172">
        <v>-0.56409999999999605</v>
      </c>
      <c r="AF3172">
        <v>-0.43204522603767298</v>
      </c>
      <c r="AG3172">
        <v>-4.3731999999999799E-2</v>
      </c>
      <c r="AH3172">
        <v>0.64689670059744697</v>
      </c>
      <c r="AI3172">
        <v>93.217641965203597</v>
      </c>
      <c r="AJ3172">
        <v>123.737915315881</v>
      </c>
      <c r="AK3172">
        <v>0.77913471647065502</v>
      </c>
      <c r="AL3172">
        <v>71.178657987453803</v>
      </c>
      <c r="AM3172">
        <v>105.556786779189</v>
      </c>
      <c r="AN3172">
        <v>1.0000000349564799</v>
      </c>
    </row>
    <row r="3173" spans="1:40" x14ac:dyDescent="0.25">
      <c r="A3173" t="str">
        <f>"20190304164150833"</f>
        <v>20190304164150833</v>
      </c>
      <c r="B3173" t="str">
        <f>"1551688910823931"</f>
        <v>1551688910823931</v>
      </c>
      <c r="C3173" t="s">
        <v>40</v>
      </c>
      <c r="D3173">
        <v>4.0071430000000001</v>
      </c>
      <c r="E3173">
        <v>0.40636100000000003</v>
      </c>
      <c r="F3173" t="s">
        <v>41</v>
      </c>
      <c r="G3173">
        <v>-494.23230000000001</v>
      </c>
      <c r="H3173">
        <v>1.066743</v>
      </c>
      <c r="I3173">
        <v>244.01230000000001</v>
      </c>
      <c r="J3173">
        <v>-494.76100000000002</v>
      </c>
      <c r="K3173">
        <v>1.1100699999999999</v>
      </c>
      <c r="L3173">
        <v>244.5667</v>
      </c>
      <c r="M3173">
        <v>0.17425959999999999</v>
      </c>
      <c r="N3173">
        <v>-3.7263209999999999E-3</v>
      </c>
      <c r="O3173">
        <v>-0.98469269999999998</v>
      </c>
      <c r="P3173">
        <v>0.41015879999999999</v>
      </c>
      <c r="Q3173">
        <v>0.31970300000000001</v>
      </c>
      <c r="R3173">
        <v>-0.85414259999999997</v>
      </c>
      <c r="S3173">
        <v>2.0151370000000002</v>
      </c>
      <c r="T3173">
        <v>-0.15547179999999999</v>
      </c>
      <c r="U3173">
        <v>-2.605118</v>
      </c>
      <c r="V3173">
        <v>-0.25553680000000001</v>
      </c>
      <c r="W3173">
        <v>0.322708099999999</v>
      </c>
      <c r="X3173">
        <v>0.91135080000000002</v>
      </c>
      <c r="Y3173">
        <v>-0.46399000000000001</v>
      </c>
      <c r="Z3173">
        <v>4.4949259999999998E-2</v>
      </c>
      <c r="AA3173">
        <v>0.88469929999999997</v>
      </c>
      <c r="AB3173">
        <v>18</v>
      </c>
      <c r="AC3173">
        <v>0.52869999999995798</v>
      </c>
      <c r="AD3173">
        <v>-4.3327000000000102E-2</v>
      </c>
      <c r="AE3173">
        <v>-0.55439999999998602</v>
      </c>
      <c r="AF3173">
        <v>-0.42264854896626097</v>
      </c>
      <c r="AG3173">
        <v>-4.3327000000000102E-2</v>
      </c>
      <c r="AH3173">
        <v>0.63601472736877496</v>
      </c>
      <c r="AI3173">
        <v>93.247334561891606</v>
      </c>
      <c r="AJ3173">
        <v>123.60508540494099</v>
      </c>
      <c r="AK3173">
        <v>0.76486845816928795</v>
      </c>
      <c r="AL3173">
        <v>71.173219978048394</v>
      </c>
      <c r="AM3173">
        <v>105.66314875392899</v>
      </c>
      <c r="AN3173">
        <v>0.99999992731024201</v>
      </c>
    </row>
    <row r="3174" spans="1:40" x14ac:dyDescent="0.25">
      <c r="A3174" t="str">
        <f>"20190304164150855"</f>
        <v>20190304164150855</v>
      </c>
      <c r="B3174" t="str">
        <f>"1551688910844428"</f>
        <v>1551688910844428</v>
      </c>
      <c r="C3174" t="s">
        <v>40</v>
      </c>
      <c r="D3174">
        <v>3.997862</v>
      </c>
      <c r="E3174">
        <v>0.40684150000000002</v>
      </c>
      <c r="F3174" t="s">
        <v>41</v>
      </c>
      <c r="G3174">
        <v>-494.20679999999999</v>
      </c>
      <c r="H3174">
        <v>1.0676079999999999</v>
      </c>
      <c r="I3174">
        <v>243.8535</v>
      </c>
      <c r="J3174">
        <v>-494.73</v>
      </c>
      <c r="K3174">
        <v>1.110188</v>
      </c>
      <c r="L3174">
        <v>244.39949999999999</v>
      </c>
      <c r="M3174">
        <v>0.17549879999999901</v>
      </c>
      <c r="N3174">
        <v>-3.9739980000000003E-3</v>
      </c>
      <c r="O3174">
        <v>-0.9844716</v>
      </c>
      <c r="P3174">
        <v>0.41244769999999997</v>
      </c>
      <c r="Q3174">
        <v>0.31949650000000002</v>
      </c>
      <c r="R3174">
        <v>-0.85311729999999997</v>
      </c>
      <c r="S3174">
        <v>2.0197449999999999</v>
      </c>
      <c r="T3174">
        <v>-0.15480350000000001</v>
      </c>
      <c r="U3174">
        <v>-2.6003419999999999</v>
      </c>
      <c r="V3174">
        <v>-0.25688420000000001</v>
      </c>
      <c r="W3174">
        <v>0.32267380000000001</v>
      </c>
      <c r="X3174">
        <v>0.91098420000000002</v>
      </c>
      <c r="Y3174">
        <v>-0.46464850000000002</v>
      </c>
      <c r="Z3174">
        <v>4.4531880000000003E-2</v>
      </c>
      <c r="AA3174">
        <v>0.88437479999999902</v>
      </c>
      <c r="AB3174">
        <v>18</v>
      </c>
      <c r="AC3174">
        <v>0.52320000000003097</v>
      </c>
      <c r="AD3174">
        <v>-4.258E-2</v>
      </c>
      <c r="AE3174">
        <v>-0.54599999999999205</v>
      </c>
      <c r="AF3174">
        <v>-0.41793147057348601</v>
      </c>
      <c r="AG3174">
        <v>-4.258E-2</v>
      </c>
      <c r="AH3174">
        <v>0.62735841853581298</v>
      </c>
      <c r="AI3174">
        <v>93.232950915700997</v>
      </c>
      <c r="AJ3174">
        <v>123.67062224294401</v>
      </c>
      <c r="AK3174">
        <v>0.75502208961292905</v>
      </c>
      <c r="AL3174">
        <v>71.175298557796097</v>
      </c>
      <c r="AM3174">
        <v>105.747674439151</v>
      </c>
      <c r="AN3174">
        <v>1.00000004303285</v>
      </c>
    </row>
    <row r="3175" spans="1:40" x14ac:dyDescent="0.25">
      <c r="A3175" t="str">
        <f>"20190304164150877"</f>
        <v>20190304164150877</v>
      </c>
      <c r="B3175" t="str">
        <f>"1551688910874684"</f>
        <v>1551688910874684</v>
      </c>
      <c r="C3175" t="s">
        <v>40</v>
      </c>
      <c r="D3175">
        <v>4.0110960000000002</v>
      </c>
      <c r="E3175">
        <v>0.40746339999999998</v>
      </c>
      <c r="F3175" t="s">
        <v>41</v>
      </c>
      <c r="G3175">
        <v>-494.17259999999999</v>
      </c>
      <c r="H3175">
        <v>1.0678129999999999</v>
      </c>
      <c r="I3175">
        <v>243.68469999999999</v>
      </c>
      <c r="J3175">
        <v>-494.69639999999998</v>
      </c>
      <c r="K3175">
        <v>1.1103259999999999</v>
      </c>
      <c r="L3175">
        <v>244.22030000000001</v>
      </c>
      <c r="M3175">
        <v>0.17696110000000001</v>
      </c>
      <c r="N3175">
        <v>-4.2746059999999898E-3</v>
      </c>
      <c r="O3175">
        <v>-0.98420879999999999</v>
      </c>
      <c r="P3175">
        <v>0.41529919999999998</v>
      </c>
      <c r="Q3175">
        <v>0.31878260000000003</v>
      </c>
      <c r="R3175">
        <v>-0.852000599999999</v>
      </c>
      <c r="S3175">
        <v>2.0244450000000001</v>
      </c>
      <c r="T3175">
        <v>-0.15386440000000001</v>
      </c>
      <c r="U3175">
        <v>-2.5954280000000001</v>
      </c>
      <c r="V3175">
        <v>-0.25860650000000002</v>
      </c>
      <c r="W3175">
        <v>0.32217010000000001</v>
      </c>
      <c r="X3175">
        <v>0.91067500000000001</v>
      </c>
      <c r="Y3175">
        <v>-0.46515210000000001</v>
      </c>
      <c r="Z3175">
        <v>4.3981359999999997E-2</v>
      </c>
      <c r="AA3175">
        <v>0.88413759999999997</v>
      </c>
      <c r="AB3175">
        <v>18</v>
      </c>
      <c r="AC3175">
        <v>0.52379999999999405</v>
      </c>
      <c r="AD3175">
        <v>-4.2513000000000002E-2</v>
      </c>
      <c r="AE3175">
        <v>-0.53560000000001595</v>
      </c>
      <c r="AF3175">
        <v>-0.41940134190489098</v>
      </c>
      <c r="AG3175">
        <v>-4.2513000000000002E-2</v>
      </c>
      <c r="AH3175">
        <v>0.61785029757281595</v>
      </c>
      <c r="AI3175">
        <v>93.258368951243597</v>
      </c>
      <c r="AJ3175">
        <v>124.16895023427</v>
      </c>
      <c r="AK3175">
        <v>0.74795977897975197</v>
      </c>
      <c r="AL3175">
        <v>71.205784330443805</v>
      </c>
      <c r="AM3175">
        <v>105.853079279236</v>
      </c>
      <c r="AN3175">
        <v>0.99999992540062699</v>
      </c>
    </row>
    <row r="3176" spans="1:40" x14ac:dyDescent="0.25">
      <c r="A3176" t="str">
        <f>"20190304164150901"</f>
        <v>20190304164150901</v>
      </c>
      <c r="B3176" t="str">
        <f>"1551688910894204"</f>
        <v>1551688910894204</v>
      </c>
      <c r="C3176" t="s">
        <v>40</v>
      </c>
      <c r="D3176">
        <v>3.9829780000000001</v>
      </c>
      <c r="E3176">
        <v>0.40785270000000001</v>
      </c>
      <c r="F3176" t="s">
        <v>41</v>
      </c>
      <c r="G3176">
        <v>-494.12880000000001</v>
      </c>
      <c r="H3176">
        <v>1.0666530000000001</v>
      </c>
      <c r="I3176">
        <v>243.495</v>
      </c>
      <c r="J3176">
        <v>-494.66090000000003</v>
      </c>
      <c r="K3176">
        <v>1.1104780000000001</v>
      </c>
      <c r="L3176">
        <v>244.03460000000001</v>
      </c>
      <c r="M3176">
        <v>0.1786277</v>
      </c>
      <c r="N3176">
        <v>-4.6120709999999997E-3</v>
      </c>
      <c r="O3176">
        <v>-0.98390610000000001</v>
      </c>
      <c r="P3176">
        <v>0.41835549999999999</v>
      </c>
      <c r="Q3176">
        <v>0.31854300000000002</v>
      </c>
      <c r="R3176">
        <v>-0.85059359999999995</v>
      </c>
      <c r="S3176">
        <v>2.027374</v>
      </c>
      <c r="T3176">
        <v>-0.156029</v>
      </c>
      <c r="U3176">
        <v>-2.5912929999999998</v>
      </c>
      <c r="V3176">
        <v>-0.26040049999999998</v>
      </c>
      <c r="W3176">
        <v>0.3221678</v>
      </c>
      <c r="X3176">
        <v>0.91016450000000004</v>
      </c>
      <c r="Y3176">
        <v>-0.46494239999999998</v>
      </c>
      <c r="Z3176">
        <v>4.4367040000000003E-2</v>
      </c>
      <c r="AA3176">
        <v>0.88422849999999997</v>
      </c>
      <c r="AB3176">
        <v>18</v>
      </c>
      <c r="AC3176">
        <v>0.53210000000001401</v>
      </c>
      <c r="AD3176">
        <v>-4.3825000000000003E-2</v>
      </c>
      <c r="AE3176">
        <v>-0.53960000000000696</v>
      </c>
      <c r="AF3176">
        <v>-0.42572962882317</v>
      </c>
      <c r="AG3176">
        <v>-4.3825000000000003E-2</v>
      </c>
      <c r="AH3176">
        <v>0.62388362365096195</v>
      </c>
      <c r="AI3176">
        <v>93.3207716170092</v>
      </c>
      <c r="AJ3176">
        <v>124.309091392266</v>
      </c>
      <c r="AK3176">
        <v>0.75656931165807195</v>
      </c>
      <c r="AL3176">
        <v>71.205924293304605</v>
      </c>
      <c r="AM3176">
        <v>105.96596748790201</v>
      </c>
      <c r="AN3176">
        <v>0.99999996440866901</v>
      </c>
    </row>
    <row r="3177" spans="1:40" x14ac:dyDescent="0.25">
      <c r="A3177" t="str">
        <f>"20190304164150925"</f>
        <v>20190304164150925</v>
      </c>
      <c r="B3177" t="str">
        <f>"1551688910914699"</f>
        <v>1551688910914699</v>
      </c>
      <c r="C3177" t="s">
        <v>40</v>
      </c>
      <c r="D3177">
        <v>4.0076650000000003</v>
      </c>
      <c r="E3177">
        <v>0.4079103</v>
      </c>
      <c r="F3177" t="s">
        <v>41</v>
      </c>
      <c r="G3177">
        <v>-494.08069999999998</v>
      </c>
      <c r="H3177">
        <v>1.0656159999999999</v>
      </c>
      <c r="I3177">
        <v>243.29599999999999</v>
      </c>
      <c r="J3177">
        <v>-494.625</v>
      </c>
      <c r="K3177">
        <v>1.1106320000000001</v>
      </c>
      <c r="L3177">
        <v>243.84819999999999</v>
      </c>
      <c r="M3177">
        <v>0.18046690000000001</v>
      </c>
      <c r="N3177">
        <v>-4.9716270000000002E-3</v>
      </c>
      <c r="O3177">
        <v>-0.98356849999999996</v>
      </c>
      <c r="P3177">
        <v>0.42125839999999998</v>
      </c>
      <c r="Q3177">
        <v>0.31879859999999999</v>
      </c>
      <c r="R3177">
        <v>-0.84906360000000003</v>
      </c>
      <c r="S3177">
        <v>2.033264</v>
      </c>
      <c r="T3177">
        <v>-0.15704699999999999</v>
      </c>
      <c r="U3177">
        <v>-2.5857239999999999</v>
      </c>
      <c r="V3177">
        <v>-0.26190449999999998</v>
      </c>
      <c r="W3177">
        <v>0.32268239999999998</v>
      </c>
      <c r="X3177">
        <v>0.90955050000000004</v>
      </c>
      <c r="Y3177">
        <v>-0.46545209999999998</v>
      </c>
      <c r="Z3177">
        <v>4.4370130000000001E-2</v>
      </c>
      <c r="AA3177">
        <v>0.88396019999999897</v>
      </c>
      <c r="AB3177">
        <v>18</v>
      </c>
      <c r="AC3177">
        <v>0.54430000000002099</v>
      </c>
      <c r="AD3177">
        <v>-4.5016000000000098E-2</v>
      </c>
      <c r="AE3177">
        <v>-0.55219999999999902</v>
      </c>
      <c r="AF3177">
        <v>-0.43424417429766299</v>
      </c>
      <c r="AG3177">
        <v>-4.5016000000000098E-2</v>
      </c>
      <c r="AH3177">
        <v>0.63920798384923205</v>
      </c>
      <c r="AI3177">
        <v>93.333922617630293</v>
      </c>
      <c r="AJ3177">
        <v>124.190119376136</v>
      </c>
      <c r="AK3177">
        <v>0.77406801366808797</v>
      </c>
      <c r="AL3177">
        <v>71.174777228471399</v>
      </c>
      <c r="AM3177">
        <v>106.063722176692</v>
      </c>
      <c r="AN3177">
        <v>1.0000000052201199</v>
      </c>
    </row>
    <row r="3178" spans="1:40" x14ac:dyDescent="0.25">
      <c r="A3178" t="str">
        <f>"20190304164150946"</f>
        <v>20190304164150946</v>
      </c>
      <c r="B3178" t="str">
        <f>"1551688910934220"</f>
        <v>1551688910934220</v>
      </c>
      <c r="C3178" t="s">
        <v>40</v>
      </c>
      <c r="D3178">
        <v>4.1023649999999998</v>
      </c>
      <c r="E3178">
        <v>0.408196</v>
      </c>
      <c r="F3178" t="s">
        <v>41</v>
      </c>
      <c r="G3178">
        <v>-494.01600000000002</v>
      </c>
      <c r="H3178">
        <v>1.0645830000000001</v>
      </c>
      <c r="I3178">
        <v>243.07859999999999</v>
      </c>
      <c r="J3178">
        <v>-494.5908</v>
      </c>
      <c r="K3178">
        <v>1.1107689999999999</v>
      </c>
      <c r="L3178">
        <v>243.6738</v>
      </c>
      <c r="M3178">
        <v>0.18232209999999999</v>
      </c>
      <c r="N3178">
        <v>-5.3302870000000004E-3</v>
      </c>
      <c r="O3178">
        <v>-0.9832246</v>
      </c>
      <c r="P3178">
        <v>0.42479</v>
      </c>
      <c r="Q3178">
        <v>0.31893159999999998</v>
      </c>
      <c r="R3178">
        <v>-0.84725229999999996</v>
      </c>
      <c r="S3178">
        <v>2.0411380000000001</v>
      </c>
      <c r="T3178">
        <v>-0.15425730000000001</v>
      </c>
      <c r="U3178">
        <v>-2.578506</v>
      </c>
      <c r="V3178">
        <v>-0.26405109999999998</v>
      </c>
      <c r="W3178">
        <v>0.32308219999999999</v>
      </c>
      <c r="X3178">
        <v>0.90878760000000003</v>
      </c>
      <c r="Y3178">
        <v>-0.46667380000000003</v>
      </c>
      <c r="Z3178">
        <v>4.3192540000000001E-2</v>
      </c>
      <c r="AA3178">
        <v>0.8833742</v>
      </c>
      <c r="AB3178">
        <v>18</v>
      </c>
      <c r="AC3178">
        <v>0.57480000000003795</v>
      </c>
      <c r="AD3178">
        <v>-4.6185999999999998E-2</v>
      </c>
      <c r="AE3178">
        <v>-0.59520000000000495</v>
      </c>
      <c r="AF3178">
        <v>-0.45522746398238401</v>
      </c>
      <c r="AG3178">
        <v>-4.6185999999999998E-2</v>
      </c>
      <c r="AH3178">
        <v>0.68788051191656696</v>
      </c>
      <c r="AI3178">
        <v>93.204747970709406</v>
      </c>
      <c r="AJ3178">
        <v>123.49590406596199</v>
      </c>
      <c r="AK3178">
        <v>0.82616268932603698</v>
      </c>
      <c r="AL3178">
        <v>71.150573863536906</v>
      </c>
      <c r="AM3178">
        <v>106.201389232121</v>
      </c>
      <c r="AN3178">
        <v>0.999999996640905</v>
      </c>
    </row>
    <row r="3179" spans="1:40" x14ac:dyDescent="0.25">
      <c r="A3179" t="str">
        <f>"20190304164150968"</f>
        <v>20190304164150968</v>
      </c>
      <c r="B3179" t="str">
        <f>"1551688910964476"</f>
        <v>1551688910964476</v>
      </c>
      <c r="C3179" t="s">
        <v>40</v>
      </c>
      <c r="D3179">
        <v>4.0083190000000002</v>
      </c>
      <c r="E3179">
        <v>0.40853970000000001</v>
      </c>
      <c r="F3179" t="s">
        <v>41</v>
      </c>
      <c r="G3179">
        <v>-493.98840000000001</v>
      </c>
      <c r="H3179">
        <v>1.0651550000000001</v>
      </c>
      <c r="I3179">
        <v>242.91739999999999</v>
      </c>
      <c r="J3179">
        <v>-494.55619999999999</v>
      </c>
      <c r="K3179">
        <v>1.110881</v>
      </c>
      <c r="L3179">
        <v>243.5001</v>
      </c>
      <c r="M3179">
        <v>0.1842723</v>
      </c>
      <c r="N3179">
        <v>-5.6995600000000002E-3</v>
      </c>
      <c r="O3179">
        <v>-0.98285880000000003</v>
      </c>
      <c r="P3179">
        <v>0.42827890000000002</v>
      </c>
      <c r="Q3179">
        <v>0.31916870000000003</v>
      </c>
      <c r="R3179">
        <v>-0.84540439999999994</v>
      </c>
      <c r="S3179">
        <v>2.0485229999999999</v>
      </c>
      <c r="T3179">
        <v>-0.15512039999999999</v>
      </c>
      <c r="U3179">
        <v>-2.5721280000000002</v>
      </c>
      <c r="V3179">
        <v>-0.26606089999999999</v>
      </c>
      <c r="W3179">
        <v>0.32360840000000002</v>
      </c>
      <c r="X3179">
        <v>0.90801390000000004</v>
      </c>
      <c r="Y3179">
        <v>-0.46753509999999998</v>
      </c>
      <c r="Z3179">
        <v>4.3136979999999998E-2</v>
      </c>
      <c r="AA3179">
        <v>0.88292130000000002</v>
      </c>
      <c r="AB3179">
        <v>18</v>
      </c>
      <c r="AC3179">
        <v>0.56779999999997699</v>
      </c>
      <c r="AD3179">
        <v>-4.57260000000001E-2</v>
      </c>
      <c r="AE3179">
        <v>-0.58270000000001598</v>
      </c>
      <c r="AF3179">
        <v>-0.44927988920745898</v>
      </c>
      <c r="AG3179">
        <v>-4.57260000000001E-2</v>
      </c>
      <c r="AH3179">
        <v>0.67521974737002799</v>
      </c>
      <c r="AI3179">
        <v>93.2269179276485</v>
      </c>
      <c r="AJ3179">
        <v>123.639127743079</v>
      </c>
      <c r="AK3179">
        <v>0.81232074524827402</v>
      </c>
      <c r="AL3179">
        <v>71.118713781916199</v>
      </c>
      <c r="AM3179">
        <v>106.331329911072</v>
      </c>
      <c r="AN3179">
        <v>1.00000002082629</v>
      </c>
    </row>
    <row r="3180" spans="1:40" x14ac:dyDescent="0.25">
      <c r="A3180" t="str">
        <f>"20190304164150989"</f>
        <v>20190304164150989</v>
      </c>
      <c r="B3180" t="str">
        <f>"1551688910983996"</f>
        <v>1551688910983996</v>
      </c>
      <c r="C3180" t="s">
        <v>40</v>
      </c>
      <c r="D3180">
        <v>3.974958</v>
      </c>
      <c r="E3180">
        <v>0.40877649999999999</v>
      </c>
      <c r="F3180" t="s">
        <v>41</v>
      </c>
      <c r="G3180">
        <v>-493.96039999999999</v>
      </c>
      <c r="H3180">
        <v>1.0658399999999999</v>
      </c>
      <c r="I3180">
        <v>242.756</v>
      </c>
      <c r="J3180">
        <v>-494.52030000000002</v>
      </c>
      <c r="K3180">
        <v>1.1109770000000001</v>
      </c>
      <c r="L3180">
        <v>243.32210000000001</v>
      </c>
      <c r="M3180">
        <v>0.18636269999999999</v>
      </c>
      <c r="N3180">
        <v>-6.0854409999999996E-3</v>
      </c>
      <c r="O3180">
        <v>-0.98246219999999995</v>
      </c>
      <c r="P3180">
        <v>0.432006</v>
      </c>
      <c r="Q3180">
        <v>0.31940980000000002</v>
      </c>
      <c r="R3180">
        <v>-0.84341449999999996</v>
      </c>
      <c r="S3180">
        <v>2.0551759999999999</v>
      </c>
      <c r="T3180">
        <v>-0.15531739999999999</v>
      </c>
      <c r="U3180">
        <v>-2.566055</v>
      </c>
      <c r="V3180">
        <v>-0.26819189999999998</v>
      </c>
      <c r="W3180">
        <v>0.32416279999999997</v>
      </c>
      <c r="X3180">
        <v>0.90718880000000002</v>
      </c>
      <c r="Y3180">
        <v>-0.46807109999999902</v>
      </c>
      <c r="Z3180">
        <v>4.2860540000000003E-2</v>
      </c>
      <c r="AA3180">
        <v>0.88265079999999996</v>
      </c>
      <c r="AB3180">
        <v>18</v>
      </c>
      <c r="AC3180">
        <v>0.55990000000002704</v>
      </c>
      <c r="AD3180">
        <v>-4.5137000000000198E-2</v>
      </c>
      <c r="AE3180">
        <v>-0.56610000000003402</v>
      </c>
      <c r="AF3180">
        <v>-0.44316468087665101</v>
      </c>
      <c r="AG3180">
        <v>-4.5137000000000198E-2</v>
      </c>
      <c r="AH3180">
        <v>0.65841259597916602</v>
      </c>
      <c r="AI3180">
        <v>93.255001781370893</v>
      </c>
      <c r="AJ3180">
        <v>123.943728158204</v>
      </c>
      <c r="AK3180">
        <v>0.79494618037294096</v>
      </c>
      <c r="AL3180">
        <v>71.085138159204107</v>
      </c>
      <c r="AM3180">
        <v>106.469241213128</v>
      </c>
      <c r="AN3180">
        <v>0.99999996748744402</v>
      </c>
    </row>
    <row r="3181" spans="1:40" x14ac:dyDescent="0.25">
      <c r="A3181" t="str">
        <f>"20190304164151013"</f>
        <v>20190304164151013</v>
      </c>
      <c r="B3181" t="str">
        <f>"1551688911004492"</f>
        <v>1551688911004492</v>
      </c>
      <c r="C3181" t="s">
        <v>40</v>
      </c>
      <c r="D3181">
        <v>3.9969299999999999</v>
      </c>
      <c r="E3181">
        <v>0.4090222</v>
      </c>
      <c r="F3181" t="s">
        <v>41</v>
      </c>
      <c r="G3181">
        <v>-493.93270000000001</v>
      </c>
      <c r="H3181">
        <v>1.066719</v>
      </c>
      <c r="I3181">
        <v>242.5941</v>
      </c>
      <c r="J3181">
        <v>-494.48270000000002</v>
      </c>
      <c r="K3181">
        <v>1.1110690000000001</v>
      </c>
      <c r="L3181">
        <v>243.13800000000001</v>
      </c>
      <c r="M3181">
        <v>0.18861149999999999</v>
      </c>
      <c r="N3181">
        <v>-6.4969249999999997E-3</v>
      </c>
      <c r="O3181">
        <v>-0.98203030000000002</v>
      </c>
      <c r="P3181">
        <v>0.43584640000000002</v>
      </c>
      <c r="Q3181">
        <v>0.31956659999999998</v>
      </c>
      <c r="R3181">
        <v>-0.84137700000000004</v>
      </c>
      <c r="S3181">
        <v>2.0643009999999999</v>
      </c>
      <c r="T3181">
        <v>-0.15554490000000001</v>
      </c>
      <c r="U3181">
        <v>-2.5585019999999998</v>
      </c>
      <c r="V3181">
        <v>-0.27029229999999999</v>
      </c>
      <c r="W3181">
        <v>0.32466119999999998</v>
      </c>
      <c r="X3181">
        <v>0.9063869</v>
      </c>
      <c r="Y3181">
        <v>-0.46923039999999999</v>
      </c>
      <c r="Z3181">
        <v>4.2568799999999997E-2</v>
      </c>
      <c r="AA3181">
        <v>0.88204919999999998</v>
      </c>
      <c r="AB3181">
        <v>18</v>
      </c>
      <c r="AC3181">
        <v>0.55000000000001104</v>
      </c>
      <c r="AD3181">
        <v>-4.4350000000000098E-2</v>
      </c>
      <c r="AE3181">
        <v>-0.54390000000000704</v>
      </c>
      <c r="AF3181">
        <v>-0.43610645760316502</v>
      </c>
      <c r="AG3181">
        <v>-4.4350000000000098E-2</v>
      </c>
      <c r="AH3181">
        <v>0.63578599855787399</v>
      </c>
      <c r="AI3181">
        <v>93.292258143619406</v>
      </c>
      <c r="AJ3181">
        <v>124.447503457501</v>
      </c>
      <c r="AK3181">
        <v>0.77225617564731397</v>
      </c>
      <c r="AL3181">
        <v>71.054950178647701</v>
      </c>
      <c r="AM3181">
        <v>106.605029066344</v>
      </c>
      <c r="AN3181">
        <v>1.00000001735816</v>
      </c>
    </row>
    <row r="3182" spans="1:40" x14ac:dyDescent="0.25">
      <c r="A3182" t="str">
        <f>"20190304164151035"</f>
        <v>20190304164151035</v>
      </c>
      <c r="B3182" t="str">
        <f>"1551688911024011"</f>
        <v>1551688911024011</v>
      </c>
      <c r="C3182" t="s">
        <v>40</v>
      </c>
      <c r="D3182">
        <v>3.9777749999999998</v>
      </c>
      <c r="E3182">
        <v>0.40925119999999998</v>
      </c>
      <c r="F3182" t="s">
        <v>41</v>
      </c>
      <c r="G3182">
        <v>-493.90750000000003</v>
      </c>
      <c r="H3182">
        <v>1.067898</v>
      </c>
      <c r="I3182">
        <v>242.4308</v>
      </c>
      <c r="J3182">
        <v>-494.44670000000002</v>
      </c>
      <c r="K3182">
        <v>1.111154</v>
      </c>
      <c r="L3182">
        <v>242.9641</v>
      </c>
      <c r="M3182">
        <v>0.19080630000000001</v>
      </c>
      <c r="N3182">
        <v>-6.9073779999999996E-3</v>
      </c>
      <c r="O3182">
        <v>-0.98160369999999997</v>
      </c>
      <c r="P3182">
        <v>0.43946299999999999</v>
      </c>
      <c r="Q3182">
        <v>0.31925310000000001</v>
      </c>
      <c r="R3182">
        <v>-0.839613099999999</v>
      </c>
      <c r="S3182">
        <v>2.074249</v>
      </c>
      <c r="T3182">
        <v>-0.15568280000000001</v>
      </c>
      <c r="U3182">
        <v>-2.550262</v>
      </c>
      <c r="V3182">
        <v>-0.27217010000000003</v>
      </c>
      <c r="W3182">
        <v>0.32469189999999998</v>
      </c>
      <c r="X3182">
        <v>0.9058138</v>
      </c>
      <c r="Y3182">
        <v>-0.4707248</v>
      </c>
      <c r="Z3182">
        <v>4.2252310000000001E-2</v>
      </c>
      <c r="AA3182">
        <v>0.88126779999999905</v>
      </c>
      <c r="AB3182">
        <v>18</v>
      </c>
      <c r="AC3182">
        <v>0.53919999999999302</v>
      </c>
      <c r="AD3182">
        <v>-4.32560000000001E-2</v>
      </c>
      <c r="AE3182">
        <v>-0.533299999999997</v>
      </c>
      <c r="AF3182">
        <v>-0.42614743439278902</v>
      </c>
      <c r="AG3182">
        <v>-4.32560000000001E-2</v>
      </c>
      <c r="AH3182">
        <v>0.624355598503611</v>
      </c>
      <c r="AI3182">
        <v>93.275045442459898</v>
      </c>
      <c r="AJ3182">
        <v>124.315085246</v>
      </c>
      <c r="AK3182">
        <v>0.75716090149872295</v>
      </c>
      <c r="AL3182">
        <v>71.053090435854003</v>
      </c>
      <c r="AM3182">
        <v>106.723959755991</v>
      </c>
      <c r="AN3182">
        <v>1.00000001676502</v>
      </c>
    </row>
    <row r="3183" spans="1:40" x14ac:dyDescent="0.25">
      <c r="A3183" t="str">
        <f>"20190304164151056"</f>
        <v>20190304164151056</v>
      </c>
      <c r="B3183" t="str">
        <f>"1551688911044507"</f>
        <v>1551688911044507</v>
      </c>
      <c r="C3183" t="s">
        <v>40</v>
      </c>
      <c r="D3183">
        <v>3.976947</v>
      </c>
      <c r="E3183">
        <v>0.4091032</v>
      </c>
      <c r="F3183" t="s">
        <v>41</v>
      </c>
      <c r="G3183">
        <v>-493.87639999999999</v>
      </c>
      <c r="H3183">
        <v>1.0682430000000001</v>
      </c>
      <c r="I3183">
        <v>242.2688</v>
      </c>
      <c r="J3183">
        <v>-494.40989999999999</v>
      </c>
      <c r="K3183">
        <v>1.1112489999999999</v>
      </c>
      <c r="L3183">
        <v>242.78880000000001</v>
      </c>
      <c r="M3183">
        <v>0.19308069999999999</v>
      </c>
      <c r="N3183">
        <v>-7.344293E-3</v>
      </c>
      <c r="O3183">
        <v>-0.98115540000000001</v>
      </c>
      <c r="P3183">
        <v>0.44300679999999998</v>
      </c>
      <c r="Q3183">
        <v>0.31924979999999997</v>
      </c>
      <c r="R3183">
        <v>-0.83774969999999904</v>
      </c>
      <c r="S3183">
        <v>2.0840450000000001</v>
      </c>
      <c r="T3183">
        <v>-0.15687319999999999</v>
      </c>
      <c r="U3183">
        <v>-2.5418699999999999</v>
      </c>
      <c r="V3183">
        <v>-0.27392820000000001</v>
      </c>
      <c r="W3183">
        <v>0.325053599999999</v>
      </c>
      <c r="X3183">
        <v>0.90515389999999996</v>
      </c>
      <c r="Y3183">
        <v>-0.47213080000000002</v>
      </c>
      <c r="Z3183">
        <v>4.2243219999999998E-2</v>
      </c>
      <c r="AA3183">
        <v>0.88051579999999996</v>
      </c>
      <c r="AB3183">
        <v>18</v>
      </c>
      <c r="AC3183">
        <v>0.53350000000000297</v>
      </c>
      <c r="AD3183">
        <v>-4.3005999999999801E-2</v>
      </c>
      <c r="AE3183">
        <v>-0.52000000000001001</v>
      </c>
      <c r="AF3183">
        <v>-0.42165077000269702</v>
      </c>
      <c r="AG3183">
        <v>-4.3005999999999801E-2</v>
      </c>
      <c r="AH3183">
        <v>0.61118921280941296</v>
      </c>
      <c r="AI3183">
        <v>93.314792686414705</v>
      </c>
      <c r="AJ3183">
        <v>124.601243264793</v>
      </c>
      <c r="AK3183">
        <v>0.74376820430457902</v>
      </c>
      <c r="AL3183">
        <v>71.0311784709817</v>
      </c>
      <c r="AM3183">
        <v>106.837475296202</v>
      </c>
      <c r="AN3183">
        <v>1.0000000421566999</v>
      </c>
    </row>
    <row r="3184" spans="1:40" x14ac:dyDescent="0.25">
      <c r="A3184" t="str">
        <f>"20190304164151079"</f>
        <v>20190304164151079</v>
      </c>
      <c r="B3184" t="str">
        <f>"1551688911073787"</f>
        <v>1551688911073787</v>
      </c>
      <c r="C3184" t="s">
        <v>40</v>
      </c>
      <c r="D3184">
        <v>4.0303329999999997</v>
      </c>
      <c r="E3184">
        <v>0.40926370000000001</v>
      </c>
      <c r="F3184" t="s">
        <v>41</v>
      </c>
      <c r="G3184">
        <v>-493.84530000000001</v>
      </c>
      <c r="H3184">
        <v>1.069976</v>
      </c>
      <c r="I3184">
        <v>242.10759999999999</v>
      </c>
      <c r="J3184">
        <v>-494.37079999999997</v>
      </c>
      <c r="K3184">
        <v>1.1113580000000001</v>
      </c>
      <c r="L3184">
        <v>242.6052</v>
      </c>
      <c r="M3184">
        <v>0.1955259</v>
      </c>
      <c r="N3184">
        <v>-7.8182789999999992E-3</v>
      </c>
      <c r="O3184">
        <v>-0.98066750000000003</v>
      </c>
      <c r="P3184">
        <v>0.44692769999999998</v>
      </c>
      <c r="Q3184">
        <v>0.3189205</v>
      </c>
      <c r="R3184">
        <v>-0.83579029999999999</v>
      </c>
      <c r="S3184">
        <v>2.0968629999999999</v>
      </c>
      <c r="T3184">
        <v>-0.15332200000000001</v>
      </c>
      <c r="U3184">
        <v>-2.530624</v>
      </c>
      <c r="V3184">
        <v>-0.27592470000000002</v>
      </c>
      <c r="W3184">
        <v>0.32511620000000002</v>
      </c>
      <c r="X3184">
        <v>0.90452469999999996</v>
      </c>
      <c r="Y3184">
        <v>-0.47453309999999999</v>
      </c>
      <c r="Z3184">
        <v>4.0730009999999997E-2</v>
      </c>
      <c r="AA3184">
        <v>0.87929480000000004</v>
      </c>
      <c r="AB3184">
        <v>18</v>
      </c>
      <c r="AC3184">
        <v>0.525499999999965</v>
      </c>
      <c r="AD3184">
        <v>-4.1382000000000002E-2</v>
      </c>
      <c r="AE3184">
        <v>-0.49760000000000498</v>
      </c>
      <c r="AF3184">
        <v>-0.41669737711537302</v>
      </c>
      <c r="AG3184">
        <v>-4.1382000000000002E-2</v>
      </c>
      <c r="AH3184">
        <v>0.58882178150656606</v>
      </c>
      <c r="AI3184">
        <v>93.283307095746295</v>
      </c>
      <c r="AJ3184">
        <v>125.28627773671801</v>
      </c>
      <c r="AK3184">
        <v>0.72253737923750205</v>
      </c>
      <c r="AL3184">
        <v>71.027384100308595</v>
      </c>
      <c r="AM3184">
        <v>106.96429438579101</v>
      </c>
      <c r="AN3184">
        <v>0.99999995824130905</v>
      </c>
    </row>
    <row r="3185" spans="1:40" x14ac:dyDescent="0.25">
      <c r="A3185" t="str">
        <f>"20190304164151103"</f>
        <v>20190304164151103</v>
      </c>
      <c r="B3185" t="str">
        <f>"1551688911094284"</f>
        <v>1551688911094284</v>
      </c>
      <c r="C3185" t="s">
        <v>40</v>
      </c>
      <c r="D3185">
        <v>4.0012030000000003</v>
      </c>
      <c r="E3185">
        <v>0.42999310000000002</v>
      </c>
      <c r="F3185" t="s">
        <v>41</v>
      </c>
      <c r="G3185">
        <v>-493.80070000000001</v>
      </c>
      <c r="H3185">
        <v>1.0699970000000001</v>
      </c>
      <c r="I3185">
        <v>241.9237</v>
      </c>
      <c r="J3185">
        <v>-494.33109999999999</v>
      </c>
      <c r="K3185">
        <v>1.111461</v>
      </c>
      <c r="L3185">
        <v>242.42150000000001</v>
      </c>
      <c r="M3185">
        <v>0.19803770000000001</v>
      </c>
      <c r="N3185">
        <v>-8.2950260000000005E-3</v>
      </c>
      <c r="O3185">
        <v>-0.98015960000000002</v>
      </c>
      <c r="P3185">
        <v>0.45077139999999999</v>
      </c>
      <c r="Q3185">
        <v>0.3190384</v>
      </c>
      <c r="R3185">
        <v>-0.83367869999999999</v>
      </c>
      <c r="S3185">
        <v>2.1080930000000002</v>
      </c>
      <c r="T3185">
        <v>-0.15296979999999999</v>
      </c>
      <c r="U3185">
        <v>-2.5204770000000001</v>
      </c>
      <c r="V3185">
        <v>-0.27782040000000002</v>
      </c>
      <c r="W3185">
        <v>0.32562570000000002</v>
      </c>
      <c r="X3185">
        <v>0.90376089999999998</v>
      </c>
      <c r="Y3185">
        <v>-0.4763308</v>
      </c>
      <c r="Z3185">
        <v>4.0212520000000002E-2</v>
      </c>
      <c r="AA3185">
        <v>0.87834609999999902</v>
      </c>
      <c r="AB3185">
        <v>18</v>
      </c>
      <c r="AC3185">
        <v>0.53039999999998599</v>
      </c>
      <c r="AD3185">
        <v>-4.1464000000000098E-2</v>
      </c>
      <c r="AE3185">
        <v>-0.49780000000001201</v>
      </c>
      <c r="AF3185">
        <v>-0.41994336375499802</v>
      </c>
      <c r="AG3185">
        <v>-4.1464000000000098E-2</v>
      </c>
      <c r="AH3185">
        <v>0.59106237504624703</v>
      </c>
      <c r="AI3185">
        <v>93.273023439846895</v>
      </c>
      <c r="AJ3185">
        <v>125.393378143587</v>
      </c>
      <c r="AK3185">
        <v>0.72624129822888295</v>
      </c>
      <c r="AL3185">
        <v>70.996513215113495</v>
      </c>
      <c r="AM3185">
        <v>107.087677223439</v>
      </c>
      <c r="AN3185">
        <v>1.00000001776272</v>
      </c>
    </row>
    <row r="3186" spans="1:40" x14ac:dyDescent="0.25">
      <c r="A3186" t="str">
        <f>"20190304164151125"</f>
        <v>20190304164151125</v>
      </c>
      <c r="B3186" t="str">
        <f>"1551688911113803"</f>
        <v>1551688911113803</v>
      </c>
      <c r="C3186" t="s">
        <v>40</v>
      </c>
      <c r="D3186">
        <v>4.0103999999999997</v>
      </c>
      <c r="E3186">
        <v>0.43140400000000001</v>
      </c>
      <c r="F3186" t="s">
        <v>41</v>
      </c>
      <c r="G3186">
        <v>-493.73099999999999</v>
      </c>
      <c r="H3186">
        <v>1.061008</v>
      </c>
      <c r="I3186">
        <v>241.6344</v>
      </c>
      <c r="J3186">
        <v>-494.29039999999998</v>
      </c>
      <c r="K3186">
        <v>1.1115539999999999</v>
      </c>
      <c r="L3186">
        <v>242.23650000000001</v>
      </c>
      <c r="M3186">
        <v>0.20065160000000001</v>
      </c>
      <c r="N3186">
        <v>-8.75953199999999E-3</v>
      </c>
      <c r="O3186">
        <v>-0.97962360000000004</v>
      </c>
      <c r="P3186">
        <v>0.45464690000000002</v>
      </c>
      <c r="Q3186">
        <v>0.31890030000000003</v>
      </c>
      <c r="R3186">
        <v>-0.83162449999999999</v>
      </c>
      <c r="S3186">
        <v>1.976532</v>
      </c>
      <c r="T3186">
        <v>-0.1662391</v>
      </c>
      <c r="U3186">
        <v>-2.5934140000000001</v>
      </c>
      <c r="V3186">
        <v>-0.279642</v>
      </c>
      <c r="W3186">
        <v>0.32586969999999998</v>
      </c>
      <c r="X3186">
        <v>0.90311090000000005</v>
      </c>
      <c r="Y3186">
        <v>-0.43354670000000001</v>
      </c>
      <c r="Z3186">
        <v>4.4041940000000002E-2</v>
      </c>
      <c r="AA3186">
        <v>0.90005419999999903</v>
      </c>
      <c r="AB3186">
        <v>18</v>
      </c>
      <c r="AC3186">
        <v>0.55939999999998202</v>
      </c>
      <c r="AD3186">
        <v>-5.0546000000000202E-2</v>
      </c>
      <c r="AE3186">
        <v>-0.60210000000000696</v>
      </c>
      <c r="AF3186">
        <v>-0.42559564817568801</v>
      </c>
      <c r="AG3186">
        <v>-5.0546000000000202E-2</v>
      </c>
      <c r="AH3186">
        <v>0.69945704956009802</v>
      </c>
      <c r="AI3186">
        <v>93.532651019491396</v>
      </c>
      <c r="AJ3186">
        <v>121.319079956438</v>
      </c>
      <c r="AK3186">
        <v>0.82032110666579905</v>
      </c>
      <c r="AL3186">
        <v>70.981726251803295</v>
      </c>
      <c r="AM3186">
        <v>107.20477488890501</v>
      </c>
      <c r="AN3186">
        <v>1.0000000036204499</v>
      </c>
    </row>
    <row r="3187" spans="1:40" x14ac:dyDescent="0.25">
      <c r="A3187" t="str">
        <f>"20190304164151146"</f>
        <v>20190304164151146</v>
      </c>
      <c r="B3187" t="str">
        <f>"1551688911134299"</f>
        <v>1551688911134299</v>
      </c>
      <c r="C3187" t="s">
        <v>40</v>
      </c>
      <c r="D3187">
        <v>4.1466710000000004</v>
      </c>
      <c r="E3187">
        <v>0.43271470000000001</v>
      </c>
      <c r="F3187" t="s">
        <v>41</v>
      </c>
      <c r="G3187">
        <v>-493.69560000000001</v>
      </c>
      <c r="H3187">
        <v>1.0610539999999999</v>
      </c>
      <c r="I3187">
        <v>241.45840000000001</v>
      </c>
      <c r="J3187">
        <v>-494.25229999999999</v>
      </c>
      <c r="K3187">
        <v>1.111621</v>
      </c>
      <c r="L3187">
        <v>242.06610000000001</v>
      </c>
      <c r="M3187">
        <v>0.20311879999999999</v>
      </c>
      <c r="N3187">
        <v>-9.1617799999999996E-3</v>
      </c>
      <c r="O3187">
        <v>-0.97911130000000002</v>
      </c>
      <c r="P3187">
        <v>0.45826149999999999</v>
      </c>
      <c r="Q3187">
        <v>0.31854769999999999</v>
      </c>
      <c r="R3187">
        <v>-0.82977350000000005</v>
      </c>
      <c r="S3187">
        <v>1.9796450000000001</v>
      </c>
      <c r="T3187">
        <v>-0.16804530000000001</v>
      </c>
      <c r="U3187">
        <v>-2.5895389999999998</v>
      </c>
      <c r="V3187">
        <v>-0.28129409999999999</v>
      </c>
      <c r="W3187">
        <v>0.32585389999999997</v>
      </c>
      <c r="X3187">
        <v>0.90260339999999994</v>
      </c>
      <c r="Y3187">
        <v>-0.4325967</v>
      </c>
      <c r="Z3187">
        <v>4.4257779999999997E-2</v>
      </c>
      <c r="AA3187">
        <v>0.90050069999999904</v>
      </c>
      <c r="AB3187">
        <v>18</v>
      </c>
      <c r="AC3187">
        <v>0.55669999999997799</v>
      </c>
      <c r="AD3187">
        <v>-5.05669999999998E-2</v>
      </c>
      <c r="AE3187">
        <v>-0.60769999999999402</v>
      </c>
      <c r="AF3187">
        <v>-0.42007220099660098</v>
      </c>
      <c r="AG3187">
        <v>-5.05669999999998E-2</v>
      </c>
      <c r="AH3187">
        <v>0.70545603531660395</v>
      </c>
      <c r="AI3187">
        <v>93.524277961233494</v>
      </c>
      <c r="AJ3187">
        <v>120.77218754471301</v>
      </c>
      <c r="AK3187">
        <v>0.822609198406966</v>
      </c>
      <c r="AL3187">
        <v>70.9826840397469</v>
      </c>
      <c r="AM3187">
        <v>107.309515199185</v>
      </c>
      <c r="AN3187">
        <v>1.0000000162657801</v>
      </c>
    </row>
    <row r="3188" spans="1:40" x14ac:dyDescent="0.25">
      <c r="A3188" t="str">
        <f>"20190304164151181"</f>
        <v>20190304164151181</v>
      </c>
      <c r="B3188" t="str">
        <f>"1551688911174316"</f>
        <v>1551688911174316</v>
      </c>
      <c r="C3188" t="s">
        <v>40</v>
      </c>
      <c r="D3188">
        <v>4.0526929999999997</v>
      </c>
      <c r="E3188">
        <v>0.43396509999999999</v>
      </c>
      <c r="F3188" t="s">
        <v>41</v>
      </c>
      <c r="G3188">
        <v>-493.64890000000003</v>
      </c>
      <c r="H3188">
        <v>1.0599419999999999</v>
      </c>
      <c r="I3188">
        <v>241.27930000000001</v>
      </c>
      <c r="J3188">
        <v>-494.19150000000002</v>
      </c>
      <c r="K3188">
        <v>1.111691</v>
      </c>
      <c r="L3188">
        <v>241.79759999999999</v>
      </c>
      <c r="M3188">
        <v>0.2071074</v>
      </c>
      <c r="N3188">
        <v>-9.7467539999999998E-3</v>
      </c>
      <c r="O3188">
        <v>-0.97826979999999997</v>
      </c>
      <c r="P3188">
        <v>0.46243260000000003</v>
      </c>
      <c r="Q3188">
        <v>0.31801119999999999</v>
      </c>
      <c r="R3188">
        <v>-0.82766249999999997</v>
      </c>
      <c r="S3188">
        <v>1.982361</v>
      </c>
      <c r="T3188">
        <v>-0.1698644</v>
      </c>
      <c r="U3188">
        <v>-2.5858460000000001</v>
      </c>
      <c r="V3188">
        <v>-0.28213519999999997</v>
      </c>
      <c r="W3188">
        <v>0.32582729999999999</v>
      </c>
      <c r="X3188">
        <v>0.9023504</v>
      </c>
      <c r="Y3188">
        <v>-0.43012709999999998</v>
      </c>
      <c r="Z3188">
        <v>4.4306110000000003E-2</v>
      </c>
      <c r="AA3188">
        <v>0.9016805</v>
      </c>
      <c r="AB3188">
        <v>18</v>
      </c>
      <c r="AC3188">
        <v>0.54259999999999298</v>
      </c>
      <c r="AD3188">
        <v>-5.1749000000000003E-2</v>
      </c>
      <c r="AE3188">
        <v>-0.518299999999982</v>
      </c>
      <c r="AF3188">
        <v>-0.42148085155731202</v>
      </c>
      <c r="AG3188">
        <v>-5.1749000000000003E-2</v>
      </c>
      <c r="AH3188">
        <v>0.61651082177007799</v>
      </c>
      <c r="AI3188">
        <v>93.963859752108604</v>
      </c>
      <c r="AJ3188">
        <v>124.358668372127</v>
      </c>
      <c r="AK3188">
        <v>0.74860514330993799</v>
      </c>
      <c r="AL3188">
        <v>70.984295219945693</v>
      </c>
      <c r="AM3188">
        <v>107.36274176907099</v>
      </c>
      <c r="AN3188">
        <v>0.99999997244224403</v>
      </c>
    </row>
    <row r="3189" spans="1:40" x14ac:dyDescent="0.25">
      <c r="A3189" t="str">
        <f>"20190304164151203"</f>
        <v>20190304164151203</v>
      </c>
      <c r="B3189" t="str">
        <f>"1551688911194811"</f>
        <v>1551688911194811</v>
      </c>
      <c r="C3189" t="s">
        <v>40</v>
      </c>
      <c r="D3189">
        <v>4.3878969999999997</v>
      </c>
      <c r="E3189">
        <v>0.43450040000000001</v>
      </c>
      <c r="F3189" t="s">
        <v>45</v>
      </c>
      <c r="G3189">
        <v>-481.19139999999999</v>
      </c>
      <c r="H3189" s="1">
        <v>3.2039130000000001E-6</v>
      </c>
      <c r="I3189">
        <v>224.90469999999999</v>
      </c>
      <c r="J3189">
        <v>-494.15019999999998</v>
      </c>
      <c r="K3189">
        <v>1.111726</v>
      </c>
      <c r="L3189">
        <v>241.6189</v>
      </c>
      <c r="M3189">
        <v>0.20982219999999999</v>
      </c>
      <c r="N3189">
        <v>-1.0106779999999999E-2</v>
      </c>
      <c r="O3189">
        <v>-0.97768770000000005</v>
      </c>
      <c r="P3189">
        <v>0.46547260000000001</v>
      </c>
      <c r="Q3189">
        <v>0.31729249999999998</v>
      </c>
      <c r="R3189">
        <v>-0.82623310000000005</v>
      </c>
      <c r="S3189">
        <v>1.9858089999999999</v>
      </c>
      <c r="T3189">
        <v>-0.1698141</v>
      </c>
      <c r="U3189">
        <v>-2.580444</v>
      </c>
      <c r="V3189">
        <v>-0.28289259999999999</v>
      </c>
      <c r="W3189">
        <v>0.32542870000000002</v>
      </c>
      <c r="X3189">
        <v>0.90225710000000003</v>
      </c>
      <c r="Y3189">
        <v>-0.42929240000000002</v>
      </c>
      <c r="Z3189">
        <v>4.3998549999999997E-2</v>
      </c>
      <c r="AA3189">
        <v>0.90209320000000004</v>
      </c>
      <c r="AB3189">
        <v>18</v>
      </c>
      <c r="AC3189">
        <v>12.958799999999901</v>
      </c>
      <c r="AD3189">
        <v>-1.111722796087</v>
      </c>
      <c r="AE3189">
        <v>-16.714200000000002</v>
      </c>
      <c r="AF3189">
        <v>-9.1378647855907307</v>
      </c>
      <c r="AG3189">
        <v>-1.111722796087</v>
      </c>
      <c r="AH3189">
        <v>19.008754785788</v>
      </c>
      <c r="AI3189">
        <v>93.017301792024199</v>
      </c>
      <c r="AJ3189">
        <v>115.674466186811</v>
      </c>
      <c r="AK3189">
        <v>21.1203517707754</v>
      </c>
      <c r="AL3189">
        <v>71.008449708401699</v>
      </c>
      <c r="AM3189">
        <v>107.40823168528399</v>
      </c>
      <c r="AN3189">
        <v>0.99999996820942905</v>
      </c>
    </row>
    <row r="3190" spans="1:40" x14ac:dyDescent="0.25">
      <c r="A3190" t="str">
        <f>"20190304164151224"</f>
        <v>20190304164151224</v>
      </c>
      <c r="B3190" t="str">
        <f>"1551688911213976"</f>
        <v>1551688911213976</v>
      </c>
      <c r="C3190" t="s">
        <v>40</v>
      </c>
      <c r="D3190">
        <v>4.0228020000000004</v>
      </c>
      <c r="E3190">
        <v>0.43508180000000002</v>
      </c>
      <c r="F3190" t="s">
        <v>41</v>
      </c>
      <c r="G3190">
        <v>-493.5487</v>
      </c>
      <c r="H3190">
        <v>1.0589010000000001</v>
      </c>
      <c r="I3190">
        <v>240.8391</v>
      </c>
      <c r="J3190">
        <v>-494.11009999999999</v>
      </c>
      <c r="K3190">
        <v>1.1117509999999999</v>
      </c>
      <c r="L3190">
        <v>241.44739999999999</v>
      </c>
      <c r="M3190">
        <v>0.21245649999999999</v>
      </c>
      <c r="N3190">
        <v>-1.0430190000000001E-2</v>
      </c>
      <c r="O3190">
        <v>-0.97711490000000001</v>
      </c>
      <c r="P3190">
        <v>0.468497</v>
      </c>
      <c r="Q3190">
        <v>0.31678859999999998</v>
      </c>
      <c r="R3190">
        <v>-0.82471559999999899</v>
      </c>
      <c r="S3190">
        <v>1.9889220000000001</v>
      </c>
      <c r="T3190">
        <v>-0.17459920000000001</v>
      </c>
      <c r="U3190">
        <v>-2.5774689999999998</v>
      </c>
      <c r="V3190">
        <v>-0.28372419999999998</v>
      </c>
      <c r="W3190">
        <v>0.32521539999999999</v>
      </c>
      <c r="X3190">
        <v>0.90207289999999996</v>
      </c>
      <c r="Y3190">
        <v>-0.42800379999999899</v>
      </c>
      <c r="Z3190">
        <v>4.5210050000000002E-2</v>
      </c>
      <c r="AA3190">
        <v>0.90264540000000004</v>
      </c>
      <c r="AB3190">
        <v>18</v>
      </c>
      <c r="AC3190">
        <v>0.56139999999999102</v>
      </c>
      <c r="AD3190">
        <v>-5.28499999999998E-2</v>
      </c>
      <c r="AE3190">
        <v>-0.60829999999998496</v>
      </c>
      <c r="AF3190">
        <v>-0.41763537380361399</v>
      </c>
      <c r="AG3190">
        <v>-5.28499999999998E-2</v>
      </c>
      <c r="AH3190">
        <v>0.71079341036761601</v>
      </c>
      <c r="AI3190">
        <v>93.668024080749404</v>
      </c>
      <c r="AJ3190">
        <v>120.436887066344</v>
      </c>
      <c r="AK3190">
        <v>0.82609908617193795</v>
      </c>
      <c r="AL3190">
        <v>71.021374511059804</v>
      </c>
      <c r="AM3190">
        <v>107.45964903286701</v>
      </c>
      <c r="AN3190">
        <v>0.99999999748860502</v>
      </c>
    </row>
    <row r="3191" spans="1:40" x14ac:dyDescent="0.25">
      <c r="A3191" t="str">
        <f>"20190304164151246"</f>
        <v>20190304164151246</v>
      </c>
      <c r="B3191" t="str">
        <f>"1551688911234473"</f>
        <v>1551688911234473</v>
      </c>
      <c r="C3191" t="s">
        <v>40</v>
      </c>
      <c r="D3191">
        <v>4.0224169999999999</v>
      </c>
      <c r="E3191">
        <v>0.43523070000000003</v>
      </c>
      <c r="F3191" t="s">
        <v>41</v>
      </c>
      <c r="G3191">
        <v>-493.4982</v>
      </c>
      <c r="H3191">
        <v>1.0573140000000001</v>
      </c>
      <c r="I3191">
        <v>240.6566</v>
      </c>
      <c r="J3191">
        <v>-494.06950000000001</v>
      </c>
      <c r="K3191">
        <v>1.1117649999999999</v>
      </c>
      <c r="L3191">
        <v>241.2756</v>
      </c>
      <c r="M3191">
        <v>0.2151044</v>
      </c>
      <c r="N3191">
        <v>-1.0729839999999999E-2</v>
      </c>
      <c r="O3191">
        <v>-0.97653219999999996</v>
      </c>
      <c r="P3191">
        <v>0.47168769999999999</v>
      </c>
      <c r="Q3191">
        <v>0.31657770000000002</v>
      </c>
      <c r="R3191">
        <v>-0.82297640000000005</v>
      </c>
      <c r="S3191">
        <v>1.992157</v>
      </c>
      <c r="T3191">
        <v>-0.17719460000000001</v>
      </c>
      <c r="U3191">
        <v>-2.574036</v>
      </c>
      <c r="V3191">
        <v>-0.28475</v>
      </c>
      <c r="W3191">
        <v>0.32527679999999998</v>
      </c>
      <c r="X3191">
        <v>0.90172750000000002</v>
      </c>
      <c r="Y3191">
        <v>-0.4268245</v>
      </c>
      <c r="Z3191">
        <v>4.5762450000000003E-2</v>
      </c>
      <c r="AA3191">
        <v>0.90317590000000003</v>
      </c>
      <c r="AB3191">
        <v>18</v>
      </c>
      <c r="AC3191">
        <v>0.57130000000000702</v>
      </c>
      <c r="AD3191">
        <v>-5.4450999999999999E-2</v>
      </c>
      <c r="AE3191">
        <v>-0.618999999999999</v>
      </c>
      <c r="AF3191">
        <v>-0.423000085589052</v>
      </c>
      <c r="AG3191">
        <v>-5.4450999999999999E-2</v>
      </c>
      <c r="AH3191">
        <v>0.72437749580119404</v>
      </c>
      <c r="AI3191">
        <v>93.7139898374989</v>
      </c>
      <c r="AJ3191">
        <v>120.282783054719</v>
      </c>
      <c r="AK3191">
        <v>0.84060498465840305</v>
      </c>
      <c r="AL3191">
        <v>71.017654755885204</v>
      </c>
      <c r="AM3191">
        <v>107.525218662886</v>
      </c>
      <c r="AN3191">
        <v>1.00000002168724</v>
      </c>
    </row>
    <row r="3192" spans="1:40" x14ac:dyDescent="0.25">
      <c r="A3192" t="str">
        <f>"20190304164151269"</f>
        <v>20190304164151269</v>
      </c>
      <c r="B3192" t="str">
        <f>"1551688911264729"</f>
        <v>1551688911264729</v>
      </c>
      <c r="C3192" t="s">
        <v>40</v>
      </c>
      <c r="D3192">
        <v>4.0247440000000001</v>
      </c>
      <c r="E3192">
        <v>0.43520880000000001</v>
      </c>
      <c r="F3192" t="s">
        <v>41</v>
      </c>
      <c r="G3192">
        <v>-493.44900000000001</v>
      </c>
      <c r="H3192">
        <v>1.055963</v>
      </c>
      <c r="I3192">
        <v>240.4785</v>
      </c>
      <c r="J3192">
        <v>-494.0265</v>
      </c>
      <c r="K3192">
        <v>1.1117699999999999</v>
      </c>
      <c r="L3192">
        <v>241.09630000000001</v>
      </c>
      <c r="M3192">
        <v>0.2178581</v>
      </c>
      <c r="N3192">
        <v>-1.1022489999999999E-2</v>
      </c>
      <c r="O3192">
        <v>-0.97591839999999996</v>
      </c>
      <c r="P3192">
        <v>0.47393039999999997</v>
      </c>
      <c r="Q3192">
        <v>0.31678269999999997</v>
      </c>
      <c r="R3192">
        <v>-0.82160769999999905</v>
      </c>
      <c r="S3192">
        <v>2</v>
      </c>
      <c r="T3192">
        <v>-0.1797841</v>
      </c>
      <c r="U3192">
        <v>-2.5681919999999998</v>
      </c>
      <c r="V3192">
        <v>-0.28466730000000001</v>
      </c>
      <c r="W3192">
        <v>0.32575959999999998</v>
      </c>
      <c r="X3192">
        <v>0.90157929999999997</v>
      </c>
      <c r="Y3192">
        <v>-0.4269655</v>
      </c>
      <c r="Z3192">
        <v>4.631503E-2</v>
      </c>
      <c r="AA3192">
        <v>0.90308109999999997</v>
      </c>
      <c r="AB3192">
        <v>18</v>
      </c>
      <c r="AC3192">
        <v>0.57749999999998602</v>
      </c>
      <c r="AD3192">
        <v>-5.58070000000001E-2</v>
      </c>
      <c r="AE3192">
        <v>-0.617800000000016</v>
      </c>
      <c r="AF3192">
        <v>-0.42716593791840402</v>
      </c>
      <c r="AG3192">
        <v>-5.58070000000001E-2</v>
      </c>
      <c r="AH3192">
        <v>0.72561970846141399</v>
      </c>
      <c r="AI3192">
        <v>93.791884581306903</v>
      </c>
      <c r="AJ3192">
        <v>120.484947560386</v>
      </c>
      <c r="AK3192">
        <v>0.84386558234966402</v>
      </c>
      <c r="AL3192">
        <v>70.988398757123704</v>
      </c>
      <c r="AM3192">
        <v>107.523143995319</v>
      </c>
      <c r="AN3192">
        <v>1.0000000114349601</v>
      </c>
    </row>
    <row r="3193" spans="1:40" x14ac:dyDescent="0.25">
      <c r="A3193" t="str">
        <f>"20190304164151293"</f>
        <v>20190304164151293</v>
      </c>
      <c r="B3193" t="str">
        <f>"1551688911284249"</f>
        <v>1551688911284249</v>
      </c>
      <c r="C3193" t="s">
        <v>40</v>
      </c>
      <c r="D3193">
        <v>4.0320580000000001</v>
      </c>
      <c r="E3193">
        <v>0.4350464</v>
      </c>
      <c r="F3193" t="s">
        <v>41</v>
      </c>
      <c r="G3193">
        <v>-493.39490000000001</v>
      </c>
      <c r="H3193">
        <v>1.05566</v>
      </c>
      <c r="I3193">
        <v>240.29089999999999</v>
      </c>
      <c r="J3193">
        <v>-493.98020000000002</v>
      </c>
      <c r="K3193">
        <v>1.111769</v>
      </c>
      <c r="L3193">
        <v>240.90530000000001</v>
      </c>
      <c r="M3193">
        <v>0.2207538</v>
      </c>
      <c r="N3193">
        <v>-1.1327159999999999E-2</v>
      </c>
      <c r="O3193">
        <v>-0.97526380000000001</v>
      </c>
      <c r="P3193">
        <v>0.47660950000000002</v>
      </c>
      <c r="Q3193">
        <v>0.31699559999999999</v>
      </c>
      <c r="R3193">
        <v>-0.81997419999999999</v>
      </c>
      <c r="S3193">
        <v>2.0084230000000001</v>
      </c>
      <c r="T3193">
        <v>-0.17844370000000001</v>
      </c>
      <c r="U3193">
        <v>-2.5616300000000001</v>
      </c>
      <c r="V3193">
        <v>-0.28492469999999998</v>
      </c>
      <c r="W3193">
        <v>0.32626949999999999</v>
      </c>
      <c r="X3193">
        <v>0.90131360000000005</v>
      </c>
      <c r="Y3193">
        <v>-0.42725970000000002</v>
      </c>
      <c r="Z3193">
        <v>4.5629339999999997E-2</v>
      </c>
      <c r="AA3193">
        <v>0.90297680000000002</v>
      </c>
      <c r="AB3193">
        <v>18</v>
      </c>
      <c r="AC3193">
        <v>0.58530000000001703</v>
      </c>
      <c r="AD3193">
        <v>-5.6108999999999902E-2</v>
      </c>
      <c r="AE3193">
        <v>-0.61440000000001704</v>
      </c>
      <c r="AF3193">
        <v>-0.43332412852461299</v>
      </c>
      <c r="AG3193">
        <v>-5.6108999999999902E-2</v>
      </c>
      <c r="AH3193">
        <v>0.72528495355993305</v>
      </c>
      <c r="AI3193">
        <v>93.799506342871695</v>
      </c>
      <c r="AJ3193">
        <v>120.856359364196</v>
      </c>
      <c r="AK3193">
        <v>0.846732711133241</v>
      </c>
      <c r="AL3193">
        <v>70.957495750124394</v>
      </c>
      <c r="AM3193">
        <v>107.54287072212701</v>
      </c>
      <c r="AN3193">
        <v>1.00000003842264</v>
      </c>
    </row>
    <row r="3194" spans="1:40" x14ac:dyDescent="0.25">
      <c r="A3194" t="str">
        <f>"20190304164151314"</f>
        <v>20190304164151314</v>
      </c>
      <c r="B3194" t="str">
        <f>"1551688911303768"</f>
        <v>1551688911303768</v>
      </c>
      <c r="C3194" t="s">
        <v>40</v>
      </c>
      <c r="D3194">
        <v>4.0195019999999904</v>
      </c>
      <c r="E3194">
        <v>0.43508229999999998</v>
      </c>
      <c r="F3194" t="s">
        <v>45</v>
      </c>
      <c r="G3194">
        <v>-481.28410000000002</v>
      </c>
      <c r="H3194" s="1">
        <v>3.2094600000000001E-6</v>
      </c>
      <c r="I3194">
        <v>224.83690000000001</v>
      </c>
      <c r="J3194">
        <v>-493.93819999999999</v>
      </c>
      <c r="K3194">
        <v>1.1117600000000001</v>
      </c>
      <c r="L3194">
        <v>240.73439999999999</v>
      </c>
      <c r="M3194">
        <v>0.2232818</v>
      </c>
      <c r="N3194">
        <v>-1.160475E-2</v>
      </c>
      <c r="O3194">
        <v>-0.97468509999999997</v>
      </c>
      <c r="P3194">
        <v>0.47959239999999997</v>
      </c>
      <c r="Q3194">
        <v>0.3179186</v>
      </c>
      <c r="R3194">
        <v>-0.81787509999999997</v>
      </c>
      <c r="S3194">
        <v>2.018005</v>
      </c>
      <c r="T3194">
        <v>-0.1767117</v>
      </c>
      <c r="U3194">
        <v>-2.5540310000000002</v>
      </c>
      <c r="V3194">
        <v>-0.28591420000000001</v>
      </c>
      <c r="W3194">
        <v>0.327468599999999</v>
      </c>
      <c r="X3194">
        <v>0.90056499999999995</v>
      </c>
      <c r="Y3194">
        <v>-0.4283266</v>
      </c>
      <c r="Z3194">
        <v>4.4852030000000001E-2</v>
      </c>
      <c r="AA3194">
        <v>0.90251020000000004</v>
      </c>
      <c r="AB3194">
        <v>18</v>
      </c>
      <c r="AC3194">
        <v>12.6540999999999</v>
      </c>
      <c r="AD3194">
        <v>-1.1117567905399901</v>
      </c>
      <c r="AE3194">
        <v>-15.8974999999999</v>
      </c>
      <c r="AF3194">
        <v>-8.7585086889352208</v>
      </c>
      <c r="AG3194">
        <v>-1.1117567905399901</v>
      </c>
      <c r="AH3194">
        <v>18.2670284695965</v>
      </c>
      <c r="AI3194">
        <v>93.141199663608205</v>
      </c>
      <c r="AJ3194">
        <v>115.616362526236</v>
      </c>
      <c r="AK3194">
        <v>20.288711312562899</v>
      </c>
      <c r="AL3194">
        <v>70.884797697376101</v>
      </c>
      <c r="AM3194">
        <v>107.613765521212</v>
      </c>
      <c r="AN3194">
        <v>0.99999996648629896</v>
      </c>
    </row>
    <row r="3195" spans="1:40" x14ac:dyDescent="0.25">
      <c r="A3195" t="str">
        <f>"20190304164151338"</f>
        <v>20190304164151338</v>
      </c>
      <c r="B3195" t="str">
        <f>"1551688911334309"</f>
        <v>1551688911334309</v>
      </c>
      <c r="C3195" t="s">
        <v>40</v>
      </c>
      <c r="D3195">
        <v>4.0362280000000004</v>
      </c>
      <c r="E3195">
        <v>0.4350311</v>
      </c>
      <c r="F3195" t="s">
        <v>45</v>
      </c>
      <c r="G3195">
        <v>-481.00689999999997</v>
      </c>
      <c r="H3195" s="1">
        <v>3.0497849999999998E-6</v>
      </c>
      <c r="I3195">
        <v>224.45660000000001</v>
      </c>
      <c r="J3195">
        <v>-493.89319999999998</v>
      </c>
      <c r="K3195">
        <v>1.1117189999999999</v>
      </c>
      <c r="L3195">
        <v>240.55279999999999</v>
      </c>
      <c r="M3195">
        <v>0.2258655</v>
      </c>
      <c r="N3195">
        <v>-1.1901220000000001E-2</v>
      </c>
      <c r="O3195">
        <v>-0.97408609999999896</v>
      </c>
      <c r="P3195">
        <v>0.48319230000000002</v>
      </c>
      <c r="Q3195">
        <v>0.31811850000000003</v>
      </c>
      <c r="R3195">
        <v>-0.81567539999999905</v>
      </c>
      <c r="S3195">
        <v>2.024597</v>
      </c>
      <c r="T3195">
        <v>-0.174063299999999</v>
      </c>
      <c r="U3195">
        <v>-2.5485380000000002</v>
      </c>
      <c r="V3195">
        <v>-0.28745359999999998</v>
      </c>
      <c r="W3195">
        <v>0.32798179999999999</v>
      </c>
      <c r="X3195">
        <v>0.89988799999999902</v>
      </c>
      <c r="Y3195">
        <v>-0.42833660000000001</v>
      </c>
      <c r="Z3195">
        <v>4.3764169999999998E-2</v>
      </c>
      <c r="AA3195">
        <v>0.90255890000000005</v>
      </c>
      <c r="AB3195">
        <v>18</v>
      </c>
      <c r="AC3195">
        <v>12.8863</v>
      </c>
      <c r="AD3195">
        <v>-1.111715950215</v>
      </c>
      <c r="AE3195">
        <v>-16.0961999999999</v>
      </c>
      <c r="AF3195">
        <v>-8.8915701898814596</v>
      </c>
      <c r="AG3195">
        <v>-1.111715950215</v>
      </c>
      <c r="AH3195">
        <v>18.537078353909202</v>
      </c>
      <c r="AI3195">
        <v>93.095181885180594</v>
      </c>
      <c r="AJ3195">
        <v>115.625359940826</v>
      </c>
      <c r="AK3195">
        <v>20.589298353623398</v>
      </c>
      <c r="AL3195">
        <v>70.853675795793905</v>
      </c>
      <c r="AM3195">
        <v>107.71517901247201</v>
      </c>
      <c r="AN3195">
        <v>1.00000002291409</v>
      </c>
    </row>
    <row r="3196" spans="1:40" x14ac:dyDescent="0.25">
      <c r="A3196" t="str">
        <f>"20190304164151361"</f>
        <v>20190304164151361</v>
      </c>
      <c r="B3196" t="str">
        <f>"1551688911353829"</f>
        <v>1551688911353829</v>
      </c>
      <c r="C3196" t="s">
        <v>40</v>
      </c>
      <c r="D3196">
        <v>4.0348280000000001</v>
      </c>
      <c r="E3196">
        <v>0.43498920000000002</v>
      </c>
      <c r="F3196" t="s">
        <v>45</v>
      </c>
      <c r="G3196">
        <v>-480.94940000000003</v>
      </c>
      <c r="H3196" s="1">
        <v>3.0128900000000001E-6</v>
      </c>
      <c r="I3196">
        <v>224.37870000000001</v>
      </c>
      <c r="J3196">
        <v>-493.84800000000001</v>
      </c>
      <c r="K3196">
        <v>1.1116459999999999</v>
      </c>
      <c r="L3196">
        <v>240.37119999999999</v>
      </c>
      <c r="M3196">
        <v>0.22830420000000001</v>
      </c>
      <c r="N3196">
        <v>-1.2183060000000001E-2</v>
      </c>
      <c r="O3196">
        <v>-0.97351370000000004</v>
      </c>
      <c r="P3196">
        <v>0.48592170000000001</v>
      </c>
      <c r="Q3196">
        <v>0.31856370000000001</v>
      </c>
      <c r="R3196">
        <v>-0.81387769999999904</v>
      </c>
      <c r="S3196">
        <v>2.0337830000000001</v>
      </c>
      <c r="T3196">
        <v>-0.17467739999999901</v>
      </c>
      <c r="U3196">
        <v>-2.5413359999999998</v>
      </c>
      <c r="V3196">
        <v>-0.28816910000000001</v>
      </c>
      <c r="W3196">
        <v>0.32875159999999998</v>
      </c>
      <c r="X3196">
        <v>0.89937809999999996</v>
      </c>
      <c r="Y3196">
        <v>-0.42930639999999998</v>
      </c>
      <c r="Z3196">
        <v>4.3716310000000001E-2</v>
      </c>
      <c r="AA3196">
        <v>0.90210029999999997</v>
      </c>
      <c r="AB3196">
        <v>18</v>
      </c>
      <c r="AC3196">
        <v>12.898599999999901</v>
      </c>
      <c r="AD3196">
        <v>-1.11164298711</v>
      </c>
      <c r="AE3196">
        <v>-15.9924999999999</v>
      </c>
      <c r="AF3196">
        <v>-8.8804725944230292</v>
      </c>
      <c r="AG3196">
        <v>-1.11164298711</v>
      </c>
      <c r="AH3196">
        <v>18.461052375366201</v>
      </c>
      <c r="AI3196">
        <v>93.106036800609203</v>
      </c>
      <c r="AJ3196">
        <v>115.689334880584</v>
      </c>
      <c r="AK3196">
        <v>20.516066836435801</v>
      </c>
      <c r="AL3196">
        <v>70.806979908513895</v>
      </c>
      <c r="AM3196">
        <v>107.76594149141999</v>
      </c>
      <c r="AN3196">
        <v>1.0000000057284899</v>
      </c>
    </row>
    <row r="3197" spans="1:40" x14ac:dyDescent="0.25">
      <c r="A3197" t="str">
        <f>"20190304164151382"</f>
        <v>20190304164151382</v>
      </c>
      <c r="B3197" t="str">
        <f>"1551688911374325"</f>
        <v>1551688911374325</v>
      </c>
      <c r="C3197" t="s">
        <v>40</v>
      </c>
      <c r="D3197">
        <v>4.1841689999999998</v>
      </c>
      <c r="E3197">
        <v>0.43514960000000003</v>
      </c>
      <c r="F3197" t="s">
        <v>45</v>
      </c>
      <c r="G3197">
        <v>-480.779</v>
      </c>
      <c r="H3197" s="1">
        <v>2.9077729999999998E-6</v>
      </c>
      <c r="I3197">
        <v>224.14359999999999</v>
      </c>
      <c r="J3197">
        <v>-493.80689999999998</v>
      </c>
      <c r="K3197">
        <v>1.111548</v>
      </c>
      <c r="L3197">
        <v>240.20760000000001</v>
      </c>
      <c r="M3197">
        <v>0.23033090000000001</v>
      </c>
      <c r="N3197">
        <v>-1.241137E-2</v>
      </c>
      <c r="O3197">
        <v>-0.97303340000000005</v>
      </c>
      <c r="P3197">
        <v>0.48808780000000002</v>
      </c>
      <c r="Q3197">
        <v>0.31989060000000002</v>
      </c>
      <c r="R3197">
        <v>-0.81205950000000005</v>
      </c>
      <c r="S3197">
        <v>2.0416259999999999</v>
      </c>
      <c r="T3197">
        <v>-0.17365939999999999</v>
      </c>
      <c r="U3197">
        <v>-2.5350649999999999</v>
      </c>
      <c r="V3197">
        <v>-0.28871750000000002</v>
      </c>
      <c r="W3197">
        <v>0.33036140000000003</v>
      </c>
      <c r="X3197">
        <v>0.89861199999999997</v>
      </c>
      <c r="Y3197">
        <v>-0.43021969999999998</v>
      </c>
      <c r="Z3197">
        <v>4.3204800000000002E-2</v>
      </c>
      <c r="AA3197">
        <v>0.90168970000000004</v>
      </c>
      <c r="AB3197">
        <v>18</v>
      </c>
      <c r="AC3197">
        <v>13.027899999999899</v>
      </c>
      <c r="AD3197">
        <v>-1.111545092227</v>
      </c>
      <c r="AE3197">
        <v>-16.064</v>
      </c>
      <c r="AF3197">
        <v>-8.9513822177899396</v>
      </c>
      <c r="AG3197">
        <v>-1.111545092227</v>
      </c>
      <c r="AH3197">
        <v>18.579306508437899</v>
      </c>
      <c r="AI3197">
        <v>93.0851259075569</v>
      </c>
      <c r="AJ3197">
        <v>115.72444765947699</v>
      </c>
      <c r="AK3197">
        <v>20.653169404125499</v>
      </c>
      <c r="AL3197">
        <v>70.709287297804295</v>
      </c>
      <c r="AM3197">
        <v>107.811834165202</v>
      </c>
      <c r="AN3197">
        <v>0.99999998798010503</v>
      </c>
    </row>
    <row r="3198" spans="1:40" x14ac:dyDescent="0.25">
      <c r="A3198" t="str">
        <f>"20190304164151404"</f>
        <v>20190304164151404</v>
      </c>
      <c r="B3198" t="str">
        <f>"1551688911393844"</f>
        <v>1551688911393844</v>
      </c>
      <c r="C3198" t="s">
        <v>40</v>
      </c>
      <c r="D3198">
        <v>4.0345329999999997</v>
      </c>
      <c r="E3198">
        <v>0.4354481</v>
      </c>
      <c r="F3198" t="s">
        <v>45</v>
      </c>
      <c r="G3198">
        <v>-480.33</v>
      </c>
      <c r="H3198" s="1">
        <v>2.7025169999999998E-6</v>
      </c>
      <c r="I3198">
        <v>223.5754</v>
      </c>
      <c r="J3198">
        <v>-493.76389999999998</v>
      </c>
      <c r="K3198">
        <v>1.111423</v>
      </c>
      <c r="L3198">
        <v>240.0359</v>
      </c>
      <c r="M3198">
        <v>0.2322285</v>
      </c>
      <c r="N3198">
        <v>-1.262128E-2</v>
      </c>
      <c r="O3198">
        <v>-0.97257969999999905</v>
      </c>
      <c r="P3198">
        <v>0.49001210000000001</v>
      </c>
      <c r="Q3198">
        <v>0.32081799999999999</v>
      </c>
      <c r="R3198">
        <v>-0.81053359999999997</v>
      </c>
      <c r="S3198">
        <v>2.0493769999999998</v>
      </c>
      <c r="T3198">
        <v>-0.16902819999999999</v>
      </c>
      <c r="U3198">
        <v>-2.5291899999999998</v>
      </c>
      <c r="V3198">
        <v>-0.2890607</v>
      </c>
      <c r="W3198">
        <v>0.33157809999999999</v>
      </c>
      <c r="X3198">
        <v>0.89805330000000005</v>
      </c>
      <c r="Y3198">
        <v>-0.43119540000000001</v>
      </c>
      <c r="Z3198">
        <v>4.1571469999999999E-2</v>
      </c>
      <c r="AA3198">
        <v>0.9013004</v>
      </c>
      <c r="AB3198">
        <v>18</v>
      </c>
      <c r="AC3198">
        <v>13.4338999999999</v>
      </c>
      <c r="AD3198">
        <v>-1.1114202974830001</v>
      </c>
      <c r="AE3198">
        <v>-16.4604999999999</v>
      </c>
      <c r="AF3198">
        <v>-9.2184492208177709</v>
      </c>
      <c r="AG3198">
        <v>-1.1114202974830001</v>
      </c>
      <c r="AH3198">
        <v>19.078194799728301</v>
      </c>
      <c r="AI3198">
        <v>93.0026215455228</v>
      </c>
      <c r="AJ3198">
        <v>115.789505938492</v>
      </c>
      <c r="AK3198">
        <v>21.2177420554317</v>
      </c>
      <c r="AL3198">
        <v>70.635410779889099</v>
      </c>
      <c r="AM3198">
        <v>107.842057256502</v>
      </c>
      <c r="AN3198">
        <v>0.99999992716249197</v>
      </c>
    </row>
    <row r="3199" spans="1:40" x14ac:dyDescent="0.25">
      <c r="A3199" t="str">
        <f>"20190304164151426"</f>
        <v>20190304164151426</v>
      </c>
      <c r="B3199" t="str">
        <f>"1551688911414341"</f>
        <v>1551688911414341</v>
      </c>
      <c r="C3199" t="s">
        <v>40</v>
      </c>
      <c r="D3199">
        <v>4.0488049999999998</v>
      </c>
      <c r="E3199">
        <v>0.43572929999999999</v>
      </c>
      <c r="F3199" t="s">
        <v>41</v>
      </c>
      <c r="G3199">
        <v>-493.14789999999999</v>
      </c>
      <c r="H3199">
        <v>1.0615479999999999</v>
      </c>
      <c r="I3199">
        <v>239.27809999999999</v>
      </c>
      <c r="J3199">
        <v>-493.72160000000002</v>
      </c>
      <c r="K3199">
        <v>1.1112869999999999</v>
      </c>
      <c r="L3199">
        <v>239.8683</v>
      </c>
      <c r="M3199">
        <v>0.23385069999999999</v>
      </c>
      <c r="N3199">
        <v>-1.280237E-2</v>
      </c>
      <c r="O3199">
        <v>-0.97218839999999995</v>
      </c>
      <c r="P3199">
        <v>0.49135849999999998</v>
      </c>
      <c r="Q3199">
        <v>0.32149889999999998</v>
      </c>
      <c r="R3199">
        <v>-0.8094479</v>
      </c>
      <c r="S3199">
        <v>2.0537109999999998</v>
      </c>
      <c r="T3199">
        <v>-0.16621729999999901</v>
      </c>
      <c r="U3199">
        <v>-2.5255130000000001</v>
      </c>
      <c r="V3199">
        <v>-0.28898970000000002</v>
      </c>
      <c r="W3199">
        <v>0.3325303</v>
      </c>
      <c r="X3199">
        <v>0.89772410000000002</v>
      </c>
      <c r="Y3199">
        <v>-0.4312898</v>
      </c>
      <c r="Z3199">
        <v>4.0533960000000001E-2</v>
      </c>
      <c r="AA3199">
        <v>0.90130250000000001</v>
      </c>
      <c r="AB3199">
        <v>18</v>
      </c>
      <c r="AC3199">
        <v>0.57370000000002996</v>
      </c>
      <c r="AD3199">
        <v>-4.97390000000002E-2</v>
      </c>
      <c r="AE3199">
        <v>-0.59020000000000905</v>
      </c>
      <c r="AF3199">
        <v>-0.41823283498258801</v>
      </c>
      <c r="AG3199">
        <v>-4.97390000000002E-2</v>
      </c>
      <c r="AH3199">
        <v>0.705427573426335</v>
      </c>
      <c r="AI3199">
        <v>93.470777442716894</v>
      </c>
      <c r="AJ3199">
        <v>120.662789855667</v>
      </c>
      <c r="AK3199">
        <v>0.82159645430633499</v>
      </c>
      <c r="AL3199">
        <v>70.577573515629197</v>
      </c>
      <c r="AM3199">
        <v>107.844079101286</v>
      </c>
      <c r="AN3199">
        <v>1.0000000034224901</v>
      </c>
    </row>
    <row r="3200" spans="1:40" x14ac:dyDescent="0.25">
      <c r="A3200" t="str">
        <f>"20190304164151448"</f>
        <v>20190304164151448</v>
      </c>
      <c r="B3200" t="str">
        <f>"1551688911444597"</f>
        <v>1551688911444597</v>
      </c>
      <c r="C3200" t="s">
        <v>40</v>
      </c>
      <c r="D3200">
        <v>4.0080239999999998</v>
      </c>
      <c r="E3200">
        <v>0.43611480000000002</v>
      </c>
      <c r="F3200" t="s">
        <v>41</v>
      </c>
      <c r="G3200">
        <v>-493.09840000000003</v>
      </c>
      <c r="H3200">
        <v>1.061609</v>
      </c>
      <c r="I3200">
        <v>239.10380000000001</v>
      </c>
      <c r="J3200">
        <v>-493.67669999999998</v>
      </c>
      <c r="K3200">
        <v>1.111148</v>
      </c>
      <c r="L3200">
        <v>239.69</v>
      </c>
      <c r="M3200">
        <v>0.23535449999999999</v>
      </c>
      <c r="N3200">
        <v>-1.29725E-2</v>
      </c>
      <c r="O3200">
        <v>-0.97182299999999999</v>
      </c>
      <c r="P3200">
        <v>0.49202050000000003</v>
      </c>
      <c r="Q3200">
        <v>0.32159080000000001</v>
      </c>
      <c r="R3200">
        <v>-0.80900879999999997</v>
      </c>
      <c r="S3200">
        <v>2.0564580000000001</v>
      </c>
      <c r="T3200">
        <v>-0.16394700000000001</v>
      </c>
      <c r="U3200">
        <v>-2.5230260000000002</v>
      </c>
      <c r="V3200">
        <v>-0.28821669999999999</v>
      </c>
      <c r="W3200">
        <v>0.33288649999999997</v>
      </c>
      <c r="X3200">
        <v>0.89784059999999899</v>
      </c>
      <c r="Y3200">
        <v>-0.43093979999999998</v>
      </c>
      <c r="Z3200">
        <v>3.9672869999999999E-2</v>
      </c>
      <c r="AA3200">
        <v>0.90150819999999998</v>
      </c>
      <c r="AB3200">
        <v>18</v>
      </c>
      <c r="AC3200">
        <v>0.57829999999995596</v>
      </c>
      <c r="AD3200">
        <v>-4.9539E-2</v>
      </c>
      <c r="AE3200">
        <v>-0.58619999999999095</v>
      </c>
      <c r="AF3200">
        <v>-0.42254679706891901</v>
      </c>
      <c r="AG3200">
        <v>-4.9539E-2</v>
      </c>
      <c r="AH3200">
        <v>0.70330208857840404</v>
      </c>
      <c r="AI3200">
        <v>93.455234051029905</v>
      </c>
      <c r="AJ3200">
        <v>120.997621764591</v>
      </c>
      <c r="AK3200">
        <v>0.82196942524217298</v>
      </c>
      <c r="AL3200">
        <v>70.555932071358001</v>
      </c>
      <c r="AM3200">
        <v>107.797201068227</v>
      </c>
      <c r="AN3200">
        <v>1.0000000155247399</v>
      </c>
    </row>
    <row r="3201" spans="1:40" x14ac:dyDescent="0.25">
      <c r="A3201" t="str">
        <f>"20190304164151470"</f>
        <v>20190304164151470</v>
      </c>
      <c r="B3201" t="str">
        <f>"1551688911464117"</f>
        <v>1551688911464117</v>
      </c>
      <c r="C3201" t="s">
        <v>40</v>
      </c>
      <c r="D3201">
        <v>4.0375129999999997</v>
      </c>
      <c r="E3201">
        <v>0.43611660000000002</v>
      </c>
      <c r="F3201" t="s">
        <v>41</v>
      </c>
      <c r="G3201">
        <v>-493.03809999999999</v>
      </c>
      <c r="H3201">
        <v>1.060395</v>
      </c>
      <c r="I3201">
        <v>238.9067</v>
      </c>
      <c r="J3201">
        <v>-493.63290000000001</v>
      </c>
      <c r="K3201">
        <v>1.111032</v>
      </c>
      <c r="L3201">
        <v>239.5162</v>
      </c>
      <c r="M3201">
        <v>0.23660220000000001</v>
      </c>
      <c r="N3201">
        <v>-1.3117709999999999E-2</v>
      </c>
      <c r="O3201">
        <v>-0.97151810000000005</v>
      </c>
      <c r="P3201">
        <v>0.49200129999999997</v>
      </c>
      <c r="Q3201">
        <v>0.32250000000000001</v>
      </c>
      <c r="R3201">
        <v>-0.8086584</v>
      </c>
      <c r="S3201">
        <v>2.0570979999999999</v>
      </c>
      <c r="T3201">
        <v>-0.163434</v>
      </c>
      <c r="U3201">
        <v>-2.5221710000000002</v>
      </c>
      <c r="V3201">
        <v>-0.28701690000000002</v>
      </c>
      <c r="W3201">
        <v>0.33401890000000001</v>
      </c>
      <c r="X3201">
        <v>0.89780439999999995</v>
      </c>
      <c r="Y3201">
        <v>-0.43007380000000001</v>
      </c>
      <c r="Z3201">
        <v>3.9381670000000001E-2</v>
      </c>
      <c r="AA3201">
        <v>0.90193429999999997</v>
      </c>
      <c r="AB3201">
        <v>18</v>
      </c>
      <c r="AC3201">
        <v>0.59480000000001998</v>
      </c>
      <c r="AD3201">
        <v>-5.0637000000000001E-2</v>
      </c>
      <c r="AE3201">
        <v>-0.60949999999999704</v>
      </c>
      <c r="AF3201">
        <v>-0.432159386696082</v>
      </c>
      <c r="AG3201">
        <v>-5.0637000000000001E-2</v>
      </c>
      <c r="AH3201">
        <v>0.73035225085158995</v>
      </c>
      <c r="AI3201">
        <v>93.4147318775222</v>
      </c>
      <c r="AJ3201">
        <v>120.613381749266</v>
      </c>
      <c r="AK3201">
        <v>0.85014131272543003</v>
      </c>
      <c r="AL3201">
        <v>70.487111873418201</v>
      </c>
      <c r="AM3201">
        <v>107.728431613732</v>
      </c>
      <c r="AN3201">
        <v>1.0000000335510799</v>
      </c>
    </row>
    <row r="3202" spans="1:40" x14ac:dyDescent="0.25">
      <c r="A3202" t="str">
        <f>"20190304164151493"</f>
        <v>20190304164151493</v>
      </c>
      <c r="B3202" t="str">
        <f>"1551688911484613"</f>
        <v>1551688911484613</v>
      </c>
      <c r="C3202" t="s">
        <v>40</v>
      </c>
      <c r="D3202">
        <v>4.0400809999999998</v>
      </c>
      <c r="E3202">
        <v>0.4360967</v>
      </c>
      <c r="F3202" t="s">
        <v>45</v>
      </c>
      <c r="G3202">
        <v>-479.90640000000002</v>
      </c>
      <c r="H3202">
        <v>4.2926230000000003E-2</v>
      </c>
      <c r="I3202">
        <v>222.7243</v>
      </c>
      <c r="J3202">
        <v>-493.58920000000001</v>
      </c>
      <c r="K3202">
        <v>1.1109359999999999</v>
      </c>
      <c r="L3202">
        <v>239.3424</v>
      </c>
      <c r="M3202">
        <v>0.23761969999999999</v>
      </c>
      <c r="N3202">
        <v>-1.324356E-2</v>
      </c>
      <c r="O3202">
        <v>-0.97126809999999997</v>
      </c>
      <c r="P3202">
        <v>0.49220589999999997</v>
      </c>
      <c r="Q3202">
        <v>0.3250712</v>
      </c>
      <c r="R3202">
        <v>-0.80750390000000005</v>
      </c>
      <c r="S3202">
        <v>2.0602109999999998</v>
      </c>
      <c r="T3202">
        <v>-0.16031219999999999</v>
      </c>
      <c r="U3202">
        <v>-2.5202939999999998</v>
      </c>
      <c r="V3202">
        <v>-0.28644979999999998</v>
      </c>
      <c r="W3202">
        <v>0.33677570000000001</v>
      </c>
      <c r="X3202">
        <v>0.89695519999999995</v>
      </c>
      <c r="Y3202">
        <v>-0.43015300000000001</v>
      </c>
      <c r="Z3202">
        <v>3.8284029999999997E-2</v>
      </c>
      <c r="AA3202">
        <v>0.90194390000000002</v>
      </c>
      <c r="AB3202">
        <v>18</v>
      </c>
      <c r="AC3202">
        <v>13.682799999999901</v>
      </c>
      <c r="AD3202">
        <v>-1.06800977</v>
      </c>
      <c r="AE3202">
        <v>-16.618099999999998</v>
      </c>
      <c r="AF3202">
        <v>-9.3187585705322</v>
      </c>
      <c r="AG3202">
        <v>-1.06800977</v>
      </c>
      <c r="AH3202">
        <v>19.3460101364794</v>
      </c>
      <c r="AI3202">
        <v>92.847338521961603</v>
      </c>
      <c r="AJ3202">
        <v>115.719601193741</v>
      </c>
      <c r="AK3202">
        <v>21.499953822402698</v>
      </c>
      <c r="AL3202">
        <v>70.319446331664395</v>
      </c>
      <c r="AM3202">
        <v>107.711297222478</v>
      </c>
      <c r="AN3202">
        <v>0.99999999541878404</v>
      </c>
    </row>
    <row r="3203" spans="1:40" x14ac:dyDescent="0.25">
      <c r="A3203" t="str">
        <f>"20190304164151514"</f>
        <v>20190304164151514</v>
      </c>
      <c r="B3203" t="str">
        <f>"1551688911504133"</f>
        <v>1551688911504133</v>
      </c>
      <c r="C3203" t="s">
        <v>40</v>
      </c>
      <c r="D3203">
        <v>4.0336809999999996</v>
      </c>
      <c r="E3203">
        <v>0.43608459999999899</v>
      </c>
      <c r="F3203" t="s">
        <v>45</v>
      </c>
      <c r="G3203">
        <v>-479.59280000000001</v>
      </c>
      <c r="H3203">
        <v>8.0000500000000002E-2</v>
      </c>
      <c r="I3203">
        <v>222.2747</v>
      </c>
      <c r="J3203">
        <v>-493.54739999999998</v>
      </c>
      <c r="K3203">
        <v>1.110851</v>
      </c>
      <c r="L3203">
        <v>239.1764</v>
      </c>
      <c r="M3203">
        <v>0.23837240000000001</v>
      </c>
      <c r="N3203">
        <v>-1.334748E-2</v>
      </c>
      <c r="O3203">
        <v>-0.97108229999999995</v>
      </c>
      <c r="P3203">
        <v>0.4928265</v>
      </c>
      <c r="Q3203">
        <v>0.32727990000000001</v>
      </c>
      <c r="R3203">
        <v>-0.80623219999999995</v>
      </c>
      <c r="S3203">
        <v>2.0647579999999999</v>
      </c>
      <c r="T3203">
        <v>-0.15208479999999999</v>
      </c>
      <c r="U3203">
        <v>-2.5178530000000001</v>
      </c>
      <c r="V3203">
        <v>-0.28656670000000001</v>
      </c>
      <c r="W3203">
        <v>0.33914339999999998</v>
      </c>
      <c r="X3203">
        <v>0.89602519999999997</v>
      </c>
      <c r="Y3203">
        <v>-0.43092429999999898</v>
      </c>
      <c r="Z3203">
        <v>3.5600960000000001E-2</v>
      </c>
      <c r="AA3203">
        <v>0.90168550000000003</v>
      </c>
      <c r="AB3203">
        <v>18</v>
      </c>
      <c r="AC3203">
        <v>13.9545999999999</v>
      </c>
      <c r="AD3203">
        <v>-1.0308504999999999</v>
      </c>
      <c r="AE3203">
        <v>-16.901700000000002</v>
      </c>
      <c r="AF3203">
        <v>-9.5019940983102895</v>
      </c>
      <c r="AG3203">
        <v>-1.0308504999999999</v>
      </c>
      <c r="AH3203">
        <v>19.697516538866601</v>
      </c>
      <c r="AI3203">
        <v>92.698707731035199</v>
      </c>
      <c r="AJ3203">
        <v>115.75245407214901</v>
      </c>
      <c r="AK3203">
        <v>21.893896464462301</v>
      </c>
      <c r="AL3203">
        <v>70.175304773133107</v>
      </c>
      <c r="AM3203">
        <v>107.735311265006</v>
      </c>
      <c r="AN3203">
        <v>0.99999993917374297</v>
      </c>
    </row>
    <row r="3204" spans="1:40" x14ac:dyDescent="0.25">
      <c r="A3204" t="str">
        <f>"20190304164151539"</f>
        <v>20190304164151539</v>
      </c>
      <c r="B3204" t="str">
        <f>"1551688911534389"</f>
        <v>1551688911534389</v>
      </c>
      <c r="C3204" t="s">
        <v>40</v>
      </c>
      <c r="D3204">
        <v>4.0427099999999996</v>
      </c>
      <c r="E3204">
        <v>0.43602679999999999</v>
      </c>
      <c r="F3204" t="s">
        <v>45</v>
      </c>
      <c r="G3204">
        <v>-478.88679999999999</v>
      </c>
      <c r="H3204">
        <v>8.0000450000000001E-2</v>
      </c>
      <c r="I3204">
        <v>221.3544</v>
      </c>
      <c r="J3204">
        <v>-493.50220000000002</v>
      </c>
      <c r="K3204">
        <v>1.110749</v>
      </c>
      <c r="L3204">
        <v>238.99610000000001</v>
      </c>
      <c r="M3204">
        <v>0.23896700000000001</v>
      </c>
      <c r="N3204">
        <v>-1.3445520000000001E-2</v>
      </c>
      <c r="O3204">
        <v>-0.97093470000000004</v>
      </c>
      <c r="P3204">
        <v>0.49355650000000001</v>
      </c>
      <c r="Q3204">
        <v>0.32976919999999998</v>
      </c>
      <c r="R3204">
        <v>-0.80476990000000004</v>
      </c>
      <c r="S3204">
        <v>2.0690919999999999</v>
      </c>
      <c r="T3204">
        <v>-0.14548710000000001</v>
      </c>
      <c r="U3204">
        <v>-2.5152739999999998</v>
      </c>
      <c r="V3204">
        <v>-0.28697060000000002</v>
      </c>
      <c r="W3204">
        <v>0.3417927</v>
      </c>
      <c r="X3204">
        <v>0.89488860000000003</v>
      </c>
      <c r="Y3204">
        <v>-0.4318033</v>
      </c>
      <c r="Z3204">
        <v>3.3438740000000002E-2</v>
      </c>
      <c r="AA3204">
        <v>0.90134780000000003</v>
      </c>
      <c r="AB3204">
        <v>18</v>
      </c>
      <c r="AC3204">
        <v>14.615399999999999</v>
      </c>
      <c r="AD3204">
        <v>-1.03074855</v>
      </c>
      <c r="AE3204">
        <v>-17.6417</v>
      </c>
      <c r="AF3204">
        <v>-9.9555624104079499</v>
      </c>
      <c r="AG3204">
        <v>-1.03074855</v>
      </c>
      <c r="AH3204">
        <v>20.581735174491499</v>
      </c>
      <c r="AI3204">
        <v>92.581347024033306</v>
      </c>
      <c r="AJ3204">
        <v>115.813453642111</v>
      </c>
      <c r="AK3204">
        <v>22.8863166165671</v>
      </c>
      <c r="AL3204">
        <v>70.013867074058993</v>
      </c>
      <c r="AM3204">
        <v>107.779874596326</v>
      </c>
      <c r="AN3204">
        <v>0.99999999072380497</v>
      </c>
    </row>
    <row r="3205" spans="1:40" x14ac:dyDescent="0.25">
      <c r="A3205" t="str">
        <f>"20190304164151562"</f>
        <v>20190304164151562</v>
      </c>
      <c r="B3205" t="str">
        <f>"1551688911553909"</f>
        <v>1551688911553909</v>
      </c>
      <c r="C3205" t="s">
        <v>40</v>
      </c>
      <c r="D3205">
        <v>4.0446949999999999</v>
      </c>
      <c r="E3205">
        <v>0.43599320000000003</v>
      </c>
      <c r="F3205" t="s">
        <v>45</v>
      </c>
      <c r="G3205">
        <v>-478.10930000000002</v>
      </c>
      <c r="H3205">
        <v>8.0000180000000004E-2</v>
      </c>
      <c r="I3205">
        <v>220.35239999999999</v>
      </c>
      <c r="J3205">
        <v>-493.45609999999999</v>
      </c>
      <c r="K3205">
        <v>1.110643</v>
      </c>
      <c r="L3205">
        <v>238.81139999999999</v>
      </c>
      <c r="M3205">
        <v>0.2393652</v>
      </c>
      <c r="N3205">
        <v>-1.3532560000000001E-2</v>
      </c>
      <c r="O3205">
        <v>-0.97083529999999996</v>
      </c>
      <c r="P3205">
        <v>0.49466650000000001</v>
      </c>
      <c r="Q3205">
        <v>0.33128439999999998</v>
      </c>
      <c r="R3205">
        <v>-0.80346490000000004</v>
      </c>
      <c r="S3205">
        <v>2.0744020000000001</v>
      </c>
      <c r="T3205">
        <v>-0.13890669999999999</v>
      </c>
      <c r="U3205">
        <v>-2.5124819999999999</v>
      </c>
      <c r="V3205">
        <v>-0.28788589999999997</v>
      </c>
      <c r="W3205">
        <v>0.34346280000000001</v>
      </c>
      <c r="X3205">
        <v>0.89395480000000005</v>
      </c>
      <c r="Y3205">
        <v>-0.43310609999999999</v>
      </c>
      <c r="Z3205">
        <v>3.1288200000000002E-2</v>
      </c>
      <c r="AA3205">
        <v>0.90079980000000004</v>
      </c>
      <c r="AB3205">
        <v>18</v>
      </c>
      <c r="AC3205">
        <v>15.346799999999901</v>
      </c>
      <c r="AD3205">
        <v>-1.03064282</v>
      </c>
      <c r="AE3205">
        <v>-18.459</v>
      </c>
      <c r="AF3205">
        <v>-10.462447166624001</v>
      </c>
      <c r="AG3205">
        <v>-1.03064282</v>
      </c>
      <c r="AH3205">
        <v>21.5563809789336</v>
      </c>
      <c r="AI3205">
        <v>92.462941850765105</v>
      </c>
      <c r="AJ3205">
        <v>115.889741742662</v>
      </c>
      <c r="AK3205">
        <v>23.983381459789001</v>
      </c>
      <c r="AL3205">
        <v>69.912014211541106</v>
      </c>
      <c r="AM3205">
        <v>107.850443202389</v>
      </c>
      <c r="AN3205">
        <v>1.0000000854228399</v>
      </c>
    </row>
    <row r="3206" spans="1:40" x14ac:dyDescent="0.25">
      <c r="A3206" t="str">
        <f>"20190304164151583"</f>
        <v>20190304164151583</v>
      </c>
      <c r="B3206" t="str">
        <f>"1551688911574405"</f>
        <v>1551688911574405</v>
      </c>
      <c r="C3206" t="s">
        <v>40</v>
      </c>
      <c r="D3206">
        <v>4.1819139999999999</v>
      </c>
      <c r="E3206">
        <v>0.43604959999999998</v>
      </c>
      <c r="F3206" t="s">
        <v>45</v>
      </c>
      <c r="G3206">
        <v>-476.34930000000003</v>
      </c>
      <c r="H3206" s="1">
        <v>3.298573E-6</v>
      </c>
      <c r="I3206">
        <v>218.1798</v>
      </c>
      <c r="J3206">
        <v>-493.41590000000002</v>
      </c>
      <c r="K3206">
        <v>1.110565</v>
      </c>
      <c r="L3206">
        <v>238.64959999999999</v>
      </c>
      <c r="M3206">
        <v>0.23954639999999999</v>
      </c>
      <c r="N3206">
        <v>-1.3597969999999999E-2</v>
      </c>
      <c r="O3206">
        <v>-0.97078969999999998</v>
      </c>
      <c r="P3206">
        <v>0.4955504</v>
      </c>
      <c r="Q3206">
        <v>0.3329105</v>
      </c>
      <c r="R3206">
        <v>-0.8022475</v>
      </c>
      <c r="S3206">
        <v>2.0801699999999999</v>
      </c>
      <c r="T3206">
        <v>-0.13505220000000001</v>
      </c>
      <c r="U3206">
        <v>-2.5087739999999998</v>
      </c>
      <c r="V3206">
        <v>-0.2887866</v>
      </c>
      <c r="W3206">
        <v>0.34520250000000002</v>
      </c>
      <c r="X3206">
        <v>0.89299359999999905</v>
      </c>
      <c r="Y3206">
        <v>-0.4348455</v>
      </c>
      <c r="Z3206">
        <v>3.0021369999999999E-2</v>
      </c>
      <c r="AA3206">
        <v>0.90000449999999999</v>
      </c>
      <c r="AB3206">
        <v>18</v>
      </c>
      <c r="AC3206">
        <v>17.066599999999902</v>
      </c>
      <c r="AD3206">
        <v>-1.1105617014269999</v>
      </c>
      <c r="AE3206">
        <v>-20.4697999999999</v>
      </c>
      <c r="AF3206">
        <v>-11.6454695955258</v>
      </c>
      <c r="AG3206">
        <v>-1.1105617014269999</v>
      </c>
      <c r="AH3206">
        <v>23.9207922297614</v>
      </c>
      <c r="AI3206">
        <v>92.390294798409201</v>
      </c>
      <c r="AJ3206">
        <v>115.958422173112</v>
      </c>
      <c r="AK3206">
        <v>26.628079357933501</v>
      </c>
      <c r="AL3206">
        <v>69.805842773055403</v>
      </c>
      <c r="AM3206">
        <v>107.92076992644699</v>
      </c>
      <c r="AN3206">
        <v>1.0000000179933799</v>
      </c>
    </row>
    <row r="3207" spans="1:40" x14ac:dyDescent="0.25">
      <c r="A3207" t="str">
        <f>"20190304164151605"</f>
        <v>20190304164151605</v>
      </c>
      <c r="B3207" t="str">
        <f>"1551688911593925"</f>
        <v>1551688911593925</v>
      </c>
      <c r="C3207" t="s">
        <v>40</v>
      </c>
      <c r="D3207">
        <v>4.0512249999999996</v>
      </c>
      <c r="E3207">
        <v>0.43522270000000002</v>
      </c>
      <c r="F3207" t="s">
        <v>45</v>
      </c>
      <c r="G3207">
        <v>-475.74209999999999</v>
      </c>
      <c r="H3207" s="1">
        <v>3.53319E-6</v>
      </c>
      <c r="I3207">
        <v>217.3878</v>
      </c>
      <c r="J3207">
        <v>-493.37389999999999</v>
      </c>
      <c r="K3207">
        <v>1.1105229999999999</v>
      </c>
      <c r="L3207">
        <v>238.47989999999999</v>
      </c>
      <c r="M3207">
        <v>0.2396182</v>
      </c>
      <c r="N3207">
        <v>-1.3657010000000001E-2</v>
      </c>
      <c r="O3207">
        <v>-0.9707713</v>
      </c>
      <c r="P3207">
        <v>0.49608910000000001</v>
      </c>
      <c r="Q3207">
        <v>0.33554240000000002</v>
      </c>
      <c r="R3207">
        <v>-0.80081639999999998</v>
      </c>
      <c r="S3207">
        <v>2.0836790000000001</v>
      </c>
      <c r="T3207">
        <v>-0.13093160000000001</v>
      </c>
      <c r="U3207">
        <v>-2.5066989999999998</v>
      </c>
      <c r="V3207">
        <v>-0.28952739999999999</v>
      </c>
      <c r="W3207">
        <v>0.3479179</v>
      </c>
      <c r="X3207">
        <v>0.89169889999999996</v>
      </c>
      <c r="Y3207">
        <v>-0.43591790000000002</v>
      </c>
      <c r="Z3207">
        <v>2.8673290000000001E-2</v>
      </c>
      <c r="AA3207">
        <v>0.89952960000000004</v>
      </c>
      <c r="AB3207">
        <v>18</v>
      </c>
      <c r="AC3207">
        <v>17.631799999999998</v>
      </c>
      <c r="AD3207">
        <v>-1.11051946681</v>
      </c>
      <c r="AE3207">
        <v>-21.092099999999899</v>
      </c>
      <c r="AF3207">
        <v>-12.043864221811599</v>
      </c>
      <c r="AG3207">
        <v>-1.11051946681</v>
      </c>
      <c r="AH3207">
        <v>24.662560805583102</v>
      </c>
      <c r="AI3207">
        <v>92.317015720795396</v>
      </c>
      <c r="AJ3207">
        <v>116.028387508159</v>
      </c>
      <c r="AK3207">
        <v>27.468706274025401</v>
      </c>
      <c r="AL3207">
        <v>69.639981683397593</v>
      </c>
      <c r="AM3207">
        <v>107.98819319419999</v>
      </c>
      <c r="AN3207">
        <v>0.99999995437618805</v>
      </c>
    </row>
    <row r="3208" spans="1:40" x14ac:dyDescent="0.25">
      <c r="A3208" t="str">
        <f>"20190304164151627"</f>
        <v>20190304164151627</v>
      </c>
      <c r="B3208" t="str">
        <f>"1551688911614421"</f>
        <v>1551688911614421</v>
      </c>
      <c r="C3208" t="s">
        <v>40</v>
      </c>
      <c r="D3208">
        <v>4.0627500000000003</v>
      </c>
      <c r="E3208">
        <v>0.43501260000000003</v>
      </c>
      <c r="F3208" t="s">
        <v>41</v>
      </c>
      <c r="G3208">
        <v>-492.7577</v>
      </c>
      <c r="H3208">
        <v>1.056297</v>
      </c>
      <c r="I3208">
        <v>237.7405</v>
      </c>
      <c r="J3208">
        <v>-493.33420000000001</v>
      </c>
      <c r="K3208">
        <v>1.110514</v>
      </c>
      <c r="L3208">
        <v>238.3192</v>
      </c>
      <c r="M3208">
        <v>0.2395987</v>
      </c>
      <c r="N3208">
        <v>-1.3705180000000001E-2</v>
      </c>
      <c r="O3208">
        <v>-0.97077539999999996</v>
      </c>
      <c r="P3208">
        <v>0.49664589999999997</v>
      </c>
      <c r="Q3208">
        <v>0.33812399999999998</v>
      </c>
      <c r="R3208">
        <v>-0.79938439999999999</v>
      </c>
      <c r="S3208">
        <v>2.102325</v>
      </c>
      <c r="T3208">
        <v>-0.18491450000000001</v>
      </c>
      <c r="U3208">
        <v>-2.5213320000000001</v>
      </c>
      <c r="V3208">
        <v>-0.29040169999999998</v>
      </c>
      <c r="W3208">
        <v>0.35054649999999998</v>
      </c>
      <c r="X3208">
        <v>0.89038419999999896</v>
      </c>
      <c r="Y3208">
        <v>-0.43686399999999997</v>
      </c>
      <c r="Z3208">
        <v>4.5170389999999998E-2</v>
      </c>
      <c r="AA3208">
        <v>0.89839269999999904</v>
      </c>
      <c r="AB3208">
        <v>18</v>
      </c>
      <c r="AC3208">
        <v>0.57650000000001</v>
      </c>
      <c r="AD3208">
        <v>-5.4216999999999897E-2</v>
      </c>
      <c r="AE3208">
        <v>-0.57869999999999699</v>
      </c>
      <c r="AF3208">
        <v>-0.41918904834003801</v>
      </c>
      <c r="AG3208">
        <v>-5.4216999999999897E-2</v>
      </c>
      <c r="AH3208">
        <v>0.69691185769730701</v>
      </c>
      <c r="AI3208">
        <v>93.814011873861801</v>
      </c>
      <c r="AJ3208">
        <v>121.02670126963299</v>
      </c>
      <c r="AK3208">
        <v>0.81507366460727804</v>
      </c>
      <c r="AL3208">
        <v>69.479255078492997</v>
      </c>
      <c r="AM3208">
        <v>108.063905103316</v>
      </c>
      <c r="AN3208">
        <v>1.00000000981738</v>
      </c>
    </row>
    <row r="3209" spans="1:40" x14ac:dyDescent="0.25">
      <c r="A3209" t="str">
        <f>"20190304164151648"</f>
        <v>20190304164151648</v>
      </c>
      <c r="B3209" t="str">
        <f>"1551688911644677"</f>
        <v>1551688911644677</v>
      </c>
      <c r="C3209" t="s">
        <v>40</v>
      </c>
      <c r="D3209">
        <v>4.0732150000000003</v>
      </c>
      <c r="E3209">
        <v>0.43508409999999897</v>
      </c>
      <c r="F3209" t="s">
        <v>41</v>
      </c>
      <c r="G3209">
        <v>-492.721</v>
      </c>
      <c r="H3209">
        <v>1.0595019999999999</v>
      </c>
      <c r="I3209">
        <v>237.58690000000001</v>
      </c>
      <c r="J3209">
        <v>-493.2919</v>
      </c>
      <c r="K3209">
        <v>1.11053</v>
      </c>
      <c r="L3209">
        <v>238.1473</v>
      </c>
      <c r="M3209">
        <v>0.23950879999999999</v>
      </c>
      <c r="N3209">
        <v>-1.374917E-2</v>
      </c>
      <c r="O3209">
        <v>-0.97079669999999896</v>
      </c>
      <c r="P3209">
        <v>0.49646820000000003</v>
      </c>
      <c r="Q3209">
        <v>0.34006599999999998</v>
      </c>
      <c r="R3209">
        <v>-0.79867049999999995</v>
      </c>
      <c r="S3209">
        <v>2.10791</v>
      </c>
      <c r="T3209">
        <v>-0.1753603</v>
      </c>
      <c r="U3209">
        <v>-2.5174560000000001</v>
      </c>
      <c r="V3209">
        <v>-0.29048230000000003</v>
      </c>
      <c r="W3209">
        <v>0.35251700000000002</v>
      </c>
      <c r="X3209">
        <v>0.88957949999999997</v>
      </c>
      <c r="Y3209">
        <v>-0.43889040000000001</v>
      </c>
      <c r="Z3209">
        <v>4.2163510000000001E-2</v>
      </c>
      <c r="AA3209">
        <v>0.89755079999999998</v>
      </c>
      <c r="AB3209">
        <v>18</v>
      </c>
      <c r="AC3209">
        <v>0.57089999999999397</v>
      </c>
      <c r="AD3209">
        <v>-5.1027999999999997E-2</v>
      </c>
      <c r="AE3209">
        <v>-0.56039999999998702</v>
      </c>
      <c r="AF3209">
        <v>-0.41834475108626701</v>
      </c>
      <c r="AG3209">
        <v>-5.1027999999999997E-2</v>
      </c>
      <c r="AH3209">
        <v>0.67807561300046704</v>
      </c>
      <c r="AI3209">
        <v>93.6645474979276</v>
      </c>
      <c r="AJ3209">
        <v>121.67287818001</v>
      </c>
      <c r="AK3209">
        <v>0.79837505252317997</v>
      </c>
      <c r="AL3209">
        <v>69.358655224092203</v>
      </c>
      <c r="AM3209">
        <v>108.08387382054499</v>
      </c>
      <c r="AN3209">
        <v>0.99999994436126804</v>
      </c>
    </row>
    <row r="3210" spans="1:40" x14ac:dyDescent="0.25">
      <c r="A3210" t="str">
        <f>"20190304164151672"</f>
        <v>20190304164151672</v>
      </c>
      <c r="B3210" t="str">
        <f>"1551688911664197"</f>
        <v>1551688911664197</v>
      </c>
      <c r="C3210" t="s">
        <v>40</v>
      </c>
      <c r="D3210">
        <v>4.0696190000000003</v>
      </c>
      <c r="E3210">
        <v>0.43494240000000001</v>
      </c>
      <c r="F3210" t="s">
        <v>41</v>
      </c>
      <c r="G3210">
        <v>-492.66950000000003</v>
      </c>
      <c r="H3210">
        <v>1.0600700000000001</v>
      </c>
      <c r="I3210">
        <v>237.40469999999999</v>
      </c>
      <c r="J3210">
        <v>-493.2482</v>
      </c>
      <c r="K3210">
        <v>1.1105640000000001</v>
      </c>
      <c r="L3210">
        <v>237.96979999999999</v>
      </c>
      <c r="M3210">
        <v>0.23938419999999999</v>
      </c>
      <c r="N3210">
        <v>-1.378798E-2</v>
      </c>
      <c r="O3210">
        <v>-0.97082710000000005</v>
      </c>
      <c r="P3210">
        <v>0.49527599999999999</v>
      </c>
      <c r="Q3210">
        <v>0.3408776</v>
      </c>
      <c r="R3210">
        <v>-0.79906460000000001</v>
      </c>
      <c r="S3210">
        <v>2.1108090000000002</v>
      </c>
      <c r="T3210">
        <v>-0.1710304</v>
      </c>
      <c r="U3210">
        <v>-2.5169830000000002</v>
      </c>
      <c r="V3210">
        <v>-0.28936709999999999</v>
      </c>
      <c r="W3210">
        <v>0.35334460000000001</v>
      </c>
      <c r="X3210">
        <v>0.88961469999999898</v>
      </c>
      <c r="Y3210">
        <v>-0.43973620000000002</v>
      </c>
      <c r="Z3210">
        <v>4.0761930000000002E-2</v>
      </c>
      <c r="AA3210">
        <v>0.89720149999999999</v>
      </c>
      <c r="AB3210">
        <v>18</v>
      </c>
      <c r="AC3210">
        <v>0.57869999999996902</v>
      </c>
      <c r="AD3210">
        <v>-5.0493999999999803E-2</v>
      </c>
      <c r="AE3210">
        <v>-0.56510000000000005</v>
      </c>
      <c r="AF3210">
        <v>-0.42492614306462601</v>
      </c>
      <c r="AG3210">
        <v>-5.0493999999999803E-2</v>
      </c>
      <c r="AH3210">
        <v>0.68454352660641404</v>
      </c>
      <c r="AI3210">
        <v>93.586065593510895</v>
      </c>
      <c r="AJ3210">
        <v>121.829685597902</v>
      </c>
      <c r="AK3210">
        <v>0.80728663491632602</v>
      </c>
      <c r="AL3210">
        <v>69.307977624341703</v>
      </c>
      <c r="AM3210">
        <v>108.01827631044399</v>
      </c>
      <c r="AN3210">
        <v>1.0000000196838199</v>
      </c>
    </row>
    <row r="3211" spans="1:40" x14ac:dyDescent="0.25">
      <c r="A3211" t="str">
        <f>"20190304164151694"</f>
        <v>20190304164151694</v>
      </c>
      <c r="B3211" t="str">
        <f>"1551688911683716"</f>
        <v>1551688911683716</v>
      </c>
      <c r="C3211" t="s">
        <v>40</v>
      </c>
      <c r="D3211">
        <v>4.1068759999999997</v>
      </c>
      <c r="E3211">
        <v>0.43497190000000002</v>
      </c>
      <c r="F3211" t="s">
        <v>41</v>
      </c>
      <c r="G3211">
        <v>-492.61239999999998</v>
      </c>
      <c r="H3211">
        <v>1.059488</v>
      </c>
      <c r="I3211">
        <v>237.2116</v>
      </c>
      <c r="J3211">
        <v>-493.20679999999999</v>
      </c>
      <c r="K3211">
        <v>1.1106210000000001</v>
      </c>
      <c r="L3211">
        <v>237.80170000000001</v>
      </c>
      <c r="M3211">
        <v>0.23927909999999999</v>
      </c>
      <c r="N3211">
        <v>-1.381949E-2</v>
      </c>
      <c r="O3211">
        <v>-0.97085270000000001</v>
      </c>
      <c r="P3211">
        <v>0.49369099999999999</v>
      </c>
      <c r="Q3211">
        <v>0.34208260000000001</v>
      </c>
      <c r="R3211">
        <v>-0.79953059999999998</v>
      </c>
      <c r="S3211">
        <v>2.111694</v>
      </c>
      <c r="T3211">
        <v>-0.16962669999999999</v>
      </c>
      <c r="U3211">
        <v>-2.5178829999999999</v>
      </c>
      <c r="V3211">
        <v>-0.2878482</v>
      </c>
      <c r="W3211">
        <v>0.35454869999999999</v>
      </c>
      <c r="X3211">
        <v>0.88962839999999999</v>
      </c>
      <c r="Y3211">
        <v>-0.43987379999999998</v>
      </c>
      <c r="Z3211">
        <v>4.0276340000000001E-2</v>
      </c>
      <c r="AA3211">
        <v>0.89715599999999995</v>
      </c>
      <c r="AB3211">
        <v>18</v>
      </c>
      <c r="AC3211">
        <v>0.59440000000000703</v>
      </c>
      <c r="AD3211">
        <v>-5.1132999999999797E-2</v>
      </c>
      <c r="AE3211">
        <v>-0.59010000000000595</v>
      </c>
      <c r="AF3211">
        <v>-0.43429915851665102</v>
      </c>
      <c r="AG3211">
        <v>-5.1132999999999797E-2</v>
      </c>
      <c r="AH3211">
        <v>0.71254019705262195</v>
      </c>
      <c r="AI3211">
        <v>93.5065003940433</v>
      </c>
      <c r="AJ3211">
        <v>121.36265396031</v>
      </c>
      <c r="AK3211">
        <v>0.83602863299833197</v>
      </c>
      <c r="AL3211">
        <v>69.234212831562303</v>
      </c>
      <c r="AM3211">
        <v>107.929508296554</v>
      </c>
      <c r="AN3211">
        <v>1.00000002850074</v>
      </c>
    </row>
    <row r="3212" spans="1:40" x14ac:dyDescent="0.25">
      <c r="A3212" t="str">
        <f>"20190304164151714"</f>
        <v>20190304164151714</v>
      </c>
      <c r="B3212" t="str">
        <f>"1551688911704213"</f>
        <v>1551688911704213</v>
      </c>
      <c r="C3212" t="s">
        <v>40</v>
      </c>
      <c r="D3212">
        <v>4.116638</v>
      </c>
      <c r="E3212">
        <v>0.43504300000000001</v>
      </c>
      <c r="F3212" t="s">
        <v>45</v>
      </c>
      <c r="G3212">
        <v>-479.67590000000001</v>
      </c>
      <c r="H3212">
        <v>2.9656430000000001E-2</v>
      </c>
      <c r="I3212">
        <v>221.64150000000001</v>
      </c>
      <c r="J3212">
        <v>-493.16750000000002</v>
      </c>
      <c r="K3212">
        <v>1.110684</v>
      </c>
      <c r="L3212">
        <v>237.64169999999999</v>
      </c>
      <c r="M3212">
        <v>0.2392301</v>
      </c>
      <c r="N3212">
        <v>-1.384522E-2</v>
      </c>
      <c r="O3212">
        <v>-0.97086450000000002</v>
      </c>
      <c r="P3212">
        <v>0.49253520000000001</v>
      </c>
      <c r="Q3212">
        <v>0.34253709999999998</v>
      </c>
      <c r="R3212">
        <v>-0.80004909999999996</v>
      </c>
      <c r="S3212">
        <v>2.1108090000000002</v>
      </c>
      <c r="T3212">
        <v>-0.16862859999999999</v>
      </c>
      <c r="U3212">
        <v>-2.52095</v>
      </c>
      <c r="V3212">
        <v>-0.28669139999999999</v>
      </c>
      <c r="W3212">
        <v>0.35499229999999998</v>
      </c>
      <c r="X3212">
        <v>0.88982499999999998</v>
      </c>
      <c r="Y3212">
        <v>-0.4392065</v>
      </c>
      <c r="Z3212">
        <v>3.9907190000000002E-2</v>
      </c>
      <c r="AA3212">
        <v>0.89749939999999995</v>
      </c>
      <c r="AB3212">
        <v>18</v>
      </c>
      <c r="AC3212">
        <v>13.4916</v>
      </c>
      <c r="AD3212">
        <v>-1.08102757</v>
      </c>
      <c r="AE3212">
        <v>-16.0001999999999</v>
      </c>
      <c r="AF3212">
        <v>-9.2470018063294592</v>
      </c>
      <c r="AG3212">
        <v>-1.08102757</v>
      </c>
      <c r="AH3212">
        <v>18.713489976947098</v>
      </c>
      <c r="AI3212">
        <v>92.964673825894295</v>
      </c>
      <c r="AJ3212">
        <v>116.295617347725</v>
      </c>
      <c r="AK3212">
        <v>20.901444211600801</v>
      </c>
      <c r="AL3212">
        <v>69.207027778750302</v>
      </c>
      <c r="AM3212">
        <v>107.85834470097601</v>
      </c>
      <c r="AN3212">
        <v>1.0000000112591201</v>
      </c>
    </row>
    <row r="3213" spans="1:40" x14ac:dyDescent="0.25">
      <c r="A3213" t="str">
        <f>"20190304164151739"</f>
        <v>20190304164151739</v>
      </c>
      <c r="B3213" t="str">
        <f>"1551688911734469"</f>
        <v>1551688911734469</v>
      </c>
      <c r="C3213" t="s">
        <v>40</v>
      </c>
      <c r="D3213">
        <v>4.5265170000000001</v>
      </c>
      <c r="E3213">
        <v>0.45896880000000001</v>
      </c>
      <c r="F3213" t="s">
        <v>45</v>
      </c>
      <c r="G3213">
        <v>-479.50490000000002</v>
      </c>
      <c r="H3213">
        <v>4.8597520000000002E-3</v>
      </c>
      <c r="I3213">
        <v>221.2841</v>
      </c>
      <c r="J3213">
        <v>-493.1232</v>
      </c>
      <c r="K3213">
        <v>1.1107689999999999</v>
      </c>
      <c r="L3213">
        <v>237.4615</v>
      </c>
      <c r="M3213">
        <v>0.2392677</v>
      </c>
      <c r="N3213">
        <v>-1.386969E-2</v>
      </c>
      <c r="O3213">
        <v>-0.97085489999999997</v>
      </c>
      <c r="P3213">
        <v>0.49138019999999999</v>
      </c>
      <c r="Q3213">
        <v>0.34304299999999999</v>
      </c>
      <c r="R3213">
        <v>-0.80054209999999904</v>
      </c>
      <c r="S3213">
        <v>2.1087039999999999</v>
      </c>
      <c r="T3213">
        <v>-0.17067479999999999</v>
      </c>
      <c r="U3213">
        <v>-2.5246580000000001</v>
      </c>
      <c r="V3213">
        <v>-0.28548200000000001</v>
      </c>
      <c r="W3213">
        <v>0.35547010000000001</v>
      </c>
      <c r="X3213">
        <v>0.89002309999999996</v>
      </c>
      <c r="Y3213">
        <v>-0.43806469999999997</v>
      </c>
      <c r="Z3213">
        <v>4.0487059999999998E-2</v>
      </c>
      <c r="AA3213">
        <v>0.89803120000000003</v>
      </c>
      <c r="AB3213">
        <v>18</v>
      </c>
      <c r="AC3213">
        <v>13.6182999999999</v>
      </c>
      <c r="AD3213">
        <v>-1.1059092479999999</v>
      </c>
      <c r="AE3213">
        <v>-16.177399999999999</v>
      </c>
      <c r="AF3213">
        <v>-9.3260530388122298</v>
      </c>
      <c r="AG3213">
        <v>-1.1059092479999999</v>
      </c>
      <c r="AH3213">
        <v>18.914413251791299</v>
      </c>
      <c r="AI3213">
        <v>93.001899351579198</v>
      </c>
      <c r="AJ3213">
        <v>116.246336780015</v>
      </c>
      <c r="AK3213">
        <v>21.117607089987501</v>
      </c>
      <c r="AL3213">
        <v>69.177742434854693</v>
      </c>
      <c r="AM3213">
        <v>107.78405727577599</v>
      </c>
      <c r="AN3213">
        <v>1.0000000414257999</v>
      </c>
    </row>
    <row r="3214" spans="1:40" x14ac:dyDescent="0.25">
      <c r="A3214" t="str">
        <f>"20190304164151763"</f>
        <v>20190304164151763</v>
      </c>
      <c r="B3214" t="str">
        <f>"1551688911753989"</f>
        <v>1551688911753989</v>
      </c>
      <c r="C3214" t="s">
        <v>40</v>
      </c>
      <c r="D3214">
        <v>4.4590249999999996</v>
      </c>
      <c r="E3214">
        <v>0.5394795</v>
      </c>
      <c r="F3214" t="s">
        <v>45</v>
      </c>
      <c r="G3214">
        <v>-482.20350000000002</v>
      </c>
      <c r="H3214" s="1">
        <v>2.838514E-6</v>
      </c>
      <c r="I3214">
        <v>222.6874</v>
      </c>
      <c r="J3214">
        <v>-493.07709999999997</v>
      </c>
      <c r="K3214">
        <v>1.1108800000000001</v>
      </c>
      <c r="L3214">
        <v>237.27539999999999</v>
      </c>
      <c r="M3214">
        <v>0.2394463</v>
      </c>
      <c r="N3214">
        <v>-1.389079E-2</v>
      </c>
      <c r="O3214">
        <v>-0.97081050000000002</v>
      </c>
      <c r="P3214">
        <v>0.49037930000000002</v>
      </c>
      <c r="Q3214">
        <v>0.34385100000000002</v>
      </c>
      <c r="R3214">
        <v>-0.80080899999999999</v>
      </c>
      <c r="S3214">
        <v>1.948547</v>
      </c>
      <c r="T3214">
        <v>-0.19820979999999999</v>
      </c>
      <c r="U3214">
        <v>-2.6363530000000002</v>
      </c>
      <c r="V3214">
        <v>-0.28436800000000001</v>
      </c>
      <c r="W3214">
        <v>0.35622900000000002</v>
      </c>
      <c r="X3214">
        <v>0.89007619999999898</v>
      </c>
      <c r="Y3214">
        <v>-0.38361620000000002</v>
      </c>
      <c r="Z3214">
        <v>4.8678829999999999E-2</v>
      </c>
      <c r="AA3214">
        <v>0.92220880000000005</v>
      </c>
      <c r="AB3214">
        <v>17</v>
      </c>
      <c r="AC3214">
        <v>10.8735999999999</v>
      </c>
      <c r="AD3214">
        <v>-1.11087716148599</v>
      </c>
      <c r="AE3214">
        <v>-14.5879999999999</v>
      </c>
      <c r="AF3214">
        <v>-7.0376078088968796</v>
      </c>
      <c r="AG3214">
        <v>-1.11087716148599</v>
      </c>
      <c r="AH3214">
        <v>16.7051678678584</v>
      </c>
      <c r="AI3214">
        <v>93.5068592706819</v>
      </c>
      <c r="AJ3214">
        <v>112.84487808089899</v>
      </c>
      <c r="AK3214">
        <v>18.1610739008762</v>
      </c>
      <c r="AL3214">
        <v>69.131213164323597</v>
      </c>
      <c r="AM3214">
        <v>107.71801830816401</v>
      </c>
      <c r="AN3214">
        <v>0.99999995083571802</v>
      </c>
    </row>
    <row r="3215" spans="1:40" x14ac:dyDescent="0.25">
      <c r="A3215" t="str">
        <f>"20190304164151784"</f>
        <v>20190304164151784</v>
      </c>
      <c r="B3215" t="str">
        <f>"1551688911774485"</f>
        <v>1551688911774485</v>
      </c>
      <c r="C3215" t="s">
        <v>40</v>
      </c>
      <c r="D3215">
        <v>4.3932000000000002</v>
      </c>
      <c r="E3215">
        <v>0.55268790000000001</v>
      </c>
      <c r="F3215" t="s">
        <v>45</v>
      </c>
      <c r="G3215">
        <v>-487.22859999999997</v>
      </c>
      <c r="H3215" s="1">
        <v>4.5289900000000003E-6</v>
      </c>
      <c r="I3215">
        <v>224.84350000000001</v>
      </c>
      <c r="J3215">
        <v>-493.03840000000002</v>
      </c>
      <c r="K3215">
        <v>1.1109910000000001</v>
      </c>
      <c r="L3215">
        <v>237.11920000000001</v>
      </c>
      <c r="M3215">
        <v>0.23973330000000001</v>
      </c>
      <c r="N3215">
        <v>-1.3905799999999999E-2</v>
      </c>
      <c r="O3215">
        <v>-0.97073940000000003</v>
      </c>
      <c r="P3215">
        <v>0.48981079999999999</v>
      </c>
      <c r="Q3215">
        <v>0.34466910000000001</v>
      </c>
      <c r="R3215">
        <v>-0.80080530000000005</v>
      </c>
      <c r="S3215">
        <v>1.4102479999999999</v>
      </c>
      <c r="T3215">
        <v>-0.26786219999999999</v>
      </c>
      <c r="U3215">
        <v>-2.997681</v>
      </c>
      <c r="V3215">
        <v>-0.28364070000000002</v>
      </c>
      <c r="W3215">
        <v>0.35698849999999999</v>
      </c>
      <c r="X3215">
        <v>0.89000400000000002</v>
      </c>
      <c r="Y3215">
        <v>-0.1952246</v>
      </c>
      <c r="Z3215">
        <v>6.7019980000000007E-2</v>
      </c>
      <c r="AA3215">
        <v>0.97846599999999995</v>
      </c>
      <c r="AB3215">
        <v>17</v>
      </c>
      <c r="AC3215">
        <v>5.8098000000000498</v>
      </c>
      <c r="AD3215">
        <v>-1.1109864710099999</v>
      </c>
      <c r="AE3215">
        <v>-12.275700000000001</v>
      </c>
      <c r="AF3215">
        <v>-2.6792388393520401</v>
      </c>
      <c r="AG3215">
        <v>-1.1109864710099999</v>
      </c>
      <c r="AH3215">
        <v>13.2221119246607</v>
      </c>
      <c r="AI3215">
        <v>94.707754067993704</v>
      </c>
      <c r="AJ3215">
        <v>101.45492720303901</v>
      </c>
      <c r="AK3215">
        <v>13.536500856769299</v>
      </c>
      <c r="AL3215">
        <v>69.084635249750306</v>
      </c>
      <c r="AM3215">
        <v>107.6768714569</v>
      </c>
      <c r="AN3215">
        <v>0.99999997792236905</v>
      </c>
    </row>
    <row r="3216" spans="1:40" x14ac:dyDescent="0.25">
      <c r="A3216" t="str">
        <f>"20190304164151805"</f>
        <v>20190304164151805</v>
      </c>
      <c r="B3216" t="str">
        <f>"1551688911794005"</f>
        <v>1551688911794005</v>
      </c>
      <c r="C3216" t="s">
        <v>40</v>
      </c>
      <c r="D3216">
        <v>4.3301559999999997</v>
      </c>
      <c r="E3216">
        <v>0.55839280000000002</v>
      </c>
      <c r="F3216" t="s">
        <v>45</v>
      </c>
      <c r="G3216">
        <v>-488.2747</v>
      </c>
      <c r="H3216" s="1">
        <v>5.1007519999999999E-6</v>
      </c>
      <c r="I3216">
        <v>226.11619999999999</v>
      </c>
      <c r="J3216">
        <v>-492.9984</v>
      </c>
      <c r="K3216">
        <v>1.1110979999999999</v>
      </c>
      <c r="L3216">
        <v>236.9589</v>
      </c>
      <c r="M3216">
        <v>0.24015010000000001</v>
      </c>
      <c r="N3216">
        <v>-1.391914E-2</v>
      </c>
      <c r="O3216">
        <v>-0.9706359</v>
      </c>
      <c r="P3216">
        <v>0.49050440000000001</v>
      </c>
      <c r="Q3216">
        <v>0.34453509999999998</v>
      </c>
      <c r="R3216">
        <v>-0.80043779999999998</v>
      </c>
      <c r="S3216">
        <v>1.327942</v>
      </c>
      <c r="T3216">
        <v>-0.30970370000000003</v>
      </c>
      <c r="U3216">
        <v>-3.0672450000000002</v>
      </c>
      <c r="V3216">
        <v>-0.28410940000000001</v>
      </c>
      <c r="W3216">
        <v>0.35679300000000003</v>
      </c>
      <c r="X3216">
        <v>0.88993290000000003</v>
      </c>
      <c r="Y3216">
        <v>-0.16390679999999999</v>
      </c>
      <c r="Z3216">
        <v>7.8218099999999999E-2</v>
      </c>
      <c r="AA3216">
        <v>0.98336990000000002</v>
      </c>
      <c r="AB3216">
        <v>17</v>
      </c>
      <c r="AC3216">
        <v>4.7237</v>
      </c>
      <c r="AD3216">
        <v>-1.11109289924799</v>
      </c>
      <c r="AE3216">
        <v>-10.842700000000001</v>
      </c>
      <c r="AF3216">
        <v>-1.96397577670178</v>
      </c>
      <c r="AG3216">
        <v>-1.11109289924799</v>
      </c>
      <c r="AH3216">
        <v>11.5578343908004</v>
      </c>
      <c r="AI3216">
        <v>95.414021632054997</v>
      </c>
      <c r="AJ3216">
        <v>99.643920662744407</v>
      </c>
      <c r="AK3216">
        <v>11.7760461992724</v>
      </c>
      <c r="AL3216">
        <v>69.096626300262301</v>
      </c>
      <c r="AM3216">
        <v>107.705584826692</v>
      </c>
      <c r="AN3216">
        <v>0.99999998125988399</v>
      </c>
    </row>
    <row r="3217" spans="1:40" x14ac:dyDescent="0.25">
      <c r="A3217" t="str">
        <f>"20190304164151830"</f>
        <v>20190304164151830</v>
      </c>
      <c r="B3217" t="str">
        <f>"1551688911824261"</f>
        <v>1551688911824261</v>
      </c>
      <c r="C3217" t="s">
        <v>40</v>
      </c>
      <c r="D3217">
        <v>4.3055269999999997</v>
      </c>
      <c r="E3217">
        <v>0.56225829999999999</v>
      </c>
      <c r="F3217" t="s">
        <v>45</v>
      </c>
      <c r="G3217">
        <v>-488.6927</v>
      </c>
      <c r="H3217" s="1">
        <v>5.3849249999999898E-6</v>
      </c>
      <c r="I3217">
        <v>226.6746</v>
      </c>
      <c r="J3217">
        <v>-492.95319999999998</v>
      </c>
      <c r="K3217">
        <v>1.111219</v>
      </c>
      <c r="L3217">
        <v>236.7792</v>
      </c>
      <c r="M3217">
        <v>0.240786</v>
      </c>
      <c r="N3217">
        <v>-1.393198E-2</v>
      </c>
      <c r="O3217">
        <v>-0.97047850000000002</v>
      </c>
      <c r="P3217">
        <v>0.49190699999999998</v>
      </c>
      <c r="Q3217">
        <v>0.34367690000000001</v>
      </c>
      <c r="R3217">
        <v>-0.7999465</v>
      </c>
      <c r="S3217">
        <v>1.2967219999999999</v>
      </c>
      <c r="T3217">
        <v>-0.33462439999999999</v>
      </c>
      <c r="U3217">
        <v>-3.097305</v>
      </c>
      <c r="V3217">
        <v>-0.28510279999999999</v>
      </c>
      <c r="W3217">
        <v>0.35586590000000001</v>
      </c>
      <c r="X3217">
        <v>0.88998650000000001</v>
      </c>
      <c r="Y3217">
        <v>-0.15114420000000001</v>
      </c>
      <c r="Z3217">
        <v>8.4867399999999996E-2</v>
      </c>
      <c r="AA3217">
        <v>0.98486189999999996</v>
      </c>
      <c r="AB3217">
        <v>17</v>
      </c>
      <c r="AC3217">
        <v>4.2604999999999702</v>
      </c>
      <c r="AD3217">
        <v>-1.1112136150749901</v>
      </c>
      <c r="AE3217">
        <v>-10.1046</v>
      </c>
      <c r="AF3217">
        <v>-1.6845449860456501</v>
      </c>
      <c r="AG3217">
        <v>-1.1112136150749901</v>
      </c>
      <c r="AH3217">
        <v>10.723107818485101</v>
      </c>
      <c r="AI3217">
        <v>95.845145605080603</v>
      </c>
      <c r="AJ3217">
        <v>98.927905613043194</v>
      </c>
      <c r="AK3217">
        <v>10.911348624033501</v>
      </c>
      <c r="AL3217">
        <v>69.153478540721196</v>
      </c>
      <c r="AM3217">
        <v>107.762605105888</v>
      </c>
      <c r="AN3217">
        <v>1.0000000577664401</v>
      </c>
    </row>
    <row r="3218" spans="1:40" x14ac:dyDescent="0.25">
      <c r="A3218" t="str">
        <f>"20190304164151851"</f>
        <v>20190304164151851</v>
      </c>
      <c r="B3218" t="str">
        <f>"1551688911843781"</f>
        <v>1551688911843781</v>
      </c>
      <c r="C3218" t="s">
        <v>40</v>
      </c>
      <c r="D3218">
        <v>4.3203579999999997</v>
      </c>
      <c r="E3218">
        <v>0.56362559999999995</v>
      </c>
      <c r="F3218" t="s">
        <v>45</v>
      </c>
      <c r="G3218">
        <v>-488.93729999999999</v>
      </c>
      <c r="H3218" s="1">
        <v>5.5483730000000004E-6</v>
      </c>
      <c r="I3218">
        <v>226.99209999999999</v>
      </c>
      <c r="J3218">
        <v>-492.91219999999998</v>
      </c>
      <c r="K3218">
        <v>1.111327</v>
      </c>
      <c r="L3218">
        <v>236.6173</v>
      </c>
      <c r="M3218">
        <v>0.24153330000000001</v>
      </c>
      <c r="N3218">
        <v>-1.39418999999999E-2</v>
      </c>
      <c r="O3218">
        <v>-0.9702923</v>
      </c>
      <c r="P3218">
        <v>0.49387950000000003</v>
      </c>
      <c r="Q3218">
        <v>0.34330509999999997</v>
      </c>
      <c r="R3218">
        <v>-0.79888970000000004</v>
      </c>
      <c r="S3218">
        <v>1.2785949999999999</v>
      </c>
      <c r="T3218">
        <v>-0.35379149999999998</v>
      </c>
      <c r="U3218">
        <v>-3.116028</v>
      </c>
      <c r="V3218">
        <v>-0.28667419999999999</v>
      </c>
      <c r="W3218">
        <v>0.35542289999999999</v>
      </c>
      <c r="X3218">
        <v>0.88965859999999997</v>
      </c>
      <c r="Y3218">
        <v>-0.1431994</v>
      </c>
      <c r="Z3218">
        <v>8.9983649999999998E-2</v>
      </c>
      <c r="AA3218">
        <v>0.98559470000000005</v>
      </c>
      <c r="AB3218">
        <v>17</v>
      </c>
      <c r="AC3218">
        <v>3.9748999999999901</v>
      </c>
      <c r="AD3218">
        <v>-1.111321451627</v>
      </c>
      <c r="AE3218">
        <v>-9.6251999999999995</v>
      </c>
      <c r="AF3218">
        <v>-1.51490483038686</v>
      </c>
      <c r="AG3218">
        <v>-1.111321451627</v>
      </c>
      <c r="AH3218">
        <v>10.1843439708651</v>
      </c>
      <c r="AI3218">
        <v>96.160260028128505</v>
      </c>
      <c r="AJ3218">
        <v>98.460619147323499</v>
      </c>
      <c r="AK3218">
        <v>10.3561978607437</v>
      </c>
      <c r="AL3218">
        <v>69.180634392553799</v>
      </c>
      <c r="AM3218">
        <v>107.860469158686</v>
      </c>
      <c r="AN3218">
        <v>0.99999997967200405</v>
      </c>
    </row>
    <row r="3219" spans="1:40" x14ac:dyDescent="0.25">
      <c r="A3219" t="str">
        <f>"20190304164151874"</f>
        <v>20190304164151874</v>
      </c>
      <c r="B3219" t="str">
        <f>"1551688911864277"</f>
        <v>1551688911864277</v>
      </c>
      <c r="C3219" t="s">
        <v>40</v>
      </c>
      <c r="D3219">
        <v>4.3269080000000004</v>
      </c>
      <c r="E3219">
        <v>0.56459159999999997</v>
      </c>
      <c r="F3219" t="s">
        <v>45</v>
      </c>
      <c r="G3219">
        <v>-488.9966</v>
      </c>
      <c r="H3219" s="1">
        <v>5.5824409999999998E-6</v>
      </c>
      <c r="I3219">
        <v>227.05109999999999</v>
      </c>
      <c r="J3219">
        <v>-492.86959999999999</v>
      </c>
      <c r="K3219">
        <v>1.1114440000000001</v>
      </c>
      <c r="L3219">
        <v>236.45079999999999</v>
      </c>
      <c r="M3219">
        <v>0.2425061</v>
      </c>
      <c r="N3219">
        <v>-1.395106E-2</v>
      </c>
      <c r="O3219">
        <v>-0.97004970000000001</v>
      </c>
      <c r="P3219">
        <v>0.49503039999999998</v>
      </c>
      <c r="Q3219">
        <v>0.34321590000000002</v>
      </c>
      <c r="R3219">
        <v>-0.79821540000000002</v>
      </c>
      <c r="S3219">
        <v>1.2775570000000001</v>
      </c>
      <c r="T3219">
        <v>-0.36260310000000001</v>
      </c>
      <c r="U3219">
        <v>-3.1212770000000001</v>
      </c>
      <c r="V3219">
        <v>-0.28716019999999998</v>
      </c>
      <c r="W3219">
        <v>0.35525709999999999</v>
      </c>
      <c r="X3219">
        <v>0.88956809999999997</v>
      </c>
      <c r="Y3219">
        <v>-0.14125889999999999</v>
      </c>
      <c r="Z3219">
        <v>9.2339260000000006E-2</v>
      </c>
      <c r="AA3219">
        <v>0.98565689999999995</v>
      </c>
      <c r="AB3219">
        <v>17</v>
      </c>
      <c r="AC3219">
        <v>3.87299999999999</v>
      </c>
      <c r="AD3219">
        <v>-1.111438417559</v>
      </c>
      <c r="AE3219">
        <v>-9.3996999999999904</v>
      </c>
      <c r="AF3219">
        <v>-1.46020906013526</v>
      </c>
      <c r="AG3219">
        <v>-1.111438417559</v>
      </c>
      <c r="AH3219">
        <v>9.9395817448631192</v>
      </c>
      <c r="AI3219">
        <v>96.313072488467299</v>
      </c>
      <c r="AJ3219">
        <v>98.3574554468603</v>
      </c>
      <c r="AK3219">
        <v>10.107561086540199</v>
      </c>
      <c r="AL3219">
        <v>69.190797649852001</v>
      </c>
      <c r="AM3219">
        <v>107.890523740741</v>
      </c>
      <c r="AN3219">
        <v>0.99999999605102996</v>
      </c>
    </row>
    <row r="3220" spans="1:40" x14ac:dyDescent="0.25">
      <c r="A3220" t="str">
        <f>"20190304164151895"</f>
        <v>20190304164151895</v>
      </c>
      <c r="B3220" t="str">
        <f>"1551688911883797"</f>
        <v>1551688911883797</v>
      </c>
      <c r="C3220" t="s">
        <v>40</v>
      </c>
      <c r="D3220">
        <v>4.3321779999999999</v>
      </c>
      <c r="E3220">
        <v>0.56538299999999997</v>
      </c>
      <c r="F3220" t="s">
        <v>45</v>
      </c>
      <c r="G3220">
        <v>-489.01319999999998</v>
      </c>
      <c r="H3220" s="1">
        <v>5.5756989999999996E-6</v>
      </c>
      <c r="I3220">
        <v>227.01509999999999</v>
      </c>
      <c r="J3220">
        <v>-492.82859999999999</v>
      </c>
      <c r="K3220">
        <v>1.1115729999999999</v>
      </c>
      <c r="L3220">
        <v>236.29169999999999</v>
      </c>
      <c r="M3220">
        <v>0.2436449</v>
      </c>
      <c r="N3220">
        <v>-1.3959569999999999E-2</v>
      </c>
      <c r="O3220">
        <v>-0.96976399999999996</v>
      </c>
      <c r="P3220">
        <v>0.49543419999999999</v>
      </c>
      <c r="Q3220">
        <v>0.34256150000000002</v>
      </c>
      <c r="R3220">
        <v>-0.79824580000000001</v>
      </c>
      <c r="S3220">
        <v>1.277039</v>
      </c>
      <c r="T3220">
        <v>-0.36805189999999999</v>
      </c>
      <c r="U3220">
        <v>-3.124619</v>
      </c>
      <c r="V3220">
        <v>-0.28660449999999998</v>
      </c>
      <c r="W3220">
        <v>0.3545277</v>
      </c>
      <c r="X3220">
        <v>0.8900382</v>
      </c>
      <c r="Y3220">
        <v>-0.13953389999999999</v>
      </c>
      <c r="Z3220">
        <v>9.3767710000000004E-2</v>
      </c>
      <c r="AA3220">
        <v>0.98576770000000002</v>
      </c>
      <c r="AB3220">
        <v>17</v>
      </c>
      <c r="AC3220">
        <v>3.8154000000000101</v>
      </c>
      <c r="AD3220">
        <v>-1.1115674243010001</v>
      </c>
      <c r="AE3220">
        <v>-9.2766000000000002</v>
      </c>
      <c r="AF3220">
        <v>-1.4225123587603701</v>
      </c>
      <c r="AG3220">
        <v>-1.1115674243010001</v>
      </c>
      <c r="AH3220">
        <v>9.8062564713505296</v>
      </c>
      <c r="AI3220">
        <v>96.400609445585602</v>
      </c>
      <c r="AJ3220">
        <v>98.253850263980894</v>
      </c>
      <c r="AK3220">
        <v>9.9710475643984999</v>
      </c>
      <c r="AL3220">
        <v>69.235499304988593</v>
      </c>
      <c r="AM3220">
        <v>107.84927011235</v>
      </c>
      <c r="AN3220">
        <v>1.00000001347339</v>
      </c>
    </row>
    <row r="3221" spans="1:40" x14ac:dyDescent="0.25">
      <c r="A3221" t="str">
        <f>"20190304164151917"</f>
        <v>20190304164151917</v>
      </c>
      <c r="B3221" t="str">
        <f>"1551688911904293"</f>
        <v>1551688911904293</v>
      </c>
      <c r="C3221" t="s">
        <v>40</v>
      </c>
      <c r="D3221">
        <v>4.3330799999999998</v>
      </c>
      <c r="E3221">
        <v>0.56601319999999999</v>
      </c>
      <c r="F3221" t="s">
        <v>45</v>
      </c>
      <c r="G3221">
        <v>-489.03989999999999</v>
      </c>
      <c r="H3221" s="1">
        <v>5.5776910000000004E-6</v>
      </c>
      <c r="I3221">
        <v>226.99860000000001</v>
      </c>
      <c r="J3221">
        <v>-492.78550000000001</v>
      </c>
      <c r="K3221">
        <v>1.111723</v>
      </c>
      <c r="L3221">
        <v>236.12690000000001</v>
      </c>
      <c r="M3221">
        <v>0.24504809999999999</v>
      </c>
      <c r="N3221">
        <v>-1.3968670000000001E-2</v>
      </c>
      <c r="O3221">
        <v>-0.96941040000000001</v>
      </c>
      <c r="P3221">
        <v>0.49626490000000001</v>
      </c>
      <c r="Q3221">
        <v>0.3409663</v>
      </c>
      <c r="R3221">
        <v>-0.79841309999999999</v>
      </c>
      <c r="S3221">
        <v>1.274994</v>
      </c>
      <c r="T3221">
        <v>-0.37407469999999998</v>
      </c>
      <c r="U3221">
        <v>-3.1274109999999999</v>
      </c>
      <c r="V3221">
        <v>-0.28619749999999999</v>
      </c>
      <c r="W3221">
        <v>0.35284979999999999</v>
      </c>
      <c r="X3221">
        <v>0.89083559999999995</v>
      </c>
      <c r="Y3221">
        <v>-0.1371802</v>
      </c>
      <c r="Z3221">
        <v>9.5376379999999997E-2</v>
      </c>
      <c r="AA3221">
        <v>0.98594369999999998</v>
      </c>
      <c r="AB3221">
        <v>17</v>
      </c>
      <c r="AC3221">
        <v>3.74560000000002</v>
      </c>
      <c r="AD3221">
        <v>-1.1117174223090001</v>
      </c>
      <c r="AE3221">
        <v>-9.1282999999999905</v>
      </c>
      <c r="AF3221">
        <v>-1.3768084773026901</v>
      </c>
      <c r="AG3221">
        <v>-1.1117174223090001</v>
      </c>
      <c r="AH3221">
        <v>9.6454254740175607</v>
      </c>
      <c r="AI3221">
        <v>96.509408129935906</v>
      </c>
      <c r="AJ3221">
        <v>98.123643714002696</v>
      </c>
      <c r="AK3221">
        <v>9.8064137066036903</v>
      </c>
      <c r="AL3221">
        <v>69.338279602086203</v>
      </c>
      <c r="AM3221">
        <v>107.810580777277</v>
      </c>
      <c r="AN3221">
        <v>1.00000002829682</v>
      </c>
    </row>
    <row r="3222" spans="1:40" x14ac:dyDescent="0.25">
      <c r="A3222" t="str">
        <f>"20190304164151940"</f>
        <v>20190304164151940</v>
      </c>
      <c r="B3222" t="str">
        <f>"1551688911934549"</f>
        <v>1551688911934549</v>
      </c>
      <c r="C3222" t="s">
        <v>40</v>
      </c>
      <c r="D3222">
        <v>4.6746840000000001</v>
      </c>
      <c r="E3222">
        <v>0.5667818</v>
      </c>
      <c r="F3222" t="s">
        <v>45</v>
      </c>
      <c r="G3222">
        <v>-489.07350000000002</v>
      </c>
      <c r="H3222" s="1">
        <v>5.587421E-6</v>
      </c>
      <c r="I3222">
        <v>227.00120000000001</v>
      </c>
      <c r="J3222">
        <v>-492.74090000000001</v>
      </c>
      <c r="K3222">
        <v>1.111883</v>
      </c>
      <c r="L3222">
        <v>235.95859999999999</v>
      </c>
      <c r="M3222">
        <v>0.24671960000000001</v>
      </c>
      <c r="N3222">
        <v>-1.397817E-2</v>
      </c>
      <c r="O3222">
        <v>-0.96898629999999997</v>
      </c>
      <c r="P3222">
        <v>0.49779250000000003</v>
      </c>
      <c r="Q3222">
        <v>0.33975809999999901</v>
      </c>
      <c r="R3222">
        <v>-0.7979773</v>
      </c>
      <c r="S3222">
        <v>1.2728269999999999</v>
      </c>
      <c r="T3222">
        <v>-0.3811966</v>
      </c>
      <c r="U3222">
        <v>-3.1291199999999999</v>
      </c>
      <c r="V3222">
        <v>-0.28637170000000001</v>
      </c>
      <c r="W3222">
        <v>0.351547099999999</v>
      </c>
      <c r="X3222">
        <v>0.89129449999999999</v>
      </c>
      <c r="Y3222">
        <v>-0.1346241</v>
      </c>
      <c r="Z3222">
        <v>9.7321179999999993E-2</v>
      </c>
      <c r="AA3222">
        <v>0.98610600000000004</v>
      </c>
      <c r="AB3222">
        <v>17</v>
      </c>
      <c r="AC3222">
        <v>3.6673999999999798</v>
      </c>
      <c r="AD3222">
        <v>-1.1118774125790001</v>
      </c>
      <c r="AE3222">
        <v>-8.9573999999999696</v>
      </c>
      <c r="AF3222">
        <v>-1.3263229869702899</v>
      </c>
      <c r="AG3222">
        <v>-1.1118774125790001</v>
      </c>
      <c r="AH3222">
        <v>9.46051038352822</v>
      </c>
      <c r="AI3222">
        <v>96.638786804740406</v>
      </c>
      <c r="AJ3222">
        <v>97.980607998500204</v>
      </c>
      <c r="AK3222">
        <v>9.6175184306147496</v>
      </c>
      <c r="AL3222">
        <v>69.418028106386203</v>
      </c>
      <c r="AM3222">
        <v>107.812140630926</v>
      </c>
      <c r="AN3222">
        <v>0.99999999990477495</v>
      </c>
    </row>
    <row r="3223" spans="1:40" x14ac:dyDescent="0.25">
      <c r="A3223" t="str">
        <f>"20190304164151963"</f>
        <v>20190304164151963</v>
      </c>
      <c r="B3223" t="str">
        <f>"1551688911954069"</f>
        <v>1551688911954069</v>
      </c>
      <c r="C3223" t="s">
        <v>40</v>
      </c>
      <c r="D3223">
        <v>4.3289809999999997</v>
      </c>
      <c r="E3223">
        <v>0.56713970000000002</v>
      </c>
      <c r="F3223" t="s">
        <v>45</v>
      </c>
      <c r="G3223">
        <v>-489.06319999999999</v>
      </c>
      <c r="H3223" s="1">
        <v>5.5509609999999999E-6</v>
      </c>
      <c r="I3223">
        <v>226.89230000000001</v>
      </c>
      <c r="J3223">
        <v>-492.6952</v>
      </c>
      <c r="K3223">
        <v>1.1120300000000001</v>
      </c>
      <c r="L3223">
        <v>235.78829999999999</v>
      </c>
      <c r="M3223">
        <v>0.2486729</v>
      </c>
      <c r="N3223">
        <v>-1.398774E-2</v>
      </c>
      <c r="O3223">
        <v>-0.96848679999999998</v>
      </c>
      <c r="P3223">
        <v>0.49974970000000002</v>
      </c>
      <c r="Q3223">
        <v>0.3392442</v>
      </c>
      <c r="R3223">
        <v>-0.79697209999999996</v>
      </c>
      <c r="S3223">
        <v>1.269989</v>
      </c>
      <c r="T3223">
        <v>-0.38395560000000001</v>
      </c>
      <c r="U3223">
        <v>-3.1307830000000001</v>
      </c>
      <c r="V3223">
        <v>-0.2868327</v>
      </c>
      <c r="W3223">
        <v>0.3509409</v>
      </c>
      <c r="X3223">
        <v>0.89138510000000004</v>
      </c>
      <c r="Y3223">
        <v>-0.1316503</v>
      </c>
      <c r="Z3223">
        <v>9.8008150000000002E-2</v>
      </c>
      <c r="AA3223">
        <v>0.98643930000000002</v>
      </c>
      <c r="AB3223">
        <v>17</v>
      </c>
      <c r="AC3223">
        <v>3.6320000000000001</v>
      </c>
      <c r="AD3223">
        <v>-1.1120244490390001</v>
      </c>
      <c r="AE3223">
        <v>-8.8959999999999795</v>
      </c>
      <c r="AF3223">
        <v>-1.2882238456821</v>
      </c>
      <c r="AG3223">
        <v>-1.1120244490390001</v>
      </c>
      <c r="AH3223">
        <v>9.39395209621334</v>
      </c>
      <c r="AI3223">
        <v>96.689036967105295</v>
      </c>
      <c r="AJ3223">
        <v>97.808456150089796</v>
      </c>
      <c r="AK3223">
        <v>9.5468557670992098</v>
      </c>
      <c r="AL3223">
        <v>69.455123471602107</v>
      </c>
      <c r="AM3223">
        <v>107.837300146939</v>
      </c>
      <c r="AN3223">
        <v>0.99999995479205395</v>
      </c>
    </row>
    <row r="3224" spans="1:40" x14ac:dyDescent="0.25">
      <c r="A3224" t="str">
        <f>"20190304164151984"</f>
        <v>20190304164151984</v>
      </c>
      <c r="B3224" t="str">
        <f>"1551688911974565"</f>
        <v>1551688911974565</v>
      </c>
      <c r="C3224" t="s">
        <v>40</v>
      </c>
      <c r="D3224">
        <v>4.3389189999999997</v>
      </c>
      <c r="E3224">
        <v>0.56746319999999995</v>
      </c>
      <c r="F3224" t="s">
        <v>45</v>
      </c>
      <c r="G3224">
        <v>-489.0317</v>
      </c>
      <c r="H3224" s="1">
        <v>5.510861E-6</v>
      </c>
      <c r="I3224">
        <v>226.78989999999999</v>
      </c>
      <c r="J3224">
        <v>-492.65339999999998</v>
      </c>
      <c r="K3224">
        <v>1.112141</v>
      </c>
      <c r="L3224">
        <v>235.6353</v>
      </c>
      <c r="M3224">
        <v>0.25064639999999999</v>
      </c>
      <c r="N3224">
        <v>-1.399593E-2</v>
      </c>
      <c r="O3224">
        <v>-0.96797759999999999</v>
      </c>
      <c r="P3224">
        <v>0.50157240000000003</v>
      </c>
      <c r="Q3224">
        <v>0.33910940000000001</v>
      </c>
      <c r="R3224">
        <v>-0.79588340000000002</v>
      </c>
      <c r="S3224">
        <v>1.2742610000000001</v>
      </c>
      <c r="T3224">
        <v>-0.38678899999999999</v>
      </c>
      <c r="U3224">
        <v>-3.1298520000000001</v>
      </c>
      <c r="V3224">
        <v>-0.28713499999999997</v>
      </c>
      <c r="W3224">
        <v>0.35073680000000002</v>
      </c>
      <c r="X3224">
        <v>0.89136819999999894</v>
      </c>
      <c r="Y3224">
        <v>-0.13085869999999999</v>
      </c>
      <c r="Z3224">
        <v>9.8741200000000001E-2</v>
      </c>
      <c r="AA3224">
        <v>0.9864716</v>
      </c>
      <c r="AB3224">
        <v>17</v>
      </c>
      <c r="AC3224">
        <v>3.6216999999999699</v>
      </c>
      <c r="AD3224">
        <v>-1.1121354891390001</v>
      </c>
      <c r="AE3224">
        <v>-8.8454000000000104</v>
      </c>
      <c r="AF3224">
        <v>-1.2715678636919701</v>
      </c>
      <c r="AG3224">
        <v>-1.1121354891390001</v>
      </c>
      <c r="AH3224">
        <v>9.3443341022393493</v>
      </c>
      <c r="AI3224">
        <v>96.725838505212593</v>
      </c>
      <c r="AJ3224">
        <v>97.749156011653994</v>
      </c>
      <c r="AK3224">
        <v>9.4958048628038902</v>
      </c>
      <c r="AL3224">
        <v>69.467613138823495</v>
      </c>
      <c r="AM3224">
        <v>107.85522325295</v>
      </c>
      <c r="AN3224">
        <v>1.00000003953523</v>
      </c>
    </row>
    <row r="3225" spans="1:40" x14ac:dyDescent="0.25">
      <c r="A3225" t="str">
        <f>"20190304164152006"</f>
        <v>20190304164152006</v>
      </c>
      <c r="B3225" t="str">
        <f>"1551688911994085"</f>
        <v>1551688911994085</v>
      </c>
      <c r="C3225" t="s">
        <v>40</v>
      </c>
      <c r="D3225">
        <v>4.398396</v>
      </c>
      <c r="E3225">
        <v>0.56755419999999901</v>
      </c>
      <c r="F3225" t="s">
        <v>45</v>
      </c>
      <c r="G3225">
        <v>-488.98469999999998</v>
      </c>
      <c r="H3225" s="1">
        <v>5.4606699999999997E-6</v>
      </c>
      <c r="I3225">
        <v>226.66829999999999</v>
      </c>
      <c r="J3225">
        <v>-492.60939999999999</v>
      </c>
      <c r="K3225">
        <v>1.1122160000000001</v>
      </c>
      <c r="L3225">
        <v>235.4761</v>
      </c>
      <c r="M3225">
        <v>0.25287179999999998</v>
      </c>
      <c r="N3225">
        <v>-1.4003299999999899E-2</v>
      </c>
      <c r="O3225">
        <v>-0.96739850000000005</v>
      </c>
      <c r="P3225">
        <v>0.5045345</v>
      </c>
      <c r="Q3225">
        <v>0.3383756</v>
      </c>
      <c r="R3225">
        <v>-0.79432199999999997</v>
      </c>
      <c r="S3225">
        <v>1.27984599999999</v>
      </c>
      <c r="T3225">
        <v>-0.38797320000000002</v>
      </c>
      <c r="U3225">
        <v>-3.1281590000000001</v>
      </c>
      <c r="V3225">
        <v>-0.28839569999999998</v>
      </c>
      <c r="W3225">
        <v>0.34995209999999999</v>
      </c>
      <c r="X3225">
        <v>0.8912696</v>
      </c>
      <c r="Y3225">
        <v>-0.13026399999999999</v>
      </c>
      <c r="Z3225">
        <v>9.9006830000000004E-2</v>
      </c>
      <c r="AA3225">
        <v>0.9865237</v>
      </c>
      <c r="AB3225">
        <v>17</v>
      </c>
      <c r="AC3225">
        <v>3.62470000000001</v>
      </c>
      <c r="AD3225">
        <v>-1.1122105393299999</v>
      </c>
      <c r="AE3225">
        <v>-8.8078000000000092</v>
      </c>
      <c r="AF3225">
        <v>-1.26219897917181</v>
      </c>
      <c r="AG3225">
        <v>-1.1122105393299999</v>
      </c>
      <c r="AH3225">
        <v>9.3111932451588597</v>
      </c>
      <c r="AI3225">
        <v>96.750473685786005</v>
      </c>
      <c r="AJ3225">
        <v>97.719797388496801</v>
      </c>
      <c r="AK3225">
        <v>9.4619489639033194</v>
      </c>
      <c r="AL3225">
        <v>69.515615190463194</v>
      </c>
      <c r="AM3225">
        <v>107.930466924271</v>
      </c>
      <c r="AN3225">
        <v>1.00000002597852</v>
      </c>
    </row>
    <row r="3226" spans="1:40" x14ac:dyDescent="0.25">
      <c r="A3226" t="str">
        <f>"20190304164152029"</f>
        <v>20190304164152029</v>
      </c>
      <c r="B3226" t="str">
        <f>"1551688912024341"</f>
        <v>1551688912024341</v>
      </c>
      <c r="C3226" t="s">
        <v>40</v>
      </c>
      <c r="D3226">
        <v>4.3334400000000004</v>
      </c>
      <c r="E3226">
        <v>0.52183979999999996</v>
      </c>
      <c r="F3226" t="s">
        <v>45</v>
      </c>
      <c r="G3226">
        <v>-488.9341</v>
      </c>
      <c r="H3226" s="1">
        <v>5.4138060000000003E-6</v>
      </c>
      <c r="I3226">
        <v>226.56049999999999</v>
      </c>
      <c r="J3226">
        <v>-492.56330000000003</v>
      </c>
      <c r="K3226">
        <v>1.112249</v>
      </c>
      <c r="L3226">
        <v>235.31180000000001</v>
      </c>
      <c r="M3226">
        <v>0.25532169999999998</v>
      </c>
      <c r="N3226">
        <v>-1.400942E-2</v>
      </c>
      <c r="O3226">
        <v>-0.96675480000000003</v>
      </c>
      <c r="P3226">
        <v>0.50902219999999998</v>
      </c>
      <c r="Q3226">
        <v>0.33689190000000002</v>
      </c>
      <c r="R3226">
        <v>-0.79208619999999996</v>
      </c>
      <c r="S3226">
        <v>1.2880860000000001</v>
      </c>
      <c r="T3226">
        <v>-0.38979639999999999</v>
      </c>
      <c r="U3226">
        <v>-3.1246489999999998</v>
      </c>
      <c r="V3226">
        <v>-0.29106670000000001</v>
      </c>
      <c r="W3226">
        <v>0.34843020000000002</v>
      </c>
      <c r="X3226">
        <v>0.8909975</v>
      </c>
      <c r="Y3226">
        <v>-0.1303465</v>
      </c>
      <c r="Z3226">
        <v>9.9484100000000006E-2</v>
      </c>
      <c r="AA3226">
        <v>0.98646469999999997</v>
      </c>
      <c r="AB3226">
        <v>17</v>
      </c>
      <c r="AC3226">
        <v>3.62920000000002</v>
      </c>
      <c r="AD3226">
        <v>-1.1122435861939901</v>
      </c>
      <c r="AE3226">
        <v>-8.7513000000000094</v>
      </c>
      <c r="AF3226">
        <v>-1.2569504182523199</v>
      </c>
      <c r="AG3226">
        <v>-1.1122435861939901</v>
      </c>
      <c r="AH3226">
        <v>9.2602632524138695</v>
      </c>
      <c r="AI3226">
        <v>96.787294498338596</v>
      </c>
      <c r="AJ3226">
        <v>97.729854530509002</v>
      </c>
      <c r="AK3226">
        <v>9.4111362572741992</v>
      </c>
      <c r="AL3226">
        <v>69.608670556007198</v>
      </c>
      <c r="AM3226">
        <v>108.090926121883</v>
      </c>
      <c r="AN3226">
        <v>0.99999998656358902</v>
      </c>
    </row>
    <row r="3227" spans="1:40" x14ac:dyDescent="0.25">
      <c r="A3227" t="str">
        <f>"20190304164152052"</f>
        <v>20190304164152052</v>
      </c>
      <c r="B3227" t="str">
        <f>"1551688912044837"</f>
        <v>1551688912044837</v>
      </c>
      <c r="C3227" t="s">
        <v>40</v>
      </c>
      <c r="D3227">
        <v>4.2887789999999999</v>
      </c>
      <c r="E3227">
        <v>0.51528569999999996</v>
      </c>
      <c r="F3227" t="s">
        <v>45</v>
      </c>
      <c r="G3227">
        <v>-487.36349999999999</v>
      </c>
      <c r="H3227" s="1">
        <v>4.7852630000000002E-6</v>
      </c>
      <c r="I3227">
        <v>225.8673</v>
      </c>
      <c r="J3227">
        <v>-492.51459999999997</v>
      </c>
      <c r="K3227">
        <v>1.112274</v>
      </c>
      <c r="L3227">
        <v>235.14009999999999</v>
      </c>
      <c r="M3227">
        <v>0.25801790000000002</v>
      </c>
      <c r="N3227">
        <v>-1.40144E-2</v>
      </c>
      <c r="O3227">
        <v>-0.96603850000000002</v>
      </c>
      <c r="P3227">
        <v>0.51320509999999997</v>
      </c>
      <c r="Q3227">
        <v>0.33668670000000001</v>
      </c>
      <c r="R3227">
        <v>-0.7894698</v>
      </c>
      <c r="S3227">
        <v>1.5994569999999999</v>
      </c>
      <c r="T3227">
        <v>-0.3421245</v>
      </c>
      <c r="U3227">
        <v>-2.905106</v>
      </c>
      <c r="V3227">
        <v>-0.29330270000000003</v>
      </c>
      <c r="W3227">
        <v>0.34819549999999999</v>
      </c>
      <c r="X3227">
        <v>0.89035580000000003</v>
      </c>
      <c r="Y3227">
        <v>-0.2377562</v>
      </c>
      <c r="Z3227">
        <v>8.9319120000000002E-2</v>
      </c>
      <c r="AA3227">
        <v>0.96720950000000006</v>
      </c>
      <c r="AB3227">
        <v>17</v>
      </c>
      <c r="AC3227">
        <v>5.15109999999998</v>
      </c>
      <c r="AD3227">
        <v>-1.1122692147369999</v>
      </c>
      <c r="AE3227">
        <v>-9.2727999999999895</v>
      </c>
      <c r="AF3227">
        <v>-2.5557656079926199</v>
      </c>
      <c r="AG3227">
        <v>-1.1122692147369999</v>
      </c>
      <c r="AH3227">
        <v>10.17608198866</v>
      </c>
      <c r="AI3227">
        <v>96.051322305031306</v>
      </c>
      <c r="AJ3227">
        <v>104.09846663578</v>
      </c>
      <c r="AK3227">
        <v>10.5509111117941</v>
      </c>
      <c r="AL3227">
        <v>69.623016837294898</v>
      </c>
      <c r="AM3227">
        <v>108.23301498305401</v>
      </c>
      <c r="AN3227">
        <v>1.0000000153205899</v>
      </c>
    </row>
    <row r="3228" spans="1:40" x14ac:dyDescent="0.25">
      <c r="A3228" t="str">
        <f>"20190304164152074"</f>
        <v>20190304164152074</v>
      </c>
      <c r="B3228" t="str">
        <f>"1551688912064357"</f>
        <v>1551688912064357</v>
      </c>
      <c r="C3228" t="s">
        <v>40</v>
      </c>
      <c r="D3228">
        <v>4.2385580000000003</v>
      </c>
      <c r="E3228">
        <v>0.51257549999999996</v>
      </c>
      <c r="F3228" t="s">
        <v>45</v>
      </c>
      <c r="G3228">
        <v>-486.98079999999999</v>
      </c>
      <c r="H3228" s="1">
        <v>4.6317860000000003E-6</v>
      </c>
      <c r="I3228">
        <v>225.55690000000001</v>
      </c>
      <c r="J3228">
        <v>-492.4699</v>
      </c>
      <c r="K3228">
        <v>1.1122920000000001</v>
      </c>
      <c r="L3228">
        <v>234.98500000000001</v>
      </c>
      <c r="M3228">
        <v>0.26055589999999901</v>
      </c>
      <c r="N3228">
        <v>-1.4018050000000001E-2</v>
      </c>
      <c r="O3228">
        <v>-0.96535709999999997</v>
      </c>
      <c r="P3228">
        <v>0.51689529999999995</v>
      </c>
      <c r="Q3228">
        <v>0.3370147</v>
      </c>
      <c r="R3228">
        <v>-0.78691860000000002</v>
      </c>
      <c r="S3228">
        <v>1.654968</v>
      </c>
      <c r="T3228">
        <v>-0.33264300000000002</v>
      </c>
      <c r="U3228">
        <v>-2.866028</v>
      </c>
      <c r="V3228">
        <v>-0.29519200000000001</v>
      </c>
      <c r="W3228">
        <v>0.34849770000000002</v>
      </c>
      <c r="X3228">
        <v>0.88961290000000004</v>
      </c>
      <c r="Y3228">
        <v>-0.25498779999999999</v>
      </c>
      <c r="Z3228">
        <v>8.6950349999999996E-2</v>
      </c>
      <c r="AA3228">
        <v>0.96302690000000002</v>
      </c>
      <c r="AB3228">
        <v>17</v>
      </c>
      <c r="AC3228">
        <v>5.4890999999999996</v>
      </c>
      <c r="AD3228">
        <v>-1.112287368214</v>
      </c>
      <c r="AE3228">
        <v>-9.4281000000000006</v>
      </c>
      <c r="AF3228">
        <v>-2.8134285261311298</v>
      </c>
      <c r="AG3228">
        <v>-1.112287368214</v>
      </c>
      <c r="AH3228">
        <v>10.424375039899401</v>
      </c>
      <c r="AI3228">
        <v>95.881564166925301</v>
      </c>
      <c r="AJ3228">
        <v>105.103669647979</v>
      </c>
      <c r="AK3228">
        <v>10.854499446479</v>
      </c>
      <c r="AL3228">
        <v>69.604545568873505</v>
      </c>
      <c r="AM3228">
        <v>108.356914142207</v>
      </c>
      <c r="AN3228">
        <v>1.00000003780784</v>
      </c>
    </row>
    <row r="3229" spans="1:40" x14ac:dyDescent="0.25">
      <c r="A3229" t="str">
        <f>"20190304164152095"</f>
        <v>20190304164152095</v>
      </c>
      <c r="B3229" t="str">
        <f>"1551688912083877"</f>
        <v>1551688912083877</v>
      </c>
      <c r="C3229" t="s">
        <v>40</v>
      </c>
      <c r="D3229">
        <v>4.2260939999999998</v>
      </c>
      <c r="E3229">
        <v>0.51130850000000005</v>
      </c>
      <c r="F3229" t="s">
        <v>45</v>
      </c>
      <c r="G3229">
        <v>-486.71969999999999</v>
      </c>
      <c r="H3229" s="1">
        <v>4.5098309999999901E-6</v>
      </c>
      <c r="I3229">
        <v>225.2672</v>
      </c>
      <c r="J3229">
        <v>-492.42579999999998</v>
      </c>
      <c r="K3229">
        <v>1.1123099999999999</v>
      </c>
      <c r="L3229">
        <v>234.83340000000001</v>
      </c>
      <c r="M3229">
        <v>0.2631117</v>
      </c>
      <c r="N3229">
        <v>-1.402108E-2</v>
      </c>
      <c r="O3229">
        <v>-0.96466370000000001</v>
      </c>
      <c r="P3229">
        <v>0.52077529999999905</v>
      </c>
      <c r="Q3229">
        <v>0.335991599999999</v>
      </c>
      <c r="R3229">
        <v>-0.78479500000000002</v>
      </c>
      <c r="S3229">
        <v>1.683929</v>
      </c>
      <c r="T3229">
        <v>-0.32572879999999999</v>
      </c>
      <c r="U3229">
        <v>-2.845825</v>
      </c>
      <c r="V3229">
        <v>-0.29713659999999997</v>
      </c>
      <c r="W3229">
        <v>0.34745340000000002</v>
      </c>
      <c r="X3229">
        <v>0.889374</v>
      </c>
      <c r="Y3229">
        <v>-0.26274930000000002</v>
      </c>
      <c r="Z3229">
        <v>8.5069569999999997E-2</v>
      </c>
      <c r="AA3229">
        <v>0.96110669999999998</v>
      </c>
      <c r="AB3229">
        <v>17</v>
      </c>
      <c r="AC3229">
        <v>5.7060999999999904</v>
      </c>
      <c r="AD3229">
        <v>-1.1123054901689999</v>
      </c>
      <c r="AE3229">
        <v>-9.5662000000000091</v>
      </c>
      <c r="AF3229">
        <v>-2.95828196979393</v>
      </c>
      <c r="AG3229">
        <v>-1.1123054901689999</v>
      </c>
      <c r="AH3229">
        <v>10.6246132429988</v>
      </c>
      <c r="AI3229">
        <v>95.759084512988593</v>
      </c>
      <c r="AJ3229">
        <v>105.559152694237</v>
      </c>
      <c r="AK3229">
        <v>11.084722020852499</v>
      </c>
      <c r="AL3229">
        <v>69.668368881951395</v>
      </c>
      <c r="AM3229">
        <v>108.47428526717199</v>
      </c>
      <c r="AN3229">
        <v>1.0000000680535499</v>
      </c>
    </row>
    <row r="3230" spans="1:40" x14ac:dyDescent="0.25">
      <c r="A3230" t="str">
        <f>"20190304164152110"</f>
        <v>20190304164152110</v>
      </c>
      <c r="B3230" t="str">
        <f>"1551688912104373"</f>
        <v>1551688912104373</v>
      </c>
      <c r="C3230" t="s">
        <v>40</v>
      </c>
      <c r="D3230">
        <v>4.2012519999999904</v>
      </c>
      <c r="E3230">
        <v>0.51063939999999997</v>
      </c>
      <c r="F3230" t="s">
        <v>45</v>
      </c>
      <c r="G3230">
        <v>-486.63029999999998</v>
      </c>
      <c r="H3230" s="1">
        <v>4.4716639999999997E-6</v>
      </c>
      <c r="I3230">
        <v>225.1842</v>
      </c>
      <c r="J3230">
        <v>-492.39359999999999</v>
      </c>
      <c r="K3230">
        <v>1.1123270000000001</v>
      </c>
      <c r="L3230">
        <v>234.72389999999999</v>
      </c>
      <c r="M3230">
        <v>0.26500210000000002</v>
      </c>
      <c r="N3230">
        <v>-1.4022990000000001E-2</v>
      </c>
      <c r="O3230">
        <v>-0.96414610000000001</v>
      </c>
      <c r="P3230">
        <v>0.52325770000000005</v>
      </c>
      <c r="Q3230">
        <v>0.33519739999999998</v>
      </c>
      <c r="R3230">
        <v>-0.78348229999999996</v>
      </c>
      <c r="S3230">
        <v>1.70172099999999</v>
      </c>
      <c r="T3230">
        <v>-0.32660600000000001</v>
      </c>
      <c r="U3230">
        <v>-2.833313</v>
      </c>
      <c r="V3230">
        <v>-0.29813610000000001</v>
      </c>
      <c r="W3230">
        <v>0.34664539999999999</v>
      </c>
      <c r="X3230">
        <v>0.8893548</v>
      </c>
      <c r="Y3230">
        <v>-0.26714149999999998</v>
      </c>
      <c r="Z3230">
        <v>8.5432300000000003E-2</v>
      </c>
      <c r="AA3230">
        <v>0.95986289999999996</v>
      </c>
      <c r="AB3230">
        <v>17</v>
      </c>
      <c r="AC3230">
        <v>5.7633000000000099</v>
      </c>
      <c r="AD3230">
        <v>-1.1123225283360001</v>
      </c>
      <c r="AE3230">
        <v>-9.5396999999999803</v>
      </c>
      <c r="AF3230">
        <v>-2.99904891832557</v>
      </c>
      <c r="AG3230">
        <v>-1.1123225283360001</v>
      </c>
      <c r="AH3230">
        <v>10.6202246046201</v>
      </c>
      <c r="AI3230">
        <v>95.755656884217601</v>
      </c>
      <c r="AJ3230">
        <v>105.769167507416</v>
      </c>
      <c r="AK3230">
        <v>11.091470888666301</v>
      </c>
      <c r="AL3230">
        <v>69.717731851270898</v>
      </c>
      <c r="AM3230">
        <v>108.532563242995</v>
      </c>
      <c r="AN3230">
        <v>1.0000000638737001</v>
      </c>
    </row>
    <row r="3231" spans="1:40" x14ac:dyDescent="0.25">
      <c r="A3231" t="str">
        <f>"20190304164152129"</f>
        <v>20190304164152129</v>
      </c>
      <c r="B3231" t="str">
        <f>"1551688912123893"</f>
        <v>1551688912123893</v>
      </c>
      <c r="C3231" t="s">
        <v>40</v>
      </c>
      <c r="D3231">
        <v>4.2291910000000001</v>
      </c>
      <c r="E3231">
        <v>0.51031179999999998</v>
      </c>
      <c r="F3231" t="s">
        <v>45</v>
      </c>
      <c r="G3231">
        <v>-486.57279999999997</v>
      </c>
      <c r="H3231" s="1">
        <v>4.4463010000000003E-6</v>
      </c>
      <c r="I3231">
        <v>225.12710000000001</v>
      </c>
      <c r="J3231">
        <v>-492.3535</v>
      </c>
      <c r="K3231">
        <v>1.112339</v>
      </c>
      <c r="L3231">
        <v>234.5891</v>
      </c>
      <c r="M3231">
        <v>0.2673758</v>
      </c>
      <c r="N3231">
        <v>-1.4025040000000001E-2</v>
      </c>
      <c r="O3231">
        <v>-0.96349039999999997</v>
      </c>
      <c r="P3231">
        <v>0.52661139999999995</v>
      </c>
      <c r="Q3231">
        <v>0.33356269999999999</v>
      </c>
      <c r="R3231">
        <v>-0.7819313</v>
      </c>
      <c r="S3231">
        <v>1.7133480000000001</v>
      </c>
      <c r="T3231">
        <v>-0.32741439999999999</v>
      </c>
      <c r="U3231">
        <v>-2.8248289999999998</v>
      </c>
      <c r="V3231">
        <v>-0.2995932</v>
      </c>
      <c r="W3231">
        <v>0.34499210000000002</v>
      </c>
      <c r="X3231">
        <v>0.88950790000000002</v>
      </c>
      <c r="Y3231">
        <v>-0.2689185</v>
      </c>
      <c r="Z3231">
        <v>8.5718740000000002E-2</v>
      </c>
      <c r="AA3231">
        <v>0.959341</v>
      </c>
      <c r="AB3231">
        <v>17</v>
      </c>
      <c r="AC3231">
        <v>5.7807000000000199</v>
      </c>
      <c r="AD3231">
        <v>-1.1123345536989999</v>
      </c>
      <c r="AE3231">
        <v>-9.4619999999999802</v>
      </c>
      <c r="AF3231">
        <v>-3.0097485918379498</v>
      </c>
      <c r="AG3231">
        <v>-1.1123345536989999</v>
      </c>
      <c r="AH3231">
        <v>10.556970852533301</v>
      </c>
      <c r="AI3231">
        <v>95.7858871594715</v>
      </c>
      <c r="AJ3231">
        <v>105.91263110774899</v>
      </c>
      <c r="AK3231">
        <v>11.0338347063322</v>
      </c>
      <c r="AL3231">
        <v>69.818685832238401</v>
      </c>
      <c r="AM3231">
        <v>108.613926797484</v>
      </c>
      <c r="AN3231">
        <v>0.99999996935552904</v>
      </c>
    </row>
    <row r="3232" spans="1:40" x14ac:dyDescent="0.25">
      <c r="A3232" t="str">
        <f>"20190304164152154"</f>
        <v>20190304164152154</v>
      </c>
      <c r="B3232" t="str">
        <f>"1551688912144390"</f>
        <v>1551688912144390</v>
      </c>
      <c r="C3232" t="s">
        <v>40</v>
      </c>
      <c r="D3232">
        <v>4.208437</v>
      </c>
      <c r="E3232">
        <v>0.51013260000000005</v>
      </c>
      <c r="F3232" t="s">
        <v>45</v>
      </c>
      <c r="G3232">
        <v>-486.5788</v>
      </c>
      <c r="H3232" s="1">
        <v>4.4530170000000002E-6</v>
      </c>
      <c r="I3232">
        <v>225.1515</v>
      </c>
      <c r="J3232">
        <v>-492.30110000000002</v>
      </c>
      <c r="K3232">
        <v>1.112365</v>
      </c>
      <c r="L3232">
        <v>234.41489999999999</v>
      </c>
      <c r="M3232">
        <v>0.270534</v>
      </c>
      <c r="N3232">
        <v>-1.402727E-2</v>
      </c>
      <c r="O3232">
        <v>-0.96260820000000002</v>
      </c>
      <c r="P3232">
        <v>0.53090389999999998</v>
      </c>
      <c r="Q3232">
        <v>0.3329144</v>
      </c>
      <c r="R3232">
        <v>-0.77930069999999996</v>
      </c>
      <c r="S3232">
        <v>1.7238770000000001</v>
      </c>
      <c r="T3232">
        <v>-0.33205180000000001</v>
      </c>
      <c r="U3232">
        <v>-2.817291</v>
      </c>
      <c r="V3232">
        <v>-0.30152960000000001</v>
      </c>
      <c r="W3232">
        <v>0.34430820000000001</v>
      </c>
      <c r="X3232">
        <v>0.88911859999999998</v>
      </c>
      <c r="Y3232">
        <v>-0.26944259999999998</v>
      </c>
      <c r="Z3232">
        <v>8.7113969999999999E-2</v>
      </c>
      <c r="AA3232">
        <v>0.95906820000000004</v>
      </c>
      <c r="AB3232">
        <v>17</v>
      </c>
      <c r="AC3232">
        <v>5.7223000000000104</v>
      </c>
      <c r="AD3232">
        <v>-1.112360546983</v>
      </c>
      <c r="AE3232">
        <v>-9.2633999999999901</v>
      </c>
      <c r="AF3232">
        <v>-2.9715500505875898</v>
      </c>
      <c r="AG3232">
        <v>-1.112360546983</v>
      </c>
      <c r="AH3232">
        <v>10.358026117126601</v>
      </c>
      <c r="AI3232">
        <v>95.893610019375998</v>
      </c>
      <c r="AJ3232">
        <v>106.00732855735301</v>
      </c>
      <c r="AK3232">
        <v>10.833104851920799</v>
      </c>
      <c r="AL3232">
        <v>69.860429821449202</v>
      </c>
      <c r="AM3232">
        <v>108.733501655574</v>
      </c>
      <c r="AN3232">
        <v>1.0000000605646699</v>
      </c>
    </row>
    <row r="3233" spans="1:40" x14ac:dyDescent="0.25">
      <c r="A3233" t="str">
        <f>"20190304164152176"</f>
        <v>20190304164152176</v>
      </c>
      <c r="B3233" t="str">
        <f>"1551688912163909"</f>
        <v>1551688912163909</v>
      </c>
      <c r="C3233" t="s">
        <v>40</v>
      </c>
      <c r="D3233">
        <v>4.2201820000000003</v>
      </c>
      <c r="E3233">
        <v>0.51006640000000003</v>
      </c>
      <c r="F3233" t="s">
        <v>45</v>
      </c>
      <c r="G3233">
        <v>-486.50060000000002</v>
      </c>
      <c r="H3233" s="1">
        <v>4.4105149999999997E-6</v>
      </c>
      <c r="I3233">
        <v>225.0377</v>
      </c>
      <c r="J3233">
        <v>-492.25259999999997</v>
      </c>
      <c r="K3233">
        <v>1.1123879999999999</v>
      </c>
      <c r="L3233">
        <v>234.25620000000001</v>
      </c>
      <c r="M3233">
        <v>0.27351249999999999</v>
      </c>
      <c r="N3233">
        <v>-1.402928E-2</v>
      </c>
      <c r="O3233">
        <v>-0.96176620000000002</v>
      </c>
      <c r="P3233">
        <v>0.53587410000000002</v>
      </c>
      <c r="Q3233">
        <v>0.33374480000000001</v>
      </c>
      <c r="R3233">
        <v>-0.77553459999999996</v>
      </c>
      <c r="S3233">
        <v>1.7372129999999999</v>
      </c>
      <c r="T3233">
        <v>-0.33314629999999901</v>
      </c>
      <c r="U3233">
        <v>-2.8084410000000002</v>
      </c>
      <c r="V3233">
        <v>-0.30460350000000003</v>
      </c>
      <c r="W3233">
        <v>0.34508430000000001</v>
      </c>
      <c r="X3233">
        <v>0.88776889999999997</v>
      </c>
      <c r="Y3233">
        <v>-0.27108890000000002</v>
      </c>
      <c r="Z3233">
        <v>8.7457499999999994E-2</v>
      </c>
      <c r="AA3233">
        <v>0.95857289999999995</v>
      </c>
      <c r="AB3233">
        <v>17</v>
      </c>
      <c r="AC3233">
        <v>5.75199999999995</v>
      </c>
      <c r="AD3233">
        <v>-1.1123835894849901</v>
      </c>
      <c r="AE3233">
        <v>-9.2185000000000006</v>
      </c>
      <c r="AF3233">
        <v>-2.9797707437253398</v>
      </c>
      <c r="AG3233">
        <v>-1.1123835894849901</v>
      </c>
      <c r="AH3233">
        <v>10.3320272540206</v>
      </c>
      <c r="AI3233">
        <v>95.906092367854001</v>
      </c>
      <c r="AJ3233">
        <v>106.087633356758</v>
      </c>
      <c r="AK3233">
        <v>10.810514239070301</v>
      </c>
      <c r="AL3233">
        <v>69.813059071529807</v>
      </c>
      <c r="AM3233">
        <v>108.937671405968</v>
      </c>
      <c r="AN3233">
        <v>1.0000000430629701</v>
      </c>
    </row>
    <row r="3234" spans="1:40" x14ac:dyDescent="0.25">
      <c r="A3234" t="str">
        <f>"20190304164152209"</f>
        <v>20190304164152209</v>
      </c>
      <c r="B3234" t="str">
        <f>"1551688912203925"</f>
        <v>1551688912203925</v>
      </c>
      <c r="C3234" t="s">
        <v>40</v>
      </c>
      <c r="D3234">
        <v>4.5182129999999896</v>
      </c>
      <c r="E3234">
        <v>0.50988859999999903</v>
      </c>
      <c r="F3234" t="s">
        <v>45</v>
      </c>
      <c r="G3234">
        <v>-486.32769999999999</v>
      </c>
      <c r="H3234" s="1">
        <v>4.3167880000000004E-6</v>
      </c>
      <c r="I3234">
        <v>224.78720000000001</v>
      </c>
      <c r="J3234">
        <v>-492.18239999999997</v>
      </c>
      <c r="K3234">
        <v>1.112441</v>
      </c>
      <c r="L3234">
        <v>234.0301</v>
      </c>
      <c r="M3234">
        <v>0.27798089999999998</v>
      </c>
      <c r="N3234">
        <v>-1.403328E-2</v>
      </c>
      <c r="O3234">
        <v>-0.96048420000000001</v>
      </c>
      <c r="P3234">
        <v>0.54142519999999905</v>
      </c>
      <c r="Q3234">
        <v>0.33491189999999998</v>
      </c>
      <c r="R3234">
        <v>-0.77116340000000005</v>
      </c>
      <c r="S3234">
        <v>1.7516480000000001</v>
      </c>
      <c r="T3234">
        <v>-0.32886530000000003</v>
      </c>
      <c r="U3234">
        <v>-2.7994379999999999</v>
      </c>
      <c r="V3234">
        <v>-0.30705880000000002</v>
      </c>
      <c r="W3234">
        <v>0.34617920000000002</v>
      </c>
      <c r="X3234">
        <v>0.88649579999999994</v>
      </c>
      <c r="Y3234">
        <v>-0.271617</v>
      </c>
      <c r="Z3234">
        <v>8.6145280000000005E-2</v>
      </c>
      <c r="AA3234">
        <v>0.95854220000000001</v>
      </c>
      <c r="AB3234">
        <v>17</v>
      </c>
      <c r="AC3234">
        <v>5.8546999999999798</v>
      </c>
      <c r="AD3234">
        <v>-1.1124366832120001</v>
      </c>
      <c r="AE3234">
        <v>-9.2428999999999899</v>
      </c>
      <c r="AF3234">
        <v>-3.0230462109187402</v>
      </c>
      <c r="AG3234">
        <v>-1.1124366832120001</v>
      </c>
      <c r="AH3234">
        <v>10.398688877643901</v>
      </c>
      <c r="AI3234">
        <v>95.865174297433001</v>
      </c>
      <c r="AJ3234">
        <v>106.209896430619</v>
      </c>
      <c r="AK3234">
        <v>10.886186391089399</v>
      </c>
      <c r="AL3234">
        <v>69.746204313086295</v>
      </c>
      <c r="AM3234">
        <v>109.104738322711</v>
      </c>
      <c r="AN3234">
        <v>0.99999997429385901</v>
      </c>
    </row>
    <row r="3235" spans="1:40" x14ac:dyDescent="0.25">
      <c r="A3235" t="str">
        <f>"20190304164152231"</f>
        <v>20190304164152231</v>
      </c>
      <c r="B3235" t="str">
        <f>"1551688912224421"</f>
        <v>1551688912224421</v>
      </c>
      <c r="C3235" t="s">
        <v>40</v>
      </c>
      <c r="D3235">
        <v>4.2253990000000003</v>
      </c>
      <c r="E3235">
        <v>0.439054</v>
      </c>
      <c r="F3235" t="s">
        <v>45</v>
      </c>
      <c r="G3235">
        <v>-486.05329999999998</v>
      </c>
      <c r="H3235" s="1">
        <v>4.151691E-6</v>
      </c>
      <c r="I3235">
        <v>224.40170000000001</v>
      </c>
      <c r="J3235">
        <v>-492.13290000000001</v>
      </c>
      <c r="K3235">
        <v>1.112487</v>
      </c>
      <c r="L3235">
        <v>233.87360000000001</v>
      </c>
      <c r="M3235">
        <v>0.28124500000000002</v>
      </c>
      <c r="N3235">
        <v>-1.403737E-2</v>
      </c>
      <c r="O3235">
        <v>-0.95953330000000003</v>
      </c>
      <c r="P3235">
        <v>0.54596469999999997</v>
      </c>
      <c r="Q3235">
        <v>0.3337794</v>
      </c>
      <c r="R3235">
        <v>-0.76844919999999906</v>
      </c>
      <c r="S3235">
        <v>1.77298</v>
      </c>
      <c r="T3235">
        <v>-0.32179609999999997</v>
      </c>
      <c r="U3235">
        <v>-2.785202</v>
      </c>
      <c r="V3235">
        <v>-0.30919219999999997</v>
      </c>
      <c r="W3235">
        <v>0.34499259999999998</v>
      </c>
      <c r="X3235">
        <v>0.88621689999999997</v>
      </c>
      <c r="Y3235">
        <v>-0.27588359999999901</v>
      </c>
      <c r="Z3235">
        <v>8.4090899999999996E-2</v>
      </c>
      <c r="AA3235">
        <v>0.95750559999999996</v>
      </c>
      <c r="AB3235">
        <v>17</v>
      </c>
      <c r="AC3235">
        <v>6.0796000000000197</v>
      </c>
      <c r="AD3235">
        <v>-1.1124828483089999</v>
      </c>
      <c r="AE3235">
        <v>-9.4718999999999998</v>
      </c>
      <c r="AF3235">
        <v>-3.1392963659251998</v>
      </c>
      <c r="AG3235">
        <v>-1.1124828483089999</v>
      </c>
      <c r="AH3235">
        <v>10.695036924384301</v>
      </c>
      <c r="AI3235">
        <v>95.699688067483905</v>
      </c>
      <c r="AJ3235">
        <v>106.358458513328</v>
      </c>
      <c r="AK3235">
        <v>11.201634459972199</v>
      </c>
      <c r="AL3235">
        <v>69.818657055581596</v>
      </c>
      <c r="AM3235">
        <v>109.233368058824</v>
      </c>
      <c r="AN3235">
        <v>1.0000000522206001</v>
      </c>
    </row>
    <row r="3236" spans="1:40" x14ac:dyDescent="0.25">
      <c r="A3236" t="str">
        <f>"20190304164152252"</f>
        <v>20190304164152252</v>
      </c>
      <c r="B3236" t="str">
        <f>"1551688912243941"</f>
        <v>1551688912243941</v>
      </c>
      <c r="C3236" t="s">
        <v>40</v>
      </c>
      <c r="D3236">
        <v>4.2156599999999997</v>
      </c>
      <c r="E3236">
        <v>0.42517700000000003</v>
      </c>
      <c r="F3236" t="s">
        <v>41</v>
      </c>
      <c r="G3236">
        <v>-491.46870000000001</v>
      </c>
      <c r="H3236">
        <v>1.056549</v>
      </c>
      <c r="I3236">
        <v>233.1575</v>
      </c>
      <c r="J3236">
        <v>-492.08370000000002</v>
      </c>
      <c r="K3236">
        <v>1.112544</v>
      </c>
      <c r="L3236">
        <v>233.72059999999999</v>
      </c>
      <c r="M3236">
        <v>0.28457159999999998</v>
      </c>
      <c r="N3236">
        <v>-1.4042270000000001E-2</v>
      </c>
      <c r="O3236">
        <v>-0.95855199999999996</v>
      </c>
      <c r="P3236">
        <v>0.55092980000000003</v>
      </c>
      <c r="Q3236">
        <v>0.33097939999999998</v>
      </c>
      <c r="R3236">
        <v>-0.76611309999999999</v>
      </c>
      <c r="S3236">
        <v>2.227814</v>
      </c>
      <c r="T3236">
        <v>-0.1876862</v>
      </c>
      <c r="U3236">
        <v>-2.4027560000000001</v>
      </c>
      <c r="V3236">
        <v>-0.31156679999999998</v>
      </c>
      <c r="W3236">
        <v>0.34214229999999901</v>
      </c>
      <c r="X3236">
        <v>0.88649020000000001</v>
      </c>
      <c r="Y3236">
        <v>-0.44216739999999999</v>
      </c>
      <c r="Z3236">
        <v>4.610877E-2</v>
      </c>
      <c r="AA3236">
        <v>0.89574659999999995</v>
      </c>
      <c r="AB3236">
        <v>17</v>
      </c>
      <c r="AC3236">
        <v>0.61500000000000898</v>
      </c>
      <c r="AD3236">
        <v>-5.5995000000000003E-2</v>
      </c>
      <c r="AE3236">
        <v>-0.56309999999999105</v>
      </c>
      <c r="AF3236">
        <v>-0.42738226308488197</v>
      </c>
      <c r="AG3236">
        <v>-5.5995000000000003E-2</v>
      </c>
      <c r="AH3236">
        <v>0.71163353963493903</v>
      </c>
      <c r="AI3236">
        <v>93.8590491456238</v>
      </c>
      <c r="AJ3236">
        <v>120.987557551227</v>
      </c>
      <c r="AK3236">
        <v>0.83199358985385696</v>
      </c>
      <c r="AL3236">
        <v>69.992552610452506</v>
      </c>
      <c r="AM3236">
        <v>109.364589960754</v>
      </c>
      <c r="AN3236">
        <v>1.00000004950378</v>
      </c>
    </row>
    <row r="3237" spans="1:40" x14ac:dyDescent="0.25">
      <c r="A3237" t="str">
        <f>"20190304164152274"</f>
        <v>20190304164152274</v>
      </c>
      <c r="B3237" t="str">
        <f>"1551688912264437"</f>
        <v>1551688912264437</v>
      </c>
      <c r="C3237" t="s">
        <v>40</v>
      </c>
      <c r="D3237">
        <v>4.1702370000000002</v>
      </c>
      <c r="E3237">
        <v>0.41969390000000001</v>
      </c>
      <c r="F3237" t="s">
        <v>41</v>
      </c>
      <c r="G3237">
        <v>-491.44209999999998</v>
      </c>
      <c r="H3237">
        <v>1.061701</v>
      </c>
      <c r="I3237">
        <v>233.08099999999999</v>
      </c>
      <c r="J3237">
        <v>-492.03489999999999</v>
      </c>
      <c r="K3237">
        <v>1.112619</v>
      </c>
      <c r="L3237">
        <v>233.5711</v>
      </c>
      <c r="M3237">
        <v>0.28797820000000002</v>
      </c>
      <c r="N3237">
        <v>-1.404794E-2</v>
      </c>
      <c r="O3237">
        <v>-0.957534</v>
      </c>
      <c r="P3237">
        <v>0.55492629999999998</v>
      </c>
      <c r="Q3237">
        <v>0.32963769999999998</v>
      </c>
      <c r="R3237">
        <v>-0.76380360000000003</v>
      </c>
      <c r="S3237">
        <v>2.3290410000000001</v>
      </c>
      <c r="T3237">
        <v>-0.1844808</v>
      </c>
      <c r="U3237">
        <v>-2.3207239999999998</v>
      </c>
      <c r="V3237">
        <v>-0.31294359999999999</v>
      </c>
      <c r="W3237">
        <v>0.3407444</v>
      </c>
      <c r="X3237">
        <v>0.88654359999999999</v>
      </c>
      <c r="Y3237">
        <v>-0.47413159999999999</v>
      </c>
      <c r="Z3237">
        <v>4.5306140000000002E-2</v>
      </c>
      <c r="AA3237">
        <v>0.8792875</v>
      </c>
      <c r="AB3237">
        <v>17</v>
      </c>
      <c r="AC3237">
        <v>0.59280000000001098</v>
      </c>
      <c r="AD3237">
        <v>-5.0917999999999998E-2</v>
      </c>
      <c r="AE3237">
        <v>-0.49010000000001203</v>
      </c>
      <c r="AF3237">
        <v>-0.42466904696105001</v>
      </c>
      <c r="AG3237">
        <v>-5.0917999999999998E-2</v>
      </c>
      <c r="AH3237">
        <v>0.63727125515293404</v>
      </c>
      <c r="AI3237">
        <v>93.803965626552994</v>
      </c>
      <c r="AJ3237">
        <v>123.678958246382</v>
      </c>
      <c r="AK3237">
        <v>0.76749664156594399</v>
      </c>
      <c r="AL3237">
        <v>70.0777665542048</v>
      </c>
      <c r="AM3237">
        <v>109.44267026659899</v>
      </c>
      <c r="AN3237">
        <v>0.99999999880664003</v>
      </c>
    </row>
    <row r="3238" spans="1:40" x14ac:dyDescent="0.25">
      <c r="A3238" t="str">
        <f>"20190304164152296"</f>
        <v>20190304164152296</v>
      </c>
      <c r="B3238" t="str">
        <f>"1551688912283957"</f>
        <v>1551688912283957</v>
      </c>
      <c r="C3238" t="s">
        <v>40</v>
      </c>
      <c r="D3238">
        <v>4.1747329999999998</v>
      </c>
      <c r="E3238">
        <v>0.41686109999999998</v>
      </c>
      <c r="F3238" t="s">
        <v>41</v>
      </c>
      <c r="G3238">
        <v>-491.3861</v>
      </c>
      <c r="H3238">
        <v>1.0621940000000001</v>
      </c>
      <c r="I3238">
        <v>232.94900000000001</v>
      </c>
      <c r="J3238">
        <v>-491.98500000000001</v>
      </c>
      <c r="K3238">
        <v>1.112716</v>
      </c>
      <c r="L3238">
        <v>233.42070000000001</v>
      </c>
      <c r="M3238">
        <v>0.29158779999999901</v>
      </c>
      <c r="N3238">
        <v>-1.405489E-2</v>
      </c>
      <c r="O3238">
        <v>-0.95644099999999999</v>
      </c>
      <c r="P3238">
        <v>0.55824180000000001</v>
      </c>
      <c r="Q3238">
        <v>0.33080120000000002</v>
      </c>
      <c r="R3238">
        <v>-0.76087899999999997</v>
      </c>
      <c r="S3238">
        <v>2.378174</v>
      </c>
      <c r="T3238">
        <v>-0.1847878</v>
      </c>
      <c r="U3238">
        <v>-2.279709</v>
      </c>
      <c r="V3238">
        <v>-0.3136813</v>
      </c>
      <c r="W3238">
        <v>0.34183479999999999</v>
      </c>
      <c r="X3238">
        <v>0.88586279999999995</v>
      </c>
      <c r="Y3238">
        <v>-0.48775610000000003</v>
      </c>
      <c r="Z3238">
        <v>4.5469999999999997E-2</v>
      </c>
      <c r="AA3238">
        <v>0.87179490000000004</v>
      </c>
      <c r="AB3238">
        <v>17</v>
      </c>
      <c r="AC3238">
        <v>0.59890000000001398</v>
      </c>
      <c r="AD3238">
        <v>-5.05219999999999E-2</v>
      </c>
      <c r="AE3238">
        <v>-0.47169999999999801</v>
      </c>
      <c r="AF3238">
        <v>-0.43340998925136998</v>
      </c>
      <c r="AG3238">
        <v>-5.05219999999999E-2</v>
      </c>
      <c r="AH3238">
        <v>0.62311023962388001</v>
      </c>
      <c r="AI3238">
        <v>93.808115234119398</v>
      </c>
      <c r="AJ3238">
        <v>124.820894833645</v>
      </c>
      <c r="AK3238">
        <v>0.76069906138433097</v>
      </c>
      <c r="AL3238">
        <v>70.011299355712595</v>
      </c>
      <c r="AM3238">
        <v>109.498898260964</v>
      </c>
      <c r="AN3238">
        <v>0.99999994444228302</v>
      </c>
    </row>
    <row r="3239" spans="1:40" x14ac:dyDescent="0.25">
      <c r="A3239" t="str">
        <f>"20190304164152321"</f>
        <v>20190304164152321</v>
      </c>
      <c r="B3239" t="str">
        <f>"1551688912314215"</f>
        <v>1551688912314215</v>
      </c>
      <c r="C3239" t="s">
        <v>40</v>
      </c>
      <c r="D3239">
        <v>4.1641919999999999</v>
      </c>
      <c r="E3239">
        <v>0.4150336</v>
      </c>
      <c r="F3239" t="s">
        <v>41</v>
      </c>
      <c r="G3239">
        <v>-491.33670000000001</v>
      </c>
      <c r="H3239">
        <v>1.063672</v>
      </c>
      <c r="I3239">
        <v>232.81379999999999</v>
      </c>
      <c r="J3239">
        <v>-491.92739999999998</v>
      </c>
      <c r="K3239">
        <v>1.1128439999999999</v>
      </c>
      <c r="L3239">
        <v>233.2499</v>
      </c>
      <c r="M3239">
        <v>0.29591990000000001</v>
      </c>
      <c r="N3239">
        <v>-1.406492E-2</v>
      </c>
      <c r="O3239">
        <v>-0.95510919999999999</v>
      </c>
      <c r="P3239">
        <v>0.56213469999999999</v>
      </c>
      <c r="Q3239">
        <v>0.332628599999999</v>
      </c>
      <c r="R3239">
        <v>-0.75720730000000003</v>
      </c>
      <c r="S3239">
        <v>2.4089360000000002</v>
      </c>
      <c r="T3239">
        <v>-0.18220600000000001</v>
      </c>
      <c r="U3239">
        <v>-2.254623</v>
      </c>
      <c r="V3239">
        <v>-0.31455040000000001</v>
      </c>
      <c r="W3239">
        <v>0.3435667</v>
      </c>
      <c r="X3239">
        <v>0.88488419999999901</v>
      </c>
      <c r="Y3239">
        <v>-0.494224</v>
      </c>
      <c r="Z3239">
        <v>4.4672209999999997E-2</v>
      </c>
      <c r="AA3239">
        <v>0.86818609999999896</v>
      </c>
      <c r="AB3239">
        <v>16</v>
      </c>
      <c r="AC3239">
        <v>0.59069999999996903</v>
      </c>
      <c r="AD3239">
        <v>-4.9171999999999903E-2</v>
      </c>
      <c r="AE3239">
        <v>-0.43610000000000998</v>
      </c>
      <c r="AF3239">
        <v>-0.43323235341252803</v>
      </c>
      <c r="AG3239">
        <v>-4.9171999999999903E-2</v>
      </c>
      <c r="AH3239">
        <v>0.58874102599864397</v>
      </c>
      <c r="AI3239">
        <v>93.848500529480901</v>
      </c>
      <c r="AJ3239">
        <v>126.347952218385</v>
      </c>
      <c r="AK3239">
        <v>0.73261460081088603</v>
      </c>
      <c r="AL3239">
        <v>69.905674486091598</v>
      </c>
      <c r="AM3239">
        <v>109.568809159411</v>
      </c>
      <c r="AN3239">
        <v>1.00000003944934</v>
      </c>
    </row>
    <row r="3240" spans="1:40" x14ac:dyDescent="0.25">
      <c r="A3240" t="str">
        <f>"20190304164152344"</f>
        <v>20190304164152344</v>
      </c>
      <c r="B3240" t="str">
        <f>"1551688912334709"</f>
        <v>1551688912334709</v>
      </c>
      <c r="C3240" t="s">
        <v>40</v>
      </c>
      <c r="D3240">
        <v>4.1386200000000004</v>
      </c>
      <c r="E3240">
        <v>0.41455039999999999</v>
      </c>
      <c r="F3240" t="s">
        <v>41</v>
      </c>
      <c r="G3240">
        <v>-491.29750000000001</v>
      </c>
      <c r="H3240">
        <v>1.066614</v>
      </c>
      <c r="I3240">
        <v>232.6721</v>
      </c>
      <c r="J3240">
        <v>-491.87419999999997</v>
      </c>
      <c r="K3240">
        <v>1.1129639999999901</v>
      </c>
      <c r="L3240">
        <v>233.09569999999999</v>
      </c>
      <c r="M3240">
        <v>0.30007709999999999</v>
      </c>
      <c r="N3240">
        <v>-1.4076409999999999E-2</v>
      </c>
      <c r="O3240">
        <v>-0.95381130000000003</v>
      </c>
      <c r="P3240">
        <v>0.56585260000000004</v>
      </c>
      <c r="Q3240">
        <v>0.33363880000000001</v>
      </c>
      <c r="R3240">
        <v>-0.75398679999999996</v>
      </c>
      <c r="S3240">
        <v>2.4348749999999999</v>
      </c>
      <c r="T3240">
        <v>-0.17864160000000001</v>
      </c>
      <c r="U3240">
        <v>-2.2327880000000002</v>
      </c>
      <c r="V3240">
        <v>-0.31528529999999999</v>
      </c>
      <c r="W3240">
        <v>0.34448899999999999</v>
      </c>
      <c r="X3240">
        <v>0.88426380000000004</v>
      </c>
      <c r="Y3240">
        <v>-0.49931700000000001</v>
      </c>
      <c r="Z3240">
        <v>4.3566239999999999E-2</v>
      </c>
      <c r="AA3240">
        <v>0.86532339999999996</v>
      </c>
      <c r="AB3240">
        <v>16</v>
      </c>
      <c r="AC3240">
        <v>0.57669999999995902</v>
      </c>
      <c r="AD3240">
        <v>-4.6349999999999801E-2</v>
      </c>
      <c r="AE3240">
        <v>-0.42359999999999298</v>
      </c>
      <c r="AF3240">
        <v>-0.42122477367698702</v>
      </c>
      <c r="AG3240">
        <v>-4.6349999999999801E-2</v>
      </c>
      <c r="AH3240">
        <v>0.57473453542736996</v>
      </c>
      <c r="AI3240">
        <v>93.721653830317294</v>
      </c>
      <c r="AJ3240">
        <v>126.237807770278</v>
      </c>
      <c r="AK3240">
        <v>0.71407171815731696</v>
      </c>
      <c r="AL3240">
        <v>69.849394018560005</v>
      </c>
      <c r="AM3240">
        <v>109.62375265595399</v>
      </c>
      <c r="AN3240">
        <v>0.99999997975376398</v>
      </c>
    </row>
    <row r="3241" spans="1:40" x14ac:dyDescent="0.25">
      <c r="A3241" t="str">
        <f>"20190304164152367"</f>
        <v>20190304164152367</v>
      </c>
      <c r="B3241" t="str">
        <f>"1551688912363989"</f>
        <v>1551688912363989</v>
      </c>
      <c r="C3241" t="s">
        <v>40</v>
      </c>
      <c r="D3241">
        <v>4.1371099999999998</v>
      </c>
      <c r="E3241">
        <v>0.4143868</v>
      </c>
      <c r="F3241" t="s">
        <v>41</v>
      </c>
      <c r="G3241">
        <v>-491.1447</v>
      </c>
      <c r="H3241">
        <v>1.06046</v>
      </c>
      <c r="I3241">
        <v>232.43539999999999</v>
      </c>
      <c r="J3241">
        <v>-491.82049999999998</v>
      </c>
      <c r="K3241">
        <v>1.1130789999999999</v>
      </c>
      <c r="L3241">
        <v>232.94309999999999</v>
      </c>
      <c r="M3241">
        <v>0.30442930000000001</v>
      </c>
      <c r="N3241">
        <v>-1.4089559999999999E-2</v>
      </c>
      <c r="O3241">
        <v>-0.95243100000000003</v>
      </c>
      <c r="P3241">
        <v>0.56936999999999904</v>
      </c>
      <c r="Q3241">
        <v>0.3334299</v>
      </c>
      <c r="R3241">
        <v>-0.75142739999999997</v>
      </c>
      <c r="S3241">
        <v>2.4498600000000001</v>
      </c>
      <c r="T3241">
        <v>-0.17638899999999999</v>
      </c>
      <c r="U3241">
        <v>-2.218353</v>
      </c>
      <c r="V3241">
        <v>-0.31544699999999998</v>
      </c>
      <c r="W3241">
        <v>0.3442038</v>
      </c>
      <c r="X3241">
        <v>0.88431719999999903</v>
      </c>
      <c r="Y3241">
        <v>-0.50082260000000001</v>
      </c>
      <c r="Z3241">
        <v>4.2873000000000001E-2</v>
      </c>
      <c r="AA3241">
        <v>0.86448749999999996</v>
      </c>
      <c r="AB3241">
        <v>16</v>
      </c>
      <c r="AC3241">
        <v>0.67579999999998097</v>
      </c>
      <c r="AD3241">
        <v>-5.2619000000000103E-2</v>
      </c>
      <c r="AE3241">
        <v>-0.50769999999999904</v>
      </c>
      <c r="AF3241">
        <v>-0.48725428771373303</v>
      </c>
      <c r="AG3241">
        <v>-5.2619000000000103E-2</v>
      </c>
      <c r="AH3241">
        <v>0.68668966389429797</v>
      </c>
      <c r="AI3241">
        <v>93.575939161844403</v>
      </c>
      <c r="AJ3241">
        <v>125.358363112352</v>
      </c>
      <c r="AK3241">
        <v>0.84363984884290599</v>
      </c>
      <c r="AL3241">
        <v>69.866799404510402</v>
      </c>
      <c r="AM3241">
        <v>109.631952802208</v>
      </c>
      <c r="AN3241">
        <v>0.99999998797963896</v>
      </c>
    </row>
    <row r="3242" spans="1:40" x14ac:dyDescent="0.25">
      <c r="A3242" t="str">
        <f>"20190304164152388"</f>
        <v>20190304164152388</v>
      </c>
      <c r="B3242" t="str">
        <f>"1551688912384485"</f>
        <v>1551688912384485</v>
      </c>
      <c r="C3242" t="s">
        <v>40</v>
      </c>
      <c r="D3242">
        <v>4.1581159999999997</v>
      </c>
      <c r="E3242">
        <v>0.41460340000000001</v>
      </c>
      <c r="F3242" t="s">
        <v>41</v>
      </c>
      <c r="G3242">
        <v>-491.10149999999999</v>
      </c>
      <c r="H3242">
        <v>1.0606610000000001</v>
      </c>
      <c r="I3242">
        <v>232.29830000000001</v>
      </c>
      <c r="J3242">
        <v>-491.76749999999998</v>
      </c>
      <c r="K3242">
        <v>1.1131709999999999</v>
      </c>
      <c r="L3242">
        <v>232.79519999999999</v>
      </c>
      <c r="M3242">
        <v>0.30883430000000001</v>
      </c>
      <c r="N3242">
        <v>-1.410253E-2</v>
      </c>
      <c r="O3242">
        <v>-0.95101139999999995</v>
      </c>
      <c r="P3242">
        <v>0.57333610000000002</v>
      </c>
      <c r="Q3242">
        <v>0.3302562</v>
      </c>
      <c r="R3242">
        <v>-0.74981109999999995</v>
      </c>
      <c r="S3242">
        <v>2.461792</v>
      </c>
      <c r="T3242">
        <v>-0.1793911</v>
      </c>
      <c r="U3242">
        <v>-2.2065579999999998</v>
      </c>
      <c r="V3242">
        <v>-0.31566300000000003</v>
      </c>
      <c r="W3242">
        <v>0.34098289999999998</v>
      </c>
      <c r="X3242">
        <v>0.88548719999999903</v>
      </c>
      <c r="Y3242">
        <v>-0.50116470000000002</v>
      </c>
      <c r="Z3242">
        <v>4.3810130000000003E-2</v>
      </c>
      <c r="AA3242">
        <v>0.86424219999999896</v>
      </c>
      <c r="AB3242">
        <v>16</v>
      </c>
      <c r="AC3242">
        <v>0.66599999999999604</v>
      </c>
      <c r="AD3242">
        <v>-5.25099999999998E-2</v>
      </c>
      <c r="AE3242">
        <v>-0.49689999999998202</v>
      </c>
      <c r="AF3242">
        <v>-0.47805246235002802</v>
      </c>
      <c r="AG3242">
        <v>-5.25099999999998E-2</v>
      </c>
      <c r="AH3242">
        <v>0.67561062082661205</v>
      </c>
      <c r="AI3242">
        <v>93.630302074211102</v>
      </c>
      <c r="AJ3242">
        <v>125.28268163290601</v>
      </c>
      <c r="AK3242">
        <v>0.82930161451226303</v>
      </c>
      <c r="AL3242">
        <v>70.063231551538806</v>
      </c>
      <c r="AM3242">
        <v>109.62039399055099</v>
      </c>
      <c r="AN3242">
        <v>1.0000000245126199</v>
      </c>
    </row>
    <row r="3243" spans="1:40" x14ac:dyDescent="0.25">
      <c r="A3243" t="str">
        <f>"20190304164152409"</f>
        <v>20190304164152409</v>
      </c>
      <c r="B3243" t="str">
        <f>"1551688912404006"</f>
        <v>1551688912404006</v>
      </c>
      <c r="C3243" t="s">
        <v>40</v>
      </c>
      <c r="D3243">
        <v>4.17537</v>
      </c>
      <c r="E3243">
        <v>0.4147923</v>
      </c>
      <c r="F3243" t="s">
        <v>41</v>
      </c>
      <c r="G3243">
        <v>-491.05619999999999</v>
      </c>
      <c r="H3243">
        <v>1.0577859999999999</v>
      </c>
      <c r="I3243">
        <v>232.1627</v>
      </c>
      <c r="J3243">
        <v>-491.71460000000002</v>
      </c>
      <c r="K3243">
        <v>1.113237</v>
      </c>
      <c r="L3243">
        <v>232.6506</v>
      </c>
      <c r="M3243">
        <v>0.31331920000000002</v>
      </c>
      <c r="N3243">
        <v>-1.4114679999999999E-2</v>
      </c>
      <c r="O3243">
        <v>-0.94954289999999997</v>
      </c>
      <c r="P3243">
        <v>0.57688479999999998</v>
      </c>
      <c r="Q3243">
        <v>0.32730049999999999</v>
      </c>
      <c r="R3243">
        <v>-0.74838389999999999</v>
      </c>
      <c r="S3243">
        <v>2.4701840000000002</v>
      </c>
      <c r="T3243">
        <v>-0.19239229999999999</v>
      </c>
      <c r="U3243">
        <v>-2.1969599999999998</v>
      </c>
      <c r="V3243">
        <v>-0.31532250000000001</v>
      </c>
      <c r="W3243">
        <v>0.33799849999999998</v>
      </c>
      <c r="X3243">
        <v>0.88675179999999998</v>
      </c>
      <c r="Y3243">
        <v>-0.50026119999999996</v>
      </c>
      <c r="Z3243">
        <v>4.7863790000000003E-2</v>
      </c>
      <c r="AA3243">
        <v>0.86455070000000001</v>
      </c>
      <c r="AB3243">
        <v>16</v>
      </c>
      <c r="AC3243">
        <v>0.65840000000002796</v>
      </c>
      <c r="AD3243">
        <v>-5.5450999999999903E-2</v>
      </c>
      <c r="AE3243">
        <v>-0.487899999999996</v>
      </c>
      <c r="AF3243">
        <v>-0.47020473525124801</v>
      </c>
      <c r="AG3243">
        <v>-5.5450999999999903E-2</v>
      </c>
      <c r="AH3243">
        <v>0.66658595120853803</v>
      </c>
      <c r="AI3243">
        <v>93.888780715319697</v>
      </c>
      <c r="AJ3243">
        <v>125.198856301994</v>
      </c>
      <c r="AK3243">
        <v>0.81762102272525194</v>
      </c>
      <c r="AL3243">
        <v>70.245021500300794</v>
      </c>
      <c r="AM3243">
        <v>109.57501707971601</v>
      </c>
      <c r="AN3243">
        <v>1.0000000099058699</v>
      </c>
    </row>
    <row r="3244" spans="1:40" x14ac:dyDescent="0.25">
      <c r="A3244" t="str">
        <f>"20190304164152432"</f>
        <v>20190304164152432</v>
      </c>
      <c r="B3244" t="str">
        <f>"1551688912424502"</f>
        <v>1551688912424502</v>
      </c>
      <c r="C3244" t="s">
        <v>40</v>
      </c>
      <c r="D3244">
        <v>4.2528589999999999</v>
      </c>
      <c r="E3244">
        <v>0.41522490000000001</v>
      </c>
      <c r="F3244" t="s">
        <v>41</v>
      </c>
      <c r="G3244">
        <v>-491.00970000000001</v>
      </c>
      <c r="H3244">
        <v>1.05546299999999</v>
      </c>
      <c r="I3244">
        <v>232.02809999999999</v>
      </c>
      <c r="J3244">
        <v>-491.65800000000002</v>
      </c>
      <c r="K3244">
        <v>1.1133029999999999</v>
      </c>
      <c r="L3244">
        <v>232.49850000000001</v>
      </c>
      <c r="M3244">
        <v>0.31823420000000002</v>
      </c>
      <c r="N3244">
        <v>-1.4126970000000001E-2</v>
      </c>
      <c r="O3244">
        <v>-0.9479069</v>
      </c>
      <c r="P3244">
        <v>0.580445199999999</v>
      </c>
      <c r="Q3244">
        <v>0.32574819999999999</v>
      </c>
      <c r="R3244">
        <v>-0.74630540000000001</v>
      </c>
      <c r="S3244">
        <v>2.4776310000000001</v>
      </c>
      <c r="T3244">
        <v>-0.20301330000000001</v>
      </c>
      <c r="U3244">
        <v>-2.187592</v>
      </c>
      <c r="V3244">
        <v>-0.31478519999999999</v>
      </c>
      <c r="W3244">
        <v>0.33641739999999998</v>
      </c>
      <c r="X3244">
        <v>0.88754359999999999</v>
      </c>
      <c r="Y3244">
        <v>-0.49876730000000002</v>
      </c>
      <c r="Z3244">
        <v>5.1172750000000003E-2</v>
      </c>
      <c r="AA3244">
        <v>0.86522399999999999</v>
      </c>
      <c r="AB3244">
        <v>16</v>
      </c>
      <c r="AC3244">
        <v>0.64830000000000598</v>
      </c>
      <c r="AD3244">
        <v>-5.7840000000000301E-2</v>
      </c>
      <c r="AE3244">
        <v>-0.47040000000001198</v>
      </c>
      <c r="AF3244">
        <v>-0.46246552086922799</v>
      </c>
      <c r="AG3244">
        <v>-5.7840000000000301E-2</v>
      </c>
      <c r="AH3244">
        <v>0.64888807520816505</v>
      </c>
      <c r="AI3244">
        <v>94.151709206849802</v>
      </c>
      <c r="AJ3244">
        <v>125.477647152784</v>
      </c>
      <c r="AK3244">
        <v>0.79892149660664602</v>
      </c>
      <c r="AL3244">
        <v>70.341247944170107</v>
      </c>
      <c r="AM3244">
        <v>109.528075504112</v>
      </c>
      <c r="AN3244">
        <v>1.00000001553137</v>
      </c>
    </row>
    <row r="3245" spans="1:40" x14ac:dyDescent="0.25">
      <c r="A3245" t="str">
        <f>"20190304164152453"</f>
        <v>20190304164152453</v>
      </c>
      <c r="B3245" t="str">
        <f>"1551688912444021"</f>
        <v>1551688912444021</v>
      </c>
      <c r="C3245" t="s">
        <v>40</v>
      </c>
      <c r="D3245">
        <v>4.1603279999999998</v>
      </c>
      <c r="E3245">
        <v>0.4153096</v>
      </c>
      <c r="F3245" t="s">
        <v>41</v>
      </c>
      <c r="G3245">
        <v>-490.96629999999999</v>
      </c>
      <c r="H3245">
        <v>1.054635</v>
      </c>
      <c r="I3245">
        <v>231.89189999999999</v>
      </c>
      <c r="J3245">
        <v>-491.6019</v>
      </c>
      <c r="K3245">
        <v>1.1133599999999999</v>
      </c>
      <c r="L3245">
        <v>232.35079999999999</v>
      </c>
      <c r="M3245">
        <v>0.32319550000000002</v>
      </c>
      <c r="N3245">
        <v>-1.413909E-2</v>
      </c>
      <c r="O3245">
        <v>-0.94622669999999998</v>
      </c>
      <c r="P3245">
        <v>0.58396419999999905</v>
      </c>
      <c r="Q3245">
        <v>0.32461780000000001</v>
      </c>
      <c r="R3245">
        <v>-0.74404969999999904</v>
      </c>
      <c r="S3245">
        <v>2.4848940000000002</v>
      </c>
      <c r="T3245">
        <v>-0.21075140000000001</v>
      </c>
      <c r="U3245">
        <v>-2.1791230000000001</v>
      </c>
      <c r="V3245">
        <v>-0.31421149999999998</v>
      </c>
      <c r="W3245">
        <v>0.3352618</v>
      </c>
      <c r="X3245">
        <v>0.88818399999999997</v>
      </c>
      <c r="Y3245">
        <v>-0.49704540000000003</v>
      </c>
      <c r="Z3245">
        <v>5.3566030000000001E-2</v>
      </c>
      <c r="AA3245">
        <v>0.86606959999999999</v>
      </c>
      <c r="AB3245">
        <v>16</v>
      </c>
      <c r="AC3245">
        <v>0.63560000000001005</v>
      </c>
      <c r="AD3245">
        <v>-5.8725000000000097E-2</v>
      </c>
      <c r="AE3245">
        <v>-0.45889999999999898</v>
      </c>
      <c r="AF3245">
        <v>-0.45062390122142998</v>
      </c>
      <c r="AG3245">
        <v>-5.8725000000000097E-2</v>
      </c>
      <c r="AH3245">
        <v>0.63614074053170999</v>
      </c>
      <c r="AI3245">
        <v>94.307927436317897</v>
      </c>
      <c r="AJ3245">
        <v>125.31266542753301</v>
      </c>
      <c r="AK3245">
        <v>0.78178358114074897</v>
      </c>
      <c r="AL3245">
        <v>70.411542973428794</v>
      </c>
      <c r="AM3245">
        <v>109.482174098751</v>
      </c>
      <c r="AN3245">
        <v>1.00000007956374</v>
      </c>
    </row>
    <row r="3246" spans="1:40" x14ac:dyDescent="0.25">
      <c r="A3246" t="str">
        <f>"20190304164152476"</f>
        <v>20190304164152476</v>
      </c>
      <c r="B3246" t="str">
        <f>"1551688912464517"</f>
        <v>1551688912464517</v>
      </c>
      <c r="C3246" t="s">
        <v>40</v>
      </c>
      <c r="D3246">
        <v>4.1566720000000004</v>
      </c>
      <c r="E3246">
        <v>0.4154175</v>
      </c>
      <c r="F3246" t="s">
        <v>41</v>
      </c>
      <c r="G3246">
        <v>-490.92</v>
      </c>
      <c r="H3246">
        <v>1.054665</v>
      </c>
      <c r="I3246">
        <v>231.7576</v>
      </c>
      <c r="J3246">
        <v>-491.54629999999997</v>
      </c>
      <c r="K3246">
        <v>1.113413</v>
      </c>
      <c r="L3246">
        <v>232.20740000000001</v>
      </c>
      <c r="M3246">
        <v>0.32818029999999998</v>
      </c>
      <c r="N3246">
        <v>-1.4151489999999999E-2</v>
      </c>
      <c r="O3246">
        <v>-0.94450900000000004</v>
      </c>
      <c r="P3246">
        <v>0.58735519999999997</v>
      </c>
      <c r="Q3246">
        <v>0.3239628</v>
      </c>
      <c r="R3246">
        <v>-0.74166169999999998</v>
      </c>
      <c r="S3246">
        <v>2.493744</v>
      </c>
      <c r="T3246">
        <v>-0.2145562</v>
      </c>
      <c r="U3246">
        <v>-2.1683650000000001</v>
      </c>
      <c r="V3246">
        <v>-0.31353199999999998</v>
      </c>
      <c r="W3246">
        <v>0.3345824</v>
      </c>
      <c r="X3246">
        <v>0.88868009999999997</v>
      </c>
      <c r="Y3246">
        <v>-0.49606790000000001</v>
      </c>
      <c r="Z3246">
        <v>5.4748699999999997E-2</v>
      </c>
      <c r="AA3246">
        <v>0.86655590000000005</v>
      </c>
      <c r="AB3246">
        <v>16</v>
      </c>
      <c r="AC3246">
        <v>0.626299999999957</v>
      </c>
      <c r="AD3246">
        <v>-5.8748000000000002E-2</v>
      </c>
      <c r="AE3246">
        <v>-0.44980000000001003</v>
      </c>
      <c r="AF3246">
        <v>-0.44141270414455003</v>
      </c>
      <c r="AG3246">
        <v>-5.8748000000000002E-2</v>
      </c>
      <c r="AH3246">
        <v>0.62680422769272304</v>
      </c>
      <c r="AI3246">
        <v>94.382070038445406</v>
      </c>
      <c r="AJ3246">
        <v>125.154255614089</v>
      </c>
      <c r="AK3246">
        <v>0.768882333480016</v>
      </c>
      <c r="AL3246">
        <v>70.452854266675203</v>
      </c>
      <c r="AM3246">
        <v>109.433166249935</v>
      </c>
      <c r="AN3246">
        <v>1.0000000087748799</v>
      </c>
    </row>
    <row r="3247" spans="1:40" x14ac:dyDescent="0.25">
      <c r="A3247" t="str">
        <f>"20190304164152498"</f>
        <v>20190304164152498</v>
      </c>
      <c r="B3247" t="str">
        <f>"1551688912494773"</f>
        <v>1551688912494773</v>
      </c>
      <c r="C3247" t="s">
        <v>40</v>
      </c>
      <c r="D3247">
        <v>4.1491350000000002</v>
      </c>
      <c r="E3247">
        <v>0.41538809999999898</v>
      </c>
      <c r="F3247" t="s">
        <v>41</v>
      </c>
      <c r="G3247">
        <v>-490.87090000000001</v>
      </c>
      <c r="H3247">
        <v>1.055099</v>
      </c>
      <c r="I3247">
        <v>231.62530000000001</v>
      </c>
      <c r="J3247">
        <v>-491.48869999999999</v>
      </c>
      <c r="K3247">
        <v>1.1134740000000001</v>
      </c>
      <c r="L3247">
        <v>232.06139999999999</v>
      </c>
      <c r="M3247">
        <v>0.33339869999999999</v>
      </c>
      <c r="N3247">
        <v>-1.4164080000000001E-2</v>
      </c>
      <c r="O3247">
        <v>-0.94267959999999995</v>
      </c>
      <c r="P3247">
        <v>0.59077349999999995</v>
      </c>
      <c r="Q3247">
        <v>0.32476149999999998</v>
      </c>
      <c r="R3247">
        <v>-0.73859140000000001</v>
      </c>
      <c r="S3247">
        <v>2.503479</v>
      </c>
      <c r="T3247">
        <v>-0.2160687</v>
      </c>
      <c r="U3247">
        <v>-2.1567690000000002</v>
      </c>
      <c r="V3247">
        <v>-0.31288640000000001</v>
      </c>
      <c r="W3247">
        <v>0.33535160000000003</v>
      </c>
      <c r="X3247">
        <v>0.88861769999999995</v>
      </c>
      <c r="Y3247">
        <v>-0.49521730000000003</v>
      </c>
      <c r="Z3247">
        <v>5.5215399999999998E-2</v>
      </c>
      <c r="AA3247">
        <v>0.86701269999999997</v>
      </c>
      <c r="AB3247">
        <v>16</v>
      </c>
      <c r="AC3247">
        <v>0.61779999999998803</v>
      </c>
      <c r="AD3247">
        <v>-5.8375000000000003E-2</v>
      </c>
      <c r="AE3247">
        <v>-0.436099999999982</v>
      </c>
      <c r="AF3247">
        <v>-0.43444727863323201</v>
      </c>
      <c r="AG3247">
        <v>-5.8375000000000003E-2</v>
      </c>
      <c r="AH3247">
        <v>0.61348249160073198</v>
      </c>
      <c r="AI3247">
        <v>94.440319273472895</v>
      </c>
      <c r="AJ3247">
        <v>125.304818491747</v>
      </c>
      <c r="AK3247">
        <v>0.75399790851000603</v>
      </c>
      <c r="AL3247">
        <v>70.406080148043799</v>
      </c>
      <c r="AM3247">
        <v>109.39740192343299</v>
      </c>
      <c r="AN3247">
        <v>1.0000000058403999</v>
      </c>
    </row>
    <row r="3248" spans="1:40" x14ac:dyDescent="0.25">
      <c r="A3248" t="str">
        <f>"20190304164152521"</f>
        <v>20190304164152521</v>
      </c>
      <c r="B3248" t="str">
        <f>"1551688912514294"</f>
        <v>1551688912514294</v>
      </c>
      <c r="C3248" t="s">
        <v>40</v>
      </c>
      <c r="D3248">
        <v>4.1465620000000003</v>
      </c>
      <c r="E3248">
        <v>0.41550209999999999</v>
      </c>
      <c r="F3248" t="s">
        <v>41</v>
      </c>
      <c r="G3248">
        <v>-490.82190000000003</v>
      </c>
      <c r="H3248">
        <v>1.056854</v>
      </c>
      <c r="I3248">
        <v>231.4931</v>
      </c>
      <c r="J3248">
        <v>-491.42790000000002</v>
      </c>
      <c r="K3248">
        <v>1.113524</v>
      </c>
      <c r="L3248">
        <v>231.91040000000001</v>
      </c>
      <c r="M3248">
        <v>0.33893109999999999</v>
      </c>
      <c r="N3248">
        <v>-1.417588E-2</v>
      </c>
      <c r="O3248">
        <v>-0.94070430000000005</v>
      </c>
      <c r="P3248">
        <v>0.59519279999999997</v>
      </c>
      <c r="Q3248">
        <v>0.32561899999999999</v>
      </c>
      <c r="R3248">
        <v>-0.73465480000000005</v>
      </c>
      <c r="S3248">
        <v>2.5153500000000002</v>
      </c>
      <c r="T3248">
        <v>-0.2135609</v>
      </c>
      <c r="U3248">
        <v>-2.143799</v>
      </c>
      <c r="V3248">
        <v>-0.31316909999999998</v>
      </c>
      <c r="W3248">
        <v>0.33617619999999998</v>
      </c>
      <c r="X3248">
        <v>0.88820639999999995</v>
      </c>
      <c r="Y3248">
        <v>-0.4947627</v>
      </c>
      <c r="Z3248">
        <v>5.4423810000000003E-2</v>
      </c>
      <c r="AA3248">
        <v>0.86732229999999999</v>
      </c>
      <c r="AB3248">
        <v>16</v>
      </c>
      <c r="AC3248">
        <v>0.60599999999999399</v>
      </c>
      <c r="AD3248">
        <v>-5.66699999999997E-2</v>
      </c>
      <c r="AE3248">
        <v>-0.417300000000011</v>
      </c>
      <c r="AF3248">
        <v>-0.42614603125984402</v>
      </c>
      <c r="AG3248">
        <v>-5.66699999999997E-2</v>
      </c>
      <c r="AH3248">
        <v>0.59448177102613298</v>
      </c>
      <c r="AI3248">
        <v>94.430253419763901</v>
      </c>
      <c r="AJ3248">
        <v>125.634322810691</v>
      </c>
      <c r="AK3248">
        <v>0.73363513066161401</v>
      </c>
      <c r="AL3248">
        <v>70.355921366595496</v>
      </c>
      <c r="AM3248">
        <v>109.421934469557</v>
      </c>
      <c r="AN3248">
        <v>0.99999996582110395</v>
      </c>
    </row>
    <row r="3249" spans="1:40" x14ac:dyDescent="0.25">
      <c r="A3249" t="str">
        <f>"20190304164152544"</f>
        <v>20190304164152544</v>
      </c>
      <c r="B3249" t="str">
        <f>"1551688912533813"</f>
        <v>1551688912533813</v>
      </c>
      <c r="C3249" t="s">
        <v>40</v>
      </c>
      <c r="D3249">
        <v>4.1620609999999996</v>
      </c>
      <c r="E3249">
        <v>0.41563369999999999</v>
      </c>
      <c r="F3249" t="s">
        <v>41</v>
      </c>
      <c r="G3249">
        <v>-490.77499999999998</v>
      </c>
      <c r="H3249">
        <v>1.0589519999999999</v>
      </c>
      <c r="I3249">
        <v>231.35980000000001</v>
      </c>
      <c r="J3249">
        <v>-491.36579999999998</v>
      </c>
      <c r="K3249">
        <v>1.1135429999999999</v>
      </c>
      <c r="L3249">
        <v>231.75960000000001</v>
      </c>
      <c r="M3249">
        <v>0.34456229999999999</v>
      </c>
      <c r="N3249">
        <v>-1.4184570000000001E-2</v>
      </c>
      <c r="O3249">
        <v>-0.93865620000000005</v>
      </c>
      <c r="P3249">
        <v>0.60105529999999996</v>
      </c>
      <c r="Q3249">
        <v>0.32685039999999999</v>
      </c>
      <c r="R3249">
        <v>-0.72931550000000001</v>
      </c>
      <c r="S3249">
        <v>2.5264890000000002</v>
      </c>
      <c r="T3249">
        <v>-0.2111499</v>
      </c>
      <c r="U3249">
        <v>-2.13028</v>
      </c>
      <c r="V3249">
        <v>-0.31518099999999999</v>
      </c>
      <c r="W3249">
        <v>0.33736959999999999</v>
      </c>
      <c r="X3249">
        <v>0.88704150000000004</v>
      </c>
      <c r="Y3249">
        <v>-0.49418810000000002</v>
      </c>
      <c r="Z3249">
        <v>5.3678490000000002E-2</v>
      </c>
      <c r="AA3249">
        <v>0.86769619999999903</v>
      </c>
      <c r="AB3249">
        <v>16</v>
      </c>
      <c r="AC3249">
        <v>0.59080000000000099</v>
      </c>
      <c r="AD3249">
        <v>-5.4590999999999799E-2</v>
      </c>
      <c r="AE3249">
        <v>-0.39979999999999899</v>
      </c>
      <c r="AF3249">
        <v>-0.41441709777734598</v>
      </c>
      <c r="AG3249">
        <v>-5.4590999999999799E-2</v>
      </c>
      <c r="AH3249">
        <v>0.57552997055787503</v>
      </c>
      <c r="AI3249">
        <v>94.401638596366993</v>
      </c>
      <c r="AJ3249">
        <v>125.75621596876999</v>
      </c>
      <c r="AK3249">
        <v>0.711306161383091</v>
      </c>
      <c r="AL3249">
        <v>70.283302624312796</v>
      </c>
      <c r="AM3249">
        <v>109.560995016665</v>
      </c>
      <c r="AN3249">
        <v>0.99999996624370402</v>
      </c>
    </row>
    <row r="3250" spans="1:40" x14ac:dyDescent="0.25">
      <c r="A3250" t="str">
        <f>"20190304164152566"</f>
        <v>20190304164152566</v>
      </c>
      <c r="B3250" t="str">
        <f>"1551688912554310"</f>
        <v>1551688912554310</v>
      </c>
      <c r="C3250" t="s">
        <v>40</v>
      </c>
      <c r="D3250">
        <v>4.1445889999999999</v>
      </c>
      <c r="E3250">
        <v>0.41571209999999997</v>
      </c>
      <c r="F3250" t="s">
        <v>41</v>
      </c>
      <c r="G3250">
        <v>-490.61599999999999</v>
      </c>
      <c r="H3250">
        <v>1.051687</v>
      </c>
      <c r="I3250">
        <v>231.1352</v>
      </c>
      <c r="J3250">
        <v>-491.30410000000001</v>
      </c>
      <c r="K3250">
        <v>1.113532</v>
      </c>
      <c r="L3250">
        <v>231.6121</v>
      </c>
      <c r="M3250">
        <v>0.35013860000000002</v>
      </c>
      <c r="N3250">
        <v>-1.418932E-2</v>
      </c>
      <c r="O3250">
        <v>-0.93659049999999999</v>
      </c>
      <c r="P3250">
        <v>0.607828699999999</v>
      </c>
      <c r="Q3250">
        <v>0.32687769999999999</v>
      </c>
      <c r="R3250">
        <v>-0.72366830000000004</v>
      </c>
      <c r="S3250">
        <v>2.5394290000000002</v>
      </c>
      <c r="T3250">
        <v>-0.20947669999999999</v>
      </c>
      <c r="U3250">
        <v>-2.114471</v>
      </c>
      <c r="V3250">
        <v>-0.31818469999999999</v>
      </c>
      <c r="W3250">
        <v>0.33737499999999998</v>
      </c>
      <c r="X3250">
        <v>0.88596649999999999</v>
      </c>
      <c r="Y3250">
        <v>-0.49440669999999998</v>
      </c>
      <c r="Z3250">
        <v>5.3176809999999998E-2</v>
      </c>
      <c r="AA3250">
        <v>0.8676026</v>
      </c>
      <c r="AB3250">
        <v>16</v>
      </c>
      <c r="AC3250">
        <v>0.68810000000001903</v>
      </c>
      <c r="AD3250">
        <v>-6.18449999999999E-2</v>
      </c>
      <c r="AE3250">
        <v>-0.47689999999999999</v>
      </c>
      <c r="AF3250">
        <v>-0.474943162573077</v>
      </c>
      <c r="AG3250">
        <v>-6.18449999999999E-2</v>
      </c>
      <c r="AH3250">
        <v>0.683927456810139</v>
      </c>
      <c r="AI3250">
        <v>94.247772236337298</v>
      </c>
      <c r="AJ3250">
        <v>124.777466243604</v>
      </c>
      <c r="AK3250">
        <v>0.8349566323341</v>
      </c>
      <c r="AL3250">
        <v>70.2829749903986</v>
      </c>
      <c r="AM3250">
        <v>109.755168354106</v>
      </c>
      <c r="AN3250">
        <v>1.0000000165306699</v>
      </c>
    </row>
    <row r="3251" spans="1:40" x14ac:dyDescent="0.25">
      <c r="A3251" t="str">
        <f>"20190304164152587"</f>
        <v>20190304164152587</v>
      </c>
      <c r="B3251" t="str">
        <f>"1551688912584566"</f>
        <v>1551688912584566</v>
      </c>
      <c r="C3251" t="s">
        <v>40</v>
      </c>
      <c r="D3251">
        <v>4.102061</v>
      </c>
      <c r="E3251">
        <v>0.41578540000000003</v>
      </c>
      <c r="F3251" t="s">
        <v>41</v>
      </c>
      <c r="G3251">
        <v>-490.5652</v>
      </c>
      <c r="H3251">
        <v>1.052087</v>
      </c>
      <c r="I3251">
        <v>231.00530000000001</v>
      </c>
      <c r="J3251">
        <v>-491.24650000000003</v>
      </c>
      <c r="K3251">
        <v>1.113499</v>
      </c>
      <c r="L3251">
        <v>231.477</v>
      </c>
      <c r="M3251">
        <v>0.35527599999999998</v>
      </c>
      <c r="N3251">
        <v>-1.4190639999999999E-2</v>
      </c>
      <c r="O3251">
        <v>-0.93465379999999998</v>
      </c>
      <c r="P3251">
        <v>0.6142244</v>
      </c>
      <c r="Q3251">
        <v>0.32604379999999999</v>
      </c>
      <c r="R3251">
        <v>-0.7186266</v>
      </c>
      <c r="S3251">
        <v>2.5537109999999998</v>
      </c>
      <c r="T3251">
        <v>-0.2123121</v>
      </c>
      <c r="U3251">
        <v>-2.0965120000000002</v>
      </c>
      <c r="V3251">
        <v>-0.32102459999999899</v>
      </c>
      <c r="W3251">
        <v>0.33654040000000002</v>
      </c>
      <c r="X3251">
        <v>0.88525919999999902</v>
      </c>
      <c r="Y3251">
        <v>-0.49561719999999998</v>
      </c>
      <c r="Z3251">
        <v>5.4094219999999998E-2</v>
      </c>
      <c r="AA3251">
        <v>0.86685480000000004</v>
      </c>
      <c r="AB3251">
        <v>16</v>
      </c>
      <c r="AC3251">
        <v>0.681300000000021</v>
      </c>
      <c r="AD3251">
        <v>-6.1412000000000001E-2</v>
      </c>
      <c r="AE3251">
        <v>-0.47169999999999801</v>
      </c>
      <c r="AF3251">
        <v>-0.46667999298907598</v>
      </c>
      <c r="AG3251">
        <v>-6.1412000000000001E-2</v>
      </c>
      <c r="AH3251">
        <v>0.67926370929414903</v>
      </c>
      <c r="AI3251">
        <v>94.261657015931604</v>
      </c>
      <c r="AJ3251">
        <v>124.49054507228</v>
      </c>
      <c r="AK3251">
        <v>0.82641444588313595</v>
      </c>
      <c r="AL3251">
        <v>70.333764754071396</v>
      </c>
      <c r="AM3251">
        <v>109.932338561988</v>
      </c>
      <c r="AN3251">
        <v>1.0000000429109701</v>
      </c>
    </row>
    <row r="3252" spans="1:40" x14ac:dyDescent="0.25">
      <c r="A3252" t="str">
        <f>"20190304164152611"</f>
        <v>20190304164152611</v>
      </c>
      <c r="B3252" t="str">
        <f>"1551688912604086"</f>
        <v>1551688912604086</v>
      </c>
      <c r="C3252" t="s">
        <v>40</v>
      </c>
      <c r="D3252">
        <v>4.1317219999999999</v>
      </c>
      <c r="E3252">
        <v>0.41583930000000002</v>
      </c>
      <c r="F3252" t="s">
        <v>41</v>
      </c>
      <c r="G3252">
        <v>-490.50830000000002</v>
      </c>
      <c r="H3252">
        <v>1.050897</v>
      </c>
      <c r="I3252">
        <v>230.87950000000001</v>
      </c>
      <c r="J3252">
        <v>-491.18060000000003</v>
      </c>
      <c r="K3252">
        <v>1.1134329999999999</v>
      </c>
      <c r="L3252">
        <v>231.32480000000001</v>
      </c>
      <c r="M3252">
        <v>0.36106929999999998</v>
      </c>
      <c r="N3252">
        <v>-1.4188650000000001E-2</v>
      </c>
      <c r="O3252">
        <v>-0.93243100000000001</v>
      </c>
      <c r="P3252">
        <v>0.62093929999999997</v>
      </c>
      <c r="Q3252">
        <v>0.32444539999999999</v>
      </c>
      <c r="R3252">
        <v>-0.71356109999999995</v>
      </c>
      <c r="S3252">
        <v>2.5682680000000002</v>
      </c>
      <c r="T3252">
        <v>-0.2177588</v>
      </c>
      <c r="U3252">
        <v>-2.0782929999999999</v>
      </c>
      <c r="V3252">
        <v>-0.32352829999999999</v>
      </c>
      <c r="W3252">
        <v>0.33496479999999901</v>
      </c>
      <c r="X3252">
        <v>0.88494519999999899</v>
      </c>
      <c r="Y3252">
        <v>-0.49626710000000002</v>
      </c>
      <c r="Z3252">
        <v>5.5808709999999997E-2</v>
      </c>
      <c r="AA3252">
        <v>0.86637430000000004</v>
      </c>
      <c r="AB3252">
        <v>16</v>
      </c>
      <c r="AC3252">
        <v>0.672300000000007</v>
      </c>
      <c r="AD3252">
        <v>-6.2535999999999897E-2</v>
      </c>
      <c r="AE3252">
        <v>-0.44530000000000303</v>
      </c>
      <c r="AF3252">
        <v>-0.46334957837196999</v>
      </c>
      <c r="AG3252">
        <v>-6.2535999999999897E-2</v>
      </c>
      <c r="AH3252">
        <v>0.65409100386401897</v>
      </c>
      <c r="AI3252">
        <v>94.460956087413606</v>
      </c>
      <c r="AJ3252">
        <v>125.31326177456801</v>
      </c>
      <c r="AK3252">
        <v>0.80401406978318701</v>
      </c>
      <c r="AL3252">
        <v>70.429602383186705</v>
      </c>
      <c r="AM3252">
        <v>110.081974475073</v>
      </c>
      <c r="AN3252">
        <v>0.99999999257148398</v>
      </c>
    </row>
    <row r="3253" spans="1:40" x14ac:dyDescent="0.25">
      <c r="A3253" t="str">
        <f>"20190304164152633"</f>
        <v>20190304164152633</v>
      </c>
      <c r="B3253" t="str">
        <f>"1551688912624259"</f>
        <v>1551688912624259</v>
      </c>
      <c r="C3253" t="s">
        <v>40</v>
      </c>
      <c r="D3253">
        <v>4.1172219999999999</v>
      </c>
      <c r="E3253">
        <v>0.41595389999999999</v>
      </c>
      <c r="F3253" t="s">
        <v>41</v>
      </c>
      <c r="G3253">
        <v>-490.4579</v>
      </c>
      <c r="H3253">
        <v>1.050648</v>
      </c>
      <c r="I3253">
        <v>230.74950000000001</v>
      </c>
      <c r="J3253">
        <v>-491.1191</v>
      </c>
      <c r="K3253">
        <v>1.1133729999999999</v>
      </c>
      <c r="L3253">
        <v>231.18469999999999</v>
      </c>
      <c r="M3253">
        <v>0.3663824</v>
      </c>
      <c r="N3253">
        <v>-1.418434E-2</v>
      </c>
      <c r="O3253">
        <v>-0.93035639999999997</v>
      </c>
      <c r="P3253">
        <v>0.62650810000000001</v>
      </c>
      <c r="Q3253">
        <v>0.32313639999999999</v>
      </c>
      <c r="R3253">
        <v>-0.70927489999999904</v>
      </c>
      <c r="S3253">
        <v>2.5848689999999999</v>
      </c>
      <c r="T3253">
        <v>-0.22452040000000001</v>
      </c>
      <c r="U3253">
        <v>-2.0569760000000001</v>
      </c>
      <c r="V3253">
        <v>-0.3251425</v>
      </c>
      <c r="W3253">
        <v>0.33368759999999997</v>
      </c>
      <c r="X3253">
        <v>0.88483609999999902</v>
      </c>
      <c r="Y3253">
        <v>-0.49829449999999997</v>
      </c>
      <c r="Z3253">
        <v>5.7957139999999997E-2</v>
      </c>
      <c r="AA3253">
        <v>0.86506859999999997</v>
      </c>
      <c r="AB3253">
        <v>16</v>
      </c>
      <c r="AC3253">
        <v>0.661200000000007</v>
      </c>
      <c r="AD3253">
        <v>-6.2724999999999906E-2</v>
      </c>
      <c r="AE3253">
        <v>-0.43519999999997999</v>
      </c>
      <c r="AF3253">
        <v>-0.45290395728340799</v>
      </c>
      <c r="AG3253">
        <v>-6.2724999999999906E-2</v>
      </c>
      <c r="AH3253">
        <v>0.64316959913188798</v>
      </c>
      <c r="AI3253">
        <v>94.559046671813704</v>
      </c>
      <c r="AJ3253">
        <v>125.152249335672</v>
      </c>
      <c r="AK3253">
        <v>0.78912835039393003</v>
      </c>
      <c r="AL3253">
        <v>70.507248503982893</v>
      </c>
      <c r="AM3253">
        <v>110.176396666627</v>
      </c>
      <c r="AN3253">
        <v>0.99999999178160903</v>
      </c>
    </row>
    <row r="3254" spans="1:40" x14ac:dyDescent="0.25">
      <c r="A3254" t="str">
        <f>"20190304164152654"</f>
        <v>20190304164152654</v>
      </c>
      <c r="B3254" t="str">
        <f>"1551688912643779"</f>
        <v>1551688912643779</v>
      </c>
      <c r="C3254" t="s">
        <v>40</v>
      </c>
      <c r="D3254">
        <v>4.1268440000000002</v>
      </c>
      <c r="E3254">
        <v>0.4160951</v>
      </c>
      <c r="F3254" t="s">
        <v>41</v>
      </c>
      <c r="G3254">
        <v>-490.40159999999997</v>
      </c>
      <c r="H3254">
        <v>1.050637</v>
      </c>
      <c r="I3254">
        <v>230.62370000000001</v>
      </c>
      <c r="J3254">
        <v>-491.05869999999999</v>
      </c>
      <c r="K3254">
        <v>1.1133189999999999</v>
      </c>
      <c r="L3254">
        <v>231.04929999999999</v>
      </c>
      <c r="M3254">
        <v>0.37149270000000001</v>
      </c>
      <c r="N3254">
        <v>-1.4178420000000001E-2</v>
      </c>
      <c r="O3254">
        <v>-0.92832789999999998</v>
      </c>
      <c r="P3254">
        <v>0.63060649999999996</v>
      </c>
      <c r="Q3254">
        <v>0.32605030000000002</v>
      </c>
      <c r="R3254">
        <v>-0.70429200000000003</v>
      </c>
      <c r="S3254">
        <v>2.6020509999999999</v>
      </c>
      <c r="T3254">
        <v>-0.22754750000000001</v>
      </c>
      <c r="U3254">
        <v>-2.0349430000000002</v>
      </c>
      <c r="V3254">
        <v>-0.32587490000000002</v>
      </c>
      <c r="W3254">
        <v>0.33661669999999999</v>
      </c>
      <c r="X3254">
        <v>0.88345609999999997</v>
      </c>
      <c r="Y3254">
        <v>-0.5007935</v>
      </c>
      <c r="Z3254">
        <v>5.8953110000000003E-2</v>
      </c>
      <c r="AA3254">
        <v>0.86355680000000001</v>
      </c>
      <c r="AB3254">
        <v>16</v>
      </c>
      <c r="AC3254">
        <v>0.65710000000001401</v>
      </c>
      <c r="AD3254">
        <v>-6.2681999999999904E-2</v>
      </c>
      <c r="AE3254">
        <v>-0.425599999999974</v>
      </c>
      <c r="AF3254">
        <v>-0.44906360007949397</v>
      </c>
      <c r="AG3254">
        <v>-6.2681999999999904E-2</v>
      </c>
      <c r="AH3254">
        <v>0.63519643113457303</v>
      </c>
      <c r="AI3254">
        <v>94.606837490839695</v>
      </c>
      <c r="AJ3254">
        <v>125.259091265338</v>
      </c>
      <c r="AK3254">
        <v>0.78042402331454097</v>
      </c>
      <c r="AL3254">
        <v>70.329120662550096</v>
      </c>
      <c r="AM3254">
        <v>110.24718781125</v>
      </c>
      <c r="AN3254">
        <v>0.99999996689805404</v>
      </c>
    </row>
    <row r="3255" spans="1:40" x14ac:dyDescent="0.25">
      <c r="A3255" t="str">
        <f>"20190304164152676"</f>
        <v>20190304164152676</v>
      </c>
      <c r="B3255" t="str">
        <f>"1551688912674036"</f>
        <v>1551688912674036</v>
      </c>
      <c r="C3255" t="s">
        <v>40</v>
      </c>
      <c r="D3255">
        <v>4.1669199999999904</v>
      </c>
      <c r="E3255">
        <v>0.41625380000000001</v>
      </c>
      <c r="F3255" t="s">
        <v>41</v>
      </c>
      <c r="G3255">
        <v>-490.3442</v>
      </c>
      <c r="H3255">
        <v>1.0541659999999999</v>
      </c>
      <c r="I3255">
        <v>230.49860000000001</v>
      </c>
      <c r="J3255">
        <v>-490.9941</v>
      </c>
      <c r="K3255">
        <v>1.1132789999999999</v>
      </c>
      <c r="L3255">
        <v>230.90639999999999</v>
      </c>
      <c r="M3255">
        <v>0.37685010000000002</v>
      </c>
      <c r="N3255">
        <v>-1.417086E-2</v>
      </c>
      <c r="O3255">
        <v>-0.92616600000000004</v>
      </c>
      <c r="P3255">
        <v>0.63511609999999996</v>
      </c>
      <c r="Q3255">
        <v>0.3276886</v>
      </c>
      <c r="R3255">
        <v>-0.69946280000000005</v>
      </c>
      <c r="S3255">
        <v>2.617432</v>
      </c>
      <c r="T3255">
        <v>-0.21660090000000001</v>
      </c>
      <c r="U3255">
        <v>-2.0163120000000001</v>
      </c>
      <c r="V3255">
        <v>-0.32670260000000001</v>
      </c>
      <c r="W3255">
        <v>0.33827079999999998</v>
      </c>
      <c r="X3255">
        <v>0.88251819999999903</v>
      </c>
      <c r="Y3255">
        <v>-0.50227639999999996</v>
      </c>
      <c r="Z3255">
        <v>5.5586530000000002E-2</v>
      </c>
      <c r="AA3255">
        <v>0.86291859999999998</v>
      </c>
      <c r="AB3255">
        <v>16</v>
      </c>
      <c r="AC3255">
        <v>0.64990000000000203</v>
      </c>
      <c r="AD3255">
        <v>-5.9113000000000103E-2</v>
      </c>
      <c r="AE3255">
        <v>-0.40779999999998001</v>
      </c>
      <c r="AF3255">
        <v>-0.44563547495497502</v>
      </c>
      <c r="AG3255">
        <v>-5.9113000000000103E-2</v>
      </c>
      <c r="AH3255">
        <v>0.61899347194568299</v>
      </c>
      <c r="AI3255">
        <v>94.431721040854598</v>
      </c>
      <c r="AJ3255">
        <v>125.75145942751899</v>
      </c>
      <c r="AK3255">
        <v>0.76500865460380096</v>
      </c>
      <c r="AL3255">
        <v>70.228444158107905</v>
      </c>
      <c r="AM3255">
        <v>110.314230455526</v>
      </c>
      <c r="AN3255">
        <v>1.00000004815531</v>
      </c>
    </row>
    <row r="3256" spans="1:40" x14ac:dyDescent="0.25">
      <c r="A3256" t="str">
        <f>"20190304164152700"</f>
        <v>20190304164152700</v>
      </c>
      <c r="B3256" t="str">
        <f>"1551688912694531"</f>
        <v>1551688912694531</v>
      </c>
      <c r="C3256" t="s">
        <v>40</v>
      </c>
      <c r="D3256">
        <v>4.1302279999999998</v>
      </c>
      <c r="E3256">
        <v>0.38762079999999999</v>
      </c>
      <c r="F3256" t="s">
        <v>41</v>
      </c>
      <c r="G3256">
        <v>-490.28989999999999</v>
      </c>
      <c r="H3256">
        <v>1.0568379999999999</v>
      </c>
      <c r="I3256">
        <v>230.3717</v>
      </c>
      <c r="J3256">
        <v>-490.92770000000002</v>
      </c>
      <c r="K3256">
        <v>1.113246</v>
      </c>
      <c r="L3256">
        <v>230.76150000000001</v>
      </c>
      <c r="M3256">
        <v>0.38224789999999997</v>
      </c>
      <c r="N3256">
        <v>-1.416245E-2</v>
      </c>
      <c r="O3256">
        <v>-0.92395139999999998</v>
      </c>
      <c r="P3256">
        <v>0.6389802</v>
      </c>
      <c r="Q3256">
        <v>0.32839249999999998</v>
      </c>
      <c r="R3256">
        <v>-0.69560239999999995</v>
      </c>
      <c r="S3256">
        <v>2.6316830000000002</v>
      </c>
      <c r="T3256">
        <v>-0.21092430000000001</v>
      </c>
      <c r="U3256">
        <v>-1.998337</v>
      </c>
      <c r="V3256">
        <v>-0.32653729999999997</v>
      </c>
      <c r="W3256">
        <v>0.3389972</v>
      </c>
      <c r="X3256">
        <v>0.88230059999999999</v>
      </c>
      <c r="Y3256">
        <v>-0.50330699999999995</v>
      </c>
      <c r="Z3256">
        <v>5.3850870000000002E-2</v>
      </c>
      <c r="AA3256">
        <v>0.86242799999999997</v>
      </c>
      <c r="AB3256">
        <v>16</v>
      </c>
      <c r="AC3256">
        <v>0.63780000000002701</v>
      </c>
      <c r="AD3256">
        <v>-5.6408E-2</v>
      </c>
      <c r="AE3256">
        <v>-0.38980000000000797</v>
      </c>
      <c r="AF3256">
        <v>-0.43784664393165901</v>
      </c>
      <c r="AG3256">
        <v>-5.6408E-2</v>
      </c>
      <c r="AH3256">
        <v>0.60059422381332805</v>
      </c>
      <c r="AI3256">
        <v>94.340059364071195</v>
      </c>
      <c r="AJ3256">
        <v>126.09288709721</v>
      </c>
      <c r="AK3256">
        <v>0.74538913846671395</v>
      </c>
      <c r="AL3256">
        <v>70.184210748476204</v>
      </c>
      <c r="AM3256">
        <v>110.30939027930501</v>
      </c>
      <c r="AN3256">
        <v>1.00000002932974</v>
      </c>
    </row>
    <row r="3257" spans="1:40" x14ac:dyDescent="0.25">
      <c r="A3257" t="str">
        <f>"20190304164152722"</f>
        <v>20190304164152722</v>
      </c>
      <c r="B3257" t="str">
        <f>"1551688912714598"</f>
        <v>1551688912714598</v>
      </c>
      <c r="C3257" t="s">
        <v>40</v>
      </c>
      <c r="D3257">
        <v>4.1498739999999996</v>
      </c>
      <c r="E3257">
        <v>0.37929020000000002</v>
      </c>
      <c r="F3257" t="s">
        <v>46</v>
      </c>
      <c r="G3257">
        <v>-469.91890000000001</v>
      </c>
      <c r="H3257" s="1">
        <v>3.6288950000000002E-6</v>
      </c>
      <c r="I3257">
        <v>217.1943</v>
      </c>
      <c r="J3257">
        <v>-490.86290000000002</v>
      </c>
      <c r="K3257">
        <v>1.1132230000000001</v>
      </c>
      <c r="L3257">
        <v>230.6224</v>
      </c>
      <c r="M3257">
        <v>0.38740950000000002</v>
      </c>
      <c r="N3257">
        <v>-1.4154190000000001E-2</v>
      </c>
      <c r="O3257">
        <v>-0.92179920000000004</v>
      </c>
      <c r="P3257">
        <v>0.64201909999999995</v>
      </c>
      <c r="Q3257">
        <v>0.32844319999999999</v>
      </c>
      <c r="R3257">
        <v>-0.69277480000000002</v>
      </c>
      <c r="S3257">
        <v>2.8016969999999999</v>
      </c>
      <c r="T3257">
        <v>-0.1484605</v>
      </c>
      <c r="U3257">
        <v>-1.8093109999999999</v>
      </c>
      <c r="V3257">
        <v>-0.32544309999999999</v>
      </c>
      <c r="W3257">
        <v>0.33907619999999999</v>
      </c>
      <c r="X3257">
        <v>0.88267450000000003</v>
      </c>
      <c r="Y3257">
        <v>-0.56353690000000001</v>
      </c>
      <c r="Z3257">
        <v>3.4973299999999999E-2</v>
      </c>
      <c r="AA3257">
        <v>0.82535029999999998</v>
      </c>
      <c r="AB3257">
        <v>16</v>
      </c>
      <c r="AC3257">
        <v>20.943999999999999</v>
      </c>
      <c r="AD3257">
        <v>-1.11321937110499</v>
      </c>
      <c r="AE3257">
        <v>-13.428100000000001</v>
      </c>
      <c r="AF3257">
        <v>-14.077215734090601</v>
      </c>
      <c r="AG3257">
        <v>-1.11321937110499</v>
      </c>
      <c r="AH3257">
        <v>20.453017179509299</v>
      </c>
      <c r="AI3257">
        <v>92.567132243779696</v>
      </c>
      <c r="AJ3257">
        <v>124.53850361678001</v>
      </c>
      <c r="AK3257">
        <v>24.854238510516399</v>
      </c>
      <c r="AL3257">
        <v>70.179400403625095</v>
      </c>
      <c r="AM3257">
        <v>110.238988380672</v>
      </c>
      <c r="AN3257">
        <v>1.00000007684714</v>
      </c>
    </row>
    <row r="3258" spans="1:40" x14ac:dyDescent="0.25">
      <c r="A3258" t="str">
        <f>"20190304164152744"</f>
        <v>20190304164152744</v>
      </c>
      <c r="B3258" t="str">
        <f>"1551688912734101"</f>
        <v>1551688912734101</v>
      </c>
      <c r="C3258" t="s">
        <v>40</v>
      </c>
      <c r="D3258">
        <v>4.1434959999999998</v>
      </c>
      <c r="E3258">
        <v>0.37614310000000001</v>
      </c>
      <c r="F3258" t="s">
        <v>46</v>
      </c>
      <c r="G3258">
        <v>-468.56720000000001</v>
      </c>
      <c r="H3258" s="1">
        <v>2.9173949999999999E-6</v>
      </c>
      <c r="I3258">
        <v>217.0153</v>
      </c>
      <c r="J3258">
        <v>-490.79599999999999</v>
      </c>
      <c r="K3258">
        <v>1.1132029999999999</v>
      </c>
      <c r="L3258">
        <v>230.48099999999999</v>
      </c>
      <c r="M3258">
        <v>0.3926366</v>
      </c>
      <c r="N3258">
        <v>-1.4146010000000001E-2</v>
      </c>
      <c r="O3258">
        <v>-0.91958499999999999</v>
      </c>
      <c r="P3258">
        <v>0.64532330000000004</v>
      </c>
      <c r="Q3258">
        <v>0.32751780000000003</v>
      </c>
      <c r="R3258">
        <v>-0.69013769999999997</v>
      </c>
      <c r="S3258">
        <v>2.86145</v>
      </c>
      <c r="T3258">
        <v>-0.1428721</v>
      </c>
      <c r="U3258">
        <v>-1.7463529999999901</v>
      </c>
      <c r="V3258">
        <v>-0.32444849999999997</v>
      </c>
      <c r="W3258">
        <v>0.3381788</v>
      </c>
      <c r="X3258">
        <v>0.88338459999999996</v>
      </c>
      <c r="Y3258">
        <v>-0.57979579999999997</v>
      </c>
      <c r="Z3258">
        <v>3.3282150000000003E-2</v>
      </c>
      <c r="AA3258">
        <v>0.81408169999999902</v>
      </c>
      <c r="AB3258">
        <v>16</v>
      </c>
      <c r="AC3258">
        <v>22.2287999999999</v>
      </c>
      <c r="AD3258">
        <v>-1.1132000826049999</v>
      </c>
      <c r="AE3258">
        <v>-13.465699999999901</v>
      </c>
      <c r="AF3258">
        <v>-15.127904847055699</v>
      </c>
      <c r="AG3258">
        <v>-1.1132000826049999</v>
      </c>
      <c r="AH3258">
        <v>21.074142829613901</v>
      </c>
      <c r="AI3258">
        <v>92.457144423915906</v>
      </c>
      <c r="AJ3258">
        <v>125.67237326943101</v>
      </c>
      <c r="AK3258">
        <v>25.965596767423801</v>
      </c>
      <c r="AL3258">
        <v>70.234045328504095</v>
      </c>
      <c r="AM3258">
        <v>110.167217128917</v>
      </c>
      <c r="AN3258">
        <v>1.0000000407194201</v>
      </c>
    </row>
    <row r="3259" spans="1:40" x14ac:dyDescent="0.25">
      <c r="A3259" t="str">
        <f>"20190304164152767"</f>
        <v>20190304164152767</v>
      </c>
      <c r="B3259" t="str">
        <f>"1551688912764357"</f>
        <v>1551688912764357</v>
      </c>
      <c r="C3259" t="s">
        <v>40</v>
      </c>
      <c r="D3259">
        <v>4.1309269999999998</v>
      </c>
      <c r="E3259">
        <v>0.37500889999999998</v>
      </c>
      <c r="F3259" t="s">
        <v>41</v>
      </c>
      <c r="G3259">
        <v>-489.90359999999998</v>
      </c>
      <c r="H3259">
        <v>1.069977</v>
      </c>
      <c r="I3259">
        <v>229.9529</v>
      </c>
      <c r="J3259">
        <v>-490.72800000000001</v>
      </c>
      <c r="K3259">
        <v>1.113191</v>
      </c>
      <c r="L3259">
        <v>230.33940000000001</v>
      </c>
      <c r="M3259">
        <v>0.39785720000000002</v>
      </c>
      <c r="N3259">
        <v>-1.413784E-2</v>
      </c>
      <c r="O3259">
        <v>-0.9173386</v>
      </c>
      <c r="P3259">
        <v>0.64814099999999997</v>
      </c>
      <c r="Q3259">
        <v>0.32972899999999999</v>
      </c>
      <c r="R3259">
        <v>-0.68643449999999995</v>
      </c>
      <c r="S3259">
        <v>2.89032</v>
      </c>
      <c r="T3259">
        <v>-0.14002539999999999</v>
      </c>
      <c r="U3259">
        <v>-1.710739</v>
      </c>
      <c r="V3259">
        <v>-0.323445599999999</v>
      </c>
      <c r="W3259">
        <v>0.34040140000000002</v>
      </c>
      <c r="X3259">
        <v>0.88289859999999898</v>
      </c>
      <c r="Y3259">
        <v>-0.58618879999999995</v>
      </c>
      <c r="Z3259">
        <v>3.2447549999999999E-2</v>
      </c>
      <c r="AA3259">
        <v>0.80952449999999998</v>
      </c>
      <c r="AB3259">
        <v>16</v>
      </c>
      <c r="AC3259">
        <v>0.824400000000025</v>
      </c>
      <c r="AD3259">
        <v>-4.3214000000000002E-2</v>
      </c>
      <c r="AE3259">
        <v>-0.386500000000012</v>
      </c>
      <c r="AF3259">
        <v>-0.60118801354125195</v>
      </c>
      <c r="AG3259">
        <v>-4.3214000000000002E-2</v>
      </c>
      <c r="AH3259">
        <v>0.68107875085741498</v>
      </c>
      <c r="AI3259">
        <v>92.723423420571606</v>
      </c>
      <c r="AJ3259">
        <v>131.43483473089799</v>
      </c>
      <c r="AK3259">
        <v>0.909484877439517</v>
      </c>
      <c r="AL3259">
        <v>70.0986697047814</v>
      </c>
      <c r="AM3259">
        <v>110.12006220664701</v>
      </c>
      <c r="AN3259">
        <v>1.00000005358163</v>
      </c>
    </row>
    <row r="3260" spans="1:40" x14ac:dyDescent="0.25">
      <c r="A3260" t="str">
        <f>"20190304164152790"</f>
        <v>20190304164152790</v>
      </c>
      <c r="B3260" t="str">
        <f>"1551688912784854"</f>
        <v>1551688912784854</v>
      </c>
      <c r="C3260" t="s">
        <v>40</v>
      </c>
      <c r="D3260">
        <v>4.1377459999999999</v>
      </c>
      <c r="E3260">
        <v>0.37485639999999998</v>
      </c>
      <c r="F3260" t="s">
        <v>46</v>
      </c>
      <c r="G3260">
        <v>-466.78930000000003</v>
      </c>
      <c r="H3260" s="1">
        <v>1.9971549999999999E-6</v>
      </c>
      <c r="I3260">
        <v>216.4238</v>
      </c>
      <c r="J3260">
        <v>-490.65940000000001</v>
      </c>
      <c r="K3260">
        <v>1.1131770000000001</v>
      </c>
      <c r="L3260">
        <v>230.19829999999999</v>
      </c>
      <c r="M3260">
        <v>0.40304380000000001</v>
      </c>
      <c r="N3260">
        <v>-1.412953E-2</v>
      </c>
      <c r="O3260">
        <v>-0.91507169999999904</v>
      </c>
      <c r="P3260">
        <v>0.65067909999999995</v>
      </c>
      <c r="Q3260">
        <v>0.33289410000000003</v>
      </c>
      <c r="R3260">
        <v>-0.68249419999999905</v>
      </c>
      <c r="S3260">
        <v>2.90741</v>
      </c>
      <c r="T3260">
        <v>-0.1351994</v>
      </c>
      <c r="U3260">
        <v>-1.6900790000000001</v>
      </c>
      <c r="V3260">
        <v>-0.32232240000000001</v>
      </c>
      <c r="W3260">
        <v>0.34357520000000003</v>
      </c>
      <c r="X3260">
        <v>0.88207959999999996</v>
      </c>
      <c r="Y3260">
        <v>-0.58802489999999996</v>
      </c>
      <c r="Z3260">
        <v>3.095937E-2</v>
      </c>
      <c r="AA3260">
        <v>0.80825009999999997</v>
      </c>
      <c r="AB3260">
        <v>16</v>
      </c>
      <c r="AC3260">
        <v>23.870099999999901</v>
      </c>
      <c r="AD3260">
        <v>-1.113175002845</v>
      </c>
      <c r="AE3260">
        <v>-13.7744999999999</v>
      </c>
      <c r="AF3260">
        <v>-16.266212861725101</v>
      </c>
      <c r="AG3260">
        <v>-1.113175002845</v>
      </c>
      <c r="AH3260">
        <v>22.191362692232399</v>
      </c>
      <c r="AI3260">
        <v>92.316797526962503</v>
      </c>
      <c r="AJ3260">
        <v>126.24132211890399</v>
      </c>
      <c r="AK3260">
        <v>27.5369827248396</v>
      </c>
      <c r="AL3260">
        <v>69.905155793472602</v>
      </c>
      <c r="AM3260">
        <v>110.072906016654</v>
      </c>
      <c r="AN3260">
        <v>1.0000000341664701</v>
      </c>
    </row>
    <row r="3261" spans="1:40" x14ac:dyDescent="0.25">
      <c r="A3261" t="str">
        <f>"20190304164152812"</f>
        <v>20190304164152812</v>
      </c>
      <c r="B3261" t="str">
        <f>"1551688912804374"</f>
        <v>1551688912804374</v>
      </c>
      <c r="C3261" t="s">
        <v>40</v>
      </c>
      <c r="D3261">
        <v>4.131329</v>
      </c>
      <c r="E3261">
        <v>0.37487749999999997</v>
      </c>
      <c r="F3261" t="s">
        <v>46</v>
      </c>
      <c r="G3261">
        <v>-465.18540000000002</v>
      </c>
      <c r="H3261" s="1">
        <v>1.181145E-6</v>
      </c>
      <c r="I3261">
        <v>215.56460000000001</v>
      </c>
      <c r="J3261">
        <v>-490.59390000000002</v>
      </c>
      <c r="K3261">
        <v>1.113151</v>
      </c>
      <c r="L3261">
        <v>230.06530000000001</v>
      </c>
      <c r="M3261">
        <v>0.40790979999999999</v>
      </c>
      <c r="N3261">
        <v>-1.4121099999999999E-2</v>
      </c>
      <c r="O3261">
        <v>-0.91291330000000004</v>
      </c>
      <c r="P3261">
        <v>0.65328790000000003</v>
      </c>
      <c r="Q3261">
        <v>0.33390059999999999</v>
      </c>
      <c r="R3261">
        <v>-0.679504</v>
      </c>
      <c r="S3261">
        <v>2.917786</v>
      </c>
      <c r="T3261">
        <v>-0.12750239999999999</v>
      </c>
      <c r="U3261">
        <v>-1.676132</v>
      </c>
      <c r="V3261">
        <v>-0.32117669999999998</v>
      </c>
      <c r="W3261">
        <v>0.34460580000000002</v>
      </c>
      <c r="X3261">
        <v>0.88209539999999997</v>
      </c>
      <c r="Y3261">
        <v>-0.58794019999999902</v>
      </c>
      <c r="Z3261">
        <v>2.8581309999999999E-2</v>
      </c>
      <c r="AA3261">
        <v>0.80839930000000004</v>
      </c>
      <c r="AB3261">
        <v>16</v>
      </c>
      <c r="AC3261">
        <v>25.4085</v>
      </c>
      <c r="AD3261">
        <v>-1.113149818855</v>
      </c>
      <c r="AE3261">
        <v>-14.500699999999901</v>
      </c>
      <c r="AF3261">
        <v>-17.257513660093501</v>
      </c>
      <c r="AG3261">
        <v>-1.113149818855</v>
      </c>
      <c r="AH3261">
        <v>23.5704807218032</v>
      </c>
      <c r="AI3261">
        <v>92.182190107049294</v>
      </c>
      <c r="AJ3261">
        <v>126.210334418831</v>
      </c>
      <c r="AK3261">
        <v>29.234028831217</v>
      </c>
      <c r="AL3261">
        <v>69.842265011079803</v>
      </c>
      <c r="AM3261">
        <v>110.006895642803</v>
      </c>
      <c r="AN3261">
        <v>0.99999996235884403</v>
      </c>
    </row>
    <row r="3262" spans="1:40" x14ac:dyDescent="0.25">
      <c r="A3262" t="str">
        <f>"20190304164152834"</f>
        <v>20190304164152834</v>
      </c>
      <c r="B3262" t="str">
        <f>"1551688912823893"</f>
        <v>1551688912823893</v>
      </c>
      <c r="C3262" t="s">
        <v>40</v>
      </c>
      <c r="D3262">
        <v>4.2065910000000004</v>
      </c>
      <c r="E3262">
        <v>0.37504900000000002</v>
      </c>
      <c r="F3262" t="s">
        <v>46</v>
      </c>
      <c r="G3262">
        <v>-465.13850000000002</v>
      </c>
      <c r="H3262" s="1">
        <v>1.155953E-6</v>
      </c>
      <c r="I3262">
        <v>215.57040000000001</v>
      </c>
      <c r="J3262">
        <v>-490.52510000000001</v>
      </c>
      <c r="K3262">
        <v>1.1130910000000001</v>
      </c>
      <c r="L3262">
        <v>229.92740000000001</v>
      </c>
      <c r="M3262">
        <v>0.41290270000000001</v>
      </c>
      <c r="N3262">
        <v>-1.411097E-2</v>
      </c>
      <c r="O3262">
        <v>-0.91066579999999997</v>
      </c>
      <c r="P3262">
        <v>0.65719439999999996</v>
      </c>
      <c r="Q3262">
        <v>0.33329979999999998</v>
      </c>
      <c r="R3262">
        <v>-0.67602240000000002</v>
      </c>
      <c r="S3262">
        <v>2.9251100000000001</v>
      </c>
      <c r="T3262">
        <v>-0.1279132</v>
      </c>
      <c r="U3262">
        <v>-1.665619</v>
      </c>
      <c r="V3262">
        <v>-0.3212662</v>
      </c>
      <c r="W3262">
        <v>0.34403679999999998</v>
      </c>
      <c r="X3262">
        <v>0.88228490000000004</v>
      </c>
      <c r="Y3262">
        <v>-0.58657329999999996</v>
      </c>
      <c r="Z3262">
        <v>2.8714110000000001E-2</v>
      </c>
      <c r="AA3262">
        <v>0.80938699999999997</v>
      </c>
      <c r="AB3262">
        <v>16</v>
      </c>
      <c r="AC3262">
        <v>25.386599999999898</v>
      </c>
      <c r="AD3262">
        <v>-1.1130898440470001</v>
      </c>
      <c r="AE3262">
        <v>-14.356999999999999</v>
      </c>
      <c r="AF3262">
        <v>-17.167370840496002</v>
      </c>
      <c r="AG3262">
        <v>-1.1130898440470001</v>
      </c>
      <c r="AH3262">
        <v>23.5247051511924</v>
      </c>
      <c r="AI3262">
        <v>92.188820774648093</v>
      </c>
      <c r="AJ3262">
        <v>126.12044395662301</v>
      </c>
      <c r="AK3262">
        <v>29.143941789445201</v>
      </c>
      <c r="AL3262">
        <v>69.876989774998606</v>
      </c>
      <c r="AM3262">
        <v>110.008071179946</v>
      </c>
      <c r="AN3262">
        <v>0.99999996789234402</v>
      </c>
    </row>
    <row r="3263" spans="1:40" x14ac:dyDescent="0.25">
      <c r="A3263" t="str">
        <f>"20190304164152857"</f>
        <v>20190304164152857</v>
      </c>
      <c r="B3263" t="str">
        <f>"1551688912844390"</f>
        <v>1551688912844390</v>
      </c>
      <c r="C3263" t="s">
        <v>40</v>
      </c>
      <c r="D3263">
        <v>4.2777139999999996</v>
      </c>
      <c r="E3263">
        <v>0.43620829999999999</v>
      </c>
      <c r="F3263" t="s">
        <v>46</v>
      </c>
      <c r="G3263">
        <v>-466.02339999999998</v>
      </c>
      <c r="H3263" s="1">
        <v>1.6033109999999901E-6</v>
      </c>
      <c r="I3263">
        <v>216.10939999999999</v>
      </c>
      <c r="J3263">
        <v>-490.45639999999997</v>
      </c>
      <c r="K3263">
        <v>1.112989</v>
      </c>
      <c r="L3263">
        <v>229.79150000000001</v>
      </c>
      <c r="M3263">
        <v>0.41772939999999997</v>
      </c>
      <c r="N3263">
        <v>-1.409852E-2</v>
      </c>
      <c r="O3263">
        <v>-0.9084622</v>
      </c>
      <c r="P3263">
        <v>0.66277219999999903</v>
      </c>
      <c r="Q3263">
        <v>0.33028869999999999</v>
      </c>
      <c r="R3263">
        <v>-0.67204359999999996</v>
      </c>
      <c r="S3263">
        <v>2.9316710000000001</v>
      </c>
      <c r="T3263">
        <v>-0.1331832</v>
      </c>
      <c r="U3263">
        <v>-1.65335099999999</v>
      </c>
      <c r="V3263">
        <v>-0.32320539999999998</v>
      </c>
      <c r="W3263">
        <v>0.34106890000000001</v>
      </c>
      <c r="X3263">
        <v>0.88272890000000004</v>
      </c>
      <c r="Y3263">
        <v>-0.58557179999999998</v>
      </c>
      <c r="Z3263">
        <v>3.0373520000000001E-2</v>
      </c>
      <c r="AA3263">
        <v>0.81005139999999998</v>
      </c>
      <c r="AB3263">
        <v>16</v>
      </c>
      <c r="AC3263">
        <v>24.433</v>
      </c>
      <c r="AD3263">
        <v>-1.112987396689</v>
      </c>
      <c r="AE3263">
        <v>-13.6821</v>
      </c>
      <c r="AF3263">
        <v>-16.4566818362395</v>
      </c>
      <c r="AG3263">
        <v>-1.112987396689</v>
      </c>
      <c r="AH3263">
        <v>22.602596058163702</v>
      </c>
      <c r="AI3263">
        <v>92.279626259832497</v>
      </c>
      <c r="AJ3263">
        <v>126.05791827349201</v>
      </c>
      <c r="AK3263">
        <v>27.981037625022498</v>
      </c>
      <c r="AL3263">
        <v>70.057989762888099</v>
      </c>
      <c r="AM3263">
        <v>110.10987331890701</v>
      </c>
      <c r="AN3263">
        <v>1.00000001801578</v>
      </c>
    </row>
    <row r="3264" spans="1:40" x14ac:dyDescent="0.25">
      <c r="A3264" t="str">
        <f>"20190304164152878"</f>
        <v>20190304164152878</v>
      </c>
      <c r="B3264" t="str">
        <f>"1551688912863910"</f>
        <v>1551688912863910</v>
      </c>
      <c r="C3264" t="s">
        <v>40</v>
      </c>
      <c r="D3264">
        <v>4.303998</v>
      </c>
      <c r="E3264">
        <v>0.45913029999999999</v>
      </c>
      <c r="F3264" t="s">
        <v>41</v>
      </c>
      <c r="G3264">
        <v>-489.7183</v>
      </c>
      <c r="H3264">
        <v>1.0415669999999999</v>
      </c>
      <c r="I3264">
        <v>229.2243</v>
      </c>
      <c r="J3264">
        <v>-490.39030000000002</v>
      </c>
      <c r="K3264">
        <v>1.112873</v>
      </c>
      <c r="L3264">
        <v>229.6618</v>
      </c>
      <c r="M3264">
        <v>0.42220449999999998</v>
      </c>
      <c r="N3264">
        <v>-1.408322E-2</v>
      </c>
      <c r="O3264">
        <v>-0.90639139999999996</v>
      </c>
      <c r="P3264">
        <v>0.66876679999999999</v>
      </c>
      <c r="Q3264">
        <v>0.32801219999999998</v>
      </c>
      <c r="R3264">
        <v>-0.66720269999999904</v>
      </c>
      <c r="S3264">
        <v>2.6152950000000001</v>
      </c>
      <c r="T3264">
        <v>-0.25298359999999998</v>
      </c>
      <c r="U3264">
        <v>-2.009064</v>
      </c>
      <c r="V3264">
        <v>-0.32620549999999998</v>
      </c>
      <c r="W3264">
        <v>0.33884109999999901</v>
      </c>
      <c r="X3264">
        <v>0.88248320000000002</v>
      </c>
      <c r="Y3264">
        <v>-0.45954689999999998</v>
      </c>
      <c r="Z3264">
        <v>6.5936170000000002E-2</v>
      </c>
      <c r="AA3264">
        <v>0.88570260000000001</v>
      </c>
      <c r="AB3264">
        <v>16</v>
      </c>
      <c r="AC3264">
        <v>0.67200000000002502</v>
      </c>
      <c r="AD3264">
        <v>-7.1305999999999994E-2</v>
      </c>
      <c r="AE3264">
        <v>-0.4375</v>
      </c>
      <c r="AF3264">
        <v>-0.42109271360572098</v>
      </c>
      <c r="AG3264">
        <v>-7.1305999999999994E-2</v>
      </c>
      <c r="AH3264">
        <v>0.67499736775282904</v>
      </c>
      <c r="AI3264">
        <v>95.121631870487505</v>
      </c>
      <c r="AJ3264">
        <v>121.957708536833</v>
      </c>
      <c r="AK3264">
        <v>0.79876471226580803</v>
      </c>
      <c r="AL3264">
        <v>70.193715801559506</v>
      </c>
      <c r="AM3264">
        <v>110.286580745493</v>
      </c>
      <c r="AN3264">
        <v>0.99999995878084902</v>
      </c>
    </row>
    <row r="3265" spans="1:40" x14ac:dyDescent="0.25">
      <c r="A3265" t="str">
        <f>"20190304164152900"</f>
        <v>20190304164152900</v>
      </c>
      <c r="B3265" t="str">
        <f>"1551688912894165"</f>
        <v>1551688912894165</v>
      </c>
      <c r="C3265" t="s">
        <v>40</v>
      </c>
      <c r="D3265">
        <v>4.2705820000000001</v>
      </c>
      <c r="E3265">
        <v>0.46995779999999898</v>
      </c>
      <c r="F3265" t="s">
        <v>45</v>
      </c>
      <c r="G3265">
        <v>-481.48770000000002</v>
      </c>
      <c r="H3265" s="1">
        <v>2.5780020000000002E-6</v>
      </c>
      <c r="I3265">
        <v>222.08340000000001</v>
      </c>
      <c r="J3265">
        <v>-490.31900000000002</v>
      </c>
      <c r="K3265">
        <v>1.112727</v>
      </c>
      <c r="L3265">
        <v>229.52340000000001</v>
      </c>
      <c r="M3265">
        <v>0.42679800000000001</v>
      </c>
      <c r="N3265">
        <v>-1.406312E-2</v>
      </c>
      <c r="O3265">
        <v>-0.90423770000000003</v>
      </c>
      <c r="P3265">
        <v>0.6741663</v>
      </c>
      <c r="Q3265">
        <v>0.32717600000000002</v>
      </c>
      <c r="R3265">
        <v>-0.66215999999999997</v>
      </c>
      <c r="S3265">
        <v>2.5089419999999998</v>
      </c>
      <c r="T3265">
        <v>-0.31363210000000002</v>
      </c>
      <c r="U3265">
        <v>-2.1357569999999999</v>
      </c>
      <c r="V3265">
        <v>-0.32861200000000002</v>
      </c>
      <c r="W3265">
        <v>0.33808189999999999</v>
      </c>
      <c r="X3265">
        <v>0.88188140000000004</v>
      </c>
      <c r="Y3265">
        <v>-0.40884510000000002</v>
      </c>
      <c r="Z3265">
        <v>8.30095E-2</v>
      </c>
      <c r="AA3265">
        <v>0.90882070000000004</v>
      </c>
      <c r="AB3265">
        <v>15</v>
      </c>
      <c r="AC3265">
        <v>8.8312999999999899</v>
      </c>
      <c r="AD3265">
        <v>-1.1127244219979999</v>
      </c>
      <c r="AE3265">
        <v>-7.4399999999999897</v>
      </c>
      <c r="AF3265">
        <v>-4.76643483193652</v>
      </c>
      <c r="AG3265">
        <v>-1.1127244219979999</v>
      </c>
      <c r="AH3265">
        <v>10.401168940498099</v>
      </c>
      <c r="AI3265">
        <v>95.554838119234205</v>
      </c>
      <c r="AJ3265">
        <v>114.62007035252201</v>
      </c>
      <c r="AK3265">
        <v>11.495276072160699</v>
      </c>
      <c r="AL3265">
        <v>70.239944151912795</v>
      </c>
      <c r="AM3265">
        <v>110.436705181243</v>
      </c>
      <c r="AN3265">
        <v>1.0000000106587801</v>
      </c>
    </row>
    <row r="3266" spans="1:40" x14ac:dyDescent="0.25">
      <c r="A3266" t="str">
        <f>"20190304164152924"</f>
        <v>20190304164152924</v>
      </c>
      <c r="B3266" t="str">
        <f>"1551688912914661"</f>
        <v>1551688912914661</v>
      </c>
      <c r="C3266" t="s">
        <v>40</v>
      </c>
      <c r="D3266">
        <v>4.2545019999999996</v>
      </c>
      <c r="E3266">
        <v>0.47298950000000001</v>
      </c>
      <c r="F3266" t="s">
        <v>45</v>
      </c>
      <c r="G3266">
        <v>-482.26220000000001</v>
      </c>
      <c r="H3266" s="1">
        <v>2.7822530000000002E-6</v>
      </c>
      <c r="I3266">
        <v>222.38589999999999</v>
      </c>
      <c r="J3266">
        <v>-490.24849999999998</v>
      </c>
      <c r="K3266">
        <v>1.112555</v>
      </c>
      <c r="L3266">
        <v>229.38740000000001</v>
      </c>
      <c r="M3266">
        <v>0.43106670000000002</v>
      </c>
      <c r="N3266">
        <v>-1.403982E-2</v>
      </c>
      <c r="O3266">
        <v>-0.90221099999999999</v>
      </c>
      <c r="P3266">
        <v>0.67812119999999998</v>
      </c>
      <c r="Q3266">
        <v>0.32762429999999998</v>
      </c>
      <c r="R3266">
        <v>-0.65788630000000003</v>
      </c>
      <c r="S3266">
        <v>2.4679570000000002</v>
      </c>
      <c r="T3266">
        <v>-0.34084989999999998</v>
      </c>
      <c r="U3266">
        <v>-2.186356</v>
      </c>
      <c r="V3266">
        <v>-0.32968900000000001</v>
      </c>
      <c r="W3266">
        <v>0.33863379999999998</v>
      </c>
      <c r="X3266">
        <v>0.88126749999999998</v>
      </c>
      <c r="Y3266">
        <v>-0.38593769999999999</v>
      </c>
      <c r="Z3266">
        <v>9.0357759999999995E-2</v>
      </c>
      <c r="AA3266">
        <v>0.91808909999999999</v>
      </c>
      <c r="AB3266">
        <v>15</v>
      </c>
      <c r="AC3266">
        <v>7.9862999999999698</v>
      </c>
      <c r="AD3266">
        <v>-1.112552217747</v>
      </c>
      <c r="AE3266">
        <v>-7.0015000000000196</v>
      </c>
      <c r="AF3266">
        <v>-4.1421743763569001</v>
      </c>
      <c r="AG3266">
        <v>-1.112552217747</v>
      </c>
      <c r="AH3266">
        <v>9.65448054205239</v>
      </c>
      <c r="AI3266">
        <v>96.045169503263594</v>
      </c>
      <c r="AJ3266">
        <v>113.221348307027</v>
      </c>
      <c r="AK3266">
        <v>10.564297209858699</v>
      </c>
      <c r="AL3266">
        <v>70.206341336464902</v>
      </c>
      <c r="AM3266">
        <v>110.511212560408</v>
      </c>
      <c r="AN3266">
        <v>1.00000004688984</v>
      </c>
    </row>
    <row r="3267" spans="1:40" x14ac:dyDescent="0.25">
      <c r="A3267" t="str">
        <f>"20190304164152945"</f>
        <v>20190304164152945</v>
      </c>
      <c r="B3267" t="str">
        <f>"1551688912934182"</f>
        <v>1551688912934182</v>
      </c>
      <c r="C3267" t="s">
        <v>40</v>
      </c>
      <c r="D3267">
        <v>4.2567380000000004</v>
      </c>
      <c r="E3267">
        <v>0.47506169999999998</v>
      </c>
      <c r="F3267" t="s">
        <v>45</v>
      </c>
      <c r="G3267">
        <v>-482.24299999999999</v>
      </c>
      <c r="H3267" s="1">
        <v>2.7566579999999999E-6</v>
      </c>
      <c r="I3267">
        <v>222.28559999999999</v>
      </c>
      <c r="J3267">
        <v>-490.17959999999999</v>
      </c>
      <c r="K3267">
        <v>1.1123769999999999</v>
      </c>
      <c r="L3267">
        <v>229.25530000000001</v>
      </c>
      <c r="M3267">
        <v>0.43495640000000002</v>
      </c>
      <c r="N3267">
        <v>-1.401528E-2</v>
      </c>
      <c r="O3267">
        <v>-0.90034259999999999</v>
      </c>
      <c r="P3267">
        <v>0.68084979999999995</v>
      </c>
      <c r="Q3267">
        <v>0.32777299999999998</v>
      </c>
      <c r="R3267">
        <v>-0.65498789999999996</v>
      </c>
      <c r="S3267">
        <v>2.466675</v>
      </c>
      <c r="T3267">
        <v>-0.34280090000000002</v>
      </c>
      <c r="U3267">
        <v>-2.1882169999999999</v>
      </c>
      <c r="V3267">
        <v>-0.32943159999999999</v>
      </c>
      <c r="W3267">
        <v>0.33890569999999998</v>
      </c>
      <c r="X3267">
        <v>0.88125919999999902</v>
      </c>
      <c r="Y3267">
        <v>-0.38129980000000002</v>
      </c>
      <c r="Z3267">
        <v>9.0738509999999994E-2</v>
      </c>
      <c r="AA3267">
        <v>0.91998749999999996</v>
      </c>
      <c r="AB3267">
        <v>15</v>
      </c>
      <c r="AC3267">
        <v>7.9365999999999399</v>
      </c>
      <c r="AD3267">
        <v>-1.1123742433420001</v>
      </c>
      <c r="AE3267">
        <v>-6.9697000000000102</v>
      </c>
      <c r="AF3267">
        <v>-4.0694133246608297</v>
      </c>
      <c r="AG3267">
        <v>-1.1123742433420001</v>
      </c>
      <c r="AH3267">
        <v>9.6214359873173994</v>
      </c>
      <c r="AI3267">
        <v>96.078043559261701</v>
      </c>
      <c r="AJ3267">
        <v>112.926068309031</v>
      </c>
      <c r="AK3267">
        <v>10.5056904448124</v>
      </c>
      <c r="AL3267">
        <v>70.189782884291802</v>
      </c>
      <c r="AM3267">
        <v>110.496707837787</v>
      </c>
      <c r="AN3267">
        <v>1.0000000150778401</v>
      </c>
    </row>
    <row r="3268" spans="1:40" x14ac:dyDescent="0.25">
      <c r="A3268" t="str">
        <f>"20190304164152970"</f>
        <v>20190304164152970</v>
      </c>
      <c r="B3268" t="str">
        <f>"1551688912954678"</f>
        <v>1551688912954678</v>
      </c>
      <c r="C3268" t="s">
        <v>40</v>
      </c>
      <c r="D3268">
        <v>4.2558170000000004</v>
      </c>
      <c r="E3268">
        <v>0.47654469999999999</v>
      </c>
      <c r="F3268" t="s">
        <v>45</v>
      </c>
      <c r="G3268">
        <v>-482.22390000000001</v>
      </c>
      <c r="H3268" s="1">
        <v>2.736615E-6</v>
      </c>
      <c r="I3268">
        <v>222.21019999999999</v>
      </c>
      <c r="J3268">
        <v>-490.10390000000001</v>
      </c>
      <c r="K3268">
        <v>1.1122069999999999</v>
      </c>
      <c r="L3268">
        <v>229.11089999999999</v>
      </c>
      <c r="M3268">
        <v>0.4389518</v>
      </c>
      <c r="N3268">
        <v>-1.3988449999999999E-2</v>
      </c>
      <c r="O3268">
        <v>-0.89840169999999997</v>
      </c>
      <c r="P3268">
        <v>0.68276749999999997</v>
      </c>
      <c r="Q3268">
        <v>0.32783630000000002</v>
      </c>
      <c r="R3268">
        <v>-0.65295649999999905</v>
      </c>
      <c r="S3268">
        <v>2.4690249999999998</v>
      </c>
      <c r="T3268">
        <v>-0.34522459999999899</v>
      </c>
      <c r="U3268">
        <v>-2.1864469999999998</v>
      </c>
      <c r="V3268">
        <v>-0.32796700000000001</v>
      </c>
      <c r="W3268">
        <v>0.3390937</v>
      </c>
      <c r="X3268">
        <v>0.88173310000000005</v>
      </c>
      <c r="Y3268">
        <v>-0.37795469999999998</v>
      </c>
      <c r="Z3268">
        <v>9.127979E-2</v>
      </c>
      <c r="AA3268">
        <v>0.9213133</v>
      </c>
      <c r="AB3268">
        <v>15</v>
      </c>
      <c r="AC3268">
        <v>7.8799999999999901</v>
      </c>
      <c r="AD3268">
        <v>-1.112204263385</v>
      </c>
      <c r="AE3268">
        <v>-6.9006999999999996</v>
      </c>
      <c r="AF3268">
        <v>-4.0055653604531001</v>
      </c>
      <c r="AG3268">
        <v>-1.112204263385</v>
      </c>
      <c r="AH3268">
        <v>9.5517919928616699</v>
      </c>
      <c r="AI3268">
        <v>96.128924742576402</v>
      </c>
      <c r="AJ3268">
        <v>112.75084967633001</v>
      </c>
      <c r="AK3268">
        <v>10.417210876969399</v>
      </c>
      <c r="AL3268">
        <v>70.178334546817695</v>
      </c>
      <c r="AM3268">
        <v>110.40304827838099</v>
      </c>
      <c r="AN3268">
        <v>1.0000000750521401</v>
      </c>
    </row>
    <row r="3269" spans="1:40" x14ac:dyDescent="0.25">
      <c r="A3269" t="str">
        <f>"20190304164152992"</f>
        <v>20190304164152992</v>
      </c>
      <c r="B3269" t="str">
        <f>"1551688912983960"</f>
        <v>1551688912983960</v>
      </c>
      <c r="C3269" t="s">
        <v>40</v>
      </c>
      <c r="D3269">
        <v>4.2660640000000001</v>
      </c>
      <c r="E3269">
        <v>0.47818270000000002</v>
      </c>
      <c r="F3269" t="s">
        <v>45</v>
      </c>
      <c r="G3269">
        <v>-482.15559999999999</v>
      </c>
      <c r="H3269" s="1">
        <v>2.6967170000000002E-6</v>
      </c>
      <c r="I3269">
        <v>222.08459999999999</v>
      </c>
      <c r="J3269">
        <v>-490.0333</v>
      </c>
      <c r="K3269">
        <v>1.1120840000000001</v>
      </c>
      <c r="L3269">
        <v>228.977</v>
      </c>
      <c r="M3269">
        <v>0.44243080000000001</v>
      </c>
      <c r="N3269">
        <v>-1.396473E-2</v>
      </c>
      <c r="O3269">
        <v>-0.89669379999999999</v>
      </c>
      <c r="P3269">
        <v>0.68379409999999996</v>
      </c>
      <c r="Q3269">
        <v>0.3284879</v>
      </c>
      <c r="R3269">
        <v>-0.65155339999999995</v>
      </c>
      <c r="S3269">
        <v>2.4709469999999998</v>
      </c>
      <c r="T3269">
        <v>-0.345759599999999</v>
      </c>
      <c r="U3269">
        <v>-2.1843409999999999</v>
      </c>
      <c r="V3269">
        <v>-0.32596829999999999</v>
      </c>
      <c r="W3269">
        <v>0.33983639999999998</v>
      </c>
      <c r="X3269">
        <v>0.88218809999999903</v>
      </c>
      <c r="Y3269">
        <v>-0.3751603</v>
      </c>
      <c r="Z3269">
        <v>9.1300249999999999E-2</v>
      </c>
      <c r="AA3269">
        <v>0.92245270000000001</v>
      </c>
      <c r="AB3269">
        <v>15</v>
      </c>
      <c r="AC3269">
        <v>7.8776999999999999</v>
      </c>
      <c r="AD3269">
        <v>-1.1120813032829999</v>
      </c>
      <c r="AE3269">
        <v>-6.8924000000000003</v>
      </c>
      <c r="AF3269">
        <v>-3.9700535859697799</v>
      </c>
      <c r="AG3269">
        <v>-1.1120813032829999</v>
      </c>
      <c r="AH3269">
        <v>9.5587560886507106</v>
      </c>
      <c r="AI3269">
        <v>96.132512380920303</v>
      </c>
      <c r="AJ3269">
        <v>112.55465665888499</v>
      </c>
      <c r="AK3269">
        <v>10.4099888694897</v>
      </c>
      <c r="AL3269">
        <v>70.133092544885997</v>
      </c>
      <c r="AM3269">
        <v>110.279259763529</v>
      </c>
      <c r="AN3269">
        <v>0.999999977575729</v>
      </c>
    </row>
    <row r="3270" spans="1:40" x14ac:dyDescent="0.25">
      <c r="A3270" t="str">
        <f>"20190304164153015"</f>
        <v>20190304164153015</v>
      </c>
      <c r="B3270" t="str">
        <f>"1551688913004454"</f>
        <v>1551688913004454</v>
      </c>
      <c r="C3270" t="s">
        <v>40</v>
      </c>
      <c r="D3270">
        <v>4.2528600000000001</v>
      </c>
      <c r="E3270">
        <v>0.47913080000000002</v>
      </c>
      <c r="F3270" t="s">
        <v>45</v>
      </c>
      <c r="G3270">
        <v>-482.06819999999999</v>
      </c>
      <c r="H3270" s="1">
        <v>2.6442079999999998E-6</v>
      </c>
      <c r="I3270">
        <v>221.91720000000001</v>
      </c>
      <c r="J3270">
        <v>-489.96370000000002</v>
      </c>
      <c r="K3270">
        <v>1.1119859999999999</v>
      </c>
      <c r="L3270">
        <v>228.84559999999999</v>
      </c>
      <c r="M3270">
        <v>0.44563229999999998</v>
      </c>
      <c r="N3270">
        <v>-1.394285E-2</v>
      </c>
      <c r="O3270">
        <v>-0.895107599999999</v>
      </c>
      <c r="P3270">
        <v>0.68456549999999905</v>
      </c>
      <c r="Q3270">
        <v>0.32883420000000002</v>
      </c>
      <c r="R3270">
        <v>-0.65056819999999904</v>
      </c>
      <c r="S3270">
        <v>2.4682919999999999</v>
      </c>
      <c r="T3270">
        <v>-0.34462209999999899</v>
      </c>
      <c r="U3270">
        <v>-2.1877749999999998</v>
      </c>
      <c r="V3270">
        <v>-0.3238491</v>
      </c>
      <c r="W3270">
        <v>0.3402539</v>
      </c>
      <c r="X3270">
        <v>0.88280749999999997</v>
      </c>
      <c r="Y3270">
        <v>-0.370674</v>
      </c>
      <c r="Z3270">
        <v>9.0773409999999999E-2</v>
      </c>
      <c r="AA3270">
        <v>0.92431649999999999</v>
      </c>
      <c r="AB3270">
        <v>15</v>
      </c>
      <c r="AC3270">
        <v>7.8955000000000197</v>
      </c>
      <c r="AD3270">
        <v>-1.111983355792</v>
      </c>
      <c r="AE3270">
        <v>-6.9283999999999804</v>
      </c>
      <c r="AF3270">
        <v>-3.9360814107091202</v>
      </c>
      <c r="AG3270">
        <v>-1.111983355792</v>
      </c>
      <c r="AH3270">
        <v>9.6133684500364591</v>
      </c>
      <c r="AI3270">
        <v>96.109986581362094</v>
      </c>
      <c r="AJ3270">
        <v>112.26607301017199</v>
      </c>
      <c r="AK3270">
        <v>10.447300934281699</v>
      </c>
      <c r="AL3270">
        <v>70.107656614913495</v>
      </c>
      <c r="AM3270">
        <v>110.145057050265</v>
      </c>
      <c r="AN3270">
        <v>1.00000001904613</v>
      </c>
    </row>
    <row r="3271" spans="1:40" x14ac:dyDescent="0.25">
      <c r="A3271" t="str">
        <f>"20190304164153035"</f>
        <v>20190304164153035</v>
      </c>
      <c r="B3271" t="str">
        <f>"1551688913023973"</f>
        <v>1551688913023973</v>
      </c>
      <c r="C3271" t="s">
        <v>40</v>
      </c>
      <c r="D3271">
        <v>4.6061519999999998</v>
      </c>
      <c r="E3271">
        <v>0.48006290000000001</v>
      </c>
      <c r="F3271" t="s">
        <v>45</v>
      </c>
      <c r="G3271">
        <v>-481.97620000000001</v>
      </c>
      <c r="H3271" s="1">
        <v>2.5952350000000001E-6</v>
      </c>
      <c r="I3271">
        <v>221.76949999999999</v>
      </c>
      <c r="J3271">
        <v>-489.8963</v>
      </c>
      <c r="K3271">
        <v>1.1119129999999999</v>
      </c>
      <c r="L3271">
        <v>228.7191</v>
      </c>
      <c r="M3271">
        <v>0.44853169999999998</v>
      </c>
      <c r="N3271">
        <v>-1.392321E-2</v>
      </c>
      <c r="O3271">
        <v>-0.89365830000000002</v>
      </c>
      <c r="P3271">
        <v>0.68474579999999996</v>
      </c>
      <c r="Q3271">
        <v>0.33012459999999999</v>
      </c>
      <c r="R3271">
        <v>-0.64972350000000001</v>
      </c>
      <c r="S3271">
        <v>2.4689329999999998</v>
      </c>
      <c r="T3271">
        <v>-0.34371410000000002</v>
      </c>
      <c r="U3271">
        <v>-2.1872250000000002</v>
      </c>
      <c r="V3271">
        <v>-0.32145259999999998</v>
      </c>
      <c r="W3271">
        <v>0.34159640000000002</v>
      </c>
      <c r="X3271">
        <v>0.88316479999999997</v>
      </c>
      <c r="Y3271">
        <v>-0.36792710000000001</v>
      </c>
      <c r="Z3271">
        <v>9.0374029999999994E-2</v>
      </c>
      <c r="AA3271">
        <v>0.92545239999999995</v>
      </c>
      <c r="AB3271">
        <v>15</v>
      </c>
      <c r="AC3271">
        <v>7.9200999999999899</v>
      </c>
      <c r="AD3271">
        <v>-1.1119104047649999</v>
      </c>
      <c r="AE3271">
        <v>-6.9496000000000002</v>
      </c>
      <c r="AF3271">
        <v>-3.9175074126973302</v>
      </c>
      <c r="AG3271">
        <v>-1.1119104047649999</v>
      </c>
      <c r="AH3271">
        <v>9.6564003832330894</v>
      </c>
      <c r="AI3271">
        <v>96.090480459339901</v>
      </c>
      <c r="AJ3271">
        <v>112.081914499785</v>
      </c>
      <c r="AK3271">
        <v>10.479946442518999</v>
      </c>
      <c r="AL3271">
        <v>70.025834097882594</v>
      </c>
      <c r="AM3271">
        <v>110.00039532466</v>
      </c>
      <c r="AN3271">
        <v>0.99999996924937895</v>
      </c>
    </row>
    <row r="3272" spans="1:40" x14ac:dyDescent="0.25">
      <c r="A3272" t="str">
        <f>"20190304164153058"</f>
        <v>20190304164153058</v>
      </c>
      <c r="B3272" t="str">
        <f>"1551688913044470"</f>
        <v>1551688913044470</v>
      </c>
      <c r="C3272" t="s">
        <v>40</v>
      </c>
      <c r="D3272">
        <v>4.2624690000000003</v>
      </c>
      <c r="E3272">
        <v>0.4807691</v>
      </c>
      <c r="F3272" t="s">
        <v>45</v>
      </c>
      <c r="G3272">
        <v>-481.79849999999999</v>
      </c>
      <c r="H3272" s="1">
        <v>2.5138139999999999E-6</v>
      </c>
      <c r="I3272">
        <v>221.5438</v>
      </c>
      <c r="J3272">
        <v>-489.8261</v>
      </c>
      <c r="K3272">
        <v>1.1118600000000001</v>
      </c>
      <c r="L3272">
        <v>228.58789999999999</v>
      </c>
      <c r="M3272">
        <v>0.45138719999999999</v>
      </c>
      <c r="N3272">
        <v>-1.3904649999999999E-2</v>
      </c>
      <c r="O3272">
        <v>-0.89222000000000001</v>
      </c>
      <c r="P3272">
        <v>0.68498729999999997</v>
      </c>
      <c r="Q3272">
        <v>0.33178970000000002</v>
      </c>
      <c r="R3272">
        <v>-0.64862019999999998</v>
      </c>
      <c r="S3272">
        <v>2.4688720000000002</v>
      </c>
      <c r="T3272">
        <v>-0.33900269999999999</v>
      </c>
      <c r="U3272">
        <v>-2.1876220000000002</v>
      </c>
      <c r="V3272">
        <v>-0.31927820000000001</v>
      </c>
      <c r="W3272">
        <v>0.34330110000000003</v>
      </c>
      <c r="X3272">
        <v>0.88329259999999998</v>
      </c>
      <c r="Y3272">
        <v>-0.3649734</v>
      </c>
      <c r="Z3272">
        <v>8.8851180000000002E-2</v>
      </c>
      <c r="AA3272">
        <v>0.9267685</v>
      </c>
      <c r="AB3272">
        <v>15</v>
      </c>
      <c r="AC3272">
        <v>8.0275999999999996</v>
      </c>
      <c r="AD3272">
        <v>-1.111857486186</v>
      </c>
      <c r="AE3272">
        <v>-7.0440999999999798</v>
      </c>
      <c r="AF3272">
        <v>-3.9404457637636501</v>
      </c>
      <c r="AG3272">
        <v>-1.111857486186</v>
      </c>
      <c r="AH3272">
        <v>9.8031506190186697</v>
      </c>
      <c r="AI3272">
        <v>96.007419167146693</v>
      </c>
      <c r="AJ3272">
        <v>111.89800991588901</v>
      </c>
      <c r="AK3272">
        <v>10.623798847207</v>
      </c>
      <c r="AL3272">
        <v>69.921877283258596</v>
      </c>
      <c r="AM3272">
        <v>109.873083105522</v>
      </c>
      <c r="AN3272">
        <v>1.0000000157355999</v>
      </c>
    </row>
    <row r="3273" spans="1:40" x14ac:dyDescent="0.25">
      <c r="A3273" t="str">
        <f>"20190304164153080"</f>
        <v>20190304164153080</v>
      </c>
      <c r="B3273" t="str">
        <f>"1551688913073750"</f>
        <v>1551688913073750</v>
      </c>
      <c r="C3273" t="s">
        <v>40</v>
      </c>
      <c r="D3273">
        <v>4.2631009999999998</v>
      </c>
      <c r="E3273">
        <v>0.48033680000000001</v>
      </c>
      <c r="F3273" t="s">
        <v>45</v>
      </c>
      <c r="G3273">
        <v>-481.57940000000002</v>
      </c>
      <c r="H3273" s="1">
        <v>2.4191950000000001E-6</v>
      </c>
      <c r="I3273">
        <v>221.29159999999999</v>
      </c>
      <c r="J3273">
        <v>-489.75439999999998</v>
      </c>
      <c r="K3273">
        <v>1.111834</v>
      </c>
      <c r="L3273">
        <v>228.4546</v>
      </c>
      <c r="M3273">
        <v>0.45418219999999998</v>
      </c>
      <c r="N3273">
        <v>-1.388817E-2</v>
      </c>
      <c r="O3273">
        <v>-0.89080079999999995</v>
      </c>
      <c r="P3273">
        <v>0.68513299999999999</v>
      </c>
      <c r="Q3273">
        <v>0.33499830000000003</v>
      </c>
      <c r="R3273">
        <v>-0.64681480000000002</v>
      </c>
      <c r="S3273">
        <v>2.470917</v>
      </c>
      <c r="T3273">
        <v>-0.33313920000000002</v>
      </c>
      <c r="U3273">
        <v>-2.1861570000000001</v>
      </c>
      <c r="V3273">
        <v>-0.31741079999999999</v>
      </c>
      <c r="W3273">
        <v>0.34652769999999999</v>
      </c>
      <c r="X3273">
        <v>0.88270550000000003</v>
      </c>
      <c r="Y3273">
        <v>-0.3628807</v>
      </c>
      <c r="Z3273">
        <v>8.7008329999999995E-2</v>
      </c>
      <c r="AA3273">
        <v>0.92776460000000005</v>
      </c>
      <c r="AB3273">
        <v>15</v>
      </c>
      <c r="AC3273">
        <v>8.1749999999999492</v>
      </c>
      <c r="AD3273">
        <v>-1.1118315808050001</v>
      </c>
      <c r="AE3273">
        <v>-7.16300000000001</v>
      </c>
      <c r="AF3273">
        <v>-3.9876517455560898</v>
      </c>
      <c r="AG3273">
        <v>-1.1118315808050001</v>
      </c>
      <c r="AH3273">
        <v>9.9901831235534697</v>
      </c>
      <c r="AI3273">
        <v>95.901274496555203</v>
      </c>
      <c r="AJ3273">
        <v>111.75976025124901</v>
      </c>
      <c r="AK3273">
        <v>10.8139398347708</v>
      </c>
      <c r="AL3273">
        <v>69.724920482627198</v>
      </c>
      <c r="AM3273">
        <v>109.778004503246</v>
      </c>
      <c r="AN3273">
        <v>1.00000003127708</v>
      </c>
    </row>
    <row r="3274" spans="1:40" x14ac:dyDescent="0.25">
      <c r="A3274" t="str">
        <f>"20190304164153103"</f>
        <v>20190304164153103</v>
      </c>
      <c r="B3274" t="str">
        <f>"1551688913094246"</f>
        <v>1551688913094246</v>
      </c>
      <c r="C3274" t="s">
        <v>40</v>
      </c>
      <c r="D3274">
        <v>4.224774</v>
      </c>
      <c r="E3274">
        <v>0.47969689999999998</v>
      </c>
      <c r="F3274" t="s">
        <v>45</v>
      </c>
      <c r="G3274">
        <v>-481.02269999999999</v>
      </c>
      <c r="H3274" s="1">
        <v>2.2100180000000001E-6</v>
      </c>
      <c r="I3274">
        <v>220.7921</v>
      </c>
      <c r="J3274">
        <v>-489.6832</v>
      </c>
      <c r="K3274">
        <v>1.111837</v>
      </c>
      <c r="L3274">
        <v>228.32300000000001</v>
      </c>
      <c r="M3274">
        <v>0.45687539999999999</v>
      </c>
      <c r="N3274">
        <v>-1.387467E-2</v>
      </c>
      <c r="O3274">
        <v>-0.88942279999999996</v>
      </c>
      <c r="P3274">
        <v>0.68465019999999999</v>
      </c>
      <c r="Q3274">
        <v>0.33989039999999998</v>
      </c>
      <c r="R3274">
        <v>-0.64477059999999997</v>
      </c>
      <c r="S3274">
        <v>2.479187</v>
      </c>
      <c r="T3274">
        <v>-0.31568220000000002</v>
      </c>
      <c r="U3274">
        <v>-2.1755979999999999</v>
      </c>
      <c r="V3274">
        <v>-0.31522129999999998</v>
      </c>
      <c r="W3274">
        <v>0.35141499999999998</v>
      </c>
      <c r="X3274">
        <v>0.88155720000000004</v>
      </c>
      <c r="Y3274">
        <v>-0.36419489999999999</v>
      </c>
      <c r="Z3274">
        <v>8.1913219999999995E-2</v>
      </c>
      <c r="AA3274">
        <v>0.92771349999999997</v>
      </c>
      <c r="AB3274">
        <v>15</v>
      </c>
      <c r="AC3274">
        <v>8.6605000000000096</v>
      </c>
      <c r="AD3274">
        <v>-1.111834789982</v>
      </c>
      <c r="AE3274">
        <v>-7.5308999999999697</v>
      </c>
      <c r="AF3274">
        <v>-4.2229401533827202</v>
      </c>
      <c r="AG3274">
        <v>-1.111834789982</v>
      </c>
      <c r="AH3274">
        <v>10.556870384104799</v>
      </c>
      <c r="AI3274">
        <v>95.584926363704795</v>
      </c>
      <c r="AJ3274">
        <v>111.802307798706</v>
      </c>
      <c r="AK3274">
        <v>11.424399872468401</v>
      </c>
      <c r="AL3274">
        <v>69.426113440777101</v>
      </c>
      <c r="AM3274">
        <v>109.675692764216</v>
      </c>
      <c r="AN3274">
        <v>1.0000000335352599</v>
      </c>
    </row>
    <row r="3275" spans="1:40" x14ac:dyDescent="0.25">
      <c r="A3275" t="str">
        <f>"20190304164153125"</f>
        <v>20190304164153125</v>
      </c>
      <c r="B3275" t="str">
        <f>"1551688913113766"</f>
        <v>1551688913113766</v>
      </c>
      <c r="C3275" t="s">
        <v>40</v>
      </c>
      <c r="D3275">
        <v>4.447756</v>
      </c>
      <c r="E3275">
        <v>0.47925790000000001</v>
      </c>
      <c r="F3275" t="s">
        <v>45</v>
      </c>
      <c r="G3275">
        <v>-480.27170000000001</v>
      </c>
      <c r="H3275" s="1">
        <v>1.9321160000000001E-6</v>
      </c>
      <c r="I3275">
        <v>220.1377</v>
      </c>
      <c r="J3275">
        <v>-489.61059999999998</v>
      </c>
      <c r="K3275">
        <v>1.111858</v>
      </c>
      <c r="L3275">
        <v>228.18950000000001</v>
      </c>
      <c r="M3275">
        <v>0.45957710000000002</v>
      </c>
      <c r="N3275">
        <v>-1.3864319999999999E-2</v>
      </c>
      <c r="O3275">
        <v>-0.88802959999999997</v>
      </c>
      <c r="P3275">
        <v>0.68415380000000003</v>
      </c>
      <c r="Q3275">
        <v>0.34359450000000002</v>
      </c>
      <c r="R3275">
        <v>-0.64333229999999997</v>
      </c>
      <c r="S3275">
        <v>2.4890750000000001</v>
      </c>
      <c r="T3275">
        <v>-0.29404829999999998</v>
      </c>
      <c r="U3275">
        <v>-2.1647799999999999</v>
      </c>
      <c r="V3275">
        <v>-0.31276039999999999</v>
      </c>
      <c r="W3275">
        <v>0.35510239999999998</v>
      </c>
      <c r="X3275">
        <v>0.88095590000000001</v>
      </c>
      <c r="Y3275">
        <v>-0.36591380000000001</v>
      </c>
      <c r="Z3275">
        <v>7.5569979999999995E-2</v>
      </c>
      <c r="AA3275">
        <v>0.9275755</v>
      </c>
      <c r="AB3275">
        <v>15</v>
      </c>
      <c r="AC3275">
        <v>9.3388999999999598</v>
      </c>
      <c r="AD3275">
        <v>-1.1118560678839999</v>
      </c>
      <c r="AE3275">
        <v>-8.0518000000000107</v>
      </c>
      <c r="AF3275">
        <v>-4.5561940199884203</v>
      </c>
      <c r="AG3275">
        <v>-1.1118560678839999</v>
      </c>
      <c r="AH3275">
        <v>11.350991791999199</v>
      </c>
      <c r="AI3275">
        <v>95.194069341453897</v>
      </c>
      <c r="AJ3275">
        <v>111.87011715470101</v>
      </c>
      <c r="AK3275">
        <v>12.2816994966292</v>
      </c>
      <c r="AL3275">
        <v>69.200280502260597</v>
      </c>
      <c r="AM3275">
        <v>109.54607846423301</v>
      </c>
      <c r="AN3275">
        <v>1.00000004001936</v>
      </c>
    </row>
    <row r="3276" spans="1:40" x14ac:dyDescent="0.25">
      <c r="A3276" t="str">
        <f>"20190304164153146"</f>
        <v>20190304164153146</v>
      </c>
      <c r="B3276" t="str">
        <f>"1551688913134262"</f>
        <v>1551688913134262</v>
      </c>
      <c r="C3276" t="s">
        <v>40</v>
      </c>
      <c r="D3276">
        <v>4.1870289999999999</v>
      </c>
      <c r="E3276">
        <v>0.47898039999999997</v>
      </c>
      <c r="F3276" t="s">
        <v>45</v>
      </c>
      <c r="G3276">
        <v>-479.6037</v>
      </c>
      <c r="H3276" s="1">
        <v>1.9152619999999999E-6</v>
      </c>
      <c r="I3276">
        <v>219.55019999999999</v>
      </c>
      <c r="J3276">
        <v>-489.54259999999999</v>
      </c>
      <c r="K3276">
        <v>1.1118969999999999</v>
      </c>
      <c r="L3276">
        <v>228.06549999999999</v>
      </c>
      <c r="M3276">
        <v>0.46208080000000001</v>
      </c>
      <c r="N3276">
        <v>-1.3857080000000001E-2</v>
      </c>
      <c r="O3276">
        <v>-0.88672949999999995</v>
      </c>
      <c r="P3276">
        <v>0.68318380000000001</v>
      </c>
      <c r="Q3276">
        <v>0.34671160000000001</v>
      </c>
      <c r="R3276">
        <v>-0.64269019999999899</v>
      </c>
      <c r="S3276">
        <v>2.4971619999999999</v>
      </c>
      <c r="T3276">
        <v>-0.27745839999999999</v>
      </c>
      <c r="U3276">
        <v>-2.1558839999999999</v>
      </c>
      <c r="V3276">
        <v>-0.30972909999999998</v>
      </c>
      <c r="W3276">
        <v>0.35819630000000002</v>
      </c>
      <c r="X3276">
        <v>0.88077430000000001</v>
      </c>
      <c r="Y3276">
        <v>-0.36697639999999998</v>
      </c>
      <c r="Z3276">
        <v>7.0688619999999994E-2</v>
      </c>
      <c r="AA3276">
        <v>0.92754049999999999</v>
      </c>
      <c r="AB3276">
        <v>15</v>
      </c>
      <c r="AC3276">
        <v>9.9388999999999896</v>
      </c>
      <c r="AD3276">
        <v>-1.11189508473799</v>
      </c>
      <c r="AE3276">
        <v>-8.5152999999999892</v>
      </c>
      <c r="AF3276">
        <v>-4.8438669957716698</v>
      </c>
      <c r="AG3276">
        <v>-1.11189508473799</v>
      </c>
      <c r="AH3276">
        <v>12.0574836759875</v>
      </c>
      <c r="AI3276">
        <v>94.890851407520401</v>
      </c>
      <c r="AJ3276">
        <v>111.886865821942</v>
      </c>
      <c r="AK3276">
        <v>13.041559367993401</v>
      </c>
      <c r="AL3276">
        <v>69.010534913437795</v>
      </c>
      <c r="AM3276">
        <v>109.374502711047</v>
      </c>
      <c r="AN3276">
        <v>1.0000000361304899</v>
      </c>
    </row>
    <row r="3277" spans="1:40" x14ac:dyDescent="0.25">
      <c r="A3277" t="str">
        <f>"20190304164153170"</f>
        <v>20190304164153170</v>
      </c>
      <c r="B3277" t="str">
        <f>"1551688913164518"</f>
        <v>1551688913164518</v>
      </c>
      <c r="C3277" t="s">
        <v>40</v>
      </c>
      <c r="D3277">
        <v>4.1507509999999996</v>
      </c>
      <c r="E3277">
        <v>0.47861229999999999</v>
      </c>
      <c r="F3277" t="s">
        <v>45</v>
      </c>
      <c r="G3277">
        <v>-478.98450000000003</v>
      </c>
      <c r="H3277" s="1">
        <v>2.1654399999999999E-6</v>
      </c>
      <c r="I3277">
        <v>218.99119999999999</v>
      </c>
      <c r="J3277">
        <v>-489.46719999999999</v>
      </c>
      <c r="K3277">
        <v>1.1119509999999999</v>
      </c>
      <c r="L3277">
        <v>227.9288</v>
      </c>
      <c r="M3277">
        <v>0.46485399999999999</v>
      </c>
      <c r="N3277">
        <v>-1.38494E-2</v>
      </c>
      <c r="O3277">
        <v>-0.88527919999999904</v>
      </c>
      <c r="P3277">
        <v>0.68342720000000001</v>
      </c>
      <c r="Q3277">
        <v>0.34783720000000001</v>
      </c>
      <c r="R3277">
        <v>-0.64182340000000004</v>
      </c>
      <c r="S3277">
        <v>2.502075</v>
      </c>
      <c r="T3277">
        <v>-0.2634977</v>
      </c>
      <c r="U3277">
        <v>-2.1504210000000001</v>
      </c>
      <c r="V3277">
        <v>-0.30761949999999999</v>
      </c>
      <c r="W3277">
        <v>0.3592881</v>
      </c>
      <c r="X3277">
        <v>0.88106890000000004</v>
      </c>
      <c r="Y3277">
        <v>-0.36637799999999998</v>
      </c>
      <c r="Z3277">
        <v>6.6537540000000006E-2</v>
      </c>
      <c r="AA3277">
        <v>0.92808400000000002</v>
      </c>
      <c r="AB3277">
        <v>15</v>
      </c>
      <c r="AC3277">
        <v>10.4826999999999</v>
      </c>
      <c r="AD3277">
        <v>-1.1119488345599999</v>
      </c>
      <c r="AE3277">
        <v>-8.9375999999999998</v>
      </c>
      <c r="AF3277">
        <v>-5.0927462261558398</v>
      </c>
      <c r="AG3277">
        <v>-1.1119488345599999</v>
      </c>
      <c r="AH3277">
        <v>12.703650188313</v>
      </c>
      <c r="AI3277">
        <v>94.644767061524504</v>
      </c>
      <c r="AJ3277">
        <v>111.84527758947701</v>
      </c>
      <c r="AK3277">
        <v>13.7315411531892</v>
      </c>
      <c r="AL3277">
        <v>68.943518876328298</v>
      </c>
      <c r="AM3277">
        <v>109.246317399475</v>
      </c>
      <c r="AN3277">
        <v>1.0000000510645299</v>
      </c>
    </row>
    <row r="3278" spans="1:40" x14ac:dyDescent="0.25">
      <c r="A3278" t="str">
        <f>"20190304164153193"</f>
        <v>20190304164153193</v>
      </c>
      <c r="B3278" t="str">
        <f>"1551688913184037"</f>
        <v>1551688913184037</v>
      </c>
      <c r="C3278" t="s">
        <v>40</v>
      </c>
      <c r="D3278">
        <v>4.1368460000000002</v>
      </c>
      <c r="E3278">
        <v>0.47823860000000001</v>
      </c>
      <c r="F3278" t="s">
        <v>45</v>
      </c>
      <c r="G3278">
        <v>-478.66109999999998</v>
      </c>
      <c r="H3278" s="1">
        <v>2.2955470000000001E-6</v>
      </c>
      <c r="I3278">
        <v>218.6874</v>
      </c>
      <c r="J3278">
        <v>-489.38909999999998</v>
      </c>
      <c r="K3278">
        <v>1.1120030000000001</v>
      </c>
      <c r="L3278">
        <v>227.7885</v>
      </c>
      <c r="M3278">
        <v>0.46773740000000003</v>
      </c>
      <c r="N3278">
        <v>-1.38288E-2</v>
      </c>
      <c r="O3278">
        <v>-0.88375949999999903</v>
      </c>
      <c r="P3278">
        <v>0.68472540000000004</v>
      </c>
      <c r="Q3278">
        <v>0.34754699999999999</v>
      </c>
      <c r="R3278">
        <v>-0.64059569999999999</v>
      </c>
      <c r="S3278">
        <v>2.507263</v>
      </c>
      <c r="T3278">
        <v>-0.25799759999999999</v>
      </c>
      <c r="U3278">
        <v>-2.1442260000000002</v>
      </c>
      <c r="V3278">
        <v>-0.30649860000000001</v>
      </c>
      <c r="W3278">
        <v>0.35894939999999997</v>
      </c>
      <c r="X3278">
        <v>0.88159730000000003</v>
      </c>
      <c r="Y3278">
        <v>-0.36571330000000002</v>
      </c>
      <c r="Z3278">
        <v>6.4881530000000007E-2</v>
      </c>
      <c r="AA3278">
        <v>0.92846329999999999</v>
      </c>
      <c r="AB3278">
        <v>15</v>
      </c>
      <c r="AC3278">
        <v>10.728</v>
      </c>
      <c r="AD3278">
        <v>-1.112000704453</v>
      </c>
      <c r="AE3278">
        <v>-9.1011000000000006</v>
      </c>
      <c r="AF3278">
        <v>-5.1921069490011398</v>
      </c>
      <c r="AG3278">
        <v>-1.112000704453</v>
      </c>
      <c r="AH3278">
        <v>12.981214297833001</v>
      </c>
      <c r="AI3278">
        <v>94.547518415830794</v>
      </c>
      <c r="AJ3278">
        <v>111.79996826921</v>
      </c>
      <c r="AK3278">
        <v>14.025207477354201</v>
      </c>
      <c r="AL3278">
        <v>68.964309392684797</v>
      </c>
      <c r="AM3278">
        <v>109.170662489836</v>
      </c>
      <c r="AN3278">
        <v>0.99999993146480204</v>
      </c>
    </row>
    <row r="3279" spans="1:40" x14ac:dyDescent="0.25">
      <c r="A3279" t="str">
        <f>"20190304164153216"</f>
        <v>20190304164153216</v>
      </c>
      <c r="B3279" t="str">
        <f>"1551688913204534"</f>
        <v>1551688913204534</v>
      </c>
      <c r="C3279" t="s">
        <v>40</v>
      </c>
      <c r="D3279">
        <v>4.1307720000000003</v>
      </c>
      <c r="E3279">
        <v>0.4779796</v>
      </c>
      <c r="F3279" t="s">
        <v>45</v>
      </c>
      <c r="G3279">
        <v>-478.6447</v>
      </c>
      <c r="H3279" s="1">
        <v>2.3011610000000001E-6</v>
      </c>
      <c r="I3279">
        <v>218.64959999999999</v>
      </c>
      <c r="J3279">
        <v>-489.3177</v>
      </c>
      <c r="K3279">
        <v>1.112033</v>
      </c>
      <c r="L3279">
        <v>227.66130000000001</v>
      </c>
      <c r="M3279">
        <v>0.47039399999999998</v>
      </c>
      <c r="N3279">
        <v>-1.3780819999999999E-2</v>
      </c>
      <c r="O3279">
        <v>-0.88234880000000004</v>
      </c>
      <c r="P3279">
        <v>0.686231699999999</v>
      </c>
      <c r="Q3279">
        <v>0.3476014</v>
      </c>
      <c r="R3279">
        <v>-0.63895179999999996</v>
      </c>
      <c r="S3279">
        <v>2.5133359999999998</v>
      </c>
      <c r="T3279">
        <v>-0.26012020000000002</v>
      </c>
      <c r="U3279">
        <v>-2.137772</v>
      </c>
      <c r="V3279">
        <v>-0.30597529999999901</v>
      </c>
      <c r="W3279">
        <v>0.35892940000000001</v>
      </c>
      <c r="X3279">
        <v>0.88178729999999905</v>
      </c>
      <c r="Y3279">
        <v>-0.365371</v>
      </c>
      <c r="Z3279">
        <v>6.5477880000000002E-2</v>
      </c>
      <c r="AA3279">
        <v>0.9285563</v>
      </c>
      <c r="AB3279">
        <v>15</v>
      </c>
      <c r="AC3279">
        <v>10.673</v>
      </c>
      <c r="AD3279">
        <v>-1.1120306988390001</v>
      </c>
      <c r="AE3279">
        <v>-9.01170000000001</v>
      </c>
      <c r="AF3279">
        <v>-5.14613727617607</v>
      </c>
      <c r="AG3279">
        <v>-1.1120306988390001</v>
      </c>
      <c r="AH3279">
        <v>12.8915098711695</v>
      </c>
      <c r="AI3279">
        <v>94.580380707765002</v>
      </c>
      <c r="AJ3279">
        <v>111.761295943702</v>
      </c>
      <c r="AK3279">
        <v>13.9251703005338</v>
      </c>
      <c r="AL3279">
        <v>68.965539083200497</v>
      </c>
      <c r="AM3279">
        <v>109.13649040947899</v>
      </c>
      <c r="AN3279">
        <v>1.0000000204178601</v>
      </c>
    </row>
    <row r="3280" spans="1:40" x14ac:dyDescent="0.25">
      <c r="A3280" t="str">
        <f>"20190304164153247"</f>
        <v>20190304164153247</v>
      </c>
      <c r="B3280" t="str">
        <f>"1551688913234790"</f>
        <v>1551688913234790</v>
      </c>
      <c r="C3280" t="s">
        <v>40</v>
      </c>
      <c r="D3280">
        <v>4.1616739999999997</v>
      </c>
      <c r="E3280">
        <v>0.4258403</v>
      </c>
      <c r="F3280" t="s">
        <v>45</v>
      </c>
      <c r="G3280">
        <v>-478.60849999999999</v>
      </c>
      <c r="H3280" s="1">
        <v>2.3145309999999998E-6</v>
      </c>
      <c r="I3280">
        <v>218.58779999999999</v>
      </c>
      <c r="J3280">
        <v>-489.21629999999999</v>
      </c>
      <c r="K3280">
        <v>1.112042</v>
      </c>
      <c r="L3280">
        <v>227.48220000000001</v>
      </c>
      <c r="M3280">
        <v>0.47420760000000001</v>
      </c>
      <c r="N3280">
        <v>-1.363321E-2</v>
      </c>
      <c r="O3280">
        <v>-0.88030769999999903</v>
      </c>
      <c r="P3280">
        <v>0.69080509999999995</v>
      </c>
      <c r="Q3280">
        <v>0.34437040000000002</v>
      </c>
      <c r="R3280">
        <v>-0.63576540000000004</v>
      </c>
      <c r="S3280">
        <v>2.5178530000000001</v>
      </c>
      <c r="T3280">
        <v>-0.2614496</v>
      </c>
      <c r="U3280">
        <v>-2.133286</v>
      </c>
      <c r="V3280">
        <v>-0.30771300000000001</v>
      </c>
      <c r="W3280">
        <v>0.35553119999999999</v>
      </c>
      <c r="X3280">
        <v>0.88255890000000004</v>
      </c>
      <c r="Y3280">
        <v>-0.36310910000000002</v>
      </c>
      <c r="Z3280">
        <v>6.5849210000000005E-2</v>
      </c>
      <c r="AA3280">
        <v>0.92941680000000004</v>
      </c>
      <c r="AB3280">
        <v>15</v>
      </c>
      <c r="AC3280">
        <v>10.6077999999999</v>
      </c>
      <c r="AD3280">
        <v>-1.112039685469</v>
      </c>
      <c r="AE3280">
        <v>-8.8944000000000099</v>
      </c>
      <c r="AF3280">
        <v>-5.0879780356143698</v>
      </c>
      <c r="AG3280">
        <v>-1.112039685469</v>
      </c>
      <c r="AH3280">
        <v>12.778838873085</v>
      </c>
      <c r="AI3280">
        <v>94.622261839948905</v>
      </c>
      <c r="AJ3280">
        <v>111.710296874825</v>
      </c>
      <c r="AK3280">
        <v>13.799379540298901</v>
      </c>
      <c r="AL3280">
        <v>69.173995401272805</v>
      </c>
      <c r="AM3280">
        <v>109.2216208338</v>
      </c>
      <c r="AN3280">
        <v>0.99999996825582405</v>
      </c>
    </row>
    <row r="3281" spans="1:40" x14ac:dyDescent="0.25">
      <c r="A3281" t="str">
        <f>"20190304164153268"</f>
        <v>20190304164153268</v>
      </c>
      <c r="B3281" t="str">
        <f>"1551688913264070"</f>
        <v>1551688913264070</v>
      </c>
      <c r="C3281" t="s">
        <v>40</v>
      </c>
      <c r="D3281">
        <v>4.1171480000000003</v>
      </c>
      <c r="E3281">
        <v>0.3345069</v>
      </c>
      <c r="F3281" t="s">
        <v>41</v>
      </c>
      <c r="G3281">
        <v>-488.42399999999998</v>
      </c>
      <c r="H3281">
        <v>1.055763</v>
      </c>
      <c r="I3281">
        <v>226.9726</v>
      </c>
      <c r="J3281">
        <v>-489.14429999999999</v>
      </c>
      <c r="K3281">
        <v>1.1120270000000001</v>
      </c>
      <c r="L3281">
        <v>227.3563</v>
      </c>
      <c r="M3281">
        <v>0.47692580000000001</v>
      </c>
      <c r="N3281">
        <v>-1.346698E-2</v>
      </c>
      <c r="O3281">
        <v>-0.87884039999999997</v>
      </c>
      <c r="P3281">
        <v>0.69468200000000002</v>
      </c>
      <c r="Q3281">
        <v>0.3428407</v>
      </c>
      <c r="R3281">
        <v>-0.63235839999999999</v>
      </c>
      <c r="S3281">
        <v>2.790619</v>
      </c>
      <c r="T3281">
        <v>-0.1981388</v>
      </c>
      <c r="U3281">
        <v>-1.7938080000000001</v>
      </c>
      <c r="V3281">
        <v>-0.31002160000000001</v>
      </c>
      <c r="W3281">
        <v>0.353825</v>
      </c>
      <c r="X3281">
        <v>0.88243669999999996</v>
      </c>
      <c r="Y3281">
        <v>-0.48012779999999999</v>
      </c>
      <c r="Z3281">
        <v>4.9515669999999998E-2</v>
      </c>
      <c r="AA3281">
        <v>0.87579989999999996</v>
      </c>
      <c r="AB3281">
        <v>15</v>
      </c>
      <c r="AC3281">
        <v>0.72029999999995198</v>
      </c>
      <c r="AD3281">
        <v>-5.6264000000000002E-2</v>
      </c>
      <c r="AE3281">
        <v>-0.38370000000000398</v>
      </c>
      <c r="AF3281">
        <v>-0.44794413126961302</v>
      </c>
      <c r="AG3281">
        <v>-5.6264000000000002E-2</v>
      </c>
      <c r="AH3281">
        <v>0.67758203372530201</v>
      </c>
      <c r="AI3281">
        <v>93.962445978552196</v>
      </c>
      <c r="AJ3281">
        <v>123.468375858865</v>
      </c>
      <c r="AK3281">
        <v>0.81420942936213003</v>
      </c>
      <c r="AL3281">
        <v>69.2785520466701</v>
      </c>
      <c r="AM3281">
        <v>109.357622873534</v>
      </c>
      <c r="AN3281">
        <v>1.0000000262992199</v>
      </c>
    </row>
    <row r="3282" spans="1:40" x14ac:dyDescent="0.25">
      <c r="A3282" t="str">
        <f>"20190304164153292"</f>
        <v>20190304164153292</v>
      </c>
      <c r="B3282" t="str">
        <f>"1551688913284566"</f>
        <v>1551688913284566</v>
      </c>
      <c r="C3282" t="s">
        <v>40</v>
      </c>
      <c r="D3282">
        <v>4.0942610000000004</v>
      </c>
      <c r="E3282">
        <v>0.32894279999999998</v>
      </c>
      <c r="F3282" t="s">
        <v>46</v>
      </c>
      <c r="G3282">
        <v>-446.24829999999997</v>
      </c>
      <c r="H3282" s="1">
        <v>1.9263000000000001E-6</v>
      </c>
      <c r="I3282">
        <v>211.4579</v>
      </c>
      <c r="J3282">
        <v>-489.06709999999998</v>
      </c>
      <c r="K3282">
        <v>1.1119969999999999</v>
      </c>
      <c r="L3282">
        <v>227.22229999999999</v>
      </c>
      <c r="M3282">
        <v>0.47984250000000001</v>
      </c>
      <c r="N3282">
        <v>-1.325406E-2</v>
      </c>
      <c r="O3282">
        <v>-0.87725469999999905</v>
      </c>
      <c r="P3282">
        <v>0.69858529999999996</v>
      </c>
      <c r="Q3282">
        <v>0.34231080000000003</v>
      </c>
      <c r="R3282">
        <v>-0.62833289999999997</v>
      </c>
      <c r="S3282">
        <v>3.260284</v>
      </c>
      <c r="T3282">
        <v>-8.4518670000000004E-2</v>
      </c>
      <c r="U3282">
        <v>-1.2083440000000001</v>
      </c>
      <c r="V3282">
        <v>-0.31244139999999998</v>
      </c>
      <c r="W3282">
        <v>0.35307959999999999</v>
      </c>
      <c r="X3282">
        <v>0.88188159999999904</v>
      </c>
      <c r="Y3282">
        <v>-0.65563280000000002</v>
      </c>
      <c r="Z3282">
        <v>1.6427850000000001E-2</v>
      </c>
      <c r="AA3282">
        <v>0.75490119999999905</v>
      </c>
      <c r="AB3282">
        <v>15</v>
      </c>
      <c r="AC3282">
        <v>42.818800000000003</v>
      </c>
      <c r="AD3282">
        <v>-1.1119950736999999</v>
      </c>
      <c r="AE3282">
        <v>-15.764399999999901</v>
      </c>
      <c r="AF3282">
        <v>-29.983387255557901</v>
      </c>
      <c r="AG3282">
        <v>-1.1119950736999999</v>
      </c>
      <c r="AH3282">
        <v>34.358282333058099</v>
      </c>
      <c r="AI3282">
        <v>91.396884466385004</v>
      </c>
      <c r="AJ3282">
        <v>131.11017560006999</v>
      </c>
      <c r="AK3282">
        <v>45.615037095664199</v>
      </c>
      <c r="AL3282">
        <v>69.324206558042604</v>
      </c>
      <c r="AM3282">
        <v>109.508702215033</v>
      </c>
      <c r="AN3282">
        <v>0.99999999439433895</v>
      </c>
    </row>
    <row r="3283" spans="1:40" x14ac:dyDescent="0.25">
      <c r="A3283" t="str">
        <f>"20190304164153315"</f>
        <v>20190304164153315</v>
      </c>
      <c r="B3283" t="str">
        <f>"1551688913304086"</f>
        <v>1551688913304086</v>
      </c>
      <c r="C3283" t="s">
        <v>40</v>
      </c>
      <c r="D3283">
        <v>3.9508269999999999</v>
      </c>
      <c r="E3283">
        <v>0.32469690000000001</v>
      </c>
      <c r="F3283" t="s">
        <v>46</v>
      </c>
      <c r="G3283">
        <v>-445.46879999999999</v>
      </c>
      <c r="H3283" s="1">
        <v>1.489296E-6</v>
      </c>
      <c r="I3283">
        <v>211.96520000000001</v>
      </c>
      <c r="J3283">
        <v>-488.98930000000001</v>
      </c>
      <c r="K3283">
        <v>1.111953</v>
      </c>
      <c r="L3283">
        <v>227.0883</v>
      </c>
      <c r="M3283">
        <v>0.48277140000000002</v>
      </c>
      <c r="N3283">
        <v>-1.3009669999999999E-2</v>
      </c>
      <c r="O3283">
        <v>-0.87564989999999998</v>
      </c>
      <c r="P3283">
        <v>0.7029803</v>
      </c>
      <c r="Q3283">
        <v>0.34264470000000002</v>
      </c>
      <c r="R3283">
        <v>-0.623228</v>
      </c>
      <c r="S3283">
        <v>3.2976380000000001</v>
      </c>
      <c r="T3283">
        <v>-8.4107639999999997E-2</v>
      </c>
      <c r="U3283">
        <v>-1.1539919999999999</v>
      </c>
      <c r="V3283">
        <v>-0.3157991</v>
      </c>
      <c r="W3283">
        <v>0.35316520000000001</v>
      </c>
      <c r="X3283">
        <v>0.880650499999999</v>
      </c>
      <c r="Y3283">
        <v>-0.66685530000000004</v>
      </c>
      <c r="Z3283">
        <v>1.6527199999999999E-2</v>
      </c>
      <c r="AA3283">
        <v>0.74500390000000005</v>
      </c>
      <c r="AB3283">
        <v>15</v>
      </c>
      <c r="AC3283">
        <v>43.520499999999998</v>
      </c>
      <c r="AD3283">
        <v>-1.1119515107039999</v>
      </c>
      <c r="AE3283">
        <v>-15.1230999999999</v>
      </c>
      <c r="AF3283">
        <v>-30.792389646340801</v>
      </c>
      <c r="AG3283">
        <v>-1.1119515107039999</v>
      </c>
      <c r="AH3283">
        <v>34.235947486411199</v>
      </c>
      <c r="AI3283">
        <v>91.383338167824405</v>
      </c>
      <c r="AJ3283">
        <v>131.968748936553</v>
      </c>
      <c r="AK3283">
        <v>46.059828447211302</v>
      </c>
      <c r="AL3283">
        <v>69.318964799525105</v>
      </c>
      <c r="AM3283">
        <v>109.727708580143</v>
      </c>
      <c r="AN3283">
        <v>1.0000000166010401</v>
      </c>
    </row>
    <row r="3284" spans="1:40" x14ac:dyDescent="0.25">
      <c r="A3284" t="str">
        <f>"20190304164153338"</f>
        <v>20190304164153338</v>
      </c>
      <c r="B3284" t="str">
        <f>"1551688913324582"</f>
        <v>1551688913324582</v>
      </c>
      <c r="C3284" t="s">
        <v>40</v>
      </c>
      <c r="D3284">
        <v>3.9624570000000001</v>
      </c>
      <c r="E3284">
        <v>0.32410369999999999</v>
      </c>
      <c r="F3284" t="s">
        <v>42</v>
      </c>
      <c r="G3284">
        <v>-405.29739999999998</v>
      </c>
      <c r="H3284">
        <v>7.9986550000000003E-2</v>
      </c>
      <c r="I3284">
        <v>199.47739999999999</v>
      </c>
      <c r="J3284">
        <v>-488.91520000000003</v>
      </c>
      <c r="K3284">
        <v>1.1119159999999999</v>
      </c>
      <c r="L3284">
        <v>226.9616</v>
      </c>
      <c r="M3284">
        <v>0.4855507</v>
      </c>
      <c r="N3284">
        <v>-1.2747720000000001E-2</v>
      </c>
      <c r="O3284">
        <v>-0.8741158</v>
      </c>
      <c r="P3284">
        <v>0.70786190000000004</v>
      </c>
      <c r="Q3284">
        <v>0.3432499</v>
      </c>
      <c r="R3284">
        <v>-0.61734239999999996</v>
      </c>
      <c r="S3284">
        <v>3.3172299999999999</v>
      </c>
      <c r="T3284">
        <v>-4.0903210000000002E-2</v>
      </c>
      <c r="U3284">
        <v>-1.0943909999999999</v>
      </c>
      <c r="V3284">
        <v>-0.3201194</v>
      </c>
      <c r="W3284">
        <v>0.35349799999999998</v>
      </c>
      <c r="X3284">
        <v>0.8789555</v>
      </c>
      <c r="Y3284">
        <v>-0.67796029999999996</v>
      </c>
      <c r="Z3284">
        <v>3.7329659999999999E-3</v>
      </c>
      <c r="AA3284">
        <v>0.73508909999999905</v>
      </c>
      <c r="AB3284">
        <v>15</v>
      </c>
      <c r="AC3284">
        <v>83.617800000000003</v>
      </c>
      <c r="AD3284">
        <v>-1.03192944999999</v>
      </c>
      <c r="AE3284">
        <v>-27.484200000000001</v>
      </c>
      <c r="AF3284">
        <v>-59.743298437632298</v>
      </c>
      <c r="AG3284">
        <v>-1.03192944999999</v>
      </c>
      <c r="AH3284">
        <v>64.621410542625398</v>
      </c>
      <c r="AI3284">
        <v>90.671794963328296</v>
      </c>
      <c r="AJ3284">
        <v>132.75376767472599</v>
      </c>
      <c r="AK3284">
        <v>88.012801836530102</v>
      </c>
      <c r="AL3284">
        <v>69.298582082153999</v>
      </c>
      <c r="AM3284">
        <v>110.011842877658</v>
      </c>
      <c r="AN3284">
        <v>1.0000000186203</v>
      </c>
    </row>
    <row r="3285" spans="1:40" x14ac:dyDescent="0.25">
      <c r="A3285" t="str">
        <f>"20190304164153360"</f>
        <v>20190304164153360</v>
      </c>
      <c r="B3285" t="str">
        <f>"1551688913353862"</f>
        <v>1551688913353862</v>
      </c>
      <c r="C3285" t="s">
        <v>40</v>
      </c>
      <c r="D3285">
        <v>3.9554170000000002</v>
      </c>
      <c r="E3285">
        <v>0.32590930000000001</v>
      </c>
      <c r="F3285" t="s">
        <v>52</v>
      </c>
      <c r="G3285">
        <v>-389.2355</v>
      </c>
      <c r="H3285">
        <v>0.3650699</v>
      </c>
      <c r="I3285">
        <v>195.13059999999999</v>
      </c>
      <c r="J3285">
        <v>-488.84010000000001</v>
      </c>
      <c r="K3285">
        <v>1.111893</v>
      </c>
      <c r="L3285">
        <v>226.83410000000001</v>
      </c>
      <c r="M3285">
        <v>0.48835659999999997</v>
      </c>
      <c r="N3285">
        <v>-1.24534E-2</v>
      </c>
      <c r="O3285">
        <v>-0.87255550000000004</v>
      </c>
      <c r="P3285">
        <v>0.71211759999999902</v>
      </c>
      <c r="Q3285">
        <v>0.34422459999999999</v>
      </c>
      <c r="R3285">
        <v>-0.61188109999999996</v>
      </c>
      <c r="S3285">
        <v>3.324341</v>
      </c>
      <c r="T3285">
        <v>-2.4907470000000001E-2</v>
      </c>
      <c r="U3285">
        <v>-1.061569</v>
      </c>
      <c r="V3285">
        <v>-0.32367600000000002</v>
      </c>
      <c r="W3285">
        <v>0.35417189999999998</v>
      </c>
      <c r="X3285">
        <v>0.8773803</v>
      </c>
      <c r="Y3285">
        <v>-0.68264080000000005</v>
      </c>
      <c r="Z3285">
        <v>-8.648382E-4</v>
      </c>
      <c r="AA3285">
        <v>0.7307536</v>
      </c>
      <c r="AB3285">
        <v>15</v>
      </c>
      <c r="AC3285">
        <v>99.604600000000005</v>
      </c>
      <c r="AD3285">
        <v>-0.74682309999999996</v>
      </c>
      <c r="AE3285">
        <v>-31.703499999999998</v>
      </c>
      <c r="AF3285">
        <v>-71.429808524918499</v>
      </c>
      <c r="AG3285">
        <v>-0.74682309999999996</v>
      </c>
      <c r="AH3285">
        <v>76.307635944413803</v>
      </c>
      <c r="AI3285">
        <v>90.409374525488403</v>
      </c>
      <c r="AJ3285">
        <v>133.108959870478</v>
      </c>
      <c r="AK3285">
        <v>104.525741298851</v>
      </c>
      <c r="AL3285">
        <v>69.257300267011104</v>
      </c>
      <c r="AM3285">
        <v>110.249615945554</v>
      </c>
      <c r="AN3285">
        <v>1.00000003927684</v>
      </c>
    </row>
    <row r="3286" spans="1:40" x14ac:dyDescent="0.25">
      <c r="A3286" t="str">
        <f>"20190304164153384"</f>
        <v>20190304164153384</v>
      </c>
      <c r="B3286" t="str">
        <f>"1551688913374358"</f>
        <v>1551688913374358</v>
      </c>
      <c r="C3286" t="s">
        <v>40</v>
      </c>
      <c r="D3286">
        <v>3.9610259999999999</v>
      </c>
      <c r="E3286">
        <v>0.32740409999999998</v>
      </c>
      <c r="F3286" t="s">
        <v>52</v>
      </c>
      <c r="G3286">
        <v>-389.2355</v>
      </c>
      <c r="H3286">
        <v>0.44069049999999999</v>
      </c>
      <c r="I3286">
        <v>195.36279999999999</v>
      </c>
      <c r="J3286">
        <v>-488.76060000000001</v>
      </c>
      <c r="K3286">
        <v>1.111874</v>
      </c>
      <c r="L3286">
        <v>226.70009999999999</v>
      </c>
      <c r="M3286">
        <v>0.49132179999999998</v>
      </c>
      <c r="N3286">
        <v>-1.2114959999999999E-2</v>
      </c>
      <c r="O3286">
        <v>-0.87089399999999995</v>
      </c>
      <c r="P3286">
        <v>0.71629489999999996</v>
      </c>
      <c r="Q3286">
        <v>0.34455950000000002</v>
      </c>
      <c r="R3286">
        <v>-0.60679539999999998</v>
      </c>
      <c r="S3286">
        <v>3.3217469999999998</v>
      </c>
      <c r="T3286">
        <v>-2.2384169999999998E-2</v>
      </c>
      <c r="U3286">
        <v>-1.049545</v>
      </c>
      <c r="V3286">
        <v>-0.32683509999999999</v>
      </c>
      <c r="W3286">
        <v>0.35416520000000001</v>
      </c>
      <c r="X3286">
        <v>0.87621099999999996</v>
      </c>
      <c r="Y3286">
        <v>-0.6823977</v>
      </c>
      <c r="Z3286">
        <v>-1.363562E-3</v>
      </c>
      <c r="AA3286">
        <v>0.73097990000000002</v>
      </c>
      <c r="AB3286">
        <v>15</v>
      </c>
      <c r="AC3286">
        <v>99.525099999999995</v>
      </c>
      <c r="AD3286">
        <v>-0.67118350000000004</v>
      </c>
      <c r="AE3286">
        <v>-31.337299999999999</v>
      </c>
      <c r="AF3286">
        <v>-71.281387180224996</v>
      </c>
      <c r="AG3286">
        <v>-0.67118350000000004</v>
      </c>
      <c r="AH3286">
        <v>76.192747845831207</v>
      </c>
      <c r="AI3286">
        <v>90.368566915877096</v>
      </c>
      <c r="AJ3286">
        <v>133.09257214515401</v>
      </c>
      <c r="AK3286">
        <v>104.339932288296</v>
      </c>
      <c r="AL3286">
        <v>69.257708688618294</v>
      </c>
      <c r="AM3286">
        <v>110.45599740691701</v>
      </c>
      <c r="AN3286">
        <v>0.99999994400202297</v>
      </c>
    </row>
    <row r="3287" spans="1:40" x14ac:dyDescent="0.25">
      <c r="A3287" t="str">
        <f>"20190304164153406"</f>
        <v>20190304164153406</v>
      </c>
      <c r="B3287" t="str">
        <f>"1551688913394853"</f>
        <v>1551688913394853</v>
      </c>
      <c r="C3287" t="s">
        <v>40</v>
      </c>
      <c r="D3287">
        <v>3.9913690000000002</v>
      </c>
      <c r="E3287">
        <v>0.3296866</v>
      </c>
      <c r="F3287" t="s">
        <v>52</v>
      </c>
      <c r="G3287">
        <v>-389.2355</v>
      </c>
      <c r="H3287">
        <v>0.3233934</v>
      </c>
      <c r="I3287">
        <v>195.64510000000001</v>
      </c>
      <c r="J3287">
        <v>-488.6816</v>
      </c>
      <c r="K3287">
        <v>1.111855</v>
      </c>
      <c r="L3287">
        <v>226.56829999999999</v>
      </c>
      <c r="M3287">
        <v>0.49426989999999998</v>
      </c>
      <c r="N3287">
        <v>-1.17626E-2</v>
      </c>
      <c r="O3287">
        <v>-0.86922900000000003</v>
      </c>
      <c r="P3287">
        <v>0.72021230000000003</v>
      </c>
      <c r="Q3287">
        <v>0.34458569999999999</v>
      </c>
      <c r="R3287">
        <v>-0.60212559999999904</v>
      </c>
      <c r="S3287">
        <v>3.3226010000000001</v>
      </c>
      <c r="T3287">
        <v>-2.6323079999999999E-2</v>
      </c>
      <c r="U3287">
        <v>-1.0367580000000001</v>
      </c>
      <c r="V3287">
        <v>-0.32959670000000002</v>
      </c>
      <c r="W3287">
        <v>0.35383209999999998</v>
      </c>
      <c r="X3287">
        <v>0.8753107</v>
      </c>
      <c r="Y3287">
        <v>-0.6825386</v>
      </c>
      <c r="Z3287">
        <v>1.16288E-4</v>
      </c>
      <c r="AA3287">
        <v>0.73084959999999999</v>
      </c>
      <c r="AB3287">
        <v>15</v>
      </c>
      <c r="AC3287">
        <v>99.446100000000001</v>
      </c>
      <c r="AD3287">
        <v>-0.78846159999999998</v>
      </c>
      <c r="AE3287">
        <v>-30.923199999999898</v>
      </c>
      <c r="AF3287">
        <v>-71.157866238163095</v>
      </c>
      <c r="AG3287">
        <v>-0.78846159999999998</v>
      </c>
      <c r="AH3287">
        <v>76.033452765118199</v>
      </c>
      <c r="AI3287">
        <v>90.433800008597899</v>
      </c>
      <c r="AJ3287">
        <v>133.10281998211801</v>
      </c>
      <c r="AK3287">
        <v>104.140047717717</v>
      </c>
      <c r="AL3287">
        <v>69.278116119969198</v>
      </c>
      <c r="AM3287">
        <v>110.633776464983</v>
      </c>
      <c r="AN3287">
        <v>0.99999998058789397</v>
      </c>
    </row>
    <row r="3288" spans="1:40" x14ac:dyDescent="0.25">
      <c r="A3288" t="str">
        <f>"20190304164153426"</f>
        <v>20190304164153426</v>
      </c>
      <c r="B3288" t="str">
        <f>"1551688913414374"</f>
        <v>1551688913414374</v>
      </c>
      <c r="C3288" t="s">
        <v>40</v>
      </c>
      <c r="D3288">
        <v>3.9668760000000001</v>
      </c>
      <c r="E3288">
        <v>0.3311287</v>
      </c>
      <c r="F3288" t="s">
        <v>43</v>
      </c>
      <c r="G3288">
        <v>-383.11939999999998</v>
      </c>
      <c r="H3288">
        <v>-0.05</v>
      </c>
      <c r="I3288">
        <v>193.7303</v>
      </c>
      <c r="J3288">
        <v>-488.6105</v>
      </c>
      <c r="K3288">
        <v>1.111845</v>
      </c>
      <c r="L3288">
        <v>226.45060000000001</v>
      </c>
      <c r="M3288">
        <v>0.49692740000000002</v>
      </c>
      <c r="N3288">
        <v>-1.1448420000000001E-2</v>
      </c>
      <c r="O3288">
        <v>-0.86771659999999995</v>
      </c>
      <c r="P3288">
        <v>0.72442130000000005</v>
      </c>
      <c r="Q3288">
        <v>0.34388950000000001</v>
      </c>
      <c r="R3288">
        <v>-0.59745599999999999</v>
      </c>
      <c r="S3288">
        <v>3.3196110000000001</v>
      </c>
      <c r="T3288">
        <v>-3.6536810000000003E-2</v>
      </c>
      <c r="U3288">
        <v>-1.032654</v>
      </c>
      <c r="V3288">
        <v>-0.33290649999999999</v>
      </c>
      <c r="W3288">
        <v>0.3528097</v>
      </c>
      <c r="X3288">
        <v>0.87447050000000004</v>
      </c>
      <c r="Y3288">
        <v>-0.68092869999999905</v>
      </c>
      <c r="Z3288">
        <v>3.4744899999999998E-3</v>
      </c>
      <c r="AA3288">
        <v>0.73234149999999998</v>
      </c>
      <c r="AB3288">
        <v>15</v>
      </c>
      <c r="AC3288">
        <v>105.4911</v>
      </c>
      <c r="AD3288">
        <v>-1.161845</v>
      </c>
      <c r="AE3288">
        <v>-32.720300000000002</v>
      </c>
      <c r="AF3288">
        <v>-75.273369030394903</v>
      </c>
      <c r="AG3288">
        <v>-1.161845</v>
      </c>
      <c r="AH3288">
        <v>80.809719752982005</v>
      </c>
      <c r="AI3288">
        <v>90.602755132230399</v>
      </c>
      <c r="AJ3288">
        <v>132.96853970672299</v>
      </c>
      <c r="AK3288">
        <v>110.442929948211</v>
      </c>
      <c r="AL3288">
        <v>69.340735306758503</v>
      </c>
      <c r="AM3288">
        <v>110.84157631197699</v>
      </c>
      <c r="AN3288">
        <v>1.0000000387632899</v>
      </c>
    </row>
    <row r="3289" spans="1:40" x14ac:dyDescent="0.25">
      <c r="A3289" t="str">
        <f>"20190304164153448"</f>
        <v>20190304164153448</v>
      </c>
      <c r="B3289" t="str">
        <f>"1551688913444631"</f>
        <v>1551688913444631</v>
      </c>
      <c r="C3289" t="s">
        <v>40</v>
      </c>
      <c r="D3289">
        <v>3.9759880000000001</v>
      </c>
      <c r="E3289">
        <v>0.33317980000000003</v>
      </c>
      <c r="F3289" t="s">
        <v>47</v>
      </c>
      <c r="G3289">
        <v>-409.93130000000002</v>
      </c>
      <c r="H3289">
        <v>7.6498159999999996E-2</v>
      </c>
      <c r="I3289">
        <v>202.23779999999999</v>
      </c>
      <c r="J3289">
        <v>-488.53460000000001</v>
      </c>
      <c r="K3289">
        <v>1.111845</v>
      </c>
      <c r="L3289">
        <v>226.32570000000001</v>
      </c>
      <c r="M3289">
        <v>0.49978270000000002</v>
      </c>
      <c r="N3289">
        <v>-1.112402E-2</v>
      </c>
      <c r="O3289">
        <v>-0.86607959999999995</v>
      </c>
      <c r="P3289">
        <v>0.72827790000000003</v>
      </c>
      <c r="Q3289">
        <v>0.34286899999999998</v>
      </c>
      <c r="R3289">
        <v>-0.59333999999999998</v>
      </c>
      <c r="S3289">
        <v>3.319458</v>
      </c>
      <c r="T3289">
        <v>-4.3681030000000003E-2</v>
      </c>
      <c r="U3289">
        <v>-1.0215299999999901</v>
      </c>
      <c r="V3289">
        <v>-0.3354432</v>
      </c>
      <c r="W3289">
        <v>0.35145650000000001</v>
      </c>
      <c r="X3289">
        <v>0.87404590000000004</v>
      </c>
      <c r="Y3289">
        <v>-0.68073490000000003</v>
      </c>
      <c r="Z3289">
        <v>5.9126760000000004E-3</v>
      </c>
      <c r="AA3289">
        <v>0.73250599999999999</v>
      </c>
      <c r="AB3289">
        <v>15</v>
      </c>
      <c r="AC3289">
        <v>78.603299999999905</v>
      </c>
      <c r="AD3289">
        <v>-1.0353468400000001</v>
      </c>
      <c r="AE3289">
        <v>-24.087900000000001</v>
      </c>
      <c r="AF3289">
        <v>-56.032569338328102</v>
      </c>
      <c r="AG3289">
        <v>-1.0353468400000001</v>
      </c>
      <c r="AH3289">
        <v>60.140780626924098</v>
      </c>
      <c r="AI3289">
        <v>90.721643385990205</v>
      </c>
      <c r="AJ3289">
        <v>132.974706554775</v>
      </c>
      <c r="AK3289">
        <v>82.204831148476003</v>
      </c>
      <c r="AL3289">
        <v>69.423573443882503</v>
      </c>
      <c r="AM3289">
        <v>110.995909920559</v>
      </c>
      <c r="AN3289">
        <v>1.0000000235626401</v>
      </c>
    </row>
    <row r="3290" spans="1:40" x14ac:dyDescent="0.25">
      <c r="A3290" t="str">
        <f>"20190304164153471"</f>
        <v>20190304164153471</v>
      </c>
      <c r="B3290" t="str">
        <f>"1551688913464150"</f>
        <v>1551688913464150</v>
      </c>
      <c r="C3290" t="s">
        <v>40</v>
      </c>
      <c r="D3290">
        <v>3.9673280000000002</v>
      </c>
      <c r="E3290">
        <v>0.33396389999999998</v>
      </c>
      <c r="F3290" t="s">
        <v>47</v>
      </c>
      <c r="G3290">
        <v>-416.9726</v>
      </c>
      <c r="H3290" s="1">
        <v>5.5916659999999997E-6</v>
      </c>
      <c r="I3290">
        <v>204.3989</v>
      </c>
      <c r="J3290">
        <v>-488.4504</v>
      </c>
      <c r="K3290">
        <v>1.1118539999999999</v>
      </c>
      <c r="L3290">
        <v>226.1885</v>
      </c>
      <c r="M3290">
        <v>0.50298240000000005</v>
      </c>
      <c r="N3290">
        <v>-1.077845E-2</v>
      </c>
      <c r="O3290">
        <v>-0.86422969999999899</v>
      </c>
      <c r="P3290">
        <v>0.73229390000000005</v>
      </c>
      <c r="Q3290">
        <v>0.34258630000000001</v>
      </c>
      <c r="R3290">
        <v>-0.58854130000000004</v>
      </c>
      <c r="S3290">
        <v>3.3157649999999999</v>
      </c>
      <c r="T3290">
        <v>-5.1516180000000002E-2</v>
      </c>
      <c r="U3290">
        <v>-1.0159609999999999</v>
      </c>
      <c r="V3290">
        <v>-0.33812439999999999</v>
      </c>
      <c r="W3290">
        <v>0.35080830000000002</v>
      </c>
      <c r="X3290">
        <v>0.87327279999999996</v>
      </c>
      <c r="Y3290">
        <v>-0.67889880000000002</v>
      </c>
      <c r="Z3290">
        <v>8.5702709999999904E-3</v>
      </c>
      <c r="AA3290">
        <v>0.73418190000000005</v>
      </c>
      <c r="AB3290">
        <v>15</v>
      </c>
      <c r="AC3290">
        <v>71.477800000000002</v>
      </c>
      <c r="AD3290">
        <v>-1.1118484083339999</v>
      </c>
      <c r="AE3290">
        <v>-21.7896</v>
      </c>
      <c r="AF3290">
        <v>-50.805145236240499</v>
      </c>
      <c r="AG3290">
        <v>-1.1118484083339999</v>
      </c>
      <c r="AH3290">
        <v>54.774338750591397</v>
      </c>
      <c r="AI3290">
        <v>90.852638478640401</v>
      </c>
      <c r="AJ3290">
        <v>132.84701554466099</v>
      </c>
      <c r="AK3290">
        <v>74.716980499235603</v>
      </c>
      <c r="AL3290">
        <v>69.463237215186993</v>
      </c>
      <c r="AM3290">
        <v>111.166013704797</v>
      </c>
      <c r="AN3290">
        <v>0.99999997822204401</v>
      </c>
    </row>
    <row r="3291" spans="1:40" x14ac:dyDescent="0.25">
      <c r="A3291" t="str">
        <f>"20190304164153493"</f>
        <v>20190304164153493</v>
      </c>
      <c r="B3291" t="str">
        <f>"1551688913484646"</f>
        <v>1551688913484646</v>
      </c>
      <c r="C3291" t="s">
        <v>40</v>
      </c>
      <c r="D3291">
        <v>3.946841</v>
      </c>
      <c r="E3291">
        <v>0.353406099999999</v>
      </c>
      <c r="F3291" t="s">
        <v>47</v>
      </c>
      <c r="G3291">
        <v>-419.5419</v>
      </c>
      <c r="H3291" s="1">
        <v>5.8061199999999999E-6</v>
      </c>
      <c r="I3291">
        <v>205.45599999999999</v>
      </c>
      <c r="J3291">
        <v>-488.37049999999999</v>
      </c>
      <c r="K3291">
        <v>1.111872</v>
      </c>
      <c r="L3291">
        <v>226.05940000000001</v>
      </c>
      <c r="M3291">
        <v>0.50606179999999901</v>
      </c>
      <c r="N3291">
        <v>-1.0463800000000001E-2</v>
      </c>
      <c r="O3291">
        <v>-0.86243389999999998</v>
      </c>
      <c r="P3291">
        <v>0.73578809999999994</v>
      </c>
      <c r="Q3291">
        <v>0.34370220000000001</v>
      </c>
      <c r="R3291">
        <v>-0.5835108</v>
      </c>
      <c r="S3291">
        <v>3.3191830000000002</v>
      </c>
      <c r="T3291">
        <v>-5.3555489999999997E-2</v>
      </c>
      <c r="U3291">
        <v>-0.99864200000000003</v>
      </c>
      <c r="V3291">
        <v>-0.3406093</v>
      </c>
      <c r="W3291">
        <v>0.35157709999999998</v>
      </c>
      <c r="X3291">
        <v>0.87199709999999997</v>
      </c>
      <c r="Y3291">
        <v>-0.67999330000000002</v>
      </c>
      <c r="Z3291">
        <v>9.4460410000000005E-3</v>
      </c>
      <c r="AA3291">
        <v>0.73315750000000002</v>
      </c>
      <c r="AB3291">
        <v>15</v>
      </c>
      <c r="AC3291">
        <v>68.828599999999994</v>
      </c>
      <c r="AD3291">
        <v>-1.1118661938800001</v>
      </c>
      <c r="AE3291">
        <v>-20.603400000000001</v>
      </c>
      <c r="AF3291">
        <v>-48.924479588953197</v>
      </c>
      <c r="AG3291">
        <v>-1.1118661938800001</v>
      </c>
      <c r="AH3291">
        <v>52.590873367409898</v>
      </c>
      <c r="AI3291">
        <v>90.886830617697498</v>
      </c>
      <c r="AJ3291">
        <v>132.93156782638599</v>
      </c>
      <c r="AK3291">
        <v>71.837600955418395</v>
      </c>
      <c r="AL3291">
        <v>69.416193049059203</v>
      </c>
      <c r="AM3291">
        <v>111.336028845211</v>
      </c>
      <c r="AN3291">
        <v>1.00000004744965</v>
      </c>
    </row>
    <row r="3292" spans="1:40" x14ac:dyDescent="0.25">
      <c r="A3292" t="str">
        <f>"20190304164153515"</f>
        <v>20190304164153515</v>
      </c>
      <c r="B3292" t="str">
        <f>"1551688913504166"</f>
        <v>1551688913504166</v>
      </c>
      <c r="C3292" t="s">
        <v>40</v>
      </c>
      <c r="D3292">
        <v>4.0898859999999999</v>
      </c>
      <c r="E3292">
        <v>0.327681099999999</v>
      </c>
      <c r="F3292" t="s">
        <v>46</v>
      </c>
      <c r="G3292">
        <v>-440.1644</v>
      </c>
      <c r="H3292">
        <v>4.9998300000000002E-2</v>
      </c>
      <c r="I3292">
        <v>209.6163</v>
      </c>
      <c r="J3292">
        <v>-488.29109999999997</v>
      </c>
      <c r="K3292">
        <v>1.1119079999999999</v>
      </c>
      <c r="L3292">
        <v>225.9324</v>
      </c>
      <c r="M3292">
        <v>0.50917599999999996</v>
      </c>
      <c r="N3292">
        <v>-1.016269E-2</v>
      </c>
      <c r="O3292">
        <v>-0.86060249999999905</v>
      </c>
      <c r="P3292">
        <v>0.73953019999999903</v>
      </c>
      <c r="Q3292">
        <v>0.3442154</v>
      </c>
      <c r="R3292">
        <v>-0.57845599999999997</v>
      </c>
      <c r="S3292">
        <v>3.235382</v>
      </c>
      <c r="T3292">
        <v>-7.1268319999999996E-2</v>
      </c>
      <c r="U3292">
        <v>-1.1035919999999999</v>
      </c>
      <c r="V3292">
        <v>-0.3432965</v>
      </c>
      <c r="W3292">
        <v>0.3517498</v>
      </c>
      <c r="X3292">
        <v>0.87087289999999995</v>
      </c>
      <c r="Y3292">
        <v>-0.64999119999999899</v>
      </c>
      <c r="Z3292">
        <v>1.502618E-2</v>
      </c>
      <c r="AA3292">
        <v>0.7597933</v>
      </c>
      <c r="AB3292">
        <v>15</v>
      </c>
      <c r="AC3292">
        <v>48.1266999999999</v>
      </c>
      <c r="AD3292">
        <v>-1.0619097</v>
      </c>
      <c r="AE3292">
        <v>-16.316099999999999</v>
      </c>
      <c r="AF3292">
        <v>-33.097446757796398</v>
      </c>
      <c r="AG3292">
        <v>-1.0619097</v>
      </c>
      <c r="AH3292">
        <v>38.5317993632069</v>
      </c>
      <c r="AI3292">
        <v>91.197637210558099</v>
      </c>
      <c r="AJ3292">
        <v>130.661407290981</v>
      </c>
      <c r="AK3292">
        <v>50.806182657847401</v>
      </c>
      <c r="AL3292">
        <v>69.405622074934499</v>
      </c>
      <c r="AM3292">
        <v>111.514267936686</v>
      </c>
      <c r="AN3292">
        <v>1.00000000833335</v>
      </c>
    </row>
    <row r="3293" spans="1:40" x14ac:dyDescent="0.25">
      <c r="A3293" t="str">
        <f>"20190304164153537"</f>
        <v>20190304164153537</v>
      </c>
      <c r="B3293" t="str">
        <f>"1551688913524662"</f>
        <v>1551688913524662</v>
      </c>
      <c r="C3293" t="s">
        <v>40</v>
      </c>
      <c r="D3293">
        <v>4.0712630000000001</v>
      </c>
      <c r="E3293">
        <v>0.32139459999999997</v>
      </c>
      <c r="F3293" t="s">
        <v>52</v>
      </c>
      <c r="G3293">
        <v>-389.2355</v>
      </c>
      <c r="H3293">
        <v>0.1888061</v>
      </c>
      <c r="I3293">
        <v>199.03980000000001</v>
      </c>
      <c r="J3293">
        <v>-488.21300000000002</v>
      </c>
      <c r="K3293">
        <v>1.1119559999999999</v>
      </c>
      <c r="L3293">
        <v>225.80860000000001</v>
      </c>
      <c r="M3293">
        <v>0.51229959999999997</v>
      </c>
      <c r="N3293">
        <v>-9.8755079999999999E-3</v>
      </c>
      <c r="O3293">
        <v>-0.85875000000000001</v>
      </c>
      <c r="P3293">
        <v>0.74323640000000002</v>
      </c>
      <c r="Q3293">
        <v>0.34402650000000001</v>
      </c>
      <c r="R3293">
        <v>-0.57379939999999996</v>
      </c>
      <c r="S3293">
        <v>3.358063</v>
      </c>
      <c r="T3293">
        <v>-3.1293870000000001E-2</v>
      </c>
      <c r="U3293">
        <v>-0.91168210000000005</v>
      </c>
      <c r="V3293">
        <v>-0.34574840000000001</v>
      </c>
      <c r="W3293">
        <v>0.35123019999999999</v>
      </c>
      <c r="X3293">
        <v>0.87011229999999995</v>
      </c>
      <c r="Y3293">
        <v>-0.69451149999999995</v>
      </c>
      <c r="Z3293">
        <v>3.147089E-3</v>
      </c>
      <c r="AA3293">
        <v>0.71947469999999902</v>
      </c>
      <c r="AB3293">
        <v>15</v>
      </c>
      <c r="AC3293">
        <v>98.977500000000006</v>
      </c>
      <c r="AD3293">
        <v>-0.92314989999999997</v>
      </c>
      <c r="AE3293">
        <v>-26.768799999999999</v>
      </c>
      <c r="AF3293">
        <v>-71.2809818281426</v>
      </c>
      <c r="AG3293">
        <v>-0.92314989999999997</v>
      </c>
      <c r="AH3293">
        <v>73.691462090599998</v>
      </c>
      <c r="AI3293">
        <v>90.515884685830798</v>
      </c>
      <c r="AJ3293">
        <v>134.047421588736</v>
      </c>
      <c r="AK3293">
        <v>102.52932342102</v>
      </c>
      <c r="AL3293">
        <v>69.437422147682696</v>
      </c>
      <c r="AM3293">
        <v>111.67092638970399</v>
      </c>
      <c r="AN3293">
        <v>1.00000001205294</v>
      </c>
    </row>
    <row r="3294" spans="1:40" x14ac:dyDescent="0.25">
      <c r="A3294" t="str">
        <f>"20190304164153559"</f>
        <v>20190304164153559</v>
      </c>
      <c r="B3294" t="str">
        <f>"1551688913553943"</f>
        <v>1551688913553943</v>
      </c>
      <c r="C3294" t="s">
        <v>40</v>
      </c>
      <c r="D3294">
        <v>4.0876169999999998</v>
      </c>
      <c r="E3294">
        <v>0.32004779999999999</v>
      </c>
      <c r="F3294" t="s">
        <v>49</v>
      </c>
      <c r="G3294">
        <v>-408.8064</v>
      </c>
      <c r="H3294">
        <v>0.3725252</v>
      </c>
      <c r="I3294">
        <v>205.89179999999999</v>
      </c>
      <c r="J3294">
        <v>-488.12670000000003</v>
      </c>
      <c r="K3294">
        <v>1.1120099999999999</v>
      </c>
      <c r="L3294">
        <v>225.67320000000001</v>
      </c>
      <c r="M3294">
        <v>0.51581499999999902</v>
      </c>
      <c r="N3294">
        <v>-9.5695569999999994E-3</v>
      </c>
      <c r="O3294">
        <v>-0.85664669999999898</v>
      </c>
      <c r="P3294">
        <v>0.74722999999999995</v>
      </c>
      <c r="Q3294">
        <v>0.34354750000000001</v>
      </c>
      <c r="R3294">
        <v>-0.56887860000000001</v>
      </c>
      <c r="S3294">
        <v>3.3938290000000002</v>
      </c>
      <c r="T3294">
        <v>-3.1603220000000001E-2</v>
      </c>
      <c r="U3294">
        <v>-0.8512421</v>
      </c>
      <c r="V3294">
        <v>-0.3481978</v>
      </c>
      <c r="W3294">
        <v>0.35039379999999998</v>
      </c>
      <c r="X3294">
        <v>0.86947249999999998</v>
      </c>
      <c r="Y3294">
        <v>-0.70540459999999905</v>
      </c>
      <c r="Z3294">
        <v>3.5006949999999998E-3</v>
      </c>
      <c r="AA3294">
        <v>0.70879619999999999</v>
      </c>
      <c r="AB3294">
        <v>16</v>
      </c>
      <c r="AC3294">
        <v>79.320300000000003</v>
      </c>
      <c r="AD3294">
        <v>-0.73948479999999905</v>
      </c>
      <c r="AE3294">
        <v>-19.781400000000001</v>
      </c>
      <c r="AF3294">
        <v>-57.743842283273104</v>
      </c>
      <c r="AG3294">
        <v>-0.73948479999999905</v>
      </c>
      <c r="AH3294">
        <v>57.858179327524702</v>
      </c>
      <c r="AI3294">
        <v>90.518309767945894</v>
      </c>
      <c r="AJ3294">
        <v>134.943331199141</v>
      </c>
      <c r="AK3294">
        <v>81.746358172709805</v>
      </c>
      <c r="AL3294">
        <v>69.488595910108998</v>
      </c>
      <c r="AM3294">
        <v>111.824628793184</v>
      </c>
      <c r="AN3294">
        <v>0.99999997562976395</v>
      </c>
    </row>
    <row r="3295" spans="1:40" x14ac:dyDescent="0.25">
      <c r="A3295" t="str">
        <f>"20190304164153583"</f>
        <v>20190304164153583</v>
      </c>
      <c r="B3295" t="str">
        <f>"1551688913574438"</f>
        <v>1551688913574438</v>
      </c>
      <c r="C3295" t="s">
        <v>40</v>
      </c>
      <c r="D3295">
        <v>4.1277759999999999</v>
      </c>
      <c r="E3295">
        <v>0.32058320000000001</v>
      </c>
      <c r="F3295" t="s">
        <v>43</v>
      </c>
      <c r="G3295">
        <v>-374.13510000000002</v>
      </c>
      <c r="H3295">
        <v>-0.05</v>
      </c>
      <c r="I3295">
        <v>198.19210000000001</v>
      </c>
      <c r="J3295">
        <v>-488.0403</v>
      </c>
      <c r="K3295">
        <v>1.1120719999999999</v>
      </c>
      <c r="L3295">
        <v>225.53909999999999</v>
      </c>
      <c r="M3295">
        <v>0.51940649999999999</v>
      </c>
      <c r="N3295">
        <v>-9.2788249999999992E-3</v>
      </c>
      <c r="O3295">
        <v>-0.85447700000000004</v>
      </c>
      <c r="P3295">
        <v>0.75130850000000005</v>
      </c>
      <c r="Q3295">
        <v>0.3432055</v>
      </c>
      <c r="R3295">
        <v>-0.56368940000000001</v>
      </c>
      <c r="S3295">
        <v>3.4057010000000001</v>
      </c>
      <c r="T3295">
        <v>-3.4717079999999997E-2</v>
      </c>
      <c r="U3295">
        <v>-0.82104489999999997</v>
      </c>
      <c r="V3295">
        <v>-0.3507844</v>
      </c>
      <c r="W3295">
        <v>0.34970639999999997</v>
      </c>
      <c r="X3295">
        <v>0.86870930000000002</v>
      </c>
      <c r="Y3295">
        <v>-0.70892730000000004</v>
      </c>
      <c r="Z3295">
        <v>4.6827759999999996E-3</v>
      </c>
      <c r="AA3295">
        <v>0.70526599999999995</v>
      </c>
      <c r="AB3295">
        <v>16</v>
      </c>
      <c r="AC3295">
        <v>113.905199999999</v>
      </c>
      <c r="AD3295">
        <v>-1.162072</v>
      </c>
      <c r="AE3295">
        <v>-27.346999999999898</v>
      </c>
      <c r="AF3295">
        <v>-83.120556398517493</v>
      </c>
      <c r="AG3295">
        <v>-1.162072</v>
      </c>
      <c r="AH3295">
        <v>82.525909119532898</v>
      </c>
      <c r="AI3295">
        <v>90.568422743990496</v>
      </c>
      <c r="AJ3295">
        <v>135.205682825297</v>
      </c>
      <c r="AK3295">
        <v>117.13625819249</v>
      </c>
      <c r="AL3295">
        <v>69.530642886300498</v>
      </c>
      <c r="AM3295">
        <v>111.988832714305</v>
      </c>
      <c r="AN3295">
        <v>1.0000000546954</v>
      </c>
    </row>
    <row r="3296" spans="1:40" x14ac:dyDescent="0.25">
      <c r="A3296" t="str">
        <f>"20190304164153606"</f>
        <v>20190304164153606</v>
      </c>
      <c r="B3296" t="str">
        <f>"1551688913593958"</f>
        <v>1551688913593958</v>
      </c>
      <c r="C3296" t="s">
        <v>40</v>
      </c>
      <c r="D3296">
        <v>4.0783239999999896</v>
      </c>
      <c r="E3296">
        <v>0.32136049999999999</v>
      </c>
      <c r="F3296" t="s">
        <v>47</v>
      </c>
      <c r="G3296">
        <v>-405.75889999999998</v>
      </c>
      <c r="H3296">
        <v>8.0001260000000005E-2</v>
      </c>
      <c r="I3296">
        <v>206.12860000000001</v>
      </c>
      <c r="J3296">
        <v>-487.94889999999998</v>
      </c>
      <c r="K3296">
        <v>1.1121270000000001</v>
      </c>
      <c r="L3296">
        <v>225.39879999999999</v>
      </c>
      <c r="M3296">
        <v>0.52328719999999995</v>
      </c>
      <c r="N3296">
        <v>-8.989482E-3</v>
      </c>
      <c r="O3296">
        <v>-0.85210900000000001</v>
      </c>
      <c r="P3296">
        <v>0.75497320000000001</v>
      </c>
      <c r="Q3296">
        <v>0.3441033</v>
      </c>
      <c r="R3296">
        <v>-0.55821869999999996</v>
      </c>
      <c r="S3296">
        <v>3.4091490000000002</v>
      </c>
      <c r="T3296">
        <v>-4.2761559999999997E-2</v>
      </c>
      <c r="U3296">
        <v>-0.80422969999999905</v>
      </c>
      <c r="V3296">
        <v>-0.3528789</v>
      </c>
      <c r="W3296">
        <v>0.35025889999999998</v>
      </c>
      <c r="X3296">
        <v>0.86763769999999996</v>
      </c>
      <c r="Y3296">
        <v>-0.70915620000000001</v>
      </c>
      <c r="Z3296">
        <v>7.3560959999999899E-3</v>
      </c>
      <c r="AA3296">
        <v>0.70501309999999995</v>
      </c>
      <c r="AB3296">
        <v>16</v>
      </c>
      <c r="AC3296">
        <v>82.19</v>
      </c>
      <c r="AD3296">
        <v>-1.0321257399999999</v>
      </c>
      <c r="AE3296">
        <v>-19.2701999999999</v>
      </c>
      <c r="AF3296">
        <v>-59.944450058532198</v>
      </c>
      <c r="AG3296">
        <v>-1.0321257399999999</v>
      </c>
      <c r="AH3296">
        <v>59.4228030789385</v>
      </c>
      <c r="AI3296">
        <v>90.7005824398219</v>
      </c>
      <c r="AJ3296">
        <v>135.25038676250901</v>
      </c>
      <c r="AK3296">
        <v>84.412510341307495</v>
      </c>
      <c r="AL3296">
        <v>69.496848522407404</v>
      </c>
      <c r="AM3296">
        <v>112.13217886795999</v>
      </c>
      <c r="AN3296">
        <v>0.999999996777855</v>
      </c>
    </row>
    <row r="3297" spans="1:40" x14ac:dyDescent="0.25">
      <c r="A3297" t="str">
        <f>"20190304164153628"</f>
        <v>20190304164153628</v>
      </c>
      <c r="B3297" t="str">
        <f>"1551688913624215"</f>
        <v>1551688913624215</v>
      </c>
      <c r="C3297" t="s">
        <v>40</v>
      </c>
      <c r="D3297">
        <v>4.0846600000000004</v>
      </c>
      <c r="E3297">
        <v>0.32264009999999999</v>
      </c>
      <c r="F3297" t="s">
        <v>47</v>
      </c>
      <c r="G3297">
        <v>-406.33859999999999</v>
      </c>
      <c r="H3297">
        <v>8.0001320000000001E-2</v>
      </c>
      <c r="I3297">
        <v>206.58869999999999</v>
      </c>
      <c r="J3297">
        <v>-487.86669999999998</v>
      </c>
      <c r="K3297">
        <v>1.112166</v>
      </c>
      <c r="L3297">
        <v>225.27420000000001</v>
      </c>
      <c r="M3297">
        <v>0.52681060000000002</v>
      </c>
      <c r="N3297">
        <v>-8.7448950000000008E-3</v>
      </c>
      <c r="O3297">
        <v>-0.84993779999999997</v>
      </c>
      <c r="P3297">
        <v>0.75819099999999995</v>
      </c>
      <c r="Q3297">
        <v>0.34431719999999999</v>
      </c>
      <c r="R3297">
        <v>-0.55370810000000004</v>
      </c>
      <c r="S3297">
        <v>3.4118040000000001</v>
      </c>
      <c r="T3297">
        <v>-4.3149109999999997E-2</v>
      </c>
      <c r="U3297">
        <v>-0.78637699999999999</v>
      </c>
      <c r="V3297">
        <v>-0.35443950000000002</v>
      </c>
      <c r="W3297">
        <v>0.35019060000000002</v>
      </c>
      <c r="X3297">
        <v>0.86702900000000005</v>
      </c>
      <c r="Y3297">
        <v>-0.70985830000000005</v>
      </c>
      <c r="Z3297">
        <v>7.6647340000000003E-3</v>
      </c>
      <c r="AA3297">
        <v>0.70430280000000001</v>
      </c>
      <c r="AB3297">
        <v>16</v>
      </c>
      <c r="AC3297">
        <v>81.528099999999995</v>
      </c>
      <c r="AD3297">
        <v>-1.0321646799999999</v>
      </c>
      <c r="AE3297">
        <v>-18.685500000000001</v>
      </c>
      <c r="AF3297">
        <v>-59.443311299508203</v>
      </c>
      <c r="AG3297">
        <v>-1.0321646799999999</v>
      </c>
      <c r="AH3297">
        <v>58.824667447984297</v>
      </c>
      <c r="AI3297">
        <v>90.707117291656104</v>
      </c>
      <c r="AJ3297">
        <v>135.29970376434099</v>
      </c>
      <c r="AK3297">
        <v>83.635603199491698</v>
      </c>
      <c r="AL3297">
        <v>69.501027593985995</v>
      </c>
      <c r="AM3297">
        <v>112.234633185978</v>
      </c>
      <c r="AN3297">
        <v>1.0000000511648</v>
      </c>
    </row>
    <row r="3298" spans="1:40" x14ac:dyDescent="0.25">
      <c r="A3298" t="str">
        <f>"20190304164153650"</f>
        <v>20190304164153650</v>
      </c>
      <c r="B3298" t="str">
        <f>"1551688913645686"</f>
        <v>1551688913645686</v>
      </c>
      <c r="C3298" t="s">
        <v>40</v>
      </c>
      <c r="D3298">
        <v>4.0336699999999999</v>
      </c>
      <c r="E3298">
        <v>0.32370080000000001</v>
      </c>
      <c r="F3298" t="s">
        <v>47</v>
      </c>
      <c r="G3298">
        <v>-409.67430000000002</v>
      </c>
      <c r="H3298">
        <v>7.6077110000000003E-2</v>
      </c>
      <c r="I3298">
        <v>207.49799999999999</v>
      </c>
      <c r="J3298">
        <v>-487.77850000000001</v>
      </c>
      <c r="K3298">
        <v>1.1122030000000001</v>
      </c>
      <c r="L3298">
        <v>225.14179999999999</v>
      </c>
      <c r="M3298">
        <v>0.53063079999999996</v>
      </c>
      <c r="N3298">
        <v>-8.4992409999999994E-3</v>
      </c>
      <c r="O3298">
        <v>-0.84756049999999905</v>
      </c>
      <c r="P3298">
        <v>0.76183120000000004</v>
      </c>
      <c r="Q3298">
        <v>0.34482639999999998</v>
      </c>
      <c r="R3298">
        <v>-0.54836859999999998</v>
      </c>
      <c r="S3298">
        <v>3.4109799999999999</v>
      </c>
      <c r="T3298">
        <v>-4.5197250000000001E-2</v>
      </c>
      <c r="U3298">
        <v>-0.77545169999999997</v>
      </c>
      <c r="V3298">
        <v>-0.35649209999999998</v>
      </c>
      <c r="W3298">
        <v>0.35041609999999901</v>
      </c>
      <c r="X3298">
        <v>0.86609579999999997</v>
      </c>
      <c r="Y3298">
        <v>-0.70878850000000004</v>
      </c>
      <c r="Z3298">
        <v>8.4713459999999994E-3</v>
      </c>
      <c r="AA3298">
        <v>0.7053701</v>
      </c>
      <c r="AB3298">
        <v>16</v>
      </c>
      <c r="AC3298">
        <v>78.104199999999906</v>
      </c>
      <c r="AD3298">
        <v>-1.0361258900000001</v>
      </c>
      <c r="AE3298">
        <v>-17.643799999999999</v>
      </c>
      <c r="AF3298">
        <v>-56.828226286552798</v>
      </c>
      <c r="AG3298">
        <v>-1.0361258900000001</v>
      </c>
      <c r="AH3298">
        <v>56.391274667585002</v>
      </c>
      <c r="AI3298">
        <v>90.741483411681898</v>
      </c>
      <c r="AJ3298">
        <v>135.221122325322</v>
      </c>
      <c r="AK3298">
        <v>80.065577612171097</v>
      </c>
      <c r="AL3298">
        <v>69.487232194180805</v>
      </c>
      <c r="AM3298">
        <v>112.372465589201</v>
      </c>
      <c r="AN3298">
        <v>0.99999999763962999</v>
      </c>
    </row>
    <row r="3299" spans="1:40" x14ac:dyDescent="0.25">
      <c r="A3299" t="str">
        <f>"20190304164153673"</f>
        <v>20190304164153673</v>
      </c>
      <c r="B3299" t="str">
        <f>"1551688913665207"</f>
        <v>1551688913665207</v>
      </c>
      <c r="C3299" t="s">
        <v>40</v>
      </c>
      <c r="D3299">
        <v>4.0512350000000001</v>
      </c>
      <c r="E3299">
        <v>0.324266099999999</v>
      </c>
      <c r="F3299" t="s">
        <v>47</v>
      </c>
      <c r="G3299">
        <v>-407.06040000000002</v>
      </c>
      <c r="H3299">
        <v>8.0001379999999997E-2</v>
      </c>
      <c r="I3299">
        <v>207.1865</v>
      </c>
      <c r="J3299">
        <v>-487.68799999999999</v>
      </c>
      <c r="K3299">
        <v>1.112236</v>
      </c>
      <c r="L3299">
        <v>225.00749999999999</v>
      </c>
      <c r="M3299">
        <v>0.53458919999999999</v>
      </c>
      <c r="N3299">
        <v>-8.2627829999999992E-3</v>
      </c>
      <c r="O3299">
        <v>-0.84507209999999999</v>
      </c>
      <c r="P3299">
        <v>0.76549519999999904</v>
      </c>
      <c r="Q3299">
        <v>0.34534559999999997</v>
      </c>
      <c r="R3299">
        <v>-0.54291250000000002</v>
      </c>
      <c r="S3299">
        <v>3.4114070000000001</v>
      </c>
      <c r="T3299">
        <v>-4.3624160000000002E-2</v>
      </c>
      <c r="U3299">
        <v>-0.75885009999999997</v>
      </c>
      <c r="V3299">
        <v>-0.35848960000000002</v>
      </c>
      <c r="W3299">
        <v>0.35066130000000001</v>
      </c>
      <c r="X3299">
        <v>0.86517160000000004</v>
      </c>
      <c r="Y3299">
        <v>-0.70878169999999996</v>
      </c>
      <c r="Z3299">
        <v>8.1751549999999999E-3</v>
      </c>
      <c r="AA3299">
        <v>0.70538049999999997</v>
      </c>
      <c r="AB3299">
        <v>16</v>
      </c>
      <c r="AC3299">
        <v>80.627600000000001</v>
      </c>
      <c r="AD3299">
        <v>-1.0322346200000001</v>
      </c>
      <c r="AE3299">
        <v>-17.820999999999898</v>
      </c>
      <c r="AF3299">
        <v>-58.602042528885498</v>
      </c>
      <c r="AG3299">
        <v>-1.0322346200000001</v>
      </c>
      <c r="AH3299">
        <v>58.155550182221198</v>
      </c>
      <c r="AI3299">
        <v>90.716316764537297</v>
      </c>
      <c r="AJ3299">
        <v>135.21910354396499</v>
      </c>
      <c r="AK3299">
        <v>82.567141853553807</v>
      </c>
      <c r="AL3299">
        <v>69.472231904167799</v>
      </c>
      <c r="AM3299">
        <v>112.506997016642</v>
      </c>
      <c r="AN3299">
        <v>1.0000000190361999</v>
      </c>
    </row>
    <row r="3300" spans="1:40" x14ac:dyDescent="0.25">
      <c r="A3300" t="str">
        <f>"20190304164153695"</f>
        <v>20190304164153695</v>
      </c>
      <c r="B3300" t="str">
        <f>"1551688913684727"</f>
        <v>1551688913684727</v>
      </c>
      <c r="C3300" t="s">
        <v>40</v>
      </c>
      <c r="D3300">
        <v>4.0327060000000001</v>
      </c>
      <c r="E3300">
        <v>0.3371633</v>
      </c>
      <c r="F3300" t="s">
        <v>47</v>
      </c>
      <c r="G3300">
        <v>-406.88200000000001</v>
      </c>
      <c r="H3300">
        <v>8.0001329999999996E-2</v>
      </c>
      <c r="I3300">
        <v>207.49080000000001</v>
      </c>
      <c r="J3300">
        <v>-487.59750000000003</v>
      </c>
      <c r="K3300">
        <v>1.1122730000000001</v>
      </c>
      <c r="L3300">
        <v>224.87459999999999</v>
      </c>
      <c r="M3300">
        <v>0.53858879999999998</v>
      </c>
      <c r="N3300">
        <v>-8.0429049999999995E-3</v>
      </c>
      <c r="O3300">
        <v>-0.84253049999999996</v>
      </c>
      <c r="P3300">
        <v>0.76903820000000001</v>
      </c>
      <c r="Q3300">
        <v>0.34520329999999999</v>
      </c>
      <c r="R3300">
        <v>-0.53797349999999999</v>
      </c>
      <c r="S3300">
        <v>3.41391</v>
      </c>
      <c r="T3300">
        <v>-4.3610099999999999E-2</v>
      </c>
      <c r="U3300">
        <v>-0.74005129999999997</v>
      </c>
      <c r="V3300">
        <v>-0.36006830000000001</v>
      </c>
      <c r="W3300">
        <v>0.35026249999999998</v>
      </c>
      <c r="X3300">
        <v>0.86467739999999904</v>
      </c>
      <c r="Y3300">
        <v>-0.70925400000000005</v>
      </c>
      <c r="Z3300">
        <v>8.3410389999999997E-3</v>
      </c>
      <c r="AA3300">
        <v>0.70490369999999902</v>
      </c>
      <c r="AB3300">
        <v>16</v>
      </c>
      <c r="AC3300">
        <v>80.715500000000006</v>
      </c>
      <c r="AD3300">
        <v>-1.0322716700000001</v>
      </c>
      <c r="AE3300">
        <v>-17.383799999999901</v>
      </c>
      <c r="AF3300">
        <v>-58.635275569331199</v>
      </c>
      <c r="AG3300">
        <v>-1.0322716700000001</v>
      </c>
      <c r="AH3300">
        <v>58.1116359395701</v>
      </c>
      <c r="AI3300">
        <v>90.716406036471</v>
      </c>
      <c r="AJ3300">
        <v>135.256984439202</v>
      </c>
      <c r="AK3300">
        <v>82.559816844910799</v>
      </c>
      <c r="AL3300">
        <v>69.496628436959398</v>
      </c>
      <c r="AM3300">
        <v>112.60778417434101</v>
      </c>
      <c r="AN3300">
        <v>1.0000000028209499</v>
      </c>
    </row>
    <row r="3301" spans="1:40" x14ac:dyDescent="0.25">
      <c r="A3301" t="str">
        <f>"20190304164153715"</f>
        <v>20190304164153715</v>
      </c>
      <c r="B3301" t="str">
        <f>"1551688913704246"</f>
        <v>1551688913704246</v>
      </c>
      <c r="C3301" t="s">
        <v>40</v>
      </c>
      <c r="D3301">
        <v>4.0113529999999997</v>
      </c>
      <c r="E3301">
        <v>0.33693669999999998</v>
      </c>
      <c r="F3301" t="s">
        <v>47</v>
      </c>
      <c r="G3301">
        <v>-423.15230000000003</v>
      </c>
      <c r="H3301" s="1">
        <v>3.893089E-6</v>
      </c>
      <c r="I3301">
        <v>209.4254</v>
      </c>
      <c r="J3301">
        <v>-487.51280000000003</v>
      </c>
      <c r="K3301">
        <v>1.112311</v>
      </c>
      <c r="L3301">
        <v>224.75149999999999</v>
      </c>
      <c r="M3301">
        <v>0.54237060000000004</v>
      </c>
      <c r="N3301">
        <v>-7.8543599999999995E-3</v>
      </c>
      <c r="O3301">
        <v>-0.84010289999999999</v>
      </c>
      <c r="P3301">
        <v>0.77243869999999903</v>
      </c>
      <c r="Q3301">
        <v>0.34468159999999998</v>
      </c>
      <c r="R3301">
        <v>-0.53341689999999997</v>
      </c>
      <c r="S3301">
        <v>3.3630680000000002</v>
      </c>
      <c r="T3301">
        <v>-5.804372E-2</v>
      </c>
      <c r="U3301">
        <v>-0.80621339999999997</v>
      </c>
      <c r="V3301">
        <v>-0.36154599999999998</v>
      </c>
      <c r="W3301">
        <v>0.34950940000000003</v>
      </c>
      <c r="X3301">
        <v>0.86436550000000001</v>
      </c>
      <c r="Y3301">
        <v>-0.69041070000000004</v>
      </c>
      <c r="Z3301">
        <v>1.285408E-2</v>
      </c>
      <c r="AA3301">
        <v>0.72330340000000004</v>
      </c>
      <c r="AB3301">
        <v>16</v>
      </c>
      <c r="AC3301">
        <v>64.360500000000002</v>
      </c>
      <c r="AD3301">
        <v>-1.112307106911</v>
      </c>
      <c r="AE3301">
        <v>-15.326099999999901</v>
      </c>
      <c r="AF3301">
        <v>-45.745487817253199</v>
      </c>
      <c r="AG3301">
        <v>-1.112307106911</v>
      </c>
      <c r="AH3301">
        <v>47.770704834149001</v>
      </c>
      <c r="AI3301">
        <v>90.963457964773397</v>
      </c>
      <c r="AJ3301">
        <v>133.75937792949</v>
      </c>
      <c r="AK3301">
        <v>66.150790797162401</v>
      </c>
      <c r="AL3301">
        <v>69.542689747299093</v>
      </c>
      <c r="AM3301">
        <v>112.698537652162</v>
      </c>
      <c r="AN3301">
        <v>1.0000000241972999</v>
      </c>
    </row>
    <row r="3302" spans="1:40" x14ac:dyDescent="0.25">
      <c r="A3302" t="str">
        <f>"20190304164153739"</f>
        <v>20190304164153739</v>
      </c>
      <c r="B3302" t="str">
        <f>"1551688913734502"</f>
        <v>1551688913734502</v>
      </c>
      <c r="C3302" t="s">
        <v>40</v>
      </c>
      <c r="D3302">
        <v>3.9033389999999999</v>
      </c>
      <c r="E3302">
        <v>0.33608719999999997</v>
      </c>
      <c r="F3302" t="s">
        <v>47</v>
      </c>
      <c r="G3302">
        <v>-426.68939999999998</v>
      </c>
      <c r="H3302" s="1">
        <v>3.132353E-6</v>
      </c>
      <c r="I3302">
        <v>210.56319999999999</v>
      </c>
      <c r="J3302">
        <v>-487.4171</v>
      </c>
      <c r="K3302">
        <v>1.1123689999999999</v>
      </c>
      <c r="L3302">
        <v>224.61420000000001</v>
      </c>
      <c r="M3302">
        <v>0.54668130000000004</v>
      </c>
      <c r="N3302">
        <v>-7.6639450000000001E-3</v>
      </c>
      <c r="O3302">
        <v>-0.83730599999999999</v>
      </c>
      <c r="P3302">
        <v>0.77522679999999999</v>
      </c>
      <c r="Q3302">
        <v>0.3446534</v>
      </c>
      <c r="R3302">
        <v>-0.52937500000000004</v>
      </c>
      <c r="S3302">
        <v>3.3686829999999999</v>
      </c>
      <c r="T3302">
        <v>-6.1604739999999998E-2</v>
      </c>
      <c r="U3302">
        <v>-0.78581239999999997</v>
      </c>
      <c r="V3302">
        <v>-0.36169990000000002</v>
      </c>
      <c r="W3302">
        <v>0.3492422</v>
      </c>
      <c r="X3302">
        <v>0.86440910000000004</v>
      </c>
      <c r="Y3302">
        <v>-0.69109730000000003</v>
      </c>
      <c r="Z3302">
        <v>1.408033E-2</v>
      </c>
      <c r="AA3302">
        <v>0.72262459999999995</v>
      </c>
      <c r="AB3302">
        <v>16</v>
      </c>
      <c r="AC3302">
        <v>60.727699999999999</v>
      </c>
      <c r="AD3302">
        <v>-1.1123658676470001</v>
      </c>
      <c r="AE3302">
        <v>-14.051</v>
      </c>
      <c r="AF3302">
        <v>-43.153761918961898</v>
      </c>
      <c r="AG3302">
        <v>-1.1123658676470001</v>
      </c>
      <c r="AH3302">
        <v>44.950677932347702</v>
      </c>
      <c r="AI3302">
        <v>91.022706593604397</v>
      </c>
      <c r="AJ3302">
        <v>133.831597680952</v>
      </c>
      <c r="AK3302">
        <v>62.322130677309197</v>
      </c>
      <c r="AL3302">
        <v>69.559028564416295</v>
      </c>
      <c r="AM3302">
        <v>112.706190418299</v>
      </c>
      <c r="AN3302">
        <v>1.00000001204183</v>
      </c>
    </row>
    <row r="3303" spans="1:40" x14ac:dyDescent="0.25">
      <c r="A3303" t="str">
        <f>"20190304164153761"</f>
        <v>20190304164153761</v>
      </c>
      <c r="B3303" t="str">
        <f>"1551688913754022"</f>
        <v>1551688913754022</v>
      </c>
      <c r="C3303" t="s">
        <v>40</v>
      </c>
      <c r="D3303">
        <v>3.8774120000000001</v>
      </c>
      <c r="E3303">
        <v>0.33573170000000002</v>
      </c>
      <c r="F3303" t="s">
        <v>47</v>
      </c>
      <c r="G3303">
        <v>-416.19839999999999</v>
      </c>
      <c r="H3303" s="1">
        <v>4.1127140000000004E-6</v>
      </c>
      <c r="I3303">
        <v>208.5686</v>
      </c>
      <c r="J3303">
        <v>-487.31990000000002</v>
      </c>
      <c r="K3303">
        <v>1.1124459999999901</v>
      </c>
      <c r="L3303">
        <v>224.47640000000001</v>
      </c>
      <c r="M3303">
        <v>0.55110570000000003</v>
      </c>
      <c r="N3303">
        <v>-7.4964940000000002E-3</v>
      </c>
      <c r="O3303">
        <v>-0.83440179999999997</v>
      </c>
      <c r="P3303">
        <v>0.77756859999999905</v>
      </c>
      <c r="Q3303">
        <v>0.34530840000000002</v>
      </c>
      <c r="R3303">
        <v>-0.52549919999999894</v>
      </c>
      <c r="S3303">
        <v>3.3741460000000001</v>
      </c>
      <c r="T3303">
        <v>-5.2700759999999999E-2</v>
      </c>
      <c r="U3303">
        <v>-0.76019289999999995</v>
      </c>
      <c r="V3303">
        <v>-0.36127900000000002</v>
      </c>
      <c r="W3303">
        <v>0.34967199999999998</v>
      </c>
      <c r="X3303">
        <v>0.86441139999999905</v>
      </c>
      <c r="Y3303">
        <v>-0.69278329999999999</v>
      </c>
      <c r="Z3303">
        <v>1.1501219999999999E-2</v>
      </c>
      <c r="AA3303">
        <v>0.72105410000000003</v>
      </c>
      <c r="AB3303">
        <v>16</v>
      </c>
      <c r="AC3303">
        <v>71.121499999999997</v>
      </c>
      <c r="AD3303">
        <v>-1.11244188728599</v>
      </c>
      <c r="AE3303">
        <v>-15.9078</v>
      </c>
      <c r="AF3303">
        <v>-50.566666292601901</v>
      </c>
      <c r="AG3303">
        <v>-1.11244188728599</v>
      </c>
      <c r="AH3303">
        <v>52.4582113114027</v>
      </c>
      <c r="AI3303">
        <v>90.874713697984802</v>
      </c>
      <c r="AJ3303">
        <v>133.94816306930301</v>
      </c>
      <c r="AK3303">
        <v>72.870358863475701</v>
      </c>
      <c r="AL3303">
        <v>69.532746495272903</v>
      </c>
      <c r="AM3303">
        <v>112.682390373549</v>
      </c>
      <c r="AN3303">
        <v>1.0000000459374701</v>
      </c>
    </row>
    <row r="3304" spans="1:40" x14ac:dyDescent="0.25">
      <c r="A3304" t="str">
        <f>"20190304164153784"</f>
        <v>20190304164153784</v>
      </c>
      <c r="B3304" t="str">
        <f>"1551688913774518"</f>
        <v>1551688913774518</v>
      </c>
      <c r="C3304" t="s">
        <v>40</v>
      </c>
      <c r="D3304">
        <v>3.9969380000000001</v>
      </c>
      <c r="E3304">
        <v>0.3353932</v>
      </c>
      <c r="F3304" t="s">
        <v>47</v>
      </c>
      <c r="G3304">
        <v>-409.42180000000002</v>
      </c>
      <c r="H3304">
        <v>8.0001199999999995E-2</v>
      </c>
      <c r="I3304">
        <v>207.4299</v>
      </c>
      <c r="J3304">
        <v>-487.2253</v>
      </c>
      <c r="K3304">
        <v>1.1125350000000001</v>
      </c>
      <c r="L3304">
        <v>224.3441</v>
      </c>
      <c r="M3304">
        <v>0.55547179999999996</v>
      </c>
      <c r="N3304">
        <v>-7.3594899999999998E-3</v>
      </c>
      <c r="O3304">
        <v>-0.83150290000000004</v>
      </c>
      <c r="P3304">
        <v>0.77967659999999905</v>
      </c>
      <c r="Q3304">
        <v>0.34618559999999998</v>
      </c>
      <c r="R3304">
        <v>-0.52178539999999995</v>
      </c>
      <c r="S3304">
        <v>3.3784179999999999</v>
      </c>
      <c r="T3304">
        <v>-4.4776799999999999E-2</v>
      </c>
      <c r="U3304">
        <v>-0.73930359999999995</v>
      </c>
      <c r="V3304">
        <v>-0.36063420000000002</v>
      </c>
      <c r="W3304">
        <v>0.35034870000000001</v>
      </c>
      <c r="X3304">
        <v>0.86440659999999903</v>
      </c>
      <c r="Y3304">
        <v>-0.69347859999999995</v>
      </c>
      <c r="Z3304">
        <v>9.1927950000000001E-3</v>
      </c>
      <c r="AA3304">
        <v>0.72041860000000002</v>
      </c>
      <c r="AB3304">
        <v>17</v>
      </c>
      <c r="AC3304">
        <v>77.8034999999999</v>
      </c>
      <c r="AD3304">
        <v>-1.0325337999999999</v>
      </c>
      <c r="AE3304">
        <v>-16.914199999999902</v>
      </c>
      <c r="AF3304">
        <v>-55.2906696885576</v>
      </c>
      <c r="AG3304">
        <v>-1.0325337999999999</v>
      </c>
      <c r="AH3304">
        <v>57.273771527144604</v>
      </c>
      <c r="AI3304">
        <v>90.743102887722003</v>
      </c>
      <c r="AJ3304">
        <v>133.990697138901</v>
      </c>
      <c r="AK3304">
        <v>79.614126796699097</v>
      </c>
      <c r="AL3304">
        <v>69.491355442851599</v>
      </c>
      <c r="AM3304">
        <v>112.646110031877</v>
      </c>
      <c r="AN3304">
        <v>1.0000000039624399</v>
      </c>
    </row>
    <row r="3305" spans="1:40" x14ac:dyDescent="0.25">
      <c r="A3305" t="str">
        <f>"20190304164153807"</f>
        <v>20190304164153807</v>
      </c>
      <c r="B3305" t="str">
        <f>"1551688913804774"</f>
        <v>1551688913804774</v>
      </c>
      <c r="C3305" t="s">
        <v>40</v>
      </c>
      <c r="D3305">
        <v>3.9746190000000001</v>
      </c>
      <c r="E3305">
        <v>0.33530589999999999</v>
      </c>
      <c r="F3305" t="s">
        <v>43</v>
      </c>
      <c r="G3305">
        <v>-373.64319999999998</v>
      </c>
      <c r="H3305">
        <v>-0.05</v>
      </c>
      <c r="I3305">
        <v>200.19470000000001</v>
      </c>
      <c r="J3305">
        <v>-487.12049999999999</v>
      </c>
      <c r="K3305">
        <v>1.1126339999999999</v>
      </c>
      <c r="L3305">
        <v>224.1996</v>
      </c>
      <c r="M3305">
        <v>0.56037499999999996</v>
      </c>
      <c r="N3305">
        <v>-7.2336140000000002E-3</v>
      </c>
      <c r="O3305">
        <v>-0.82820769999999899</v>
      </c>
      <c r="P3305">
        <v>0.78213149999999998</v>
      </c>
      <c r="Q3305">
        <v>0.34652349999999998</v>
      </c>
      <c r="R3305">
        <v>-0.51787280000000002</v>
      </c>
      <c r="S3305">
        <v>3.3819270000000001</v>
      </c>
      <c r="T3305">
        <v>-3.4614680000000002E-2</v>
      </c>
      <c r="U3305">
        <v>-0.71905520000000001</v>
      </c>
      <c r="V3305">
        <v>-0.35982710000000001</v>
      </c>
      <c r="W3305">
        <v>0.35048899999999999</v>
      </c>
      <c r="X3305">
        <v>0.86468609999999901</v>
      </c>
      <c r="Y3305">
        <v>-0.69353019999999999</v>
      </c>
      <c r="Z3305">
        <v>6.1961569999999999E-3</v>
      </c>
      <c r="AA3305">
        <v>0.72040090000000001</v>
      </c>
      <c r="AB3305">
        <v>17</v>
      </c>
      <c r="AC3305">
        <v>113.4773</v>
      </c>
      <c r="AD3305">
        <v>-1.1626339999999999</v>
      </c>
      <c r="AE3305">
        <v>-24.0048999999999</v>
      </c>
      <c r="AF3305">
        <v>-80.525025534034697</v>
      </c>
      <c r="AG3305">
        <v>-1.1626339999999999</v>
      </c>
      <c r="AH3305">
        <v>83.464663623549995</v>
      </c>
      <c r="AI3305">
        <v>90.574354190629904</v>
      </c>
      <c r="AJ3305">
        <v>133.97304019775299</v>
      </c>
      <c r="AK3305">
        <v>115.98267771036799</v>
      </c>
      <c r="AL3305">
        <v>69.482773971867402</v>
      </c>
      <c r="AM3305">
        <v>112.59395768878299</v>
      </c>
      <c r="AN3305">
        <v>1.0000000662743</v>
      </c>
    </row>
    <row r="3306" spans="1:40" x14ac:dyDescent="0.25">
      <c r="A3306" t="str">
        <f>"20190304164153831"</f>
        <v>20190304164153831</v>
      </c>
      <c r="B3306" t="str">
        <f>"1551688913824369"</f>
        <v>1551688913824369</v>
      </c>
      <c r="C3306" t="s">
        <v>40</v>
      </c>
      <c r="D3306">
        <v>3.9879920000000002</v>
      </c>
      <c r="E3306">
        <v>0.33576889999999998</v>
      </c>
      <c r="F3306" t="s">
        <v>43</v>
      </c>
      <c r="G3306">
        <v>-350.50830000000002</v>
      </c>
      <c r="H3306">
        <v>-0.05</v>
      </c>
      <c r="I3306">
        <v>195.91630000000001</v>
      </c>
      <c r="J3306">
        <v>-487.01620000000003</v>
      </c>
      <c r="K3306">
        <v>1.112722</v>
      </c>
      <c r="L3306">
        <v>224.05789999999999</v>
      </c>
      <c r="M3306">
        <v>0.56529469999999904</v>
      </c>
      <c r="N3306">
        <v>-7.1293579999999997E-3</v>
      </c>
      <c r="O3306">
        <v>-0.82485819999999999</v>
      </c>
      <c r="P3306">
        <v>0.7845181</v>
      </c>
      <c r="Q3306">
        <v>0.34672160000000002</v>
      </c>
      <c r="R3306">
        <v>-0.51411629999999997</v>
      </c>
      <c r="S3306">
        <v>3.3844599999999998</v>
      </c>
      <c r="T3306">
        <v>-2.8803349999999998E-2</v>
      </c>
      <c r="U3306">
        <v>-0.70069890000000001</v>
      </c>
      <c r="V3306">
        <v>-0.35883599999999999</v>
      </c>
      <c r="W3306">
        <v>0.35052060000000002</v>
      </c>
      <c r="X3306">
        <v>0.86508490000000005</v>
      </c>
      <c r="Y3306">
        <v>-0.69310709999999998</v>
      </c>
      <c r="Z3306">
        <v>4.5142159999999997E-3</v>
      </c>
      <c r="AA3306">
        <v>0.72082040000000003</v>
      </c>
      <c r="AB3306">
        <v>17</v>
      </c>
      <c r="AC3306">
        <v>136.50790000000001</v>
      </c>
      <c r="AD3306">
        <v>-1.162722</v>
      </c>
      <c r="AE3306">
        <v>-28.141599999999901</v>
      </c>
      <c r="AF3306">
        <v>-96.6870932554083</v>
      </c>
      <c r="AG3306">
        <v>-1.162722</v>
      </c>
      <c r="AH3306">
        <v>100.375588905445</v>
      </c>
      <c r="AI3306">
        <v>90.4779946028616</v>
      </c>
      <c r="AJ3306">
        <v>133.92769875738099</v>
      </c>
      <c r="AK3306">
        <v>139.373615769786</v>
      </c>
      <c r="AL3306">
        <v>69.480837757769194</v>
      </c>
      <c r="AM3306">
        <v>112.528605044785</v>
      </c>
      <c r="AN3306">
        <v>0.999999925064182</v>
      </c>
    </row>
    <row r="3307" spans="1:40" x14ac:dyDescent="0.25">
      <c r="A3307" t="str">
        <f>"20190304164153851"</f>
        <v>20190304164153851</v>
      </c>
      <c r="B3307" t="str">
        <f>"1551688913843889"</f>
        <v>1551688913843889</v>
      </c>
      <c r="C3307" t="s">
        <v>40</v>
      </c>
      <c r="D3307">
        <v>3.980073</v>
      </c>
      <c r="E3307">
        <v>0.3362039</v>
      </c>
      <c r="F3307" t="s">
        <v>43</v>
      </c>
      <c r="G3307">
        <v>-350.40570000000002</v>
      </c>
      <c r="H3307">
        <v>-0.05</v>
      </c>
      <c r="I3307">
        <v>196.27959999999999</v>
      </c>
      <c r="J3307">
        <v>-486.92520000000002</v>
      </c>
      <c r="K3307">
        <v>1.1127940000000001</v>
      </c>
      <c r="L3307">
        <v>223.9357</v>
      </c>
      <c r="M3307">
        <v>0.56963149999999996</v>
      </c>
      <c r="N3307">
        <v>-7.0533749999999997E-3</v>
      </c>
      <c r="O3307">
        <v>-0.82186999999999999</v>
      </c>
      <c r="P3307">
        <v>0.78662310000000002</v>
      </c>
      <c r="Q3307">
        <v>0.34688249999999998</v>
      </c>
      <c r="R3307">
        <v>-0.51078049999999997</v>
      </c>
      <c r="S3307">
        <v>3.3856199999999999</v>
      </c>
      <c r="T3307">
        <v>-2.8815750000000001E-2</v>
      </c>
      <c r="U3307">
        <v>-0.68843080000000001</v>
      </c>
      <c r="V3307">
        <v>-0.35795909999999997</v>
      </c>
      <c r="W3307">
        <v>0.3505568</v>
      </c>
      <c r="X3307">
        <v>0.86543359999999903</v>
      </c>
      <c r="Y3307">
        <v>-0.69186530000000002</v>
      </c>
      <c r="Z3307">
        <v>4.5810149999999999E-3</v>
      </c>
      <c r="AA3307">
        <v>0.72201199999999999</v>
      </c>
      <c r="AB3307">
        <v>17</v>
      </c>
      <c r="AC3307">
        <v>136.51949999999999</v>
      </c>
      <c r="AD3307">
        <v>-1.1627940000000001</v>
      </c>
      <c r="AE3307">
        <v>-27.656099999999999</v>
      </c>
      <c r="AF3307">
        <v>-96.443169690710803</v>
      </c>
      <c r="AG3307">
        <v>-1.1627940000000001</v>
      </c>
      <c r="AH3307">
        <v>100.491018854111</v>
      </c>
      <c r="AI3307">
        <v>90.478318836687507</v>
      </c>
      <c r="AJ3307">
        <v>133.822489777112</v>
      </c>
      <c r="AK3307">
        <v>139.28776665671299</v>
      </c>
      <c r="AL3307">
        <v>69.478625843142794</v>
      </c>
      <c r="AM3307">
        <v>112.47087835832301</v>
      </c>
      <c r="AN3307">
        <v>1.000000051654</v>
      </c>
    </row>
    <row r="3308" spans="1:40" x14ac:dyDescent="0.25">
      <c r="A3308" t="str">
        <f>"20190304164153874"</f>
        <v>20190304164153874</v>
      </c>
      <c r="B3308" t="str">
        <f>"1551688913864385"</f>
        <v>1551688913864385</v>
      </c>
      <c r="C3308" t="s">
        <v>40</v>
      </c>
      <c r="D3308">
        <v>4.0012460000000001</v>
      </c>
      <c r="E3308">
        <v>0.33658110000000002</v>
      </c>
      <c r="F3308" t="s">
        <v>43</v>
      </c>
      <c r="G3308">
        <v>-356.91520000000003</v>
      </c>
      <c r="H3308">
        <v>-0.05</v>
      </c>
      <c r="I3308">
        <v>197.87309999999999</v>
      </c>
      <c r="J3308">
        <v>-486.82429999999999</v>
      </c>
      <c r="K3308">
        <v>1.11287</v>
      </c>
      <c r="L3308">
        <v>223.8021</v>
      </c>
      <c r="M3308">
        <v>0.5744783</v>
      </c>
      <c r="N3308">
        <v>-6.9840170000000003E-3</v>
      </c>
      <c r="O3308">
        <v>-0.8184901</v>
      </c>
      <c r="P3308">
        <v>0.78889880000000001</v>
      </c>
      <c r="Q3308">
        <v>0.34709970000000001</v>
      </c>
      <c r="R3308">
        <v>-0.50711010000000001</v>
      </c>
      <c r="S3308">
        <v>3.3863530000000002</v>
      </c>
      <c r="T3308">
        <v>-3.0287149999999999E-2</v>
      </c>
      <c r="U3308">
        <v>-0.67884829999999996</v>
      </c>
      <c r="V3308">
        <v>-0.35687039999999998</v>
      </c>
      <c r="W3308">
        <v>0.35065010000000002</v>
      </c>
      <c r="X3308">
        <v>0.86584530000000004</v>
      </c>
      <c r="Y3308">
        <v>-0.68958629999999999</v>
      </c>
      <c r="Z3308">
        <v>5.0808590000000001E-3</v>
      </c>
      <c r="AA3308">
        <v>0.72418559999999998</v>
      </c>
      <c r="AB3308">
        <v>17</v>
      </c>
      <c r="AC3308">
        <v>129.909099999999</v>
      </c>
      <c r="AD3308">
        <v>-1.1628700000000001</v>
      </c>
      <c r="AE3308">
        <v>-25.928999999999998</v>
      </c>
      <c r="AF3308">
        <v>-91.428842789554807</v>
      </c>
      <c r="AG3308">
        <v>-1.1628700000000001</v>
      </c>
      <c r="AH3308">
        <v>95.847534080307994</v>
      </c>
      <c r="AI3308">
        <v>90.502983558688598</v>
      </c>
      <c r="AJ3308">
        <v>133.64838586966499</v>
      </c>
      <c r="AK3308">
        <v>132.46635553886799</v>
      </c>
      <c r="AL3308">
        <v>69.4729173451246</v>
      </c>
      <c r="AM3308">
        <v>112.399701348321</v>
      </c>
      <c r="AN3308">
        <v>1.00000002927912</v>
      </c>
    </row>
    <row r="3309" spans="1:40" x14ac:dyDescent="0.25">
      <c r="A3309" t="str">
        <f>"20190304164153895"</f>
        <v>20190304164153895</v>
      </c>
      <c r="B3309" t="str">
        <f>"1551688913883904"</f>
        <v>1551688913883904</v>
      </c>
      <c r="C3309" t="s">
        <v>40</v>
      </c>
      <c r="D3309">
        <v>3.9905979999999999</v>
      </c>
      <c r="E3309">
        <v>0.33694000000000002</v>
      </c>
      <c r="F3309" t="s">
        <v>43</v>
      </c>
      <c r="G3309">
        <v>-356.8922</v>
      </c>
      <c r="H3309">
        <v>-0.05</v>
      </c>
      <c r="I3309">
        <v>198.25710000000001</v>
      </c>
      <c r="J3309">
        <v>-486.72410000000002</v>
      </c>
      <c r="K3309">
        <v>1.112954</v>
      </c>
      <c r="L3309">
        <v>223.6712</v>
      </c>
      <c r="M3309">
        <v>0.57934189999999997</v>
      </c>
      <c r="N3309">
        <v>-6.9289440000000002E-3</v>
      </c>
      <c r="O3309">
        <v>-0.81505530000000004</v>
      </c>
      <c r="P3309">
        <v>0.79102569999999905</v>
      </c>
      <c r="Q3309">
        <v>0.34728809999999999</v>
      </c>
      <c r="R3309">
        <v>-0.50365649999999995</v>
      </c>
      <c r="S3309">
        <v>3.3879389999999998</v>
      </c>
      <c r="T3309">
        <v>-3.0321480000000001E-2</v>
      </c>
      <c r="U3309">
        <v>-0.66607669999999997</v>
      </c>
      <c r="V3309">
        <v>-0.35550479999999901</v>
      </c>
      <c r="W3309">
        <v>0.35072789999999998</v>
      </c>
      <c r="X3309">
        <v>0.86637540000000002</v>
      </c>
      <c r="Y3309">
        <v>-0.68796449999999998</v>
      </c>
      <c r="Z3309">
        <v>5.1385720000000001E-3</v>
      </c>
      <c r="AA3309">
        <v>0.72572619999999999</v>
      </c>
      <c r="AB3309">
        <v>17</v>
      </c>
      <c r="AC3309">
        <v>129.83189999999999</v>
      </c>
      <c r="AD3309">
        <v>-1.162954</v>
      </c>
      <c r="AE3309">
        <v>-25.414099999999902</v>
      </c>
      <c r="AF3309">
        <v>-91.091864445007104</v>
      </c>
      <c r="AG3309">
        <v>-1.162954</v>
      </c>
      <c r="AH3309">
        <v>95.925837801072603</v>
      </c>
      <c r="AI3309">
        <v>90.503687570792096</v>
      </c>
      <c r="AJ3309">
        <v>133.5193668174</v>
      </c>
      <c r="AK3309">
        <v>132.29076531606901</v>
      </c>
      <c r="AL3309">
        <v>69.4681574182666</v>
      </c>
      <c r="AM3309">
        <v>112.310095918576</v>
      </c>
      <c r="AN3309">
        <v>1.0000000281932999</v>
      </c>
    </row>
    <row r="3310" spans="1:40" x14ac:dyDescent="0.25">
      <c r="A3310" t="str">
        <f>"20190304164153918"</f>
        <v>20190304164153918</v>
      </c>
      <c r="B3310" t="str">
        <f>"1551688913904401"</f>
        <v>1551688913904401</v>
      </c>
      <c r="C3310" t="s">
        <v>40</v>
      </c>
      <c r="D3310">
        <v>4.4801630000000001</v>
      </c>
      <c r="E3310">
        <v>0.3399276</v>
      </c>
      <c r="F3310" t="s">
        <v>43</v>
      </c>
      <c r="G3310">
        <v>-359.40159999999997</v>
      </c>
      <c r="H3310">
        <v>-0.05</v>
      </c>
      <c r="I3310">
        <v>199.0804</v>
      </c>
      <c r="J3310">
        <v>-486.62020000000001</v>
      </c>
      <c r="K3310">
        <v>1.113048</v>
      </c>
      <c r="L3310">
        <v>223.53749999999999</v>
      </c>
      <c r="M3310">
        <v>0.58442680000000002</v>
      </c>
      <c r="N3310">
        <v>-6.8846609999999898E-3</v>
      </c>
      <c r="O3310">
        <v>-0.81141719999999995</v>
      </c>
      <c r="P3310">
        <v>0.79343280000000005</v>
      </c>
      <c r="Q3310">
        <v>0.34731020000000001</v>
      </c>
      <c r="R3310">
        <v>-0.49984040000000002</v>
      </c>
      <c r="S3310">
        <v>3.3893740000000001</v>
      </c>
      <c r="T3310">
        <v>-3.0958289999999999E-2</v>
      </c>
      <c r="U3310">
        <v>-0.65461729999999996</v>
      </c>
      <c r="V3310">
        <v>-0.35433300000000001</v>
      </c>
      <c r="W3310">
        <v>0.35063939999999999</v>
      </c>
      <c r="X3310">
        <v>0.86689110000000003</v>
      </c>
      <c r="Y3310">
        <v>-0.68584469999999997</v>
      </c>
      <c r="Z3310">
        <v>5.3683869999999996E-3</v>
      </c>
      <c r="AA3310">
        <v>0.72772809999999999</v>
      </c>
      <c r="AB3310">
        <v>17</v>
      </c>
      <c r="AC3310">
        <v>127.2186</v>
      </c>
      <c r="AD3310">
        <v>-1.1630479999999901</v>
      </c>
      <c r="AE3310">
        <v>-24.457100000000001</v>
      </c>
      <c r="AF3310">
        <v>-88.928917596322705</v>
      </c>
      <c r="AG3310">
        <v>-1.1630479999999901</v>
      </c>
      <c r="AH3310">
        <v>94.189513786075196</v>
      </c>
      <c r="AI3310">
        <v>90.514413556202499</v>
      </c>
      <c r="AJ3310">
        <v>133.354468846055</v>
      </c>
      <c r="AK3310">
        <v>129.54292559904999</v>
      </c>
      <c r="AL3310">
        <v>69.473571806147106</v>
      </c>
      <c r="AM3310">
        <v>112.231794463648</v>
      </c>
      <c r="AN3310">
        <v>1.00000002149028</v>
      </c>
    </row>
    <row r="3311" spans="1:40" x14ac:dyDescent="0.25">
      <c r="A3311" t="str">
        <f>"20190304164153940"</f>
        <v>20190304164153940</v>
      </c>
      <c r="B3311" t="str">
        <f>"1551688913934656"</f>
        <v>1551688913934656</v>
      </c>
      <c r="C3311" t="s">
        <v>40</v>
      </c>
      <c r="D3311">
        <v>4.1203599999999998</v>
      </c>
      <c r="E3311">
        <v>0.46828920000000002</v>
      </c>
      <c r="F3311" t="s">
        <v>43</v>
      </c>
      <c r="G3311">
        <v>-367.55250000000001</v>
      </c>
      <c r="H3311">
        <v>-0.05</v>
      </c>
      <c r="I3311">
        <v>200.2953</v>
      </c>
      <c r="J3311">
        <v>-486.51519999999999</v>
      </c>
      <c r="K3311">
        <v>1.1131420000000001</v>
      </c>
      <c r="L3311">
        <v>223.4042</v>
      </c>
      <c r="M3311">
        <v>0.58961370000000002</v>
      </c>
      <c r="N3311">
        <v>-6.8513009999999997E-3</v>
      </c>
      <c r="O3311">
        <v>-0.80765629999999999</v>
      </c>
      <c r="P3311">
        <v>0.79604969999999997</v>
      </c>
      <c r="Q3311">
        <v>0.34665550000000001</v>
      </c>
      <c r="R3311">
        <v>-0.49611959999999999</v>
      </c>
      <c r="S3311">
        <v>3.379883</v>
      </c>
      <c r="T3311">
        <v>-3.3014540000000002E-2</v>
      </c>
      <c r="U3311">
        <v>-0.65975950000000005</v>
      </c>
      <c r="V3311">
        <v>-0.35314780000000001</v>
      </c>
      <c r="W3311">
        <v>0.34988010000000003</v>
      </c>
      <c r="X3311">
        <v>0.86768109999999998</v>
      </c>
      <c r="Y3311">
        <v>-0.67970629999999999</v>
      </c>
      <c r="Z3311">
        <v>6.0098769999999899E-3</v>
      </c>
      <c r="AA3311">
        <v>0.7334598</v>
      </c>
      <c r="AB3311">
        <v>17</v>
      </c>
      <c r="AC3311">
        <v>118.962699999999</v>
      </c>
      <c r="AD3311">
        <v>-1.1631419999999999</v>
      </c>
      <c r="AE3311">
        <v>-23.108899999999998</v>
      </c>
      <c r="AF3311">
        <v>-82.449991921999299</v>
      </c>
      <c r="AG3311">
        <v>-1.1631419999999999</v>
      </c>
      <c r="AH3311">
        <v>88.799992442468394</v>
      </c>
      <c r="AI3311">
        <v>90.549956233238504</v>
      </c>
      <c r="AJ3311">
        <v>132.876428309511</v>
      </c>
      <c r="AK3311">
        <v>121.180826556977</v>
      </c>
      <c r="AL3311">
        <v>69.520017731642497</v>
      </c>
      <c r="AM3311">
        <v>112.14641335583499</v>
      </c>
      <c r="AN3311">
        <v>0.99999997215902903</v>
      </c>
    </row>
    <row r="3312" spans="1:40" x14ac:dyDescent="0.25">
      <c r="A3312" t="str">
        <f>"20190304164153963"</f>
        <v>20190304164153963</v>
      </c>
      <c r="B3312" t="str">
        <f>"1551688913954177"</f>
        <v>1551688913954177</v>
      </c>
      <c r="C3312" t="s">
        <v>40</v>
      </c>
      <c r="D3312">
        <v>4.0963120000000002</v>
      </c>
      <c r="E3312">
        <v>0.4763442</v>
      </c>
      <c r="F3312" t="s">
        <v>45</v>
      </c>
      <c r="G3312">
        <v>-472.44279999999998</v>
      </c>
      <c r="H3312" s="1">
        <v>4.9288299999999997E-6</v>
      </c>
      <c r="I3312">
        <v>215.8443</v>
      </c>
      <c r="J3312">
        <v>-486.40230000000003</v>
      </c>
      <c r="K3312">
        <v>1.113254</v>
      </c>
      <c r="L3312">
        <v>223.26310000000001</v>
      </c>
      <c r="M3312">
        <v>0.59523990000000004</v>
      </c>
      <c r="N3312">
        <v>-6.8263819999999998E-3</v>
      </c>
      <c r="O3312">
        <v>-0.80351939999999999</v>
      </c>
      <c r="P3312">
        <v>0.79902249999999997</v>
      </c>
      <c r="Q3312">
        <v>0.34609590000000001</v>
      </c>
      <c r="R3312">
        <v>-0.49171280000000001</v>
      </c>
      <c r="S3312">
        <v>2.8981319999999999</v>
      </c>
      <c r="T3312">
        <v>-0.22924420000000001</v>
      </c>
      <c r="U3312">
        <v>-1.556915</v>
      </c>
      <c r="V3312">
        <v>-0.35217110000000001</v>
      </c>
      <c r="W3312">
        <v>0.34921049999999998</v>
      </c>
      <c r="X3312">
        <v>0.8683476</v>
      </c>
      <c r="Y3312">
        <v>-0.42413899999999999</v>
      </c>
      <c r="Z3312">
        <v>6.0536369999999999E-2</v>
      </c>
      <c r="AA3312">
        <v>0.90357149999999997</v>
      </c>
      <c r="AB3312">
        <v>17</v>
      </c>
      <c r="AC3312">
        <v>13.9595</v>
      </c>
      <c r="AD3312">
        <v>-1.11324907117</v>
      </c>
      <c r="AE3312">
        <v>-7.4188000000000001</v>
      </c>
      <c r="AF3312">
        <v>-6.7673594594523596</v>
      </c>
      <c r="AG3312">
        <v>-1.11324907117</v>
      </c>
      <c r="AH3312">
        <v>14.200308076633</v>
      </c>
      <c r="AI3312">
        <v>94.048101183008995</v>
      </c>
      <c r="AJ3312">
        <v>115.48080061528</v>
      </c>
      <c r="AK3312">
        <v>15.7697567203552</v>
      </c>
      <c r="AL3312">
        <v>69.560966744768805</v>
      </c>
      <c r="AM3312">
        <v>112.075735812754</v>
      </c>
      <c r="AN3312">
        <v>1.00000000570561</v>
      </c>
    </row>
    <row r="3313" spans="1:40" x14ac:dyDescent="0.25">
      <c r="A3313" t="str">
        <f>"20190304164153985"</f>
        <v>20190304164153985</v>
      </c>
      <c r="B3313" t="str">
        <f>"1551688913974672"</f>
        <v>1551688913974672</v>
      </c>
      <c r="C3313" t="s">
        <v>40</v>
      </c>
      <c r="D3313">
        <v>4.0847480000000003</v>
      </c>
      <c r="E3313">
        <v>0.47933399999999998</v>
      </c>
      <c r="F3313" t="s">
        <v>45</v>
      </c>
      <c r="G3313">
        <v>-474.90190000000001</v>
      </c>
      <c r="H3313" s="1">
        <v>3.8828219999999997E-6</v>
      </c>
      <c r="I3313">
        <v>216.8622</v>
      </c>
      <c r="J3313">
        <v>-486.29539999999997</v>
      </c>
      <c r="K3313">
        <v>1.113356</v>
      </c>
      <c r="L3313">
        <v>223.1318</v>
      </c>
      <c r="M3313">
        <v>0.60060659999999999</v>
      </c>
      <c r="N3313">
        <v>-6.8120000000000003E-3</v>
      </c>
      <c r="O3313">
        <v>-0.7995158</v>
      </c>
      <c r="P3313">
        <v>0.80154939999999997</v>
      </c>
      <c r="Q3313">
        <v>0.34593380000000001</v>
      </c>
      <c r="R3313">
        <v>-0.48769750000000001</v>
      </c>
      <c r="S3313">
        <v>2.8868710000000002</v>
      </c>
      <c r="T3313">
        <v>-0.2794526</v>
      </c>
      <c r="U3313">
        <v>-1.6067659999999999</v>
      </c>
      <c r="V3313">
        <v>-0.35085929999999999</v>
      </c>
      <c r="W3313">
        <v>0.34895579999999998</v>
      </c>
      <c r="X3313">
        <v>0.8689808</v>
      </c>
      <c r="Y3313">
        <v>-0.4035646</v>
      </c>
      <c r="Z3313">
        <v>7.3556360000000001E-2</v>
      </c>
      <c r="AA3313">
        <v>0.91198959999999996</v>
      </c>
      <c r="AB3313">
        <v>18</v>
      </c>
      <c r="AC3313">
        <v>11.3934999999999</v>
      </c>
      <c r="AD3313">
        <v>-1.1133521171780001</v>
      </c>
      <c r="AE3313">
        <v>-6.2695999999999898</v>
      </c>
      <c r="AF3313">
        <v>-5.3049611695634402</v>
      </c>
      <c r="AG3313">
        <v>-1.1133521171780001</v>
      </c>
      <c r="AH3313">
        <v>11.769664365390801</v>
      </c>
      <c r="AI3313">
        <v>94.928972137011698</v>
      </c>
      <c r="AJ3313">
        <v>114.262600622021</v>
      </c>
      <c r="AK3313">
        <v>12.957899722615201</v>
      </c>
      <c r="AL3313">
        <v>69.576539836695304</v>
      </c>
      <c r="AM3313">
        <v>111.98686372663499</v>
      </c>
      <c r="AN3313">
        <v>1.0000000147593799</v>
      </c>
    </row>
    <row r="3314" spans="1:40" x14ac:dyDescent="0.25">
      <c r="A3314" t="str">
        <f>"20190304164154009"</f>
        <v>20190304164154009</v>
      </c>
      <c r="B3314" t="str">
        <f>"1551688914003953"</f>
        <v>1551688914003953</v>
      </c>
      <c r="C3314" t="s">
        <v>40</v>
      </c>
      <c r="D3314">
        <v>4.0923449999999999</v>
      </c>
      <c r="E3314">
        <v>0.48124280000000003</v>
      </c>
      <c r="F3314" t="s">
        <v>45</v>
      </c>
      <c r="G3314">
        <v>-475.4828</v>
      </c>
      <c r="H3314" s="1">
        <v>3.6345850000000001E-6</v>
      </c>
      <c r="I3314">
        <v>217.07679999999999</v>
      </c>
      <c r="J3314">
        <v>-486.17520000000002</v>
      </c>
      <c r="K3314">
        <v>1.1134550000000001</v>
      </c>
      <c r="L3314">
        <v>222.98650000000001</v>
      </c>
      <c r="M3314">
        <v>0.60667380000000004</v>
      </c>
      <c r="N3314">
        <v>-6.8027199999999999E-3</v>
      </c>
      <c r="O3314">
        <v>-0.79492180000000001</v>
      </c>
      <c r="P3314">
        <v>0.80479089999999998</v>
      </c>
      <c r="Q3314">
        <v>0.34489880000000001</v>
      </c>
      <c r="R3314">
        <v>-0.48306969999999999</v>
      </c>
      <c r="S3314">
        <v>2.8872680000000002</v>
      </c>
      <c r="T3314">
        <v>-0.29729699999999998</v>
      </c>
      <c r="U3314">
        <v>-1.6168670000000001</v>
      </c>
      <c r="V3314">
        <v>-0.34968929999999998</v>
      </c>
      <c r="W3314">
        <v>0.34783350000000002</v>
      </c>
      <c r="X3314">
        <v>0.86990190000000001</v>
      </c>
      <c r="Y3314">
        <v>-0.39384530000000001</v>
      </c>
      <c r="Z3314">
        <v>7.7812950000000006E-2</v>
      </c>
      <c r="AA3314">
        <v>0.91587719999999995</v>
      </c>
      <c r="AB3314">
        <v>18</v>
      </c>
      <c r="AC3314">
        <v>10.692399999999999</v>
      </c>
      <c r="AD3314">
        <v>-1.11345136541499</v>
      </c>
      <c r="AE3314">
        <v>-5.9097000000000097</v>
      </c>
      <c r="AF3314">
        <v>-4.8739891067444301</v>
      </c>
      <c r="AG3314">
        <v>-1.11345136541499</v>
      </c>
      <c r="AH3314">
        <v>11.0926647092269</v>
      </c>
      <c r="AI3314">
        <v>95.250592793717601</v>
      </c>
      <c r="AJ3314">
        <v>113.72013348112</v>
      </c>
      <c r="AK3314">
        <v>12.167282116690499</v>
      </c>
      <c r="AL3314">
        <v>69.645141277999102</v>
      </c>
      <c r="AM3314">
        <v>111.899488457426</v>
      </c>
      <c r="AN3314">
        <v>1.0000000329401699</v>
      </c>
    </row>
    <row r="3315" spans="1:40" x14ac:dyDescent="0.25">
      <c r="A3315" t="str">
        <f>"20190304164154032"</f>
        <v>20190304164154032</v>
      </c>
      <c r="B3315" t="str">
        <f>"1551688914024448"</f>
        <v>1551688914024448</v>
      </c>
      <c r="C3315" t="s">
        <v>40</v>
      </c>
      <c r="D3315">
        <v>4.0986180000000001</v>
      </c>
      <c r="E3315">
        <v>0.48191879999999998</v>
      </c>
      <c r="F3315" t="s">
        <v>45</v>
      </c>
      <c r="G3315">
        <v>-475.97660000000002</v>
      </c>
      <c r="H3315" s="1">
        <v>3.42511999999999E-6</v>
      </c>
      <c r="I3315">
        <v>217.29390000000001</v>
      </c>
      <c r="J3315">
        <v>-486.0641</v>
      </c>
      <c r="K3315">
        <v>1.1135489999999999</v>
      </c>
      <c r="L3315">
        <v>222.8544</v>
      </c>
      <c r="M3315">
        <v>0.61230079999999998</v>
      </c>
      <c r="N3315">
        <v>-6.7994960000000004E-3</v>
      </c>
      <c r="O3315">
        <v>-0.79059579999999996</v>
      </c>
      <c r="P3315">
        <v>0.80701440000000002</v>
      </c>
      <c r="Q3315">
        <v>0.34491179999999999</v>
      </c>
      <c r="R3315">
        <v>-0.47933710000000002</v>
      </c>
      <c r="S3315">
        <v>2.8935849999999999</v>
      </c>
      <c r="T3315">
        <v>-0.31591279999999999</v>
      </c>
      <c r="U3315">
        <v>-1.6151279999999999</v>
      </c>
      <c r="V3315">
        <v>-0.34761449999999999</v>
      </c>
      <c r="W3315">
        <v>0.34778599999999998</v>
      </c>
      <c r="X3315">
        <v>0.87075199999999997</v>
      </c>
      <c r="Y3315">
        <v>-0.38818419999999998</v>
      </c>
      <c r="Z3315">
        <v>8.2355499999999998E-2</v>
      </c>
      <c r="AA3315">
        <v>0.91789469999999995</v>
      </c>
      <c r="AB3315">
        <v>18</v>
      </c>
      <c r="AC3315">
        <v>10.087499999999901</v>
      </c>
      <c r="AD3315">
        <v>-1.1135455748799901</v>
      </c>
      <c r="AE3315">
        <v>-5.5604999999999896</v>
      </c>
      <c r="AF3315">
        <v>-4.5282213968088598</v>
      </c>
      <c r="AG3315">
        <v>-1.1135455748799901</v>
      </c>
      <c r="AH3315">
        <v>10.4750368992382</v>
      </c>
      <c r="AI3315">
        <v>95.573145980389398</v>
      </c>
      <c r="AJ3315">
        <v>113.378196683806</v>
      </c>
      <c r="AK3315">
        <v>11.466087859695399</v>
      </c>
      <c r="AL3315">
        <v>69.648043233816196</v>
      </c>
      <c r="AM3315">
        <v>111.762468930702</v>
      </c>
      <c r="AN3315">
        <v>0.99999999395512496</v>
      </c>
    </row>
    <row r="3316" spans="1:40" x14ac:dyDescent="0.25">
      <c r="A3316" t="str">
        <f>"20190304164154052"</f>
        <v>20190304164154052</v>
      </c>
      <c r="B3316" t="str">
        <f>"1551688914044944"</f>
        <v>1551688914044944</v>
      </c>
      <c r="C3316" t="s">
        <v>40</v>
      </c>
      <c r="D3316">
        <v>4.1141230000000002</v>
      </c>
      <c r="E3316">
        <v>0.48232360000000002</v>
      </c>
      <c r="F3316" t="s">
        <v>45</v>
      </c>
      <c r="G3316">
        <v>-476.01569999999998</v>
      </c>
      <c r="H3316" s="1">
        <v>3.4078729999999999E-6</v>
      </c>
      <c r="I3316">
        <v>217.29679999999999</v>
      </c>
      <c r="J3316">
        <v>-485.95240000000001</v>
      </c>
      <c r="K3316">
        <v>1.113648</v>
      </c>
      <c r="L3316">
        <v>222.72370000000001</v>
      </c>
      <c r="M3316">
        <v>0.61799839999999995</v>
      </c>
      <c r="N3316">
        <v>-6.8018890000000002E-3</v>
      </c>
      <c r="O3316">
        <v>-0.78615009999999996</v>
      </c>
      <c r="P3316">
        <v>0.8089153</v>
      </c>
      <c r="Q3316">
        <v>0.34561199999999997</v>
      </c>
      <c r="R3316">
        <v>-0.47561419999999999</v>
      </c>
      <c r="S3316">
        <v>2.9016109999999999</v>
      </c>
      <c r="T3316">
        <v>-0.321553599999999</v>
      </c>
      <c r="U3316">
        <v>-1.604843</v>
      </c>
      <c r="V3316">
        <v>-0.34518310000000002</v>
      </c>
      <c r="W3316">
        <v>0.34843020000000002</v>
      </c>
      <c r="X3316">
        <v>0.87146139999999905</v>
      </c>
      <c r="Y3316">
        <v>-0.38498310000000002</v>
      </c>
      <c r="Z3316">
        <v>8.3446960000000001E-2</v>
      </c>
      <c r="AA3316">
        <v>0.91914340000000005</v>
      </c>
      <c r="AB3316">
        <v>18</v>
      </c>
      <c r="AC3316">
        <v>9.9367000000000303</v>
      </c>
      <c r="AD3316">
        <v>-1.113644592127</v>
      </c>
      <c r="AE3316">
        <v>-5.4269000000000096</v>
      </c>
      <c r="AF3316">
        <v>-4.41530753269475</v>
      </c>
      <c r="AG3316">
        <v>-1.113644592127</v>
      </c>
      <c r="AH3316">
        <v>10.3077368369991</v>
      </c>
      <c r="AI3316">
        <v>95.671568982986699</v>
      </c>
      <c r="AJ3316">
        <v>113.187817184994</v>
      </c>
      <c r="AK3316">
        <v>11.2687436560902</v>
      </c>
      <c r="AL3316">
        <v>69.608670293617394</v>
      </c>
      <c r="AM3316">
        <v>111.608361564093</v>
      </c>
      <c r="AN3316">
        <v>0.99999997424380405</v>
      </c>
    </row>
    <row r="3317" spans="1:40" x14ac:dyDescent="0.25">
      <c r="A3317" t="str">
        <f>"20190304164154076"</f>
        <v>20190304164154076</v>
      </c>
      <c r="B3317" t="str">
        <f>"1551688914064465"</f>
        <v>1551688914064465</v>
      </c>
      <c r="C3317" t="s">
        <v>40</v>
      </c>
      <c r="D3317">
        <v>4.1221519999999998</v>
      </c>
      <c r="E3317">
        <v>0.48256450000000001</v>
      </c>
      <c r="F3317" t="s">
        <v>45</v>
      </c>
      <c r="G3317">
        <v>-475.84249999999997</v>
      </c>
      <c r="H3317" s="1">
        <v>3.4801599999999902E-6</v>
      </c>
      <c r="I3317">
        <v>217.19280000000001</v>
      </c>
      <c r="J3317">
        <v>-485.83730000000003</v>
      </c>
      <c r="K3317">
        <v>1.1137619999999999</v>
      </c>
      <c r="L3317">
        <v>222.59129999999999</v>
      </c>
      <c r="M3317">
        <v>0.62391359999999996</v>
      </c>
      <c r="N3317">
        <v>-6.8110970000000003E-3</v>
      </c>
      <c r="O3317">
        <v>-0.78146369999999998</v>
      </c>
      <c r="P3317">
        <v>0.81114160000000002</v>
      </c>
      <c r="Q3317">
        <v>0.34644760000000002</v>
      </c>
      <c r="R3317">
        <v>-0.47119339999999998</v>
      </c>
      <c r="S3317">
        <v>2.9096679999999999</v>
      </c>
      <c r="T3317">
        <v>-0.3205115</v>
      </c>
      <c r="U3317">
        <v>-1.591812</v>
      </c>
      <c r="V3317">
        <v>-0.3431844</v>
      </c>
      <c r="W3317">
        <v>0.34919840000000002</v>
      </c>
      <c r="X3317">
        <v>0.87194319999999903</v>
      </c>
      <c r="Y3317">
        <v>-0.38231209999999999</v>
      </c>
      <c r="Z3317">
        <v>8.2744429999999994E-2</v>
      </c>
      <c r="AA3317">
        <v>0.92032099999999994</v>
      </c>
      <c r="AB3317">
        <v>18</v>
      </c>
      <c r="AC3317">
        <v>9.9948000000000494</v>
      </c>
      <c r="AD3317">
        <v>-1.11375851984</v>
      </c>
      <c r="AE3317">
        <v>-5.3984999999999799</v>
      </c>
      <c r="AF3317">
        <v>-4.4001798097223297</v>
      </c>
      <c r="AG3317">
        <v>-1.11375851984</v>
      </c>
      <c r="AH3317">
        <v>10.355319951306299</v>
      </c>
      <c r="AI3317">
        <v>95.653197922664006</v>
      </c>
      <c r="AJ3317">
        <v>113.021596633062</v>
      </c>
      <c r="AK3317">
        <v>11.306400474612801</v>
      </c>
      <c r="AL3317">
        <v>69.561706467554401</v>
      </c>
      <c r="AM3317">
        <v>111.483890903535</v>
      </c>
      <c r="AN3317">
        <v>0.99999999949607898</v>
      </c>
    </row>
    <row r="3318" spans="1:40" x14ac:dyDescent="0.25">
      <c r="A3318" t="str">
        <f>"20190304164154096"</f>
        <v>20190304164154096</v>
      </c>
      <c r="B3318" t="str">
        <f>"1551688914083985"</f>
        <v>1551688914083985</v>
      </c>
      <c r="C3318" t="s">
        <v>40</v>
      </c>
      <c r="D3318">
        <v>4.1140319999999999</v>
      </c>
      <c r="E3318">
        <v>0.48282740000000002</v>
      </c>
      <c r="F3318" t="s">
        <v>45</v>
      </c>
      <c r="G3318">
        <v>-475.6875</v>
      </c>
      <c r="H3318" s="1">
        <v>3.5452509999999999E-6</v>
      </c>
      <c r="I3318">
        <v>217.1097</v>
      </c>
      <c r="J3318">
        <v>-485.72410000000002</v>
      </c>
      <c r="K3318">
        <v>1.113893</v>
      </c>
      <c r="L3318">
        <v>222.4632</v>
      </c>
      <c r="M3318">
        <v>0.62978619999999996</v>
      </c>
      <c r="N3318">
        <v>-6.8271010000000003E-3</v>
      </c>
      <c r="O3318">
        <v>-0.77673859999999995</v>
      </c>
      <c r="P3318">
        <v>0.81382600000000005</v>
      </c>
      <c r="Q3318">
        <v>0.34693410000000002</v>
      </c>
      <c r="R3318">
        <v>-0.46618039999999999</v>
      </c>
      <c r="S3318">
        <v>2.919403</v>
      </c>
      <c r="T3318">
        <v>-0.32035160000000001</v>
      </c>
      <c r="U3318">
        <v>-1.5766910000000001</v>
      </c>
      <c r="V3318">
        <v>-0.34194429999999998</v>
      </c>
      <c r="W3318">
        <v>0.34960409999999997</v>
      </c>
      <c r="X3318">
        <v>0.87226780000000004</v>
      </c>
      <c r="Y3318">
        <v>-0.38035459999999999</v>
      </c>
      <c r="Z3318">
        <v>8.2283679999999998E-2</v>
      </c>
      <c r="AA3318">
        <v>0.92117300000000002</v>
      </c>
      <c r="AB3318">
        <v>18</v>
      </c>
      <c r="AC3318">
        <v>10.0366</v>
      </c>
      <c r="AD3318">
        <v>-1.1138894547489999</v>
      </c>
      <c r="AE3318">
        <v>-5.3534999999999897</v>
      </c>
      <c r="AF3318">
        <v>-4.3823349356378696</v>
      </c>
      <c r="AG3318">
        <v>-1.1138894547489999</v>
      </c>
      <c r="AH3318">
        <v>10.379893281001699</v>
      </c>
      <c r="AI3318">
        <v>95.6460469986296</v>
      </c>
      <c r="AJ3318">
        <v>112.889208663247</v>
      </c>
      <c r="AK3318">
        <v>11.322004845896201</v>
      </c>
      <c r="AL3318">
        <v>69.536898471164406</v>
      </c>
      <c r="AM3318">
        <v>111.40605183413101</v>
      </c>
      <c r="AN3318">
        <v>1.0000000229780599</v>
      </c>
    </row>
    <row r="3319" spans="1:40" x14ac:dyDescent="0.25">
      <c r="A3319" t="str">
        <f>"20190304164154120"</f>
        <v>20190304164154120</v>
      </c>
      <c r="B3319" t="str">
        <f>"1551688914114241"</f>
        <v>1551688914114241</v>
      </c>
      <c r="C3319" t="s">
        <v>40</v>
      </c>
      <c r="D3319">
        <v>4.1080410000000001</v>
      </c>
      <c r="E3319">
        <v>0.48318489999999997</v>
      </c>
      <c r="F3319" t="s">
        <v>45</v>
      </c>
      <c r="G3319">
        <v>-475.54910000000001</v>
      </c>
      <c r="H3319" s="1">
        <v>3.6038070000000001E-6</v>
      </c>
      <c r="I3319">
        <v>217.0454</v>
      </c>
      <c r="J3319">
        <v>-485.60390000000001</v>
      </c>
      <c r="K3319">
        <v>1.1140509999999999</v>
      </c>
      <c r="L3319">
        <v>222.3297</v>
      </c>
      <c r="M3319">
        <v>0.63607419999999903</v>
      </c>
      <c r="N3319">
        <v>-6.8504150000000003E-3</v>
      </c>
      <c r="O3319">
        <v>-0.77159759999999999</v>
      </c>
      <c r="P3319">
        <v>0.81698919999999997</v>
      </c>
      <c r="Q3319">
        <v>0.34725830000000002</v>
      </c>
      <c r="R3319">
        <v>-0.46037</v>
      </c>
      <c r="S3319">
        <v>2.9295040000000001</v>
      </c>
      <c r="T3319">
        <v>-0.32070270000000001</v>
      </c>
      <c r="U3319">
        <v>-1.55986</v>
      </c>
      <c r="V3319">
        <v>-0.3411015</v>
      </c>
      <c r="W3319">
        <v>0.34983009999999998</v>
      </c>
      <c r="X3319">
        <v>0.87250709999999998</v>
      </c>
      <c r="Y3319">
        <v>-0.37830589999999997</v>
      </c>
      <c r="Z3319">
        <v>8.1932550000000007E-2</v>
      </c>
      <c r="AA3319">
        <v>0.92204759999999997</v>
      </c>
      <c r="AB3319">
        <v>18</v>
      </c>
      <c r="AC3319">
        <v>10.0548</v>
      </c>
      <c r="AD3319">
        <v>-1.114047396193</v>
      </c>
      <c r="AE3319">
        <v>-5.2843</v>
      </c>
      <c r="AF3319">
        <v>-4.3552611472838896</v>
      </c>
      <c r="AG3319">
        <v>-1.114047396193</v>
      </c>
      <c r="AH3319">
        <v>10.3734125597818</v>
      </c>
      <c r="AI3319">
        <v>95.655059596688005</v>
      </c>
      <c r="AJ3319">
        <v>112.775024014739</v>
      </c>
      <c r="AK3319">
        <v>11.3056220261179</v>
      </c>
      <c r="AL3319">
        <v>69.523076070635</v>
      </c>
      <c r="AM3319">
        <v>111.35272004481401</v>
      </c>
      <c r="AN3319">
        <v>0.99999998585933403</v>
      </c>
    </row>
    <row r="3320" spans="1:40" x14ac:dyDescent="0.25">
      <c r="A3320" t="str">
        <f>"20190304164154141"</f>
        <v>20190304164154141</v>
      </c>
      <c r="B3320" t="str">
        <f>"1551688914134739"</f>
        <v>1551688914134739</v>
      </c>
      <c r="C3320" t="s">
        <v>40</v>
      </c>
      <c r="D3320">
        <v>4.1192089999999997</v>
      </c>
      <c r="E3320">
        <v>0.48343009999999997</v>
      </c>
      <c r="F3320" t="s">
        <v>45</v>
      </c>
      <c r="G3320">
        <v>-475.48039999999997</v>
      </c>
      <c r="H3320" s="1">
        <v>3.633408E-6</v>
      </c>
      <c r="I3320">
        <v>217.02510000000001</v>
      </c>
      <c r="J3320">
        <v>-485.48050000000001</v>
      </c>
      <c r="K3320">
        <v>1.1142209999999999</v>
      </c>
      <c r="L3320">
        <v>222.1952</v>
      </c>
      <c r="M3320">
        <v>0.6425864</v>
      </c>
      <c r="N3320">
        <v>-6.8792710000000002E-3</v>
      </c>
      <c r="O3320">
        <v>-0.766182699999999</v>
      </c>
      <c r="P3320">
        <v>0.82006959999999995</v>
      </c>
      <c r="Q3320">
        <v>0.34811320000000001</v>
      </c>
      <c r="R3320">
        <v>-0.45420680000000002</v>
      </c>
      <c r="S3320">
        <v>2.9411930000000002</v>
      </c>
      <c r="T3320">
        <v>-0.32366489999999998</v>
      </c>
      <c r="U3320">
        <v>-1.541153</v>
      </c>
      <c r="V3320">
        <v>-0.3401535</v>
      </c>
      <c r="W3320">
        <v>0.35058129999999998</v>
      </c>
      <c r="X3320">
        <v>0.87257569999999995</v>
      </c>
      <c r="Y3320">
        <v>-0.37653510000000001</v>
      </c>
      <c r="Z3320">
        <v>8.224426E-2</v>
      </c>
      <c r="AA3320">
        <v>0.92274440000000002</v>
      </c>
      <c r="AB3320">
        <v>18</v>
      </c>
      <c r="AC3320">
        <v>10.0001</v>
      </c>
      <c r="AD3320">
        <v>-1.1142173665920001</v>
      </c>
      <c r="AE3320">
        <v>-5.1700999999999899</v>
      </c>
      <c r="AF3320">
        <v>-4.2976687505169702</v>
      </c>
      <c r="AG3320">
        <v>-1.1142173665920001</v>
      </c>
      <c r="AH3320">
        <v>10.2866433259088</v>
      </c>
      <c r="AI3320">
        <v>95.707466711824395</v>
      </c>
      <c r="AJ3320">
        <v>112.674741357141</v>
      </c>
      <c r="AK3320">
        <v>11.2038595110636</v>
      </c>
      <c r="AL3320">
        <v>69.477125905532702</v>
      </c>
      <c r="AM3320">
        <v>111.29717570467299</v>
      </c>
      <c r="AN3320">
        <v>1.0000000018512101</v>
      </c>
    </row>
    <row r="3321" spans="1:40" x14ac:dyDescent="0.25">
      <c r="A3321" t="str">
        <f>"20190304164154164"</f>
        <v>20190304164154164</v>
      </c>
      <c r="B3321" t="str">
        <f>"1551688914154257"</f>
        <v>1551688914154257</v>
      </c>
      <c r="C3321" t="s">
        <v>40</v>
      </c>
      <c r="D3321">
        <v>4.1212519999999904</v>
      </c>
      <c r="E3321">
        <v>0.48365950000000002</v>
      </c>
      <c r="F3321" t="s">
        <v>45</v>
      </c>
      <c r="G3321">
        <v>-475.32139999999998</v>
      </c>
      <c r="H3321" s="1">
        <v>3.7013480000000001E-6</v>
      </c>
      <c r="I3321">
        <v>216.9666</v>
      </c>
      <c r="J3321">
        <v>-485.3605</v>
      </c>
      <c r="K3321">
        <v>1.1143890000000001</v>
      </c>
      <c r="L3321">
        <v>222.06710000000001</v>
      </c>
      <c r="M3321">
        <v>0.64897660000000001</v>
      </c>
      <c r="N3321">
        <v>-6.9113339999999999E-3</v>
      </c>
      <c r="O3321">
        <v>-0.76077700000000004</v>
      </c>
      <c r="P3321">
        <v>0.82322649999999997</v>
      </c>
      <c r="Q3321">
        <v>0.34923880000000002</v>
      </c>
      <c r="R3321">
        <v>-0.44758320000000001</v>
      </c>
      <c r="S3321">
        <v>2.953735</v>
      </c>
      <c r="T3321">
        <v>-0.32395570000000001</v>
      </c>
      <c r="U3321">
        <v>-1.520203</v>
      </c>
      <c r="V3321">
        <v>-0.33967140000000001</v>
      </c>
      <c r="W3321">
        <v>0.35160429999999998</v>
      </c>
      <c r="X3321">
        <v>0.87235180000000001</v>
      </c>
      <c r="Y3321">
        <v>-0.37557570000000001</v>
      </c>
      <c r="Z3321">
        <v>8.1870209999999999E-2</v>
      </c>
      <c r="AA3321">
        <v>0.92316849999999995</v>
      </c>
      <c r="AB3321">
        <v>18</v>
      </c>
      <c r="AC3321">
        <v>10.039099999999999</v>
      </c>
      <c r="AD3321">
        <v>-1.11438529865199</v>
      </c>
      <c r="AE3321">
        <v>-5.10050000000001</v>
      </c>
      <c r="AF3321">
        <v>-4.2855422841392699</v>
      </c>
      <c r="AG3321">
        <v>-1.11438529865199</v>
      </c>
      <c r="AH3321">
        <v>10.294904775349901</v>
      </c>
      <c r="AI3321">
        <v>95.7068173384218</v>
      </c>
      <c r="AJ3321">
        <v>112.60088718762</v>
      </c>
      <c r="AK3321">
        <v>11.206818977592199</v>
      </c>
      <c r="AL3321">
        <v>69.414526292408894</v>
      </c>
      <c r="AM3321">
        <v>111.27466159149201</v>
      </c>
      <c r="AN3321">
        <v>0.99999995335984304</v>
      </c>
    </row>
    <row r="3322" spans="1:40" x14ac:dyDescent="0.25">
      <c r="A3322" t="str">
        <f>"20190304164154187"</f>
        <v>20190304164154187</v>
      </c>
      <c r="B3322" t="str">
        <f>"1551688914174752"</f>
        <v>1551688914174752</v>
      </c>
      <c r="C3322" t="s">
        <v>40</v>
      </c>
      <c r="D3322">
        <v>4.113556</v>
      </c>
      <c r="E3322">
        <v>0.48382459999999999</v>
      </c>
      <c r="F3322" t="s">
        <v>45</v>
      </c>
      <c r="G3322">
        <v>-475.09800000000001</v>
      </c>
      <c r="H3322" s="1">
        <v>3.796732E-6</v>
      </c>
      <c r="I3322">
        <v>216.8819</v>
      </c>
      <c r="J3322">
        <v>-485.23390000000001</v>
      </c>
      <c r="K3322">
        <v>1.1145579999999999</v>
      </c>
      <c r="L3322">
        <v>221.93459999999999</v>
      </c>
      <c r="M3322">
        <v>0.65577730000000001</v>
      </c>
      <c r="N3322">
        <v>-6.9473119999999998E-3</v>
      </c>
      <c r="O3322">
        <v>-0.7549226</v>
      </c>
      <c r="P3322">
        <v>0.82698519999999898</v>
      </c>
      <c r="Q3322">
        <v>0.35005160000000002</v>
      </c>
      <c r="R3322">
        <v>-0.43995450000000003</v>
      </c>
      <c r="S3322">
        <v>2.9660340000000001</v>
      </c>
      <c r="T3322">
        <v>-0.32207409999999997</v>
      </c>
      <c r="U3322">
        <v>-1.4986269999999999</v>
      </c>
      <c r="V3322">
        <v>-0.33979789999999999</v>
      </c>
      <c r="W3322">
        <v>0.35231119999999999</v>
      </c>
      <c r="X3322">
        <v>0.8720173</v>
      </c>
      <c r="Y3322">
        <v>-0.37423099999999998</v>
      </c>
      <c r="Z3322">
        <v>8.0883060000000007E-2</v>
      </c>
      <c r="AA3322">
        <v>0.92380139999999999</v>
      </c>
      <c r="AB3322">
        <v>18</v>
      </c>
      <c r="AC3322">
        <v>10.1358999999999</v>
      </c>
      <c r="AD3322">
        <v>-1.114554203268</v>
      </c>
      <c r="AE3322">
        <v>-5.0526999999999802</v>
      </c>
      <c r="AF3322">
        <v>-4.2968639388300103</v>
      </c>
      <c r="AG3322">
        <v>-1.114554203268</v>
      </c>
      <c r="AH3322">
        <v>10.3611956833177</v>
      </c>
      <c r="AI3322">
        <v>95.674534233487705</v>
      </c>
      <c r="AJ3322">
        <v>112.52414416009699</v>
      </c>
      <c r="AK3322">
        <v>11.272073756360999</v>
      </c>
      <c r="AL3322">
        <v>69.371255881828603</v>
      </c>
      <c r="AM3322">
        <v>111.289308675472</v>
      </c>
      <c r="AN3322">
        <v>0.99999998299456905</v>
      </c>
    </row>
    <row r="3323" spans="1:40" x14ac:dyDescent="0.25">
      <c r="A3323" t="str">
        <f>"20190304164154208"</f>
        <v>20190304164154208</v>
      </c>
      <c r="B3323" t="str">
        <f>"1551688914194273"</f>
        <v>1551688914194273</v>
      </c>
      <c r="C3323" t="s">
        <v>40</v>
      </c>
      <c r="D3323">
        <v>4.1023059999999996</v>
      </c>
      <c r="E3323">
        <v>0.48404079999999999</v>
      </c>
      <c r="F3323" t="s">
        <v>45</v>
      </c>
      <c r="G3323">
        <v>-474.9366</v>
      </c>
      <c r="H3323" s="1">
        <v>3.8667410000000003E-6</v>
      </c>
      <c r="I3323">
        <v>216.84630000000001</v>
      </c>
      <c r="J3323">
        <v>-485.10539999999997</v>
      </c>
      <c r="K3323">
        <v>1.114698</v>
      </c>
      <c r="L3323">
        <v>221.803</v>
      </c>
      <c r="M3323">
        <v>0.66268459999999996</v>
      </c>
      <c r="N3323">
        <v>-6.9829519999999997E-3</v>
      </c>
      <c r="O3323">
        <v>-0.74886609999999998</v>
      </c>
      <c r="P3323">
        <v>0.83079740000000002</v>
      </c>
      <c r="Q3323">
        <v>0.35084140000000003</v>
      </c>
      <c r="R3323">
        <v>-0.43207180000000001</v>
      </c>
      <c r="S3323">
        <v>2.9806520000000001</v>
      </c>
      <c r="T3323">
        <v>-0.32261879999999998</v>
      </c>
      <c r="U3323">
        <v>-1.472855</v>
      </c>
      <c r="V3323">
        <v>-0.33995779999999998</v>
      </c>
      <c r="W3323">
        <v>0.35301399999999999</v>
      </c>
      <c r="X3323">
        <v>0.87167070000000002</v>
      </c>
      <c r="Y3323">
        <v>-0.37395289999999998</v>
      </c>
      <c r="Z3323">
        <v>8.0551070000000002E-2</v>
      </c>
      <c r="AA3323">
        <v>0.92394299999999996</v>
      </c>
      <c r="AB3323">
        <v>18</v>
      </c>
      <c r="AC3323">
        <v>10.1687999999999</v>
      </c>
      <c r="AD3323">
        <v>-1.1146941332589999</v>
      </c>
      <c r="AE3323">
        <v>-4.9566999999999801</v>
      </c>
      <c r="AF3323">
        <v>-4.2888045911675201</v>
      </c>
      <c r="AG3323">
        <v>-1.1146941332589999</v>
      </c>
      <c r="AH3323">
        <v>10.350370406598101</v>
      </c>
      <c r="AI3323">
        <v>95.6818275237123</v>
      </c>
      <c r="AJ3323">
        <v>112.507279791107</v>
      </c>
      <c r="AK3323">
        <v>11.2590654756833</v>
      </c>
      <c r="AL3323">
        <v>69.328223964898399</v>
      </c>
      <c r="AM3323">
        <v>111.306138887245</v>
      </c>
      <c r="AN3323">
        <v>0.99999999960766495</v>
      </c>
    </row>
    <row r="3324" spans="1:40" x14ac:dyDescent="0.25">
      <c r="A3324" t="str">
        <f>"20190304164154232"</f>
        <v>20190304164154232</v>
      </c>
      <c r="B3324" t="str">
        <f>"1551688914224528"</f>
        <v>1551688914224528</v>
      </c>
      <c r="C3324" t="s">
        <v>40</v>
      </c>
      <c r="D3324">
        <v>4.0917469999999998</v>
      </c>
      <c r="E3324">
        <v>0.4845102</v>
      </c>
      <c r="F3324" t="s">
        <v>45</v>
      </c>
      <c r="G3324">
        <v>-474.78629999999998</v>
      </c>
      <c r="H3324" s="1">
        <v>3.9318689999999998E-6</v>
      </c>
      <c r="I3324">
        <v>216.8109</v>
      </c>
      <c r="J3324">
        <v>-484.97039999999998</v>
      </c>
      <c r="K3324">
        <v>1.1148169999999999</v>
      </c>
      <c r="L3324">
        <v>221.66739999999999</v>
      </c>
      <c r="M3324">
        <v>0.66994430000000005</v>
      </c>
      <c r="N3324">
        <v>-7.0169369999999896E-3</v>
      </c>
      <c r="O3324">
        <v>-0.74237839999999999</v>
      </c>
      <c r="P3324">
        <v>0.83490229999999999</v>
      </c>
      <c r="Q3324">
        <v>0.35218430000000001</v>
      </c>
      <c r="R3324">
        <v>-0.42297129999999999</v>
      </c>
      <c r="S3324">
        <v>2.9942319999999998</v>
      </c>
      <c r="T3324">
        <v>-0.32344230000000002</v>
      </c>
      <c r="U3324">
        <v>-1.4485170000000001</v>
      </c>
      <c r="V3324">
        <v>-0.34069509999999997</v>
      </c>
      <c r="W3324">
        <v>0.35427399999999998</v>
      </c>
      <c r="X3324">
        <v>0.87087119999999996</v>
      </c>
      <c r="Y3324">
        <v>-0.37267050000000002</v>
      </c>
      <c r="Z3324">
        <v>8.0221970000000004E-2</v>
      </c>
      <c r="AA3324">
        <v>0.92448969999999997</v>
      </c>
      <c r="AB3324">
        <v>19</v>
      </c>
      <c r="AC3324">
        <v>10.184100000000001</v>
      </c>
      <c r="AD3324">
        <v>-1.114813068131</v>
      </c>
      <c r="AE3324">
        <v>-4.8564999999999801</v>
      </c>
      <c r="AF3324">
        <v>-4.2653355196218303</v>
      </c>
      <c r="AG3324">
        <v>-1.114813068131</v>
      </c>
      <c r="AH3324">
        <v>10.3275705305273</v>
      </c>
      <c r="AI3324">
        <v>95.697606208759197</v>
      </c>
      <c r="AJ3324">
        <v>112.440856983275</v>
      </c>
      <c r="AK3324">
        <v>11.229185559729601</v>
      </c>
      <c r="AL3324">
        <v>69.251042452660101</v>
      </c>
      <c r="AM3324">
        <v>111.366024227363</v>
      </c>
      <c r="AN3324">
        <v>0.99999993261472198</v>
      </c>
    </row>
    <row r="3325" spans="1:40" x14ac:dyDescent="0.25">
      <c r="A3325" t="str">
        <f>"20190304164154254"</f>
        <v>20190304164154254</v>
      </c>
      <c r="B3325" t="str">
        <f>"1551688914244049"</f>
        <v>1551688914244049</v>
      </c>
      <c r="C3325" t="s">
        <v>40</v>
      </c>
      <c r="D3325">
        <v>4.0784440000000002</v>
      </c>
      <c r="E3325">
        <v>0.48480079999999998</v>
      </c>
      <c r="F3325" t="s">
        <v>45</v>
      </c>
      <c r="G3325">
        <v>-474.6345</v>
      </c>
      <c r="H3325" s="1">
        <v>3.9976740000000004E-6</v>
      </c>
      <c r="I3325">
        <v>216.77699999999999</v>
      </c>
      <c r="J3325">
        <v>-484.84010000000001</v>
      </c>
      <c r="K3325">
        <v>1.1149180000000001</v>
      </c>
      <c r="L3325">
        <v>221.5393</v>
      </c>
      <c r="M3325">
        <v>0.6769309</v>
      </c>
      <c r="N3325">
        <v>-7.0425359999999899E-3</v>
      </c>
      <c r="O3325">
        <v>-0.73601300000000003</v>
      </c>
      <c r="P3325">
        <v>0.83861169999999996</v>
      </c>
      <c r="Q3325">
        <v>0.35430200000000001</v>
      </c>
      <c r="R3325">
        <v>-0.41376439999999998</v>
      </c>
      <c r="S3325">
        <v>3.0089419999999998</v>
      </c>
      <c r="T3325">
        <v>-0.32454090000000002</v>
      </c>
      <c r="U3325">
        <v>-1.4236759999999999</v>
      </c>
      <c r="V3325">
        <v>-0.34150059999999999</v>
      </c>
      <c r="W3325">
        <v>0.35631459999999998</v>
      </c>
      <c r="X3325">
        <v>0.86972249999999995</v>
      </c>
      <c r="Y3325">
        <v>-0.37189850000000002</v>
      </c>
      <c r="Z3325">
        <v>7.996549E-2</v>
      </c>
      <c r="AA3325">
        <v>0.9248227</v>
      </c>
      <c r="AB3325">
        <v>19</v>
      </c>
      <c r="AC3325">
        <v>10.2056</v>
      </c>
      <c r="AD3325">
        <v>-1.114914002326</v>
      </c>
      <c r="AE3325">
        <v>-4.7622999999999802</v>
      </c>
      <c r="AF3325">
        <v>-4.2461973831136799</v>
      </c>
      <c r="AG3325">
        <v>-1.114914002326</v>
      </c>
      <c r="AH3325">
        <v>10.3127876535442</v>
      </c>
      <c r="AI3325">
        <v>95.708758082171997</v>
      </c>
      <c r="AJ3325">
        <v>112.37897313965099</v>
      </c>
      <c r="AK3325">
        <v>11.2083368363035</v>
      </c>
      <c r="AL3325">
        <v>69.125965088567398</v>
      </c>
      <c r="AM3325">
        <v>111.437685775877</v>
      </c>
      <c r="AN3325">
        <v>0.99999999048988497</v>
      </c>
    </row>
    <row r="3326" spans="1:40" x14ac:dyDescent="0.25">
      <c r="A3326" t="str">
        <f>"20190304164154287"</f>
        <v>20190304164154287</v>
      </c>
      <c r="B3326" t="str">
        <f>"1551688914274304"</f>
        <v>1551688914274304</v>
      </c>
      <c r="C3326" t="s">
        <v>40</v>
      </c>
      <c r="D3326">
        <v>4.0500470000000002</v>
      </c>
      <c r="E3326">
        <v>0.49027150000000003</v>
      </c>
      <c r="F3326" t="s">
        <v>45</v>
      </c>
      <c r="G3326">
        <v>-474.33890000000002</v>
      </c>
      <c r="H3326" s="1">
        <v>4.1245449999999998E-6</v>
      </c>
      <c r="I3326">
        <v>216.6799</v>
      </c>
      <c r="J3326">
        <v>-484.64449999999999</v>
      </c>
      <c r="K3326">
        <v>1.1150679999999999</v>
      </c>
      <c r="L3326">
        <v>221.35149999999999</v>
      </c>
      <c r="M3326">
        <v>0.68738409999999905</v>
      </c>
      <c r="N3326">
        <v>-7.0572419999999896E-3</v>
      </c>
      <c r="O3326">
        <v>-0.72626009999999996</v>
      </c>
      <c r="P3326">
        <v>0.84340859999999995</v>
      </c>
      <c r="Q3326">
        <v>0.356543</v>
      </c>
      <c r="R3326">
        <v>-0.40191979999999999</v>
      </c>
      <c r="S3326">
        <v>3.0227970000000002</v>
      </c>
      <c r="T3326">
        <v>-0.32092769999999998</v>
      </c>
      <c r="U3326">
        <v>-1.3987579999999999</v>
      </c>
      <c r="V3326">
        <v>-0.34077229999999997</v>
      </c>
      <c r="W3326">
        <v>0.358458</v>
      </c>
      <c r="X3326">
        <v>0.86912719999999899</v>
      </c>
      <c r="Y3326">
        <v>-0.36667300000000003</v>
      </c>
      <c r="Z3326">
        <v>7.8110689999999997E-2</v>
      </c>
      <c r="AA3326">
        <v>0.92706509999999998</v>
      </c>
      <c r="AB3326">
        <v>19</v>
      </c>
      <c r="AC3326">
        <v>10.305599999999901</v>
      </c>
      <c r="AD3326">
        <v>-1.115063875455</v>
      </c>
      <c r="AE3326">
        <v>-4.6715999999999802</v>
      </c>
      <c r="AF3326">
        <v>-4.2323650156824399</v>
      </c>
      <c r="AG3326">
        <v>-1.115063875455</v>
      </c>
      <c r="AH3326">
        <v>10.3761915547716</v>
      </c>
      <c r="AI3326">
        <v>95.682480004559693</v>
      </c>
      <c r="AJ3326">
        <v>112.19015204026999</v>
      </c>
      <c r="AK3326">
        <v>11.2615110999204</v>
      </c>
      <c r="AL3326">
        <v>68.994473181199893</v>
      </c>
      <c r="AM3326">
        <v>111.40943286386999</v>
      </c>
      <c r="AN3326">
        <v>0.99999999399556405</v>
      </c>
    </row>
    <row r="3327" spans="1:40" x14ac:dyDescent="0.25">
      <c r="A3327" t="str">
        <f>"20190304164154309"</f>
        <v>20190304164154309</v>
      </c>
      <c r="B3327" t="str">
        <f>"1551688914304562"</f>
        <v>1551688914304562</v>
      </c>
      <c r="C3327" t="s">
        <v>40</v>
      </c>
      <c r="D3327">
        <v>4.0426390000000003</v>
      </c>
      <c r="E3327">
        <v>0.49046459999999997</v>
      </c>
      <c r="F3327" t="s">
        <v>45</v>
      </c>
      <c r="G3327">
        <v>-475.66669999999999</v>
      </c>
      <c r="H3327" s="1">
        <v>3.5581849999999999E-6</v>
      </c>
      <c r="I3327">
        <v>217.19380000000001</v>
      </c>
      <c r="J3327">
        <v>-484.50790000000001</v>
      </c>
      <c r="K3327">
        <v>1.1151530000000001</v>
      </c>
      <c r="L3327">
        <v>221.22399999999999</v>
      </c>
      <c r="M3327">
        <v>0.69461930000000005</v>
      </c>
      <c r="N3327">
        <v>-7.0474079999999998E-3</v>
      </c>
      <c r="O3327">
        <v>-0.71934299999999995</v>
      </c>
      <c r="P3327">
        <v>0.84671189999999996</v>
      </c>
      <c r="Q3327">
        <v>0.35667080000000001</v>
      </c>
      <c r="R3327">
        <v>-0.39479720000000001</v>
      </c>
      <c r="S3327">
        <v>3.0449220000000001</v>
      </c>
      <c r="T3327">
        <v>-0.37818570000000001</v>
      </c>
      <c r="U3327">
        <v>-1.4101410000000001</v>
      </c>
      <c r="V3327">
        <v>-0.3394394</v>
      </c>
      <c r="W3327">
        <v>0.35851899999999998</v>
      </c>
      <c r="X3327">
        <v>0.86962349999999999</v>
      </c>
      <c r="Y3327">
        <v>-0.35569260000000003</v>
      </c>
      <c r="Z3327">
        <v>9.0908470000000005E-2</v>
      </c>
      <c r="AA3327">
        <v>0.93017119999999998</v>
      </c>
      <c r="AB3327">
        <v>19</v>
      </c>
      <c r="AC3327">
        <v>8.8412000000000095</v>
      </c>
      <c r="AD3327">
        <v>-1.1151494418150001</v>
      </c>
      <c r="AE3327">
        <v>-4.0301999999999998</v>
      </c>
      <c r="AF3327">
        <v>-3.5142000751180902</v>
      </c>
      <c r="AG3327">
        <v>-1.1151494418150001</v>
      </c>
      <c r="AH3327">
        <v>8.9230545276454993</v>
      </c>
      <c r="AI3327">
        <v>96.632624180347506</v>
      </c>
      <c r="AJ3327">
        <v>111.496194610939</v>
      </c>
      <c r="AK3327">
        <v>9.6547430079145595</v>
      </c>
      <c r="AL3327">
        <v>68.990729555624199</v>
      </c>
      <c r="AM3327">
        <v>111.322150860702</v>
      </c>
      <c r="AN3327">
        <v>1.0000000056928</v>
      </c>
    </row>
    <row r="3328" spans="1:40" x14ac:dyDescent="0.25">
      <c r="A3328" t="str">
        <f>"20190304164154332"</f>
        <v>20190304164154332</v>
      </c>
      <c r="B3328" t="str">
        <f>"1551688914324081"</f>
        <v>1551688914324081</v>
      </c>
      <c r="C3328" t="s">
        <v>40</v>
      </c>
      <c r="D3328">
        <v>4.0298949999999998</v>
      </c>
      <c r="E3328">
        <v>0.49072349999999998</v>
      </c>
      <c r="F3328" t="s">
        <v>45</v>
      </c>
      <c r="G3328">
        <v>-475.7099</v>
      </c>
      <c r="H3328" s="1">
        <v>3.5411260000000002E-6</v>
      </c>
      <c r="I3328">
        <v>217.2424</v>
      </c>
      <c r="J3328">
        <v>-484.36450000000002</v>
      </c>
      <c r="K3328">
        <v>1.1152340000000001</v>
      </c>
      <c r="L3328">
        <v>221.09280000000001</v>
      </c>
      <c r="M3328">
        <v>0.70213740000000002</v>
      </c>
      <c r="N3328">
        <v>-7.0249240000000001E-3</v>
      </c>
      <c r="O3328">
        <v>-0.7120069</v>
      </c>
      <c r="P3328">
        <v>0.85058919999999905</v>
      </c>
      <c r="Q3328">
        <v>0.35642370000000001</v>
      </c>
      <c r="R3328">
        <v>-0.38660139999999998</v>
      </c>
      <c r="S3328">
        <v>3.0606990000000001</v>
      </c>
      <c r="T3328">
        <v>-0.3879436</v>
      </c>
      <c r="U3328">
        <v>-1.3851169999999999</v>
      </c>
      <c r="V3328">
        <v>-0.33885379999999998</v>
      </c>
      <c r="W3328">
        <v>0.35818559999999999</v>
      </c>
      <c r="X3328">
        <v>0.86998920000000002</v>
      </c>
      <c r="Y3328">
        <v>-0.35378300000000001</v>
      </c>
      <c r="Z3328">
        <v>9.2530039999999994E-2</v>
      </c>
      <c r="AA3328">
        <v>0.93073930000000005</v>
      </c>
      <c r="AB3328">
        <v>19</v>
      </c>
      <c r="AC3328">
        <v>8.6546000000000092</v>
      </c>
      <c r="AD3328">
        <v>-1.1152304588740001</v>
      </c>
      <c r="AE3328">
        <v>-3.8504</v>
      </c>
      <c r="AF3328">
        <v>-3.4114235972314901</v>
      </c>
      <c r="AG3328">
        <v>-1.1152304588740001</v>
      </c>
      <c r="AH3328">
        <v>8.6978832031473505</v>
      </c>
      <c r="AI3328">
        <v>96.806949829504404</v>
      </c>
      <c r="AJ3328">
        <v>111.415761317094</v>
      </c>
      <c r="AK3328">
        <v>9.40928914168021</v>
      </c>
      <c r="AL3328">
        <v>69.011191081825999</v>
      </c>
      <c r="AM3328">
        <v>111.28051370522699</v>
      </c>
      <c r="AN3328">
        <v>1.0000000149692101</v>
      </c>
    </row>
    <row r="3329" spans="1:40" x14ac:dyDescent="0.25">
      <c r="A3329" t="str">
        <f>"20190304164154355"</f>
        <v>20190304164154355</v>
      </c>
      <c r="B3329" t="str">
        <f>"1551688914344435"</f>
        <v>1551688914344435</v>
      </c>
      <c r="C3329" t="s">
        <v>40</v>
      </c>
      <c r="D3329">
        <v>4.1972110000000002</v>
      </c>
      <c r="E3329">
        <v>0.49070469999999999</v>
      </c>
      <c r="F3329" t="s">
        <v>45</v>
      </c>
      <c r="G3329">
        <v>-475.66419999999999</v>
      </c>
      <c r="H3329" s="1">
        <v>3.562186E-6</v>
      </c>
      <c r="I3329">
        <v>217.25989999999999</v>
      </c>
      <c r="J3329">
        <v>-484.22219999999999</v>
      </c>
      <c r="K3329">
        <v>1.1153109999999999</v>
      </c>
      <c r="L3329">
        <v>220.96530000000001</v>
      </c>
      <c r="M3329">
        <v>0.70951209999999998</v>
      </c>
      <c r="N3329">
        <v>-6.9938680000000003E-3</v>
      </c>
      <c r="O3329">
        <v>-0.70465859999999902</v>
      </c>
      <c r="P3329">
        <v>0.85431900000000005</v>
      </c>
      <c r="Q3329">
        <v>0.35672589999999998</v>
      </c>
      <c r="R3329">
        <v>-0.37800240000000002</v>
      </c>
      <c r="S3329">
        <v>3.076263</v>
      </c>
      <c r="T3329">
        <v>-0.39432200000000001</v>
      </c>
      <c r="U3329">
        <v>-1.3552090000000001</v>
      </c>
      <c r="V3329">
        <v>-0.33856510000000001</v>
      </c>
      <c r="W3329">
        <v>0.3583904</v>
      </c>
      <c r="X3329">
        <v>0.87001719999999905</v>
      </c>
      <c r="Y3329">
        <v>-0.3532344</v>
      </c>
      <c r="Z3329">
        <v>9.3401269999999995E-2</v>
      </c>
      <c r="AA3329">
        <v>0.93086069999999999</v>
      </c>
      <c r="AB3329">
        <v>19</v>
      </c>
      <c r="AC3329">
        <v>8.5579999999999892</v>
      </c>
      <c r="AD3329">
        <v>-1.115307437814</v>
      </c>
      <c r="AE3329">
        <v>-3.70540000000002</v>
      </c>
      <c r="AF3329">
        <v>-3.3535597224391198</v>
      </c>
      <c r="AG3329">
        <v>-1.115307437814</v>
      </c>
      <c r="AH3329">
        <v>8.5608144151274796</v>
      </c>
      <c r="AI3329">
        <v>96.916478308566496</v>
      </c>
      <c r="AJ3329">
        <v>111.391953918436</v>
      </c>
      <c r="AK3329">
        <v>9.2616314406838605</v>
      </c>
      <c r="AL3329">
        <v>68.998621437031503</v>
      </c>
      <c r="AM3329">
        <v>111.263379866625</v>
      </c>
      <c r="AN3329">
        <v>0.99999996702300398</v>
      </c>
    </row>
    <row r="3330" spans="1:40" x14ac:dyDescent="0.25">
      <c r="A3330" t="str">
        <f>"20190304164154377"</f>
        <v>20190304164154377</v>
      </c>
      <c r="B3330" t="str">
        <f>"1551688914374691"</f>
        <v>1551688914374691</v>
      </c>
      <c r="C3330" t="s">
        <v>40</v>
      </c>
      <c r="D3330">
        <v>4.0284339999999998</v>
      </c>
      <c r="E3330">
        <v>0.42847679999999999</v>
      </c>
      <c r="F3330" t="s">
        <v>45</v>
      </c>
      <c r="G3330">
        <v>-475.50830000000002</v>
      </c>
      <c r="H3330" s="1">
        <v>3.630216E-6</v>
      </c>
      <c r="I3330">
        <v>217.23500000000001</v>
      </c>
      <c r="J3330">
        <v>-484.07990000000001</v>
      </c>
      <c r="K3330">
        <v>1.1153930000000001</v>
      </c>
      <c r="L3330">
        <v>220.8407</v>
      </c>
      <c r="M3330">
        <v>0.71679490000000001</v>
      </c>
      <c r="N3330">
        <v>-6.9568349999999998E-3</v>
      </c>
      <c r="O3330">
        <v>-0.69724949999999997</v>
      </c>
      <c r="P3330">
        <v>0.8577051</v>
      </c>
      <c r="Q3330">
        <v>0.35780070000000003</v>
      </c>
      <c r="R3330">
        <v>-0.3692164</v>
      </c>
      <c r="S3330">
        <v>3.0913089999999999</v>
      </c>
      <c r="T3330">
        <v>-0.39566279999999998</v>
      </c>
      <c r="U3330">
        <v>-1.3233490000000001</v>
      </c>
      <c r="V3330">
        <v>-0.33823249999999999</v>
      </c>
      <c r="W3330">
        <v>0.3593633</v>
      </c>
      <c r="X3330">
        <v>0.86974530000000005</v>
      </c>
      <c r="Y3330">
        <v>-0.35327459999999899</v>
      </c>
      <c r="Z3330">
        <v>9.3072970000000005E-2</v>
      </c>
      <c r="AA3330">
        <v>0.93087830000000005</v>
      </c>
      <c r="AB3330">
        <v>19</v>
      </c>
      <c r="AC3330">
        <v>8.5715999999999894</v>
      </c>
      <c r="AD3330">
        <v>-1.1153893697840001</v>
      </c>
      <c r="AE3330">
        <v>-3.6056999999999801</v>
      </c>
      <c r="AF3330">
        <v>-3.3439685035042399</v>
      </c>
      <c r="AG3330">
        <v>-1.1153893697840001</v>
      </c>
      <c r="AH3330">
        <v>8.5355592271627803</v>
      </c>
      <c r="AI3330">
        <v>96.937165868788995</v>
      </c>
      <c r="AJ3330">
        <v>111.39371192667799</v>
      </c>
      <c r="AK3330">
        <v>9.2348248558951695</v>
      </c>
      <c r="AL3330">
        <v>68.938901766386294</v>
      </c>
      <c r="AM3330">
        <v>111.250403460296</v>
      </c>
      <c r="AN3330">
        <v>1.00000004615761</v>
      </c>
    </row>
    <row r="3331" spans="1:40" x14ac:dyDescent="0.25">
      <c r="A3331" t="str">
        <f>"20190304164154398"</f>
        <v>20190304164154398</v>
      </c>
      <c r="B3331" t="str">
        <f>"1551688914394212"</f>
        <v>1551688914394212</v>
      </c>
      <c r="C3331" t="s">
        <v>40</v>
      </c>
      <c r="D3331">
        <v>4.037128</v>
      </c>
      <c r="E3331">
        <v>0.42182560000000002</v>
      </c>
      <c r="F3331" t="s">
        <v>41</v>
      </c>
      <c r="G3331">
        <v>-483.2192</v>
      </c>
      <c r="H3331">
        <v>1.0661130000000001</v>
      </c>
      <c r="I3331">
        <v>220.6276</v>
      </c>
      <c r="J3331">
        <v>-483.94630000000001</v>
      </c>
      <c r="K3331">
        <v>1.115462</v>
      </c>
      <c r="L3331">
        <v>220.7261</v>
      </c>
      <c r="M3331">
        <v>0.72354890000000005</v>
      </c>
      <c r="N3331">
        <v>-6.9190969999999999E-3</v>
      </c>
      <c r="O3331">
        <v>-0.69023869999999998</v>
      </c>
      <c r="P3331">
        <v>0.86063310000000004</v>
      </c>
      <c r="Q3331">
        <v>0.35921619999999999</v>
      </c>
      <c r="R3331">
        <v>-0.36093560000000002</v>
      </c>
      <c r="S3331">
        <v>3.2306819999999998</v>
      </c>
      <c r="T3331">
        <v>-0.184949</v>
      </c>
      <c r="U3331">
        <v>-0.79951479999999997</v>
      </c>
      <c r="V3331">
        <v>-0.33782780000000001</v>
      </c>
      <c r="W3331">
        <v>0.36068319999999998</v>
      </c>
      <c r="X3331">
        <v>0.86935609999999997</v>
      </c>
      <c r="Y3331">
        <v>-0.49478830000000001</v>
      </c>
      <c r="Z3331">
        <v>4.5511740000000002E-2</v>
      </c>
      <c r="AA3331">
        <v>0.86782099999999995</v>
      </c>
      <c r="AB3331">
        <v>19</v>
      </c>
      <c r="AC3331">
        <v>0.72710000000000696</v>
      </c>
      <c r="AD3331">
        <v>-4.9349000000000302E-2</v>
      </c>
      <c r="AE3331">
        <v>-9.8500000000001295E-2</v>
      </c>
      <c r="AF3331">
        <v>-0.428674135851145</v>
      </c>
      <c r="AG3331">
        <v>-4.9349000000000302E-2</v>
      </c>
      <c r="AH3331">
        <v>0.59141977283259395</v>
      </c>
      <c r="AI3331">
        <v>93.865080004531507</v>
      </c>
      <c r="AJ3331">
        <v>125.93543106038901</v>
      </c>
      <c r="AK3331">
        <v>0.73210257904619003</v>
      </c>
      <c r="AL3331">
        <v>68.857840644511199</v>
      </c>
      <c r="AM3331">
        <v>111.23589847793799</v>
      </c>
      <c r="AN3331">
        <v>1.00000001091114</v>
      </c>
    </row>
    <row r="3332" spans="1:40" x14ac:dyDescent="0.25">
      <c r="A3332" t="str">
        <f>"20190304164154422"</f>
        <v>20190304164154422</v>
      </c>
      <c r="B3332" t="str">
        <f>"1551688914414706"</f>
        <v>1551688914414706</v>
      </c>
      <c r="C3332" t="s">
        <v>40</v>
      </c>
      <c r="D3332">
        <v>4.0180910000000001</v>
      </c>
      <c r="E3332">
        <v>0.4193152</v>
      </c>
      <c r="F3332" t="s">
        <v>41</v>
      </c>
      <c r="G3332">
        <v>-483.08049999999997</v>
      </c>
      <c r="H3332">
        <v>1.0746610000000001</v>
      </c>
      <c r="I3332">
        <v>220.53579999999999</v>
      </c>
      <c r="J3332">
        <v>-483.78649999999999</v>
      </c>
      <c r="K3332">
        <v>1.115543</v>
      </c>
      <c r="L3332">
        <v>220.59190000000001</v>
      </c>
      <c r="M3332">
        <v>0.73151169999999899</v>
      </c>
      <c r="N3332">
        <v>-6.8724110000000001E-3</v>
      </c>
      <c r="O3332">
        <v>-0.68179440000000002</v>
      </c>
      <c r="P3332">
        <v>0.86413399999999996</v>
      </c>
      <c r="Q3332">
        <v>0.36004599999999998</v>
      </c>
      <c r="R3332">
        <v>-0.35162459999999901</v>
      </c>
      <c r="S3332">
        <v>3.2500610000000001</v>
      </c>
      <c r="T3332">
        <v>-0.15317059999999999</v>
      </c>
      <c r="U3332">
        <v>-0.71443179999999995</v>
      </c>
      <c r="V3332">
        <v>-0.3369761</v>
      </c>
      <c r="W3332">
        <v>0.3614097</v>
      </c>
      <c r="X3332">
        <v>0.86938490000000002</v>
      </c>
      <c r="Y3332">
        <v>-0.50787299999999902</v>
      </c>
      <c r="Z3332">
        <v>3.723427E-2</v>
      </c>
      <c r="AA3332">
        <v>0.86062689999999997</v>
      </c>
      <c r="AB3332">
        <v>19</v>
      </c>
      <c r="AC3332">
        <v>0.70600000000001695</v>
      </c>
      <c r="AD3332">
        <v>-4.08819999999998E-2</v>
      </c>
      <c r="AE3332">
        <v>-5.6100000000014902E-2</v>
      </c>
      <c r="AF3332">
        <v>-0.43885706743837299</v>
      </c>
      <c r="AG3332">
        <v>-4.08819999999998E-2</v>
      </c>
      <c r="AH3332">
        <v>0.55286674878478703</v>
      </c>
      <c r="AI3332">
        <v>93.314691378944502</v>
      </c>
      <c r="AJ3332">
        <v>128.442002152698</v>
      </c>
      <c r="AK3332">
        <v>0.70705622511683597</v>
      </c>
      <c r="AL3332">
        <v>68.813203849375697</v>
      </c>
      <c r="AM3332">
        <v>111.186474868277</v>
      </c>
      <c r="AN3332">
        <v>0.999999983786654</v>
      </c>
    </row>
    <row r="3333" spans="1:40" x14ac:dyDescent="0.25">
      <c r="A3333" t="str">
        <f>"20190304164154445"</f>
        <v>20190304164154445</v>
      </c>
      <c r="B3333" t="str">
        <f>"1551688914434016"</f>
        <v>1551688914434016</v>
      </c>
      <c r="C3333" t="s">
        <v>40</v>
      </c>
      <c r="D3333">
        <v>4.0418370000000001</v>
      </c>
      <c r="E3333">
        <v>0.41876920000000001</v>
      </c>
      <c r="F3333" t="s">
        <v>41</v>
      </c>
      <c r="G3333">
        <v>-482.77910000000003</v>
      </c>
      <c r="H3333">
        <v>1.072789</v>
      </c>
      <c r="I3333">
        <v>220.3887</v>
      </c>
      <c r="J3333">
        <v>-483.63339999999999</v>
      </c>
      <c r="K3333">
        <v>1.1156109999999999</v>
      </c>
      <c r="L3333">
        <v>220.4666</v>
      </c>
      <c r="M3333">
        <v>0.73900159999999904</v>
      </c>
      <c r="N3333">
        <v>-6.8301539999999997E-3</v>
      </c>
      <c r="O3333">
        <v>-0.67366899999999996</v>
      </c>
      <c r="P3333">
        <v>0.86780369999999996</v>
      </c>
      <c r="Q3333">
        <v>0.35967280000000001</v>
      </c>
      <c r="R3333">
        <v>-0.34285890000000002</v>
      </c>
      <c r="S3333">
        <v>3.2616580000000002</v>
      </c>
      <c r="T3333">
        <v>-0.13842979999999899</v>
      </c>
      <c r="U3333">
        <v>-0.6578522</v>
      </c>
      <c r="V3333">
        <v>-0.33633350000000001</v>
      </c>
      <c r="W3333">
        <v>0.36094870000000001</v>
      </c>
      <c r="X3333">
        <v>0.86982510000000002</v>
      </c>
      <c r="Y3333">
        <v>-0.5134727</v>
      </c>
      <c r="Z3333">
        <v>3.3301839999999999E-2</v>
      </c>
      <c r="AA3333">
        <v>0.85745949999999904</v>
      </c>
      <c r="AB3333">
        <v>20</v>
      </c>
      <c r="AC3333">
        <v>0.85429999999996598</v>
      </c>
      <c r="AD3333">
        <v>-4.2822000000000103E-2</v>
      </c>
      <c r="AE3333">
        <v>-7.7899999999999595E-2</v>
      </c>
      <c r="AF3333">
        <v>-0.51667184609125905</v>
      </c>
      <c r="AG3333">
        <v>-4.2822000000000103E-2</v>
      </c>
      <c r="AH3333">
        <v>0.68212412259239397</v>
      </c>
      <c r="AI3333">
        <v>92.864836200099404</v>
      </c>
      <c r="AJ3333">
        <v>127.141944552895</v>
      </c>
      <c r="AK3333">
        <v>0.85678284229423796</v>
      </c>
      <c r="AL3333">
        <v>68.841528432171103</v>
      </c>
      <c r="AM3333">
        <v>111.139889446437</v>
      </c>
      <c r="AN3333">
        <v>0.99999994592197305</v>
      </c>
    </row>
    <row r="3334" spans="1:40" x14ac:dyDescent="0.25">
      <c r="A3334" t="str">
        <f>"20190304164154467"</f>
        <v>20190304164154467</v>
      </c>
      <c r="B3334" t="str">
        <f>"1551688914454512"</f>
        <v>1551688914454512</v>
      </c>
      <c r="C3334" t="s">
        <v>40</v>
      </c>
      <c r="D3334">
        <v>4.0400710000000002</v>
      </c>
      <c r="E3334">
        <v>0.41891869999999998</v>
      </c>
      <c r="F3334" t="s">
        <v>41</v>
      </c>
      <c r="G3334">
        <v>-482.64769999999999</v>
      </c>
      <c r="H3334">
        <v>1.0743290000000001</v>
      </c>
      <c r="I3334">
        <v>220.28020000000001</v>
      </c>
      <c r="J3334">
        <v>-483.49029999999999</v>
      </c>
      <c r="K3334">
        <v>1.1156619999999999</v>
      </c>
      <c r="L3334">
        <v>220.3519</v>
      </c>
      <c r="M3334">
        <v>0.74587760000000003</v>
      </c>
      <c r="N3334">
        <v>-6.7939649999999999E-3</v>
      </c>
      <c r="O3334">
        <v>-0.66604869999999905</v>
      </c>
      <c r="P3334">
        <v>0.870921099999999</v>
      </c>
      <c r="Q3334">
        <v>0.35969849999999998</v>
      </c>
      <c r="R3334">
        <v>-0.33483429999999997</v>
      </c>
      <c r="S3334">
        <v>3.2695919999999998</v>
      </c>
      <c r="T3334">
        <v>-0.13691020000000001</v>
      </c>
      <c r="U3334">
        <v>-0.61791989999999997</v>
      </c>
      <c r="V3334">
        <v>-0.33547979999999999</v>
      </c>
      <c r="W3334">
        <v>0.36090689999999997</v>
      </c>
      <c r="X3334">
        <v>0.8701721</v>
      </c>
      <c r="Y3334">
        <v>-0.51517809999999997</v>
      </c>
      <c r="Z3334">
        <v>3.2784880000000002E-2</v>
      </c>
      <c r="AA3334">
        <v>0.85645590000000005</v>
      </c>
      <c r="AB3334">
        <v>20</v>
      </c>
      <c r="AC3334">
        <v>0.84260000000000401</v>
      </c>
      <c r="AD3334">
        <v>-4.1333000000000002E-2</v>
      </c>
      <c r="AE3334">
        <v>-7.16999999999927E-2</v>
      </c>
      <c r="AF3334">
        <v>-0.50653470631846198</v>
      </c>
      <c r="AG3334">
        <v>-4.1333000000000002E-2</v>
      </c>
      <c r="AH3334">
        <v>0.67463591135871903</v>
      </c>
      <c r="AI3334">
        <v>92.804920631980906</v>
      </c>
      <c r="AJ3334">
        <v>126.900202913595</v>
      </c>
      <c r="AK3334">
        <v>0.844641603574522</v>
      </c>
      <c r="AL3334">
        <v>68.844097369407194</v>
      </c>
      <c r="AM3334">
        <v>111.083282318337</v>
      </c>
      <c r="AN3334">
        <v>0.99999998514702904</v>
      </c>
    </row>
    <row r="3335" spans="1:40" x14ac:dyDescent="0.25">
      <c r="A3335" t="str">
        <f>"20190304164154487"</f>
        <v>20190304164154487</v>
      </c>
      <c r="B3335" t="str">
        <f>"1551688914474032"</f>
        <v>1551688914474032</v>
      </c>
      <c r="C3335" t="s">
        <v>40</v>
      </c>
      <c r="D3335">
        <v>4.0364659999999999</v>
      </c>
      <c r="E3335">
        <v>0.4192475</v>
      </c>
      <c r="F3335" t="s">
        <v>41</v>
      </c>
      <c r="G3335">
        <v>-482.51209999999998</v>
      </c>
      <c r="H3335">
        <v>1.075386</v>
      </c>
      <c r="I3335">
        <v>220.17660000000001</v>
      </c>
      <c r="J3335">
        <v>-483.34879999999998</v>
      </c>
      <c r="K3335">
        <v>1.1157090000000001</v>
      </c>
      <c r="L3335">
        <v>220.24090000000001</v>
      </c>
      <c r="M3335">
        <v>0.75255340000000004</v>
      </c>
      <c r="N3335">
        <v>-6.7620880000000003E-3</v>
      </c>
      <c r="O3335">
        <v>-0.65849659999999999</v>
      </c>
      <c r="P3335">
        <v>0.87377879999999997</v>
      </c>
      <c r="Q3335">
        <v>0.35982930000000002</v>
      </c>
      <c r="R3335">
        <v>-0.32716000000000001</v>
      </c>
      <c r="S3335">
        <v>3.2746580000000001</v>
      </c>
      <c r="T3335">
        <v>-0.13484380000000001</v>
      </c>
      <c r="U3335">
        <v>-0.58692929999999999</v>
      </c>
      <c r="V3335">
        <v>-0.334372</v>
      </c>
      <c r="W3335">
        <v>0.36098609999999998</v>
      </c>
      <c r="X3335">
        <v>0.87056559999999905</v>
      </c>
      <c r="Y3335">
        <v>-0.51465059999999996</v>
      </c>
      <c r="Z3335">
        <v>3.208577E-2</v>
      </c>
      <c r="AA3335">
        <v>0.85679939999999999</v>
      </c>
      <c r="AB3335">
        <v>20</v>
      </c>
      <c r="AC3335">
        <v>0.83670000000000699</v>
      </c>
      <c r="AD3335">
        <v>-4.0323000000000102E-2</v>
      </c>
      <c r="AE3335">
        <v>-6.4300000000002897E-2</v>
      </c>
      <c r="AF3335">
        <v>-0.50142862434416102</v>
      </c>
      <c r="AG3335">
        <v>-4.0323000000000102E-2</v>
      </c>
      <c r="AH3335">
        <v>0.67047002467052397</v>
      </c>
      <c r="AI3335">
        <v>92.757358080945806</v>
      </c>
      <c r="AJ3335">
        <v>126.791942709533</v>
      </c>
      <c r="AK3335">
        <v>0.838204428300383</v>
      </c>
      <c r="AL3335">
        <v>68.839232544244098</v>
      </c>
      <c r="AM3335">
        <v>111.011080148372</v>
      </c>
      <c r="AN3335">
        <v>1.0000000313402799</v>
      </c>
    </row>
    <row r="3336" spans="1:40" x14ac:dyDescent="0.25">
      <c r="A3336" t="str">
        <f>"20190304164154510"</f>
        <v>20190304164154510</v>
      </c>
      <c r="B3336" t="str">
        <f>"1551688914504289"</f>
        <v>1551688914504289</v>
      </c>
      <c r="C3336" t="s">
        <v>40</v>
      </c>
      <c r="D3336">
        <v>4.0877230000000004</v>
      </c>
      <c r="E3336">
        <v>0.42016110000000001</v>
      </c>
      <c r="F3336" t="s">
        <v>41</v>
      </c>
      <c r="G3336">
        <v>-482.37430000000001</v>
      </c>
      <c r="H3336">
        <v>1.075558</v>
      </c>
      <c r="I3336">
        <v>220.07470000000001</v>
      </c>
      <c r="J3336">
        <v>-483.18889999999999</v>
      </c>
      <c r="K3336">
        <v>1.115756</v>
      </c>
      <c r="L3336">
        <v>220.1182</v>
      </c>
      <c r="M3336">
        <v>0.75994399999999995</v>
      </c>
      <c r="N3336">
        <v>-6.731501E-3</v>
      </c>
      <c r="O3336">
        <v>-0.64995400000000003</v>
      </c>
      <c r="P3336">
        <v>0.87651970000000001</v>
      </c>
      <c r="Q3336">
        <v>0.36066599999999999</v>
      </c>
      <c r="R3336">
        <v>-0.31880059999999999</v>
      </c>
      <c r="S3336">
        <v>3.2797550000000002</v>
      </c>
      <c r="T3336">
        <v>-0.13508439999999999</v>
      </c>
      <c r="U3336">
        <v>-0.55877690000000002</v>
      </c>
      <c r="V3336">
        <v>-0.33267999999999998</v>
      </c>
      <c r="W3336">
        <v>0.3617824</v>
      </c>
      <c r="X3336">
        <v>0.87088319999999997</v>
      </c>
      <c r="Y3336">
        <v>-0.51233669999999998</v>
      </c>
      <c r="Z3336">
        <v>3.1915949999999998E-2</v>
      </c>
      <c r="AA3336">
        <v>0.85819140000000005</v>
      </c>
      <c r="AB3336">
        <v>20</v>
      </c>
      <c r="AC3336">
        <v>0.814599999999984</v>
      </c>
      <c r="AD3336">
        <v>-4.01979999999999E-2</v>
      </c>
      <c r="AE3336">
        <v>-4.3499999999994501E-2</v>
      </c>
      <c r="AF3336">
        <v>-0.49520366187669501</v>
      </c>
      <c r="AG3336">
        <v>-4.01979999999999E-2</v>
      </c>
      <c r="AH3336">
        <v>0.64576986447705498</v>
      </c>
      <c r="AI3336">
        <v>92.827904602824105</v>
      </c>
      <c r="AJ3336">
        <v>127.48251761038399</v>
      </c>
      <c r="AK3336">
        <v>0.81477681840293004</v>
      </c>
      <c r="AL3336">
        <v>68.790300667771703</v>
      </c>
      <c r="AM3336">
        <v>110.90700717513</v>
      </c>
      <c r="AN3336">
        <v>1.000000017696</v>
      </c>
    </row>
    <row r="3337" spans="1:40" x14ac:dyDescent="0.25">
      <c r="A3337" t="str">
        <f>"20190304164154533"</f>
        <v>20190304164154533</v>
      </c>
      <c r="B3337" t="str">
        <f>"1551688914524786"</f>
        <v>1551688914524786</v>
      </c>
      <c r="C3337" t="s">
        <v>40</v>
      </c>
      <c r="D3337">
        <v>4.1081859999999999</v>
      </c>
      <c r="E3337">
        <v>0.4211416</v>
      </c>
      <c r="F3337" t="s">
        <v>41</v>
      </c>
      <c r="G3337">
        <v>-482.23989999999998</v>
      </c>
      <c r="H3337">
        <v>1.0770869999999999</v>
      </c>
      <c r="I3337">
        <v>219.9641</v>
      </c>
      <c r="J3337">
        <v>-483.02769999999998</v>
      </c>
      <c r="K3337">
        <v>1.115801</v>
      </c>
      <c r="L3337">
        <v>219.99719999999999</v>
      </c>
      <c r="M3337">
        <v>0.76723549999999996</v>
      </c>
      <c r="N3337">
        <v>-6.7063770000000003E-3</v>
      </c>
      <c r="O3337">
        <v>-0.64133059999999997</v>
      </c>
      <c r="P3337">
        <v>0.87935409999999903</v>
      </c>
      <c r="Q3337">
        <v>0.36079630000000001</v>
      </c>
      <c r="R3337">
        <v>-0.310745099999999</v>
      </c>
      <c r="S3337">
        <v>3.2836910000000001</v>
      </c>
      <c r="T3337">
        <v>-0.13381029999999999</v>
      </c>
      <c r="U3337">
        <v>-0.5333405</v>
      </c>
      <c r="V3337">
        <v>-0.33083759999999901</v>
      </c>
      <c r="W3337">
        <v>0.3618846</v>
      </c>
      <c r="X3337">
        <v>0.87154229999999999</v>
      </c>
      <c r="Y3337">
        <v>-0.50929799999999903</v>
      </c>
      <c r="Z3337">
        <v>3.1338400000000002E-2</v>
      </c>
      <c r="AA3337">
        <v>0.86001949999999905</v>
      </c>
      <c r="AB3337">
        <v>20</v>
      </c>
      <c r="AC3337">
        <v>0.78780000000000405</v>
      </c>
      <c r="AD3337">
        <v>-3.8713999999999901E-2</v>
      </c>
      <c r="AE3337">
        <v>-3.3099999999990297E-2</v>
      </c>
      <c r="AF3337">
        <v>-0.47870149593858802</v>
      </c>
      <c r="AG3337">
        <v>-3.8713999999999901E-2</v>
      </c>
      <c r="AH3337">
        <v>0.62416551059466996</v>
      </c>
      <c r="AI3337">
        <v>92.817650282098001</v>
      </c>
      <c r="AJ3337">
        <v>127.486272784451</v>
      </c>
      <c r="AK3337">
        <v>0.78755093843239599</v>
      </c>
      <c r="AL3337">
        <v>68.784018624029102</v>
      </c>
      <c r="AM3337">
        <v>110.78677007846601</v>
      </c>
      <c r="AN3337">
        <v>0.99999998099010401</v>
      </c>
    </row>
    <row r="3338" spans="1:40" x14ac:dyDescent="0.25">
      <c r="A3338" t="str">
        <f>"20190304164154556"</f>
        <v>20190304164154556</v>
      </c>
      <c r="B3338" t="str">
        <f>"1551688914544812"</f>
        <v>1551688914544812</v>
      </c>
      <c r="C3338" t="s">
        <v>40</v>
      </c>
      <c r="D3338">
        <v>4.135929</v>
      </c>
      <c r="E3338">
        <v>0.4222959</v>
      </c>
      <c r="F3338" t="s">
        <v>41</v>
      </c>
      <c r="G3338">
        <v>-482.10230000000001</v>
      </c>
      <c r="H3338">
        <v>1.078314</v>
      </c>
      <c r="I3338">
        <v>219.8544</v>
      </c>
      <c r="J3338">
        <v>-482.86250000000001</v>
      </c>
      <c r="K3338">
        <v>1.115847</v>
      </c>
      <c r="L3338">
        <v>219.876</v>
      </c>
      <c r="M3338">
        <v>0.77453570000000005</v>
      </c>
      <c r="N3338">
        <v>-6.6868090000000002E-3</v>
      </c>
      <c r="O3338">
        <v>-0.63249489999999997</v>
      </c>
      <c r="P3338">
        <v>0.88218069999999904</v>
      </c>
      <c r="Q3338">
        <v>0.36057299999999998</v>
      </c>
      <c r="R3338">
        <v>-0.30289359999999999</v>
      </c>
      <c r="S3338">
        <v>3.2870180000000002</v>
      </c>
      <c r="T3338">
        <v>-0.1331309</v>
      </c>
      <c r="U3338">
        <v>-0.50691220000000003</v>
      </c>
      <c r="V3338">
        <v>-0.32870640000000001</v>
      </c>
      <c r="W3338">
        <v>0.36164449999999998</v>
      </c>
      <c r="X3338">
        <v>0.872448</v>
      </c>
      <c r="Y3338">
        <v>-0.50633079999999997</v>
      </c>
      <c r="Z3338">
        <v>3.0913889999999999E-2</v>
      </c>
      <c r="AA3338">
        <v>0.86178500000000002</v>
      </c>
      <c r="AB3338">
        <v>20</v>
      </c>
      <c r="AC3338">
        <v>0.76019999999999699</v>
      </c>
      <c r="AD3338">
        <v>-3.7532999999999997E-2</v>
      </c>
      <c r="AE3338">
        <v>-2.1599999999978001E-2</v>
      </c>
      <c r="AF3338">
        <v>-0.462975353166998</v>
      </c>
      <c r="AG3338">
        <v>-3.7532999999999997E-2</v>
      </c>
      <c r="AH3338">
        <v>0.601013502739143</v>
      </c>
      <c r="AI3338">
        <v>92.832274733452607</v>
      </c>
      <c r="AJ3338">
        <v>127.607937054644</v>
      </c>
      <c r="AK3338">
        <v>0.75958681808196304</v>
      </c>
      <c r="AL3338">
        <v>68.798776922373307</v>
      </c>
      <c r="AM3338">
        <v>110.64456848474001</v>
      </c>
      <c r="AN3338">
        <v>1.0000000772426001</v>
      </c>
    </row>
    <row r="3339" spans="1:40" x14ac:dyDescent="0.25">
      <c r="A3339" t="str">
        <f>"20190304164154577"</f>
        <v>20190304164154577</v>
      </c>
      <c r="B3339" t="str">
        <f>"1551688914564332"</f>
        <v>1551688914564332</v>
      </c>
      <c r="C3339" t="s">
        <v>40</v>
      </c>
      <c r="D3339">
        <v>4.1559569999999999</v>
      </c>
      <c r="E3339">
        <v>0.42283419999999999</v>
      </c>
      <c r="F3339" t="s">
        <v>41</v>
      </c>
      <c r="G3339">
        <v>-481.96440000000001</v>
      </c>
      <c r="H3339">
        <v>1.07883</v>
      </c>
      <c r="I3339">
        <v>219.74430000000001</v>
      </c>
      <c r="J3339">
        <v>-482.71379999999999</v>
      </c>
      <c r="K3339">
        <v>1.1158809999999999</v>
      </c>
      <c r="L3339">
        <v>219.76939999999999</v>
      </c>
      <c r="M3339">
        <v>0.7809623</v>
      </c>
      <c r="N3339">
        <v>-6.6744219999999898E-3</v>
      </c>
      <c r="O3339">
        <v>-0.62454240000000005</v>
      </c>
      <c r="P3339">
        <v>0.88464449999999994</v>
      </c>
      <c r="Q3339">
        <v>0.36053190000000002</v>
      </c>
      <c r="R3339">
        <v>-0.2956705</v>
      </c>
      <c r="S3339">
        <v>3.2904049999999998</v>
      </c>
      <c r="T3339">
        <v>-0.13561049999999999</v>
      </c>
      <c r="U3339">
        <v>-0.48268129999999998</v>
      </c>
      <c r="V3339">
        <v>-0.32696180000000002</v>
      </c>
      <c r="W3339">
        <v>0.36158899999999999</v>
      </c>
      <c r="X3339">
        <v>0.87312619999999896</v>
      </c>
      <c r="Y3339">
        <v>-0.50382979999999999</v>
      </c>
      <c r="Z3339">
        <v>3.1303850000000001E-2</v>
      </c>
      <c r="AA3339">
        <v>0.86323559999999999</v>
      </c>
      <c r="AB3339">
        <v>20</v>
      </c>
      <c r="AC3339">
        <v>0.74939999999997997</v>
      </c>
      <c r="AD3339">
        <v>-3.7050999999999903E-2</v>
      </c>
      <c r="AE3339">
        <v>-2.5099999999980499E-2</v>
      </c>
      <c r="AF3339">
        <v>-0.44734766646873703</v>
      </c>
      <c r="AG3339">
        <v>-3.7050999999999903E-2</v>
      </c>
      <c r="AH3339">
        <v>0.59947886120868898</v>
      </c>
      <c r="AI3339">
        <v>92.8357615251863</v>
      </c>
      <c r="AJ3339">
        <v>126.731315384574</v>
      </c>
      <c r="AK3339">
        <v>0.74891095353993298</v>
      </c>
      <c r="AL3339">
        <v>68.802185766449199</v>
      </c>
      <c r="AM3339">
        <v>110.529546113603</v>
      </c>
      <c r="AN3339">
        <v>0.99999999235333903</v>
      </c>
    </row>
    <row r="3340" spans="1:40" x14ac:dyDescent="0.25">
      <c r="A3340" t="str">
        <f>"20190304164154599"</f>
        <v>20190304164154599</v>
      </c>
      <c r="B3340" t="str">
        <f>"1551688914594588"</f>
        <v>1551688914594588</v>
      </c>
      <c r="C3340" t="s">
        <v>40</v>
      </c>
      <c r="D3340">
        <v>4.1542130000000004</v>
      </c>
      <c r="E3340">
        <v>0.43950230000000001</v>
      </c>
      <c r="F3340" t="s">
        <v>41</v>
      </c>
      <c r="G3340">
        <v>-481.81950000000001</v>
      </c>
      <c r="H3340">
        <v>1.0789660000000001</v>
      </c>
      <c r="I3340">
        <v>219.6454</v>
      </c>
      <c r="J3340">
        <v>-482.54410000000001</v>
      </c>
      <c r="K3340">
        <v>1.115928</v>
      </c>
      <c r="L3340">
        <v>219.65039999999999</v>
      </c>
      <c r="M3340">
        <v>0.78813489999999997</v>
      </c>
      <c r="N3340">
        <v>-6.6628919999999897E-3</v>
      </c>
      <c r="O3340">
        <v>-0.61546659999999997</v>
      </c>
      <c r="P3340">
        <v>0.88671580000000005</v>
      </c>
      <c r="Q3340">
        <v>0.36131600000000003</v>
      </c>
      <c r="R3340">
        <v>-0.28841990000000001</v>
      </c>
      <c r="S3340">
        <v>3.2940369999999999</v>
      </c>
      <c r="T3340">
        <v>-0.13594529999999999</v>
      </c>
      <c r="U3340">
        <v>-0.4564819</v>
      </c>
      <c r="V3340">
        <v>-0.32385890000000001</v>
      </c>
      <c r="W3340">
        <v>0.36237350000000002</v>
      </c>
      <c r="X3340">
        <v>0.87395699999999998</v>
      </c>
      <c r="Y3340">
        <v>-0.50070509999999901</v>
      </c>
      <c r="Z3340">
        <v>3.1102999999999999E-2</v>
      </c>
      <c r="AA3340">
        <v>0.86505900000000002</v>
      </c>
      <c r="AB3340">
        <v>20</v>
      </c>
      <c r="AC3340">
        <v>0.72460000000000901</v>
      </c>
      <c r="AD3340">
        <v>-3.6961999999999898E-2</v>
      </c>
      <c r="AE3340">
        <v>-4.9999999999954499E-3</v>
      </c>
      <c r="AF3340">
        <v>-0.44088904552767899</v>
      </c>
      <c r="AG3340">
        <v>-3.6961999999999898E-2</v>
      </c>
      <c r="AH3340">
        <v>0.57268251056553998</v>
      </c>
      <c r="AI3340">
        <v>92.927654052548107</v>
      </c>
      <c r="AJ3340">
        <v>127.591466745454</v>
      </c>
      <c r="AK3340">
        <v>0.72368128193145798</v>
      </c>
      <c r="AL3340">
        <v>68.753967238915607</v>
      </c>
      <c r="AM3340">
        <v>110.333001538639</v>
      </c>
      <c r="AN3340">
        <v>0.99999998923022904</v>
      </c>
    </row>
    <row r="3341" spans="1:40" x14ac:dyDescent="0.25">
      <c r="A3341" t="str">
        <f>"20190304164154622"</f>
        <v>20190304164154622</v>
      </c>
      <c r="B3341" t="str">
        <f>"1551688914614109"</f>
        <v>1551688914614109</v>
      </c>
      <c r="C3341" t="s">
        <v>40</v>
      </c>
      <c r="D3341">
        <v>4.1892769999999997</v>
      </c>
      <c r="E3341">
        <v>0.44105369999999999</v>
      </c>
      <c r="F3341" t="s">
        <v>41</v>
      </c>
      <c r="G3341">
        <v>-481.64929999999998</v>
      </c>
      <c r="H3341">
        <v>1.0681849999999999</v>
      </c>
      <c r="I3341">
        <v>219.49870000000001</v>
      </c>
      <c r="J3341">
        <v>-482.37</v>
      </c>
      <c r="K3341">
        <v>1.115991</v>
      </c>
      <c r="L3341">
        <v>219.53129999999999</v>
      </c>
      <c r="M3341">
        <v>0.79531719999999995</v>
      </c>
      <c r="N3341">
        <v>-6.6485529999999998E-3</v>
      </c>
      <c r="O3341">
        <v>-0.6061569</v>
      </c>
      <c r="P3341">
        <v>0.88864489999999996</v>
      </c>
      <c r="Q3341">
        <v>0.36232829999999999</v>
      </c>
      <c r="R3341">
        <v>-0.28112019999999999</v>
      </c>
      <c r="S3341">
        <v>3.2738040000000002</v>
      </c>
      <c r="T3341">
        <v>-0.17469949999999901</v>
      </c>
      <c r="U3341">
        <v>-0.55537409999999998</v>
      </c>
      <c r="V3341">
        <v>-0.32057380000000002</v>
      </c>
      <c r="W3341">
        <v>0.36338350000000003</v>
      </c>
      <c r="X3341">
        <v>0.87474850000000004</v>
      </c>
      <c r="Y3341">
        <v>-0.46338380000000001</v>
      </c>
      <c r="Z3341">
        <v>3.9411330000000001E-2</v>
      </c>
      <c r="AA3341">
        <v>0.88528079999999998</v>
      </c>
      <c r="AB3341">
        <v>20</v>
      </c>
      <c r="AC3341">
        <v>0.72070000000002199</v>
      </c>
      <c r="AD3341">
        <v>-4.7806000000000001E-2</v>
      </c>
      <c r="AE3341">
        <v>-3.2599999999973699E-2</v>
      </c>
      <c r="AF3341">
        <v>-0.40914248882294901</v>
      </c>
      <c r="AG3341">
        <v>-4.7806000000000001E-2</v>
      </c>
      <c r="AH3341">
        <v>0.59036664653605897</v>
      </c>
      <c r="AI3341">
        <v>93.807759090436704</v>
      </c>
      <c r="AJ3341">
        <v>124.72316581253099</v>
      </c>
      <c r="AK3341">
        <v>0.719872049143783</v>
      </c>
      <c r="AL3341">
        <v>68.691866412667096</v>
      </c>
      <c r="AM3341">
        <v>110.126642424671</v>
      </c>
      <c r="AN3341">
        <v>1.00000003378546</v>
      </c>
    </row>
    <row r="3342" spans="1:40" x14ac:dyDescent="0.25">
      <c r="A3342" t="str">
        <f>"20190304164154646"</f>
        <v>20190304164154646</v>
      </c>
      <c r="B3342" t="str">
        <f>"1551688914634605"</f>
        <v>1551688914634605</v>
      </c>
      <c r="C3342" t="s">
        <v>40</v>
      </c>
      <c r="D3342">
        <v>4.1898999999999997</v>
      </c>
      <c r="E3342">
        <v>0.44186219999999998</v>
      </c>
      <c r="F3342" t="s">
        <v>41</v>
      </c>
      <c r="G3342">
        <v>-481.36900000000003</v>
      </c>
      <c r="H3342">
        <v>1.06253</v>
      </c>
      <c r="I3342">
        <v>219.3681</v>
      </c>
      <c r="J3342">
        <v>-482.19319999999999</v>
      </c>
      <c r="K3342">
        <v>1.1160509999999999</v>
      </c>
      <c r="L3342">
        <v>219.4135</v>
      </c>
      <c r="M3342">
        <v>0.80242630000000004</v>
      </c>
      <c r="N3342">
        <v>-6.6301859999999997E-3</v>
      </c>
      <c r="O3342">
        <v>-0.59671430000000003</v>
      </c>
      <c r="P3342">
        <v>0.89078579999999996</v>
      </c>
      <c r="Q3342">
        <v>0.36372320000000002</v>
      </c>
      <c r="R3342">
        <v>-0.27240779999999998</v>
      </c>
      <c r="S3342">
        <v>3.2783809999999902</v>
      </c>
      <c r="T3342">
        <v>-0.17506279999999999</v>
      </c>
      <c r="U3342">
        <v>-0.53404240000000003</v>
      </c>
      <c r="V3342">
        <v>-0.31852599999999998</v>
      </c>
      <c r="W3342">
        <v>0.3647492</v>
      </c>
      <c r="X3342">
        <v>0.87492819999999905</v>
      </c>
      <c r="Y3342">
        <v>-0.45872659999999998</v>
      </c>
      <c r="Z3342">
        <v>3.9030170000000003E-2</v>
      </c>
      <c r="AA3342">
        <v>0.88771990000000001</v>
      </c>
      <c r="AB3342">
        <v>21</v>
      </c>
      <c r="AC3342">
        <v>0.82419999999996196</v>
      </c>
      <c r="AD3342">
        <v>-5.3521000000000103E-2</v>
      </c>
      <c r="AE3342">
        <v>-4.5400000000000697E-2</v>
      </c>
      <c r="AF3342">
        <v>-0.453485335102155</v>
      </c>
      <c r="AG3342">
        <v>-5.3521000000000103E-2</v>
      </c>
      <c r="AH3342">
        <v>0.68558353389900095</v>
      </c>
      <c r="AI3342">
        <v>93.725338433848805</v>
      </c>
      <c r="AJ3342">
        <v>123.482998120101</v>
      </c>
      <c r="AK3342">
        <v>0.82373431915099704</v>
      </c>
      <c r="AL3342">
        <v>68.607852784833995</v>
      </c>
      <c r="AM3342">
        <v>110.004520582273</v>
      </c>
      <c r="AN3342">
        <v>1.00000007336593</v>
      </c>
    </row>
    <row r="3343" spans="1:40" x14ac:dyDescent="0.25">
      <c r="A3343" t="str">
        <f>"20190304164154668"</f>
        <v>20190304164154668</v>
      </c>
      <c r="B3343" t="str">
        <f>"1551688914654139"</f>
        <v>1551688914654139</v>
      </c>
      <c r="C3343" t="s">
        <v>40</v>
      </c>
      <c r="D3343">
        <v>4.1887489999999996</v>
      </c>
      <c r="E3343">
        <v>0.44923370000000001</v>
      </c>
      <c r="F3343" t="s">
        <v>41</v>
      </c>
      <c r="G3343">
        <v>-481.22140000000002</v>
      </c>
      <c r="H3343">
        <v>1.065299</v>
      </c>
      <c r="I3343">
        <v>219.2637</v>
      </c>
      <c r="J3343">
        <v>-482.02589999999998</v>
      </c>
      <c r="K3343">
        <v>1.116106</v>
      </c>
      <c r="L3343">
        <v>219.3047</v>
      </c>
      <c r="M3343">
        <v>0.80899659999999995</v>
      </c>
      <c r="N3343">
        <v>-6.6119519999999999E-3</v>
      </c>
      <c r="O3343">
        <v>-0.58777639999999998</v>
      </c>
      <c r="P3343">
        <v>0.8936615</v>
      </c>
      <c r="Q3343">
        <v>0.36374489999999998</v>
      </c>
      <c r="R3343">
        <v>-0.26279130000000001</v>
      </c>
      <c r="S3343">
        <v>3.2832340000000002</v>
      </c>
      <c r="T3343">
        <v>-0.1714184</v>
      </c>
      <c r="U3343">
        <v>-0.50544739999999999</v>
      </c>
      <c r="V3343">
        <v>-0.31829279999999999</v>
      </c>
      <c r="W3343">
        <v>0.36471759999999998</v>
      </c>
      <c r="X3343">
        <v>0.87502619999999898</v>
      </c>
      <c r="Y3343">
        <v>-0.45668550000000002</v>
      </c>
      <c r="Z3343">
        <v>3.7800859999999999E-2</v>
      </c>
      <c r="AA3343">
        <v>0.88882479999999997</v>
      </c>
      <c r="AB3343">
        <v>21</v>
      </c>
      <c r="AC3343">
        <v>0.80449999999996102</v>
      </c>
      <c r="AD3343">
        <v>-5.0806999999999998E-2</v>
      </c>
      <c r="AE3343">
        <v>-4.0999999999996803E-2</v>
      </c>
      <c r="AF3343">
        <v>-0.43796455808222901</v>
      </c>
      <c r="AG3343">
        <v>-5.0806999999999998E-2</v>
      </c>
      <c r="AH3343">
        <v>0.67227690491841297</v>
      </c>
      <c r="AI3343">
        <v>93.623277739403093</v>
      </c>
      <c r="AJ3343">
        <v>123.082816770656</v>
      </c>
      <c r="AK3343">
        <v>0.80395929142702405</v>
      </c>
      <c r="AL3343">
        <v>68.609796590908104</v>
      </c>
      <c r="AM3343">
        <v>109.988973597911</v>
      </c>
      <c r="AN3343">
        <v>1.0000000424840101</v>
      </c>
    </row>
    <row r="3344" spans="1:40" x14ac:dyDescent="0.25">
      <c r="A3344" t="str">
        <f>"20190304164154689"</f>
        <v>20190304164154689</v>
      </c>
      <c r="B3344" t="str">
        <f>"1551688914684381"</f>
        <v>1551688914684381</v>
      </c>
      <c r="C3344" t="s">
        <v>40</v>
      </c>
      <c r="D3344">
        <v>4.1946979999999998</v>
      </c>
      <c r="E3344">
        <v>0.45028699999999999</v>
      </c>
      <c r="F3344" t="s">
        <v>41</v>
      </c>
      <c r="G3344">
        <v>-481.07490000000001</v>
      </c>
      <c r="H3344">
        <v>1.056265</v>
      </c>
      <c r="I3344">
        <v>219.15090000000001</v>
      </c>
      <c r="J3344">
        <v>-481.86149999999998</v>
      </c>
      <c r="K3344">
        <v>1.1161460000000001</v>
      </c>
      <c r="L3344">
        <v>219.2003</v>
      </c>
      <c r="M3344">
        <v>0.81528880000000004</v>
      </c>
      <c r="N3344">
        <v>-6.5917290000000002E-3</v>
      </c>
      <c r="O3344">
        <v>-0.57901720000000001</v>
      </c>
      <c r="P3344">
        <v>0.89640699999999995</v>
      </c>
      <c r="Q3344">
        <v>0.36358479999999999</v>
      </c>
      <c r="R3344">
        <v>-0.25349670000000002</v>
      </c>
      <c r="S3344">
        <v>3.2849119999999998</v>
      </c>
      <c r="T3344">
        <v>-0.2067147</v>
      </c>
      <c r="U3344">
        <v>-0.53109740000000005</v>
      </c>
      <c r="V3344">
        <v>-0.3180172</v>
      </c>
      <c r="W3344">
        <v>0.36451020000000001</v>
      </c>
      <c r="X3344">
        <v>0.87521280000000001</v>
      </c>
      <c r="Y3344">
        <v>-0.43981110000000001</v>
      </c>
      <c r="Z3344">
        <v>4.5088910000000003E-2</v>
      </c>
      <c r="AA3344">
        <v>0.89695780000000003</v>
      </c>
      <c r="AB3344">
        <v>21</v>
      </c>
      <c r="AC3344">
        <v>0.78659999999996399</v>
      </c>
      <c r="AD3344">
        <v>-5.9880999999999802E-2</v>
      </c>
      <c r="AE3344">
        <v>-4.9399999999991402E-2</v>
      </c>
      <c r="AF3344">
        <v>-0.41280573909249302</v>
      </c>
      <c r="AG3344">
        <v>-5.9880999999999802E-2</v>
      </c>
      <c r="AH3344">
        <v>0.66607919531792803</v>
      </c>
      <c r="AI3344">
        <v>94.369779450726099</v>
      </c>
      <c r="AJ3344">
        <v>121.788761237611</v>
      </c>
      <c r="AK3344">
        <v>0.78591081353044001</v>
      </c>
      <c r="AL3344">
        <v>68.622558103783405</v>
      </c>
      <c r="AM3344">
        <v>109.96911297843</v>
      </c>
      <c r="AN3344">
        <v>1.0000000353418499</v>
      </c>
    </row>
    <row r="3345" spans="1:40" x14ac:dyDescent="0.25">
      <c r="A3345" t="str">
        <f>"20190304164154711"</f>
        <v>20190304164154711</v>
      </c>
      <c r="B3345" t="str">
        <f>"1551688914703900"</f>
        <v>1551688914703900</v>
      </c>
      <c r="C3345" t="s">
        <v>40</v>
      </c>
      <c r="D3345">
        <v>4.2096339999999897</v>
      </c>
      <c r="E3345">
        <v>0.45603359999999898</v>
      </c>
      <c r="F3345" t="s">
        <v>41</v>
      </c>
      <c r="G3345">
        <v>-480.89859999999999</v>
      </c>
      <c r="H3345">
        <v>1.05358</v>
      </c>
      <c r="I3345">
        <v>219.05189999999999</v>
      </c>
      <c r="J3345">
        <v>-481.68389999999999</v>
      </c>
      <c r="K3345">
        <v>1.116169</v>
      </c>
      <c r="L3345">
        <v>219.09010000000001</v>
      </c>
      <c r="M3345">
        <v>0.82190409999999903</v>
      </c>
      <c r="N3345">
        <v>-6.5664449999999997E-3</v>
      </c>
      <c r="O3345">
        <v>-0.56958830000000005</v>
      </c>
      <c r="P3345">
        <v>0.89925659999999896</v>
      </c>
      <c r="Q3345">
        <v>0.3628847</v>
      </c>
      <c r="R3345">
        <v>-0.24423900000000001</v>
      </c>
      <c r="S3345">
        <v>3.290314</v>
      </c>
      <c r="T3345">
        <v>-0.21369170000000001</v>
      </c>
      <c r="U3345">
        <v>-0.50590519999999894</v>
      </c>
      <c r="V3345">
        <v>-0.31713980000000003</v>
      </c>
      <c r="W3345">
        <v>0.36377920000000002</v>
      </c>
      <c r="X3345">
        <v>0.87583500000000003</v>
      </c>
      <c r="Y3345">
        <v>-0.43630429999999998</v>
      </c>
      <c r="Z3345">
        <v>4.6129820000000002E-2</v>
      </c>
      <c r="AA3345">
        <v>0.89861589999999902</v>
      </c>
      <c r="AB3345">
        <v>21</v>
      </c>
      <c r="AC3345">
        <v>0.78530000000000599</v>
      </c>
      <c r="AD3345">
        <v>-6.2588999999999895E-2</v>
      </c>
      <c r="AE3345">
        <v>-3.8200000000017498E-2</v>
      </c>
      <c r="AF3345">
        <v>-0.41329074774830798</v>
      </c>
      <c r="AG3345">
        <v>-6.2588999999999895E-2</v>
      </c>
      <c r="AH3345">
        <v>0.66301219711679205</v>
      </c>
      <c r="AI3345">
        <v>94.5802467241963</v>
      </c>
      <c r="AJ3345">
        <v>121.93748074266</v>
      </c>
      <c r="AK3345">
        <v>0.78378045307406796</v>
      </c>
      <c r="AL3345">
        <v>68.667527067655399</v>
      </c>
      <c r="AM3345">
        <v>109.905318485157</v>
      </c>
      <c r="AN3345">
        <v>0.99999995316083801</v>
      </c>
    </row>
    <row r="3346" spans="1:40" x14ac:dyDescent="0.25">
      <c r="A3346" t="str">
        <f>"20190304164154734"</f>
        <v>20190304164154734</v>
      </c>
      <c r="B3346" t="str">
        <f>"1551688914724397"</f>
        <v>1551688914724397</v>
      </c>
      <c r="C3346" t="s">
        <v>40</v>
      </c>
      <c r="D3346">
        <v>4.1993359999999997</v>
      </c>
      <c r="E3346">
        <v>0.45575959999999899</v>
      </c>
      <c r="F3346" t="s">
        <v>46</v>
      </c>
      <c r="G3346">
        <v>-466.49740000000003</v>
      </c>
      <c r="H3346" s="1">
        <v>1.829552E-6</v>
      </c>
      <c r="I3346">
        <v>216.70349999999999</v>
      </c>
      <c r="J3346">
        <v>-481.5093</v>
      </c>
      <c r="K3346">
        <v>1.1161620000000001</v>
      </c>
      <c r="L3346">
        <v>218.98429999999999</v>
      </c>
      <c r="M3346">
        <v>0.82820930000000004</v>
      </c>
      <c r="N3346">
        <v>-6.5387350000000004E-3</v>
      </c>
      <c r="O3346">
        <v>-0.56038080000000001</v>
      </c>
      <c r="P3346">
        <v>0.90229459999999995</v>
      </c>
      <c r="Q3346">
        <v>0.36164580000000002</v>
      </c>
      <c r="R3346">
        <v>-0.2346847</v>
      </c>
      <c r="S3346">
        <v>3.2932429999999999</v>
      </c>
      <c r="T3346">
        <v>-0.24204349999999999</v>
      </c>
      <c r="U3346">
        <v>-0.51753229999999995</v>
      </c>
      <c r="V3346">
        <v>-0.31692710000000002</v>
      </c>
      <c r="W3346">
        <v>0.36251349999999999</v>
      </c>
      <c r="X3346">
        <v>0.87643669999999996</v>
      </c>
      <c r="Y3346">
        <v>-0.42278310000000002</v>
      </c>
      <c r="Z3346">
        <v>5.1490519999999998E-2</v>
      </c>
      <c r="AA3346">
        <v>0.90476690000000004</v>
      </c>
      <c r="AB3346">
        <v>21</v>
      </c>
      <c r="AC3346">
        <v>15.011899999999899</v>
      </c>
      <c r="AD3346">
        <v>-1.116160170448</v>
      </c>
      <c r="AE3346">
        <v>-2.2808000000000002</v>
      </c>
      <c r="AF3346">
        <v>-6.4884799521421801</v>
      </c>
      <c r="AG3346">
        <v>-1.116160170448</v>
      </c>
      <c r="AH3346">
        <v>13.6377139446563</v>
      </c>
      <c r="AI3346">
        <v>94.226778239689295</v>
      </c>
      <c r="AJ3346">
        <v>115.443925443868</v>
      </c>
      <c r="AK3346">
        <v>15.143758689695201</v>
      </c>
      <c r="AL3346">
        <v>68.745362134509506</v>
      </c>
      <c r="AM3346">
        <v>109.880429200218</v>
      </c>
      <c r="AN3346">
        <v>1.00000005675177</v>
      </c>
    </row>
    <row r="3347" spans="1:40" x14ac:dyDescent="0.25">
      <c r="A3347" t="str">
        <f>"20190304164154756"</f>
        <v>20190304164154756</v>
      </c>
      <c r="B3347" t="str">
        <f>"1551688914743917"</f>
        <v>1551688914743917</v>
      </c>
      <c r="C3347" t="s">
        <v>40</v>
      </c>
      <c r="D3347">
        <v>4.3812449999999998</v>
      </c>
      <c r="E3347">
        <v>0.45656540000000001</v>
      </c>
      <c r="F3347" t="s">
        <v>46</v>
      </c>
      <c r="G3347">
        <v>-466.72899999999998</v>
      </c>
      <c r="H3347" s="1">
        <v>1.9473500000000001E-6</v>
      </c>
      <c r="I3347">
        <v>216.82900000000001</v>
      </c>
      <c r="J3347">
        <v>-481.32909999999998</v>
      </c>
      <c r="K3347">
        <v>1.116134</v>
      </c>
      <c r="L3347">
        <v>218.87780000000001</v>
      </c>
      <c r="M3347">
        <v>0.83449779999999996</v>
      </c>
      <c r="N3347">
        <v>-6.5082079999999997E-3</v>
      </c>
      <c r="O3347">
        <v>-0.55097320000000005</v>
      </c>
      <c r="P3347">
        <v>0.90603630000000002</v>
      </c>
      <c r="Q3347">
        <v>0.3588095</v>
      </c>
      <c r="R3347">
        <v>-0.22439880000000001</v>
      </c>
      <c r="S3347">
        <v>3.2995909999999999</v>
      </c>
      <c r="T3347">
        <v>-0.24917420000000001</v>
      </c>
      <c r="U3347">
        <v>-0.48117070000000001</v>
      </c>
      <c r="V3347">
        <v>-0.31755270000000002</v>
      </c>
      <c r="W3347">
        <v>0.35965560000000002</v>
      </c>
      <c r="X3347">
        <v>0.87738700000000003</v>
      </c>
      <c r="Y3347">
        <v>-0.4224311</v>
      </c>
      <c r="Z3347">
        <v>5.2532540000000003E-2</v>
      </c>
      <c r="AA3347">
        <v>0.90487150000000005</v>
      </c>
      <c r="AB3347">
        <v>21</v>
      </c>
      <c r="AC3347">
        <v>14.6000999999999</v>
      </c>
      <c r="AD3347">
        <v>-1.11613205265</v>
      </c>
      <c r="AE3347">
        <v>-2.0488</v>
      </c>
      <c r="AF3347">
        <v>-6.2985787830103499</v>
      </c>
      <c r="AG3347">
        <v>-1.11613205265</v>
      </c>
      <c r="AH3347">
        <v>13.2369997324731</v>
      </c>
      <c r="AI3347">
        <v>94.354043141851193</v>
      </c>
      <c r="AJ3347">
        <v>115.44656734928699</v>
      </c>
      <c r="AK3347">
        <v>14.7015647929816</v>
      </c>
      <c r="AL3347">
        <v>68.920951212007694</v>
      </c>
      <c r="AM3347">
        <v>109.896711232557</v>
      </c>
      <c r="AN3347">
        <v>0.99999990782881998</v>
      </c>
    </row>
    <row r="3348" spans="1:40" x14ac:dyDescent="0.25">
      <c r="A3348" t="str">
        <f>"20190304164154778"</f>
        <v>20190304164154778</v>
      </c>
      <c r="B3348" t="str">
        <f>"1551688914774173"</f>
        <v>1551688914774173</v>
      </c>
      <c r="C3348" t="s">
        <v>40</v>
      </c>
      <c r="D3348">
        <v>4.1911069999999997</v>
      </c>
      <c r="E3348">
        <v>0.45838889999999999</v>
      </c>
      <c r="F3348" t="s">
        <v>46</v>
      </c>
      <c r="G3348">
        <v>-467.1737</v>
      </c>
      <c r="H3348" s="1">
        <v>2.1795730000000002E-6</v>
      </c>
      <c r="I3348">
        <v>216.9298</v>
      </c>
      <c r="J3348">
        <v>-481.14980000000003</v>
      </c>
      <c r="K3348">
        <v>1.116072</v>
      </c>
      <c r="L3348">
        <v>218.77420000000001</v>
      </c>
      <c r="M3348">
        <v>0.8405243</v>
      </c>
      <c r="N3348">
        <v>-6.4763679999999997E-3</v>
      </c>
      <c r="O3348">
        <v>-0.54173549999999904</v>
      </c>
      <c r="P3348">
        <v>0.90994699999999995</v>
      </c>
      <c r="Q3348">
        <v>0.35496499999999997</v>
      </c>
      <c r="R3348">
        <v>-0.2144684</v>
      </c>
      <c r="S3348">
        <v>3.3016969999999999</v>
      </c>
      <c r="T3348">
        <v>-0.26033319999999999</v>
      </c>
      <c r="U3348">
        <v>-0.45436100000000001</v>
      </c>
      <c r="V3348">
        <v>-0.31820199999999998</v>
      </c>
      <c r="W3348">
        <v>0.35581109999999999</v>
      </c>
      <c r="X3348">
        <v>0.87871840000000001</v>
      </c>
      <c r="Y3348">
        <v>-0.41952640000000002</v>
      </c>
      <c r="Z3348">
        <v>5.435827E-2</v>
      </c>
      <c r="AA3348">
        <v>0.90611410000000003</v>
      </c>
      <c r="AB3348">
        <v>21</v>
      </c>
      <c r="AC3348">
        <v>13.976100000000001</v>
      </c>
      <c r="AD3348">
        <v>-1.1160698204270001</v>
      </c>
      <c r="AE3348">
        <v>-1.8444</v>
      </c>
      <c r="AF3348">
        <v>-5.9837071531475097</v>
      </c>
      <c r="AG3348">
        <v>-1.1160698204270001</v>
      </c>
      <c r="AH3348">
        <v>12.667297855587099</v>
      </c>
      <c r="AI3348">
        <v>94.554871377039603</v>
      </c>
      <c r="AJ3348">
        <v>115.284850898619</v>
      </c>
      <c r="AK3348">
        <v>14.0538534964919</v>
      </c>
      <c r="AL3348">
        <v>69.156837843430097</v>
      </c>
      <c r="AM3348">
        <v>109.906363074967</v>
      </c>
      <c r="AN3348">
        <v>1.00000003909288</v>
      </c>
    </row>
    <row r="3349" spans="1:40" x14ac:dyDescent="0.25">
      <c r="A3349" t="str">
        <f>"20190304164154800"</f>
        <v>20190304164154800</v>
      </c>
      <c r="B3349" t="str">
        <f>"1551688914794669"</f>
        <v>1551688914794669</v>
      </c>
      <c r="C3349" t="s">
        <v>40</v>
      </c>
      <c r="D3349">
        <v>4.4044879999999997</v>
      </c>
      <c r="E3349">
        <v>0.45878350000000001</v>
      </c>
      <c r="F3349" t="s">
        <v>46</v>
      </c>
      <c r="G3349">
        <v>-467.71260000000001</v>
      </c>
      <c r="H3349" s="1">
        <v>2.4632610000000002E-6</v>
      </c>
      <c r="I3349">
        <v>217.00069999999999</v>
      </c>
      <c r="J3349">
        <v>-480.96199999999999</v>
      </c>
      <c r="K3349">
        <v>1.115977</v>
      </c>
      <c r="L3349">
        <v>218.66810000000001</v>
      </c>
      <c r="M3349">
        <v>0.84658349999999905</v>
      </c>
      <c r="N3349">
        <v>-6.4421890000000001E-3</v>
      </c>
      <c r="O3349">
        <v>-0.53221700000000005</v>
      </c>
      <c r="P3349">
        <v>0.91378510000000002</v>
      </c>
      <c r="Q3349">
        <v>0.35075489999999998</v>
      </c>
      <c r="R3349">
        <v>-0.20486070000000001</v>
      </c>
      <c r="S3349">
        <v>3.3012079999999999</v>
      </c>
      <c r="T3349">
        <v>-0.27419270000000001</v>
      </c>
      <c r="U3349">
        <v>-0.43569950000000002</v>
      </c>
      <c r="V3349">
        <v>-0.31829570000000001</v>
      </c>
      <c r="W3349">
        <v>0.35163060000000002</v>
      </c>
      <c r="X3349">
        <v>0.88036569999999903</v>
      </c>
      <c r="Y3349">
        <v>-0.41404410000000003</v>
      </c>
      <c r="Z3349">
        <v>5.6590759999999997E-2</v>
      </c>
      <c r="AA3349">
        <v>0.90849599999999997</v>
      </c>
      <c r="AB3349">
        <v>21</v>
      </c>
      <c r="AC3349">
        <v>13.2493999999999</v>
      </c>
      <c r="AD3349">
        <v>-1.1159745367389999</v>
      </c>
      <c r="AE3349">
        <v>-1.66740000000001</v>
      </c>
      <c r="AF3349">
        <v>-5.6009634445288397</v>
      </c>
      <c r="AG3349">
        <v>-1.1159745367389999</v>
      </c>
      <c r="AH3349">
        <v>12.0204444708056</v>
      </c>
      <c r="AI3349">
        <v>94.810265181053396</v>
      </c>
      <c r="AJ3349">
        <v>114.983311690191</v>
      </c>
      <c r="AK3349">
        <v>13.3081657620169</v>
      </c>
      <c r="AL3349">
        <v>69.412917600081002</v>
      </c>
      <c r="AM3349">
        <v>109.87742701078599</v>
      </c>
      <c r="AN3349">
        <v>0.99999999861566902</v>
      </c>
    </row>
    <row r="3350" spans="1:40" x14ac:dyDescent="0.25">
      <c r="A3350" t="str">
        <f>"20190304164154824"</f>
        <v>20190304164154824</v>
      </c>
      <c r="B3350" t="str">
        <f>"1551688914814189"</f>
        <v>1551688914814189</v>
      </c>
      <c r="C3350" t="s">
        <v>40</v>
      </c>
      <c r="D3350">
        <v>4.1843490000000001</v>
      </c>
      <c r="E3350">
        <v>0.46690140000000002</v>
      </c>
      <c r="F3350" t="s">
        <v>46</v>
      </c>
      <c r="G3350">
        <v>-468.28870000000001</v>
      </c>
      <c r="H3350" s="1">
        <v>2.7648420000000001E-6</v>
      </c>
      <c r="I3350">
        <v>217.11500000000001</v>
      </c>
      <c r="J3350">
        <v>-480.76620000000003</v>
      </c>
      <c r="K3350">
        <v>1.1158570000000001</v>
      </c>
      <c r="L3350">
        <v>218.56030000000001</v>
      </c>
      <c r="M3350">
        <v>0.85261160000000003</v>
      </c>
      <c r="N3350">
        <v>-6.4065679999999996E-3</v>
      </c>
      <c r="O3350">
        <v>-0.52250589999999997</v>
      </c>
      <c r="P3350">
        <v>0.91727879999999995</v>
      </c>
      <c r="Q3350">
        <v>0.34708610000000001</v>
      </c>
      <c r="R3350">
        <v>-0.1952721</v>
      </c>
      <c r="S3350">
        <v>3.303925</v>
      </c>
      <c r="T3350">
        <v>-0.29093409999999997</v>
      </c>
      <c r="U3350">
        <v>-0.40489199999999997</v>
      </c>
      <c r="V3350">
        <v>-0.31805470000000002</v>
      </c>
      <c r="W3350">
        <v>0.34801189999999999</v>
      </c>
      <c r="X3350">
        <v>0.88188949999999999</v>
      </c>
      <c r="Y3350">
        <v>-0.41174719999999998</v>
      </c>
      <c r="Z3350">
        <v>5.9437320000000002E-2</v>
      </c>
      <c r="AA3350">
        <v>0.90935770000000005</v>
      </c>
      <c r="AB3350">
        <v>22</v>
      </c>
      <c r="AC3350">
        <v>12.477499999999999</v>
      </c>
      <c r="AD3350">
        <v>-1.1158542351580001</v>
      </c>
      <c r="AE3350">
        <v>-1.4453</v>
      </c>
      <c r="AF3350">
        <v>-5.2459964103662697</v>
      </c>
      <c r="AG3350">
        <v>-1.1158542351580001</v>
      </c>
      <c r="AH3350">
        <v>11.3046596658232</v>
      </c>
      <c r="AI3350">
        <v>95.116414648743003</v>
      </c>
      <c r="AJ3350">
        <v>114.893945491588</v>
      </c>
      <c r="AK3350">
        <v>12.5124313852978</v>
      </c>
      <c r="AL3350">
        <v>69.634239597094805</v>
      </c>
      <c r="AM3350">
        <v>109.83191091173499</v>
      </c>
      <c r="AN3350">
        <v>1.0000000824719699</v>
      </c>
    </row>
    <row r="3351" spans="1:40" x14ac:dyDescent="0.25">
      <c r="A3351" t="str">
        <f>"20190304164154848"</f>
        <v>20190304164154848</v>
      </c>
      <c r="B3351" t="str">
        <f>"1551688914844445"</f>
        <v>1551688914844445</v>
      </c>
      <c r="C3351" t="s">
        <v>40</v>
      </c>
      <c r="D3351">
        <v>4.1837689999999998</v>
      </c>
      <c r="E3351">
        <v>0.46779949999999998</v>
      </c>
      <c r="F3351" t="s">
        <v>46</v>
      </c>
      <c r="G3351">
        <v>-468.38929999999999</v>
      </c>
      <c r="H3351" s="1">
        <v>2.826723E-6</v>
      </c>
      <c r="I3351">
        <v>216.92410000000001</v>
      </c>
      <c r="J3351">
        <v>-480.56760000000003</v>
      </c>
      <c r="K3351">
        <v>1.11574</v>
      </c>
      <c r="L3351">
        <v>218.45349999999999</v>
      </c>
      <c r="M3351">
        <v>0.85843709999999995</v>
      </c>
      <c r="N3351">
        <v>-6.3724749999999998E-3</v>
      </c>
      <c r="O3351">
        <v>-0.51287929999999904</v>
      </c>
      <c r="P3351">
        <v>0.91979460000000002</v>
      </c>
      <c r="Q3351">
        <v>0.34537479999999998</v>
      </c>
      <c r="R3351">
        <v>-0.18626409999999999</v>
      </c>
      <c r="S3351">
        <v>3.2901919999999998</v>
      </c>
      <c r="T3351">
        <v>-0.29663119999999998</v>
      </c>
      <c r="U3351">
        <v>-0.4349518</v>
      </c>
      <c r="V3351">
        <v>-0.31700200000000001</v>
      </c>
      <c r="W3351">
        <v>0.34636670000000003</v>
      </c>
      <c r="X3351">
        <v>0.88291559999999902</v>
      </c>
      <c r="Y3351">
        <v>-0.39273859999999999</v>
      </c>
      <c r="Z3351">
        <v>5.9267830000000001E-2</v>
      </c>
      <c r="AA3351">
        <v>0.91773839999999995</v>
      </c>
      <c r="AB3351">
        <v>22</v>
      </c>
      <c r="AC3351">
        <v>12.1783</v>
      </c>
      <c r="AD3351">
        <v>-1.1157371732770001</v>
      </c>
      <c r="AE3351">
        <v>-1.5293999999999801</v>
      </c>
      <c r="AF3351">
        <v>-4.8927737970885499</v>
      </c>
      <c r="AG3351">
        <v>-1.1157371732770001</v>
      </c>
      <c r="AH3351">
        <v>11.1468203837146</v>
      </c>
      <c r="AI3351">
        <v>95.236753961709894</v>
      </c>
      <c r="AJ3351">
        <v>113.69854222630499</v>
      </c>
      <c r="AK3351">
        <v>12.224389945355201</v>
      </c>
      <c r="AL3351">
        <v>69.734754665222496</v>
      </c>
      <c r="AM3351">
        <v>109.750167188395</v>
      </c>
      <c r="AN3351">
        <v>1.0000000577981201</v>
      </c>
    </row>
    <row r="3352" spans="1:40" x14ac:dyDescent="0.25">
      <c r="A3352" t="str">
        <f>"20190304164154868"</f>
        <v>20190304164154868</v>
      </c>
      <c r="B3352" t="str">
        <f>"1551688914863964"</f>
        <v>1551688914863964</v>
      </c>
      <c r="C3352" t="s">
        <v>40</v>
      </c>
      <c r="D3352">
        <v>4.2036769999999999</v>
      </c>
      <c r="E3352">
        <v>0.47359699999999999</v>
      </c>
      <c r="F3352" t="s">
        <v>46</v>
      </c>
      <c r="G3352">
        <v>-468.42430000000002</v>
      </c>
      <c r="H3352" s="1">
        <v>2.8447559999999999E-6</v>
      </c>
      <c r="I3352">
        <v>216.93700000000001</v>
      </c>
      <c r="J3352">
        <v>-480.39049999999997</v>
      </c>
      <c r="K3352">
        <v>1.1156619999999999</v>
      </c>
      <c r="L3352">
        <v>218.3603</v>
      </c>
      <c r="M3352">
        <v>0.86341970000000001</v>
      </c>
      <c r="N3352">
        <v>-6.3468760000000004E-3</v>
      </c>
      <c r="O3352">
        <v>-0.50444639999999996</v>
      </c>
      <c r="P3352">
        <v>0.92103310000000005</v>
      </c>
      <c r="Q3352">
        <v>0.34575899999999998</v>
      </c>
      <c r="R3352">
        <v>-0.1793015</v>
      </c>
      <c r="S3352">
        <v>3.2919010000000002</v>
      </c>
      <c r="T3352">
        <v>-0.30246149999999999</v>
      </c>
      <c r="U3352">
        <v>-0.41111760000000003</v>
      </c>
      <c r="V3352">
        <v>-0.31489929999999999</v>
      </c>
      <c r="W3352">
        <v>0.34681620000000002</v>
      </c>
      <c r="X3352">
        <v>0.88349129999999998</v>
      </c>
      <c r="Y3352">
        <v>-0.39023859999999999</v>
      </c>
      <c r="Z3352">
        <v>5.9771119999999997E-2</v>
      </c>
      <c r="AA3352">
        <v>0.91877160000000002</v>
      </c>
      <c r="AB3352">
        <v>22</v>
      </c>
      <c r="AC3352">
        <v>11.966199999999899</v>
      </c>
      <c r="AD3352">
        <v>-1.1156591552440001</v>
      </c>
      <c r="AE3352">
        <v>-1.42329999999998</v>
      </c>
      <c r="AF3352">
        <v>-4.76664143745404</v>
      </c>
      <c r="AG3352">
        <v>-1.1156591552440001</v>
      </c>
      <c r="AH3352">
        <v>10.9561447738403</v>
      </c>
      <c r="AI3352">
        <v>95.334534415016094</v>
      </c>
      <c r="AJ3352">
        <v>113.512199543487</v>
      </c>
      <c r="AK3352">
        <v>12.000111426536099</v>
      </c>
      <c r="AL3352">
        <v>69.707296326406293</v>
      </c>
      <c r="AM3352">
        <v>109.617390876534</v>
      </c>
      <c r="AN3352">
        <v>0.99999996144930903</v>
      </c>
    </row>
    <row r="3353" spans="1:40" x14ac:dyDescent="0.25">
      <c r="A3353" t="str">
        <f>"20190304164154890"</f>
        <v>20190304164154890</v>
      </c>
      <c r="B3353" t="str">
        <f>"1551688914884461"</f>
        <v>1551688914884461</v>
      </c>
      <c r="C3353" t="s">
        <v>40</v>
      </c>
      <c r="D3353">
        <v>4.1770949999999996</v>
      </c>
      <c r="E3353">
        <v>0.47320489999999998</v>
      </c>
      <c r="F3353" t="s">
        <v>46</v>
      </c>
      <c r="G3353">
        <v>-467.87939999999998</v>
      </c>
      <c r="H3353" s="1">
        <v>2.5642630000000002E-6</v>
      </c>
      <c r="I3353">
        <v>216.7199</v>
      </c>
      <c r="J3353">
        <v>-480.20190000000002</v>
      </c>
      <c r="K3353">
        <v>1.1156079999999999</v>
      </c>
      <c r="L3353">
        <v>218.26320000000001</v>
      </c>
      <c r="M3353">
        <v>0.86851319999999999</v>
      </c>
      <c r="N3353">
        <v>-6.32513E-3</v>
      </c>
      <c r="O3353">
        <v>-0.49562600000000001</v>
      </c>
      <c r="P3353">
        <v>0.92179270000000002</v>
      </c>
      <c r="Q3353">
        <v>0.34672550000000002</v>
      </c>
      <c r="R3353">
        <v>-0.17343629999999999</v>
      </c>
      <c r="S3353">
        <v>3.2833559999999999</v>
      </c>
      <c r="T3353">
        <v>-0.29278759999999998</v>
      </c>
      <c r="U3353">
        <v>-0.4304962</v>
      </c>
      <c r="V3353">
        <v>-0.31129829999999997</v>
      </c>
      <c r="W3353">
        <v>0.3478639</v>
      </c>
      <c r="X3353">
        <v>0.88435520000000001</v>
      </c>
      <c r="Y3353">
        <v>-0.37547560000000002</v>
      </c>
      <c r="Z3353">
        <v>5.6608430000000001E-2</v>
      </c>
      <c r="AA3353">
        <v>0.92510190000000003</v>
      </c>
      <c r="AB3353">
        <v>22</v>
      </c>
      <c r="AC3353">
        <v>12.3225</v>
      </c>
      <c r="AD3353">
        <v>-1.115605435737</v>
      </c>
      <c r="AE3353">
        <v>-1.5433000000000101</v>
      </c>
      <c r="AF3353">
        <v>-4.7289080920575799</v>
      </c>
      <c r="AG3353">
        <v>-1.115605435737</v>
      </c>
      <c r="AH3353">
        <v>11.375582094606701</v>
      </c>
      <c r="AI3353">
        <v>95.174428860236802</v>
      </c>
      <c r="AJ3353">
        <v>112.572993640612</v>
      </c>
      <c r="AK3353">
        <v>12.369762132818501</v>
      </c>
      <c r="AL3353">
        <v>69.643283237687996</v>
      </c>
      <c r="AM3353">
        <v>109.39237227983</v>
      </c>
      <c r="AN3353">
        <v>1.0000000221365599</v>
      </c>
    </row>
    <row r="3354" spans="1:40" x14ac:dyDescent="0.25">
      <c r="A3354" t="str">
        <f>"20190304164154913"</f>
        <v>20190304164154913</v>
      </c>
      <c r="B3354" t="str">
        <f>"1551688914903981"</f>
        <v>1551688914903981</v>
      </c>
      <c r="C3354" t="s">
        <v>40</v>
      </c>
      <c r="D3354">
        <v>4.2065580000000002</v>
      </c>
      <c r="E3354">
        <v>0.47343020000000002</v>
      </c>
      <c r="F3354" t="s">
        <v>46</v>
      </c>
      <c r="G3354">
        <v>-467.35649999999998</v>
      </c>
      <c r="H3354" s="1">
        <v>2.2877079999999999E-6</v>
      </c>
      <c r="I3354">
        <v>216.6814</v>
      </c>
      <c r="J3354">
        <v>-480.00170000000003</v>
      </c>
      <c r="K3354">
        <v>1.1155649999999999</v>
      </c>
      <c r="L3354">
        <v>218.1626</v>
      </c>
      <c r="M3354">
        <v>0.87368880000000004</v>
      </c>
      <c r="N3354">
        <v>-6.307366E-3</v>
      </c>
      <c r="O3354">
        <v>-0.48644470000000001</v>
      </c>
      <c r="P3354">
        <v>0.92234369999999999</v>
      </c>
      <c r="Q3354">
        <v>0.34825129999999999</v>
      </c>
      <c r="R3354">
        <v>-0.16734250000000001</v>
      </c>
      <c r="S3354">
        <v>3.285736</v>
      </c>
      <c r="T3354">
        <v>-0.28536149999999999</v>
      </c>
      <c r="U3354">
        <v>-0.40461730000000001</v>
      </c>
      <c r="V3354">
        <v>-0.30751270000000003</v>
      </c>
      <c r="W3354">
        <v>0.34946690000000002</v>
      </c>
      <c r="X3354">
        <v>0.88504740000000004</v>
      </c>
      <c r="Y3354">
        <v>-0.37315949999999998</v>
      </c>
      <c r="Z3354">
        <v>5.4404500000000001E-2</v>
      </c>
      <c r="AA3354">
        <v>0.92617070000000001</v>
      </c>
      <c r="AB3354">
        <v>22</v>
      </c>
      <c r="AC3354">
        <v>12.645200000000001</v>
      </c>
      <c r="AD3354">
        <v>-1.115562712292</v>
      </c>
      <c r="AE3354">
        <v>-1.4812000000000001</v>
      </c>
      <c r="AF3354">
        <v>-4.8201717061329203</v>
      </c>
      <c r="AG3354">
        <v>-1.115562712292</v>
      </c>
      <c r="AH3354">
        <v>11.679057908634601</v>
      </c>
      <c r="AI3354">
        <v>95.045782756411597</v>
      </c>
      <c r="AJ3354">
        <v>112.42688073432601</v>
      </c>
      <c r="AK3354">
        <v>12.6838057803997</v>
      </c>
      <c r="AL3354">
        <v>69.545288991561605</v>
      </c>
      <c r="AM3354">
        <v>109.159955381244</v>
      </c>
      <c r="AN3354">
        <v>1.0000000375518201</v>
      </c>
    </row>
    <row r="3355" spans="1:40" x14ac:dyDescent="0.25">
      <c r="A3355" t="str">
        <f>"20190304164154936"</f>
        <v>20190304164154936</v>
      </c>
      <c r="B3355" t="str">
        <f>"1551688914924477"</f>
        <v>1551688914924477</v>
      </c>
      <c r="C3355" t="s">
        <v>40</v>
      </c>
      <c r="D3355">
        <v>4.2061159999999997</v>
      </c>
      <c r="E3355">
        <v>0.47847190000000001</v>
      </c>
      <c r="F3355" t="s">
        <v>46</v>
      </c>
      <c r="G3355">
        <v>-466.83069999999998</v>
      </c>
      <c r="H3355" s="1">
        <v>2.0099509999999999E-6</v>
      </c>
      <c r="I3355">
        <v>216.6344</v>
      </c>
      <c r="J3355">
        <v>-479.80680000000001</v>
      </c>
      <c r="K3355">
        <v>1.1155379999999999</v>
      </c>
      <c r="L3355">
        <v>218.0667</v>
      </c>
      <c r="M3355">
        <v>0.87852039999999998</v>
      </c>
      <c r="N3355">
        <v>-6.2936509999999999E-3</v>
      </c>
      <c r="O3355">
        <v>-0.47766340000000002</v>
      </c>
      <c r="P3355">
        <v>0.92232999999999998</v>
      </c>
      <c r="Q3355">
        <v>0.3507904</v>
      </c>
      <c r="R3355">
        <v>-0.16202910000000001</v>
      </c>
      <c r="S3355">
        <v>3.288513</v>
      </c>
      <c r="T3355">
        <v>-0.27853070000000002</v>
      </c>
      <c r="U3355">
        <v>-0.381546</v>
      </c>
      <c r="V3355">
        <v>-0.30327179999999998</v>
      </c>
      <c r="W3355">
        <v>0.35208400000000001</v>
      </c>
      <c r="X3355">
        <v>0.88547330000000002</v>
      </c>
      <c r="Y3355">
        <v>-0.37053910000000001</v>
      </c>
      <c r="Z3355">
        <v>5.2349840000000002E-2</v>
      </c>
      <c r="AA3355">
        <v>0.92734039999999995</v>
      </c>
      <c r="AB3355">
        <v>22</v>
      </c>
      <c r="AC3355">
        <v>12.976100000000001</v>
      </c>
      <c r="AD3355">
        <v>-1.1155359900489901</v>
      </c>
      <c r="AE3355">
        <v>-1.4322999999999899</v>
      </c>
      <c r="AF3355">
        <v>-4.9041924778786203</v>
      </c>
      <c r="AG3355">
        <v>-1.1155359900489901</v>
      </c>
      <c r="AH3355">
        <v>11.996570570149601</v>
      </c>
      <c r="AI3355">
        <v>94.919520945434599</v>
      </c>
      <c r="AJ3355">
        <v>112.234721092505</v>
      </c>
      <c r="AK3355">
        <v>13.0081985628201</v>
      </c>
      <c r="AL3355">
        <v>69.385163890915095</v>
      </c>
      <c r="AM3355">
        <v>108.906169574907</v>
      </c>
      <c r="AN3355">
        <v>0.99999994637206302</v>
      </c>
    </row>
    <row r="3356" spans="1:40" x14ac:dyDescent="0.25">
      <c r="A3356" t="str">
        <f>"20190304164154956"</f>
        <v>20190304164154956</v>
      </c>
      <c r="B3356" t="str">
        <f>"1551688914943997"</f>
        <v>1551688914943997</v>
      </c>
      <c r="C3356" t="s">
        <v>40</v>
      </c>
      <c r="D3356">
        <v>4.1948990000000004</v>
      </c>
      <c r="E3356">
        <v>0.47941339999999999</v>
      </c>
      <c r="F3356" t="s">
        <v>46</v>
      </c>
      <c r="G3356">
        <v>-466.12689999999998</v>
      </c>
      <c r="H3356" s="1">
        <v>1.6452970000000001E-6</v>
      </c>
      <c r="I3356">
        <v>216.40880000000001</v>
      </c>
      <c r="J3356">
        <v>-479.61779999999999</v>
      </c>
      <c r="K3356">
        <v>1.1155170000000001</v>
      </c>
      <c r="L3356">
        <v>217.97579999999999</v>
      </c>
      <c r="M3356">
        <v>0.88301739999999995</v>
      </c>
      <c r="N3356">
        <v>-6.2828550000000004E-3</v>
      </c>
      <c r="O3356">
        <v>-0.4692984</v>
      </c>
      <c r="P3356">
        <v>0.92214870000000004</v>
      </c>
      <c r="Q3356">
        <v>0.35335809999999901</v>
      </c>
      <c r="R3356">
        <v>-0.15741640000000001</v>
      </c>
      <c r="S3356">
        <v>3.2845759999999999</v>
      </c>
      <c r="T3356">
        <v>-0.26784279999999999</v>
      </c>
      <c r="U3356">
        <v>-0.39805600000000002</v>
      </c>
      <c r="V3356">
        <v>-0.29882370000000003</v>
      </c>
      <c r="W3356">
        <v>0.35473290000000002</v>
      </c>
      <c r="X3356">
        <v>0.8859283</v>
      </c>
      <c r="Y3356">
        <v>-0.35723149999999998</v>
      </c>
      <c r="Z3356">
        <v>4.9190030000000003E-2</v>
      </c>
      <c r="AA3356">
        <v>0.93271970000000004</v>
      </c>
      <c r="AB3356">
        <v>22</v>
      </c>
      <c r="AC3356">
        <v>13.4909</v>
      </c>
      <c r="AD3356">
        <v>-1.1155153547029999</v>
      </c>
      <c r="AE3356">
        <v>-1.56699999999997</v>
      </c>
      <c r="AF3356">
        <v>-4.9145131747953297</v>
      </c>
      <c r="AG3356">
        <v>-1.1155153547029999</v>
      </c>
      <c r="AH3356">
        <v>12.5635839728291</v>
      </c>
      <c r="AI3356">
        <v>94.726942021539003</v>
      </c>
      <c r="AJ3356">
        <v>111.36400994826801</v>
      </c>
      <c r="AK3356">
        <v>13.5366338686596</v>
      </c>
      <c r="AL3356">
        <v>69.222924525183402</v>
      </c>
      <c r="AM3356">
        <v>108.63925567098499</v>
      </c>
      <c r="AN3356">
        <v>0.99999999338249501</v>
      </c>
    </row>
    <row r="3357" spans="1:40" x14ac:dyDescent="0.25">
      <c r="A3357" t="str">
        <f>"20190304164154980"</f>
        <v>20190304164154980</v>
      </c>
      <c r="B3357" t="str">
        <f>"1551688914974253"</f>
        <v>1551688914974253</v>
      </c>
      <c r="C3357" t="s">
        <v>40</v>
      </c>
      <c r="D3357">
        <v>4.2545809999999999</v>
      </c>
      <c r="E3357">
        <v>0.48014129999999999</v>
      </c>
      <c r="F3357" t="s">
        <v>46</v>
      </c>
      <c r="G3357">
        <v>-465.78769999999997</v>
      </c>
      <c r="H3357" s="1">
        <v>1.4671629999999999E-6</v>
      </c>
      <c r="I3357">
        <v>216.35429999999999</v>
      </c>
      <c r="J3357">
        <v>-479.41250000000002</v>
      </c>
      <c r="K3357">
        <v>1.1154930000000001</v>
      </c>
      <c r="L3357">
        <v>217.8793</v>
      </c>
      <c r="M3357">
        <v>0.887713999999999</v>
      </c>
      <c r="N3357">
        <v>-6.2739329999999998E-3</v>
      </c>
      <c r="O3357">
        <v>-0.4603527</v>
      </c>
      <c r="P3357">
        <v>0.92212169999999904</v>
      </c>
      <c r="Q3357">
        <v>0.35597079999999998</v>
      </c>
      <c r="R3357">
        <v>-0.1515802</v>
      </c>
      <c r="S3357">
        <v>3.2890929999999998</v>
      </c>
      <c r="T3357">
        <v>-0.265293099999999</v>
      </c>
      <c r="U3357">
        <v>-0.38563540000000002</v>
      </c>
      <c r="V3357">
        <v>-0.29500999999999999</v>
      </c>
      <c r="W3357">
        <v>0.35741790000000001</v>
      </c>
      <c r="X3357">
        <v>0.886127199999999</v>
      </c>
      <c r="Y3357">
        <v>-0.35151149999999998</v>
      </c>
      <c r="Z3357">
        <v>4.7835450000000002E-2</v>
      </c>
      <c r="AA3357">
        <v>0.93496069999999998</v>
      </c>
      <c r="AB3357">
        <v>22</v>
      </c>
      <c r="AC3357">
        <v>13.6248</v>
      </c>
      <c r="AD3357">
        <v>-1.1154915328370001</v>
      </c>
      <c r="AE3357">
        <v>-1.5249999999999999</v>
      </c>
      <c r="AF3357">
        <v>-4.8861989546169298</v>
      </c>
      <c r="AG3357">
        <v>-1.1154915328370001</v>
      </c>
      <c r="AH3357">
        <v>12.713052874498601</v>
      </c>
      <c r="AI3357">
        <v>94.682228369280494</v>
      </c>
      <c r="AJ3357">
        <v>111.02401682703101</v>
      </c>
      <c r="AK3357">
        <v>13.665320156283499</v>
      </c>
      <c r="AL3357">
        <v>69.058293723782597</v>
      </c>
      <c r="AM3357">
        <v>108.41366315041201</v>
      </c>
      <c r="AN3357">
        <v>0.99999993496012196</v>
      </c>
    </row>
    <row r="3358" spans="1:40" x14ac:dyDescent="0.25">
      <c r="A3358" t="str">
        <f>"20190304164155003"</f>
        <v>20190304164155003</v>
      </c>
      <c r="B3358" t="str">
        <f>"1551688914994749"</f>
        <v>1551688914994749</v>
      </c>
      <c r="C3358" t="s">
        <v>40</v>
      </c>
      <c r="D3358">
        <v>4.2379600000000002</v>
      </c>
      <c r="E3358">
        <v>0.50023519999999999</v>
      </c>
      <c r="F3358" t="s">
        <v>46</v>
      </c>
      <c r="G3358">
        <v>-465.27350000000001</v>
      </c>
      <c r="H3358" s="1">
        <v>1.1957789999999999E-6</v>
      </c>
      <c r="I3358">
        <v>216.30240000000001</v>
      </c>
      <c r="J3358">
        <v>-479.20370000000003</v>
      </c>
      <c r="K3358">
        <v>1.1154630000000001</v>
      </c>
      <c r="L3358">
        <v>217.78360000000001</v>
      </c>
      <c r="M3358">
        <v>0.89230030000000005</v>
      </c>
      <c r="N3358">
        <v>-6.268175E-3</v>
      </c>
      <c r="O3358">
        <v>-0.45139889999999999</v>
      </c>
      <c r="P3358">
        <v>0.92212930000000004</v>
      </c>
      <c r="Q3358">
        <v>0.35820049999999998</v>
      </c>
      <c r="R3358">
        <v>-0.1461855</v>
      </c>
      <c r="S3358">
        <v>3.2932429999999999</v>
      </c>
      <c r="T3358">
        <v>-0.25981769999999998</v>
      </c>
      <c r="U3358">
        <v>-0.36729430000000002</v>
      </c>
      <c r="V3358">
        <v>-0.29087790000000002</v>
      </c>
      <c r="W3358">
        <v>0.35972720000000002</v>
      </c>
      <c r="X3358">
        <v>0.88655869999999903</v>
      </c>
      <c r="Y3358">
        <v>-0.34750639999999999</v>
      </c>
      <c r="Z3358">
        <v>4.6043809999999998E-2</v>
      </c>
      <c r="AA3358">
        <v>0.9365464</v>
      </c>
      <c r="AB3358">
        <v>22</v>
      </c>
      <c r="AC3358">
        <v>13.930199999999999</v>
      </c>
      <c r="AD3358">
        <v>-1.1154618042209901</v>
      </c>
      <c r="AE3358">
        <v>-1.4812000000000001</v>
      </c>
      <c r="AF3358">
        <v>-4.9352082513887803</v>
      </c>
      <c r="AG3358">
        <v>-1.1154618042209901</v>
      </c>
      <c r="AH3358">
        <v>13.0162630349426</v>
      </c>
      <c r="AI3358">
        <v>94.581382934970193</v>
      </c>
      <c r="AJ3358">
        <v>110.764577260097</v>
      </c>
      <c r="AK3358">
        <v>13.965086427089</v>
      </c>
      <c r="AL3358">
        <v>68.916555942234595</v>
      </c>
      <c r="AM3358">
        <v>108.164546109981</v>
      </c>
      <c r="AN3358">
        <v>0.99999996983696904</v>
      </c>
    </row>
    <row r="3359" spans="1:40" x14ac:dyDescent="0.25">
      <c r="A3359" t="str">
        <f>"20190304164155025"</f>
        <v>20190304164155025</v>
      </c>
      <c r="B3359" t="str">
        <f>"1551688915014269"</f>
        <v>1551688915014269</v>
      </c>
      <c r="C3359" t="s">
        <v>40</v>
      </c>
      <c r="D3359">
        <v>4.2150069999999999</v>
      </c>
      <c r="E3359">
        <v>0.50443800000000005</v>
      </c>
      <c r="F3359" t="s">
        <v>46</v>
      </c>
      <c r="G3359">
        <v>-466.04500000000002</v>
      </c>
      <c r="H3359" s="1">
        <v>1.629858E-6</v>
      </c>
      <c r="I3359">
        <v>215.76429999999999</v>
      </c>
      <c r="J3359">
        <v>-478.99400000000003</v>
      </c>
      <c r="K3359">
        <v>1.1154329999999999</v>
      </c>
      <c r="L3359">
        <v>217.68979999999999</v>
      </c>
      <c r="M3359">
        <v>0.89672280000000004</v>
      </c>
      <c r="N3359">
        <v>-6.2661289999999996E-3</v>
      </c>
      <c r="O3359">
        <v>-0.44254850000000001</v>
      </c>
      <c r="P3359">
        <v>0.92245500000000002</v>
      </c>
      <c r="Q3359">
        <v>0.35931800000000003</v>
      </c>
      <c r="R3359">
        <v>-0.14130670000000001</v>
      </c>
      <c r="S3359">
        <v>3.2815859999999999</v>
      </c>
      <c r="T3359">
        <v>-0.27817799999999998</v>
      </c>
      <c r="U3359">
        <v>-0.50358579999999997</v>
      </c>
      <c r="V3359">
        <v>-0.28658</v>
      </c>
      <c r="W3359">
        <v>0.36092869999999999</v>
      </c>
      <c r="X3359">
        <v>0.88746959999999997</v>
      </c>
      <c r="Y3359">
        <v>-0.29909019999999997</v>
      </c>
      <c r="Z3359">
        <v>4.6582209999999999E-2</v>
      </c>
      <c r="AA3359">
        <v>0.95308720000000002</v>
      </c>
      <c r="AB3359">
        <v>23</v>
      </c>
      <c r="AC3359">
        <v>12.949</v>
      </c>
      <c r="AD3359">
        <v>-1.115431370142</v>
      </c>
      <c r="AE3359">
        <v>-1.92549999999999</v>
      </c>
      <c r="AF3359">
        <v>-3.9751408548724201</v>
      </c>
      <c r="AG3359">
        <v>-1.115431370142</v>
      </c>
      <c r="AH3359">
        <v>12.3742017631103</v>
      </c>
      <c r="AI3359">
        <v>94.905222628939896</v>
      </c>
      <c r="AJ3359">
        <v>107.809315194253</v>
      </c>
      <c r="AK3359">
        <v>13.0447997773724</v>
      </c>
      <c r="AL3359">
        <v>68.842757421680105</v>
      </c>
      <c r="AM3359">
        <v>107.896207467176</v>
      </c>
      <c r="AN3359">
        <v>0.99999995690392396</v>
      </c>
    </row>
    <row r="3360" spans="1:40" x14ac:dyDescent="0.25">
      <c r="A3360" t="str">
        <f>"20190304164155048"</f>
        <v>20190304164155048</v>
      </c>
      <c r="B3360" t="str">
        <f>"1551688915044525"</f>
        <v>1551688915044525</v>
      </c>
      <c r="C3360" t="s">
        <v>40</v>
      </c>
      <c r="D3360">
        <v>4.2056690000000003</v>
      </c>
      <c r="E3360">
        <v>0.50716300000000003</v>
      </c>
      <c r="F3360" t="s">
        <v>46</v>
      </c>
      <c r="G3360">
        <v>-466.15929999999997</v>
      </c>
      <c r="H3360" s="1">
        <v>1.6945689999999901E-6</v>
      </c>
      <c r="I3360">
        <v>215.67609999999999</v>
      </c>
      <c r="J3360">
        <v>-478.78579999999999</v>
      </c>
      <c r="K3360">
        <v>1.1154189999999999</v>
      </c>
      <c r="L3360">
        <v>217.59899999999999</v>
      </c>
      <c r="M3360">
        <v>0.90095570000000003</v>
      </c>
      <c r="N3360">
        <v>-6.2679149999999998E-3</v>
      </c>
      <c r="O3360">
        <v>-0.43386609999999998</v>
      </c>
      <c r="P3360">
        <v>0.92284619999999995</v>
      </c>
      <c r="Q3360">
        <v>0.36006739999999998</v>
      </c>
      <c r="R3360">
        <v>-0.1367719</v>
      </c>
      <c r="S3360">
        <v>3.284424</v>
      </c>
      <c r="T3360">
        <v>-0.2854409</v>
      </c>
      <c r="U3360">
        <v>-0.51533509999999905</v>
      </c>
      <c r="V3360">
        <v>-0.2822267</v>
      </c>
      <c r="W3360">
        <v>0.36175659999999998</v>
      </c>
      <c r="X3360">
        <v>0.88852699999999996</v>
      </c>
      <c r="Y3360">
        <v>-0.28659780000000001</v>
      </c>
      <c r="Z3360">
        <v>4.6590769999999997E-2</v>
      </c>
      <c r="AA3360">
        <v>0.95691749999999998</v>
      </c>
      <c r="AB3360">
        <v>23</v>
      </c>
      <c r="AC3360">
        <v>12.6265</v>
      </c>
      <c r="AD3360">
        <v>-1.1154173054309999</v>
      </c>
      <c r="AE3360">
        <v>-1.92290000000002</v>
      </c>
      <c r="AF3360">
        <v>-3.7174826144758599</v>
      </c>
      <c r="AG3360">
        <v>-1.1154173054309999</v>
      </c>
      <c r="AH3360">
        <v>12.118012987283199</v>
      </c>
      <c r="AI3360">
        <v>95.028990971007701</v>
      </c>
      <c r="AJ3360">
        <v>107.054614311611</v>
      </c>
      <c r="AK3360">
        <v>12.7243888463906</v>
      </c>
      <c r="AL3360">
        <v>68.791885654568702</v>
      </c>
      <c r="AM3360">
        <v>107.62163603008599</v>
      </c>
      <c r="AN3360">
        <v>0.999999988782725</v>
      </c>
    </row>
    <row r="3361" spans="1:40" x14ac:dyDescent="0.25">
      <c r="A3361" t="str">
        <f>"20190304164155070"</f>
        <v>20190304164155070</v>
      </c>
      <c r="B3361" t="str">
        <f>"1551688915064048"</f>
        <v>1551688915064048</v>
      </c>
      <c r="C3361" t="s">
        <v>40</v>
      </c>
      <c r="D3361">
        <v>4.221457</v>
      </c>
      <c r="E3361">
        <v>0.50820730000000003</v>
      </c>
      <c r="F3361" t="s">
        <v>46</v>
      </c>
      <c r="G3361">
        <v>-466.24040000000002</v>
      </c>
      <c r="H3361" s="1">
        <v>1.7399109999999999E-6</v>
      </c>
      <c r="I3361">
        <v>215.626</v>
      </c>
      <c r="J3361">
        <v>-478.5745</v>
      </c>
      <c r="K3361">
        <v>1.11541</v>
      </c>
      <c r="L3361">
        <v>217.50909999999999</v>
      </c>
      <c r="M3361">
        <v>0.90509899999999999</v>
      </c>
      <c r="N3361">
        <v>-6.2717669999999897E-3</v>
      </c>
      <c r="O3361">
        <v>-0.4251548</v>
      </c>
      <c r="P3361">
        <v>0.9235352</v>
      </c>
      <c r="Q3361">
        <v>0.35997970000000001</v>
      </c>
      <c r="R3361">
        <v>-0.13227829999999999</v>
      </c>
      <c r="S3361">
        <v>3.2882389999999999</v>
      </c>
      <c r="T3361">
        <v>-0.2923598</v>
      </c>
      <c r="U3361">
        <v>-0.51715089999999997</v>
      </c>
      <c r="V3361">
        <v>-0.27797690000000003</v>
      </c>
      <c r="W3361">
        <v>0.36174190000000001</v>
      </c>
      <c r="X3361">
        <v>0.88987169999999904</v>
      </c>
      <c r="Y3361">
        <v>-0.27695019999999998</v>
      </c>
      <c r="Z3361">
        <v>4.6611769999999997E-2</v>
      </c>
      <c r="AA3361">
        <v>0.95975299999999997</v>
      </c>
      <c r="AB3361">
        <v>23</v>
      </c>
      <c r="AC3361">
        <v>12.3340999999999</v>
      </c>
      <c r="AD3361">
        <v>-1.1154082600890001</v>
      </c>
      <c r="AE3361">
        <v>-1.88310000000001</v>
      </c>
      <c r="AF3361">
        <v>-3.5115158519495999</v>
      </c>
      <c r="AG3361">
        <v>-1.1154082600890001</v>
      </c>
      <c r="AH3361">
        <v>11.8695656068688</v>
      </c>
      <c r="AI3361">
        <v>95.1490979933983</v>
      </c>
      <c r="AJ3361">
        <v>106.480429100913</v>
      </c>
      <c r="AK3361">
        <v>12.428252767824199</v>
      </c>
      <c r="AL3361">
        <v>68.792789354396902</v>
      </c>
      <c r="AM3361">
        <v>107.34768896295201</v>
      </c>
      <c r="AN3361">
        <v>1.00000000080505</v>
      </c>
    </row>
    <row r="3362" spans="1:40" x14ac:dyDescent="0.25">
      <c r="A3362" t="str">
        <f>"20190304164155091"</f>
        <v>20190304164155091</v>
      </c>
      <c r="B3362" t="str">
        <f>"1551688915084541"</f>
        <v>1551688915084541</v>
      </c>
      <c r="C3362" t="s">
        <v>40</v>
      </c>
      <c r="D3362">
        <v>4.2279359999999997</v>
      </c>
      <c r="E3362">
        <v>0.50893829999999995</v>
      </c>
      <c r="F3362" t="s">
        <v>46</v>
      </c>
      <c r="G3362">
        <v>-466.27980000000002</v>
      </c>
      <c r="H3362" s="1">
        <v>1.7612890000000001E-6</v>
      </c>
      <c r="I3362">
        <v>215.61660000000001</v>
      </c>
      <c r="J3362">
        <v>-478.38049999999998</v>
      </c>
      <c r="K3362">
        <v>1.1154010000000001</v>
      </c>
      <c r="L3362">
        <v>217.42850000000001</v>
      </c>
      <c r="M3362">
        <v>0.90877470000000005</v>
      </c>
      <c r="N3362">
        <v>-6.2724360000000002E-3</v>
      </c>
      <c r="O3362">
        <v>-0.4172399</v>
      </c>
      <c r="P3362">
        <v>0.92434620000000001</v>
      </c>
      <c r="Q3362">
        <v>0.3590699</v>
      </c>
      <c r="R3362">
        <v>-0.1290473</v>
      </c>
      <c r="S3362">
        <v>3.2922359999999999</v>
      </c>
      <c r="T3362">
        <v>-0.2986801</v>
      </c>
      <c r="U3362">
        <v>-0.50675959999999998</v>
      </c>
      <c r="V3362">
        <v>-0.27344239999999997</v>
      </c>
      <c r="W3362">
        <v>0.3609077</v>
      </c>
      <c r="X3362">
        <v>0.89161369999999895</v>
      </c>
      <c r="Y3362">
        <v>-0.27164189999999999</v>
      </c>
      <c r="Z3362">
        <v>4.6766879999999997E-2</v>
      </c>
      <c r="AA3362">
        <v>0.96126149999999999</v>
      </c>
      <c r="AB3362">
        <v>23</v>
      </c>
      <c r="AC3362">
        <v>12.1006999999999</v>
      </c>
      <c r="AD3362">
        <v>-1.1153992387109899</v>
      </c>
      <c r="AE3362">
        <v>-1.8119000000000001</v>
      </c>
      <c r="AF3362">
        <v>-3.37431190570216</v>
      </c>
      <c r="AG3362">
        <v>-1.1153992387109899</v>
      </c>
      <c r="AH3362">
        <v>11.6561737569301</v>
      </c>
      <c r="AI3362">
        <v>95.251739665595096</v>
      </c>
      <c r="AJ3362">
        <v>106.14504786885</v>
      </c>
      <c r="AK3362">
        <v>12.1859132998076</v>
      </c>
      <c r="AL3362">
        <v>68.844049703252594</v>
      </c>
      <c r="AM3362">
        <v>107.049864953883</v>
      </c>
      <c r="AN3362">
        <v>1.00000005203236</v>
      </c>
    </row>
    <row r="3363" spans="1:40" x14ac:dyDescent="0.25">
      <c r="A3363" t="str">
        <f>"20190304164155113"</f>
        <v>20190304164155113</v>
      </c>
      <c r="B3363" t="str">
        <f>"1551688915104061"</f>
        <v>1551688915104061</v>
      </c>
      <c r="C3363" t="s">
        <v>40</v>
      </c>
      <c r="D3363">
        <v>4.2106599999999998</v>
      </c>
      <c r="E3363">
        <v>0.50957529999999995</v>
      </c>
      <c r="F3363" t="s">
        <v>46</v>
      </c>
      <c r="G3363">
        <v>-466.37110000000001</v>
      </c>
      <c r="H3363" s="1">
        <v>1.810005E-6</v>
      </c>
      <c r="I3363">
        <v>215.613</v>
      </c>
      <c r="J3363">
        <v>-478.16849999999999</v>
      </c>
      <c r="K3363">
        <v>1.1153949999999999</v>
      </c>
      <c r="L3363">
        <v>217.3424</v>
      </c>
      <c r="M3363">
        <v>0.91265079999999998</v>
      </c>
      <c r="N3363">
        <v>-6.2664569999999996E-3</v>
      </c>
      <c r="O3363">
        <v>-0.40869220000000001</v>
      </c>
      <c r="P3363">
        <v>0.9253536</v>
      </c>
      <c r="Q3363">
        <v>0.35786180000000001</v>
      </c>
      <c r="R3363">
        <v>-0.1251234</v>
      </c>
      <c r="S3363">
        <v>3.2948300000000001</v>
      </c>
      <c r="T3363">
        <v>-0.30601450000000002</v>
      </c>
      <c r="U3363">
        <v>-0.4980774</v>
      </c>
      <c r="V3363">
        <v>-0.26901429999999998</v>
      </c>
      <c r="W3363">
        <v>0.35976950000000002</v>
      </c>
      <c r="X3363">
        <v>0.89341879999999996</v>
      </c>
      <c r="Y3363">
        <v>-0.26512740000000001</v>
      </c>
      <c r="Z3363">
        <v>4.6953380000000003E-2</v>
      </c>
      <c r="AA3363">
        <v>0.96306950000000002</v>
      </c>
      <c r="AB3363">
        <v>23</v>
      </c>
      <c r="AC3363">
        <v>11.7973999999999</v>
      </c>
      <c r="AD3363">
        <v>-1.115393189995</v>
      </c>
      <c r="AE3363">
        <v>-1.7293999999999901</v>
      </c>
      <c r="AF3363">
        <v>-3.2150958573843398</v>
      </c>
      <c r="AG3363">
        <v>-1.115393189995</v>
      </c>
      <c r="AH3363">
        <v>11.3743883202759</v>
      </c>
      <c r="AI3363">
        <v>95.3907255373407</v>
      </c>
      <c r="AJ3363">
        <v>105.78352788543801</v>
      </c>
      <c r="AK3363">
        <v>11.872558822801601</v>
      </c>
      <c r="AL3363">
        <v>68.913958417039197</v>
      </c>
      <c r="AM3363">
        <v>106.75739502264101</v>
      </c>
      <c r="AN3363">
        <v>0.99999996946408898</v>
      </c>
    </row>
    <row r="3364" spans="1:40" x14ac:dyDescent="0.25">
      <c r="A3364" t="str">
        <f>"20190304164155136"</f>
        <v>20190304164155136</v>
      </c>
      <c r="B3364" t="str">
        <f>"1551688915124558"</f>
        <v>1551688915124558</v>
      </c>
      <c r="C3364" t="s">
        <v>40</v>
      </c>
      <c r="D3364">
        <v>4.2144760000000003</v>
      </c>
      <c r="E3364">
        <v>0.51008920000000002</v>
      </c>
      <c r="F3364" t="s">
        <v>46</v>
      </c>
      <c r="G3364">
        <v>-466.49689999999998</v>
      </c>
      <c r="H3364" s="1">
        <v>1.876608E-6</v>
      </c>
      <c r="I3364">
        <v>215.62110000000001</v>
      </c>
      <c r="J3364">
        <v>-477.95389999999998</v>
      </c>
      <c r="K3364">
        <v>1.1153709999999999</v>
      </c>
      <c r="L3364">
        <v>217.2576</v>
      </c>
      <c r="M3364">
        <v>0.9164293</v>
      </c>
      <c r="N3364">
        <v>-6.2532350000000002E-3</v>
      </c>
      <c r="O3364">
        <v>-0.40014759999999999</v>
      </c>
      <c r="P3364">
        <v>0.92607470000000003</v>
      </c>
      <c r="Q3364">
        <v>0.35731020000000002</v>
      </c>
      <c r="R3364">
        <v>-0.12130680000000001</v>
      </c>
      <c r="S3364">
        <v>3.2981259999999999</v>
      </c>
      <c r="T3364">
        <v>-0.31518499999999999</v>
      </c>
      <c r="U3364">
        <v>-0.48641970000000001</v>
      </c>
      <c r="V3364">
        <v>-0.26440269999999999</v>
      </c>
      <c r="W3364">
        <v>0.35928719999999997</v>
      </c>
      <c r="X3364">
        <v>0.89498820000000001</v>
      </c>
      <c r="Y3364">
        <v>-0.25948860000000001</v>
      </c>
      <c r="Z3364">
        <v>4.7413080000000003E-2</v>
      </c>
      <c r="AA3364">
        <v>0.96458160000000004</v>
      </c>
      <c r="AB3364">
        <v>23</v>
      </c>
      <c r="AC3364">
        <v>11.456999999999899</v>
      </c>
      <c r="AD3364">
        <v>-1.11536912339199</v>
      </c>
      <c r="AE3364">
        <v>-1.6364999999999801</v>
      </c>
      <c r="AF3364">
        <v>-3.0564268288554399</v>
      </c>
      <c r="AG3364">
        <v>-1.11536912339199</v>
      </c>
      <c r="AH3364">
        <v>11.051940085671299</v>
      </c>
      <c r="AI3364">
        <v>95.555658544390198</v>
      </c>
      <c r="AJ3364">
        <v>105.458844637366</v>
      </c>
      <c r="AK3364">
        <v>11.5209015662331</v>
      </c>
      <c r="AL3364">
        <v>68.943572542384203</v>
      </c>
      <c r="AM3364">
        <v>106.458505630899</v>
      </c>
      <c r="AN3364">
        <v>0.999999978995184</v>
      </c>
    </row>
    <row r="3365" spans="1:40" x14ac:dyDescent="0.25">
      <c r="A3365" t="str">
        <f>"20190304164155157"</f>
        <v>20190304164155157</v>
      </c>
      <c r="B3365" t="str">
        <f>"1551688915144077"</f>
        <v>1551688915144077</v>
      </c>
      <c r="C3365" t="s">
        <v>40</v>
      </c>
      <c r="D3365">
        <v>4.1967230000000004</v>
      </c>
      <c r="E3365">
        <v>0.51040070000000004</v>
      </c>
      <c r="F3365" t="s">
        <v>46</v>
      </c>
      <c r="G3365">
        <v>-466.47390000000001</v>
      </c>
      <c r="H3365" s="1">
        <v>1.864972E-6</v>
      </c>
      <c r="I3365">
        <v>215.60749999999999</v>
      </c>
      <c r="J3365">
        <v>-477.74889999999999</v>
      </c>
      <c r="K3365">
        <v>1.11534</v>
      </c>
      <c r="L3365">
        <v>217.17850000000001</v>
      </c>
      <c r="M3365">
        <v>0.91990620000000001</v>
      </c>
      <c r="N3365">
        <v>-6.2349509999999999E-3</v>
      </c>
      <c r="O3365">
        <v>-0.39208920000000003</v>
      </c>
      <c r="P3365">
        <v>0.92686500000000005</v>
      </c>
      <c r="Q3365">
        <v>0.35645690000000002</v>
      </c>
      <c r="R3365">
        <v>-0.1177296</v>
      </c>
      <c r="S3365">
        <v>3.3010860000000002</v>
      </c>
      <c r="T3365">
        <v>-0.32072580000000001</v>
      </c>
      <c r="U3365">
        <v>-0.474472</v>
      </c>
      <c r="V3365">
        <v>-0.26008959999999998</v>
      </c>
      <c r="W3365">
        <v>0.35849940000000002</v>
      </c>
      <c r="X3365">
        <v>0.89656659999999899</v>
      </c>
      <c r="Y3365">
        <v>-0.25451459999999998</v>
      </c>
      <c r="Z3365">
        <v>4.7338499999999999E-2</v>
      </c>
      <c r="AA3365">
        <v>0.96590960000000003</v>
      </c>
      <c r="AB3365">
        <v>23</v>
      </c>
      <c r="AC3365">
        <v>11.274999999999901</v>
      </c>
      <c r="AD3365">
        <v>-1.1153381350280001</v>
      </c>
      <c r="AE3365">
        <v>-1.5710000000000199</v>
      </c>
      <c r="AF3365">
        <v>-2.9473982908169001</v>
      </c>
      <c r="AG3365">
        <v>-1.1153381350280001</v>
      </c>
      <c r="AH3365">
        <v>10.883653848502499</v>
      </c>
      <c r="AI3365">
        <v>95.649054895884802</v>
      </c>
      <c r="AJ3365">
        <v>105.15280284521999</v>
      </c>
      <c r="AK3365">
        <v>11.330712993196</v>
      </c>
      <c r="AL3365">
        <v>68.991933361991002</v>
      </c>
      <c r="AM3365">
        <v>106.177186346154</v>
      </c>
      <c r="AN3365">
        <v>1.00000004403203</v>
      </c>
    </row>
    <row r="3366" spans="1:40" x14ac:dyDescent="0.25">
      <c r="A3366" t="str">
        <f>"20190304164155180"</f>
        <v>20190304164155180</v>
      </c>
      <c r="B3366" t="str">
        <f>"1551688915174333"</f>
        <v>1551688915174333</v>
      </c>
      <c r="C3366" t="s">
        <v>40</v>
      </c>
      <c r="D3366">
        <v>4.2179250000000001</v>
      </c>
      <c r="E3366">
        <v>0.51116899999999998</v>
      </c>
      <c r="F3366" t="s">
        <v>46</v>
      </c>
      <c r="G3366">
        <v>-466.44920000000002</v>
      </c>
      <c r="H3366" s="1">
        <v>1.8522799999999999E-6</v>
      </c>
      <c r="I3366">
        <v>215.59649999999999</v>
      </c>
      <c r="J3366">
        <v>-477.524</v>
      </c>
      <c r="K3366">
        <v>1.115307</v>
      </c>
      <c r="L3366">
        <v>217.09379999999999</v>
      </c>
      <c r="M3366">
        <v>0.92357730000000005</v>
      </c>
      <c r="N3366">
        <v>-6.2093840000000001E-3</v>
      </c>
      <c r="O3366">
        <v>-0.38336219999999999</v>
      </c>
      <c r="P3366">
        <v>0.92767109999999997</v>
      </c>
      <c r="Q3366">
        <v>0.35583870000000001</v>
      </c>
      <c r="R3366">
        <v>-0.11316030000000001</v>
      </c>
      <c r="S3366">
        <v>3.303375</v>
      </c>
      <c r="T3366">
        <v>-0.32605830000000002</v>
      </c>
      <c r="U3366">
        <v>-0.46247860000000002</v>
      </c>
      <c r="V3366">
        <v>-0.25606420000000002</v>
      </c>
      <c r="W3366">
        <v>0.35794029999999999</v>
      </c>
      <c r="X3366">
        <v>0.89794759999999996</v>
      </c>
      <c r="Y3366">
        <v>-0.24885860000000001</v>
      </c>
      <c r="Z3366">
        <v>4.7116440000000002E-2</v>
      </c>
      <c r="AA3366">
        <v>0.96739310000000001</v>
      </c>
      <c r="AB3366">
        <v>23</v>
      </c>
      <c r="AC3366">
        <v>11.0747999999999</v>
      </c>
      <c r="AD3366">
        <v>-1.11530514772</v>
      </c>
      <c r="AE3366">
        <v>-1.4972999999999901</v>
      </c>
      <c r="AF3366">
        <v>-2.8346103164825398</v>
      </c>
      <c r="AG3366">
        <v>-1.11530514772</v>
      </c>
      <c r="AH3366">
        <v>10.696118691141001</v>
      </c>
      <c r="AI3366">
        <v>95.755551328267799</v>
      </c>
      <c r="AJ3366">
        <v>104.84292209424299</v>
      </c>
      <c r="AK3366">
        <v>11.1214152100268</v>
      </c>
      <c r="AL3366">
        <v>69.026243716169603</v>
      </c>
      <c r="AM3366">
        <v>105.916352549338</v>
      </c>
      <c r="AN3366">
        <v>1.00000001261574</v>
      </c>
    </row>
    <row r="3367" spans="1:40" x14ac:dyDescent="0.25">
      <c r="A3367" t="str">
        <f>"20190304164155203"</f>
        <v>20190304164155203</v>
      </c>
      <c r="B3367" t="str">
        <f>"1551688915194830"</f>
        <v>1551688915194830</v>
      </c>
      <c r="C3367" t="s">
        <v>40</v>
      </c>
      <c r="D3367">
        <v>4.2357129999999996</v>
      </c>
      <c r="E3367">
        <v>0.51146250000000004</v>
      </c>
      <c r="F3367" t="s">
        <v>46</v>
      </c>
      <c r="G3367">
        <v>-466.41809999999998</v>
      </c>
      <c r="H3367" s="1">
        <v>1.8364140000000001E-6</v>
      </c>
      <c r="I3367">
        <v>215.58109999999999</v>
      </c>
      <c r="J3367">
        <v>-477.3021</v>
      </c>
      <c r="K3367">
        <v>1.115265</v>
      </c>
      <c r="L3367">
        <v>217.01249999999999</v>
      </c>
      <c r="M3367">
        <v>0.9270505</v>
      </c>
      <c r="N3367">
        <v>-6.1794780000000004E-3</v>
      </c>
      <c r="O3367">
        <v>-0.37488579999999999</v>
      </c>
      <c r="P3367">
        <v>0.92826039999999999</v>
      </c>
      <c r="Q3367">
        <v>0.35581740000000001</v>
      </c>
      <c r="R3367">
        <v>-0.1082905</v>
      </c>
      <c r="S3367">
        <v>3.306305</v>
      </c>
      <c r="T3367">
        <v>-0.33203460000000001</v>
      </c>
      <c r="U3367">
        <v>-0.45033260000000003</v>
      </c>
      <c r="V3367">
        <v>-0.25251459999999998</v>
      </c>
      <c r="W3367">
        <v>0.35796650000000002</v>
      </c>
      <c r="X3367">
        <v>0.89894180000000001</v>
      </c>
      <c r="Y3367">
        <v>-0.24354980000000001</v>
      </c>
      <c r="Z3367">
        <v>4.6981229999999999E-2</v>
      </c>
      <c r="AA3367">
        <v>0.96874979999999999</v>
      </c>
      <c r="AB3367">
        <v>24</v>
      </c>
      <c r="AC3367">
        <v>10.884</v>
      </c>
      <c r="AD3367">
        <v>-1.115263163586</v>
      </c>
      <c r="AE3367">
        <v>-1.43139999999999</v>
      </c>
      <c r="AF3367">
        <v>-2.7252019228587701</v>
      </c>
      <c r="AG3367">
        <v>-1.115263163586</v>
      </c>
      <c r="AH3367">
        <v>10.51826992679</v>
      </c>
      <c r="AI3367">
        <v>95.860423907379499</v>
      </c>
      <c r="AJ3367">
        <v>104.525486937121</v>
      </c>
      <c r="AK3367">
        <v>10.9226617496478</v>
      </c>
      <c r="AL3367">
        <v>69.024635743622994</v>
      </c>
      <c r="AM3367">
        <v>105.69016179224801</v>
      </c>
      <c r="AN3367">
        <v>0.99999999906132497</v>
      </c>
    </row>
    <row r="3368" spans="1:40" x14ac:dyDescent="0.25">
      <c r="A3368" t="str">
        <f>"20190304164155226"</f>
        <v>20190304164155226</v>
      </c>
      <c r="B3368" t="str">
        <f>"1551688915214349"</f>
        <v>1551688915214349</v>
      </c>
      <c r="C3368" t="s">
        <v>40</v>
      </c>
      <c r="D3368">
        <v>4.2692690000000004</v>
      </c>
      <c r="E3368">
        <v>0.51034060000000003</v>
      </c>
      <c r="F3368" t="s">
        <v>46</v>
      </c>
      <c r="G3368">
        <v>-466.26229999999998</v>
      </c>
      <c r="H3368" s="1">
        <v>1.7541380000000001E-6</v>
      </c>
      <c r="I3368">
        <v>215.5676</v>
      </c>
      <c r="J3368">
        <v>-477.072</v>
      </c>
      <c r="K3368">
        <v>1.1152169999999999</v>
      </c>
      <c r="L3368">
        <v>216.93049999999999</v>
      </c>
      <c r="M3368">
        <v>0.93049899999999997</v>
      </c>
      <c r="N3368">
        <v>-6.1441859999999899E-3</v>
      </c>
      <c r="O3368">
        <v>-0.36624319999999999</v>
      </c>
      <c r="P3368">
        <v>0.92897079999999999</v>
      </c>
      <c r="Q3368">
        <v>0.3555565</v>
      </c>
      <c r="R3368">
        <v>-0.10292220000000001</v>
      </c>
      <c r="S3368">
        <v>3.3094790000000001</v>
      </c>
      <c r="T3368">
        <v>-0.33433259999999998</v>
      </c>
      <c r="U3368">
        <v>-0.43315120000000001</v>
      </c>
      <c r="V3368">
        <v>-0.24934029999999999</v>
      </c>
      <c r="W3368">
        <v>0.3577439</v>
      </c>
      <c r="X3368">
        <v>0.89991599999999905</v>
      </c>
      <c r="Y3368">
        <v>-0.23960899999999999</v>
      </c>
      <c r="Z3368">
        <v>4.6344000000000003E-2</v>
      </c>
      <c r="AA3368">
        <v>0.96976269999999998</v>
      </c>
      <c r="AB3368">
        <v>24</v>
      </c>
      <c r="AC3368">
        <v>10.8096999999999</v>
      </c>
      <c r="AD3368">
        <v>-1.1152152458619999</v>
      </c>
      <c r="AE3368">
        <v>-1.36289999999999</v>
      </c>
      <c r="AF3368">
        <v>-2.6629525329732999</v>
      </c>
      <c r="AG3368">
        <v>-1.1152152458619999</v>
      </c>
      <c r="AH3368">
        <v>10.448298255010799</v>
      </c>
      <c r="AI3368">
        <v>95.905108818266797</v>
      </c>
      <c r="AJ3368">
        <v>104.298530943125</v>
      </c>
      <c r="AK3368">
        <v>10.83983199423</v>
      </c>
      <c r="AL3368">
        <v>69.038295304137804</v>
      </c>
      <c r="AM3368">
        <v>105.486490302425</v>
      </c>
      <c r="AN3368">
        <v>1.0000000451236399</v>
      </c>
    </row>
    <row r="3369" spans="1:40" x14ac:dyDescent="0.25">
      <c r="A3369" t="str">
        <f>"20190304164155247"</f>
        <v>20190304164155247</v>
      </c>
      <c r="B3369" t="str">
        <f>"1551688915233869"</f>
        <v>1551688915233869</v>
      </c>
      <c r="C3369" t="s">
        <v>40</v>
      </c>
      <c r="D3369">
        <v>4.2479829999999996</v>
      </c>
      <c r="E3369">
        <v>0.48939470000000002</v>
      </c>
      <c r="F3369" t="s">
        <v>46</v>
      </c>
      <c r="G3369">
        <v>-465.9359</v>
      </c>
      <c r="H3369" s="1">
        <v>1.580125E-6</v>
      </c>
      <c r="I3369">
        <v>215.57480000000001</v>
      </c>
      <c r="J3369">
        <v>-476.86430000000001</v>
      </c>
      <c r="K3369">
        <v>1.1151789999999999</v>
      </c>
      <c r="L3369">
        <v>216.85830000000001</v>
      </c>
      <c r="M3369">
        <v>0.93349530000000003</v>
      </c>
      <c r="N3369">
        <v>-6.1117239999999998E-3</v>
      </c>
      <c r="O3369">
        <v>-0.3585373</v>
      </c>
      <c r="P3369">
        <v>0.92967960000000005</v>
      </c>
      <c r="Q3369">
        <v>0.35513630000000002</v>
      </c>
      <c r="R3369">
        <v>-9.7846459999999996E-2</v>
      </c>
      <c r="S3369">
        <v>3.3116759999999998</v>
      </c>
      <c r="T3369">
        <v>-0.33164559999999998</v>
      </c>
      <c r="U3369">
        <v>-0.40315250000000002</v>
      </c>
      <c r="V3369">
        <v>-0.2468409</v>
      </c>
      <c r="W3369">
        <v>0.35734579999999999</v>
      </c>
      <c r="X3369">
        <v>0.90076279999999997</v>
      </c>
      <c r="Y3369">
        <v>-0.24038470000000001</v>
      </c>
      <c r="Z3369">
        <v>4.5353259999999999E-2</v>
      </c>
      <c r="AA3369">
        <v>0.96961759999999997</v>
      </c>
      <c r="AB3369">
        <v>24</v>
      </c>
      <c r="AC3369">
        <v>10.9284</v>
      </c>
      <c r="AD3369">
        <v>-1.115177419875</v>
      </c>
      <c r="AE3369">
        <v>-1.2835000000000001</v>
      </c>
      <c r="AF3369">
        <v>-2.6924934598641999</v>
      </c>
      <c r="AG3369">
        <v>-1.115177419875</v>
      </c>
      <c r="AH3369">
        <v>10.5535936561337</v>
      </c>
      <c r="AI3369">
        <v>95.846049353101705</v>
      </c>
      <c r="AJ3369">
        <v>104.312316502153</v>
      </c>
      <c r="AK3369">
        <v>10.948583505093101</v>
      </c>
      <c r="AL3369">
        <v>69.062719082103001</v>
      </c>
      <c r="AM3369">
        <v>105.324857167871</v>
      </c>
      <c r="AN3369">
        <v>1.00000003627714</v>
      </c>
    </row>
    <row r="3370" spans="1:40" x14ac:dyDescent="0.25">
      <c r="A3370" t="str">
        <f>"20190304164155271"</f>
        <v>20190304164155271</v>
      </c>
      <c r="B3370" t="str">
        <f>"1551688915264125"</f>
        <v>1551688915264125</v>
      </c>
      <c r="C3370" t="s">
        <v>40</v>
      </c>
      <c r="D3370">
        <v>4.207382</v>
      </c>
      <c r="E3370">
        <v>0.4897494</v>
      </c>
      <c r="F3370" t="s">
        <v>46</v>
      </c>
      <c r="G3370">
        <v>-461.71870000000001</v>
      </c>
      <c r="H3370" s="1">
        <v>-6.7712539999999997E-7</v>
      </c>
      <c r="I3370">
        <v>215.87270000000001</v>
      </c>
      <c r="J3370">
        <v>-476.62049999999999</v>
      </c>
      <c r="K3370">
        <v>1.1151500000000001</v>
      </c>
      <c r="L3370">
        <v>216.7758</v>
      </c>
      <c r="M3370">
        <v>0.93686999999999998</v>
      </c>
      <c r="N3370">
        <v>-6.0746009999999998E-3</v>
      </c>
      <c r="O3370">
        <v>-0.34962510000000002</v>
      </c>
      <c r="P3370">
        <v>0.93036260000000004</v>
      </c>
      <c r="Q3370">
        <v>0.35502</v>
      </c>
      <c r="R3370">
        <v>-9.1579229999999998E-2</v>
      </c>
      <c r="S3370">
        <v>3.2971189999999999</v>
      </c>
      <c r="T3370">
        <v>-0.24276790000000001</v>
      </c>
      <c r="U3370">
        <v>-0.21455379999999999</v>
      </c>
      <c r="V3370">
        <v>-0.2443167</v>
      </c>
      <c r="W3370">
        <v>0.35724600000000001</v>
      </c>
      <c r="X3370">
        <v>0.90149029999999997</v>
      </c>
      <c r="Y3370">
        <v>-0.28646880000000002</v>
      </c>
      <c r="Z3370">
        <v>3.442361E-2</v>
      </c>
      <c r="AA3370">
        <v>0.95747099999999996</v>
      </c>
      <c r="AB3370">
        <v>24</v>
      </c>
      <c r="AC3370">
        <v>14.9017999999999</v>
      </c>
      <c r="AD3370">
        <v>-1.1151506771253901</v>
      </c>
      <c r="AE3370">
        <v>-0.90309999999999402</v>
      </c>
      <c r="AF3370">
        <v>-4.33982235659815</v>
      </c>
      <c r="AG3370">
        <v>-1.1151506771253901</v>
      </c>
      <c r="AH3370">
        <v>14.197841891267</v>
      </c>
      <c r="AI3370">
        <v>94.295592130844597</v>
      </c>
      <c r="AJ3370">
        <v>106.99670234758599</v>
      </c>
      <c r="AK3370">
        <v>14.888127266011001</v>
      </c>
      <c r="AL3370">
        <v>69.068841791702297</v>
      </c>
      <c r="AM3370">
        <v>105.16372395657601</v>
      </c>
      <c r="AN3370">
        <v>1.0000000577044801</v>
      </c>
    </row>
    <row r="3371" spans="1:40" x14ac:dyDescent="0.25">
      <c r="A3371" t="str">
        <f>"20190304164155293"</f>
        <v>20190304164155293</v>
      </c>
      <c r="B3371" t="str">
        <f>"1551688915284622"</f>
        <v>1551688915284622</v>
      </c>
      <c r="C3371" t="s">
        <v>40</v>
      </c>
      <c r="D3371">
        <v>4.2294419999999997</v>
      </c>
      <c r="E3371">
        <v>0.49046459999999997</v>
      </c>
      <c r="F3371" t="s">
        <v>46</v>
      </c>
      <c r="G3371">
        <v>-461.31060000000002</v>
      </c>
      <c r="H3371" s="1">
        <v>-8.9473989999999998E-7</v>
      </c>
      <c r="I3371">
        <v>215.88329999999999</v>
      </c>
      <c r="J3371">
        <v>-476.39769999999999</v>
      </c>
      <c r="K3371">
        <v>1.1151260000000001</v>
      </c>
      <c r="L3371">
        <v>216.70259999999999</v>
      </c>
      <c r="M3371">
        <v>0.93982239999999995</v>
      </c>
      <c r="N3371">
        <v>-6.0400979999999998E-3</v>
      </c>
      <c r="O3371">
        <v>-0.34161010000000003</v>
      </c>
      <c r="P3371">
        <v>0.93080289999999999</v>
      </c>
      <c r="Q3371">
        <v>0.35539539999999997</v>
      </c>
      <c r="R3371">
        <v>-8.5441989999999995E-2</v>
      </c>
      <c r="S3371">
        <v>3.2972410000000001</v>
      </c>
      <c r="T3371">
        <v>-0.2401664</v>
      </c>
      <c r="U3371">
        <v>-0.192215</v>
      </c>
      <c r="V3371">
        <v>-0.24249419999999999</v>
      </c>
      <c r="W3371">
        <v>0.35762899999999997</v>
      </c>
      <c r="X3371">
        <v>0.90183040000000003</v>
      </c>
      <c r="Y3371">
        <v>-0.28480640000000002</v>
      </c>
      <c r="Z3371">
        <v>3.3497539999999999E-2</v>
      </c>
      <c r="AA3371">
        <v>0.95799959999999995</v>
      </c>
      <c r="AB3371">
        <v>24</v>
      </c>
      <c r="AC3371">
        <v>15.0870999999999</v>
      </c>
      <c r="AD3371">
        <v>-1.1151268947399</v>
      </c>
      <c r="AE3371">
        <v>-0.81929999999999803</v>
      </c>
      <c r="AF3371">
        <v>-4.3602387627013401</v>
      </c>
      <c r="AG3371">
        <v>-1.1151268947399</v>
      </c>
      <c r="AH3371">
        <v>14.3810053358958</v>
      </c>
      <c r="AI3371">
        <v>94.243905092386896</v>
      </c>
      <c r="AJ3371">
        <v>106.86700413383301</v>
      </c>
      <c r="AK3371">
        <v>15.0687924045094</v>
      </c>
      <c r="AL3371">
        <v>69.045344092419299</v>
      </c>
      <c r="AM3371">
        <v>105.05034221593201</v>
      </c>
      <c r="AN3371">
        <v>1.0000000045194</v>
      </c>
    </row>
    <row r="3372" spans="1:40" x14ac:dyDescent="0.25">
      <c r="A3372" t="str">
        <f>"20190304164155316"</f>
        <v>20190304164155316</v>
      </c>
      <c r="B3372" t="str">
        <f>"1551688915304141"</f>
        <v>1551688915304141</v>
      </c>
      <c r="C3372" t="s">
        <v>40</v>
      </c>
      <c r="D3372">
        <v>4.221425</v>
      </c>
      <c r="E3372">
        <v>0.49130289999999999</v>
      </c>
      <c r="F3372" t="s">
        <v>46</v>
      </c>
      <c r="G3372">
        <v>-461.08120000000002</v>
      </c>
      <c r="H3372" s="1">
        <v>-1.0173800000000001E-6</v>
      </c>
      <c r="I3372">
        <v>215.89619999999999</v>
      </c>
      <c r="J3372">
        <v>-476.16390000000001</v>
      </c>
      <c r="K3372">
        <v>1.1150869999999999</v>
      </c>
      <c r="L3372">
        <v>216.6277</v>
      </c>
      <c r="M3372">
        <v>0.94278600000000001</v>
      </c>
      <c r="N3372">
        <v>-6.0011819999999999E-3</v>
      </c>
      <c r="O3372">
        <v>-0.33334459999999999</v>
      </c>
      <c r="P3372">
        <v>0.93115210000000004</v>
      </c>
      <c r="Q3372">
        <v>0.35576799999999997</v>
      </c>
      <c r="R3372">
        <v>-7.9906959999999999E-2</v>
      </c>
      <c r="S3372">
        <v>3.2988279999999999</v>
      </c>
      <c r="T3372">
        <v>-0.24017289999999999</v>
      </c>
      <c r="U3372">
        <v>-0.17367550000000001</v>
      </c>
      <c r="V3372">
        <v>-0.2398573</v>
      </c>
      <c r="W3372">
        <v>0.35802440000000002</v>
      </c>
      <c r="X3372">
        <v>0.90237860000000003</v>
      </c>
      <c r="Y3372">
        <v>-0.28181030000000001</v>
      </c>
      <c r="Z3372">
        <v>3.2865779999999997E-2</v>
      </c>
      <c r="AA3372">
        <v>0.95890710000000001</v>
      </c>
      <c r="AB3372">
        <v>24</v>
      </c>
      <c r="AC3372">
        <v>15.0826999999999</v>
      </c>
      <c r="AD3372">
        <v>-1.11508801738</v>
      </c>
      <c r="AE3372">
        <v>-0.73150000000001103</v>
      </c>
      <c r="AF3372">
        <v>-4.3146386319027696</v>
      </c>
      <c r="AG3372">
        <v>-1.11508801738</v>
      </c>
      <c r="AH3372">
        <v>14.3854154224768</v>
      </c>
      <c r="AI3372">
        <v>94.246275550946507</v>
      </c>
      <c r="AJ3372">
        <v>106.69564129788201</v>
      </c>
      <c r="AK3372">
        <v>15.0598706730053</v>
      </c>
      <c r="AL3372">
        <v>69.021084326266205</v>
      </c>
      <c r="AM3372">
        <v>104.885348088654</v>
      </c>
      <c r="AN3372">
        <v>1.0000000665483</v>
      </c>
    </row>
    <row r="3373" spans="1:40" x14ac:dyDescent="0.25">
      <c r="A3373" t="str">
        <f>"20190304164155349"</f>
        <v>20190304164155349</v>
      </c>
      <c r="B3373" t="str">
        <f>"1551688915344157"</f>
        <v>1551688915344157</v>
      </c>
      <c r="C3373" t="s">
        <v>40</v>
      </c>
      <c r="D3373">
        <v>4.1987690000000004</v>
      </c>
      <c r="E3373">
        <v>0.4975752</v>
      </c>
      <c r="F3373" t="s">
        <v>46</v>
      </c>
      <c r="G3373">
        <v>-460.9683</v>
      </c>
      <c r="H3373" s="1">
        <v>-1.0775010000000001E-6</v>
      </c>
      <c r="I3373">
        <v>215.8973</v>
      </c>
      <c r="J3373">
        <v>-475.82670000000002</v>
      </c>
      <c r="K3373">
        <v>1.114989</v>
      </c>
      <c r="L3373">
        <v>216.52330000000001</v>
      </c>
      <c r="M3373">
        <v>0.94681479999999996</v>
      </c>
      <c r="N3373">
        <v>-5.9386580000000003E-3</v>
      </c>
      <c r="O3373">
        <v>-0.32172410000000001</v>
      </c>
      <c r="P3373">
        <v>0.93209129999999996</v>
      </c>
      <c r="Q3373">
        <v>0.35561789999999999</v>
      </c>
      <c r="R3373">
        <v>-6.8860640000000001E-2</v>
      </c>
      <c r="S3373">
        <v>3.3007810000000002</v>
      </c>
      <c r="T3373">
        <v>-0.2422183</v>
      </c>
      <c r="U3373">
        <v>-0.15866089999999999</v>
      </c>
      <c r="V3373">
        <v>-0.23940239999999999</v>
      </c>
      <c r="W3373">
        <v>0.35787170000000001</v>
      </c>
      <c r="X3373">
        <v>0.90255989999999997</v>
      </c>
      <c r="Y3373">
        <v>-0.27440550000000002</v>
      </c>
      <c r="Z3373">
        <v>3.212458E-2</v>
      </c>
      <c r="AA3373">
        <v>0.96107730000000002</v>
      </c>
      <c r="AB3373">
        <v>24</v>
      </c>
      <c r="AC3373">
        <v>14.8584</v>
      </c>
      <c r="AD3373">
        <v>-1.114990077501</v>
      </c>
      <c r="AE3373">
        <v>-0.626000000000004</v>
      </c>
      <c r="AF3373">
        <v>-4.1642651990956496</v>
      </c>
      <c r="AG3373">
        <v>-1.114990077501</v>
      </c>
      <c r="AH3373">
        <v>14.190039638600901</v>
      </c>
      <c r="AI3373">
        <v>94.311714519568298</v>
      </c>
      <c r="AJ3373">
        <v>106.355062599055</v>
      </c>
      <c r="AK3373">
        <v>14.8304259030679</v>
      </c>
      <c r="AL3373">
        <v>69.030453159225004</v>
      </c>
      <c r="AM3373">
        <v>104.855514586181</v>
      </c>
      <c r="AN3373">
        <v>1.0000000179373201</v>
      </c>
    </row>
    <row r="3374" spans="1:40" x14ac:dyDescent="0.25">
      <c r="A3374" t="str">
        <f>"20190304164155371"</f>
        <v>20190304164155371</v>
      </c>
      <c r="B3374" t="str">
        <f>"1551688915364654"</f>
        <v>1551688915364654</v>
      </c>
      <c r="C3374" t="s">
        <v>40</v>
      </c>
      <c r="D3374">
        <v>4.2315449999999997</v>
      </c>
      <c r="E3374">
        <v>0.49771969999999999</v>
      </c>
      <c r="F3374" t="s">
        <v>46</v>
      </c>
      <c r="G3374">
        <v>-461.65159999999997</v>
      </c>
      <c r="H3374" s="1">
        <v>-7.0898950000000004E-7</v>
      </c>
      <c r="I3374">
        <v>215.78550000000001</v>
      </c>
      <c r="J3374">
        <v>-475.58499999999998</v>
      </c>
      <c r="K3374">
        <v>1.114905</v>
      </c>
      <c r="L3374">
        <v>216.45099999999999</v>
      </c>
      <c r="M3374">
        <v>0.94952950000000003</v>
      </c>
      <c r="N3374">
        <v>-5.8905880000000004E-3</v>
      </c>
      <c r="O3374">
        <v>-0.31362259999999997</v>
      </c>
      <c r="P3374">
        <v>0.93252429999999997</v>
      </c>
      <c r="Q3374">
        <v>0.35578609999999999</v>
      </c>
      <c r="R3374">
        <v>-6.1765090000000002E-2</v>
      </c>
      <c r="S3374">
        <v>3.3050540000000002</v>
      </c>
      <c r="T3374">
        <v>-0.2599709</v>
      </c>
      <c r="U3374">
        <v>-0.1720276</v>
      </c>
      <c r="V3374">
        <v>-0.23847360000000001</v>
      </c>
      <c r="W3374">
        <v>0.35805160000000003</v>
      </c>
      <c r="X3374">
        <v>0.90273440000000005</v>
      </c>
      <c r="Y3374">
        <v>-0.26218560000000002</v>
      </c>
      <c r="Z3374">
        <v>3.3437189999999999E-2</v>
      </c>
      <c r="AA3374">
        <v>0.96443800000000002</v>
      </c>
      <c r="AB3374">
        <v>25</v>
      </c>
      <c r="AC3374">
        <v>13.933400000000001</v>
      </c>
      <c r="AD3374">
        <v>-1.1149057089895</v>
      </c>
      <c r="AE3374">
        <v>-0.66549999999998</v>
      </c>
      <c r="AF3374">
        <v>-3.7142548363632999</v>
      </c>
      <c r="AG3374">
        <v>-1.1149057089895</v>
      </c>
      <c r="AH3374">
        <v>13.3538169673207</v>
      </c>
      <c r="AI3374">
        <v>94.598755708876098</v>
      </c>
      <c r="AJ3374">
        <v>105.543472655787</v>
      </c>
      <c r="AK3374">
        <v>13.9055072300901</v>
      </c>
      <c r="AL3374">
        <v>69.0194138038581</v>
      </c>
      <c r="AM3374">
        <v>104.797679272095</v>
      </c>
      <c r="AN3374">
        <v>1.0000000015514401</v>
      </c>
    </row>
    <row r="3375" spans="1:40" x14ac:dyDescent="0.25">
      <c r="A3375" t="str">
        <f>"20190304164155393"</f>
        <v>20190304164155393</v>
      </c>
      <c r="B3375" t="str">
        <f>"1551688915384174"</f>
        <v>1551688915384174</v>
      </c>
      <c r="C3375" t="s">
        <v>40</v>
      </c>
      <c r="D3375">
        <v>4.2285279999999998</v>
      </c>
      <c r="E3375">
        <v>0.50025839999999999</v>
      </c>
      <c r="F3375" t="s">
        <v>46</v>
      </c>
      <c r="G3375">
        <v>-461.38440000000003</v>
      </c>
      <c r="H3375" s="1">
        <v>-8.5256349999999899E-7</v>
      </c>
      <c r="I3375">
        <v>215.81720000000001</v>
      </c>
      <c r="J3375">
        <v>-475.35550000000001</v>
      </c>
      <c r="K3375">
        <v>1.114822</v>
      </c>
      <c r="L3375">
        <v>216.38409999999999</v>
      </c>
      <c r="M3375">
        <v>0.95198470000000002</v>
      </c>
      <c r="N3375">
        <v>-5.8458479999999998E-3</v>
      </c>
      <c r="O3375">
        <v>-0.30609029999999998</v>
      </c>
      <c r="P3375">
        <v>0.93313210000000002</v>
      </c>
      <c r="Q3375">
        <v>0.3551493</v>
      </c>
      <c r="R3375">
        <v>-5.5980290000000002E-2</v>
      </c>
      <c r="S3375">
        <v>3.3063660000000001</v>
      </c>
      <c r="T3375">
        <v>-0.2595866</v>
      </c>
      <c r="U3375">
        <v>-0.1475677</v>
      </c>
      <c r="V3375">
        <v>-0.2369212</v>
      </c>
      <c r="W3375">
        <v>0.35743839999999999</v>
      </c>
      <c r="X3375">
        <v>0.90338589999999996</v>
      </c>
      <c r="Y3375">
        <v>-0.26170559999999998</v>
      </c>
      <c r="Z3375">
        <v>3.2854849999999998E-2</v>
      </c>
      <c r="AA3375">
        <v>0.96458829999999995</v>
      </c>
      <c r="AB3375">
        <v>25</v>
      </c>
      <c r="AC3375">
        <v>13.9710999999999</v>
      </c>
      <c r="AD3375">
        <v>-1.1148228525635</v>
      </c>
      <c r="AE3375">
        <v>-0.56689999999997498</v>
      </c>
      <c r="AF3375">
        <v>-3.7131974088415101</v>
      </c>
      <c r="AG3375">
        <v>-1.1148228525635</v>
      </c>
      <c r="AH3375">
        <v>13.3889139838902</v>
      </c>
      <c r="AI3375">
        <v>94.587364509611206</v>
      </c>
      <c r="AJ3375">
        <v>105.50048854030101</v>
      </c>
      <c r="AK3375">
        <v>13.9389268832875</v>
      </c>
      <c r="AL3375">
        <v>69.057036949538002</v>
      </c>
      <c r="AM3375">
        <v>104.695391951118</v>
      </c>
      <c r="AN3375">
        <v>0.99999997456140399</v>
      </c>
    </row>
    <row r="3376" spans="1:40" x14ac:dyDescent="0.25">
      <c r="A3376" t="str">
        <f>"20190304164155415"</f>
        <v>20190304164155415</v>
      </c>
      <c r="B3376" t="str">
        <f>"1551688915404671"</f>
        <v>1551688915404671</v>
      </c>
      <c r="C3376" t="s">
        <v>40</v>
      </c>
      <c r="D3376">
        <v>4.2433940000000003</v>
      </c>
      <c r="E3376">
        <v>0.50099839999999995</v>
      </c>
      <c r="F3376" t="s">
        <v>46</v>
      </c>
      <c r="G3376">
        <v>-461.8818</v>
      </c>
      <c r="H3376" s="1">
        <v>-5.8657049999999995E-7</v>
      </c>
      <c r="I3376">
        <v>215.78739999999999</v>
      </c>
      <c r="J3376">
        <v>-475.12090000000001</v>
      </c>
      <c r="K3376">
        <v>1.1147320000000001</v>
      </c>
      <c r="L3376">
        <v>216.3175</v>
      </c>
      <c r="M3376">
        <v>0.95436560000000004</v>
      </c>
      <c r="N3376">
        <v>-5.8009050000000003E-3</v>
      </c>
      <c r="O3376">
        <v>-0.29858449999999997</v>
      </c>
      <c r="P3376">
        <v>0.93395799999999995</v>
      </c>
      <c r="Q3376">
        <v>0.35388449999999999</v>
      </c>
      <c r="R3376">
        <v>-4.9880609999999999E-2</v>
      </c>
      <c r="S3376">
        <v>3.310425</v>
      </c>
      <c r="T3376">
        <v>-0.27390639999999999</v>
      </c>
      <c r="U3376">
        <v>-0.1466064</v>
      </c>
      <c r="V3376">
        <v>-0.23576639999999999</v>
      </c>
      <c r="W3376">
        <v>0.35619650000000003</v>
      </c>
      <c r="X3376">
        <v>0.90417820000000004</v>
      </c>
      <c r="Y3376">
        <v>-0.2542951</v>
      </c>
      <c r="Z3376">
        <v>3.3807150000000001E-2</v>
      </c>
      <c r="AA3376">
        <v>0.96653560000000005</v>
      </c>
      <c r="AB3376">
        <v>25</v>
      </c>
      <c r="AC3376">
        <v>13.239100000000001</v>
      </c>
      <c r="AD3376">
        <v>-1.1147325865705</v>
      </c>
      <c r="AE3376">
        <v>-0.53010000000000401</v>
      </c>
      <c r="AF3376">
        <v>-3.4229103837603998</v>
      </c>
      <c r="AG3376">
        <v>-1.1147325865705</v>
      </c>
      <c r="AH3376">
        <v>12.7035169177726</v>
      </c>
      <c r="AI3376">
        <v>94.842997175958402</v>
      </c>
      <c r="AJ3376">
        <v>105.07997985533299</v>
      </c>
      <c r="AK3376">
        <v>13.203722441605301</v>
      </c>
      <c r="AL3376">
        <v>69.133206627123499</v>
      </c>
      <c r="AM3376">
        <v>104.614574488305</v>
      </c>
      <c r="AN3376">
        <v>0.99999997966822396</v>
      </c>
    </row>
    <row r="3377" spans="1:40" x14ac:dyDescent="0.25">
      <c r="A3377" t="str">
        <f>"20190304164155436"</f>
        <v>20190304164155436</v>
      </c>
      <c r="B3377" t="str">
        <f>"1551688915424189"</f>
        <v>1551688915424189</v>
      </c>
      <c r="C3377" t="s">
        <v>40</v>
      </c>
      <c r="D3377">
        <v>4.2478669999999896</v>
      </c>
      <c r="E3377">
        <v>0.5017315</v>
      </c>
      <c r="F3377" t="s">
        <v>46</v>
      </c>
      <c r="G3377">
        <v>-461.83440000000002</v>
      </c>
      <c r="H3377" s="1">
        <v>-6.1192580000000001E-7</v>
      </c>
      <c r="I3377">
        <v>215.78970000000001</v>
      </c>
      <c r="J3377">
        <v>-474.89479999999998</v>
      </c>
      <c r="K3377">
        <v>1.1146389999999999</v>
      </c>
      <c r="L3377">
        <v>216.255</v>
      </c>
      <c r="M3377">
        <v>0.95653840000000001</v>
      </c>
      <c r="N3377">
        <v>-5.7569509999999997E-3</v>
      </c>
      <c r="O3377">
        <v>-0.29154960000000002</v>
      </c>
      <c r="P3377">
        <v>0.934446</v>
      </c>
      <c r="Q3377">
        <v>0.35338890000000001</v>
      </c>
      <c r="R3377">
        <v>-4.389817E-2</v>
      </c>
      <c r="S3377">
        <v>3.3103030000000002</v>
      </c>
      <c r="T3377">
        <v>-0.27773140000000002</v>
      </c>
      <c r="U3377">
        <v>-0.13150020000000001</v>
      </c>
      <c r="V3377">
        <v>-0.23487169999999999</v>
      </c>
      <c r="W3377">
        <v>0.35572280000000001</v>
      </c>
      <c r="X3377">
        <v>0.90459750000000005</v>
      </c>
      <c r="Y3377">
        <v>-0.25155499999999997</v>
      </c>
      <c r="Z3377">
        <v>3.366131E-2</v>
      </c>
      <c r="AA3377">
        <v>0.96725740000000004</v>
      </c>
      <c r="AB3377">
        <v>25</v>
      </c>
      <c r="AC3377">
        <v>13.0603999999999</v>
      </c>
      <c r="AD3377">
        <v>-1.1146396119258</v>
      </c>
      <c r="AE3377">
        <v>-0.465299999999985</v>
      </c>
      <c r="AF3377">
        <v>-3.3384471228408201</v>
      </c>
      <c r="AG3377">
        <v>-1.1146396119258</v>
      </c>
      <c r="AH3377">
        <v>12.537437282661999</v>
      </c>
      <c r="AI3377">
        <v>94.910299311809993</v>
      </c>
      <c r="AJ3377">
        <v>104.910639145608</v>
      </c>
      <c r="AK3377">
        <v>13.022096001533701</v>
      </c>
      <c r="AL3377">
        <v>69.162251066564593</v>
      </c>
      <c r="AM3377">
        <v>104.55501306359599</v>
      </c>
      <c r="AN3377">
        <v>1.00000003145348</v>
      </c>
    </row>
    <row r="3378" spans="1:40" x14ac:dyDescent="0.25">
      <c r="A3378" t="str">
        <f>"20190304164155461"</f>
        <v>20190304164155461</v>
      </c>
      <c r="B3378" t="str">
        <f>"1551688915454445"</f>
        <v>1551688915454445</v>
      </c>
      <c r="C3378" t="s">
        <v>40</v>
      </c>
      <c r="D3378">
        <v>4.2391310000000004</v>
      </c>
      <c r="E3378">
        <v>0.50248510000000002</v>
      </c>
      <c r="F3378" t="s">
        <v>46</v>
      </c>
      <c r="G3378">
        <v>-461.73230000000001</v>
      </c>
      <c r="H3378" s="1">
        <v>-6.660928E-7</v>
      </c>
      <c r="I3378">
        <v>215.78639999999999</v>
      </c>
      <c r="J3378">
        <v>-474.63459999999998</v>
      </c>
      <c r="K3378">
        <v>1.1145320000000001</v>
      </c>
      <c r="L3378">
        <v>216.1849</v>
      </c>
      <c r="M3378">
        <v>0.95889769999999996</v>
      </c>
      <c r="N3378">
        <v>-5.70457E-3</v>
      </c>
      <c r="O3378">
        <v>-0.28369490000000003</v>
      </c>
      <c r="P3378">
        <v>0.93468079999999998</v>
      </c>
      <c r="Q3378">
        <v>0.35348020000000002</v>
      </c>
      <c r="R3378">
        <v>-3.7734330000000003E-2</v>
      </c>
      <c r="S3378">
        <v>3.3109440000000001</v>
      </c>
      <c r="T3378">
        <v>-0.28037980000000001</v>
      </c>
      <c r="U3378">
        <v>-0.1178741</v>
      </c>
      <c r="V3378">
        <v>-0.2333122</v>
      </c>
      <c r="W3378">
        <v>0.35584850000000001</v>
      </c>
      <c r="X3378">
        <v>0.90495159999999997</v>
      </c>
      <c r="Y3378">
        <v>-0.24760309999999999</v>
      </c>
      <c r="Z3378">
        <v>3.3227100000000002E-2</v>
      </c>
      <c r="AA3378">
        <v>0.96829160000000003</v>
      </c>
      <c r="AB3378">
        <v>25</v>
      </c>
      <c r="AC3378">
        <v>12.902299999999901</v>
      </c>
      <c r="AD3378">
        <v>-1.1145326660928001</v>
      </c>
      <c r="AE3378">
        <v>-0.39850000000001201</v>
      </c>
      <c r="AF3378">
        <v>-3.2539911678309901</v>
      </c>
      <c r="AG3378">
        <v>-1.1145326660928001</v>
      </c>
      <c r="AH3378">
        <v>12.392853991983401</v>
      </c>
      <c r="AI3378">
        <v>94.971358232893905</v>
      </c>
      <c r="AJ3378">
        <v>104.712053809138</v>
      </c>
      <c r="AK3378">
        <v>12.8613168707846</v>
      </c>
      <c r="AL3378">
        <v>69.154545540965103</v>
      </c>
      <c r="AM3378">
        <v>104.45701457657999</v>
      </c>
      <c r="AN3378">
        <v>1.00000006798182</v>
      </c>
    </row>
    <row r="3379" spans="1:40" x14ac:dyDescent="0.25">
      <c r="A3379" t="str">
        <f>"20190304164155483"</f>
        <v>20190304164155483</v>
      </c>
      <c r="B3379" t="str">
        <f>"1551688915474942"</f>
        <v>1551688915474942</v>
      </c>
      <c r="C3379" t="s">
        <v>40</v>
      </c>
      <c r="D3379">
        <v>4.2173720000000001</v>
      </c>
      <c r="E3379">
        <v>0.50550810000000002</v>
      </c>
      <c r="F3379" t="s">
        <v>46</v>
      </c>
      <c r="G3379">
        <v>-461.57810000000001</v>
      </c>
      <c r="H3379" s="1">
        <v>-7.4779E-7</v>
      </c>
      <c r="I3379">
        <v>215.7784</v>
      </c>
      <c r="J3379">
        <v>-474.39589999999998</v>
      </c>
      <c r="K3379">
        <v>1.1144259999999999</v>
      </c>
      <c r="L3379">
        <v>216.1223</v>
      </c>
      <c r="M3379">
        <v>0.96093079999999997</v>
      </c>
      <c r="N3379">
        <v>-5.6557129999999997E-3</v>
      </c>
      <c r="O3379">
        <v>-0.27673120000000001</v>
      </c>
      <c r="P3379">
        <v>0.93444720000000003</v>
      </c>
      <c r="Q3379">
        <v>0.35455120000000001</v>
      </c>
      <c r="R3379">
        <v>-3.3198409999999998E-2</v>
      </c>
      <c r="S3379">
        <v>3.3124690000000001</v>
      </c>
      <c r="T3379">
        <v>-0.2827595</v>
      </c>
      <c r="U3379">
        <v>-0.1031189</v>
      </c>
      <c r="V3379">
        <v>-0.23094039999999999</v>
      </c>
      <c r="W3379">
        <v>0.35696369999999999</v>
      </c>
      <c r="X3379">
        <v>0.9051207</v>
      </c>
      <c r="Y3379">
        <v>-0.24490110000000001</v>
      </c>
      <c r="Z3379">
        <v>3.285925E-2</v>
      </c>
      <c r="AA3379">
        <v>0.96899109999999999</v>
      </c>
      <c r="AB3379">
        <v>25</v>
      </c>
      <c r="AC3379">
        <v>12.817799999999901</v>
      </c>
      <c r="AD3379">
        <v>-1.1144267477899901</v>
      </c>
      <c r="AE3379">
        <v>-0.34389999999998999</v>
      </c>
      <c r="AF3379">
        <v>-3.1925564576324499</v>
      </c>
      <c r="AG3379">
        <v>-1.1144267477899901</v>
      </c>
      <c r="AH3379">
        <v>12.3193269576179</v>
      </c>
      <c r="AI3379">
        <v>95.004563604198694</v>
      </c>
      <c r="AJ3379">
        <v>104.528601640367</v>
      </c>
      <c r="AK3379">
        <v>12.774982598816001</v>
      </c>
      <c r="AL3379">
        <v>69.086157254023306</v>
      </c>
      <c r="AM3379">
        <v>104.313553049633</v>
      </c>
      <c r="AN3379">
        <v>1.00000001651916</v>
      </c>
    </row>
    <row r="3380" spans="1:40" x14ac:dyDescent="0.25">
      <c r="A3380" t="str">
        <f>"20190304164155504"</f>
        <v>20190304164155504</v>
      </c>
      <c r="B3380" t="str">
        <f>"1551688915495438"</f>
        <v>1551688915495438</v>
      </c>
      <c r="C3380" t="s">
        <v>40</v>
      </c>
      <c r="D3380">
        <v>4.2196150000000001</v>
      </c>
      <c r="E3380">
        <v>0.50568900000000006</v>
      </c>
      <c r="F3380" t="s">
        <v>46</v>
      </c>
      <c r="G3380">
        <v>-461.91809999999998</v>
      </c>
      <c r="H3380" s="1">
        <v>-5.6386089999999995E-7</v>
      </c>
      <c r="I3380">
        <v>215.70910000000001</v>
      </c>
      <c r="J3380">
        <v>-474.16199999999998</v>
      </c>
      <c r="K3380">
        <v>1.1143299999999901</v>
      </c>
      <c r="L3380">
        <v>216.0626</v>
      </c>
      <c r="M3380">
        <v>0.96280790000000005</v>
      </c>
      <c r="N3380">
        <v>-5.6077509999999898E-3</v>
      </c>
      <c r="O3380">
        <v>-0.2701288</v>
      </c>
      <c r="P3380">
        <v>0.9341853</v>
      </c>
      <c r="Q3380">
        <v>0.3555663</v>
      </c>
      <c r="R3380">
        <v>-2.9506149999999998E-2</v>
      </c>
      <c r="S3380">
        <v>3.3190309999999998</v>
      </c>
      <c r="T3380">
        <v>-0.29643140000000001</v>
      </c>
      <c r="U3380">
        <v>-0.1098938</v>
      </c>
      <c r="V3380">
        <v>-0.22811300000000001</v>
      </c>
      <c r="W3380">
        <v>0.35802790000000001</v>
      </c>
      <c r="X3380">
        <v>0.90541729999999998</v>
      </c>
      <c r="Y3380">
        <v>-0.23620749999999999</v>
      </c>
      <c r="Z3380">
        <v>3.3476859999999997E-2</v>
      </c>
      <c r="AA3380">
        <v>0.97112580000000004</v>
      </c>
      <c r="AB3380">
        <v>25</v>
      </c>
      <c r="AC3380">
        <v>12.243899999999901</v>
      </c>
      <c r="AD3380">
        <v>-1.11433056386089</v>
      </c>
      <c r="AE3380">
        <v>-0.35349999999999598</v>
      </c>
      <c r="AF3380">
        <v>-2.9427692690962002</v>
      </c>
      <c r="AG3380">
        <v>-1.11433056386089</v>
      </c>
      <c r="AH3380">
        <v>11.7866529063102</v>
      </c>
      <c r="AI3380">
        <v>95.240851629348597</v>
      </c>
      <c r="AJ3380">
        <v>104.01842673167501</v>
      </c>
      <c r="AK3380">
        <v>12.199459426979701</v>
      </c>
      <c r="AL3380">
        <v>69.020868147965103</v>
      </c>
      <c r="AM3380">
        <v>104.140939824913</v>
      </c>
      <c r="AN3380">
        <v>1.00000000254335</v>
      </c>
    </row>
    <row r="3381" spans="1:40" x14ac:dyDescent="0.25">
      <c r="A3381" t="str">
        <f>"20190304164155526"</f>
        <v>20190304164155526</v>
      </c>
      <c r="B3381" t="str">
        <f>"1551688915514957"</f>
        <v>1551688915514957</v>
      </c>
      <c r="C3381" t="s">
        <v>40</v>
      </c>
      <c r="D3381">
        <v>4.2308089999999998</v>
      </c>
      <c r="E3381">
        <v>0.50626000000000004</v>
      </c>
      <c r="F3381" t="s">
        <v>46</v>
      </c>
      <c r="G3381">
        <v>-461.70960000000002</v>
      </c>
      <c r="H3381" s="1">
        <v>-6.7444209999999999E-7</v>
      </c>
      <c r="I3381">
        <v>215.70050000000001</v>
      </c>
      <c r="J3381">
        <v>-473.92450000000002</v>
      </c>
      <c r="K3381">
        <v>1.114239</v>
      </c>
      <c r="L3381">
        <v>216.0034</v>
      </c>
      <c r="M3381">
        <v>0.96461730000000001</v>
      </c>
      <c r="N3381">
        <v>-5.5613579999999998E-3</v>
      </c>
      <c r="O3381">
        <v>-0.26359559999999999</v>
      </c>
      <c r="P3381">
        <v>0.93372460000000002</v>
      </c>
      <c r="Q3381">
        <v>0.3570874</v>
      </c>
      <c r="R3381">
        <v>-2.544279E-2</v>
      </c>
      <c r="S3381">
        <v>3.3214419999999998</v>
      </c>
      <c r="T3381">
        <v>-0.2972243</v>
      </c>
      <c r="U3381">
        <v>-9.657288E-2</v>
      </c>
      <c r="V3381">
        <v>-0.22569420000000001</v>
      </c>
      <c r="W3381">
        <v>0.35958259999999997</v>
      </c>
      <c r="X3381">
        <v>0.90540739999999997</v>
      </c>
      <c r="Y3381">
        <v>-0.2335603</v>
      </c>
      <c r="Z3381">
        <v>3.2902260000000003E-2</v>
      </c>
      <c r="AA3381">
        <v>0.97178549999999997</v>
      </c>
      <c r="AB3381">
        <v>25</v>
      </c>
      <c r="AC3381">
        <v>12.2149</v>
      </c>
      <c r="AD3381">
        <v>-1.1142396744420999</v>
      </c>
      <c r="AE3381">
        <v>-0.30289999999999301</v>
      </c>
      <c r="AF3381">
        <v>-2.9035110631391801</v>
      </c>
      <c r="AG3381">
        <v>-1.1142396744420999</v>
      </c>
      <c r="AH3381">
        <v>11.764893851184899</v>
      </c>
      <c r="AI3381">
        <v>95.253575468630402</v>
      </c>
      <c r="AJ3381">
        <v>103.863255374288</v>
      </c>
      <c r="AK3381">
        <v>12.1690029943098</v>
      </c>
      <c r="AL3381">
        <v>68.925436582855696</v>
      </c>
      <c r="AM3381">
        <v>103.99706759868999</v>
      </c>
      <c r="AN3381">
        <v>1.0000000390555699</v>
      </c>
    </row>
    <row r="3382" spans="1:40" x14ac:dyDescent="0.25">
      <c r="A3382" t="str">
        <f>"20190304164155549"</f>
        <v>20190304164155549</v>
      </c>
      <c r="B3382" t="str">
        <f>"1551688915544237"</f>
        <v>1551688915544237</v>
      </c>
      <c r="C3382" t="s">
        <v>40</v>
      </c>
      <c r="D3382">
        <v>4.5516290000000001</v>
      </c>
      <c r="E3382">
        <v>0.50751780000000002</v>
      </c>
      <c r="F3382" t="s">
        <v>46</v>
      </c>
      <c r="G3382">
        <v>-461.36090000000002</v>
      </c>
      <c r="H3382" s="1">
        <v>-8.5886059999999996E-7</v>
      </c>
      <c r="I3382">
        <v>215.67509999999999</v>
      </c>
      <c r="J3382">
        <v>-473.673</v>
      </c>
      <c r="K3382">
        <v>1.11416</v>
      </c>
      <c r="L3382">
        <v>215.94239999999999</v>
      </c>
      <c r="M3382">
        <v>0.96643319999999999</v>
      </c>
      <c r="N3382">
        <v>-5.5132339999999997E-3</v>
      </c>
      <c r="O3382">
        <v>-0.25685849999999999</v>
      </c>
      <c r="P3382">
        <v>0.93369250000000004</v>
      </c>
      <c r="Q3382">
        <v>0.35747899999999999</v>
      </c>
      <c r="R3382">
        <v>-2.0669509999999999E-2</v>
      </c>
      <c r="S3382">
        <v>3.323242</v>
      </c>
      <c r="T3382">
        <v>-0.29473110000000002</v>
      </c>
      <c r="U3382">
        <v>-8.6853029999999998E-2</v>
      </c>
      <c r="V3382">
        <v>-0.2238995</v>
      </c>
      <c r="W3382">
        <v>0.35999330000000002</v>
      </c>
      <c r="X3382">
        <v>0.90568970000000004</v>
      </c>
      <c r="Y3382">
        <v>-0.2297033</v>
      </c>
      <c r="Z3382">
        <v>3.1890799999999997E-2</v>
      </c>
      <c r="AA3382">
        <v>0.97273810000000005</v>
      </c>
      <c r="AB3382">
        <v>26</v>
      </c>
      <c r="AC3382">
        <v>12.3120999999999</v>
      </c>
      <c r="AD3382">
        <v>-1.1141608588606</v>
      </c>
      <c r="AE3382">
        <v>-0.26730000000000498</v>
      </c>
      <c r="AF3382">
        <v>-2.8806061441708102</v>
      </c>
      <c r="AG3382">
        <v>-1.1141608588606</v>
      </c>
      <c r="AH3382">
        <v>11.870501583322801</v>
      </c>
      <c r="AI3382">
        <v>95.211662557768904</v>
      </c>
      <c r="AJ3382">
        <v>103.640254759141</v>
      </c>
      <c r="AK3382">
        <v>12.265726803452001</v>
      </c>
      <c r="AL3382">
        <v>68.900215388027306</v>
      </c>
      <c r="AM3382">
        <v>103.885928455138</v>
      </c>
      <c r="AN3382">
        <v>0.99999999741561496</v>
      </c>
    </row>
    <row r="3383" spans="1:40" x14ac:dyDescent="0.25">
      <c r="A3383" t="str">
        <f>"20190304164155571"</f>
        <v>20190304164155571</v>
      </c>
      <c r="B3383" t="str">
        <f>"1551688915564733"</f>
        <v>1551688915564733</v>
      </c>
      <c r="C3383" t="s">
        <v>40</v>
      </c>
      <c r="D3383">
        <v>4.2346890000000004</v>
      </c>
      <c r="E3383">
        <v>0.50831190000000004</v>
      </c>
      <c r="F3383" t="s">
        <v>46</v>
      </c>
      <c r="G3383">
        <v>-460.68189999999998</v>
      </c>
      <c r="H3383" s="1">
        <v>-1.2176880000000001E-6</v>
      </c>
      <c r="I3383">
        <v>215.6182</v>
      </c>
      <c r="J3383">
        <v>-473.42140000000001</v>
      </c>
      <c r="K3383">
        <v>1.114088</v>
      </c>
      <c r="L3383">
        <v>215.88300000000001</v>
      </c>
      <c r="M3383">
        <v>0.96814999999999996</v>
      </c>
      <c r="N3383">
        <v>-5.4630709999999999E-3</v>
      </c>
      <c r="O3383">
        <v>-0.25031209999999998</v>
      </c>
      <c r="P3383">
        <v>0.93346759999999995</v>
      </c>
      <c r="Q3383">
        <v>0.35828850000000001</v>
      </c>
      <c r="R3383">
        <v>-1.636783E-2</v>
      </c>
      <c r="S3383">
        <v>3.3202210000000001</v>
      </c>
      <c r="T3383">
        <v>-0.28475509999999998</v>
      </c>
      <c r="U3383">
        <v>-8.2855219999999993E-2</v>
      </c>
      <c r="V3383">
        <v>-0.2218067</v>
      </c>
      <c r="W3383">
        <v>0.36081930000000001</v>
      </c>
      <c r="X3383">
        <v>0.90587600000000001</v>
      </c>
      <c r="Y3383">
        <v>-0.2244225</v>
      </c>
      <c r="Z3383">
        <v>3.0076660000000002E-2</v>
      </c>
      <c r="AA3383">
        <v>0.97402770000000005</v>
      </c>
      <c r="AB3383">
        <v>26</v>
      </c>
      <c r="AC3383">
        <v>12.7395</v>
      </c>
      <c r="AD3383">
        <v>-1.114089217688</v>
      </c>
      <c r="AE3383">
        <v>-0.264799999999979</v>
      </c>
      <c r="AF3383">
        <v>-2.9102804685731498</v>
      </c>
      <c r="AG3383">
        <v>-1.114089217688</v>
      </c>
      <c r="AH3383">
        <v>12.306138093319101</v>
      </c>
      <c r="AI3383">
        <v>95.034819161911997</v>
      </c>
      <c r="AJ3383">
        <v>103.30543540255201</v>
      </c>
      <c r="AK3383">
        <v>12.6945642683224</v>
      </c>
      <c r="AL3383">
        <v>68.849480620646503</v>
      </c>
      <c r="AM3383">
        <v>103.758369413738</v>
      </c>
      <c r="AN3383">
        <v>1.00000005339668</v>
      </c>
    </row>
    <row r="3384" spans="1:40" x14ac:dyDescent="0.25">
      <c r="A3384" t="str">
        <f>"20190304164155594"</f>
        <v>20190304164155594</v>
      </c>
      <c r="B3384" t="str">
        <f>"1551688915584254"</f>
        <v>1551688915584254</v>
      </c>
      <c r="C3384" t="s">
        <v>40</v>
      </c>
      <c r="D3384">
        <v>4.2472820000000002</v>
      </c>
      <c r="E3384">
        <v>0.50861099999999904</v>
      </c>
      <c r="F3384" t="s">
        <v>46</v>
      </c>
      <c r="G3384">
        <v>-460.23079999999999</v>
      </c>
      <c r="H3384" s="1">
        <v>-1.456533E-6</v>
      </c>
      <c r="I3384">
        <v>215.59049999999999</v>
      </c>
      <c r="J3384">
        <v>-473.16969999999998</v>
      </c>
      <c r="K3384">
        <v>1.114009</v>
      </c>
      <c r="L3384">
        <v>215.82499999999999</v>
      </c>
      <c r="M3384">
        <v>0.96977060000000004</v>
      </c>
      <c r="N3384">
        <v>-5.4074809999999996E-3</v>
      </c>
      <c r="O3384">
        <v>-0.24395919999999999</v>
      </c>
      <c r="P3384">
        <v>0.93304419999999999</v>
      </c>
      <c r="Q3384">
        <v>0.35953439999999998</v>
      </c>
      <c r="R3384">
        <v>-1.280065E-2</v>
      </c>
      <c r="S3384">
        <v>3.3201900000000002</v>
      </c>
      <c r="T3384">
        <v>-0.28042590000000001</v>
      </c>
      <c r="U3384">
        <v>-7.3608399999999893E-2</v>
      </c>
      <c r="V3384">
        <v>-0.21915090000000001</v>
      </c>
      <c r="W3384">
        <v>0.3620855</v>
      </c>
      <c r="X3384">
        <v>0.90601710000000002</v>
      </c>
      <c r="Y3384">
        <v>-0.22082740000000001</v>
      </c>
      <c r="Z3384">
        <v>2.8972319999999999E-2</v>
      </c>
      <c r="AA3384">
        <v>0.97488249999999999</v>
      </c>
      <c r="AB3384">
        <v>26</v>
      </c>
      <c r="AC3384">
        <v>12.938899999999901</v>
      </c>
      <c r="AD3384">
        <v>-1.114010456533</v>
      </c>
      <c r="AE3384">
        <v>-0.23449999999999699</v>
      </c>
      <c r="AF3384">
        <v>-2.90764799079383</v>
      </c>
      <c r="AG3384">
        <v>-1.114010456533</v>
      </c>
      <c r="AH3384">
        <v>12.512433306602601</v>
      </c>
      <c r="AI3384">
        <v>94.956378514155205</v>
      </c>
      <c r="AJ3384">
        <v>103.08224769314801</v>
      </c>
      <c r="AK3384">
        <v>12.894046044116999</v>
      </c>
      <c r="AL3384">
        <v>68.771671054133407</v>
      </c>
      <c r="AM3384">
        <v>103.59774741133199</v>
      </c>
      <c r="AN3384">
        <v>1.00000000588673</v>
      </c>
    </row>
    <row r="3385" spans="1:40" x14ac:dyDescent="0.25">
      <c r="A3385" t="str">
        <f>"20190304164155615"</f>
        <v>20190304164155615</v>
      </c>
      <c r="B3385" t="str">
        <f>"1551688915604750"</f>
        <v>1551688915604750</v>
      </c>
      <c r="C3385" t="s">
        <v>40</v>
      </c>
      <c r="D3385">
        <v>4.2279710000000001</v>
      </c>
      <c r="E3385">
        <v>0.51304620000000001</v>
      </c>
      <c r="F3385" t="s">
        <v>46</v>
      </c>
      <c r="G3385">
        <v>-459.7029</v>
      </c>
      <c r="H3385" s="1">
        <v>3.585E-6</v>
      </c>
      <c r="I3385">
        <v>215.5677</v>
      </c>
      <c r="J3385">
        <v>-472.9273</v>
      </c>
      <c r="K3385">
        <v>1.113918</v>
      </c>
      <c r="L3385">
        <v>215.77070000000001</v>
      </c>
      <c r="M3385">
        <v>0.9712402</v>
      </c>
      <c r="N3385">
        <v>-5.3496669999999998E-3</v>
      </c>
      <c r="O3385">
        <v>-0.238042</v>
      </c>
      <c r="P3385">
        <v>0.93266819999999895</v>
      </c>
      <c r="Q3385">
        <v>0.36060940000000002</v>
      </c>
      <c r="R3385">
        <v>-9.559695E-3</v>
      </c>
      <c r="S3385">
        <v>3.3202820000000002</v>
      </c>
      <c r="T3385">
        <v>-0.27466089999999999</v>
      </c>
      <c r="U3385">
        <v>-6.3446039999999995E-2</v>
      </c>
      <c r="V3385">
        <v>-0.2166013</v>
      </c>
      <c r="W3385">
        <v>0.36318309999999998</v>
      </c>
      <c r="X3385">
        <v>0.90619090000000002</v>
      </c>
      <c r="Y3385">
        <v>-0.21795690000000001</v>
      </c>
      <c r="Z3385">
        <v>2.780285E-2</v>
      </c>
      <c r="AA3385">
        <v>0.97556229999999999</v>
      </c>
      <c r="AB3385">
        <v>26</v>
      </c>
      <c r="AC3385">
        <v>13.224399999999999</v>
      </c>
      <c r="AD3385">
        <v>-1.113914415</v>
      </c>
      <c r="AE3385">
        <v>-0.20300000000000201</v>
      </c>
      <c r="AF3385">
        <v>-2.9300590469389598</v>
      </c>
      <c r="AG3385">
        <v>-1.113914415</v>
      </c>
      <c r="AH3385">
        <v>12.801768020102999</v>
      </c>
      <c r="AI3385">
        <v>94.848180523603304</v>
      </c>
      <c r="AJ3385">
        <v>102.891761552099</v>
      </c>
      <c r="AK3385">
        <v>13.1799588687911</v>
      </c>
      <c r="AL3385">
        <v>68.704190113695006</v>
      </c>
      <c r="AM3385">
        <v>103.442842099014</v>
      </c>
      <c r="AN3385">
        <v>1.0000000172650501</v>
      </c>
    </row>
    <row r="3386" spans="1:40" x14ac:dyDescent="0.25">
      <c r="A3386" t="str">
        <f>"20190304164155636"</f>
        <v>20190304164155636</v>
      </c>
      <c r="B3386" t="str">
        <f>"1551688915624269"</f>
        <v>1551688915624269</v>
      </c>
      <c r="C3386" t="s">
        <v>40</v>
      </c>
      <c r="D3386">
        <v>4.5151180000000002</v>
      </c>
      <c r="E3386">
        <v>0.51362479999999999</v>
      </c>
      <c r="F3386" t="s">
        <v>46</v>
      </c>
      <c r="G3386">
        <v>-460.90379999999999</v>
      </c>
      <c r="H3386" s="1">
        <v>-1.0929059999999999E-6</v>
      </c>
      <c r="I3386">
        <v>215.46420000000001</v>
      </c>
      <c r="J3386">
        <v>-472.68110000000001</v>
      </c>
      <c r="K3386">
        <v>1.1138030000000001</v>
      </c>
      <c r="L3386">
        <v>215.71680000000001</v>
      </c>
      <c r="M3386">
        <v>0.9726458</v>
      </c>
      <c r="N3386">
        <v>-5.2884739999999996E-3</v>
      </c>
      <c r="O3386">
        <v>-0.2322332</v>
      </c>
      <c r="P3386">
        <v>0.93238909999999997</v>
      </c>
      <c r="Q3386">
        <v>0.36140080000000002</v>
      </c>
      <c r="R3386">
        <v>-6.3303930000000001E-3</v>
      </c>
      <c r="S3386">
        <v>3.335175</v>
      </c>
      <c r="T3386">
        <v>-0.30898619999999999</v>
      </c>
      <c r="U3386">
        <v>-8.5021970000000002E-2</v>
      </c>
      <c r="V3386">
        <v>-0.21415970000000001</v>
      </c>
      <c r="W3386">
        <v>0.36400090000000002</v>
      </c>
      <c r="X3386">
        <v>0.90644309999999995</v>
      </c>
      <c r="Y3386">
        <v>-0.20557690000000001</v>
      </c>
      <c r="Z3386">
        <v>3.011177E-2</v>
      </c>
      <c r="AA3386">
        <v>0.97817759999999998</v>
      </c>
      <c r="AB3386">
        <v>26</v>
      </c>
      <c r="AC3386">
        <v>11.7773</v>
      </c>
      <c r="AD3386">
        <v>-1.113804092906</v>
      </c>
      <c r="AE3386">
        <v>-0.25260000000000099</v>
      </c>
      <c r="AF3386">
        <v>-2.4673667563908399</v>
      </c>
      <c r="AG3386">
        <v>-1.113804092906</v>
      </c>
      <c r="AH3386">
        <v>11.4119438741008</v>
      </c>
      <c r="AI3386">
        <v>95.449276394307105</v>
      </c>
      <c r="AJ3386">
        <v>102.20008228738099</v>
      </c>
      <c r="AK3386">
        <v>11.728636802865999</v>
      </c>
      <c r="AL3386">
        <v>68.653892094100698</v>
      </c>
      <c r="AM3386">
        <v>103.293153194293</v>
      </c>
      <c r="AN3386">
        <v>1.00000006292125</v>
      </c>
    </row>
    <row r="3387" spans="1:40" x14ac:dyDescent="0.25">
      <c r="A3387" t="str">
        <f>"20190304164155661"</f>
        <v>20190304164155661</v>
      </c>
      <c r="B3387" t="str">
        <f>"1551688915654525"</f>
        <v>1551688915654525</v>
      </c>
      <c r="C3387" t="s">
        <v>40</v>
      </c>
      <c r="D3387">
        <v>4.2190690000000002</v>
      </c>
      <c r="E3387">
        <v>0.51665059999999996</v>
      </c>
      <c r="F3387" t="s">
        <v>46</v>
      </c>
      <c r="G3387">
        <v>-460.68560000000002</v>
      </c>
      <c r="H3387" s="1">
        <v>-1.2079689999999999E-6</v>
      </c>
      <c r="I3387">
        <v>215.4409</v>
      </c>
      <c r="J3387">
        <v>-472.40519999999998</v>
      </c>
      <c r="K3387">
        <v>1.1136619999999999</v>
      </c>
      <c r="L3387">
        <v>215.65790000000001</v>
      </c>
      <c r="M3387">
        <v>0.97412189999999999</v>
      </c>
      <c r="N3387">
        <v>-5.2200969999999999E-3</v>
      </c>
      <c r="O3387">
        <v>-0.2259639</v>
      </c>
      <c r="P3387">
        <v>0.93222819999999995</v>
      </c>
      <c r="Q3387">
        <v>0.36186109999999999</v>
      </c>
      <c r="R3387">
        <v>-2.7709829999999999E-3</v>
      </c>
      <c r="S3387">
        <v>3.3371279999999999</v>
      </c>
      <c r="T3387">
        <v>-0.30986029999999998</v>
      </c>
      <c r="U3387">
        <v>-7.6766970000000004E-2</v>
      </c>
      <c r="V3387">
        <v>-0.2116237</v>
      </c>
      <c r="W3387">
        <v>0.36449340000000002</v>
      </c>
      <c r="X3387">
        <v>0.90684070000000006</v>
      </c>
      <c r="Y3387">
        <v>-0.20173830000000001</v>
      </c>
      <c r="Z3387">
        <v>2.9469459999999999E-2</v>
      </c>
      <c r="AA3387">
        <v>0.97899599999999998</v>
      </c>
      <c r="AB3387">
        <v>26</v>
      </c>
      <c r="AC3387">
        <v>11.7195999999999</v>
      </c>
      <c r="AD3387">
        <v>-1.1136632079690001</v>
      </c>
      <c r="AE3387">
        <v>-0.21700000000001199</v>
      </c>
      <c r="AF3387">
        <v>-2.4150545842822</v>
      </c>
      <c r="AG3387">
        <v>-1.1136632079690001</v>
      </c>
      <c r="AH3387">
        <v>11.362936223555399</v>
      </c>
      <c r="AI3387">
        <v>95.476042207980996</v>
      </c>
      <c r="AJ3387">
        <v>101.998976892013</v>
      </c>
      <c r="AK3387">
        <v>11.6700065983886</v>
      </c>
      <c r="AL3387">
        <v>68.623591939313101</v>
      </c>
      <c r="AM3387">
        <v>103.135672277639</v>
      </c>
      <c r="AN3387">
        <v>1.0000000421108599</v>
      </c>
    </row>
    <row r="3388" spans="1:40" x14ac:dyDescent="0.25">
      <c r="A3388" t="str">
        <f>"20190304164155685"</f>
        <v>20190304164155685</v>
      </c>
      <c r="B3388" t="str">
        <f>"1551688915674045"</f>
        <v>1551688915674045</v>
      </c>
      <c r="C3388" t="s">
        <v>40</v>
      </c>
      <c r="D3388">
        <v>4.238111</v>
      </c>
      <c r="E3388">
        <v>0.51766089999999998</v>
      </c>
      <c r="F3388" t="s">
        <v>46</v>
      </c>
      <c r="G3388">
        <v>-459.17630000000003</v>
      </c>
      <c r="H3388" s="1">
        <v>3.3161380000000001E-6</v>
      </c>
      <c r="I3388">
        <v>215.30760000000001</v>
      </c>
      <c r="J3388">
        <v>-472.12889999999999</v>
      </c>
      <c r="K3388">
        <v>1.113518</v>
      </c>
      <c r="L3388">
        <v>215.60050000000001</v>
      </c>
      <c r="M3388">
        <v>0.97549300000000005</v>
      </c>
      <c r="N3388">
        <v>-5.1557510000000001E-3</v>
      </c>
      <c r="O3388">
        <v>-0.2199701</v>
      </c>
      <c r="P3388">
        <v>0.93225029999999998</v>
      </c>
      <c r="Q3388">
        <v>0.36181350000000001</v>
      </c>
      <c r="R3388">
        <v>6.3829499999999999E-4</v>
      </c>
      <c r="S3388">
        <v>3.3265380000000002</v>
      </c>
      <c r="T3388">
        <v>-0.28003919999999999</v>
      </c>
      <c r="U3388">
        <v>-8.8073730000000003E-2</v>
      </c>
      <c r="V3388">
        <v>-0.20924319999999999</v>
      </c>
      <c r="W3388">
        <v>0.36448130000000001</v>
      </c>
      <c r="X3388">
        <v>0.90739769999999997</v>
      </c>
      <c r="Y3388">
        <v>-0.19268160000000001</v>
      </c>
      <c r="Z3388">
        <v>2.580613E-2</v>
      </c>
      <c r="AA3388">
        <v>0.98092190000000001</v>
      </c>
      <c r="AB3388">
        <v>26</v>
      </c>
      <c r="AC3388">
        <v>12.952599999999901</v>
      </c>
      <c r="AD3388">
        <v>-1.113514683862</v>
      </c>
      <c r="AE3388">
        <v>-0.29290000000000299</v>
      </c>
      <c r="AF3388">
        <v>-2.5446996921879399</v>
      </c>
      <c r="AG3388">
        <v>-1.113514683862</v>
      </c>
      <c r="AH3388">
        <v>12.606645849954999</v>
      </c>
      <c r="AI3388">
        <v>94.948404273034996</v>
      </c>
      <c r="AJ3388">
        <v>101.412027103364</v>
      </c>
      <c r="AK3388">
        <v>12.9090251785635</v>
      </c>
      <c r="AL3388">
        <v>68.624334600306099</v>
      </c>
      <c r="AM3388">
        <v>102.985248044755</v>
      </c>
      <c r="AN3388">
        <v>0.99999996038060901</v>
      </c>
    </row>
    <row r="3389" spans="1:40" x14ac:dyDescent="0.25">
      <c r="A3389" t="str">
        <f>"20190304164155706"</f>
        <v>20190304164155706</v>
      </c>
      <c r="B3389" t="str">
        <f>"1551688915694542"</f>
        <v>1551688915694542</v>
      </c>
      <c r="C3389" t="s">
        <v>40</v>
      </c>
      <c r="D3389">
        <v>4.2055280000000002</v>
      </c>
      <c r="E3389">
        <v>0.51812990000000003</v>
      </c>
      <c r="F3389" t="s">
        <v>46</v>
      </c>
      <c r="G3389">
        <v>-460.37580000000003</v>
      </c>
      <c r="H3389" s="1">
        <v>-1.367353E-6</v>
      </c>
      <c r="I3389">
        <v>215.31469999999999</v>
      </c>
      <c r="J3389">
        <v>-471.8768</v>
      </c>
      <c r="K3389">
        <v>1.1133869999999999</v>
      </c>
      <c r="L3389">
        <v>215.54939999999999</v>
      </c>
      <c r="M3389">
        <v>0.97666030000000004</v>
      </c>
      <c r="N3389">
        <v>-5.1007270000000002E-3</v>
      </c>
      <c r="O3389">
        <v>-0.2147297</v>
      </c>
      <c r="P3389">
        <v>0.93208460000000004</v>
      </c>
      <c r="Q3389">
        <v>0.36222739999999998</v>
      </c>
      <c r="R3389">
        <v>3.1449310000000001E-3</v>
      </c>
      <c r="S3389">
        <v>3.3408509999999998</v>
      </c>
      <c r="T3389">
        <v>-0.31651899999999999</v>
      </c>
      <c r="U3389">
        <v>-8.1237790000000004E-2</v>
      </c>
      <c r="V3389">
        <v>-0.20666809999999999</v>
      </c>
      <c r="W3389">
        <v>0.36493160000000002</v>
      </c>
      <c r="X3389">
        <v>0.90780680000000002</v>
      </c>
      <c r="Y3389">
        <v>-0.1891882</v>
      </c>
      <c r="Z3389">
        <v>2.848672E-2</v>
      </c>
      <c r="AA3389">
        <v>0.98152759999999994</v>
      </c>
      <c r="AB3389">
        <v>27</v>
      </c>
      <c r="AC3389">
        <v>11.5009999999999</v>
      </c>
      <c r="AD3389">
        <v>-1.1133883673530001</v>
      </c>
      <c r="AE3389">
        <v>-0.23470000000000299</v>
      </c>
      <c r="AF3389">
        <v>-2.2196198914974801</v>
      </c>
      <c r="AG3389">
        <v>-1.1133883673530001</v>
      </c>
      <c r="AH3389">
        <v>11.1783949395686</v>
      </c>
      <c r="AI3389">
        <v>95.579776363803802</v>
      </c>
      <c r="AJ3389">
        <v>101.230764291803</v>
      </c>
      <c r="AK3389">
        <v>11.4508890285541</v>
      </c>
      <c r="AL3389">
        <v>68.596626264742497</v>
      </c>
      <c r="AM3389">
        <v>102.825171773939</v>
      </c>
      <c r="AN3389">
        <v>0.99999998118120403</v>
      </c>
    </row>
    <row r="3390" spans="1:40" x14ac:dyDescent="0.25">
      <c r="A3390" t="str">
        <f>"20190304164155726"</f>
        <v>20190304164155726</v>
      </c>
      <c r="B3390" t="str">
        <f>"1551688915714061"</f>
        <v>1551688915714061</v>
      </c>
      <c r="C3390" t="s">
        <v>40</v>
      </c>
      <c r="D3390">
        <v>4.2193050000000003</v>
      </c>
      <c r="E3390">
        <v>0.51887129999999904</v>
      </c>
      <c r="F3390" t="s">
        <v>46</v>
      </c>
      <c r="G3390">
        <v>-460.2765</v>
      </c>
      <c r="H3390" s="1">
        <v>-1.4190990000000001E-6</v>
      </c>
      <c r="I3390">
        <v>215.28980000000001</v>
      </c>
      <c r="J3390">
        <v>-471.64210000000003</v>
      </c>
      <c r="K3390">
        <v>1.1132869999999999</v>
      </c>
      <c r="L3390">
        <v>215.50290000000001</v>
      </c>
      <c r="M3390">
        <v>0.97768460000000001</v>
      </c>
      <c r="N3390">
        <v>-5.0530469999999997E-3</v>
      </c>
      <c r="O3390">
        <v>-0.2100175</v>
      </c>
      <c r="P3390">
        <v>0.93168669999999998</v>
      </c>
      <c r="Q3390">
        <v>0.36322549999999998</v>
      </c>
      <c r="R3390">
        <v>5.2299690000000001E-3</v>
      </c>
      <c r="S3390">
        <v>3.3435969999999999</v>
      </c>
      <c r="T3390">
        <v>-0.32091639999999999</v>
      </c>
      <c r="U3390">
        <v>-7.4829099999999996E-2</v>
      </c>
      <c r="V3390">
        <v>-0.2041579</v>
      </c>
      <c r="W3390">
        <v>0.3659578</v>
      </c>
      <c r="X3390">
        <v>0.90796169999999998</v>
      </c>
      <c r="Y3390">
        <v>-0.186339</v>
      </c>
      <c r="Z3390">
        <v>2.8310559999999999E-2</v>
      </c>
      <c r="AA3390">
        <v>0.98207750000000005</v>
      </c>
      <c r="AB3390">
        <v>27</v>
      </c>
      <c r="AC3390">
        <v>11.365600000000001</v>
      </c>
      <c r="AD3390">
        <v>-1.113288419099</v>
      </c>
      <c r="AE3390">
        <v>-0.21309999999999699</v>
      </c>
      <c r="AF3390">
        <v>-2.1579603874938198</v>
      </c>
      <c r="AG3390">
        <v>-1.113288419099</v>
      </c>
      <c r="AH3390">
        <v>11.050876517175899</v>
      </c>
      <c r="AI3390">
        <v>95.646742057361706</v>
      </c>
      <c r="AJ3390">
        <v>101.049389746171</v>
      </c>
      <c r="AK3390">
        <v>11.314507321839599</v>
      </c>
      <c r="AL3390">
        <v>68.533460851815306</v>
      </c>
      <c r="AM3390">
        <v>102.672365873549</v>
      </c>
      <c r="AN3390">
        <v>1.0000000040900601</v>
      </c>
    </row>
    <row r="3391" spans="1:40" x14ac:dyDescent="0.25">
      <c r="A3391" t="str">
        <f>"20190304164155750"</f>
        <v>20190304164155750</v>
      </c>
      <c r="B3391" t="str">
        <f>"1551688915744321"</f>
        <v>1551688915744321</v>
      </c>
      <c r="C3391" t="s">
        <v>40</v>
      </c>
      <c r="D3391">
        <v>4.1847760000000003</v>
      </c>
      <c r="E3391">
        <v>0.52527650000000004</v>
      </c>
      <c r="F3391" t="s">
        <v>46</v>
      </c>
      <c r="G3391">
        <v>-459.95499999999998</v>
      </c>
      <c r="H3391" s="1">
        <v>3.7331019999999999E-6</v>
      </c>
      <c r="I3391">
        <v>215.2492</v>
      </c>
      <c r="J3391">
        <v>-471.37079999999997</v>
      </c>
      <c r="K3391">
        <v>1.1131850000000001</v>
      </c>
      <c r="L3391">
        <v>215.4504</v>
      </c>
      <c r="M3391">
        <v>0.97879669999999996</v>
      </c>
      <c r="N3391">
        <v>-5.0013569999999997E-3</v>
      </c>
      <c r="O3391">
        <v>-0.20477329999999999</v>
      </c>
      <c r="P3391">
        <v>0.93102320000000005</v>
      </c>
      <c r="Q3391">
        <v>0.36486800000000003</v>
      </c>
      <c r="R3391">
        <v>8.2051380000000007E-3</v>
      </c>
      <c r="S3391">
        <v>3.3445429999999998</v>
      </c>
      <c r="T3391">
        <v>-0.31859199999999999</v>
      </c>
      <c r="U3391">
        <v>-7.2601319999999997E-2</v>
      </c>
      <c r="V3391">
        <v>-0.2019802</v>
      </c>
      <c r="W3391">
        <v>0.36762</v>
      </c>
      <c r="X3391">
        <v>0.90777719999999995</v>
      </c>
      <c r="Y3391">
        <v>-0.18179980000000001</v>
      </c>
      <c r="Z3391">
        <v>2.7410790000000001E-2</v>
      </c>
      <c r="AA3391">
        <v>0.98295339999999998</v>
      </c>
      <c r="AB3391">
        <v>27</v>
      </c>
      <c r="AC3391">
        <v>11.4157999999999</v>
      </c>
      <c r="AD3391">
        <v>-1.1131812668979999</v>
      </c>
      <c r="AE3391">
        <v>-0.20119999999999999</v>
      </c>
      <c r="AF3391">
        <v>-2.1205861514564099</v>
      </c>
      <c r="AG3391">
        <v>-1.1131812668979999</v>
      </c>
      <c r="AH3391">
        <v>11.109484028781599</v>
      </c>
      <c r="AI3391">
        <v>95.621173362828202</v>
      </c>
      <c r="AJ3391">
        <v>100.806661769969</v>
      </c>
      <c r="AK3391">
        <v>11.364712646806099</v>
      </c>
      <c r="AL3391">
        <v>68.431087786393704</v>
      </c>
      <c r="AM3391">
        <v>102.543959694951</v>
      </c>
      <c r="AN3391">
        <v>0.99999995521593898</v>
      </c>
    </row>
    <row r="3392" spans="1:40" x14ac:dyDescent="0.25">
      <c r="A3392" t="str">
        <f>"20190304164155772"</f>
        <v>20190304164155772</v>
      </c>
      <c r="B3392" t="str">
        <f>"1551688915764817"</f>
        <v>1551688915764817</v>
      </c>
      <c r="C3392" t="s">
        <v>40</v>
      </c>
      <c r="D3392">
        <v>4.2307360000000003</v>
      </c>
      <c r="E3392">
        <v>0.52594969999999996</v>
      </c>
      <c r="F3392" t="s">
        <v>46</v>
      </c>
      <c r="G3392">
        <v>-458.78149999999999</v>
      </c>
      <c r="H3392" s="1">
        <v>3.1184329999999999E-6</v>
      </c>
      <c r="I3392">
        <v>215.02420000000001</v>
      </c>
      <c r="J3392">
        <v>-471.10500000000002</v>
      </c>
      <c r="K3392">
        <v>1.1130880000000001</v>
      </c>
      <c r="L3392">
        <v>215.40010000000001</v>
      </c>
      <c r="M3392">
        <v>0.97981589999999996</v>
      </c>
      <c r="N3392">
        <v>-4.9546999999999898E-3</v>
      </c>
      <c r="O3392">
        <v>-0.1998405</v>
      </c>
      <c r="P3392">
        <v>0.93063289999999999</v>
      </c>
      <c r="Q3392">
        <v>0.36580869999999999</v>
      </c>
      <c r="R3392">
        <v>1.0305180000000001E-2</v>
      </c>
      <c r="S3392">
        <v>3.338959</v>
      </c>
      <c r="T3392">
        <v>-0.29523860000000002</v>
      </c>
      <c r="U3392">
        <v>-0.11302189999999999</v>
      </c>
      <c r="V3392">
        <v>-0.19929910000000001</v>
      </c>
      <c r="W3392">
        <v>0.36858869999999999</v>
      </c>
      <c r="X3392">
        <v>0.90797700000000003</v>
      </c>
      <c r="Y3392">
        <v>-0.16521759999999999</v>
      </c>
      <c r="Z3392">
        <v>2.423061E-2</v>
      </c>
      <c r="AA3392">
        <v>0.98595949999999999</v>
      </c>
      <c r="AB3392">
        <v>27</v>
      </c>
      <c r="AC3392">
        <v>12.323499999999999</v>
      </c>
      <c r="AD3392">
        <v>-1.11308488156699</v>
      </c>
      <c r="AE3392">
        <v>-0.37590000000000101</v>
      </c>
      <c r="AF3392">
        <v>-2.07751454867712</v>
      </c>
      <c r="AG3392">
        <v>-1.11308488156699</v>
      </c>
      <c r="AH3392">
        <v>12.0518023115083</v>
      </c>
      <c r="AI3392">
        <v>95.200502873680506</v>
      </c>
      <c r="AJ3392">
        <v>99.780641519596998</v>
      </c>
      <c r="AK3392">
        <v>12.2801043810391</v>
      </c>
      <c r="AL3392">
        <v>68.371394867034297</v>
      </c>
      <c r="AM3392">
        <v>102.37997885471999</v>
      </c>
      <c r="AN3392">
        <v>0.99999999677874996</v>
      </c>
    </row>
    <row r="3393" spans="1:40" x14ac:dyDescent="0.25">
      <c r="A3393" t="str">
        <f>"20190304164155794"</f>
        <v>20190304164155794</v>
      </c>
      <c r="B3393" t="str">
        <f>"1551688915784337"</f>
        <v>1551688915784337</v>
      </c>
      <c r="C3393" t="s">
        <v>40</v>
      </c>
      <c r="D3393">
        <v>4.2002579999999998</v>
      </c>
      <c r="E3393">
        <v>0.52635609999999999</v>
      </c>
      <c r="F3393" t="s">
        <v>46</v>
      </c>
      <c r="G3393">
        <v>-458.07220000000001</v>
      </c>
      <c r="H3393" s="1">
        <v>2.7432650000000002E-6</v>
      </c>
      <c r="I3393">
        <v>214.9727</v>
      </c>
      <c r="J3393">
        <v>-470.84070000000003</v>
      </c>
      <c r="K3393">
        <v>1.1129830000000001</v>
      </c>
      <c r="L3393">
        <v>215.35130000000001</v>
      </c>
      <c r="M3393">
        <v>0.98076439999999998</v>
      </c>
      <c r="N3393">
        <v>-4.9135469999999999E-3</v>
      </c>
      <c r="O3393">
        <v>-0.1951338</v>
      </c>
      <c r="P3393">
        <v>0.93050169999999999</v>
      </c>
      <c r="Q3393">
        <v>0.3660583</v>
      </c>
      <c r="R3393">
        <v>1.297395E-2</v>
      </c>
      <c r="S3393">
        <v>3.3368839999999902</v>
      </c>
      <c r="T3393">
        <v>-0.28499079999999999</v>
      </c>
      <c r="U3393">
        <v>-0.1094208</v>
      </c>
      <c r="V3393">
        <v>-0.197435</v>
      </c>
      <c r="W3393">
        <v>0.36886439999999998</v>
      </c>
      <c r="X3393">
        <v>0.90827230000000003</v>
      </c>
      <c r="Y3393">
        <v>-0.16164479999999901</v>
      </c>
      <c r="Z3393">
        <v>2.2860849999999999E-2</v>
      </c>
      <c r="AA3393">
        <v>0.98658420000000002</v>
      </c>
      <c r="AB3393">
        <v>27</v>
      </c>
      <c r="AC3393">
        <v>12.7685</v>
      </c>
      <c r="AD3393">
        <v>-1.112980256735</v>
      </c>
      <c r="AE3393">
        <v>-0.37860000000000499</v>
      </c>
      <c r="AF3393">
        <v>-2.1042996856102998</v>
      </c>
      <c r="AG3393">
        <v>-1.112980256735</v>
      </c>
      <c r="AH3393">
        <v>12.502013058534599</v>
      </c>
      <c r="AI3393">
        <v>95.017088774080406</v>
      </c>
      <c r="AJ3393">
        <v>99.554291713269507</v>
      </c>
      <c r="AK3393">
        <v>12.7266308477347</v>
      </c>
      <c r="AL3393">
        <v>68.354402158844806</v>
      </c>
      <c r="AM3393">
        <v>102.26384007444101</v>
      </c>
      <c r="AN3393">
        <v>1.0000000478798201</v>
      </c>
    </row>
    <row r="3394" spans="1:40" x14ac:dyDescent="0.25">
      <c r="A3394" t="str">
        <f>"20190304164155816"</f>
        <v>20190304164155816</v>
      </c>
      <c r="B3394" t="str">
        <f>"1551688915804833"</f>
        <v>1551688915804833</v>
      </c>
      <c r="C3394" t="s">
        <v>40</v>
      </c>
      <c r="D3394">
        <v>4.1957719999999998</v>
      </c>
      <c r="E3394">
        <v>0.52659979999999995</v>
      </c>
      <c r="F3394" t="s">
        <v>46</v>
      </c>
      <c r="G3394">
        <v>-457.81459999999998</v>
      </c>
      <c r="H3394" s="1">
        <v>2.606971E-6</v>
      </c>
      <c r="I3394">
        <v>214.9547</v>
      </c>
      <c r="J3394">
        <v>-470.57510000000002</v>
      </c>
      <c r="K3394">
        <v>1.112878</v>
      </c>
      <c r="L3394">
        <v>215.30330000000001</v>
      </c>
      <c r="M3394">
        <v>0.98165590000000003</v>
      </c>
      <c r="N3394">
        <v>-4.8784739999999998E-3</v>
      </c>
      <c r="O3394">
        <v>-0.19059909999999999</v>
      </c>
      <c r="P3394">
        <v>0.93093119999999996</v>
      </c>
      <c r="Q3394">
        <v>0.36483409999999999</v>
      </c>
      <c r="R3394">
        <v>1.62209E-2</v>
      </c>
      <c r="S3394">
        <v>3.3377080000000001</v>
      </c>
      <c r="T3394">
        <v>-0.28518189999999999</v>
      </c>
      <c r="U3394">
        <v>-0.1016083</v>
      </c>
      <c r="V3394">
        <v>-0.19639180000000001</v>
      </c>
      <c r="W3394">
        <v>0.36766959999999999</v>
      </c>
      <c r="X3394">
        <v>0.90898259999999997</v>
      </c>
      <c r="Y3394">
        <v>-0.1594206</v>
      </c>
      <c r="Z3394">
        <v>2.2418239999999999E-2</v>
      </c>
      <c r="AA3394">
        <v>0.98695619999999995</v>
      </c>
      <c r="AB3394">
        <v>27</v>
      </c>
      <c r="AC3394">
        <v>12.7605</v>
      </c>
      <c r="AD3394">
        <v>-1.1128753930290001</v>
      </c>
      <c r="AE3394">
        <v>-0.34860000000000402</v>
      </c>
      <c r="AF3394">
        <v>-2.07419470146827</v>
      </c>
      <c r="AG3394">
        <v>-1.1128753930290001</v>
      </c>
      <c r="AH3394">
        <v>12.4980226721202</v>
      </c>
      <c r="AI3394">
        <v>95.020124150579306</v>
      </c>
      <c r="AJ3394">
        <v>99.423024964191697</v>
      </c>
      <c r="AK3394">
        <v>12.717757114084201</v>
      </c>
      <c r="AL3394">
        <v>68.428033379120706</v>
      </c>
      <c r="AM3394">
        <v>102.19173817217499</v>
      </c>
      <c r="AN3394">
        <v>1.00000002048707</v>
      </c>
    </row>
    <row r="3395" spans="1:40" x14ac:dyDescent="0.25">
      <c r="A3395" t="str">
        <f>"20190304164155838"</f>
        <v>20190304164155838</v>
      </c>
      <c r="B3395" t="str">
        <f>"1551688915834113"</f>
        <v>1551688915834113</v>
      </c>
      <c r="C3395" t="s">
        <v>40</v>
      </c>
      <c r="D3395">
        <v>4.1680769999999896</v>
      </c>
      <c r="E3395">
        <v>0.52680280000000002</v>
      </c>
      <c r="F3395" t="s">
        <v>46</v>
      </c>
      <c r="G3395">
        <v>-457.84550000000002</v>
      </c>
      <c r="H3395" s="1">
        <v>2.6232350000000001E-6</v>
      </c>
      <c r="I3395">
        <v>214.95859999999999</v>
      </c>
      <c r="J3395">
        <v>-470.31209999999999</v>
      </c>
      <c r="K3395">
        <v>1.112762</v>
      </c>
      <c r="L3395">
        <v>215.2568</v>
      </c>
      <c r="M3395">
        <v>0.98248150000000001</v>
      </c>
      <c r="N3395">
        <v>-4.8484799999999996E-3</v>
      </c>
      <c r="O3395">
        <v>-0.1862975</v>
      </c>
      <c r="P3395">
        <v>0.93138069999999895</v>
      </c>
      <c r="Q3395">
        <v>0.36354999999999998</v>
      </c>
      <c r="R3395">
        <v>1.9021300000000001E-2</v>
      </c>
      <c r="S3395">
        <v>3.3385310000000001</v>
      </c>
      <c r="T3395">
        <v>-0.2918692</v>
      </c>
      <c r="U3395">
        <v>-9.0408329999999995E-2</v>
      </c>
      <c r="V3395">
        <v>-0.195129</v>
      </c>
      <c r="W3395">
        <v>0.36642269999999999</v>
      </c>
      <c r="X3395">
        <v>0.9097577</v>
      </c>
      <c r="Y3395">
        <v>-0.1583725</v>
      </c>
      <c r="Z3395">
        <v>2.2558000000000002E-2</v>
      </c>
      <c r="AA3395">
        <v>0.98712169999999999</v>
      </c>
      <c r="AB3395">
        <v>27</v>
      </c>
      <c r="AC3395">
        <v>12.4665999999999</v>
      </c>
      <c r="AD3395">
        <v>-1.1127593767649999</v>
      </c>
      <c r="AE3395">
        <v>-0.29820000000000801</v>
      </c>
      <c r="AF3395">
        <v>-2.0135112177554499</v>
      </c>
      <c r="AG3395">
        <v>-1.1127593767649999</v>
      </c>
      <c r="AH3395">
        <v>12.206703587096699</v>
      </c>
      <c r="AI3395">
        <v>95.139596767144795</v>
      </c>
      <c r="AJ3395">
        <v>99.366666860709103</v>
      </c>
      <c r="AK3395">
        <v>12.4215970518225</v>
      </c>
      <c r="AL3395">
        <v>68.504835588599306</v>
      </c>
      <c r="AM3395">
        <v>102.105650676683</v>
      </c>
      <c r="AN3395">
        <v>0.99999999721278998</v>
      </c>
    </row>
    <row r="3396" spans="1:40" x14ac:dyDescent="0.25">
      <c r="A3396" t="str">
        <f>"20190304164155862"</f>
        <v>20190304164155862</v>
      </c>
      <c r="B3396" t="str">
        <f>"1551688915854608"</f>
        <v>1551688915854608</v>
      </c>
      <c r="C3396" t="s">
        <v>40</v>
      </c>
      <c r="D3396">
        <v>4.1802279999999996</v>
      </c>
      <c r="E3396">
        <v>0.52708920000000004</v>
      </c>
      <c r="F3396" t="s">
        <v>46</v>
      </c>
      <c r="G3396">
        <v>-457.82639999999998</v>
      </c>
      <c r="H3396" s="1">
        <v>2.6131480000000001E-6</v>
      </c>
      <c r="I3396">
        <v>214.95740000000001</v>
      </c>
      <c r="J3396">
        <v>-470.02170000000001</v>
      </c>
      <c r="K3396">
        <v>1.1126339999999999</v>
      </c>
      <c r="L3396">
        <v>215.20660000000001</v>
      </c>
      <c r="M3396">
        <v>0.98333389999999998</v>
      </c>
      <c r="N3396">
        <v>-4.8194300000000004E-3</v>
      </c>
      <c r="O3396">
        <v>-0.1817445</v>
      </c>
      <c r="P3396">
        <v>0.9315293</v>
      </c>
      <c r="Q3396">
        <v>0.36292210000000003</v>
      </c>
      <c r="R3396">
        <v>2.3249269999999999E-2</v>
      </c>
      <c r="S3396">
        <v>3.3388059999999999</v>
      </c>
      <c r="T3396">
        <v>-0.29756379999999999</v>
      </c>
      <c r="U3396">
        <v>-8.0078129999999997E-2</v>
      </c>
      <c r="V3396">
        <v>-0.1949805</v>
      </c>
      <c r="W3396">
        <v>0.36582510000000001</v>
      </c>
      <c r="X3396">
        <v>0.91003000000000001</v>
      </c>
      <c r="Y3396">
        <v>-0.1568252</v>
      </c>
      <c r="Z3396">
        <v>2.2560440000000001E-2</v>
      </c>
      <c r="AA3396">
        <v>0.98736860000000004</v>
      </c>
      <c r="AB3396">
        <v>27</v>
      </c>
      <c r="AC3396">
        <v>12.1953</v>
      </c>
      <c r="AD3396">
        <v>-1.1126313868519999</v>
      </c>
      <c r="AE3396">
        <v>-0.249200000000001</v>
      </c>
      <c r="AF3396">
        <v>-1.9551377037525499</v>
      </c>
      <c r="AG3396">
        <v>-1.1126313868519999</v>
      </c>
      <c r="AH3396">
        <v>11.938154921942999</v>
      </c>
      <c r="AI3396">
        <v>95.254956780112394</v>
      </c>
      <c r="AJ3396">
        <v>99.300887423829806</v>
      </c>
      <c r="AK3396">
        <v>12.1482531659475</v>
      </c>
      <c r="AL3396">
        <v>68.541630414346798</v>
      </c>
      <c r="AM3396">
        <v>102.09319626622499</v>
      </c>
      <c r="AN3396">
        <v>1.0000000000351299</v>
      </c>
    </row>
    <row r="3397" spans="1:40" x14ac:dyDescent="0.25">
      <c r="A3397" t="str">
        <f>"20190304164155885"</f>
        <v>20190304164155885</v>
      </c>
      <c r="B3397" t="str">
        <f>"1551688915874129"</f>
        <v>1551688915874129</v>
      </c>
      <c r="C3397" t="s">
        <v>40</v>
      </c>
      <c r="D3397">
        <v>4.1714640000000003</v>
      </c>
      <c r="E3397">
        <v>0.52754679999999998</v>
      </c>
      <c r="F3397" t="s">
        <v>46</v>
      </c>
      <c r="G3397">
        <v>-457.661</v>
      </c>
      <c r="H3397" s="1">
        <v>2.5250049999999999E-6</v>
      </c>
      <c r="I3397">
        <v>214.96029999999999</v>
      </c>
      <c r="J3397">
        <v>-469.74220000000003</v>
      </c>
      <c r="K3397">
        <v>1.1125309999999999</v>
      </c>
      <c r="L3397">
        <v>215.15950000000001</v>
      </c>
      <c r="M3397">
        <v>0.98409769999999996</v>
      </c>
      <c r="N3397">
        <v>-4.7973859999999998E-3</v>
      </c>
      <c r="O3397">
        <v>-0.17756369999999999</v>
      </c>
      <c r="P3397">
        <v>0.93170120000000001</v>
      </c>
      <c r="Q3397">
        <v>0.36230059999999997</v>
      </c>
      <c r="R3397">
        <v>2.5909689999999999E-2</v>
      </c>
      <c r="S3397">
        <v>3.3392330000000001</v>
      </c>
      <c r="T3397">
        <v>-0.30057859999999997</v>
      </c>
      <c r="U3397">
        <v>-6.6543580000000005E-2</v>
      </c>
      <c r="V3397">
        <v>-0.19365930000000001</v>
      </c>
      <c r="W3397">
        <v>0.36524240000000002</v>
      </c>
      <c r="X3397">
        <v>0.91054610000000002</v>
      </c>
      <c r="Y3397">
        <v>-0.15662039999999999</v>
      </c>
      <c r="Z3397">
        <v>2.2435130000000001E-2</v>
      </c>
      <c r="AA3397">
        <v>0.98740399999999995</v>
      </c>
      <c r="AB3397">
        <v>28</v>
      </c>
      <c r="AC3397">
        <v>12.081200000000001</v>
      </c>
      <c r="AD3397">
        <v>-1.112528474995</v>
      </c>
      <c r="AE3397">
        <v>-0.199200000000018</v>
      </c>
      <c r="AF3397">
        <v>-1.9327867656911399</v>
      </c>
      <c r="AG3397">
        <v>-1.112528474995</v>
      </c>
      <c r="AH3397">
        <v>11.824343430512499</v>
      </c>
      <c r="AI3397">
        <v>95.305025405251598</v>
      </c>
      <c r="AJ3397">
        <v>99.283370620405506</v>
      </c>
      <c r="AK3397">
        <v>12.032808560432199</v>
      </c>
      <c r="AL3397">
        <v>68.577500350552398</v>
      </c>
      <c r="AM3397">
        <v>102.007028805472</v>
      </c>
      <c r="AN3397">
        <v>1.0000000677297201</v>
      </c>
    </row>
    <row r="3398" spans="1:40" x14ac:dyDescent="0.25">
      <c r="A3398" t="str">
        <f>"20190304164155907"</f>
        <v>20190304164155907</v>
      </c>
      <c r="B3398" t="str">
        <f>"1551688915904386"</f>
        <v>1551688915904386</v>
      </c>
      <c r="C3398" t="s">
        <v>40</v>
      </c>
      <c r="D3398">
        <v>4.1717490000000002</v>
      </c>
      <c r="E3398">
        <v>0.53203929999999999</v>
      </c>
      <c r="F3398" t="s">
        <v>46</v>
      </c>
      <c r="G3398">
        <v>-457.49669999999998</v>
      </c>
      <c r="H3398" s="1">
        <v>2.438392E-6</v>
      </c>
      <c r="I3398">
        <v>214.94120000000001</v>
      </c>
      <c r="J3398">
        <v>-469.47059999999999</v>
      </c>
      <c r="K3398">
        <v>1.112452</v>
      </c>
      <c r="L3398">
        <v>215.1146</v>
      </c>
      <c r="M3398">
        <v>0.98479950000000005</v>
      </c>
      <c r="N3398">
        <v>-4.7825070000000001E-3</v>
      </c>
      <c r="O3398">
        <v>-0.17363010000000001</v>
      </c>
      <c r="P3398">
        <v>0.93185819999999997</v>
      </c>
      <c r="Q3398">
        <v>0.3617628</v>
      </c>
      <c r="R3398">
        <v>2.7721389999999999E-2</v>
      </c>
      <c r="S3398">
        <v>3.3395389999999998</v>
      </c>
      <c r="T3398">
        <v>-0.30340479999999997</v>
      </c>
      <c r="U3398">
        <v>-5.9524540000000001E-2</v>
      </c>
      <c r="V3398">
        <v>-0.19175590000000001</v>
      </c>
      <c r="W3398">
        <v>0.3647416</v>
      </c>
      <c r="X3398">
        <v>0.9111494</v>
      </c>
      <c r="Y3398">
        <v>-0.1547482</v>
      </c>
      <c r="Z3398">
        <v>2.222789E-2</v>
      </c>
      <c r="AA3398">
        <v>0.98770389999999997</v>
      </c>
      <c r="AB3398">
        <v>28</v>
      </c>
      <c r="AC3398">
        <v>11.9739</v>
      </c>
      <c r="AD3398">
        <v>-1.1124495616079999</v>
      </c>
      <c r="AE3398">
        <v>-0.17339999999998601</v>
      </c>
      <c r="AF3398">
        <v>-1.8919595783227099</v>
      </c>
      <c r="AG3398">
        <v>-1.1124495616079999</v>
      </c>
      <c r="AH3398">
        <v>11.7209822134839</v>
      </c>
      <c r="AI3398">
        <v>95.352879231288298</v>
      </c>
      <c r="AJ3398">
        <v>99.169391383620606</v>
      </c>
      <c r="AK3398">
        <v>11.924700378707</v>
      </c>
      <c r="AL3398">
        <v>68.608318682300094</v>
      </c>
      <c r="AM3398">
        <v>101.88474247598801</v>
      </c>
      <c r="AN3398">
        <v>0.99999999453786403</v>
      </c>
    </row>
    <row r="3399" spans="1:40" x14ac:dyDescent="0.25">
      <c r="A3399" t="str">
        <f>"20190304164155926"</f>
        <v>20190304164155926</v>
      </c>
      <c r="B3399" t="str">
        <f>"1551688915924881"</f>
        <v>1551688915924881</v>
      </c>
      <c r="C3399" t="s">
        <v>40</v>
      </c>
      <c r="D3399">
        <v>4.1707289999999997</v>
      </c>
      <c r="E3399">
        <v>0.53209069999999903</v>
      </c>
      <c r="F3399" t="s">
        <v>46</v>
      </c>
      <c r="G3399">
        <v>-457.3689</v>
      </c>
      <c r="H3399" s="1">
        <v>2.3764199999999999E-6</v>
      </c>
      <c r="I3399">
        <v>214.80330000000001</v>
      </c>
      <c r="J3399">
        <v>-469.22820000000002</v>
      </c>
      <c r="K3399">
        <v>1.1123989999999999</v>
      </c>
      <c r="L3399">
        <v>215.0754</v>
      </c>
      <c r="M3399">
        <v>0.98539690000000002</v>
      </c>
      <c r="N3399">
        <v>-4.7747579999999996E-3</v>
      </c>
      <c r="O3399">
        <v>-0.17020650000000001</v>
      </c>
      <c r="P3399">
        <v>0.93219730000000001</v>
      </c>
      <c r="Q3399">
        <v>0.36085709999999999</v>
      </c>
      <c r="R3399">
        <v>2.8117469999999999E-2</v>
      </c>
      <c r="S3399">
        <v>3.3411559999999998</v>
      </c>
      <c r="T3399">
        <v>-0.30713570000000001</v>
      </c>
      <c r="U3399">
        <v>-8.5968020000000006E-2</v>
      </c>
      <c r="V3399">
        <v>-0.18898229999999999</v>
      </c>
      <c r="W3399">
        <v>0.36387429999999998</v>
      </c>
      <c r="X3399">
        <v>0.91207519999999997</v>
      </c>
      <c r="Y3399">
        <v>-0.14353199999999999</v>
      </c>
      <c r="Z3399">
        <v>2.1655979999999998E-2</v>
      </c>
      <c r="AA3399">
        <v>0.98940870000000003</v>
      </c>
      <c r="AB3399">
        <v>28</v>
      </c>
      <c r="AC3399">
        <v>11.859299999999999</v>
      </c>
      <c r="AD3399">
        <v>-1.11239662358</v>
      </c>
      <c r="AE3399">
        <v>-0.27209999999999401</v>
      </c>
      <c r="AF3399">
        <v>-1.73516476000523</v>
      </c>
      <c r="AG3399">
        <v>-1.11239662358</v>
      </c>
      <c r="AH3399">
        <v>11.6302902717613</v>
      </c>
      <c r="AI3399">
        <v>95.404068113768602</v>
      </c>
      <c r="AJ3399">
        <v>98.485573102807095</v>
      </c>
      <c r="AK3399">
        <v>11.811514500602501</v>
      </c>
      <c r="AL3399">
        <v>68.661678232854598</v>
      </c>
      <c r="AM3399">
        <v>101.70605997365899</v>
      </c>
      <c r="AN3399">
        <v>0.99999999318441002</v>
      </c>
    </row>
    <row r="3400" spans="1:40" x14ac:dyDescent="0.25">
      <c r="A3400" t="str">
        <f>"20190304164155950"</f>
        <v>20190304164155950</v>
      </c>
      <c r="B3400" t="str">
        <f>"1551688915944401"</f>
        <v>1551688915944401</v>
      </c>
      <c r="C3400" t="s">
        <v>40</v>
      </c>
      <c r="D3400">
        <v>4.1837039999999996</v>
      </c>
      <c r="E3400">
        <v>0.53104649999999998</v>
      </c>
      <c r="F3400" t="s">
        <v>46</v>
      </c>
      <c r="G3400">
        <v>-457.32990000000001</v>
      </c>
      <c r="H3400" s="1">
        <v>2.3562949999999999E-6</v>
      </c>
      <c r="I3400">
        <v>214.7886</v>
      </c>
      <c r="J3400">
        <v>-468.93939999999998</v>
      </c>
      <c r="K3400">
        <v>1.112358</v>
      </c>
      <c r="L3400">
        <v>215.02969999999999</v>
      </c>
      <c r="M3400">
        <v>0.98607699999999998</v>
      </c>
      <c r="N3400">
        <v>-4.7722009999999898E-3</v>
      </c>
      <c r="O3400">
        <v>-0.16622149999999999</v>
      </c>
      <c r="P3400">
        <v>0.93244159999999998</v>
      </c>
      <c r="Q3400">
        <v>0.36014940000000001</v>
      </c>
      <c r="R3400">
        <v>2.9079850000000001E-2</v>
      </c>
      <c r="S3400">
        <v>3.3415219999999999</v>
      </c>
      <c r="T3400">
        <v>-0.31240570000000001</v>
      </c>
      <c r="U3400">
        <v>-8.0551150000000002E-2</v>
      </c>
      <c r="V3400">
        <v>-0.18623899999999999</v>
      </c>
      <c r="W3400">
        <v>0.36320400000000003</v>
      </c>
      <c r="X3400">
        <v>0.91290629999999995</v>
      </c>
      <c r="Y3400">
        <v>-0.14111889999999999</v>
      </c>
      <c r="Z3400">
        <v>2.1566499999999999E-2</v>
      </c>
      <c r="AA3400">
        <v>0.98975769999999996</v>
      </c>
      <c r="AB3400">
        <v>28</v>
      </c>
      <c r="AC3400">
        <v>11.609499999999899</v>
      </c>
      <c r="AD3400">
        <v>-1.112355643705</v>
      </c>
      <c r="AE3400">
        <v>-0.24109999999998799</v>
      </c>
      <c r="AF3400">
        <v>-1.6766388945847699</v>
      </c>
      <c r="AG3400">
        <v>-1.112355643705</v>
      </c>
      <c r="AH3400">
        <v>11.383605851463701</v>
      </c>
      <c r="AI3400">
        <v>95.521775837375898</v>
      </c>
      <c r="AJ3400">
        <v>98.378592548041993</v>
      </c>
      <c r="AK3400">
        <v>11.560057752554499</v>
      </c>
      <c r="AL3400">
        <v>68.702904741990906</v>
      </c>
      <c r="AM3400">
        <v>101.53049883193999</v>
      </c>
      <c r="AN3400">
        <v>1.0000000116583401</v>
      </c>
    </row>
    <row r="3401" spans="1:40" x14ac:dyDescent="0.25">
      <c r="A3401" t="str">
        <f>"20190304164155973"</f>
        <v>20190304164155973</v>
      </c>
      <c r="B3401" t="str">
        <f>"1551688915964897"</f>
        <v>1551688915964897</v>
      </c>
      <c r="C3401" t="s">
        <v>40</v>
      </c>
      <c r="D3401">
        <v>4.1702859999999999</v>
      </c>
      <c r="E3401">
        <v>0.5289201</v>
      </c>
      <c r="F3401" t="s">
        <v>46</v>
      </c>
      <c r="G3401">
        <v>-456.60210000000001</v>
      </c>
      <c r="H3401" s="1">
        <v>1.96938E-6</v>
      </c>
      <c r="I3401">
        <v>214.779</v>
      </c>
      <c r="J3401">
        <v>-468.654</v>
      </c>
      <c r="K3401">
        <v>1.1123400000000001</v>
      </c>
      <c r="L3401">
        <v>214.98570000000001</v>
      </c>
      <c r="M3401">
        <v>0.98672150000000003</v>
      </c>
      <c r="N3401">
        <v>-4.7758519999999997E-3</v>
      </c>
      <c r="O3401">
        <v>-0.1623512</v>
      </c>
      <c r="P3401">
        <v>0.93262619999999896</v>
      </c>
      <c r="Q3401">
        <v>0.35960779999999998</v>
      </c>
      <c r="R3401">
        <v>2.9840370000000001E-2</v>
      </c>
      <c r="S3401">
        <v>3.3356319999999999</v>
      </c>
      <c r="T3401">
        <v>-0.30074699999999999</v>
      </c>
      <c r="U3401">
        <v>-6.7779539999999999E-2</v>
      </c>
      <c r="V3401">
        <v>-0.18340909999999999</v>
      </c>
      <c r="W3401">
        <v>0.36269699999999999</v>
      </c>
      <c r="X3401">
        <v>0.91368039999999995</v>
      </c>
      <c r="Y3401">
        <v>-0.14108609999999999</v>
      </c>
      <c r="Z3401">
        <v>2.045961E-2</v>
      </c>
      <c r="AA3401">
        <v>0.9897859</v>
      </c>
      <c r="AB3401">
        <v>28</v>
      </c>
      <c r="AC3401">
        <v>12.0518999999999</v>
      </c>
      <c r="AD3401">
        <v>-1.1123380306199999</v>
      </c>
      <c r="AE3401">
        <v>-0.20669999999998301</v>
      </c>
      <c r="AF3401">
        <v>-1.7379050765788899</v>
      </c>
      <c r="AG3401">
        <v>-1.1123380306199999</v>
      </c>
      <c r="AH3401">
        <v>11.824862277731</v>
      </c>
      <c r="AI3401">
        <v>95.317084958493297</v>
      </c>
      <c r="AJ3401">
        <v>98.360928613321093</v>
      </c>
      <c r="AK3401">
        <v>12.003540220987601</v>
      </c>
      <c r="AL3401">
        <v>68.734078021656899</v>
      </c>
      <c r="AM3401">
        <v>101.35050773918699</v>
      </c>
      <c r="AN3401">
        <v>0.99999994255798297</v>
      </c>
    </row>
    <row r="3402" spans="1:40" x14ac:dyDescent="0.25">
      <c r="A3402" t="str">
        <f>"20190304164155994"</f>
        <v>20190304164155994</v>
      </c>
      <c r="B3402" t="str">
        <f>"1551688915984417"</f>
        <v>1551688915984417</v>
      </c>
      <c r="C3402" t="s">
        <v>40</v>
      </c>
      <c r="D3402">
        <v>4.1759409999999999</v>
      </c>
      <c r="E3402">
        <v>0.52741470000000001</v>
      </c>
      <c r="F3402" t="s">
        <v>46</v>
      </c>
      <c r="G3402">
        <v>-456.0847</v>
      </c>
      <c r="H3402" s="1">
        <v>1.6930079999999999E-6</v>
      </c>
      <c r="I3402">
        <v>214.803</v>
      </c>
      <c r="J3402">
        <v>-468.38709999999998</v>
      </c>
      <c r="K3402">
        <v>1.1123369999999999</v>
      </c>
      <c r="L3402">
        <v>214.94550000000001</v>
      </c>
      <c r="M3402">
        <v>0.98730439999999997</v>
      </c>
      <c r="N3402">
        <v>-4.7845910000000004E-3</v>
      </c>
      <c r="O3402">
        <v>-0.1587683</v>
      </c>
      <c r="P3402">
        <v>0.93278629999999996</v>
      </c>
      <c r="Q3402">
        <v>0.35916910000000002</v>
      </c>
      <c r="R3402">
        <v>3.0122909999999999E-2</v>
      </c>
      <c r="S3402">
        <v>3.3319399999999999</v>
      </c>
      <c r="T3402">
        <v>-0.29486329999999999</v>
      </c>
      <c r="U3402">
        <v>-4.8431399999999999E-2</v>
      </c>
      <c r="V3402">
        <v>-0.18038270000000001</v>
      </c>
      <c r="W3402">
        <v>0.36229299999999998</v>
      </c>
      <c r="X3402">
        <v>0.91444300000000001</v>
      </c>
      <c r="Y3402">
        <v>-0.14326329999999901</v>
      </c>
      <c r="Z3402">
        <v>1.9882380000000002E-2</v>
      </c>
      <c r="AA3402">
        <v>0.98948480000000005</v>
      </c>
      <c r="AB3402">
        <v>28</v>
      </c>
      <c r="AC3402">
        <v>12.302399999999899</v>
      </c>
      <c r="AD3402">
        <v>-1.1123353069919999</v>
      </c>
      <c r="AE3402">
        <v>-0.14250000000001201</v>
      </c>
      <c r="AF3402">
        <v>-1.7978650725451799</v>
      </c>
      <c r="AG3402">
        <v>-1.1123353069919999</v>
      </c>
      <c r="AH3402">
        <v>12.0703134563812</v>
      </c>
      <c r="AI3402">
        <v>95.208065562925796</v>
      </c>
      <c r="AJ3402">
        <v>98.4718821318002</v>
      </c>
      <c r="AK3402">
        <v>12.2540636357722</v>
      </c>
      <c r="AL3402">
        <v>68.758917572081401</v>
      </c>
      <c r="AM3402">
        <v>101.158881227618</v>
      </c>
      <c r="AN3402">
        <v>1.0000000682786401</v>
      </c>
    </row>
    <row r="3403" spans="1:40" x14ac:dyDescent="0.25">
      <c r="A3403" t="str">
        <f>"20190304164156016"</f>
        <v>20190304164156016</v>
      </c>
      <c r="B3403" t="str">
        <f>"1551688916004914"</f>
        <v>1551688916004914</v>
      </c>
      <c r="C3403" t="s">
        <v>40</v>
      </c>
      <c r="D3403">
        <v>4.1852869999999998</v>
      </c>
      <c r="E3403">
        <v>0.52637089999999997</v>
      </c>
      <c r="F3403" t="s">
        <v>46</v>
      </c>
      <c r="G3403">
        <v>-455.62790000000001</v>
      </c>
      <c r="H3403" s="1">
        <v>1.4495609999999901E-6</v>
      </c>
      <c r="I3403">
        <v>214.8115</v>
      </c>
      <c r="J3403">
        <v>-468.108</v>
      </c>
      <c r="K3403">
        <v>1.112347</v>
      </c>
      <c r="L3403">
        <v>214.90440000000001</v>
      </c>
      <c r="M3403">
        <v>0.98789660000000001</v>
      </c>
      <c r="N3403">
        <v>-4.7987960000000001E-3</v>
      </c>
      <c r="O3403">
        <v>-0.15504119999999999</v>
      </c>
      <c r="P3403">
        <v>0.93276479999999995</v>
      </c>
      <c r="Q3403">
        <v>0.35922809999999999</v>
      </c>
      <c r="R3403">
        <v>3.0093999999999999E-2</v>
      </c>
      <c r="S3403">
        <v>3.3290410000000001</v>
      </c>
      <c r="T3403">
        <v>-0.29022130000000002</v>
      </c>
      <c r="U3403">
        <v>-3.4957889999999998E-2</v>
      </c>
      <c r="V3403">
        <v>-0.17689849999999999</v>
      </c>
      <c r="W3403">
        <v>0.36238999999999999</v>
      </c>
      <c r="X3403">
        <v>0.91508500000000004</v>
      </c>
      <c r="Y3403">
        <v>-0.14356569999999999</v>
      </c>
      <c r="Z3403">
        <v>1.9292489999999999E-2</v>
      </c>
      <c r="AA3403">
        <v>0.98945269999999996</v>
      </c>
      <c r="AB3403">
        <v>28</v>
      </c>
      <c r="AC3403">
        <v>12.480099999999901</v>
      </c>
      <c r="AD3403">
        <v>-1.1123455504390001</v>
      </c>
      <c r="AE3403">
        <v>-9.2900000000014402E-2</v>
      </c>
      <c r="AF3403">
        <v>-1.8286487361042401</v>
      </c>
      <c r="AG3403">
        <v>-1.1123455504390001</v>
      </c>
      <c r="AH3403">
        <v>12.246310547169299</v>
      </c>
      <c r="AI3403">
        <v>95.133390091634794</v>
      </c>
      <c r="AJ3403">
        <v>98.492793692849602</v>
      </c>
      <c r="AK3403">
        <v>12.4319504037519</v>
      </c>
      <c r="AL3403">
        <v>68.752954810139499</v>
      </c>
      <c r="AM3403">
        <v>100.941103011305</v>
      </c>
      <c r="AN3403">
        <v>1.0000000743136199</v>
      </c>
    </row>
    <row r="3404" spans="1:40" x14ac:dyDescent="0.25">
      <c r="A3404" t="str">
        <f>"20190304164156040"</f>
        <v>20190304164156040</v>
      </c>
      <c r="B3404" t="str">
        <f>"1551688916034193"</f>
        <v>1551688916034193</v>
      </c>
      <c r="C3404" t="s">
        <v>40</v>
      </c>
      <c r="D3404">
        <v>4.1730970000000003</v>
      </c>
      <c r="E3404">
        <v>0.52543879999999998</v>
      </c>
      <c r="F3404" t="s">
        <v>46</v>
      </c>
      <c r="G3404">
        <v>-455.2106</v>
      </c>
      <c r="H3404" s="1">
        <v>1.227604E-6</v>
      </c>
      <c r="I3404">
        <v>214.80869999999999</v>
      </c>
      <c r="J3404">
        <v>-467.81439999999998</v>
      </c>
      <c r="K3404">
        <v>1.112357</v>
      </c>
      <c r="L3404">
        <v>214.86240000000001</v>
      </c>
      <c r="M3404">
        <v>0.98850199999999999</v>
      </c>
      <c r="N3404">
        <v>-4.8184959999999898E-3</v>
      </c>
      <c r="O3404">
        <v>-0.15113219999999999</v>
      </c>
      <c r="P3404">
        <v>0.93295170000000005</v>
      </c>
      <c r="Q3404">
        <v>0.35861859999999901</v>
      </c>
      <c r="R3404">
        <v>3.152551E-2</v>
      </c>
      <c r="S3404">
        <v>3.3275450000000002</v>
      </c>
      <c r="T3404">
        <v>-0.2869852</v>
      </c>
      <c r="U3404">
        <v>-2.470398E-2</v>
      </c>
      <c r="V3404">
        <v>-0.17472270000000001</v>
      </c>
      <c r="W3404">
        <v>0.3618112</v>
      </c>
      <c r="X3404">
        <v>0.91573170000000004</v>
      </c>
      <c r="Y3404">
        <v>-0.14273529999999901</v>
      </c>
      <c r="Z3404">
        <v>1.872969E-2</v>
      </c>
      <c r="AA3404">
        <v>0.98958369999999996</v>
      </c>
      <c r="AB3404">
        <v>29</v>
      </c>
      <c r="AC3404">
        <v>12.6037999999999</v>
      </c>
      <c r="AD3404">
        <v>-1.112355772396</v>
      </c>
      <c r="AE3404">
        <v>-5.3700000000020502E-2</v>
      </c>
      <c r="AF3404">
        <v>-1.8374667671217899</v>
      </c>
      <c r="AG3404">
        <v>-1.112355772396</v>
      </c>
      <c r="AH3404">
        <v>12.3707848735075</v>
      </c>
      <c r="AI3404">
        <v>95.082638101539303</v>
      </c>
      <c r="AJ3404">
        <v>98.448530941608396</v>
      </c>
      <c r="AK3404">
        <v>12.555872644753199</v>
      </c>
      <c r="AL3404">
        <v>68.788529278644603</v>
      </c>
      <c r="AM3404">
        <v>100.802266068264</v>
      </c>
      <c r="AN3404">
        <v>0.99999995636280903</v>
      </c>
    </row>
    <row r="3405" spans="1:40" x14ac:dyDescent="0.25">
      <c r="A3405" t="str">
        <f>"20190304164156062"</f>
        <v>20190304164156062</v>
      </c>
      <c r="B3405" t="str">
        <f>"1551688916054689"</f>
        <v>1551688916054689</v>
      </c>
      <c r="C3405" t="s">
        <v>40</v>
      </c>
      <c r="D3405">
        <v>4.1664580000000004</v>
      </c>
      <c r="E3405">
        <v>0.52510230000000002</v>
      </c>
      <c r="F3405" t="s">
        <v>46</v>
      </c>
      <c r="G3405">
        <v>-454.79270000000002</v>
      </c>
      <c r="H3405" s="1">
        <v>1.0048899999999901E-6</v>
      </c>
      <c r="I3405">
        <v>214.8168</v>
      </c>
      <c r="J3405">
        <v>-467.52659999999997</v>
      </c>
      <c r="K3405">
        <v>1.112374</v>
      </c>
      <c r="L3405">
        <v>214.82230000000001</v>
      </c>
      <c r="M3405">
        <v>0.98907929999999999</v>
      </c>
      <c r="N3405">
        <v>-4.8417820000000002E-3</v>
      </c>
      <c r="O3405">
        <v>-0.14730579999999999</v>
      </c>
      <c r="P3405">
        <v>0.93296179999999995</v>
      </c>
      <c r="Q3405">
        <v>0.35837249999999998</v>
      </c>
      <c r="R3405">
        <v>3.3940329999999998E-2</v>
      </c>
      <c r="S3405">
        <v>3.3251650000000001</v>
      </c>
      <c r="T3405">
        <v>-0.28404679999999999</v>
      </c>
      <c r="U3405">
        <v>-1.1627200000000001E-2</v>
      </c>
      <c r="V3405">
        <v>-0.1735767</v>
      </c>
      <c r="W3405">
        <v>0.36158760000000001</v>
      </c>
      <c r="X3405">
        <v>0.91603800000000002</v>
      </c>
      <c r="Y3405">
        <v>-0.14282420000000001</v>
      </c>
      <c r="Z3405">
        <v>1.8246709999999999E-2</v>
      </c>
      <c r="AA3405">
        <v>0.98957989999999996</v>
      </c>
      <c r="AB3405">
        <v>29</v>
      </c>
      <c r="AC3405">
        <v>12.733899999999901</v>
      </c>
      <c r="AD3405">
        <v>-1.1123729951100001</v>
      </c>
      <c r="AE3405">
        <v>-5.5000000000120499E-3</v>
      </c>
      <c r="AF3405">
        <v>-1.8561945250013001</v>
      </c>
      <c r="AG3405">
        <v>-1.1123729951100001</v>
      </c>
      <c r="AH3405">
        <v>12.5004030118786</v>
      </c>
      <c r="AI3405">
        <v>95.030315443992393</v>
      </c>
      <c r="AJ3405">
        <v>98.446177505208297</v>
      </c>
      <c r="AK3405">
        <v>12.686327571613401</v>
      </c>
      <c r="AL3405">
        <v>68.8022728684208</v>
      </c>
      <c r="AM3405">
        <v>100.729560019085</v>
      </c>
      <c r="AN3405">
        <v>1.00000004035032</v>
      </c>
    </row>
    <row r="3406" spans="1:40" x14ac:dyDescent="0.25">
      <c r="A3406" t="str">
        <f>"20190304164156085"</f>
        <v>20190304164156085</v>
      </c>
      <c r="B3406" t="str">
        <f>"1551688916074208"</f>
        <v>1551688916074208</v>
      </c>
      <c r="C3406" t="s">
        <v>40</v>
      </c>
      <c r="D3406">
        <v>4.1676260000000003</v>
      </c>
      <c r="E3406">
        <v>0.52483119999999905</v>
      </c>
      <c r="F3406" t="s">
        <v>46</v>
      </c>
      <c r="G3406">
        <v>-454.37920000000003</v>
      </c>
      <c r="H3406" s="1">
        <v>7.8519169999999903E-7</v>
      </c>
      <c r="I3406">
        <v>214.80940000000001</v>
      </c>
      <c r="J3406">
        <v>-467.23309999999998</v>
      </c>
      <c r="K3406">
        <v>1.1123970000000001</v>
      </c>
      <c r="L3406">
        <v>214.78270000000001</v>
      </c>
      <c r="M3406">
        <v>0.98965199999999998</v>
      </c>
      <c r="N3406">
        <v>-4.8691569999999998E-3</v>
      </c>
      <c r="O3406">
        <v>-0.14340549999999999</v>
      </c>
      <c r="P3406">
        <v>0.9329324</v>
      </c>
      <c r="Q3406">
        <v>0.35813329999999999</v>
      </c>
      <c r="R3406">
        <v>3.7114170000000002E-2</v>
      </c>
      <c r="S3406">
        <v>3.3237000000000001</v>
      </c>
      <c r="T3406">
        <v>-0.28121210000000002</v>
      </c>
      <c r="U3406">
        <v>-3.2501219999999998E-3</v>
      </c>
      <c r="V3406">
        <v>-0.17311199999999999</v>
      </c>
      <c r="W3406">
        <v>0.36136849999999998</v>
      </c>
      <c r="X3406">
        <v>0.91621240000000004</v>
      </c>
      <c r="Y3406">
        <v>-0.14145260000000001</v>
      </c>
      <c r="Z3406">
        <v>1.7699369999999999E-2</v>
      </c>
      <c r="AA3406">
        <v>0.98978679999999997</v>
      </c>
      <c r="AB3406">
        <v>29</v>
      </c>
      <c r="AC3406">
        <v>12.8538999999999</v>
      </c>
      <c r="AD3406">
        <v>-1.11239621480829</v>
      </c>
      <c r="AE3406">
        <v>2.6700000000005199E-2</v>
      </c>
      <c r="AF3406">
        <v>-1.85586656217103</v>
      </c>
      <c r="AG3406">
        <v>-1.11239621480829</v>
      </c>
      <c r="AH3406">
        <v>12.6226738215283</v>
      </c>
      <c r="AI3406">
        <v>94.982988372559703</v>
      </c>
      <c r="AJ3406">
        <v>98.364068917247707</v>
      </c>
      <c r="AK3406">
        <v>12.806777910153601</v>
      </c>
      <c r="AL3406">
        <v>68.815737223590403</v>
      </c>
      <c r="AM3406">
        <v>100.699509099254</v>
      </c>
      <c r="AN3406">
        <v>1.000000059625</v>
      </c>
    </row>
    <row r="3407" spans="1:40" x14ac:dyDescent="0.25">
      <c r="A3407" t="str">
        <f>"20190304164156107"</f>
        <v>20190304164156107</v>
      </c>
      <c r="B3407" t="str">
        <f>"1551688916094705"</f>
        <v>1551688916094705</v>
      </c>
      <c r="C3407" t="s">
        <v>40</v>
      </c>
      <c r="D3407">
        <v>4.1900490000000001</v>
      </c>
      <c r="E3407">
        <v>0.5246769</v>
      </c>
      <c r="F3407" t="s">
        <v>46</v>
      </c>
      <c r="G3407">
        <v>-453.86869999999999</v>
      </c>
      <c r="H3407" s="1">
        <v>5.1339209999999996E-7</v>
      </c>
      <c r="I3407">
        <v>214.8117</v>
      </c>
      <c r="J3407">
        <v>-466.94779999999997</v>
      </c>
      <c r="K3407">
        <v>1.1124160000000001</v>
      </c>
      <c r="L3407">
        <v>214.74520000000001</v>
      </c>
      <c r="M3407">
        <v>0.99019360000000001</v>
      </c>
      <c r="N3407">
        <v>-4.8981229999999999E-3</v>
      </c>
      <c r="O3407">
        <v>-0.13961589999999999</v>
      </c>
      <c r="P3407">
        <v>0.93298320000000001</v>
      </c>
      <c r="Q3407">
        <v>0.35765439999999998</v>
      </c>
      <c r="R3407">
        <v>4.0320630000000003E-2</v>
      </c>
      <c r="S3407">
        <v>3.321564</v>
      </c>
      <c r="T3407">
        <v>-0.27647280000000002</v>
      </c>
      <c r="U3407">
        <v>7.2174069999999899E-3</v>
      </c>
      <c r="V3407">
        <v>-0.17279449999999999</v>
      </c>
      <c r="W3407">
        <v>0.36091040000000002</v>
      </c>
      <c r="X3407">
        <v>0.91645279999999996</v>
      </c>
      <c r="Y3407">
        <v>-0.14082790000000001</v>
      </c>
      <c r="Z3407">
        <v>1.7084769999999999E-2</v>
      </c>
      <c r="AA3407">
        <v>0.98988659999999995</v>
      </c>
      <c r="AB3407">
        <v>29</v>
      </c>
      <c r="AC3407">
        <v>13.079099999999899</v>
      </c>
      <c r="AD3407">
        <v>-1.1124154866078999</v>
      </c>
      <c r="AE3407">
        <v>6.6499999999990594E-2</v>
      </c>
      <c r="AF3407">
        <v>-1.87833342105917</v>
      </c>
      <c r="AG3407">
        <v>-1.1124154866078999</v>
      </c>
      <c r="AH3407">
        <v>12.8487666460592</v>
      </c>
      <c r="AI3407">
        <v>94.896406178111206</v>
      </c>
      <c r="AJ3407">
        <v>98.317032622489805</v>
      </c>
      <c r="AK3407">
        <v>13.032897182913601</v>
      </c>
      <c r="AL3407">
        <v>68.843882567628896</v>
      </c>
      <c r="AM3407">
        <v>100.67760006066899</v>
      </c>
      <c r="AN3407">
        <v>0.999999995343125</v>
      </c>
    </row>
    <row r="3408" spans="1:40" x14ac:dyDescent="0.25">
      <c r="A3408" t="str">
        <f>"20190304164156128"</f>
        <v>20190304164156128</v>
      </c>
      <c r="B3408" t="str">
        <f>"1551688916124961"</f>
        <v>1551688916124961</v>
      </c>
      <c r="C3408" t="s">
        <v>40</v>
      </c>
      <c r="D3408">
        <v>4.190156</v>
      </c>
      <c r="E3408">
        <v>0.52447769999999905</v>
      </c>
      <c r="F3408" t="s">
        <v>46</v>
      </c>
      <c r="G3408">
        <v>-453.5745</v>
      </c>
      <c r="H3408" s="1">
        <v>3.5672350000000002E-7</v>
      </c>
      <c r="I3408">
        <v>214.81469999999999</v>
      </c>
      <c r="J3408">
        <v>-466.6687</v>
      </c>
      <c r="K3408">
        <v>1.112433</v>
      </c>
      <c r="L3408">
        <v>214.7097</v>
      </c>
      <c r="M3408">
        <v>0.99070939999999996</v>
      </c>
      <c r="N3408">
        <v>-4.9284530000000002E-3</v>
      </c>
      <c r="O3408">
        <v>-0.1359069</v>
      </c>
      <c r="P3408">
        <v>0.93317890000000003</v>
      </c>
      <c r="Q3408">
        <v>0.3567109</v>
      </c>
      <c r="R3408">
        <v>4.3984919999999997E-2</v>
      </c>
      <c r="S3408">
        <v>3.3206180000000001</v>
      </c>
      <c r="T3408">
        <v>-0.27621459999999998</v>
      </c>
      <c r="U3408">
        <v>1.724243E-2</v>
      </c>
      <c r="V3408">
        <v>-0.17302419999999999</v>
      </c>
      <c r="W3408">
        <v>0.35998619999999998</v>
      </c>
      <c r="X3408">
        <v>0.91677299999999995</v>
      </c>
      <c r="Y3408">
        <v>-0.1401251</v>
      </c>
      <c r="Z3408">
        <v>1.67535999999999E-2</v>
      </c>
      <c r="AA3408">
        <v>0.98999210000000004</v>
      </c>
      <c r="AB3408">
        <v>29</v>
      </c>
      <c r="AC3408">
        <v>13.094200000000001</v>
      </c>
      <c r="AD3408">
        <v>-1.1124326432764999</v>
      </c>
      <c r="AE3408">
        <v>0.104999999999989</v>
      </c>
      <c r="AF3408">
        <v>-1.8701424388871299</v>
      </c>
      <c r="AG3408">
        <v>-1.1124326432764999</v>
      </c>
      <c r="AH3408">
        <v>12.86558164857</v>
      </c>
      <c r="AI3408">
        <v>94.890687795628807</v>
      </c>
      <c r="AJ3408">
        <v>98.270594434616498</v>
      </c>
      <c r="AK3408">
        <v>13.048299900123901</v>
      </c>
      <c r="AL3408">
        <v>68.9006533743093</v>
      </c>
      <c r="AM3408">
        <v>100.687818908347</v>
      </c>
      <c r="AN3408">
        <v>1.00000008575253</v>
      </c>
    </row>
    <row r="3409" spans="1:40" x14ac:dyDescent="0.25">
      <c r="A3409" t="str">
        <f>"20190304164156143"</f>
        <v>20190304164156143</v>
      </c>
      <c r="B3409" t="str">
        <f>"1551688916134721"</f>
        <v>1551688916134721</v>
      </c>
      <c r="C3409" t="s">
        <v>40</v>
      </c>
      <c r="D3409">
        <v>4.1654859999999996</v>
      </c>
      <c r="E3409">
        <v>0.52446440000000005</v>
      </c>
      <c r="F3409" t="s">
        <v>46</v>
      </c>
      <c r="G3409">
        <v>-453.3528</v>
      </c>
      <c r="H3409" s="1">
        <v>2.3805110000000001E-7</v>
      </c>
      <c r="I3409">
        <v>214.83029999999999</v>
      </c>
      <c r="J3409">
        <v>-466.48070000000001</v>
      </c>
      <c r="K3409">
        <v>1.1124499999999999</v>
      </c>
      <c r="L3409">
        <v>214.68620000000001</v>
      </c>
      <c r="M3409">
        <v>0.99104859999999995</v>
      </c>
      <c r="N3409">
        <v>-4.9497359999999997E-3</v>
      </c>
      <c r="O3409">
        <v>-0.1334099</v>
      </c>
      <c r="P3409">
        <v>0.93321500000000002</v>
      </c>
      <c r="Q3409">
        <v>0.35630640000000002</v>
      </c>
      <c r="R3409">
        <v>4.643021E-2</v>
      </c>
      <c r="S3409">
        <v>3.3193969999999999</v>
      </c>
      <c r="T3409">
        <v>-0.277308</v>
      </c>
      <c r="U3409">
        <v>3.0075069999999999E-2</v>
      </c>
      <c r="V3409">
        <v>-0.17314649999999901</v>
      </c>
      <c r="W3409">
        <v>0.359595099999999</v>
      </c>
      <c r="X3409">
        <v>0.91690329999999998</v>
      </c>
      <c r="Y3409">
        <v>-0.14145369999999999</v>
      </c>
      <c r="Z3409">
        <v>1.6690679999999999E-2</v>
      </c>
      <c r="AA3409">
        <v>0.98980409999999996</v>
      </c>
      <c r="AB3409">
        <v>29</v>
      </c>
      <c r="AC3409">
        <v>13.1279</v>
      </c>
      <c r="AD3409">
        <v>-1.1124497619489</v>
      </c>
      <c r="AE3409">
        <v>0.14409999999997999</v>
      </c>
      <c r="AF3409">
        <v>-1.88072172568054</v>
      </c>
      <c r="AG3409">
        <v>-1.1124497619489</v>
      </c>
      <c r="AH3409">
        <v>12.8987101471523</v>
      </c>
      <c r="AI3409">
        <v>94.877952907578603</v>
      </c>
      <c r="AJ3409">
        <v>98.295665399769902</v>
      </c>
      <c r="AK3409">
        <v>13.0824837910298</v>
      </c>
      <c r="AL3409">
        <v>68.924668271229294</v>
      </c>
      <c r="AM3409">
        <v>100.693714421263</v>
      </c>
      <c r="AN3409">
        <v>1.0000000039785699</v>
      </c>
    </row>
    <row r="3410" spans="1:40" x14ac:dyDescent="0.25">
      <c r="A3410" t="str">
        <f>"20190304164156163"</f>
        <v>20190304164156163</v>
      </c>
      <c r="B3410" t="str">
        <f>"1551688916154241"</f>
        <v>1551688916154241</v>
      </c>
      <c r="C3410" t="s">
        <v>40</v>
      </c>
      <c r="D3410">
        <v>4.1766489999999896</v>
      </c>
      <c r="E3410">
        <v>0.52445109999999995</v>
      </c>
      <c r="F3410" t="s">
        <v>46</v>
      </c>
      <c r="G3410">
        <v>-453.21559999999999</v>
      </c>
      <c r="H3410" s="1">
        <v>1.6473720000000001E-7</v>
      </c>
      <c r="I3410">
        <v>214.83750000000001</v>
      </c>
      <c r="J3410">
        <v>-466.23129999999998</v>
      </c>
      <c r="K3410">
        <v>1.112471</v>
      </c>
      <c r="L3410">
        <v>214.6559</v>
      </c>
      <c r="M3410">
        <v>0.99148890000000001</v>
      </c>
      <c r="N3410">
        <v>-4.9792159999999999E-3</v>
      </c>
      <c r="O3410">
        <v>-0.13009680000000001</v>
      </c>
      <c r="P3410">
        <v>0.93328540000000004</v>
      </c>
      <c r="Q3410">
        <v>0.3556338</v>
      </c>
      <c r="R3410">
        <v>5.0031510000000001E-2</v>
      </c>
      <c r="S3410">
        <v>3.3190919999999999</v>
      </c>
      <c r="T3410">
        <v>-0.27834829999999999</v>
      </c>
      <c r="U3410">
        <v>3.7857059999999998E-2</v>
      </c>
      <c r="V3410">
        <v>-0.1736675</v>
      </c>
      <c r="W3410">
        <v>0.35893829999999999</v>
      </c>
      <c r="X3410">
        <v>0.91706209999999999</v>
      </c>
      <c r="Y3410">
        <v>-0.1404734</v>
      </c>
      <c r="Z3410">
        <v>1.645172E-2</v>
      </c>
      <c r="AA3410">
        <v>0.98994769999999999</v>
      </c>
      <c r="AB3410">
        <v>29</v>
      </c>
      <c r="AC3410">
        <v>13.015699999999899</v>
      </c>
      <c r="AD3410">
        <v>-1.1124708352628001</v>
      </c>
      <c r="AE3410">
        <v>0.18160000000000301</v>
      </c>
      <c r="AF3410">
        <v>-1.85979448926782</v>
      </c>
      <c r="AG3410">
        <v>-1.1124708352628001</v>
      </c>
      <c r="AH3410">
        <v>12.788051571591501</v>
      </c>
      <c r="AI3410">
        <v>94.920311269893503</v>
      </c>
      <c r="AJ3410">
        <v>98.274639116976203</v>
      </c>
      <c r="AK3410">
        <v>12.9703774000337</v>
      </c>
      <c r="AL3410">
        <v>68.964992283708199</v>
      </c>
      <c r="AM3410">
        <v>100.723332494677</v>
      </c>
      <c r="AN3410">
        <v>0.99999999950977503</v>
      </c>
    </row>
    <row r="3411" spans="1:40" x14ac:dyDescent="0.25">
      <c r="A3411" t="str">
        <f>"20190304164156185"</f>
        <v>20190304164156185</v>
      </c>
      <c r="B3411" t="str">
        <f>"1551688916174737"</f>
        <v>1551688916174737</v>
      </c>
      <c r="C3411" t="s">
        <v>40</v>
      </c>
      <c r="D3411">
        <v>4.4169029999999996</v>
      </c>
      <c r="E3411">
        <v>0.52450469999999905</v>
      </c>
      <c r="F3411" t="s">
        <v>46</v>
      </c>
      <c r="G3411">
        <v>-453.04270000000002</v>
      </c>
      <c r="H3411" s="1">
        <v>7.2152659999999995E-8</v>
      </c>
      <c r="I3411">
        <v>214.8503</v>
      </c>
      <c r="J3411">
        <v>-465.93669999999997</v>
      </c>
      <c r="K3411">
        <v>1.1124879999999999</v>
      </c>
      <c r="L3411">
        <v>214.62129999999999</v>
      </c>
      <c r="M3411">
        <v>0.99199380000000004</v>
      </c>
      <c r="N3411">
        <v>-5.0155529999999999E-3</v>
      </c>
      <c r="O3411">
        <v>-0.1261873</v>
      </c>
      <c r="P3411">
        <v>0.93322590000000005</v>
      </c>
      <c r="Q3411">
        <v>0.35513979999999901</v>
      </c>
      <c r="R3411">
        <v>5.4455030000000001E-2</v>
      </c>
      <c r="S3411">
        <v>3.3185419999999999</v>
      </c>
      <c r="T3411">
        <v>-0.27992270000000002</v>
      </c>
      <c r="U3411">
        <v>4.8904419999999997E-2</v>
      </c>
      <c r="V3411">
        <v>-0.1744415</v>
      </c>
      <c r="W3411">
        <v>0.35846250000000002</v>
      </c>
      <c r="X3411">
        <v>0.91710130000000001</v>
      </c>
      <c r="Y3411">
        <v>-0.13987140000000001</v>
      </c>
      <c r="Z3411">
        <v>1.6212600000000001E-2</v>
      </c>
      <c r="AA3411">
        <v>0.9900369</v>
      </c>
      <c r="AB3411">
        <v>29</v>
      </c>
      <c r="AC3411">
        <v>12.893999999999901</v>
      </c>
      <c r="AD3411">
        <v>-1.1124879278473401</v>
      </c>
      <c r="AE3411">
        <v>0.229000000000013</v>
      </c>
      <c r="AF3411">
        <v>-1.8405518370901499</v>
      </c>
      <c r="AG3411">
        <v>-1.1124879278473401</v>
      </c>
      <c r="AH3411">
        <v>12.6677601063968</v>
      </c>
      <c r="AI3411">
        <v>94.966974334661003</v>
      </c>
      <c r="AJ3411">
        <v>98.266894815136993</v>
      </c>
      <c r="AK3411">
        <v>12.849023564763201</v>
      </c>
      <c r="AL3411">
        <v>68.994197076612807</v>
      </c>
      <c r="AM3411">
        <v>100.769559133813</v>
      </c>
      <c r="AN3411">
        <v>0.99999999764509495</v>
      </c>
    </row>
    <row r="3412" spans="1:40" x14ac:dyDescent="0.25">
      <c r="A3412" t="str">
        <f>"20190304164156206"</f>
        <v>20190304164156206</v>
      </c>
      <c r="B3412" t="str">
        <f>"1551688916194257"</f>
        <v>1551688916194257</v>
      </c>
      <c r="C3412" t="s">
        <v>40</v>
      </c>
      <c r="D3412">
        <v>4.1861329999999999</v>
      </c>
      <c r="E3412">
        <v>0.52458800000000005</v>
      </c>
      <c r="F3412" t="s">
        <v>46</v>
      </c>
      <c r="G3412">
        <v>-452.76499999999999</v>
      </c>
      <c r="H3412" s="1">
        <v>-7.6279679999999996E-8</v>
      </c>
      <c r="I3412">
        <v>214.86500000000001</v>
      </c>
      <c r="J3412">
        <v>-465.65300000000002</v>
      </c>
      <c r="K3412">
        <v>1.1125100000000001</v>
      </c>
      <c r="L3412">
        <v>214.589</v>
      </c>
      <c r="M3412">
        <v>0.99246500000000004</v>
      </c>
      <c r="N3412">
        <v>-5.0517790000000002E-3</v>
      </c>
      <c r="O3412">
        <v>-0.12242400000000001</v>
      </c>
      <c r="P3412">
        <v>0.93298639999999999</v>
      </c>
      <c r="Q3412">
        <v>0.35497980000000001</v>
      </c>
      <c r="R3412">
        <v>5.9380910000000002E-2</v>
      </c>
      <c r="S3412">
        <v>3.3176879999999902</v>
      </c>
      <c r="T3412">
        <v>-0.28021289999999999</v>
      </c>
      <c r="U3412">
        <v>6.1386110000000001E-2</v>
      </c>
      <c r="V3412">
        <v>-0.17583299999999999</v>
      </c>
      <c r="W3412">
        <v>0.35831469999999999</v>
      </c>
      <c r="X3412">
        <v>0.91689330000000002</v>
      </c>
      <c r="Y3412">
        <v>-0.13985339999999999</v>
      </c>
      <c r="Z3412">
        <v>1.5934730000000001E-2</v>
      </c>
      <c r="AA3412">
        <v>0.99004400000000004</v>
      </c>
      <c r="AB3412">
        <v>30</v>
      </c>
      <c r="AC3412">
        <v>12.888</v>
      </c>
      <c r="AD3412">
        <v>-1.11251007627968</v>
      </c>
      <c r="AE3412">
        <v>0.27599999999998198</v>
      </c>
      <c r="AF3412">
        <v>-1.83805477270838</v>
      </c>
      <c r="AG3412">
        <v>-1.11251007627968</v>
      </c>
      <c r="AH3412">
        <v>12.662949884932599</v>
      </c>
      <c r="AI3412">
        <v>94.969049955257205</v>
      </c>
      <c r="AJ3412">
        <v>98.258926731446806</v>
      </c>
      <c r="AK3412">
        <v>12.843925560575901</v>
      </c>
      <c r="AL3412">
        <v>69.003267908824299</v>
      </c>
      <c r="AM3412">
        <v>100.855837705859</v>
      </c>
      <c r="AN3412">
        <v>0.99999999585499</v>
      </c>
    </row>
    <row r="3413" spans="1:40" x14ac:dyDescent="0.25">
      <c r="A3413" t="str">
        <f>"20190304164156229"</f>
        <v>20190304164156229</v>
      </c>
      <c r="B3413" t="str">
        <f>"1551688916224514"</f>
        <v>1551688916224514</v>
      </c>
      <c r="C3413" t="s">
        <v>40</v>
      </c>
      <c r="D3413">
        <v>4.176965</v>
      </c>
      <c r="E3413">
        <v>0.524814</v>
      </c>
      <c r="F3413" t="s">
        <v>46</v>
      </c>
      <c r="G3413">
        <v>-452.40320000000003</v>
      </c>
      <c r="H3413" s="1">
        <v>-2.6989549999999998E-7</v>
      </c>
      <c r="I3413">
        <v>214.89009999999999</v>
      </c>
      <c r="J3413">
        <v>-465.35610000000003</v>
      </c>
      <c r="K3413">
        <v>1.1125350000000001</v>
      </c>
      <c r="L3413">
        <v>214.5564</v>
      </c>
      <c r="M3413">
        <v>0.9929422</v>
      </c>
      <c r="N3413">
        <v>-5.0908220000000001E-3</v>
      </c>
      <c r="O3413">
        <v>-0.11848939999999999</v>
      </c>
      <c r="P3413">
        <v>0.9326044</v>
      </c>
      <c r="Q3413">
        <v>0.35521219999999998</v>
      </c>
      <c r="R3413">
        <v>6.3825030000000005E-2</v>
      </c>
      <c r="S3413">
        <v>3.3166199999999999</v>
      </c>
      <c r="T3413">
        <v>-0.2784779</v>
      </c>
      <c r="U3413">
        <v>7.5363159999999998E-2</v>
      </c>
      <c r="V3413">
        <v>-0.17658019999999999</v>
      </c>
      <c r="W3413">
        <v>0.35856660000000001</v>
      </c>
      <c r="X3413">
        <v>0.9166512</v>
      </c>
      <c r="Y3413">
        <v>-0.140127799999999</v>
      </c>
      <c r="Z3413">
        <v>1.554207E-2</v>
      </c>
      <c r="AA3413">
        <v>0.99001150000000004</v>
      </c>
      <c r="AB3413">
        <v>30</v>
      </c>
      <c r="AC3413">
        <v>12.9529</v>
      </c>
      <c r="AD3413">
        <v>-1.1125352698955</v>
      </c>
      <c r="AE3413">
        <v>0.333699999999993</v>
      </c>
      <c r="AF3413">
        <v>-1.8524932562065599</v>
      </c>
      <c r="AG3413">
        <v>-1.1125352698955</v>
      </c>
      <c r="AH3413">
        <v>12.728270964912699</v>
      </c>
      <c r="AI3413">
        <v>94.943514362731307</v>
      </c>
      <c r="AJ3413">
        <v>98.280778758267303</v>
      </c>
      <c r="AK3413">
        <v>12.9103968857388</v>
      </c>
      <c r="AL3413">
        <v>68.9878078663032</v>
      </c>
      <c r="AM3413">
        <v>100.903676558925</v>
      </c>
      <c r="AN3413">
        <v>0.99999999806452</v>
      </c>
    </row>
    <row r="3414" spans="1:40" x14ac:dyDescent="0.25">
      <c r="A3414" t="str">
        <f>"20190304164156243"</f>
        <v>20190304164156243</v>
      </c>
      <c r="B3414" t="str">
        <f>"1551688916234273"</f>
        <v>1551688916234273</v>
      </c>
      <c r="C3414" t="s">
        <v>40</v>
      </c>
      <c r="D3414">
        <v>4.1913629999999999</v>
      </c>
      <c r="E3414">
        <v>0.52494379999999996</v>
      </c>
      <c r="F3414" t="s">
        <v>46</v>
      </c>
      <c r="G3414">
        <v>-452.08229999999998</v>
      </c>
      <c r="H3414" s="1">
        <v>-4.414077E-7</v>
      </c>
      <c r="I3414">
        <v>214.9067</v>
      </c>
      <c r="J3414">
        <v>-465.16579999999999</v>
      </c>
      <c r="K3414">
        <v>1.112552</v>
      </c>
      <c r="L3414">
        <v>214.536</v>
      </c>
      <c r="M3414">
        <v>0.9932396</v>
      </c>
      <c r="N3414">
        <v>-5.1162619999999999E-3</v>
      </c>
      <c r="O3414">
        <v>-0.1159693</v>
      </c>
      <c r="P3414">
        <v>0.93250180000000005</v>
      </c>
      <c r="Q3414">
        <v>0.35502309999999998</v>
      </c>
      <c r="R3414">
        <v>6.6325480000000006E-2</v>
      </c>
      <c r="S3414">
        <v>3.3167110000000002</v>
      </c>
      <c r="T3414">
        <v>-0.27798719999999999</v>
      </c>
      <c r="U3414">
        <v>8.753967E-2</v>
      </c>
      <c r="V3414">
        <v>-0.17673269999999999</v>
      </c>
      <c r="W3414">
        <v>0.35839339999999997</v>
      </c>
      <c r="X3414">
        <v>0.91668950000000005</v>
      </c>
      <c r="Y3414">
        <v>-0.14125409999999999</v>
      </c>
      <c r="Z3414">
        <v>1.536564E-2</v>
      </c>
      <c r="AA3414">
        <v>0.98985409999999996</v>
      </c>
      <c r="AB3414">
        <v>30</v>
      </c>
      <c r="AC3414">
        <v>13.083500000000001</v>
      </c>
      <c r="AD3414">
        <v>-1.1125524414076999</v>
      </c>
      <c r="AE3414">
        <v>0.37070000000002701</v>
      </c>
      <c r="AF3414">
        <v>-1.8719777246515601</v>
      </c>
      <c r="AG3414">
        <v>-1.1125524414076999</v>
      </c>
      <c r="AH3414">
        <v>12.859320249143099</v>
      </c>
      <c r="AI3414">
        <v>94.893433857973505</v>
      </c>
      <c r="AJ3414">
        <v>98.282573503918002</v>
      </c>
      <c r="AK3414">
        <v>13.042399733426899</v>
      </c>
      <c r="AL3414">
        <v>68.998437118537396</v>
      </c>
      <c r="AM3414">
        <v>100.912422301269</v>
      </c>
      <c r="AN3414">
        <v>0.99999995791154905</v>
      </c>
    </row>
    <row r="3415" spans="1:40" x14ac:dyDescent="0.25">
      <c r="A3415" t="str">
        <f>"20190304164156263"</f>
        <v>20190304164156263</v>
      </c>
      <c r="B3415" t="str">
        <f>"1551688916254770"</f>
        <v>1551688916254770</v>
      </c>
      <c r="C3415" t="s">
        <v>40</v>
      </c>
      <c r="D3415">
        <v>4.1673749999999998</v>
      </c>
      <c r="E3415">
        <v>0.52517469999999999</v>
      </c>
      <c r="F3415" t="s">
        <v>46</v>
      </c>
      <c r="G3415">
        <v>-451.91919999999999</v>
      </c>
      <c r="H3415" s="1">
        <v>-5.284256E-7</v>
      </c>
      <c r="I3415">
        <v>214.9127</v>
      </c>
      <c r="J3415">
        <v>-464.90300000000002</v>
      </c>
      <c r="K3415">
        <v>1.112573</v>
      </c>
      <c r="L3415">
        <v>214.5087</v>
      </c>
      <c r="M3415">
        <v>0.99363959999999996</v>
      </c>
      <c r="N3415">
        <v>-5.1521630000000004E-3</v>
      </c>
      <c r="O3415">
        <v>-0.1124908</v>
      </c>
      <c r="P3415">
        <v>0.93206089999999997</v>
      </c>
      <c r="Q3415">
        <v>0.355454299999999</v>
      </c>
      <c r="R3415">
        <v>7.0107370000000002E-2</v>
      </c>
      <c r="S3415">
        <v>3.3164669999999998</v>
      </c>
      <c r="T3415">
        <v>-0.27854279999999998</v>
      </c>
      <c r="U3415">
        <v>9.4314579999999995E-2</v>
      </c>
      <c r="V3415">
        <v>-0.17724389999999901</v>
      </c>
      <c r="W3415">
        <v>0.35884440000000001</v>
      </c>
      <c r="X3415">
        <v>0.91641439999999996</v>
      </c>
      <c r="Y3415">
        <v>-0.1398229</v>
      </c>
      <c r="Z3415">
        <v>1.506004E-2</v>
      </c>
      <c r="AA3415">
        <v>0.990062</v>
      </c>
      <c r="AB3415">
        <v>30</v>
      </c>
      <c r="AC3415">
        <v>12.9838</v>
      </c>
      <c r="AD3415">
        <v>-1.1125735284256</v>
      </c>
      <c r="AE3415">
        <v>0.40399999999999597</v>
      </c>
      <c r="AF3415">
        <v>-1.84845335887705</v>
      </c>
      <c r="AG3415">
        <v>-1.1125735284256</v>
      </c>
      <c r="AH3415">
        <v>12.7623209182554</v>
      </c>
      <c r="AI3415">
        <v>94.931050599829007</v>
      </c>
      <c r="AJ3415">
        <v>98.241227296648802</v>
      </c>
      <c r="AK3415">
        <v>12.943393484578801</v>
      </c>
      <c r="AL3415">
        <v>68.970756992089505</v>
      </c>
      <c r="AM3415">
        <v>100.946431257101</v>
      </c>
      <c r="AN3415">
        <v>1.00000002801296</v>
      </c>
    </row>
    <row r="3416" spans="1:40" x14ac:dyDescent="0.25">
      <c r="A3416" t="str">
        <f>"20190304164156287"</f>
        <v>20190304164156287</v>
      </c>
      <c r="B3416" t="str">
        <f>"1551688916274289"</f>
        <v>1551688916274289</v>
      </c>
      <c r="C3416" t="s">
        <v>40</v>
      </c>
      <c r="D3416">
        <v>4.1966489999999999</v>
      </c>
      <c r="E3416">
        <v>0.52543619999999902</v>
      </c>
      <c r="F3416" t="s">
        <v>46</v>
      </c>
      <c r="G3416">
        <v>-451.58210000000003</v>
      </c>
      <c r="H3416" s="1">
        <v>-7.0846359999999996E-7</v>
      </c>
      <c r="I3416">
        <v>214.92750000000001</v>
      </c>
      <c r="J3416">
        <v>-464.5976</v>
      </c>
      <c r="K3416">
        <v>1.1126020000000001</v>
      </c>
      <c r="L3416">
        <v>214.47829999999999</v>
      </c>
      <c r="M3416">
        <v>0.99408719999999995</v>
      </c>
      <c r="N3416">
        <v>-5.1942809999999898E-3</v>
      </c>
      <c r="O3416">
        <v>-0.10846119999999999</v>
      </c>
      <c r="P3416">
        <v>0.93159610000000004</v>
      </c>
      <c r="Q3416">
        <v>0.3558943</v>
      </c>
      <c r="R3416">
        <v>7.3948100000000003E-2</v>
      </c>
      <c r="S3416">
        <v>3.3164669999999998</v>
      </c>
      <c r="T3416">
        <v>-0.2769953</v>
      </c>
      <c r="U3416">
        <v>0.1042633</v>
      </c>
      <c r="V3416">
        <v>-0.17730799999999999</v>
      </c>
      <c r="W3416">
        <v>0.35931299999999999</v>
      </c>
      <c r="X3416">
        <v>0.91621830000000004</v>
      </c>
      <c r="Y3416">
        <v>-0.13880200000000001</v>
      </c>
      <c r="Z3416">
        <v>1.461458E-2</v>
      </c>
      <c r="AA3416">
        <v>0.99021230000000005</v>
      </c>
      <c r="AB3416">
        <v>30</v>
      </c>
      <c r="AC3416">
        <v>13.0154999999999</v>
      </c>
      <c r="AD3416">
        <v>-1.1126027084636001</v>
      </c>
      <c r="AE3416">
        <v>0.44920000000001797</v>
      </c>
      <c r="AF3416">
        <v>-1.8447812447987399</v>
      </c>
      <c r="AG3416">
        <v>-1.1126027084636001</v>
      </c>
      <c r="AH3416">
        <v>12.7965962932275</v>
      </c>
      <c r="AI3416">
        <v>94.918503642421996</v>
      </c>
      <c r="AJ3416">
        <v>98.203349158005395</v>
      </c>
      <c r="AK3416">
        <v>12.976670579154099</v>
      </c>
      <c r="AL3416">
        <v>68.941988248763593</v>
      </c>
      <c r="AM3416">
        <v>100.952581376399</v>
      </c>
      <c r="AN3416">
        <v>0.99999996604394403</v>
      </c>
    </row>
    <row r="3417" spans="1:40" x14ac:dyDescent="0.25">
      <c r="A3417" t="str">
        <f>"20190304164156310"</f>
        <v>20190304164156310</v>
      </c>
      <c r="B3417" t="str">
        <f>"1551688916304732"</f>
        <v>1551688916304732</v>
      </c>
      <c r="C3417" t="s">
        <v>40</v>
      </c>
      <c r="D3417">
        <v>4.1798419999999998</v>
      </c>
      <c r="E3417">
        <v>0.52587069999999903</v>
      </c>
      <c r="F3417" t="s">
        <v>46</v>
      </c>
      <c r="G3417">
        <v>-451.21850000000001</v>
      </c>
      <c r="H3417" s="1">
        <v>-9.023173E-7</v>
      </c>
      <c r="I3417">
        <v>214.93539999999999</v>
      </c>
      <c r="J3417">
        <v>-464.2801</v>
      </c>
      <c r="K3417">
        <v>1.1126259999999999</v>
      </c>
      <c r="L3417">
        <v>214.4479</v>
      </c>
      <c r="M3417">
        <v>0.99453340000000001</v>
      </c>
      <c r="N3417">
        <v>-5.2384659999999998E-3</v>
      </c>
      <c r="O3417">
        <v>-0.1042868</v>
      </c>
      <c r="P3417">
        <v>0.93131430000000004</v>
      </c>
      <c r="Q3417">
        <v>0.35580200000000001</v>
      </c>
      <c r="R3417">
        <v>7.7838080000000004E-2</v>
      </c>
      <c r="S3417">
        <v>3.3166500000000001</v>
      </c>
      <c r="T3417">
        <v>-0.27581119999999998</v>
      </c>
      <c r="U3417">
        <v>0.113327</v>
      </c>
      <c r="V3417">
        <v>-0.17730580000000001</v>
      </c>
      <c r="W3417">
        <v>0.35925430000000003</v>
      </c>
      <c r="X3417">
        <v>0.9162418</v>
      </c>
      <c r="Y3417">
        <v>-0.13737149999999901</v>
      </c>
      <c r="Z3417">
        <v>1.416218E-2</v>
      </c>
      <c r="AA3417">
        <v>0.99041840000000003</v>
      </c>
      <c r="AB3417">
        <v>30</v>
      </c>
      <c r="AC3417">
        <v>13.0616</v>
      </c>
      <c r="AD3417">
        <v>-1.1126269023172899</v>
      </c>
      <c r="AE3417">
        <v>0.487499999999983</v>
      </c>
      <c r="AF3417">
        <v>-1.8337256871736001</v>
      </c>
      <c r="AG3417">
        <v>-1.1126269023172899</v>
      </c>
      <c r="AH3417">
        <v>12.846449958341999</v>
      </c>
      <c r="AI3417">
        <v>94.900588651924707</v>
      </c>
      <c r="AJ3417">
        <v>98.123627059907804</v>
      </c>
      <c r="AK3417">
        <v>13.024275989541501</v>
      </c>
      <c r="AL3417">
        <v>68.945593282602502</v>
      </c>
      <c r="AM3417">
        <v>100.95217464741199</v>
      </c>
      <c r="AN3417">
        <v>1.0000000174246799</v>
      </c>
    </row>
    <row r="3418" spans="1:40" x14ac:dyDescent="0.25">
      <c r="A3418" t="str">
        <f>"20190304164156332"</f>
        <v>20190304164156332</v>
      </c>
      <c r="B3418" t="str">
        <f>"1551688916324252"</f>
        <v>1551688916324252</v>
      </c>
      <c r="C3418" t="s">
        <v>40</v>
      </c>
      <c r="D3418">
        <v>4.1611269999999996</v>
      </c>
      <c r="E3418">
        <v>0.52617720000000001</v>
      </c>
      <c r="F3418" t="s">
        <v>46</v>
      </c>
      <c r="G3418">
        <v>-450.9425</v>
      </c>
      <c r="H3418" s="1">
        <v>-1.0492029999999999E-6</v>
      </c>
      <c r="I3418">
        <v>214.9359</v>
      </c>
      <c r="J3418">
        <v>-463.99439999999998</v>
      </c>
      <c r="K3418">
        <v>1.112636</v>
      </c>
      <c r="L3418">
        <v>214.42160000000001</v>
      </c>
      <c r="M3418">
        <v>0.99491819999999997</v>
      </c>
      <c r="N3418">
        <v>-5.2783930000000001E-3</v>
      </c>
      <c r="O3418">
        <v>-0.10055020000000001</v>
      </c>
      <c r="P3418">
        <v>0.93125309999999994</v>
      </c>
      <c r="Q3418">
        <v>0.35543390000000002</v>
      </c>
      <c r="R3418">
        <v>8.0216800000000005E-2</v>
      </c>
      <c r="S3418">
        <v>3.3168030000000002</v>
      </c>
      <c r="T3418">
        <v>-0.2766885</v>
      </c>
      <c r="U3418">
        <v>0.1213684</v>
      </c>
      <c r="V3418">
        <v>-0.17622260000000001</v>
      </c>
      <c r="W3418">
        <v>0.35892849999999998</v>
      </c>
      <c r="X3418">
        <v>0.91657840000000002</v>
      </c>
      <c r="Y3418">
        <v>-0.1360587</v>
      </c>
      <c r="Z3418">
        <v>1.3856810000000001E-2</v>
      </c>
      <c r="AA3418">
        <v>0.99060389999999998</v>
      </c>
      <c r="AB3418">
        <v>30</v>
      </c>
      <c r="AC3418">
        <v>13.0518999999999</v>
      </c>
      <c r="AD3418">
        <v>-1.112637049203</v>
      </c>
      <c r="AE3418">
        <v>0.51429999999999099</v>
      </c>
      <c r="AF3418">
        <v>-1.81094275333556</v>
      </c>
      <c r="AG3418">
        <v>-1.112637049203</v>
      </c>
      <c r="AH3418">
        <v>12.8408664391453</v>
      </c>
      <c r="AI3418">
        <v>94.903915644227297</v>
      </c>
      <c r="AJ3418">
        <v>98.027462088483901</v>
      </c>
      <c r="AK3418">
        <v>13.0155801164253</v>
      </c>
      <c r="AL3418">
        <v>68.965594279868398</v>
      </c>
      <c r="AM3418">
        <v>100.882966473921</v>
      </c>
      <c r="AN3418">
        <v>1.0000000181047799</v>
      </c>
    </row>
    <row r="3419" spans="1:40" x14ac:dyDescent="0.25">
      <c r="A3419" t="str">
        <f>"20190304164156355"</f>
        <v>20190304164156355</v>
      </c>
      <c r="B3419" t="str">
        <f>"1551688916344280"</f>
        <v>1551688916344280</v>
      </c>
      <c r="C3419" t="s">
        <v>40</v>
      </c>
      <c r="D3419">
        <v>4.1718129999999896</v>
      </c>
      <c r="E3419">
        <v>0.52647639999999996</v>
      </c>
      <c r="F3419" t="s">
        <v>46</v>
      </c>
      <c r="G3419">
        <v>-450.74959999999999</v>
      </c>
      <c r="H3419" s="1">
        <v>-1.151413E-6</v>
      </c>
      <c r="I3419">
        <v>214.92519999999999</v>
      </c>
      <c r="J3419">
        <v>-463.67750000000001</v>
      </c>
      <c r="K3419">
        <v>1.112641</v>
      </c>
      <c r="L3419">
        <v>214.3937</v>
      </c>
      <c r="M3419">
        <v>0.99532489999999996</v>
      </c>
      <c r="N3419">
        <v>-5.3227159999999999E-3</v>
      </c>
      <c r="O3419">
        <v>-9.6436759999999996E-2</v>
      </c>
      <c r="P3419">
        <v>0.93111569999999999</v>
      </c>
      <c r="Q3419">
        <v>0.35528559999999998</v>
      </c>
      <c r="R3419">
        <v>8.2435960000000003E-2</v>
      </c>
      <c r="S3419">
        <v>3.3169249999999999</v>
      </c>
      <c r="T3419">
        <v>-0.27863979999999999</v>
      </c>
      <c r="U3419">
        <v>0.1261139</v>
      </c>
      <c r="V3419">
        <v>-0.17462349999999999</v>
      </c>
      <c r="W3419">
        <v>0.35883330000000002</v>
      </c>
      <c r="X3419">
        <v>0.91692169999999895</v>
      </c>
      <c r="Y3419">
        <v>-0.1333888</v>
      </c>
      <c r="Z3419">
        <v>1.351229E-2</v>
      </c>
      <c r="AA3419">
        <v>0.99097170000000001</v>
      </c>
      <c r="AB3419">
        <v>30</v>
      </c>
      <c r="AC3419">
        <v>12.927899999999999</v>
      </c>
      <c r="AD3419">
        <v>-1.1126421514129901</v>
      </c>
      <c r="AE3419">
        <v>0.53149999999999398</v>
      </c>
      <c r="AF3419">
        <v>-1.76273020418431</v>
      </c>
      <c r="AG3419">
        <v>-1.1126421514129901</v>
      </c>
      <c r="AH3419">
        <v>12.722308078664</v>
      </c>
      <c r="AI3419">
        <v>94.951083315058099</v>
      </c>
      <c r="AJ3419">
        <v>97.8883528543805</v>
      </c>
      <c r="AK3419">
        <v>12.891947609972799</v>
      </c>
      <c r="AL3419">
        <v>68.971438925259406</v>
      </c>
      <c r="AM3419">
        <v>100.782594257157</v>
      </c>
      <c r="AN3419">
        <v>1.0000000539360101</v>
      </c>
    </row>
    <row r="3420" spans="1:40" x14ac:dyDescent="0.25">
      <c r="A3420" t="str">
        <f>"20190304164156386"</f>
        <v>20190304164156386</v>
      </c>
      <c r="B3420" t="str">
        <f>"1551688916374536"</f>
        <v>1551688916374536</v>
      </c>
      <c r="C3420" t="s">
        <v>40</v>
      </c>
      <c r="D3420">
        <v>4.1237029999999999</v>
      </c>
      <c r="E3420">
        <v>0.52678760000000002</v>
      </c>
      <c r="F3420" t="s">
        <v>46</v>
      </c>
      <c r="G3420">
        <v>-450.47300000000001</v>
      </c>
      <c r="H3420" s="1">
        <v>-1.2978559999999999E-6</v>
      </c>
      <c r="I3420">
        <v>214.90860000000001</v>
      </c>
      <c r="J3420">
        <v>-463.26159999999999</v>
      </c>
      <c r="K3420">
        <v>1.11263</v>
      </c>
      <c r="L3420">
        <v>214.35890000000001</v>
      </c>
      <c r="M3420">
        <v>0.99582660000000001</v>
      </c>
      <c r="N3420">
        <v>-5.3804400000000002E-3</v>
      </c>
      <c r="O3420">
        <v>-9.110878E-2</v>
      </c>
      <c r="P3420">
        <v>0.93095649999999996</v>
      </c>
      <c r="Q3420">
        <v>0.35504439999999998</v>
      </c>
      <c r="R3420">
        <v>8.5228159999999997E-2</v>
      </c>
      <c r="S3420">
        <v>3.3171689999999998</v>
      </c>
      <c r="T3420">
        <v>-0.27951290000000001</v>
      </c>
      <c r="U3420">
        <v>0.12934880000000001</v>
      </c>
      <c r="V3420">
        <v>-0.17246129999999901</v>
      </c>
      <c r="W3420">
        <v>0.35866759999999998</v>
      </c>
      <c r="X3420">
        <v>0.91739559999999998</v>
      </c>
      <c r="Y3420">
        <v>-0.12907449999999901</v>
      </c>
      <c r="Z3420">
        <v>1.294089E-2</v>
      </c>
      <c r="AA3420">
        <v>0.99155040000000005</v>
      </c>
      <c r="AB3420">
        <v>30</v>
      </c>
      <c r="AC3420">
        <v>12.788599999999899</v>
      </c>
      <c r="AD3420">
        <v>-1.112631297856</v>
      </c>
      <c r="AE3420">
        <v>0.54970000000000097</v>
      </c>
      <c r="AF3420">
        <v>-1.6997419389975601</v>
      </c>
      <c r="AG3420">
        <v>-1.112631297856</v>
      </c>
      <c r="AH3420">
        <v>12.590203333566601</v>
      </c>
      <c r="AI3420">
        <v>95.005094957878498</v>
      </c>
      <c r="AJ3420">
        <v>97.688735994639799</v>
      </c>
      <c r="AK3420">
        <v>12.7530502643371</v>
      </c>
      <c r="AL3420">
        <v>68.981609069051302</v>
      </c>
      <c r="AM3420">
        <v>100.64678041292601</v>
      </c>
      <c r="AN3420">
        <v>1.0000000170934</v>
      </c>
    </row>
    <row r="3421" spans="1:40" x14ac:dyDescent="0.25">
      <c r="A3421" t="str">
        <f>"20190304164156408"</f>
        <v>20190304164156408</v>
      </c>
      <c r="B3421" t="str">
        <f>"1551688916404791"</f>
        <v>1551688916404791</v>
      </c>
      <c r="C3421" t="s">
        <v>40</v>
      </c>
      <c r="D3421">
        <v>4.111135</v>
      </c>
      <c r="E3421">
        <v>0.52696049999999905</v>
      </c>
      <c r="F3421" t="s">
        <v>46</v>
      </c>
      <c r="G3421">
        <v>-450.05439999999999</v>
      </c>
      <c r="H3421" s="1">
        <v>-1.5201080000000001E-6</v>
      </c>
      <c r="I3421">
        <v>214.89750000000001</v>
      </c>
      <c r="J3421">
        <v>-462.94389999999999</v>
      </c>
      <c r="K3421">
        <v>1.112601</v>
      </c>
      <c r="L3421">
        <v>214.3338</v>
      </c>
      <c r="M3421">
        <v>0.99618419999999996</v>
      </c>
      <c r="N3421">
        <v>-5.4241719999999997E-3</v>
      </c>
      <c r="O3421">
        <v>-8.7107610000000002E-2</v>
      </c>
      <c r="P3421">
        <v>0.93103860000000005</v>
      </c>
      <c r="Q3421">
        <v>0.3542554</v>
      </c>
      <c r="R3421">
        <v>8.7581339999999994E-2</v>
      </c>
      <c r="S3421">
        <v>3.3166500000000001</v>
      </c>
      <c r="T3421">
        <v>-0.279410099999999</v>
      </c>
      <c r="U3421">
        <v>0.13526920000000001</v>
      </c>
      <c r="V3421">
        <v>-0.1710989</v>
      </c>
      <c r="W3421">
        <v>0.3579389</v>
      </c>
      <c r="X3421">
        <v>0.9179351</v>
      </c>
      <c r="Y3421">
        <v>-0.126885199999999</v>
      </c>
      <c r="Z3421">
        <v>1.2524820000000001E-2</v>
      </c>
      <c r="AA3421">
        <v>0.99183829999999995</v>
      </c>
      <c r="AB3421">
        <v>31</v>
      </c>
      <c r="AC3421">
        <v>12.8894999999999</v>
      </c>
      <c r="AD3421">
        <v>-1.1126025201080001</v>
      </c>
      <c r="AE3421">
        <v>0.56370000000001097</v>
      </c>
      <c r="AF3421">
        <v>-1.67191379245895</v>
      </c>
      <c r="AG3421">
        <v>-1.1126025201080001</v>
      </c>
      <c r="AH3421">
        <v>12.6969779611132</v>
      </c>
      <c r="AI3421">
        <v>94.965241218950297</v>
      </c>
      <c r="AJ3421">
        <v>97.501441287210696</v>
      </c>
      <c r="AK3421">
        <v>12.854821252828</v>
      </c>
      <c r="AL3421">
        <v>69.026328658811906</v>
      </c>
      <c r="AM3421">
        <v>100.558504779223</v>
      </c>
      <c r="AN3421">
        <v>0.99999996876321395</v>
      </c>
    </row>
    <row r="3422" spans="1:40" x14ac:dyDescent="0.25">
      <c r="A3422" t="str">
        <f>"20190304164156431"</f>
        <v>20190304164156431</v>
      </c>
      <c r="B3422" t="str">
        <f>"1551688916424312"</f>
        <v>1551688916424312</v>
      </c>
      <c r="C3422" t="s">
        <v>40</v>
      </c>
      <c r="D3422">
        <v>4.0926450000000001</v>
      </c>
      <c r="E3422">
        <v>0.52705819999999903</v>
      </c>
      <c r="F3422" t="s">
        <v>46</v>
      </c>
      <c r="G3422">
        <v>-449.77050000000003</v>
      </c>
      <c r="H3422" s="1">
        <v>3.6503250000000001E-6</v>
      </c>
      <c r="I3422">
        <v>214.89660000000001</v>
      </c>
      <c r="J3422">
        <v>-462.63189999999997</v>
      </c>
      <c r="K3422">
        <v>1.1125799999999999</v>
      </c>
      <c r="L3422">
        <v>214.31039999999999</v>
      </c>
      <c r="M3422">
        <v>0.99651529999999999</v>
      </c>
      <c r="N3422">
        <v>-5.4673059999999999E-3</v>
      </c>
      <c r="O3422">
        <v>-8.3231360000000004E-2</v>
      </c>
      <c r="P3422">
        <v>0.93121419999999999</v>
      </c>
      <c r="Q3422">
        <v>0.35314610000000002</v>
      </c>
      <c r="R3422">
        <v>9.0155760000000001E-2</v>
      </c>
      <c r="S3422">
        <v>3.3154599999999999</v>
      </c>
      <c r="T3422">
        <v>-0.28001549999999997</v>
      </c>
      <c r="U3422">
        <v>0.14163210000000001</v>
      </c>
      <c r="V3422">
        <v>-0.17007520000000001</v>
      </c>
      <c r="W3422">
        <v>0.35688789999999998</v>
      </c>
      <c r="X3422">
        <v>0.91853439999999997</v>
      </c>
      <c r="Y3422">
        <v>-0.1249567</v>
      </c>
      <c r="Z3422">
        <v>1.216395E-2</v>
      </c>
      <c r="AA3422">
        <v>0.99208759999999996</v>
      </c>
      <c r="AB3422">
        <v>31</v>
      </c>
      <c r="AC3422">
        <v>12.8613999999999</v>
      </c>
      <c r="AD3422">
        <v>-1.1125763496750001</v>
      </c>
      <c r="AE3422">
        <v>0.58620000000001904</v>
      </c>
      <c r="AF3422">
        <v>-1.6423890066592199</v>
      </c>
      <c r="AG3422">
        <v>-1.1125763496750001</v>
      </c>
      <c r="AH3422">
        <v>12.6733422486921</v>
      </c>
      <c r="AI3422">
        <v>94.975663596127902</v>
      </c>
      <c r="AJ3422">
        <v>97.384034968265297</v>
      </c>
      <c r="AK3422">
        <v>12.8276604077101</v>
      </c>
      <c r="AL3422">
        <v>69.090806045393904</v>
      </c>
      <c r="AM3422">
        <v>100.490043880996</v>
      </c>
      <c r="AN3422">
        <v>0.99999999540240503</v>
      </c>
    </row>
    <row r="3423" spans="1:40" x14ac:dyDescent="0.25">
      <c r="A3423" t="str">
        <f>"20190304164156452"</f>
        <v>20190304164156452</v>
      </c>
      <c r="B3423" t="str">
        <f>"1551688916444808"</f>
        <v>1551688916444808</v>
      </c>
      <c r="C3423" t="s">
        <v>40</v>
      </c>
      <c r="D3423">
        <v>4.0886630000000004</v>
      </c>
      <c r="E3423">
        <v>0.5272017</v>
      </c>
      <c r="F3423" t="s">
        <v>46</v>
      </c>
      <c r="G3423">
        <v>-449.56950000000001</v>
      </c>
      <c r="H3423" s="1">
        <v>3.5432170000000001E-6</v>
      </c>
      <c r="I3423">
        <v>214.89949999999999</v>
      </c>
      <c r="J3423">
        <v>-462.33049999999997</v>
      </c>
      <c r="K3423">
        <v>1.1125620000000001</v>
      </c>
      <c r="L3423">
        <v>214.28880000000001</v>
      </c>
      <c r="M3423">
        <v>0.99681569999999997</v>
      </c>
      <c r="N3423">
        <v>-5.507596E-3</v>
      </c>
      <c r="O3423">
        <v>-7.9551209999999997E-2</v>
      </c>
      <c r="P3423">
        <v>0.931199</v>
      </c>
      <c r="Q3423">
        <v>0.35271529999999901</v>
      </c>
      <c r="R3423">
        <v>9.1981690000000005E-2</v>
      </c>
      <c r="S3423">
        <v>3.3141479999999999</v>
      </c>
      <c r="T3423">
        <v>-0.2822788</v>
      </c>
      <c r="U3423">
        <v>0.1494751</v>
      </c>
      <c r="V3423">
        <v>-0.1684715</v>
      </c>
      <c r="W3423">
        <v>0.35651769999999999</v>
      </c>
      <c r="X3423">
        <v>0.91897359999999995</v>
      </c>
      <c r="Y3423">
        <v>-0.1236577</v>
      </c>
      <c r="Z3423">
        <v>1.1915729999999999E-2</v>
      </c>
      <c r="AA3423">
        <v>0.99225339999999995</v>
      </c>
      <c r="AB3423">
        <v>31</v>
      </c>
      <c r="AC3423">
        <v>12.7609999999999</v>
      </c>
      <c r="AD3423">
        <v>-1.112558456783</v>
      </c>
      <c r="AE3423">
        <v>0.61069999999997904</v>
      </c>
      <c r="AF3423">
        <v>-1.6117099808420301</v>
      </c>
      <c r="AG3423">
        <v>-1.112558456783</v>
      </c>
      <c r="AH3423">
        <v>12.5765962331848</v>
      </c>
      <c r="AI3423">
        <v>95.014576724476498</v>
      </c>
      <c r="AJ3423">
        <v>97.302737913943702</v>
      </c>
      <c r="AK3423">
        <v>12.728164368622201</v>
      </c>
      <c r="AL3423">
        <v>69.113510526279001</v>
      </c>
      <c r="AM3423">
        <v>100.388435975969</v>
      </c>
      <c r="AN3423">
        <v>0.99999999711124898</v>
      </c>
    </row>
    <row r="3424" spans="1:40" x14ac:dyDescent="0.25">
      <c r="A3424" t="str">
        <f>"20190304164156476"</f>
        <v>20190304164156476</v>
      </c>
      <c r="B3424" t="str">
        <f>"1551688916464328"</f>
        <v>1551688916464328</v>
      </c>
      <c r="C3424" t="s">
        <v>40</v>
      </c>
      <c r="D3424">
        <v>4.0753110000000001</v>
      </c>
      <c r="E3424">
        <v>0.53274750000000004</v>
      </c>
      <c r="F3424" t="s">
        <v>46</v>
      </c>
      <c r="G3424">
        <v>-449.28739999999999</v>
      </c>
      <c r="H3424" s="1">
        <v>3.3931390000000002E-6</v>
      </c>
      <c r="I3424">
        <v>214.89949999999999</v>
      </c>
      <c r="J3424">
        <v>-462.0206</v>
      </c>
      <c r="K3424">
        <v>1.112528</v>
      </c>
      <c r="L3424">
        <v>214.26769999999999</v>
      </c>
      <c r="M3424">
        <v>0.99710430000000005</v>
      </c>
      <c r="N3424">
        <v>-5.5455529999999999E-3</v>
      </c>
      <c r="O3424">
        <v>-7.5842320000000005E-2</v>
      </c>
      <c r="P3424">
        <v>0.93110899999999996</v>
      </c>
      <c r="Q3424">
        <v>0.35251840000000001</v>
      </c>
      <c r="R3424">
        <v>9.3632759999999995E-2</v>
      </c>
      <c r="S3424">
        <v>3.3133539999999999</v>
      </c>
      <c r="T3424">
        <v>-0.2826244</v>
      </c>
      <c r="U3424">
        <v>0.1551361</v>
      </c>
      <c r="V3424">
        <v>-0.16665650000000001</v>
      </c>
      <c r="W3424">
        <v>0.35638360000000002</v>
      </c>
      <c r="X3424">
        <v>0.91935650000000002</v>
      </c>
      <c r="Y3424">
        <v>-0.1216858</v>
      </c>
      <c r="Z3424">
        <v>1.1548259999999999E-2</v>
      </c>
      <c r="AA3424">
        <v>0.99250150000000004</v>
      </c>
      <c r="AB3424">
        <v>31</v>
      </c>
      <c r="AC3424">
        <v>12.7332</v>
      </c>
      <c r="AD3424">
        <v>-1.112524606861</v>
      </c>
      <c r="AE3424">
        <v>0.63179999999999803</v>
      </c>
      <c r="AF3424">
        <v>-1.58365094822817</v>
      </c>
      <c r="AG3424">
        <v>-1.112524606861</v>
      </c>
      <c r="AH3424">
        <v>12.5530144857866</v>
      </c>
      <c r="AI3424">
        <v>95.025044276281506</v>
      </c>
      <c r="AJ3424">
        <v>97.190279726075204</v>
      </c>
      <c r="AK3424">
        <v>12.701331977673201</v>
      </c>
      <c r="AL3424">
        <v>69.121734488607004</v>
      </c>
      <c r="AM3424">
        <v>100.274726549075</v>
      </c>
      <c r="AN3424">
        <v>1.00000001671673</v>
      </c>
    </row>
    <row r="3425" spans="1:40" x14ac:dyDescent="0.25">
      <c r="A3425" t="str">
        <f>"20190304164156498"</f>
        <v>20190304164156498</v>
      </c>
      <c r="B3425" t="str">
        <f>"1551688916494584"</f>
        <v>1551688916494584</v>
      </c>
      <c r="C3425" t="s">
        <v>40</v>
      </c>
      <c r="D3425">
        <v>4.0488479999999996</v>
      </c>
      <c r="E3425">
        <v>0.53267900000000001</v>
      </c>
      <c r="F3425" t="s">
        <v>46</v>
      </c>
      <c r="G3425">
        <v>-445.5421</v>
      </c>
      <c r="H3425" s="1">
        <v>1.402763E-6</v>
      </c>
      <c r="I3425">
        <v>214.83709999999999</v>
      </c>
      <c r="J3425">
        <v>-461.70729999999998</v>
      </c>
      <c r="K3425">
        <v>1.112493</v>
      </c>
      <c r="L3425">
        <v>214.2474</v>
      </c>
      <c r="M3425">
        <v>0.99737659999999995</v>
      </c>
      <c r="N3425">
        <v>-5.5813130000000001E-3</v>
      </c>
      <c r="O3425">
        <v>-7.2172280000000005E-2</v>
      </c>
      <c r="P3425">
        <v>0.93100590000000005</v>
      </c>
      <c r="Q3425">
        <v>0.35244520000000001</v>
      </c>
      <c r="R3425">
        <v>9.4924170000000002E-2</v>
      </c>
      <c r="S3425">
        <v>3.294708</v>
      </c>
      <c r="T3425">
        <v>-0.2224373</v>
      </c>
      <c r="U3425">
        <v>0.11386110000000001</v>
      </c>
      <c r="V3425">
        <v>-0.16451189999999999</v>
      </c>
      <c r="W3425">
        <v>0.35637649999999998</v>
      </c>
      <c r="X3425">
        <v>0.91974540000000005</v>
      </c>
      <c r="Y3425">
        <v>-0.10617890000000001</v>
      </c>
      <c r="Z3425">
        <v>8.3374130000000001E-3</v>
      </c>
      <c r="AA3425">
        <v>0.99431210000000003</v>
      </c>
      <c r="AB3425">
        <v>31</v>
      </c>
      <c r="AC3425">
        <v>16.165199999999899</v>
      </c>
      <c r="AD3425">
        <v>-1.112491597237</v>
      </c>
      <c r="AE3425">
        <v>0.58969999999999301</v>
      </c>
      <c r="AF3425">
        <v>-1.74659832260736</v>
      </c>
      <c r="AG3425">
        <v>-1.112491597237</v>
      </c>
      <c r="AH3425">
        <v>16.004780785647501</v>
      </c>
      <c r="AI3425">
        <v>93.952838338504606</v>
      </c>
      <c r="AJ3425">
        <v>96.228030413389902</v>
      </c>
      <c r="AK3425">
        <v>16.138192316709102</v>
      </c>
      <c r="AL3425">
        <v>69.122169246088205</v>
      </c>
      <c r="AM3425">
        <v>100.14107037913401</v>
      </c>
      <c r="AN3425">
        <v>0.99999998790750999</v>
      </c>
    </row>
    <row r="3426" spans="1:40" x14ac:dyDescent="0.25">
      <c r="A3426" t="str">
        <f>"20190304164156519"</f>
        <v>20190304164156519</v>
      </c>
      <c r="B3426" t="str">
        <f>"1551688916514103"</f>
        <v>1551688916514103</v>
      </c>
      <c r="C3426" t="s">
        <v>40</v>
      </c>
      <c r="D3426">
        <v>4.0541330000000002</v>
      </c>
      <c r="E3426">
        <v>0.53294619999999904</v>
      </c>
      <c r="F3426" t="s">
        <v>46</v>
      </c>
      <c r="G3426">
        <v>-446.10219999999998</v>
      </c>
      <c r="H3426" s="1">
        <v>1.701555E-6</v>
      </c>
      <c r="I3426">
        <v>214.82069999999999</v>
      </c>
      <c r="J3426">
        <v>-461.40519999999998</v>
      </c>
      <c r="K3426">
        <v>1.1124559999999999</v>
      </c>
      <c r="L3426">
        <v>214.22880000000001</v>
      </c>
      <c r="M3426">
        <v>0.99762110000000004</v>
      </c>
      <c r="N3426">
        <v>-5.6143290000000004E-3</v>
      </c>
      <c r="O3426">
        <v>-6.8708489999999997E-2</v>
      </c>
      <c r="P3426">
        <v>0.93089690000000003</v>
      </c>
      <c r="Q3426">
        <v>0.35254540000000001</v>
      </c>
      <c r="R3426">
        <v>9.5618300000000003E-2</v>
      </c>
      <c r="S3426">
        <v>3.2989809999999999</v>
      </c>
      <c r="T3426">
        <v>-0.23518510000000001</v>
      </c>
      <c r="U3426">
        <v>0.12120060000000001</v>
      </c>
      <c r="V3426">
        <v>-0.1619641</v>
      </c>
      <c r="W3426">
        <v>0.3565432</v>
      </c>
      <c r="X3426">
        <v>0.92013290000000003</v>
      </c>
      <c r="Y3426">
        <v>-0.1048559</v>
      </c>
      <c r="Z3426">
        <v>8.5302179999999991E-3</v>
      </c>
      <c r="AA3426">
        <v>0.99445090000000003</v>
      </c>
      <c r="AB3426">
        <v>31</v>
      </c>
      <c r="AC3426">
        <v>15.3029999999999</v>
      </c>
      <c r="AD3426">
        <v>-1.1124542984450001</v>
      </c>
      <c r="AE3426">
        <v>0.591899999999981</v>
      </c>
      <c r="AF3426">
        <v>-1.6333449728659599</v>
      </c>
      <c r="AG3426">
        <v>-1.1124542984450001</v>
      </c>
      <c r="AH3426">
        <v>15.146243208862099</v>
      </c>
      <c r="AI3426">
        <v>94.176563069767397</v>
      </c>
      <c r="AJ3426">
        <v>96.154893828569499</v>
      </c>
      <c r="AK3426">
        <v>15.2746212296252</v>
      </c>
      <c r="AL3426">
        <v>69.111946525797094</v>
      </c>
      <c r="AM3426">
        <v>99.983080104111707</v>
      </c>
      <c r="AN3426">
        <v>0.99999998840872995</v>
      </c>
    </row>
    <row r="3427" spans="1:40" x14ac:dyDescent="0.25">
      <c r="A3427" t="str">
        <f>"20190304164156542"</f>
        <v>20190304164156542</v>
      </c>
      <c r="B3427" t="str">
        <f>"1551688916534601"</f>
        <v>1551688916534601</v>
      </c>
      <c r="C3427" t="s">
        <v>40</v>
      </c>
      <c r="D3427">
        <v>4.0376110000000001</v>
      </c>
      <c r="E3427">
        <v>0.53328469999999994</v>
      </c>
      <c r="F3427" t="s">
        <v>46</v>
      </c>
      <c r="G3427">
        <v>-446.16489999999999</v>
      </c>
      <c r="H3427" s="1">
        <v>1.7357820000000001E-6</v>
      </c>
      <c r="I3427">
        <v>214.8014</v>
      </c>
      <c r="J3427">
        <v>-461.08909999999997</v>
      </c>
      <c r="K3427">
        <v>1.1124179999999999</v>
      </c>
      <c r="L3427">
        <v>214.21039999999999</v>
      </c>
      <c r="M3427">
        <v>0.99785889999999999</v>
      </c>
      <c r="N3427">
        <v>-5.6464590000000004E-3</v>
      </c>
      <c r="O3427">
        <v>-6.5160419999999997E-2</v>
      </c>
      <c r="P3427">
        <v>0.93108100000000005</v>
      </c>
      <c r="Q3427">
        <v>0.35178559999999998</v>
      </c>
      <c r="R3427">
        <v>9.6620339999999999E-2</v>
      </c>
      <c r="S3427">
        <v>3.3012389999999998</v>
      </c>
      <c r="T3427">
        <v>-0.24097250000000001</v>
      </c>
      <c r="U3427">
        <v>0.12402340000000001</v>
      </c>
      <c r="V3427">
        <v>-0.15965570000000001</v>
      </c>
      <c r="W3427">
        <v>0.35584840000000001</v>
      </c>
      <c r="X3427">
        <v>0.92080499999999998</v>
      </c>
      <c r="Y3427">
        <v>-0.1021382</v>
      </c>
      <c r="Z3427">
        <v>8.3902439999999998E-3</v>
      </c>
      <c r="AA3427">
        <v>0.99473480000000003</v>
      </c>
      <c r="AB3427">
        <v>31</v>
      </c>
      <c r="AC3427">
        <v>14.9241999999999</v>
      </c>
      <c r="AD3427">
        <v>-1.112416264218</v>
      </c>
      <c r="AE3427">
        <v>0.59100000000000796</v>
      </c>
      <c r="AF3427">
        <v>-1.55360839836083</v>
      </c>
      <c r="AG3427">
        <v>-1.112416264218</v>
      </c>
      <c r="AH3427">
        <v>14.7720286292988</v>
      </c>
      <c r="AI3427">
        <v>94.283029768617396</v>
      </c>
      <c r="AJ3427">
        <v>96.003857843357693</v>
      </c>
      <c r="AK3427">
        <v>14.8950998259554</v>
      </c>
      <c r="AL3427">
        <v>69.154548818081693</v>
      </c>
      <c r="AM3427">
        <v>99.836554164428605</v>
      </c>
      <c r="AN3427">
        <v>0.999999937175023</v>
      </c>
    </row>
    <row r="3428" spans="1:40" x14ac:dyDescent="0.25">
      <c r="A3428" t="str">
        <f>"20190304164156564"</f>
        <v>20190304164156564</v>
      </c>
      <c r="B3428" t="str">
        <f>"1551688916554120"</f>
        <v>1551688916554120</v>
      </c>
      <c r="C3428" t="s">
        <v>40</v>
      </c>
      <c r="D3428">
        <v>4.0302259999999999</v>
      </c>
      <c r="E3428">
        <v>0.5335799</v>
      </c>
      <c r="F3428" t="s">
        <v>46</v>
      </c>
      <c r="G3428">
        <v>-446.19799999999998</v>
      </c>
      <c r="H3428" s="1">
        <v>1.7541859999999999E-6</v>
      </c>
      <c r="I3428">
        <v>214.7826</v>
      </c>
      <c r="J3428">
        <v>-460.77629999999999</v>
      </c>
      <c r="K3428">
        <v>1.112374</v>
      </c>
      <c r="L3428">
        <v>214.19329999999999</v>
      </c>
      <c r="M3428">
        <v>0.99807639999999997</v>
      </c>
      <c r="N3428">
        <v>-5.6753119999999897E-3</v>
      </c>
      <c r="O3428">
        <v>-6.1736590000000001E-2</v>
      </c>
      <c r="P3428">
        <v>0.9313456</v>
      </c>
      <c r="Q3428">
        <v>0.35101189999999999</v>
      </c>
      <c r="R3428">
        <v>9.6883150000000001E-2</v>
      </c>
      <c r="S3428">
        <v>3.3021240000000001</v>
      </c>
      <c r="T3428">
        <v>-0.24668000000000001</v>
      </c>
      <c r="U3428">
        <v>0.12689210000000001</v>
      </c>
      <c r="V3428">
        <v>-0.1567279</v>
      </c>
      <c r="W3428">
        <v>0.35514210000000002</v>
      </c>
      <c r="X3428">
        <v>0.92158039999999997</v>
      </c>
      <c r="Y3428">
        <v>-9.9572960000000002E-2</v>
      </c>
      <c r="Z3428">
        <v>8.2488939999999997E-3</v>
      </c>
      <c r="AA3428">
        <v>0.99499610000000005</v>
      </c>
      <c r="AB3428">
        <v>31</v>
      </c>
      <c r="AC3428">
        <v>14.578299999999899</v>
      </c>
      <c r="AD3428">
        <v>-1.112372245814</v>
      </c>
      <c r="AE3428">
        <v>0.58930000000000804</v>
      </c>
      <c r="AF3428">
        <v>-1.4796043461961299</v>
      </c>
      <c r="AG3428">
        <v>-1.112372245814</v>
      </c>
      <c r="AH3428">
        <v>14.4302302026933</v>
      </c>
      <c r="AI3428">
        <v>94.385098451052002</v>
      </c>
      <c r="AJ3428">
        <v>95.854366204924204</v>
      </c>
      <c r="AK3428">
        <v>14.548475684320399</v>
      </c>
      <c r="AL3428">
        <v>69.197846166656902</v>
      </c>
      <c r="AM3428">
        <v>99.651624368195399</v>
      </c>
      <c r="AN3428">
        <v>0.99999998974749005</v>
      </c>
    </row>
    <row r="3429" spans="1:40" x14ac:dyDescent="0.25">
      <c r="A3429" t="str">
        <f>"20190304164156586"</f>
        <v>20190304164156586</v>
      </c>
      <c r="B3429" t="str">
        <f>"1551688916574616"</f>
        <v>1551688916574616</v>
      </c>
      <c r="C3429" t="s">
        <v>40</v>
      </c>
      <c r="D3429">
        <v>4.0029879999999904</v>
      </c>
      <c r="E3429">
        <v>0.53384149999999997</v>
      </c>
      <c r="F3429" t="s">
        <v>46</v>
      </c>
      <c r="G3429">
        <v>-446.06990000000002</v>
      </c>
      <c r="H3429" s="1">
        <v>1.687174E-6</v>
      </c>
      <c r="I3429">
        <v>214.75630000000001</v>
      </c>
      <c r="J3429">
        <v>-460.47179999999997</v>
      </c>
      <c r="K3429">
        <v>1.1123350000000001</v>
      </c>
      <c r="L3429">
        <v>214.17760000000001</v>
      </c>
      <c r="M3429">
        <v>0.99827250000000001</v>
      </c>
      <c r="N3429">
        <v>-5.7019269999999999E-3</v>
      </c>
      <c r="O3429">
        <v>-5.8476210000000001E-2</v>
      </c>
      <c r="P3429">
        <v>0.93159389999999997</v>
      </c>
      <c r="Q3429">
        <v>0.35035709999999998</v>
      </c>
      <c r="R3429">
        <v>9.6863320000000003E-2</v>
      </c>
      <c r="S3429">
        <v>3.302155</v>
      </c>
      <c r="T3429">
        <v>-0.24976979999999999</v>
      </c>
      <c r="U3429">
        <v>0.12641910000000001</v>
      </c>
      <c r="V3429">
        <v>-0.15366749999999901</v>
      </c>
      <c r="W3429">
        <v>0.35455229999999999</v>
      </c>
      <c r="X3429">
        <v>0.92232259999999999</v>
      </c>
      <c r="Y3429">
        <v>-9.6186880000000002E-2</v>
      </c>
      <c r="Z3429">
        <v>7.9875019999999901E-3</v>
      </c>
      <c r="AA3429">
        <v>0.99533119999999997</v>
      </c>
      <c r="AB3429">
        <v>32</v>
      </c>
      <c r="AC3429">
        <v>14.4018999999999</v>
      </c>
      <c r="AD3429">
        <v>-1.112333312826</v>
      </c>
      <c r="AE3429">
        <v>0.57869999999999699</v>
      </c>
      <c r="AF3429">
        <v>-1.4114856087762899</v>
      </c>
      <c r="AG3429">
        <v>-1.112333312826</v>
      </c>
      <c r="AH3429">
        <v>14.2584952632479</v>
      </c>
      <c r="AI3429">
        <v>94.4391119499371</v>
      </c>
      <c r="AJ3429">
        <v>95.653439530793506</v>
      </c>
      <c r="AK3429">
        <v>14.3713000175581</v>
      </c>
      <c r="AL3429">
        <v>69.233991752373399</v>
      </c>
      <c r="AM3429">
        <v>99.459122768958807</v>
      </c>
      <c r="AN3429">
        <v>1.00000000623115</v>
      </c>
    </row>
    <row r="3430" spans="1:40" x14ac:dyDescent="0.25">
      <c r="A3430" t="str">
        <f>"20190304164156608"</f>
        <v>20190304164156608</v>
      </c>
      <c r="B3430" t="str">
        <f>"1551688916604872"</f>
        <v>1551688916604872</v>
      </c>
      <c r="C3430" t="s">
        <v>40</v>
      </c>
      <c r="D3430">
        <v>3.990659</v>
      </c>
      <c r="E3430">
        <v>0.53411790000000003</v>
      </c>
      <c r="F3430" t="s">
        <v>46</v>
      </c>
      <c r="G3430">
        <v>-445.96269999999998</v>
      </c>
      <c r="H3430" s="1">
        <v>1.631224E-6</v>
      </c>
      <c r="I3430">
        <v>214.73159999999999</v>
      </c>
      <c r="J3430">
        <v>-460.15190000000001</v>
      </c>
      <c r="K3430">
        <v>1.112301</v>
      </c>
      <c r="L3430">
        <v>214.16210000000001</v>
      </c>
      <c r="M3430">
        <v>0.99846349999999995</v>
      </c>
      <c r="N3430">
        <v>-5.7301139999999997E-3</v>
      </c>
      <c r="O3430">
        <v>-5.51163E-2</v>
      </c>
      <c r="P3430">
        <v>0.93158129999999995</v>
      </c>
      <c r="Q3430">
        <v>0.35034490000000001</v>
      </c>
      <c r="R3430">
        <v>9.7030249999999998E-2</v>
      </c>
      <c r="S3430">
        <v>3.3024290000000001</v>
      </c>
      <c r="T3430">
        <v>-0.25317909999999999</v>
      </c>
      <c r="U3430">
        <v>0.12609860000000001</v>
      </c>
      <c r="V3430">
        <v>-0.15069189999999999</v>
      </c>
      <c r="W3430">
        <v>0.35460180000000002</v>
      </c>
      <c r="X3430">
        <v>0.92279440000000001</v>
      </c>
      <c r="Y3430">
        <v>-9.2744370000000007E-2</v>
      </c>
      <c r="Z3430">
        <v>7.7167650000000004E-3</v>
      </c>
      <c r="AA3430">
        <v>0.99566010000000005</v>
      </c>
      <c r="AB3430">
        <v>32</v>
      </c>
      <c r="AC3430">
        <v>14.1892</v>
      </c>
      <c r="AD3430">
        <v>-1.1122993687760001</v>
      </c>
      <c r="AE3430">
        <v>0.56949999999997603</v>
      </c>
      <c r="AF3430">
        <v>-1.3424670411764801</v>
      </c>
      <c r="AG3430">
        <v>-1.1122993687760001</v>
      </c>
      <c r="AH3430">
        <v>14.050041853376801</v>
      </c>
      <c r="AI3430">
        <v>94.506055636538804</v>
      </c>
      <c r="AJ3430">
        <v>95.457983273262201</v>
      </c>
      <c r="AK3430">
        <v>14.1577930386083</v>
      </c>
      <c r="AL3430">
        <v>69.2309582888835</v>
      </c>
      <c r="AM3430">
        <v>99.274512234671604</v>
      </c>
      <c r="AN3430">
        <v>0.99999999498010494</v>
      </c>
    </row>
    <row r="3431" spans="1:40" x14ac:dyDescent="0.25">
      <c r="A3431" t="str">
        <f>"20190304164156632"</f>
        <v>20190304164156632</v>
      </c>
      <c r="B3431" t="str">
        <f>"1551688916624392"</f>
        <v>1551688916624392</v>
      </c>
      <c r="C3431" t="s">
        <v>40</v>
      </c>
      <c r="D3431">
        <v>3.9827300000000001</v>
      </c>
      <c r="E3431">
        <v>0.53424199999999999</v>
      </c>
      <c r="F3431" t="s">
        <v>46</v>
      </c>
      <c r="G3431">
        <v>-445.7251</v>
      </c>
      <c r="H3431" s="1">
        <v>1.5059029999999999E-6</v>
      </c>
      <c r="I3431">
        <v>214.7064</v>
      </c>
      <c r="J3431">
        <v>-459.81610000000001</v>
      </c>
      <c r="K3431">
        <v>1.1122620000000001</v>
      </c>
      <c r="L3431">
        <v>214.14689999999999</v>
      </c>
      <c r="M3431">
        <v>0.99864799999999998</v>
      </c>
      <c r="N3431">
        <v>-5.7605909999999998E-3</v>
      </c>
      <c r="O3431">
        <v>-5.166188E-2</v>
      </c>
      <c r="P3431">
        <v>0.93199379999999998</v>
      </c>
      <c r="Q3431">
        <v>0.34927920000000001</v>
      </c>
      <c r="R3431">
        <v>9.6909899999999993E-2</v>
      </c>
      <c r="S3431">
        <v>3.303131</v>
      </c>
      <c r="T3431">
        <v>-0.25467060000000002</v>
      </c>
      <c r="U3431">
        <v>0.1246338</v>
      </c>
      <c r="V3431">
        <v>-0.14735599999999999</v>
      </c>
      <c r="W3431">
        <v>0.35360510000000001</v>
      </c>
      <c r="X3431">
        <v>0.92371510000000001</v>
      </c>
      <c r="Y3431">
        <v>-8.8866550000000002E-2</v>
      </c>
      <c r="Z3431">
        <v>7.3542950000000003E-3</v>
      </c>
      <c r="AA3431">
        <v>0.99601640000000002</v>
      </c>
      <c r="AB3431">
        <v>32</v>
      </c>
      <c r="AC3431">
        <v>14.090999999999999</v>
      </c>
      <c r="AD3431">
        <v>-1.112260494097</v>
      </c>
      <c r="AE3431">
        <v>0.55950000000001399</v>
      </c>
      <c r="AF3431">
        <v>-1.2787774808144099</v>
      </c>
      <c r="AG3431">
        <v>-1.112260494097</v>
      </c>
      <c r="AH3431">
        <v>13.956457294379801</v>
      </c>
      <c r="AI3431">
        <v>94.537631477958598</v>
      </c>
      <c r="AJ3431">
        <v>95.235178166821399</v>
      </c>
      <c r="AK3431">
        <v>14.0589862885634</v>
      </c>
      <c r="AL3431">
        <v>69.292021007438393</v>
      </c>
      <c r="AM3431">
        <v>99.063759877411698</v>
      </c>
      <c r="AN3431">
        <v>0.99999997172500898</v>
      </c>
    </row>
    <row r="3432" spans="1:40" x14ac:dyDescent="0.25">
      <c r="A3432" t="str">
        <f>"20190304164156654"</f>
        <v>20190304164156654</v>
      </c>
      <c r="B3432" t="str">
        <f>"1551688916644888"</f>
        <v>1551688916644888</v>
      </c>
      <c r="C3432" t="s">
        <v>40</v>
      </c>
      <c r="D3432">
        <v>3.9952290000000001</v>
      </c>
      <c r="E3432">
        <v>0.53431090000000003</v>
      </c>
      <c r="F3432" t="s">
        <v>46</v>
      </c>
      <c r="G3432">
        <v>-445.60199999999998</v>
      </c>
      <c r="H3432" s="1">
        <v>1.4415389999999999E-6</v>
      </c>
      <c r="I3432">
        <v>214.67920000000001</v>
      </c>
      <c r="J3432">
        <v>-459.505</v>
      </c>
      <c r="K3432">
        <v>1.1122259999999999</v>
      </c>
      <c r="L3432">
        <v>214.1337</v>
      </c>
      <c r="M3432">
        <v>0.99880480000000005</v>
      </c>
      <c r="N3432">
        <v>-5.7896719999999896E-3</v>
      </c>
      <c r="O3432">
        <v>-4.8534800000000003E-2</v>
      </c>
      <c r="P3432">
        <v>0.93254300000000001</v>
      </c>
      <c r="Q3432">
        <v>0.3479835</v>
      </c>
      <c r="R3432">
        <v>9.6287300000000006E-2</v>
      </c>
      <c r="S3432">
        <v>3.3029480000000002</v>
      </c>
      <c r="T3432">
        <v>-0.25845649999999998</v>
      </c>
      <c r="U3432">
        <v>0.12370299999999999</v>
      </c>
      <c r="V3432">
        <v>-0.14382259999999999</v>
      </c>
      <c r="W3432">
        <v>0.35237859999999999</v>
      </c>
      <c r="X3432">
        <v>0.92474009999999995</v>
      </c>
      <c r="Y3432">
        <v>-8.5476120000000003E-2</v>
      </c>
      <c r="Z3432">
        <v>7.0958840000000002E-3</v>
      </c>
      <c r="AA3432">
        <v>0.9963149</v>
      </c>
      <c r="AB3432">
        <v>32</v>
      </c>
      <c r="AC3432">
        <v>13.903</v>
      </c>
      <c r="AD3432">
        <v>-1.112224558461</v>
      </c>
      <c r="AE3432">
        <v>0.54550000000000398</v>
      </c>
      <c r="AF3432">
        <v>-1.21190363123556</v>
      </c>
      <c r="AG3432">
        <v>-1.112224558461</v>
      </c>
      <c r="AH3432">
        <v>13.7721347483884</v>
      </c>
      <c r="AI3432">
        <v>94.599435923821105</v>
      </c>
      <c r="AJ3432">
        <v>95.028891001010706</v>
      </c>
      <c r="AK3432">
        <v>13.870019805595501</v>
      </c>
      <c r="AL3432">
        <v>69.367128494375905</v>
      </c>
      <c r="AM3432">
        <v>98.840250153797598</v>
      </c>
      <c r="AN3432">
        <v>0.99999993527836295</v>
      </c>
    </row>
    <row r="3433" spans="1:40" x14ac:dyDescent="0.25">
      <c r="A3433" t="str">
        <f>"20190304164156677"</f>
        <v>20190304164156677</v>
      </c>
      <c r="B3433" t="str">
        <f>"1551688916664408"</f>
        <v>1551688916664408</v>
      </c>
      <c r="C3433" t="s">
        <v>40</v>
      </c>
      <c r="D3433">
        <v>3.9869520000000001</v>
      </c>
      <c r="E3433">
        <v>0.53556000000000004</v>
      </c>
      <c r="F3433" t="s">
        <v>46</v>
      </c>
      <c r="G3433">
        <v>-445.54660000000001</v>
      </c>
      <c r="H3433" s="1">
        <v>1.4132530000000001E-6</v>
      </c>
      <c r="I3433">
        <v>214.65289999999999</v>
      </c>
      <c r="J3433">
        <v>-459.17140000000001</v>
      </c>
      <c r="K3433">
        <v>1.1121840000000001</v>
      </c>
      <c r="L3433">
        <v>214.1206</v>
      </c>
      <c r="M3433">
        <v>0.99895809999999996</v>
      </c>
      <c r="N3433">
        <v>-5.8218530000000001E-3</v>
      </c>
      <c r="O3433">
        <v>-4.5266939999999999E-2</v>
      </c>
      <c r="P3433">
        <v>0.93277880000000002</v>
      </c>
      <c r="Q3433">
        <v>0.34761769999999997</v>
      </c>
      <c r="R3433">
        <v>9.5320569999999993E-2</v>
      </c>
      <c r="S3433">
        <v>3.302521</v>
      </c>
      <c r="T3433">
        <v>-0.26315050000000001</v>
      </c>
      <c r="U3433">
        <v>0.12283330000000001</v>
      </c>
      <c r="V3433">
        <v>-0.13979349999999999</v>
      </c>
      <c r="W3433">
        <v>0.3520894</v>
      </c>
      <c r="X3433">
        <v>0.92546790000000001</v>
      </c>
      <c r="Y3433">
        <v>-8.1964750000000003E-2</v>
      </c>
      <c r="Z3433">
        <v>6.8350969999999896E-3</v>
      </c>
      <c r="AA3433">
        <v>0.99661180000000005</v>
      </c>
      <c r="AB3433">
        <v>32</v>
      </c>
      <c r="AC3433">
        <v>13.624799999999899</v>
      </c>
      <c r="AD3433">
        <v>-1.1121825867470001</v>
      </c>
      <c r="AE3433">
        <v>0.532299999999992</v>
      </c>
      <c r="AF3433">
        <v>-1.1409269100445101</v>
      </c>
      <c r="AG3433">
        <v>-1.1121825867470001</v>
      </c>
      <c r="AH3433">
        <v>13.496939492588201</v>
      </c>
      <c r="AI3433">
        <v>94.694011013971405</v>
      </c>
      <c r="AJ3433">
        <v>94.83185505102</v>
      </c>
      <c r="AK3433">
        <v>13.5906600276408</v>
      </c>
      <c r="AL3433">
        <v>69.384834505998995</v>
      </c>
      <c r="AM3433">
        <v>98.589688524411798</v>
      </c>
      <c r="AN3433">
        <v>1.0000000010825101</v>
      </c>
    </row>
    <row r="3434" spans="1:40" x14ac:dyDescent="0.25">
      <c r="A3434" t="str">
        <f>"20190304164156698"</f>
        <v>20190304164156698</v>
      </c>
      <c r="B3434" t="str">
        <f>"1551688916694664"</f>
        <v>1551688916694664</v>
      </c>
      <c r="C3434" t="s">
        <v>40</v>
      </c>
      <c r="D3434">
        <v>3.968874</v>
      </c>
      <c r="E3434">
        <v>0.53694779999999998</v>
      </c>
      <c r="F3434" t="s">
        <v>46</v>
      </c>
      <c r="G3434">
        <v>-445.35669999999999</v>
      </c>
      <c r="H3434" s="1">
        <v>1.314874E-6</v>
      </c>
      <c r="I3434">
        <v>214.59139999999999</v>
      </c>
      <c r="J3434">
        <v>-458.86040000000003</v>
      </c>
      <c r="K3434">
        <v>1.1121379999999901</v>
      </c>
      <c r="L3434">
        <v>214.10929999999999</v>
      </c>
      <c r="M3434">
        <v>0.99908750000000002</v>
      </c>
      <c r="N3434">
        <v>-5.8526219999999896E-3</v>
      </c>
      <c r="O3434">
        <v>-4.23107E-2</v>
      </c>
      <c r="P3434">
        <v>0.93308270000000004</v>
      </c>
      <c r="Q3434">
        <v>0.34703810000000002</v>
      </c>
      <c r="R3434">
        <v>9.4455209999999998E-2</v>
      </c>
      <c r="S3434">
        <v>3.3037719999999999</v>
      </c>
      <c r="T3434">
        <v>-0.26597769999999998</v>
      </c>
      <c r="U3434">
        <v>0.11257929999999999</v>
      </c>
      <c r="V3434">
        <v>-0.13614849999999901</v>
      </c>
      <c r="W3434">
        <v>0.35158420000000001</v>
      </c>
      <c r="X3434">
        <v>0.92620309999999995</v>
      </c>
      <c r="Y3434">
        <v>-7.5931659999999998E-2</v>
      </c>
      <c r="Z3434">
        <v>6.4258450000000003E-3</v>
      </c>
      <c r="AA3434">
        <v>0.99709230000000004</v>
      </c>
      <c r="AB3434">
        <v>32</v>
      </c>
      <c r="AC3434">
        <v>13.5037</v>
      </c>
      <c r="AD3434">
        <v>-1.1121366851259999</v>
      </c>
      <c r="AE3434">
        <v>0.48210000000000203</v>
      </c>
      <c r="AF3434">
        <v>-1.0459435465842899</v>
      </c>
      <c r="AG3434">
        <v>-1.1121366851259999</v>
      </c>
      <c r="AH3434">
        <v>13.380566168861501</v>
      </c>
      <c r="AI3434">
        <v>94.736880680583397</v>
      </c>
      <c r="AJ3434">
        <v>94.469656558176695</v>
      </c>
      <c r="AK3434">
        <v>13.4673827044576</v>
      </c>
      <c r="AL3434">
        <v>69.415757982776995</v>
      </c>
      <c r="AM3434">
        <v>98.362383905227304</v>
      </c>
      <c r="AN3434">
        <v>1.00000002309574</v>
      </c>
    </row>
    <row r="3435" spans="1:40" x14ac:dyDescent="0.25">
      <c r="A3435" t="str">
        <f>"20190304164156721"</f>
        <v>20190304164156721</v>
      </c>
      <c r="B3435" t="str">
        <f>"1551688916714185"</f>
        <v>1551688916714185</v>
      </c>
      <c r="C3435" t="s">
        <v>40</v>
      </c>
      <c r="D3435">
        <v>3.9856050000000001</v>
      </c>
      <c r="E3435">
        <v>0.53765260000000004</v>
      </c>
      <c r="F3435" t="s">
        <v>46</v>
      </c>
      <c r="G3435">
        <v>-445.15929999999997</v>
      </c>
      <c r="H3435" s="1">
        <v>1.212635E-6</v>
      </c>
      <c r="I3435">
        <v>214.5274</v>
      </c>
      <c r="J3435">
        <v>-458.54320000000001</v>
      </c>
      <c r="K3435">
        <v>1.1120950000000001</v>
      </c>
      <c r="L3435">
        <v>214.09870000000001</v>
      </c>
      <c r="M3435">
        <v>0.99920589999999998</v>
      </c>
      <c r="N3435">
        <v>-5.9397969999999897E-3</v>
      </c>
      <c r="O3435">
        <v>-3.9399980000000001E-2</v>
      </c>
      <c r="P3435">
        <v>0.93324269999999998</v>
      </c>
      <c r="Q3435">
        <v>0.3465203</v>
      </c>
      <c r="R3435">
        <v>9.4772389999999998E-2</v>
      </c>
      <c r="S3435">
        <v>3.3047179999999998</v>
      </c>
      <c r="T3435">
        <v>-0.26824870000000001</v>
      </c>
      <c r="U3435">
        <v>0.10083010000000001</v>
      </c>
      <c r="V3435">
        <v>-0.13371069999999999</v>
      </c>
      <c r="W3435">
        <v>0.35118559999999999</v>
      </c>
      <c r="X3435">
        <v>0.92670940000000002</v>
      </c>
      <c r="Y3435">
        <v>-6.9499019999999995E-2</v>
      </c>
      <c r="Z3435">
        <v>5.9805939999999997E-3</v>
      </c>
      <c r="AA3435">
        <v>0.99756409999999995</v>
      </c>
      <c r="AB3435">
        <v>32</v>
      </c>
      <c r="AC3435">
        <v>13.383900000000001</v>
      </c>
      <c r="AD3435">
        <v>-1.1120937873649901</v>
      </c>
      <c r="AE3435">
        <v>0.42869999999999198</v>
      </c>
      <c r="AF3435">
        <v>-0.94915528424867601</v>
      </c>
      <c r="AG3435">
        <v>-1.1120937873649901</v>
      </c>
      <c r="AH3435">
        <v>13.265124160285399</v>
      </c>
      <c r="AI3435">
        <v>94.780073555412699</v>
      </c>
      <c r="AJ3435">
        <v>94.092691948891002</v>
      </c>
      <c r="AK3435">
        <v>13.3454549316724</v>
      </c>
      <c r="AL3435">
        <v>69.440153171282304</v>
      </c>
      <c r="AM3435">
        <v>98.210286561691106</v>
      </c>
      <c r="AN3435">
        <v>1.0000000944951</v>
      </c>
    </row>
    <row r="3436" spans="1:40" x14ac:dyDescent="0.25">
      <c r="A3436" t="str">
        <f>"20190304164156743"</f>
        <v>20190304164156743</v>
      </c>
      <c r="B3436" t="str">
        <f>"1551688916734681"</f>
        <v>1551688916734681</v>
      </c>
      <c r="C3436" t="s">
        <v>40</v>
      </c>
      <c r="D3436">
        <v>3.9705300000000001</v>
      </c>
      <c r="E3436">
        <v>0.53829380000000004</v>
      </c>
      <c r="F3436" t="s">
        <v>46</v>
      </c>
      <c r="G3436">
        <v>-444.90449999999998</v>
      </c>
      <c r="H3436" s="1">
        <v>1.078312E-6</v>
      </c>
      <c r="I3436">
        <v>214.4983</v>
      </c>
      <c r="J3436">
        <v>-458.21429999999998</v>
      </c>
      <c r="K3436">
        <v>1.112079</v>
      </c>
      <c r="L3436">
        <v>214.08850000000001</v>
      </c>
      <c r="M3436">
        <v>0.99931389999999998</v>
      </c>
      <c r="N3436">
        <v>-6.1896779999999997E-3</v>
      </c>
      <c r="O3436">
        <v>-3.6515730000000003E-2</v>
      </c>
      <c r="P3436">
        <v>0.93355809999999995</v>
      </c>
      <c r="Q3436">
        <v>0.34551500000000002</v>
      </c>
      <c r="R3436">
        <v>9.533519E-2</v>
      </c>
      <c r="S3436">
        <v>3.3047490000000002</v>
      </c>
      <c r="T3436">
        <v>-0.26946740000000002</v>
      </c>
      <c r="U3436">
        <v>9.6832280000000007E-2</v>
      </c>
      <c r="V3436">
        <v>-0.13153589999999901</v>
      </c>
      <c r="W3436">
        <v>0.35045320000000002</v>
      </c>
      <c r="X3436">
        <v>0.92729760000000006</v>
      </c>
      <c r="Y3436">
        <v>-6.5432669999999998E-2</v>
      </c>
      <c r="Z3436">
        <v>5.6117629999999996E-3</v>
      </c>
      <c r="AA3436">
        <v>0.99784119999999998</v>
      </c>
      <c r="AB3436">
        <v>32</v>
      </c>
      <c r="AC3436">
        <v>13.3097999999999</v>
      </c>
      <c r="AD3436">
        <v>-1.1120779216879999</v>
      </c>
      <c r="AE3436">
        <v>0.40979999999999001</v>
      </c>
      <c r="AF3436">
        <v>-0.88935024996506795</v>
      </c>
      <c r="AG3436">
        <v>-1.1120779216879999</v>
      </c>
      <c r="AH3436">
        <v>13.1939369283578</v>
      </c>
      <c r="AI3436">
        <v>94.807047143838005</v>
      </c>
      <c r="AJ3436">
        <v>93.856244864994807</v>
      </c>
      <c r="AK3436">
        <v>13.2705551067203</v>
      </c>
      <c r="AL3436">
        <v>69.484962407109904</v>
      </c>
      <c r="AM3436">
        <v>98.073466869976201</v>
      </c>
      <c r="AN3436">
        <v>0.99999998867240403</v>
      </c>
    </row>
    <row r="3437" spans="1:40" x14ac:dyDescent="0.25">
      <c r="A3437" t="str">
        <f>"20190304164156764"</f>
        <v>20190304164156764</v>
      </c>
      <c r="B3437" t="str">
        <f>"1551688916754200"</f>
        <v>1551688916754200</v>
      </c>
      <c r="C3437" t="s">
        <v>40</v>
      </c>
      <c r="D3437">
        <v>3.9777900000000002</v>
      </c>
      <c r="E3437">
        <v>0.53882619999999903</v>
      </c>
      <c r="F3437" t="s">
        <v>46</v>
      </c>
      <c r="G3437">
        <v>-444.69920000000002</v>
      </c>
      <c r="H3437" s="1">
        <v>9.7025659999999996E-7</v>
      </c>
      <c r="I3437">
        <v>214.47110000000001</v>
      </c>
      <c r="J3437">
        <v>-457.90069999999997</v>
      </c>
      <c r="K3437">
        <v>1.1121000000000001</v>
      </c>
      <c r="L3437">
        <v>214.0796</v>
      </c>
      <c r="M3437">
        <v>0.99940320000000005</v>
      </c>
      <c r="N3437">
        <v>-6.6225549999999996E-3</v>
      </c>
      <c r="O3437">
        <v>-3.3905310000000001E-2</v>
      </c>
      <c r="P3437">
        <v>0.93378629999999996</v>
      </c>
      <c r="Q3437">
        <v>0.34480889999999997</v>
      </c>
      <c r="R3437">
        <v>9.5655989999999996E-2</v>
      </c>
      <c r="S3437">
        <v>3.3045960000000001</v>
      </c>
      <c r="T3437">
        <v>-0.27191650000000001</v>
      </c>
      <c r="U3437">
        <v>9.356689E-2</v>
      </c>
      <c r="V3437">
        <v>-0.12936739999999999</v>
      </c>
      <c r="W3437">
        <v>0.35019020000000001</v>
      </c>
      <c r="X3437">
        <v>0.92770200000000003</v>
      </c>
      <c r="Y3437">
        <v>-6.1856399999999999E-2</v>
      </c>
      <c r="Z3437">
        <v>5.3057390000000003E-3</v>
      </c>
      <c r="AA3437">
        <v>0.99807100000000004</v>
      </c>
      <c r="AB3437">
        <v>32</v>
      </c>
      <c r="AC3437">
        <v>13.2014999999999</v>
      </c>
      <c r="AD3437">
        <v>-1.1120990297433999</v>
      </c>
      <c r="AE3437">
        <v>0.39150000000000701</v>
      </c>
      <c r="AF3437">
        <v>-0.83297962809859405</v>
      </c>
      <c r="AG3437">
        <v>-1.1120990297433999</v>
      </c>
      <c r="AH3437">
        <v>13.087839819895001</v>
      </c>
      <c r="AI3437">
        <v>94.847105889566507</v>
      </c>
      <c r="AJ3437">
        <v>93.641695803205096</v>
      </c>
      <c r="AK3437">
        <v>13.1613893819768</v>
      </c>
      <c r="AL3437">
        <v>69.501052049126002</v>
      </c>
      <c r="AM3437">
        <v>97.938662150326493</v>
      </c>
      <c r="AN3437">
        <v>1.00000005058139</v>
      </c>
    </row>
    <row r="3438" spans="1:40" x14ac:dyDescent="0.25">
      <c r="A3438" t="str">
        <f>"20190304164156788"</f>
        <v>20190304164156788</v>
      </c>
      <c r="B3438" t="str">
        <f>"1551688916784457"</f>
        <v>1551688916784457</v>
      </c>
      <c r="C3438" t="s">
        <v>40</v>
      </c>
      <c r="D3438">
        <v>3.9933420000000002</v>
      </c>
      <c r="E3438">
        <v>0.5394523</v>
      </c>
      <c r="F3438" t="s">
        <v>46</v>
      </c>
      <c r="G3438">
        <v>-444.46069999999997</v>
      </c>
      <c r="H3438" s="1">
        <v>8.4432490000000002E-7</v>
      </c>
      <c r="I3438">
        <v>214.44829999999999</v>
      </c>
      <c r="J3438">
        <v>-457.58229999999998</v>
      </c>
      <c r="K3438">
        <v>1.1121319999999999</v>
      </c>
      <c r="L3438">
        <v>214.07130000000001</v>
      </c>
      <c r="M3438">
        <v>0.99948199999999998</v>
      </c>
      <c r="N3438">
        <v>-7.1840489999999996E-3</v>
      </c>
      <c r="O3438">
        <v>-3.137098E-2</v>
      </c>
      <c r="P3438">
        <v>0.93389809999999995</v>
      </c>
      <c r="Q3438">
        <v>0.34432410000000002</v>
      </c>
      <c r="R3438">
        <v>9.6309489999999998E-2</v>
      </c>
      <c r="S3438">
        <v>3.3043819999999999</v>
      </c>
      <c r="T3438">
        <v>-0.27342260000000002</v>
      </c>
      <c r="U3438">
        <v>9.0667719999999993E-2</v>
      </c>
      <c r="V3438">
        <v>-0.12759709999999999</v>
      </c>
      <c r="W3438">
        <v>0.35026429999999997</v>
      </c>
      <c r="X3438">
        <v>0.9279191</v>
      </c>
      <c r="Y3438">
        <v>-5.8468350000000002E-2</v>
      </c>
      <c r="Z3438">
        <v>4.9907349999999996E-3</v>
      </c>
      <c r="AA3438">
        <v>0.99827679999999996</v>
      </c>
      <c r="AB3438">
        <v>32</v>
      </c>
      <c r="AC3438">
        <v>13.121600000000001</v>
      </c>
      <c r="AD3438">
        <v>-1.1121311556750999</v>
      </c>
      <c r="AE3438">
        <v>0.37699999999998102</v>
      </c>
      <c r="AF3438">
        <v>-0.782843556619786</v>
      </c>
      <c r="AG3438">
        <v>-1.1121311556750999</v>
      </c>
      <c r="AH3438">
        <v>13.0099339001573</v>
      </c>
      <c r="AI3438">
        <v>94.877171270911205</v>
      </c>
      <c r="AJ3438">
        <v>93.443492850035298</v>
      </c>
      <c r="AK3438">
        <v>13.080827948873401</v>
      </c>
      <c r="AL3438">
        <v>69.4965177967904</v>
      </c>
      <c r="AM3438">
        <v>97.829574875217503</v>
      </c>
      <c r="AN3438">
        <v>0.99999997796385398</v>
      </c>
    </row>
    <row r="3439" spans="1:40" x14ac:dyDescent="0.25">
      <c r="A3439" t="str">
        <f>"20190304164156809"</f>
        <v>20190304164156809</v>
      </c>
      <c r="B3439" t="str">
        <f>"1551688916804952"</f>
        <v>1551688916804952</v>
      </c>
      <c r="C3439" t="s">
        <v>40</v>
      </c>
      <c r="D3439">
        <v>4.0051399999999999</v>
      </c>
      <c r="E3439">
        <v>0.53986619999999996</v>
      </c>
      <c r="F3439" t="s">
        <v>46</v>
      </c>
      <c r="G3439">
        <v>-444.09890000000001</v>
      </c>
      <c r="H3439" s="1">
        <v>6.5275949999999996E-7</v>
      </c>
      <c r="I3439">
        <v>214.42599999999999</v>
      </c>
      <c r="J3439">
        <v>-457.24970000000002</v>
      </c>
      <c r="K3439">
        <v>1.1121369999999999</v>
      </c>
      <c r="L3439">
        <v>214.0634</v>
      </c>
      <c r="M3439">
        <v>0.99955349999999998</v>
      </c>
      <c r="N3439">
        <v>-7.747795E-3</v>
      </c>
      <c r="O3439">
        <v>-2.886118E-2</v>
      </c>
      <c r="P3439">
        <v>0.93426759999999998</v>
      </c>
      <c r="Q3439">
        <v>0.3430858</v>
      </c>
      <c r="R3439">
        <v>9.7142950000000006E-2</v>
      </c>
      <c r="S3439">
        <v>3.303833</v>
      </c>
      <c r="T3439">
        <v>-0.27250429999999998</v>
      </c>
      <c r="U3439">
        <v>8.6914060000000001E-2</v>
      </c>
      <c r="V3439">
        <v>-0.12602369999999999</v>
      </c>
      <c r="W3439">
        <v>0.34959020000000002</v>
      </c>
      <c r="X3439">
        <v>0.9283882</v>
      </c>
      <c r="Y3439">
        <v>-5.4854899999999998E-2</v>
      </c>
      <c r="Z3439">
        <v>4.6237700000000001E-3</v>
      </c>
      <c r="AA3439">
        <v>0.99848369999999997</v>
      </c>
      <c r="AB3439">
        <v>32</v>
      </c>
      <c r="AC3439">
        <v>13.1508</v>
      </c>
      <c r="AD3439">
        <v>-1.1121363472404999</v>
      </c>
      <c r="AE3439">
        <v>0.36259999999998599</v>
      </c>
      <c r="AF3439">
        <v>-0.73674291245878698</v>
      </c>
      <c r="AG3439">
        <v>-1.1121363472404999</v>
      </c>
      <c r="AH3439">
        <v>13.041656375576199</v>
      </c>
      <c r="AI3439">
        <v>94.866424008764099</v>
      </c>
      <c r="AJ3439">
        <v>93.233288791782201</v>
      </c>
      <c r="AK3439">
        <v>13.109707792034101</v>
      </c>
      <c r="AL3439">
        <v>69.537747289496295</v>
      </c>
      <c r="AM3439">
        <v>97.730343375588106</v>
      </c>
      <c r="AN3439">
        <v>0.99999996539848401</v>
      </c>
    </row>
    <row r="3440" spans="1:40" x14ac:dyDescent="0.25">
      <c r="A3440" t="str">
        <f>"20190304164156833"</f>
        <v>20190304164156833</v>
      </c>
      <c r="B3440" t="str">
        <f>"1551688916824473"</f>
        <v>1551688916824473</v>
      </c>
      <c r="C3440" t="s">
        <v>40</v>
      </c>
      <c r="D3440">
        <v>4.0041330000000004</v>
      </c>
      <c r="E3440">
        <v>0.54011450000000005</v>
      </c>
      <c r="F3440" t="s">
        <v>46</v>
      </c>
      <c r="G3440">
        <v>-443.93419999999998</v>
      </c>
      <c r="H3440" s="1">
        <v>5.657039E-7</v>
      </c>
      <c r="I3440">
        <v>214.41210000000001</v>
      </c>
      <c r="J3440">
        <v>-456.92140000000001</v>
      </c>
      <c r="K3440">
        <v>1.112096</v>
      </c>
      <c r="L3440">
        <v>214.0564</v>
      </c>
      <c r="M3440">
        <v>0.99961330000000004</v>
      </c>
      <c r="N3440">
        <v>-8.2472629999999995E-3</v>
      </c>
      <c r="O3440">
        <v>-2.656217E-2</v>
      </c>
      <c r="P3440">
        <v>0.93469970000000002</v>
      </c>
      <c r="Q3440">
        <v>0.34186139999999998</v>
      </c>
      <c r="R3440">
        <v>9.7300440000000002E-2</v>
      </c>
      <c r="S3440">
        <v>3.303375</v>
      </c>
      <c r="T3440">
        <v>-0.27590300000000001</v>
      </c>
      <c r="U3440">
        <v>8.6486820000000006E-2</v>
      </c>
      <c r="V3440">
        <v>-0.1239575</v>
      </c>
      <c r="W3440">
        <v>0.34887800000000002</v>
      </c>
      <c r="X3440">
        <v>0.92893419999999904</v>
      </c>
      <c r="Y3440">
        <v>-5.2441460000000002E-2</v>
      </c>
      <c r="Z3440">
        <v>4.3981080000000004E-3</v>
      </c>
      <c r="AA3440">
        <v>0.99861429999999995</v>
      </c>
      <c r="AB3440">
        <v>32</v>
      </c>
      <c r="AC3440">
        <v>12.9872</v>
      </c>
      <c r="AD3440">
        <v>-1.1120954342961</v>
      </c>
      <c r="AE3440">
        <v>0.35570000000001201</v>
      </c>
      <c r="AF3440">
        <v>-0.69545873936018299</v>
      </c>
      <c r="AG3440">
        <v>-1.1120954342961</v>
      </c>
      <c r="AH3440">
        <v>12.878805573731899</v>
      </c>
      <c r="AI3440">
        <v>94.928150634265705</v>
      </c>
      <c r="AJ3440">
        <v>93.090984368688595</v>
      </c>
      <c r="AK3440">
        <v>12.945425914936999</v>
      </c>
      <c r="AL3440">
        <v>69.581296796542304</v>
      </c>
      <c r="AM3440">
        <v>97.600679615838899</v>
      </c>
      <c r="AN3440">
        <v>1.00000003430994</v>
      </c>
    </row>
    <row r="3441" spans="1:40" x14ac:dyDescent="0.25">
      <c r="A3441" t="str">
        <f>"20190304164156854"</f>
        <v>20190304164156854</v>
      </c>
      <c r="B3441" t="str">
        <f>"1551688916843992"</f>
        <v>1551688916843992</v>
      </c>
      <c r="C3441" t="s">
        <v>40</v>
      </c>
      <c r="D3441">
        <v>4.0624200000000004</v>
      </c>
      <c r="E3441">
        <v>0.540267099999999</v>
      </c>
      <c r="F3441" t="s">
        <v>46</v>
      </c>
      <c r="G3441">
        <v>-443.74799999999999</v>
      </c>
      <c r="H3441" s="1">
        <v>4.6722379999999999E-7</v>
      </c>
      <c r="I3441">
        <v>214.3991</v>
      </c>
      <c r="J3441">
        <v>-456.60759999999999</v>
      </c>
      <c r="K3441">
        <v>1.1120159999999999</v>
      </c>
      <c r="L3441">
        <v>214.05029999999999</v>
      </c>
      <c r="M3441">
        <v>0.99966100000000002</v>
      </c>
      <c r="N3441">
        <v>-8.6842780000000001E-3</v>
      </c>
      <c r="O3441">
        <v>-2.455266E-2</v>
      </c>
      <c r="P3441">
        <v>0.93496219999999997</v>
      </c>
      <c r="Q3441">
        <v>0.34070620000000001</v>
      </c>
      <c r="R3441">
        <v>9.8820389999999994E-2</v>
      </c>
      <c r="S3441">
        <v>3.3025820000000001</v>
      </c>
      <c r="T3441">
        <v>-0.27880300000000002</v>
      </c>
      <c r="U3441">
        <v>8.5906979999999994E-2</v>
      </c>
      <c r="V3441">
        <v>-0.12349589999999901</v>
      </c>
      <c r="W3441">
        <v>0.34817409999999999</v>
      </c>
      <c r="X3441">
        <v>0.92925970000000002</v>
      </c>
      <c r="Y3441">
        <v>-5.0273279999999997E-2</v>
      </c>
      <c r="Z3441">
        <v>4.1925259999999898E-3</v>
      </c>
      <c r="AA3441">
        <v>0.99872669999999997</v>
      </c>
      <c r="AB3441">
        <v>32</v>
      </c>
      <c r="AC3441">
        <v>12.859599999999901</v>
      </c>
      <c r="AD3441">
        <v>-1.11201553277619</v>
      </c>
      <c r="AE3441">
        <v>0.34880000000001099</v>
      </c>
      <c r="AF3441">
        <v>-0.65951605424569204</v>
      </c>
      <c r="AG3441">
        <v>-1.11201553277619</v>
      </c>
      <c r="AH3441">
        <v>12.7518744225088</v>
      </c>
      <c r="AI3441">
        <v>94.977199517622495</v>
      </c>
      <c r="AJ3441">
        <v>92.960650877152602</v>
      </c>
      <c r="AK3441">
        <v>12.817247803580001</v>
      </c>
      <c r="AL3441">
        <v>69.624324819003704</v>
      </c>
      <c r="AM3441">
        <v>97.570083051923604</v>
      </c>
      <c r="AN3441">
        <v>1.0000000156358499</v>
      </c>
    </row>
    <row r="3442" spans="1:40" x14ac:dyDescent="0.25">
      <c r="A3442" t="str">
        <f>"20190304164156877"</f>
        <v>20190304164156877</v>
      </c>
      <c r="B3442" t="str">
        <f>"1551688916864488"</f>
        <v>1551688916864488</v>
      </c>
      <c r="C3442" t="s">
        <v>40</v>
      </c>
      <c r="D3442">
        <v>4.0605089999999997</v>
      </c>
      <c r="E3442">
        <v>0.54041430000000001</v>
      </c>
      <c r="F3442" t="s">
        <v>46</v>
      </c>
      <c r="G3442">
        <v>-443.56200000000001</v>
      </c>
      <c r="H3442" s="1">
        <v>3.6807220000000003E-7</v>
      </c>
      <c r="I3442">
        <v>214.40280000000001</v>
      </c>
      <c r="J3442">
        <v>-456.28280000000001</v>
      </c>
      <c r="K3442">
        <v>1.111882</v>
      </c>
      <c r="L3442">
        <v>214.0444</v>
      </c>
      <c r="M3442">
        <v>0.99970150000000002</v>
      </c>
      <c r="N3442">
        <v>-9.099401E-3</v>
      </c>
      <c r="O3442">
        <v>-2.2678690000000001E-2</v>
      </c>
      <c r="P3442">
        <v>0.9347548</v>
      </c>
      <c r="Q3442">
        <v>0.34056150000000002</v>
      </c>
      <c r="R3442">
        <v>0.1012501</v>
      </c>
      <c r="S3442">
        <v>3.3018489999999998</v>
      </c>
      <c r="T3442">
        <v>-0.2814528</v>
      </c>
      <c r="U3442">
        <v>8.9218140000000001E-2</v>
      </c>
      <c r="V3442">
        <v>-0.1240275</v>
      </c>
      <c r="W3442">
        <v>0.34846369999999999</v>
      </c>
      <c r="X3442">
        <v>0.92908029999999997</v>
      </c>
      <c r="Y3442">
        <v>-4.941135E-2</v>
      </c>
      <c r="Z3442">
        <v>4.0503789999999998E-3</v>
      </c>
      <c r="AA3442">
        <v>0.9987703</v>
      </c>
      <c r="AB3442">
        <v>32</v>
      </c>
      <c r="AC3442">
        <v>12.720800000000001</v>
      </c>
      <c r="AD3442">
        <v>-1.1118816319278</v>
      </c>
      <c r="AE3442">
        <v>0.35840000000001698</v>
      </c>
      <c r="AF3442">
        <v>-0.64191055794832996</v>
      </c>
      <c r="AG3442">
        <v>-1.1118816319278</v>
      </c>
      <c r="AH3442">
        <v>12.613113009937701</v>
      </c>
      <c r="AI3442">
        <v>95.031284917843095</v>
      </c>
      <c r="AJ3442">
        <v>92.913401500595</v>
      </c>
      <c r="AK3442">
        <v>12.6782865454794</v>
      </c>
      <c r="AL3442">
        <v>69.606622830244902</v>
      </c>
      <c r="AM3442">
        <v>97.603739674591793</v>
      </c>
      <c r="AN3442">
        <v>0.99999998741101404</v>
      </c>
    </row>
    <row r="3443" spans="1:40" x14ac:dyDescent="0.25">
      <c r="A3443" t="str">
        <f>"20190304164156900"</f>
        <v>20190304164156900</v>
      </c>
      <c r="B3443" t="str">
        <f>"1551688916894744"</f>
        <v>1551688916894744</v>
      </c>
      <c r="C3443" t="s">
        <v>40</v>
      </c>
      <c r="D3443">
        <v>4.0761729999999998</v>
      </c>
      <c r="E3443">
        <v>0.54063950000000005</v>
      </c>
      <c r="F3443" t="s">
        <v>46</v>
      </c>
      <c r="G3443">
        <v>-443.18689999999998</v>
      </c>
      <c r="H3443" s="1">
        <v>1.6758220000000001E-7</v>
      </c>
      <c r="I3443">
        <v>214.42240000000001</v>
      </c>
      <c r="J3443">
        <v>-455.94069999999999</v>
      </c>
      <c r="K3443">
        <v>1.111696</v>
      </c>
      <c r="L3443">
        <v>214.0386</v>
      </c>
      <c r="M3443">
        <v>0.99973520000000005</v>
      </c>
      <c r="N3443">
        <v>-9.4937100000000007E-3</v>
      </c>
      <c r="O3443">
        <v>-2.0963309999999999E-2</v>
      </c>
      <c r="P3443">
        <v>0.93430469999999999</v>
      </c>
      <c r="Q3443">
        <v>0.34091100000000002</v>
      </c>
      <c r="R3443">
        <v>0.1041845</v>
      </c>
      <c r="S3443">
        <v>3.3011780000000002</v>
      </c>
      <c r="T3443">
        <v>-0.28027869999999999</v>
      </c>
      <c r="U3443">
        <v>9.5291139999999996E-2</v>
      </c>
      <c r="V3443">
        <v>-0.12516369999999999</v>
      </c>
      <c r="W3443">
        <v>0.34923949999999998</v>
      </c>
      <c r="X3443">
        <v>0.92863660000000003</v>
      </c>
      <c r="Y3443">
        <v>-4.954538E-2</v>
      </c>
      <c r="Z3443">
        <v>3.9124149999999998E-3</v>
      </c>
      <c r="AA3443">
        <v>0.99876419999999999</v>
      </c>
      <c r="AB3443">
        <v>32</v>
      </c>
      <c r="AC3443">
        <v>12.7538</v>
      </c>
      <c r="AD3443">
        <v>-1.1116958324177999</v>
      </c>
      <c r="AE3443">
        <v>0.38380000000000702</v>
      </c>
      <c r="AF3443">
        <v>-0.64618436237659604</v>
      </c>
      <c r="AG3443">
        <v>-1.1116958324177999</v>
      </c>
      <c r="AH3443">
        <v>12.6469478403338</v>
      </c>
      <c r="AI3443">
        <v>95.017007902080607</v>
      </c>
      <c r="AJ3443">
        <v>92.924932524397903</v>
      </c>
      <c r="AK3443">
        <v>12.7121481870736</v>
      </c>
      <c r="AL3443">
        <v>69.559194629425704</v>
      </c>
      <c r="AM3443">
        <v>97.676192727513595</v>
      </c>
      <c r="AN3443">
        <v>1.00000005750874</v>
      </c>
    </row>
    <row r="3444" spans="1:40" x14ac:dyDescent="0.25">
      <c r="A3444" t="str">
        <f>"20190304164156923"</f>
        <v>20190304164156923</v>
      </c>
      <c r="B3444" t="str">
        <f>"1551688916914264"</f>
        <v>1551688916914264</v>
      </c>
      <c r="C3444" t="s">
        <v>40</v>
      </c>
      <c r="D3444">
        <v>4.1146200000000004</v>
      </c>
      <c r="E3444">
        <v>0.54079250000000001</v>
      </c>
      <c r="F3444" t="s">
        <v>46</v>
      </c>
      <c r="G3444">
        <v>-442.73770000000002</v>
      </c>
      <c r="H3444" s="1">
        <v>-7.2731219999999995E-8</v>
      </c>
      <c r="I3444">
        <v>214.4521</v>
      </c>
      <c r="J3444">
        <v>-455.62619999999998</v>
      </c>
      <c r="K3444">
        <v>1.11149599999999</v>
      </c>
      <c r="L3444">
        <v>214.0335</v>
      </c>
      <c r="M3444">
        <v>0.99975860000000005</v>
      </c>
      <c r="N3444">
        <v>-9.8146110000000009E-3</v>
      </c>
      <c r="O3444">
        <v>-1.9659610000000001E-2</v>
      </c>
      <c r="P3444">
        <v>0.93403449999999999</v>
      </c>
      <c r="Q3444">
        <v>0.34096459999999901</v>
      </c>
      <c r="R3444">
        <v>0.10640819999999999</v>
      </c>
      <c r="S3444">
        <v>3.3008419999999998</v>
      </c>
      <c r="T3444">
        <v>-0.2779317</v>
      </c>
      <c r="U3444">
        <v>0.1033936</v>
      </c>
      <c r="V3444">
        <v>-0.12596859999999999</v>
      </c>
      <c r="W3444">
        <v>0.3496573</v>
      </c>
      <c r="X3444">
        <v>0.92837049999999999</v>
      </c>
      <c r="Y3444">
        <v>-5.0698430000000003E-2</v>
      </c>
      <c r="Z3444">
        <v>3.8389320000000002E-3</v>
      </c>
      <c r="AA3444">
        <v>0.9987066</v>
      </c>
      <c r="AB3444">
        <v>32</v>
      </c>
      <c r="AC3444">
        <v>12.888499999999899</v>
      </c>
      <c r="AD3444">
        <v>-1.11149607273121</v>
      </c>
      <c r="AE3444">
        <v>0.41859999999999697</v>
      </c>
      <c r="AF3444">
        <v>-0.66695906729490595</v>
      </c>
      <c r="AG3444">
        <v>-1.11149607273121</v>
      </c>
      <c r="AH3444">
        <v>12.7828104052765</v>
      </c>
      <c r="AI3444">
        <v>94.962789594168001</v>
      </c>
      <c r="AJ3444">
        <v>92.986770327518002</v>
      </c>
      <c r="AK3444">
        <v>12.848365646041801</v>
      </c>
      <c r="AL3444">
        <v>69.533645588937105</v>
      </c>
      <c r="AM3444">
        <v>97.727149901599603</v>
      </c>
      <c r="AN3444">
        <v>1.0000000504497399</v>
      </c>
    </row>
    <row r="3445" spans="1:40" x14ac:dyDescent="0.25">
      <c r="A3445" t="str">
        <f>"20190304164156945"</f>
        <v>20190304164156945</v>
      </c>
      <c r="B3445" t="str">
        <f>"1551688916934760"</f>
        <v>1551688916934760</v>
      </c>
      <c r="C3445" t="s">
        <v>40</v>
      </c>
      <c r="D3445">
        <v>4.1192539999999997</v>
      </c>
      <c r="E3445">
        <v>0.54095329999999997</v>
      </c>
      <c r="F3445" t="s">
        <v>46</v>
      </c>
      <c r="G3445">
        <v>-442.38749999999999</v>
      </c>
      <c r="H3445" s="1">
        <v>-2.6001950000000001E-7</v>
      </c>
      <c r="I3445">
        <v>214.4735</v>
      </c>
      <c r="J3445">
        <v>-455.2989</v>
      </c>
      <c r="K3445">
        <v>1.111264</v>
      </c>
      <c r="L3445">
        <v>214.0284</v>
      </c>
      <c r="M3445">
        <v>0.99977590000000005</v>
      </c>
      <c r="N3445">
        <v>-1.010748E-2</v>
      </c>
      <c r="O3445">
        <v>-1.860359E-2</v>
      </c>
      <c r="P3445">
        <v>0.93361459999999996</v>
      </c>
      <c r="Q3445">
        <v>0.34107880000000002</v>
      </c>
      <c r="R3445">
        <v>0.109678399999999</v>
      </c>
      <c r="S3445">
        <v>3.3005369999999998</v>
      </c>
      <c r="T3445">
        <v>-0.2771074</v>
      </c>
      <c r="U3445">
        <v>0.1096954</v>
      </c>
      <c r="V3445">
        <v>-0.1280346</v>
      </c>
      <c r="W3445">
        <v>0.35010980000000003</v>
      </c>
      <c r="X3445">
        <v>0.9279172</v>
      </c>
      <c r="Y3445">
        <v>-5.1552109999999998E-2</v>
      </c>
      <c r="Z3445">
        <v>3.791956E-3</v>
      </c>
      <c r="AA3445">
        <v>0.99866310000000003</v>
      </c>
      <c r="AB3445">
        <v>32</v>
      </c>
      <c r="AC3445">
        <v>12.9114</v>
      </c>
      <c r="AD3445">
        <v>-1.1112642600195</v>
      </c>
      <c r="AE3445">
        <v>0.445099999999996</v>
      </c>
      <c r="AF3445">
        <v>-0.680200815765728</v>
      </c>
      <c r="AG3445">
        <v>-1.1112642600195</v>
      </c>
      <c r="AH3445">
        <v>12.8061320301876</v>
      </c>
      <c r="AI3445">
        <v>94.952525766685298</v>
      </c>
      <c r="AJ3445">
        <v>93.040422162072204</v>
      </c>
      <c r="AK3445">
        <v>12.872241412433199</v>
      </c>
      <c r="AL3445">
        <v>69.505969533852806</v>
      </c>
      <c r="AM3445">
        <v>97.856101854239498</v>
      </c>
      <c r="AN3445">
        <v>1.00000003045451</v>
      </c>
    </row>
    <row r="3446" spans="1:40" x14ac:dyDescent="0.25">
      <c r="A3446" t="str">
        <f>"20190304164156965"</f>
        <v>20190304164156965</v>
      </c>
      <c r="B3446" t="str">
        <f>"1551688916954280"</f>
        <v>1551688916954280</v>
      </c>
      <c r="C3446" t="s">
        <v>40</v>
      </c>
      <c r="D3446">
        <v>4.1358620000000004</v>
      </c>
      <c r="E3446">
        <v>0.54114530000000005</v>
      </c>
      <c r="F3446" t="s">
        <v>46</v>
      </c>
      <c r="G3446">
        <v>-442.00869999999998</v>
      </c>
      <c r="H3446" s="1">
        <v>-4.6289889999999998E-7</v>
      </c>
      <c r="I3446">
        <v>214.50239999999999</v>
      </c>
      <c r="J3446">
        <v>-455.0027</v>
      </c>
      <c r="K3446">
        <v>1.111067</v>
      </c>
      <c r="L3446">
        <v>214.02379999999999</v>
      </c>
      <c r="M3446">
        <v>0.99978719999999999</v>
      </c>
      <c r="N3446">
        <v>-1.034271E-2</v>
      </c>
      <c r="O3446">
        <v>-1.78532E-2</v>
      </c>
      <c r="P3446">
        <v>0.93357950000000001</v>
      </c>
      <c r="Q3446">
        <v>0.3403794</v>
      </c>
      <c r="R3446">
        <v>0.1121219</v>
      </c>
      <c r="S3446">
        <v>3.3003230000000001</v>
      </c>
      <c r="T3446">
        <v>-0.27595769999999997</v>
      </c>
      <c r="U3446">
        <v>0.117691</v>
      </c>
      <c r="V3446">
        <v>-0.12960169999999999</v>
      </c>
      <c r="W3446">
        <v>0.34968850000000001</v>
      </c>
      <c r="X3446">
        <v>0.92785850000000003</v>
      </c>
      <c r="Y3446">
        <v>-5.3218590000000003E-2</v>
      </c>
      <c r="Z3446">
        <v>3.8016949999999999E-3</v>
      </c>
      <c r="AA3446">
        <v>0.99857560000000001</v>
      </c>
      <c r="AB3446">
        <v>32</v>
      </c>
      <c r="AC3446">
        <v>12.994</v>
      </c>
      <c r="AD3446">
        <v>-1.1110674628988999</v>
      </c>
      <c r="AE3446">
        <v>0.47860000000000003</v>
      </c>
      <c r="AF3446">
        <v>-0.70537038996795898</v>
      </c>
      <c r="AG3446">
        <v>-1.1110674628988999</v>
      </c>
      <c r="AH3446">
        <v>12.889273990825499</v>
      </c>
      <c r="AI3446">
        <v>94.919446034870404</v>
      </c>
      <c r="AJ3446">
        <v>93.132408630150195</v>
      </c>
      <c r="AK3446">
        <v>12.956288137608199</v>
      </c>
      <c r="AL3446">
        <v>69.531736895380504</v>
      </c>
      <c r="AM3446">
        <v>97.951531993517193</v>
      </c>
      <c r="AN3446">
        <v>1.00000002184869</v>
      </c>
    </row>
    <row r="3447" spans="1:40" x14ac:dyDescent="0.25">
      <c r="A3447" t="str">
        <f>"20190304164156988"</f>
        <v>20190304164156988</v>
      </c>
      <c r="B3447" t="str">
        <f>"1551688916974776"</f>
        <v>1551688916974776</v>
      </c>
      <c r="C3447" t="s">
        <v>40</v>
      </c>
      <c r="D3447">
        <v>4.1366300000000003</v>
      </c>
      <c r="E3447">
        <v>0.54133679999999995</v>
      </c>
      <c r="F3447" t="s">
        <v>46</v>
      </c>
      <c r="G3447">
        <v>-441.81079999999997</v>
      </c>
      <c r="H3447" s="1">
        <v>-5.6876490000000001E-7</v>
      </c>
      <c r="I3447">
        <v>214.51509999999999</v>
      </c>
      <c r="J3447">
        <v>-454.67180000000002</v>
      </c>
      <c r="K3447">
        <v>1.110867</v>
      </c>
      <c r="L3447">
        <v>214.0188</v>
      </c>
      <c r="M3447">
        <v>0.99979499999999999</v>
      </c>
      <c r="N3447">
        <v>-1.057312E-2</v>
      </c>
      <c r="O3447">
        <v>-1.727062E-2</v>
      </c>
      <c r="P3447">
        <v>0.93340000000000001</v>
      </c>
      <c r="Q3447">
        <v>0.3403255</v>
      </c>
      <c r="R3447">
        <v>0.1137682</v>
      </c>
      <c r="S3447">
        <v>3.3000180000000001</v>
      </c>
      <c r="T3447">
        <v>-0.27793859999999998</v>
      </c>
      <c r="U3447">
        <v>0.122879</v>
      </c>
      <c r="V3447">
        <v>-0.13052179999999999</v>
      </c>
      <c r="W3447">
        <v>0.34991149999999999</v>
      </c>
      <c r="X3447">
        <v>0.92764539999999995</v>
      </c>
      <c r="Y3447">
        <v>-5.4201619999999999E-2</v>
      </c>
      <c r="Z3447">
        <v>3.8342440000000001E-3</v>
      </c>
      <c r="AA3447">
        <v>0.99852260000000004</v>
      </c>
      <c r="AB3447">
        <v>32</v>
      </c>
      <c r="AC3447">
        <v>12.861000000000001</v>
      </c>
      <c r="AD3447">
        <v>-1.1108675687648999</v>
      </c>
      <c r="AE3447">
        <v>0.49629999999999003</v>
      </c>
      <c r="AF3447">
        <v>-0.71304397554403998</v>
      </c>
      <c r="AG3447">
        <v>-1.1108675687648999</v>
      </c>
      <c r="AH3447">
        <v>12.755487321984999</v>
      </c>
      <c r="AI3447">
        <v>94.969576360296401</v>
      </c>
      <c r="AJ3447">
        <v>93.199559016226203</v>
      </c>
      <c r="AK3447">
        <v>12.8236077329164</v>
      </c>
      <c r="AL3447">
        <v>69.518097696364293</v>
      </c>
      <c r="AM3447">
        <v>98.009069383422599</v>
      </c>
      <c r="AN3447">
        <v>0.99999999312432497</v>
      </c>
    </row>
    <row r="3448" spans="1:40" x14ac:dyDescent="0.25">
      <c r="A3448" t="str">
        <f>"20190304164157011"</f>
        <v>20190304164157011</v>
      </c>
      <c r="B3448" t="str">
        <f>"1551688917004057"</f>
        <v>1551688917004057</v>
      </c>
      <c r="C3448" t="s">
        <v>40</v>
      </c>
      <c r="D3448">
        <v>4.1440919999999997</v>
      </c>
      <c r="E3448">
        <v>0.54167460000000001</v>
      </c>
      <c r="F3448" t="s">
        <v>46</v>
      </c>
      <c r="G3448">
        <v>-441.46530000000001</v>
      </c>
      <c r="H3448" s="1">
        <v>-7.5302759999999904E-7</v>
      </c>
      <c r="I3448">
        <v>214.52449999999999</v>
      </c>
      <c r="J3448">
        <v>-454.33679999999998</v>
      </c>
      <c r="K3448">
        <v>1.11066</v>
      </c>
      <c r="L3448">
        <v>214.0136</v>
      </c>
      <c r="M3448">
        <v>0.99979850000000003</v>
      </c>
      <c r="N3448">
        <v>-1.077637E-2</v>
      </c>
      <c r="O3448">
        <v>-1.694377E-2</v>
      </c>
      <c r="P3448">
        <v>0.93319560000000001</v>
      </c>
      <c r="Q3448">
        <v>0.3407713</v>
      </c>
      <c r="R3448">
        <v>0.1141095</v>
      </c>
      <c r="S3448">
        <v>3.2998959999999999</v>
      </c>
      <c r="T3448">
        <v>-0.27757140000000002</v>
      </c>
      <c r="U3448">
        <v>0.126358</v>
      </c>
      <c r="V3448">
        <v>-0.13037609999999999</v>
      </c>
      <c r="W3448">
        <v>0.350610799999999</v>
      </c>
      <c r="X3448">
        <v>0.92740180000000005</v>
      </c>
      <c r="Y3448">
        <v>-5.4926269999999999E-2</v>
      </c>
      <c r="Z3448">
        <v>3.8418329999999998E-3</v>
      </c>
      <c r="AA3448">
        <v>0.99848300000000001</v>
      </c>
      <c r="AB3448">
        <v>32</v>
      </c>
      <c r="AC3448">
        <v>12.8714999999999</v>
      </c>
      <c r="AD3448">
        <v>-1.1106607530276</v>
      </c>
      <c r="AE3448">
        <v>0.51089999999999203</v>
      </c>
      <c r="AF3448">
        <v>-0.72355215482671997</v>
      </c>
      <c r="AG3448">
        <v>-1.1106607530276</v>
      </c>
      <c r="AH3448">
        <v>12.7660921764147</v>
      </c>
      <c r="AI3448">
        <v>94.964333655042907</v>
      </c>
      <c r="AJ3448">
        <v>93.243919793052996</v>
      </c>
      <c r="AK3448">
        <v>12.8347265060767</v>
      </c>
      <c r="AL3448">
        <v>69.475320647193897</v>
      </c>
      <c r="AM3448">
        <v>98.002318968248801</v>
      </c>
      <c r="AN3448">
        <v>0.99999997958554399</v>
      </c>
    </row>
    <row r="3449" spans="1:40" x14ac:dyDescent="0.25">
      <c r="A3449" t="str">
        <f>"20190304164157025"</f>
        <v>20190304164157025</v>
      </c>
      <c r="B3449" t="str">
        <f>"1551688917014793"</f>
        <v>1551688917014793</v>
      </c>
      <c r="C3449" t="s">
        <v>40</v>
      </c>
      <c r="D3449">
        <v>4.1514850000000001</v>
      </c>
      <c r="E3449">
        <v>0.54179040000000001</v>
      </c>
      <c r="F3449" t="s">
        <v>46</v>
      </c>
      <c r="G3449">
        <v>-441.05849999999998</v>
      </c>
      <c r="H3449" s="1">
        <v>-9.6926950000000009E-7</v>
      </c>
      <c r="I3449">
        <v>214.51900000000001</v>
      </c>
      <c r="J3449">
        <v>-454.13549999999998</v>
      </c>
      <c r="K3449">
        <v>1.110538</v>
      </c>
      <c r="L3449">
        <v>214.0104</v>
      </c>
      <c r="M3449">
        <v>0.99979879999999999</v>
      </c>
      <c r="N3449">
        <v>-1.088655E-2</v>
      </c>
      <c r="O3449">
        <v>-1.6851479999999999E-2</v>
      </c>
      <c r="P3449">
        <v>0.93312819999999996</v>
      </c>
      <c r="Q3449">
        <v>0.34093559999999901</v>
      </c>
      <c r="R3449">
        <v>0.11417049999999999</v>
      </c>
      <c r="S3449">
        <v>3.3001710000000002</v>
      </c>
      <c r="T3449">
        <v>-0.27604250000000002</v>
      </c>
      <c r="U3449">
        <v>0.12561040000000001</v>
      </c>
      <c r="V3449">
        <v>-0.130243</v>
      </c>
      <c r="W3449">
        <v>0.35091719999999998</v>
      </c>
      <c r="X3449">
        <v>0.92730460000000003</v>
      </c>
      <c r="Y3449">
        <v>-5.4609280000000003E-2</v>
      </c>
      <c r="Z3449">
        <v>3.8005790000000001E-3</v>
      </c>
      <c r="AA3449">
        <v>0.99850059999999996</v>
      </c>
      <c r="AB3449">
        <v>32</v>
      </c>
      <c r="AC3449">
        <v>13.0769999999999</v>
      </c>
      <c r="AD3449">
        <v>-1.1105389692695</v>
      </c>
      <c r="AE3449">
        <v>0.50860000000000105</v>
      </c>
      <c r="AF3449">
        <v>-0.72369625946765304</v>
      </c>
      <c r="AG3449">
        <v>-1.1105389692695</v>
      </c>
      <c r="AH3449">
        <v>12.973151606018799</v>
      </c>
      <c r="AI3449">
        <v>94.885196814536997</v>
      </c>
      <c r="AJ3449">
        <v>93.192887258233199</v>
      </c>
      <c r="AK3449">
        <v>13.040693833956199</v>
      </c>
      <c r="AL3449">
        <v>69.456573949793494</v>
      </c>
      <c r="AM3449">
        <v>97.995082249829807</v>
      </c>
      <c r="AN3449">
        <v>0.99999997074299896</v>
      </c>
    </row>
    <row r="3450" spans="1:40" x14ac:dyDescent="0.25">
      <c r="A3450" t="str">
        <f>"20190304164157045"</f>
        <v>20190304164157045</v>
      </c>
      <c r="B3450" t="str">
        <f>"1551688917034313"</f>
        <v>1551688917034313</v>
      </c>
      <c r="C3450" t="s">
        <v>40</v>
      </c>
      <c r="D3450">
        <v>4.1687200000000004</v>
      </c>
      <c r="E3450">
        <v>0.54203970000000001</v>
      </c>
      <c r="F3450" t="s">
        <v>46</v>
      </c>
      <c r="G3450">
        <v>-440.8261</v>
      </c>
      <c r="H3450" s="1">
        <v>-1.092741E-6</v>
      </c>
      <c r="I3450">
        <v>214.5145</v>
      </c>
      <c r="J3450">
        <v>-453.84870000000001</v>
      </c>
      <c r="K3450">
        <v>1.110365</v>
      </c>
      <c r="L3450">
        <v>214.00569999999999</v>
      </c>
      <c r="M3450">
        <v>0.99979669999999998</v>
      </c>
      <c r="N3450">
        <v>-1.1026660000000001E-2</v>
      </c>
      <c r="O3450">
        <v>-1.6879809999999999E-2</v>
      </c>
      <c r="P3450">
        <v>0.93315760000000003</v>
      </c>
      <c r="Q3450">
        <v>0.340723</v>
      </c>
      <c r="R3450">
        <v>0.1145635</v>
      </c>
      <c r="S3450">
        <v>3.3002929999999999</v>
      </c>
      <c r="T3450">
        <v>-0.27537689999999998</v>
      </c>
      <c r="U3450">
        <v>0.125</v>
      </c>
      <c r="V3450">
        <v>-0.1305074</v>
      </c>
      <c r="W3450">
        <v>0.35089219999999999</v>
      </c>
      <c r="X3450">
        <v>0.92727689999999996</v>
      </c>
      <c r="Y3450">
        <v>-5.4453439999999999E-2</v>
      </c>
      <c r="Z3450">
        <v>3.7877700000000002E-3</v>
      </c>
      <c r="AA3450">
        <v>0.99850910000000004</v>
      </c>
      <c r="AB3450">
        <v>32</v>
      </c>
      <c r="AC3450">
        <v>13.022600000000001</v>
      </c>
      <c r="AD3450">
        <v>-1.110366092741</v>
      </c>
      <c r="AE3450">
        <v>0.50880000000000702</v>
      </c>
      <c r="AF3450">
        <v>-0.72330940801076704</v>
      </c>
      <c r="AG3450">
        <v>-1.110366092741</v>
      </c>
      <c r="AH3450">
        <v>12.9183813792666</v>
      </c>
      <c r="AI3450">
        <v>94.904991648037694</v>
      </c>
      <c r="AJ3450">
        <v>93.204685593440104</v>
      </c>
      <c r="AK3450">
        <v>12.9861721388486</v>
      </c>
      <c r="AL3450">
        <v>69.458103885065796</v>
      </c>
      <c r="AM3450">
        <v>98.011338384358794</v>
      </c>
      <c r="AN3450">
        <v>0.99999998337460405</v>
      </c>
    </row>
    <row r="3451" spans="1:40" x14ac:dyDescent="0.25">
      <c r="A3451" t="str">
        <f>"20190304164157066"</f>
        <v>20190304164157066</v>
      </c>
      <c r="B3451" t="str">
        <f>"1551688917054809"</f>
        <v>1551688917054809</v>
      </c>
      <c r="C3451" t="s">
        <v>40</v>
      </c>
      <c r="D3451">
        <v>4.185854</v>
      </c>
      <c r="E3451">
        <v>0.5422922</v>
      </c>
      <c r="F3451" t="s">
        <v>46</v>
      </c>
      <c r="G3451">
        <v>-440.55130000000003</v>
      </c>
      <c r="H3451" s="1">
        <v>-1.2385080000000001E-6</v>
      </c>
      <c r="I3451">
        <v>214.50460000000001</v>
      </c>
      <c r="J3451">
        <v>-453.5462</v>
      </c>
      <c r="K3451">
        <v>1.1101719999999999</v>
      </c>
      <c r="L3451">
        <v>214.00059999999999</v>
      </c>
      <c r="M3451">
        <v>0.9997916</v>
      </c>
      <c r="N3451">
        <v>-1.116026E-2</v>
      </c>
      <c r="O3451">
        <v>-1.7101680000000001E-2</v>
      </c>
      <c r="P3451">
        <v>0.93333540000000004</v>
      </c>
      <c r="Q3451">
        <v>0.34014149999999999</v>
      </c>
      <c r="R3451">
        <v>0.11484320000000001</v>
      </c>
      <c r="S3451">
        <v>3.3003230000000001</v>
      </c>
      <c r="T3451">
        <v>-0.27558579999999999</v>
      </c>
      <c r="U3451">
        <v>0.1238098</v>
      </c>
      <c r="V3451">
        <v>-0.13083</v>
      </c>
      <c r="W3451">
        <v>0.35049789999999997</v>
      </c>
      <c r="X3451">
        <v>0.9273806</v>
      </c>
      <c r="Y3451">
        <v>-5.4314559999999998E-2</v>
      </c>
      <c r="Z3451">
        <v>3.8013840000000001E-3</v>
      </c>
      <c r="AA3451">
        <v>0.99851659999999998</v>
      </c>
      <c r="AB3451">
        <v>32</v>
      </c>
      <c r="AC3451">
        <v>12.9948999999999</v>
      </c>
      <c r="AD3451">
        <v>-1.1101732385080001</v>
      </c>
      <c r="AE3451">
        <v>0.50400000000001899</v>
      </c>
      <c r="AF3451">
        <v>-0.72092095396177303</v>
      </c>
      <c r="AG3451">
        <v>-1.1101732385080001</v>
      </c>
      <c r="AH3451">
        <v>12.8904395483888</v>
      </c>
      <c r="AI3451">
        <v>94.914739722978496</v>
      </c>
      <c r="AJ3451">
        <v>93.2010346172856</v>
      </c>
      <c r="AK3451">
        <v>12.95822686142</v>
      </c>
      <c r="AL3451">
        <v>69.482228552372106</v>
      </c>
      <c r="AM3451">
        <v>98.029997189569002</v>
      </c>
      <c r="AN3451">
        <v>1.00000002203038</v>
      </c>
    </row>
    <row r="3452" spans="1:40" x14ac:dyDescent="0.25">
      <c r="A3452" t="str">
        <f>"20190304164157081"</f>
        <v>20190304164157081</v>
      </c>
      <c r="B3452" t="str">
        <f>"1551688917074328"</f>
        <v>1551688917074328</v>
      </c>
      <c r="C3452" t="s">
        <v>40</v>
      </c>
      <c r="D3452">
        <v>4.2202640000000002</v>
      </c>
      <c r="E3452">
        <v>0.54257489999999997</v>
      </c>
      <c r="F3452" t="s">
        <v>46</v>
      </c>
      <c r="G3452">
        <v>-440.327</v>
      </c>
      <c r="H3452" s="1">
        <v>-1.3570840000000001E-6</v>
      </c>
      <c r="I3452">
        <v>214.4864</v>
      </c>
      <c r="J3452">
        <v>-453.33109999999999</v>
      </c>
      <c r="K3452">
        <v>1.1100369999999999</v>
      </c>
      <c r="L3452">
        <v>213.99680000000001</v>
      </c>
      <c r="M3452">
        <v>0.99978599999999995</v>
      </c>
      <c r="N3452">
        <v>-1.125664E-2</v>
      </c>
      <c r="O3452">
        <v>-1.7359309999999999E-2</v>
      </c>
      <c r="P3452">
        <v>0.93343799999999999</v>
      </c>
      <c r="Q3452">
        <v>0.33982859999999998</v>
      </c>
      <c r="R3452">
        <v>0.1149357</v>
      </c>
      <c r="S3452">
        <v>3.3004150000000001</v>
      </c>
      <c r="T3452">
        <v>-0.27717550000000002</v>
      </c>
      <c r="U3452">
        <v>0.12127690000000001</v>
      </c>
      <c r="V3452">
        <v>-0.1310472</v>
      </c>
      <c r="W3452">
        <v>0.35031879999999999</v>
      </c>
      <c r="X3452">
        <v>0.92741759999999995</v>
      </c>
      <c r="Y3452">
        <v>-5.3803910000000003E-2</v>
      </c>
      <c r="Z3452">
        <v>3.8179329999999999E-3</v>
      </c>
      <c r="AA3452">
        <v>0.99854419999999999</v>
      </c>
      <c r="AB3452">
        <v>32</v>
      </c>
      <c r="AC3452">
        <v>13.0040999999999</v>
      </c>
      <c r="AD3452">
        <v>-1.110038357084</v>
      </c>
      <c r="AE3452">
        <v>0.48959999999999498</v>
      </c>
      <c r="AF3452">
        <v>-0.71011581867432505</v>
      </c>
      <c r="AG3452">
        <v>-1.110038357084</v>
      </c>
      <c r="AH3452">
        <v>12.8997801610465</v>
      </c>
      <c r="AI3452">
        <v>94.910842017639794</v>
      </c>
      <c r="AJ3452">
        <v>93.150876610955706</v>
      </c>
      <c r="AK3452">
        <v>12.9669108824523</v>
      </c>
      <c r="AL3452">
        <v>69.493184794147396</v>
      </c>
      <c r="AM3452">
        <v>98.042837349890206</v>
      </c>
      <c r="AN3452">
        <v>1.0000000175255099</v>
      </c>
    </row>
    <row r="3453" spans="1:40" x14ac:dyDescent="0.25">
      <c r="A3453" t="str">
        <f>"20190304164157104"</f>
        <v>20190304164157104</v>
      </c>
      <c r="B3453" t="str">
        <f>"1551688917094824"</f>
        <v>1551688917094824</v>
      </c>
      <c r="C3453" t="s">
        <v>40</v>
      </c>
      <c r="D3453">
        <v>4.2045409999999999</v>
      </c>
      <c r="E3453">
        <v>0.54284350000000003</v>
      </c>
      <c r="F3453" t="s">
        <v>46</v>
      </c>
      <c r="G3453">
        <v>-440.16239999999999</v>
      </c>
      <c r="H3453" s="1">
        <v>-1.4439320000000001E-6</v>
      </c>
      <c r="I3453">
        <v>214.46950000000001</v>
      </c>
      <c r="J3453">
        <v>-453.01209999999998</v>
      </c>
      <c r="K3453">
        <v>1.109675</v>
      </c>
      <c r="L3453">
        <v>213.99100000000001</v>
      </c>
      <c r="M3453">
        <v>0.99978719999999999</v>
      </c>
      <c r="N3453">
        <v>-1.039322E-2</v>
      </c>
      <c r="O3453">
        <v>-1.7825150000000001E-2</v>
      </c>
      <c r="P3453">
        <v>0.93322910000000003</v>
      </c>
      <c r="Q3453">
        <v>0.34046659999999901</v>
      </c>
      <c r="R3453">
        <v>0.1147442</v>
      </c>
      <c r="S3453">
        <v>3.300659</v>
      </c>
      <c r="T3453">
        <v>-0.27822639999999998</v>
      </c>
      <c r="U3453">
        <v>0.1184692</v>
      </c>
      <c r="V3453">
        <v>-0.1311997</v>
      </c>
      <c r="W3453">
        <v>0.35018569999999999</v>
      </c>
      <c r="X3453">
        <v>0.92744629999999995</v>
      </c>
      <c r="Y3453">
        <v>-5.3417249999999999E-2</v>
      </c>
      <c r="Z3453">
        <v>3.8394789999999998E-3</v>
      </c>
      <c r="AA3453">
        <v>0.99856489999999998</v>
      </c>
      <c r="AB3453">
        <v>32</v>
      </c>
      <c r="AC3453">
        <v>12.849699999999901</v>
      </c>
      <c r="AD3453">
        <v>-1.1096764439319999</v>
      </c>
      <c r="AE3453">
        <v>0.47850000000002502</v>
      </c>
      <c r="AF3453">
        <v>-0.70225417528267298</v>
      </c>
      <c r="AG3453">
        <v>-1.1096764439319999</v>
      </c>
      <c r="AH3453">
        <v>12.7442170775729</v>
      </c>
      <c r="AI3453">
        <v>94.968860615050403</v>
      </c>
      <c r="AJ3453">
        <v>93.154022680565902</v>
      </c>
      <c r="AK3453">
        <v>12.811698234708</v>
      </c>
      <c r="AL3453">
        <v>69.501326495638807</v>
      </c>
      <c r="AM3453">
        <v>98.051828239153394</v>
      </c>
      <c r="AN3453">
        <v>1.00000001257413</v>
      </c>
    </row>
    <row r="3454" spans="1:40" x14ac:dyDescent="0.25">
      <c r="A3454" t="str">
        <f>"20190304164157123"</f>
        <v>20190304164157123</v>
      </c>
      <c r="B3454" t="str">
        <f>"1551688917114344"</f>
        <v>1551688917114344</v>
      </c>
      <c r="C3454" t="s">
        <v>40</v>
      </c>
      <c r="D3454">
        <v>4.2065219999999997</v>
      </c>
      <c r="E3454">
        <v>0.54309759999999996</v>
      </c>
      <c r="F3454" t="s">
        <v>47</v>
      </c>
      <c r="G3454">
        <v>-439.73630000000003</v>
      </c>
      <c r="H3454" s="1">
        <v>6.5486350000000002E-6</v>
      </c>
      <c r="I3454">
        <v>214.45590000000001</v>
      </c>
      <c r="J3454">
        <v>-452.7079</v>
      </c>
      <c r="K3454">
        <v>1.10934</v>
      </c>
      <c r="L3454">
        <v>213.9854</v>
      </c>
      <c r="M3454">
        <v>0.99978940000000005</v>
      </c>
      <c r="N3454">
        <v>-9.2579110000000006E-3</v>
      </c>
      <c r="O3454">
        <v>-1.8321049999999998E-2</v>
      </c>
      <c r="P3454">
        <v>0.93273530000000004</v>
      </c>
      <c r="Q3454">
        <v>0.34192929999999999</v>
      </c>
      <c r="R3454">
        <v>0.1144095</v>
      </c>
      <c r="S3454">
        <v>3.3010860000000002</v>
      </c>
      <c r="T3454">
        <v>-0.27592339999999999</v>
      </c>
      <c r="U3454">
        <v>0.1156006</v>
      </c>
      <c r="V3454">
        <v>-0.13126499999999999</v>
      </c>
      <c r="W3454">
        <v>0.35060950000000002</v>
      </c>
      <c r="X3454">
        <v>0.92727689999999996</v>
      </c>
      <c r="Y3454">
        <v>-5.3046429999999999E-2</v>
      </c>
      <c r="Z3454">
        <v>3.8175359999999998E-3</v>
      </c>
      <c r="AA3454">
        <v>0.99858469999999999</v>
      </c>
      <c r="AB3454">
        <v>33</v>
      </c>
      <c r="AC3454">
        <v>12.971599999999899</v>
      </c>
      <c r="AD3454">
        <v>-1.1093334513649999</v>
      </c>
      <c r="AE3454">
        <v>0.47050000000001502</v>
      </c>
      <c r="AF3454">
        <v>-0.70295010331562802</v>
      </c>
      <c r="AG3454">
        <v>-1.1093334513649999</v>
      </c>
      <c r="AH3454">
        <v>12.866821752371701</v>
      </c>
      <c r="AI3454">
        <v>94.920359625467896</v>
      </c>
      <c r="AJ3454">
        <v>93.127118360319898</v>
      </c>
      <c r="AK3454">
        <v>12.9336716195122</v>
      </c>
      <c r="AL3454">
        <v>69.4754003071006</v>
      </c>
      <c r="AM3454">
        <v>98.057235508565498</v>
      </c>
      <c r="AN3454">
        <v>0.99999998549442903</v>
      </c>
    </row>
    <row r="3455" spans="1:40" x14ac:dyDescent="0.25">
      <c r="A3455" t="str">
        <f>"20190304164157145"</f>
        <v>20190304164157145</v>
      </c>
      <c r="B3455" t="str">
        <f>"1551688917134841"</f>
        <v>1551688917134841</v>
      </c>
      <c r="C3455" t="s">
        <v>40</v>
      </c>
      <c r="D3455">
        <v>4.2132319999999996</v>
      </c>
      <c r="E3455">
        <v>0.54333940000000003</v>
      </c>
      <c r="F3455" t="s">
        <v>47</v>
      </c>
      <c r="G3455">
        <v>-439.18959999999998</v>
      </c>
      <c r="H3455" s="1">
        <v>6.3068210000000003E-6</v>
      </c>
      <c r="I3455">
        <v>214.44919999999999</v>
      </c>
      <c r="J3455">
        <v>-452.38819999999998</v>
      </c>
      <c r="K3455">
        <v>1.109035</v>
      </c>
      <c r="L3455">
        <v>213.97919999999999</v>
      </c>
      <c r="M3455">
        <v>0.99978900000000004</v>
      </c>
      <c r="N3455">
        <v>-8.0511619999999902E-3</v>
      </c>
      <c r="O3455">
        <v>-1.8905140000000001E-2</v>
      </c>
      <c r="P3455">
        <v>0.93177969999999999</v>
      </c>
      <c r="Q3455">
        <v>0.34435280000000001</v>
      </c>
      <c r="R3455">
        <v>0.1149261</v>
      </c>
      <c r="S3455">
        <v>3.3017880000000002</v>
      </c>
      <c r="T3455">
        <v>-0.27095010000000003</v>
      </c>
      <c r="U3455">
        <v>0.11329649999999999</v>
      </c>
      <c r="V3455">
        <v>-0.13225909999999999</v>
      </c>
      <c r="W3455">
        <v>0.3519235</v>
      </c>
      <c r="X3455">
        <v>0.92663770000000001</v>
      </c>
      <c r="Y3455">
        <v>-5.2935089999999997E-2</v>
      </c>
      <c r="Z3455">
        <v>3.7776989999999998E-3</v>
      </c>
      <c r="AA3455">
        <v>0.9985908</v>
      </c>
      <c r="AB3455">
        <v>33</v>
      </c>
      <c r="AC3455">
        <v>13.198600000000001</v>
      </c>
      <c r="AD3455">
        <v>-1.1090286931790001</v>
      </c>
      <c r="AE3455">
        <v>0.46999999999999797</v>
      </c>
      <c r="AF3455">
        <v>-0.71440780872626997</v>
      </c>
      <c r="AG3455">
        <v>-1.1090286931790001</v>
      </c>
      <c r="AH3455">
        <v>13.0950162432461</v>
      </c>
      <c r="AI3455">
        <v>94.833725405160195</v>
      </c>
      <c r="AJ3455">
        <v>93.122715877281706</v>
      </c>
      <c r="AK3455">
        <v>13.161298323886699</v>
      </c>
      <c r="AL3455">
        <v>69.3949903189107</v>
      </c>
      <c r="AM3455">
        <v>98.122969298115507</v>
      </c>
      <c r="AN3455">
        <v>1.0000000232231701</v>
      </c>
    </row>
    <row r="3456" spans="1:40" x14ac:dyDescent="0.25">
      <c r="A3456" t="str">
        <f>"20190304164157166"</f>
        <v>20190304164157166</v>
      </c>
      <c r="B3456" t="str">
        <f>"1551688917154629"</f>
        <v>1551688917154629</v>
      </c>
      <c r="C3456" t="s">
        <v>40</v>
      </c>
      <c r="D3456">
        <v>4.191967</v>
      </c>
      <c r="E3456">
        <v>0.54341909999999904</v>
      </c>
      <c r="F3456" t="s">
        <v>47</v>
      </c>
      <c r="G3456">
        <v>-438.44099999999997</v>
      </c>
      <c r="H3456" s="1">
        <v>5.9738619999999999E-6</v>
      </c>
      <c r="I3456">
        <v>214.46039999999999</v>
      </c>
      <c r="J3456">
        <v>-452.07089999999999</v>
      </c>
      <c r="K3456">
        <v>1.108773</v>
      </c>
      <c r="L3456">
        <v>213.97290000000001</v>
      </c>
      <c r="M3456">
        <v>0.99978540000000005</v>
      </c>
      <c r="N3456">
        <v>-6.8816160000000001E-3</v>
      </c>
      <c r="O3456">
        <v>-1.954821E-2</v>
      </c>
      <c r="P3456">
        <v>0.93117640000000002</v>
      </c>
      <c r="Q3456">
        <v>0.3458369</v>
      </c>
      <c r="R3456">
        <v>0.1153578</v>
      </c>
      <c r="S3456">
        <v>3.3026430000000002</v>
      </c>
      <c r="T3456">
        <v>-0.26261509999999999</v>
      </c>
      <c r="U3456">
        <v>0.1139526</v>
      </c>
      <c r="V3456">
        <v>-0.13322030000000001</v>
      </c>
      <c r="W3456">
        <v>0.35234070000000001</v>
      </c>
      <c r="X3456">
        <v>0.92634139999999998</v>
      </c>
      <c r="Y3456">
        <v>-5.377767E-2</v>
      </c>
      <c r="Z3456">
        <v>3.7367899999999998E-3</v>
      </c>
      <c r="AA3456">
        <v>0.99854589999999999</v>
      </c>
      <c r="AB3456">
        <v>33</v>
      </c>
      <c r="AC3456">
        <v>13.629899999999999</v>
      </c>
      <c r="AD3456">
        <v>-1.108767026138</v>
      </c>
      <c r="AE3456">
        <v>0.487499999999983</v>
      </c>
      <c r="AF3456">
        <v>-0.74890370041628695</v>
      </c>
      <c r="AG3456">
        <v>-1.108767026138</v>
      </c>
      <c r="AH3456">
        <v>13.528355653409101</v>
      </c>
      <c r="AI3456">
        <v>94.678286791396104</v>
      </c>
      <c r="AJ3456">
        <v>93.168549897270495</v>
      </c>
      <c r="AK3456">
        <v>13.594360145143799</v>
      </c>
      <c r="AL3456">
        <v>69.369450286282103</v>
      </c>
      <c r="AM3456">
        <v>98.183788478101704</v>
      </c>
      <c r="AN3456">
        <v>1.0000000032812699</v>
      </c>
    </row>
    <row r="3457" spans="1:40" x14ac:dyDescent="0.25">
      <c r="A3457" t="str">
        <f>"20190304164157190"</f>
        <v>20190304164157190</v>
      </c>
      <c r="B3457" t="str">
        <f>"1551688917184884"</f>
        <v>1551688917184884</v>
      </c>
      <c r="C3457" t="s">
        <v>40</v>
      </c>
      <c r="D3457">
        <v>4.1580919999999999</v>
      </c>
      <c r="E3457">
        <v>0.55949629999999995</v>
      </c>
      <c r="F3457" t="s">
        <v>47</v>
      </c>
      <c r="G3457">
        <v>-437.83620000000002</v>
      </c>
      <c r="H3457" s="1">
        <v>5.7050730000000001E-6</v>
      </c>
      <c r="I3457">
        <v>214.46719999999999</v>
      </c>
      <c r="J3457">
        <v>-451.7124</v>
      </c>
      <c r="K3457">
        <v>1.1085050000000001</v>
      </c>
      <c r="L3457">
        <v>213.96549999999999</v>
      </c>
      <c r="M3457">
        <v>0.99977729999999998</v>
      </c>
      <c r="N3457">
        <v>-5.6158079999999999E-3</v>
      </c>
      <c r="O3457">
        <v>-2.0348939999999999E-2</v>
      </c>
      <c r="P3457">
        <v>0.9304095</v>
      </c>
      <c r="Q3457">
        <v>0.34774319999999997</v>
      </c>
      <c r="R3457">
        <v>0.1158153</v>
      </c>
      <c r="S3457">
        <v>3.3030699999999902</v>
      </c>
      <c r="T3457">
        <v>-0.25728319999999999</v>
      </c>
      <c r="U3457">
        <v>0.11470030000000001</v>
      </c>
      <c r="V3457">
        <v>-0.1343239</v>
      </c>
      <c r="W3457">
        <v>0.353101</v>
      </c>
      <c r="X3457">
        <v>0.92589239999999995</v>
      </c>
      <c r="Y3457">
        <v>-5.4803419999999999E-2</v>
      </c>
      <c r="Z3457">
        <v>3.7528209999999999E-3</v>
      </c>
      <c r="AA3457">
        <v>0.99849010000000005</v>
      </c>
      <c r="AB3457">
        <v>34</v>
      </c>
      <c r="AC3457">
        <v>13.8761999999999</v>
      </c>
      <c r="AD3457">
        <v>-1.1084992949269901</v>
      </c>
      <c r="AE3457">
        <v>0.50169999999999904</v>
      </c>
      <c r="AF3457">
        <v>-0.77900170139753999</v>
      </c>
      <c r="AG3457">
        <v>-1.1084992949269901</v>
      </c>
      <c r="AH3457">
        <v>13.775323593530601</v>
      </c>
      <c r="AI3457">
        <v>94.593366552777198</v>
      </c>
      <c r="AJ3457">
        <v>93.236658780564895</v>
      </c>
      <c r="AK3457">
        <v>13.8417901459354</v>
      </c>
      <c r="AL3457">
        <v>69.322895733128803</v>
      </c>
      <c r="AM3457">
        <v>98.254599520318607</v>
      </c>
      <c r="AN3457">
        <v>0.99999998134498402</v>
      </c>
    </row>
    <row r="3458" spans="1:40" x14ac:dyDescent="0.25">
      <c r="A3458" t="str">
        <f>"20190304164157212"</f>
        <v>20190304164157212</v>
      </c>
      <c r="B3458" t="str">
        <f>"1551688917204405"</f>
        <v>1551688917204405</v>
      </c>
      <c r="C3458" t="s">
        <v>40</v>
      </c>
      <c r="D3458">
        <v>4.1453709999999999</v>
      </c>
      <c r="E3458">
        <v>0.56098269999999995</v>
      </c>
      <c r="F3458" t="s">
        <v>47</v>
      </c>
      <c r="G3458">
        <v>-435.54969999999997</v>
      </c>
      <c r="H3458" s="1">
        <v>4.7405779999999998E-6</v>
      </c>
      <c r="I3458">
        <v>213.90100000000001</v>
      </c>
      <c r="J3458">
        <v>-451.3707</v>
      </c>
      <c r="K3458">
        <v>1.108263</v>
      </c>
      <c r="L3458">
        <v>213.9581</v>
      </c>
      <c r="M3458">
        <v>0.99976549999999997</v>
      </c>
      <c r="N3458">
        <v>-4.5086190000000002E-3</v>
      </c>
      <c r="O3458">
        <v>-2.118281E-2</v>
      </c>
      <c r="P3458">
        <v>0.92978530000000004</v>
      </c>
      <c r="Q3458">
        <v>0.34934759999999998</v>
      </c>
      <c r="R3458">
        <v>0.1159992</v>
      </c>
      <c r="S3458">
        <v>3.3109130000000002</v>
      </c>
      <c r="T3458">
        <v>-0.2270751</v>
      </c>
      <c r="U3458">
        <v>-1.319885E-2</v>
      </c>
      <c r="V3458">
        <v>-0.13517560000000001</v>
      </c>
      <c r="W3458">
        <v>0.35371350000000001</v>
      </c>
      <c r="X3458">
        <v>0.92553459999999999</v>
      </c>
      <c r="Y3458">
        <v>-1.7111040000000001E-2</v>
      </c>
      <c r="Z3458">
        <v>1.9802859999999999E-3</v>
      </c>
      <c r="AA3458">
        <v>0.99985159999999995</v>
      </c>
      <c r="AB3458">
        <v>34</v>
      </c>
      <c r="AC3458">
        <v>15.821</v>
      </c>
      <c r="AD3458">
        <v>-1.1082582594220001</v>
      </c>
      <c r="AE3458">
        <v>-5.71000000000196E-2</v>
      </c>
      <c r="AF3458">
        <v>-0.27669173741602499</v>
      </c>
      <c r="AG3458">
        <v>-1.1082582594220001</v>
      </c>
      <c r="AH3458">
        <v>15.7414177675301</v>
      </c>
      <c r="AI3458">
        <v>94.026585107766806</v>
      </c>
      <c r="AJ3458">
        <v>91.007001823616704</v>
      </c>
      <c r="AK3458">
        <v>15.7828079890444</v>
      </c>
      <c r="AL3458">
        <v>69.285381413760405</v>
      </c>
      <c r="AM3458">
        <v>98.309377241611301</v>
      </c>
      <c r="AN3458">
        <v>0.99999998935738399</v>
      </c>
    </row>
    <row r="3459" spans="1:40" x14ac:dyDescent="0.25">
      <c r="A3459" t="str">
        <f>"20190304164157225"</f>
        <v>20190304164157225</v>
      </c>
      <c r="B3459" t="str">
        <f>"1551688917214164"</f>
        <v>1551688917214164</v>
      </c>
      <c r="C3459" t="s">
        <v>40</v>
      </c>
      <c r="D3459">
        <v>4.1614380000000004</v>
      </c>
      <c r="E3459">
        <v>0.56155350000000004</v>
      </c>
      <c r="F3459" t="s">
        <v>47</v>
      </c>
      <c r="G3459">
        <v>-434.32369999999997</v>
      </c>
      <c r="H3459" s="1">
        <v>4.2029839999999998E-6</v>
      </c>
      <c r="I3459">
        <v>213.83160000000001</v>
      </c>
      <c r="J3459">
        <v>-451.15910000000002</v>
      </c>
      <c r="K3459">
        <v>1.1081319999999999</v>
      </c>
      <c r="L3459">
        <v>213.95330000000001</v>
      </c>
      <c r="M3459">
        <v>0.99975630000000004</v>
      </c>
      <c r="N3459">
        <v>-3.892427E-3</v>
      </c>
      <c r="O3459">
        <v>-2.1729579999999998E-2</v>
      </c>
      <c r="P3459">
        <v>0.9294637</v>
      </c>
      <c r="Q3459">
        <v>0.350244</v>
      </c>
      <c r="R3459">
        <v>0.1158724</v>
      </c>
      <c r="S3459">
        <v>3.310486</v>
      </c>
      <c r="T3459">
        <v>-0.21522160000000001</v>
      </c>
      <c r="U3459">
        <v>-2.4551389999999999E-2</v>
      </c>
      <c r="V3459">
        <v>-0.1354871</v>
      </c>
      <c r="W3459">
        <v>0.35406130000000002</v>
      </c>
      <c r="X3459">
        <v>0.92535599999999996</v>
      </c>
      <c r="Y3459">
        <v>-1.424246E-2</v>
      </c>
      <c r="Z3459">
        <v>1.816785E-3</v>
      </c>
      <c r="AA3459">
        <v>0.99989689999999998</v>
      </c>
      <c r="AB3459">
        <v>34</v>
      </c>
      <c r="AC3459">
        <v>16.8354</v>
      </c>
      <c r="AD3459">
        <v>-1.1081277970159999</v>
      </c>
      <c r="AE3459">
        <v>-0.121700000000004</v>
      </c>
      <c r="AF3459">
        <v>-0.24310449961209599</v>
      </c>
      <c r="AG3459">
        <v>-1.1081277970159999</v>
      </c>
      <c r="AH3459">
        <v>16.7614551078807</v>
      </c>
      <c r="AI3459">
        <v>93.782018819312</v>
      </c>
      <c r="AJ3459">
        <v>90.830947262728202</v>
      </c>
      <c r="AK3459">
        <v>16.7998042948646</v>
      </c>
      <c r="AL3459">
        <v>69.264074157834003</v>
      </c>
      <c r="AM3459">
        <v>98.329842038993803</v>
      </c>
      <c r="AN3459">
        <v>0.99999994258004798</v>
      </c>
    </row>
    <row r="3460" spans="1:40" x14ac:dyDescent="0.25">
      <c r="A3460" t="str">
        <f>"20190304164157245"</f>
        <v>20190304164157245</v>
      </c>
      <c r="B3460" t="str">
        <f>"1551688917234661"</f>
        <v>1551688917234661</v>
      </c>
      <c r="C3460" t="s">
        <v>40</v>
      </c>
      <c r="D3460">
        <v>4.1114800000000002</v>
      </c>
      <c r="E3460">
        <v>0.56204379999999998</v>
      </c>
      <c r="F3460" t="s">
        <v>47</v>
      </c>
      <c r="G3460">
        <v>-433.62079999999997</v>
      </c>
      <c r="H3460" s="1">
        <v>3.8941660000000002E-6</v>
      </c>
      <c r="I3460">
        <v>213.79859999999999</v>
      </c>
      <c r="J3460">
        <v>-450.8648</v>
      </c>
      <c r="K3460">
        <v>1.1079829999999999</v>
      </c>
      <c r="L3460">
        <v>213.94640000000001</v>
      </c>
      <c r="M3460">
        <v>0.99974130000000005</v>
      </c>
      <c r="N3460">
        <v>-3.1717809999999998E-3</v>
      </c>
      <c r="O3460">
        <v>-2.252614E-2</v>
      </c>
      <c r="P3460">
        <v>0.92904699999999996</v>
      </c>
      <c r="Q3460">
        <v>0.35147139999999999</v>
      </c>
      <c r="R3460">
        <v>0.1154975</v>
      </c>
      <c r="S3460">
        <v>3.3101199999999902</v>
      </c>
      <c r="T3460">
        <v>-0.2091441</v>
      </c>
      <c r="U3460">
        <v>-2.920532E-2</v>
      </c>
      <c r="V3460">
        <v>-0.1357505</v>
      </c>
      <c r="W3460">
        <v>0.3546552</v>
      </c>
      <c r="X3460">
        <v>0.92508999999999997</v>
      </c>
      <c r="Y3460">
        <v>-1.363585E-2</v>
      </c>
      <c r="Z3460">
        <v>1.8023080000000001E-3</v>
      </c>
      <c r="AA3460">
        <v>0.99990540000000006</v>
      </c>
      <c r="AB3460">
        <v>34</v>
      </c>
      <c r="AC3460">
        <v>17.244</v>
      </c>
      <c r="AD3460">
        <v>-1.1079791058339901</v>
      </c>
      <c r="AE3460">
        <v>-0.147800000000017</v>
      </c>
      <c r="AF3460">
        <v>-0.239690707521619</v>
      </c>
      <c r="AG3460">
        <v>-1.1079791058339901</v>
      </c>
      <c r="AH3460">
        <v>17.172064928688599</v>
      </c>
      <c r="AI3460">
        <v>93.691372797674106</v>
      </c>
      <c r="AJ3460">
        <v>90.799692652198601</v>
      </c>
      <c r="AK3460">
        <v>17.209441689065098</v>
      </c>
      <c r="AL3460">
        <v>69.227686317055301</v>
      </c>
      <c r="AM3460">
        <v>98.348174114796393</v>
      </c>
      <c r="AN3460">
        <v>1.00000000861864</v>
      </c>
    </row>
    <row r="3461" spans="1:40" x14ac:dyDescent="0.25">
      <c r="A3461" t="str">
        <f>"20190304164157260"</f>
        <v>20190304164157260</v>
      </c>
      <c r="B3461" t="str">
        <f>"1551688917254180"</f>
        <v>1551688917254180</v>
      </c>
      <c r="C3461" t="s">
        <v>40</v>
      </c>
      <c r="D3461">
        <v>4.1550260000000003</v>
      </c>
      <c r="E3461">
        <v>0.5623302</v>
      </c>
      <c r="F3461" t="s">
        <v>47</v>
      </c>
      <c r="G3461">
        <v>-431.98790000000002</v>
      </c>
      <c r="H3461" s="1">
        <v>3.1738590000000002E-6</v>
      </c>
      <c r="I3461">
        <v>213.75470000000001</v>
      </c>
      <c r="J3461">
        <v>-450.62549999999999</v>
      </c>
      <c r="K3461">
        <v>1.107893</v>
      </c>
      <c r="L3461">
        <v>213.94049999999999</v>
      </c>
      <c r="M3461">
        <v>0.99972740000000004</v>
      </c>
      <c r="N3461">
        <v>-2.7230069999999999E-3</v>
      </c>
      <c r="O3461">
        <v>-2.318957E-2</v>
      </c>
      <c r="P3461">
        <v>0.92884639999999996</v>
      </c>
      <c r="Q3461">
        <v>0.35215059999999998</v>
      </c>
      <c r="R3461">
        <v>0.1150413</v>
      </c>
      <c r="S3461">
        <v>3.306702</v>
      </c>
      <c r="T3461">
        <v>-0.19408629999999999</v>
      </c>
      <c r="U3461">
        <v>-3.3584589999999998E-2</v>
      </c>
      <c r="V3461">
        <v>-0.1358306</v>
      </c>
      <c r="W3461">
        <v>0.35494690000000001</v>
      </c>
      <c r="X3461">
        <v>0.92496639999999997</v>
      </c>
      <c r="Y3461">
        <v>-1.2975540000000001E-2</v>
      </c>
      <c r="Z3461">
        <v>1.6948169999999999E-3</v>
      </c>
      <c r="AA3461">
        <v>0.99991430000000003</v>
      </c>
      <c r="AB3461">
        <v>35</v>
      </c>
      <c r="AC3461">
        <v>18.6375999999999</v>
      </c>
      <c r="AD3461">
        <v>-1.107889826141</v>
      </c>
      <c r="AE3461">
        <v>-0.18579999999997199</v>
      </c>
      <c r="AF3461">
        <v>-0.245581793844041</v>
      </c>
      <c r="AG3461">
        <v>-1.107889826141</v>
      </c>
      <c r="AH3461">
        <v>18.571280366232401</v>
      </c>
      <c r="AI3461">
        <v>93.413697845627297</v>
      </c>
      <c r="AJ3461">
        <v>90.757620365787105</v>
      </c>
      <c r="AK3461">
        <v>18.605918002763001</v>
      </c>
      <c r="AL3461">
        <v>69.209810991358395</v>
      </c>
      <c r="AM3461">
        <v>98.354130934467904</v>
      </c>
      <c r="AN3461">
        <v>1.00000004742246</v>
      </c>
    </row>
    <row r="3462" spans="1:40" x14ac:dyDescent="0.25">
      <c r="A3462" t="str">
        <f>"20190304164157278"</f>
        <v>20190304164157278</v>
      </c>
      <c r="B3462" t="str">
        <f>"1551688917274676"</f>
        <v>1551688917274676</v>
      </c>
      <c r="C3462" t="s">
        <v>40</v>
      </c>
      <c r="D3462">
        <v>4.1834730000000002</v>
      </c>
      <c r="E3462">
        <v>0.56220990000000004</v>
      </c>
      <c r="F3462" t="s">
        <v>47</v>
      </c>
      <c r="G3462">
        <v>-431.85789999999997</v>
      </c>
      <c r="H3462" s="1">
        <v>3.1182289999999998E-6</v>
      </c>
      <c r="I3462">
        <v>213.7319</v>
      </c>
      <c r="J3462">
        <v>-450.34699999999998</v>
      </c>
      <c r="K3462">
        <v>1.107831</v>
      </c>
      <c r="L3462">
        <v>213.93340000000001</v>
      </c>
      <c r="M3462">
        <v>0.99971010000000005</v>
      </c>
      <c r="N3462">
        <v>-2.3961059999999998E-3</v>
      </c>
      <c r="O3462">
        <v>-2.3962279999999999E-2</v>
      </c>
      <c r="P3462">
        <v>0.92835089999999998</v>
      </c>
      <c r="Q3462">
        <v>0.35330869999999998</v>
      </c>
      <c r="R3462">
        <v>0.1154907</v>
      </c>
      <c r="S3462">
        <v>3.3083800000000001</v>
      </c>
      <c r="T3462">
        <v>-0.19530110000000001</v>
      </c>
      <c r="U3462">
        <v>-3.6773680000000003E-2</v>
      </c>
      <c r="V3462">
        <v>-0.13690450000000001</v>
      </c>
      <c r="W3462">
        <v>0.35583330000000002</v>
      </c>
      <c r="X3462">
        <v>0.92446729999999999</v>
      </c>
      <c r="Y3462">
        <v>-1.278788E-2</v>
      </c>
      <c r="Z3462">
        <v>1.7481949999999999E-3</v>
      </c>
      <c r="AA3462">
        <v>0.99991669999999999</v>
      </c>
      <c r="AB3462">
        <v>35</v>
      </c>
      <c r="AC3462">
        <v>18.489100000000001</v>
      </c>
      <c r="AD3462">
        <v>-1.1078278817709999</v>
      </c>
      <c r="AE3462">
        <v>-0.20150000000001</v>
      </c>
      <c r="AF3462">
        <v>-0.240735897203597</v>
      </c>
      <c r="AG3462">
        <v>-1.1078278817709999</v>
      </c>
      <c r="AH3462">
        <v>18.422487777421001</v>
      </c>
      <c r="AI3462">
        <v>93.441018314705701</v>
      </c>
      <c r="AJ3462">
        <v>90.748670105241501</v>
      </c>
      <c r="AK3462">
        <v>18.457337085751501</v>
      </c>
      <c r="AL3462">
        <v>69.155475603169606</v>
      </c>
      <c r="AM3462">
        <v>98.423717244178604</v>
      </c>
      <c r="AN3462">
        <v>0.99999998413921398</v>
      </c>
    </row>
    <row r="3463" spans="1:40" x14ac:dyDescent="0.25">
      <c r="A3463" t="str">
        <f>"20190304164157302"</f>
        <v>20190304164157302</v>
      </c>
      <c r="B3463" t="str">
        <f>"1551688917294196"</f>
        <v>1551688917294196</v>
      </c>
      <c r="C3463" t="s">
        <v>40</v>
      </c>
      <c r="D3463">
        <v>4.1771630000000002</v>
      </c>
      <c r="E3463">
        <v>0.56225009999999997</v>
      </c>
      <c r="F3463" t="s">
        <v>47</v>
      </c>
      <c r="G3463">
        <v>-431.27980000000002</v>
      </c>
      <c r="H3463" s="1">
        <v>2.862259E-6</v>
      </c>
      <c r="I3463">
        <v>213.72720000000001</v>
      </c>
      <c r="J3463">
        <v>-449.96530000000001</v>
      </c>
      <c r="K3463">
        <v>1.1078300000000001</v>
      </c>
      <c r="L3463">
        <v>213.92320000000001</v>
      </c>
      <c r="M3463">
        <v>0.99968480000000004</v>
      </c>
      <c r="N3463">
        <v>-2.2015160000000001E-3</v>
      </c>
      <c r="O3463">
        <v>-2.5014700000000001E-2</v>
      </c>
      <c r="P3463">
        <v>0.92864480000000005</v>
      </c>
      <c r="Q3463">
        <v>0.35227540000000002</v>
      </c>
      <c r="R3463">
        <v>0.1162808</v>
      </c>
      <c r="S3463">
        <v>3.3091740000000001</v>
      </c>
      <c r="T3463">
        <v>-0.19226670000000001</v>
      </c>
      <c r="U3463">
        <v>-3.5797120000000002E-2</v>
      </c>
      <c r="V3463">
        <v>-0.13860359999999999</v>
      </c>
      <c r="W3463">
        <v>0.35465350000000001</v>
      </c>
      <c r="X3463">
        <v>0.92466749999999998</v>
      </c>
      <c r="Y3463">
        <v>-1.4135999999999999E-2</v>
      </c>
      <c r="Z3463">
        <v>1.822798E-3</v>
      </c>
      <c r="AA3463">
        <v>0.99989839999999997</v>
      </c>
      <c r="AB3463">
        <v>35</v>
      </c>
      <c r="AC3463">
        <v>18.685499999999902</v>
      </c>
      <c r="AD3463">
        <v>-1.1078271377409901</v>
      </c>
      <c r="AE3463">
        <v>-0.19599999999999701</v>
      </c>
      <c r="AF3463">
        <v>-0.27052376912335302</v>
      </c>
      <c r="AG3463">
        <v>-1.1078271377409901</v>
      </c>
      <c r="AH3463">
        <v>18.619115482687899</v>
      </c>
      <c r="AI3463">
        <v>93.404694499446705</v>
      </c>
      <c r="AJ3463">
        <v>90.832412242981405</v>
      </c>
      <c r="AK3463">
        <v>18.654005613659599</v>
      </c>
      <c r="AL3463">
        <v>69.227790831752102</v>
      </c>
      <c r="AM3463">
        <v>98.524916090599504</v>
      </c>
      <c r="AN3463">
        <v>1.0000000242757201</v>
      </c>
    </row>
    <row r="3464" spans="1:40" x14ac:dyDescent="0.25">
      <c r="A3464" t="str">
        <f>"20190304164157326"</f>
        <v>20190304164157326</v>
      </c>
      <c r="B3464" t="str">
        <f>"1551688917314693"</f>
        <v>1551688917314693</v>
      </c>
      <c r="C3464" t="s">
        <v>40</v>
      </c>
      <c r="D3464">
        <v>4.1814850000000003</v>
      </c>
      <c r="E3464">
        <v>0.56237979999999999</v>
      </c>
      <c r="F3464" t="s">
        <v>47</v>
      </c>
      <c r="G3464">
        <v>-431.3639</v>
      </c>
      <c r="H3464" s="1">
        <v>2.9007450000000002E-6</v>
      </c>
      <c r="I3464">
        <v>213.71340000000001</v>
      </c>
      <c r="J3464">
        <v>-449.60219999999998</v>
      </c>
      <c r="K3464">
        <v>1.1079110000000001</v>
      </c>
      <c r="L3464">
        <v>213.91300000000001</v>
      </c>
      <c r="M3464">
        <v>0.99965879999999996</v>
      </c>
      <c r="N3464">
        <v>-2.244523E-3</v>
      </c>
      <c r="O3464">
        <v>-2.6027120000000001E-2</v>
      </c>
      <c r="P3464">
        <v>0.92923109999999998</v>
      </c>
      <c r="Q3464">
        <v>0.35069850000000002</v>
      </c>
      <c r="R3464">
        <v>0.11636249999999999</v>
      </c>
      <c r="S3464">
        <v>3.3099980000000002</v>
      </c>
      <c r="T3464">
        <v>-0.19712979999999999</v>
      </c>
      <c r="U3464">
        <v>-3.7338259999999998E-2</v>
      </c>
      <c r="V3464">
        <v>-0.1396249</v>
      </c>
      <c r="W3464">
        <v>0.35312640000000001</v>
      </c>
      <c r="X3464">
        <v>0.92509819999999998</v>
      </c>
      <c r="Y3464">
        <v>-1.4679950000000001E-2</v>
      </c>
      <c r="Z3464">
        <v>1.943314E-3</v>
      </c>
      <c r="AA3464">
        <v>0.99989030000000001</v>
      </c>
      <c r="AB3464">
        <v>35</v>
      </c>
      <c r="AC3464">
        <v>18.238299999999899</v>
      </c>
      <c r="AD3464">
        <v>-1.1079080992549999</v>
      </c>
      <c r="AE3464">
        <v>-0.19959999999997499</v>
      </c>
      <c r="AF3464">
        <v>-0.27414768390513999</v>
      </c>
      <c r="AG3464">
        <v>-1.1079080992549999</v>
      </c>
      <c r="AH3464">
        <v>18.170274340185198</v>
      </c>
      <c r="AI3464">
        <v>93.488817419589907</v>
      </c>
      <c r="AJ3464">
        <v>90.864396059233997</v>
      </c>
      <c r="AK3464">
        <v>18.206083788299399</v>
      </c>
      <c r="AL3464">
        <v>69.321341123045002</v>
      </c>
      <c r="AM3464">
        <v>98.582860654849796</v>
      </c>
      <c r="AN3464">
        <v>1.0000000233601001</v>
      </c>
    </row>
    <row r="3465" spans="1:40" x14ac:dyDescent="0.25">
      <c r="A3465" t="str">
        <f>"20190304164157346"</f>
        <v>20190304164157346</v>
      </c>
      <c r="B3465" t="str">
        <f>"1551688917334213"</f>
        <v>1551688917334213</v>
      </c>
      <c r="C3465" t="s">
        <v>40</v>
      </c>
      <c r="D3465">
        <v>4.1722460000000003</v>
      </c>
      <c r="E3465">
        <v>0.56253520000000001</v>
      </c>
      <c r="F3465" t="s">
        <v>47</v>
      </c>
      <c r="G3465">
        <v>-431.82319999999999</v>
      </c>
      <c r="H3465" s="1">
        <v>3.1051070000000001E-6</v>
      </c>
      <c r="I3465">
        <v>213.70590000000001</v>
      </c>
      <c r="J3465">
        <v>-449.27330000000001</v>
      </c>
      <c r="K3465">
        <v>1.108017</v>
      </c>
      <c r="L3465">
        <v>213.9034</v>
      </c>
      <c r="M3465">
        <v>0.99963349999999995</v>
      </c>
      <c r="N3465">
        <v>-2.3714719999999999E-3</v>
      </c>
      <c r="O3465">
        <v>-2.6970979999999999E-2</v>
      </c>
      <c r="P3465">
        <v>0.93001929999999999</v>
      </c>
      <c r="Q3465">
        <v>0.34890009999999999</v>
      </c>
      <c r="R3465">
        <v>0.1154693</v>
      </c>
      <c r="S3465">
        <v>3.311188</v>
      </c>
      <c r="T3465">
        <v>-0.20633889999999999</v>
      </c>
      <c r="U3465">
        <v>-3.8558960000000003E-2</v>
      </c>
      <c r="V3465">
        <v>-0.13964670000000001</v>
      </c>
      <c r="W3465">
        <v>0.35144130000000001</v>
      </c>
      <c r="X3465">
        <v>0.92573640000000001</v>
      </c>
      <c r="Y3465">
        <v>-1.5250110000000001E-2</v>
      </c>
      <c r="Z3465">
        <v>2.1076879999999999E-3</v>
      </c>
      <c r="AA3465">
        <v>0.99988149999999998</v>
      </c>
      <c r="AB3465">
        <v>35</v>
      </c>
      <c r="AC3465">
        <v>17.450099999999999</v>
      </c>
      <c r="AD3465">
        <v>-1.1080138948930001</v>
      </c>
      <c r="AE3465">
        <v>-0.19749999999998999</v>
      </c>
      <c r="AF3465">
        <v>-0.27212243233412398</v>
      </c>
      <c r="AG3465">
        <v>-1.1080138948930001</v>
      </c>
      <c r="AH3465">
        <v>17.379019651918799</v>
      </c>
      <c r="AI3465">
        <v>93.647556842933596</v>
      </c>
      <c r="AJ3465">
        <v>90.897069752199798</v>
      </c>
      <c r="AK3465">
        <v>17.4164310199086</v>
      </c>
      <c r="AL3465">
        <v>69.424503933200199</v>
      </c>
      <c r="AM3465">
        <v>98.578350919977694</v>
      </c>
      <c r="AN3465">
        <v>1.0000000352257601</v>
      </c>
    </row>
    <row r="3466" spans="1:40" x14ac:dyDescent="0.25">
      <c r="A3466" t="str">
        <f>"20190304164157369"</f>
        <v>20190304164157369</v>
      </c>
      <c r="B3466" t="str">
        <f>"1551688917364469"</f>
        <v>1551688917364469</v>
      </c>
      <c r="C3466" t="s">
        <v>40</v>
      </c>
      <c r="D3466">
        <v>4.1977830000000003</v>
      </c>
      <c r="E3466">
        <v>0.56286409999999998</v>
      </c>
      <c r="F3466" t="s">
        <v>47</v>
      </c>
      <c r="G3466">
        <v>-432.12130000000002</v>
      </c>
      <c r="H3466" s="1">
        <v>3.2392700000000001E-6</v>
      </c>
      <c r="I3466">
        <v>213.6831</v>
      </c>
      <c r="J3466">
        <v>-448.9212</v>
      </c>
      <c r="K3466">
        <v>1.1081399999999999</v>
      </c>
      <c r="L3466">
        <v>213.8929</v>
      </c>
      <c r="M3466">
        <v>0.99960530000000003</v>
      </c>
      <c r="N3466">
        <v>-2.557878E-3</v>
      </c>
      <c r="O3466">
        <v>-2.798049E-2</v>
      </c>
      <c r="P3466">
        <v>0.93098400000000003</v>
      </c>
      <c r="Q3466">
        <v>0.34618910000000003</v>
      </c>
      <c r="R3466">
        <v>0.115854</v>
      </c>
      <c r="S3466">
        <v>3.3113100000000002</v>
      </c>
      <c r="T3466">
        <v>-0.2139093</v>
      </c>
      <c r="U3466">
        <v>-4.2541500000000003E-2</v>
      </c>
      <c r="V3466">
        <v>-0.14103969999999999</v>
      </c>
      <c r="W3466">
        <v>0.34889189999999998</v>
      </c>
      <c r="X3466">
        <v>0.92648920000000001</v>
      </c>
      <c r="Y3466">
        <v>-1.505065E-2</v>
      </c>
      <c r="Z3466">
        <v>2.2386849999999998E-3</v>
      </c>
      <c r="AA3466">
        <v>0.9998842</v>
      </c>
      <c r="AB3466">
        <v>35</v>
      </c>
      <c r="AC3466">
        <v>16.799899999999901</v>
      </c>
      <c r="AD3466">
        <v>-1.1081367607299999</v>
      </c>
      <c r="AE3466">
        <v>-0.20980000000000101</v>
      </c>
      <c r="AF3466">
        <v>-0.25922539394698202</v>
      </c>
      <c r="AG3466">
        <v>-1.1081367607299999</v>
      </c>
      <c r="AH3466">
        <v>16.7264299002759</v>
      </c>
      <c r="AI3466">
        <v>93.789889549041206</v>
      </c>
      <c r="AJ3466">
        <v>90.887896111166199</v>
      </c>
      <c r="AK3466">
        <v>16.765101314760699</v>
      </c>
      <c r="AL3466">
        <v>69.580446176999104</v>
      </c>
      <c r="AM3466">
        <v>98.655697634207598</v>
      </c>
      <c r="AN3466">
        <v>0.99999999628917002</v>
      </c>
    </row>
    <row r="3467" spans="1:40" x14ac:dyDescent="0.25">
      <c r="A3467" t="str">
        <f>"20190304164157402"</f>
        <v>20190304164157402</v>
      </c>
      <c r="B3467" t="str">
        <f>"1551688917394724"</f>
        <v>1551688917394724</v>
      </c>
      <c r="C3467" t="s">
        <v>40</v>
      </c>
      <c r="D3467">
        <v>4.2020489999999997</v>
      </c>
      <c r="E3467">
        <v>0.56291789999999997</v>
      </c>
      <c r="F3467" t="s">
        <v>47</v>
      </c>
      <c r="G3467">
        <v>-432.6481</v>
      </c>
      <c r="H3467" s="1">
        <v>3.474955E-6</v>
      </c>
      <c r="I3467">
        <v>213.65940000000001</v>
      </c>
      <c r="J3467">
        <v>-448.3877</v>
      </c>
      <c r="K3467">
        <v>1.1083270000000001</v>
      </c>
      <c r="L3467">
        <v>213.8766</v>
      </c>
      <c r="M3467">
        <v>0.99956310000000004</v>
      </c>
      <c r="N3467">
        <v>-2.8815490000000002E-3</v>
      </c>
      <c r="O3467">
        <v>-2.941595E-2</v>
      </c>
      <c r="P3467">
        <v>0.93213299999999999</v>
      </c>
      <c r="Q3467">
        <v>0.34272350000000001</v>
      </c>
      <c r="R3467">
        <v>0.1169133</v>
      </c>
      <c r="S3467">
        <v>3.312103</v>
      </c>
      <c r="T3467">
        <v>-0.22554089999999999</v>
      </c>
      <c r="U3467">
        <v>-4.7531129999999998E-2</v>
      </c>
      <c r="V3467">
        <v>-0.14355580000000001</v>
      </c>
      <c r="W3467">
        <v>0.345699599999999</v>
      </c>
      <c r="X3467">
        <v>0.92729899999999998</v>
      </c>
      <c r="Y3467">
        <v>-1.4971409999999999E-2</v>
      </c>
      <c r="Z3467">
        <v>2.446415E-3</v>
      </c>
      <c r="AA3467">
        <v>0.99988489999999997</v>
      </c>
      <c r="AB3467">
        <v>35</v>
      </c>
      <c r="AC3467">
        <v>15.7395999999999</v>
      </c>
      <c r="AD3467">
        <v>-1.1083235250450001</v>
      </c>
      <c r="AE3467">
        <v>-0.21719999999999101</v>
      </c>
      <c r="AF3467">
        <v>-0.244678210029069</v>
      </c>
      <c r="AG3467">
        <v>-1.1083235250450001</v>
      </c>
      <c r="AH3467">
        <v>15.6615357994016</v>
      </c>
      <c r="AI3467">
        <v>94.047423091533005</v>
      </c>
      <c r="AJ3467">
        <v>90.895051964181306</v>
      </c>
      <c r="AK3467">
        <v>15.702609721271401</v>
      </c>
      <c r="AL3467">
        <v>69.775491325096297</v>
      </c>
      <c r="AM3467">
        <v>98.800140614944098</v>
      </c>
      <c r="AN3467">
        <v>0.99999995827739896</v>
      </c>
    </row>
    <row r="3468" spans="1:40" x14ac:dyDescent="0.25">
      <c r="A3468" t="str">
        <f>"20190304164157424"</f>
        <v>20190304164157424</v>
      </c>
      <c r="B3468" t="str">
        <f>"1551688917414245"</f>
        <v>1551688917414245</v>
      </c>
      <c r="C3468" t="s">
        <v>40</v>
      </c>
      <c r="D3468">
        <v>4.1850540000000001</v>
      </c>
      <c r="E3468">
        <v>0.56296859999999904</v>
      </c>
      <c r="F3468" t="s">
        <v>47</v>
      </c>
      <c r="G3468">
        <v>-433.0573</v>
      </c>
      <c r="H3468" s="1">
        <v>3.6579609999999999E-6</v>
      </c>
      <c r="I3468">
        <v>213.64189999999999</v>
      </c>
      <c r="J3468">
        <v>-448.02749999999997</v>
      </c>
      <c r="K3468">
        <v>1.1084309999999999</v>
      </c>
      <c r="L3468">
        <v>213.86529999999999</v>
      </c>
      <c r="M3468">
        <v>0.99953740000000002</v>
      </c>
      <c r="N3468">
        <v>-3.113766E-3</v>
      </c>
      <c r="O3468">
        <v>-3.025446E-2</v>
      </c>
      <c r="P3468">
        <v>0.93271020000000004</v>
      </c>
      <c r="Q3468">
        <v>0.34096219999999999</v>
      </c>
      <c r="R3468">
        <v>0.1174587</v>
      </c>
      <c r="S3468">
        <v>3.3128359999999999</v>
      </c>
      <c r="T3468">
        <v>-0.23950399999999999</v>
      </c>
      <c r="U3468">
        <v>-5.0720210000000002E-2</v>
      </c>
      <c r="V3468">
        <v>-0.14496229999999999</v>
      </c>
      <c r="W3468">
        <v>0.3441322</v>
      </c>
      <c r="X3468">
        <v>0.92766320000000002</v>
      </c>
      <c r="Y3468">
        <v>-1.4836999999999999E-2</v>
      </c>
      <c r="Z3468">
        <v>2.6485440000000001E-3</v>
      </c>
      <c r="AA3468">
        <v>0.99988639999999995</v>
      </c>
      <c r="AB3468">
        <v>36</v>
      </c>
      <c r="AC3468">
        <v>14.970199999999901</v>
      </c>
      <c r="AD3468">
        <v>-1.1084273420389901</v>
      </c>
      <c r="AE3468">
        <v>-0.22339999999999799</v>
      </c>
      <c r="AF3468">
        <v>-0.228368076917709</v>
      </c>
      <c r="AG3468">
        <v>-1.1084273420389901</v>
      </c>
      <c r="AH3468">
        <v>14.8885014969298</v>
      </c>
      <c r="AI3468">
        <v>94.257234059421705</v>
      </c>
      <c r="AJ3468">
        <v>90.878765468295796</v>
      </c>
      <c r="AK3468">
        <v>14.931451368678699</v>
      </c>
      <c r="AL3468">
        <v>69.871169511553106</v>
      </c>
      <c r="AM3468">
        <v>98.8815590003653</v>
      </c>
      <c r="AN3468">
        <v>1.0000000260661801</v>
      </c>
    </row>
    <row r="3469" spans="1:40" x14ac:dyDescent="0.25">
      <c r="A3469" t="str">
        <f>"20190304164157445"</f>
        <v>20190304164157445</v>
      </c>
      <c r="B3469" t="str">
        <f>"1551688917434740"</f>
        <v>1551688917434740</v>
      </c>
      <c r="C3469" t="s">
        <v>40</v>
      </c>
      <c r="D3469">
        <v>4.2238749999999996</v>
      </c>
      <c r="E3469">
        <v>0.56308469999999999</v>
      </c>
      <c r="F3469" t="s">
        <v>41</v>
      </c>
      <c r="G3469">
        <v>-447.01819999999998</v>
      </c>
      <c r="H3469">
        <v>1.0332669999999999</v>
      </c>
      <c r="I3469">
        <v>213.8493</v>
      </c>
      <c r="J3469">
        <v>-447.69159999999999</v>
      </c>
      <c r="K3469">
        <v>1.108522</v>
      </c>
      <c r="L3469">
        <v>213.8546</v>
      </c>
      <c r="M3469">
        <v>0.99951590000000001</v>
      </c>
      <c r="N3469">
        <v>-3.329453E-3</v>
      </c>
      <c r="O3469">
        <v>-3.0934179999999999E-2</v>
      </c>
      <c r="P3469">
        <v>0.93325639999999999</v>
      </c>
      <c r="Q3469">
        <v>0.33890779999999998</v>
      </c>
      <c r="R3469">
        <v>0.1190537</v>
      </c>
      <c r="S3469">
        <v>3.3132320000000002</v>
      </c>
      <c r="T3469">
        <v>-0.24681040000000001</v>
      </c>
      <c r="U3469">
        <v>-5.1895139999999999E-2</v>
      </c>
      <c r="V3469">
        <v>-0.14726500000000001</v>
      </c>
      <c r="W3469">
        <v>0.34225879999999997</v>
      </c>
      <c r="X3469">
        <v>0.92799350000000003</v>
      </c>
      <c r="Y3469">
        <v>-1.515496E-2</v>
      </c>
      <c r="Z3469">
        <v>2.7866620000000001E-3</v>
      </c>
      <c r="AA3469">
        <v>0.99988129999999997</v>
      </c>
      <c r="AB3469">
        <v>36</v>
      </c>
      <c r="AC3469">
        <v>0.67340000000001499</v>
      </c>
      <c r="AD3469">
        <v>-7.5255000000000002E-2</v>
      </c>
      <c r="AE3469">
        <v>-5.3000000000054098E-3</v>
      </c>
      <c r="AF3469">
        <v>-1.53421336644998E-2</v>
      </c>
      <c r="AG3469">
        <v>-7.5255000000000002E-2</v>
      </c>
      <c r="AH3469">
        <v>0.664937841527527</v>
      </c>
      <c r="AI3469">
        <v>96.455327727994003</v>
      </c>
      <c r="AJ3469">
        <v>91.3217529710127</v>
      </c>
      <c r="AK3469">
        <v>0.66935867006087701</v>
      </c>
      <c r="AL3469">
        <v>69.985447764379003</v>
      </c>
      <c r="AM3469">
        <v>99.017181113458193</v>
      </c>
      <c r="AN3469">
        <v>1.00000000122234</v>
      </c>
    </row>
    <row r="3470" spans="1:40" x14ac:dyDescent="0.25">
      <c r="A3470" t="str">
        <f>"20190304164157468"</f>
        <v>20190304164157468</v>
      </c>
      <c r="B3470" t="str">
        <f>"1551688917464020"</f>
        <v>1551688917464020</v>
      </c>
      <c r="C3470" t="s">
        <v>40</v>
      </c>
      <c r="D3470">
        <v>4.2069919999999996</v>
      </c>
      <c r="E3470">
        <v>0.56309319999999996</v>
      </c>
      <c r="F3470" t="s">
        <v>41</v>
      </c>
      <c r="G3470">
        <v>-446.69659999999999</v>
      </c>
      <c r="H3470">
        <v>1.0320419999999999</v>
      </c>
      <c r="I3470">
        <v>213.83949999999999</v>
      </c>
      <c r="J3470">
        <v>-447.32150000000001</v>
      </c>
      <c r="K3470">
        <v>1.108598</v>
      </c>
      <c r="L3470">
        <v>213.8426</v>
      </c>
      <c r="M3470">
        <v>0.99949469999999996</v>
      </c>
      <c r="N3470">
        <v>-3.5585170000000002E-3</v>
      </c>
      <c r="O3470">
        <v>-3.1583220000000002E-2</v>
      </c>
      <c r="P3470">
        <v>0.93368459999999998</v>
      </c>
      <c r="Q3470">
        <v>0.33693119999999999</v>
      </c>
      <c r="R3470">
        <v>0.121286</v>
      </c>
      <c r="S3470">
        <v>3.3132929999999998</v>
      </c>
      <c r="T3470">
        <v>-0.25471680000000002</v>
      </c>
      <c r="U3470">
        <v>-4.9057009999999998E-2</v>
      </c>
      <c r="V3470">
        <v>-0.15016769999999999</v>
      </c>
      <c r="W3470">
        <v>0.34047810000000001</v>
      </c>
      <c r="X3470">
        <v>0.92818339999999999</v>
      </c>
      <c r="Y3470">
        <v>-1.664676E-2</v>
      </c>
      <c r="Z3470">
        <v>2.980197E-3</v>
      </c>
      <c r="AA3470">
        <v>0.999857</v>
      </c>
      <c r="AB3470">
        <v>36</v>
      </c>
      <c r="AC3470">
        <v>0.62490000000002499</v>
      </c>
      <c r="AD3470">
        <v>-7.6555999999999999E-2</v>
      </c>
      <c r="AE3470">
        <v>-3.1000000000176399E-3</v>
      </c>
      <c r="AF3470">
        <v>-1.6392013905802801E-2</v>
      </c>
      <c r="AG3470">
        <v>-7.6555999999999999E-2</v>
      </c>
      <c r="AH3470">
        <v>0.61544941013979004</v>
      </c>
      <c r="AI3470">
        <v>97.088135697959103</v>
      </c>
      <c r="AJ3470">
        <v>91.525667603878503</v>
      </c>
      <c r="AK3470">
        <v>0.62040913573004697</v>
      </c>
      <c r="AL3470">
        <v>70.093995850100697</v>
      </c>
      <c r="AM3470">
        <v>99.190062346846304</v>
      </c>
      <c r="AN3470">
        <v>1.00000004936922</v>
      </c>
    </row>
    <row r="3471" spans="1:40" x14ac:dyDescent="0.25">
      <c r="A3471" t="str">
        <f>"20190304164157491"</f>
        <v>20190304164157491</v>
      </c>
      <c r="B3471" t="str">
        <f>"1551688917484517"</f>
        <v>1551688917484517</v>
      </c>
      <c r="C3471" t="s">
        <v>40</v>
      </c>
      <c r="D3471">
        <v>4.2040810000000004</v>
      </c>
      <c r="E3471">
        <v>0.56327269999999996</v>
      </c>
      <c r="F3471" t="s">
        <v>41</v>
      </c>
      <c r="G3471">
        <v>-446.37200000000001</v>
      </c>
      <c r="H3471">
        <v>1.0332490000000001</v>
      </c>
      <c r="I3471">
        <v>213.8296</v>
      </c>
      <c r="J3471">
        <v>-446.95409999999998</v>
      </c>
      <c r="K3471">
        <v>1.1086549999999999</v>
      </c>
      <c r="L3471">
        <v>213.8305</v>
      </c>
      <c r="M3471">
        <v>0.99947589999999997</v>
      </c>
      <c r="N3471">
        <v>-3.7748679999999998E-3</v>
      </c>
      <c r="O3471">
        <v>-3.2153300000000003E-2</v>
      </c>
      <c r="P3471">
        <v>0.93416750000000004</v>
      </c>
      <c r="Q3471">
        <v>0.33454109999999998</v>
      </c>
      <c r="R3471">
        <v>0.1241516</v>
      </c>
      <c r="S3471">
        <v>3.313812</v>
      </c>
      <c r="T3471">
        <v>-0.26309339999999998</v>
      </c>
      <c r="U3471">
        <v>-4.431152E-2</v>
      </c>
      <c r="V3471">
        <v>-0.15361839999999999</v>
      </c>
      <c r="W3471">
        <v>0.33827800000000002</v>
      </c>
      <c r="X3471">
        <v>0.928423</v>
      </c>
      <c r="Y3471">
        <v>-1.863385E-2</v>
      </c>
      <c r="Z3471">
        <v>3.2006790000000001E-3</v>
      </c>
      <c r="AA3471">
        <v>0.99982119999999997</v>
      </c>
      <c r="AB3471">
        <v>36</v>
      </c>
      <c r="AC3471">
        <v>0.58210000000002504</v>
      </c>
      <c r="AD3471">
        <v>-7.5405999999999807E-2</v>
      </c>
      <c r="AE3471">
        <v>-9.0000000000145497E-4</v>
      </c>
      <c r="AF3471">
        <v>-1.75229815286361E-2</v>
      </c>
      <c r="AG3471">
        <v>-7.5405999999999807E-2</v>
      </c>
      <c r="AH3471">
        <v>0.57222549265739797</v>
      </c>
      <c r="AI3471">
        <v>97.503518955946802</v>
      </c>
      <c r="AJ3471">
        <v>91.753992522038502</v>
      </c>
      <c r="AK3471">
        <v>0.57743842456547301</v>
      </c>
      <c r="AL3471">
        <v>70.228003609591099</v>
      </c>
      <c r="AM3471">
        <v>99.395132661412205</v>
      </c>
      <c r="AN3471">
        <v>0.99999994251577795</v>
      </c>
    </row>
    <row r="3472" spans="1:40" x14ac:dyDescent="0.25">
      <c r="A3472" t="str">
        <f>"20190304164157514"</f>
        <v>20190304164157514</v>
      </c>
      <c r="B3472" t="str">
        <f>"1551688917504037"</f>
        <v>1551688917504037</v>
      </c>
      <c r="C3472" t="s">
        <v>40</v>
      </c>
      <c r="D3472">
        <v>4.2533690000000002</v>
      </c>
      <c r="E3472">
        <v>0.56349919999999998</v>
      </c>
      <c r="F3472" t="s">
        <v>41</v>
      </c>
      <c r="G3472">
        <v>-446.04640000000001</v>
      </c>
      <c r="H3472">
        <v>1.0344040000000001</v>
      </c>
      <c r="I3472">
        <v>213.81970000000001</v>
      </c>
      <c r="J3472">
        <v>-446.56790000000001</v>
      </c>
      <c r="K3472">
        <v>1.108679</v>
      </c>
      <c r="L3472">
        <v>213.8177</v>
      </c>
      <c r="M3472">
        <v>0.99945740000000005</v>
      </c>
      <c r="N3472">
        <v>-3.9872249999999996E-3</v>
      </c>
      <c r="O3472">
        <v>-3.2697829999999997E-2</v>
      </c>
      <c r="P3472">
        <v>0.93435590000000002</v>
      </c>
      <c r="Q3472">
        <v>0.33301059999999999</v>
      </c>
      <c r="R3472">
        <v>0.1268194</v>
      </c>
      <c r="S3472">
        <v>3.3134459999999999</v>
      </c>
      <c r="T3472">
        <v>-0.27116299999999999</v>
      </c>
      <c r="U3472">
        <v>-3.7323000000000002E-2</v>
      </c>
      <c r="V3472">
        <v>-0.1568253</v>
      </c>
      <c r="W3472">
        <v>0.33693779999999901</v>
      </c>
      <c r="X3472">
        <v>0.92837429999999999</v>
      </c>
      <c r="Y3472">
        <v>-2.1265240000000001E-2</v>
      </c>
      <c r="Z3472">
        <v>3.451815E-3</v>
      </c>
      <c r="AA3472">
        <v>0.99976790000000004</v>
      </c>
      <c r="AB3472">
        <v>36</v>
      </c>
      <c r="AC3472">
        <v>0.52150000000000296</v>
      </c>
      <c r="AD3472">
        <v>-7.4274999999999994E-2</v>
      </c>
      <c r="AE3472">
        <v>2.0000000000095402E-3</v>
      </c>
      <c r="AF3472">
        <v>-1.86722213363615E-2</v>
      </c>
      <c r="AG3472">
        <v>-7.4274999999999994E-2</v>
      </c>
      <c r="AH3472">
        <v>0.51079439249134595</v>
      </c>
      <c r="AI3472">
        <v>98.267990038357397</v>
      </c>
      <c r="AJ3472">
        <v>92.093529875468604</v>
      </c>
      <c r="AK3472">
        <v>0.51650395823772499</v>
      </c>
      <c r="AL3472">
        <v>70.309583269831705</v>
      </c>
      <c r="AM3472">
        <v>99.588152059913995</v>
      </c>
      <c r="AN3472">
        <v>1.0000000483447</v>
      </c>
    </row>
    <row r="3473" spans="1:40" x14ac:dyDescent="0.25">
      <c r="A3473" t="str">
        <f>"20190304164157536"</f>
        <v>20190304164157536</v>
      </c>
      <c r="B3473" t="str">
        <f>"1551688917524532"</f>
        <v>1551688917524532</v>
      </c>
      <c r="C3473" t="s">
        <v>40</v>
      </c>
      <c r="D3473">
        <v>4.2902809999999896</v>
      </c>
      <c r="E3473">
        <v>0.5634943</v>
      </c>
      <c r="F3473" t="s">
        <v>41</v>
      </c>
      <c r="G3473">
        <v>-445.7088</v>
      </c>
      <c r="H3473">
        <v>1.037096</v>
      </c>
      <c r="I3473">
        <v>213.80969999999999</v>
      </c>
      <c r="J3473">
        <v>-446.23020000000002</v>
      </c>
      <c r="K3473">
        <v>1.10869</v>
      </c>
      <c r="L3473">
        <v>213.80619999999999</v>
      </c>
      <c r="M3473">
        <v>0.99944189999999999</v>
      </c>
      <c r="N3473">
        <v>-4.1600459999999997E-3</v>
      </c>
      <c r="O3473">
        <v>-3.3144970000000003E-2</v>
      </c>
      <c r="P3473">
        <v>0.93413360000000001</v>
      </c>
      <c r="Q3473">
        <v>0.33292050000000001</v>
      </c>
      <c r="R3473">
        <v>0.12868009999999999</v>
      </c>
      <c r="S3473">
        <v>3.3132630000000001</v>
      </c>
      <c r="T3473">
        <v>-0.27609460000000002</v>
      </c>
      <c r="U3473">
        <v>-3.0136110000000001E-2</v>
      </c>
      <c r="V3473">
        <v>-0.15910869999999999</v>
      </c>
      <c r="W3473">
        <v>0.33700289999999999</v>
      </c>
      <c r="X3473">
        <v>0.92796199999999995</v>
      </c>
      <c r="Y3473">
        <v>-2.3863180000000001E-2</v>
      </c>
      <c r="Z3473">
        <v>3.6612229999999999E-3</v>
      </c>
      <c r="AA3473">
        <v>0.9997085</v>
      </c>
      <c r="AB3473">
        <v>36</v>
      </c>
      <c r="AC3473">
        <v>0.52140000000002795</v>
      </c>
      <c r="AD3473">
        <v>-7.1593999999999894E-2</v>
      </c>
      <c r="AE3473">
        <v>3.5000000000024998E-3</v>
      </c>
      <c r="AF3473">
        <v>-2.03954877352619E-2</v>
      </c>
      <c r="AG3473">
        <v>-7.1593999999999894E-2</v>
      </c>
      <c r="AH3473">
        <v>0.51135665099993599</v>
      </c>
      <c r="AI3473">
        <v>97.963806901801703</v>
      </c>
      <c r="AJ3473">
        <v>92.284034623287795</v>
      </c>
      <c r="AK3473">
        <v>0.51674684447786401</v>
      </c>
      <c r="AL3473">
        <v>70.305620693492102</v>
      </c>
      <c r="AM3473">
        <v>99.729347980475197</v>
      </c>
      <c r="AN3473">
        <v>1.0000000032340499</v>
      </c>
    </row>
    <row r="3474" spans="1:40" x14ac:dyDescent="0.25">
      <c r="A3474" t="str">
        <f>"20190304164157557"</f>
        <v>20190304164157557</v>
      </c>
      <c r="B3474" t="str">
        <f>"1551688917554788"</f>
        <v>1551688917554788</v>
      </c>
      <c r="C3474" t="s">
        <v>40</v>
      </c>
      <c r="D3474">
        <v>4.2344819999999999</v>
      </c>
      <c r="E3474">
        <v>0.56369809999999998</v>
      </c>
      <c r="F3474" t="s">
        <v>47</v>
      </c>
      <c r="G3474">
        <v>-432.99900000000002</v>
      </c>
      <c r="H3474" s="1">
        <v>3.6256839999999998E-6</v>
      </c>
      <c r="I3474">
        <v>213.71549999999999</v>
      </c>
      <c r="J3474">
        <v>-445.87119999999999</v>
      </c>
      <c r="K3474">
        <v>1.1087089999999999</v>
      </c>
      <c r="L3474">
        <v>213.79400000000001</v>
      </c>
      <c r="M3474">
        <v>0.99942589999999998</v>
      </c>
      <c r="N3474">
        <v>-4.3315910000000001E-3</v>
      </c>
      <c r="O3474">
        <v>-3.36049E-2</v>
      </c>
      <c r="P3474">
        <v>0.93401529999999999</v>
      </c>
      <c r="Q3474">
        <v>0.33309840000000002</v>
      </c>
      <c r="R3474">
        <v>0.1290779</v>
      </c>
      <c r="S3474">
        <v>3.3136290000000002</v>
      </c>
      <c r="T3474">
        <v>-0.27766069999999998</v>
      </c>
      <c r="U3474">
        <v>-2.2720339999999999E-2</v>
      </c>
      <c r="V3474">
        <v>-0.1599402</v>
      </c>
      <c r="W3474">
        <v>0.337335099999999</v>
      </c>
      <c r="X3474">
        <v>0.92769829999999998</v>
      </c>
      <c r="Y3474">
        <v>-2.654811E-2</v>
      </c>
      <c r="Z3474">
        <v>3.8330170000000002E-3</v>
      </c>
      <c r="AA3474">
        <v>0.99964019999999998</v>
      </c>
      <c r="AB3474">
        <v>36</v>
      </c>
      <c r="AC3474">
        <v>12.8721999999999</v>
      </c>
      <c r="AD3474">
        <v>-1.108705374316</v>
      </c>
      <c r="AE3474">
        <v>-7.8500000000019499E-2</v>
      </c>
      <c r="AF3474">
        <v>-0.35150970886886601</v>
      </c>
      <c r="AG3474">
        <v>-1.108705374316</v>
      </c>
      <c r="AH3474">
        <v>12.7728136847252</v>
      </c>
      <c r="AI3474">
        <v>94.959083654255593</v>
      </c>
      <c r="AJ3474">
        <v>91.576390384806501</v>
      </c>
      <c r="AK3474">
        <v>12.825660065165099</v>
      </c>
      <c r="AL3474">
        <v>70.285402839002899</v>
      </c>
      <c r="AM3474">
        <v>99.781940234710106</v>
      </c>
      <c r="AN3474">
        <v>0.99999998654546896</v>
      </c>
    </row>
    <row r="3475" spans="1:40" x14ac:dyDescent="0.25">
      <c r="A3475" t="str">
        <f>"20190304164157580"</f>
        <v>20190304164157580</v>
      </c>
      <c r="B3475" t="str">
        <f>"1551688917574308"</f>
        <v>1551688917574308</v>
      </c>
      <c r="C3475" t="s">
        <v>40</v>
      </c>
      <c r="D3475">
        <v>4.2567089999999999</v>
      </c>
      <c r="E3475">
        <v>0.56382569999999999</v>
      </c>
      <c r="F3475" t="s">
        <v>47</v>
      </c>
      <c r="G3475">
        <v>-432.65140000000002</v>
      </c>
      <c r="H3475" s="1">
        <v>3.4718669999999999E-6</v>
      </c>
      <c r="I3475">
        <v>213.7115</v>
      </c>
      <c r="J3475">
        <v>-445.50209999999998</v>
      </c>
      <c r="K3475">
        <v>1.108727</v>
      </c>
      <c r="L3475">
        <v>213.78110000000001</v>
      </c>
      <c r="M3475">
        <v>0.99940929999999994</v>
      </c>
      <c r="N3475">
        <v>-4.4941900000000003E-3</v>
      </c>
      <c r="O3475">
        <v>-3.407114E-2</v>
      </c>
      <c r="P3475">
        <v>0.93371499999999996</v>
      </c>
      <c r="Q3475">
        <v>0.3340764</v>
      </c>
      <c r="R3475">
        <v>0.12872210000000001</v>
      </c>
      <c r="S3475">
        <v>3.3138730000000001</v>
      </c>
      <c r="T3475">
        <v>-0.27792430000000001</v>
      </c>
      <c r="U3475">
        <v>-2.0660399999999999E-2</v>
      </c>
      <c r="V3475">
        <v>-0.16001589999999999</v>
      </c>
      <c r="W3475">
        <v>0.33845789999999998</v>
      </c>
      <c r="X3475">
        <v>0.92727619999999999</v>
      </c>
      <c r="Y3475">
        <v>-2.7630749999999999E-2</v>
      </c>
      <c r="Z3475">
        <v>3.9178379999999999E-3</v>
      </c>
      <c r="AA3475">
        <v>0.99961049999999996</v>
      </c>
      <c r="AB3475">
        <v>36</v>
      </c>
      <c r="AC3475">
        <v>12.8506999999999</v>
      </c>
      <c r="AD3475">
        <v>-1.1087235281329999</v>
      </c>
      <c r="AE3475">
        <v>-6.9600000000008294E-2</v>
      </c>
      <c r="AF3475">
        <v>-0.36556175487913301</v>
      </c>
      <c r="AG3475">
        <v>-1.1087235281329999</v>
      </c>
      <c r="AH3475">
        <v>12.7506997440062</v>
      </c>
      <c r="AI3475">
        <v>94.967562738987297</v>
      </c>
      <c r="AJ3475">
        <v>91.642216523599899</v>
      </c>
      <c r="AK3475">
        <v>12.8040324593569</v>
      </c>
      <c r="AL3475">
        <v>70.217051062044106</v>
      </c>
      <c r="AM3475">
        <v>99.790849188262996</v>
      </c>
      <c r="AN3475">
        <v>0.99999999470582901</v>
      </c>
    </row>
    <row r="3476" spans="1:40" x14ac:dyDescent="0.25">
      <c r="A3476" t="str">
        <f>"20190304164157603"</f>
        <v>20190304164157603</v>
      </c>
      <c r="B3476" t="str">
        <f>"1551688917594805"</f>
        <v>1551688917594805</v>
      </c>
      <c r="C3476" t="s">
        <v>40</v>
      </c>
      <c r="D3476">
        <v>4.2015390000000004</v>
      </c>
      <c r="E3476">
        <v>0.56384719999999999</v>
      </c>
      <c r="F3476" t="s">
        <v>47</v>
      </c>
      <c r="G3476">
        <v>-432.14839999999998</v>
      </c>
      <c r="H3476" s="1">
        <v>3.250052E-6</v>
      </c>
      <c r="I3476">
        <v>213.69730000000001</v>
      </c>
      <c r="J3476">
        <v>-445.12119999999999</v>
      </c>
      <c r="K3476">
        <v>1.1087419999999999</v>
      </c>
      <c r="L3476">
        <v>213.76769999999999</v>
      </c>
      <c r="M3476">
        <v>0.99939210000000001</v>
      </c>
      <c r="N3476">
        <v>-4.6460269999999996E-3</v>
      </c>
      <c r="O3476">
        <v>-3.4552630000000001E-2</v>
      </c>
      <c r="P3476">
        <v>0.93346510000000005</v>
      </c>
      <c r="Q3476">
        <v>0.33522249999999998</v>
      </c>
      <c r="R3476">
        <v>0.12754969999999999</v>
      </c>
      <c r="S3476">
        <v>3.3143310000000001</v>
      </c>
      <c r="T3476">
        <v>-0.27518049999999999</v>
      </c>
      <c r="U3476">
        <v>-2.081299E-2</v>
      </c>
      <c r="V3476">
        <v>-0.1592895</v>
      </c>
      <c r="W3476">
        <v>0.33973819999999999</v>
      </c>
      <c r="X3476">
        <v>0.92693309999999995</v>
      </c>
      <c r="Y3476">
        <v>-2.8068590000000001E-2</v>
      </c>
      <c r="Z3476">
        <v>3.9315970000000002E-3</v>
      </c>
      <c r="AA3476">
        <v>0.99959830000000005</v>
      </c>
      <c r="AB3476">
        <v>37</v>
      </c>
      <c r="AC3476">
        <v>12.972799999999999</v>
      </c>
      <c r="AD3476">
        <v>-1.1087387499479999</v>
      </c>
      <c r="AE3476">
        <v>-7.0399999999977994E-2</v>
      </c>
      <c r="AF3476">
        <v>-0.37515101259475098</v>
      </c>
      <c r="AG3476">
        <v>-1.1087387499479999</v>
      </c>
      <c r="AH3476">
        <v>12.8734545501288</v>
      </c>
      <c r="AI3476">
        <v>94.920428756983597</v>
      </c>
      <c r="AJ3476">
        <v>91.669209158382898</v>
      </c>
      <c r="AK3476">
        <v>12.9265568482917</v>
      </c>
      <c r="AL3476">
        <v>70.139077061117703</v>
      </c>
      <c r="AM3476">
        <v>99.750796292742095</v>
      </c>
      <c r="AN3476">
        <v>1.00000008061254</v>
      </c>
    </row>
    <row r="3477" spans="1:40" x14ac:dyDescent="0.25">
      <c r="A3477" t="str">
        <f>"20190304164157625"</f>
        <v>20190304164157625</v>
      </c>
      <c r="B3477" t="str">
        <f>"1551688917614324"</f>
        <v>1551688917614324</v>
      </c>
      <c r="C3477" t="s">
        <v>40</v>
      </c>
      <c r="D3477">
        <v>4.2084390000000003</v>
      </c>
      <c r="E3477">
        <v>0.56403139999999996</v>
      </c>
      <c r="F3477" t="s">
        <v>41</v>
      </c>
      <c r="G3477">
        <v>-444.08620000000002</v>
      </c>
      <c r="H3477">
        <v>1.0239210000000001</v>
      </c>
      <c r="I3477">
        <v>213.75960000000001</v>
      </c>
      <c r="J3477">
        <v>-444.75799999999998</v>
      </c>
      <c r="K3477">
        <v>1.108751</v>
      </c>
      <c r="L3477">
        <v>213.75470000000001</v>
      </c>
      <c r="M3477">
        <v>0.99937549999999997</v>
      </c>
      <c r="N3477">
        <v>-4.7757499999999996E-3</v>
      </c>
      <c r="O3477">
        <v>-3.5013910000000002E-2</v>
      </c>
      <c r="P3477">
        <v>0.9331024</v>
      </c>
      <c r="Q3477">
        <v>0.33645609999999998</v>
      </c>
      <c r="R3477">
        <v>0.1269546</v>
      </c>
      <c r="S3477">
        <v>3.3148499999999999</v>
      </c>
      <c r="T3477">
        <v>-0.27174019999999999</v>
      </c>
      <c r="U3477">
        <v>-2.5177000000000001E-2</v>
      </c>
      <c r="V3477">
        <v>-0.1591167</v>
      </c>
      <c r="W3477">
        <v>0.34108640000000001</v>
      </c>
      <c r="X3477">
        <v>0.9264675</v>
      </c>
      <c r="Y3477">
        <v>-2.7222199999999998E-2</v>
      </c>
      <c r="Z3477">
        <v>3.876984E-3</v>
      </c>
      <c r="AA3477">
        <v>0.99962189999999995</v>
      </c>
      <c r="AB3477">
        <v>37</v>
      </c>
      <c r="AC3477">
        <v>0.67180000000001805</v>
      </c>
      <c r="AD3477">
        <v>-8.48300000000001E-2</v>
      </c>
      <c r="AE3477">
        <v>4.8999999999921303E-3</v>
      </c>
      <c r="AF3477">
        <v>-2.7973596810697901E-2</v>
      </c>
      <c r="AG3477">
        <v>-8.48300000000001E-2</v>
      </c>
      <c r="AH3477">
        <v>0.66068260153026404</v>
      </c>
      <c r="AI3477">
        <v>97.310125003559705</v>
      </c>
      <c r="AJ3477">
        <v>92.424480819811095</v>
      </c>
      <c r="AK3477">
        <v>0.66669344603297598</v>
      </c>
      <c r="AL3477">
        <v>70.056923635452605</v>
      </c>
      <c r="AM3477">
        <v>99.745222445850999</v>
      </c>
      <c r="AN3477">
        <v>1.0000000425200399</v>
      </c>
    </row>
    <row r="3478" spans="1:40" x14ac:dyDescent="0.25">
      <c r="A3478" t="str">
        <f>"20190304164157646"</f>
        <v>20190304164157646</v>
      </c>
      <c r="B3478" t="str">
        <f>"1551688917634821"</f>
        <v>1551688917634821</v>
      </c>
      <c r="C3478" t="s">
        <v>40</v>
      </c>
      <c r="D3478">
        <v>4.2096879999999999</v>
      </c>
      <c r="E3478">
        <v>0.56403409999999998</v>
      </c>
      <c r="F3478" t="s">
        <v>41</v>
      </c>
      <c r="G3478">
        <v>-443.7525</v>
      </c>
      <c r="H3478">
        <v>1.027922</v>
      </c>
      <c r="I3478">
        <v>213.74529999999999</v>
      </c>
      <c r="J3478">
        <v>-444.39830000000001</v>
      </c>
      <c r="K3478">
        <v>1.1087579999999999</v>
      </c>
      <c r="L3478">
        <v>213.74170000000001</v>
      </c>
      <c r="M3478">
        <v>0.99935870000000004</v>
      </c>
      <c r="N3478">
        <v>-4.8916810000000002E-3</v>
      </c>
      <c r="O3478">
        <v>-3.5471839999999998E-2</v>
      </c>
      <c r="P3478">
        <v>0.93291299999999999</v>
      </c>
      <c r="Q3478">
        <v>0.33709480000000003</v>
      </c>
      <c r="R3478">
        <v>0.12665029999999999</v>
      </c>
      <c r="S3478">
        <v>3.315369</v>
      </c>
      <c r="T3478">
        <v>-0.26660650000000002</v>
      </c>
      <c r="U3478">
        <v>-3.04718E-2</v>
      </c>
      <c r="V3478">
        <v>-0.15923709999999999</v>
      </c>
      <c r="W3478">
        <v>0.34182859999999998</v>
      </c>
      <c r="X3478">
        <v>0.92617320000000003</v>
      </c>
      <c r="Y3478">
        <v>-2.6095549999999999E-2</v>
      </c>
      <c r="Z3478">
        <v>3.785437E-3</v>
      </c>
      <c r="AA3478">
        <v>0.99965230000000005</v>
      </c>
      <c r="AB3478">
        <v>37</v>
      </c>
      <c r="AC3478">
        <v>0.64580000000000803</v>
      </c>
      <c r="AD3478">
        <v>-8.0835999999999894E-2</v>
      </c>
      <c r="AE3478">
        <v>3.5999999999773899E-3</v>
      </c>
      <c r="AF3478">
        <v>-2.6096850102842399E-2</v>
      </c>
      <c r="AG3478">
        <v>-8.0835999999999894E-2</v>
      </c>
      <c r="AH3478">
        <v>0.63531211229623397</v>
      </c>
      <c r="AI3478">
        <v>97.245205598561796</v>
      </c>
      <c r="AJ3478">
        <v>92.352228455729502</v>
      </c>
      <c r="AK3478">
        <v>0.64096566562616497</v>
      </c>
      <c r="AL3478">
        <v>70.011678957629798</v>
      </c>
      <c r="AM3478">
        <v>99.755494276616901</v>
      </c>
      <c r="AN3478">
        <v>1.0000000210963</v>
      </c>
    </row>
    <row r="3479" spans="1:40" x14ac:dyDescent="0.25">
      <c r="A3479" t="str">
        <f>"20190304164157670"</f>
        <v>20190304164157670</v>
      </c>
      <c r="B3479" t="str">
        <f>"1551688917664264"</f>
        <v>1551688917664264</v>
      </c>
      <c r="C3479" t="s">
        <v>40</v>
      </c>
      <c r="D3479">
        <v>4.3812879999999996</v>
      </c>
      <c r="E3479">
        <v>0.579920199999999</v>
      </c>
      <c r="F3479" t="s">
        <v>41</v>
      </c>
      <c r="G3479">
        <v>-443.41840000000002</v>
      </c>
      <c r="H3479">
        <v>1.030632</v>
      </c>
      <c r="I3479">
        <v>213.73169999999999</v>
      </c>
      <c r="J3479">
        <v>-444.02359999999999</v>
      </c>
      <c r="K3479">
        <v>1.108762</v>
      </c>
      <c r="L3479">
        <v>213.72800000000001</v>
      </c>
      <c r="M3479">
        <v>0.99934149999999999</v>
      </c>
      <c r="N3479">
        <v>-5.0004000000000003E-3</v>
      </c>
      <c r="O3479">
        <v>-3.5943320000000001E-2</v>
      </c>
      <c r="P3479">
        <v>0.93262179999999995</v>
      </c>
      <c r="Q3479">
        <v>0.33778780000000003</v>
      </c>
      <c r="R3479">
        <v>0.12694939999999999</v>
      </c>
      <c r="S3479">
        <v>3.3157350000000001</v>
      </c>
      <c r="T3479">
        <v>-0.2643218</v>
      </c>
      <c r="U3479">
        <v>-3.2913209999999998E-2</v>
      </c>
      <c r="V3479">
        <v>-0.15997069999999999</v>
      </c>
      <c r="W3479">
        <v>0.34261710000000001</v>
      </c>
      <c r="X3479">
        <v>0.92575529999999995</v>
      </c>
      <c r="Y3479">
        <v>-2.583531E-2</v>
      </c>
      <c r="Z3479">
        <v>3.7734230000000001E-3</v>
      </c>
      <c r="AA3479">
        <v>0.99965910000000002</v>
      </c>
      <c r="AB3479">
        <v>37</v>
      </c>
      <c r="AC3479">
        <v>0.60519999999996799</v>
      </c>
      <c r="AD3479">
        <v>-7.8130000000000005E-2</v>
      </c>
      <c r="AE3479">
        <v>3.70000000000914E-3</v>
      </c>
      <c r="AF3479">
        <v>-2.5033574287211102E-2</v>
      </c>
      <c r="AG3479">
        <v>-7.8130000000000005E-2</v>
      </c>
      <c r="AH3479">
        <v>0.594763826160977</v>
      </c>
      <c r="AI3479">
        <v>97.477153546659807</v>
      </c>
      <c r="AJ3479">
        <v>92.410153398456004</v>
      </c>
      <c r="AK3479">
        <v>0.60039569089995903</v>
      </c>
      <c r="AL3479">
        <v>69.963597377417301</v>
      </c>
      <c r="AM3479">
        <v>99.803905934022694</v>
      </c>
      <c r="AN3479">
        <v>0.99999998877449403</v>
      </c>
    </row>
    <row r="3480" spans="1:40" x14ac:dyDescent="0.25">
      <c r="A3480" t="str">
        <f>"20190304164157693"</f>
        <v>20190304164157693</v>
      </c>
      <c r="B3480" t="str">
        <f>"1551688917684761"</f>
        <v>1551688917684761</v>
      </c>
      <c r="C3480" t="s">
        <v>40</v>
      </c>
      <c r="D3480">
        <v>4.352068</v>
      </c>
      <c r="E3480">
        <v>0.58563180000000004</v>
      </c>
      <c r="F3480" t="s">
        <v>41</v>
      </c>
      <c r="G3480">
        <v>-443.07990000000001</v>
      </c>
      <c r="H3480">
        <v>1.046751</v>
      </c>
      <c r="I3480">
        <v>213.68190000000001</v>
      </c>
      <c r="J3480">
        <v>-443.63170000000002</v>
      </c>
      <c r="K3480">
        <v>1.108779</v>
      </c>
      <c r="L3480">
        <v>213.71350000000001</v>
      </c>
      <c r="M3480">
        <v>0.99932399999999999</v>
      </c>
      <c r="N3480">
        <v>-5.1025239999999998E-3</v>
      </c>
      <c r="O3480">
        <v>-3.6409469999999999E-2</v>
      </c>
      <c r="P3480">
        <v>0.93215669999999995</v>
      </c>
      <c r="Q3480">
        <v>0.33828950000000002</v>
      </c>
      <c r="R3480">
        <v>0.12901089999999901</v>
      </c>
      <c r="S3480">
        <v>3.3176879999999902</v>
      </c>
      <c r="T3480">
        <v>-0.21819169999999999</v>
      </c>
      <c r="U3480">
        <v>-0.16117860000000001</v>
      </c>
      <c r="V3480">
        <v>-0.16246099999999999</v>
      </c>
      <c r="W3480">
        <v>0.34320620000000002</v>
      </c>
      <c r="X3480">
        <v>0.92510320000000001</v>
      </c>
      <c r="Y3480">
        <v>1.21636E-2</v>
      </c>
      <c r="Z3480">
        <v>1.7736430000000001E-3</v>
      </c>
      <c r="AA3480">
        <v>0.99992440000000005</v>
      </c>
      <c r="AB3480">
        <v>37</v>
      </c>
      <c r="AC3480">
        <v>0.55180000000001395</v>
      </c>
      <c r="AD3480">
        <v>-6.2028000000000097E-2</v>
      </c>
      <c r="AE3480">
        <v>-3.1599999999997401E-2</v>
      </c>
      <c r="AF3480">
        <v>1.1345152016010799E-2</v>
      </c>
      <c r="AG3480">
        <v>-6.2028000000000097E-2</v>
      </c>
      <c r="AH3480">
        <v>0.54571156543017496</v>
      </c>
      <c r="AI3480">
        <v>96.483272906800195</v>
      </c>
      <c r="AJ3480">
        <v>88.809012408235105</v>
      </c>
      <c r="AK3480">
        <v>0.54934260521328504</v>
      </c>
      <c r="AL3480">
        <v>69.9276660832315</v>
      </c>
      <c r="AM3480">
        <v>99.960371783674205</v>
      </c>
      <c r="AN3480">
        <v>1.00000000144484</v>
      </c>
    </row>
    <row r="3481" spans="1:40" x14ac:dyDescent="0.25">
      <c r="A3481" t="str">
        <f>"20190304164157715"</f>
        <v>20190304164157715</v>
      </c>
      <c r="B3481" t="str">
        <f>"1551688917704281"</f>
        <v>1551688917704281</v>
      </c>
      <c r="C3481" t="s">
        <v>40</v>
      </c>
      <c r="D3481">
        <v>4.3028930000000001</v>
      </c>
      <c r="E3481">
        <v>0.5875551</v>
      </c>
      <c r="F3481" t="s">
        <v>41</v>
      </c>
      <c r="G3481">
        <v>-442.75490000000002</v>
      </c>
      <c r="H3481">
        <v>1.034983</v>
      </c>
      <c r="I3481">
        <v>213.66159999999999</v>
      </c>
      <c r="J3481">
        <v>-443.25549999999998</v>
      </c>
      <c r="K3481">
        <v>1.10880499999999</v>
      </c>
      <c r="L3481">
        <v>213.6995</v>
      </c>
      <c r="M3481">
        <v>0.99930920000000001</v>
      </c>
      <c r="N3481">
        <v>-5.190521E-3</v>
      </c>
      <c r="O3481">
        <v>-3.6799749999999999E-2</v>
      </c>
      <c r="P3481">
        <v>0.93186630000000004</v>
      </c>
      <c r="Q3481">
        <v>0.33794580000000002</v>
      </c>
      <c r="R3481">
        <v>0.13197710000000001</v>
      </c>
      <c r="S3481">
        <v>3.3479000000000001</v>
      </c>
      <c r="T3481">
        <v>-0.28182089999999999</v>
      </c>
      <c r="U3481">
        <v>-0.1972351</v>
      </c>
      <c r="V3481">
        <v>-0.16580690000000001</v>
      </c>
      <c r="W3481">
        <v>0.34293030000000002</v>
      </c>
      <c r="X3481">
        <v>0.92461170000000004</v>
      </c>
      <c r="Y3481">
        <v>2.2066240000000001E-2</v>
      </c>
      <c r="Z3481">
        <v>1.9139020000000001E-3</v>
      </c>
      <c r="AA3481">
        <v>0.9997547</v>
      </c>
      <c r="AB3481">
        <v>37</v>
      </c>
      <c r="AC3481">
        <v>0.50059999999996296</v>
      </c>
      <c r="AD3481">
        <v>-7.3821999999999804E-2</v>
      </c>
      <c r="AE3481">
        <v>-3.7900000000007601E-2</v>
      </c>
      <c r="AF3481">
        <v>1.90404222354865E-2</v>
      </c>
      <c r="AG3481">
        <v>-7.3821999999999804E-2</v>
      </c>
      <c r="AH3481">
        <v>0.49103812766395299</v>
      </c>
      <c r="AI3481">
        <v>98.543414330982799</v>
      </c>
      <c r="AJ3481">
        <v>87.779419762778701</v>
      </c>
      <c r="AK3481">
        <v>0.496921189106106</v>
      </c>
      <c r="AL3481">
        <v>69.944494424747703</v>
      </c>
      <c r="AM3481">
        <v>100.166562847629</v>
      </c>
      <c r="AN3481">
        <v>0.99999995726129398</v>
      </c>
    </row>
    <row r="3482" spans="1:40" x14ac:dyDescent="0.25">
      <c r="A3482" t="str">
        <f>"20190304164157736"</f>
        <v>20190304164157736</v>
      </c>
      <c r="B3482" t="str">
        <f>"1551688917724777"</f>
        <v>1551688917724777</v>
      </c>
      <c r="C3482" t="s">
        <v>40</v>
      </c>
      <c r="D3482">
        <v>4.2953390000000002</v>
      </c>
      <c r="E3482">
        <v>0.58859490000000003</v>
      </c>
      <c r="F3482" t="s">
        <v>41</v>
      </c>
      <c r="G3482">
        <v>-442.42259999999999</v>
      </c>
      <c r="H3482">
        <v>1.0299400000000001</v>
      </c>
      <c r="I3482">
        <v>213.6491</v>
      </c>
      <c r="J3482">
        <v>-442.91300000000001</v>
      </c>
      <c r="K3482">
        <v>1.108851</v>
      </c>
      <c r="L3482">
        <v>213.6866</v>
      </c>
      <c r="M3482">
        <v>0.99929849999999998</v>
      </c>
      <c r="N3482">
        <v>-5.262961E-3</v>
      </c>
      <c r="O3482">
        <v>-3.7079710000000002E-2</v>
      </c>
      <c r="P3482">
        <v>0.93194560000000004</v>
      </c>
      <c r="Q3482">
        <v>0.33711059999999998</v>
      </c>
      <c r="R3482">
        <v>0.13354469999999999</v>
      </c>
      <c r="S3482">
        <v>3.3636170000000001</v>
      </c>
      <c r="T3482">
        <v>-0.31856420000000002</v>
      </c>
      <c r="U3482">
        <v>-0.20283509999999999</v>
      </c>
      <c r="V3482">
        <v>-0.16768089999999999</v>
      </c>
      <c r="W3482">
        <v>0.34214270000000002</v>
      </c>
      <c r="X3482">
        <v>0.92456559999999999</v>
      </c>
      <c r="Y3482">
        <v>2.317719E-2</v>
      </c>
      <c r="Z3482">
        <v>2.1492529999999998E-3</v>
      </c>
      <c r="AA3482">
        <v>0.99972899999999998</v>
      </c>
      <c r="AB3482">
        <v>37</v>
      </c>
      <c r="AC3482">
        <v>0.49040000000002198</v>
      </c>
      <c r="AD3482">
        <v>-7.8911000000000106E-2</v>
      </c>
      <c r="AE3482">
        <v>-3.7499999999994302E-2</v>
      </c>
      <c r="AF3482">
        <v>1.8805967220856399E-2</v>
      </c>
      <c r="AG3482">
        <v>-7.8911000000000106E-2</v>
      </c>
      <c r="AH3482">
        <v>0.479119761310704</v>
      </c>
      <c r="AI3482">
        <v>99.345579000451195</v>
      </c>
      <c r="AJ3482">
        <v>87.752232742372001</v>
      </c>
      <c r="AK3482">
        <v>0.48593863398842602</v>
      </c>
      <c r="AL3482">
        <v>69.992527814197601</v>
      </c>
      <c r="AM3482">
        <v>100.279533559046</v>
      </c>
      <c r="AN3482">
        <v>1.0000000300457199</v>
      </c>
    </row>
    <row r="3483" spans="1:40" x14ac:dyDescent="0.25">
      <c r="A3483" t="str">
        <f>"20190304164157758"</f>
        <v>20190304164157758</v>
      </c>
      <c r="B3483" t="str">
        <f>"1551688917754037"</f>
        <v>1551688917754037</v>
      </c>
      <c r="C3483" t="s">
        <v>40</v>
      </c>
      <c r="D3483">
        <v>4.3467200000000004</v>
      </c>
      <c r="E3483">
        <v>0.58840979999999998</v>
      </c>
      <c r="F3483" t="s">
        <v>41</v>
      </c>
      <c r="G3483">
        <v>-442.08909999999997</v>
      </c>
      <c r="H3483">
        <v>1.0251840000000001</v>
      </c>
      <c r="I3483">
        <v>213.63650000000001</v>
      </c>
      <c r="J3483">
        <v>-442.52820000000003</v>
      </c>
      <c r="K3483">
        <v>1.108927</v>
      </c>
      <c r="L3483">
        <v>213.6721</v>
      </c>
      <c r="M3483">
        <v>0.99929029999999996</v>
      </c>
      <c r="N3483">
        <v>-5.3369219999999896E-3</v>
      </c>
      <c r="O3483">
        <v>-3.7289599999999999E-2</v>
      </c>
      <c r="P3483">
        <v>0.93201829999999997</v>
      </c>
      <c r="Q3483">
        <v>0.33707999999999999</v>
      </c>
      <c r="R3483">
        <v>0.1331137</v>
      </c>
      <c r="S3483">
        <v>3.3721920000000001</v>
      </c>
      <c r="T3483">
        <v>-0.34268280000000001</v>
      </c>
      <c r="U3483">
        <v>-0.20324710000000001</v>
      </c>
      <c r="V3483">
        <v>-0.16751529999999901</v>
      </c>
      <c r="W3483">
        <v>0.34214719999999998</v>
      </c>
      <c r="X3483">
        <v>0.92459389999999997</v>
      </c>
      <c r="Y3483">
        <v>2.294558E-2</v>
      </c>
      <c r="Z3483">
        <v>2.3528109999999998E-3</v>
      </c>
      <c r="AA3483">
        <v>0.99973389999999995</v>
      </c>
      <c r="AB3483">
        <v>37</v>
      </c>
      <c r="AC3483">
        <v>0.439100000000053</v>
      </c>
      <c r="AD3483">
        <v>-8.3742999999999901E-2</v>
      </c>
      <c r="AE3483">
        <v>-3.5599999999988002E-2</v>
      </c>
      <c r="AF3483">
        <v>1.8531512597261102E-2</v>
      </c>
      <c r="AG3483">
        <v>-8.3742999999999901E-2</v>
      </c>
      <c r="AH3483">
        <v>0.42477306616114402</v>
      </c>
      <c r="AI3483">
        <v>101.142370119383</v>
      </c>
      <c r="AJ3483">
        <v>87.501949429681503</v>
      </c>
      <c r="AK3483">
        <v>0.43334566427285498</v>
      </c>
      <c r="AL3483">
        <v>69.9922524009271</v>
      </c>
      <c r="AM3483">
        <v>100.269290090797</v>
      </c>
      <c r="AN3483">
        <v>0.999999981059569</v>
      </c>
    </row>
    <row r="3484" spans="1:40" x14ac:dyDescent="0.25">
      <c r="A3484" t="str">
        <f>"20190304164157781"</f>
        <v>20190304164157781</v>
      </c>
      <c r="B3484" t="str">
        <f>"1551688917774532"</f>
        <v>1551688917774532</v>
      </c>
      <c r="C3484" t="s">
        <v>40</v>
      </c>
      <c r="D3484">
        <v>4.4623759999999999</v>
      </c>
      <c r="E3484">
        <v>0.58808990000000005</v>
      </c>
      <c r="F3484" t="s">
        <v>41</v>
      </c>
      <c r="G3484">
        <v>-441.7527</v>
      </c>
      <c r="H3484">
        <v>1.024386</v>
      </c>
      <c r="I3484">
        <v>213.6267</v>
      </c>
      <c r="J3484">
        <v>-442.14019999999999</v>
      </c>
      <c r="K3484">
        <v>1.109035</v>
      </c>
      <c r="L3484">
        <v>213.6576</v>
      </c>
      <c r="M3484">
        <v>0.9992875</v>
      </c>
      <c r="N3484">
        <v>-5.4047619999999996E-3</v>
      </c>
      <c r="O3484">
        <v>-3.7354329999999998E-2</v>
      </c>
      <c r="P3484">
        <v>0.93228770000000005</v>
      </c>
      <c r="Q3484">
        <v>0.3369086</v>
      </c>
      <c r="R3484">
        <v>0.13165250000000001</v>
      </c>
      <c r="S3484">
        <v>3.3802189999999999</v>
      </c>
      <c r="T3484">
        <v>-0.36858489999999999</v>
      </c>
      <c r="U3484">
        <v>-0.19694519999999999</v>
      </c>
      <c r="V3484">
        <v>-0.16621540000000001</v>
      </c>
      <c r="W3484">
        <v>0.34199570000000001</v>
      </c>
      <c r="X3484">
        <v>0.9248845</v>
      </c>
      <c r="Y3484">
        <v>2.090272E-2</v>
      </c>
      <c r="Z3484">
        <v>2.6626549999999999E-3</v>
      </c>
      <c r="AA3484">
        <v>0.99977800000000006</v>
      </c>
      <c r="AB3484">
        <v>38</v>
      </c>
      <c r="AC3484">
        <v>0.38749999999998802</v>
      </c>
      <c r="AD3484">
        <v>-8.4648999999999905E-2</v>
      </c>
      <c r="AE3484">
        <v>-3.0900000000002498E-2</v>
      </c>
      <c r="AF3484">
        <v>1.5660808559913999E-2</v>
      </c>
      <c r="AG3484">
        <v>-8.4648999999999905E-2</v>
      </c>
      <c r="AH3484">
        <v>0.370801003865804</v>
      </c>
      <c r="AI3484">
        <v>102.848432250649</v>
      </c>
      <c r="AJ3484">
        <v>87.581545731591305</v>
      </c>
      <c r="AK3484">
        <v>0.38066270974924599</v>
      </c>
      <c r="AL3484">
        <v>70.001489918235507</v>
      </c>
      <c r="AM3484">
        <v>100.188143026915</v>
      </c>
      <c r="AN3484">
        <v>0.99999997817794894</v>
      </c>
    </row>
    <row r="3485" spans="1:40" x14ac:dyDescent="0.25">
      <c r="A3485" t="str">
        <f>"20190304164157804"</f>
        <v>20190304164157804</v>
      </c>
      <c r="B3485" t="str">
        <f>"1551688917795029"</f>
        <v>1551688917795029</v>
      </c>
      <c r="C3485" t="s">
        <v>40</v>
      </c>
      <c r="D3485">
        <v>4.481795</v>
      </c>
      <c r="E3485">
        <v>0.5878679</v>
      </c>
      <c r="F3485" t="s">
        <v>41</v>
      </c>
      <c r="G3485">
        <v>-441.41379999999998</v>
      </c>
      <c r="H3485">
        <v>1.027048</v>
      </c>
      <c r="I3485">
        <v>213.6155</v>
      </c>
      <c r="J3485">
        <v>-441.76319999999998</v>
      </c>
      <c r="K3485">
        <v>1.1091770000000001</v>
      </c>
      <c r="L3485">
        <v>213.64359999999999</v>
      </c>
      <c r="M3485">
        <v>0.99929239999999997</v>
      </c>
      <c r="N3485">
        <v>-5.4650499999999999E-3</v>
      </c>
      <c r="O3485">
        <v>-3.7214289999999997E-2</v>
      </c>
      <c r="P3485">
        <v>0.93230460000000004</v>
      </c>
      <c r="Q3485">
        <v>0.33744180000000001</v>
      </c>
      <c r="R3485">
        <v>0.13015850000000001</v>
      </c>
      <c r="S3485">
        <v>3.3834529999999998</v>
      </c>
      <c r="T3485">
        <v>-0.38201400000000002</v>
      </c>
      <c r="U3485">
        <v>-0.19480900000000001</v>
      </c>
      <c r="V3485">
        <v>-0.16470779999999999</v>
      </c>
      <c r="W3485">
        <v>0.34252939999999998</v>
      </c>
      <c r="X3485">
        <v>0.92495669999999997</v>
      </c>
      <c r="Y3485">
        <v>2.0366619999999998E-2</v>
      </c>
      <c r="Z3485">
        <v>2.7794E-3</v>
      </c>
      <c r="AA3485">
        <v>0.99978869999999997</v>
      </c>
      <c r="AB3485">
        <v>38</v>
      </c>
      <c r="AC3485">
        <v>0.34940000000000199</v>
      </c>
      <c r="AD3485">
        <v>-8.2129000000000105E-2</v>
      </c>
      <c r="AE3485">
        <v>-2.80999999999949E-2</v>
      </c>
      <c r="AF3485">
        <v>1.42930262201758E-2</v>
      </c>
      <c r="AG3485">
        <v>-8.2129000000000105E-2</v>
      </c>
      <c r="AH3485">
        <v>0.33197910107080703</v>
      </c>
      <c r="AI3485">
        <v>103.883161030997</v>
      </c>
      <c r="AJ3485">
        <v>87.534710359754698</v>
      </c>
      <c r="AK3485">
        <v>0.34228582615602399</v>
      </c>
      <c r="AL3485">
        <v>69.968945518994602</v>
      </c>
      <c r="AM3485">
        <v>100.096872973651</v>
      </c>
      <c r="AN3485">
        <v>0.99999997306004396</v>
      </c>
    </row>
    <row r="3486" spans="1:40" x14ac:dyDescent="0.25">
      <c r="A3486" t="str">
        <f>"20190304164157826"</f>
        <v>20190304164157826</v>
      </c>
      <c r="B3486" t="str">
        <f>"1551688917814548"</f>
        <v>1551688917814548</v>
      </c>
      <c r="C3486" t="s">
        <v>40</v>
      </c>
      <c r="D3486">
        <v>4.4775369999999999</v>
      </c>
      <c r="E3486">
        <v>0.58779609999999904</v>
      </c>
      <c r="F3486" t="s">
        <v>41</v>
      </c>
      <c r="G3486">
        <v>-440.75279999999998</v>
      </c>
      <c r="H3486">
        <v>0.99312469999999997</v>
      </c>
      <c r="I3486">
        <v>213.5847</v>
      </c>
      <c r="J3486">
        <v>-441.38679999999999</v>
      </c>
      <c r="K3486">
        <v>1.1093580000000001</v>
      </c>
      <c r="L3486">
        <v>213.62979999999999</v>
      </c>
      <c r="M3486">
        <v>0.99930549999999996</v>
      </c>
      <c r="N3486">
        <v>-5.5207499999999996E-3</v>
      </c>
      <c r="O3486">
        <v>-3.6857029999999999E-2</v>
      </c>
      <c r="P3486">
        <v>0.93155250000000001</v>
      </c>
      <c r="Q3486">
        <v>0.3398872</v>
      </c>
      <c r="R3486">
        <v>0.1291775</v>
      </c>
      <c r="S3486">
        <v>3.386047</v>
      </c>
      <c r="T3486">
        <v>-0.38925290000000001</v>
      </c>
      <c r="U3486">
        <v>-0.1954651</v>
      </c>
      <c r="V3486">
        <v>-0.1635076</v>
      </c>
      <c r="W3486">
        <v>0.34495579999999998</v>
      </c>
      <c r="X3486">
        <v>0.92426759999999997</v>
      </c>
      <c r="Y3486">
        <v>2.0870679999999999E-2</v>
      </c>
      <c r="Z3486">
        <v>2.76246E-3</v>
      </c>
      <c r="AA3486">
        <v>0.99977839999999996</v>
      </c>
      <c r="AB3486">
        <v>38</v>
      </c>
      <c r="AC3486">
        <v>0.634000000000014</v>
      </c>
      <c r="AD3486">
        <v>-0.1162333</v>
      </c>
      <c r="AE3486">
        <v>-4.50999999999908E-2</v>
      </c>
      <c r="AF3486">
        <v>2.0999388638876799E-2</v>
      </c>
      <c r="AG3486">
        <v>-0.1162333</v>
      </c>
      <c r="AH3486">
        <v>0.61467559286740403</v>
      </c>
      <c r="AI3486">
        <v>100.701923309214</v>
      </c>
      <c r="AJ3486">
        <v>88.043344175679707</v>
      </c>
      <c r="AK3486">
        <v>0.62592111229690295</v>
      </c>
      <c r="AL3486">
        <v>69.820900610592204</v>
      </c>
      <c r="AM3486">
        <v>100.032118673756</v>
      </c>
      <c r="AN3486">
        <v>0.99999991781057596</v>
      </c>
    </row>
    <row r="3487" spans="1:40" x14ac:dyDescent="0.25">
      <c r="A3487" t="str">
        <f>"20190304164157849"</f>
        <v>20190304164157849</v>
      </c>
      <c r="B3487" t="str">
        <f>"1551688917844804"</f>
        <v>1551688917844804</v>
      </c>
      <c r="C3487" t="s">
        <v>40</v>
      </c>
      <c r="D3487">
        <v>4.478243</v>
      </c>
      <c r="E3487">
        <v>0.58748299999999998</v>
      </c>
      <c r="F3487" t="s">
        <v>41</v>
      </c>
      <c r="G3487">
        <v>-440.41019999999997</v>
      </c>
      <c r="H3487">
        <v>0.99804210000000004</v>
      </c>
      <c r="I3487">
        <v>213.57310000000001</v>
      </c>
      <c r="J3487">
        <v>-441.00549999999998</v>
      </c>
      <c r="K3487">
        <v>1.109545</v>
      </c>
      <c r="L3487">
        <v>213.61619999999999</v>
      </c>
      <c r="M3487">
        <v>0.99932560000000004</v>
      </c>
      <c r="N3487">
        <v>-5.5733989999999997E-3</v>
      </c>
      <c r="O3487">
        <v>-3.6296639999999998E-2</v>
      </c>
      <c r="P3487">
        <v>0.93104489999999995</v>
      </c>
      <c r="Q3487">
        <v>0.3417172</v>
      </c>
      <c r="R3487">
        <v>0.1280036</v>
      </c>
      <c r="S3487">
        <v>3.3887330000000002</v>
      </c>
      <c r="T3487">
        <v>-0.38621040000000001</v>
      </c>
      <c r="U3487">
        <v>-0.19749449999999999</v>
      </c>
      <c r="V3487">
        <v>-0.16194269999999999</v>
      </c>
      <c r="W3487">
        <v>0.34676469999999998</v>
      </c>
      <c r="X3487">
        <v>0.92386619999999997</v>
      </c>
      <c r="Y3487">
        <v>2.196994E-2</v>
      </c>
      <c r="Z3487">
        <v>2.608183E-3</v>
      </c>
      <c r="AA3487">
        <v>0.99975519999999996</v>
      </c>
      <c r="AB3487">
        <v>38</v>
      </c>
      <c r="AC3487">
        <v>0.59530000000000804</v>
      </c>
      <c r="AD3487">
        <v>-0.111502899999999</v>
      </c>
      <c r="AE3487">
        <v>-4.3099999999981202E-2</v>
      </c>
      <c r="AF3487">
        <v>2.07400401398543E-2</v>
      </c>
      <c r="AG3487">
        <v>-0.111502899999999</v>
      </c>
      <c r="AH3487">
        <v>0.57635705665435699</v>
      </c>
      <c r="AI3487">
        <v>100.94235278043</v>
      </c>
      <c r="AJ3487">
        <v>87.939117367321302</v>
      </c>
      <c r="AK3487">
        <v>0.58740999542796901</v>
      </c>
      <c r="AL3487">
        <v>69.710442584356699</v>
      </c>
      <c r="AM3487">
        <v>99.942258074526706</v>
      </c>
      <c r="AN3487">
        <v>0.99999997537590901</v>
      </c>
    </row>
    <row r="3488" spans="1:40" x14ac:dyDescent="0.25">
      <c r="A3488" t="str">
        <f>"20190304164157870"</f>
        <v>20190304164157870</v>
      </c>
      <c r="B3488" t="str">
        <f>"1551688917864832"</f>
        <v>1551688917864832</v>
      </c>
      <c r="C3488" t="s">
        <v>40</v>
      </c>
      <c r="D3488">
        <v>4.4731189999999996</v>
      </c>
      <c r="E3488">
        <v>0.58745599999999998</v>
      </c>
      <c r="F3488" t="s">
        <v>41</v>
      </c>
      <c r="G3488">
        <v>-440.0677</v>
      </c>
      <c r="H3488">
        <v>1.0012479999999999</v>
      </c>
      <c r="I3488">
        <v>213.56110000000001</v>
      </c>
      <c r="J3488">
        <v>-440.62009999999998</v>
      </c>
      <c r="K3488">
        <v>1.1097189999999999</v>
      </c>
      <c r="L3488">
        <v>213.60290000000001</v>
      </c>
      <c r="M3488">
        <v>0.9993533</v>
      </c>
      <c r="N3488">
        <v>-5.6232859999999999E-3</v>
      </c>
      <c r="O3488">
        <v>-3.5518010000000003E-2</v>
      </c>
      <c r="P3488">
        <v>0.93108150000000001</v>
      </c>
      <c r="Q3488">
        <v>0.34213660000000001</v>
      </c>
      <c r="R3488">
        <v>0.12661</v>
      </c>
      <c r="S3488">
        <v>3.3933719999999998</v>
      </c>
      <c r="T3488">
        <v>-0.39209569999999999</v>
      </c>
      <c r="U3488">
        <v>-0.1981812</v>
      </c>
      <c r="V3488">
        <v>-0.15998289999999901</v>
      </c>
      <c r="W3488">
        <v>0.34716229999999998</v>
      </c>
      <c r="X3488">
        <v>0.9240583</v>
      </c>
      <c r="Y3488">
        <v>2.286214E-2</v>
      </c>
      <c r="Z3488">
        <v>2.5063450000000001E-3</v>
      </c>
      <c r="AA3488">
        <v>0.9997355</v>
      </c>
      <c r="AB3488">
        <v>38</v>
      </c>
      <c r="AC3488">
        <v>0.55239999999997702</v>
      </c>
      <c r="AD3488">
        <v>-0.108471</v>
      </c>
      <c r="AE3488">
        <v>-4.1799999999994897E-2</v>
      </c>
      <c r="AF3488">
        <v>2.1335198334583201E-2</v>
      </c>
      <c r="AG3488">
        <v>-0.108471</v>
      </c>
      <c r="AH3488">
        <v>0.53309771019445495</v>
      </c>
      <c r="AI3488">
        <v>101.49218514802</v>
      </c>
      <c r="AJ3488">
        <v>87.708178488493104</v>
      </c>
      <c r="AK3488">
        <v>0.54443945222912205</v>
      </c>
      <c r="AL3488">
        <v>69.686152679205904</v>
      </c>
      <c r="AM3488">
        <v>99.822294576674295</v>
      </c>
      <c r="AN3488">
        <v>0.99999996631629395</v>
      </c>
    </row>
    <row r="3489" spans="1:40" x14ac:dyDescent="0.25">
      <c r="A3489" t="str">
        <f>"20190304164157893"</f>
        <v>20190304164157893</v>
      </c>
      <c r="B3489" t="str">
        <f>"1551688917885328"</f>
        <v>1551688917885328</v>
      </c>
      <c r="C3489" t="s">
        <v>40</v>
      </c>
      <c r="D3489">
        <v>4.4988999999999999</v>
      </c>
      <c r="E3489">
        <v>0.58738869999999999</v>
      </c>
      <c r="F3489" t="s">
        <v>41</v>
      </c>
      <c r="G3489">
        <v>-439.72379999999998</v>
      </c>
      <c r="H3489">
        <v>1.0053989999999999</v>
      </c>
      <c r="I3489">
        <v>213.54920000000001</v>
      </c>
      <c r="J3489">
        <v>-440.238</v>
      </c>
      <c r="K3489">
        <v>1.1099049999999999</v>
      </c>
      <c r="L3489">
        <v>213.59010000000001</v>
      </c>
      <c r="M3489">
        <v>0.9993879</v>
      </c>
      <c r="N3489">
        <v>-5.6712849999999999E-3</v>
      </c>
      <c r="O3489">
        <v>-3.4521139999999999E-2</v>
      </c>
      <c r="P3489">
        <v>0.93117950000000005</v>
      </c>
      <c r="Q3489">
        <v>0.34205039999999998</v>
      </c>
      <c r="R3489">
        <v>0.1261215</v>
      </c>
      <c r="S3489">
        <v>3.3948360000000002</v>
      </c>
      <c r="T3489">
        <v>-0.39521770000000001</v>
      </c>
      <c r="U3489">
        <v>-0.2029572</v>
      </c>
      <c r="V3489">
        <v>-0.15873300000000001</v>
      </c>
      <c r="W3489">
        <v>0.34705140000000001</v>
      </c>
      <c r="X3489">
        <v>0.92431549999999996</v>
      </c>
      <c r="Y3489">
        <v>2.5213880000000001E-2</v>
      </c>
      <c r="Z3489">
        <v>2.271861E-3</v>
      </c>
      <c r="AA3489">
        <v>0.99967950000000005</v>
      </c>
      <c r="AB3489">
        <v>38</v>
      </c>
      <c r="AC3489">
        <v>0.51420000000007304</v>
      </c>
      <c r="AD3489">
        <v>-0.104506</v>
      </c>
      <c r="AE3489">
        <v>-4.0899999999993497E-2</v>
      </c>
      <c r="AF3489">
        <v>2.2212801883807601E-2</v>
      </c>
      <c r="AG3489">
        <v>-0.104506</v>
      </c>
      <c r="AH3489">
        <v>0.49498778441545899</v>
      </c>
      <c r="AI3489">
        <v>101.9100457628</v>
      </c>
      <c r="AJ3489">
        <v>87.430549710015896</v>
      </c>
      <c r="AK3489">
        <v>0.50638702523273005</v>
      </c>
      <c r="AL3489">
        <v>69.692928569881204</v>
      </c>
      <c r="AM3489">
        <v>99.744373254146694</v>
      </c>
      <c r="AN3489">
        <v>0.99999999153560404</v>
      </c>
    </row>
    <row r="3490" spans="1:40" x14ac:dyDescent="0.25">
      <c r="A3490" t="str">
        <f>"20190304164157916"</f>
        <v>20190304164157916</v>
      </c>
      <c r="B3490" t="str">
        <f>"1551688917904848"</f>
        <v>1551688917904848</v>
      </c>
      <c r="C3490" t="s">
        <v>40</v>
      </c>
      <c r="D3490">
        <v>4.5281409999999997</v>
      </c>
      <c r="E3490">
        <v>0.58722159999999901</v>
      </c>
      <c r="F3490" t="s">
        <v>41</v>
      </c>
      <c r="G3490">
        <v>-439.37950000000001</v>
      </c>
      <c r="H3490">
        <v>1.008724</v>
      </c>
      <c r="I3490">
        <v>213.53819999999999</v>
      </c>
      <c r="J3490">
        <v>-439.85430000000002</v>
      </c>
      <c r="K3490">
        <v>1.110106</v>
      </c>
      <c r="L3490">
        <v>213.5778</v>
      </c>
      <c r="M3490">
        <v>0.99942940000000002</v>
      </c>
      <c r="N3490">
        <v>-5.7206949999999996E-3</v>
      </c>
      <c r="O3490">
        <v>-3.3289239999999998E-2</v>
      </c>
      <c r="P3490">
        <v>0.93091480000000004</v>
      </c>
      <c r="Q3490">
        <v>0.34312369999999998</v>
      </c>
      <c r="R3490">
        <v>0.12515570000000001</v>
      </c>
      <c r="S3490">
        <v>3.396515</v>
      </c>
      <c r="T3490">
        <v>-0.40052680000000002</v>
      </c>
      <c r="U3490">
        <v>-0.20405580000000001</v>
      </c>
      <c r="V3490">
        <v>-0.15678900000000001</v>
      </c>
      <c r="W3490">
        <v>0.34809669999999998</v>
      </c>
      <c r="X3490">
        <v>0.92425420000000003</v>
      </c>
      <c r="Y3490">
        <v>2.672122E-2</v>
      </c>
      <c r="Z3490">
        <v>2.0718289999999999E-3</v>
      </c>
      <c r="AA3490">
        <v>0.9996408</v>
      </c>
      <c r="AB3490">
        <v>38</v>
      </c>
      <c r="AC3490">
        <v>0.47480000000001599</v>
      </c>
      <c r="AD3490">
        <v>-0.101382</v>
      </c>
      <c r="AE3490">
        <v>-3.9600000000007102E-2</v>
      </c>
      <c r="AF3490">
        <v>2.27423287019487E-2</v>
      </c>
      <c r="AG3490">
        <v>-0.101382</v>
      </c>
      <c r="AH3490">
        <v>0.45524252413843402</v>
      </c>
      <c r="AI3490">
        <v>102.53968820563</v>
      </c>
      <c r="AJ3490">
        <v>87.140080234189895</v>
      </c>
      <c r="AK3490">
        <v>0.466948904295449</v>
      </c>
      <c r="AL3490">
        <v>69.629054354897093</v>
      </c>
      <c r="AM3490">
        <v>99.627907674790805</v>
      </c>
      <c r="AN3490">
        <v>0.99999996464476404</v>
      </c>
    </row>
    <row r="3491" spans="1:40" x14ac:dyDescent="0.25">
      <c r="A3491" t="str">
        <f>"20190304164157939"</f>
        <v>20190304164157939</v>
      </c>
      <c r="B3491" t="str">
        <f>"1551688917934127"</f>
        <v>1551688917934127</v>
      </c>
      <c r="C3491" t="s">
        <v>40</v>
      </c>
      <c r="D3491">
        <v>4.5149749999999997</v>
      </c>
      <c r="E3491">
        <v>0.58701639999999999</v>
      </c>
      <c r="F3491" t="s">
        <v>41</v>
      </c>
      <c r="G3491">
        <v>-439.03320000000002</v>
      </c>
      <c r="H3491">
        <v>1.014087</v>
      </c>
      <c r="I3491">
        <v>213.5284</v>
      </c>
      <c r="J3491">
        <v>-439.44040000000001</v>
      </c>
      <c r="K3491">
        <v>1.1103339999999999</v>
      </c>
      <c r="L3491">
        <v>213.5652</v>
      </c>
      <c r="M3491">
        <v>0.99948040000000005</v>
      </c>
      <c r="N3491">
        <v>-5.774281E-3</v>
      </c>
      <c r="O3491">
        <v>-3.1714260000000001E-2</v>
      </c>
      <c r="P3491">
        <v>0.93067060000000001</v>
      </c>
      <c r="Q3491">
        <v>0.34375889999999998</v>
      </c>
      <c r="R3491">
        <v>0.12522929999999999</v>
      </c>
      <c r="S3491">
        <v>3.396576</v>
      </c>
      <c r="T3491">
        <v>-0.39723930000000002</v>
      </c>
      <c r="U3491">
        <v>-0.2045593</v>
      </c>
      <c r="V3491">
        <v>-0.15558729999999901</v>
      </c>
      <c r="W3491">
        <v>0.34869919999999999</v>
      </c>
      <c r="X3491">
        <v>0.9242302</v>
      </c>
      <c r="Y3491">
        <v>2.8420520000000001E-2</v>
      </c>
      <c r="Z3491">
        <v>1.77215799999999E-3</v>
      </c>
      <c r="AA3491">
        <v>0.99959450000000005</v>
      </c>
      <c r="AB3491">
        <v>38</v>
      </c>
      <c r="AC3491">
        <v>0.40719999999998802</v>
      </c>
      <c r="AD3491">
        <v>-9.6246999999999694E-2</v>
      </c>
      <c r="AE3491">
        <v>-3.67999999999995E-2</v>
      </c>
      <c r="AF3491">
        <v>2.26140718430036E-2</v>
      </c>
      <c r="AG3491">
        <v>-9.6246999999999694E-2</v>
      </c>
      <c r="AH3491">
        <v>0.38673158901231097</v>
      </c>
      <c r="AI3491">
        <v>103.952546051642</v>
      </c>
      <c r="AJ3491">
        <v>86.653448684890805</v>
      </c>
      <c r="AK3491">
        <v>0.39916939160500198</v>
      </c>
      <c r="AL3491">
        <v>69.592227024745696</v>
      </c>
      <c r="AM3491">
        <v>99.555724510598196</v>
      </c>
      <c r="AN3491">
        <v>1.0000000012969801</v>
      </c>
    </row>
    <row r="3492" spans="1:40" x14ac:dyDescent="0.25">
      <c r="A3492" t="str">
        <f>"20190304164157960"</f>
        <v>20190304164157960</v>
      </c>
      <c r="B3492" t="str">
        <f>"1551688917954155"</f>
        <v>1551688917954155</v>
      </c>
      <c r="C3492" t="s">
        <v>40</v>
      </c>
      <c r="D3492">
        <v>4.5213140000000003</v>
      </c>
      <c r="E3492">
        <v>0.58692719999999998</v>
      </c>
      <c r="F3492" t="s">
        <v>41</v>
      </c>
      <c r="G3492">
        <v>-438.68450000000001</v>
      </c>
      <c r="H3492">
        <v>1.0227740000000001</v>
      </c>
      <c r="I3492">
        <v>213.5197</v>
      </c>
      <c r="J3492">
        <v>-439.08909999999997</v>
      </c>
      <c r="K3492">
        <v>1.1105229999999999</v>
      </c>
      <c r="L3492">
        <v>213.55529999999999</v>
      </c>
      <c r="M3492">
        <v>0.99952750000000001</v>
      </c>
      <c r="N3492">
        <v>-5.8184650000000001E-3</v>
      </c>
      <c r="O3492">
        <v>-3.018504E-2</v>
      </c>
      <c r="P3492">
        <v>0.930562</v>
      </c>
      <c r="Q3492">
        <v>0.34350989999999998</v>
      </c>
      <c r="R3492">
        <v>0.1267102</v>
      </c>
      <c r="S3492">
        <v>3.39621</v>
      </c>
      <c r="T3492">
        <v>-0.39392339999999998</v>
      </c>
      <c r="U3492">
        <v>-0.20220949999999999</v>
      </c>
      <c r="V3492">
        <v>-0.15580729999999901</v>
      </c>
      <c r="W3492">
        <v>0.3484199</v>
      </c>
      <c r="X3492">
        <v>0.92429850000000002</v>
      </c>
      <c r="Y3492">
        <v>2.9251800000000001E-2</v>
      </c>
      <c r="Z3492">
        <v>1.535455E-3</v>
      </c>
      <c r="AA3492">
        <v>0.99957090000000004</v>
      </c>
      <c r="AB3492">
        <v>39</v>
      </c>
      <c r="AC3492">
        <v>0.40459999999995899</v>
      </c>
      <c r="AD3492">
        <v>-8.7748999999999799E-2</v>
      </c>
      <c r="AE3492">
        <v>-3.5599999999988002E-2</v>
      </c>
      <c r="AF3492">
        <v>2.2328523603558699E-2</v>
      </c>
      <c r="AG3492">
        <v>-8.7748999999999799E-2</v>
      </c>
      <c r="AH3492">
        <v>0.38740800935562603</v>
      </c>
      <c r="AI3492">
        <v>102.741858469932</v>
      </c>
      <c r="AJ3492">
        <v>86.701368167383905</v>
      </c>
      <c r="AK3492">
        <v>0.39784848332022499</v>
      </c>
      <c r="AL3492">
        <v>69.609301065016794</v>
      </c>
      <c r="AM3492">
        <v>99.568292580360506</v>
      </c>
      <c r="AN3492">
        <v>1.00000002927577</v>
      </c>
    </row>
    <row r="3493" spans="1:40" x14ac:dyDescent="0.25">
      <c r="A3493" t="str">
        <f>"20190304164157982"</f>
        <v>20190304164157982</v>
      </c>
      <c r="B3493" t="str">
        <f>"1551688917974652"</f>
        <v>1551688917974652</v>
      </c>
      <c r="C3493" t="s">
        <v>40</v>
      </c>
      <c r="D3493">
        <v>4.5536789999999998</v>
      </c>
      <c r="E3493">
        <v>0.58687509999999998</v>
      </c>
      <c r="F3493" t="s">
        <v>41</v>
      </c>
      <c r="G3493">
        <v>-438.33879999999999</v>
      </c>
      <c r="H3493">
        <v>1.0236099999999999</v>
      </c>
      <c r="I3493">
        <v>213.51140000000001</v>
      </c>
      <c r="J3493">
        <v>-438.70229999999998</v>
      </c>
      <c r="K3493">
        <v>1.110719</v>
      </c>
      <c r="L3493">
        <v>213.54499999999999</v>
      </c>
      <c r="M3493">
        <v>0.9995811</v>
      </c>
      <c r="N3493">
        <v>-5.8647730000000002E-3</v>
      </c>
      <c r="O3493">
        <v>-2.8341669999999999E-2</v>
      </c>
      <c r="P3493">
        <v>0.93051050000000002</v>
      </c>
      <c r="Q3493">
        <v>0.3426594</v>
      </c>
      <c r="R3493">
        <v>0.12936310000000001</v>
      </c>
      <c r="S3493">
        <v>3.3960880000000002</v>
      </c>
      <c r="T3493">
        <v>-0.39340340000000001</v>
      </c>
      <c r="U3493">
        <v>-0.19831850000000001</v>
      </c>
      <c r="V3493">
        <v>-0.1569111</v>
      </c>
      <c r="W3493">
        <v>0.3475357</v>
      </c>
      <c r="X3493">
        <v>0.92444459999999995</v>
      </c>
      <c r="Y3493">
        <v>2.993995E-2</v>
      </c>
      <c r="Z3493">
        <v>1.2877330000000001E-3</v>
      </c>
      <c r="AA3493">
        <v>0.99955090000000002</v>
      </c>
      <c r="AB3493">
        <v>39</v>
      </c>
      <c r="AC3493">
        <v>0.363499999999987</v>
      </c>
      <c r="AD3493">
        <v>-8.7108999999999798E-2</v>
      </c>
      <c r="AE3493">
        <v>-3.3599999999978501E-2</v>
      </c>
      <c r="AF3493">
        <v>2.2029740688290101E-2</v>
      </c>
      <c r="AG3493">
        <v>-8.7108999999999798E-2</v>
      </c>
      <c r="AH3493">
        <v>0.34467997485235902</v>
      </c>
      <c r="AI3493">
        <v>104.155339209145</v>
      </c>
      <c r="AJ3493">
        <v>86.342994174715898</v>
      </c>
      <c r="AK3493">
        <v>0.35619878217087703</v>
      </c>
      <c r="AL3493">
        <v>69.663338337667398</v>
      </c>
      <c r="AM3493">
        <v>99.633317632931195</v>
      </c>
      <c r="AN3493">
        <v>0.99999998727342898</v>
      </c>
    </row>
    <row r="3494" spans="1:40" x14ac:dyDescent="0.25">
      <c r="A3494" t="str">
        <f>"20190304164157996"</f>
        <v>20190304164157996</v>
      </c>
      <c r="B3494" t="str">
        <f>"1551688917984410"</f>
        <v>1551688917984410</v>
      </c>
      <c r="C3494" t="s">
        <v>40</v>
      </c>
      <c r="D3494">
        <v>4.5182140000000004</v>
      </c>
      <c r="E3494">
        <v>0.58686380000000005</v>
      </c>
      <c r="F3494" t="s">
        <v>41</v>
      </c>
      <c r="G3494">
        <v>-437.66219999999998</v>
      </c>
      <c r="H3494">
        <v>0.98944010000000004</v>
      </c>
      <c r="I3494">
        <v>213.48679999999999</v>
      </c>
      <c r="J3494">
        <v>-438.46120000000002</v>
      </c>
      <c r="K3494">
        <v>1.1108260000000001</v>
      </c>
      <c r="L3494">
        <v>213.53909999999999</v>
      </c>
      <c r="M3494">
        <v>0.99961500000000003</v>
      </c>
      <c r="N3494">
        <v>-5.893878E-3</v>
      </c>
      <c r="O3494">
        <v>-2.7112270000000001E-2</v>
      </c>
      <c r="P3494">
        <v>0.93035659999999998</v>
      </c>
      <c r="Q3494">
        <v>0.34241690000000002</v>
      </c>
      <c r="R3494">
        <v>0.1311011</v>
      </c>
      <c r="S3494">
        <v>3.396271</v>
      </c>
      <c r="T3494">
        <v>-0.39602150000000003</v>
      </c>
      <c r="U3494">
        <v>-0.1898041</v>
      </c>
      <c r="V3494">
        <v>-0.1575936</v>
      </c>
      <c r="W3494">
        <v>0.34727730000000001</v>
      </c>
      <c r="X3494">
        <v>0.92442570000000002</v>
      </c>
      <c r="Y3494">
        <v>2.8669480000000001E-2</v>
      </c>
      <c r="Z3494">
        <v>1.2388010000000001E-3</v>
      </c>
      <c r="AA3494">
        <v>0.99958820000000004</v>
      </c>
      <c r="AB3494">
        <v>39</v>
      </c>
      <c r="AC3494">
        <v>0.79900000000003502</v>
      </c>
      <c r="AD3494">
        <v>-0.1213859</v>
      </c>
      <c r="AE3494">
        <v>-5.23000000000024E-2</v>
      </c>
      <c r="AF3494">
        <v>2.99298480796997E-2</v>
      </c>
      <c r="AG3494">
        <v>-0.1213859</v>
      </c>
      <c r="AH3494">
        <v>0.78214899165693397</v>
      </c>
      <c r="AI3494">
        <v>98.815313435677197</v>
      </c>
      <c r="AJ3494">
        <v>87.808579044215904</v>
      </c>
      <c r="AK3494">
        <v>0.79207788611653795</v>
      </c>
      <c r="AL3494">
        <v>69.679128730570497</v>
      </c>
      <c r="AM3494">
        <v>99.674622514139301</v>
      </c>
      <c r="AN3494">
        <v>1.00000007033836</v>
      </c>
    </row>
    <row r="3495" spans="1:40" x14ac:dyDescent="0.25">
      <c r="A3495" t="str">
        <f>"20190304164158015"</f>
        <v>20190304164158015</v>
      </c>
      <c r="B3495" t="str">
        <f>"1551688918004907"</f>
        <v>1551688918004907</v>
      </c>
      <c r="C3495" t="s">
        <v>40</v>
      </c>
      <c r="D3495">
        <v>4.5362970000000002</v>
      </c>
      <c r="E3495">
        <v>0.5866536</v>
      </c>
      <c r="F3495" t="s">
        <v>41</v>
      </c>
      <c r="G3495">
        <v>-437.64909999999998</v>
      </c>
      <c r="H3495">
        <v>1.0160209999999901</v>
      </c>
      <c r="I3495">
        <v>213.495</v>
      </c>
      <c r="J3495">
        <v>-438.12599999999998</v>
      </c>
      <c r="K3495">
        <v>1.110962</v>
      </c>
      <c r="L3495">
        <v>213.53129999999999</v>
      </c>
      <c r="M3495">
        <v>0.99966100000000002</v>
      </c>
      <c r="N3495">
        <v>-5.9343140000000004E-3</v>
      </c>
      <c r="O3495">
        <v>-2.5349509999999999E-2</v>
      </c>
      <c r="P3495">
        <v>0.93005059999999995</v>
      </c>
      <c r="Q3495">
        <v>0.3419605</v>
      </c>
      <c r="R3495">
        <v>0.13442029999999999</v>
      </c>
      <c r="S3495">
        <v>3.396423</v>
      </c>
      <c r="T3495">
        <v>-0.39651199999999998</v>
      </c>
      <c r="U3495">
        <v>-0.18417359999999999</v>
      </c>
      <c r="V3495">
        <v>-0.1593791</v>
      </c>
      <c r="W3495">
        <v>0.3468001</v>
      </c>
      <c r="X3495">
        <v>0.92429859999999997</v>
      </c>
      <c r="Y3495">
        <v>2.8765880000000001E-2</v>
      </c>
      <c r="Z3495">
        <v>1.0386810000000001E-3</v>
      </c>
      <c r="AA3495">
        <v>0.99958559999999996</v>
      </c>
      <c r="AB3495">
        <v>39</v>
      </c>
      <c r="AC3495">
        <v>0.47689999999999999</v>
      </c>
      <c r="AD3495">
        <v>-9.4941000000000095E-2</v>
      </c>
      <c r="AE3495">
        <v>-3.6299999999982901E-2</v>
      </c>
      <c r="AF3495">
        <v>2.32815460408188E-2</v>
      </c>
      <c r="AG3495">
        <v>-9.4941000000000095E-2</v>
      </c>
      <c r="AH3495">
        <v>0.45955835344000601</v>
      </c>
      <c r="AI3495">
        <v>101.65808475340199</v>
      </c>
      <c r="AJ3495">
        <v>87.099835332640296</v>
      </c>
      <c r="AK3495">
        <v>0.46984008352155299</v>
      </c>
      <c r="AL3495">
        <v>69.708279679553698</v>
      </c>
      <c r="AM3495">
        <v>99.783446808590099</v>
      </c>
      <c r="AN3495">
        <v>0.99999995441938805</v>
      </c>
    </row>
    <row r="3496" spans="1:40" x14ac:dyDescent="0.25">
      <c r="A3496" t="str">
        <f>"20190304164158038"</f>
        <v>20190304164158038</v>
      </c>
      <c r="B3496" t="str">
        <f>"1551688918034186"</f>
        <v>1551688918034186</v>
      </c>
      <c r="C3496" t="s">
        <v>40</v>
      </c>
      <c r="D3496">
        <v>4.3984040000000002</v>
      </c>
      <c r="E3496">
        <v>0.58634169999999997</v>
      </c>
      <c r="F3496" t="s">
        <v>41</v>
      </c>
      <c r="G3496">
        <v>-437.3021</v>
      </c>
      <c r="H3496">
        <v>1.013862</v>
      </c>
      <c r="I3496">
        <v>213.48929999999999</v>
      </c>
      <c r="J3496">
        <v>-437.74009999999998</v>
      </c>
      <c r="K3496">
        <v>1.1110949999999999</v>
      </c>
      <c r="L3496">
        <v>213.5231</v>
      </c>
      <c r="M3496">
        <v>0.99971189999999999</v>
      </c>
      <c r="N3496">
        <v>-5.9799559999999998E-3</v>
      </c>
      <c r="O3496">
        <v>-2.3248359999999999E-2</v>
      </c>
      <c r="P3496">
        <v>0.92938730000000003</v>
      </c>
      <c r="Q3496">
        <v>0.34197349999999999</v>
      </c>
      <c r="R3496">
        <v>0.13890060000000001</v>
      </c>
      <c r="S3496">
        <v>3.3978579999999998</v>
      </c>
      <c r="T3496">
        <v>-0.40054970000000001</v>
      </c>
      <c r="U3496">
        <v>-0.17277529999999999</v>
      </c>
      <c r="V3496">
        <v>-0.16200220000000001</v>
      </c>
      <c r="W3496">
        <v>0.34679290000000002</v>
      </c>
      <c r="X3496">
        <v>0.92384520000000003</v>
      </c>
      <c r="Y3496">
        <v>2.7495240000000001E-2</v>
      </c>
      <c r="Z3496">
        <v>8.9373950000000001E-4</v>
      </c>
      <c r="AA3496">
        <v>0.99962150000000005</v>
      </c>
      <c r="AB3496">
        <v>39</v>
      </c>
      <c r="AC3496">
        <v>0.43799999999998801</v>
      </c>
      <c r="AD3496">
        <v>-9.7233000000000097E-2</v>
      </c>
      <c r="AE3496">
        <v>-3.3800000000013597E-2</v>
      </c>
      <c r="AF3496">
        <v>2.2505379985219998E-2</v>
      </c>
      <c r="AG3496">
        <v>-9.7233000000000097E-2</v>
      </c>
      <c r="AH3496">
        <v>0.41818105569324598</v>
      </c>
      <c r="AI3496">
        <v>103.07123572047</v>
      </c>
      <c r="AJ3496">
        <v>86.919466966002503</v>
      </c>
      <c r="AK3496">
        <v>0.42992574214391599</v>
      </c>
      <c r="AL3496">
        <v>69.708720277991304</v>
      </c>
      <c r="AM3496">
        <v>99.9460596359975</v>
      </c>
      <c r="AN3496">
        <v>0.99999999092914404</v>
      </c>
    </row>
    <row r="3497" spans="1:40" x14ac:dyDescent="0.25">
      <c r="A3497" t="str">
        <f>"20190304164158060"</f>
        <v>20190304164158060</v>
      </c>
      <c r="B3497" t="str">
        <f>"1551688918054212"</f>
        <v>1551688918054212</v>
      </c>
      <c r="C3497" t="s">
        <v>40</v>
      </c>
      <c r="D3497">
        <v>4.5375399999999999</v>
      </c>
      <c r="E3497">
        <v>0.56448710000000002</v>
      </c>
      <c r="F3497" t="s">
        <v>41</v>
      </c>
      <c r="G3497">
        <v>-436.95159999999998</v>
      </c>
      <c r="H3497">
        <v>1.01702</v>
      </c>
      <c r="I3497">
        <v>213.48699999999999</v>
      </c>
      <c r="J3497">
        <v>-437.35120000000001</v>
      </c>
      <c r="K3497">
        <v>1.1112010000000001</v>
      </c>
      <c r="L3497">
        <v>213.51570000000001</v>
      </c>
      <c r="M3497">
        <v>0.99975979999999998</v>
      </c>
      <c r="N3497">
        <v>-6.0240240000000002E-3</v>
      </c>
      <c r="O3497">
        <v>-2.10785E-2</v>
      </c>
      <c r="P3497">
        <v>0.92853600000000003</v>
      </c>
      <c r="Q3497">
        <v>0.34243790000000002</v>
      </c>
      <c r="R3497">
        <v>0.1433779</v>
      </c>
      <c r="S3497">
        <v>3.400452</v>
      </c>
      <c r="T3497">
        <v>-0.40570020000000001</v>
      </c>
      <c r="U3497">
        <v>-0.15567020000000001</v>
      </c>
      <c r="V3497">
        <v>-0.16453880000000001</v>
      </c>
      <c r="W3497">
        <v>0.34724280000000002</v>
      </c>
      <c r="X3497">
        <v>0.92322769999999998</v>
      </c>
      <c r="Y3497">
        <v>2.461578E-2</v>
      </c>
      <c r="Z3497">
        <v>8.4075739999999995E-4</v>
      </c>
      <c r="AA3497">
        <v>0.99969660000000005</v>
      </c>
      <c r="AB3497">
        <v>39</v>
      </c>
      <c r="AC3497">
        <v>0.39960000000001999</v>
      </c>
      <c r="AD3497">
        <v>-9.4181000000000001E-2</v>
      </c>
      <c r="AE3497">
        <v>-2.87000000000148E-2</v>
      </c>
      <c r="AF3497">
        <v>1.9208942787787599E-2</v>
      </c>
      <c r="AG3497">
        <v>-9.4181000000000001E-2</v>
      </c>
      <c r="AH3497">
        <v>0.37916221507165199</v>
      </c>
      <c r="AI3497">
        <v>103.93234787182899</v>
      </c>
      <c r="AJ3497">
        <v>87.099786939024895</v>
      </c>
      <c r="AK3497">
        <v>0.39115601693194801</v>
      </c>
      <c r="AL3497">
        <v>69.681234745990807</v>
      </c>
      <c r="AM3497">
        <v>100.105227057771</v>
      </c>
      <c r="AN3497">
        <v>0.99999998245228405</v>
      </c>
    </row>
    <row r="3498" spans="1:40" x14ac:dyDescent="0.25">
      <c r="A3498" t="str">
        <f>"20190304164158083"</f>
        <v>20190304164158083</v>
      </c>
      <c r="B3498" t="str">
        <f>"1551688918074708"</f>
        <v>1551688918074708</v>
      </c>
      <c r="C3498" t="s">
        <v>40</v>
      </c>
      <c r="D3498">
        <v>4.3840399999999997</v>
      </c>
      <c r="E3498">
        <v>0.53514189999999995</v>
      </c>
      <c r="F3498" t="s">
        <v>47</v>
      </c>
      <c r="G3498">
        <v>-424.20909999999998</v>
      </c>
      <c r="H3498" s="1">
        <v>3.306337E-6</v>
      </c>
      <c r="I3498">
        <v>213.60560000000001</v>
      </c>
      <c r="J3498">
        <v>-436.9452</v>
      </c>
      <c r="K3498">
        <v>1.111294</v>
      </c>
      <c r="L3498">
        <v>213.50890000000001</v>
      </c>
      <c r="M3498">
        <v>0.99980519999999995</v>
      </c>
      <c r="N3498">
        <v>-6.0710319999999996E-3</v>
      </c>
      <c r="O3498">
        <v>-1.8780290000000002E-2</v>
      </c>
      <c r="P3498">
        <v>0.92772500000000002</v>
      </c>
      <c r="Q3498">
        <v>0.34291359999999999</v>
      </c>
      <c r="R3498">
        <v>0.14743339999999999</v>
      </c>
      <c r="S3498">
        <v>3.3312379999999999</v>
      </c>
      <c r="T3498">
        <v>-0.28166469999999999</v>
      </c>
      <c r="U3498">
        <v>2.2781369999999999E-2</v>
      </c>
      <c r="V3498">
        <v>-0.1665276</v>
      </c>
      <c r="W3498">
        <v>0.34771410000000003</v>
      </c>
      <c r="X3498">
        <v>0.9226936</v>
      </c>
      <c r="Y3498">
        <v>-2.5462419999999999E-2</v>
      </c>
      <c r="Z3498">
        <v>2.6231689999999998E-3</v>
      </c>
      <c r="AA3498">
        <v>0.99967240000000002</v>
      </c>
      <c r="AB3498">
        <v>39</v>
      </c>
      <c r="AC3498">
        <v>12.7361</v>
      </c>
      <c r="AD3498">
        <v>-1.111290693663</v>
      </c>
      <c r="AE3498">
        <v>9.6699999999998398E-2</v>
      </c>
      <c r="AF3498">
        <v>-0.333337298980107</v>
      </c>
      <c r="AG3498">
        <v>-1.111290693663</v>
      </c>
      <c r="AH3498">
        <v>12.6358406226461</v>
      </c>
      <c r="AI3498">
        <v>95.024350089238894</v>
      </c>
      <c r="AJ3498">
        <v>91.511129523214706</v>
      </c>
      <c r="AK3498">
        <v>12.6889932225385</v>
      </c>
      <c r="AL3498">
        <v>69.652437331605597</v>
      </c>
      <c r="AM3498">
        <v>100.230601890222</v>
      </c>
      <c r="AN3498">
        <v>1.0000000081907601</v>
      </c>
    </row>
    <row r="3499" spans="1:40" x14ac:dyDescent="0.25">
      <c r="A3499" t="str">
        <f>"20190304164158104"</f>
        <v>20190304164158104</v>
      </c>
      <c r="B3499" t="str">
        <f>"1551688918094228"</f>
        <v>1551688918094228</v>
      </c>
      <c r="C3499" t="s">
        <v>40</v>
      </c>
      <c r="D3499">
        <v>4.9499529999999998</v>
      </c>
      <c r="E3499">
        <v>0.5342441</v>
      </c>
      <c r="F3499" t="s">
        <v>47</v>
      </c>
      <c r="G3499">
        <v>-420.63639999999998</v>
      </c>
      <c r="H3499" s="1">
        <v>3.8335260000000001E-6</v>
      </c>
      <c r="I3499">
        <v>214.8244</v>
      </c>
      <c r="J3499">
        <v>-436.5634</v>
      </c>
      <c r="K3499">
        <v>1.1113710000000001</v>
      </c>
      <c r="L3499">
        <v>213.5033</v>
      </c>
      <c r="M3499">
        <v>0.9998435</v>
      </c>
      <c r="N3499">
        <v>-6.1166689999999999E-3</v>
      </c>
      <c r="O3499">
        <v>-1.6604069999999999E-2</v>
      </c>
      <c r="P3499">
        <v>0.92711220000000005</v>
      </c>
      <c r="Q3499">
        <v>0.34335529999999997</v>
      </c>
      <c r="R3499">
        <v>0.15023359999999999</v>
      </c>
      <c r="S3499">
        <v>3.2741699999999998</v>
      </c>
      <c r="T3499">
        <v>-0.22310379999999999</v>
      </c>
      <c r="U3499">
        <v>0.26409909999999998</v>
      </c>
      <c r="V3499">
        <v>-0.16736489999999901</v>
      </c>
      <c r="W3499">
        <v>0.34816429999999998</v>
      </c>
      <c r="X3499">
        <v>0.92237230000000003</v>
      </c>
      <c r="Y3499">
        <v>-9.6665200000000007E-2</v>
      </c>
      <c r="Z3499">
        <v>4.6079140000000003E-3</v>
      </c>
      <c r="AA3499">
        <v>0.99530629999999998</v>
      </c>
      <c r="AB3499">
        <v>39</v>
      </c>
      <c r="AC3499">
        <v>15.927</v>
      </c>
      <c r="AD3499">
        <v>-1.1113671664739999</v>
      </c>
      <c r="AE3499">
        <v>1.3210999999999999</v>
      </c>
      <c r="AF3499">
        <v>-1.57774614007184</v>
      </c>
      <c r="AG3499">
        <v>-1.1113671664739999</v>
      </c>
      <c r="AH3499">
        <v>15.8263350526103</v>
      </c>
      <c r="AI3499">
        <v>93.997118826814201</v>
      </c>
      <c r="AJ3499">
        <v>95.693074151744796</v>
      </c>
      <c r="AK3499">
        <v>15.9435661336701</v>
      </c>
      <c r="AL3499">
        <v>69.624923986897798</v>
      </c>
      <c r="AM3499">
        <v>100.28445176190201</v>
      </c>
      <c r="AN3499">
        <v>1.0000000246768901</v>
      </c>
    </row>
    <row r="3500" spans="1:40" x14ac:dyDescent="0.25">
      <c r="A3500" t="str">
        <f>"20190304164158121"</f>
        <v>20190304164158121</v>
      </c>
      <c r="B3500" t="str">
        <f>"1551688918114724"</f>
        <v>1551688918114724</v>
      </c>
      <c r="C3500" t="s">
        <v>40</v>
      </c>
      <c r="D3500">
        <v>4.3236670000000004</v>
      </c>
      <c r="E3500">
        <v>0.53429659999999901</v>
      </c>
      <c r="F3500" t="s">
        <v>47</v>
      </c>
      <c r="G3500">
        <v>-418.49059999999997</v>
      </c>
      <c r="H3500" s="1">
        <v>3.6731130000000002E-6</v>
      </c>
      <c r="I3500">
        <v>215.05930000000001</v>
      </c>
      <c r="J3500">
        <v>-436.2663</v>
      </c>
      <c r="K3500">
        <v>1.111421</v>
      </c>
      <c r="L3500">
        <v>213.49959999999999</v>
      </c>
      <c r="M3500">
        <v>0.99987009999999998</v>
      </c>
      <c r="N3500">
        <v>-6.1521170000000003E-3</v>
      </c>
      <c r="O3500">
        <v>-1.4907210000000001E-2</v>
      </c>
      <c r="P3500">
        <v>0.92662849999999997</v>
      </c>
      <c r="Q3500">
        <v>0.3438235</v>
      </c>
      <c r="R3500">
        <v>0.15213579999999999</v>
      </c>
      <c r="S3500">
        <v>3.2646480000000002</v>
      </c>
      <c r="T3500">
        <v>-0.20075560000000001</v>
      </c>
      <c r="U3500">
        <v>0.28106690000000001</v>
      </c>
      <c r="V3500">
        <v>-0.1677342</v>
      </c>
      <c r="W3500">
        <v>0.34864250000000002</v>
      </c>
      <c r="X3500">
        <v>0.92212450000000001</v>
      </c>
      <c r="Y3500">
        <v>-0.1003899</v>
      </c>
      <c r="Z3500">
        <v>4.2106009999999996E-3</v>
      </c>
      <c r="AA3500">
        <v>0.99493929999999997</v>
      </c>
      <c r="AB3500">
        <v>39</v>
      </c>
      <c r="AC3500">
        <v>17.775700000000001</v>
      </c>
      <c r="AD3500">
        <v>-1.111417326887</v>
      </c>
      <c r="AE3500">
        <v>1.5597000000000201</v>
      </c>
      <c r="AF3500">
        <v>-1.8174669793074101</v>
      </c>
      <c r="AG3500">
        <v>-1.111417326887</v>
      </c>
      <c r="AH3500">
        <v>17.681877549037601</v>
      </c>
      <c r="AI3500">
        <v>93.577867372541306</v>
      </c>
      <c r="AJ3500">
        <v>95.868650896366603</v>
      </c>
      <c r="AK3500">
        <v>17.8097509346576</v>
      </c>
      <c r="AL3500">
        <v>69.595692635288799</v>
      </c>
      <c r="AM3500">
        <v>100.309369400523</v>
      </c>
      <c r="AN3500">
        <v>0.99999997407806895</v>
      </c>
    </row>
    <row r="3501" spans="1:40" x14ac:dyDescent="0.25">
      <c r="A3501" t="str">
        <f>"20190304164158140"</f>
        <v>20190304164158140</v>
      </c>
      <c r="B3501" t="str">
        <f>"1551688918134245"</f>
        <v>1551688918134245</v>
      </c>
      <c r="C3501" t="s">
        <v>40</v>
      </c>
      <c r="D3501">
        <v>4.2688459999999999</v>
      </c>
      <c r="E3501">
        <v>0.53493740000000001</v>
      </c>
      <c r="F3501" t="s">
        <v>47</v>
      </c>
      <c r="G3501">
        <v>-418.05529999999999</v>
      </c>
      <c r="H3501" s="1">
        <v>3.5919409999999999E-6</v>
      </c>
      <c r="I3501">
        <v>215.10470000000001</v>
      </c>
      <c r="J3501">
        <v>-435.95119999999997</v>
      </c>
      <c r="K3501">
        <v>1.111472</v>
      </c>
      <c r="L3501">
        <v>213.49619999999999</v>
      </c>
      <c r="M3501">
        <v>0.99989499999999998</v>
      </c>
      <c r="N3501">
        <v>-6.1888019999999898E-3</v>
      </c>
      <c r="O3501">
        <v>-1.310712E-2</v>
      </c>
      <c r="P3501">
        <v>0.92609160000000001</v>
      </c>
      <c r="Q3501">
        <v>0.34454570000000001</v>
      </c>
      <c r="R3501">
        <v>0.15376239999999999</v>
      </c>
      <c r="S3501">
        <v>3.264221</v>
      </c>
      <c r="T3501">
        <v>-0.1992159</v>
      </c>
      <c r="U3501">
        <v>0.28770449999999997</v>
      </c>
      <c r="V3501">
        <v>-0.16773179999999999</v>
      </c>
      <c r="W3501">
        <v>0.34937810000000002</v>
      </c>
      <c r="X3501">
        <v>0.92184650000000001</v>
      </c>
      <c r="Y3501">
        <v>-0.1006233</v>
      </c>
      <c r="Z3501">
        <v>4.0909020000000004E-3</v>
      </c>
      <c r="AA3501">
        <v>0.99491620000000003</v>
      </c>
      <c r="AB3501">
        <v>39</v>
      </c>
      <c r="AC3501">
        <v>17.895899999999902</v>
      </c>
      <c r="AD3501">
        <v>-1.1114684080589901</v>
      </c>
      <c r="AE3501">
        <v>1.60850000000002</v>
      </c>
      <c r="AF3501">
        <v>-1.8359050635873699</v>
      </c>
      <c r="AG3501">
        <v>-1.1114684080589901</v>
      </c>
      <c r="AH3501">
        <v>17.805149442049199</v>
      </c>
      <c r="AI3501">
        <v>93.553206042035399</v>
      </c>
      <c r="AJ3501">
        <v>95.887015168536493</v>
      </c>
      <c r="AK3501">
        <v>17.934025094170199</v>
      </c>
      <c r="AL3501">
        <v>69.5507181615192</v>
      </c>
      <c r="AM3501">
        <v>100.31226729562199</v>
      </c>
      <c r="AN3501">
        <v>0.99999999152654995</v>
      </c>
    </row>
    <row r="3502" spans="1:40" x14ac:dyDescent="0.25">
      <c r="A3502" t="str">
        <f>"20190304164158162"</f>
        <v>20190304164158162</v>
      </c>
      <c r="B3502" t="str">
        <f>"1551688918154741"</f>
        <v>1551688918154741</v>
      </c>
      <c r="C3502" t="s">
        <v>40</v>
      </c>
      <c r="D3502">
        <v>4.2623430000000004</v>
      </c>
      <c r="E3502">
        <v>0.53566340000000001</v>
      </c>
      <c r="F3502" t="s">
        <v>47</v>
      </c>
      <c r="G3502">
        <v>-418.24470000000002</v>
      </c>
      <c r="H3502" s="1">
        <v>3.629818E-6</v>
      </c>
      <c r="I3502">
        <v>215.0556</v>
      </c>
      <c r="J3502">
        <v>-435.54860000000002</v>
      </c>
      <c r="K3502">
        <v>1.111531</v>
      </c>
      <c r="L3502">
        <v>213.49260000000001</v>
      </c>
      <c r="M3502">
        <v>0.99992219999999998</v>
      </c>
      <c r="N3502">
        <v>-6.2340420000000004E-3</v>
      </c>
      <c r="O3502">
        <v>-1.0808140000000001E-2</v>
      </c>
      <c r="P3502">
        <v>0.92541680000000004</v>
      </c>
      <c r="Q3502">
        <v>0.34576210000000002</v>
      </c>
      <c r="R3502">
        <v>0.15508810000000001</v>
      </c>
      <c r="S3502">
        <v>3.267944</v>
      </c>
      <c r="T3502">
        <v>-0.20513490000000001</v>
      </c>
      <c r="U3502">
        <v>0.28781129999999999</v>
      </c>
      <c r="V3502">
        <v>-0.16697619999999999</v>
      </c>
      <c r="W3502">
        <v>0.35061759999999997</v>
      </c>
      <c r="X3502">
        <v>0.92151300000000003</v>
      </c>
      <c r="Y3502">
        <v>-9.826472E-2</v>
      </c>
      <c r="Z3502">
        <v>3.991741E-3</v>
      </c>
      <c r="AA3502">
        <v>0.99515229999999999</v>
      </c>
      <c r="AB3502">
        <v>40</v>
      </c>
      <c r="AC3502">
        <v>17.303899999999999</v>
      </c>
      <c r="AD3502">
        <v>-1.1115273701819901</v>
      </c>
      <c r="AE3502">
        <v>1.56299999999998</v>
      </c>
      <c r="AF3502">
        <v>-1.74280231440633</v>
      </c>
      <c r="AG3502">
        <v>-1.1115273701819901</v>
      </c>
      <c r="AH3502">
        <v>17.215535592255598</v>
      </c>
      <c r="AI3502">
        <v>93.675461535238099</v>
      </c>
      <c r="AJ3502">
        <v>95.780603274363202</v>
      </c>
      <c r="AK3502">
        <v>17.339190255890902</v>
      </c>
      <c r="AL3502">
        <v>69.474904656878095</v>
      </c>
      <c r="AM3502">
        <v>100.27043922205701</v>
      </c>
      <c r="AN3502">
        <v>0.99999998098259901</v>
      </c>
    </row>
    <row r="3503" spans="1:40" x14ac:dyDescent="0.25">
      <c r="A3503" t="str">
        <f>"20190304164158184"</f>
        <v>20190304164158184</v>
      </c>
      <c r="B3503" t="str">
        <f>"1551688918174260"</f>
        <v>1551688918174260</v>
      </c>
      <c r="C3503" t="s">
        <v>40</v>
      </c>
      <c r="D3503">
        <v>4.2703150000000001</v>
      </c>
      <c r="E3503">
        <v>0.53635849999999996</v>
      </c>
      <c r="F3503" t="s">
        <v>47</v>
      </c>
      <c r="G3503">
        <v>-417.92200000000003</v>
      </c>
      <c r="H3503" s="1">
        <v>3.5742290000000002E-6</v>
      </c>
      <c r="I3503">
        <v>215.0367</v>
      </c>
      <c r="J3503">
        <v>-435.1694</v>
      </c>
      <c r="K3503">
        <v>1.11158</v>
      </c>
      <c r="L3503">
        <v>213.49010000000001</v>
      </c>
      <c r="M3503">
        <v>0.99994309999999997</v>
      </c>
      <c r="N3503">
        <v>-6.2745639999999998E-3</v>
      </c>
      <c r="O3503">
        <v>-8.6493619999999903E-3</v>
      </c>
      <c r="P3503">
        <v>0.92463589999999996</v>
      </c>
      <c r="Q3503">
        <v>0.34759030000000002</v>
      </c>
      <c r="R3503">
        <v>0.155658399999999</v>
      </c>
      <c r="S3503">
        <v>3.2707820000000001</v>
      </c>
      <c r="T3503">
        <v>-0.20625499999999999</v>
      </c>
      <c r="U3503">
        <v>0.28652949999999999</v>
      </c>
      <c r="V3503">
        <v>-0.16558989999999901</v>
      </c>
      <c r="W3503">
        <v>0.3524719</v>
      </c>
      <c r="X3503">
        <v>0.92105570000000003</v>
      </c>
      <c r="Y3503">
        <v>-9.5660460000000003E-2</v>
      </c>
      <c r="Z3503">
        <v>3.798226E-3</v>
      </c>
      <c r="AA3503">
        <v>0.99540669999999998</v>
      </c>
      <c r="AB3503">
        <v>40</v>
      </c>
      <c r="AC3503">
        <v>17.247399999999999</v>
      </c>
      <c r="AD3503">
        <v>-1.1115764257709999</v>
      </c>
      <c r="AE3503">
        <v>1.54659999999998</v>
      </c>
      <c r="AF3503">
        <v>-1.688765448514</v>
      </c>
      <c r="AG3503">
        <v>-1.1115764257709999</v>
      </c>
      <c r="AH3503">
        <v>17.162658180032</v>
      </c>
      <c r="AI3503">
        <v>93.687947455268002</v>
      </c>
      <c r="AJ3503">
        <v>95.619680600932298</v>
      </c>
      <c r="AK3503">
        <v>17.2813300036497</v>
      </c>
      <c r="AL3503">
        <v>69.361418323470701</v>
      </c>
      <c r="AM3503">
        <v>100.191914793701</v>
      </c>
      <c r="AN3503">
        <v>1.0000000288870501</v>
      </c>
    </row>
    <row r="3504" spans="1:40" x14ac:dyDescent="0.25">
      <c r="A3504" t="str">
        <f>"20190304164158206"</f>
        <v>20190304164158206</v>
      </c>
      <c r="B3504" t="str">
        <f>"1551688918194757"</f>
        <v>1551688918194757</v>
      </c>
      <c r="C3504" t="s">
        <v>40</v>
      </c>
      <c r="D3504">
        <v>4.2641099999999996</v>
      </c>
      <c r="E3504">
        <v>0.53700329999999996</v>
      </c>
      <c r="F3504" t="s">
        <v>47</v>
      </c>
      <c r="G3504">
        <v>-417.41919999999999</v>
      </c>
      <c r="H3504" s="1">
        <v>3.4865380000000002E-6</v>
      </c>
      <c r="I3504">
        <v>215.0197</v>
      </c>
      <c r="J3504">
        <v>-434.77940000000001</v>
      </c>
      <c r="K3504">
        <v>1.111623</v>
      </c>
      <c r="L3504">
        <v>213.48840000000001</v>
      </c>
      <c r="M3504">
        <v>0.9999593</v>
      </c>
      <c r="N3504">
        <v>-6.314208E-3</v>
      </c>
      <c r="O3504">
        <v>-6.436471E-3</v>
      </c>
      <c r="P3504">
        <v>0.92385039999999996</v>
      </c>
      <c r="Q3504">
        <v>0.34940359999999998</v>
      </c>
      <c r="R3504">
        <v>0.1562616</v>
      </c>
      <c r="S3504">
        <v>3.2741090000000002</v>
      </c>
      <c r="T3504">
        <v>-0.20503579999999999</v>
      </c>
      <c r="U3504">
        <v>0.28213500000000002</v>
      </c>
      <c r="V3504">
        <v>-0.16418289999999999</v>
      </c>
      <c r="W3504">
        <v>0.35431420000000002</v>
      </c>
      <c r="X3504">
        <v>0.92060059999999999</v>
      </c>
      <c r="Y3504">
        <v>-9.2057079999999999E-2</v>
      </c>
      <c r="Z3504">
        <v>3.5272509999999999E-3</v>
      </c>
      <c r="AA3504">
        <v>0.99574750000000001</v>
      </c>
      <c r="AB3504">
        <v>40</v>
      </c>
      <c r="AC3504">
        <v>17.360199999999999</v>
      </c>
      <c r="AD3504">
        <v>-1.1116195134619999</v>
      </c>
      <c r="AE3504">
        <v>1.5312999999999799</v>
      </c>
      <c r="AF3504">
        <v>-1.6363514007903399</v>
      </c>
      <c r="AG3504">
        <v>-1.1116195134619999</v>
      </c>
      <c r="AH3504">
        <v>17.279681216243901</v>
      </c>
      <c r="AI3504">
        <v>93.6644745079046</v>
      </c>
      <c r="AJ3504">
        <v>95.409663941394896</v>
      </c>
      <c r="AK3504">
        <v>17.392548024501501</v>
      </c>
      <c r="AL3504">
        <v>69.248581308914297</v>
      </c>
      <c r="AM3504">
        <v>100.112001314959</v>
      </c>
      <c r="AN3504">
        <v>1.0000000208472</v>
      </c>
    </row>
    <row r="3505" spans="1:40" x14ac:dyDescent="0.25">
      <c r="A3505" t="str">
        <f>"20190304164158220"</f>
        <v>20190304164158220</v>
      </c>
      <c r="B3505" t="str">
        <f>"1551688918214277"</f>
        <v>1551688918214277</v>
      </c>
      <c r="C3505" t="s">
        <v>40</v>
      </c>
      <c r="D3505">
        <v>4.2725809999999997</v>
      </c>
      <c r="E3505">
        <v>0.53747049999999996</v>
      </c>
      <c r="F3505" t="s">
        <v>47</v>
      </c>
      <c r="G3505">
        <v>-416.7373</v>
      </c>
      <c r="H3505" s="1">
        <v>3.3657639999999999E-6</v>
      </c>
      <c r="I3505">
        <v>215.01750000000001</v>
      </c>
      <c r="J3505">
        <v>-434.51859999999999</v>
      </c>
      <c r="K3505">
        <v>1.1116429999999999</v>
      </c>
      <c r="L3505">
        <v>213.48769999999999</v>
      </c>
      <c r="M3505">
        <v>0.99996759999999996</v>
      </c>
      <c r="N3505">
        <v>-6.3396099999999999E-3</v>
      </c>
      <c r="O3505">
        <v>-4.9645920000000003E-3</v>
      </c>
      <c r="P3505">
        <v>0.92351870000000003</v>
      </c>
      <c r="Q3505">
        <v>0.34992420000000002</v>
      </c>
      <c r="R3505">
        <v>0.15705620000000001</v>
      </c>
      <c r="S3505">
        <v>3.2767029999999999</v>
      </c>
      <c r="T3505">
        <v>-0.2018856</v>
      </c>
      <c r="U3505">
        <v>0.27771000000000001</v>
      </c>
      <c r="V3505">
        <v>-0.16363440000000001</v>
      </c>
      <c r="W3505">
        <v>0.35485369999999999</v>
      </c>
      <c r="X3505">
        <v>0.92049040000000004</v>
      </c>
      <c r="Y3505">
        <v>-8.9203130000000005E-2</v>
      </c>
      <c r="Z3505">
        <v>3.2977380000000001E-3</v>
      </c>
      <c r="AA3505">
        <v>0.996008</v>
      </c>
      <c r="AB3505">
        <v>40</v>
      </c>
      <c r="AC3505">
        <v>17.781299999999899</v>
      </c>
      <c r="AD3505">
        <v>-1.111639634236</v>
      </c>
      <c r="AE3505">
        <v>1.52980000000002</v>
      </c>
      <c r="AF3505">
        <v>-1.61180649110868</v>
      </c>
      <c r="AG3505">
        <v>-1.111639634236</v>
      </c>
      <c r="AH3505">
        <v>17.704796556476602</v>
      </c>
      <c r="AI3505">
        <v>93.577983924350406</v>
      </c>
      <c r="AJ3505">
        <v>95.201745313306205</v>
      </c>
      <c r="AK3505">
        <v>17.812733758393399</v>
      </c>
      <c r="AL3505">
        <v>69.215521106273101</v>
      </c>
      <c r="AM3505">
        <v>100.08009490302599</v>
      </c>
      <c r="AN3505">
        <v>0.99999997087960402</v>
      </c>
    </row>
    <row r="3506" spans="1:40" x14ac:dyDescent="0.25">
      <c r="A3506" t="str">
        <f>"20190304164158239"</f>
        <v>20190304164158239</v>
      </c>
      <c r="B3506" t="str">
        <f>"1551688918234772"</f>
        <v>1551688918234772</v>
      </c>
      <c r="C3506" t="s">
        <v>40</v>
      </c>
      <c r="D3506">
        <v>4.2710369999999998</v>
      </c>
      <c r="E3506">
        <v>0.53791389999999994</v>
      </c>
      <c r="F3506" t="s">
        <v>47</v>
      </c>
      <c r="G3506">
        <v>-416.76069999999999</v>
      </c>
      <c r="H3506" s="1">
        <v>3.372787E-6</v>
      </c>
      <c r="I3506">
        <v>214.9847</v>
      </c>
      <c r="J3506">
        <v>-434.17840000000001</v>
      </c>
      <c r="K3506">
        <v>1.11165</v>
      </c>
      <c r="L3506">
        <v>213.48740000000001</v>
      </c>
      <c r="M3506">
        <v>0.99997510000000001</v>
      </c>
      <c r="N3506">
        <v>-6.3709869999999998E-3</v>
      </c>
      <c r="O3506">
        <v>-3.0682180000000002E-3</v>
      </c>
      <c r="P3506">
        <v>0.92316790000000004</v>
      </c>
      <c r="Q3506">
        <v>0.35051569999999999</v>
      </c>
      <c r="R3506">
        <v>0.15779760000000001</v>
      </c>
      <c r="S3506">
        <v>3.2792050000000001</v>
      </c>
      <c r="T3506">
        <v>-0.2052776</v>
      </c>
      <c r="U3506">
        <v>0.27644350000000001</v>
      </c>
      <c r="V3506">
        <v>-0.16263540000000001</v>
      </c>
      <c r="W3506">
        <v>0.35547630000000002</v>
      </c>
      <c r="X3506">
        <v>0.9204272</v>
      </c>
      <c r="Y3506">
        <v>-8.6870069999999994E-2</v>
      </c>
      <c r="Z3506">
        <v>3.1611370000000001E-3</v>
      </c>
      <c r="AA3506">
        <v>0.99621459999999995</v>
      </c>
      <c r="AB3506">
        <v>40</v>
      </c>
      <c r="AC3506">
        <v>17.4177</v>
      </c>
      <c r="AD3506">
        <v>-1.1116466272129999</v>
      </c>
      <c r="AE3506">
        <v>1.4972999999999901</v>
      </c>
      <c r="AF3506">
        <v>-1.5444902304294299</v>
      </c>
      <c r="AG3506">
        <v>-1.1116466272129999</v>
      </c>
      <c r="AH3506">
        <v>17.342898371017199</v>
      </c>
      <c r="AI3506">
        <v>93.653114247427794</v>
      </c>
      <c r="AJ3506">
        <v>95.0891109392347</v>
      </c>
      <c r="AK3506">
        <v>17.4469863358437</v>
      </c>
      <c r="AL3506">
        <v>69.177360426235495</v>
      </c>
      <c r="AM3506">
        <v>100.020479986895</v>
      </c>
      <c r="AN3506">
        <v>0.99999995184734303</v>
      </c>
    </row>
    <row r="3507" spans="1:40" x14ac:dyDescent="0.25">
      <c r="A3507" t="str">
        <f>"20190304164158262"</f>
        <v>20190304164158262</v>
      </c>
      <c r="B3507" t="str">
        <f>"1551688918254293"</f>
        <v>1551688918254293</v>
      </c>
      <c r="C3507" t="s">
        <v>40</v>
      </c>
      <c r="D3507">
        <v>4.2985860000000002</v>
      </c>
      <c r="E3507">
        <v>0.53834380000000004</v>
      </c>
      <c r="F3507" t="s">
        <v>47</v>
      </c>
      <c r="G3507">
        <v>-416.52210000000002</v>
      </c>
      <c r="H3507" s="1">
        <v>3.3314279999999999E-6</v>
      </c>
      <c r="I3507">
        <v>214.97370000000001</v>
      </c>
      <c r="J3507">
        <v>-433.77120000000002</v>
      </c>
      <c r="K3507">
        <v>1.111634</v>
      </c>
      <c r="L3507">
        <v>213.48779999999999</v>
      </c>
      <c r="M3507">
        <v>0.99997919999999996</v>
      </c>
      <c r="N3507">
        <v>-6.4062839999999999E-3</v>
      </c>
      <c r="O3507">
        <v>-8.6454830000000002E-4</v>
      </c>
      <c r="P3507">
        <v>0.92282980000000003</v>
      </c>
      <c r="Q3507">
        <v>0.350749599999999</v>
      </c>
      <c r="R3507">
        <v>0.15924839999999901</v>
      </c>
      <c r="S3507">
        <v>3.2809140000000001</v>
      </c>
      <c r="T3507">
        <v>-0.2065681</v>
      </c>
      <c r="U3507">
        <v>0.27618409999999999</v>
      </c>
      <c r="V3507">
        <v>-0.16203960000000001</v>
      </c>
      <c r="W3507">
        <v>0.35575220000000002</v>
      </c>
      <c r="X3507">
        <v>0.92042570000000001</v>
      </c>
      <c r="Y3507">
        <v>-8.455915E-2</v>
      </c>
      <c r="Z3507">
        <v>2.9750200000000001E-3</v>
      </c>
      <c r="AA3507">
        <v>0.99641400000000002</v>
      </c>
      <c r="AB3507">
        <v>40</v>
      </c>
      <c r="AC3507">
        <v>17.249099999999999</v>
      </c>
      <c r="AD3507">
        <v>-1.1116306685719901</v>
      </c>
      <c r="AE3507">
        <v>1.48590000000001</v>
      </c>
      <c r="AF3507">
        <v>-1.49465049695403</v>
      </c>
      <c r="AG3507">
        <v>-1.1116306685719901</v>
      </c>
      <c r="AH3507">
        <v>17.176994027796699</v>
      </c>
      <c r="AI3507">
        <v>93.688904168799397</v>
      </c>
      <c r="AJ3507">
        <v>94.973047457871701</v>
      </c>
      <c r="AK3507">
        <v>17.2776973779008</v>
      </c>
      <c r="AL3507">
        <v>69.160447208165294</v>
      </c>
      <c r="AM3507">
        <v>99.984526802311393</v>
      </c>
      <c r="AN3507">
        <v>0.999999964496744</v>
      </c>
    </row>
    <row r="3508" spans="1:40" x14ac:dyDescent="0.25">
      <c r="A3508" t="str">
        <f>"20190304164158284"</f>
        <v>20190304164158284</v>
      </c>
      <c r="B3508" t="str">
        <f>"1551688918274789"</f>
        <v>1551688918274789</v>
      </c>
      <c r="C3508" t="s">
        <v>40</v>
      </c>
      <c r="D3508">
        <v>4.2902469999999999</v>
      </c>
      <c r="E3508">
        <v>0.5424641</v>
      </c>
      <c r="F3508" t="s">
        <v>47</v>
      </c>
      <c r="G3508">
        <v>-416.30579999999998</v>
      </c>
      <c r="H3508" s="1">
        <v>3.29352E-6</v>
      </c>
      <c r="I3508">
        <v>214.9684</v>
      </c>
      <c r="J3508">
        <v>-433.3777</v>
      </c>
      <c r="K3508">
        <v>1.1115759999999999</v>
      </c>
      <c r="L3508">
        <v>213.4889</v>
      </c>
      <c r="M3508">
        <v>0.9999787</v>
      </c>
      <c r="N3508">
        <v>-6.4375090000000001E-3</v>
      </c>
      <c r="O3508">
        <v>1.1495959999999999E-3</v>
      </c>
      <c r="P3508">
        <v>0.92260430000000004</v>
      </c>
      <c r="Q3508">
        <v>0.35027900000000001</v>
      </c>
      <c r="R3508">
        <v>0.16157369999999999</v>
      </c>
      <c r="S3508">
        <v>3.282257</v>
      </c>
      <c r="T3508">
        <v>-0.20890719999999999</v>
      </c>
      <c r="U3508">
        <v>0.27824399999999999</v>
      </c>
      <c r="V3508">
        <v>-0.16245950000000001</v>
      </c>
      <c r="W3508">
        <v>0.3553289</v>
      </c>
      <c r="X3508">
        <v>0.92051519999999998</v>
      </c>
      <c r="Y3508">
        <v>-8.3141450000000006E-2</v>
      </c>
      <c r="Z3508">
        <v>2.8412849999999998E-3</v>
      </c>
      <c r="AA3508">
        <v>0.99653369999999997</v>
      </c>
      <c r="AB3508">
        <v>40</v>
      </c>
      <c r="AC3508">
        <v>17.071899999999999</v>
      </c>
      <c r="AD3508">
        <v>-1.1115727064799901</v>
      </c>
      <c r="AE3508">
        <v>1.4795</v>
      </c>
      <c r="AF3508">
        <v>-1.45375561245943</v>
      </c>
      <c r="AG3508">
        <v>-1.1115727064799901</v>
      </c>
      <c r="AH3508">
        <v>17.0020471509748</v>
      </c>
      <c r="AI3508">
        <v>93.727042344685103</v>
      </c>
      <c r="AJ3508">
        <v>94.887173692097505</v>
      </c>
      <c r="AK3508">
        <v>17.100251652724801</v>
      </c>
      <c r="AL3508">
        <v>69.186396209676204</v>
      </c>
      <c r="AM3508">
        <v>100.008923952316</v>
      </c>
      <c r="AN3508">
        <v>0.99999997487324899</v>
      </c>
    </row>
    <row r="3509" spans="1:40" x14ac:dyDescent="0.25">
      <c r="A3509" t="str">
        <f>"20190304164158306"</f>
        <v>20190304164158306</v>
      </c>
      <c r="B3509" t="str">
        <f>"1551688918294308"</f>
        <v>1551688918294308</v>
      </c>
      <c r="C3509" t="s">
        <v>40</v>
      </c>
      <c r="D3509">
        <v>4.294581</v>
      </c>
      <c r="E3509">
        <v>0.54275039999999997</v>
      </c>
      <c r="F3509" t="s">
        <v>47</v>
      </c>
      <c r="G3509">
        <v>-419.38189999999997</v>
      </c>
      <c r="H3509" s="1">
        <v>3.8732009999999998E-6</v>
      </c>
      <c r="I3509">
        <v>214.57910000000001</v>
      </c>
      <c r="J3509">
        <v>-432.97809999999998</v>
      </c>
      <c r="K3509">
        <v>1.111504</v>
      </c>
      <c r="L3509">
        <v>213.49090000000001</v>
      </c>
      <c r="M3509">
        <v>0.99997440000000004</v>
      </c>
      <c r="N3509">
        <v>-6.467141E-3</v>
      </c>
      <c r="O3509">
        <v>3.087823E-3</v>
      </c>
      <c r="P3509">
        <v>0.92248399999999997</v>
      </c>
      <c r="Q3509">
        <v>0.34947009999999901</v>
      </c>
      <c r="R3509">
        <v>0.16399469999999999</v>
      </c>
      <c r="S3509">
        <v>3.3062740000000002</v>
      </c>
      <c r="T3509">
        <v>-0.26259169999999998</v>
      </c>
      <c r="U3509">
        <v>0.25753779999999998</v>
      </c>
      <c r="V3509">
        <v>-0.16302559999999999</v>
      </c>
      <c r="W3509">
        <v>0.35457369999999999</v>
      </c>
      <c r="X3509">
        <v>0.92070629999999998</v>
      </c>
      <c r="Y3509">
        <v>-7.4335890000000002E-2</v>
      </c>
      <c r="Z3509">
        <v>2.9594589999999998E-3</v>
      </c>
      <c r="AA3509">
        <v>0.99722889999999997</v>
      </c>
      <c r="AB3509">
        <v>40</v>
      </c>
      <c r="AC3509">
        <v>13.5962</v>
      </c>
      <c r="AD3509">
        <v>-1.1115001267989999</v>
      </c>
      <c r="AE3509">
        <v>1.0882000000000001</v>
      </c>
      <c r="AF3509">
        <v>-1.03930958445473</v>
      </c>
      <c r="AG3509">
        <v>-1.1115001267989999</v>
      </c>
      <c r="AH3509">
        <v>13.5097816529836</v>
      </c>
      <c r="AI3509">
        <v>94.689549900397395</v>
      </c>
      <c r="AJ3509">
        <v>94.399108462037205</v>
      </c>
      <c r="AK3509">
        <v>13.5952122916674</v>
      </c>
      <c r="AL3509">
        <v>69.232679705111295</v>
      </c>
      <c r="AM3509">
        <v>100.041049737432</v>
      </c>
      <c r="AN3509">
        <v>0.99999997292336895</v>
      </c>
    </row>
    <row r="3510" spans="1:40" x14ac:dyDescent="0.25">
      <c r="A3510" t="str">
        <f>"20190304164158331"</f>
        <v>20190304164158331</v>
      </c>
      <c r="B3510" t="str">
        <f>"1551688918324565"</f>
        <v>1551688918324565</v>
      </c>
      <c r="C3510" t="s">
        <v>40</v>
      </c>
      <c r="D3510">
        <v>4.2834300000000001</v>
      </c>
      <c r="E3510">
        <v>0.55366280000000001</v>
      </c>
      <c r="F3510" t="s">
        <v>47</v>
      </c>
      <c r="G3510">
        <v>-419.06990000000002</v>
      </c>
      <c r="H3510" s="1">
        <v>3.8159350000000001E-6</v>
      </c>
      <c r="I3510">
        <v>214.601</v>
      </c>
      <c r="J3510">
        <v>-432.54419999999999</v>
      </c>
      <c r="K3510">
        <v>1.1113999999999999</v>
      </c>
      <c r="L3510">
        <v>213.49369999999999</v>
      </c>
      <c r="M3510">
        <v>0.99996609999999997</v>
      </c>
      <c r="N3510">
        <v>-6.4978350000000004E-3</v>
      </c>
      <c r="O3510">
        <v>5.0362260000000004E-3</v>
      </c>
      <c r="P3510">
        <v>0.92248859999999999</v>
      </c>
      <c r="Q3510">
        <v>0.34868159999999998</v>
      </c>
      <c r="R3510">
        <v>0.16563839999999999</v>
      </c>
      <c r="S3510">
        <v>3.3052980000000001</v>
      </c>
      <c r="T3510">
        <v>-0.26414789999999999</v>
      </c>
      <c r="U3510">
        <v>0.26382450000000002</v>
      </c>
      <c r="V3510">
        <v>-0.16277920000000001</v>
      </c>
      <c r="W3510">
        <v>0.35385620000000001</v>
      </c>
      <c r="X3510">
        <v>0.92102589999999995</v>
      </c>
      <c r="Y3510">
        <v>-7.4303030000000006E-2</v>
      </c>
      <c r="Z3510">
        <v>2.8332610000000001E-3</v>
      </c>
      <c r="AA3510">
        <v>0.99723170000000005</v>
      </c>
      <c r="AB3510">
        <v>40</v>
      </c>
      <c r="AC3510">
        <v>13.4742999999999</v>
      </c>
      <c r="AD3510">
        <v>-1.111396184065</v>
      </c>
      <c r="AE3510">
        <v>1.1073</v>
      </c>
      <c r="AF3510">
        <v>-1.0324478694292201</v>
      </c>
      <c r="AG3510">
        <v>-1.111396184065</v>
      </c>
      <c r="AH3510">
        <v>13.389224773582001</v>
      </c>
      <c r="AI3510">
        <v>94.731078399987595</v>
      </c>
      <c r="AJ3510">
        <v>94.409372300753006</v>
      </c>
      <c r="AK3510">
        <v>13.474883677366</v>
      </c>
      <c r="AL3510">
        <v>69.276640055541293</v>
      </c>
      <c r="AM3510">
        <v>100.02277307509</v>
      </c>
      <c r="AN3510">
        <v>0.99999999335094403</v>
      </c>
    </row>
    <row r="3511" spans="1:40" x14ac:dyDescent="0.25">
      <c r="A3511" t="str">
        <f>"20190304164158353"</f>
        <v>20190304164158353</v>
      </c>
      <c r="B3511" t="str">
        <f>"1551688918345061"</f>
        <v>1551688918345061</v>
      </c>
      <c r="C3511" t="s">
        <v>40</v>
      </c>
      <c r="D3511">
        <v>4.2877150000000004</v>
      </c>
      <c r="E3511">
        <v>0.55441010000000002</v>
      </c>
      <c r="F3511" t="s">
        <v>47</v>
      </c>
      <c r="G3511">
        <v>-418.19619999999998</v>
      </c>
      <c r="H3511" s="1">
        <v>3.6882999999999999E-6</v>
      </c>
      <c r="I3511">
        <v>214.28829999999999</v>
      </c>
      <c r="J3511">
        <v>-432.14</v>
      </c>
      <c r="K3511">
        <v>1.1112679999999999</v>
      </c>
      <c r="L3511">
        <v>213.49690000000001</v>
      </c>
      <c r="M3511">
        <v>0.99995650000000003</v>
      </c>
      <c r="N3511">
        <v>-6.5251299999999996E-3</v>
      </c>
      <c r="O3511">
        <v>6.6614269999999897E-3</v>
      </c>
      <c r="P3511">
        <v>0.92239530000000003</v>
      </c>
      <c r="Q3511">
        <v>0.34830620000000001</v>
      </c>
      <c r="R3511">
        <v>0.16694229999999999</v>
      </c>
      <c r="S3511">
        <v>3.3161930000000002</v>
      </c>
      <c r="T3511">
        <v>-0.25687209999999999</v>
      </c>
      <c r="U3511">
        <v>0.18365480000000001</v>
      </c>
      <c r="V3511">
        <v>-0.16247519999999999</v>
      </c>
      <c r="W3511">
        <v>0.35355740000000002</v>
      </c>
      <c r="X3511">
        <v>0.92119430000000002</v>
      </c>
      <c r="Y3511">
        <v>-4.850347E-2</v>
      </c>
      <c r="Z3511">
        <v>1.5614979999999999E-3</v>
      </c>
      <c r="AA3511">
        <v>0.99882179999999998</v>
      </c>
      <c r="AB3511">
        <v>40</v>
      </c>
      <c r="AC3511">
        <v>13.9438</v>
      </c>
      <c r="AD3511">
        <v>-1.1112643116999901</v>
      </c>
      <c r="AE3511">
        <v>0.79139999999998101</v>
      </c>
      <c r="AF3511">
        <v>-0.69410047021431398</v>
      </c>
      <c r="AG3511">
        <v>-1.1112643116999901</v>
      </c>
      <c r="AH3511">
        <v>13.861007847840099</v>
      </c>
      <c r="AI3511">
        <v>94.577999816770003</v>
      </c>
      <c r="AJ3511">
        <v>92.866734980750493</v>
      </c>
      <c r="AK3511">
        <v>13.9227950638906</v>
      </c>
      <c r="AL3511">
        <v>69.294942972793606</v>
      </c>
      <c r="AM3511">
        <v>100.002641496492</v>
      </c>
      <c r="AN3511">
        <v>0.99999998203114404</v>
      </c>
    </row>
    <row r="3512" spans="1:40" x14ac:dyDescent="0.25">
      <c r="A3512" t="str">
        <f>"20190304164158375"</f>
        <v>20190304164158375</v>
      </c>
      <c r="B3512" t="str">
        <f>"1551688918364580"</f>
        <v>1551688918364580</v>
      </c>
      <c r="C3512" t="s">
        <v>40</v>
      </c>
      <c r="D3512">
        <v>4.2982579999999997</v>
      </c>
      <c r="E3512">
        <v>0.55515950000000003</v>
      </c>
      <c r="F3512" t="s">
        <v>47</v>
      </c>
      <c r="G3512">
        <v>-417.8297</v>
      </c>
      <c r="H3512" s="1">
        <v>3.6232980000000001E-6</v>
      </c>
      <c r="I3512">
        <v>214.28819999999999</v>
      </c>
      <c r="J3512">
        <v>-431.72800000000001</v>
      </c>
      <c r="K3512">
        <v>1.111103</v>
      </c>
      <c r="L3512">
        <v>213.50059999999999</v>
      </c>
      <c r="M3512">
        <v>0.99994590000000005</v>
      </c>
      <c r="N3512">
        <v>-6.5517240000000001E-3</v>
      </c>
      <c r="O3512">
        <v>8.0850100000000001E-3</v>
      </c>
      <c r="P3512">
        <v>0.92240250000000001</v>
      </c>
      <c r="Q3512">
        <v>0.34816780000000003</v>
      </c>
      <c r="R3512">
        <v>0.1671916</v>
      </c>
      <c r="S3512">
        <v>3.3164370000000001</v>
      </c>
      <c r="T3512">
        <v>-0.25753819999999999</v>
      </c>
      <c r="U3512">
        <v>0.18339539999999999</v>
      </c>
      <c r="V3512">
        <v>-0.16126989999999999</v>
      </c>
      <c r="W3512">
        <v>0.35351369999999999</v>
      </c>
      <c r="X3512">
        <v>0.92142290000000004</v>
      </c>
      <c r="Y3512">
        <v>-4.7007210000000001E-2</v>
      </c>
      <c r="Z3512">
        <v>1.4018839999999999E-3</v>
      </c>
      <c r="AA3512">
        <v>0.99889360000000005</v>
      </c>
      <c r="AB3512">
        <v>41</v>
      </c>
      <c r="AC3512">
        <v>13.898300000000001</v>
      </c>
      <c r="AD3512">
        <v>-1.1110993767020001</v>
      </c>
      <c r="AE3512">
        <v>0.78759999999999697</v>
      </c>
      <c r="AF3512">
        <v>-0.67092963639923298</v>
      </c>
      <c r="AG3512">
        <v>-1.1110993767020001</v>
      </c>
      <c r="AH3512">
        <v>13.816194209211901</v>
      </c>
      <c r="AI3512">
        <v>94.592447402107794</v>
      </c>
      <c r="AJ3512">
        <v>92.780162274186694</v>
      </c>
      <c r="AK3512">
        <v>13.8770281699133</v>
      </c>
      <c r="AL3512">
        <v>69.297620882487095</v>
      </c>
      <c r="AM3512">
        <v>99.927506032328395</v>
      </c>
      <c r="AN3512">
        <v>1.00000003868905</v>
      </c>
    </row>
    <row r="3513" spans="1:40" x14ac:dyDescent="0.25">
      <c r="A3513" t="str">
        <f>"20190304164158406"</f>
        <v>20190304164158406</v>
      </c>
      <c r="B3513" t="str">
        <f>"1551688918394837"</f>
        <v>1551688918394837</v>
      </c>
      <c r="C3513" t="s">
        <v>40</v>
      </c>
      <c r="D3513">
        <v>4.287045</v>
      </c>
      <c r="E3513">
        <v>0.55622169999999904</v>
      </c>
      <c r="F3513" t="s">
        <v>47</v>
      </c>
      <c r="G3513">
        <v>-417.30180000000001</v>
      </c>
      <c r="H3513" s="1">
        <v>3.5299919999999999E-6</v>
      </c>
      <c r="I3513">
        <v>214.28450000000001</v>
      </c>
      <c r="J3513">
        <v>-431.166</v>
      </c>
      <c r="K3513">
        <v>1.1108290000000001</v>
      </c>
      <c r="L3513">
        <v>213.50630000000001</v>
      </c>
      <c r="M3513">
        <v>0.99993259999999995</v>
      </c>
      <c r="N3513">
        <v>-6.586784E-3</v>
      </c>
      <c r="O3513">
        <v>9.582709E-3</v>
      </c>
      <c r="P3513">
        <v>0.92264630000000003</v>
      </c>
      <c r="Q3513">
        <v>0.34792329999999999</v>
      </c>
      <c r="R3513">
        <v>0.16635320000000001</v>
      </c>
      <c r="S3513">
        <v>3.3161320000000001</v>
      </c>
      <c r="T3513">
        <v>-0.25540849999999998</v>
      </c>
      <c r="U3513">
        <v>0.1801758</v>
      </c>
      <c r="V3513">
        <v>-0.1588029</v>
      </c>
      <c r="W3513">
        <v>0.35342220000000002</v>
      </c>
      <c r="X3513">
        <v>0.92188630000000005</v>
      </c>
      <c r="Y3513">
        <v>-4.4562579999999997E-2</v>
      </c>
      <c r="Z3513">
        <v>1.1860379999999999E-3</v>
      </c>
      <c r="AA3513">
        <v>0.9990059</v>
      </c>
      <c r="AB3513">
        <v>41</v>
      </c>
      <c r="AC3513">
        <v>13.864199999999901</v>
      </c>
      <c r="AD3513">
        <v>-1.110825470008</v>
      </c>
      <c r="AE3513">
        <v>0.778199999999998</v>
      </c>
      <c r="AF3513">
        <v>-0.64120154541894303</v>
      </c>
      <c r="AG3513">
        <v>-1.110825470008</v>
      </c>
      <c r="AH3513">
        <v>13.782819726013701</v>
      </c>
      <c r="AI3513">
        <v>94.602833402017197</v>
      </c>
      <c r="AJ3513">
        <v>92.663582170917394</v>
      </c>
      <c r="AK3513">
        <v>13.8423694592529</v>
      </c>
      <c r="AL3513">
        <v>69.303223983300597</v>
      </c>
      <c r="AM3513">
        <v>99.773775009020696</v>
      </c>
      <c r="AN3513">
        <v>0.99999998131446899</v>
      </c>
    </row>
    <row r="3514" spans="1:40" x14ac:dyDescent="0.25">
      <c r="A3514" t="str">
        <f>"20190304164158428"</f>
        <v>20190304164158428</v>
      </c>
      <c r="B3514" t="str">
        <f>"1551688918424116"</f>
        <v>1551688918424116</v>
      </c>
      <c r="C3514" t="s">
        <v>40</v>
      </c>
      <c r="D3514">
        <v>4.3201890000000001</v>
      </c>
      <c r="E3514">
        <v>0.55701429999999996</v>
      </c>
      <c r="F3514" t="s">
        <v>47</v>
      </c>
      <c r="G3514">
        <v>-416.89690000000002</v>
      </c>
      <c r="H3514" s="1">
        <v>3.4611289999999999E-6</v>
      </c>
      <c r="I3514">
        <v>214.25049999999999</v>
      </c>
      <c r="J3514">
        <v>-430.74509999999998</v>
      </c>
      <c r="K3514">
        <v>1.1105940000000001</v>
      </c>
      <c r="L3514">
        <v>213.51089999999999</v>
      </c>
      <c r="M3514">
        <v>0.9999247</v>
      </c>
      <c r="N3514">
        <v>-6.6126939999999997E-3</v>
      </c>
      <c r="O3514">
        <v>1.034095E-2</v>
      </c>
      <c r="P3514">
        <v>0.92273989999999995</v>
      </c>
      <c r="Q3514">
        <v>0.3481012</v>
      </c>
      <c r="R3514">
        <v>0.16545889999999999</v>
      </c>
      <c r="S3514">
        <v>3.3176879999999902</v>
      </c>
      <c r="T3514">
        <v>-0.25827620000000001</v>
      </c>
      <c r="U3514">
        <v>0.17301939999999999</v>
      </c>
      <c r="V3514">
        <v>-0.15699959999999999</v>
      </c>
      <c r="W3514">
        <v>0.35372369999999997</v>
      </c>
      <c r="X3514">
        <v>0.9220796</v>
      </c>
      <c r="Y3514">
        <v>-4.1639669999999997E-2</v>
      </c>
      <c r="Z3514">
        <v>1.0202880000000001E-3</v>
      </c>
      <c r="AA3514">
        <v>0.99913220000000003</v>
      </c>
      <c r="AB3514">
        <v>41</v>
      </c>
      <c r="AC3514">
        <v>13.848199999999901</v>
      </c>
      <c r="AD3514">
        <v>-1.110590538871</v>
      </c>
      <c r="AE3514">
        <v>0.73959999999999504</v>
      </c>
      <c r="AF3514">
        <v>-0.59255353521386001</v>
      </c>
      <c r="AG3514">
        <v>-1.110590538871</v>
      </c>
      <c r="AH3514">
        <v>13.7668165734251</v>
      </c>
      <c r="AI3514">
        <v>94.607903959192001</v>
      </c>
      <c r="AJ3514">
        <v>92.464612913474795</v>
      </c>
      <c r="AK3514">
        <v>13.8242457155339</v>
      </c>
      <c r="AL3514">
        <v>69.284758124705803</v>
      </c>
      <c r="AM3514">
        <v>99.662905255294703</v>
      </c>
      <c r="AN3514">
        <v>1.000000059539</v>
      </c>
    </row>
    <row r="3515" spans="1:40" x14ac:dyDescent="0.25">
      <c r="A3515" t="str">
        <f>"20190304164158452"</f>
        <v>20190304164158452</v>
      </c>
      <c r="B3515" t="str">
        <f>"1551688918444612"</f>
        <v>1551688918444612</v>
      </c>
      <c r="C3515" t="s">
        <v>40</v>
      </c>
      <c r="D3515">
        <v>4.2915669999999997</v>
      </c>
      <c r="E3515">
        <v>0.55742749999999996</v>
      </c>
      <c r="F3515" t="s">
        <v>47</v>
      </c>
      <c r="G3515">
        <v>-416.55560000000003</v>
      </c>
      <c r="H3515" s="1">
        <v>3.4025719999999999E-6</v>
      </c>
      <c r="I3515">
        <v>214.2278</v>
      </c>
      <c r="J3515">
        <v>-430.32639999999998</v>
      </c>
      <c r="K3515">
        <v>1.110366</v>
      </c>
      <c r="L3515">
        <v>213.5155</v>
      </c>
      <c r="M3515">
        <v>0.99991929999999996</v>
      </c>
      <c r="N3515">
        <v>-6.638545E-3</v>
      </c>
      <c r="O3515">
        <v>1.0840519999999999E-2</v>
      </c>
      <c r="P3515">
        <v>0.92264710000000005</v>
      </c>
      <c r="Q3515">
        <v>0.3487883</v>
      </c>
      <c r="R3515">
        <v>0.16452820000000001</v>
      </c>
      <c r="S3515">
        <v>3.3190919999999999</v>
      </c>
      <c r="T3515">
        <v>-0.25977980000000001</v>
      </c>
      <c r="U3515">
        <v>0.16769410000000001</v>
      </c>
      <c r="V3515">
        <v>-0.15540680000000001</v>
      </c>
      <c r="W3515">
        <v>0.35452820000000002</v>
      </c>
      <c r="X3515">
        <v>0.92204039999999998</v>
      </c>
      <c r="Y3515">
        <v>-3.952667E-2</v>
      </c>
      <c r="Z3515">
        <v>9.0026339999999905E-4</v>
      </c>
      <c r="AA3515">
        <v>0.9992181</v>
      </c>
      <c r="AB3515">
        <v>41</v>
      </c>
      <c r="AC3515">
        <v>13.7707999999999</v>
      </c>
      <c r="AD3515">
        <v>-1.110362597428</v>
      </c>
      <c r="AE3515">
        <v>0.71229999999999805</v>
      </c>
      <c r="AF3515">
        <v>-0.559345374069809</v>
      </c>
      <c r="AG3515">
        <v>-1.110362597428</v>
      </c>
      <c r="AH3515">
        <v>13.6889518852336</v>
      </c>
      <c r="AI3515">
        <v>94.633474933462097</v>
      </c>
      <c r="AJ3515">
        <v>92.3398658413481</v>
      </c>
      <c r="AK3515">
        <v>13.7452965068601</v>
      </c>
      <c r="AL3515">
        <v>69.235468562387595</v>
      </c>
      <c r="AM3515">
        <v>99.5670927977921</v>
      </c>
      <c r="AN3515">
        <v>1.0000000086568199</v>
      </c>
    </row>
    <row r="3516" spans="1:40" x14ac:dyDescent="0.25">
      <c r="A3516" t="str">
        <f>"20190304164158473"</f>
        <v>20190304164158473</v>
      </c>
      <c r="B3516" t="str">
        <f>"1551688918464132"</f>
        <v>1551688918464132</v>
      </c>
      <c r="C3516" t="s">
        <v>40</v>
      </c>
      <c r="D3516">
        <v>4.314622</v>
      </c>
      <c r="E3516">
        <v>0.55777519999999903</v>
      </c>
      <c r="F3516" t="s">
        <v>47</v>
      </c>
      <c r="G3516">
        <v>-416.00569999999999</v>
      </c>
      <c r="H3516" s="1">
        <v>3.3053380000000001E-6</v>
      </c>
      <c r="I3516">
        <v>214.2243</v>
      </c>
      <c r="J3516">
        <v>-429.91649999999998</v>
      </c>
      <c r="K3516">
        <v>1.110142</v>
      </c>
      <c r="L3516">
        <v>213.52010000000001</v>
      </c>
      <c r="M3516">
        <v>0.99991640000000004</v>
      </c>
      <c r="N3516">
        <v>-6.6636339999999999E-3</v>
      </c>
      <c r="O3516">
        <v>1.1088209999999999E-2</v>
      </c>
      <c r="P3516">
        <v>0.92256329999999998</v>
      </c>
      <c r="Q3516">
        <v>0.34951459999999901</v>
      </c>
      <c r="R3516">
        <v>0.16345270000000001</v>
      </c>
      <c r="S3516">
        <v>3.3194889999999999</v>
      </c>
      <c r="T3516">
        <v>-0.25737870000000002</v>
      </c>
      <c r="U3516">
        <v>0.1642914</v>
      </c>
      <c r="V3516">
        <v>-0.1539095</v>
      </c>
      <c r="W3516">
        <v>0.3553654</v>
      </c>
      <c r="X3516">
        <v>0.92196920000000004</v>
      </c>
      <c r="Y3516">
        <v>-3.8257840000000001E-2</v>
      </c>
      <c r="Z3516">
        <v>8.2370339999999998E-4</v>
      </c>
      <c r="AA3516">
        <v>0.99926760000000003</v>
      </c>
      <c r="AB3516">
        <v>41</v>
      </c>
      <c r="AC3516">
        <v>13.910799999999901</v>
      </c>
      <c r="AD3516">
        <v>-1.110138694662</v>
      </c>
      <c r="AE3516">
        <v>0.70419999999998595</v>
      </c>
      <c r="AF3516">
        <v>-0.546436233735351</v>
      </c>
      <c r="AG3516">
        <v>-1.110138694662</v>
      </c>
      <c r="AH3516">
        <v>13.8299000290945</v>
      </c>
      <c r="AI3516">
        <v>94.585781517702401</v>
      </c>
      <c r="AJ3516">
        <v>92.262649250371098</v>
      </c>
      <c r="AK3516">
        <v>13.885140809285099</v>
      </c>
      <c r="AL3516">
        <v>69.184158433312007</v>
      </c>
      <c r="AM3516">
        <v>99.477314959752306</v>
      </c>
      <c r="AN3516">
        <v>0.99999995372802297</v>
      </c>
    </row>
    <row r="3517" spans="1:40" x14ac:dyDescent="0.25">
      <c r="A3517" t="str">
        <f>"20190304164158495"</f>
        <v>20190304164158495</v>
      </c>
      <c r="B3517" t="str">
        <f>"1551688918484628"</f>
        <v>1551688918484628</v>
      </c>
      <c r="C3517" t="s">
        <v>40</v>
      </c>
      <c r="D3517">
        <v>4.2894379999999996</v>
      </c>
      <c r="E3517">
        <v>0.55802580000000002</v>
      </c>
      <c r="F3517" t="s">
        <v>47</v>
      </c>
      <c r="G3517">
        <v>-415.49009999999998</v>
      </c>
      <c r="H3517" s="1">
        <v>3.2145220000000001E-6</v>
      </c>
      <c r="I3517">
        <v>214.21700000000001</v>
      </c>
      <c r="J3517">
        <v>-429.52800000000002</v>
      </c>
      <c r="K3517">
        <v>1.109939</v>
      </c>
      <c r="L3517">
        <v>213.52430000000001</v>
      </c>
      <c r="M3517">
        <v>0.99991600000000003</v>
      </c>
      <c r="N3517">
        <v>-6.6869869999999897E-3</v>
      </c>
      <c r="O3517">
        <v>1.110733E-2</v>
      </c>
      <c r="P3517">
        <v>0.92248450000000004</v>
      </c>
      <c r="Q3517">
        <v>0.35028300000000001</v>
      </c>
      <c r="R3517">
        <v>0.16224759999999999</v>
      </c>
      <c r="S3517">
        <v>3.3201900000000002</v>
      </c>
      <c r="T3517">
        <v>-0.25549569999999999</v>
      </c>
      <c r="U3517">
        <v>0.1604004</v>
      </c>
      <c r="V3517">
        <v>-0.1525088</v>
      </c>
      <c r="W3517">
        <v>0.3562343</v>
      </c>
      <c r="X3517">
        <v>0.92186670000000004</v>
      </c>
      <c r="Y3517">
        <v>-3.706516E-2</v>
      </c>
      <c r="Z3517">
        <v>7.6862199999999995E-4</v>
      </c>
      <c r="AA3517">
        <v>0.9993126</v>
      </c>
      <c r="AB3517">
        <v>41</v>
      </c>
      <c r="AC3517">
        <v>14.0379</v>
      </c>
      <c r="AD3517">
        <v>-1.1099357854780001</v>
      </c>
      <c r="AE3517">
        <v>0.69270000000000198</v>
      </c>
      <c r="AF3517">
        <v>-0.53340367167012603</v>
      </c>
      <c r="AG3517">
        <v>-1.1099357854780001</v>
      </c>
      <c r="AH3517">
        <v>13.9576822631141</v>
      </c>
      <c r="AI3517">
        <v>94.543375794148105</v>
      </c>
      <c r="AJ3517">
        <v>92.188537729432397</v>
      </c>
      <c r="AK3517">
        <v>14.011901051709</v>
      </c>
      <c r="AL3517">
        <v>69.130889503427895</v>
      </c>
      <c r="AM3517">
        <v>99.393633342183193</v>
      </c>
      <c r="AN3517">
        <v>1.0000000115714101</v>
      </c>
    </row>
    <row r="3518" spans="1:40" x14ac:dyDescent="0.25">
      <c r="A3518" t="str">
        <f>"20190304164158517"</f>
        <v>20190304164158517</v>
      </c>
      <c r="B3518" t="str">
        <f>"1551688918504149"</f>
        <v>1551688918504149</v>
      </c>
      <c r="C3518" t="s">
        <v>40</v>
      </c>
      <c r="D3518">
        <v>4.2833160000000001</v>
      </c>
      <c r="E3518">
        <v>0.55828350000000004</v>
      </c>
      <c r="F3518" t="s">
        <v>47</v>
      </c>
      <c r="G3518">
        <v>-414.96260000000001</v>
      </c>
      <c r="H3518" s="1">
        <v>3.1219250000000002E-6</v>
      </c>
      <c r="I3518">
        <v>214.20580000000001</v>
      </c>
      <c r="J3518">
        <v>-429.10969999999998</v>
      </c>
      <c r="K3518">
        <v>1.1097220000000001</v>
      </c>
      <c r="L3518">
        <v>213.52879999999999</v>
      </c>
      <c r="M3518">
        <v>0.99991790000000003</v>
      </c>
      <c r="N3518">
        <v>-6.7118189999999999E-3</v>
      </c>
      <c r="O3518">
        <v>1.0922879999999999E-2</v>
      </c>
      <c r="P3518">
        <v>0.92277439999999999</v>
      </c>
      <c r="Q3518">
        <v>0.35044839999999999</v>
      </c>
      <c r="R3518">
        <v>0.1602296</v>
      </c>
      <c r="S3518">
        <v>3.3208920000000002</v>
      </c>
      <c r="T3518">
        <v>-0.25306420000000002</v>
      </c>
      <c r="U3518">
        <v>0.1553802</v>
      </c>
      <c r="V3518">
        <v>-0.15047049999999901</v>
      </c>
      <c r="W3518">
        <v>0.3565062</v>
      </c>
      <c r="X3518">
        <v>0.92209649999999999</v>
      </c>
      <c r="Y3518">
        <v>-3.5737350000000001E-2</v>
      </c>
      <c r="Z3518">
        <v>7.2167529999999996E-4</v>
      </c>
      <c r="AA3518">
        <v>0.99936100000000005</v>
      </c>
      <c r="AB3518">
        <v>41</v>
      </c>
      <c r="AC3518">
        <v>14.147099999999901</v>
      </c>
      <c r="AD3518">
        <v>-1.10971887807499</v>
      </c>
      <c r="AE3518">
        <v>0.67700000000002003</v>
      </c>
      <c r="AF3518">
        <v>-0.51924144350074697</v>
      </c>
      <c r="AG3518">
        <v>-1.10971887807499</v>
      </c>
      <c r="AH3518">
        <v>14.067291836838001</v>
      </c>
      <c r="AI3518">
        <v>94.507463486958997</v>
      </c>
      <c r="AJ3518">
        <v>92.113899648258396</v>
      </c>
      <c r="AK3518">
        <v>14.120544865116701</v>
      </c>
      <c r="AL3518">
        <v>69.114215802556501</v>
      </c>
      <c r="AM3518">
        <v>99.268009986607694</v>
      </c>
      <c r="AN3518">
        <v>0.99999999866046996</v>
      </c>
    </row>
    <row r="3519" spans="1:40" x14ac:dyDescent="0.25">
      <c r="A3519" t="str">
        <f>"20190304164158542"</f>
        <v>20190304164158542</v>
      </c>
      <c r="B3519" t="str">
        <f>"1551688918534404"</f>
        <v>1551688918534404</v>
      </c>
      <c r="C3519" t="s">
        <v>40</v>
      </c>
      <c r="D3519">
        <v>4.2800149999999997</v>
      </c>
      <c r="E3519">
        <v>0.55847190000000002</v>
      </c>
      <c r="F3519" t="s">
        <v>47</v>
      </c>
      <c r="G3519">
        <v>-414.5249</v>
      </c>
      <c r="H3519" s="1">
        <v>3.0463360000000001E-6</v>
      </c>
      <c r="I3519">
        <v>214.1823</v>
      </c>
      <c r="J3519">
        <v>-428.6703</v>
      </c>
      <c r="K3519">
        <v>1.109513</v>
      </c>
      <c r="L3519">
        <v>213.5334</v>
      </c>
      <c r="M3519">
        <v>0.99992179999999997</v>
      </c>
      <c r="N3519">
        <v>-6.7374660000000001E-3</v>
      </c>
      <c r="O3519">
        <v>1.0548190000000001E-2</v>
      </c>
      <c r="P3519">
        <v>0.92317300000000002</v>
      </c>
      <c r="Q3519">
        <v>0.35039389999999998</v>
      </c>
      <c r="R3519">
        <v>0.15803800000000001</v>
      </c>
      <c r="S3519">
        <v>3.3212589999999902</v>
      </c>
      <c r="T3519">
        <v>-0.25270530000000002</v>
      </c>
      <c r="U3519">
        <v>0.14881900000000001</v>
      </c>
      <c r="V3519">
        <v>-0.14843889999999901</v>
      </c>
      <c r="W3519">
        <v>0.35655510000000001</v>
      </c>
      <c r="X3519">
        <v>0.92240690000000003</v>
      </c>
      <c r="Y3519">
        <v>-3.4140789999999997E-2</v>
      </c>
      <c r="Z3519">
        <v>6.8154700000000001E-4</v>
      </c>
      <c r="AA3519">
        <v>0.99941679999999999</v>
      </c>
      <c r="AB3519">
        <v>41</v>
      </c>
      <c r="AC3519">
        <v>14.145399999999899</v>
      </c>
      <c r="AD3519">
        <v>-1.1095099536640001</v>
      </c>
      <c r="AE3519">
        <v>0.64889999999999703</v>
      </c>
      <c r="AF3519">
        <v>-0.49660336596705001</v>
      </c>
      <c r="AG3519">
        <v>-1.1095099536640001</v>
      </c>
      <c r="AH3519">
        <v>14.0651079370973</v>
      </c>
      <c r="AI3519">
        <v>94.507574855175406</v>
      </c>
      <c r="AJ3519">
        <v>92.022128978669699</v>
      </c>
      <c r="AK3519">
        <v>14.117538330834</v>
      </c>
      <c r="AL3519">
        <v>69.111218477424302</v>
      </c>
      <c r="AM3519">
        <v>99.1419796378934</v>
      </c>
      <c r="AN3519">
        <v>1.00000006776841</v>
      </c>
    </row>
    <row r="3520" spans="1:40" x14ac:dyDescent="0.25">
      <c r="A3520" t="str">
        <f>"20190304164158564"</f>
        <v>20190304164158564</v>
      </c>
      <c r="B3520" t="str">
        <f>"1551688918554902"</f>
        <v>1551688918554902</v>
      </c>
      <c r="C3520" t="s">
        <v>40</v>
      </c>
      <c r="D3520">
        <v>4.3026090000000003</v>
      </c>
      <c r="E3520">
        <v>0.5585194</v>
      </c>
      <c r="F3520" t="s">
        <v>47</v>
      </c>
      <c r="G3520">
        <v>-414.22340000000003</v>
      </c>
      <c r="H3520" s="1">
        <v>2.9955189999999998E-6</v>
      </c>
      <c r="I3520">
        <v>214.15190000000001</v>
      </c>
      <c r="J3520">
        <v>-428.2543</v>
      </c>
      <c r="K3520">
        <v>1.10934</v>
      </c>
      <c r="L3520">
        <v>213.53739999999999</v>
      </c>
      <c r="M3520">
        <v>0.9999266</v>
      </c>
      <c r="N3520">
        <v>-6.76108E-3</v>
      </c>
      <c r="O3520">
        <v>1.006019E-2</v>
      </c>
      <c r="P3520">
        <v>0.92363289999999998</v>
      </c>
      <c r="Q3520">
        <v>0.35033540000000002</v>
      </c>
      <c r="R3520">
        <v>0.15545880000000001</v>
      </c>
      <c r="S3520">
        <v>3.3221129999999999</v>
      </c>
      <c r="T3520">
        <v>-0.25513570000000002</v>
      </c>
      <c r="U3520">
        <v>0.1422272</v>
      </c>
      <c r="V3520">
        <v>-0.14615710000000001</v>
      </c>
      <c r="W3520">
        <v>0.35658319999999999</v>
      </c>
      <c r="X3520">
        <v>0.92276020000000003</v>
      </c>
      <c r="Y3520">
        <v>-3.2639870000000001E-2</v>
      </c>
      <c r="Z3520">
        <v>6.5833839999999999E-4</v>
      </c>
      <c r="AA3520">
        <v>0.99946699999999999</v>
      </c>
      <c r="AB3520">
        <v>41</v>
      </c>
      <c r="AC3520">
        <v>14.0308999999999</v>
      </c>
      <c r="AD3520">
        <v>-1.109337004481</v>
      </c>
      <c r="AE3520">
        <v>0.61450000000002003</v>
      </c>
      <c r="AF3520">
        <v>-0.47037742071274802</v>
      </c>
      <c r="AG3520">
        <v>-1.109337004481</v>
      </c>
      <c r="AH3520">
        <v>13.949340377507101</v>
      </c>
      <c r="AI3520">
        <v>94.544369881009899</v>
      </c>
      <c r="AJ3520">
        <v>91.9313051610673</v>
      </c>
      <c r="AK3520">
        <v>14.001284957995001</v>
      </c>
      <c r="AL3520">
        <v>69.109492214024797</v>
      </c>
      <c r="AM3520">
        <v>99.000378101776207</v>
      </c>
      <c r="AN3520">
        <v>0.99999993155334199</v>
      </c>
    </row>
    <row r="3521" spans="1:40" x14ac:dyDescent="0.25">
      <c r="A3521" t="str">
        <f>"20190304164158585"</f>
        <v>20190304164158585</v>
      </c>
      <c r="B3521" t="str">
        <f>"1551688918574420"</f>
        <v>1551688918574420</v>
      </c>
      <c r="C3521" t="s">
        <v>40</v>
      </c>
      <c r="D3521">
        <v>5.0182529999999996</v>
      </c>
      <c r="E3521">
        <v>0.55855699999999997</v>
      </c>
      <c r="F3521" t="s">
        <v>41</v>
      </c>
      <c r="G3521">
        <v>-427.19040000000001</v>
      </c>
      <c r="H3521">
        <v>1.0273730000000001</v>
      </c>
      <c r="I3521">
        <v>213.58019999999999</v>
      </c>
      <c r="J3521">
        <v>-427.85939999999999</v>
      </c>
      <c r="K3521">
        <v>1.109202</v>
      </c>
      <c r="L3521">
        <v>213.541</v>
      </c>
      <c r="M3521">
        <v>0.99993169999999998</v>
      </c>
      <c r="N3521">
        <v>-6.782901E-3</v>
      </c>
      <c r="O3521">
        <v>9.5228180000000006E-3</v>
      </c>
      <c r="P3521">
        <v>0.92428140000000003</v>
      </c>
      <c r="Q3521">
        <v>0.34983320000000001</v>
      </c>
      <c r="R3521">
        <v>0.15271179999999901</v>
      </c>
      <c r="S3521">
        <v>3.3226010000000001</v>
      </c>
      <c r="T3521">
        <v>-0.256073</v>
      </c>
      <c r="U3521">
        <v>0.13414000000000001</v>
      </c>
      <c r="V3521">
        <v>-0.14378160000000001</v>
      </c>
      <c r="W3521">
        <v>0.35615330000000001</v>
      </c>
      <c r="X3521">
        <v>0.92329939999999999</v>
      </c>
      <c r="Y3521">
        <v>-3.0746389999999998E-2</v>
      </c>
      <c r="Z3521">
        <v>6.190522E-4</v>
      </c>
      <c r="AA3521">
        <v>0.99952700000000005</v>
      </c>
      <c r="AB3521">
        <v>42</v>
      </c>
      <c r="AC3521">
        <v>0.66899999999998205</v>
      </c>
      <c r="AD3521">
        <v>-8.1829000000000096E-2</v>
      </c>
      <c r="AE3521">
        <v>3.9199999999993899E-2</v>
      </c>
      <c r="AF3521">
        <v>-3.2345050635962699E-2</v>
      </c>
      <c r="AG3521">
        <v>-8.1829000000000096E-2</v>
      </c>
      <c r="AH3521">
        <v>0.65950976548269402</v>
      </c>
      <c r="AI3521">
        <v>97.064449980200493</v>
      </c>
      <c r="AJ3521">
        <v>92.807769121428905</v>
      </c>
      <c r="AK3521">
        <v>0.66535352881658405</v>
      </c>
      <c r="AL3521">
        <v>69.135857096816594</v>
      </c>
      <c r="AM3521">
        <v>98.851341922966398</v>
      </c>
      <c r="AN3521">
        <v>1.0000000518198999</v>
      </c>
    </row>
    <row r="3522" spans="1:40" x14ac:dyDescent="0.25">
      <c r="A3522" t="str">
        <f>"20190304164158607"</f>
        <v>20190304164158607</v>
      </c>
      <c r="B3522" t="str">
        <f>"1551688918594918"</f>
        <v>1551688918594918</v>
      </c>
      <c r="C3522" t="s">
        <v>40</v>
      </c>
      <c r="D3522">
        <v>4.2888270000000004</v>
      </c>
      <c r="E3522">
        <v>0.55857129999999999</v>
      </c>
      <c r="F3522" t="s">
        <v>41</v>
      </c>
      <c r="G3522">
        <v>-426.81700000000001</v>
      </c>
      <c r="H3522">
        <v>1.0281260000000001</v>
      </c>
      <c r="I3522">
        <v>213.58019999999999</v>
      </c>
      <c r="J3522">
        <v>-427.4468</v>
      </c>
      <c r="K3522">
        <v>1.1090819999999999</v>
      </c>
      <c r="L3522">
        <v>213.5446</v>
      </c>
      <c r="M3522">
        <v>0.99993719999999997</v>
      </c>
      <c r="N3522">
        <v>-6.8045179999999999E-3</v>
      </c>
      <c r="O3522">
        <v>8.9090079999999995E-3</v>
      </c>
      <c r="P3522">
        <v>0.92469900000000005</v>
      </c>
      <c r="Q3522">
        <v>0.34982380000000002</v>
      </c>
      <c r="R3522">
        <v>0.15018299999999901</v>
      </c>
      <c r="S3522">
        <v>3.3229980000000001</v>
      </c>
      <c r="T3522">
        <v>-0.25855230000000001</v>
      </c>
      <c r="U3522">
        <v>0.12506099999999901</v>
      </c>
      <c r="V3522">
        <v>-0.1417138</v>
      </c>
      <c r="W3522">
        <v>0.35620629999999998</v>
      </c>
      <c r="X3522">
        <v>0.92359849999999999</v>
      </c>
      <c r="Y3522">
        <v>-2.8632359999999999E-2</v>
      </c>
      <c r="Z3522">
        <v>5.7809889999999996E-4</v>
      </c>
      <c r="AA3522">
        <v>0.99958990000000003</v>
      </c>
      <c r="AB3522">
        <v>42</v>
      </c>
      <c r="AC3522">
        <v>0.62980000000004499</v>
      </c>
      <c r="AD3522">
        <v>-8.0955999999999806E-2</v>
      </c>
      <c r="AE3522">
        <v>3.5599999999988002E-2</v>
      </c>
      <c r="AF3522">
        <v>-2.9501656534356799E-2</v>
      </c>
      <c r="AG3522">
        <v>-8.0955999999999806E-2</v>
      </c>
      <c r="AH3522">
        <v>0.61988238677371099</v>
      </c>
      <c r="AI3522">
        <v>97.432339270331795</v>
      </c>
      <c r="AJ3522">
        <v>92.724784517414406</v>
      </c>
      <c r="AK3522">
        <v>0.62584214871367005</v>
      </c>
      <c r="AL3522">
        <v>69.132605267836894</v>
      </c>
      <c r="AM3522">
        <v>98.723236880982697</v>
      </c>
      <c r="AN3522">
        <v>0.99999995923618901</v>
      </c>
    </row>
    <row r="3523" spans="1:40" x14ac:dyDescent="0.25">
      <c r="A3523" t="str">
        <f>"20190304164158630"</f>
        <v>20190304164158630</v>
      </c>
      <c r="B3523" t="str">
        <f>"1551688918624197"</f>
        <v>1551688918624197</v>
      </c>
      <c r="C3523" t="s">
        <v>40</v>
      </c>
      <c r="D3523">
        <v>4.2976609999999997</v>
      </c>
      <c r="E3523">
        <v>0.5584673</v>
      </c>
      <c r="F3523" t="s">
        <v>41</v>
      </c>
      <c r="G3523">
        <v>-426.44130000000001</v>
      </c>
      <c r="H3523">
        <v>1.0306599999999999</v>
      </c>
      <c r="I3523">
        <v>213.57929999999999</v>
      </c>
      <c r="J3523">
        <v>-427.02539999999999</v>
      </c>
      <c r="K3523">
        <v>1.1089789999999999</v>
      </c>
      <c r="L3523">
        <v>213.5479</v>
      </c>
      <c r="M3523">
        <v>0.99994280000000002</v>
      </c>
      <c r="N3523">
        <v>-6.8228710000000003E-3</v>
      </c>
      <c r="O3523">
        <v>8.2478350000000002E-3</v>
      </c>
      <c r="P3523">
        <v>0.92495329999999998</v>
      </c>
      <c r="Q3523">
        <v>0.34986209999999901</v>
      </c>
      <c r="R3523">
        <v>0.1485205</v>
      </c>
      <c r="S3523">
        <v>3.3236690000000002</v>
      </c>
      <c r="T3523">
        <v>-0.25920120000000002</v>
      </c>
      <c r="U3523">
        <v>0.1151123</v>
      </c>
      <c r="V3523">
        <v>-0.14057359999999999</v>
      </c>
      <c r="W3523">
        <v>0.35629670000000002</v>
      </c>
      <c r="X3523">
        <v>0.9237379</v>
      </c>
      <c r="Y3523">
        <v>-2.6303139999999999E-2</v>
      </c>
      <c r="Z3523">
        <v>5.2784920000000001E-4</v>
      </c>
      <c r="AA3523">
        <v>0.99965389999999998</v>
      </c>
      <c r="AB3523">
        <v>42</v>
      </c>
      <c r="AC3523">
        <v>0.58409999999997797</v>
      </c>
      <c r="AD3523">
        <v>-7.8319E-2</v>
      </c>
      <c r="AE3523">
        <v>3.1399999999990699E-2</v>
      </c>
      <c r="AF3523">
        <v>-2.6113130800851401E-2</v>
      </c>
      <c r="AG3523">
        <v>-7.8319E-2</v>
      </c>
      <c r="AH3523">
        <v>0.57404818212356001</v>
      </c>
      <c r="AI3523">
        <v>97.761128449251004</v>
      </c>
      <c r="AJ3523">
        <v>92.604557433354302</v>
      </c>
      <c r="AK3523">
        <v>0.57995437472320799</v>
      </c>
      <c r="AL3523">
        <v>69.127062747090406</v>
      </c>
      <c r="AM3523">
        <v>98.652832118473398</v>
      </c>
      <c r="AN3523">
        <v>0.99999999167212905</v>
      </c>
    </row>
    <row r="3524" spans="1:40" x14ac:dyDescent="0.25">
      <c r="A3524" t="str">
        <f>"20190304164158652"</f>
        <v>20190304164158652</v>
      </c>
      <c r="B3524" t="str">
        <f>"1551688918644693"</f>
        <v>1551688918644693</v>
      </c>
      <c r="C3524" t="s">
        <v>40</v>
      </c>
      <c r="D3524">
        <v>4.2664200000000001</v>
      </c>
      <c r="E3524">
        <v>0.55684659999999997</v>
      </c>
      <c r="F3524" t="s">
        <v>41</v>
      </c>
      <c r="G3524">
        <v>-426.0591</v>
      </c>
      <c r="H3524">
        <v>1.033568</v>
      </c>
      <c r="I3524">
        <v>213.5787</v>
      </c>
      <c r="J3524">
        <v>-426.59789999999998</v>
      </c>
      <c r="K3524">
        <v>1.108895</v>
      </c>
      <c r="L3524">
        <v>213.55099999999999</v>
      </c>
      <c r="M3524">
        <v>0.99994810000000001</v>
      </c>
      <c r="N3524">
        <v>-6.8385190000000004E-3</v>
      </c>
      <c r="O3524">
        <v>7.558838E-3</v>
      </c>
      <c r="P3524">
        <v>0.92547509999999999</v>
      </c>
      <c r="Q3524">
        <v>0.34909559999999901</v>
      </c>
      <c r="R3524">
        <v>0.14706549999999999</v>
      </c>
      <c r="S3524">
        <v>3.3244630000000002</v>
      </c>
      <c r="T3524">
        <v>-0.25950109999999998</v>
      </c>
      <c r="U3524">
        <v>0.1064758</v>
      </c>
      <c r="V3524">
        <v>-0.13968029999999901</v>
      </c>
      <c r="W3524">
        <v>0.35557529999999998</v>
      </c>
      <c r="X3524">
        <v>0.92415130000000001</v>
      </c>
      <c r="Y3524">
        <v>-2.4393990000000001E-2</v>
      </c>
      <c r="Z3524">
        <v>4.9660399999999999E-4</v>
      </c>
      <c r="AA3524">
        <v>0.99970230000000004</v>
      </c>
      <c r="AB3524">
        <v>42</v>
      </c>
      <c r="AC3524">
        <v>0.53879999999997996</v>
      </c>
      <c r="AD3524">
        <v>-7.5326999999999894E-2</v>
      </c>
      <c r="AE3524">
        <v>2.7700000000010001E-2</v>
      </c>
      <c r="AF3524">
        <v>-2.31746463100037E-2</v>
      </c>
      <c r="AG3524">
        <v>-7.5326999999999894E-2</v>
      </c>
      <c r="AH3524">
        <v>0.52868777876170403</v>
      </c>
      <c r="AI3524">
        <v>98.101202688612503</v>
      </c>
      <c r="AJ3524">
        <v>92.509912316136493</v>
      </c>
      <c r="AK3524">
        <v>0.53452968914044197</v>
      </c>
      <c r="AL3524">
        <v>69.171292758320504</v>
      </c>
      <c r="AM3524">
        <v>98.594881643309705</v>
      </c>
      <c r="AN3524">
        <v>1.0000000027349301</v>
      </c>
    </row>
    <row r="3525" spans="1:40" x14ac:dyDescent="0.25">
      <c r="A3525" t="str">
        <f>"20190304164158673"</f>
        <v>20190304164158673</v>
      </c>
      <c r="B3525" t="str">
        <f>"1551688918664213"</f>
        <v>1551688918664213</v>
      </c>
      <c r="C3525" t="s">
        <v>40</v>
      </c>
      <c r="D3525">
        <v>4.2668860000000004</v>
      </c>
      <c r="E3525">
        <v>0.55773779999999995</v>
      </c>
      <c r="F3525" t="s">
        <v>47</v>
      </c>
      <c r="G3525">
        <v>-408.3954</v>
      </c>
      <c r="H3525" s="1">
        <v>4.7781409999999997E-6</v>
      </c>
      <c r="I3525">
        <v>214.13759999999999</v>
      </c>
      <c r="J3525">
        <v>-426.18900000000002</v>
      </c>
      <c r="K3525">
        <v>1.108833</v>
      </c>
      <c r="L3525">
        <v>213.55369999999999</v>
      </c>
      <c r="M3525">
        <v>0.99995279999999998</v>
      </c>
      <c r="N3525">
        <v>-6.8524409999999999E-3</v>
      </c>
      <c r="O3525">
        <v>6.8937740000000001E-3</v>
      </c>
      <c r="P3525">
        <v>0.92600950000000004</v>
      </c>
      <c r="Q3525">
        <v>0.34846850000000001</v>
      </c>
      <c r="R3525">
        <v>0.145176</v>
      </c>
      <c r="S3525">
        <v>3.300446</v>
      </c>
      <c r="T3525">
        <v>-0.20106299999999999</v>
      </c>
      <c r="U3525">
        <v>0.1063538</v>
      </c>
      <c r="V3525">
        <v>-0.13834549999999901</v>
      </c>
      <c r="W3525">
        <v>0.35498560000000001</v>
      </c>
      <c r="X3525">
        <v>0.92457869999999998</v>
      </c>
      <c r="Y3525">
        <v>-2.5274189999999998E-2</v>
      </c>
      <c r="Z3525">
        <v>4.833805E-4</v>
      </c>
      <c r="AA3525">
        <v>0.99968049999999997</v>
      </c>
      <c r="AB3525">
        <v>42</v>
      </c>
      <c r="AC3525">
        <v>17.793600000000001</v>
      </c>
      <c r="AD3525">
        <v>-1.108828221859</v>
      </c>
      <c r="AE3525">
        <v>0.58389999999999898</v>
      </c>
      <c r="AF3525">
        <v>-0.45943598407393499</v>
      </c>
      <c r="AG3525">
        <v>-1.108828221859</v>
      </c>
      <c r="AH3525">
        <v>17.7284317747438</v>
      </c>
      <c r="AI3525">
        <v>93.577715702829494</v>
      </c>
      <c r="AJ3525">
        <v>91.484499732465196</v>
      </c>
      <c r="AK3525">
        <v>17.769014453277901</v>
      </c>
      <c r="AL3525">
        <v>69.207438442956999</v>
      </c>
      <c r="AM3525">
        <v>98.510079368829395</v>
      </c>
      <c r="AN3525">
        <v>1.0000000130356499</v>
      </c>
    </row>
    <row r="3526" spans="1:40" x14ac:dyDescent="0.25">
      <c r="A3526" t="str">
        <f>"20190304164158696"</f>
        <v>20190304164158696</v>
      </c>
      <c r="B3526" t="str">
        <f>"1551688918684709"</f>
        <v>1551688918684709</v>
      </c>
      <c r="C3526" t="s">
        <v>40</v>
      </c>
      <c r="D3526">
        <v>4.2752610000000004</v>
      </c>
      <c r="E3526">
        <v>0.55738909999999997</v>
      </c>
      <c r="F3526" t="s">
        <v>47</v>
      </c>
      <c r="G3526">
        <v>-412.71319999999997</v>
      </c>
      <c r="H3526" s="1">
        <v>2.7444820000000001E-6</v>
      </c>
      <c r="I3526">
        <v>213.959</v>
      </c>
      <c r="J3526">
        <v>-425.77859999999998</v>
      </c>
      <c r="K3526">
        <v>1.1087739999999999</v>
      </c>
      <c r="L3526">
        <v>213.55609999999999</v>
      </c>
      <c r="M3526">
        <v>0.99995710000000004</v>
      </c>
      <c r="N3526">
        <v>-6.8664169999999997E-3</v>
      </c>
      <c r="O3526">
        <v>6.2250430000000004E-3</v>
      </c>
      <c r="P3526">
        <v>0.92612709999999998</v>
      </c>
      <c r="Q3526">
        <v>0.34840120000000002</v>
      </c>
      <c r="R3526">
        <v>0.14458650000000001</v>
      </c>
      <c r="S3526">
        <v>3.327026</v>
      </c>
      <c r="T3526">
        <v>-0.27375719999999998</v>
      </c>
      <c r="U3526">
        <v>0.10006710000000001</v>
      </c>
      <c r="V3526">
        <v>-0.13832539999999999</v>
      </c>
      <c r="W3526">
        <v>0.35495080000000001</v>
      </c>
      <c r="X3526">
        <v>0.9245951</v>
      </c>
      <c r="Y3526">
        <v>-2.3771170000000001E-2</v>
      </c>
      <c r="Z3526">
        <v>5.8933939999999995E-4</v>
      </c>
      <c r="AA3526">
        <v>0.99971719999999997</v>
      </c>
      <c r="AB3526">
        <v>42</v>
      </c>
      <c r="AC3526">
        <v>13.0654</v>
      </c>
      <c r="AD3526">
        <v>-1.1087712555179901</v>
      </c>
      <c r="AE3526">
        <v>0.40290000000001602</v>
      </c>
      <c r="AF3526">
        <v>-0.319260550288609</v>
      </c>
      <c r="AG3526">
        <v>-1.1087712555179901</v>
      </c>
      <c r="AH3526">
        <v>12.974305927639501</v>
      </c>
      <c r="AI3526">
        <v>94.883101209317005</v>
      </c>
      <c r="AJ3526">
        <v>91.409600750760902</v>
      </c>
      <c r="AK3526">
        <v>13.025510174270099</v>
      </c>
      <c r="AL3526">
        <v>69.209571874401007</v>
      </c>
      <c r="AM3526">
        <v>98.508712336464797</v>
      </c>
      <c r="AN3526">
        <v>1.0000000428249001</v>
      </c>
    </row>
    <row r="3527" spans="1:40" x14ac:dyDescent="0.25">
      <c r="A3527" t="str">
        <f>"20190304164158718"</f>
        <v>20190304164158718</v>
      </c>
      <c r="B3527" t="str">
        <f>"1551688918714965"</f>
        <v>1551688918714965</v>
      </c>
      <c r="C3527" t="s">
        <v>40</v>
      </c>
      <c r="D3527">
        <v>4.2588059999999999</v>
      </c>
      <c r="E3527">
        <v>0.55730550000000001</v>
      </c>
      <c r="F3527" t="s">
        <v>47</v>
      </c>
      <c r="G3527">
        <v>-412.25029999999998</v>
      </c>
      <c r="H3527" s="1">
        <v>2.6614609999999998E-6</v>
      </c>
      <c r="I3527">
        <v>213.96960000000001</v>
      </c>
      <c r="J3527">
        <v>-425.34840000000003</v>
      </c>
      <c r="K3527">
        <v>1.1087180000000001</v>
      </c>
      <c r="L3527">
        <v>213.55840000000001</v>
      </c>
      <c r="M3527">
        <v>0.99996110000000005</v>
      </c>
      <c r="N3527">
        <v>-6.8814790000000002E-3</v>
      </c>
      <c r="O3527">
        <v>5.5248930000000003E-3</v>
      </c>
      <c r="P3527">
        <v>0.92627999999999999</v>
      </c>
      <c r="Q3527">
        <v>0.34793370000000001</v>
      </c>
      <c r="R3527">
        <v>0.14473329999999901</v>
      </c>
      <c r="S3527">
        <v>3.3259889999999999</v>
      </c>
      <c r="T3527">
        <v>-0.272597599999999</v>
      </c>
      <c r="U3527">
        <v>0.1016541</v>
      </c>
      <c r="V3527">
        <v>-0.1390769</v>
      </c>
      <c r="W3527">
        <v>0.35451569999999999</v>
      </c>
      <c r="X3527">
        <v>0.92464919999999995</v>
      </c>
      <c r="Y3527">
        <v>-2.4951279999999999E-2</v>
      </c>
      <c r="Z3527">
        <v>6.9258939999999999E-4</v>
      </c>
      <c r="AA3527">
        <v>0.99968840000000003</v>
      </c>
      <c r="AB3527">
        <v>42</v>
      </c>
      <c r="AC3527">
        <v>13.098100000000001</v>
      </c>
      <c r="AD3527">
        <v>-1.1087153385390001</v>
      </c>
      <c r="AE3527">
        <v>0.411200000000007</v>
      </c>
      <c r="AF3527">
        <v>-0.33641830785920301</v>
      </c>
      <c r="AG3527">
        <v>-1.1087153385390001</v>
      </c>
      <c r="AH3527">
        <v>13.007066533908899</v>
      </c>
      <c r="AI3527">
        <v>94.870463360108701</v>
      </c>
      <c r="AJ3527">
        <v>91.481583315949607</v>
      </c>
      <c r="AK3527">
        <v>13.058568328775801</v>
      </c>
      <c r="AL3527">
        <v>69.236233330176603</v>
      </c>
      <c r="AM3527">
        <v>98.553763649280796</v>
      </c>
      <c r="AN3527">
        <v>0.99999995436036804</v>
      </c>
    </row>
    <row r="3528" spans="1:40" x14ac:dyDescent="0.25">
      <c r="A3528" t="str">
        <f>"20190304164158744"</f>
        <v>20190304164158744</v>
      </c>
      <c r="B3528" t="str">
        <f>"1551688918734486"</f>
        <v>1551688918734486</v>
      </c>
      <c r="C3528" t="s">
        <v>40</v>
      </c>
      <c r="D3528">
        <v>4.2597559999999897</v>
      </c>
      <c r="E3528">
        <v>0.55706269999999902</v>
      </c>
      <c r="F3528" t="s">
        <v>47</v>
      </c>
      <c r="G3528">
        <v>-411.88589999999999</v>
      </c>
      <c r="H3528" s="1">
        <v>2.5967949999999999E-6</v>
      </c>
      <c r="I3528">
        <v>213.96979999999999</v>
      </c>
      <c r="J3528">
        <v>-424.88060000000002</v>
      </c>
      <c r="K3528">
        <v>1.108665</v>
      </c>
      <c r="L3528">
        <v>213.56049999999999</v>
      </c>
      <c r="M3528">
        <v>0.99996499999999999</v>
      </c>
      <c r="N3528">
        <v>-6.8984809999999997E-3</v>
      </c>
      <c r="O3528">
        <v>4.7644599999999999E-3</v>
      </c>
      <c r="P3528">
        <v>0.92599580000000004</v>
      </c>
      <c r="Q3528">
        <v>0.34857070000000001</v>
      </c>
      <c r="R3528">
        <v>0.14501900000000001</v>
      </c>
      <c r="S3528">
        <v>3.3257140000000001</v>
      </c>
      <c r="T3528">
        <v>-0.27389059999999998</v>
      </c>
      <c r="U3528">
        <v>0.10162350000000001</v>
      </c>
      <c r="V3528">
        <v>-0.14002829999999999</v>
      </c>
      <c r="W3528">
        <v>0.35518349999999999</v>
      </c>
      <c r="X3528">
        <v>0.92424930000000005</v>
      </c>
      <c r="Y3528">
        <v>-2.569925E-2</v>
      </c>
      <c r="Z3528">
        <v>7.862228E-4</v>
      </c>
      <c r="AA3528">
        <v>0.99966940000000004</v>
      </c>
      <c r="AB3528">
        <v>42</v>
      </c>
      <c r="AC3528">
        <v>12.9947</v>
      </c>
      <c r="AD3528">
        <v>-1.1086624032050001</v>
      </c>
      <c r="AE3528">
        <v>0.409300000000001</v>
      </c>
      <c r="AF3528">
        <v>-0.344873348781079</v>
      </c>
      <c r="AG3528">
        <v>-1.1086624032050001</v>
      </c>
      <c r="AH3528">
        <v>12.902678337804099</v>
      </c>
      <c r="AI3528">
        <v>94.909331398851194</v>
      </c>
      <c r="AJ3528">
        <v>91.531083949443897</v>
      </c>
      <c r="AK3528">
        <v>12.9548129372762</v>
      </c>
      <c r="AL3528">
        <v>69.195309043224498</v>
      </c>
      <c r="AM3528">
        <v>98.615074131305306</v>
      </c>
      <c r="AN3528">
        <v>1.0000000060118099</v>
      </c>
    </row>
    <row r="3529" spans="1:40" x14ac:dyDescent="0.25">
      <c r="A3529" t="str">
        <f>"20190304164158765"</f>
        <v>20190304164158765</v>
      </c>
      <c r="B3529" t="str">
        <f>"1551688918754981"</f>
        <v>1551688918754981</v>
      </c>
      <c r="C3529" t="s">
        <v>40</v>
      </c>
      <c r="D3529">
        <v>4.2793799999999997</v>
      </c>
      <c r="E3529">
        <v>0.55687710000000001</v>
      </c>
      <c r="F3529" t="s">
        <v>41</v>
      </c>
      <c r="G3529">
        <v>-423.80549999999999</v>
      </c>
      <c r="H3529">
        <v>1.020721</v>
      </c>
      <c r="I3529">
        <v>213.5941</v>
      </c>
      <c r="J3529">
        <v>-424.47340000000003</v>
      </c>
      <c r="K3529">
        <v>1.1086290000000001</v>
      </c>
      <c r="L3529">
        <v>213.56200000000001</v>
      </c>
      <c r="M3529">
        <v>0.99996770000000001</v>
      </c>
      <c r="N3529">
        <v>-6.9138810000000002E-3</v>
      </c>
      <c r="O3529">
        <v>4.1021570000000004E-3</v>
      </c>
      <c r="P3529">
        <v>0.92585649999999997</v>
      </c>
      <c r="Q3529">
        <v>0.34886420000000001</v>
      </c>
      <c r="R3529">
        <v>0.14520189999999999</v>
      </c>
      <c r="S3529">
        <v>3.3258670000000001</v>
      </c>
      <c r="T3529">
        <v>-0.27210190000000001</v>
      </c>
      <c r="U3529">
        <v>0.1043091</v>
      </c>
      <c r="V3529">
        <v>-0.14079759999999999</v>
      </c>
      <c r="W3529">
        <v>0.35550179999999998</v>
      </c>
      <c r="X3529">
        <v>0.92401</v>
      </c>
      <c r="Y3529">
        <v>-2.7160190000000001E-2</v>
      </c>
      <c r="Z3529">
        <v>8.9634749999999998E-4</v>
      </c>
      <c r="AA3529">
        <v>0.99963069999999998</v>
      </c>
      <c r="AB3529">
        <v>42</v>
      </c>
      <c r="AC3529">
        <v>0.66790000000003102</v>
      </c>
      <c r="AD3529">
        <v>-8.7908000000000097E-2</v>
      </c>
      <c r="AE3529">
        <v>3.2099999999985501E-2</v>
      </c>
      <c r="AF3529">
        <v>-2.8861014213647701E-2</v>
      </c>
      <c r="AG3529">
        <v>-8.7908000000000097E-2</v>
      </c>
      <c r="AH3529">
        <v>0.65667639054998095</v>
      </c>
      <c r="AI3529">
        <v>97.617477165227996</v>
      </c>
      <c r="AJ3529">
        <v>92.516537594534796</v>
      </c>
      <c r="AK3529">
        <v>0.66316261694337897</v>
      </c>
      <c r="AL3529">
        <v>69.175798046555002</v>
      </c>
      <c r="AM3529">
        <v>98.6638976477266</v>
      </c>
      <c r="AN3529">
        <v>0.99999998703449999</v>
      </c>
    </row>
    <row r="3530" spans="1:40" x14ac:dyDescent="0.25">
      <c r="A3530" t="str">
        <f>"20190304164158786"</f>
        <v>20190304164158786</v>
      </c>
      <c r="B3530" t="str">
        <f>"1551688918774501"</f>
        <v>1551688918774501</v>
      </c>
      <c r="C3530" t="s">
        <v>40</v>
      </c>
      <c r="D3530">
        <v>4.2869570000000001</v>
      </c>
      <c r="E3530">
        <v>0.55672969999999999</v>
      </c>
      <c r="F3530" t="s">
        <v>41</v>
      </c>
      <c r="G3530">
        <v>-423.423</v>
      </c>
      <c r="H3530">
        <v>1.0228489999999999</v>
      </c>
      <c r="I3530">
        <v>213.59479999999999</v>
      </c>
      <c r="J3530">
        <v>-424.08319999999998</v>
      </c>
      <c r="K3530">
        <v>1.1085989999999999</v>
      </c>
      <c r="L3530">
        <v>213.56319999999999</v>
      </c>
      <c r="M3530">
        <v>0.99997009999999997</v>
      </c>
      <c r="N3530">
        <v>-6.9291569999999896E-3</v>
      </c>
      <c r="O3530">
        <v>3.4668030000000001E-3</v>
      </c>
      <c r="P3530">
        <v>0.92593479999999995</v>
      </c>
      <c r="Q3530">
        <v>0.34848509999999999</v>
      </c>
      <c r="R3530">
        <v>0.1456124</v>
      </c>
      <c r="S3530">
        <v>3.326111</v>
      </c>
      <c r="T3530">
        <v>-0.27170280000000002</v>
      </c>
      <c r="U3530">
        <v>0.10528559999999999</v>
      </c>
      <c r="V3530">
        <v>-0.14177490000000001</v>
      </c>
      <c r="W3530">
        <v>0.35514699999999999</v>
      </c>
      <c r="X3530">
        <v>0.92399699999999996</v>
      </c>
      <c r="Y3530">
        <v>-2.808136E-2</v>
      </c>
      <c r="Z3530">
        <v>9.835814E-4</v>
      </c>
      <c r="AA3530">
        <v>0.99960519999999997</v>
      </c>
      <c r="AB3530">
        <v>42</v>
      </c>
      <c r="AC3530">
        <v>0.66019999999997403</v>
      </c>
      <c r="AD3530">
        <v>-8.5749999999999896E-2</v>
      </c>
      <c r="AE3530">
        <v>3.1599999999997401E-2</v>
      </c>
      <c r="AF3530">
        <v>-2.8825790148987701E-2</v>
      </c>
      <c r="AG3530">
        <v>-8.5749999999999896E-2</v>
      </c>
      <c r="AH3530">
        <v>0.64937560615367096</v>
      </c>
      <c r="AI3530">
        <v>97.515066038041894</v>
      </c>
      <c r="AJ3530">
        <v>92.541691700806396</v>
      </c>
      <c r="AK3530">
        <v>0.65564675439230302</v>
      </c>
      <c r="AL3530">
        <v>69.197545734861606</v>
      </c>
      <c r="AM3530">
        <v>98.723234186326707</v>
      </c>
      <c r="AN3530">
        <v>0.99999998494400399</v>
      </c>
    </row>
    <row r="3531" spans="1:40" x14ac:dyDescent="0.25">
      <c r="A3531" t="str">
        <f>"20190304164158807"</f>
        <v>20190304164158807</v>
      </c>
      <c r="B3531" t="str">
        <f>"1551688918794997"</f>
        <v>1551688918794997</v>
      </c>
      <c r="C3531" t="s">
        <v>40</v>
      </c>
      <c r="D3531">
        <v>4.2380620000000002</v>
      </c>
      <c r="E3531">
        <v>0.55663459999999998</v>
      </c>
      <c r="F3531" t="s">
        <v>41</v>
      </c>
      <c r="G3531">
        <v>-423.04079999999999</v>
      </c>
      <c r="H3531">
        <v>1.023129</v>
      </c>
      <c r="I3531">
        <v>213.59690000000001</v>
      </c>
      <c r="J3531">
        <v>-423.65109999999999</v>
      </c>
      <c r="K3531">
        <v>1.1085799999999999</v>
      </c>
      <c r="L3531">
        <v>213.5643</v>
      </c>
      <c r="M3531">
        <v>0.99997219999999998</v>
      </c>
      <c r="N3531">
        <v>-6.9466069999999996E-3</v>
      </c>
      <c r="O3531">
        <v>2.7617280000000002E-3</v>
      </c>
      <c r="P3531">
        <v>0.92571199999999998</v>
      </c>
      <c r="Q3531">
        <v>0.34883520000000001</v>
      </c>
      <c r="R3531">
        <v>0.14618999999999999</v>
      </c>
      <c r="S3531">
        <v>3.325806</v>
      </c>
      <c r="T3531">
        <v>-0.27265299999999998</v>
      </c>
      <c r="U3531">
        <v>0.1069031</v>
      </c>
      <c r="V3531">
        <v>-0.1429858</v>
      </c>
      <c r="W3531">
        <v>0.35552089999999997</v>
      </c>
      <c r="X3531">
        <v>0.9236666</v>
      </c>
      <c r="Y3531">
        <v>-2.9267749999999999E-2</v>
      </c>
      <c r="Z3531">
        <v>1.0924330000000001E-3</v>
      </c>
      <c r="AA3531">
        <v>0.99957099999999999</v>
      </c>
      <c r="AB3531">
        <v>43</v>
      </c>
      <c r="AC3531">
        <v>0.61029999999999496</v>
      </c>
      <c r="AD3531">
        <v>-8.5450999999999694E-2</v>
      </c>
      <c r="AE3531">
        <v>3.26000000000021E-2</v>
      </c>
      <c r="AF3531">
        <v>-3.0321615042741799E-2</v>
      </c>
      <c r="AG3531">
        <v>-8.5450999999999694E-2</v>
      </c>
      <c r="AH3531">
        <v>0.59868441337022105</v>
      </c>
      <c r="AI3531">
        <v>98.112775946753004</v>
      </c>
      <c r="AJ3531">
        <v>92.899386301245201</v>
      </c>
      <c r="AK3531">
        <v>0.60551160232669898</v>
      </c>
      <c r="AL3531">
        <v>69.174627897558494</v>
      </c>
      <c r="AM3531">
        <v>98.7996762378596</v>
      </c>
      <c r="AN3531">
        <v>1.0000000186469999</v>
      </c>
    </row>
    <row r="3532" spans="1:40" x14ac:dyDescent="0.25">
      <c r="A3532" t="str">
        <f>"20190304164158832"</f>
        <v>20190304164158832</v>
      </c>
      <c r="B3532" t="str">
        <f>"1551688918824277"</f>
        <v>1551688918824277</v>
      </c>
      <c r="C3532" t="s">
        <v>40</v>
      </c>
      <c r="D3532">
        <v>4.2614549999999998</v>
      </c>
      <c r="E3532">
        <v>0.55649199999999999</v>
      </c>
      <c r="F3532" t="s">
        <v>41</v>
      </c>
      <c r="G3532">
        <v>-422.65519999999998</v>
      </c>
      <c r="H3532">
        <v>1.027569</v>
      </c>
      <c r="I3532">
        <v>213.59630000000001</v>
      </c>
      <c r="J3532">
        <v>-423.19119999999998</v>
      </c>
      <c r="K3532">
        <v>1.1085640000000001</v>
      </c>
      <c r="L3532">
        <v>213.565</v>
      </c>
      <c r="M3532">
        <v>0.99997380000000002</v>
      </c>
      <c r="N3532">
        <v>-6.9660319999999996E-3</v>
      </c>
      <c r="O3532">
        <v>2.0092970000000002E-3</v>
      </c>
      <c r="P3532">
        <v>0.92548019999999998</v>
      </c>
      <c r="Q3532">
        <v>0.3491879</v>
      </c>
      <c r="R3532">
        <v>0.1468148</v>
      </c>
      <c r="S3532">
        <v>3.3257140000000001</v>
      </c>
      <c r="T3532">
        <v>-0.27071109999999998</v>
      </c>
      <c r="U3532">
        <v>0.108017</v>
      </c>
      <c r="V3532">
        <v>-0.144291</v>
      </c>
      <c r="W3532">
        <v>0.3558984</v>
      </c>
      <c r="X3532">
        <v>0.92331810000000003</v>
      </c>
      <c r="Y3532">
        <v>-3.0350519999999999E-2</v>
      </c>
      <c r="Z3532">
        <v>1.1895549999999999E-3</v>
      </c>
      <c r="AA3532">
        <v>0.99953860000000005</v>
      </c>
      <c r="AB3532">
        <v>43</v>
      </c>
      <c r="AC3532">
        <v>0.53600000000000103</v>
      </c>
      <c r="AD3532">
        <v>-8.09949999999999E-2</v>
      </c>
      <c r="AE3532">
        <v>3.1300000000015801E-2</v>
      </c>
      <c r="AF3532">
        <v>-2.95504580400631E-2</v>
      </c>
      <c r="AG3532">
        <v>-8.09949999999999E-2</v>
      </c>
      <c r="AH3532">
        <v>0.52413426847480404</v>
      </c>
      <c r="AI3532">
        <v>98.770779140872904</v>
      </c>
      <c r="AJ3532">
        <v>93.226894518450194</v>
      </c>
      <c r="AK3532">
        <v>0.53117807841155795</v>
      </c>
      <c r="AL3532">
        <v>69.151483380546395</v>
      </c>
      <c r="AM3532">
        <v>98.8820249297099</v>
      </c>
      <c r="AN3532">
        <v>0.99999993879558302</v>
      </c>
    </row>
    <row r="3533" spans="1:40" x14ac:dyDescent="0.25">
      <c r="A3533" t="str">
        <f>"20190304164158853"</f>
        <v>20190304164158853</v>
      </c>
      <c r="B3533" t="str">
        <f>"1551688918844774"</f>
        <v>1551688918844774</v>
      </c>
      <c r="C3533" t="s">
        <v>40</v>
      </c>
      <c r="D3533">
        <v>4.2182979999999999</v>
      </c>
      <c r="E3533">
        <v>0.55647500000000005</v>
      </c>
      <c r="F3533" t="s">
        <v>47</v>
      </c>
      <c r="G3533">
        <v>-409.47089999999997</v>
      </c>
      <c r="H3533" s="1">
        <v>4.3261360000000001E-6</v>
      </c>
      <c r="I3533">
        <v>214.017</v>
      </c>
      <c r="J3533">
        <v>-422.78109999999998</v>
      </c>
      <c r="K3533">
        <v>1.1085469999999999</v>
      </c>
      <c r="L3533">
        <v>213.56540000000001</v>
      </c>
      <c r="M3533">
        <v>0.99997480000000005</v>
      </c>
      <c r="N3533">
        <v>-6.9837780000000004E-3</v>
      </c>
      <c r="O3533">
        <v>1.3372739999999901E-3</v>
      </c>
      <c r="P3533">
        <v>0.92532829999999999</v>
      </c>
      <c r="Q3533">
        <v>0.34907339999999998</v>
      </c>
      <c r="R3533">
        <v>0.14803829999999901</v>
      </c>
      <c r="S3533">
        <v>3.3255620000000001</v>
      </c>
      <c r="T3533">
        <v>-0.26869490000000001</v>
      </c>
      <c r="U3533">
        <v>0.10955810000000001</v>
      </c>
      <c r="V3533">
        <v>-0.14612510000000001</v>
      </c>
      <c r="W3533">
        <v>0.35580659999999997</v>
      </c>
      <c r="X3533">
        <v>0.92306509999999997</v>
      </c>
      <c r="Y3533">
        <v>-3.1482019999999999E-2</v>
      </c>
      <c r="Z3533">
        <v>1.2810499999999999E-3</v>
      </c>
      <c r="AA3533">
        <v>0.99950349999999999</v>
      </c>
      <c r="AB3533">
        <v>43</v>
      </c>
      <c r="AC3533">
        <v>13.3102</v>
      </c>
      <c r="AD3533">
        <v>-1.1085426738640001</v>
      </c>
      <c r="AE3533">
        <v>0.45159999999998401</v>
      </c>
      <c r="AF3533">
        <v>-0.43081490017333202</v>
      </c>
      <c r="AG3533">
        <v>-1.1085426738640001</v>
      </c>
      <c r="AH3533">
        <v>13.219203451535201</v>
      </c>
      <c r="AI3533">
        <v>94.790991379318001</v>
      </c>
      <c r="AJ3533">
        <v>91.866613382739203</v>
      </c>
      <c r="AK3533">
        <v>13.272596137571201</v>
      </c>
      <c r="AL3533">
        <v>69.157113533533405</v>
      </c>
      <c r="AM3533">
        <v>98.995516097279506</v>
      </c>
      <c r="AN3533">
        <v>1.0000000301457801</v>
      </c>
    </row>
    <row r="3534" spans="1:40" x14ac:dyDescent="0.25">
      <c r="A3534" t="str">
        <f>"20190304164158875"</f>
        <v>20190304164158875</v>
      </c>
      <c r="B3534" t="str">
        <f>"1551688918864293"</f>
        <v>1551688918864293</v>
      </c>
      <c r="C3534" t="s">
        <v>40</v>
      </c>
      <c r="D3534">
        <v>4.1877839999999997</v>
      </c>
      <c r="E3534">
        <v>0.5539868</v>
      </c>
      <c r="F3534" t="s">
        <v>47</v>
      </c>
      <c r="G3534">
        <v>-409.05650000000003</v>
      </c>
      <c r="H3534" s="1">
        <v>4.5075289999999998E-6</v>
      </c>
      <c r="I3534">
        <v>214.02850000000001</v>
      </c>
      <c r="J3534">
        <v>-422.3698</v>
      </c>
      <c r="K3534">
        <v>1.1085449999999999</v>
      </c>
      <c r="L3534">
        <v>213.56549999999999</v>
      </c>
      <c r="M3534">
        <v>0.99997539999999996</v>
      </c>
      <c r="N3534">
        <v>-7.0020589999999997E-3</v>
      </c>
      <c r="O3534">
        <v>6.6056190000000003E-4</v>
      </c>
      <c r="P3534">
        <v>0.92516259999999995</v>
      </c>
      <c r="Q3534">
        <v>0.34899920000000001</v>
      </c>
      <c r="R3534">
        <v>0.1492444</v>
      </c>
      <c r="S3534">
        <v>3.3254700000000001</v>
      </c>
      <c r="T3534">
        <v>-0.26859919999999998</v>
      </c>
      <c r="U3534">
        <v>0.1122131</v>
      </c>
      <c r="V3534">
        <v>-0.14794749999999901</v>
      </c>
      <c r="W3534">
        <v>0.3557553</v>
      </c>
      <c r="X3534">
        <v>0.92279449999999996</v>
      </c>
      <c r="Y3534">
        <v>-3.294942E-2</v>
      </c>
      <c r="Z3534">
        <v>1.3950879999999901E-3</v>
      </c>
      <c r="AA3534">
        <v>0.99945600000000001</v>
      </c>
      <c r="AB3534">
        <v>43</v>
      </c>
      <c r="AC3534">
        <v>13.3132999999999</v>
      </c>
      <c r="AD3534">
        <v>-1.1085404924710001</v>
      </c>
      <c r="AE3534">
        <v>0.46300000000002201</v>
      </c>
      <c r="AF3534">
        <v>-0.45108177825279999</v>
      </c>
      <c r="AG3534">
        <v>-1.1085404924710001</v>
      </c>
      <c r="AH3534">
        <v>13.222043042925799</v>
      </c>
      <c r="AI3534">
        <v>94.789715510310401</v>
      </c>
      <c r="AJ3534">
        <v>91.953938740243998</v>
      </c>
      <c r="AK3534">
        <v>13.2760972813211</v>
      </c>
      <c r="AL3534">
        <v>69.160257773936394</v>
      </c>
      <c r="AM3534">
        <v>99.108460885015305</v>
      </c>
      <c r="AN3534">
        <v>0.99999999273229501</v>
      </c>
    </row>
    <row r="3535" spans="1:40" x14ac:dyDescent="0.25">
      <c r="A3535" t="str">
        <f>"20190304164158897"</f>
        <v>20190304164158897</v>
      </c>
      <c r="B3535" t="str">
        <f>"1551688918884789"</f>
        <v>1551688918884789</v>
      </c>
      <c r="C3535" t="s">
        <v>40</v>
      </c>
      <c r="D3535">
        <v>4.2226860000000004</v>
      </c>
      <c r="E3535">
        <v>0.55386239999999998</v>
      </c>
      <c r="F3535" t="s">
        <v>47</v>
      </c>
      <c r="G3535">
        <v>-406.82670000000002</v>
      </c>
      <c r="H3535" s="1">
        <v>5.4640840000000003E-6</v>
      </c>
      <c r="I3535">
        <v>214.18469999999999</v>
      </c>
      <c r="J3535">
        <v>-421.93740000000003</v>
      </c>
      <c r="K3535">
        <v>1.108533</v>
      </c>
      <c r="L3535">
        <v>213.56530000000001</v>
      </c>
      <c r="M3535">
        <v>0.99997530000000001</v>
      </c>
      <c r="N3535">
        <v>-7.021734E-3</v>
      </c>
      <c r="O3535" s="1">
        <v>-5.388186E-5</v>
      </c>
      <c r="P3535">
        <v>0.92522260000000001</v>
      </c>
      <c r="Q3535">
        <v>0.34880440000000001</v>
      </c>
      <c r="R3535">
        <v>0.14932770000000001</v>
      </c>
      <c r="S3535">
        <v>3.310486</v>
      </c>
      <c r="T3535">
        <v>-0.23610510000000001</v>
      </c>
      <c r="U3535">
        <v>0.13188169999999999</v>
      </c>
      <c r="V3535">
        <v>-0.14868290000000001</v>
      </c>
      <c r="W3535">
        <v>0.35558379999999901</v>
      </c>
      <c r="X3535">
        <v>0.92274239999999996</v>
      </c>
      <c r="Y3535">
        <v>-3.974896E-2</v>
      </c>
      <c r="Z3535">
        <v>1.5583610000000001E-3</v>
      </c>
      <c r="AA3535">
        <v>0.99920850000000005</v>
      </c>
      <c r="AB3535">
        <v>43</v>
      </c>
      <c r="AC3535">
        <v>15.1107</v>
      </c>
      <c r="AD3535">
        <v>-1.1085275359160001</v>
      </c>
      <c r="AE3535">
        <v>0.61939999999998396</v>
      </c>
      <c r="AF3535">
        <v>-0.61689977834242804</v>
      </c>
      <c r="AG3535">
        <v>-1.1085275359160001</v>
      </c>
      <c r="AH3535">
        <v>15.0299149875003</v>
      </c>
      <c r="AI3535">
        <v>94.214662092389005</v>
      </c>
      <c r="AJ3535">
        <v>92.3503742399906</v>
      </c>
      <c r="AK3535">
        <v>15.083359810264101</v>
      </c>
      <c r="AL3535">
        <v>69.170771416357397</v>
      </c>
      <c r="AM3535">
        <v>99.153479683215295</v>
      </c>
      <c r="AN3535">
        <v>0.99999999016630403</v>
      </c>
    </row>
    <row r="3536" spans="1:40" x14ac:dyDescent="0.25">
      <c r="A3536" t="str">
        <f>"20190304164158919"</f>
        <v>20190304164158919</v>
      </c>
      <c r="B3536" t="str">
        <f>"1551688918915045"</f>
        <v>1551688918915045</v>
      </c>
      <c r="C3536" t="s">
        <v>40</v>
      </c>
      <c r="D3536">
        <v>4.184088</v>
      </c>
      <c r="E3536">
        <v>0.5536972</v>
      </c>
      <c r="F3536" t="s">
        <v>47</v>
      </c>
      <c r="G3536">
        <v>-406.37830000000002</v>
      </c>
      <c r="H3536" s="1">
        <v>5.6613609999999997E-6</v>
      </c>
      <c r="I3536">
        <v>214.19229999999999</v>
      </c>
      <c r="J3536">
        <v>-421.49700000000001</v>
      </c>
      <c r="K3536">
        <v>1.108519</v>
      </c>
      <c r="L3536">
        <v>213.56479999999999</v>
      </c>
      <c r="M3536">
        <v>0.9999749</v>
      </c>
      <c r="N3536">
        <v>-7.0423079999999997E-3</v>
      </c>
      <c r="O3536">
        <v>-7.8435639999999997E-4</v>
      </c>
      <c r="P3536">
        <v>0.92511330000000003</v>
      </c>
      <c r="Q3536">
        <v>0.34888380000000002</v>
      </c>
      <c r="R3536">
        <v>0.14981800000000001</v>
      </c>
      <c r="S3536">
        <v>3.3098450000000001</v>
      </c>
      <c r="T3536">
        <v>-0.2358142</v>
      </c>
      <c r="U3536">
        <v>0.1333771</v>
      </c>
      <c r="V3536">
        <v>-0.14983949999999999</v>
      </c>
      <c r="W3536">
        <v>0.35568670000000002</v>
      </c>
      <c r="X3536">
        <v>0.92251559999999999</v>
      </c>
      <c r="Y3536">
        <v>-4.0932639999999999E-2</v>
      </c>
      <c r="Z3536">
        <v>1.6503799999999999E-3</v>
      </c>
      <c r="AA3536">
        <v>0.99916050000000001</v>
      </c>
      <c r="AB3536">
        <v>43</v>
      </c>
      <c r="AC3536">
        <v>15.118699999999899</v>
      </c>
      <c r="AD3536">
        <v>-1.108513338639</v>
      </c>
      <c r="AE3536">
        <v>0.62749999999999695</v>
      </c>
      <c r="AF3536">
        <v>-0.63594563531162696</v>
      </c>
      <c r="AG3536">
        <v>-1.108513338639</v>
      </c>
      <c r="AH3536">
        <v>15.0375017397107</v>
      </c>
      <c r="AI3536">
        <v>94.212272094510993</v>
      </c>
      <c r="AJ3536">
        <v>92.421632416470104</v>
      </c>
      <c r="AK3536">
        <v>15.091709222113099</v>
      </c>
      <c r="AL3536">
        <v>69.164462808197996</v>
      </c>
      <c r="AM3536">
        <v>99.225693734664503</v>
      </c>
      <c r="AN3536">
        <v>0.99999996828024895</v>
      </c>
    </row>
    <row r="3537" spans="1:40" x14ac:dyDescent="0.25">
      <c r="A3537" t="str">
        <f>"20190304164158945"</f>
        <v>20190304164158945</v>
      </c>
      <c r="B3537" t="str">
        <f>"1551688918934565"</f>
        <v>1551688918934565</v>
      </c>
      <c r="C3537" t="s">
        <v>40</v>
      </c>
      <c r="D3537">
        <v>4.1463580000000002</v>
      </c>
      <c r="E3537">
        <v>0.55368249999999997</v>
      </c>
      <c r="F3537" t="s">
        <v>47</v>
      </c>
      <c r="G3537">
        <v>-405.73930000000001</v>
      </c>
      <c r="H3537" s="1">
        <v>5.9404290000000001E-6</v>
      </c>
      <c r="I3537">
        <v>214.21299999999999</v>
      </c>
      <c r="J3537">
        <v>-421.0222</v>
      </c>
      <c r="K3537">
        <v>1.1085069999999999</v>
      </c>
      <c r="L3537">
        <v>213.56389999999999</v>
      </c>
      <c r="M3537">
        <v>0.99997380000000002</v>
      </c>
      <c r="N3537">
        <v>-7.0680379999999996E-3</v>
      </c>
      <c r="O3537">
        <v>-1.574214E-3</v>
      </c>
      <c r="P3537">
        <v>0.92505870000000001</v>
      </c>
      <c r="Q3537">
        <v>0.34851549999999998</v>
      </c>
      <c r="R3537">
        <v>0.15100849999999999</v>
      </c>
      <c r="S3537">
        <v>3.3085629999999999</v>
      </c>
      <c r="T3537">
        <v>-0.23274890000000001</v>
      </c>
      <c r="U3537">
        <v>0.13609309999999999</v>
      </c>
      <c r="V3537">
        <v>-0.15175250000000001</v>
      </c>
      <c r="W3537">
        <v>0.35534840000000001</v>
      </c>
      <c r="X3537">
        <v>0.92233330000000002</v>
      </c>
      <c r="Y3537">
        <v>-4.2553010000000002E-2</v>
      </c>
      <c r="Z3537">
        <v>1.74437299999999E-3</v>
      </c>
      <c r="AA3537">
        <v>0.99909269999999994</v>
      </c>
      <c r="AB3537">
        <v>43</v>
      </c>
      <c r="AC3537">
        <v>15.2828999999999</v>
      </c>
      <c r="AD3537">
        <v>-1.1085010595710001</v>
      </c>
      <c r="AE3537">
        <v>0.64910000000000401</v>
      </c>
      <c r="AF3537">
        <v>-0.669641771351148</v>
      </c>
      <c r="AG3537">
        <v>-1.1085010595710001</v>
      </c>
      <c r="AH3537">
        <v>15.202026764421699</v>
      </c>
      <c r="AI3537">
        <v>94.166485254734397</v>
      </c>
      <c r="AJ3537">
        <v>92.522220297284804</v>
      </c>
      <c r="AK3537">
        <v>15.2570905629875</v>
      </c>
      <c r="AL3537">
        <v>69.185201732524405</v>
      </c>
      <c r="AM3537">
        <v>99.343228427624894</v>
      </c>
      <c r="AN3537">
        <v>1.0000000114638501</v>
      </c>
    </row>
    <row r="3538" spans="1:40" x14ac:dyDescent="0.25">
      <c r="A3538" t="str">
        <f>"20190304164158965"</f>
        <v>20190304164158965</v>
      </c>
      <c r="B3538" t="str">
        <f>"1551688918955061"</f>
        <v>1551688918955061</v>
      </c>
      <c r="C3538" t="s">
        <v>40</v>
      </c>
      <c r="D3538">
        <v>4.1299570000000001</v>
      </c>
      <c r="E3538">
        <v>0.55377200000000004</v>
      </c>
      <c r="F3538" t="s">
        <v>47</v>
      </c>
      <c r="G3538">
        <v>-405.19290000000001</v>
      </c>
      <c r="H3538" s="1">
        <v>6.1796470000000003E-6</v>
      </c>
      <c r="I3538">
        <v>214.22800000000001</v>
      </c>
      <c r="J3538">
        <v>-420.6078</v>
      </c>
      <c r="K3538">
        <v>1.108501</v>
      </c>
      <c r="L3538">
        <v>213.56280000000001</v>
      </c>
      <c r="M3538">
        <v>0.99997239999999998</v>
      </c>
      <c r="N3538">
        <v>-7.0938340000000003E-3</v>
      </c>
      <c r="O3538">
        <v>-2.2649879999999999E-3</v>
      </c>
      <c r="P3538">
        <v>0.92495309999999997</v>
      </c>
      <c r="Q3538">
        <v>0.34831909999999999</v>
      </c>
      <c r="R3538">
        <v>0.15210499999999999</v>
      </c>
      <c r="S3538">
        <v>3.307709</v>
      </c>
      <c r="T3538">
        <v>-0.2316338</v>
      </c>
      <c r="U3538">
        <v>0.13876340000000001</v>
      </c>
      <c r="V3538">
        <v>-0.1534819</v>
      </c>
      <c r="W3538">
        <v>0.35518040000000001</v>
      </c>
      <c r="X3538">
        <v>0.92211180000000004</v>
      </c>
      <c r="Y3538">
        <v>-4.405448E-2</v>
      </c>
      <c r="Z3538">
        <v>1.8388199999999999E-3</v>
      </c>
      <c r="AA3538">
        <v>0.99902740000000001</v>
      </c>
      <c r="AB3538">
        <v>43</v>
      </c>
      <c r="AC3538">
        <v>15.4148999999999</v>
      </c>
      <c r="AD3538">
        <v>-1.1084948203530001</v>
      </c>
      <c r="AE3538">
        <v>0.66519999999997004</v>
      </c>
      <c r="AF3538">
        <v>-0.69651863378896095</v>
      </c>
      <c r="AG3538">
        <v>-1.1084948203530001</v>
      </c>
      <c r="AH3538">
        <v>15.3342058822487</v>
      </c>
      <c r="AI3538">
        <v>94.130419976424804</v>
      </c>
      <c r="AJ3538">
        <v>92.600732403724294</v>
      </c>
      <c r="AK3538">
        <v>15.389989246687501</v>
      </c>
      <c r="AL3538">
        <v>69.195498720846302</v>
      </c>
      <c r="AM3538">
        <v>99.450025006044996</v>
      </c>
      <c r="AN3538">
        <v>0.99999999093550496</v>
      </c>
    </row>
    <row r="3539" spans="1:40" x14ac:dyDescent="0.25">
      <c r="A3539" t="str">
        <f>"20190304164158987"</f>
        <v>20190304164158987</v>
      </c>
      <c r="B3539" t="str">
        <f>"1551688918974582"</f>
        <v>1551688918974582</v>
      </c>
      <c r="C3539" t="s">
        <v>40</v>
      </c>
      <c r="D3539">
        <v>4.1255269999999999</v>
      </c>
      <c r="E3539">
        <v>0.55374400000000001</v>
      </c>
      <c r="F3539" t="s">
        <v>47</v>
      </c>
      <c r="G3539">
        <v>-404.87959999999998</v>
      </c>
      <c r="H3539" s="1">
        <v>6.3177340000000002E-6</v>
      </c>
      <c r="I3539">
        <v>214.2321</v>
      </c>
      <c r="J3539">
        <v>-420.20549999999997</v>
      </c>
      <c r="K3539">
        <v>1.1084969999999901</v>
      </c>
      <c r="L3539">
        <v>213.5615</v>
      </c>
      <c r="M3539">
        <v>0.99997040000000004</v>
      </c>
      <c r="N3539">
        <v>-7.1209380000000003E-3</v>
      </c>
      <c r="O3539">
        <v>-2.9352480000000001E-3</v>
      </c>
      <c r="P3539">
        <v>0.92505499999999996</v>
      </c>
      <c r="Q3539">
        <v>0.34802689999999997</v>
      </c>
      <c r="R3539">
        <v>0.15215319999999999</v>
      </c>
      <c r="S3539">
        <v>3.3080750000000001</v>
      </c>
      <c r="T3539">
        <v>-0.2331473</v>
      </c>
      <c r="U3539">
        <v>0.14076229999999901</v>
      </c>
      <c r="V3539">
        <v>-0.15414510000000001</v>
      </c>
      <c r="W3539">
        <v>0.35491689999999998</v>
      </c>
      <c r="X3539">
        <v>0.92210259999999999</v>
      </c>
      <c r="Y3539">
        <v>-4.5315679999999997E-2</v>
      </c>
      <c r="Z3539">
        <v>1.9414829999999999E-3</v>
      </c>
      <c r="AA3539">
        <v>0.99897080000000005</v>
      </c>
      <c r="AB3539">
        <v>43</v>
      </c>
      <c r="AC3539">
        <v>15.325899999999899</v>
      </c>
      <c r="AD3539">
        <v>-1.1084906822659999</v>
      </c>
      <c r="AE3539">
        <v>0.67060000000000697</v>
      </c>
      <c r="AF3539">
        <v>-0.71186667294924899</v>
      </c>
      <c r="AG3539">
        <v>-1.1084906822659999</v>
      </c>
      <c r="AH3539">
        <v>15.2442701322211</v>
      </c>
      <c r="AI3539">
        <v>94.154444869170305</v>
      </c>
      <c r="AJ3539">
        <v>92.673617502471402</v>
      </c>
      <c r="AK3539">
        <v>15.3010874651723</v>
      </c>
      <c r="AL3539">
        <v>69.211647698240796</v>
      </c>
      <c r="AM3539">
        <v>99.4902106164771</v>
      </c>
      <c r="AN3539">
        <v>0.99999996134318903</v>
      </c>
    </row>
    <row r="3540" spans="1:40" x14ac:dyDescent="0.25">
      <c r="A3540" t="str">
        <f>"20190304164159010"</f>
        <v>20190304164159010</v>
      </c>
      <c r="B3540" t="str">
        <f>"1551688919004838"</f>
        <v>1551688919004838</v>
      </c>
      <c r="C3540" t="s">
        <v>40</v>
      </c>
      <c r="D3540">
        <v>4.1094710000000001</v>
      </c>
      <c r="E3540">
        <v>0.5555698</v>
      </c>
      <c r="F3540" t="s">
        <v>47</v>
      </c>
      <c r="G3540">
        <v>-404.41759999999999</v>
      </c>
      <c r="H3540" s="1">
        <v>6.5224319999999996E-6</v>
      </c>
      <c r="I3540">
        <v>214.233</v>
      </c>
      <c r="J3540">
        <v>-419.74740000000003</v>
      </c>
      <c r="K3540">
        <v>1.1084940000000001</v>
      </c>
      <c r="L3540">
        <v>213.55959999999999</v>
      </c>
      <c r="M3540">
        <v>0.99996759999999996</v>
      </c>
      <c r="N3540">
        <v>-7.1566440000000002E-3</v>
      </c>
      <c r="O3540">
        <v>-3.689669E-3</v>
      </c>
      <c r="P3540">
        <v>0.92509969999999997</v>
      </c>
      <c r="Q3540">
        <v>0.34807700000000003</v>
      </c>
      <c r="R3540">
        <v>0.15176679999999901</v>
      </c>
      <c r="S3540">
        <v>3.307312</v>
      </c>
      <c r="T3540">
        <v>-0.23221079999999999</v>
      </c>
      <c r="U3540">
        <v>0.14067079999999901</v>
      </c>
      <c r="V3540">
        <v>-0.1544537</v>
      </c>
      <c r="W3540">
        <v>0.35500120000000002</v>
      </c>
      <c r="X3540">
        <v>0.92201849999999996</v>
      </c>
      <c r="Y3540">
        <v>-4.6048930000000002E-2</v>
      </c>
      <c r="Z3540">
        <v>2.011203E-3</v>
      </c>
      <c r="AA3540">
        <v>0.99893719999999997</v>
      </c>
      <c r="AB3540">
        <v>43</v>
      </c>
      <c r="AC3540">
        <v>15.329800000000001</v>
      </c>
      <c r="AD3540">
        <v>-1.108487477568</v>
      </c>
      <c r="AE3540">
        <v>0.67340000000001499</v>
      </c>
      <c r="AF3540">
        <v>-0.72616918786153295</v>
      </c>
      <c r="AG3540">
        <v>-1.108487477568</v>
      </c>
      <c r="AH3540">
        <v>15.2476401063364</v>
      </c>
      <c r="AI3540">
        <v>94.153337238388303</v>
      </c>
      <c r="AJ3540">
        <v>92.726652497488899</v>
      </c>
      <c r="AK3540">
        <v>15.3051166277713</v>
      </c>
      <c r="AL3540">
        <v>69.206481114596301</v>
      </c>
      <c r="AM3540">
        <v>99.509714985712904</v>
      </c>
      <c r="AN3540">
        <v>0.99999995589368895</v>
      </c>
    </row>
    <row r="3541" spans="1:40" x14ac:dyDescent="0.25">
      <c r="A3541" t="str">
        <f>"20190304164159032"</f>
        <v>20190304164159032</v>
      </c>
      <c r="B3541" t="str">
        <f>"1551688919024357"</f>
        <v>1551688919024357</v>
      </c>
      <c r="C3541" t="s">
        <v>40</v>
      </c>
      <c r="D3541">
        <v>4.0693380000000001</v>
      </c>
      <c r="E3541">
        <v>0.55602739999999995</v>
      </c>
      <c r="F3541" t="s">
        <v>47</v>
      </c>
      <c r="G3541">
        <v>-403.93619999999999</v>
      </c>
      <c r="H3541" s="1">
        <v>6.7512209999999998E-6</v>
      </c>
      <c r="I3541">
        <v>214.15880000000001</v>
      </c>
      <c r="J3541">
        <v>-419.31779999999998</v>
      </c>
      <c r="K3541">
        <v>1.108498</v>
      </c>
      <c r="L3541">
        <v>213.5575</v>
      </c>
      <c r="M3541">
        <v>0.99996450000000003</v>
      </c>
      <c r="N3541">
        <v>-7.1971379999999996E-3</v>
      </c>
      <c r="O3541">
        <v>-4.3770229999999999E-3</v>
      </c>
      <c r="P3541">
        <v>0.92541839999999997</v>
      </c>
      <c r="Q3541">
        <v>0.34756930000000003</v>
      </c>
      <c r="R3541">
        <v>0.15098539999999999</v>
      </c>
      <c r="S3541">
        <v>3.3096009999999998</v>
      </c>
      <c r="T3541">
        <v>-0.23202980000000001</v>
      </c>
      <c r="U3541">
        <v>0.12542719999999999</v>
      </c>
      <c r="V3541">
        <v>-0.15431529999999999</v>
      </c>
      <c r="W3541">
        <v>0.35453000000000001</v>
      </c>
      <c r="X3541">
        <v>0.92222300000000001</v>
      </c>
      <c r="Y3541">
        <v>-4.212192E-2</v>
      </c>
      <c r="Z3541">
        <v>1.9009750000000001E-3</v>
      </c>
      <c r="AA3541">
        <v>0.99911070000000002</v>
      </c>
      <c r="AB3541">
        <v>44</v>
      </c>
      <c r="AC3541">
        <v>15.381599999999899</v>
      </c>
      <c r="AD3541">
        <v>-1.108491248779</v>
      </c>
      <c r="AE3541">
        <v>0.60130000000000905</v>
      </c>
      <c r="AF3541">
        <v>-0.66517228986319399</v>
      </c>
      <c r="AG3541">
        <v>-1.108491248779</v>
      </c>
      <c r="AH3541">
        <v>15.2994837983099</v>
      </c>
      <c r="AI3541">
        <v>94.140104201099604</v>
      </c>
      <c r="AJ3541">
        <v>92.4894682294631</v>
      </c>
      <c r="AK3541">
        <v>15.3540031105432</v>
      </c>
      <c r="AL3541">
        <v>69.235358017237502</v>
      </c>
      <c r="AM3541">
        <v>99.4992806363326</v>
      </c>
      <c r="AN3541">
        <v>0.99999999722154498</v>
      </c>
    </row>
    <row r="3542" spans="1:40" x14ac:dyDescent="0.25">
      <c r="A3542" t="str">
        <f>"20190304164159045"</f>
        <v>20190304164159045</v>
      </c>
      <c r="B3542" t="str">
        <f>"1551688919035093"</f>
        <v>1551688919035093</v>
      </c>
      <c r="C3542" t="s">
        <v>40</v>
      </c>
      <c r="D3542">
        <v>4.090427</v>
      </c>
      <c r="E3542">
        <v>0.55606069999999996</v>
      </c>
      <c r="F3542" t="s">
        <v>47</v>
      </c>
      <c r="G3542">
        <v>-404.19560000000001</v>
      </c>
      <c r="H3542" s="1">
        <v>6.6474589999999998E-6</v>
      </c>
      <c r="I3542">
        <v>214.10429999999999</v>
      </c>
      <c r="J3542">
        <v>-419.0557</v>
      </c>
      <c r="K3542">
        <v>1.108506</v>
      </c>
      <c r="L3542">
        <v>213.55619999999999</v>
      </c>
      <c r="M3542">
        <v>0.99996229999999997</v>
      </c>
      <c r="N3542">
        <v>-7.2257119999999996E-3</v>
      </c>
      <c r="O3542">
        <v>-4.781769E-3</v>
      </c>
      <c r="P3542">
        <v>0.92565660000000005</v>
      </c>
      <c r="Q3542">
        <v>0.34727170000000002</v>
      </c>
      <c r="R3542">
        <v>0.1502069</v>
      </c>
      <c r="S3542">
        <v>3.3134769999999998</v>
      </c>
      <c r="T3542">
        <v>-0.24288589999999999</v>
      </c>
      <c r="U3542">
        <v>0.11979679999999999</v>
      </c>
      <c r="V3542">
        <v>-0.153919899999999</v>
      </c>
      <c r="W3542">
        <v>0.35425620000000002</v>
      </c>
      <c r="X3542">
        <v>0.9223943</v>
      </c>
      <c r="Y3542">
        <v>-4.0778660000000001E-2</v>
      </c>
      <c r="Z3542">
        <v>1.9551339999999999E-3</v>
      </c>
      <c r="AA3542">
        <v>0.99916629999999995</v>
      </c>
      <c r="AB3542">
        <v>44</v>
      </c>
      <c r="AC3542">
        <v>14.8600999999999</v>
      </c>
      <c r="AD3542">
        <v>-1.1084993525409901</v>
      </c>
      <c r="AE3542">
        <v>0.54810000000000503</v>
      </c>
      <c r="AF3542">
        <v>-0.61573157186178995</v>
      </c>
      <c r="AG3542">
        <v>-1.1084993525409901</v>
      </c>
      <c r="AH3542">
        <v>14.7752039773007</v>
      </c>
      <c r="AI3542">
        <v>94.286831000458406</v>
      </c>
      <c r="AJ3542">
        <v>92.386323681177004</v>
      </c>
      <c r="AK3542">
        <v>14.829516133509401</v>
      </c>
      <c r="AL3542">
        <v>69.252134896297207</v>
      </c>
      <c r="AM3542">
        <v>99.473654880835895</v>
      </c>
      <c r="AN3542">
        <v>1.00000001776346</v>
      </c>
    </row>
    <row r="3543" spans="1:40" x14ac:dyDescent="0.25">
      <c r="A3543" t="str">
        <f>"20190304164159065"</f>
        <v>20190304164159065</v>
      </c>
      <c r="B3543" t="str">
        <f>"1551688919054614"</f>
        <v>1551688919054614</v>
      </c>
      <c r="C3543" t="s">
        <v>40</v>
      </c>
      <c r="D3543">
        <v>3.9401079999999999</v>
      </c>
      <c r="E3543">
        <v>0.55606069999999996</v>
      </c>
      <c r="F3543" t="s">
        <v>47</v>
      </c>
      <c r="G3543">
        <v>-404.19009999999997</v>
      </c>
      <c r="H3543" s="1">
        <v>6.6543909999999997E-6</v>
      </c>
      <c r="I3543">
        <v>214.08269999999999</v>
      </c>
      <c r="J3543">
        <v>-418.66180000000003</v>
      </c>
      <c r="K3543">
        <v>1.108533</v>
      </c>
      <c r="L3543">
        <v>213.5539</v>
      </c>
      <c r="M3543">
        <v>0.99995919999999905</v>
      </c>
      <c r="N3543">
        <v>-7.278021E-3</v>
      </c>
      <c r="O3543">
        <v>-5.3539390000000003E-3</v>
      </c>
      <c r="P3543">
        <v>0.92616370000000003</v>
      </c>
      <c r="Q3543">
        <v>0.34670079999999998</v>
      </c>
      <c r="R3543">
        <v>0.14838999999999999</v>
      </c>
      <c r="S3543">
        <v>3.3146360000000001</v>
      </c>
      <c r="T3543">
        <v>-0.24716650000000001</v>
      </c>
      <c r="U3543">
        <v>0.11740109999999999</v>
      </c>
      <c r="V3543">
        <v>-0.15265680000000001</v>
      </c>
      <c r="W3543">
        <v>0.35372510000000001</v>
      </c>
      <c r="X3543">
        <v>0.92280790000000001</v>
      </c>
      <c r="Y3543">
        <v>-4.061128E-2</v>
      </c>
      <c r="Z3543">
        <v>2.0193009999999998E-3</v>
      </c>
      <c r="AA3543">
        <v>0.99917299999999998</v>
      </c>
      <c r="AB3543">
        <v>44</v>
      </c>
      <c r="AC3543">
        <v>14.4717</v>
      </c>
      <c r="AD3543">
        <v>-1.108526345609</v>
      </c>
      <c r="AE3543">
        <v>0.52879999999998895</v>
      </c>
      <c r="AF3543">
        <v>-0.60274319175916602</v>
      </c>
      <c r="AG3543">
        <v>-1.108526345609</v>
      </c>
      <c r="AH3543">
        <v>14.3843735961755</v>
      </c>
      <c r="AI3543">
        <v>94.402919140113895</v>
      </c>
      <c r="AJ3543">
        <v>92.3994405959277</v>
      </c>
      <c r="AK3543">
        <v>14.4396098897606</v>
      </c>
      <c r="AL3543">
        <v>69.284670699851006</v>
      </c>
      <c r="AM3543">
        <v>99.393167560695701</v>
      </c>
      <c r="AN3543">
        <v>0.99999998262932899</v>
      </c>
    </row>
    <row r="3544" spans="1:40" x14ac:dyDescent="0.25">
      <c r="A3544" t="str">
        <f>"20190304164159178"</f>
        <v>20190304164159178</v>
      </c>
      <c r="B3544" t="str">
        <f>"1551688919174465"</f>
        <v>1551688919174465</v>
      </c>
      <c r="C3544" t="s">
        <v>40</v>
      </c>
      <c r="D3544">
        <v>4.102684</v>
      </c>
      <c r="E3544">
        <v>0.55110689999999996</v>
      </c>
      <c r="F3544" t="s">
        <v>47</v>
      </c>
      <c r="G3544">
        <v>-403.93819999999999</v>
      </c>
      <c r="H3544" s="1">
        <v>6.7723000000000004E-6</v>
      </c>
      <c r="I3544">
        <v>214.05269999999999</v>
      </c>
      <c r="J3544">
        <v>-416.4479</v>
      </c>
      <c r="K3544">
        <v>1.1089310000000001</v>
      </c>
      <c r="L3544">
        <v>213.5386</v>
      </c>
      <c r="M3544">
        <v>0.99994130000000003</v>
      </c>
      <c r="N3544">
        <v>-7.9182160000000005E-3</v>
      </c>
      <c r="O3544">
        <v>-7.4060879999999999E-3</v>
      </c>
      <c r="P3544">
        <v>0.92808970000000002</v>
      </c>
      <c r="Q3544">
        <v>0.34416629999999998</v>
      </c>
      <c r="R3544">
        <v>0.14212330000000001</v>
      </c>
      <c r="S3544">
        <v>3.3146059999999999</v>
      </c>
      <c r="T3544">
        <v>-0.24955340000000001</v>
      </c>
      <c r="U3544">
        <v>0.1122894</v>
      </c>
      <c r="V3544">
        <v>-0.1485776</v>
      </c>
      <c r="W3544">
        <v>0.35167169999999998</v>
      </c>
      <c r="X3544">
        <v>0.92425740000000001</v>
      </c>
      <c r="Y3544">
        <v>-4.1113619999999997E-2</v>
      </c>
      <c r="Z3544">
        <v>2.206263E-3</v>
      </c>
      <c r="AA3544">
        <v>0.99915209999999999</v>
      </c>
      <c r="AB3544">
        <v>44</v>
      </c>
      <c r="AC3544">
        <v>12.5097</v>
      </c>
      <c r="AD3544">
        <v>-1.1089242277</v>
      </c>
      <c r="AE3544">
        <v>0.51409999999998401</v>
      </c>
      <c r="AF3544">
        <v>-0.60201410797337096</v>
      </c>
      <c r="AG3544">
        <v>-1.1089242277</v>
      </c>
      <c r="AH3544">
        <v>12.408210447233801</v>
      </c>
      <c r="AI3544">
        <v>95.100999029996402</v>
      </c>
      <c r="AJ3544">
        <v>92.777664128937801</v>
      </c>
      <c r="AK3544">
        <v>12.472201907915901</v>
      </c>
      <c r="AL3544">
        <v>69.410402424755304</v>
      </c>
      <c r="AM3544">
        <v>99.132365987784794</v>
      </c>
      <c r="AN3544">
        <v>1.0000000146287</v>
      </c>
    </row>
    <row r="3545" spans="1:40" x14ac:dyDescent="0.25">
      <c r="A3545" t="str">
        <f>"20190304164159199"</f>
        <v>20190304164159199</v>
      </c>
      <c r="B3545" t="str">
        <f>"1551688919194961"</f>
        <v>1551688919194961</v>
      </c>
      <c r="C3545" t="s">
        <v>40</v>
      </c>
      <c r="D3545">
        <v>3.9912730000000001</v>
      </c>
      <c r="E3545">
        <v>0.55563469999999904</v>
      </c>
      <c r="F3545" t="s">
        <v>41</v>
      </c>
      <c r="G3545">
        <v>-415.67829999999998</v>
      </c>
      <c r="H3545">
        <v>0.96659779999999995</v>
      </c>
      <c r="I3545">
        <v>213.57390000000001</v>
      </c>
      <c r="J3545">
        <v>-416.03199999999998</v>
      </c>
      <c r="K3545">
        <v>1.10903</v>
      </c>
      <c r="L3545">
        <v>213.53540000000001</v>
      </c>
      <c r="M3545">
        <v>0.9999382</v>
      </c>
      <c r="N3545">
        <v>-8.1385850000000003E-3</v>
      </c>
      <c r="O3545">
        <v>-7.566344E-3</v>
      </c>
      <c r="P3545">
        <v>0.92808990000000002</v>
      </c>
      <c r="Q3545">
        <v>0.34377249999999998</v>
      </c>
      <c r="R3545">
        <v>0.1430729</v>
      </c>
      <c r="S3545">
        <v>3.4441830000000002</v>
      </c>
      <c r="T3545">
        <v>-0.63711969999999996</v>
      </c>
      <c r="U3545">
        <v>0.16011049999999999</v>
      </c>
      <c r="V3545">
        <v>-0.1497308</v>
      </c>
      <c r="W3545">
        <v>0.35145920000000003</v>
      </c>
      <c r="X3545">
        <v>0.92415210000000003</v>
      </c>
      <c r="Y3545">
        <v>-5.2940590000000003E-2</v>
      </c>
      <c r="Z3545">
        <v>6.3964360000000001E-3</v>
      </c>
      <c r="AA3545">
        <v>0.99857720000000005</v>
      </c>
      <c r="AB3545">
        <v>44</v>
      </c>
      <c r="AC3545">
        <v>0.35370000000000301</v>
      </c>
      <c r="AD3545">
        <v>-0.14243219999999901</v>
      </c>
      <c r="AE3545">
        <v>3.8499999999999E-2</v>
      </c>
      <c r="AF3545">
        <v>-3.5487845087762301E-2</v>
      </c>
      <c r="AG3545">
        <v>-0.14243219999999901</v>
      </c>
      <c r="AH3545">
        <v>0.30458510488192497</v>
      </c>
      <c r="AI3545">
        <v>114.91415485189</v>
      </c>
      <c r="AJ3545">
        <v>96.645686846053195</v>
      </c>
      <c r="AK3545">
        <v>0.33811004844835102</v>
      </c>
      <c r="AL3545">
        <v>69.423407542605105</v>
      </c>
      <c r="AM3545">
        <v>99.203070247863295</v>
      </c>
      <c r="AN3545">
        <v>0.999999992833845</v>
      </c>
    </row>
    <row r="3546" spans="1:40" x14ac:dyDescent="0.25">
      <c r="A3546" t="str">
        <f>"20190304164159213"</f>
        <v>20190304164159213</v>
      </c>
      <c r="B3546" t="str">
        <f>"1551688919204721"</f>
        <v>1551688919204721</v>
      </c>
      <c r="C3546" t="s">
        <v>40</v>
      </c>
      <c r="D3546">
        <v>3.9448889999999999</v>
      </c>
      <c r="E3546">
        <v>0.55661139999999998</v>
      </c>
      <c r="F3546" t="s">
        <v>41</v>
      </c>
      <c r="G3546">
        <v>-415.2654</v>
      </c>
      <c r="H3546">
        <v>1.0064789999999999</v>
      </c>
      <c r="I3546">
        <v>213.56059999999999</v>
      </c>
      <c r="J3546">
        <v>-415.74979999999999</v>
      </c>
      <c r="K3546">
        <v>1.109111</v>
      </c>
      <c r="L3546">
        <v>213.53319999999999</v>
      </c>
      <c r="M3546">
        <v>0.99993620000000005</v>
      </c>
      <c r="N3546">
        <v>-8.3172190000000007E-3</v>
      </c>
      <c r="O3546">
        <v>-7.6408569999999896E-3</v>
      </c>
      <c r="P3546">
        <v>0.92821920000000002</v>
      </c>
      <c r="Q3546">
        <v>0.34330620000000001</v>
      </c>
      <c r="R3546">
        <v>0.143352799999999</v>
      </c>
      <c r="S3546">
        <v>3.3829349999999998</v>
      </c>
      <c r="T3546">
        <v>-0.45259240000000001</v>
      </c>
      <c r="U3546">
        <v>0.11131290000000001</v>
      </c>
      <c r="V3546">
        <v>-0.15011540000000001</v>
      </c>
      <c r="W3546">
        <v>0.35114489999999998</v>
      </c>
      <c r="X3546">
        <v>0.92420919999999895</v>
      </c>
      <c r="Y3546">
        <v>-4.0083479999999998E-2</v>
      </c>
      <c r="Z3546">
        <v>3.790439E-3</v>
      </c>
      <c r="AA3546">
        <v>0.99918910000000005</v>
      </c>
      <c r="AB3546">
        <v>44</v>
      </c>
      <c r="AC3546">
        <v>0.484399999999993</v>
      </c>
      <c r="AD3546">
        <v>-0.102631999999999</v>
      </c>
      <c r="AE3546">
        <v>2.7400000000000001E-2</v>
      </c>
      <c r="AF3546">
        <v>-2.9768490130092501E-2</v>
      </c>
      <c r="AG3546">
        <v>-0.102631999999999</v>
      </c>
      <c r="AH3546">
        <v>0.463438710910132</v>
      </c>
      <c r="AI3546">
        <v>102.46217184995299</v>
      </c>
      <c r="AJ3546">
        <v>93.675283953385204</v>
      </c>
      <c r="AK3546">
        <v>0.47559954709678898</v>
      </c>
      <c r="AL3546">
        <v>69.442641902645505</v>
      </c>
      <c r="AM3546">
        <v>99.225743094079604</v>
      </c>
      <c r="AN3546">
        <v>1.0000000097388999</v>
      </c>
    </row>
    <row r="3547" spans="1:40" x14ac:dyDescent="0.25">
      <c r="A3547" t="str">
        <f>"20190304164159234"</f>
        <v>20190304164159234</v>
      </c>
      <c r="B3547" t="str">
        <f>"1551688919224241"</f>
        <v>1551688919224241</v>
      </c>
      <c r="C3547" t="s">
        <v>40</v>
      </c>
      <c r="D3547">
        <v>4.0166659999999998</v>
      </c>
      <c r="E3547">
        <v>0.55707130000000005</v>
      </c>
      <c r="F3547" t="s">
        <v>41</v>
      </c>
      <c r="G3547">
        <v>-414.8741</v>
      </c>
      <c r="H3547">
        <v>0.99896980000000002</v>
      </c>
      <c r="I3547">
        <v>213.55930000000001</v>
      </c>
      <c r="J3547">
        <v>-415.35480000000001</v>
      </c>
      <c r="K3547">
        <v>1.1092120000000001</v>
      </c>
      <c r="L3547">
        <v>213.53020000000001</v>
      </c>
      <c r="M3547">
        <v>0.99993339999999997</v>
      </c>
      <c r="N3547">
        <v>-8.597103E-3</v>
      </c>
      <c r="O3547">
        <v>-7.7153589999999998E-3</v>
      </c>
      <c r="P3547">
        <v>0.92839850000000002</v>
      </c>
      <c r="Q3547">
        <v>0.34242359999999999</v>
      </c>
      <c r="R3547">
        <v>0.1443004</v>
      </c>
      <c r="S3547">
        <v>3.3731990000000001</v>
      </c>
      <c r="T3547">
        <v>-0.4243884</v>
      </c>
      <c r="U3547">
        <v>0.10194400000000001</v>
      </c>
      <c r="V3547">
        <v>-0.151177799999999</v>
      </c>
      <c r="W3547">
        <v>0.35050409999999999</v>
      </c>
      <c r="X3547">
        <v>0.92427930000000003</v>
      </c>
      <c r="Y3547">
        <v>-3.7550279999999998E-2</v>
      </c>
      <c r="Z3547">
        <v>3.4150610000000001E-3</v>
      </c>
      <c r="AA3547">
        <v>0.99928890000000004</v>
      </c>
      <c r="AB3547">
        <v>44</v>
      </c>
      <c r="AC3547">
        <v>0.48070000000001201</v>
      </c>
      <c r="AD3547">
        <v>-0.1102422</v>
      </c>
      <c r="AE3547">
        <v>2.9099999999999598E-2</v>
      </c>
      <c r="AF3547">
        <v>-3.11744011926583E-2</v>
      </c>
      <c r="AG3547">
        <v>-0.1102422</v>
      </c>
      <c r="AH3547">
        <v>0.456537103630001</v>
      </c>
      <c r="AI3547">
        <v>103.54522716755299</v>
      </c>
      <c r="AJ3547">
        <v>93.906348881196607</v>
      </c>
      <c r="AK3547">
        <v>0.47069237612418502</v>
      </c>
      <c r="AL3547">
        <v>69.481849596564103</v>
      </c>
      <c r="AM3547">
        <v>99.289208999726696</v>
      </c>
      <c r="AN3547">
        <v>1.0000000378690601</v>
      </c>
    </row>
    <row r="3548" spans="1:40" x14ac:dyDescent="0.25">
      <c r="A3548" t="str">
        <f>"20190304164159255"</f>
        <v>20190304164159255</v>
      </c>
      <c r="B3548" t="str">
        <f>"1551688919244736"</f>
        <v>1551688919244736</v>
      </c>
      <c r="C3548" t="s">
        <v>40</v>
      </c>
      <c r="D3548">
        <v>4.0441949999999904</v>
      </c>
      <c r="E3548">
        <v>0.55698449999999999</v>
      </c>
      <c r="F3548" t="s">
        <v>41</v>
      </c>
      <c r="G3548">
        <v>-414.47489999999999</v>
      </c>
      <c r="H3548">
        <v>1.0082139999999999</v>
      </c>
      <c r="I3548">
        <v>213.5558</v>
      </c>
      <c r="J3548">
        <v>-414.93040000000002</v>
      </c>
      <c r="K3548">
        <v>1.1093120000000001</v>
      </c>
      <c r="L3548">
        <v>213.52690000000001</v>
      </c>
      <c r="M3548">
        <v>0.99993010000000004</v>
      </c>
      <c r="N3548">
        <v>-8.9309569999999998E-3</v>
      </c>
      <c r="O3548">
        <v>-7.7615610000000002E-3</v>
      </c>
      <c r="P3548">
        <v>0.92856930000000004</v>
      </c>
      <c r="Q3548">
        <v>0.34161540000000001</v>
      </c>
      <c r="R3548">
        <v>0.14511470000000001</v>
      </c>
      <c r="S3548">
        <v>3.3582459999999998</v>
      </c>
      <c r="T3548">
        <v>-0.38554290000000002</v>
      </c>
      <c r="U3548">
        <v>9.8495479999999996E-2</v>
      </c>
      <c r="V3548">
        <v>-0.15207770000000001</v>
      </c>
      <c r="W3548">
        <v>0.34998869999999999</v>
      </c>
      <c r="X3548">
        <v>0.92432700000000001</v>
      </c>
      <c r="Y3548">
        <v>-3.6770919999999999E-2</v>
      </c>
      <c r="Z3548">
        <v>3.087083E-3</v>
      </c>
      <c r="AA3548">
        <v>0.99931899999999996</v>
      </c>
      <c r="AB3548">
        <v>44</v>
      </c>
      <c r="AC3548">
        <v>0.45550000000002899</v>
      </c>
      <c r="AD3548">
        <v>-0.10109799999999999</v>
      </c>
      <c r="AE3548">
        <v>2.8899999999993001E-2</v>
      </c>
      <c r="AF3548">
        <v>-3.0917712110036102E-2</v>
      </c>
      <c r="AG3548">
        <v>-0.10109799999999999</v>
      </c>
      <c r="AH3548">
        <v>0.43396964105059799</v>
      </c>
      <c r="AI3548">
        <v>103.08177579230301</v>
      </c>
      <c r="AJ3548">
        <v>94.0750924010717</v>
      </c>
      <c r="AK3548">
        <v>0.446661348092382</v>
      </c>
      <c r="AL3548">
        <v>69.513377325268095</v>
      </c>
      <c r="AM3548">
        <v>99.3430578932918</v>
      </c>
      <c r="AN3548">
        <v>1.00000005994698</v>
      </c>
    </row>
    <row r="3549" spans="1:40" x14ac:dyDescent="0.25">
      <c r="A3549" t="str">
        <f>"20190304164159276"</f>
        <v>20190304164159276</v>
      </c>
      <c r="B3549" t="str">
        <f>"1551688919264257"</f>
        <v>1551688919264257</v>
      </c>
      <c r="C3549" t="s">
        <v>40</v>
      </c>
      <c r="D3549">
        <v>4.0245290000000002</v>
      </c>
      <c r="E3549">
        <v>0.55727660000000001</v>
      </c>
      <c r="F3549" t="s">
        <v>41</v>
      </c>
      <c r="G3549">
        <v>-414.07580000000002</v>
      </c>
      <c r="H3549">
        <v>1.0163740000000001</v>
      </c>
      <c r="I3549">
        <v>213.5523</v>
      </c>
      <c r="J3549">
        <v>-414.49869999999999</v>
      </c>
      <c r="K3549">
        <v>1.1094170000000001</v>
      </c>
      <c r="L3549">
        <v>213.52350000000001</v>
      </c>
      <c r="M3549">
        <v>0.9999268</v>
      </c>
      <c r="N3549">
        <v>-9.2943120000000008E-3</v>
      </c>
      <c r="O3549">
        <v>-7.768601E-3</v>
      </c>
      <c r="P3549">
        <v>0.92875759999999996</v>
      </c>
      <c r="Q3549">
        <v>0.34071580000000001</v>
      </c>
      <c r="R3549">
        <v>0.14602129999999999</v>
      </c>
      <c r="S3549">
        <v>3.349091</v>
      </c>
      <c r="T3549">
        <v>-0.36431049999999998</v>
      </c>
      <c r="U3549">
        <v>0.100647</v>
      </c>
      <c r="V3549">
        <v>-0.15303229999999901</v>
      </c>
      <c r="W3549">
        <v>0.3494102</v>
      </c>
      <c r="X3549">
        <v>0.92438819999999999</v>
      </c>
      <c r="Y3549">
        <v>-3.7524500000000002E-2</v>
      </c>
      <c r="Z3549">
        <v>2.979874E-3</v>
      </c>
      <c r="AA3549">
        <v>0.99929120000000005</v>
      </c>
      <c r="AB3549">
        <v>44</v>
      </c>
      <c r="AC3549">
        <v>0.42289999999997002</v>
      </c>
      <c r="AD3549">
        <v>-9.3043000000000195E-2</v>
      </c>
      <c r="AE3549">
        <v>2.8799999999989698E-2</v>
      </c>
      <c r="AF3549">
        <v>-3.0609780873579101E-2</v>
      </c>
      <c r="AG3549">
        <v>-9.3043000000000195E-2</v>
      </c>
      <c r="AH3549">
        <v>0.403234929087606</v>
      </c>
      <c r="AI3549">
        <v>102.95708873862399</v>
      </c>
      <c r="AJ3549">
        <v>94.341028027559005</v>
      </c>
      <c r="AK3549">
        <v>0.41496068075230302</v>
      </c>
      <c r="AL3549">
        <v>69.548754550954797</v>
      </c>
      <c r="AM3549">
        <v>99.400049822449105</v>
      </c>
      <c r="AN3549">
        <v>0.99999995850328405</v>
      </c>
    </row>
    <row r="3550" spans="1:40" x14ac:dyDescent="0.25">
      <c r="A3550" t="str">
        <f>"20190304164159290"</f>
        <v>20190304164159290</v>
      </c>
      <c r="B3550" t="str">
        <f>"1551688919284754"</f>
        <v>1551688919284754</v>
      </c>
      <c r="C3550" t="s">
        <v>40</v>
      </c>
      <c r="D3550">
        <v>3.9352279999999999</v>
      </c>
      <c r="E3550">
        <v>0.55693570000000003</v>
      </c>
      <c r="F3550" t="s">
        <v>41</v>
      </c>
      <c r="G3550">
        <v>-413.67469999999997</v>
      </c>
      <c r="H3550">
        <v>1.0242770000000001</v>
      </c>
      <c r="I3550">
        <v>213.54849999999999</v>
      </c>
      <c r="J3550">
        <v>-414.22919999999999</v>
      </c>
      <c r="K3550">
        <v>1.109486</v>
      </c>
      <c r="L3550">
        <v>213.5214</v>
      </c>
      <c r="M3550">
        <v>0.9999247</v>
      </c>
      <c r="N3550">
        <v>-9.5304050000000005E-3</v>
      </c>
      <c r="O3550">
        <v>-7.7475540000000002E-3</v>
      </c>
      <c r="P3550">
        <v>0.92888780000000004</v>
      </c>
      <c r="Q3550">
        <v>0.34007690000000002</v>
      </c>
      <c r="R3550">
        <v>0.14668100000000001</v>
      </c>
      <c r="S3550">
        <v>3.3407900000000001</v>
      </c>
      <c r="T3550">
        <v>-0.34532180000000001</v>
      </c>
      <c r="U3550">
        <v>0.10214230000000001</v>
      </c>
      <c r="V3550">
        <v>-0.153701799999999</v>
      </c>
      <c r="W3550">
        <v>0.34897889999999998</v>
      </c>
      <c r="X3550">
        <v>0.92444009999999999</v>
      </c>
      <c r="Y3550">
        <v>-3.8048079999999998E-2</v>
      </c>
      <c r="Z3550">
        <v>2.867517E-3</v>
      </c>
      <c r="AA3550">
        <v>0.99927180000000004</v>
      </c>
      <c r="AB3550">
        <v>44</v>
      </c>
      <c r="AC3550">
        <v>0.55450000000001798</v>
      </c>
      <c r="AD3550">
        <v>-8.5208999999999799E-2</v>
      </c>
      <c r="AE3550">
        <v>2.7099999999990101E-2</v>
      </c>
      <c r="AF3550">
        <v>-3.0672820639527601E-2</v>
      </c>
      <c r="AG3550">
        <v>-8.5208999999999799E-2</v>
      </c>
      <c r="AH3550">
        <v>0.54151653785953602</v>
      </c>
      <c r="AI3550">
        <v>98.928233902962404</v>
      </c>
      <c r="AJ3550">
        <v>93.241908916049496</v>
      </c>
      <c r="AK3550">
        <v>0.54903693535349996</v>
      </c>
      <c r="AL3550">
        <v>69.575127357984897</v>
      </c>
      <c r="AM3550">
        <v>99.439914874256203</v>
      </c>
      <c r="AN3550">
        <v>1.00000000722823</v>
      </c>
    </row>
    <row r="3551" spans="1:40" x14ac:dyDescent="0.25">
      <c r="A3551" t="str">
        <f>"20190304164159312"</f>
        <v>20190304164159312</v>
      </c>
      <c r="B3551" t="str">
        <f>"1551688919304274"</f>
        <v>1551688919304274</v>
      </c>
      <c r="C3551" t="s">
        <v>40</v>
      </c>
      <c r="D3551">
        <v>4.0165769999999998</v>
      </c>
      <c r="E3551">
        <v>0.55684999999999996</v>
      </c>
      <c r="F3551" t="s">
        <v>41</v>
      </c>
      <c r="G3551">
        <v>-413.28500000000003</v>
      </c>
      <c r="H3551">
        <v>1.0162819999999999</v>
      </c>
      <c r="I3551">
        <v>213.5513</v>
      </c>
      <c r="J3551">
        <v>-413.81229999999999</v>
      </c>
      <c r="K3551">
        <v>1.1095919999999999</v>
      </c>
      <c r="L3551">
        <v>213.5181</v>
      </c>
      <c r="M3551">
        <v>0.99992159999999997</v>
      </c>
      <c r="N3551">
        <v>-9.9050969999999999E-3</v>
      </c>
      <c r="O3551">
        <v>-7.6768100000000001E-3</v>
      </c>
      <c r="P3551">
        <v>0.92881349999999996</v>
      </c>
      <c r="Q3551">
        <v>0.3396631</v>
      </c>
      <c r="R3551">
        <v>0.1481036</v>
      </c>
      <c r="S3551">
        <v>3.3334350000000001</v>
      </c>
      <c r="T3551">
        <v>-0.32912619999999998</v>
      </c>
      <c r="U3551">
        <v>0.105957</v>
      </c>
      <c r="V3551">
        <v>-0.15510940000000001</v>
      </c>
      <c r="W3551">
        <v>0.34888819999999998</v>
      </c>
      <c r="X3551">
        <v>0.92423920000000004</v>
      </c>
      <c r="Y3551">
        <v>-3.9202639999999997E-2</v>
      </c>
      <c r="Z3551">
        <v>2.8049839999999999E-3</v>
      </c>
      <c r="AA3551">
        <v>0.99922730000000004</v>
      </c>
      <c r="AB3551">
        <v>44</v>
      </c>
      <c r="AC3551">
        <v>0.52729999999996802</v>
      </c>
      <c r="AD3551">
        <v>-9.3310000000000004E-2</v>
      </c>
      <c r="AE3551">
        <v>3.3199999999993603E-2</v>
      </c>
      <c r="AF3551">
        <v>-3.6120581925379001E-2</v>
      </c>
      <c r="AG3551">
        <v>-9.3310000000000004E-2</v>
      </c>
      <c r="AH3551">
        <v>0.51108846388527496</v>
      </c>
      <c r="AI3551">
        <v>100.32141218989101</v>
      </c>
      <c r="AJ3551">
        <v>94.042590794667404</v>
      </c>
      <c r="AK3551">
        <v>0.52079062055228798</v>
      </c>
      <c r="AL3551">
        <v>69.580672474080302</v>
      </c>
      <c r="AM3551">
        <v>99.526821014153597</v>
      </c>
      <c r="AN3551">
        <v>1.0000000004421199</v>
      </c>
    </row>
    <row r="3552" spans="1:40" x14ac:dyDescent="0.25">
      <c r="A3552" t="str">
        <f>"20190304164159334"</f>
        <v>20190304164159334</v>
      </c>
      <c r="B3552" t="str">
        <f>"1551688919324770"</f>
        <v>1551688919324770</v>
      </c>
      <c r="C3552" t="s">
        <v>40</v>
      </c>
      <c r="D3552">
        <v>3.956207</v>
      </c>
      <c r="E3552">
        <v>0.55671879999999996</v>
      </c>
      <c r="F3552" t="s">
        <v>41</v>
      </c>
      <c r="G3552">
        <v>-412.88249999999999</v>
      </c>
      <c r="H3552">
        <v>1.022807</v>
      </c>
      <c r="I3552">
        <v>213.5488</v>
      </c>
      <c r="J3552">
        <v>-413.36739999999998</v>
      </c>
      <c r="K3552">
        <v>1.1097269999999999</v>
      </c>
      <c r="L3552">
        <v>213.5147</v>
      </c>
      <c r="M3552">
        <v>0.99991850000000004</v>
      </c>
      <c r="N3552">
        <v>-1.0309520000000001E-2</v>
      </c>
      <c r="O3552">
        <v>-7.542913E-3</v>
      </c>
      <c r="P3552">
        <v>0.9288322</v>
      </c>
      <c r="Q3552">
        <v>0.33945890000000001</v>
      </c>
      <c r="R3552">
        <v>0.1484539</v>
      </c>
      <c r="S3552">
        <v>3.3259280000000002</v>
      </c>
      <c r="T3552">
        <v>-0.31052410000000003</v>
      </c>
      <c r="U3552">
        <v>0.1099701</v>
      </c>
      <c r="V3552">
        <v>-0.15540580000000001</v>
      </c>
      <c r="W3552">
        <v>0.34902719999999998</v>
      </c>
      <c r="X3552">
        <v>0.92413690000000004</v>
      </c>
      <c r="Y3552">
        <v>-4.0363910000000003E-2</v>
      </c>
      <c r="Z3552">
        <v>2.713259E-3</v>
      </c>
      <c r="AA3552">
        <v>0.9991814</v>
      </c>
      <c r="AB3552">
        <v>44</v>
      </c>
      <c r="AC3552">
        <v>0.48489999999998101</v>
      </c>
      <c r="AD3552">
        <v>-8.6920000000000094E-2</v>
      </c>
      <c r="AE3552">
        <v>3.40999999999951E-2</v>
      </c>
      <c r="AF3552">
        <v>-3.6586962640424603E-2</v>
      </c>
      <c r="AG3552">
        <v>-8.6920000000000094E-2</v>
      </c>
      <c r="AH3552">
        <v>0.46961370018738502</v>
      </c>
      <c r="AI3552">
        <v>100.45512937496299</v>
      </c>
      <c r="AJ3552">
        <v>94.454837292422695</v>
      </c>
      <c r="AK3552">
        <v>0.47898926881396697</v>
      </c>
      <c r="AL3552">
        <v>69.572173695279204</v>
      </c>
      <c r="AM3552">
        <v>99.545728412078304</v>
      </c>
      <c r="AN3552">
        <v>0.99999997947754404</v>
      </c>
    </row>
    <row r="3553" spans="1:40" x14ac:dyDescent="0.25">
      <c r="A3553" t="str">
        <f>"20190304164159358"</f>
        <v>20190304164159358</v>
      </c>
      <c r="B3553" t="str">
        <f>"1551688919344289"</f>
        <v>1551688919344289</v>
      </c>
      <c r="C3553" t="s">
        <v>40</v>
      </c>
      <c r="D3553">
        <v>3.9685920000000001</v>
      </c>
      <c r="E3553">
        <v>0.5565833</v>
      </c>
      <c r="F3553" t="s">
        <v>47</v>
      </c>
      <c r="G3553">
        <v>-400.8886</v>
      </c>
      <c r="H3553" s="1">
        <v>8.1488999999999992E-6</v>
      </c>
      <c r="I3553">
        <v>213.93539999999999</v>
      </c>
      <c r="J3553">
        <v>-412.90699999999998</v>
      </c>
      <c r="K3553">
        <v>1.1098809999999999</v>
      </c>
      <c r="L3553">
        <v>213.51140000000001</v>
      </c>
      <c r="M3553">
        <v>0.99991589999999997</v>
      </c>
      <c r="N3553">
        <v>-1.0715199999999999E-2</v>
      </c>
      <c r="O3553">
        <v>-7.3265269999999898E-3</v>
      </c>
      <c r="P3553">
        <v>0.92887810000000004</v>
      </c>
      <c r="Q3553">
        <v>0.3396864</v>
      </c>
      <c r="R3553">
        <v>0.1476442</v>
      </c>
      <c r="S3553">
        <v>3.3198240000000001</v>
      </c>
      <c r="T3553">
        <v>-0.29522500000000002</v>
      </c>
      <c r="U3553">
        <v>0.1119232</v>
      </c>
      <c r="V3553">
        <v>-0.1544826</v>
      </c>
      <c r="W3553">
        <v>0.34959200000000001</v>
      </c>
      <c r="X3553">
        <v>0.92407819999999996</v>
      </c>
      <c r="Y3553">
        <v>-4.0813620000000002E-2</v>
      </c>
      <c r="Z3553">
        <v>2.6015980000000001E-3</v>
      </c>
      <c r="AA3553">
        <v>0.99916340000000003</v>
      </c>
      <c r="AB3553">
        <v>44</v>
      </c>
      <c r="AC3553">
        <v>12.0183999999999</v>
      </c>
      <c r="AD3553">
        <v>-1.1098728511</v>
      </c>
      <c r="AE3553">
        <v>0.42399999999997801</v>
      </c>
      <c r="AF3553">
        <v>-0.50772226063640202</v>
      </c>
      <c r="AG3553">
        <v>-1.1098728511</v>
      </c>
      <c r="AH3553">
        <v>11.9134973689373</v>
      </c>
      <c r="AI3553">
        <v>95.317568647974994</v>
      </c>
      <c r="AJ3553">
        <v>92.440320357625296</v>
      </c>
      <c r="AK3553">
        <v>11.975851502053199</v>
      </c>
      <c r="AL3553">
        <v>69.537637522330598</v>
      </c>
      <c r="AM3553">
        <v>99.490647612716501</v>
      </c>
      <c r="AN3553">
        <v>0.99999997994099898</v>
      </c>
    </row>
    <row r="3554" spans="1:40" x14ac:dyDescent="0.25">
      <c r="A3554" t="str">
        <f>"20190304164159390"</f>
        <v>20190304164159390</v>
      </c>
      <c r="B3554" t="str">
        <f>"1551688919384426"</f>
        <v>1551688919384426</v>
      </c>
      <c r="C3554" t="s">
        <v>40</v>
      </c>
      <c r="D3554">
        <v>4.0247400000000004</v>
      </c>
      <c r="E3554">
        <v>0.55654459999999994</v>
      </c>
      <c r="F3554" t="s">
        <v>47</v>
      </c>
      <c r="G3554">
        <v>-400.0797</v>
      </c>
      <c r="H3554" s="1">
        <v>8.5048319999999995E-6</v>
      </c>
      <c r="I3554">
        <v>213.94880000000001</v>
      </c>
      <c r="J3554">
        <v>-412.28050000000002</v>
      </c>
      <c r="K3554">
        <v>1.110096</v>
      </c>
      <c r="L3554">
        <v>213.50720000000001</v>
      </c>
      <c r="M3554">
        <v>0.99991390000000002</v>
      </c>
      <c r="N3554">
        <v>-1.1215019999999999E-2</v>
      </c>
      <c r="O3554">
        <v>-6.8371919999999997E-3</v>
      </c>
      <c r="P3554">
        <v>0.92950860000000002</v>
      </c>
      <c r="Q3554">
        <v>0.338754099999999</v>
      </c>
      <c r="R3554">
        <v>0.14580799999999999</v>
      </c>
      <c r="S3554">
        <v>3.3166809999999902</v>
      </c>
      <c r="T3554">
        <v>-0.28697430000000002</v>
      </c>
      <c r="U3554">
        <v>0.1131134</v>
      </c>
      <c r="V3554">
        <v>-0.15233849999999999</v>
      </c>
      <c r="W3554">
        <v>0.3490684</v>
      </c>
      <c r="X3554">
        <v>0.92463200000000001</v>
      </c>
      <c r="Y3554">
        <v>-4.0726310000000002E-2</v>
      </c>
      <c r="Z3554">
        <v>2.500838E-3</v>
      </c>
      <c r="AA3554">
        <v>0.99916719999999903</v>
      </c>
      <c r="AB3554">
        <v>44</v>
      </c>
      <c r="AC3554">
        <v>12.200799999999999</v>
      </c>
      <c r="AD3554">
        <v>-1.110087495168</v>
      </c>
      <c r="AE3554">
        <v>0.441599999999993</v>
      </c>
      <c r="AF3554">
        <v>-0.52070920757540395</v>
      </c>
      <c r="AG3554">
        <v>-1.110087495168</v>
      </c>
      <c r="AH3554">
        <v>12.097480514312499</v>
      </c>
      <c r="AI3554">
        <v>95.238062633564297</v>
      </c>
      <c r="AJ3554">
        <v>92.4646483868584</v>
      </c>
      <c r="AK3554">
        <v>12.159459984717801</v>
      </c>
      <c r="AL3554">
        <v>69.569656200387499</v>
      </c>
      <c r="AM3554">
        <v>99.355764672485194</v>
      </c>
      <c r="AN3554">
        <v>1.0000000509424001</v>
      </c>
    </row>
    <row r="3555" spans="1:40" x14ac:dyDescent="0.25">
      <c r="A3555" t="str">
        <f>"20190304164159412"</f>
        <v>20190304164159412</v>
      </c>
      <c r="B3555" t="str">
        <f>"1551688919404922"</f>
        <v>1551688919404922</v>
      </c>
      <c r="C3555" t="s">
        <v>40</v>
      </c>
      <c r="D3555">
        <v>4.0614710000000001</v>
      </c>
      <c r="E3555">
        <v>0.55646010000000001</v>
      </c>
      <c r="F3555" t="s">
        <v>46</v>
      </c>
      <c r="G3555">
        <v>-399.04599999999999</v>
      </c>
      <c r="H3555" s="1">
        <v>3.2770140000000001E-6</v>
      </c>
      <c r="I3555">
        <v>213.92740000000001</v>
      </c>
      <c r="J3555">
        <v>-411.82780000000002</v>
      </c>
      <c r="K3555">
        <v>1.11025</v>
      </c>
      <c r="L3555">
        <v>213.50450000000001</v>
      </c>
      <c r="M3555">
        <v>0.99991350000000001</v>
      </c>
      <c r="N3555">
        <v>-1.153385E-2</v>
      </c>
      <c r="O3555">
        <v>-6.3277979999999999E-3</v>
      </c>
      <c r="P3555">
        <v>0.92975359999999996</v>
      </c>
      <c r="Q3555">
        <v>0.33853139999999998</v>
      </c>
      <c r="R3555">
        <v>0.144758</v>
      </c>
      <c r="S3555">
        <v>3.3122859999999998</v>
      </c>
      <c r="T3555">
        <v>-0.27783020000000003</v>
      </c>
      <c r="U3555">
        <v>0.1051636</v>
      </c>
      <c r="V3555">
        <v>-0.15092929999999999</v>
      </c>
      <c r="W3555">
        <v>0.34909610000000002</v>
      </c>
      <c r="X3555">
        <v>0.92485260000000002</v>
      </c>
      <c r="Y3555">
        <v>-3.7890149999999997E-2</v>
      </c>
      <c r="Z3555">
        <v>2.2617710000000001E-3</v>
      </c>
      <c r="AA3555">
        <v>0.99927940000000004</v>
      </c>
      <c r="AB3555">
        <v>44</v>
      </c>
      <c r="AC3555">
        <v>12.7818</v>
      </c>
      <c r="AD3555">
        <v>-1.110246722986</v>
      </c>
      <c r="AE3555">
        <v>0.422899999999998</v>
      </c>
      <c r="AF3555">
        <v>-0.50000915109759803</v>
      </c>
      <c r="AG3555">
        <v>-1.110246722986</v>
      </c>
      <c r="AH3555">
        <v>12.6832781123577</v>
      </c>
      <c r="AI3555">
        <v>94.9988430470206</v>
      </c>
      <c r="AJ3555">
        <v>92.257585644441207</v>
      </c>
      <c r="AK3555">
        <v>12.741593330996499</v>
      </c>
      <c r="AL3555">
        <v>69.567962249184305</v>
      </c>
      <c r="AM3555">
        <v>99.268556177885699</v>
      </c>
      <c r="AN3555">
        <v>1.0000000361802199</v>
      </c>
    </row>
    <row r="3556" spans="1:40" x14ac:dyDescent="0.25">
      <c r="A3556" t="str">
        <f>"20190304164159434"</f>
        <v>20190304164159434</v>
      </c>
      <c r="B3556" t="str">
        <f>"1551688919424441"</f>
        <v>1551688919424441</v>
      </c>
      <c r="C3556" t="s">
        <v>40</v>
      </c>
      <c r="D3556">
        <v>4.0240580000000001</v>
      </c>
      <c r="E3556">
        <v>0.55645929999999999</v>
      </c>
      <c r="F3556" t="s">
        <v>46</v>
      </c>
      <c r="G3556">
        <v>-398.38249999999999</v>
      </c>
      <c r="H3556" s="1">
        <v>2.923974E-6</v>
      </c>
      <c r="I3556">
        <v>213.90719999999999</v>
      </c>
      <c r="J3556">
        <v>-411.40089999999998</v>
      </c>
      <c r="K3556">
        <v>1.1103909999999999</v>
      </c>
      <c r="L3556">
        <v>213.50229999999999</v>
      </c>
      <c r="M3556">
        <v>0.99991410000000003</v>
      </c>
      <c r="N3556">
        <v>-1.1800440000000001E-2</v>
      </c>
      <c r="O3556">
        <v>-5.7237140000000004E-3</v>
      </c>
      <c r="P3556">
        <v>0.93005910000000003</v>
      </c>
      <c r="Q3556">
        <v>0.33822459999999999</v>
      </c>
      <c r="R3556">
        <v>0.1435071</v>
      </c>
      <c r="S3556">
        <v>3.3107600000000001</v>
      </c>
      <c r="T3556">
        <v>-0.27338770000000001</v>
      </c>
      <c r="U3556">
        <v>9.9151610000000001E-2</v>
      </c>
      <c r="V3556">
        <v>-0.1492243</v>
      </c>
      <c r="W3556">
        <v>0.34899730000000001</v>
      </c>
      <c r="X3556">
        <v>0.9251665</v>
      </c>
      <c r="Y3556">
        <v>-3.5503560000000003E-2</v>
      </c>
      <c r="Z3556">
        <v>2.0772939999999999E-3</v>
      </c>
      <c r="AA3556">
        <v>0.99936740000000002</v>
      </c>
      <c r="AB3556">
        <v>44</v>
      </c>
      <c r="AC3556">
        <v>13.0183999999999</v>
      </c>
      <c r="AD3556">
        <v>-1.1103880760260001</v>
      </c>
      <c r="AE3556">
        <v>0.40489999999999698</v>
      </c>
      <c r="AF3556">
        <v>-0.47595292323995603</v>
      </c>
      <c r="AG3556">
        <v>-1.1103880760260001</v>
      </c>
      <c r="AH3556">
        <v>12.9219523803987</v>
      </c>
      <c r="AI3556">
        <v>94.908070431822296</v>
      </c>
      <c r="AJ3556">
        <v>92.109415889560097</v>
      </c>
      <c r="AK3556">
        <v>12.978302900834599</v>
      </c>
      <c r="AL3556">
        <v>69.574002869616706</v>
      </c>
      <c r="AM3556">
        <v>99.162582254842903</v>
      </c>
      <c r="AN3556">
        <v>1.00000002992001</v>
      </c>
    </row>
    <row r="3557" spans="1:40" x14ac:dyDescent="0.25">
      <c r="A3557" t="str">
        <f>"20190304164159455"</f>
        <v>20190304164159455</v>
      </c>
      <c r="B3557" t="str">
        <f>"1551688919444937"</f>
        <v>1551688919444937</v>
      </c>
      <c r="C3557" t="s">
        <v>40</v>
      </c>
      <c r="D3557">
        <v>4.0379719999999999</v>
      </c>
      <c r="E3557">
        <v>0.55641379999999996</v>
      </c>
      <c r="F3557" t="s">
        <v>46</v>
      </c>
      <c r="G3557">
        <v>-397.81220000000002</v>
      </c>
      <c r="H3557" s="1">
        <v>2.6204809999999998E-6</v>
      </c>
      <c r="I3557">
        <v>213.88460000000001</v>
      </c>
      <c r="J3557">
        <v>-410.98360000000002</v>
      </c>
      <c r="K3557">
        <v>1.1105240000000001</v>
      </c>
      <c r="L3557">
        <v>213.50059999999999</v>
      </c>
      <c r="M3557">
        <v>0.9999152</v>
      </c>
      <c r="N3557">
        <v>-1.202716E-2</v>
      </c>
      <c r="O3557">
        <v>-5.0099250000000001E-3</v>
      </c>
      <c r="P3557">
        <v>0.93020590000000003</v>
      </c>
      <c r="Q3557">
        <v>0.33823330000000001</v>
      </c>
      <c r="R3557">
        <v>0.1425322</v>
      </c>
      <c r="S3557">
        <v>3.3096009999999998</v>
      </c>
      <c r="T3557">
        <v>-0.27044049999999997</v>
      </c>
      <c r="U3557">
        <v>9.3093869999999995E-2</v>
      </c>
      <c r="V3557">
        <v>-0.14768879999999901</v>
      </c>
      <c r="W3557">
        <v>0.34917789999999999</v>
      </c>
      <c r="X3557">
        <v>0.92534470000000002</v>
      </c>
      <c r="Y3557">
        <v>-3.2987019999999999E-2</v>
      </c>
      <c r="Z3557">
        <v>1.8925039999999999E-3</v>
      </c>
      <c r="AA3557">
        <v>0.99945399999999995</v>
      </c>
      <c r="AB3557">
        <v>44</v>
      </c>
      <c r="AC3557">
        <v>13.1714</v>
      </c>
      <c r="AD3557">
        <v>-1.1105213795190001</v>
      </c>
      <c r="AE3557">
        <v>0.384000000000014</v>
      </c>
      <c r="AF3557">
        <v>-0.44681410581532899</v>
      </c>
      <c r="AG3557">
        <v>-1.1105213795190001</v>
      </c>
      <c r="AH3557">
        <v>13.076433275387901</v>
      </c>
      <c r="AI3557">
        <v>94.851401744331298</v>
      </c>
      <c r="AJ3557">
        <v>91.957002006630205</v>
      </c>
      <c r="AK3557">
        <v>13.1311083989584</v>
      </c>
      <c r="AL3557">
        <v>69.562959958175099</v>
      </c>
      <c r="AM3557">
        <v>99.068157871944905</v>
      </c>
      <c r="AN3557">
        <v>1.0000000006559699</v>
      </c>
    </row>
    <row r="3558" spans="1:40" x14ac:dyDescent="0.25">
      <c r="A3558" t="str">
        <f>"20190304164159479"</f>
        <v>20190304164159479</v>
      </c>
      <c r="B3558" t="str">
        <f>"1551688919474218"</f>
        <v>1551688919474218</v>
      </c>
      <c r="C3558" t="s">
        <v>40</v>
      </c>
      <c r="D3558">
        <v>4.084708</v>
      </c>
      <c r="E3558">
        <v>0.55633089999999996</v>
      </c>
      <c r="F3558" t="s">
        <v>46</v>
      </c>
      <c r="G3558">
        <v>-397.21969999999999</v>
      </c>
      <c r="H3558" s="1">
        <v>2.3051670000000001E-6</v>
      </c>
      <c r="I3558">
        <v>213.8723</v>
      </c>
      <c r="J3558">
        <v>-410.53019999999998</v>
      </c>
      <c r="K3558">
        <v>1.11066</v>
      </c>
      <c r="L3558">
        <v>213.4991</v>
      </c>
      <c r="M3558">
        <v>0.9999169</v>
      </c>
      <c r="N3558">
        <v>-1.223555E-2</v>
      </c>
      <c r="O3558">
        <v>-4.1102409999999997E-3</v>
      </c>
      <c r="P3558">
        <v>0.93024700000000005</v>
      </c>
      <c r="Q3558">
        <v>0.33812340000000002</v>
      </c>
      <c r="R3558">
        <v>0.14252500000000001</v>
      </c>
      <c r="S3558">
        <v>3.3084720000000001</v>
      </c>
      <c r="T3558">
        <v>-0.2669395</v>
      </c>
      <c r="U3558">
        <v>8.9340210000000003E-2</v>
      </c>
      <c r="V3558">
        <v>-0.14695169999999999</v>
      </c>
      <c r="W3558">
        <v>0.34921940000000001</v>
      </c>
      <c r="X3558">
        <v>0.9254464</v>
      </c>
      <c r="Y3558">
        <v>-3.0976940000000001E-2</v>
      </c>
      <c r="Z3558">
        <v>1.718139E-3</v>
      </c>
      <c r="AA3558">
        <v>0.99951860000000003</v>
      </c>
      <c r="AB3558">
        <v>44</v>
      </c>
      <c r="AC3558">
        <v>13.3104999999999</v>
      </c>
      <c r="AD3558">
        <v>-1.110657694833</v>
      </c>
      <c r="AE3558">
        <v>0.37319999999999698</v>
      </c>
      <c r="AF3558">
        <v>-0.42495383313125201</v>
      </c>
      <c r="AG3558">
        <v>-1.110657694833</v>
      </c>
      <c r="AH3558">
        <v>13.216901719963801</v>
      </c>
      <c r="AI3558">
        <v>94.800989259870605</v>
      </c>
      <c r="AJ3558">
        <v>91.841556874593394</v>
      </c>
      <c r="AK3558">
        <v>13.2702915322372</v>
      </c>
      <c r="AL3558">
        <v>69.560422757745698</v>
      </c>
      <c r="AM3558">
        <v>99.022670784181898</v>
      </c>
      <c r="AN3558">
        <v>1.0000000153710999</v>
      </c>
    </row>
    <row r="3559" spans="1:40" x14ac:dyDescent="0.25">
      <c r="A3559" t="str">
        <f>"20190304164159501"</f>
        <v>20190304164159501</v>
      </c>
      <c r="B3559" t="str">
        <f>"1551688919494714"</f>
        <v>1551688919494714</v>
      </c>
      <c r="C3559" t="s">
        <v>40</v>
      </c>
      <c r="D3559">
        <v>4.0673490000000001</v>
      </c>
      <c r="E3559">
        <v>0.55630249999999903</v>
      </c>
      <c r="F3559" t="s">
        <v>46</v>
      </c>
      <c r="G3559">
        <v>-396.48700000000002</v>
      </c>
      <c r="H3559" s="1">
        <v>1.9152720000000002E-6</v>
      </c>
      <c r="I3559">
        <v>213.8715</v>
      </c>
      <c r="J3559">
        <v>-410.08280000000002</v>
      </c>
      <c r="K3559">
        <v>1.1107750000000001</v>
      </c>
      <c r="L3559">
        <v>213.49809999999999</v>
      </c>
      <c r="M3559">
        <v>0.99991819999999998</v>
      </c>
      <c r="N3559">
        <v>-1.24063E-2</v>
      </c>
      <c r="O3559">
        <v>-3.1194450000000002E-3</v>
      </c>
      <c r="P3559">
        <v>0.93028339999999998</v>
      </c>
      <c r="Q3559">
        <v>0.33731290000000003</v>
      </c>
      <c r="R3559">
        <v>0.14419709999999999</v>
      </c>
      <c r="S3559">
        <v>3.306549</v>
      </c>
      <c r="T3559">
        <v>-0.26151039999999998</v>
      </c>
      <c r="U3559">
        <v>8.7692259999999994E-2</v>
      </c>
      <c r="V3559">
        <v>-0.14779900000000001</v>
      </c>
      <c r="W3559">
        <v>0.34852670000000002</v>
      </c>
      <c r="X3559">
        <v>0.92557259999999997</v>
      </c>
      <c r="Y3559">
        <v>-2.951639E-2</v>
      </c>
      <c r="Z3559">
        <v>1.5562880000000001E-3</v>
      </c>
      <c r="AA3559">
        <v>0.99956310000000004</v>
      </c>
      <c r="AB3559">
        <v>44</v>
      </c>
      <c r="AC3559">
        <v>13.595800000000001</v>
      </c>
      <c r="AD3559">
        <v>-1.110773084728</v>
      </c>
      <c r="AE3559">
        <v>0.37340000000000301</v>
      </c>
      <c r="AF3559">
        <v>-0.41305777800916599</v>
      </c>
      <c r="AG3559">
        <v>-1.110773084728</v>
      </c>
      <c r="AH3559">
        <v>13.504496474485601</v>
      </c>
      <c r="AI3559">
        <v>94.699924752872207</v>
      </c>
      <c r="AJ3559">
        <v>91.7519417483647</v>
      </c>
      <c r="AK3559">
        <v>13.5563954871169</v>
      </c>
      <c r="AL3559">
        <v>69.602772500682093</v>
      </c>
      <c r="AM3559">
        <v>99.072614362600405</v>
      </c>
      <c r="AN3559">
        <v>1.0000000214423199</v>
      </c>
    </row>
    <row r="3560" spans="1:40" x14ac:dyDescent="0.25">
      <c r="A3560" t="str">
        <f>"20190304164159523"</f>
        <v>20190304164159523</v>
      </c>
      <c r="B3560" t="str">
        <f>"1551688919514234"</f>
        <v>1551688919514234</v>
      </c>
      <c r="C3560" t="s">
        <v>40</v>
      </c>
      <c r="D3560">
        <v>4.0759239999999997</v>
      </c>
      <c r="E3560">
        <v>0.55625239999999998</v>
      </c>
      <c r="F3560" t="s">
        <v>46</v>
      </c>
      <c r="G3560">
        <v>-396.0711</v>
      </c>
      <c r="H3560" s="1">
        <v>1.6939340000000001E-6</v>
      </c>
      <c r="I3560">
        <v>213.88329999999999</v>
      </c>
      <c r="J3560">
        <v>-409.64389999999997</v>
      </c>
      <c r="K3560">
        <v>1.110865</v>
      </c>
      <c r="L3560">
        <v>213.49760000000001</v>
      </c>
      <c r="M3560">
        <v>0.99991920000000001</v>
      </c>
      <c r="N3560">
        <v>-1.2545580000000001E-2</v>
      </c>
      <c r="O3560">
        <v>-2.0731730000000002E-3</v>
      </c>
      <c r="P3560">
        <v>0.9300041</v>
      </c>
      <c r="Q3560">
        <v>0.33689540000000001</v>
      </c>
      <c r="R3560">
        <v>0.14694879999999999</v>
      </c>
      <c r="S3560">
        <v>3.3057859999999999</v>
      </c>
      <c r="T3560">
        <v>-0.26206420000000002</v>
      </c>
      <c r="U3560">
        <v>9.088135E-2</v>
      </c>
      <c r="V3560">
        <v>-0.14965729999999999</v>
      </c>
      <c r="W3560">
        <v>0.34819830000000002</v>
      </c>
      <c r="X3560">
        <v>0.92539760000000004</v>
      </c>
      <c r="Y3560">
        <v>-2.9442139999999999E-2</v>
      </c>
      <c r="Z3560">
        <v>1.4881110000000001E-3</v>
      </c>
      <c r="AA3560">
        <v>0.99956540000000005</v>
      </c>
      <c r="AB3560">
        <v>44</v>
      </c>
      <c r="AC3560">
        <v>13.5727999999999</v>
      </c>
      <c r="AD3560">
        <v>-1.110863306066</v>
      </c>
      <c r="AE3560">
        <v>0.385699999999985</v>
      </c>
      <c r="AF3560">
        <v>-0.41108866099590902</v>
      </c>
      <c r="AG3560">
        <v>-1.110863306066</v>
      </c>
      <c r="AH3560">
        <v>13.481735609261101</v>
      </c>
      <c r="AI3560">
        <v>94.708218049741006</v>
      </c>
      <c r="AJ3560">
        <v>91.746536955166803</v>
      </c>
      <c r="AK3560">
        <v>13.5336693549821</v>
      </c>
      <c r="AL3560">
        <v>69.622846242366805</v>
      </c>
      <c r="AM3560">
        <v>99.186460601132794</v>
      </c>
      <c r="AN3560">
        <v>1.0000000408259599</v>
      </c>
    </row>
    <row r="3561" spans="1:40" x14ac:dyDescent="0.25">
      <c r="A3561" t="str">
        <f>"20190304164159545"</f>
        <v>20190304164159545</v>
      </c>
      <c r="B3561" t="str">
        <f>"1551688919534730"</f>
        <v>1551688919534730</v>
      </c>
      <c r="C3561" t="s">
        <v>40</v>
      </c>
      <c r="D3561">
        <v>4.0801230000000004</v>
      </c>
      <c r="E3561">
        <v>0.55620749999999997</v>
      </c>
      <c r="F3561" t="s">
        <v>41</v>
      </c>
      <c r="G3561">
        <v>-408.55040000000002</v>
      </c>
      <c r="H3561">
        <v>1.0251870000000001</v>
      </c>
      <c r="I3561">
        <v>213.52969999999999</v>
      </c>
      <c r="J3561">
        <v>-409.22399999999999</v>
      </c>
      <c r="K3561">
        <v>1.1109500000000001</v>
      </c>
      <c r="L3561">
        <v>213.49760000000001</v>
      </c>
      <c r="M3561">
        <v>0.99991940000000001</v>
      </c>
      <c r="N3561">
        <v>-1.265966E-2</v>
      </c>
      <c r="O3561">
        <v>-1.030247E-3</v>
      </c>
      <c r="P3561">
        <v>0.92993769999999998</v>
      </c>
      <c r="Q3561">
        <v>0.33617930000000001</v>
      </c>
      <c r="R3561">
        <v>0.1489954</v>
      </c>
      <c r="S3561">
        <v>3.3041079999999998</v>
      </c>
      <c r="T3561">
        <v>-0.25912380000000002</v>
      </c>
      <c r="U3561">
        <v>9.8419190000000004E-2</v>
      </c>
      <c r="V3561">
        <v>-0.15079719999999999</v>
      </c>
      <c r="W3561">
        <v>0.34755849999999999</v>
      </c>
      <c r="X3561">
        <v>0.92545299999999997</v>
      </c>
      <c r="Y3561">
        <v>-3.0691929999999999E-2</v>
      </c>
      <c r="Z3561">
        <v>1.4636969999999999E-3</v>
      </c>
      <c r="AA3561">
        <v>0.99952779999999997</v>
      </c>
      <c r="AB3561">
        <v>44</v>
      </c>
      <c r="AC3561">
        <v>0.67359999999996401</v>
      </c>
      <c r="AD3561">
        <v>-8.5763000000000006E-2</v>
      </c>
      <c r="AE3561">
        <v>3.2099999999985501E-2</v>
      </c>
      <c r="AF3561">
        <v>-3.2272052907813799E-2</v>
      </c>
      <c r="AG3561">
        <v>-8.5763000000000006E-2</v>
      </c>
      <c r="AH3561">
        <v>0.66284586783352395</v>
      </c>
      <c r="AI3561">
        <v>97.363690040521007</v>
      </c>
      <c r="AJ3561">
        <v>92.787365166344301</v>
      </c>
      <c r="AK3561">
        <v>0.66914977551506505</v>
      </c>
      <c r="AL3561">
        <v>69.661945008962306</v>
      </c>
      <c r="AM3561">
        <v>99.254680591026997</v>
      </c>
      <c r="AN3561">
        <v>0.999999980829544</v>
      </c>
    </row>
    <row r="3562" spans="1:40" x14ac:dyDescent="0.25">
      <c r="A3562" t="str">
        <f>"20190304164159569"</f>
        <v>20190304164159569</v>
      </c>
      <c r="B3562" t="str">
        <f>"1551688919564985"</f>
        <v>1551688919564985</v>
      </c>
      <c r="C3562" t="s">
        <v>40</v>
      </c>
      <c r="D3562">
        <v>4.0227870000000001</v>
      </c>
      <c r="E3562">
        <v>0.55616049999999995</v>
      </c>
      <c r="F3562" t="s">
        <v>46</v>
      </c>
      <c r="G3562">
        <v>-395.05720000000002</v>
      </c>
      <c r="H3562" s="1">
        <v>1.154388E-6</v>
      </c>
      <c r="I3562">
        <v>213.94839999999999</v>
      </c>
      <c r="J3562">
        <v>-408.76170000000002</v>
      </c>
      <c r="K3562">
        <v>1.1110180000000001</v>
      </c>
      <c r="L3562">
        <v>213.49809999999999</v>
      </c>
      <c r="M3562">
        <v>0.99991850000000004</v>
      </c>
      <c r="N3562">
        <v>-1.276657E-2</v>
      </c>
      <c r="O3562">
        <v>1.467579E-4</v>
      </c>
      <c r="P3562">
        <v>0.92945140000000004</v>
      </c>
      <c r="Q3562">
        <v>0.33666230000000003</v>
      </c>
      <c r="R3562">
        <v>0.15092729999999999</v>
      </c>
      <c r="S3562">
        <v>3.302826</v>
      </c>
      <c r="T3562">
        <v>-0.25900440000000002</v>
      </c>
      <c r="U3562">
        <v>0.1051178</v>
      </c>
      <c r="V3562">
        <v>-0.15169199999999999</v>
      </c>
      <c r="W3562">
        <v>0.34810970000000002</v>
      </c>
      <c r="X3562">
        <v>0.92509960000000002</v>
      </c>
      <c r="Y3562">
        <v>-3.1551549999999998E-2</v>
      </c>
      <c r="Z3562">
        <v>1.427116E-3</v>
      </c>
      <c r="AA3562">
        <v>0.99950110000000003</v>
      </c>
      <c r="AB3562">
        <v>44</v>
      </c>
      <c r="AC3562">
        <v>13.7044999999999</v>
      </c>
      <c r="AD3562">
        <v>-1.111016845612</v>
      </c>
      <c r="AE3562">
        <v>0.45029999999999798</v>
      </c>
      <c r="AF3562">
        <v>-0.44536469071590501</v>
      </c>
      <c r="AG3562">
        <v>-1.111016845612</v>
      </c>
      <c r="AH3562">
        <v>13.6151799116637</v>
      </c>
      <c r="AI3562">
        <v>94.662592982780097</v>
      </c>
      <c r="AJ3562">
        <v>91.873528066255901</v>
      </c>
      <c r="AK3562">
        <v>13.6676930081832</v>
      </c>
      <c r="AL3562">
        <v>69.628261589939797</v>
      </c>
      <c r="AM3562">
        <v>99.312131233469103</v>
      </c>
      <c r="AN3562">
        <v>1.00000004800912</v>
      </c>
    </row>
    <row r="3563" spans="1:40" x14ac:dyDescent="0.25">
      <c r="A3563" t="str">
        <f>"20190304164159591"</f>
        <v>20190304164159591</v>
      </c>
      <c r="B3563" t="str">
        <f>"1551688919584506"</f>
        <v>1551688919584506</v>
      </c>
      <c r="C3563" t="s">
        <v>40</v>
      </c>
      <c r="D3563">
        <v>4.0756379999999996</v>
      </c>
      <c r="E3563">
        <v>0.55617450000000002</v>
      </c>
      <c r="F3563" t="s">
        <v>46</v>
      </c>
      <c r="G3563">
        <v>-394.26280000000003</v>
      </c>
      <c r="H3563" s="1">
        <v>7.3169279999999995E-7</v>
      </c>
      <c r="I3563">
        <v>213.9982</v>
      </c>
      <c r="J3563">
        <v>-408.3245</v>
      </c>
      <c r="K3563">
        <v>1.1110719999999901</v>
      </c>
      <c r="L3563">
        <v>213.4991</v>
      </c>
      <c r="M3563">
        <v>0.99991660000000004</v>
      </c>
      <c r="N3563">
        <v>-1.285145E-2</v>
      </c>
      <c r="O3563">
        <v>1.2687379999999999E-3</v>
      </c>
      <c r="P3563">
        <v>0.92925800000000003</v>
      </c>
      <c r="Q3563">
        <v>0.336538</v>
      </c>
      <c r="R3563">
        <v>0.1523871</v>
      </c>
      <c r="S3563">
        <v>3.3008120000000001</v>
      </c>
      <c r="T3563">
        <v>-0.25293480000000002</v>
      </c>
      <c r="U3563">
        <v>0.11386110000000001</v>
      </c>
      <c r="V3563">
        <v>-0.15214849999999999</v>
      </c>
      <c r="W3563">
        <v>0.3480454</v>
      </c>
      <c r="X3563">
        <v>0.9250488</v>
      </c>
      <c r="Y3563">
        <v>-3.3095609999999998E-2</v>
      </c>
      <c r="Z3563">
        <v>1.398126E-3</v>
      </c>
      <c r="AA3563">
        <v>0.99945119999999998</v>
      </c>
      <c r="AB3563">
        <v>44</v>
      </c>
      <c r="AC3563">
        <v>14.061699999999901</v>
      </c>
      <c r="AD3563">
        <v>-1.1110712683071999</v>
      </c>
      <c r="AE3563">
        <v>0.49909999999999799</v>
      </c>
      <c r="AF3563">
        <v>-0.47827529370167199</v>
      </c>
      <c r="AG3563">
        <v>-1.1110712683071999</v>
      </c>
      <c r="AH3563">
        <v>13.9751816975728</v>
      </c>
      <c r="AI3563">
        <v>94.5429864862259</v>
      </c>
      <c r="AJ3563">
        <v>91.960079335150198</v>
      </c>
      <c r="AK3563">
        <v>14.0274349080648</v>
      </c>
      <c r="AL3563">
        <v>69.632190958665902</v>
      </c>
      <c r="AM3563">
        <v>99.340165830422904</v>
      </c>
      <c r="AN3563">
        <v>1.0000000244474201</v>
      </c>
    </row>
    <row r="3564" spans="1:40" x14ac:dyDescent="0.25">
      <c r="A3564" t="str">
        <f>"20190304164159612"</f>
        <v>20190304164159612</v>
      </c>
      <c r="B3564" t="str">
        <f>"1551688919605002"</f>
        <v>1551688919605002</v>
      </c>
      <c r="C3564" t="s">
        <v>40</v>
      </c>
      <c r="D3564">
        <v>4.1220999999999997</v>
      </c>
      <c r="E3564">
        <v>0.55616209999999999</v>
      </c>
      <c r="F3564" t="s">
        <v>46</v>
      </c>
      <c r="G3564">
        <v>-393.75720000000001</v>
      </c>
      <c r="H3564" s="1">
        <v>4.6262640000000002E-7</v>
      </c>
      <c r="I3564">
        <v>214.03460000000001</v>
      </c>
      <c r="J3564">
        <v>-407.89409999999998</v>
      </c>
      <c r="K3564">
        <v>1.11111</v>
      </c>
      <c r="L3564">
        <v>213.50049999999999</v>
      </c>
      <c r="M3564">
        <v>0.99991379999999996</v>
      </c>
      <c r="N3564">
        <v>-1.291923E-2</v>
      </c>
      <c r="O3564">
        <v>2.365402E-3</v>
      </c>
      <c r="P3564">
        <v>0.92902079999999998</v>
      </c>
      <c r="Q3564">
        <v>0.33658919999999998</v>
      </c>
      <c r="R3564">
        <v>0.15371399999999999</v>
      </c>
      <c r="S3564">
        <v>3.2996219999999998</v>
      </c>
      <c r="T3564">
        <v>-0.25166769999999999</v>
      </c>
      <c r="U3564">
        <v>0.121307399999999</v>
      </c>
      <c r="V3564">
        <v>-0.15248339999999999</v>
      </c>
      <c r="W3564">
        <v>0.34814590000000001</v>
      </c>
      <c r="X3564">
        <v>0.92495579999999999</v>
      </c>
      <c r="Y3564">
        <v>-3.4263549999999997E-2</v>
      </c>
      <c r="Z3564">
        <v>1.3765489999999999E-3</v>
      </c>
      <c r="AA3564">
        <v>0.99941190000000002</v>
      </c>
      <c r="AB3564">
        <v>44</v>
      </c>
      <c r="AC3564">
        <v>14.136899999999899</v>
      </c>
      <c r="AD3564">
        <v>-1.1111095373736</v>
      </c>
      <c r="AE3564">
        <v>0.534100000000023</v>
      </c>
      <c r="AF3564">
        <v>-0.49758685546418902</v>
      </c>
      <c r="AG3564">
        <v>-1.1111095373736</v>
      </c>
      <c r="AH3564">
        <v>14.0514462967011</v>
      </c>
      <c r="AI3564">
        <v>94.518400678569407</v>
      </c>
      <c r="AJ3564">
        <v>92.028098612843905</v>
      </c>
      <c r="AK3564">
        <v>14.104088063814901</v>
      </c>
      <c r="AL3564">
        <v>69.626047923380995</v>
      </c>
      <c r="AM3564">
        <v>99.361285845697694</v>
      </c>
      <c r="AN3564">
        <v>0.99999999345800406</v>
      </c>
    </row>
    <row r="3565" spans="1:40" x14ac:dyDescent="0.25">
      <c r="A3565" t="str">
        <f>"20190304164159634"</f>
        <v>20190304164159634</v>
      </c>
      <c r="B3565" t="str">
        <f>"1551688919624521"</f>
        <v>1551688919624521</v>
      </c>
      <c r="C3565" t="s">
        <v>40</v>
      </c>
      <c r="D3565">
        <v>4.0897569999999996</v>
      </c>
      <c r="E3565">
        <v>0.55621989999999999</v>
      </c>
      <c r="F3565" t="s">
        <v>46</v>
      </c>
      <c r="G3565">
        <v>-393.13850000000002</v>
      </c>
      <c r="H3565" s="1">
        <v>1.333884E-7</v>
      </c>
      <c r="I3565">
        <v>214.06899999999999</v>
      </c>
      <c r="J3565">
        <v>-407.47500000000002</v>
      </c>
      <c r="K3565">
        <v>1.1111329999999999</v>
      </c>
      <c r="L3565">
        <v>213.50229999999999</v>
      </c>
      <c r="M3565">
        <v>0.99991010000000002</v>
      </c>
      <c r="N3565">
        <v>-1.2972799999999901E-2</v>
      </c>
      <c r="O3565">
        <v>3.4154250000000001E-3</v>
      </c>
      <c r="P3565">
        <v>0.92859340000000001</v>
      </c>
      <c r="Q3565">
        <v>0.33719440000000001</v>
      </c>
      <c r="R3565">
        <v>0.1549654</v>
      </c>
      <c r="S3565">
        <v>3.298187</v>
      </c>
      <c r="T3565">
        <v>-0.24835769999999999</v>
      </c>
      <c r="U3565">
        <v>0.1270752</v>
      </c>
      <c r="V3565">
        <v>-0.1527773</v>
      </c>
      <c r="W3565">
        <v>0.34878999999999999</v>
      </c>
      <c r="X3565">
        <v>0.92466459999999995</v>
      </c>
      <c r="Y3565">
        <v>-3.4977460000000002E-2</v>
      </c>
      <c r="Z3565">
        <v>1.3294419999999999E-3</v>
      </c>
      <c r="AA3565">
        <v>0.99938720000000003</v>
      </c>
      <c r="AB3565">
        <v>44</v>
      </c>
      <c r="AC3565">
        <v>14.336499999999999</v>
      </c>
      <c r="AD3565">
        <v>-1.1111328666115901</v>
      </c>
      <c r="AE3565">
        <v>0.56670000000002496</v>
      </c>
      <c r="AF3565">
        <v>-0.51464079721984402</v>
      </c>
      <c r="AG3565">
        <v>-1.1111328666115901</v>
      </c>
      <c r="AH3565">
        <v>14.252870969832999</v>
      </c>
      <c r="AI3565">
        <v>94.454787378544097</v>
      </c>
      <c r="AJ3565">
        <v>92.067930103215403</v>
      </c>
      <c r="AK3565">
        <v>14.305376691305099</v>
      </c>
      <c r="AL3565">
        <v>69.586675932209104</v>
      </c>
      <c r="AM3565">
        <v>99.381909880944704</v>
      </c>
      <c r="AN3565">
        <v>0.99999999499422498</v>
      </c>
    </row>
    <row r="3566" spans="1:40" x14ac:dyDescent="0.25">
      <c r="A3566" t="str">
        <f>"20190304164159656"</f>
        <v>20190304164159656</v>
      </c>
      <c r="B3566" t="str">
        <f>"1551688919645018"</f>
        <v>1551688919645018</v>
      </c>
      <c r="C3566" t="s">
        <v>40</v>
      </c>
      <c r="D3566">
        <v>4.0979239999999999</v>
      </c>
      <c r="E3566">
        <v>0.55627539999999998</v>
      </c>
      <c r="F3566" t="s">
        <v>46</v>
      </c>
      <c r="G3566">
        <v>-392.51420000000002</v>
      </c>
      <c r="H3566" s="1">
        <v>-1.988812E-7</v>
      </c>
      <c r="I3566">
        <v>214.0934</v>
      </c>
      <c r="J3566">
        <v>-407.0412</v>
      </c>
      <c r="K3566">
        <v>1.111148</v>
      </c>
      <c r="L3566">
        <v>213.50460000000001</v>
      </c>
      <c r="M3566">
        <v>0.9999053</v>
      </c>
      <c r="N3566">
        <v>-1.301622E-2</v>
      </c>
      <c r="O3566">
        <v>4.478915E-3</v>
      </c>
      <c r="P3566">
        <v>0.92837639999999999</v>
      </c>
      <c r="Q3566">
        <v>0.33764139999999998</v>
      </c>
      <c r="R3566">
        <v>0.1552917</v>
      </c>
      <c r="S3566">
        <v>3.297882</v>
      </c>
      <c r="T3566">
        <v>-0.24493229999999999</v>
      </c>
      <c r="U3566">
        <v>0.13029479999999999</v>
      </c>
      <c r="V3566">
        <v>-0.15212500000000001</v>
      </c>
      <c r="W3566">
        <v>0.3492748</v>
      </c>
      <c r="X3566">
        <v>0.9245892</v>
      </c>
      <c r="Y3566">
        <v>-3.4897160000000003E-2</v>
      </c>
      <c r="Z3566">
        <v>1.2473549999999999E-3</v>
      </c>
      <c r="AA3566">
        <v>0.99939009999999995</v>
      </c>
      <c r="AB3566">
        <v>44</v>
      </c>
      <c r="AC3566">
        <v>14.5269999999999</v>
      </c>
      <c r="AD3566">
        <v>-1.1111481988812</v>
      </c>
      <c r="AE3566">
        <v>0.588799999999992</v>
      </c>
      <c r="AF3566">
        <v>-0.52068213695155696</v>
      </c>
      <c r="AG3566">
        <v>-1.1111481988812</v>
      </c>
      <c r="AH3566">
        <v>14.445119280529999</v>
      </c>
      <c r="AI3566">
        <v>94.395803342532602</v>
      </c>
      <c r="AJ3566">
        <v>92.064363607090897</v>
      </c>
      <c r="AK3566">
        <v>14.497145623754999</v>
      </c>
      <c r="AL3566">
        <v>69.557035899291407</v>
      </c>
      <c r="AM3566">
        <v>99.343308934705107</v>
      </c>
      <c r="AN3566">
        <v>1.00000004514833</v>
      </c>
    </row>
    <row r="3567" spans="1:40" x14ac:dyDescent="0.25">
      <c r="A3567" t="str">
        <f>"20190304164159680"</f>
        <v>20190304164159680</v>
      </c>
      <c r="B3567" t="str">
        <f>"1551688919664538"</f>
        <v>1551688919664538</v>
      </c>
      <c r="C3567" t="s">
        <v>40</v>
      </c>
      <c r="D3567">
        <v>4.0931319999999998</v>
      </c>
      <c r="E3567">
        <v>0.55625649999999904</v>
      </c>
      <c r="F3567" t="s">
        <v>46</v>
      </c>
      <c r="G3567">
        <v>-391.9547</v>
      </c>
      <c r="H3567" s="1">
        <v>-4.9657639999999998E-7</v>
      </c>
      <c r="I3567">
        <v>214.10140000000001</v>
      </c>
      <c r="J3567">
        <v>-406.5949</v>
      </c>
      <c r="K3567">
        <v>1.111154</v>
      </c>
      <c r="L3567">
        <v>213.50739999999999</v>
      </c>
      <c r="M3567">
        <v>0.9998996</v>
      </c>
      <c r="N3567">
        <v>-1.3046540000000001E-2</v>
      </c>
      <c r="O3567">
        <v>5.5493130000000002E-3</v>
      </c>
      <c r="P3567">
        <v>0.92845919999999904</v>
      </c>
      <c r="Q3567">
        <v>0.33764169999999999</v>
      </c>
      <c r="R3567">
        <v>0.1547964</v>
      </c>
      <c r="S3567">
        <v>3.2979430000000001</v>
      </c>
      <c r="T3567">
        <v>-0.24290030000000001</v>
      </c>
      <c r="U3567">
        <v>0.13046259999999901</v>
      </c>
      <c r="V3567">
        <v>-0.1506374</v>
      </c>
      <c r="W3567">
        <v>0.34930919999999999</v>
      </c>
      <c r="X3567">
        <v>0.92481970000000002</v>
      </c>
      <c r="Y3567">
        <v>-3.3884049999999999E-2</v>
      </c>
      <c r="Z3567">
        <v>1.131427E-3</v>
      </c>
      <c r="AA3567">
        <v>0.99942509999999996</v>
      </c>
      <c r="AB3567">
        <v>44</v>
      </c>
      <c r="AC3567">
        <v>14.640199999999901</v>
      </c>
      <c r="AD3567">
        <v>-1.1111544965764</v>
      </c>
      <c r="AE3567">
        <v>0.59400000000002195</v>
      </c>
      <c r="AF3567">
        <v>-0.50980900133005003</v>
      </c>
      <c r="AG3567">
        <v>-1.1111544965764</v>
      </c>
      <c r="AH3567">
        <v>14.5595397435244</v>
      </c>
      <c r="AI3567">
        <v>94.361574869277305</v>
      </c>
      <c r="AJ3567">
        <v>92.005418818520894</v>
      </c>
      <c r="AK3567">
        <v>14.6107757178175</v>
      </c>
      <c r="AL3567">
        <v>69.554931695503498</v>
      </c>
      <c r="AM3567">
        <v>99.251264237371004</v>
      </c>
      <c r="AN3567">
        <v>1.0000000104957401</v>
      </c>
    </row>
    <row r="3568" spans="1:40" x14ac:dyDescent="0.25">
      <c r="A3568" t="str">
        <f>"20190304164159702"</f>
        <v>20190304164159702</v>
      </c>
      <c r="B3568" t="str">
        <f>"1551688919694794"</f>
        <v>1551688919694794</v>
      </c>
      <c r="C3568" t="s">
        <v>40</v>
      </c>
      <c r="D3568">
        <v>4.0836899999999998</v>
      </c>
      <c r="E3568">
        <v>0.55625630000000004</v>
      </c>
      <c r="F3568" t="s">
        <v>46</v>
      </c>
      <c r="G3568">
        <v>-391.4991</v>
      </c>
      <c r="H3568" s="1">
        <v>-7.3905209999999898E-7</v>
      </c>
      <c r="I3568">
        <v>214.09569999999999</v>
      </c>
      <c r="J3568">
        <v>-406.14170000000001</v>
      </c>
      <c r="K3568">
        <v>1.111154</v>
      </c>
      <c r="L3568">
        <v>213.51079999999999</v>
      </c>
      <c r="M3568">
        <v>0.99989300000000003</v>
      </c>
      <c r="N3568">
        <v>-1.3061369999999999E-2</v>
      </c>
      <c r="O3568">
        <v>6.6140909999999999E-3</v>
      </c>
      <c r="P3568">
        <v>0.92857449999999997</v>
      </c>
      <c r="Q3568">
        <v>0.33774949999999998</v>
      </c>
      <c r="R3568">
        <v>0.15386659999999999</v>
      </c>
      <c r="S3568">
        <v>3.298035</v>
      </c>
      <c r="T3568">
        <v>-0.24275820000000001</v>
      </c>
      <c r="U3568">
        <v>0.12852479999999999</v>
      </c>
      <c r="V3568">
        <v>-0.14871770000000001</v>
      </c>
      <c r="W3568">
        <v>0.34944009999999998</v>
      </c>
      <c r="X3568">
        <v>0.92508089999999998</v>
      </c>
      <c r="Y3568">
        <v>-3.223956E-2</v>
      </c>
      <c r="Z3568">
        <v>9.9573049999999996E-4</v>
      </c>
      <c r="AA3568">
        <v>0.99947969999999997</v>
      </c>
      <c r="AB3568">
        <v>44</v>
      </c>
      <c r="AC3568">
        <v>14.6426</v>
      </c>
      <c r="AD3568">
        <v>-1.1111547390520999</v>
      </c>
      <c r="AE3568">
        <v>0.58490000000000397</v>
      </c>
      <c r="AF3568">
        <v>-0.48524163658450098</v>
      </c>
      <c r="AG3568">
        <v>-1.1111547390520999</v>
      </c>
      <c r="AH3568">
        <v>14.5624238081603</v>
      </c>
      <c r="AI3568">
        <v>94.360966487014693</v>
      </c>
      <c r="AJ3568">
        <v>91.908474523574498</v>
      </c>
      <c r="AK3568">
        <v>14.6128132633134</v>
      </c>
      <c r="AL3568">
        <v>69.546927139033301</v>
      </c>
      <c r="AM3568">
        <v>99.1328320580228</v>
      </c>
      <c r="AN3568">
        <v>1.0000000046630499</v>
      </c>
    </row>
    <row r="3569" spans="1:40" x14ac:dyDescent="0.25">
      <c r="A3569" t="str">
        <f>"20190304164159724"</f>
        <v>20190304164159724</v>
      </c>
      <c r="B3569" t="str">
        <f>"1551688919714314"</f>
        <v>1551688919714314</v>
      </c>
      <c r="C3569" t="s">
        <v>40</v>
      </c>
      <c r="D3569">
        <v>4.0922859999999996</v>
      </c>
      <c r="E3569">
        <v>0.55625999999999998</v>
      </c>
      <c r="F3569" t="s">
        <v>46</v>
      </c>
      <c r="G3569">
        <v>-391.05840000000001</v>
      </c>
      <c r="H3569" s="1">
        <v>-9.7353929999999992E-7</v>
      </c>
      <c r="I3569">
        <v>214.08330000000001</v>
      </c>
      <c r="J3569">
        <v>-405.71390000000002</v>
      </c>
      <c r="K3569">
        <v>1.111154</v>
      </c>
      <c r="L3569">
        <v>213.51439999999999</v>
      </c>
      <c r="M3569">
        <v>0.99988600000000005</v>
      </c>
      <c r="N3569">
        <v>-1.305717E-2</v>
      </c>
      <c r="O3569">
        <v>7.6026649999999998E-3</v>
      </c>
      <c r="P3569">
        <v>0.92873629999999996</v>
      </c>
      <c r="Q3569">
        <v>0.3377733</v>
      </c>
      <c r="R3569">
        <v>0.15283389999999999</v>
      </c>
      <c r="S3569">
        <v>3.2983699999999998</v>
      </c>
      <c r="T3569">
        <v>-0.24298429999999999</v>
      </c>
      <c r="U3569">
        <v>0.12519839999999999</v>
      </c>
      <c r="V3569">
        <v>-0.14676359999999999</v>
      </c>
      <c r="W3569">
        <v>0.34946959999999999</v>
      </c>
      <c r="X3569">
        <v>0.92538180000000003</v>
      </c>
      <c r="Y3569">
        <v>-3.024891E-2</v>
      </c>
      <c r="Z3569">
        <v>8.5019939999999997E-4</v>
      </c>
      <c r="AA3569">
        <v>0.99954209999999999</v>
      </c>
      <c r="AB3569">
        <v>44</v>
      </c>
      <c r="AC3569">
        <v>14.6555</v>
      </c>
      <c r="AD3569">
        <v>-1.1111549735393</v>
      </c>
      <c r="AE3569">
        <v>0.56890000000001295</v>
      </c>
      <c r="AF3569">
        <v>-0.45484252739167502</v>
      </c>
      <c r="AG3569">
        <v>-1.1111549735393</v>
      </c>
      <c r="AH3569">
        <v>14.575740581717399</v>
      </c>
      <c r="AI3569">
        <v>94.357294472106702</v>
      </c>
      <c r="AJ3569">
        <v>91.787360503024104</v>
      </c>
      <c r="AK3569">
        <v>14.625107199794099</v>
      </c>
      <c r="AL3569">
        <v>69.545123415347405</v>
      </c>
      <c r="AM3569">
        <v>99.0119300324222</v>
      </c>
      <c r="AN3569">
        <v>1.0000000156901701</v>
      </c>
    </row>
    <row r="3570" spans="1:40" x14ac:dyDescent="0.25">
      <c r="A3570" t="str">
        <f>"20190304164159746"</f>
        <v>20190304164159746</v>
      </c>
      <c r="B3570" t="str">
        <f>"1551688919734810"</f>
        <v>1551688919734810</v>
      </c>
      <c r="C3570" t="s">
        <v>40</v>
      </c>
      <c r="D3570">
        <v>4.0812589999999904</v>
      </c>
      <c r="E3570">
        <v>0.55625389999999997</v>
      </c>
      <c r="F3570" t="s">
        <v>46</v>
      </c>
      <c r="G3570">
        <v>-390.66320000000002</v>
      </c>
      <c r="H3570" s="1">
        <v>-1.1838809999999999E-6</v>
      </c>
      <c r="I3570">
        <v>214.0686</v>
      </c>
      <c r="J3570">
        <v>-405.29750000000001</v>
      </c>
      <c r="K3570">
        <v>1.1111530000000001</v>
      </c>
      <c r="L3570">
        <v>213.51830000000001</v>
      </c>
      <c r="M3570">
        <v>0.9998785</v>
      </c>
      <c r="N3570">
        <v>-1.304106E-2</v>
      </c>
      <c r="O3570">
        <v>8.5536899999999992E-3</v>
      </c>
      <c r="P3570">
        <v>0.92876210000000003</v>
      </c>
      <c r="Q3570">
        <v>0.33797529999999998</v>
      </c>
      <c r="R3570">
        <v>0.15222929999999901</v>
      </c>
      <c r="S3570">
        <v>3.298737</v>
      </c>
      <c r="T3570">
        <v>-0.24353649999999999</v>
      </c>
      <c r="U3570">
        <v>0.12147520000000001</v>
      </c>
      <c r="V3570">
        <v>-0.14527399999999999</v>
      </c>
      <c r="W3570">
        <v>0.34966350000000002</v>
      </c>
      <c r="X3570">
        <v>0.92554349999999996</v>
      </c>
      <c r="Y3570">
        <v>-2.8175470000000001E-2</v>
      </c>
      <c r="Z3570">
        <v>7.0338020000000005E-4</v>
      </c>
      <c r="AA3570">
        <v>0.99960269999999996</v>
      </c>
      <c r="AB3570">
        <v>44</v>
      </c>
      <c r="AC3570">
        <v>14.6342999999999</v>
      </c>
      <c r="AD3570">
        <v>-1.111154183881</v>
      </c>
      <c r="AE3570">
        <v>0.55029999999999202</v>
      </c>
      <c r="AF3570">
        <v>-0.42265875142748499</v>
      </c>
      <c r="AG3570">
        <v>-1.111154183881</v>
      </c>
      <c r="AH3570">
        <v>14.5546817221521</v>
      </c>
      <c r="AI3570">
        <v>94.363854892137496</v>
      </c>
      <c r="AJ3570">
        <v>91.663365739065398</v>
      </c>
      <c r="AK3570">
        <v>14.603152538875401</v>
      </c>
      <c r="AL3570">
        <v>69.533263938020198</v>
      </c>
      <c r="AM3570">
        <v>98.920407175605405</v>
      </c>
      <c r="AN3570">
        <v>0.99999993435024703</v>
      </c>
    </row>
    <row r="3571" spans="1:40" x14ac:dyDescent="0.25">
      <c r="A3571" t="str">
        <f>"20190304164159769"</f>
        <v>20190304164159769</v>
      </c>
      <c r="B3571" t="str">
        <f>"1551688919765067"</f>
        <v>1551688919765067</v>
      </c>
      <c r="C3571" t="s">
        <v>40</v>
      </c>
      <c r="D3571">
        <v>4.1069529999999999</v>
      </c>
      <c r="E3571">
        <v>0.5562047</v>
      </c>
      <c r="F3571" t="s">
        <v>46</v>
      </c>
      <c r="G3571">
        <v>-390.22179999999997</v>
      </c>
      <c r="H3571" s="1">
        <v>-1.4187690000000001E-6</v>
      </c>
      <c r="I3571">
        <v>214.05959999999999</v>
      </c>
      <c r="J3571">
        <v>-404.83620000000002</v>
      </c>
      <c r="K3571">
        <v>1.111143</v>
      </c>
      <c r="L3571">
        <v>213.5231</v>
      </c>
      <c r="M3571">
        <v>0.99986929999999996</v>
      </c>
      <c r="N3571">
        <v>-1.3008560000000001E-2</v>
      </c>
      <c r="O3571">
        <v>9.5999729999999995E-3</v>
      </c>
      <c r="P3571">
        <v>0.92873879999999998</v>
      </c>
      <c r="Q3571">
        <v>0.3382329</v>
      </c>
      <c r="R3571">
        <v>0.15179899999999999</v>
      </c>
      <c r="S3571">
        <v>3.2991640000000002</v>
      </c>
      <c r="T3571">
        <v>-0.24316370000000001</v>
      </c>
      <c r="U3571">
        <v>0.1184692</v>
      </c>
      <c r="V3571">
        <v>-0.14386979999999999</v>
      </c>
      <c r="W3571">
        <v>0.34989720000000002</v>
      </c>
      <c r="X3571">
        <v>0.92567460000000001</v>
      </c>
      <c r="Y3571">
        <v>-2.62235E-2</v>
      </c>
      <c r="Z3571">
        <v>5.5405259999999996E-4</v>
      </c>
      <c r="AA3571">
        <v>0.99965599999999999</v>
      </c>
      <c r="AB3571">
        <v>44</v>
      </c>
      <c r="AC3571">
        <v>14.6144</v>
      </c>
      <c r="AD3571">
        <v>-1.1111444187690001</v>
      </c>
      <c r="AE3571">
        <v>0.53649999999998899</v>
      </c>
      <c r="AF3571">
        <v>-0.39389165792244601</v>
      </c>
      <c r="AG3571">
        <v>-1.1111444187690001</v>
      </c>
      <c r="AH3571">
        <v>14.5349683221836</v>
      </c>
      <c r="AI3571">
        <v>94.369949135601999</v>
      </c>
      <c r="AJ3571">
        <v>91.552312112612498</v>
      </c>
      <c r="AK3571">
        <v>14.582698539173901</v>
      </c>
      <c r="AL3571">
        <v>69.518972836336602</v>
      </c>
      <c r="AM3571">
        <v>98.834318993580396</v>
      </c>
      <c r="AN3571">
        <v>1.0000000175025101</v>
      </c>
    </row>
    <row r="3572" spans="1:40" x14ac:dyDescent="0.25">
      <c r="A3572" t="str">
        <f>"20190304164159793"</f>
        <v>20190304164159793</v>
      </c>
      <c r="B3572" t="str">
        <f>"1551688919784586"</f>
        <v>1551688919784586</v>
      </c>
      <c r="C3572" t="s">
        <v>40</v>
      </c>
      <c r="D3572">
        <v>4.1383369999999999</v>
      </c>
      <c r="E3572">
        <v>0.55614519999999901</v>
      </c>
      <c r="F3572" t="s">
        <v>46</v>
      </c>
      <c r="G3572">
        <v>-389.75310000000002</v>
      </c>
      <c r="H3572" s="1">
        <v>3.6776900000000001E-6</v>
      </c>
      <c r="I3572">
        <v>214.05860000000001</v>
      </c>
      <c r="J3572">
        <v>-404.38099999999997</v>
      </c>
      <c r="K3572">
        <v>1.1111260000000001</v>
      </c>
      <c r="L3572">
        <v>213.5283</v>
      </c>
      <c r="M3572">
        <v>0.99985959999999996</v>
      </c>
      <c r="N3572">
        <v>-1.2963560000000001E-2</v>
      </c>
      <c r="O3572">
        <v>1.0624949999999999E-2</v>
      </c>
      <c r="P3572">
        <v>0.92869639999999998</v>
      </c>
      <c r="Q3572">
        <v>0.33836139999999998</v>
      </c>
      <c r="R3572">
        <v>0.1517725</v>
      </c>
      <c r="S3572">
        <v>3.2995610000000002</v>
      </c>
      <c r="T3572">
        <v>-0.24307139999999999</v>
      </c>
      <c r="U3572">
        <v>0.1171417</v>
      </c>
      <c r="V3572">
        <v>-0.14288679999999901</v>
      </c>
      <c r="W3572">
        <v>0.34998960000000001</v>
      </c>
      <c r="X3572">
        <v>0.9257919</v>
      </c>
      <c r="Y3572">
        <v>-2.4799270000000002E-2</v>
      </c>
      <c r="Z3572">
        <v>4.29178E-4</v>
      </c>
      <c r="AA3572">
        <v>0.99969240000000004</v>
      </c>
      <c r="AB3572">
        <v>44</v>
      </c>
      <c r="AC3572">
        <v>14.627899999999901</v>
      </c>
      <c r="AD3572">
        <v>-1.11112232231</v>
      </c>
      <c r="AE3572">
        <v>0.53030000000001098</v>
      </c>
      <c r="AF3572">
        <v>-0.37268879428752399</v>
      </c>
      <c r="AG3572">
        <v>-1.11112232231</v>
      </c>
      <c r="AH3572">
        <v>14.548875320789801</v>
      </c>
      <c r="AI3572">
        <v>94.365871562015698</v>
      </c>
      <c r="AJ3572">
        <v>91.467386698732795</v>
      </c>
      <c r="AK3572">
        <v>14.5960016049742</v>
      </c>
      <c r="AL3572">
        <v>69.513320992389794</v>
      </c>
      <c r="AM3572">
        <v>98.773806007088695</v>
      </c>
      <c r="AN3572">
        <v>0.99999999991400501</v>
      </c>
    </row>
    <row r="3573" spans="1:40" x14ac:dyDescent="0.25">
      <c r="A3573" t="str">
        <f>"20190304164159814"</f>
        <v>20190304164159814</v>
      </c>
      <c r="B3573" t="str">
        <f>"1551688919804106"</f>
        <v>1551688919804106</v>
      </c>
      <c r="C3573" t="s">
        <v>40</v>
      </c>
      <c r="D3573">
        <v>4.084721</v>
      </c>
      <c r="E3573">
        <v>0.54501469999999996</v>
      </c>
      <c r="F3573" t="s">
        <v>46</v>
      </c>
      <c r="G3573">
        <v>-389.29649999999998</v>
      </c>
      <c r="H3573" s="1">
        <v>3.4345770000000001E-6</v>
      </c>
      <c r="I3573">
        <v>214.06200000000001</v>
      </c>
      <c r="J3573">
        <v>-403.96440000000001</v>
      </c>
      <c r="K3573">
        <v>1.1111089999999999</v>
      </c>
      <c r="L3573">
        <v>213.5335</v>
      </c>
      <c r="M3573">
        <v>0.99985000000000002</v>
      </c>
      <c r="N3573">
        <v>-1.291312E-2</v>
      </c>
      <c r="O3573">
        <v>1.1550599999999999E-2</v>
      </c>
      <c r="P3573">
        <v>0.92882390000000004</v>
      </c>
      <c r="Q3573">
        <v>0.3378044</v>
      </c>
      <c r="R3573">
        <v>0.15223220000000001</v>
      </c>
      <c r="S3573">
        <v>3.2998050000000001</v>
      </c>
      <c r="T3573">
        <v>-0.2430631</v>
      </c>
      <c r="U3573">
        <v>0.116745</v>
      </c>
      <c r="V3573">
        <v>-0.1424743</v>
      </c>
      <c r="W3573">
        <v>0.34939369999999997</v>
      </c>
      <c r="X3573">
        <v>0.92608049999999997</v>
      </c>
      <c r="Y3573">
        <v>-2.375621E-2</v>
      </c>
      <c r="Z3573">
        <v>3.2678049999999999E-4</v>
      </c>
      <c r="AA3573">
        <v>0.99971770000000004</v>
      </c>
      <c r="AB3573">
        <v>44</v>
      </c>
      <c r="AC3573">
        <v>14.667899999999999</v>
      </c>
      <c r="AD3573">
        <v>-1.111105565423</v>
      </c>
      <c r="AE3573">
        <v>0.52850000000000796</v>
      </c>
      <c r="AF3573">
        <v>-0.356981807737344</v>
      </c>
      <c r="AG3573">
        <v>-1.111105565423</v>
      </c>
      <c r="AH3573">
        <v>14.589418057278699</v>
      </c>
      <c r="AI3573">
        <v>94.353845070363704</v>
      </c>
      <c r="AJ3573">
        <v>91.401664577654699</v>
      </c>
      <c r="AK3573">
        <v>14.6360210043105</v>
      </c>
      <c r="AL3573">
        <v>69.549764156746306</v>
      </c>
      <c r="AM3573">
        <v>98.746185043262003</v>
      </c>
      <c r="AN3573">
        <v>0.99999998812021396</v>
      </c>
    </row>
    <row r="3574" spans="1:40" x14ac:dyDescent="0.25">
      <c r="A3574" t="str">
        <f>"20190304164159835"</f>
        <v>20190304164159835</v>
      </c>
      <c r="B3574" t="str">
        <f>"1551688919824602"</f>
        <v>1551688919824602</v>
      </c>
      <c r="C3574" t="s">
        <v>40</v>
      </c>
      <c r="D3574">
        <v>4.0639370000000001</v>
      </c>
      <c r="E3574">
        <v>0.54423029999999994</v>
      </c>
      <c r="F3574" t="s">
        <v>46</v>
      </c>
      <c r="G3574">
        <v>-390.08010000000002</v>
      </c>
      <c r="H3574" s="1">
        <v>-1.4941509999999999E-6</v>
      </c>
      <c r="I3574">
        <v>214.4076</v>
      </c>
      <c r="J3574">
        <v>-403.5478</v>
      </c>
      <c r="K3574">
        <v>1.111081</v>
      </c>
      <c r="L3574">
        <v>213.53909999999999</v>
      </c>
      <c r="M3574">
        <v>0.99983979999999995</v>
      </c>
      <c r="N3574">
        <v>-1.285734E-2</v>
      </c>
      <c r="O3574">
        <v>1.2449450000000001E-2</v>
      </c>
      <c r="P3574">
        <v>0.92875700000000005</v>
      </c>
      <c r="Q3574">
        <v>0.337804299999999</v>
      </c>
      <c r="R3574">
        <v>0.1526391</v>
      </c>
      <c r="S3574">
        <v>3.291779</v>
      </c>
      <c r="T3574">
        <v>-0.26343050000000001</v>
      </c>
      <c r="U3574">
        <v>0.20722960000000001</v>
      </c>
      <c r="V3574">
        <v>-0.1420285</v>
      </c>
      <c r="W3574">
        <v>0.34935080000000002</v>
      </c>
      <c r="X3574">
        <v>0.92616520000000002</v>
      </c>
      <c r="Y3574">
        <v>-5.0240649999999998E-2</v>
      </c>
      <c r="Z3574">
        <v>1.4951420000000001E-3</v>
      </c>
      <c r="AA3574">
        <v>0.99873599999999996</v>
      </c>
      <c r="AB3574">
        <v>44</v>
      </c>
      <c r="AC3574">
        <v>13.467699999999899</v>
      </c>
      <c r="AD3574">
        <v>-1.111082494151</v>
      </c>
      <c r="AE3574">
        <v>0.86850000000001104</v>
      </c>
      <c r="AF3574">
        <v>-0.69603560878912396</v>
      </c>
      <c r="AG3574">
        <v>-1.111082494151</v>
      </c>
      <c r="AH3574">
        <v>13.386733691106601</v>
      </c>
      <c r="AI3574">
        <v>94.738233370901</v>
      </c>
      <c r="AJ3574">
        <v>92.976381280608805</v>
      </c>
      <c r="AK3574">
        <v>13.450784690646101</v>
      </c>
      <c r="AL3574">
        <v>69.552388285671597</v>
      </c>
      <c r="AM3574">
        <v>98.718454422513304</v>
      </c>
      <c r="AN3574">
        <v>1.00000002698196</v>
      </c>
    </row>
    <row r="3575" spans="1:40" x14ac:dyDescent="0.25">
      <c r="A3575" t="str">
        <f>"20190304164159858"</f>
        <v>20190304164159858</v>
      </c>
      <c r="B3575" t="str">
        <f>"1551688919844122"</f>
        <v>1551688919844122</v>
      </c>
      <c r="C3575" t="s">
        <v>40</v>
      </c>
      <c r="D3575">
        <v>4.0510320000000002</v>
      </c>
      <c r="E3575">
        <v>0.54374769999999994</v>
      </c>
      <c r="F3575" t="s">
        <v>46</v>
      </c>
      <c r="G3575">
        <v>-390.56029999999998</v>
      </c>
      <c r="H3575" s="1">
        <v>-1.238636E-6</v>
      </c>
      <c r="I3575">
        <v>214.38900000000001</v>
      </c>
      <c r="J3575">
        <v>-403.10419999999999</v>
      </c>
      <c r="K3575">
        <v>1.1110500000000001</v>
      </c>
      <c r="L3575">
        <v>213.5453</v>
      </c>
      <c r="M3575">
        <v>0.99982890000000002</v>
      </c>
      <c r="N3575">
        <v>-1.2794959999999999E-2</v>
      </c>
      <c r="O3575">
        <v>1.3355260000000001E-2</v>
      </c>
      <c r="P3575">
        <v>0.92866899999999997</v>
      </c>
      <c r="Q3575">
        <v>0.33797749999999999</v>
      </c>
      <c r="R3575">
        <v>0.15279110000000001</v>
      </c>
      <c r="S3575">
        <v>3.2972410000000001</v>
      </c>
      <c r="T3575">
        <v>-0.28207979999999999</v>
      </c>
      <c r="U3575">
        <v>0.21577450000000001</v>
      </c>
      <c r="V3575">
        <v>-0.14130699999999999</v>
      </c>
      <c r="W3575">
        <v>0.34948129999999999</v>
      </c>
      <c r="X3575">
        <v>0.92622629999999995</v>
      </c>
      <c r="Y3575">
        <v>-5.178601E-2</v>
      </c>
      <c r="Z3575">
        <v>1.5724859999999999E-3</v>
      </c>
      <c r="AA3575">
        <v>0.99865700000000002</v>
      </c>
      <c r="AB3575">
        <v>44</v>
      </c>
      <c r="AC3575">
        <v>12.543900000000001</v>
      </c>
      <c r="AD3575">
        <v>-1.1110512386360001</v>
      </c>
      <c r="AE3575">
        <v>0.843700000000012</v>
      </c>
      <c r="AF3575">
        <v>-0.670844775486236</v>
      </c>
      <c r="AG3575">
        <v>-1.1110512386360001</v>
      </c>
      <c r="AH3575">
        <v>12.456764366220501</v>
      </c>
      <c r="AI3575">
        <v>95.0895362471135</v>
      </c>
      <c r="AJ3575">
        <v>93.082620762678602</v>
      </c>
      <c r="AK3575">
        <v>12.524194426916701</v>
      </c>
      <c r="AL3575">
        <v>69.544407670841196</v>
      </c>
      <c r="AM3575">
        <v>98.674276845157806</v>
      </c>
      <c r="AN3575">
        <v>1.0000000030551801</v>
      </c>
    </row>
    <row r="3576" spans="1:40" x14ac:dyDescent="0.25">
      <c r="A3576" t="str">
        <f>"20190304164159881"</f>
        <v>20190304164159881</v>
      </c>
      <c r="B3576" t="str">
        <f>"1551688919874378"</f>
        <v>1551688919874378</v>
      </c>
      <c r="C3576" t="s">
        <v>40</v>
      </c>
      <c r="D3576">
        <v>4.0130800000000004</v>
      </c>
      <c r="E3576">
        <v>0.54365750000000002</v>
      </c>
      <c r="F3576" t="s">
        <v>46</v>
      </c>
      <c r="G3576">
        <v>-390.45549999999997</v>
      </c>
      <c r="H3576" s="1">
        <v>-1.2943860000000001E-6</v>
      </c>
      <c r="I3576">
        <v>214.3937</v>
      </c>
      <c r="J3576">
        <v>-402.65219999999999</v>
      </c>
      <c r="K3576">
        <v>1.1109800000000001</v>
      </c>
      <c r="L3576">
        <v>213.55199999999999</v>
      </c>
      <c r="M3576">
        <v>0.99981830000000005</v>
      </c>
      <c r="N3576">
        <v>-1.272802E-2</v>
      </c>
      <c r="O3576">
        <v>1.4192420000000001E-2</v>
      </c>
      <c r="P3576">
        <v>0.92840149999999999</v>
      </c>
      <c r="Q3576">
        <v>0.3381459</v>
      </c>
      <c r="R3576">
        <v>0.15403910000000001</v>
      </c>
      <c r="S3576">
        <v>3.2995000000000001</v>
      </c>
      <c r="T3576">
        <v>-0.28982459999999999</v>
      </c>
      <c r="U3576">
        <v>0.2212982</v>
      </c>
      <c r="V3576">
        <v>-0.14172650000000001</v>
      </c>
      <c r="W3576">
        <v>0.3496068</v>
      </c>
      <c r="X3576">
        <v>0.92611489999999996</v>
      </c>
      <c r="Y3576">
        <v>-5.2560309999999999E-2</v>
      </c>
      <c r="Z3576">
        <v>1.5745240000000001E-3</v>
      </c>
      <c r="AA3576">
        <v>0.99861650000000002</v>
      </c>
      <c r="AB3576">
        <v>44</v>
      </c>
      <c r="AC3576">
        <v>12.1967</v>
      </c>
      <c r="AD3576">
        <v>-1.11098129438599</v>
      </c>
      <c r="AE3576">
        <v>0.84169999999997402</v>
      </c>
      <c r="AF3576">
        <v>-0.66302536136848</v>
      </c>
      <c r="AG3576">
        <v>-1.11098129438599</v>
      </c>
      <c r="AH3576">
        <v>12.107437070698801</v>
      </c>
      <c r="AI3576">
        <v>95.234992584899402</v>
      </c>
      <c r="AJ3576">
        <v>93.134490709110395</v>
      </c>
      <c r="AK3576">
        <v>12.176367047983801</v>
      </c>
      <c r="AL3576">
        <v>69.536734181116699</v>
      </c>
      <c r="AM3576">
        <v>98.700665330118596</v>
      </c>
      <c r="AN3576">
        <v>1.00000006170524</v>
      </c>
    </row>
    <row r="3577" spans="1:40" x14ac:dyDescent="0.25">
      <c r="A3577" t="str">
        <f>"20190304164159903"</f>
        <v>20190304164159903</v>
      </c>
      <c r="B3577" t="str">
        <f>"1551688919894875"</f>
        <v>1551688919894875</v>
      </c>
      <c r="C3577" t="s">
        <v>40</v>
      </c>
      <c r="D3577">
        <v>4.0207949999999997</v>
      </c>
      <c r="E3577">
        <v>0.54352739999999999</v>
      </c>
      <c r="F3577" t="s">
        <v>46</v>
      </c>
      <c r="G3577">
        <v>-390.19510000000002</v>
      </c>
      <c r="H3577" s="1">
        <v>-1.43299E-6</v>
      </c>
      <c r="I3577">
        <v>214.4102</v>
      </c>
      <c r="J3577">
        <v>-402.21800000000002</v>
      </c>
      <c r="K3577">
        <v>1.1108819999999999</v>
      </c>
      <c r="L3577">
        <v>213.55879999999999</v>
      </c>
      <c r="M3577">
        <v>0.99980939999999996</v>
      </c>
      <c r="N3577">
        <v>-1.266196E-2</v>
      </c>
      <c r="O3577">
        <v>1.487103E-2</v>
      </c>
      <c r="P3577">
        <v>0.92815780000000003</v>
      </c>
      <c r="Q3577">
        <v>0.33817039999999998</v>
      </c>
      <c r="R3577">
        <v>0.155448</v>
      </c>
      <c r="S3577">
        <v>3.3009029999999999</v>
      </c>
      <c r="T3577">
        <v>-0.29438969999999998</v>
      </c>
      <c r="U3577">
        <v>0.22738649999999999</v>
      </c>
      <c r="V3577">
        <v>-0.14242959999999999</v>
      </c>
      <c r="W3577">
        <v>0.34959780000000001</v>
      </c>
      <c r="X3577">
        <v>0.92601040000000001</v>
      </c>
      <c r="Y3577">
        <v>-5.3679499999999998E-2</v>
      </c>
      <c r="Z3577">
        <v>1.5930810000000001E-3</v>
      </c>
      <c r="AA3577">
        <v>0.99855700000000003</v>
      </c>
      <c r="AB3577">
        <v>44</v>
      </c>
      <c r="AC3577">
        <v>12.0228999999999</v>
      </c>
      <c r="AD3577">
        <v>-1.1108834329899999</v>
      </c>
      <c r="AE3577">
        <v>0.85140000000001204</v>
      </c>
      <c r="AF3577">
        <v>-0.66683409414405104</v>
      </c>
      <c r="AG3577">
        <v>-1.1108834329899999</v>
      </c>
      <c r="AH3577">
        <v>11.9328668400489</v>
      </c>
      <c r="AI3577">
        <v>95.310350942782804</v>
      </c>
      <c r="AJ3577">
        <v>93.198483919740596</v>
      </c>
      <c r="AK3577">
        <v>12.0030013218837</v>
      </c>
      <c r="AL3577">
        <v>69.537284041720397</v>
      </c>
      <c r="AM3577">
        <v>98.744135079952798</v>
      </c>
      <c r="AN3577">
        <v>1.0000000368145701</v>
      </c>
    </row>
    <row r="3578" spans="1:40" x14ac:dyDescent="0.25">
      <c r="A3578" t="str">
        <f>"20190304164159929"</f>
        <v>20190304164159929</v>
      </c>
      <c r="B3578" t="str">
        <f>"1551688919914394"</f>
        <v>1551688919914394</v>
      </c>
      <c r="C3578" t="s">
        <v>40</v>
      </c>
      <c r="D3578">
        <v>4.0179720000000003</v>
      </c>
      <c r="E3578">
        <v>0.54347800000000002</v>
      </c>
      <c r="F3578" t="s">
        <v>46</v>
      </c>
      <c r="G3578">
        <v>-389.79910000000001</v>
      </c>
      <c r="H3578" s="1">
        <v>3.685625E-6</v>
      </c>
      <c r="I3578">
        <v>214.43719999999999</v>
      </c>
      <c r="J3578">
        <v>-401.72230000000002</v>
      </c>
      <c r="K3578">
        <v>1.1107389999999999</v>
      </c>
      <c r="L3578">
        <v>213.5667</v>
      </c>
      <c r="M3578">
        <v>0.99980139999999995</v>
      </c>
      <c r="N3578">
        <v>-1.258627E-2</v>
      </c>
      <c r="O3578">
        <v>1.545436E-2</v>
      </c>
      <c r="P3578">
        <v>0.92788610000000005</v>
      </c>
      <c r="Q3578">
        <v>0.33808059999999901</v>
      </c>
      <c r="R3578">
        <v>0.1572539</v>
      </c>
      <c r="S3578">
        <v>3.3006899999999999</v>
      </c>
      <c r="T3578">
        <v>-0.2952478</v>
      </c>
      <c r="U3578">
        <v>0.23345949999999999</v>
      </c>
      <c r="V3578">
        <v>-0.1435785</v>
      </c>
      <c r="W3578">
        <v>0.34948119999999999</v>
      </c>
      <c r="X3578">
        <v>0.9258769</v>
      </c>
      <c r="Y3578">
        <v>-5.4924960000000002E-2</v>
      </c>
      <c r="Z3578">
        <v>1.6117460000000001E-3</v>
      </c>
      <c r="AA3578">
        <v>0.99848919999999997</v>
      </c>
      <c r="AB3578">
        <v>44</v>
      </c>
      <c r="AC3578">
        <v>11.9232</v>
      </c>
      <c r="AD3578">
        <v>-1.1107353143749901</v>
      </c>
      <c r="AE3578">
        <v>0.87049999999999195</v>
      </c>
      <c r="AF3578">
        <v>-0.68024393728550503</v>
      </c>
      <c r="AG3578">
        <v>-1.1107353143749901</v>
      </c>
      <c r="AH3578">
        <v>11.833083151263301</v>
      </c>
      <c r="AI3578">
        <v>95.353679401633201</v>
      </c>
      <c r="AJ3578">
        <v>93.290119510932698</v>
      </c>
      <c r="AK3578">
        <v>11.9045504584392</v>
      </c>
      <c r="AL3578">
        <v>69.544412959577997</v>
      </c>
      <c r="AM3578">
        <v>98.814816889056502</v>
      </c>
      <c r="AN3578">
        <v>0.999999964384649</v>
      </c>
    </row>
    <row r="3579" spans="1:40" x14ac:dyDescent="0.25">
      <c r="A3579" t="str">
        <f>"20190304164159947"</f>
        <v>20190304164159947</v>
      </c>
      <c r="B3579" t="str">
        <f>"1551688919934890"</f>
        <v>1551688919934890</v>
      </c>
      <c r="C3579" t="s">
        <v>40</v>
      </c>
      <c r="D3579">
        <v>4.0018370000000001</v>
      </c>
      <c r="E3579">
        <v>0.5435103</v>
      </c>
      <c r="F3579" t="s">
        <v>46</v>
      </c>
      <c r="G3579">
        <v>-389.37810000000002</v>
      </c>
      <c r="H3579" s="1">
        <v>3.4603320000000002E-6</v>
      </c>
      <c r="I3579">
        <v>214.46549999999999</v>
      </c>
      <c r="J3579">
        <v>-401.36070000000001</v>
      </c>
      <c r="K3579">
        <v>1.110633</v>
      </c>
      <c r="L3579">
        <v>213.57249999999999</v>
      </c>
      <c r="M3579">
        <v>0.99979709999999999</v>
      </c>
      <c r="N3579">
        <v>-1.253285E-2</v>
      </c>
      <c r="O3579">
        <v>1.5778090000000002E-2</v>
      </c>
      <c r="P3579">
        <v>0.9276934</v>
      </c>
      <c r="Q3579">
        <v>0.33788410000000002</v>
      </c>
      <c r="R3579">
        <v>0.15880569999999999</v>
      </c>
      <c r="S3579">
        <v>3.3006289999999998</v>
      </c>
      <c r="T3579">
        <v>-0.29699150000000002</v>
      </c>
      <c r="U3579">
        <v>0.2403412</v>
      </c>
      <c r="V3579">
        <v>-0.14474110000000001</v>
      </c>
      <c r="W3579">
        <v>0.349269</v>
      </c>
      <c r="X3579">
        <v>0.92577589999999998</v>
      </c>
      <c r="Y3579">
        <v>-5.6665100000000003E-2</v>
      </c>
      <c r="Z3579">
        <v>1.6797079999999901E-3</v>
      </c>
      <c r="AA3579">
        <v>0.99839180000000005</v>
      </c>
      <c r="AB3579">
        <v>44</v>
      </c>
      <c r="AC3579">
        <v>11.9825999999999</v>
      </c>
      <c r="AD3579">
        <v>-1.1106295396679999</v>
      </c>
      <c r="AE3579">
        <v>0.89300000000000002</v>
      </c>
      <c r="AF3579">
        <v>-0.697849444043664</v>
      </c>
      <c r="AG3579">
        <v>-1.1106295396679999</v>
      </c>
      <c r="AH3579">
        <v>11.8935873669603</v>
      </c>
      <c r="AI3579">
        <v>95.325733173912994</v>
      </c>
      <c r="AJ3579">
        <v>93.357947206099098</v>
      </c>
      <c r="AK3579">
        <v>11.9656973167657</v>
      </c>
      <c r="AL3579">
        <v>69.557387849814404</v>
      </c>
      <c r="AM3579">
        <v>98.886012741566404</v>
      </c>
      <c r="AN3579">
        <v>0.99999991870550597</v>
      </c>
    </row>
    <row r="3580" spans="1:40" x14ac:dyDescent="0.25">
      <c r="A3580" t="str">
        <f>"20190304164159971"</f>
        <v>20190304164159971</v>
      </c>
      <c r="B3580" t="str">
        <f>"1551688919964170"</f>
        <v>1551688919964170</v>
      </c>
      <c r="C3580" t="s">
        <v>40</v>
      </c>
      <c r="D3580">
        <v>4.0044599999999999</v>
      </c>
      <c r="E3580">
        <v>0.54357270000000002</v>
      </c>
      <c r="F3580" t="s">
        <v>46</v>
      </c>
      <c r="G3580">
        <v>-389.09980000000002</v>
      </c>
      <c r="H3580" s="1">
        <v>3.311293E-6</v>
      </c>
      <c r="I3580">
        <v>214.48740000000001</v>
      </c>
      <c r="J3580">
        <v>-400.88630000000001</v>
      </c>
      <c r="K3580">
        <v>1.1104860000000001</v>
      </c>
      <c r="L3580">
        <v>213.58019999999999</v>
      </c>
      <c r="M3580">
        <v>0.99979320000000005</v>
      </c>
      <c r="N3580">
        <v>-1.2466359999999999E-2</v>
      </c>
      <c r="O3580">
        <v>1.606279E-2</v>
      </c>
      <c r="P3580">
        <v>0.9276356</v>
      </c>
      <c r="Q3580">
        <v>0.33761350000000001</v>
      </c>
      <c r="R3580">
        <v>0.159717</v>
      </c>
      <c r="S3580">
        <v>3.3005680000000002</v>
      </c>
      <c r="T3580">
        <v>-0.2989752</v>
      </c>
      <c r="U3580">
        <v>0.24629210000000001</v>
      </c>
      <c r="V3580">
        <v>-0.14527229999999999</v>
      </c>
      <c r="W3580">
        <v>0.34898390000000001</v>
      </c>
      <c r="X3580">
        <v>0.92580030000000002</v>
      </c>
      <c r="Y3580">
        <v>-5.8164140000000003E-2</v>
      </c>
      <c r="Z3580">
        <v>1.7391189999999999E-3</v>
      </c>
      <c r="AA3580">
        <v>0.99830549999999996</v>
      </c>
      <c r="AB3580">
        <v>44</v>
      </c>
      <c r="AC3580">
        <v>11.786499999999901</v>
      </c>
      <c r="AD3580">
        <v>-1.1104826887070001</v>
      </c>
      <c r="AE3580">
        <v>0.90720000000001699</v>
      </c>
      <c r="AF3580">
        <v>-0.71146583129031504</v>
      </c>
      <c r="AG3580">
        <v>-1.1104826887070001</v>
      </c>
      <c r="AH3580">
        <v>11.696338452404699</v>
      </c>
      <c r="AI3580">
        <v>95.413615888064697</v>
      </c>
      <c r="AJ3580">
        <v>93.480903408016502</v>
      </c>
      <c r="AK3580">
        <v>11.7704583013667</v>
      </c>
      <c r="AL3580">
        <v>69.574821495762194</v>
      </c>
      <c r="AM3580">
        <v>98.917869912642601</v>
      </c>
      <c r="AN3580">
        <v>0.99999999954329499</v>
      </c>
    </row>
    <row r="3581" spans="1:40" x14ac:dyDescent="0.25">
      <c r="A3581" t="str">
        <f>"20190304164159994"</f>
        <v>20190304164159994</v>
      </c>
      <c r="B3581" t="str">
        <f>"1551688919984666"</f>
        <v>1551688919984666</v>
      </c>
      <c r="C3581" t="s">
        <v>40</v>
      </c>
      <c r="D3581">
        <v>3.980712</v>
      </c>
      <c r="E3581">
        <v>0.54360920000000001</v>
      </c>
      <c r="F3581" t="s">
        <v>46</v>
      </c>
      <c r="G3581">
        <v>-388.73200000000003</v>
      </c>
      <c r="H3581" s="1">
        <v>3.114838E-6</v>
      </c>
      <c r="I3581">
        <v>214.50389999999999</v>
      </c>
      <c r="J3581">
        <v>-400.4357</v>
      </c>
      <c r="K3581">
        <v>1.110352</v>
      </c>
      <c r="L3581">
        <v>213.5874</v>
      </c>
      <c r="M3581">
        <v>0.99979209999999996</v>
      </c>
      <c r="N3581">
        <v>-1.240523E-2</v>
      </c>
      <c r="O3581">
        <v>1.6187940000000001E-2</v>
      </c>
      <c r="P3581">
        <v>0.92752950000000001</v>
      </c>
      <c r="Q3581">
        <v>0.33794619999999997</v>
      </c>
      <c r="R3581">
        <v>0.15962939999999901</v>
      </c>
      <c r="S3581">
        <v>3.3005979999999999</v>
      </c>
      <c r="T3581">
        <v>-0.30155900000000002</v>
      </c>
      <c r="U3581">
        <v>0.25083919999999998</v>
      </c>
      <c r="V3581">
        <v>-0.14496249999999999</v>
      </c>
      <c r="W3581">
        <v>0.3493038</v>
      </c>
      <c r="X3581">
        <v>0.9257282</v>
      </c>
      <c r="Y3581">
        <v>-5.9397459999999999E-2</v>
      </c>
      <c r="Z3581">
        <v>1.8004010000000001E-3</v>
      </c>
      <c r="AA3581">
        <v>0.99823280000000003</v>
      </c>
      <c r="AB3581">
        <v>44</v>
      </c>
      <c r="AC3581">
        <v>11.7037</v>
      </c>
      <c r="AD3581">
        <v>-1.110348885162</v>
      </c>
      <c r="AE3581">
        <v>0.91649999999998499</v>
      </c>
      <c r="AF3581">
        <v>-0.72046145481873902</v>
      </c>
      <c r="AG3581">
        <v>-1.110348885162</v>
      </c>
      <c r="AH3581">
        <v>11.613115373345799</v>
      </c>
      <c r="AI3581">
        <v>95.451124116030201</v>
      </c>
      <c r="AJ3581">
        <v>93.550000386673702</v>
      </c>
      <c r="AK3581">
        <v>11.688301332071299</v>
      </c>
      <c r="AL3581">
        <v>69.555261362422598</v>
      </c>
      <c r="AM3581">
        <v>98.899838852595593</v>
      </c>
      <c r="AN3581">
        <v>0.999999985687964</v>
      </c>
    </row>
    <row r="3582" spans="1:40" x14ac:dyDescent="0.25">
      <c r="A3582" t="str">
        <f>"20190304164200016"</f>
        <v>20190304164200016</v>
      </c>
      <c r="B3582" t="str">
        <f>"1551688920004186"</f>
        <v>1551688920004186</v>
      </c>
      <c r="C3582" t="s">
        <v>40</v>
      </c>
      <c r="D3582">
        <v>3.9745210000000002</v>
      </c>
      <c r="E3582">
        <v>0.54363719999999904</v>
      </c>
      <c r="F3582" t="s">
        <v>46</v>
      </c>
      <c r="G3582">
        <v>-388.28519999999997</v>
      </c>
      <c r="H3582" s="1">
        <v>2.8765560000000002E-6</v>
      </c>
      <c r="I3582">
        <v>214.51679999999999</v>
      </c>
      <c r="J3582">
        <v>-400.00709999999998</v>
      </c>
      <c r="K3582">
        <v>1.1102339999999999</v>
      </c>
      <c r="L3582">
        <v>213.59440000000001</v>
      </c>
      <c r="M3582">
        <v>0.99979300000000004</v>
      </c>
      <c r="N3582">
        <v>-1.23506E-2</v>
      </c>
      <c r="O3582">
        <v>1.617323E-2</v>
      </c>
      <c r="P3582">
        <v>0.92775240000000003</v>
      </c>
      <c r="Q3582">
        <v>0.33762880000000001</v>
      </c>
      <c r="R3582">
        <v>0.15900449999999999</v>
      </c>
      <c r="S3582">
        <v>3.3009029999999999</v>
      </c>
      <c r="T3582">
        <v>-0.30164839999999998</v>
      </c>
      <c r="U3582">
        <v>0.25248720000000002</v>
      </c>
      <c r="V3582">
        <v>-0.14424500000000001</v>
      </c>
      <c r="W3582">
        <v>0.34898129999999999</v>
      </c>
      <c r="X3582">
        <v>0.9259619</v>
      </c>
      <c r="Y3582">
        <v>-5.9898420000000001E-2</v>
      </c>
      <c r="Z3582">
        <v>1.8251949999999999E-3</v>
      </c>
      <c r="AA3582">
        <v>0.99820279999999995</v>
      </c>
      <c r="AB3582">
        <v>44</v>
      </c>
      <c r="AC3582">
        <v>11.7219</v>
      </c>
      <c r="AD3582">
        <v>-1.1102311234440001</v>
      </c>
      <c r="AE3582">
        <v>0.92239999999998201</v>
      </c>
      <c r="AF3582">
        <v>-0.72620932427527696</v>
      </c>
      <c r="AG3582">
        <v>-1.1102311234440001</v>
      </c>
      <c r="AH3582">
        <v>11.6315835510556</v>
      </c>
      <c r="AI3582">
        <v>95.441814599607895</v>
      </c>
      <c r="AJ3582">
        <v>93.572582453234503</v>
      </c>
      <c r="AK3582">
        <v>11.7069948763683</v>
      </c>
      <c r="AL3582">
        <v>69.574980554301305</v>
      </c>
      <c r="AM3582">
        <v>98.854288790002201</v>
      </c>
      <c r="AN3582">
        <v>1.00000000401315</v>
      </c>
    </row>
    <row r="3583" spans="1:40" x14ac:dyDescent="0.25">
      <c r="A3583" t="str">
        <f>"20190304164200037"</f>
        <v>20190304164200037</v>
      </c>
      <c r="B3583" t="str">
        <f>"1551688920024681"</f>
        <v>1551688920024681</v>
      </c>
      <c r="C3583" t="s">
        <v>40</v>
      </c>
      <c r="D3583">
        <v>3.975174</v>
      </c>
      <c r="E3583">
        <v>0.54370450000000003</v>
      </c>
      <c r="F3583" t="s">
        <v>46</v>
      </c>
      <c r="G3583">
        <v>-387.96620000000001</v>
      </c>
      <c r="H3583" s="1">
        <v>2.706973E-6</v>
      </c>
      <c r="I3583">
        <v>214.5128</v>
      </c>
      <c r="J3583">
        <v>-399.59519999999998</v>
      </c>
      <c r="K3583">
        <v>1.110117</v>
      </c>
      <c r="L3583">
        <v>213.601</v>
      </c>
      <c r="M3583">
        <v>0.99979560000000001</v>
      </c>
      <c r="N3583">
        <v>-1.230069E-2</v>
      </c>
      <c r="O3583">
        <v>1.60485E-2</v>
      </c>
      <c r="P3583">
        <v>0.927929</v>
      </c>
      <c r="Q3583">
        <v>0.33776889999999998</v>
      </c>
      <c r="R3583">
        <v>0.1576719</v>
      </c>
      <c r="S3583">
        <v>3.3012999999999999</v>
      </c>
      <c r="T3583">
        <v>-0.3043979</v>
      </c>
      <c r="U3583">
        <v>0.25181579999999998</v>
      </c>
      <c r="V3583">
        <v>-0.142928</v>
      </c>
      <c r="W3583">
        <v>0.34911799999999998</v>
      </c>
      <c r="X3583">
        <v>0.92611460000000001</v>
      </c>
      <c r="Y3583">
        <v>-5.9808500000000001E-2</v>
      </c>
      <c r="Z3583">
        <v>1.839381E-3</v>
      </c>
      <c r="AA3583">
        <v>0.99820819999999999</v>
      </c>
      <c r="AB3583">
        <v>44</v>
      </c>
      <c r="AC3583">
        <v>11.6289999999999</v>
      </c>
      <c r="AD3583">
        <v>-1.110114293027</v>
      </c>
      <c r="AE3583">
        <v>0.91179999999999894</v>
      </c>
      <c r="AF3583">
        <v>-0.71853262028362896</v>
      </c>
      <c r="AG3583">
        <v>-1.110114293027</v>
      </c>
      <c r="AH3583">
        <v>11.5376387715755</v>
      </c>
      <c r="AI3583">
        <v>95.485334545167603</v>
      </c>
      <c r="AJ3583">
        <v>93.563622243593898</v>
      </c>
      <c r="AK3583">
        <v>11.613171457158399</v>
      </c>
      <c r="AL3583">
        <v>69.56662291536</v>
      </c>
      <c r="AM3583">
        <v>98.773285995613406</v>
      </c>
      <c r="AN3583">
        <v>1.00000002172057</v>
      </c>
    </row>
    <row r="3584" spans="1:40" x14ac:dyDescent="0.25">
      <c r="A3584" t="str">
        <f>"20190304164200059"</f>
        <v>20190304164200059</v>
      </c>
      <c r="B3584" t="str">
        <f>"1551688920044202"</f>
        <v>1551688920044202</v>
      </c>
      <c r="C3584" t="s">
        <v>40</v>
      </c>
      <c r="D3584">
        <v>3.9544009999999998</v>
      </c>
      <c r="E3584">
        <v>0.54378219999999899</v>
      </c>
      <c r="F3584" t="s">
        <v>46</v>
      </c>
      <c r="G3584">
        <v>-387.5908</v>
      </c>
      <c r="H3584" s="1">
        <v>2.5076540000000001E-6</v>
      </c>
      <c r="I3584">
        <v>214.50149999999999</v>
      </c>
      <c r="J3584">
        <v>-399.16059999999999</v>
      </c>
      <c r="K3584">
        <v>1.110001</v>
      </c>
      <c r="L3584">
        <v>213.6078</v>
      </c>
      <c r="M3584">
        <v>0.99979980000000002</v>
      </c>
      <c r="N3584">
        <v>-1.224489E-2</v>
      </c>
      <c r="O3584">
        <v>1.5828709999999999E-2</v>
      </c>
      <c r="P3584">
        <v>0.92811779999999999</v>
      </c>
      <c r="Q3584">
        <v>0.33803050000000001</v>
      </c>
      <c r="R3584">
        <v>0.15599080000000001</v>
      </c>
      <c r="S3584">
        <v>3.3020320000000001</v>
      </c>
      <c r="T3584">
        <v>-0.30535770000000001</v>
      </c>
      <c r="U3584">
        <v>0.24771119999999999</v>
      </c>
      <c r="V3584">
        <v>-0.1413499</v>
      </c>
      <c r="W3584">
        <v>0.34937000000000001</v>
      </c>
      <c r="X3584">
        <v>0.92626169999999997</v>
      </c>
      <c r="Y3584">
        <v>-5.8780560000000003E-2</v>
      </c>
      <c r="Z3584">
        <v>1.8044599999999999E-3</v>
      </c>
      <c r="AA3584">
        <v>0.99826930000000003</v>
      </c>
      <c r="AB3584">
        <v>44</v>
      </c>
      <c r="AC3584">
        <v>11.569799999999899</v>
      </c>
      <c r="AD3584">
        <v>-1.109998492346</v>
      </c>
      <c r="AE3584">
        <v>0.89369999999999505</v>
      </c>
      <c r="AF3584">
        <v>-0.703997881992387</v>
      </c>
      <c r="AG3584">
        <v>-1.109998492346</v>
      </c>
      <c r="AH3584">
        <v>11.477481327712701</v>
      </c>
      <c r="AI3584">
        <v>95.513653843547004</v>
      </c>
      <c r="AJ3584">
        <v>93.509971839599402</v>
      </c>
      <c r="AK3584">
        <v>11.552501343815299</v>
      </c>
      <c r="AL3584">
        <v>69.551212882139794</v>
      </c>
      <c r="AM3584">
        <v>98.676543665257697</v>
      </c>
      <c r="AN3584">
        <v>0.99999996400844904</v>
      </c>
    </row>
    <row r="3585" spans="1:40" x14ac:dyDescent="0.25">
      <c r="A3585" t="str">
        <f>"20190304164200083"</f>
        <v>20190304164200083</v>
      </c>
      <c r="B3585" t="str">
        <f>"1551688920074460"</f>
        <v>1551688920074460</v>
      </c>
      <c r="C3585" t="s">
        <v>40</v>
      </c>
      <c r="D3585">
        <v>4.0105130000000004</v>
      </c>
      <c r="E3585">
        <v>0.54459239999999998</v>
      </c>
      <c r="F3585" t="s">
        <v>46</v>
      </c>
      <c r="G3585">
        <v>-387.16609999999997</v>
      </c>
      <c r="H3585" s="1">
        <v>2.28214E-6</v>
      </c>
      <c r="I3585">
        <v>214.49119999999999</v>
      </c>
      <c r="J3585">
        <v>-398.69549999999998</v>
      </c>
      <c r="K3585">
        <v>1.1098889999999999</v>
      </c>
      <c r="L3585">
        <v>213.61500000000001</v>
      </c>
      <c r="M3585">
        <v>0.99980530000000001</v>
      </c>
      <c r="N3585">
        <v>-1.217758E-2</v>
      </c>
      <c r="O3585">
        <v>1.552708E-2</v>
      </c>
      <c r="P3585">
        <v>0.92838670000000001</v>
      </c>
      <c r="Q3585">
        <v>0.33817530000000001</v>
      </c>
      <c r="R3585">
        <v>0.1540648</v>
      </c>
      <c r="S3585">
        <v>3.3027950000000001</v>
      </c>
      <c r="T3585">
        <v>-0.30565049999999999</v>
      </c>
      <c r="U3585">
        <v>0.24325559999999999</v>
      </c>
      <c r="V3585">
        <v>-0.1396057</v>
      </c>
      <c r="W3585">
        <v>0.34949330000000001</v>
      </c>
      <c r="X3585">
        <v>0.92647979999999996</v>
      </c>
      <c r="Y3585">
        <v>-5.7729219999999998E-2</v>
      </c>
      <c r="Z3585">
        <v>1.7716079999999901E-3</v>
      </c>
      <c r="AA3585">
        <v>0.99833070000000002</v>
      </c>
      <c r="AB3585">
        <v>44</v>
      </c>
      <c r="AC3585">
        <v>11.529400000000001</v>
      </c>
      <c r="AD3585">
        <v>-1.10988671785999</v>
      </c>
      <c r="AE3585">
        <v>0.87619999999998199</v>
      </c>
      <c r="AF3585">
        <v>-0.69069914406214195</v>
      </c>
      <c r="AG3585">
        <v>-1.10988671785999</v>
      </c>
      <c r="AH3585">
        <v>11.4362434927206</v>
      </c>
      <c r="AI3585">
        <v>95.5331725575886</v>
      </c>
      <c r="AJ3585">
        <v>93.456216511804797</v>
      </c>
      <c r="AK3585">
        <v>11.5107158360757</v>
      </c>
      <c r="AL3585">
        <v>69.543675257051206</v>
      </c>
      <c r="AM3585">
        <v>98.569090770734704</v>
      </c>
      <c r="AN3585">
        <v>1.0000000690127</v>
      </c>
    </row>
    <row r="3586" spans="1:40" x14ac:dyDescent="0.25">
      <c r="A3586" t="str">
        <f>"20190304164200104"</f>
        <v>20190304164200104</v>
      </c>
      <c r="B3586" t="str">
        <f>"1551688920094954"</f>
        <v>1551688920094954</v>
      </c>
      <c r="C3586" t="s">
        <v>40</v>
      </c>
      <c r="D3586">
        <v>4.0510010000000003</v>
      </c>
      <c r="E3586">
        <v>0.57282230000000001</v>
      </c>
      <c r="F3586" t="s">
        <v>46</v>
      </c>
      <c r="G3586">
        <v>-386.61709999999999</v>
      </c>
      <c r="H3586" s="1">
        <v>1.9914269999999998E-6</v>
      </c>
      <c r="I3586">
        <v>214.45750000000001</v>
      </c>
      <c r="J3586">
        <v>-398.274</v>
      </c>
      <c r="K3586">
        <v>1.109793</v>
      </c>
      <c r="L3586">
        <v>213.62129999999999</v>
      </c>
      <c r="M3586">
        <v>0.99981100000000001</v>
      </c>
      <c r="N3586">
        <v>-1.2110279999999999E-2</v>
      </c>
      <c r="O3586">
        <v>1.521312E-2</v>
      </c>
      <c r="P3586">
        <v>0.92849119999999996</v>
      </c>
      <c r="Q3586">
        <v>0.33856829999999999</v>
      </c>
      <c r="R3586">
        <v>0.15256430000000001</v>
      </c>
      <c r="S3586">
        <v>3.3037719999999999</v>
      </c>
      <c r="T3586">
        <v>-0.30358359999999901</v>
      </c>
      <c r="U3586">
        <v>0.23043820000000001</v>
      </c>
      <c r="V3586">
        <v>-0.1383231</v>
      </c>
      <c r="W3586">
        <v>0.34985329999999998</v>
      </c>
      <c r="X3586">
        <v>0.92653620000000003</v>
      </c>
      <c r="Y3586">
        <v>-5.4186320000000003E-2</v>
      </c>
      <c r="Z3586">
        <v>1.6012800000000001E-3</v>
      </c>
      <c r="AA3586">
        <v>0.99852960000000002</v>
      </c>
      <c r="AB3586">
        <v>44</v>
      </c>
      <c r="AC3586">
        <v>11.6569</v>
      </c>
      <c r="AD3586">
        <v>-1.1097910085730001</v>
      </c>
      <c r="AE3586">
        <v>0.83620000000001904</v>
      </c>
      <c r="AF3586">
        <v>-0.65286517750698403</v>
      </c>
      <c r="AG3586">
        <v>-1.1097910085730001</v>
      </c>
      <c r="AH3586">
        <v>11.563994367065</v>
      </c>
      <c r="AI3586">
        <v>95.473197569459003</v>
      </c>
      <c r="AJ3586">
        <v>93.231301513945098</v>
      </c>
      <c r="AK3586">
        <v>11.635455931944501</v>
      </c>
      <c r="AL3586">
        <v>69.521656820853195</v>
      </c>
      <c r="AM3586">
        <v>98.4910075202271</v>
      </c>
      <c r="AN3586">
        <v>0.99999997071246904</v>
      </c>
    </row>
    <row r="3587" spans="1:40" x14ac:dyDescent="0.25">
      <c r="A3587" t="str">
        <f>"20190304164200125"</f>
        <v>20190304164200125</v>
      </c>
      <c r="B3587" t="str">
        <f>"1551688920114474"</f>
        <v>1551688920114474</v>
      </c>
      <c r="C3587" t="s">
        <v>40</v>
      </c>
      <c r="D3587">
        <v>3.9949180000000002</v>
      </c>
      <c r="E3587">
        <v>0.57566110000000004</v>
      </c>
      <c r="F3587" t="s">
        <v>41</v>
      </c>
      <c r="G3587">
        <v>-397.20310000000001</v>
      </c>
      <c r="H3587">
        <v>1.0258160000000001</v>
      </c>
      <c r="I3587">
        <v>213.62049999999999</v>
      </c>
      <c r="J3587">
        <v>-397.86130000000003</v>
      </c>
      <c r="K3587">
        <v>1.1097159999999999</v>
      </c>
      <c r="L3587">
        <v>213.62739999999999</v>
      </c>
      <c r="M3587">
        <v>0.99981679999999995</v>
      </c>
      <c r="N3587">
        <v>-1.2043160000000001E-2</v>
      </c>
      <c r="O3587">
        <v>1.4881709999999999E-2</v>
      </c>
      <c r="P3587">
        <v>0.92862029999999995</v>
      </c>
      <c r="Q3587">
        <v>0.338754</v>
      </c>
      <c r="R3587">
        <v>0.1513611</v>
      </c>
      <c r="S3587">
        <v>3.3265380000000002</v>
      </c>
      <c r="T3587">
        <v>-0.26090010000000002</v>
      </c>
      <c r="U3587">
        <v>-2.166748E-3</v>
      </c>
      <c r="V3587">
        <v>-0.137367299999999</v>
      </c>
      <c r="W3587">
        <v>0.35000029999999999</v>
      </c>
      <c r="X3587">
        <v>0.92662290000000003</v>
      </c>
      <c r="Y3587">
        <v>1.544658E-2</v>
      </c>
      <c r="Z3587">
        <v>-1.684339E-3</v>
      </c>
      <c r="AA3587">
        <v>0.99987930000000003</v>
      </c>
      <c r="AB3587">
        <v>44</v>
      </c>
      <c r="AC3587">
        <v>0.65820000000002199</v>
      </c>
      <c r="AD3587">
        <v>-8.3899999999999794E-2</v>
      </c>
      <c r="AE3587">
        <v>-6.90000000000168E-3</v>
      </c>
      <c r="AF3587">
        <v>1.64281861434292E-2</v>
      </c>
      <c r="AG3587">
        <v>-8.3899999999999794E-2</v>
      </c>
      <c r="AH3587">
        <v>0.647504709502706</v>
      </c>
      <c r="AI3587">
        <v>97.380579109811194</v>
      </c>
      <c r="AJ3587">
        <v>88.546630122687304</v>
      </c>
      <c r="AK3587">
        <v>0.65312437110258503</v>
      </c>
      <c r="AL3587">
        <v>69.512666363758001</v>
      </c>
      <c r="AM3587">
        <v>98.432404305826196</v>
      </c>
      <c r="AN3587">
        <v>0.99999999195689504</v>
      </c>
    </row>
    <row r="3588" spans="1:40" x14ac:dyDescent="0.25">
      <c r="A3588" t="str">
        <f>"20190304164200138"</f>
        <v>20190304164200138</v>
      </c>
      <c r="B3588" t="str">
        <f>"1551688920124234"</f>
        <v>1551688920124234</v>
      </c>
      <c r="C3588" t="s">
        <v>40</v>
      </c>
      <c r="D3588">
        <v>4.035164</v>
      </c>
      <c r="E3588">
        <v>0.57622959999999901</v>
      </c>
      <c r="F3588" t="s">
        <v>41</v>
      </c>
      <c r="G3588">
        <v>-396.80810000000002</v>
      </c>
      <c r="H3588">
        <v>1.0292509999999999</v>
      </c>
      <c r="I3588">
        <v>213.61709999999999</v>
      </c>
      <c r="J3588">
        <v>-397.59230000000002</v>
      </c>
      <c r="K3588">
        <v>1.109669</v>
      </c>
      <c r="L3588">
        <v>213.63130000000001</v>
      </c>
      <c r="M3588">
        <v>0.99982079999999995</v>
      </c>
      <c r="N3588">
        <v>-1.199766E-2</v>
      </c>
      <c r="O3588">
        <v>1.465553E-2</v>
      </c>
      <c r="P3588">
        <v>0.92876429999999999</v>
      </c>
      <c r="Q3588">
        <v>0.33861720000000001</v>
      </c>
      <c r="R3588">
        <v>0.15078339999999901</v>
      </c>
      <c r="S3588">
        <v>3.328522</v>
      </c>
      <c r="T3588">
        <v>-0.25440479999999999</v>
      </c>
      <c r="U3588">
        <v>-3.143311E-2</v>
      </c>
      <c r="V3588">
        <v>-0.13696630000000001</v>
      </c>
      <c r="W3588">
        <v>0.34983500000000001</v>
      </c>
      <c r="X3588">
        <v>0.92674469999999998</v>
      </c>
      <c r="Y3588">
        <v>2.3986710000000001E-2</v>
      </c>
      <c r="Z3588">
        <v>-2.002322E-3</v>
      </c>
      <c r="AA3588">
        <v>0.99971030000000005</v>
      </c>
      <c r="AB3588">
        <v>44</v>
      </c>
      <c r="AC3588">
        <v>0.78419999999999801</v>
      </c>
      <c r="AD3588">
        <v>-8.0418000000000101E-2</v>
      </c>
      <c r="AE3588">
        <v>-1.42000000000166E-2</v>
      </c>
      <c r="AF3588">
        <v>2.5424884681065799E-2</v>
      </c>
      <c r="AG3588">
        <v>-8.0418000000000101E-2</v>
      </c>
      <c r="AH3588">
        <v>0.77575246110182605</v>
      </c>
      <c r="AI3588">
        <v>95.915245467097606</v>
      </c>
      <c r="AJ3588">
        <v>88.122832472431895</v>
      </c>
      <c r="AK3588">
        <v>0.780323881725137</v>
      </c>
      <c r="AL3588">
        <v>69.522777046192203</v>
      </c>
      <c r="AM3588">
        <v>98.407051714850297</v>
      </c>
      <c r="AN3588">
        <v>1.0000000167693801</v>
      </c>
    </row>
    <row r="3589" spans="1:40" x14ac:dyDescent="0.25">
      <c r="A3589" t="str">
        <f>"20190304164200160"</f>
        <v>20190304164200160</v>
      </c>
      <c r="B3589" t="str">
        <f>"1551688920154491"</f>
        <v>1551688920154491</v>
      </c>
      <c r="C3589" t="s">
        <v>40</v>
      </c>
      <c r="D3589">
        <v>4.051221</v>
      </c>
      <c r="E3589">
        <v>0.57623690000000005</v>
      </c>
      <c r="F3589" t="s">
        <v>46</v>
      </c>
      <c r="G3589">
        <v>-382.96280000000002</v>
      </c>
      <c r="H3589" s="1">
        <v>9.0407649999999999E-8</v>
      </c>
      <c r="I3589">
        <v>213.4598</v>
      </c>
      <c r="J3589">
        <v>-397.17219999999998</v>
      </c>
      <c r="K3589">
        <v>1.109607</v>
      </c>
      <c r="L3589">
        <v>213.63720000000001</v>
      </c>
      <c r="M3589">
        <v>0.99982680000000002</v>
      </c>
      <c r="N3589">
        <v>-1.192037E-2</v>
      </c>
      <c r="O3589">
        <v>1.429211E-2</v>
      </c>
      <c r="P3589">
        <v>0.92898360000000002</v>
      </c>
      <c r="Q3589">
        <v>0.3382946</v>
      </c>
      <c r="R3589">
        <v>0.15015479999999901</v>
      </c>
      <c r="S3589">
        <v>3.3284609999999999</v>
      </c>
      <c r="T3589">
        <v>-0.25246849999999998</v>
      </c>
      <c r="U3589">
        <v>-3.9016719999999998E-2</v>
      </c>
      <c r="V3589">
        <v>-0.13663149999999999</v>
      </c>
      <c r="W3589">
        <v>0.34945890000000002</v>
      </c>
      <c r="X3589">
        <v>0.92693599999999998</v>
      </c>
      <c r="Y3589">
        <v>2.589702E-2</v>
      </c>
      <c r="Z3589">
        <v>-2.0476560000000001E-3</v>
      </c>
      <c r="AA3589">
        <v>0.99966250000000001</v>
      </c>
      <c r="AB3589">
        <v>44</v>
      </c>
      <c r="AC3589">
        <v>14.209399999999899</v>
      </c>
      <c r="AD3589">
        <v>-1.10960690959235</v>
      </c>
      <c r="AE3589">
        <v>-0.177400000000005</v>
      </c>
      <c r="AF3589">
        <v>0.37817288150227502</v>
      </c>
      <c r="AG3589">
        <v>-1.10960690959235</v>
      </c>
      <c r="AH3589">
        <v>14.1193267631901</v>
      </c>
      <c r="AI3589">
        <v>94.491909736074405</v>
      </c>
      <c r="AJ3589">
        <v>88.465753271420695</v>
      </c>
      <c r="AK3589">
        <v>14.16790847189</v>
      </c>
      <c r="AL3589">
        <v>69.545777802527894</v>
      </c>
      <c r="AM3589">
        <v>98.385087934300302</v>
      </c>
      <c r="AN3589">
        <v>1.0000000188387299</v>
      </c>
    </row>
    <row r="3590" spans="1:40" x14ac:dyDescent="0.25">
      <c r="A3590" t="str">
        <f>"20190304164200184"</f>
        <v>20190304164200184</v>
      </c>
      <c r="B3590" t="str">
        <f>"1551688920174986"</f>
        <v>1551688920174986</v>
      </c>
      <c r="C3590" t="s">
        <v>40</v>
      </c>
      <c r="D3590">
        <v>4.0282450000000001</v>
      </c>
      <c r="E3590">
        <v>0.57622050000000002</v>
      </c>
      <c r="F3590" t="s">
        <v>46</v>
      </c>
      <c r="G3590">
        <v>-383.00310000000002</v>
      </c>
      <c r="H3590" s="1">
        <v>1.119827E-7</v>
      </c>
      <c r="I3590">
        <v>213.4571</v>
      </c>
      <c r="J3590">
        <v>-396.70859999999999</v>
      </c>
      <c r="K3590">
        <v>1.1095520000000001</v>
      </c>
      <c r="L3590">
        <v>213.64349999999999</v>
      </c>
      <c r="M3590">
        <v>0.99983359999999999</v>
      </c>
      <c r="N3590">
        <v>-1.1826659999999999E-2</v>
      </c>
      <c r="O3590">
        <v>1.3881620000000001E-2</v>
      </c>
      <c r="P3590">
        <v>0.92912629999999996</v>
      </c>
      <c r="Q3590">
        <v>0.33791939999999998</v>
      </c>
      <c r="R3590">
        <v>0.15011659999999999</v>
      </c>
      <c r="S3590">
        <v>3.331207</v>
      </c>
      <c r="T3590">
        <v>-0.26087280000000002</v>
      </c>
      <c r="U3590">
        <v>-4.2343140000000001E-2</v>
      </c>
      <c r="V3590">
        <v>-0.1369369</v>
      </c>
      <c r="W3590">
        <v>0.34901300000000002</v>
      </c>
      <c r="X3590">
        <v>0.92705890000000002</v>
      </c>
      <c r="Y3590">
        <v>2.6466340000000001E-2</v>
      </c>
      <c r="Z3590">
        <v>-2.1129059999999999E-3</v>
      </c>
      <c r="AA3590">
        <v>0.99964750000000002</v>
      </c>
      <c r="AB3590">
        <v>44</v>
      </c>
      <c r="AC3590">
        <v>13.705499999999899</v>
      </c>
      <c r="AD3590">
        <v>-1.1095518880173001</v>
      </c>
      <c r="AE3590">
        <v>-0.18639999999999099</v>
      </c>
      <c r="AF3590">
        <v>0.37419787228760298</v>
      </c>
      <c r="AG3590">
        <v>-1.1095518880173001</v>
      </c>
      <c r="AH3590">
        <v>13.612392593185399</v>
      </c>
      <c r="AI3590">
        <v>94.658149498952994</v>
      </c>
      <c r="AJ3590">
        <v>88.425364199910305</v>
      </c>
      <c r="AK3590">
        <v>13.662663047548101</v>
      </c>
      <c r="AL3590">
        <v>69.573042253008296</v>
      </c>
      <c r="AM3590">
        <v>98.402464861551906</v>
      </c>
      <c r="AN3590">
        <v>0.99999999640991</v>
      </c>
    </row>
    <row r="3591" spans="1:40" x14ac:dyDescent="0.25">
      <c r="A3591" t="str">
        <f>"20190304164200207"</f>
        <v>20190304164200207</v>
      </c>
      <c r="B3591" t="str">
        <f>"1551688920194506"</f>
        <v>1551688920194506</v>
      </c>
      <c r="C3591" t="s">
        <v>40</v>
      </c>
      <c r="D3591">
        <v>4.0447680000000004</v>
      </c>
      <c r="E3591">
        <v>0.57615269999999996</v>
      </c>
      <c r="F3591" t="s">
        <v>41</v>
      </c>
      <c r="G3591">
        <v>-395.62950000000001</v>
      </c>
      <c r="H3591">
        <v>1.0242830000000001</v>
      </c>
      <c r="I3591">
        <v>213.62950000000001</v>
      </c>
      <c r="J3591">
        <v>-396.2704</v>
      </c>
      <c r="K3591">
        <v>1.109491</v>
      </c>
      <c r="L3591">
        <v>213.64940000000001</v>
      </c>
      <c r="M3591">
        <v>0.99984019999999996</v>
      </c>
      <c r="N3591">
        <v>-1.173402E-2</v>
      </c>
      <c r="O3591">
        <v>1.3489279999999999E-2</v>
      </c>
      <c r="P3591">
        <v>0.92908630000000003</v>
      </c>
      <c r="Q3591">
        <v>0.33790419999999999</v>
      </c>
      <c r="R3591">
        <v>0.15039739999999999</v>
      </c>
      <c r="S3591">
        <v>3.331512</v>
      </c>
      <c r="T3591">
        <v>-0.26326640000000001</v>
      </c>
      <c r="U3591">
        <v>-4.3029789999999998E-2</v>
      </c>
      <c r="V3591">
        <v>-0.13755539999999999</v>
      </c>
      <c r="W3591">
        <v>0.34892230000000002</v>
      </c>
      <c r="X3591">
        <v>0.92700150000000003</v>
      </c>
      <c r="Y3591">
        <v>2.6278220000000001E-2</v>
      </c>
      <c r="Z3591">
        <v>-2.0972830000000001E-3</v>
      </c>
      <c r="AA3591">
        <v>0.9996524</v>
      </c>
      <c r="AB3591">
        <v>44</v>
      </c>
      <c r="AC3591">
        <v>0.64089999999998704</v>
      </c>
      <c r="AD3591">
        <v>-8.5207999999999895E-2</v>
      </c>
      <c r="AE3591">
        <v>-1.9900000000006898E-2</v>
      </c>
      <c r="AF3591">
        <v>2.8048755682505901E-2</v>
      </c>
      <c r="AG3591">
        <v>-8.5207999999999895E-2</v>
      </c>
      <c r="AH3591">
        <v>0.62945774349320205</v>
      </c>
      <c r="AI3591">
        <v>97.701564752045002</v>
      </c>
      <c r="AJ3591">
        <v>87.4485770838793</v>
      </c>
      <c r="AK3591">
        <v>0.63581773080253901</v>
      </c>
      <c r="AL3591">
        <v>69.578588097715098</v>
      </c>
      <c r="AM3591">
        <v>98.440385759325295</v>
      </c>
      <c r="AN3591">
        <v>1.00000002025434</v>
      </c>
    </row>
    <row r="3592" spans="1:40" x14ac:dyDescent="0.25">
      <c r="A3592" t="str">
        <f>"20190304164200225"</f>
        <v>20190304164200225</v>
      </c>
      <c r="B3592" t="str">
        <f>"1551688920215003"</f>
        <v>1551688920215003</v>
      </c>
      <c r="C3592" t="s">
        <v>40</v>
      </c>
      <c r="D3592">
        <v>4.0485369999999996</v>
      </c>
      <c r="E3592">
        <v>0.57602010000000003</v>
      </c>
      <c r="F3592" t="s">
        <v>41</v>
      </c>
      <c r="G3592">
        <v>-395.23390000000001</v>
      </c>
      <c r="H3592">
        <v>1.0272330000000001</v>
      </c>
      <c r="I3592">
        <v>213.63640000000001</v>
      </c>
      <c r="J3592">
        <v>-395.87990000000002</v>
      </c>
      <c r="K3592">
        <v>1.109451</v>
      </c>
      <c r="L3592">
        <v>213.65440000000001</v>
      </c>
      <c r="M3592">
        <v>0.99984589999999995</v>
      </c>
      <c r="N3592">
        <v>-1.165237E-2</v>
      </c>
      <c r="O3592">
        <v>1.3138769999999999E-2</v>
      </c>
      <c r="P3592">
        <v>0.9291568</v>
      </c>
      <c r="Q3592">
        <v>0.33742820000000001</v>
      </c>
      <c r="R3592">
        <v>0.15103039999999901</v>
      </c>
      <c r="S3592">
        <v>3.3318180000000002</v>
      </c>
      <c r="T3592">
        <v>-0.26444970000000001</v>
      </c>
      <c r="U3592">
        <v>-4.1229250000000002E-2</v>
      </c>
      <c r="V3592">
        <v>-0.138493</v>
      </c>
      <c r="W3592">
        <v>0.34837970000000001</v>
      </c>
      <c r="X3592">
        <v>0.92706599999999995</v>
      </c>
      <c r="Y3592">
        <v>2.5389370000000001E-2</v>
      </c>
      <c r="Z3592">
        <v>-2.0424369999999998E-3</v>
      </c>
      <c r="AA3592">
        <v>0.9996756</v>
      </c>
      <c r="AB3592">
        <v>44</v>
      </c>
      <c r="AC3592">
        <v>0.64600000000001501</v>
      </c>
      <c r="AD3592">
        <v>-8.2217999999999902E-2</v>
      </c>
      <c r="AE3592">
        <v>-1.8000000000000599E-2</v>
      </c>
      <c r="AF3592">
        <v>2.6064789698831501E-2</v>
      </c>
      <c r="AG3592">
        <v>-8.2217999999999902E-2</v>
      </c>
      <c r="AH3592">
        <v>0.63542294660124499</v>
      </c>
      <c r="AI3592">
        <v>97.366468591068795</v>
      </c>
      <c r="AJ3592">
        <v>87.651067382531807</v>
      </c>
      <c r="AK3592">
        <v>0.64124994647442501</v>
      </c>
      <c r="AL3592">
        <v>69.611758697233</v>
      </c>
      <c r="AM3592">
        <v>98.4964971941328</v>
      </c>
      <c r="AN3592">
        <v>1.00000004738854</v>
      </c>
    </row>
    <row r="3593" spans="1:40" x14ac:dyDescent="0.25">
      <c r="A3593" t="str">
        <f>"20190304164200249"</f>
        <v>20190304164200249</v>
      </c>
      <c r="B3593" t="str">
        <f>"1551688920234523"</f>
        <v>1551688920234523</v>
      </c>
      <c r="C3593" t="s">
        <v>40</v>
      </c>
      <c r="D3593">
        <v>3.995403</v>
      </c>
      <c r="E3593">
        <v>0.57593179999999999</v>
      </c>
      <c r="F3593" t="s">
        <v>41</v>
      </c>
      <c r="G3593">
        <v>-394.84</v>
      </c>
      <c r="H3593">
        <v>1.0261690000000001</v>
      </c>
      <c r="I3593">
        <v>213.64279999999999</v>
      </c>
      <c r="J3593">
        <v>-395.43610000000001</v>
      </c>
      <c r="K3593">
        <v>1.1094219999999999</v>
      </c>
      <c r="L3593">
        <v>213.65989999999999</v>
      </c>
      <c r="M3593">
        <v>0.99985199999999996</v>
      </c>
      <c r="N3593">
        <v>-1.1562269999999999E-2</v>
      </c>
      <c r="O3593">
        <v>1.2741550000000001E-2</v>
      </c>
      <c r="P3593">
        <v>0.92903690000000005</v>
      </c>
      <c r="Q3593">
        <v>0.33735080000000001</v>
      </c>
      <c r="R3593">
        <v>0.15193760000000001</v>
      </c>
      <c r="S3593">
        <v>3.331696</v>
      </c>
      <c r="T3593">
        <v>-0.26682440000000002</v>
      </c>
      <c r="U3593">
        <v>-3.7094120000000001E-2</v>
      </c>
      <c r="V3593">
        <v>-0.1397515</v>
      </c>
      <c r="W3593">
        <v>0.34822639999999999</v>
      </c>
      <c r="X3593">
        <v>0.9269347</v>
      </c>
      <c r="Y3593">
        <v>2.3756780000000002E-2</v>
      </c>
      <c r="Z3593">
        <v>-1.9589949999999998E-3</v>
      </c>
      <c r="AA3593">
        <v>0.99971589999999999</v>
      </c>
      <c r="AB3593">
        <v>44</v>
      </c>
      <c r="AC3593">
        <v>0.59610000000003505</v>
      </c>
      <c r="AD3593">
        <v>-8.3252999999999799E-2</v>
      </c>
      <c r="AE3593">
        <v>-1.7099999999999199E-2</v>
      </c>
      <c r="AF3593">
        <v>2.4222273264144702E-2</v>
      </c>
      <c r="AG3593">
        <v>-8.3252999999999799E-2</v>
      </c>
      <c r="AH3593">
        <v>0.58444311044019104</v>
      </c>
      <c r="AI3593">
        <v>98.100290024499103</v>
      </c>
      <c r="AJ3593">
        <v>87.626731845098902</v>
      </c>
      <c r="AK3593">
        <v>0.59083968203911996</v>
      </c>
      <c r="AL3593">
        <v>69.621128357462297</v>
      </c>
      <c r="AM3593">
        <v>98.5737599179444</v>
      </c>
      <c r="AN3593">
        <v>1.0000000227366399</v>
      </c>
    </row>
    <row r="3594" spans="1:40" x14ac:dyDescent="0.25">
      <c r="A3594" t="str">
        <f>"20190304164200273"</f>
        <v>20190304164200273</v>
      </c>
      <c r="B3594" t="str">
        <f>"1551688920264779"</f>
        <v>1551688920264779</v>
      </c>
      <c r="C3594" t="s">
        <v>40</v>
      </c>
      <c r="D3594">
        <v>4.0159409999999998</v>
      </c>
      <c r="E3594">
        <v>0.57626429999999995</v>
      </c>
      <c r="F3594" t="s">
        <v>41</v>
      </c>
      <c r="G3594">
        <v>-394.44319999999999</v>
      </c>
      <c r="H3594">
        <v>1.030454</v>
      </c>
      <c r="I3594">
        <v>213.6498</v>
      </c>
      <c r="J3594">
        <v>-394.9418</v>
      </c>
      <c r="K3594">
        <v>1.109391</v>
      </c>
      <c r="L3594">
        <v>213.666</v>
      </c>
      <c r="M3594">
        <v>0.99985860000000004</v>
      </c>
      <c r="N3594">
        <v>-1.146646E-2</v>
      </c>
      <c r="O3594">
        <v>1.230496E-2</v>
      </c>
      <c r="P3594">
        <v>0.9289288</v>
      </c>
      <c r="Q3594">
        <v>0.33761439999999998</v>
      </c>
      <c r="R3594">
        <v>0.15201329999999999</v>
      </c>
      <c r="S3594">
        <v>3.3308110000000002</v>
      </c>
      <c r="T3594">
        <v>-0.264984</v>
      </c>
      <c r="U3594">
        <v>-3.3447270000000001E-2</v>
      </c>
      <c r="V3594">
        <v>-0.14021800000000001</v>
      </c>
      <c r="W3594">
        <v>0.34840700000000002</v>
      </c>
      <c r="X3594">
        <v>0.92679639999999996</v>
      </c>
      <c r="Y3594">
        <v>2.2236780000000001E-2</v>
      </c>
      <c r="Z3594">
        <v>-1.8472860000000001E-3</v>
      </c>
      <c r="AA3594">
        <v>0.99975099999999995</v>
      </c>
      <c r="AB3594">
        <v>44</v>
      </c>
      <c r="AC3594">
        <v>0.49860000000000998</v>
      </c>
      <c r="AD3594">
        <v>-7.8936999999999993E-2</v>
      </c>
      <c r="AE3594">
        <v>-1.6199999999997699E-2</v>
      </c>
      <c r="AF3594">
        <v>2.1788880915828299E-2</v>
      </c>
      <c r="AG3594">
        <v>-7.8936999999999993E-2</v>
      </c>
      <c r="AH3594">
        <v>0.48618970820263802</v>
      </c>
      <c r="AI3594">
        <v>99.212895327325697</v>
      </c>
      <c r="AJ3594">
        <v>87.433972549479805</v>
      </c>
      <c r="AK3594">
        <v>0.49303776494578</v>
      </c>
      <c r="AL3594">
        <v>69.610089947262793</v>
      </c>
      <c r="AM3594">
        <v>98.603216695250396</v>
      </c>
      <c r="AN3594">
        <v>1.0000000461129701</v>
      </c>
    </row>
    <row r="3595" spans="1:40" x14ac:dyDescent="0.25">
      <c r="A3595" t="str">
        <f>"20190304164200294"</f>
        <v>20190304164200294</v>
      </c>
      <c r="B3595" t="str">
        <f>"1551688920284298"</f>
        <v>1551688920284298</v>
      </c>
      <c r="C3595" t="s">
        <v>40</v>
      </c>
      <c r="D3595">
        <v>4.08399</v>
      </c>
      <c r="E3595">
        <v>0.57665829999999996</v>
      </c>
      <c r="F3595" t="s">
        <v>41</v>
      </c>
      <c r="G3595">
        <v>-394.0444</v>
      </c>
      <c r="H3595">
        <v>1.0381400000000001</v>
      </c>
      <c r="I3595">
        <v>213.65639999999999</v>
      </c>
      <c r="J3595">
        <v>-394.53070000000002</v>
      </c>
      <c r="K3595">
        <v>1.109375</v>
      </c>
      <c r="L3595">
        <v>213.67080000000001</v>
      </c>
      <c r="M3595">
        <v>0.99986390000000003</v>
      </c>
      <c r="N3595">
        <v>-1.1390290000000001E-2</v>
      </c>
      <c r="O3595">
        <v>1.195042E-2</v>
      </c>
      <c r="P3595">
        <v>0.92895879999999997</v>
      </c>
      <c r="Q3595">
        <v>0.33781139999999998</v>
      </c>
      <c r="R3595">
        <v>0.15139140000000001</v>
      </c>
      <c r="S3595">
        <v>3.3314210000000002</v>
      </c>
      <c r="T3595">
        <v>-0.2645419</v>
      </c>
      <c r="U3595">
        <v>-3.4851069999999998E-2</v>
      </c>
      <c r="V3595">
        <v>-0.13991689999999901</v>
      </c>
      <c r="W3595">
        <v>0.3485357</v>
      </c>
      <c r="X3595">
        <v>0.92679350000000005</v>
      </c>
      <c r="Y3595">
        <v>2.2302639999999999E-2</v>
      </c>
      <c r="Z3595">
        <v>-1.8228470000000001E-3</v>
      </c>
      <c r="AA3595">
        <v>0.99974960000000002</v>
      </c>
      <c r="AB3595">
        <v>44</v>
      </c>
      <c r="AC3595">
        <v>0.48630000000002799</v>
      </c>
      <c r="AD3595">
        <v>-7.1234999999999896E-2</v>
      </c>
      <c r="AE3595">
        <v>-1.44000000000232E-2</v>
      </c>
      <c r="AF3595">
        <v>1.9786637732827302E-2</v>
      </c>
      <c r="AG3595">
        <v>-7.1234999999999896E-2</v>
      </c>
      <c r="AH3595">
        <v>0.47589071199207</v>
      </c>
      <c r="AI3595">
        <v>98.506025183084702</v>
      </c>
      <c r="AJ3595">
        <v>87.619120954220506</v>
      </c>
      <c r="AK3595">
        <v>0.48159932103159098</v>
      </c>
      <c r="AL3595">
        <v>69.602222574822306</v>
      </c>
      <c r="AM3595">
        <v>98.585044426194401</v>
      </c>
      <c r="AN3595">
        <v>1.00000003236117</v>
      </c>
    </row>
    <row r="3596" spans="1:40" x14ac:dyDescent="0.25">
      <c r="A3596" t="str">
        <f>"20190304164200316"</f>
        <v>20190304164200316</v>
      </c>
      <c r="B3596" t="str">
        <f>"1551688920304795"</f>
        <v>1551688920304795</v>
      </c>
      <c r="C3596" t="s">
        <v>40</v>
      </c>
      <c r="D3596">
        <v>3.934885</v>
      </c>
      <c r="E3596">
        <v>0.57676749999999999</v>
      </c>
      <c r="F3596" t="s">
        <v>41</v>
      </c>
      <c r="G3596">
        <v>-393.64830000000001</v>
      </c>
      <c r="H3596">
        <v>1.0392969999999999</v>
      </c>
      <c r="I3596">
        <v>213.65989999999999</v>
      </c>
      <c r="J3596">
        <v>-394.09980000000002</v>
      </c>
      <c r="K3596">
        <v>1.1093630000000001</v>
      </c>
      <c r="L3596">
        <v>213.67570000000001</v>
      </c>
      <c r="M3596">
        <v>0.9998688</v>
      </c>
      <c r="N3596">
        <v>-1.1315530000000001E-2</v>
      </c>
      <c r="O3596">
        <v>1.159407E-2</v>
      </c>
      <c r="P3596">
        <v>0.92893419999999904</v>
      </c>
      <c r="Q3596">
        <v>0.33828399999999997</v>
      </c>
      <c r="R3596">
        <v>0.15048329999999999</v>
      </c>
      <c r="S3596">
        <v>3.3320919999999998</v>
      </c>
      <c r="T3596">
        <v>-0.26478079999999998</v>
      </c>
      <c r="U3596">
        <v>-3.9230349999999997E-2</v>
      </c>
      <c r="V3596">
        <v>-0.13933909999999999</v>
      </c>
      <c r="W3596">
        <v>0.34893829999999998</v>
      </c>
      <c r="X3596">
        <v>0.92672900000000002</v>
      </c>
      <c r="Y3596">
        <v>2.325524E-2</v>
      </c>
      <c r="Z3596">
        <v>-1.84312E-3</v>
      </c>
      <c r="AA3596">
        <v>0.99972780000000006</v>
      </c>
      <c r="AB3596">
        <v>44</v>
      </c>
      <c r="AC3596">
        <v>0.45150000000001</v>
      </c>
      <c r="AD3596">
        <v>-7.0065999999999906E-2</v>
      </c>
      <c r="AE3596">
        <v>-1.5800000000012901E-2</v>
      </c>
      <c r="AF3596">
        <v>2.0539949884094199E-2</v>
      </c>
      <c r="AG3596">
        <v>-7.0065999999999906E-2</v>
      </c>
      <c r="AH3596">
        <v>0.44068665482755498</v>
      </c>
      <c r="AI3596">
        <v>99.024364142445606</v>
      </c>
      <c r="AJ3596">
        <v>87.331434161881205</v>
      </c>
      <c r="AK3596">
        <v>0.44669437162375503</v>
      </c>
      <c r="AL3596">
        <v>69.577609039743194</v>
      </c>
      <c r="AM3596">
        <v>98.550703017188695</v>
      </c>
      <c r="AN3596">
        <v>0.99999998071834895</v>
      </c>
    </row>
    <row r="3597" spans="1:40" x14ac:dyDescent="0.25">
      <c r="A3597" t="str">
        <f>"20190304164200338"</f>
        <v>20190304164200338</v>
      </c>
      <c r="B3597" t="str">
        <f>"1551688920324315"</f>
        <v>1551688920324315</v>
      </c>
      <c r="C3597" t="s">
        <v>40</v>
      </c>
      <c r="D3597">
        <v>4.1132070000000001</v>
      </c>
      <c r="E3597">
        <v>0.57642510000000002</v>
      </c>
      <c r="F3597" t="s">
        <v>41</v>
      </c>
      <c r="G3597">
        <v>-393.24979999999999</v>
      </c>
      <c r="H3597">
        <v>1.0428660000000001</v>
      </c>
      <c r="I3597">
        <v>213.6644</v>
      </c>
      <c r="J3597">
        <v>-393.65159999999997</v>
      </c>
      <c r="K3597">
        <v>1.109362</v>
      </c>
      <c r="L3597">
        <v>213.6806</v>
      </c>
      <c r="M3597">
        <v>0.99987360000000003</v>
      </c>
      <c r="N3597">
        <v>-1.1245150000000001E-2</v>
      </c>
      <c r="O3597">
        <v>1.1243599999999999E-2</v>
      </c>
      <c r="P3597">
        <v>0.92896679999999998</v>
      </c>
      <c r="Q3597">
        <v>0.33877239999999997</v>
      </c>
      <c r="R3597">
        <v>0.14917849999999999</v>
      </c>
      <c r="S3597">
        <v>3.3316349999999999</v>
      </c>
      <c r="T3597">
        <v>-0.26065139999999998</v>
      </c>
      <c r="U3597">
        <v>-4.4204710000000001E-2</v>
      </c>
      <c r="V3597">
        <v>-0.1383645</v>
      </c>
      <c r="W3597">
        <v>0.34935840000000001</v>
      </c>
      <c r="X3597">
        <v>0.92671680000000001</v>
      </c>
      <c r="Y3597">
        <v>2.4399009999999999E-2</v>
      </c>
      <c r="Z3597">
        <v>-1.842368E-3</v>
      </c>
      <c r="AA3597">
        <v>0.99970060000000005</v>
      </c>
      <c r="AB3597">
        <v>44</v>
      </c>
      <c r="AC3597">
        <v>0.40179999999998001</v>
      </c>
      <c r="AD3597">
        <v>-6.6496000000000097E-2</v>
      </c>
      <c r="AE3597">
        <v>-1.6199999999997699E-2</v>
      </c>
      <c r="AF3597">
        <v>2.0165528847017E-2</v>
      </c>
      <c r="AG3597">
        <v>-6.6496000000000097E-2</v>
      </c>
      <c r="AH3597">
        <v>0.39090348417785198</v>
      </c>
      <c r="AI3597">
        <v>99.641507010207505</v>
      </c>
      <c r="AJ3597">
        <v>87.046901723942099</v>
      </c>
      <c r="AK3597">
        <v>0.39703135960785801</v>
      </c>
      <c r="AL3597">
        <v>69.551923554835</v>
      </c>
      <c r="AM3597">
        <v>98.4918807174123</v>
      </c>
      <c r="AN3597">
        <v>1.0000000269565199</v>
      </c>
    </row>
    <row r="3598" spans="1:40" x14ac:dyDescent="0.25">
      <c r="A3598" t="str">
        <f>"20190304164200363"</f>
        <v>20190304164200363</v>
      </c>
      <c r="B3598" t="str">
        <f>"1551688920354571"</f>
        <v>1551688920354571</v>
      </c>
      <c r="C3598" t="s">
        <v>40</v>
      </c>
      <c r="D3598">
        <v>3.9772430000000001</v>
      </c>
      <c r="E3598">
        <v>0.55565980000000004</v>
      </c>
      <c r="F3598" t="s">
        <v>41</v>
      </c>
      <c r="G3598">
        <v>-392.85019999999997</v>
      </c>
      <c r="H3598">
        <v>1.047204</v>
      </c>
      <c r="I3598">
        <v>213.66890000000001</v>
      </c>
      <c r="J3598">
        <v>-393.1748</v>
      </c>
      <c r="K3598">
        <v>1.1093660000000001</v>
      </c>
      <c r="L3598">
        <v>213.6857</v>
      </c>
      <c r="M3598">
        <v>0.99987809999999999</v>
      </c>
      <c r="N3598">
        <v>-1.117897E-2</v>
      </c>
      <c r="O3598">
        <v>1.0894620000000001E-2</v>
      </c>
      <c r="P3598">
        <v>0.92923549999999999</v>
      </c>
      <c r="Q3598">
        <v>0.33876260000000002</v>
      </c>
      <c r="R3598">
        <v>0.1475167</v>
      </c>
      <c r="S3598">
        <v>3.331299</v>
      </c>
      <c r="T3598">
        <v>-0.25860889999999997</v>
      </c>
      <c r="U3598">
        <v>-4.7286990000000001E-2</v>
      </c>
      <c r="V3598">
        <v>-0.137035299999999</v>
      </c>
      <c r="W3598">
        <v>0.34928379999999998</v>
      </c>
      <c r="X3598">
        <v>0.92694240000000006</v>
      </c>
      <c r="Y3598">
        <v>2.4976689999999999E-2</v>
      </c>
      <c r="Z3598">
        <v>-1.8306349999999999E-3</v>
      </c>
      <c r="AA3598">
        <v>0.99968639999999998</v>
      </c>
      <c r="AB3598">
        <v>44</v>
      </c>
      <c r="AC3598">
        <v>0.32460000000003197</v>
      </c>
      <c r="AD3598">
        <v>-6.2162000000000002E-2</v>
      </c>
      <c r="AE3598">
        <v>-1.6799999999989199E-2</v>
      </c>
      <c r="AF3598">
        <v>1.96180753310926E-2</v>
      </c>
      <c r="AG3598">
        <v>-6.2162000000000002E-2</v>
      </c>
      <c r="AH3598">
        <v>0.312951318180133</v>
      </c>
      <c r="AI3598">
        <v>101.213069861682</v>
      </c>
      <c r="AJ3598">
        <v>86.412975612634298</v>
      </c>
      <c r="AK3598">
        <v>0.31966781300966002</v>
      </c>
      <c r="AL3598">
        <v>69.556485246344295</v>
      </c>
      <c r="AM3598">
        <v>98.409458085597507</v>
      </c>
      <c r="AN3598">
        <v>1.0000000296531399</v>
      </c>
    </row>
    <row r="3599" spans="1:40" x14ac:dyDescent="0.25">
      <c r="A3599" t="str">
        <f>"20190304164200384"</f>
        <v>20190304164200384</v>
      </c>
      <c r="B3599" t="str">
        <f>"1551688920375067"</f>
        <v>1551688920375067</v>
      </c>
      <c r="C3599" t="s">
        <v>40</v>
      </c>
      <c r="D3599">
        <v>3.9830359999999998</v>
      </c>
      <c r="E3599">
        <v>0.55467239999999995</v>
      </c>
      <c r="F3599" t="s">
        <v>46</v>
      </c>
      <c r="G3599">
        <v>-375.63979999999998</v>
      </c>
      <c r="H3599" s="1">
        <v>1.46441E-6</v>
      </c>
      <c r="I3599">
        <v>214.24809999999999</v>
      </c>
      <c r="J3599">
        <v>-392.73939999999999</v>
      </c>
      <c r="K3599">
        <v>1.1093710000000001</v>
      </c>
      <c r="L3599">
        <v>213.69030000000001</v>
      </c>
      <c r="M3599">
        <v>0.99988200000000005</v>
      </c>
      <c r="N3599">
        <v>-1.1126749999999999E-2</v>
      </c>
      <c r="O3599">
        <v>1.0595500000000001E-2</v>
      </c>
      <c r="P3599">
        <v>0.9296373</v>
      </c>
      <c r="Q3599">
        <v>0.33808090000000002</v>
      </c>
      <c r="R3599">
        <v>0.14654679999999901</v>
      </c>
      <c r="S3599">
        <v>3.287506</v>
      </c>
      <c r="T3599">
        <v>-0.2079859</v>
      </c>
      <c r="U3599">
        <v>0.1054382</v>
      </c>
      <c r="V3599">
        <v>-0.13635120000000001</v>
      </c>
      <c r="W3599">
        <v>0.34855269999999999</v>
      </c>
      <c r="X3599">
        <v>0.92731839999999999</v>
      </c>
      <c r="Y3599">
        <v>-2.1427439999999999E-2</v>
      </c>
      <c r="Z3599">
        <v>2.4466720000000002E-4</v>
      </c>
      <c r="AA3599">
        <v>0.99977039999999995</v>
      </c>
      <c r="AB3599">
        <v>44</v>
      </c>
      <c r="AC3599">
        <v>17.099599999999999</v>
      </c>
      <c r="AD3599">
        <v>-1.10936953559</v>
      </c>
      <c r="AE3599">
        <v>0.55779999999998597</v>
      </c>
      <c r="AF3599">
        <v>-0.37500195255144098</v>
      </c>
      <c r="AG3599">
        <v>-1.10936953559</v>
      </c>
      <c r="AH3599">
        <v>17.032934862498301</v>
      </c>
      <c r="AI3599">
        <v>93.725559286211194</v>
      </c>
      <c r="AJ3599">
        <v>91.261236470785093</v>
      </c>
      <c r="AK3599">
        <v>17.0731425713318</v>
      </c>
      <c r="AL3599">
        <v>69.601183217948801</v>
      </c>
      <c r="AM3599">
        <v>98.364727777620899</v>
      </c>
      <c r="AN3599">
        <v>1.00000002469864</v>
      </c>
    </row>
    <row r="3600" spans="1:40" x14ac:dyDescent="0.25">
      <c r="A3600" t="str">
        <f>"20190304164200417"</f>
        <v>20190304164200417</v>
      </c>
      <c r="B3600" t="str">
        <f>"1551688920404346"</f>
        <v>1551688920404346</v>
      </c>
      <c r="C3600" t="s">
        <v>40</v>
      </c>
      <c r="D3600">
        <v>3.9750169999999998</v>
      </c>
      <c r="E3600">
        <v>0.55428149999999998</v>
      </c>
      <c r="F3600" t="s">
        <v>46</v>
      </c>
      <c r="G3600">
        <v>-375.38350000000003</v>
      </c>
      <c r="H3600" s="1">
        <v>1.32806E-6</v>
      </c>
      <c r="I3600">
        <v>214.26070000000001</v>
      </c>
      <c r="J3600">
        <v>-392.10430000000002</v>
      </c>
      <c r="K3600">
        <v>1.1093789999999999</v>
      </c>
      <c r="L3600">
        <v>213.69669999999999</v>
      </c>
      <c r="M3600">
        <v>0.99988699999999997</v>
      </c>
      <c r="N3600">
        <v>-1.106238E-2</v>
      </c>
      <c r="O3600">
        <v>1.018343E-2</v>
      </c>
      <c r="P3600">
        <v>0.92960140000000002</v>
      </c>
      <c r="Q3600">
        <v>0.33790799999999999</v>
      </c>
      <c r="R3600">
        <v>0.14717189999999999</v>
      </c>
      <c r="S3600">
        <v>3.2864379999999902</v>
      </c>
      <c r="T3600">
        <v>-0.21006540000000001</v>
      </c>
      <c r="U3600">
        <v>0.108017</v>
      </c>
      <c r="V3600">
        <v>-0.13737360000000001</v>
      </c>
      <c r="W3600">
        <v>0.34831489999999998</v>
      </c>
      <c r="X3600">
        <v>0.92725679999999999</v>
      </c>
      <c r="Y3600">
        <v>-2.2629549999999998E-2</v>
      </c>
      <c r="Z3600">
        <v>3.101499E-4</v>
      </c>
      <c r="AA3600">
        <v>0.99974390000000002</v>
      </c>
      <c r="AB3600">
        <v>44</v>
      </c>
      <c r="AC3600">
        <v>16.720799999999901</v>
      </c>
      <c r="AD3600">
        <v>-1.1093776719399999</v>
      </c>
      <c r="AE3600">
        <v>0.56400000000002104</v>
      </c>
      <c r="AF3600">
        <v>-0.39196180929027502</v>
      </c>
      <c r="AG3600">
        <v>-1.1093776719399999</v>
      </c>
      <c r="AH3600">
        <v>16.652456770455402</v>
      </c>
      <c r="AI3600">
        <v>93.810329774866105</v>
      </c>
      <c r="AJ3600">
        <v>91.3483662915</v>
      </c>
      <c r="AK3600">
        <v>16.69397104858</v>
      </c>
      <c r="AL3600">
        <v>69.615717994210996</v>
      </c>
      <c r="AM3600">
        <v>98.427103384946093</v>
      </c>
      <c r="AN3600">
        <v>0.99999997434260401</v>
      </c>
    </row>
    <row r="3601" spans="1:40" x14ac:dyDescent="0.25">
      <c r="A3601" t="str">
        <f>"20190304164200438"</f>
        <v>20190304164200438</v>
      </c>
      <c r="B3601" t="str">
        <f>"1551688920424843"</f>
        <v>1551688920424843</v>
      </c>
      <c r="C3601" t="s">
        <v>40</v>
      </c>
      <c r="D3601">
        <v>3.9378679999999999</v>
      </c>
      <c r="E3601">
        <v>0.5540988</v>
      </c>
      <c r="F3601" t="s">
        <v>46</v>
      </c>
      <c r="G3601">
        <v>-374.63310000000001</v>
      </c>
      <c r="H3601" s="1">
        <v>9.2870839999999998E-7</v>
      </c>
      <c r="I3601">
        <v>214.29159999999999</v>
      </c>
      <c r="J3601">
        <v>-391.68060000000003</v>
      </c>
      <c r="K3601">
        <v>1.1093850000000001</v>
      </c>
      <c r="L3601">
        <v>213.70079999999999</v>
      </c>
      <c r="M3601">
        <v>0.9998901</v>
      </c>
      <c r="N3601">
        <v>-1.102639E-2</v>
      </c>
      <c r="O3601">
        <v>9.9198940000000003E-3</v>
      </c>
      <c r="P3601">
        <v>0.92964539999999996</v>
      </c>
      <c r="Q3601">
        <v>0.33764260000000001</v>
      </c>
      <c r="R3601">
        <v>0.14750389999999999</v>
      </c>
      <c r="S3601">
        <v>3.285339</v>
      </c>
      <c r="T3601">
        <v>-0.2086103</v>
      </c>
      <c r="U3601">
        <v>0.1118774</v>
      </c>
      <c r="V3601">
        <v>-0.13795689999999999</v>
      </c>
      <c r="W3601">
        <v>0.3480145</v>
      </c>
      <c r="X3601">
        <v>0.92728299999999997</v>
      </c>
      <c r="Y3601">
        <v>-2.4074149999999999E-2</v>
      </c>
      <c r="Z3601">
        <v>3.7648739999999998E-4</v>
      </c>
      <c r="AA3601">
        <v>0.99971010000000005</v>
      </c>
      <c r="AB3601">
        <v>44</v>
      </c>
      <c r="AC3601">
        <v>17.047499999999999</v>
      </c>
      <c r="AD3601">
        <v>-1.1093840712916001</v>
      </c>
      <c r="AE3601">
        <v>0.59080000000000099</v>
      </c>
      <c r="AF3601">
        <v>-0.41987527580669598</v>
      </c>
      <c r="AG3601">
        <v>-1.1093840712916001</v>
      </c>
      <c r="AH3601">
        <v>16.980696961677801</v>
      </c>
      <c r="AI3601">
        <v>93.736800750674604</v>
      </c>
      <c r="AJ3601">
        <v>91.416442458029493</v>
      </c>
      <c r="AK3601">
        <v>17.022076770159501</v>
      </c>
      <c r="AL3601">
        <v>69.634078521469803</v>
      </c>
      <c r="AM3601">
        <v>98.462132907655402</v>
      </c>
      <c r="AN3601">
        <v>0.99999998027842896</v>
      </c>
    </row>
    <row r="3602" spans="1:40" x14ac:dyDescent="0.25">
      <c r="A3602" t="str">
        <f>"20190304164200461"</f>
        <v>20190304164200461</v>
      </c>
      <c r="B3602" t="str">
        <f>"1551688920455099"</f>
        <v>1551688920455099</v>
      </c>
      <c r="C3602" t="s">
        <v>40</v>
      </c>
      <c r="D3602">
        <v>3.9588179999999999</v>
      </c>
      <c r="E3602">
        <v>0.5538035</v>
      </c>
      <c r="F3602" t="s">
        <v>46</v>
      </c>
      <c r="G3602">
        <v>-374.26920000000001</v>
      </c>
      <c r="H3602" s="1">
        <v>7.3505709999999998E-7</v>
      </c>
      <c r="I3602">
        <v>214.3135</v>
      </c>
      <c r="J3602">
        <v>-391.21100000000001</v>
      </c>
      <c r="K3602">
        <v>1.10938799999999</v>
      </c>
      <c r="L3602">
        <v>213.70529999999999</v>
      </c>
      <c r="M3602">
        <v>0.99989309999999998</v>
      </c>
      <c r="N3602">
        <v>-1.099203E-2</v>
      </c>
      <c r="O3602">
        <v>9.6358880000000004E-3</v>
      </c>
      <c r="P3602">
        <v>0.92974630000000003</v>
      </c>
      <c r="Q3602">
        <v>0.33725040000000001</v>
      </c>
      <c r="R3602">
        <v>0.1477637</v>
      </c>
      <c r="S3602">
        <v>3.2846679999999999</v>
      </c>
      <c r="T3602">
        <v>-0.2092859</v>
      </c>
      <c r="U3602">
        <v>0.1155853</v>
      </c>
      <c r="V3602">
        <v>-0.13848640000000001</v>
      </c>
      <c r="W3602">
        <v>0.34758939999999999</v>
      </c>
      <c r="X3602">
        <v>0.92736350000000001</v>
      </c>
      <c r="Y3602">
        <v>-2.548825E-2</v>
      </c>
      <c r="Z3602">
        <v>4.4391880000000002E-4</v>
      </c>
      <c r="AA3602">
        <v>0.99967499999999998</v>
      </c>
      <c r="AB3602">
        <v>44</v>
      </c>
      <c r="AC3602">
        <v>16.941800000000001</v>
      </c>
      <c r="AD3602">
        <v>-1.10938726494289</v>
      </c>
      <c r="AE3602">
        <v>0.60820000000000995</v>
      </c>
      <c r="AF3602">
        <v>-0.44301542815744499</v>
      </c>
      <c r="AG3602">
        <v>-1.10938726494289</v>
      </c>
      <c r="AH3602">
        <v>16.874610318188498</v>
      </c>
      <c r="AI3602">
        <v>93.760090910833696</v>
      </c>
      <c r="AJ3602">
        <v>91.503861990784401</v>
      </c>
      <c r="AK3602">
        <v>16.916840017092898</v>
      </c>
      <c r="AL3602">
        <v>69.660056565365096</v>
      </c>
      <c r="AM3602">
        <v>98.493412391093898</v>
      </c>
      <c r="AN3602">
        <v>0.99999996755478404</v>
      </c>
    </row>
    <row r="3603" spans="1:40" x14ac:dyDescent="0.25">
      <c r="A3603" t="str">
        <f>"20190304164200483"</f>
        <v>20190304164200483</v>
      </c>
      <c r="B3603" t="str">
        <f>"1551688920474619"</f>
        <v>1551688920474619</v>
      </c>
      <c r="C3603" t="s">
        <v>40</v>
      </c>
      <c r="D3603">
        <v>3.9607039999999998</v>
      </c>
      <c r="E3603">
        <v>0.5535774</v>
      </c>
      <c r="F3603" t="s">
        <v>46</v>
      </c>
      <c r="G3603">
        <v>-373.964</v>
      </c>
      <c r="H3603" s="1">
        <v>5.7264530000000003E-7</v>
      </c>
      <c r="I3603">
        <v>214.3347</v>
      </c>
      <c r="J3603">
        <v>-390.77760000000001</v>
      </c>
      <c r="K3603">
        <v>1.109389</v>
      </c>
      <c r="L3603">
        <v>213.70920000000001</v>
      </c>
      <c r="M3603">
        <v>0.99989589999999995</v>
      </c>
      <c r="N3603">
        <v>-1.096578E-2</v>
      </c>
      <c r="O3603">
        <v>9.3775590000000006E-3</v>
      </c>
      <c r="P3603">
        <v>0.929759</v>
      </c>
      <c r="Q3603">
        <v>0.33706190000000003</v>
      </c>
      <c r="R3603">
        <v>0.14811270000000001</v>
      </c>
      <c r="S3603">
        <v>3.2842410000000002</v>
      </c>
      <c r="T3603">
        <v>-0.21125360000000001</v>
      </c>
      <c r="U3603">
        <v>0.1198578</v>
      </c>
      <c r="V3603">
        <v>-0.13908010000000001</v>
      </c>
      <c r="W3603">
        <v>0.3473752</v>
      </c>
      <c r="X3603">
        <v>0.92735489999999998</v>
      </c>
      <c r="Y3603">
        <v>-2.7045010000000001E-2</v>
      </c>
      <c r="Z3603">
        <v>5.175224E-4</v>
      </c>
      <c r="AA3603">
        <v>0.99963409999999997</v>
      </c>
      <c r="AB3603">
        <v>44</v>
      </c>
      <c r="AC3603">
        <v>16.813600000000001</v>
      </c>
      <c r="AD3603">
        <v>-1.1093884273546999</v>
      </c>
      <c r="AE3603">
        <v>0.62549999999998795</v>
      </c>
      <c r="AF3603">
        <v>-0.46576753594762299</v>
      </c>
      <c r="AG3603">
        <v>-1.1093884273546999</v>
      </c>
      <c r="AH3603">
        <v>16.745922789394299</v>
      </c>
      <c r="AI3603">
        <v>93.788746979597605</v>
      </c>
      <c r="AJ3603">
        <v>91.593201876620995</v>
      </c>
      <c r="AK3603">
        <v>16.7890920584958</v>
      </c>
      <c r="AL3603">
        <v>69.673144680935593</v>
      </c>
      <c r="AM3603">
        <v>98.529367683125898</v>
      </c>
      <c r="AN3603">
        <v>0.99999995717252899</v>
      </c>
    </row>
    <row r="3604" spans="1:40" x14ac:dyDescent="0.25">
      <c r="A3604" t="str">
        <f>"20190304164200505"</f>
        <v>20190304164200505</v>
      </c>
      <c r="B3604" t="str">
        <f>"1551688920495115"</f>
        <v>1551688920495115</v>
      </c>
      <c r="C3604" t="s">
        <v>40</v>
      </c>
      <c r="D3604">
        <v>3.9876930000000002</v>
      </c>
      <c r="E3604">
        <v>0.55342049999999998</v>
      </c>
      <c r="F3604" t="s">
        <v>46</v>
      </c>
      <c r="G3604">
        <v>-373.64400000000001</v>
      </c>
      <c r="H3604" s="1">
        <v>4.023574E-7</v>
      </c>
      <c r="I3604">
        <v>214.35079999999999</v>
      </c>
      <c r="J3604">
        <v>-390.33730000000003</v>
      </c>
      <c r="K3604">
        <v>1.109389</v>
      </c>
      <c r="L3604">
        <v>213.7132</v>
      </c>
      <c r="M3604">
        <v>0.99989870000000003</v>
      </c>
      <c r="N3604">
        <v>-1.0943110000000001E-2</v>
      </c>
      <c r="O3604">
        <v>9.1163430000000007E-3</v>
      </c>
      <c r="P3604">
        <v>0.92976099999999995</v>
      </c>
      <c r="Q3604">
        <v>0.33694960000000002</v>
      </c>
      <c r="R3604">
        <v>0.14835709999999999</v>
      </c>
      <c r="S3604">
        <v>3.2841800000000001</v>
      </c>
      <c r="T3604">
        <v>-0.21264759999999999</v>
      </c>
      <c r="U3604">
        <v>0.1229706</v>
      </c>
      <c r="V3604">
        <v>-0.13957130000000001</v>
      </c>
      <c r="W3604">
        <v>0.3472401</v>
      </c>
      <c r="X3604">
        <v>0.92733169999999998</v>
      </c>
      <c r="Y3604">
        <v>-2.8249119999999999E-2</v>
      </c>
      <c r="Z3604">
        <v>5.7831820000000004E-4</v>
      </c>
      <c r="AA3604">
        <v>0.99960079999999996</v>
      </c>
      <c r="AB3604">
        <v>44</v>
      </c>
      <c r="AC3604">
        <v>16.693300000000001</v>
      </c>
      <c r="AD3604">
        <v>-1.1093885976425999</v>
      </c>
      <c r="AE3604">
        <v>0.63759999999999195</v>
      </c>
      <c r="AF3604">
        <v>-0.48325136665952301</v>
      </c>
      <c r="AG3604">
        <v>-1.1093885976425999</v>
      </c>
      <c r="AH3604">
        <v>16.625100558413902</v>
      </c>
      <c r="AI3604">
        <v>93.816065490222698</v>
      </c>
      <c r="AJ3604">
        <v>91.664980578501599</v>
      </c>
      <c r="AK3604">
        <v>16.669080464180698</v>
      </c>
      <c r="AL3604">
        <v>69.681399197513599</v>
      </c>
      <c r="AM3604">
        <v>98.559257084257993</v>
      </c>
      <c r="AN3604">
        <v>0.99999995832829403</v>
      </c>
    </row>
    <row r="3605" spans="1:40" x14ac:dyDescent="0.25">
      <c r="A3605" t="str">
        <f>"20190304164200527"</f>
        <v>20190304164200527</v>
      </c>
      <c r="B3605" t="str">
        <f>"1551688920514635"</f>
        <v>1551688920514635</v>
      </c>
      <c r="C3605" t="s">
        <v>40</v>
      </c>
      <c r="D3605">
        <v>3.9889790000000001</v>
      </c>
      <c r="E3605">
        <v>0.5532958</v>
      </c>
      <c r="F3605" t="s">
        <v>46</v>
      </c>
      <c r="G3605">
        <v>-373.2824</v>
      </c>
      <c r="H3605" s="1">
        <v>2.0992960000000001E-7</v>
      </c>
      <c r="I3605">
        <v>214.35759999999999</v>
      </c>
      <c r="J3605">
        <v>-389.90910000000002</v>
      </c>
      <c r="K3605">
        <v>1.1093949999999999</v>
      </c>
      <c r="L3605">
        <v>213.71690000000001</v>
      </c>
      <c r="M3605">
        <v>0.99990109999999999</v>
      </c>
      <c r="N3605">
        <v>-1.092429E-2</v>
      </c>
      <c r="O3605">
        <v>8.8626079999999993E-3</v>
      </c>
      <c r="P3605">
        <v>0.92972460000000001</v>
      </c>
      <c r="Q3605">
        <v>0.337043599999999</v>
      </c>
      <c r="R3605">
        <v>0.1483708</v>
      </c>
      <c r="S3605">
        <v>3.2842709999999999</v>
      </c>
      <c r="T3605">
        <v>-0.21363480000000001</v>
      </c>
      <c r="U3605">
        <v>0.12409969999999999</v>
      </c>
      <c r="V3605">
        <v>-0.13982539999999999</v>
      </c>
      <c r="W3605">
        <v>0.34731529999999999</v>
      </c>
      <c r="X3605">
        <v>0.92726529999999996</v>
      </c>
      <c r="Y3605">
        <v>-2.8842659999999999E-2</v>
      </c>
      <c r="Z3605">
        <v>6.1560629999999998E-4</v>
      </c>
      <c r="AA3605">
        <v>0.99958380000000002</v>
      </c>
      <c r="AB3605">
        <v>44</v>
      </c>
      <c r="AC3605">
        <v>16.6267</v>
      </c>
      <c r="AD3605">
        <v>-1.1093947900704</v>
      </c>
      <c r="AE3605">
        <v>0.64069999999998095</v>
      </c>
      <c r="AF3605">
        <v>-0.49112684368637599</v>
      </c>
      <c r="AG3605">
        <v>-1.1093947900704</v>
      </c>
      <c r="AH3605">
        <v>16.558117261774001</v>
      </c>
      <c r="AI3605">
        <v>93.831411741276497</v>
      </c>
      <c r="AJ3605">
        <v>91.698939996205695</v>
      </c>
      <c r="AK3605">
        <v>16.6025061250247</v>
      </c>
      <c r="AL3605">
        <v>69.676805446631207</v>
      </c>
      <c r="AM3605">
        <v>98.575213316217003</v>
      </c>
      <c r="AN3605">
        <v>0.99999999834166897</v>
      </c>
    </row>
    <row r="3606" spans="1:40" x14ac:dyDescent="0.25">
      <c r="A3606" t="str">
        <f>"20190304164200550"</f>
        <v>20190304164200550</v>
      </c>
      <c r="B3606" t="str">
        <f>"1551688920544891"</f>
        <v>1551688920544891</v>
      </c>
      <c r="C3606" t="s">
        <v>40</v>
      </c>
      <c r="D3606">
        <v>3.9784130000000002</v>
      </c>
      <c r="E3606">
        <v>0.55702259999999904</v>
      </c>
      <c r="F3606" t="s">
        <v>46</v>
      </c>
      <c r="G3606">
        <v>-372.85930000000002</v>
      </c>
      <c r="H3606" s="1">
        <v>-1.5242819999999998E-8</v>
      </c>
      <c r="I3606">
        <v>214.36670000000001</v>
      </c>
      <c r="J3606">
        <v>-389.447</v>
      </c>
      <c r="K3606">
        <v>1.109399</v>
      </c>
      <c r="L3606">
        <v>213.72069999999999</v>
      </c>
      <c r="M3606">
        <v>0.99990369999999995</v>
      </c>
      <c r="N3606">
        <v>-1.090734E-2</v>
      </c>
      <c r="O3606">
        <v>8.5881810000000003E-3</v>
      </c>
      <c r="P3606">
        <v>0.92952360000000001</v>
      </c>
      <c r="Q3606">
        <v>0.33763130000000002</v>
      </c>
      <c r="R3606">
        <v>0.1482937</v>
      </c>
      <c r="S3606">
        <v>3.2843019999999998</v>
      </c>
      <c r="T3606">
        <v>-0.21370210000000001</v>
      </c>
      <c r="U3606">
        <v>0.1251678</v>
      </c>
      <c r="V3606">
        <v>-0.14000839999999901</v>
      </c>
      <c r="W3606">
        <v>0.347883</v>
      </c>
      <c r="X3606">
        <v>0.92702479999999998</v>
      </c>
      <c r="Y3606">
        <v>-2.9439380000000001E-2</v>
      </c>
      <c r="Z3606">
        <v>6.5280480000000005E-4</v>
      </c>
      <c r="AA3606">
        <v>0.99956639999999997</v>
      </c>
      <c r="AB3606">
        <v>45</v>
      </c>
      <c r="AC3606">
        <v>16.587699999999899</v>
      </c>
      <c r="AD3606">
        <v>-1.1093990152428199</v>
      </c>
      <c r="AE3606">
        <v>0.64600000000001501</v>
      </c>
      <c r="AF3606">
        <v>-0.50127072744624201</v>
      </c>
      <c r="AG3606">
        <v>-1.1093990152428199</v>
      </c>
      <c r="AH3606">
        <v>16.518858790603101</v>
      </c>
      <c r="AI3606">
        <v>93.840426208915105</v>
      </c>
      <c r="AJ3606">
        <v>91.738127710675499</v>
      </c>
      <c r="AK3606">
        <v>16.563657031619002</v>
      </c>
      <c r="AL3606">
        <v>69.642114594034794</v>
      </c>
      <c r="AM3606">
        <v>98.588463513627701</v>
      </c>
      <c r="AN3606">
        <v>0.99999995678729903</v>
      </c>
    </row>
    <row r="3607" spans="1:40" x14ac:dyDescent="0.25">
      <c r="A3607" t="str">
        <f>"20190304164200574"</f>
        <v>20190304164200574</v>
      </c>
      <c r="B3607" t="str">
        <f>"1551688920564411"</f>
        <v>1551688920564411</v>
      </c>
      <c r="C3607" t="s">
        <v>40</v>
      </c>
      <c r="D3607">
        <v>3.9860009999999999</v>
      </c>
      <c r="E3607">
        <v>0.55736350000000001</v>
      </c>
      <c r="F3607" t="s">
        <v>46</v>
      </c>
      <c r="G3607">
        <v>-364.63780000000003</v>
      </c>
      <c r="H3607" s="1">
        <v>9.3120119999999999E-7</v>
      </c>
      <c r="I3607">
        <v>214.40450000000001</v>
      </c>
      <c r="J3607">
        <v>-388.97649999999999</v>
      </c>
      <c r="K3607">
        <v>1.109399</v>
      </c>
      <c r="L3607">
        <v>213.72460000000001</v>
      </c>
      <c r="M3607">
        <v>0.99990630000000003</v>
      </c>
      <c r="N3607">
        <v>-1.0894890000000001E-2</v>
      </c>
      <c r="O3607">
        <v>8.3086549999999999E-3</v>
      </c>
      <c r="P3607">
        <v>0.92942020000000003</v>
      </c>
      <c r="Q3607">
        <v>0.3378177</v>
      </c>
      <c r="R3607">
        <v>0.14851829999999999</v>
      </c>
      <c r="S3607">
        <v>3.2661440000000002</v>
      </c>
      <c r="T3607">
        <v>-0.14605279999999901</v>
      </c>
      <c r="U3607">
        <v>9.0011599999999997E-2</v>
      </c>
      <c r="V3607">
        <v>-0.14049779999999901</v>
      </c>
      <c r="W3607">
        <v>0.34805510000000001</v>
      </c>
      <c r="X3607">
        <v>0.92688619999999999</v>
      </c>
      <c r="Y3607">
        <v>-1.9222449999999999E-2</v>
      </c>
      <c r="Z3607">
        <v>2.5349870000000003E-4</v>
      </c>
      <c r="AA3607">
        <v>0.99981520000000002</v>
      </c>
      <c r="AB3607">
        <v>45</v>
      </c>
      <c r="AC3607">
        <v>24.3386999999999</v>
      </c>
      <c r="AD3607">
        <v>-1.1093980687988001</v>
      </c>
      <c r="AE3607">
        <v>0.67990000000000295</v>
      </c>
      <c r="AF3607">
        <v>-0.47665313539450899</v>
      </c>
      <c r="AG3607">
        <v>-1.1093980687988001</v>
      </c>
      <c r="AH3607">
        <v>24.293075137151199</v>
      </c>
      <c r="AI3607">
        <v>92.614221876386694</v>
      </c>
      <c r="AJ3607">
        <v>91.124053211138801</v>
      </c>
      <c r="AK3607">
        <v>24.323064402040401</v>
      </c>
      <c r="AL3607">
        <v>69.631597732715406</v>
      </c>
      <c r="AM3607">
        <v>98.619303865465994</v>
      </c>
      <c r="AN3607">
        <v>1.00000000609564</v>
      </c>
    </row>
    <row r="3608" spans="1:40" x14ac:dyDescent="0.25">
      <c r="A3608" t="str">
        <f>"20190304164200596"</f>
        <v>20190304164200596</v>
      </c>
      <c r="B3608" t="str">
        <f>"1551688920584906"</f>
        <v>1551688920584906</v>
      </c>
      <c r="C3608" t="s">
        <v>40</v>
      </c>
      <c r="D3608">
        <v>3.9863960000000001</v>
      </c>
      <c r="E3608">
        <v>0.55766450000000001</v>
      </c>
      <c r="F3608" t="s">
        <v>46</v>
      </c>
      <c r="G3608">
        <v>-365.4588</v>
      </c>
      <c r="H3608" s="1">
        <v>1.3681000000000001E-6</v>
      </c>
      <c r="I3608">
        <v>214.35980000000001</v>
      </c>
      <c r="J3608">
        <v>-388.5351</v>
      </c>
      <c r="K3608">
        <v>1.109402</v>
      </c>
      <c r="L3608">
        <v>213.72810000000001</v>
      </c>
      <c r="M3608">
        <v>0.99990840000000003</v>
      </c>
      <c r="N3608">
        <v>-1.089131E-2</v>
      </c>
      <c r="O3608">
        <v>8.0471280000000006E-3</v>
      </c>
      <c r="P3608">
        <v>0.92952920000000006</v>
      </c>
      <c r="Q3608">
        <v>0.3372907</v>
      </c>
      <c r="R3608">
        <v>0.14903329999999901</v>
      </c>
      <c r="S3608">
        <v>3.2697449999999999</v>
      </c>
      <c r="T3608">
        <v>-0.15424289999999999</v>
      </c>
      <c r="U3608">
        <v>8.8317870000000007E-2</v>
      </c>
      <c r="V3608">
        <v>-0.14125839999999901</v>
      </c>
      <c r="W3608">
        <v>0.34752490000000003</v>
      </c>
      <c r="X3608">
        <v>0.9269695</v>
      </c>
      <c r="Y3608">
        <v>-1.8934619999999999E-2</v>
      </c>
      <c r="Z3608">
        <v>2.5775780000000001E-4</v>
      </c>
      <c r="AA3608">
        <v>0.99982070000000001</v>
      </c>
      <c r="AB3608">
        <v>45</v>
      </c>
      <c r="AC3608">
        <v>23.0763</v>
      </c>
      <c r="AD3608">
        <v>-1.1094006319</v>
      </c>
      <c r="AE3608">
        <v>0.63169999999999504</v>
      </c>
      <c r="AF3608">
        <v>-0.44494300787090202</v>
      </c>
      <c r="AG3608">
        <v>-1.1094006319</v>
      </c>
      <c r="AH3608">
        <v>23.027454353528601</v>
      </c>
      <c r="AI3608">
        <v>92.757709467894003</v>
      </c>
      <c r="AJ3608">
        <v>91.106947565297304</v>
      </c>
      <c r="AK3608">
        <v>23.058456107167199</v>
      </c>
      <c r="AL3608">
        <v>69.663997959141199</v>
      </c>
      <c r="AM3608">
        <v>98.664492122476503</v>
      </c>
      <c r="AN3608">
        <v>0.99999997281040898</v>
      </c>
    </row>
    <row r="3609" spans="1:40" x14ac:dyDescent="0.25">
      <c r="A3609" t="str">
        <f>"20190304164200618"</f>
        <v>20190304164200618</v>
      </c>
      <c r="B3609" t="str">
        <f>"1551688920604426"</f>
        <v>1551688920604426</v>
      </c>
      <c r="C3609" t="s">
        <v>40</v>
      </c>
      <c r="D3609">
        <v>3.9990009999999998</v>
      </c>
      <c r="E3609">
        <v>0.55772829999999995</v>
      </c>
      <c r="F3609" t="s">
        <v>46</v>
      </c>
      <c r="G3609">
        <v>-365.57330000000002</v>
      </c>
      <c r="H3609" s="1">
        <v>1.4290669999999999E-6</v>
      </c>
      <c r="I3609">
        <v>214.34440000000001</v>
      </c>
      <c r="J3609">
        <v>-388.09969999999998</v>
      </c>
      <c r="K3609">
        <v>1.109394</v>
      </c>
      <c r="L3609">
        <v>213.73140000000001</v>
      </c>
      <c r="M3609">
        <v>0.99991019999999997</v>
      </c>
      <c r="N3609">
        <v>-1.089565E-2</v>
      </c>
      <c r="O3609">
        <v>7.7944519999999899E-3</v>
      </c>
      <c r="P3609">
        <v>0.92950069999999996</v>
      </c>
      <c r="Q3609">
        <v>0.33700799999999997</v>
      </c>
      <c r="R3609">
        <v>0.14984749999999999</v>
      </c>
      <c r="S3609">
        <v>3.2706909999999998</v>
      </c>
      <c r="T3609">
        <v>-0.15802369999999999</v>
      </c>
      <c r="U3609">
        <v>8.7783810000000004E-2</v>
      </c>
      <c r="V3609">
        <v>-0.14231240000000001</v>
      </c>
      <c r="W3609">
        <v>0.34724509999999997</v>
      </c>
      <c r="X3609">
        <v>0.92691319999999999</v>
      </c>
      <c r="Y3609">
        <v>-1.9015219999999999E-2</v>
      </c>
      <c r="Z3609">
        <v>2.7128569999999998E-4</v>
      </c>
      <c r="AA3609">
        <v>0.99981920000000002</v>
      </c>
      <c r="AB3609">
        <v>45</v>
      </c>
      <c r="AC3609">
        <v>22.526399999999899</v>
      </c>
      <c r="AD3609">
        <v>-1.1093925709329999</v>
      </c>
      <c r="AE3609">
        <v>0.61299999999999899</v>
      </c>
      <c r="AF3609">
        <v>-0.43633249284150899</v>
      </c>
      <c r="AG3609">
        <v>-1.1093925709329999</v>
      </c>
      <c r="AH3609">
        <v>22.476020465731199</v>
      </c>
      <c r="AI3609">
        <v>92.825234221785706</v>
      </c>
      <c r="AJ3609">
        <v>91.112157307103303</v>
      </c>
      <c r="AK3609">
        <v>22.507612798711399</v>
      </c>
      <c r="AL3609">
        <v>69.681095219716298</v>
      </c>
      <c r="AM3609">
        <v>98.728672285232605</v>
      </c>
      <c r="AN3609">
        <v>1.0000000295010001</v>
      </c>
    </row>
    <row r="3610" spans="1:40" x14ac:dyDescent="0.25">
      <c r="A3610" t="str">
        <f>"20190304164200640"</f>
        <v>20190304164200640</v>
      </c>
      <c r="B3610" t="str">
        <f>"1551688920634684"</f>
        <v>1551688920634684</v>
      </c>
      <c r="C3610" t="s">
        <v>40</v>
      </c>
      <c r="D3610">
        <v>3.9872670000000001</v>
      </c>
      <c r="E3610">
        <v>0.557813</v>
      </c>
      <c r="F3610" t="s">
        <v>46</v>
      </c>
      <c r="G3610">
        <v>-365.94290000000001</v>
      </c>
      <c r="H3610" s="1">
        <v>1.6257209999999999E-6</v>
      </c>
      <c r="I3610">
        <v>214.3535</v>
      </c>
      <c r="J3610">
        <v>-387.65879999999999</v>
      </c>
      <c r="K3610">
        <v>1.109407</v>
      </c>
      <c r="L3610">
        <v>213.7347</v>
      </c>
      <c r="M3610">
        <v>0.99991200000000002</v>
      </c>
      <c r="N3610">
        <v>-1.090962E-2</v>
      </c>
      <c r="O3610">
        <v>7.5506490000000004E-3</v>
      </c>
      <c r="P3610">
        <v>0.92960569999999998</v>
      </c>
      <c r="Q3610">
        <v>0.33671420000000002</v>
      </c>
      <c r="R3610">
        <v>0.14985589999999999</v>
      </c>
      <c r="S3610">
        <v>3.272125</v>
      </c>
      <c r="T3610">
        <v>-0.1638356</v>
      </c>
      <c r="U3610">
        <v>9.1873170000000004E-2</v>
      </c>
      <c r="V3610">
        <v>-0.14255370000000001</v>
      </c>
      <c r="W3610">
        <v>0.34696250000000001</v>
      </c>
      <c r="X3610">
        <v>0.92698190000000003</v>
      </c>
      <c r="Y3610">
        <v>-2.0492070000000001E-2</v>
      </c>
      <c r="Z3610">
        <v>3.2907409999999998E-4</v>
      </c>
      <c r="AA3610">
        <v>0.99978999999999996</v>
      </c>
      <c r="AB3610">
        <v>45</v>
      </c>
      <c r="AC3610">
        <v>21.715899999999898</v>
      </c>
      <c r="AD3610">
        <v>-1.109405374279</v>
      </c>
      <c r="AE3610">
        <v>0.61879999999999302</v>
      </c>
      <c r="AF3610">
        <v>-0.45362051765419498</v>
      </c>
      <c r="AG3610">
        <v>-1.109405374279</v>
      </c>
      <c r="AH3610">
        <v>21.663459778620599</v>
      </c>
      <c r="AI3610">
        <v>92.930966360811496</v>
      </c>
      <c r="AJ3610">
        <v>91.199565712241395</v>
      </c>
      <c r="AK3610">
        <v>21.696590548711299</v>
      </c>
      <c r="AL3610">
        <v>69.698359570039401</v>
      </c>
      <c r="AM3610">
        <v>98.742605855844602</v>
      </c>
      <c r="AN3610">
        <v>0.99999998835877402</v>
      </c>
    </row>
    <row r="3611" spans="1:40" x14ac:dyDescent="0.25">
      <c r="A3611" t="str">
        <f>"20190304164200663"</f>
        <v>20190304164200663</v>
      </c>
      <c r="B3611" t="str">
        <f>"1551688920655179"</f>
        <v>1551688920655179</v>
      </c>
      <c r="C3611" t="s">
        <v>40</v>
      </c>
      <c r="D3611">
        <v>3.9806409999999999</v>
      </c>
      <c r="E3611">
        <v>0.55791029999999997</v>
      </c>
      <c r="F3611" t="s">
        <v>46</v>
      </c>
      <c r="G3611">
        <v>-366.48489999999998</v>
      </c>
      <c r="H3611" s="1">
        <v>1.9141379999999998E-6</v>
      </c>
      <c r="I3611">
        <v>214.3331</v>
      </c>
      <c r="J3611">
        <v>-387.19529999999997</v>
      </c>
      <c r="K3611">
        <v>1.109426</v>
      </c>
      <c r="L3611">
        <v>213.738</v>
      </c>
      <c r="M3611">
        <v>0.99991350000000001</v>
      </c>
      <c r="N3611">
        <v>-1.093704E-2</v>
      </c>
      <c r="O3611">
        <v>7.3180739999999999E-3</v>
      </c>
      <c r="P3611">
        <v>0.92965399999999998</v>
      </c>
      <c r="Q3611">
        <v>0.3365495</v>
      </c>
      <c r="R3611">
        <v>0.1499269</v>
      </c>
      <c r="S3611">
        <v>3.2744140000000002</v>
      </c>
      <c r="T3611">
        <v>-0.17156289999999999</v>
      </c>
      <c r="U3611">
        <v>9.2544559999999998E-2</v>
      </c>
      <c r="V3611">
        <v>-0.14285400000000001</v>
      </c>
      <c r="W3611">
        <v>0.34681800000000002</v>
      </c>
      <c r="X3611">
        <v>0.92698979999999997</v>
      </c>
      <c r="Y3611">
        <v>-2.0906939999999999E-2</v>
      </c>
      <c r="Z3611">
        <v>3.5858089999999998E-4</v>
      </c>
      <c r="AA3611">
        <v>0.99978140000000004</v>
      </c>
      <c r="AB3611">
        <v>45</v>
      </c>
      <c r="AC3611">
        <v>20.7104</v>
      </c>
      <c r="AD3611">
        <v>-1.1094240858619999</v>
      </c>
      <c r="AE3611">
        <v>0.59510000000000196</v>
      </c>
      <c r="AF3611">
        <v>-0.44224675608601999</v>
      </c>
      <c r="AG3611">
        <v>-1.1094240858619999</v>
      </c>
      <c r="AH3611">
        <v>20.654978410136099</v>
      </c>
      <c r="AI3611">
        <v>93.073824143617301</v>
      </c>
      <c r="AJ3611">
        <v>91.226580880166594</v>
      </c>
      <c r="AK3611">
        <v>20.689478899158999</v>
      </c>
      <c r="AL3611">
        <v>69.707188030742302</v>
      </c>
      <c r="AM3611">
        <v>98.760663883331702</v>
      </c>
      <c r="AN3611">
        <v>1.0000000398720099</v>
      </c>
    </row>
    <row r="3612" spans="1:40" x14ac:dyDescent="0.25">
      <c r="A3612" t="str">
        <f>"20190304164200684"</f>
        <v>20190304164200684</v>
      </c>
      <c r="B3612" t="str">
        <f>"1551688920674700"</f>
        <v>1551688920674700</v>
      </c>
      <c r="C3612" t="s">
        <v>40</v>
      </c>
      <c r="D3612">
        <v>4.3832789999999999</v>
      </c>
      <c r="E3612">
        <v>0.5579539</v>
      </c>
      <c r="F3612" t="s">
        <v>46</v>
      </c>
      <c r="G3612">
        <v>-366.38630000000001</v>
      </c>
      <c r="H3612" s="1">
        <v>1.8616690000000001E-6</v>
      </c>
      <c r="I3612">
        <v>214.32650000000001</v>
      </c>
      <c r="J3612">
        <v>-386.77870000000001</v>
      </c>
      <c r="K3612">
        <v>1.1094550000000001</v>
      </c>
      <c r="L3612">
        <v>213.74090000000001</v>
      </c>
      <c r="M3612">
        <v>0.99991439999999998</v>
      </c>
      <c r="N3612">
        <v>-1.097476E-2</v>
      </c>
      <c r="O3612">
        <v>7.1399530000000001E-3</v>
      </c>
      <c r="P3612">
        <v>0.92973539999999999</v>
      </c>
      <c r="Q3612">
        <v>0.33657999999999999</v>
      </c>
      <c r="R3612">
        <v>0.14935329999999999</v>
      </c>
      <c r="S3612">
        <v>3.275299</v>
      </c>
      <c r="T3612">
        <v>-0.1746212</v>
      </c>
      <c r="U3612">
        <v>9.2636109999999994E-2</v>
      </c>
      <c r="V3612">
        <v>-0.14246400000000001</v>
      </c>
      <c r="W3612">
        <v>0.34687610000000002</v>
      </c>
      <c r="X3612">
        <v>0.92702810000000002</v>
      </c>
      <c r="Y3612">
        <v>-2.1103960000000001E-2</v>
      </c>
      <c r="Z3612">
        <v>3.7599299999999998E-4</v>
      </c>
      <c r="AA3612">
        <v>0.99977720000000003</v>
      </c>
      <c r="AB3612">
        <v>45</v>
      </c>
      <c r="AC3612">
        <v>20.392399999999999</v>
      </c>
      <c r="AD3612">
        <v>-1.10945313833099</v>
      </c>
      <c r="AE3612">
        <v>0.58559999999999901</v>
      </c>
      <c r="AF3612">
        <v>-0.43867815526732101</v>
      </c>
      <c r="AG3612">
        <v>-1.10945313833099</v>
      </c>
      <c r="AH3612">
        <v>20.335918276736699</v>
      </c>
      <c r="AI3612">
        <v>93.122027057251103</v>
      </c>
      <c r="AJ3612">
        <v>91.235769586565397</v>
      </c>
      <c r="AK3612">
        <v>20.3708835583578</v>
      </c>
      <c r="AL3612">
        <v>69.703639224796206</v>
      </c>
      <c r="AM3612">
        <v>98.736760887844895</v>
      </c>
      <c r="AN3612">
        <v>1.0000000591184</v>
      </c>
    </row>
    <row r="3613" spans="1:40" x14ac:dyDescent="0.25">
      <c r="A3613" t="str">
        <f>"20190304164200706"</f>
        <v>20190304164200706</v>
      </c>
      <c r="B3613" t="str">
        <f>"1551688920694218"</f>
        <v>1551688920694218</v>
      </c>
      <c r="C3613" t="s">
        <v>40</v>
      </c>
      <c r="D3613">
        <v>3.9543550000000001</v>
      </c>
      <c r="E3613">
        <v>0.55788040000000005</v>
      </c>
      <c r="F3613" t="s">
        <v>46</v>
      </c>
      <c r="G3613">
        <v>-366.0412</v>
      </c>
      <c r="H3613" s="1">
        <v>1.678013E-6</v>
      </c>
      <c r="I3613">
        <v>214.31469999999999</v>
      </c>
      <c r="J3613">
        <v>-386.33159999999998</v>
      </c>
      <c r="K3613">
        <v>1.109488</v>
      </c>
      <c r="L3613">
        <v>213.744</v>
      </c>
      <c r="M3613">
        <v>0.99991490000000005</v>
      </c>
      <c r="N3613">
        <v>-1.102407E-2</v>
      </c>
      <c r="O3613">
        <v>6.9817029999999997E-3</v>
      </c>
      <c r="P3613">
        <v>0.92972889999999997</v>
      </c>
      <c r="Q3613">
        <v>0.33687790000000001</v>
      </c>
      <c r="R3613">
        <v>0.14871980000000001</v>
      </c>
      <c r="S3613">
        <v>3.275604</v>
      </c>
      <c r="T3613">
        <v>-0.1752436</v>
      </c>
      <c r="U3613">
        <v>9.0637209999999996E-2</v>
      </c>
      <c r="V3613">
        <v>-0.1420015</v>
      </c>
      <c r="W3613">
        <v>0.3472093</v>
      </c>
      <c r="X3613">
        <v>0.92697430000000003</v>
      </c>
      <c r="Y3613">
        <v>-2.0650350000000001E-2</v>
      </c>
      <c r="Z3613">
        <v>3.6958569999999999E-4</v>
      </c>
      <c r="AA3613">
        <v>0.99978670000000003</v>
      </c>
      <c r="AB3613">
        <v>45</v>
      </c>
      <c r="AC3613">
        <v>20.290399999999899</v>
      </c>
      <c r="AD3613">
        <v>-1.1094863219869999</v>
      </c>
      <c r="AE3613">
        <v>0.57069999999995902</v>
      </c>
      <c r="AF3613">
        <v>-0.427738038610599</v>
      </c>
      <c r="AG3613">
        <v>-1.1094863219869999</v>
      </c>
      <c r="AH3613">
        <v>20.233441131064598</v>
      </c>
      <c r="AI3613">
        <v>93.137930304008904</v>
      </c>
      <c r="AJ3613">
        <v>91.211061149056405</v>
      </c>
      <c r="AK3613">
        <v>20.268351184361499</v>
      </c>
      <c r="AL3613">
        <v>69.683282688304104</v>
      </c>
      <c r="AM3613">
        <v>98.709330799429296</v>
      </c>
      <c r="AN3613">
        <v>1.0000000384346099</v>
      </c>
    </row>
    <row r="3614" spans="1:40" x14ac:dyDescent="0.25">
      <c r="A3614" t="str">
        <f>"20190304164200728"</f>
        <v>20190304164200728</v>
      </c>
      <c r="B3614" t="str">
        <f>"1551688920714715"</f>
        <v>1551688920714715</v>
      </c>
      <c r="C3614" t="s">
        <v>40</v>
      </c>
      <c r="D3614">
        <v>3.968683</v>
      </c>
      <c r="E3614">
        <v>0.55761059999999996</v>
      </c>
      <c r="F3614" t="s">
        <v>46</v>
      </c>
      <c r="G3614">
        <v>-358.79180000000002</v>
      </c>
      <c r="H3614" s="1">
        <v>3.1491000000000001E-6</v>
      </c>
      <c r="I3614">
        <v>214.44919999999999</v>
      </c>
      <c r="J3614">
        <v>-385.89389999999997</v>
      </c>
      <c r="K3614">
        <v>1.109532</v>
      </c>
      <c r="L3614">
        <v>213.74690000000001</v>
      </c>
      <c r="M3614">
        <v>0.99991509999999995</v>
      </c>
      <c r="N3614">
        <v>-1.1079189999999999E-2</v>
      </c>
      <c r="O3614">
        <v>6.8637119999999897E-3</v>
      </c>
      <c r="P3614">
        <v>0.93021330000000002</v>
      </c>
      <c r="Q3614">
        <v>0.33610630000000002</v>
      </c>
      <c r="R3614">
        <v>0.1474307</v>
      </c>
      <c r="S3614">
        <v>3.2610169999999998</v>
      </c>
      <c r="T3614">
        <v>-0.13137560000000001</v>
      </c>
      <c r="U3614">
        <v>8.3511349999999998E-2</v>
      </c>
      <c r="V3614">
        <v>-0.14084739999999901</v>
      </c>
      <c r="W3614">
        <v>0.34648210000000002</v>
      </c>
      <c r="X3614">
        <v>0.92742230000000003</v>
      </c>
      <c r="Y3614">
        <v>-1.8721680000000001E-2</v>
      </c>
      <c r="Z3614">
        <v>2.8034970000000002E-4</v>
      </c>
      <c r="AA3614">
        <v>0.99982470000000001</v>
      </c>
      <c r="AB3614">
        <v>45</v>
      </c>
      <c r="AC3614">
        <v>27.102099999999901</v>
      </c>
      <c r="AD3614">
        <v>-1.1095288509000001</v>
      </c>
      <c r="AE3614">
        <v>0.70229999999997905</v>
      </c>
      <c r="AF3614">
        <v>-0.51538782913081205</v>
      </c>
      <c r="AG3614">
        <v>-1.1095288509000001</v>
      </c>
      <c r="AH3614">
        <v>27.060958747022202</v>
      </c>
      <c r="AI3614">
        <v>92.347449207699398</v>
      </c>
      <c r="AJ3614">
        <v>91.091091341935595</v>
      </c>
      <c r="AK3614">
        <v>27.088598472298798</v>
      </c>
      <c r="AL3614">
        <v>69.727704616952096</v>
      </c>
      <c r="AM3614">
        <v>98.635508621979</v>
      </c>
      <c r="AN3614">
        <v>0.99999997912222904</v>
      </c>
    </row>
    <row r="3615" spans="1:40" x14ac:dyDescent="0.25">
      <c r="A3615" t="str">
        <f>"20190304164200751"</f>
        <v>20190304164200751</v>
      </c>
      <c r="B3615" t="str">
        <f>"1551688920744972"</f>
        <v>1551688920744972</v>
      </c>
      <c r="C3615" t="s">
        <v>40</v>
      </c>
      <c r="D3615">
        <v>3.9199000000000002</v>
      </c>
      <c r="E3615">
        <v>0.55767500000000003</v>
      </c>
      <c r="F3615" t="s">
        <v>46</v>
      </c>
      <c r="G3615">
        <v>-358.46519999999998</v>
      </c>
      <c r="H3615" s="1">
        <v>2.9769970000000002E-6</v>
      </c>
      <c r="I3615">
        <v>214.4102</v>
      </c>
      <c r="J3615">
        <v>-385.42469999999997</v>
      </c>
      <c r="K3615">
        <v>1.1095839999999999</v>
      </c>
      <c r="L3615">
        <v>213.7501</v>
      </c>
      <c r="M3615">
        <v>0.999915</v>
      </c>
      <c r="N3615">
        <v>-1.114833E-2</v>
      </c>
      <c r="O3615">
        <v>6.7749459999999996E-3</v>
      </c>
      <c r="P3615">
        <v>0.93054539999999997</v>
      </c>
      <c r="Q3615">
        <v>0.3360535</v>
      </c>
      <c r="R3615">
        <v>0.14544279999999901</v>
      </c>
      <c r="S3615">
        <v>3.2602229999999999</v>
      </c>
      <c r="T3615">
        <v>-0.1318809</v>
      </c>
      <c r="U3615">
        <v>7.8842159999999994E-2</v>
      </c>
      <c r="V3615">
        <v>-0.13896979999999901</v>
      </c>
      <c r="W3615">
        <v>0.3464834</v>
      </c>
      <c r="X3615">
        <v>0.927705</v>
      </c>
      <c r="Y3615">
        <v>-1.7386820000000001E-2</v>
      </c>
      <c r="Z3615">
        <v>2.5005390000000001E-4</v>
      </c>
      <c r="AA3615">
        <v>0.99984879999999998</v>
      </c>
      <c r="AB3615">
        <v>45</v>
      </c>
      <c r="AC3615">
        <v>26.959499999999899</v>
      </c>
      <c r="AD3615">
        <v>-1.1095810230030001</v>
      </c>
      <c r="AE3615">
        <v>0.66009999999999902</v>
      </c>
      <c r="AF3615">
        <v>-0.47661748729820902</v>
      </c>
      <c r="AG3615">
        <v>-1.1095810230030001</v>
      </c>
      <c r="AH3615">
        <v>26.917784207414002</v>
      </c>
      <c r="AI3615">
        <v>92.3600899381712</v>
      </c>
      <c r="AJ3615">
        <v>91.014396910626999</v>
      </c>
      <c r="AK3615">
        <v>26.944859266893801</v>
      </c>
      <c r="AL3615">
        <v>69.727624796675599</v>
      </c>
      <c r="AM3615">
        <v>98.519533577071698</v>
      </c>
      <c r="AN3615">
        <v>0.99999995940629904</v>
      </c>
    </row>
    <row r="3616" spans="1:40" x14ac:dyDescent="0.25">
      <c r="A3616" t="str">
        <f>"20190304164200773"</f>
        <v>20190304164200773</v>
      </c>
      <c r="B3616" t="str">
        <f>"1551688920764490"</f>
        <v>1551688920764490</v>
      </c>
      <c r="C3616" t="s">
        <v>40</v>
      </c>
      <c r="D3616">
        <v>3.9523290000000002</v>
      </c>
      <c r="E3616">
        <v>0.55757409999999996</v>
      </c>
      <c r="F3616" t="s">
        <v>46</v>
      </c>
      <c r="G3616">
        <v>-358.10599999999999</v>
      </c>
      <c r="H3616" s="1">
        <v>2.7887160000000001E-6</v>
      </c>
      <c r="I3616">
        <v>214.3449</v>
      </c>
      <c r="J3616">
        <v>-384.99180000000001</v>
      </c>
      <c r="K3616">
        <v>1.109613</v>
      </c>
      <c r="L3616">
        <v>213.75299999999999</v>
      </c>
      <c r="M3616">
        <v>0.99991459999999999</v>
      </c>
      <c r="N3616">
        <v>-1.121846E-2</v>
      </c>
      <c r="O3616">
        <v>6.7208420000000003E-3</v>
      </c>
      <c r="P3616">
        <v>0.93088130000000002</v>
      </c>
      <c r="Q3616">
        <v>0.33569009999999999</v>
      </c>
      <c r="R3616">
        <v>0.1441269</v>
      </c>
      <c r="S3616">
        <v>3.2606510000000002</v>
      </c>
      <c r="T3616">
        <v>-0.13243569999999999</v>
      </c>
      <c r="U3616">
        <v>7.0999149999999997E-2</v>
      </c>
      <c r="V3616">
        <v>-0.13772770000000001</v>
      </c>
      <c r="W3616">
        <v>0.34617789999999998</v>
      </c>
      <c r="X3616">
        <v>0.9280043</v>
      </c>
      <c r="Y3616">
        <v>-1.5036300000000001E-2</v>
      </c>
      <c r="Z3616">
        <v>1.9214239999999999E-4</v>
      </c>
      <c r="AA3616">
        <v>0.99988690000000002</v>
      </c>
      <c r="AB3616">
        <v>45</v>
      </c>
      <c r="AC3616">
        <v>26.8858</v>
      </c>
      <c r="AD3616">
        <v>-1.1096102112840001</v>
      </c>
      <c r="AE3616">
        <v>0.59190000000000897</v>
      </c>
      <c r="AF3616">
        <v>-0.41048122543830401</v>
      </c>
      <c r="AG3616">
        <v>-1.1096102112840001</v>
      </c>
      <c r="AH3616">
        <v>26.843470286483502</v>
      </c>
      <c r="AI3616">
        <v>92.366772577357693</v>
      </c>
      <c r="AJ3616">
        <v>90.876079307855207</v>
      </c>
      <c r="AK3616">
        <v>26.869529707063101</v>
      </c>
      <c r="AL3616">
        <v>69.746284658269403</v>
      </c>
      <c r="AM3616">
        <v>98.441805227113207</v>
      </c>
      <c r="AN3616">
        <v>1.0000000193070899</v>
      </c>
    </row>
    <row r="3617" spans="1:40" x14ac:dyDescent="0.25">
      <c r="A3617" t="str">
        <f>"20190304164200796"</f>
        <v>20190304164200796</v>
      </c>
      <c r="B3617" t="str">
        <f>"1551688920784987"</f>
        <v>1551688920784987</v>
      </c>
      <c r="C3617" t="s">
        <v>40</v>
      </c>
      <c r="D3617">
        <v>3.970653</v>
      </c>
      <c r="E3617">
        <v>0.55768739999999895</v>
      </c>
      <c r="F3617" t="s">
        <v>46</v>
      </c>
      <c r="G3617">
        <v>-358.00259999999997</v>
      </c>
      <c r="H3617" s="1">
        <v>2.7352589999999998E-6</v>
      </c>
      <c r="I3617">
        <v>214.3081</v>
      </c>
      <c r="J3617">
        <v>-384.53730000000002</v>
      </c>
      <c r="K3617">
        <v>1.1096469999999901</v>
      </c>
      <c r="L3617">
        <v>213.756</v>
      </c>
      <c r="M3617">
        <v>0.99991390000000002</v>
      </c>
      <c r="N3617">
        <v>-1.129281E-2</v>
      </c>
      <c r="O3617">
        <v>6.6875349999999997E-3</v>
      </c>
      <c r="P3617">
        <v>0.93100709999999998</v>
      </c>
      <c r="Q3617">
        <v>0.33525339999999998</v>
      </c>
      <c r="R3617">
        <v>0.14433000000000001</v>
      </c>
      <c r="S3617">
        <v>3.2607119999999998</v>
      </c>
      <c r="T3617">
        <v>-0.13405790000000001</v>
      </c>
      <c r="U3617">
        <v>6.7062380000000005E-2</v>
      </c>
      <c r="V3617">
        <v>-0.137984299999999</v>
      </c>
      <c r="W3617">
        <v>0.34580290000000002</v>
      </c>
      <c r="X3617">
        <v>0.92810599999999999</v>
      </c>
      <c r="Y3617">
        <v>-1.3863479999999999E-2</v>
      </c>
      <c r="Z3617">
        <v>1.6386680000000001E-4</v>
      </c>
      <c r="AA3617">
        <v>0.99990389999999996</v>
      </c>
      <c r="AB3617">
        <v>45</v>
      </c>
      <c r="AC3617">
        <v>26.534700000000001</v>
      </c>
      <c r="AD3617">
        <v>-1.1096442647410001</v>
      </c>
      <c r="AE3617">
        <v>0.55210000000002402</v>
      </c>
      <c r="AF3617">
        <v>-0.37397089074740197</v>
      </c>
      <c r="AG3617">
        <v>-1.1096442647410001</v>
      </c>
      <c r="AH3617">
        <v>26.4914908150614</v>
      </c>
      <c r="AI3617">
        <v>92.398297143871503</v>
      </c>
      <c r="AJ3617">
        <v>90.8087702840958</v>
      </c>
      <c r="AK3617">
        <v>26.517357527209999</v>
      </c>
      <c r="AL3617">
        <v>69.769185166461099</v>
      </c>
      <c r="AM3617">
        <v>98.456392537303302</v>
      </c>
      <c r="AN3617">
        <v>1.0000000299654399</v>
      </c>
    </row>
    <row r="3618" spans="1:40" x14ac:dyDescent="0.25">
      <c r="A3618" t="str">
        <f>"20190304164200820"</f>
        <v>20190304164200820</v>
      </c>
      <c r="B3618" t="str">
        <f>"1551688920814267"</f>
        <v>1551688920814267</v>
      </c>
      <c r="C3618" t="s">
        <v>40</v>
      </c>
      <c r="D3618">
        <v>4.1642190000000001</v>
      </c>
      <c r="E3618">
        <v>0.55979559999999995</v>
      </c>
      <c r="F3618" t="s">
        <v>46</v>
      </c>
      <c r="G3618">
        <v>-357.8544</v>
      </c>
      <c r="H3618" s="1">
        <v>2.6573270000000001E-6</v>
      </c>
      <c r="I3618">
        <v>214.28720000000001</v>
      </c>
      <c r="J3618">
        <v>-384.06709999999998</v>
      </c>
      <c r="K3618">
        <v>1.1096820000000001</v>
      </c>
      <c r="L3618">
        <v>213.75919999999999</v>
      </c>
      <c r="M3618">
        <v>0.99991319999999995</v>
      </c>
      <c r="N3618">
        <v>-1.1365689999999999E-2</v>
      </c>
      <c r="O3618">
        <v>6.6718289999999998E-3</v>
      </c>
      <c r="P3618">
        <v>0.93087600000000004</v>
      </c>
      <c r="Q3618">
        <v>0.3349356</v>
      </c>
      <c r="R3618">
        <v>0.1459056</v>
      </c>
      <c r="S3618">
        <v>3.2610779999999999</v>
      </c>
      <c r="T3618">
        <v>-0.1356165</v>
      </c>
      <c r="U3618">
        <v>6.4910889999999999E-2</v>
      </c>
      <c r="V3618">
        <v>-0.13959549999999901</v>
      </c>
      <c r="W3618">
        <v>0.34554390000000001</v>
      </c>
      <c r="X3618">
        <v>0.92796149999999999</v>
      </c>
      <c r="Y3618">
        <v>-1.3217909999999999E-2</v>
      </c>
      <c r="Z3618">
        <v>1.48362099999999E-4</v>
      </c>
      <c r="AA3618">
        <v>0.99991260000000004</v>
      </c>
      <c r="AB3618">
        <v>45</v>
      </c>
      <c r="AC3618">
        <v>26.212699999999899</v>
      </c>
      <c r="AD3618">
        <v>-1.1096793426730001</v>
      </c>
      <c r="AE3618">
        <v>0.52800000000002001</v>
      </c>
      <c r="AF3618">
        <v>-0.352458907729231</v>
      </c>
      <c r="AG3618">
        <v>-1.1096793426730001</v>
      </c>
      <c r="AH3618">
        <v>26.168760450549399</v>
      </c>
      <c r="AI3618">
        <v>92.427937669548996</v>
      </c>
      <c r="AJ3618">
        <v>90.771652402471801</v>
      </c>
      <c r="AK3618">
        <v>26.194649053641299</v>
      </c>
      <c r="AL3618">
        <v>69.784999405857306</v>
      </c>
      <c r="AM3618">
        <v>98.554995078347602</v>
      </c>
      <c r="AN3618">
        <v>1.0000000179648501</v>
      </c>
    </row>
    <row r="3619" spans="1:40" x14ac:dyDescent="0.25">
      <c r="A3619" t="str">
        <f>"20190304164200841"</f>
        <v>20190304164200841</v>
      </c>
      <c r="B3619" t="str">
        <f>"1551688920834763"</f>
        <v>1551688920834763</v>
      </c>
      <c r="C3619" t="s">
        <v>40</v>
      </c>
      <c r="D3619">
        <v>4.1508890000000003</v>
      </c>
      <c r="E3619">
        <v>0.56088709999999997</v>
      </c>
      <c r="F3619" t="s">
        <v>46</v>
      </c>
      <c r="G3619">
        <v>-359.97579999999999</v>
      </c>
      <c r="H3619" s="1">
        <v>-1.5496529999999999E-6</v>
      </c>
      <c r="I3619">
        <v>214.14680000000001</v>
      </c>
      <c r="J3619">
        <v>-383.63240000000002</v>
      </c>
      <c r="K3619">
        <v>1.1097049999999999</v>
      </c>
      <c r="L3619">
        <v>213.7621</v>
      </c>
      <c r="M3619">
        <v>0.99991260000000004</v>
      </c>
      <c r="N3619">
        <v>-1.142748E-2</v>
      </c>
      <c r="O3619">
        <v>6.6690480000000003E-3</v>
      </c>
      <c r="P3619">
        <v>0.93041529999999995</v>
      </c>
      <c r="Q3619">
        <v>0.33535910000000002</v>
      </c>
      <c r="R3619">
        <v>0.1478575</v>
      </c>
      <c r="S3619">
        <v>3.268707</v>
      </c>
      <c r="T3619">
        <v>-0.1505619</v>
      </c>
      <c r="U3619">
        <v>5.2597049999999999E-2</v>
      </c>
      <c r="V3619">
        <v>-0.14156820000000001</v>
      </c>
      <c r="W3619">
        <v>0.34601369999999998</v>
      </c>
      <c r="X3619">
        <v>0.92748739999999996</v>
      </c>
      <c r="Y3619">
        <v>-9.4115680000000004E-3</v>
      </c>
      <c r="Z3619" s="1">
        <v>3.9623570000000003E-5</v>
      </c>
      <c r="AA3619">
        <v>0.9999557</v>
      </c>
      <c r="AB3619">
        <v>45</v>
      </c>
      <c r="AC3619">
        <v>23.656600000000001</v>
      </c>
      <c r="AD3619">
        <v>-1.1097065496530001</v>
      </c>
      <c r="AE3619">
        <v>0.38470000000000898</v>
      </c>
      <c r="AF3619">
        <v>-0.226416076377009</v>
      </c>
      <c r="AG3619">
        <v>-1.1097065496530001</v>
      </c>
      <c r="AH3619">
        <v>23.606707933591299</v>
      </c>
      <c r="AI3619">
        <v>92.6912610111888</v>
      </c>
      <c r="AJ3619">
        <v>90.549517021186801</v>
      </c>
      <c r="AK3619">
        <v>23.633860715673698</v>
      </c>
      <c r="AL3619">
        <v>69.756311017157699</v>
      </c>
      <c r="AM3619">
        <v>98.678430504750295</v>
      </c>
      <c r="AN3619">
        <v>0.99999995649884399</v>
      </c>
    </row>
    <row r="3620" spans="1:40" x14ac:dyDescent="0.25">
      <c r="A3620" t="str">
        <f>"20190304164200863"</f>
        <v>20190304164200863</v>
      </c>
      <c r="B3620" t="str">
        <f>"1551688920854283"</f>
        <v>1551688920854283</v>
      </c>
      <c r="C3620" t="s">
        <v>40</v>
      </c>
      <c r="D3620">
        <v>4.1357460000000001</v>
      </c>
      <c r="E3620">
        <v>0.56192699999999995</v>
      </c>
      <c r="F3620" t="s">
        <v>46</v>
      </c>
      <c r="G3620">
        <v>-360.60489999999999</v>
      </c>
      <c r="H3620" s="1">
        <v>-1.2148899999999999E-6</v>
      </c>
      <c r="I3620">
        <v>214.1225</v>
      </c>
      <c r="J3620">
        <v>-383.19529999999997</v>
      </c>
      <c r="K3620">
        <v>1.109729</v>
      </c>
      <c r="L3620">
        <v>213.76499999999999</v>
      </c>
      <c r="M3620">
        <v>0.99991180000000002</v>
      </c>
      <c r="N3620">
        <v>-1.1486700000000001E-2</v>
      </c>
      <c r="O3620">
        <v>6.6724480000000001E-3</v>
      </c>
      <c r="P3620">
        <v>0.93076340000000002</v>
      </c>
      <c r="Q3620">
        <v>0.33430280000000001</v>
      </c>
      <c r="R3620">
        <v>0.14805989999999999</v>
      </c>
      <c r="S3620">
        <v>3.2730410000000001</v>
      </c>
      <c r="T3620">
        <v>-0.15772910000000001</v>
      </c>
      <c r="U3620">
        <v>5.1223749999999998E-2</v>
      </c>
      <c r="V3620">
        <v>-0.14177919999999999</v>
      </c>
      <c r="W3620">
        <v>0.3450105</v>
      </c>
      <c r="X3620">
        <v>0.92782889999999996</v>
      </c>
      <c r="Y3620">
        <v>-8.9674709999999994E-3</v>
      </c>
      <c r="Z3620" s="1">
        <v>2.275367E-5</v>
      </c>
      <c r="AA3620">
        <v>0.99995979999999995</v>
      </c>
      <c r="AB3620">
        <v>45</v>
      </c>
      <c r="AC3620">
        <v>22.590399999999899</v>
      </c>
      <c r="AD3620">
        <v>-1.1097302148899999</v>
      </c>
      <c r="AE3620">
        <v>0.35750000000001497</v>
      </c>
      <c r="AF3620">
        <v>-0.20625123809448001</v>
      </c>
      <c r="AG3620">
        <v>-1.1097302148899999</v>
      </c>
      <c r="AH3620">
        <v>22.537908535735301</v>
      </c>
      <c r="AI3620">
        <v>92.818757232804202</v>
      </c>
      <c r="AJ3620">
        <v>90.524316423328699</v>
      </c>
      <c r="AK3620">
        <v>22.5661552305267</v>
      </c>
      <c r="AL3620">
        <v>69.817563845170199</v>
      </c>
      <c r="AM3620">
        <v>98.688017806304003</v>
      </c>
      <c r="AN3620">
        <v>1.0000000271690399</v>
      </c>
    </row>
    <row r="3621" spans="1:40" x14ac:dyDescent="0.25">
      <c r="A3621" t="str">
        <f>"20190304164200884"</f>
        <v>20190304164200884</v>
      </c>
      <c r="B3621" t="str">
        <f>"1551688920874779"</f>
        <v>1551688920874779</v>
      </c>
      <c r="C3621" t="s">
        <v>40</v>
      </c>
      <c r="D3621">
        <v>4.1255540000000002</v>
      </c>
      <c r="E3621">
        <v>0.56268319999999905</v>
      </c>
      <c r="F3621" t="s">
        <v>46</v>
      </c>
      <c r="G3621">
        <v>-361.41090000000003</v>
      </c>
      <c r="H3621" s="1">
        <v>-7.8596739999999998E-7</v>
      </c>
      <c r="I3621">
        <v>214.06360000000001</v>
      </c>
      <c r="J3621">
        <v>-382.76670000000001</v>
      </c>
      <c r="K3621">
        <v>1.109748</v>
      </c>
      <c r="L3621">
        <v>213.76779999999999</v>
      </c>
      <c r="M3621">
        <v>0.99991110000000005</v>
      </c>
      <c r="N3621">
        <v>-1.154262E-2</v>
      </c>
      <c r="O3621">
        <v>6.6790520000000004E-3</v>
      </c>
      <c r="P3621">
        <v>0.93093300000000001</v>
      </c>
      <c r="Q3621">
        <v>0.33364579999999999</v>
      </c>
      <c r="R3621">
        <v>0.14847279999999999</v>
      </c>
      <c r="S3621">
        <v>3.2760009999999999</v>
      </c>
      <c r="T3621">
        <v>-0.1668847</v>
      </c>
      <c r="U3621">
        <v>4.4906620000000001E-2</v>
      </c>
      <c r="V3621">
        <v>-0.14219660000000001</v>
      </c>
      <c r="W3621">
        <v>0.34440310000000002</v>
      </c>
      <c r="X3621">
        <v>0.92799069999999995</v>
      </c>
      <c r="Y3621">
        <v>-7.0213019999999897E-3</v>
      </c>
      <c r="Z3621" s="1">
        <v>-4.3672440000000002E-5</v>
      </c>
      <c r="AA3621">
        <v>0.99997530000000001</v>
      </c>
      <c r="AB3621">
        <v>45</v>
      </c>
      <c r="AC3621">
        <v>21.355799999999899</v>
      </c>
      <c r="AD3621">
        <v>-1.1097487859674</v>
      </c>
      <c r="AE3621">
        <v>0.295800000000014</v>
      </c>
      <c r="AF3621">
        <v>-0.152735046582885</v>
      </c>
      <c r="AG3621">
        <v>-1.1097487859674</v>
      </c>
      <c r="AH3621">
        <v>21.299793838936601</v>
      </c>
      <c r="AI3621">
        <v>92.982416239452206</v>
      </c>
      <c r="AJ3621">
        <v>90.410845458515695</v>
      </c>
      <c r="AK3621">
        <v>21.329230833380102</v>
      </c>
      <c r="AL3621">
        <v>69.854638092811598</v>
      </c>
      <c r="AM3621">
        <v>98.711707605358399</v>
      </c>
      <c r="AN3621">
        <v>1.0000000538138201</v>
      </c>
    </row>
    <row r="3622" spans="1:40" x14ac:dyDescent="0.25">
      <c r="A3622" t="str">
        <f>"20190304164200907"</f>
        <v>20190304164200907</v>
      </c>
      <c r="B3622" t="str">
        <f>"1551688920894299"</f>
        <v>1551688920894299</v>
      </c>
      <c r="C3622" t="s">
        <v>40</v>
      </c>
      <c r="D3622">
        <v>4.115354</v>
      </c>
      <c r="E3622">
        <v>0.56338330000000003</v>
      </c>
      <c r="F3622" t="s">
        <v>46</v>
      </c>
      <c r="G3622">
        <v>-362.00740000000002</v>
      </c>
      <c r="H3622" s="1">
        <v>-4.685398E-7</v>
      </c>
      <c r="I3622">
        <v>214.0352</v>
      </c>
      <c r="J3622">
        <v>-382.3134</v>
      </c>
      <c r="K3622">
        <v>1.1097520000000001</v>
      </c>
      <c r="L3622">
        <v>213.77080000000001</v>
      </c>
      <c r="M3622">
        <v>0.99991050000000004</v>
      </c>
      <c r="N3622">
        <v>-1.1597710000000001E-2</v>
      </c>
      <c r="O3622">
        <v>6.6866590000000002E-3</v>
      </c>
      <c r="P3622">
        <v>0.93108420000000003</v>
      </c>
      <c r="Q3622">
        <v>0.33312589999999997</v>
      </c>
      <c r="R3622">
        <v>0.14869260000000001</v>
      </c>
      <c r="S3622">
        <v>3.2786559999999998</v>
      </c>
      <c r="T3622">
        <v>-0.17527010000000001</v>
      </c>
      <c r="U3622">
        <v>4.2221069999999999E-2</v>
      </c>
      <c r="V3622">
        <v>-0.14241879999999901</v>
      </c>
      <c r="W3622">
        <v>0.3439316</v>
      </c>
      <c r="X3622">
        <v>0.92813140000000005</v>
      </c>
      <c r="Y3622">
        <v>-6.1847489999999998E-3</v>
      </c>
      <c r="Z3622" s="1">
        <v>-7.858645E-5</v>
      </c>
      <c r="AA3622">
        <v>0.99998089999999995</v>
      </c>
      <c r="AB3622">
        <v>45</v>
      </c>
      <c r="AC3622">
        <v>20.305999999999901</v>
      </c>
      <c r="AD3622">
        <v>-1.1097524685397999</v>
      </c>
      <c r="AE3622">
        <v>0.26439999999999397</v>
      </c>
      <c r="AF3622">
        <v>-0.12822276497406099</v>
      </c>
      <c r="AG3622">
        <v>-1.1097524685397999</v>
      </c>
      <c r="AH3622">
        <v>20.246851376920802</v>
      </c>
      <c r="AI3622">
        <v>93.137243441162298</v>
      </c>
      <c r="AJ3622">
        <v>90.362847779153896</v>
      </c>
      <c r="AK3622">
        <v>20.277647356091599</v>
      </c>
      <c r="AL3622">
        <v>69.883409232408198</v>
      </c>
      <c r="AM3622">
        <v>98.7238090828277</v>
      </c>
      <c r="AN3622">
        <v>0.99999997786897898</v>
      </c>
    </row>
    <row r="3623" spans="1:40" x14ac:dyDescent="0.25">
      <c r="A3623" t="str">
        <f>"20190304164200930"</f>
        <v>20190304164200930</v>
      </c>
      <c r="B3623" t="str">
        <f>"1551688920924555"</f>
        <v>1551688920924555</v>
      </c>
      <c r="C3623" t="s">
        <v>40</v>
      </c>
      <c r="D3623">
        <v>4.1147450000000001</v>
      </c>
      <c r="E3623">
        <v>0.56421509999999997</v>
      </c>
      <c r="F3623" t="s">
        <v>46</v>
      </c>
      <c r="G3623">
        <v>-362.29320000000001</v>
      </c>
      <c r="H3623" s="1">
        <v>-3.1644030000000002E-7</v>
      </c>
      <c r="I3623">
        <v>214.0051</v>
      </c>
      <c r="J3623">
        <v>-381.84840000000003</v>
      </c>
      <c r="K3623">
        <v>1.1097649999999999</v>
      </c>
      <c r="L3623">
        <v>213.774</v>
      </c>
      <c r="M3623">
        <v>0.99990979999999996</v>
      </c>
      <c r="N3623">
        <v>-1.1649970000000001E-2</v>
      </c>
      <c r="O3623">
        <v>6.6947339999999999E-3</v>
      </c>
      <c r="P3623">
        <v>0.9309731</v>
      </c>
      <c r="Q3623">
        <v>0.33363369999999998</v>
      </c>
      <c r="R3623">
        <v>0.14824889999999999</v>
      </c>
      <c r="S3623">
        <v>3.2809750000000002</v>
      </c>
      <c r="T3623">
        <v>-0.18187030000000001</v>
      </c>
      <c r="U3623">
        <v>3.8391109999999999E-2</v>
      </c>
      <c r="V3623">
        <v>-0.14197750000000001</v>
      </c>
      <c r="W3623">
        <v>0.34448269999999998</v>
      </c>
      <c r="X3623">
        <v>0.9279946</v>
      </c>
      <c r="Y3623">
        <v>-5.0024500000000003E-3</v>
      </c>
      <c r="Z3623">
        <v>-1.2514620000000001E-4</v>
      </c>
      <c r="AA3623">
        <v>0.99998750000000003</v>
      </c>
      <c r="AB3623">
        <v>45</v>
      </c>
      <c r="AC3623">
        <v>19.555199999999999</v>
      </c>
      <c r="AD3623">
        <v>-1.1097653164403001</v>
      </c>
      <c r="AE3623">
        <v>0.231099999999997</v>
      </c>
      <c r="AF3623">
        <v>-9.9847557906782805E-2</v>
      </c>
      <c r="AG3623">
        <v>-1.1097653164403001</v>
      </c>
      <c r="AH3623">
        <v>19.493536707269602</v>
      </c>
      <c r="AI3623">
        <v>93.258283940665393</v>
      </c>
      <c r="AJ3623">
        <v>90.293471303807905</v>
      </c>
      <c r="AK3623">
        <v>19.525355872558698</v>
      </c>
      <c r="AL3623">
        <v>69.849778087909698</v>
      </c>
      <c r="AM3623">
        <v>98.6984538582727</v>
      </c>
      <c r="AN3623">
        <v>0.99999995936734898</v>
      </c>
    </row>
    <row r="3624" spans="1:40" x14ac:dyDescent="0.25">
      <c r="A3624" t="str">
        <f>"20190304164200952"</f>
        <v>20190304164200952</v>
      </c>
      <c r="B3624" t="str">
        <f>"1551688920945052"</f>
        <v>1551688920945052</v>
      </c>
      <c r="C3624" t="s">
        <v>40</v>
      </c>
      <c r="D3624">
        <v>4.1060679999999996</v>
      </c>
      <c r="E3624">
        <v>0.56471199999999999</v>
      </c>
      <c r="F3624" t="s">
        <v>46</v>
      </c>
      <c r="G3624">
        <v>-362.23649999999998</v>
      </c>
      <c r="H3624" s="1">
        <v>-3.4663459999999999E-7</v>
      </c>
      <c r="I3624">
        <v>213.95740000000001</v>
      </c>
      <c r="J3624">
        <v>-381.4</v>
      </c>
      <c r="K3624">
        <v>1.10978</v>
      </c>
      <c r="L3624">
        <v>213.77690000000001</v>
      </c>
      <c r="M3624">
        <v>0.99990919999999905</v>
      </c>
      <c r="N3624">
        <v>-1.169862E-2</v>
      </c>
      <c r="O3624">
        <v>6.7031549999999997E-3</v>
      </c>
      <c r="P3624">
        <v>0.93091429999999997</v>
      </c>
      <c r="Q3624">
        <v>0.333889099999999</v>
      </c>
      <c r="R3624">
        <v>0.14804289999999901</v>
      </c>
      <c r="S3624">
        <v>3.2841800000000001</v>
      </c>
      <c r="T3624">
        <v>-0.18584000000000001</v>
      </c>
      <c r="U3624">
        <v>3.0715940000000001E-2</v>
      </c>
      <c r="V3624">
        <v>-0.1417717</v>
      </c>
      <c r="W3624">
        <v>0.34477950000000002</v>
      </c>
      <c r="X3624">
        <v>0.92791590000000002</v>
      </c>
      <c r="Y3624">
        <v>-2.650388E-3</v>
      </c>
      <c r="Z3624">
        <v>-2.1017590000000001E-4</v>
      </c>
      <c r="AA3624">
        <v>0.99999649999999995</v>
      </c>
      <c r="AB3624">
        <v>45</v>
      </c>
      <c r="AC3624">
        <v>19.163499999999999</v>
      </c>
      <c r="AD3624">
        <v>-1.1097803466345999</v>
      </c>
      <c r="AE3624">
        <v>0.180499999999995</v>
      </c>
      <c r="AF3624">
        <v>-5.1857356497491999E-2</v>
      </c>
      <c r="AG3624">
        <v>-1.1097803466345999</v>
      </c>
      <c r="AH3624">
        <v>19.100228626710301</v>
      </c>
      <c r="AI3624">
        <v>93.325305056892304</v>
      </c>
      <c r="AJ3624">
        <v>90.155558366424003</v>
      </c>
      <c r="AK3624">
        <v>19.132512516546299</v>
      </c>
      <c r="AL3624">
        <v>69.831664166674102</v>
      </c>
      <c r="AM3624">
        <v>98.686763121882393</v>
      </c>
      <c r="AN3624">
        <v>1.0000000180069699</v>
      </c>
    </row>
    <row r="3625" spans="1:40" x14ac:dyDescent="0.25">
      <c r="A3625" t="str">
        <f>"20190304164200966"</f>
        <v>20190304164200966</v>
      </c>
      <c r="B3625" t="str">
        <f>"1551688920954811"</f>
        <v>1551688920954811</v>
      </c>
      <c r="C3625" t="s">
        <v>40</v>
      </c>
      <c r="D3625">
        <v>3.8877229999999998</v>
      </c>
      <c r="E3625">
        <v>0.56471199999999999</v>
      </c>
      <c r="F3625" t="s">
        <v>46</v>
      </c>
      <c r="G3625">
        <v>-361.9083</v>
      </c>
      <c r="H3625" s="1">
        <v>-5.2128919999999999E-7</v>
      </c>
      <c r="I3625">
        <v>213.92779999999999</v>
      </c>
      <c r="J3625">
        <v>-381.13569999999999</v>
      </c>
      <c r="K3625">
        <v>1.1097889999999999</v>
      </c>
      <c r="L3625">
        <v>213.77869999999999</v>
      </c>
      <c r="M3625">
        <v>0.99990869999999998</v>
      </c>
      <c r="N3625">
        <v>-1.172657E-2</v>
      </c>
      <c r="O3625">
        <v>6.708416E-3</v>
      </c>
      <c r="P3625">
        <v>0.93084219999999895</v>
      </c>
      <c r="Q3625">
        <v>0.33421909999999999</v>
      </c>
      <c r="R3625">
        <v>0.14775279999999999</v>
      </c>
      <c r="S3625">
        <v>3.2857059999999998</v>
      </c>
      <c r="T3625">
        <v>-0.18707489999999999</v>
      </c>
      <c r="U3625">
        <v>2.5436400000000001E-2</v>
      </c>
      <c r="V3625">
        <v>-0.14148079999999999</v>
      </c>
      <c r="W3625">
        <v>0.34513310000000003</v>
      </c>
      <c r="X3625">
        <v>0.92782880000000001</v>
      </c>
      <c r="Y3625">
        <v>-1.0372739999999999E-3</v>
      </c>
      <c r="Z3625">
        <v>-2.6741949999999998E-4</v>
      </c>
      <c r="AA3625">
        <v>0.99999939999999998</v>
      </c>
      <c r="AB3625">
        <v>45</v>
      </c>
      <c r="AC3625">
        <v>19.2273999999999</v>
      </c>
      <c r="AD3625">
        <v>-1.1097895212891999</v>
      </c>
      <c r="AE3625">
        <v>0.14910000000000401</v>
      </c>
      <c r="AF3625">
        <v>-2.0035627624123802E-2</v>
      </c>
      <c r="AG3625">
        <v>-1.1097895212891999</v>
      </c>
      <c r="AH3625">
        <v>19.164126094264599</v>
      </c>
      <c r="AI3625">
        <v>93.314280224090098</v>
      </c>
      <c r="AJ3625">
        <v>90.059901321816795</v>
      </c>
      <c r="AK3625">
        <v>19.1962434649285</v>
      </c>
      <c r="AL3625">
        <v>69.810078637229907</v>
      </c>
      <c r="AM3625">
        <v>98.670011362276895</v>
      </c>
      <c r="AN3625">
        <v>0.99999997779684402</v>
      </c>
    </row>
    <row r="3626" spans="1:40" x14ac:dyDescent="0.25">
      <c r="A3626" t="str">
        <f>"20190304164200985"</f>
        <v>20190304164200985</v>
      </c>
      <c r="B3626" t="str">
        <f>"1551688920974897"</f>
        <v>1551688920974897</v>
      </c>
      <c r="C3626" t="s">
        <v>40</v>
      </c>
      <c r="D3626">
        <v>3.8708990000000001</v>
      </c>
      <c r="E3626">
        <v>0.58140740000000002</v>
      </c>
      <c r="F3626" t="s">
        <v>46</v>
      </c>
      <c r="G3626">
        <v>-361.49360000000001</v>
      </c>
      <c r="H3626" s="1">
        <v>-7.4197819999999996E-7</v>
      </c>
      <c r="I3626">
        <v>213.92019999999999</v>
      </c>
      <c r="J3626">
        <v>-380.73989999999998</v>
      </c>
      <c r="K3626">
        <v>1.1097969999999999</v>
      </c>
      <c r="L3626">
        <v>213.78139999999999</v>
      </c>
      <c r="M3626">
        <v>0.99990829999999997</v>
      </c>
      <c r="N3626">
        <v>-1.176689E-2</v>
      </c>
      <c r="O3626">
        <v>6.7164800000000004E-3</v>
      </c>
      <c r="P3626">
        <v>0.93070059999999999</v>
      </c>
      <c r="Q3626">
        <v>0.33484409999999998</v>
      </c>
      <c r="R3626">
        <v>0.14722859999999999</v>
      </c>
      <c r="S3626">
        <v>3.2857970000000001</v>
      </c>
      <c r="T3626">
        <v>-0.1856496</v>
      </c>
      <c r="U3626">
        <v>2.3666380000000001E-2</v>
      </c>
      <c r="V3626">
        <v>-0.14095460000000001</v>
      </c>
      <c r="W3626">
        <v>0.34579179999999998</v>
      </c>
      <c r="X3626">
        <v>0.92766360000000003</v>
      </c>
      <c r="Y3626">
        <v>-4.9127709999999996E-4</v>
      </c>
      <c r="Z3626">
        <v>-2.8342809999999999E-4</v>
      </c>
      <c r="AA3626">
        <v>0.99999979999999999</v>
      </c>
      <c r="AB3626">
        <v>45</v>
      </c>
      <c r="AC3626">
        <v>19.246299999999898</v>
      </c>
      <c r="AD3626">
        <v>-1.1097977419781999</v>
      </c>
      <c r="AE3626">
        <v>0.138800000000003</v>
      </c>
      <c r="AF3626">
        <v>-9.4889919234638007E-3</v>
      </c>
      <c r="AG3626">
        <v>-1.1097977419781999</v>
      </c>
      <c r="AH3626">
        <v>19.183017695867999</v>
      </c>
      <c r="AI3626">
        <v>93.311049430486406</v>
      </c>
      <c r="AJ3626">
        <v>90.028341690203504</v>
      </c>
      <c r="AK3626">
        <v>19.215095862083398</v>
      </c>
      <c r="AL3626">
        <v>69.769861517487698</v>
      </c>
      <c r="AM3626">
        <v>98.639767986496395</v>
      </c>
      <c r="AN3626">
        <v>0.99999996148667902</v>
      </c>
    </row>
    <row r="3627" spans="1:40" x14ac:dyDescent="0.25">
      <c r="A3627" t="str">
        <f>"20190304164201010"</f>
        <v>20190304164201010</v>
      </c>
      <c r="B3627" t="str">
        <f>"1551688920994416"</f>
        <v>1551688920994416</v>
      </c>
      <c r="C3627" t="s">
        <v>40</v>
      </c>
      <c r="D3627">
        <v>3.8616389999999998</v>
      </c>
      <c r="E3627">
        <v>0.58136049999999995</v>
      </c>
      <c r="F3627" t="s">
        <v>46</v>
      </c>
      <c r="G3627">
        <v>-354.5908</v>
      </c>
      <c r="H3627" s="1">
        <v>9.8168540000000004E-7</v>
      </c>
      <c r="I3627">
        <v>212.8896</v>
      </c>
      <c r="J3627">
        <v>-380.26010000000002</v>
      </c>
      <c r="K3627">
        <v>1.109812</v>
      </c>
      <c r="L3627">
        <v>213.78460000000001</v>
      </c>
      <c r="M3627">
        <v>0.99990769999999995</v>
      </c>
      <c r="N3627">
        <v>-1.1814720000000001E-2</v>
      </c>
      <c r="O3627">
        <v>6.7273560000000003E-3</v>
      </c>
      <c r="P3627">
        <v>0.93087929999999997</v>
      </c>
      <c r="Q3627">
        <v>0.33473760000000002</v>
      </c>
      <c r="R3627">
        <v>0.14633759999999901</v>
      </c>
      <c r="S3627">
        <v>3.2913510000000001</v>
      </c>
      <c r="T3627">
        <v>-0.13968839999999999</v>
      </c>
      <c r="U3627">
        <v>-0.1122437</v>
      </c>
      <c r="V3627">
        <v>-0.14005689999999901</v>
      </c>
      <c r="W3627">
        <v>0.34572960000000003</v>
      </c>
      <c r="X3627">
        <v>0.92782279999999995</v>
      </c>
      <c r="Y3627">
        <v>4.0755920000000001E-2</v>
      </c>
      <c r="Z3627">
        <v>-1.311076E-3</v>
      </c>
      <c r="AA3627">
        <v>0.99916830000000001</v>
      </c>
      <c r="AB3627">
        <v>45</v>
      </c>
      <c r="AC3627">
        <v>25.6693</v>
      </c>
      <c r="AD3627">
        <v>-1.1098110183145999</v>
      </c>
      <c r="AE3627">
        <v>-0.89500000000001001</v>
      </c>
      <c r="AF3627">
        <v>1.0656886636712799</v>
      </c>
      <c r="AG3627">
        <v>-1.1098110183145999</v>
      </c>
      <c r="AH3627">
        <v>25.614874890345401</v>
      </c>
      <c r="AI3627">
        <v>92.478750540373994</v>
      </c>
      <c r="AJ3627">
        <v>87.617623748356905</v>
      </c>
      <c r="AK3627">
        <v>25.661044181254599</v>
      </c>
      <c r="AL3627">
        <v>69.773660801220601</v>
      </c>
      <c r="AM3627">
        <v>98.584115092398804</v>
      </c>
      <c r="AN3627">
        <v>1.0000000198768</v>
      </c>
    </row>
    <row r="3628" spans="1:40" x14ac:dyDescent="0.25">
      <c r="A3628" t="str">
        <f>"20190304164201031"</f>
        <v>20190304164201031</v>
      </c>
      <c r="B3628" t="str">
        <f>"1551688921024675"</f>
        <v>1551688921024675</v>
      </c>
      <c r="C3628" t="s">
        <v>40</v>
      </c>
      <c r="D3628">
        <v>3.8768669999999998</v>
      </c>
      <c r="E3628">
        <v>0.58124319999999996</v>
      </c>
      <c r="F3628" t="s">
        <v>46</v>
      </c>
      <c r="G3628">
        <v>-354.5197</v>
      </c>
      <c r="H3628" s="1">
        <v>9.4379009999999995E-7</v>
      </c>
      <c r="I3628">
        <v>212.8904</v>
      </c>
      <c r="J3628">
        <v>-379.82139999999998</v>
      </c>
      <c r="K3628">
        <v>1.1098239999999999</v>
      </c>
      <c r="L3628">
        <v>213.7876</v>
      </c>
      <c r="M3628">
        <v>0.99990710000000005</v>
      </c>
      <c r="N3628">
        <v>-1.185668E-2</v>
      </c>
      <c r="O3628">
        <v>6.7377670000000004E-3</v>
      </c>
      <c r="P3628">
        <v>0.93097529999999995</v>
      </c>
      <c r="Q3628">
        <v>0.33454060000000002</v>
      </c>
      <c r="R3628">
        <v>0.14617740000000001</v>
      </c>
      <c r="S3628">
        <v>3.2918400000000001</v>
      </c>
      <c r="T3628">
        <v>-0.1419291</v>
      </c>
      <c r="U3628">
        <v>-0.1143494</v>
      </c>
      <c r="V3628">
        <v>-0.1398896</v>
      </c>
      <c r="W3628">
        <v>0.34557120000000002</v>
      </c>
      <c r="X3628">
        <v>0.92790700000000004</v>
      </c>
      <c r="Y3628">
        <v>4.1397389999999999E-2</v>
      </c>
      <c r="Z3628">
        <v>-1.3478450000000001E-3</v>
      </c>
      <c r="AA3628">
        <v>0.99914190000000003</v>
      </c>
      <c r="AB3628">
        <v>45</v>
      </c>
      <c r="AC3628">
        <v>25.301699999999901</v>
      </c>
      <c r="AD3628">
        <v>-1.1098230562098901</v>
      </c>
      <c r="AE3628">
        <v>-0.897199999999997</v>
      </c>
      <c r="AF3628">
        <v>1.06562086514322</v>
      </c>
      <c r="AG3628">
        <v>-1.1098230562098901</v>
      </c>
      <c r="AH3628">
        <v>25.246566318130199</v>
      </c>
      <c r="AI3628">
        <v>92.5148293592366</v>
      </c>
      <c r="AJ3628">
        <v>87.583063059490101</v>
      </c>
      <c r="AK3628">
        <v>25.2934055812987</v>
      </c>
      <c r="AL3628">
        <v>69.783331695965103</v>
      </c>
      <c r="AM3628">
        <v>98.573247267039804</v>
      </c>
      <c r="AN3628">
        <v>0.99999997755329895</v>
      </c>
    </row>
    <row r="3629" spans="1:40" x14ac:dyDescent="0.25">
      <c r="A3629" t="str">
        <f>"20190304164201053"</f>
        <v>20190304164201053</v>
      </c>
      <c r="B3629" t="str">
        <f>"1551688921045170"</f>
        <v>1551688921045170</v>
      </c>
      <c r="C3629" t="s">
        <v>40</v>
      </c>
      <c r="D3629">
        <v>3.8836189999999999</v>
      </c>
      <c r="E3629">
        <v>0.58141679999999996</v>
      </c>
      <c r="F3629" t="s">
        <v>46</v>
      </c>
      <c r="G3629">
        <v>-354.18680000000001</v>
      </c>
      <c r="H3629" s="1">
        <v>7.6645279999999998E-7</v>
      </c>
      <c r="I3629">
        <v>212.89500000000001</v>
      </c>
      <c r="J3629">
        <v>-379.37619999999998</v>
      </c>
      <c r="K3629">
        <v>1.1098209999999999</v>
      </c>
      <c r="L3629">
        <v>213.79060000000001</v>
      </c>
      <c r="M3629">
        <v>0.99990650000000003</v>
      </c>
      <c r="N3629">
        <v>-1.1897899999999999E-2</v>
      </c>
      <c r="O3629">
        <v>6.7479239999999998E-3</v>
      </c>
      <c r="P3629">
        <v>0.93080130000000005</v>
      </c>
      <c r="Q3629">
        <v>0.33485350000000003</v>
      </c>
      <c r="R3629">
        <v>0.14656810000000001</v>
      </c>
      <c r="S3629">
        <v>3.2916560000000001</v>
      </c>
      <c r="T3629">
        <v>-0.14250889999999999</v>
      </c>
      <c r="U3629">
        <v>-0.1146088</v>
      </c>
      <c r="V3629">
        <v>-0.14027390000000001</v>
      </c>
      <c r="W3629">
        <v>0.3459198</v>
      </c>
      <c r="X3629">
        <v>0.92771910000000002</v>
      </c>
      <c r="Y3629">
        <v>4.1487570000000001E-2</v>
      </c>
      <c r="Z3629">
        <v>-1.3561179999999999E-3</v>
      </c>
      <c r="AA3629">
        <v>0.99913810000000003</v>
      </c>
      <c r="AB3629">
        <v>45</v>
      </c>
      <c r="AC3629">
        <v>25.1893999999999</v>
      </c>
      <c r="AD3629">
        <v>-1.1098202335472001</v>
      </c>
      <c r="AE3629">
        <v>-0.89560000000000095</v>
      </c>
      <c r="AF3629">
        <v>1.06350591864804</v>
      </c>
      <c r="AG3629">
        <v>-1.1098202335472001</v>
      </c>
      <c r="AH3629">
        <v>25.134053997961502</v>
      </c>
      <c r="AI3629">
        <v>92.526054845840306</v>
      </c>
      <c r="AJ3629">
        <v>87.577069198384393</v>
      </c>
      <c r="AK3629">
        <v>25.1810130090558</v>
      </c>
      <c r="AL3629">
        <v>69.762046151605006</v>
      </c>
      <c r="AM3629">
        <v>98.598163111241504</v>
      </c>
      <c r="AN3629">
        <v>1.00000000177903</v>
      </c>
    </row>
    <row r="3630" spans="1:40" x14ac:dyDescent="0.25">
      <c r="A3630" t="str">
        <f>"20190304164201075"</f>
        <v>20190304164201075</v>
      </c>
      <c r="B3630" t="str">
        <f>"1551688921064282"</f>
        <v>1551688921064282</v>
      </c>
      <c r="C3630" t="s">
        <v>40</v>
      </c>
      <c r="D3630">
        <v>4.0173379999999996</v>
      </c>
      <c r="E3630">
        <v>0.57982509999999998</v>
      </c>
      <c r="F3630" t="s">
        <v>46</v>
      </c>
      <c r="G3630">
        <v>-353.74040000000002</v>
      </c>
      <c r="H3630" s="1">
        <v>5.2907480000000001E-7</v>
      </c>
      <c r="I3630">
        <v>212.89070000000001</v>
      </c>
      <c r="J3630">
        <v>-378.95729999999998</v>
      </c>
      <c r="K3630">
        <v>1.10982</v>
      </c>
      <c r="L3630">
        <v>213.79339999999999</v>
      </c>
      <c r="M3630">
        <v>0.99990590000000001</v>
      </c>
      <c r="N3630">
        <v>-1.1940009999999999E-2</v>
      </c>
      <c r="O3630">
        <v>6.7554299999999998E-3</v>
      </c>
      <c r="P3630">
        <v>0.9307436</v>
      </c>
      <c r="Q3630">
        <v>0.33474930000000003</v>
      </c>
      <c r="R3630">
        <v>0.147171</v>
      </c>
      <c r="S3630">
        <v>3.2925420000000001</v>
      </c>
      <c r="T3630">
        <v>-0.1425399</v>
      </c>
      <c r="U3630">
        <v>-0.1155701</v>
      </c>
      <c r="V3630">
        <v>-0.14087069999999999</v>
      </c>
      <c r="W3630">
        <v>0.34585450000000001</v>
      </c>
      <c r="X3630">
        <v>0.92765299999999995</v>
      </c>
      <c r="Y3630">
        <v>4.1776710000000002E-2</v>
      </c>
      <c r="Z3630">
        <v>-1.3648600000000001E-3</v>
      </c>
      <c r="AA3630">
        <v>0.99912599999999996</v>
      </c>
      <c r="AB3630">
        <v>45</v>
      </c>
      <c r="AC3630">
        <v>25.2168999999999</v>
      </c>
      <c r="AD3630">
        <v>-1.1098194709252001</v>
      </c>
      <c r="AE3630">
        <v>-0.90269999999998096</v>
      </c>
      <c r="AF3630">
        <v>1.07097076969187</v>
      </c>
      <c r="AG3630">
        <v>-1.1098194709252001</v>
      </c>
      <c r="AH3630">
        <v>25.161551337481701</v>
      </c>
      <c r="AI3630">
        <v>92.523269396529798</v>
      </c>
      <c r="AJ3630">
        <v>87.562746095540902</v>
      </c>
      <c r="AK3630">
        <v>25.2087751260609</v>
      </c>
      <c r="AL3630">
        <v>69.766033419415294</v>
      </c>
      <c r="AM3630">
        <v>98.634800075931906</v>
      </c>
      <c r="AN3630">
        <v>0.99999998884886898</v>
      </c>
    </row>
    <row r="3631" spans="1:40" x14ac:dyDescent="0.25">
      <c r="A3631" t="str">
        <f>"20190304164201088"</f>
        <v>20190304164201088</v>
      </c>
      <c r="B3631" t="str">
        <f>"1551688921075003"</f>
        <v>1551688921075003</v>
      </c>
      <c r="C3631" t="s">
        <v>40</v>
      </c>
      <c r="D3631">
        <v>3.9680589999999998</v>
      </c>
      <c r="E3631">
        <v>0.57982509999999998</v>
      </c>
      <c r="F3631" t="s">
        <v>46</v>
      </c>
      <c r="G3631">
        <v>-355.54300000000001</v>
      </c>
      <c r="H3631" s="1">
        <v>1.4798410000000001E-6</v>
      </c>
      <c r="I3631">
        <v>213.0848</v>
      </c>
      <c r="J3631">
        <v>-378.68779999999998</v>
      </c>
      <c r="K3631">
        <v>1.1098239999999999</v>
      </c>
      <c r="L3631">
        <v>213.79519999999999</v>
      </c>
      <c r="M3631">
        <v>0.99990559999999995</v>
      </c>
      <c r="N3631">
        <v>-1.1970629999999999E-2</v>
      </c>
      <c r="O3631">
        <v>6.7591200000000004E-3</v>
      </c>
      <c r="P3631">
        <v>0.93077549999999998</v>
      </c>
      <c r="Q3631">
        <v>0.33456219999999998</v>
      </c>
      <c r="R3631">
        <v>0.14739569999999999</v>
      </c>
      <c r="S3631">
        <v>3.2951350000000001</v>
      </c>
      <c r="T3631">
        <v>-0.1561862</v>
      </c>
      <c r="U3631">
        <v>-9.9716189999999996E-2</v>
      </c>
      <c r="V3631">
        <v>-0.141091299999999</v>
      </c>
      <c r="W3631">
        <v>0.34569610000000001</v>
      </c>
      <c r="X3631">
        <v>0.92767849999999996</v>
      </c>
      <c r="Y3631">
        <v>3.6947439999999998E-2</v>
      </c>
      <c r="Z3631">
        <v>-1.3355699999999999E-3</v>
      </c>
      <c r="AA3631">
        <v>0.99931630000000005</v>
      </c>
      <c r="AB3631">
        <v>45</v>
      </c>
      <c r="AC3631">
        <v>23.144799999999901</v>
      </c>
      <c r="AD3631">
        <v>-1.109822520159</v>
      </c>
      <c r="AE3631">
        <v>-0.71039999999999204</v>
      </c>
      <c r="AF3631">
        <v>0.86484675394147004</v>
      </c>
      <c r="AG3631">
        <v>-1.109822520159</v>
      </c>
      <c r="AH3631">
        <v>23.086435965583199</v>
      </c>
      <c r="AI3631">
        <v>92.750305960413002</v>
      </c>
      <c r="AJ3631">
        <v>87.854631657121601</v>
      </c>
      <c r="AK3631">
        <v>23.129271314224901</v>
      </c>
      <c r="AL3631">
        <v>69.775705366851298</v>
      </c>
      <c r="AM3631">
        <v>98.647883548601698</v>
      </c>
      <c r="AN3631">
        <v>0.99999997392657403</v>
      </c>
    </row>
    <row r="3632" spans="1:40" x14ac:dyDescent="0.25">
      <c r="A3632" t="str">
        <f>"20190304164201109"</f>
        <v>20190304164201109</v>
      </c>
      <c r="B3632" t="str">
        <f>"1551688921094522"</f>
        <v>1551688921094522</v>
      </c>
      <c r="C3632" t="s">
        <v>40</v>
      </c>
      <c r="D3632">
        <v>3.8159169999999998</v>
      </c>
      <c r="E3632">
        <v>0.56680220000000003</v>
      </c>
      <c r="F3632" t="s">
        <v>46</v>
      </c>
      <c r="G3632">
        <v>-355.41899999999998</v>
      </c>
      <c r="H3632" s="1">
        <v>1.413143E-6</v>
      </c>
      <c r="I3632">
        <v>213.10130000000001</v>
      </c>
      <c r="J3632">
        <v>-378.2774</v>
      </c>
      <c r="K3632">
        <v>1.1098349999999999</v>
      </c>
      <c r="L3632">
        <v>213.798</v>
      </c>
      <c r="M3632">
        <v>0.99990489999999999</v>
      </c>
      <c r="N3632">
        <v>-1.2024099999999999E-2</v>
      </c>
      <c r="O3632">
        <v>6.7631419999999998E-3</v>
      </c>
      <c r="P3632">
        <v>0.93071990000000004</v>
      </c>
      <c r="Q3632">
        <v>0.33458529999999997</v>
      </c>
      <c r="R3632">
        <v>0.14769289999999999</v>
      </c>
      <c r="S3632">
        <v>3.2951969999999999</v>
      </c>
      <c r="T3632">
        <v>-0.15716640000000001</v>
      </c>
      <c r="U3632">
        <v>-9.8266599999999996E-2</v>
      </c>
      <c r="V3632">
        <v>-0.14138499999999901</v>
      </c>
      <c r="W3632">
        <v>0.34576760000000001</v>
      </c>
      <c r="X3632">
        <v>0.92760710000000002</v>
      </c>
      <c r="Y3632">
        <v>3.651161E-2</v>
      </c>
      <c r="Z3632">
        <v>-1.33081E-3</v>
      </c>
      <c r="AA3632">
        <v>0.99933240000000001</v>
      </c>
      <c r="AB3632">
        <v>45</v>
      </c>
      <c r="AC3632">
        <v>22.8583999999999</v>
      </c>
      <c r="AD3632">
        <v>-1.109833586857</v>
      </c>
      <c r="AE3632">
        <v>-0.69669999999999199</v>
      </c>
      <c r="AF3632">
        <v>0.84928962114908602</v>
      </c>
      <c r="AG3632">
        <v>-1.109833586857</v>
      </c>
      <c r="AH3632">
        <v>22.799468479238801</v>
      </c>
      <c r="AI3632">
        <v>92.784918362350894</v>
      </c>
      <c r="AJ3632">
        <v>87.866694894733101</v>
      </c>
      <c r="AK3632">
        <v>22.842258784693598</v>
      </c>
      <c r="AL3632">
        <v>69.771338809136097</v>
      </c>
      <c r="AM3632">
        <v>98.666269143964001</v>
      </c>
      <c r="AN3632">
        <v>0.999999941702583</v>
      </c>
    </row>
    <row r="3633" spans="1:40" x14ac:dyDescent="0.25">
      <c r="A3633" t="str">
        <f>"20190304164201132"</f>
        <v>20190304164201132</v>
      </c>
      <c r="B3633" t="str">
        <f>"1551688921124779"</f>
        <v>1551688921124779</v>
      </c>
      <c r="C3633" t="s">
        <v>40</v>
      </c>
      <c r="D3633">
        <v>3.8170000000000002</v>
      </c>
      <c r="E3633">
        <v>0.56484730000000005</v>
      </c>
      <c r="F3633" t="s">
        <v>46</v>
      </c>
      <c r="G3633">
        <v>-357.7953</v>
      </c>
      <c r="H3633" s="1">
        <v>2.645302E-6</v>
      </c>
      <c r="I3633">
        <v>213.84219999999999</v>
      </c>
      <c r="J3633">
        <v>-377.79950000000002</v>
      </c>
      <c r="K3633">
        <v>1.1098490000000001</v>
      </c>
      <c r="L3633">
        <v>213.80119999999999</v>
      </c>
      <c r="M3633">
        <v>0.99990389999999996</v>
      </c>
      <c r="N3633">
        <v>-1.2097449999999999E-2</v>
      </c>
      <c r="O3633">
        <v>6.7660200000000002E-3</v>
      </c>
      <c r="P3633">
        <v>0.93084160000000005</v>
      </c>
      <c r="Q3633">
        <v>0.33425490000000002</v>
      </c>
      <c r="R3633">
        <v>0.14767479999999999</v>
      </c>
      <c r="S3633">
        <v>3.2862239999999998</v>
      </c>
      <c r="T3633">
        <v>-0.17806569999999999</v>
      </c>
      <c r="U3633">
        <v>7.0953369999999898E-3</v>
      </c>
      <c r="V3633">
        <v>-0.14136279999999901</v>
      </c>
      <c r="W3633">
        <v>0.34550720000000001</v>
      </c>
      <c r="X3633">
        <v>0.92770759999999997</v>
      </c>
      <c r="Y3633">
        <v>4.5932070000000002E-3</v>
      </c>
      <c r="Z3633">
        <v>-4.3669990000000001E-4</v>
      </c>
      <c r="AA3633">
        <v>0.99998929999999997</v>
      </c>
      <c r="AB3633">
        <v>45</v>
      </c>
      <c r="AC3633">
        <v>20.004200000000001</v>
      </c>
      <c r="AD3633">
        <v>-1.109846354698</v>
      </c>
      <c r="AE3633">
        <v>4.0999999999996803E-2</v>
      </c>
      <c r="AF3633">
        <v>9.4070108919473303E-2</v>
      </c>
      <c r="AG3633">
        <v>-1.109846354698</v>
      </c>
      <c r="AH3633">
        <v>19.9426342164092</v>
      </c>
      <c r="AI3633">
        <v>93.185300362073704</v>
      </c>
      <c r="AJ3633">
        <v>89.729735791861302</v>
      </c>
      <c r="AK3633">
        <v>19.973714416850999</v>
      </c>
      <c r="AL3633">
        <v>69.787240399418593</v>
      </c>
      <c r="AM3633">
        <v>98.664004597599501</v>
      </c>
      <c r="AN3633">
        <v>1.0000000287867099</v>
      </c>
    </row>
    <row r="3634" spans="1:40" x14ac:dyDescent="0.25">
      <c r="A3634" t="str">
        <f>"20190304164201146"</f>
        <v>20190304164201146</v>
      </c>
      <c r="B3634" t="str">
        <f>"1551688921134538"</f>
        <v>1551688921134538</v>
      </c>
      <c r="C3634" t="s">
        <v>40</v>
      </c>
      <c r="D3634">
        <v>3.8439920000000001</v>
      </c>
      <c r="E3634">
        <v>0.56463989999999997</v>
      </c>
      <c r="F3634" t="s">
        <v>46</v>
      </c>
      <c r="G3634">
        <v>-356.05399999999997</v>
      </c>
      <c r="H3634" s="1">
        <v>1.7141090000000001E-6</v>
      </c>
      <c r="I3634">
        <v>213.94710000000001</v>
      </c>
      <c r="J3634">
        <v>-377.52</v>
      </c>
      <c r="K3634">
        <v>1.1098570000000001</v>
      </c>
      <c r="L3634">
        <v>213.8031</v>
      </c>
      <c r="M3634">
        <v>0.9999034</v>
      </c>
      <c r="N3634">
        <v>-1.214498E-2</v>
      </c>
      <c r="O3634">
        <v>6.765414E-3</v>
      </c>
      <c r="P3634">
        <v>0.9308691</v>
      </c>
      <c r="Q3634">
        <v>0.33416980000000002</v>
      </c>
      <c r="R3634">
        <v>0.14769350000000001</v>
      </c>
      <c r="S3634">
        <v>3.2795100000000001</v>
      </c>
      <c r="T3634">
        <v>-0.1673799</v>
      </c>
      <c r="U3634">
        <v>2.2003169999999999E-2</v>
      </c>
      <c r="V3634">
        <v>-0.1413809</v>
      </c>
      <c r="W3634">
        <v>0.34546690000000002</v>
      </c>
      <c r="X3634">
        <v>0.92771979999999998</v>
      </c>
      <c r="Y3634" s="1">
        <v>5.1583340000000001E-5</v>
      </c>
      <c r="Z3634">
        <v>-2.6456210000000001E-4</v>
      </c>
      <c r="AA3634">
        <v>0.99999990000000005</v>
      </c>
      <c r="AB3634">
        <v>45</v>
      </c>
      <c r="AC3634">
        <v>21.465999999999902</v>
      </c>
      <c r="AD3634">
        <v>-1.10985528589099</v>
      </c>
      <c r="AE3634">
        <v>0.14400000000000501</v>
      </c>
      <c r="AF3634">
        <v>1.2370719711601299E-3</v>
      </c>
      <c r="AG3634">
        <v>-1.10985528589099</v>
      </c>
      <c r="AH3634">
        <v>21.409254442311799</v>
      </c>
      <c r="AI3634">
        <v>92.967555544759605</v>
      </c>
      <c r="AJ3634">
        <v>89.996689328765996</v>
      </c>
      <c r="AK3634">
        <v>21.438002613620899</v>
      </c>
      <c r="AL3634">
        <v>69.789699955810903</v>
      </c>
      <c r="AM3634">
        <v>98.664984873285505</v>
      </c>
      <c r="AN3634">
        <v>0.99999998259622902</v>
      </c>
    </row>
    <row r="3635" spans="1:40" x14ac:dyDescent="0.25">
      <c r="A3635" t="str">
        <f>"20190304164201164"</f>
        <v>20190304164201164</v>
      </c>
      <c r="B3635" t="str">
        <f>"1551688921155035"</f>
        <v>1551688921155035</v>
      </c>
      <c r="C3635" t="s">
        <v>40</v>
      </c>
      <c r="D3635">
        <v>3.7863169999999999</v>
      </c>
      <c r="E3635">
        <v>0.56437869999999901</v>
      </c>
      <c r="F3635" t="s">
        <v>46</v>
      </c>
      <c r="G3635">
        <v>-355.74650000000003</v>
      </c>
      <c r="H3635" s="1">
        <v>1.549887E-6</v>
      </c>
      <c r="I3635">
        <v>213.96010000000001</v>
      </c>
      <c r="J3635">
        <v>-377.15050000000002</v>
      </c>
      <c r="K3635">
        <v>1.109864</v>
      </c>
      <c r="L3635">
        <v>213.8056</v>
      </c>
      <c r="M3635">
        <v>0.99990259999999997</v>
      </c>
      <c r="N3635">
        <v>-1.22135E-2</v>
      </c>
      <c r="O3635">
        <v>6.7582019999999996E-3</v>
      </c>
      <c r="P3635">
        <v>0.93099469999999995</v>
      </c>
      <c r="Q3635">
        <v>0.33402569999999998</v>
      </c>
      <c r="R3635">
        <v>0.14722739999999901</v>
      </c>
      <c r="S3635">
        <v>3.2790530000000002</v>
      </c>
      <c r="T3635">
        <v>-0.16714200000000001</v>
      </c>
      <c r="U3635">
        <v>2.3635860000000002E-2</v>
      </c>
      <c r="V3635">
        <v>-0.1409176</v>
      </c>
      <c r="W3635">
        <v>0.34538950000000002</v>
      </c>
      <c r="X3635">
        <v>0.92781910000000001</v>
      </c>
      <c r="Y3635">
        <v>-4.5359749999999998E-4</v>
      </c>
      <c r="Z3635">
        <v>-2.4742269999999999E-4</v>
      </c>
      <c r="AA3635">
        <v>0.99999990000000005</v>
      </c>
      <c r="AB3635">
        <v>45</v>
      </c>
      <c r="AC3635">
        <v>21.404</v>
      </c>
      <c r="AD3635">
        <v>-1.1098624501130001</v>
      </c>
      <c r="AE3635">
        <v>0.15450000000001199</v>
      </c>
      <c r="AF3635">
        <v>-9.8067628249489096E-3</v>
      </c>
      <c r="AG3635">
        <v>-1.1098624501130001</v>
      </c>
      <c r="AH3635">
        <v>21.3471614193646</v>
      </c>
      <c r="AI3635">
        <v>92.976190720336106</v>
      </c>
      <c r="AJ3635">
        <v>90.026321348772697</v>
      </c>
      <c r="AK3635">
        <v>21.375995684299099</v>
      </c>
      <c r="AL3635">
        <v>69.794425466139401</v>
      </c>
      <c r="AM3635">
        <v>98.636108493363295</v>
      </c>
      <c r="AN3635">
        <v>0.99999997951240904</v>
      </c>
    </row>
    <row r="3636" spans="1:40" x14ac:dyDescent="0.25">
      <c r="A3636" t="str">
        <f>"20190304164201180"</f>
        <v>20190304164201180</v>
      </c>
      <c r="B3636" t="str">
        <f>"1551688921175226"</f>
        <v>1551688921175226</v>
      </c>
      <c r="C3636" t="s">
        <v>40</v>
      </c>
      <c r="D3636">
        <v>3.8381289999999999</v>
      </c>
      <c r="E3636">
        <v>0.56412759999999995</v>
      </c>
      <c r="F3636" t="s">
        <v>46</v>
      </c>
      <c r="G3636">
        <v>-355.32459999999998</v>
      </c>
      <c r="H3636" s="1">
        <v>1.325175E-6</v>
      </c>
      <c r="I3636">
        <v>213.96539999999999</v>
      </c>
      <c r="J3636">
        <v>-376.84129999999999</v>
      </c>
      <c r="K3636">
        <v>1.109869</v>
      </c>
      <c r="L3636">
        <v>213.80770000000001</v>
      </c>
      <c r="M3636">
        <v>0.99990199999999996</v>
      </c>
      <c r="N3636">
        <v>-1.227346E-2</v>
      </c>
      <c r="O3636">
        <v>6.7437979999999996E-3</v>
      </c>
      <c r="P3636">
        <v>0.93111969999999999</v>
      </c>
      <c r="Q3636">
        <v>0.33366780000000001</v>
      </c>
      <c r="R3636">
        <v>0.1472484</v>
      </c>
      <c r="S3636">
        <v>3.2783809999999902</v>
      </c>
      <c r="T3636">
        <v>-0.1667082</v>
      </c>
      <c r="U3636">
        <v>2.4002079999999999E-2</v>
      </c>
      <c r="V3636">
        <v>-0.14094609999999999</v>
      </c>
      <c r="W3636">
        <v>0.34509060000000003</v>
      </c>
      <c r="X3636">
        <v>0.92792600000000003</v>
      </c>
      <c r="Y3636">
        <v>-5.8091320000000003E-4</v>
      </c>
      <c r="Z3636">
        <v>-2.416369E-4</v>
      </c>
      <c r="AA3636">
        <v>0.99999979999999999</v>
      </c>
      <c r="AB3636">
        <v>45</v>
      </c>
      <c r="AC3636">
        <v>21.5167</v>
      </c>
      <c r="AD3636">
        <v>-1.109867674825</v>
      </c>
      <c r="AE3636">
        <v>0.157699999999977</v>
      </c>
      <c r="AF3636">
        <v>-1.25478299718794E-2</v>
      </c>
      <c r="AG3636">
        <v>-1.109867674825</v>
      </c>
      <c r="AH3636">
        <v>21.460178825503299</v>
      </c>
      <c r="AI3636">
        <v>92.960558651902701</v>
      </c>
      <c r="AJ3636">
        <v>90.033501007766603</v>
      </c>
      <c r="AK3636">
        <v>21.488863137128501</v>
      </c>
      <c r="AL3636">
        <v>69.812673436746394</v>
      </c>
      <c r="AM3636">
        <v>98.636848670099695</v>
      </c>
      <c r="AN3636">
        <v>0.99999999339478496</v>
      </c>
    </row>
    <row r="3637" spans="1:40" x14ac:dyDescent="0.25">
      <c r="A3637" t="str">
        <f>"20190304164201198"</f>
        <v>20190304164201198</v>
      </c>
      <c r="B3637" t="str">
        <f>"1551688921184988"</f>
        <v>1551688921184988</v>
      </c>
      <c r="C3637" t="s">
        <v>40</v>
      </c>
      <c r="D3637">
        <v>3.8130440000000001</v>
      </c>
      <c r="E3637">
        <v>0.5640134</v>
      </c>
      <c r="F3637" t="s">
        <v>46</v>
      </c>
      <c r="G3637">
        <v>-355.10660000000001</v>
      </c>
      <c r="H3637" s="1">
        <v>1.2084440000000001E-6</v>
      </c>
      <c r="I3637">
        <v>213.98159999999999</v>
      </c>
      <c r="J3637">
        <v>-376.48340000000002</v>
      </c>
      <c r="K3637">
        <v>1.109869</v>
      </c>
      <c r="L3637">
        <v>213.81010000000001</v>
      </c>
      <c r="M3637">
        <v>0.99990140000000005</v>
      </c>
      <c r="N3637">
        <v>-1.2343649999999999E-2</v>
      </c>
      <c r="O3637">
        <v>6.7159580000000002E-3</v>
      </c>
      <c r="P3637">
        <v>0.93124099999999999</v>
      </c>
      <c r="Q3637">
        <v>0.33361479999999999</v>
      </c>
      <c r="R3637">
        <v>0.146599799999999</v>
      </c>
      <c r="S3637">
        <v>3.277771</v>
      </c>
      <c r="T3637">
        <v>-0.1673772</v>
      </c>
      <c r="U3637">
        <v>2.6229860000000001E-2</v>
      </c>
      <c r="V3637">
        <v>-0.1403132</v>
      </c>
      <c r="W3637">
        <v>0.34510800000000003</v>
      </c>
      <c r="X3637">
        <v>0.92801549999999999</v>
      </c>
      <c r="Y3637">
        <v>-1.2886009999999999E-3</v>
      </c>
      <c r="Z3637">
        <v>-2.1901289999999999E-4</v>
      </c>
      <c r="AA3637">
        <v>0.99999919999999998</v>
      </c>
      <c r="AB3637">
        <v>45</v>
      </c>
      <c r="AC3637">
        <v>21.376799999999999</v>
      </c>
      <c r="AD3637">
        <v>-1.109867791556</v>
      </c>
      <c r="AE3637">
        <v>0.17149999999998</v>
      </c>
      <c r="AF3637">
        <v>-2.7844469285400901E-2</v>
      </c>
      <c r="AG3637">
        <v>-1.109867791556</v>
      </c>
      <c r="AH3637">
        <v>21.320002984005999</v>
      </c>
      <c r="AI3637">
        <v>92.979987197733294</v>
      </c>
      <c r="AJ3637">
        <v>90.074829711185103</v>
      </c>
      <c r="AK3637">
        <v>21.348890113240699</v>
      </c>
      <c r="AL3637">
        <v>69.811612364383095</v>
      </c>
      <c r="AM3637">
        <v>98.597830130293602</v>
      </c>
      <c r="AN3637">
        <v>1.0000000469992401</v>
      </c>
    </row>
    <row r="3638" spans="1:40" x14ac:dyDescent="0.25">
      <c r="A3638" t="str">
        <f>"20190304164201223"</f>
        <v>20190304164201223</v>
      </c>
      <c r="B3638" t="str">
        <f>"1551688921214267"</f>
        <v>1551688921214267</v>
      </c>
      <c r="C3638" t="s">
        <v>40</v>
      </c>
      <c r="D3638">
        <v>3.833602</v>
      </c>
      <c r="E3638">
        <v>0.56376349999999997</v>
      </c>
      <c r="F3638" t="s">
        <v>46</v>
      </c>
      <c r="G3638">
        <v>-354.34480000000002</v>
      </c>
      <c r="H3638" s="1">
        <v>8.0319759999999997E-7</v>
      </c>
      <c r="I3638">
        <v>213.97829999999999</v>
      </c>
      <c r="J3638">
        <v>-375.98820000000001</v>
      </c>
      <c r="K3638">
        <v>1.109856</v>
      </c>
      <c r="L3638">
        <v>213.8133</v>
      </c>
      <c r="M3638">
        <v>0.99990049999999997</v>
      </c>
      <c r="N3638">
        <v>-1.2439240000000001E-2</v>
      </c>
      <c r="O3638">
        <v>6.6560919999999997E-3</v>
      </c>
      <c r="P3638">
        <v>0.93123599999999995</v>
      </c>
      <c r="Q3638">
        <v>0.33358409999999999</v>
      </c>
      <c r="R3638">
        <v>0.14670150000000001</v>
      </c>
      <c r="S3638">
        <v>3.2763979999999999</v>
      </c>
      <c r="T3638">
        <v>-0.16425490000000001</v>
      </c>
      <c r="U3638">
        <v>2.4902339999999999E-2</v>
      </c>
      <c r="V3638">
        <v>-0.14045350000000001</v>
      </c>
      <c r="W3638">
        <v>0.34517300000000001</v>
      </c>
      <c r="X3638">
        <v>0.92797010000000002</v>
      </c>
      <c r="Y3638">
        <v>-9.4696250000000004E-4</v>
      </c>
      <c r="Z3638">
        <v>-2.2109319999999999E-4</v>
      </c>
      <c r="AA3638">
        <v>0.99999950000000004</v>
      </c>
      <c r="AB3638">
        <v>45</v>
      </c>
      <c r="AC3638">
        <v>21.6433999999999</v>
      </c>
      <c r="AD3638">
        <v>-1.1098551968024</v>
      </c>
      <c r="AE3638">
        <v>0.16499999999999199</v>
      </c>
      <c r="AF3638">
        <v>-2.0869864165820599E-2</v>
      </c>
      <c r="AG3638">
        <v>-1.1098551968024</v>
      </c>
      <c r="AH3638">
        <v>21.587257316535801</v>
      </c>
      <c r="AI3638">
        <v>92.943127453904793</v>
      </c>
      <c r="AJ3638">
        <v>90.055391694537406</v>
      </c>
      <c r="AK3638">
        <v>21.6157787867898</v>
      </c>
      <c r="AL3638">
        <v>69.807644285640194</v>
      </c>
      <c r="AM3638">
        <v>98.606713232153894</v>
      </c>
      <c r="AN3638">
        <v>1.0000000460426199</v>
      </c>
    </row>
    <row r="3639" spans="1:40" x14ac:dyDescent="0.25">
      <c r="A3639" t="str">
        <f>"20190304164201244"</f>
        <v>20190304164201244</v>
      </c>
      <c r="B3639" t="str">
        <f>"1551688921234762"</f>
        <v>1551688921234762</v>
      </c>
      <c r="C3639" t="s">
        <v>40</v>
      </c>
      <c r="D3639">
        <v>3.8577210000000002</v>
      </c>
      <c r="E3639">
        <v>0.56374969999999902</v>
      </c>
      <c r="F3639" t="s">
        <v>46</v>
      </c>
      <c r="G3639">
        <v>-353.88380000000001</v>
      </c>
      <c r="H3639" s="1">
        <v>5.5689180000000002E-7</v>
      </c>
      <c r="I3639">
        <v>214.00040000000001</v>
      </c>
      <c r="J3639">
        <v>-375.55509999999998</v>
      </c>
      <c r="K3639">
        <v>1.1098509999999999</v>
      </c>
      <c r="L3639">
        <v>213.81620000000001</v>
      </c>
      <c r="M3639">
        <v>0.99990009999999996</v>
      </c>
      <c r="N3639">
        <v>-1.251733E-2</v>
      </c>
      <c r="O3639">
        <v>6.5779439999999996E-3</v>
      </c>
      <c r="P3639">
        <v>0.93118259999999997</v>
      </c>
      <c r="Q3639">
        <v>0.33382000000000001</v>
      </c>
      <c r="R3639">
        <v>0.1465041</v>
      </c>
      <c r="S3639">
        <v>3.2760929999999999</v>
      </c>
      <c r="T3639">
        <v>-0.16449169999999999</v>
      </c>
      <c r="U3639">
        <v>2.7725219999999998E-2</v>
      </c>
      <c r="V3639">
        <v>-0.1403105</v>
      </c>
      <c r="W3639">
        <v>0.34548800000000002</v>
      </c>
      <c r="X3639">
        <v>0.92787439999999999</v>
      </c>
      <c r="Y3639">
        <v>-1.8858830000000001E-3</v>
      </c>
      <c r="Z3639">
        <v>-1.886294E-4</v>
      </c>
      <c r="AA3639">
        <v>0.99999819999999995</v>
      </c>
      <c r="AB3639">
        <v>45</v>
      </c>
      <c r="AC3639">
        <v>21.671299999999899</v>
      </c>
      <c r="AD3639">
        <v>-1.1098504431081999</v>
      </c>
      <c r="AE3639">
        <v>0.184200000000004</v>
      </c>
      <c r="AF3639">
        <v>-4.1523360842147597E-2</v>
      </c>
      <c r="AG3639">
        <v>-1.1098504431081999</v>
      </c>
      <c r="AH3639">
        <v>21.615354971789898</v>
      </c>
      <c r="AI3639">
        <v>92.939291805147207</v>
      </c>
      <c r="AJ3639">
        <v>90.110065756682104</v>
      </c>
      <c r="AK3639">
        <v>21.643868941389499</v>
      </c>
      <c r="AL3639">
        <v>69.788410970605895</v>
      </c>
      <c r="AM3639">
        <v>98.598955044885003</v>
      </c>
      <c r="AN3639">
        <v>0.99999994836480299</v>
      </c>
    </row>
    <row r="3640" spans="1:40" x14ac:dyDescent="0.25">
      <c r="A3640" t="str">
        <f>"20190304164201265"</f>
        <v>20190304164201265</v>
      </c>
      <c r="B3640" t="str">
        <f>"1551688921254283"</f>
        <v>1551688921254283</v>
      </c>
      <c r="C3640" t="s">
        <v>40</v>
      </c>
      <c r="D3640">
        <v>3.8105150000000001</v>
      </c>
      <c r="E3640">
        <v>0.56364859999999894</v>
      </c>
      <c r="F3640" t="s">
        <v>46</v>
      </c>
      <c r="G3640">
        <v>-353.30560000000003</v>
      </c>
      <c r="H3640" s="1">
        <v>2.4931689999999999E-7</v>
      </c>
      <c r="I3640">
        <v>213.9983</v>
      </c>
      <c r="J3640">
        <v>-375.1397</v>
      </c>
      <c r="K3640">
        <v>1.1098399999999999</v>
      </c>
      <c r="L3640">
        <v>213.81880000000001</v>
      </c>
      <c r="M3640">
        <v>0.99989980000000001</v>
      </c>
      <c r="N3640">
        <v>-1.2585870000000001E-2</v>
      </c>
      <c r="O3640">
        <v>6.4852690000000001E-3</v>
      </c>
      <c r="P3640">
        <v>0.93107870000000004</v>
      </c>
      <c r="Q3640">
        <v>0.33400750000000001</v>
      </c>
      <c r="R3640">
        <v>0.14673549999999999</v>
      </c>
      <c r="S3640">
        <v>3.2761230000000001</v>
      </c>
      <c r="T3640">
        <v>-0.16342029999999999</v>
      </c>
      <c r="U3640">
        <v>2.682495E-2</v>
      </c>
      <c r="V3640">
        <v>-0.14061080000000001</v>
      </c>
      <c r="W3640">
        <v>0.34574519999999997</v>
      </c>
      <c r="X3640">
        <v>0.92773320000000004</v>
      </c>
      <c r="Y3640">
        <v>-1.7038579999999999E-3</v>
      </c>
      <c r="Z3640">
        <v>-1.885015E-4</v>
      </c>
      <c r="AA3640">
        <v>0.99999850000000001</v>
      </c>
      <c r="AB3640">
        <v>45</v>
      </c>
      <c r="AC3640">
        <v>21.8340999999999</v>
      </c>
      <c r="AD3640">
        <v>-1.1098397506830999</v>
      </c>
      <c r="AE3640">
        <v>0.17949999999999</v>
      </c>
      <c r="AF3640">
        <v>-3.7787375122061602E-2</v>
      </c>
      <c r="AG3640">
        <v>-1.1098397506830999</v>
      </c>
      <c r="AH3640">
        <v>21.778538535675199</v>
      </c>
      <c r="AI3640">
        <v>92.917279220511105</v>
      </c>
      <c r="AJ3640">
        <v>90.099412315349198</v>
      </c>
      <c r="AK3640">
        <v>21.806831794366701</v>
      </c>
      <c r="AL3640">
        <v>69.772708149430201</v>
      </c>
      <c r="AM3640">
        <v>98.618374825365706</v>
      </c>
      <c r="AN3640">
        <v>1.0000000153909501</v>
      </c>
    </row>
    <row r="3641" spans="1:40" x14ac:dyDescent="0.25">
      <c r="A3641" t="str">
        <f>"20190304164201287"</f>
        <v>20190304164201287</v>
      </c>
      <c r="B3641" t="str">
        <f>"1551688921274520"</f>
        <v>1551688921274520</v>
      </c>
      <c r="C3641" t="s">
        <v>40</v>
      </c>
      <c r="D3641">
        <v>3.797857</v>
      </c>
      <c r="E3641">
        <v>0.55067519999999903</v>
      </c>
      <c r="F3641" t="s">
        <v>46</v>
      </c>
      <c r="G3641">
        <v>-352.69839999999999</v>
      </c>
      <c r="H3641" s="1">
        <v>-7.444659E-8</v>
      </c>
      <c r="I3641">
        <v>214.01300000000001</v>
      </c>
      <c r="J3641">
        <v>-374.7002</v>
      </c>
      <c r="K3641">
        <v>1.1098239999999999</v>
      </c>
      <c r="L3641">
        <v>213.82159999999999</v>
      </c>
      <c r="M3641">
        <v>0.99989969999999995</v>
      </c>
      <c r="N3641">
        <v>-1.2650750000000001E-2</v>
      </c>
      <c r="O3641">
        <v>6.3712939999999996E-3</v>
      </c>
      <c r="P3641">
        <v>0.9310853</v>
      </c>
      <c r="Q3641">
        <v>0.33402799999999999</v>
      </c>
      <c r="R3641">
        <v>0.14664829999999901</v>
      </c>
      <c r="S3641">
        <v>3.2757260000000001</v>
      </c>
      <c r="T3641">
        <v>-0.16200209999999901</v>
      </c>
      <c r="U3641">
        <v>2.835083E-2</v>
      </c>
      <c r="V3641">
        <v>-0.14061360000000001</v>
      </c>
      <c r="W3641">
        <v>0.34583199999999997</v>
      </c>
      <c r="X3641">
        <v>0.92770039999999998</v>
      </c>
      <c r="Y3641">
        <v>-2.2835640000000001E-3</v>
      </c>
      <c r="Z3641">
        <v>-1.634366E-4</v>
      </c>
      <c r="AA3641">
        <v>0.99999740000000004</v>
      </c>
      <c r="AB3641">
        <v>45</v>
      </c>
      <c r="AC3641">
        <v>22.001799999999999</v>
      </c>
      <c r="AD3641">
        <v>-1.1098240744465899</v>
      </c>
      <c r="AE3641">
        <v>0.191400000000015</v>
      </c>
      <c r="AF3641">
        <v>-5.1075015352220803E-2</v>
      </c>
      <c r="AG3641">
        <v>-1.1098240744465899</v>
      </c>
      <c r="AH3641">
        <v>21.946735044478402</v>
      </c>
      <c r="AI3641">
        <v>92.894915508715698</v>
      </c>
      <c r="AJ3641">
        <v>90.133339994730704</v>
      </c>
      <c r="AK3641">
        <v>21.974837820697399</v>
      </c>
      <c r="AL3641">
        <v>69.7674074751625</v>
      </c>
      <c r="AM3641">
        <v>98.618844010343693</v>
      </c>
      <c r="AN3641">
        <v>0.999999994444559</v>
      </c>
    </row>
    <row r="3642" spans="1:40" x14ac:dyDescent="0.25">
      <c r="A3642" t="str">
        <f>"20190304164201310"</f>
        <v>20190304164201310</v>
      </c>
      <c r="B3642" t="str">
        <f>"1551688921304775"</f>
        <v>1551688921304775</v>
      </c>
      <c r="C3642" t="s">
        <v>40</v>
      </c>
      <c r="D3642">
        <v>3.822295</v>
      </c>
      <c r="E3642">
        <v>0.54900349999999998</v>
      </c>
      <c r="F3642" t="s">
        <v>46</v>
      </c>
      <c r="G3642">
        <v>-349.43369999999999</v>
      </c>
      <c r="H3642" s="1">
        <v>3.4833600000000001E-6</v>
      </c>
      <c r="I3642">
        <v>214.83019999999999</v>
      </c>
      <c r="J3642">
        <v>-374.2337</v>
      </c>
      <c r="K3642">
        <v>1.1098079999999999</v>
      </c>
      <c r="L3642">
        <v>213.8244</v>
      </c>
      <c r="M3642">
        <v>0.99989980000000001</v>
      </c>
      <c r="N3642">
        <v>-1.2707E-2</v>
      </c>
      <c r="O3642">
        <v>6.2362299999999997E-3</v>
      </c>
      <c r="P3642">
        <v>0.93129390000000001</v>
      </c>
      <c r="Q3642">
        <v>0.33348860000000002</v>
      </c>
      <c r="R3642">
        <v>0.1465514</v>
      </c>
      <c r="S3642">
        <v>3.252869</v>
      </c>
      <c r="T3642">
        <v>-0.14288100000000001</v>
      </c>
      <c r="U3642">
        <v>0.1298523</v>
      </c>
      <c r="V3642">
        <v>-0.14062539999999901</v>
      </c>
      <c r="W3642">
        <v>0.34535379999999999</v>
      </c>
      <c r="X3642">
        <v>0.92787679999999995</v>
      </c>
      <c r="Y3642">
        <v>-3.361629E-2</v>
      </c>
      <c r="Z3642">
        <v>7.5696770000000001E-4</v>
      </c>
      <c r="AA3642">
        <v>0.9994345</v>
      </c>
      <c r="AB3642">
        <v>45</v>
      </c>
      <c r="AC3642">
        <v>24.8</v>
      </c>
      <c r="AD3642">
        <v>-1.1098045166399999</v>
      </c>
      <c r="AE3642">
        <v>1.00579999999999</v>
      </c>
      <c r="AF3642">
        <v>-0.84941122480950504</v>
      </c>
      <c r="AG3642">
        <v>-1.1098045166399999</v>
      </c>
      <c r="AH3642">
        <v>24.756295559137801</v>
      </c>
      <c r="AI3642">
        <v>92.565296948770495</v>
      </c>
      <c r="AJ3642">
        <v>91.965099898878194</v>
      </c>
      <c r="AK3642">
        <v>24.7957120346518</v>
      </c>
      <c r="AL3642">
        <v>69.796606596034806</v>
      </c>
      <c r="AM3642">
        <v>98.617942352211998</v>
      </c>
      <c r="AN3642">
        <v>1.0000000531389099</v>
      </c>
    </row>
    <row r="3643" spans="1:40" x14ac:dyDescent="0.25">
      <c r="A3643" t="str">
        <f>"20190304164201334"</f>
        <v>20190304164201334</v>
      </c>
      <c r="B3643" t="str">
        <f>"1551688921324295"</f>
        <v>1551688921324295</v>
      </c>
      <c r="C3643" t="s">
        <v>40</v>
      </c>
      <c r="D3643">
        <v>3.8355039999999998</v>
      </c>
      <c r="E3643">
        <v>0.5487708</v>
      </c>
      <c r="F3643" t="s">
        <v>46</v>
      </c>
      <c r="G3643">
        <v>-349.06950000000001</v>
      </c>
      <c r="H3643" s="1">
        <v>3.2895239999999998E-6</v>
      </c>
      <c r="I3643">
        <v>214.92609999999999</v>
      </c>
      <c r="J3643">
        <v>-373.76499999999999</v>
      </c>
      <c r="K3643">
        <v>1.1097889999999999</v>
      </c>
      <c r="L3643">
        <v>213.8272</v>
      </c>
      <c r="M3643">
        <v>0.99990020000000002</v>
      </c>
      <c r="N3643">
        <v>-1.2745859999999999E-2</v>
      </c>
      <c r="O3643">
        <v>6.0916599999999996E-3</v>
      </c>
      <c r="P3643">
        <v>0.93151850000000003</v>
      </c>
      <c r="Q3643">
        <v>0.33295710000000001</v>
      </c>
      <c r="R3643">
        <v>0.1463315</v>
      </c>
      <c r="S3643">
        <v>3.2502439999999999</v>
      </c>
      <c r="T3643">
        <v>-0.14334359999999999</v>
      </c>
      <c r="U3643">
        <v>0.1423035</v>
      </c>
      <c r="V3643">
        <v>-0.14052519999999999</v>
      </c>
      <c r="W3643">
        <v>0.34486640000000002</v>
      </c>
      <c r="X3643">
        <v>0.92807320000000004</v>
      </c>
      <c r="Y3643">
        <v>-3.7609289999999997E-2</v>
      </c>
      <c r="Z3643">
        <v>8.7768440000000002E-4</v>
      </c>
      <c r="AA3643">
        <v>0.99929210000000002</v>
      </c>
      <c r="AB3643">
        <v>45</v>
      </c>
      <c r="AC3643">
        <v>24.6954999999999</v>
      </c>
      <c r="AD3643">
        <v>-1.1097857104759901</v>
      </c>
      <c r="AE3643">
        <v>1.09889999999998</v>
      </c>
      <c r="AF3643">
        <v>-0.94652307427643301</v>
      </c>
      <c r="AG3643">
        <v>-1.1097857104759901</v>
      </c>
      <c r="AH3643">
        <v>24.652050096290299</v>
      </c>
      <c r="AI3643">
        <v>92.575705124051098</v>
      </c>
      <c r="AJ3643">
        <v>92.198809073188997</v>
      </c>
      <c r="AK3643">
        <v>24.695163579197398</v>
      </c>
      <c r="AL3643">
        <v>69.826359776279006</v>
      </c>
      <c r="AM3643">
        <v>98.610098754499703</v>
      </c>
      <c r="AN3643">
        <v>1.0000000151211199</v>
      </c>
    </row>
    <row r="3644" spans="1:40" x14ac:dyDescent="0.25">
      <c r="A3644" t="str">
        <f>"20190304164201355"</f>
        <v>20190304164201355</v>
      </c>
      <c r="B3644" t="str">
        <f>"1551688921344791"</f>
        <v>1551688921344791</v>
      </c>
      <c r="C3644" t="s">
        <v>40</v>
      </c>
      <c r="D3644">
        <v>3.817685</v>
      </c>
      <c r="E3644">
        <v>0.54869299999999999</v>
      </c>
      <c r="F3644" t="s">
        <v>46</v>
      </c>
      <c r="G3644">
        <v>-348.69729999999998</v>
      </c>
      <c r="H3644" s="1">
        <v>3.0914850000000002E-6</v>
      </c>
      <c r="I3644">
        <v>214.92509999999999</v>
      </c>
      <c r="J3644">
        <v>-373.33690000000001</v>
      </c>
      <c r="K3644">
        <v>1.109775</v>
      </c>
      <c r="L3644">
        <v>213.8296</v>
      </c>
      <c r="M3644">
        <v>0.99990089999999998</v>
      </c>
      <c r="N3644">
        <v>-1.276148E-2</v>
      </c>
      <c r="O3644">
        <v>5.9556349999999999E-3</v>
      </c>
      <c r="P3644">
        <v>0.93158450000000004</v>
      </c>
      <c r="Q3644">
        <v>0.33280029999999999</v>
      </c>
      <c r="R3644">
        <v>0.1462686</v>
      </c>
      <c r="S3644">
        <v>3.2495729999999998</v>
      </c>
      <c r="T3644">
        <v>-0.14386389999999999</v>
      </c>
      <c r="U3644">
        <v>0.14233399999999999</v>
      </c>
      <c r="V3644">
        <v>-0.1405815</v>
      </c>
      <c r="W3644">
        <v>0.34472799999999998</v>
      </c>
      <c r="X3644">
        <v>0.9281161</v>
      </c>
      <c r="Y3644">
        <v>-3.7763049999999999E-2</v>
      </c>
      <c r="Z3644">
        <v>8.8888529999999995E-4</v>
      </c>
      <c r="AA3644">
        <v>0.99928640000000002</v>
      </c>
      <c r="AB3644">
        <v>45</v>
      </c>
      <c r="AC3644">
        <v>24.639600000000002</v>
      </c>
      <c r="AD3644">
        <v>-1.109771908515</v>
      </c>
      <c r="AE3644">
        <v>1.0954999999999799</v>
      </c>
      <c r="AF3644">
        <v>-0.94680724308734798</v>
      </c>
      <c r="AG3644">
        <v>-1.109771908515</v>
      </c>
      <c r="AH3644">
        <v>24.595890661733101</v>
      </c>
      <c r="AI3644">
        <v>92.581536364098</v>
      </c>
      <c r="AJ3644">
        <v>92.204485624851301</v>
      </c>
      <c r="AK3644">
        <v>24.639112709032698</v>
      </c>
      <c r="AL3644">
        <v>69.834807731822593</v>
      </c>
      <c r="AM3644">
        <v>98.613104406637504</v>
      </c>
      <c r="AN3644">
        <v>1.00000002360272</v>
      </c>
    </row>
    <row r="3645" spans="1:40" x14ac:dyDescent="0.25">
      <c r="A3645" t="str">
        <f>"20190304164201377"</f>
        <v>20190304164201377</v>
      </c>
      <c r="B3645" t="str">
        <f>"1551688921365090"</f>
        <v>1551688921365090</v>
      </c>
      <c r="C3645" t="s">
        <v>40</v>
      </c>
      <c r="D3645">
        <v>3.852903</v>
      </c>
      <c r="E3645">
        <v>0.54873130000000003</v>
      </c>
      <c r="F3645" t="s">
        <v>46</v>
      </c>
      <c r="G3645">
        <v>-348.36200000000002</v>
      </c>
      <c r="H3645" s="1">
        <v>2.9130389999999999E-6</v>
      </c>
      <c r="I3645">
        <v>214.9204</v>
      </c>
      <c r="J3645">
        <v>-372.8947</v>
      </c>
      <c r="K3645">
        <v>1.1097669999999999</v>
      </c>
      <c r="L3645">
        <v>213.8321</v>
      </c>
      <c r="M3645">
        <v>0.99990190000000001</v>
      </c>
      <c r="N3645">
        <v>-1.275777E-2</v>
      </c>
      <c r="O3645">
        <v>5.8107189999999998E-3</v>
      </c>
      <c r="P3645">
        <v>0.93163879999999999</v>
      </c>
      <c r="Q3645">
        <v>0.3326482</v>
      </c>
      <c r="R3645">
        <v>0.14626910000000001</v>
      </c>
      <c r="S3645">
        <v>3.2496640000000001</v>
      </c>
      <c r="T3645">
        <v>-0.14440049999999999</v>
      </c>
      <c r="U3645">
        <v>0.14192199999999999</v>
      </c>
      <c r="V3645">
        <v>-0.14071429999999999</v>
      </c>
      <c r="W3645">
        <v>0.34457409999999999</v>
      </c>
      <c r="X3645">
        <v>0.92815309999999995</v>
      </c>
      <c r="Y3645">
        <v>-3.777983E-2</v>
      </c>
      <c r="Z3645">
        <v>8.9597369999999904E-4</v>
      </c>
      <c r="AA3645">
        <v>0.99928570000000005</v>
      </c>
      <c r="AB3645">
        <v>45</v>
      </c>
      <c r="AC3645">
        <v>24.532699999999998</v>
      </c>
      <c r="AD3645">
        <v>-1.1097640869609999</v>
      </c>
      <c r="AE3645">
        <v>1.0883</v>
      </c>
      <c r="AF3645">
        <v>-0.94378992926941396</v>
      </c>
      <c r="AG3645">
        <v>-1.1097640869609999</v>
      </c>
      <c r="AH3645">
        <v>24.488597332122399</v>
      </c>
      <c r="AI3645">
        <v>92.592808824359494</v>
      </c>
      <c r="AJ3645">
        <v>92.207085593332096</v>
      </c>
      <c r="AK3645">
        <v>24.5318917952556</v>
      </c>
      <c r="AL3645">
        <v>69.844200594951701</v>
      </c>
      <c r="AM3645">
        <v>98.620780051709602</v>
      </c>
      <c r="AN3645">
        <v>1.0000000008274501</v>
      </c>
    </row>
    <row r="3646" spans="1:40" x14ac:dyDescent="0.25">
      <c r="A3646" t="str">
        <f>"20190304164201399"</f>
        <v>20190304164201399</v>
      </c>
      <c r="B3646" t="str">
        <f>"1551688921384597"</f>
        <v>1551688921384597</v>
      </c>
      <c r="C3646" t="s">
        <v>40</v>
      </c>
      <c r="D3646">
        <v>3.832198</v>
      </c>
      <c r="E3646">
        <v>0.54881040000000003</v>
      </c>
      <c r="F3646" t="s">
        <v>46</v>
      </c>
      <c r="G3646">
        <v>-347.87040000000002</v>
      </c>
      <c r="H3646" s="1">
        <v>2.6514550000000002E-6</v>
      </c>
      <c r="I3646">
        <v>214.91480000000001</v>
      </c>
      <c r="J3646">
        <v>-372.45710000000003</v>
      </c>
      <c r="K3646">
        <v>1.1097589999999999</v>
      </c>
      <c r="L3646">
        <v>213.83449999999999</v>
      </c>
      <c r="M3646">
        <v>0.99990299999999999</v>
      </c>
      <c r="N3646">
        <v>-1.273814E-2</v>
      </c>
      <c r="O3646">
        <v>5.6629189999999998E-3</v>
      </c>
      <c r="P3646">
        <v>0.93154440000000005</v>
      </c>
      <c r="Q3646">
        <v>0.33288820000000002</v>
      </c>
      <c r="R3646">
        <v>0.14632519999999999</v>
      </c>
      <c r="S3646">
        <v>3.2495120000000002</v>
      </c>
      <c r="T3646">
        <v>-0.14410780000000001</v>
      </c>
      <c r="U3646">
        <v>0.14059449999999901</v>
      </c>
      <c r="V3646">
        <v>-0.1409089</v>
      </c>
      <c r="W3646">
        <v>0.34479389999999999</v>
      </c>
      <c r="X3646">
        <v>0.92804189999999998</v>
      </c>
      <c r="Y3646">
        <v>-3.752254E-2</v>
      </c>
      <c r="Z3646">
        <v>8.9166949999999897E-4</v>
      </c>
      <c r="AA3646">
        <v>0.99929539999999994</v>
      </c>
      <c r="AB3646">
        <v>45</v>
      </c>
      <c r="AC3646">
        <v>24.5867</v>
      </c>
      <c r="AD3646">
        <v>-1.1097563485449999</v>
      </c>
      <c r="AE3646">
        <v>1.08030000000002</v>
      </c>
      <c r="AF3646">
        <v>-0.93912931017771695</v>
      </c>
      <c r="AG3646">
        <v>-1.1097563485449999</v>
      </c>
      <c r="AH3646">
        <v>24.542519739328199</v>
      </c>
      <c r="AI3646">
        <v>92.587129095657701</v>
      </c>
      <c r="AJ3646">
        <v>92.191376713426394</v>
      </c>
      <c r="AK3646">
        <v>24.585540428668299</v>
      </c>
      <c r="AL3646">
        <v>69.830783987201698</v>
      </c>
      <c r="AM3646">
        <v>98.633541406325406</v>
      </c>
      <c r="AN3646">
        <v>0.99999995986601398</v>
      </c>
    </row>
    <row r="3647" spans="1:40" x14ac:dyDescent="0.25">
      <c r="A3647" t="str">
        <f>"20190304164201435"</f>
        <v>20190304164201435</v>
      </c>
      <c r="B3647" t="str">
        <f>"1551688921424612"</f>
        <v>1551688921424612</v>
      </c>
      <c r="C3647" t="s">
        <v>40</v>
      </c>
      <c r="D3647">
        <v>3.8640249999999998</v>
      </c>
      <c r="E3647">
        <v>0.54900749999999998</v>
      </c>
      <c r="F3647" t="s">
        <v>46</v>
      </c>
      <c r="G3647">
        <v>-347.39049999999997</v>
      </c>
      <c r="H3647" s="1">
        <v>2.396092E-6</v>
      </c>
      <c r="I3647">
        <v>214.91839999999999</v>
      </c>
      <c r="J3647">
        <v>-371.74450000000002</v>
      </c>
      <c r="K3647">
        <v>1.1097399999999999</v>
      </c>
      <c r="L3647">
        <v>213.83840000000001</v>
      </c>
      <c r="M3647">
        <v>0.99990489999999999</v>
      </c>
      <c r="N3647">
        <v>-1.2688799999999899E-2</v>
      </c>
      <c r="O3647">
        <v>5.4201669999999896E-3</v>
      </c>
      <c r="P3647">
        <v>0.93133569999999999</v>
      </c>
      <c r="Q3647">
        <v>0.3332058</v>
      </c>
      <c r="R3647">
        <v>0.14692849999999999</v>
      </c>
      <c r="S3647">
        <v>3.2498170000000002</v>
      </c>
      <c r="T3647">
        <v>-0.143877</v>
      </c>
      <c r="U3647">
        <v>0.14051820000000001</v>
      </c>
      <c r="V3647">
        <v>-0.14173859999999999</v>
      </c>
      <c r="W3647">
        <v>0.34506419999999999</v>
      </c>
      <c r="X3647">
        <v>0.9278151</v>
      </c>
      <c r="Y3647">
        <v>-3.773746E-2</v>
      </c>
      <c r="Z3647">
        <v>9.0325650000000002E-4</v>
      </c>
      <c r="AA3647">
        <v>0.99928729999999999</v>
      </c>
      <c r="AB3647">
        <v>45</v>
      </c>
      <c r="AC3647">
        <v>24.353999999999999</v>
      </c>
      <c r="AD3647">
        <v>-1.109737603908</v>
      </c>
      <c r="AE3647">
        <v>1.0799999999999801</v>
      </c>
      <c r="AF3647">
        <v>-0.946010379944485</v>
      </c>
      <c r="AG3647">
        <v>-1.109737603908</v>
      </c>
      <c r="AH3647">
        <v>24.309121339136201</v>
      </c>
      <c r="AI3647">
        <v>92.611825149732297</v>
      </c>
      <c r="AJ3647">
        <v>92.228590003536794</v>
      </c>
      <c r="AK3647">
        <v>24.35281982583</v>
      </c>
      <c r="AL3647">
        <v>69.814285100874002</v>
      </c>
      <c r="AM3647">
        <v>98.685695060259803</v>
      </c>
      <c r="AN3647">
        <v>0.99999999631980496</v>
      </c>
    </row>
    <row r="3648" spans="1:40" x14ac:dyDescent="0.25">
      <c r="A3648" t="str">
        <f>"20190304164201454"</f>
        <v>20190304164201454</v>
      </c>
      <c r="B3648" t="str">
        <f>"1551688921445110"</f>
        <v>1551688921445110</v>
      </c>
      <c r="C3648" t="s">
        <v>40</v>
      </c>
      <c r="D3648">
        <v>3.864967</v>
      </c>
      <c r="E3648">
        <v>0.54909960000000002</v>
      </c>
      <c r="F3648" t="s">
        <v>46</v>
      </c>
      <c r="G3648">
        <v>-346.73770000000002</v>
      </c>
      <c r="H3648" s="1">
        <v>2.0486569999999998E-6</v>
      </c>
      <c r="I3648">
        <v>214.91839999999999</v>
      </c>
      <c r="J3648">
        <v>-371.346</v>
      </c>
      <c r="K3648">
        <v>1.109734</v>
      </c>
      <c r="L3648">
        <v>213.84039999999999</v>
      </c>
      <c r="M3648">
        <v>0.99990590000000001</v>
      </c>
      <c r="N3648">
        <v>-1.2659299999999899E-2</v>
      </c>
      <c r="O3648">
        <v>5.2872809999999996E-3</v>
      </c>
      <c r="P3648">
        <v>0.93158790000000002</v>
      </c>
      <c r="Q3648">
        <v>0.33221780000000001</v>
      </c>
      <c r="R3648">
        <v>0.14756549999999999</v>
      </c>
      <c r="S3648">
        <v>3.2506409999999999</v>
      </c>
      <c r="T3648">
        <v>-0.14425489999999999</v>
      </c>
      <c r="U3648">
        <v>0.1403961</v>
      </c>
      <c r="V3648">
        <v>-0.14249609999999999</v>
      </c>
      <c r="W3648">
        <v>0.344053</v>
      </c>
      <c r="X3648">
        <v>0.92807450000000002</v>
      </c>
      <c r="Y3648">
        <v>-3.7821559999999997E-2</v>
      </c>
      <c r="Z3648">
        <v>9.1055710000000002E-4</v>
      </c>
      <c r="AA3648">
        <v>0.99928410000000001</v>
      </c>
      <c r="AB3648">
        <v>45</v>
      </c>
      <c r="AC3648">
        <v>24.6082999999999</v>
      </c>
      <c r="AD3648">
        <v>-1.109731951343</v>
      </c>
      <c r="AE3648">
        <v>1.0780000000000001</v>
      </c>
      <c r="AF3648">
        <v>-0.945943488002847</v>
      </c>
      <c r="AG3648">
        <v>-1.109731951343</v>
      </c>
      <c r="AH3648">
        <v>24.563798005612501</v>
      </c>
      <c r="AI3648">
        <v>92.584810130999003</v>
      </c>
      <c r="AJ3648">
        <v>92.205351195037494</v>
      </c>
      <c r="AK3648">
        <v>24.607041401738201</v>
      </c>
      <c r="AL3648">
        <v>69.876000680792103</v>
      </c>
      <c r="AM3648">
        <v>98.728998063067195</v>
      </c>
      <c r="AN3648">
        <v>0.99999994143722803</v>
      </c>
    </row>
    <row r="3649" spans="1:40" x14ac:dyDescent="0.25">
      <c r="A3649" t="str">
        <f>"20190304164201476"</f>
        <v>20190304164201476</v>
      </c>
      <c r="B3649" t="str">
        <f>"1551688921465181"</f>
        <v>1551688921465181</v>
      </c>
      <c r="C3649" t="s">
        <v>40</v>
      </c>
      <c r="D3649">
        <v>3.869742</v>
      </c>
      <c r="E3649">
        <v>0.54918610000000001</v>
      </c>
      <c r="F3649" t="s">
        <v>46</v>
      </c>
      <c r="G3649">
        <v>-346.91590000000002</v>
      </c>
      <c r="H3649" s="1">
        <v>2.1435049999999998E-6</v>
      </c>
      <c r="I3649">
        <v>214.90430000000001</v>
      </c>
      <c r="J3649">
        <v>-370.89690000000002</v>
      </c>
      <c r="K3649">
        <v>1.1097189999999999</v>
      </c>
      <c r="L3649">
        <v>213.84270000000001</v>
      </c>
      <c r="M3649">
        <v>0.9999072</v>
      </c>
      <c r="N3649">
        <v>-1.2625279999999999E-2</v>
      </c>
      <c r="O3649">
        <v>5.1415200000000001E-3</v>
      </c>
      <c r="P3649">
        <v>0.93155560000000004</v>
      </c>
      <c r="Q3649">
        <v>0.33236189999999999</v>
      </c>
      <c r="R3649">
        <v>0.1474451</v>
      </c>
      <c r="S3649">
        <v>3.2505489999999999</v>
      </c>
      <c r="T3649">
        <v>-0.14765539999999999</v>
      </c>
      <c r="U3649">
        <v>0.14155580000000001</v>
      </c>
      <c r="V3649">
        <v>-0.14250750000000001</v>
      </c>
      <c r="W3649">
        <v>0.34416659999999999</v>
      </c>
      <c r="X3649">
        <v>0.92803069999999999</v>
      </c>
      <c r="Y3649">
        <v>-3.8321729999999998E-2</v>
      </c>
      <c r="Z3649">
        <v>9.4326070000000004E-4</v>
      </c>
      <c r="AA3649">
        <v>0.99926499999999996</v>
      </c>
      <c r="AB3649">
        <v>45</v>
      </c>
      <c r="AC3649">
        <v>23.980999999999899</v>
      </c>
      <c r="AD3649">
        <v>-1.109716856495</v>
      </c>
      <c r="AE3649">
        <v>1.0615999999999901</v>
      </c>
      <c r="AF3649">
        <v>-0.93627637773467998</v>
      </c>
      <c r="AG3649">
        <v>-1.109716856495</v>
      </c>
      <c r="AH3649">
        <v>23.9349884533632</v>
      </c>
      <c r="AI3649">
        <v>92.652522953223794</v>
      </c>
      <c r="AJ3649">
        <v>92.240124249265705</v>
      </c>
      <c r="AK3649">
        <v>23.978985742097699</v>
      </c>
      <c r="AL3649">
        <v>69.869069929894096</v>
      </c>
      <c r="AM3649">
        <v>98.730091310213297</v>
      </c>
      <c r="AN3649">
        <v>1.0000000081271401</v>
      </c>
    </row>
    <row r="3650" spans="1:40" x14ac:dyDescent="0.25">
      <c r="A3650" t="str">
        <f>"20190304164201499"</f>
        <v>20190304164201499</v>
      </c>
      <c r="B3650" t="str">
        <f>"1551688921494418"</f>
        <v>1551688921494418</v>
      </c>
      <c r="C3650" t="s">
        <v>40</v>
      </c>
      <c r="D3650">
        <v>3.883956</v>
      </c>
      <c r="E3650">
        <v>0.54920269999999904</v>
      </c>
      <c r="F3650" t="s">
        <v>46</v>
      </c>
      <c r="G3650">
        <v>-346.4708</v>
      </c>
      <c r="H3650" s="1">
        <v>1.9066690000000001E-6</v>
      </c>
      <c r="I3650">
        <v>214.9117</v>
      </c>
      <c r="J3650">
        <v>-370.447</v>
      </c>
      <c r="K3650">
        <v>1.1097079999999999</v>
      </c>
      <c r="L3650">
        <v>213.8449</v>
      </c>
      <c r="M3650">
        <v>0.99990829999999997</v>
      </c>
      <c r="N3650">
        <v>-1.2589619999999999E-2</v>
      </c>
      <c r="O3650">
        <v>4.9983909999999996E-3</v>
      </c>
      <c r="P3650">
        <v>0.93161150000000004</v>
      </c>
      <c r="Q3650">
        <v>0.33225539999999998</v>
      </c>
      <c r="R3650">
        <v>0.14733099999999999</v>
      </c>
      <c r="S3650">
        <v>3.2505489999999999</v>
      </c>
      <c r="T3650">
        <v>-0.1476777</v>
      </c>
      <c r="U3650">
        <v>0.14225769999999999</v>
      </c>
      <c r="V3650">
        <v>-0.14252229999999999</v>
      </c>
      <c r="W3650">
        <v>0.34402880000000002</v>
      </c>
      <c r="X3650">
        <v>0.92807949999999995</v>
      </c>
      <c r="Y3650">
        <v>-3.8679600000000001E-2</v>
      </c>
      <c r="Z3650">
        <v>9.5755890000000005E-4</v>
      </c>
      <c r="AA3650">
        <v>0.99925120000000001</v>
      </c>
      <c r="AB3650">
        <v>45</v>
      </c>
      <c r="AC3650">
        <v>23.976199999999899</v>
      </c>
      <c r="AD3650">
        <v>-1.1097060933309999</v>
      </c>
      <c r="AE3650">
        <v>1.0668</v>
      </c>
      <c r="AF3650">
        <v>-0.94491458163491804</v>
      </c>
      <c r="AG3650">
        <v>-1.1097060933309999</v>
      </c>
      <c r="AH3650">
        <v>23.9300719959035</v>
      </c>
      <c r="AI3650">
        <v>92.653003080326698</v>
      </c>
      <c r="AJ3650">
        <v>92.261234566036904</v>
      </c>
      <c r="AK3650">
        <v>23.9744167167689</v>
      </c>
      <c r="AL3650">
        <v>69.877478399346501</v>
      </c>
      <c r="AM3650">
        <v>98.730531980349198</v>
      </c>
      <c r="AN3650">
        <v>0.99999998977348903</v>
      </c>
    </row>
    <row r="3651" spans="1:40" x14ac:dyDescent="0.25">
      <c r="A3651" t="str">
        <f>"20190304164201522"</f>
        <v>20190304164201522</v>
      </c>
      <c r="B3651" t="str">
        <f>"1551688921514913"</f>
        <v>1551688921514913</v>
      </c>
      <c r="C3651" t="s">
        <v>40</v>
      </c>
      <c r="D3651">
        <v>3.880738</v>
      </c>
      <c r="E3651">
        <v>0.54926719999999996</v>
      </c>
      <c r="F3651" t="s">
        <v>46</v>
      </c>
      <c r="G3651">
        <v>-346.14530000000002</v>
      </c>
      <c r="H3651" s="1">
        <v>1.7334420000000001E-6</v>
      </c>
      <c r="I3651">
        <v>214.91409999999999</v>
      </c>
      <c r="J3651">
        <v>-369.9769</v>
      </c>
      <c r="K3651">
        <v>1.109707</v>
      </c>
      <c r="L3651">
        <v>213.84710000000001</v>
      </c>
      <c r="M3651">
        <v>0.99990950000000001</v>
      </c>
      <c r="N3651">
        <v>-1.255243E-2</v>
      </c>
      <c r="O3651">
        <v>4.8492650000000002E-3</v>
      </c>
      <c r="P3651">
        <v>0.9316527</v>
      </c>
      <c r="Q3651">
        <v>0.3321038</v>
      </c>
      <c r="R3651">
        <v>0.14741290000000001</v>
      </c>
      <c r="S3651">
        <v>3.2505489999999999</v>
      </c>
      <c r="T3651">
        <v>-0.14843249999999999</v>
      </c>
      <c r="U3651">
        <v>0.1430206</v>
      </c>
      <c r="V3651">
        <v>-0.14274010000000001</v>
      </c>
      <c r="W3651">
        <v>0.34384429999999999</v>
      </c>
      <c r="X3651">
        <v>0.92811440000000001</v>
      </c>
      <c r="Y3651">
        <v>-3.9061739999999998E-2</v>
      </c>
      <c r="Z3651">
        <v>9.7602449999999999E-4</v>
      </c>
      <c r="AA3651">
        <v>0.99923629999999997</v>
      </c>
      <c r="AB3651">
        <v>45</v>
      </c>
      <c r="AC3651">
        <v>23.831599999999899</v>
      </c>
      <c r="AD3651">
        <v>-1.1097052665580001</v>
      </c>
      <c r="AE3651">
        <v>1.06699999999997</v>
      </c>
      <c r="AF3651">
        <v>-0.94935828235794995</v>
      </c>
      <c r="AG3651">
        <v>-1.1097052665580001</v>
      </c>
      <c r="AH3651">
        <v>23.785025668791501</v>
      </c>
      <c r="AI3651">
        <v>92.669111188687395</v>
      </c>
      <c r="AJ3651">
        <v>92.285697116806404</v>
      </c>
      <c r="AK3651">
        <v>23.829816889602402</v>
      </c>
      <c r="AL3651">
        <v>69.888736268352503</v>
      </c>
      <c r="AM3651">
        <v>98.743344087678693</v>
      </c>
      <c r="AN3651">
        <v>0.99999998913892996</v>
      </c>
    </row>
    <row r="3652" spans="1:40" x14ac:dyDescent="0.25">
      <c r="A3652" t="str">
        <f>"20190304164201544"</f>
        <v>20190304164201544</v>
      </c>
      <c r="B3652" t="str">
        <f>"1551688921534434"</f>
        <v>1551688921534434</v>
      </c>
      <c r="C3652" t="s">
        <v>40</v>
      </c>
      <c r="D3652">
        <v>3.8928569999999998</v>
      </c>
      <c r="E3652">
        <v>0.54932119999999995</v>
      </c>
      <c r="F3652" t="s">
        <v>46</v>
      </c>
      <c r="G3652">
        <v>-345.78429999999997</v>
      </c>
      <c r="H3652" s="1">
        <v>1.541323E-6</v>
      </c>
      <c r="I3652">
        <v>214.90690000000001</v>
      </c>
      <c r="J3652">
        <v>-369.55309999999997</v>
      </c>
      <c r="K3652">
        <v>1.109696</v>
      </c>
      <c r="L3652">
        <v>213.84899999999999</v>
      </c>
      <c r="M3652">
        <v>0.99991070000000004</v>
      </c>
      <c r="N3652">
        <v>-1.2520760000000001E-2</v>
      </c>
      <c r="O3652">
        <v>4.7137200000000002E-3</v>
      </c>
      <c r="P3652">
        <v>0.93153399999999997</v>
      </c>
      <c r="Q3652">
        <v>0.3324048</v>
      </c>
      <c r="R3652">
        <v>0.1474847</v>
      </c>
      <c r="S3652">
        <v>3.2507630000000001</v>
      </c>
      <c r="T3652">
        <v>-0.149111299999999</v>
      </c>
      <c r="U3652">
        <v>0.14241029999999999</v>
      </c>
      <c r="V3652">
        <v>-0.14293649999999999</v>
      </c>
      <c r="W3652">
        <v>0.34411560000000002</v>
      </c>
      <c r="X3652">
        <v>0.92798360000000002</v>
      </c>
      <c r="Y3652">
        <v>-3.9006699999999998E-2</v>
      </c>
      <c r="Z3652">
        <v>9.8117910000000003E-4</v>
      </c>
      <c r="AA3652">
        <v>0.99923850000000003</v>
      </c>
      <c r="AB3652">
        <v>45</v>
      </c>
      <c r="AC3652">
        <v>23.768799999999999</v>
      </c>
      <c r="AD3652">
        <v>-1.1096944586769999</v>
      </c>
      <c r="AE3652">
        <v>1.0578999999999801</v>
      </c>
      <c r="AF3652">
        <v>-0.94378693188937801</v>
      </c>
      <c r="AG3652">
        <v>-1.1096944586769999</v>
      </c>
      <c r="AH3652">
        <v>23.721919012520601</v>
      </c>
      <c r="AI3652">
        <v>92.676189084384006</v>
      </c>
      <c r="AJ3652">
        <v>92.278336063773907</v>
      </c>
      <c r="AK3652">
        <v>23.766606766659098</v>
      </c>
      <c r="AL3652">
        <v>69.872181428726407</v>
      </c>
      <c r="AM3652">
        <v>98.756402947304395</v>
      </c>
      <c r="AN3652">
        <v>0.99999997553228404</v>
      </c>
    </row>
    <row r="3653" spans="1:40" x14ac:dyDescent="0.25">
      <c r="A3653" t="str">
        <f>"20190304164201566"</f>
        <v>20190304164201566</v>
      </c>
      <c r="B3653" t="str">
        <f>"1551688921554931"</f>
        <v>1551688921554931</v>
      </c>
      <c r="C3653" t="s">
        <v>40</v>
      </c>
      <c r="D3653">
        <v>3.9055399999999998</v>
      </c>
      <c r="E3653">
        <v>0.54935970000000001</v>
      </c>
      <c r="F3653" t="s">
        <v>46</v>
      </c>
      <c r="G3653">
        <v>-345.1866</v>
      </c>
      <c r="H3653" s="1">
        <v>1.2232509999999999E-6</v>
      </c>
      <c r="I3653">
        <v>214.90729999999999</v>
      </c>
      <c r="J3653">
        <v>-369.1103</v>
      </c>
      <c r="K3653">
        <v>1.1096889999999999</v>
      </c>
      <c r="L3653">
        <v>213.851</v>
      </c>
      <c r="M3653">
        <v>0.99991149999999995</v>
      </c>
      <c r="N3653">
        <v>-1.249056E-2</v>
      </c>
      <c r="O3653">
        <v>4.5707289999999999E-3</v>
      </c>
      <c r="P3653">
        <v>0.93162449999999997</v>
      </c>
      <c r="Q3653">
        <v>0.33214199999999999</v>
      </c>
      <c r="R3653">
        <v>0.147504</v>
      </c>
      <c r="S3653">
        <v>3.2509769999999998</v>
      </c>
      <c r="T3653">
        <v>-0.148055399999999</v>
      </c>
      <c r="U3653">
        <v>0.1411896</v>
      </c>
      <c r="V3653">
        <v>-0.14308760000000001</v>
      </c>
      <c r="W3653">
        <v>0.34382600000000002</v>
      </c>
      <c r="X3653">
        <v>0.92806770000000005</v>
      </c>
      <c r="Y3653">
        <v>-3.877311E-2</v>
      </c>
      <c r="Z3653">
        <v>9.7355740000000003E-4</v>
      </c>
      <c r="AA3653">
        <v>0.99924760000000001</v>
      </c>
      <c r="AB3653">
        <v>45</v>
      </c>
      <c r="AC3653">
        <v>23.9237</v>
      </c>
      <c r="AD3653">
        <v>-1.1096877767490001</v>
      </c>
      <c r="AE3653">
        <v>1.05629999999999</v>
      </c>
      <c r="AF3653">
        <v>-0.94490266005357904</v>
      </c>
      <c r="AG3653">
        <v>-1.1096877767490001</v>
      </c>
      <c r="AH3653">
        <v>23.877006648334099</v>
      </c>
      <c r="AI3653">
        <v>92.658837815341798</v>
      </c>
      <c r="AJ3653">
        <v>92.266226240136106</v>
      </c>
      <c r="AK3653">
        <v>23.921448419429598</v>
      </c>
      <c r="AL3653">
        <v>69.889853458148707</v>
      </c>
      <c r="AM3653">
        <v>98.7647337862103</v>
      </c>
      <c r="AN3653">
        <v>1.00000001766652</v>
      </c>
    </row>
    <row r="3654" spans="1:40" x14ac:dyDescent="0.25">
      <c r="A3654" t="str">
        <f>"20190304164201588"</f>
        <v>20190304164201588</v>
      </c>
      <c r="B3654" t="str">
        <f>"1551688921574960"</f>
        <v>1551688921574960</v>
      </c>
      <c r="C3654" t="s">
        <v>40</v>
      </c>
      <c r="D3654">
        <v>3.8887679999999998</v>
      </c>
      <c r="E3654">
        <v>0.54941139999999999</v>
      </c>
      <c r="F3654" t="s">
        <v>46</v>
      </c>
      <c r="G3654">
        <v>-344.97449999999998</v>
      </c>
      <c r="H3654" s="1">
        <v>1.110408E-6</v>
      </c>
      <c r="I3654">
        <v>214.89340000000001</v>
      </c>
      <c r="J3654">
        <v>-368.66419999999999</v>
      </c>
      <c r="K3654">
        <v>1.109688</v>
      </c>
      <c r="L3654">
        <v>213.85290000000001</v>
      </c>
      <c r="M3654">
        <v>0.99991260000000004</v>
      </c>
      <c r="N3654">
        <v>-1.246328E-2</v>
      </c>
      <c r="O3654">
        <v>4.4251020000000002E-3</v>
      </c>
      <c r="P3654">
        <v>0.93192169999999996</v>
      </c>
      <c r="Q3654">
        <v>0.33136320000000002</v>
      </c>
      <c r="R3654">
        <v>0.14737890000000001</v>
      </c>
      <c r="S3654">
        <v>3.2512509999999999</v>
      </c>
      <c r="T3654">
        <v>-0.1494827</v>
      </c>
      <c r="U3654">
        <v>0.14042660000000001</v>
      </c>
      <c r="V3654">
        <v>-0.1430968</v>
      </c>
      <c r="W3654">
        <v>0.3430261</v>
      </c>
      <c r="X3654">
        <v>0.92836220000000003</v>
      </c>
      <c r="Y3654">
        <v>-3.8680199999999998E-2</v>
      </c>
      <c r="Z3654">
        <v>9.8150329999999999E-4</v>
      </c>
      <c r="AA3654">
        <v>0.99925120000000001</v>
      </c>
      <c r="AB3654">
        <v>45</v>
      </c>
      <c r="AC3654">
        <v>23.689699999999998</v>
      </c>
      <c r="AD3654">
        <v>-1.109686889592</v>
      </c>
      <c r="AE3654">
        <v>1.0405</v>
      </c>
      <c r="AF3654">
        <v>-0.93360773190303703</v>
      </c>
      <c r="AG3654">
        <v>-1.109686889592</v>
      </c>
      <c r="AH3654">
        <v>23.642295991313599</v>
      </c>
      <c r="AI3654">
        <v>92.685202020653506</v>
      </c>
      <c r="AJ3654">
        <v>92.261371071761502</v>
      </c>
      <c r="AK3654">
        <v>23.686730211890499</v>
      </c>
      <c r="AL3654">
        <v>69.938651669865806</v>
      </c>
      <c r="AM3654">
        <v>98.7625511643853</v>
      </c>
      <c r="AN3654">
        <v>0.99999998692014402</v>
      </c>
    </row>
    <row r="3655" spans="1:40" x14ac:dyDescent="0.25">
      <c r="A3655" t="str">
        <f>"20190304164201612"</f>
        <v>20190304164201612</v>
      </c>
      <c r="B3655" t="str">
        <f>"1551688921605216"</f>
        <v>1551688921605216</v>
      </c>
      <c r="C3655" t="s">
        <v>40</v>
      </c>
      <c r="D3655">
        <v>3.8711199999999999</v>
      </c>
      <c r="E3655">
        <v>0.54944689999999996</v>
      </c>
      <c r="F3655" t="s">
        <v>46</v>
      </c>
      <c r="G3655">
        <v>-344.95699999999999</v>
      </c>
      <c r="H3655" s="1">
        <v>1.101057E-6</v>
      </c>
      <c r="I3655">
        <v>214.8673</v>
      </c>
      <c r="J3655">
        <v>-368.1943</v>
      </c>
      <c r="K3655">
        <v>1.1096839999999999</v>
      </c>
      <c r="L3655">
        <v>213.85489999999999</v>
      </c>
      <c r="M3655">
        <v>0.99991350000000001</v>
      </c>
      <c r="N3655">
        <v>-1.243791E-2</v>
      </c>
      <c r="O3655">
        <v>4.2714780000000004E-3</v>
      </c>
      <c r="P3655">
        <v>0.93207340000000005</v>
      </c>
      <c r="Q3655">
        <v>0.33080700000000002</v>
      </c>
      <c r="R3655">
        <v>0.14766870000000001</v>
      </c>
      <c r="S3655">
        <v>3.2512819999999998</v>
      </c>
      <c r="T3655">
        <v>-0.15218570000000001</v>
      </c>
      <c r="U3655">
        <v>0.1391144</v>
      </c>
      <c r="V3655">
        <v>-0.1435283</v>
      </c>
      <c r="W3655">
        <v>0.34244819999999998</v>
      </c>
      <c r="X3655">
        <v>0.92850889999999997</v>
      </c>
      <c r="Y3655">
        <v>-3.842947E-2</v>
      </c>
      <c r="Z3655">
        <v>9.9112659999999993E-4</v>
      </c>
      <c r="AA3655">
        <v>0.99926079999999995</v>
      </c>
      <c r="AB3655">
        <v>45</v>
      </c>
      <c r="AC3655">
        <v>23.237300000000001</v>
      </c>
      <c r="AD3655">
        <v>-1.1096828989430001</v>
      </c>
      <c r="AE3655">
        <v>1.01240000000001</v>
      </c>
      <c r="AF3655">
        <v>-0.91105176609429805</v>
      </c>
      <c r="AG3655">
        <v>-1.1096828989430001</v>
      </c>
      <c r="AH3655">
        <v>23.188631709873199</v>
      </c>
      <c r="AI3655">
        <v>92.737668062857594</v>
      </c>
      <c r="AJ3655">
        <v>92.249920918406602</v>
      </c>
      <c r="AK3655">
        <v>23.233037942396798</v>
      </c>
      <c r="AL3655">
        <v>69.973897144688095</v>
      </c>
      <c r="AM3655">
        <v>98.787195337333998</v>
      </c>
      <c r="AN3655">
        <v>0.99999995998166902</v>
      </c>
    </row>
    <row r="3656" spans="1:40" x14ac:dyDescent="0.25">
      <c r="A3656" t="str">
        <f>"20190304164201635"</f>
        <v>20190304164201635</v>
      </c>
      <c r="B3656" t="str">
        <f>"1551688921624736"</f>
        <v>1551688921624736</v>
      </c>
      <c r="C3656" t="s">
        <v>40</v>
      </c>
      <c r="D3656">
        <v>3.8728259999999999</v>
      </c>
      <c r="E3656">
        <v>0.54943790000000003</v>
      </c>
      <c r="F3656" t="s">
        <v>46</v>
      </c>
      <c r="G3656">
        <v>-344.78289999999998</v>
      </c>
      <c r="H3656" s="1">
        <v>1.0084149999999999E-6</v>
      </c>
      <c r="I3656">
        <v>214.85820000000001</v>
      </c>
      <c r="J3656">
        <v>-367.72500000000002</v>
      </c>
      <c r="K3656">
        <v>1.10968</v>
      </c>
      <c r="L3656">
        <v>213.85679999999999</v>
      </c>
      <c r="M3656">
        <v>0.99991450000000004</v>
      </c>
      <c r="N3656">
        <v>-1.2415590000000001E-2</v>
      </c>
      <c r="O3656">
        <v>4.1178359999999997E-3</v>
      </c>
      <c r="P3656">
        <v>0.93222079999999996</v>
      </c>
      <c r="Q3656">
        <v>0.33028069999999998</v>
      </c>
      <c r="R3656">
        <v>0.14791660000000001</v>
      </c>
      <c r="S3656">
        <v>3.2512819999999998</v>
      </c>
      <c r="T3656">
        <v>-0.154108299999999</v>
      </c>
      <c r="U3656">
        <v>0.1393433</v>
      </c>
      <c r="V3656">
        <v>-0.1439182</v>
      </c>
      <c r="W3656">
        <v>0.34190300000000001</v>
      </c>
      <c r="X3656">
        <v>0.92864950000000002</v>
      </c>
      <c r="Y3656">
        <v>-3.8651730000000002E-2</v>
      </c>
      <c r="Z3656">
        <v>1.0114340000000001E-3</v>
      </c>
      <c r="AA3656">
        <v>0.99925229999999998</v>
      </c>
      <c r="AB3656">
        <v>45</v>
      </c>
      <c r="AC3656">
        <v>22.9421</v>
      </c>
      <c r="AD3656">
        <v>-1.1096789915850001</v>
      </c>
      <c r="AE3656">
        <v>1.0014000000000101</v>
      </c>
      <c r="AF3656">
        <v>-0.90479964686260295</v>
      </c>
      <c r="AG3656">
        <v>-1.1096789915850001</v>
      </c>
      <c r="AH3656">
        <v>22.8925733902018</v>
      </c>
      <c r="AI3656">
        <v>92.772982710588707</v>
      </c>
      <c r="AJ3656">
        <v>92.263364250264004</v>
      </c>
      <c r="AK3656">
        <v>22.937305122683899</v>
      </c>
      <c r="AL3656">
        <v>70.007142442690096</v>
      </c>
      <c r="AM3656">
        <v>98.809379002947495</v>
      </c>
      <c r="AN3656">
        <v>1.00000000177524</v>
      </c>
    </row>
    <row r="3657" spans="1:40" x14ac:dyDescent="0.25">
      <c r="A3657" t="str">
        <f>"20190304164201657"</f>
        <v>20190304164201657</v>
      </c>
      <c r="B3657" t="str">
        <f>"1551688921644255"</f>
        <v>1551688921644255</v>
      </c>
      <c r="C3657" t="s">
        <v>40</v>
      </c>
      <c r="D3657">
        <v>3.9514770000000001</v>
      </c>
      <c r="E3657">
        <v>0.54942139999999995</v>
      </c>
      <c r="F3657" t="s">
        <v>46</v>
      </c>
      <c r="G3657">
        <v>-344.59870000000001</v>
      </c>
      <c r="H3657" s="1">
        <v>9.1040369999999997E-7</v>
      </c>
      <c r="I3657">
        <v>214.85380000000001</v>
      </c>
      <c r="J3657">
        <v>-367.27969999999999</v>
      </c>
      <c r="K3657">
        <v>1.109674</v>
      </c>
      <c r="L3657">
        <v>213.85849999999999</v>
      </c>
      <c r="M3657">
        <v>0.99991529999999995</v>
      </c>
      <c r="N3657">
        <v>-1.2396849999999999E-2</v>
      </c>
      <c r="O3657">
        <v>3.9734729999999999E-3</v>
      </c>
      <c r="P3657">
        <v>0.93238430000000005</v>
      </c>
      <c r="Q3657">
        <v>0.32989459999999998</v>
      </c>
      <c r="R3657">
        <v>0.1477474</v>
      </c>
      <c r="S3657">
        <v>3.25116</v>
      </c>
      <c r="T3657">
        <v>-0.15600169999999999</v>
      </c>
      <c r="U3657">
        <v>0.14016719999999999</v>
      </c>
      <c r="V3657">
        <v>-0.14388339999999999</v>
      </c>
      <c r="W3657">
        <v>0.34150150000000001</v>
      </c>
      <c r="X3657">
        <v>0.92880260000000003</v>
      </c>
      <c r="Y3657">
        <v>-3.9048600000000003E-2</v>
      </c>
      <c r="Z3657">
        <v>1.0369660000000001E-3</v>
      </c>
      <c r="AA3657">
        <v>0.99923680000000004</v>
      </c>
      <c r="AB3657">
        <v>45</v>
      </c>
      <c r="AC3657">
        <v>22.680999999999901</v>
      </c>
      <c r="AD3657">
        <v>-1.1096730895963001</v>
      </c>
      <c r="AE3657">
        <v>0.99530000000001395</v>
      </c>
      <c r="AF3657">
        <v>-0.90300552809849799</v>
      </c>
      <c r="AG3657">
        <v>-1.1096730895963001</v>
      </c>
      <c r="AH3657">
        <v>22.6307095092235</v>
      </c>
      <c r="AI3657">
        <v>92.804961549022195</v>
      </c>
      <c r="AJ3657">
        <v>92.284991257184799</v>
      </c>
      <c r="AK3657">
        <v>22.675886007836802</v>
      </c>
      <c r="AL3657">
        <v>70.0316197722304</v>
      </c>
      <c r="AM3657">
        <v>98.805853259430194</v>
      </c>
      <c r="AN3657">
        <v>0.999999988532284</v>
      </c>
    </row>
    <row r="3658" spans="1:40" x14ac:dyDescent="0.25">
      <c r="A3658" t="str">
        <f>"20190304164201677"</f>
        <v>20190304164201677</v>
      </c>
      <c r="B3658" t="str">
        <f>"1551688921664751"</f>
        <v>1551688921664751</v>
      </c>
      <c r="C3658" t="s">
        <v>40</v>
      </c>
      <c r="D3658">
        <v>3.9142749999999999</v>
      </c>
      <c r="E3658">
        <v>0.54944939999999998</v>
      </c>
      <c r="F3658" t="s">
        <v>46</v>
      </c>
      <c r="G3658">
        <v>-344.24290000000002</v>
      </c>
      <c r="H3658" s="1">
        <v>7.2106029999999995E-7</v>
      </c>
      <c r="I3658">
        <v>214.84809999999999</v>
      </c>
      <c r="J3658">
        <v>-366.8623</v>
      </c>
      <c r="K3658">
        <v>1.10968</v>
      </c>
      <c r="L3658">
        <v>213.86</v>
      </c>
      <c r="M3658">
        <v>0.99991609999999997</v>
      </c>
      <c r="N3658">
        <v>-1.238149E-2</v>
      </c>
      <c r="O3658">
        <v>3.8430090000000001E-3</v>
      </c>
      <c r="P3658">
        <v>0.93233169999999999</v>
      </c>
      <c r="Q3658">
        <v>0.33017469999999999</v>
      </c>
      <c r="R3658">
        <v>0.14745329999999901</v>
      </c>
      <c r="S3658">
        <v>3.2508240000000002</v>
      </c>
      <c r="T3658">
        <v>-0.1565908</v>
      </c>
      <c r="U3658">
        <v>0.13964840000000001</v>
      </c>
      <c r="V3658">
        <v>-0.14371229999999999</v>
      </c>
      <c r="W3658">
        <v>0.34176590000000001</v>
      </c>
      <c r="X3658">
        <v>0.92873190000000005</v>
      </c>
      <c r="Y3658">
        <v>-3.9023849999999999E-2</v>
      </c>
      <c r="Z3658">
        <v>1.0434109999999999E-3</v>
      </c>
      <c r="AA3658">
        <v>0.99923770000000001</v>
      </c>
      <c r="AB3658">
        <v>45</v>
      </c>
      <c r="AC3658">
        <v>22.619399999999899</v>
      </c>
      <c r="AD3658">
        <v>-1.1096792789397001</v>
      </c>
      <c r="AE3658">
        <v>0.988099999999974</v>
      </c>
      <c r="AF3658">
        <v>-0.89899993679088597</v>
      </c>
      <c r="AG3658">
        <v>-1.1096792789397001</v>
      </c>
      <c r="AH3658">
        <v>22.568816242214801</v>
      </c>
      <c r="AI3658">
        <v>92.8126648777328</v>
      </c>
      <c r="AJ3658">
        <v>92.2810981321242</v>
      </c>
      <c r="AK3658">
        <v>22.613957096521499</v>
      </c>
      <c r="AL3658">
        <v>70.015502205939896</v>
      </c>
      <c r="AM3658">
        <v>98.796204641447204</v>
      </c>
      <c r="AN3658">
        <v>1.00000004882585</v>
      </c>
    </row>
    <row r="3659" spans="1:40" x14ac:dyDescent="0.25">
      <c r="A3659" t="str">
        <f>"20190304164201701"</f>
        <v>20190304164201701</v>
      </c>
      <c r="B3659" t="str">
        <f>"1551688921694538"</f>
        <v>1551688921694538</v>
      </c>
      <c r="C3659" t="s">
        <v>40</v>
      </c>
      <c r="D3659">
        <v>3.9016350000000002</v>
      </c>
      <c r="E3659">
        <v>0.55634430000000001</v>
      </c>
      <c r="F3659" t="s">
        <v>46</v>
      </c>
      <c r="G3659">
        <v>-343.69529999999997</v>
      </c>
      <c r="H3659" s="1">
        <v>4.296316E-7</v>
      </c>
      <c r="I3659">
        <v>214.84450000000001</v>
      </c>
      <c r="J3659">
        <v>-366.4051</v>
      </c>
      <c r="K3659">
        <v>1.1096900000000001</v>
      </c>
      <c r="L3659">
        <v>213.86160000000001</v>
      </c>
      <c r="M3659">
        <v>0.99991669999999999</v>
      </c>
      <c r="N3659">
        <v>-1.236691E-2</v>
      </c>
      <c r="O3659">
        <v>3.7106309999999998E-3</v>
      </c>
      <c r="P3659">
        <v>0.93247570000000002</v>
      </c>
      <c r="Q3659">
        <v>0.3300381</v>
      </c>
      <c r="R3659">
        <v>0.14684700000000001</v>
      </c>
      <c r="S3659">
        <v>3.2510379999999999</v>
      </c>
      <c r="T3659">
        <v>-0.15572139999999901</v>
      </c>
      <c r="U3659">
        <v>0.1381531</v>
      </c>
      <c r="V3659">
        <v>-0.14323359999999999</v>
      </c>
      <c r="W3659">
        <v>0.34161530000000001</v>
      </c>
      <c r="X3659">
        <v>0.92886120000000005</v>
      </c>
      <c r="Y3659">
        <v>-3.8695479999999997E-2</v>
      </c>
      <c r="Z3659">
        <v>1.0336519999999999E-3</v>
      </c>
      <c r="AA3659">
        <v>0.99925050000000004</v>
      </c>
      <c r="AB3659">
        <v>45</v>
      </c>
      <c r="AC3659">
        <v>22.709800000000001</v>
      </c>
      <c r="AD3659">
        <v>-1.1096895703684</v>
      </c>
      <c r="AE3659">
        <v>0.9829</v>
      </c>
      <c r="AF3659">
        <v>-0.896482591891266</v>
      </c>
      <c r="AG3659">
        <v>-1.1096895703684</v>
      </c>
      <c r="AH3659">
        <v>22.659289084018098</v>
      </c>
      <c r="AI3659">
        <v>92.801508429006603</v>
      </c>
      <c r="AJ3659">
        <v>92.265644517699499</v>
      </c>
      <c r="AK3659">
        <v>22.704151025159501</v>
      </c>
      <c r="AL3659">
        <v>70.024682600161498</v>
      </c>
      <c r="AM3659">
        <v>98.766159321615405</v>
      </c>
      <c r="AN3659">
        <v>1.00000000311424</v>
      </c>
    </row>
    <row r="3660" spans="1:40" x14ac:dyDescent="0.25">
      <c r="A3660" t="str">
        <f>"20190304164201723"</f>
        <v>20190304164201723</v>
      </c>
      <c r="B3660" t="str">
        <f>"1551688921715034"</f>
        <v>1551688921715034</v>
      </c>
      <c r="C3660" t="s">
        <v>40</v>
      </c>
      <c r="D3660">
        <v>3.8122389999999999</v>
      </c>
      <c r="E3660">
        <v>0.55212069999999902</v>
      </c>
      <c r="F3660" t="s">
        <v>41</v>
      </c>
      <c r="G3660">
        <v>-365.7045</v>
      </c>
      <c r="H3660">
        <v>0.93005599999999999</v>
      </c>
      <c r="I3660">
        <v>213.88919999999999</v>
      </c>
      <c r="J3660">
        <v>-365.95499999999998</v>
      </c>
      <c r="K3660">
        <v>1.109702</v>
      </c>
      <c r="L3660">
        <v>213.86320000000001</v>
      </c>
      <c r="M3660">
        <v>0.99991730000000001</v>
      </c>
      <c r="N3660">
        <v>-1.235434E-2</v>
      </c>
      <c r="O3660">
        <v>3.5972819999999998E-3</v>
      </c>
      <c r="P3660">
        <v>0.93254970000000004</v>
      </c>
      <c r="Q3660">
        <v>0.32995790000000003</v>
      </c>
      <c r="R3660">
        <v>0.14655739999999901</v>
      </c>
      <c r="S3660">
        <v>3.5142820000000001</v>
      </c>
      <c r="T3660">
        <v>-0.90107539999999997</v>
      </c>
      <c r="U3660">
        <v>0.13917539999999901</v>
      </c>
      <c r="V3660">
        <v>-0.14305850000000001</v>
      </c>
      <c r="W3660">
        <v>0.3415202</v>
      </c>
      <c r="X3660">
        <v>0.9289231</v>
      </c>
      <c r="Y3660">
        <v>-3.4898730000000003E-2</v>
      </c>
      <c r="Z3660">
        <v>3.7569270000000002E-3</v>
      </c>
      <c r="AA3660">
        <v>0.99938380000000004</v>
      </c>
      <c r="AB3660">
        <v>45</v>
      </c>
      <c r="AC3660">
        <v>0.25049999999998801</v>
      </c>
      <c r="AD3660">
        <v>-0.179645999999999</v>
      </c>
      <c r="AE3660">
        <v>2.5999999999981999E-2</v>
      </c>
      <c r="AF3660">
        <v>-1.6634593248641999E-2</v>
      </c>
      <c r="AG3660">
        <v>-0.179645999999999</v>
      </c>
      <c r="AH3660">
        <v>0.166084454575426</v>
      </c>
      <c r="AI3660">
        <v>137.10375692138001</v>
      </c>
      <c r="AJ3660">
        <v>95.719524146098294</v>
      </c>
      <c r="AK3660">
        <v>0.24522120842244499</v>
      </c>
      <c r="AL3660">
        <v>70.030479075909199</v>
      </c>
      <c r="AM3660">
        <v>98.755034635077095</v>
      </c>
      <c r="AN3660">
        <v>0.99999995357194804</v>
      </c>
    </row>
    <row r="3661" spans="1:40" x14ac:dyDescent="0.25">
      <c r="A3661" t="str">
        <f>"20190304164201744"</f>
        <v>20190304164201744</v>
      </c>
      <c r="B3661" t="str">
        <f>"1551688921734553"</f>
        <v>1551688921734553</v>
      </c>
      <c r="C3661" t="s">
        <v>40</v>
      </c>
      <c r="D3661">
        <v>4.4719620000000004</v>
      </c>
      <c r="E3661">
        <v>0.54875109999999905</v>
      </c>
      <c r="F3661" t="s">
        <v>41</v>
      </c>
      <c r="G3661">
        <v>-364.94940000000003</v>
      </c>
      <c r="H3661">
        <v>0.81900759999999995</v>
      </c>
      <c r="I3661">
        <v>213.91419999999999</v>
      </c>
      <c r="J3661">
        <v>-365.53660000000002</v>
      </c>
      <c r="K3661">
        <v>1.109723</v>
      </c>
      <c r="L3661">
        <v>213.8647</v>
      </c>
      <c r="M3661">
        <v>0.99991770000000002</v>
      </c>
      <c r="N3661">
        <v>-1.234129E-2</v>
      </c>
      <c r="O3661">
        <v>3.513464E-3</v>
      </c>
      <c r="P3661">
        <v>0.93249599999999999</v>
      </c>
      <c r="Q3661">
        <v>0.33007639999999999</v>
      </c>
      <c r="R3661">
        <v>0.14663180000000001</v>
      </c>
      <c r="S3661">
        <v>3.551758</v>
      </c>
      <c r="T3661">
        <v>-1.026769</v>
      </c>
      <c r="U3661">
        <v>0.18162539999999999</v>
      </c>
      <c r="V3661">
        <v>-0.1432253</v>
      </c>
      <c r="W3661">
        <v>0.34162019999999998</v>
      </c>
      <c r="X3661">
        <v>0.92886069999999998</v>
      </c>
      <c r="Y3661">
        <v>-4.5740719999999999E-2</v>
      </c>
      <c r="Z3661">
        <v>5.8110729999999999E-3</v>
      </c>
      <c r="AA3661">
        <v>0.99893639999999995</v>
      </c>
      <c r="AB3661">
        <v>45</v>
      </c>
      <c r="AC3661">
        <v>0.58719999999999495</v>
      </c>
      <c r="AD3661">
        <v>-0.29071540000000001</v>
      </c>
      <c r="AE3661">
        <v>4.9499999999994701E-2</v>
      </c>
      <c r="AF3661">
        <v>-3.8151128074817499E-2</v>
      </c>
      <c r="AG3661">
        <v>-0.29071540000000001</v>
      </c>
      <c r="AH3661">
        <v>0.47239725068132898</v>
      </c>
      <c r="AI3661">
        <v>121.52525892837799</v>
      </c>
      <c r="AJ3661">
        <v>94.617225812557393</v>
      </c>
      <c r="AK3661">
        <v>0.55599470754838998</v>
      </c>
      <c r="AL3661">
        <v>70.024384310444205</v>
      </c>
      <c r="AM3661">
        <v>98.765663881178796</v>
      </c>
      <c r="AN3661">
        <v>1.0000000238063</v>
      </c>
    </row>
    <row r="3662" spans="1:40" x14ac:dyDescent="0.25">
      <c r="A3662" t="str">
        <f>"20190304164201766"</f>
        <v>20190304164201766</v>
      </c>
      <c r="B3662" t="str">
        <f>"1551688921755050"</f>
        <v>1551688921755050</v>
      </c>
      <c r="C3662" t="s">
        <v>40</v>
      </c>
      <c r="D3662">
        <v>3.9571190000000001</v>
      </c>
      <c r="E3662">
        <v>0.54709269999999999</v>
      </c>
      <c r="F3662" t="s">
        <v>41</v>
      </c>
      <c r="G3662">
        <v>-364.55360000000002</v>
      </c>
      <c r="H3662">
        <v>0.80548050000000004</v>
      </c>
      <c r="I3662">
        <v>213.92349999999999</v>
      </c>
      <c r="J3662">
        <v>-365.0829</v>
      </c>
      <c r="K3662">
        <v>1.109742</v>
      </c>
      <c r="L3662">
        <v>213.86619999999999</v>
      </c>
      <c r="M3662">
        <v>0.99991819999999998</v>
      </c>
      <c r="N3662">
        <v>-1.232544E-2</v>
      </c>
      <c r="O3662">
        <v>3.4447499999999999E-3</v>
      </c>
      <c r="P3662">
        <v>0.93257999999999996</v>
      </c>
      <c r="Q3662">
        <v>0.32986500000000002</v>
      </c>
      <c r="R3662">
        <v>0.14657319999999999</v>
      </c>
      <c r="S3662">
        <v>3.5751040000000001</v>
      </c>
      <c r="T3662">
        <v>-1.1064499999999999</v>
      </c>
      <c r="U3662">
        <v>0.21450810000000001</v>
      </c>
      <c r="V3662">
        <v>-0.14324790000000001</v>
      </c>
      <c r="W3662">
        <v>0.34138760000000001</v>
      </c>
      <c r="X3662">
        <v>0.92894270000000001</v>
      </c>
      <c r="Y3662">
        <v>-5.3979350000000002E-2</v>
      </c>
      <c r="Z3662">
        <v>7.4966769999999898E-3</v>
      </c>
      <c r="AA3662">
        <v>0.99851389999999995</v>
      </c>
      <c r="AB3662">
        <v>45</v>
      </c>
      <c r="AC3662">
        <v>0.52929999999997701</v>
      </c>
      <c r="AD3662">
        <v>-0.30426150000000002</v>
      </c>
      <c r="AE3662">
        <v>5.7299999999997901E-2</v>
      </c>
      <c r="AF3662">
        <v>-4.1818013371399003E-2</v>
      </c>
      <c r="AG3662">
        <v>-0.30426150000000002</v>
      </c>
      <c r="AH3662">
        <v>0.39913317420848898</v>
      </c>
      <c r="AI3662">
        <v>127.167798498038</v>
      </c>
      <c r="AJ3662">
        <v>95.981176266157604</v>
      </c>
      <c r="AK3662">
        <v>0.50361800740077201</v>
      </c>
      <c r="AL3662">
        <v>70.038563216583597</v>
      </c>
      <c r="AM3662">
        <v>98.766263692754293</v>
      </c>
      <c r="AN3662">
        <v>0.99999999708572995</v>
      </c>
    </row>
    <row r="3663" spans="1:40" x14ac:dyDescent="0.25">
      <c r="A3663" t="str">
        <f>"20190304164201791"</f>
        <v>20190304164201791</v>
      </c>
      <c r="B3663" t="str">
        <f>"1551688921784330"</f>
        <v>1551688921784330</v>
      </c>
      <c r="C3663" t="s">
        <v>40</v>
      </c>
      <c r="D3663">
        <v>3.8881260000000002</v>
      </c>
      <c r="E3663">
        <v>0.54618180000000005</v>
      </c>
      <c r="F3663" t="s">
        <v>41</v>
      </c>
      <c r="G3663">
        <v>-364.14980000000003</v>
      </c>
      <c r="H3663">
        <v>0.8112298</v>
      </c>
      <c r="I3663">
        <v>213.92619999999999</v>
      </c>
      <c r="J3663">
        <v>-364.61110000000002</v>
      </c>
      <c r="K3663">
        <v>1.109745</v>
      </c>
      <c r="L3663">
        <v>213.86779999999999</v>
      </c>
      <c r="M3663">
        <v>0.99991850000000004</v>
      </c>
      <c r="N3663">
        <v>-1.2308970000000001E-2</v>
      </c>
      <c r="O3663">
        <v>3.394528E-3</v>
      </c>
      <c r="P3663">
        <v>0.93271210000000004</v>
      </c>
      <c r="Q3663">
        <v>0.32973839999999999</v>
      </c>
      <c r="R3663">
        <v>0.146015899999999</v>
      </c>
      <c r="S3663">
        <v>3.586395</v>
      </c>
      <c r="T3663">
        <v>-1.1473439999999999</v>
      </c>
      <c r="U3663">
        <v>0.23097229999999999</v>
      </c>
      <c r="V3663">
        <v>-0.14275560000000001</v>
      </c>
      <c r="W3663">
        <v>0.34123930000000002</v>
      </c>
      <c r="X3663">
        <v>0.92907300000000004</v>
      </c>
      <c r="Y3663">
        <v>-5.8034450000000001E-2</v>
      </c>
      <c r="Z3663">
        <v>8.3971359999999995E-3</v>
      </c>
      <c r="AA3663">
        <v>0.99827929999999998</v>
      </c>
      <c r="AB3663">
        <v>45</v>
      </c>
      <c r="AC3663">
        <v>0.46129999999999399</v>
      </c>
      <c r="AD3663">
        <v>-0.29851519999999898</v>
      </c>
      <c r="AE3663">
        <v>5.8400000000005899E-2</v>
      </c>
      <c r="AF3663">
        <v>-4.0246040004701597E-2</v>
      </c>
      <c r="AG3663">
        <v>-0.29851519999999898</v>
      </c>
      <c r="AH3663">
        <v>0.32680235322587198</v>
      </c>
      <c r="AI3663">
        <v>132.19525450104001</v>
      </c>
      <c r="AJ3663">
        <v>97.020683256936906</v>
      </c>
      <c r="AK3663">
        <v>0.44444442446842303</v>
      </c>
      <c r="AL3663">
        <v>70.047603715526506</v>
      </c>
      <c r="AM3663">
        <v>98.735395895272504</v>
      </c>
      <c r="AN3663">
        <v>1.0000000302624199</v>
      </c>
    </row>
    <row r="3664" spans="1:40" x14ac:dyDescent="0.25">
      <c r="A3664" t="str">
        <f>"20190304164201814"</f>
        <v>20190304164201814</v>
      </c>
      <c r="B3664" t="str">
        <f>"1551688921804826"</f>
        <v>1551688921804826</v>
      </c>
      <c r="C3664" t="s">
        <v>40</v>
      </c>
      <c r="D3664">
        <v>3.9235139999999999</v>
      </c>
      <c r="E3664">
        <v>0.54675010000000002</v>
      </c>
      <c r="F3664" t="s">
        <v>41</v>
      </c>
      <c r="G3664">
        <v>-363.74209999999999</v>
      </c>
      <c r="H3664">
        <v>0.82628809999999997</v>
      </c>
      <c r="I3664">
        <v>213.9256</v>
      </c>
      <c r="J3664">
        <v>-364.13529999999997</v>
      </c>
      <c r="K3664">
        <v>1.109764</v>
      </c>
      <c r="L3664">
        <v>213.86940000000001</v>
      </c>
      <c r="M3664">
        <v>0.9999188</v>
      </c>
      <c r="N3664">
        <v>-1.229367E-2</v>
      </c>
      <c r="O3664">
        <v>3.361597E-3</v>
      </c>
      <c r="P3664">
        <v>0.93311670000000002</v>
      </c>
      <c r="Q3664">
        <v>0.3290399</v>
      </c>
      <c r="R3664">
        <v>0.1450041</v>
      </c>
      <c r="S3664">
        <v>3.5933229999999998</v>
      </c>
      <c r="T3664">
        <v>-1.1721440000000001</v>
      </c>
      <c r="U3664">
        <v>0.23951720000000001</v>
      </c>
      <c r="V3664">
        <v>-0.1417889</v>
      </c>
      <c r="W3664">
        <v>0.34052470000000001</v>
      </c>
      <c r="X3664">
        <v>0.92948310000000001</v>
      </c>
      <c r="Y3664">
        <v>-6.0088549999999998E-2</v>
      </c>
      <c r="Z3664">
        <v>8.8949649999999995E-3</v>
      </c>
      <c r="AA3664">
        <v>0.99815339999999997</v>
      </c>
      <c r="AB3664">
        <v>45</v>
      </c>
      <c r="AC3664">
        <v>0.39319999999997801</v>
      </c>
      <c r="AD3664">
        <v>-0.2834759</v>
      </c>
      <c r="AE3664">
        <v>5.61999999999898E-2</v>
      </c>
      <c r="AF3664">
        <v>-3.6358391671277898E-2</v>
      </c>
      <c r="AG3664">
        <v>-0.2834759</v>
      </c>
      <c r="AH3664">
        <v>0.26063194130497602</v>
      </c>
      <c r="AI3664">
        <v>137.12889944896699</v>
      </c>
      <c r="AJ3664">
        <v>97.941562142652202</v>
      </c>
      <c r="AK3664">
        <v>0.38679390811404002</v>
      </c>
      <c r="AL3664">
        <v>70.091155120484004</v>
      </c>
      <c r="AM3664">
        <v>98.673375395225506</v>
      </c>
      <c r="AN3664">
        <v>0.99999999832945496</v>
      </c>
    </row>
    <row r="3665" spans="1:40" x14ac:dyDescent="0.25">
      <c r="A3665" t="str">
        <f>"20190304164201837"</f>
        <v>20190304164201837</v>
      </c>
      <c r="B3665" t="str">
        <f>"1551688921824346"</f>
        <v>1551688921824346</v>
      </c>
      <c r="C3665" t="s">
        <v>40</v>
      </c>
      <c r="D3665">
        <v>3.9055430000000002</v>
      </c>
      <c r="E3665">
        <v>0.54654399999999903</v>
      </c>
      <c r="F3665" t="s">
        <v>41</v>
      </c>
      <c r="G3665">
        <v>-363.33139999999997</v>
      </c>
      <c r="H3665">
        <v>0.84866049999999904</v>
      </c>
      <c r="I3665">
        <v>213.9213</v>
      </c>
      <c r="J3665">
        <v>-363.69970000000001</v>
      </c>
      <c r="K3665">
        <v>1.1097790000000001</v>
      </c>
      <c r="L3665">
        <v>213.8708</v>
      </c>
      <c r="M3665">
        <v>0.999919</v>
      </c>
      <c r="N3665">
        <v>-1.2281169999999999E-2</v>
      </c>
      <c r="O3665">
        <v>3.3506629999999998E-3</v>
      </c>
      <c r="P3665">
        <v>0.93349110000000002</v>
      </c>
      <c r="Q3665">
        <v>0.32848880000000003</v>
      </c>
      <c r="R3665">
        <v>0.14383959999999901</v>
      </c>
      <c r="S3665">
        <v>3.5900569999999998</v>
      </c>
      <c r="T3665">
        <v>-1.166002</v>
      </c>
      <c r="U3665">
        <v>0.23265079999999999</v>
      </c>
      <c r="V3665">
        <v>-0.14064740000000001</v>
      </c>
      <c r="W3665">
        <v>0.3399607</v>
      </c>
      <c r="X3665">
        <v>0.92986290000000005</v>
      </c>
      <c r="Y3665">
        <v>-5.8374530000000001E-2</v>
      </c>
      <c r="Z3665">
        <v>8.5813929999999997E-3</v>
      </c>
      <c r="AA3665">
        <v>0.99825790000000003</v>
      </c>
      <c r="AB3665">
        <v>45</v>
      </c>
      <c r="AC3665">
        <v>0.36830000000003299</v>
      </c>
      <c r="AD3665">
        <v>-0.26111849999999998</v>
      </c>
      <c r="AE3665">
        <v>5.0499999999999497E-2</v>
      </c>
      <c r="AF3665">
        <v>-3.2989284551778499E-2</v>
      </c>
      <c r="AG3665">
        <v>-0.26111849999999998</v>
      </c>
      <c r="AH3665">
        <v>0.246733504230114</v>
      </c>
      <c r="AI3665">
        <v>136.369021475116</v>
      </c>
      <c r="AJ3665">
        <v>97.615515438196496</v>
      </c>
      <c r="AK3665">
        <v>0.360761120476084</v>
      </c>
      <c r="AL3665">
        <v>70.125520087452003</v>
      </c>
      <c r="AM3665">
        <v>98.601136004882406</v>
      </c>
      <c r="AN3665">
        <v>0.99999999073382995</v>
      </c>
    </row>
    <row r="3666" spans="1:40" x14ac:dyDescent="0.25">
      <c r="A3666" t="str">
        <f>"20190304164201857"</f>
        <v>20190304164201857</v>
      </c>
      <c r="B3666" t="str">
        <f>"1551688921844842"</f>
        <v>1551688921844842</v>
      </c>
      <c r="C3666" t="s">
        <v>40</v>
      </c>
      <c r="D3666">
        <v>3.8986740000000002</v>
      </c>
      <c r="E3666">
        <v>0.54660140000000002</v>
      </c>
      <c r="F3666" t="s">
        <v>41</v>
      </c>
      <c r="G3666">
        <v>-362.92649999999998</v>
      </c>
      <c r="H3666">
        <v>0.857062199999999</v>
      </c>
      <c r="I3666">
        <v>213.92</v>
      </c>
      <c r="J3666">
        <v>-363.26560000000001</v>
      </c>
      <c r="K3666">
        <v>1.1097919999999999</v>
      </c>
      <c r="L3666">
        <v>213.8723</v>
      </c>
      <c r="M3666">
        <v>0.99991909999999895</v>
      </c>
      <c r="N3666">
        <v>-1.2270110000000001E-2</v>
      </c>
      <c r="O3666">
        <v>3.3676819999999999E-3</v>
      </c>
      <c r="P3666">
        <v>0.93395229999999996</v>
      </c>
      <c r="Q3666">
        <v>0.32760420000000001</v>
      </c>
      <c r="R3666">
        <v>0.1428584</v>
      </c>
      <c r="S3666">
        <v>3.5914000000000001</v>
      </c>
      <c r="T3666">
        <v>-1.173878</v>
      </c>
      <c r="U3666">
        <v>0.22970579999999999</v>
      </c>
      <c r="V3666">
        <v>-0.13966629999999899</v>
      </c>
      <c r="W3666">
        <v>0.33906399999999998</v>
      </c>
      <c r="X3666">
        <v>0.93033809999999995</v>
      </c>
      <c r="Y3666">
        <v>-5.7528559999999999E-2</v>
      </c>
      <c r="Z3666">
        <v>8.4857159999999904E-3</v>
      </c>
      <c r="AA3666">
        <v>0.99830779999999997</v>
      </c>
      <c r="AB3666">
        <v>45</v>
      </c>
      <c r="AC3666">
        <v>0.33910000000002999</v>
      </c>
      <c r="AD3666">
        <v>-0.2527298</v>
      </c>
      <c r="AE3666">
        <v>4.7699999999991798E-2</v>
      </c>
      <c r="AF3666">
        <v>-3.0140495448543199E-2</v>
      </c>
      <c r="AG3666">
        <v>-0.2527298</v>
      </c>
      <c r="AH3666">
        <v>0.21962928459622799</v>
      </c>
      <c r="AI3666">
        <v>138.74363228184001</v>
      </c>
      <c r="AJ3666">
        <v>97.814089980532998</v>
      </c>
      <c r="AK3666">
        <v>0.33618123672533401</v>
      </c>
      <c r="AL3666">
        <v>70.1801423755672</v>
      </c>
      <c r="AM3666">
        <v>98.537727258081105</v>
      </c>
      <c r="AN3666">
        <v>1.0000000258816399</v>
      </c>
    </row>
    <row r="3667" spans="1:40" x14ac:dyDescent="0.25">
      <c r="A3667" t="str">
        <f>"20190304164201879"</f>
        <v>20190304164201879</v>
      </c>
      <c r="B3667" t="str">
        <f>"1551688921864362"</f>
        <v>1551688921864362</v>
      </c>
      <c r="C3667" t="s">
        <v>40</v>
      </c>
      <c r="D3667">
        <v>3.9866090000000001</v>
      </c>
      <c r="E3667">
        <v>0.54637999999999998</v>
      </c>
      <c r="F3667" t="s">
        <v>41</v>
      </c>
      <c r="G3667">
        <v>-362.5215</v>
      </c>
      <c r="H3667">
        <v>0.86576719999999896</v>
      </c>
      <c r="I3667">
        <v>213.9186</v>
      </c>
      <c r="J3667">
        <v>-362.8331</v>
      </c>
      <c r="K3667">
        <v>1.1098129999999999</v>
      </c>
      <c r="L3667">
        <v>213.87379999999999</v>
      </c>
      <c r="M3667">
        <v>0.99991909999999895</v>
      </c>
      <c r="N3667">
        <v>-1.226033E-2</v>
      </c>
      <c r="O3667">
        <v>3.4183540000000002E-3</v>
      </c>
      <c r="P3667">
        <v>0.93430159999999995</v>
      </c>
      <c r="Q3667">
        <v>0.3270593</v>
      </c>
      <c r="R3667">
        <v>0.14182110000000001</v>
      </c>
      <c r="S3667">
        <v>3.5907900000000001</v>
      </c>
      <c r="T3667">
        <v>-1.1775409999999999</v>
      </c>
      <c r="U3667">
        <v>0.2250519</v>
      </c>
      <c r="V3667">
        <v>-0.1386037</v>
      </c>
      <c r="W3667">
        <v>0.33850459999999999</v>
      </c>
      <c r="X3667">
        <v>0.93070059999999999</v>
      </c>
      <c r="Y3667">
        <v>-5.6252990000000003E-2</v>
      </c>
      <c r="Z3667">
        <v>8.2837919999999999E-3</v>
      </c>
      <c r="AA3667">
        <v>0.9983822</v>
      </c>
      <c r="AB3667">
        <v>45</v>
      </c>
      <c r="AC3667">
        <v>0.31159999999999799</v>
      </c>
      <c r="AD3667">
        <v>-0.24404580000000001</v>
      </c>
      <c r="AE3667">
        <v>4.4800000000009201E-2</v>
      </c>
      <c r="AF3667">
        <v>-2.73172831139975E-2</v>
      </c>
      <c r="AG3667">
        <v>-0.24404580000000001</v>
      </c>
      <c r="AH3667">
        <v>0.194724978856853</v>
      </c>
      <c r="AI3667">
        <v>141.14102827131299</v>
      </c>
      <c r="AJ3667">
        <v>97.985708687935599</v>
      </c>
      <c r="AK3667">
        <v>0.313404537052628</v>
      </c>
      <c r="AL3667">
        <v>70.214207165772294</v>
      </c>
      <c r="AM3667">
        <v>98.470465102516798</v>
      </c>
      <c r="AN3667">
        <v>0.99999997835760401</v>
      </c>
    </row>
    <row r="3668" spans="1:40" x14ac:dyDescent="0.25">
      <c r="A3668" t="str">
        <f>"20190304164201902"</f>
        <v>20190304164201902</v>
      </c>
      <c r="B3668" t="str">
        <f>"1551688921894618"</f>
        <v>1551688921894618</v>
      </c>
      <c r="C3668" t="s">
        <v>40</v>
      </c>
      <c r="D3668">
        <v>4.00983</v>
      </c>
      <c r="E3668">
        <v>0.54666919999999897</v>
      </c>
      <c r="F3668" t="s">
        <v>41</v>
      </c>
      <c r="G3668">
        <v>-362.11680000000001</v>
      </c>
      <c r="H3668">
        <v>0.87353159999999896</v>
      </c>
      <c r="I3668">
        <v>213.9179</v>
      </c>
      <c r="J3668">
        <v>-362.3716</v>
      </c>
      <c r="K3668">
        <v>1.109839</v>
      </c>
      <c r="L3668">
        <v>213.87540000000001</v>
      </c>
      <c r="M3668">
        <v>0.99991890000000005</v>
      </c>
      <c r="N3668">
        <v>-1.225124E-2</v>
      </c>
      <c r="O3668">
        <v>3.5060870000000002E-3</v>
      </c>
      <c r="P3668">
        <v>0.93463470000000004</v>
      </c>
      <c r="Q3668">
        <v>0.32620339999999998</v>
      </c>
      <c r="R3668">
        <v>0.14159649999999999</v>
      </c>
      <c r="S3668">
        <v>3.5920719999999999</v>
      </c>
      <c r="T3668">
        <v>-1.184855</v>
      </c>
      <c r="U3668">
        <v>0.2218475</v>
      </c>
      <c r="V3668">
        <v>-0.13832529999999901</v>
      </c>
      <c r="W3668">
        <v>0.33763259999999901</v>
      </c>
      <c r="X3668">
        <v>0.93105870000000002</v>
      </c>
      <c r="Y3668">
        <v>-5.5281129999999998E-2</v>
      </c>
      <c r="Z3668">
        <v>8.1383940000000002E-3</v>
      </c>
      <c r="AA3668">
        <v>0.99843760000000004</v>
      </c>
      <c r="AB3668">
        <v>45</v>
      </c>
      <c r="AC3668">
        <v>0.25479999999998798</v>
      </c>
      <c r="AD3668">
        <v>-0.2363074</v>
      </c>
      <c r="AE3668">
        <v>4.2499999999989699E-2</v>
      </c>
      <c r="AF3668">
        <v>-2.2651133522398E-2</v>
      </c>
      <c r="AG3668">
        <v>-0.2363074</v>
      </c>
      <c r="AH3668">
        <v>0.138797391817328</v>
      </c>
      <c r="AI3668">
        <v>149.24187039613901</v>
      </c>
      <c r="AJ3668">
        <v>99.268715537394499</v>
      </c>
      <c r="AK3668">
        <v>0.27498904909087202</v>
      </c>
      <c r="AL3668">
        <v>70.267294887109202</v>
      </c>
      <c r="AM3668">
        <v>98.450492908933896</v>
      </c>
      <c r="AN3668">
        <v>0.99999998202426899</v>
      </c>
    </row>
    <row r="3669" spans="1:40" x14ac:dyDescent="0.25">
      <c r="A3669" t="str">
        <f>"20190304164201924"</f>
        <v>20190304164201924</v>
      </c>
      <c r="B3669" t="str">
        <f>"1551688921915114"</f>
        <v>1551688921915114</v>
      </c>
      <c r="C3669" t="s">
        <v>40</v>
      </c>
      <c r="D3669">
        <v>4.0407019999999996</v>
      </c>
      <c r="E3669">
        <v>0.54648450000000004</v>
      </c>
      <c r="F3669" t="s">
        <v>41</v>
      </c>
      <c r="G3669">
        <v>-361.7079</v>
      </c>
      <c r="H3669">
        <v>0.89117299999999999</v>
      </c>
      <c r="I3669">
        <v>213.9151</v>
      </c>
      <c r="J3669">
        <v>-361.92910000000001</v>
      </c>
      <c r="K3669">
        <v>1.1098760000000001</v>
      </c>
      <c r="L3669">
        <v>213.87710000000001</v>
      </c>
      <c r="M3669">
        <v>0.99991859999999999</v>
      </c>
      <c r="N3669">
        <v>-1.2243499999999999E-2</v>
      </c>
      <c r="O3669">
        <v>3.6197780000000001E-3</v>
      </c>
      <c r="P3669">
        <v>0.93471349999999997</v>
      </c>
      <c r="Q3669">
        <v>0.32582820000000001</v>
      </c>
      <c r="R3669">
        <v>0.1419396</v>
      </c>
      <c r="S3669">
        <v>3.5899049999999999</v>
      </c>
      <c r="T3669">
        <v>-1.1828449999999999</v>
      </c>
      <c r="U3669">
        <v>0.21647640000000001</v>
      </c>
      <c r="V3669">
        <v>-0.13859070000000001</v>
      </c>
      <c r="W3669">
        <v>0.33723940000000002</v>
      </c>
      <c r="X3669">
        <v>0.93116180000000004</v>
      </c>
      <c r="Y3669">
        <v>-5.380832E-2</v>
      </c>
      <c r="Z3669">
        <v>7.8498249999999995E-3</v>
      </c>
      <c r="AA3669">
        <v>0.99852039999999997</v>
      </c>
      <c r="AB3669">
        <v>45</v>
      </c>
      <c r="AC3669">
        <v>0.22120000000001</v>
      </c>
      <c r="AD3669">
        <v>-0.21870300000000001</v>
      </c>
      <c r="AE3669">
        <v>3.7999999999982402E-2</v>
      </c>
      <c r="AF3669">
        <v>-1.90810248497594E-2</v>
      </c>
      <c r="AG3669">
        <v>-0.21870300000000001</v>
      </c>
      <c r="AH3669">
        <v>0.1135331674467</v>
      </c>
      <c r="AI3669">
        <v>152.23764532322201</v>
      </c>
      <c r="AJ3669">
        <v>99.540293577472099</v>
      </c>
      <c r="AK3669">
        <v>0.24715353088474701</v>
      </c>
      <c r="AL3669">
        <v>70.291228579924706</v>
      </c>
      <c r="AM3669">
        <v>98.465547967654899</v>
      </c>
      <c r="AN3669">
        <v>1.0000000464090399</v>
      </c>
    </row>
    <row r="3670" spans="1:40" x14ac:dyDescent="0.25">
      <c r="A3670" t="str">
        <f>"20190304164201945"</f>
        <v>20190304164201945</v>
      </c>
      <c r="B3670" t="str">
        <f>"1551688921934634"</f>
        <v>1551688921934634</v>
      </c>
      <c r="C3670" t="s">
        <v>40</v>
      </c>
      <c r="D3670">
        <v>3.9169830000000001</v>
      </c>
      <c r="E3670">
        <v>0.54641300000000004</v>
      </c>
      <c r="F3670" t="s">
        <v>41</v>
      </c>
      <c r="G3670">
        <v>-360.94830000000002</v>
      </c>
      <c r="H3670">
        <v>0.78529380000000004</v>
      </c>
      <c r="I3670">
        <v>213.9365</v>
      </c>
      <c r="J3670">
        <v>-361.49889999999999</v>
      </c>
      <c r="K3670">
        <v>1.1099000000000001</v>
      </c>
      <c r="L3670">
        <v>213.87870000000001</v>
      </c>
      <c r="M3670">
        <v>0.99991819999999998</v>
      </c>
      <c r="N3670">
        <v>-1.223374E-2</v>
      </c>
      <c r="O3670">
        <v>3.7497950000000002E-3</v>
      </c>
      <c r="P3670">
        <v>0.9346662</v>
      </c>
      <c r="Q3670">
        <v>0.32556849999999998</v>
      </c>
      <c r="R3670">
        <v>0.1428439</v>
      </c>
      <c r="S3670">
        <v>3.5906069999999999</v>
      </c>
      <c r="T3670">
        <v>-1.188264</v>
      </c>
      <c r="U3670">
        <v>0.21823119999999999</v>
      </c>
      <c r="V3670">
        <v>-0.13939799999999999</v>
      </c>
      <c r="W3670">
        <v>0.33696019999999999</v>
      </c>
      <c r="X3670">
        <v>0.93114229999999998</v>
      </c>
      <c r="Y3670">
        <v>-5.4119180000000003E-2</v>
      </c>
      <c r="Z3670">
        <v>7.8922769999999996E-3</v>
      </c>
      <c r="AA3670">
        <v>0.99850329999999998</v>
      </c>
      <c r="AB3670">
        <v>45</v>
      </c>
      <c r="AC3670">
        <v>0.550599999999974</v>
      </c>
      <c r="AD3670">
        <v>-0.32460620000000001</v>
      </c>
      <c r="AE3670">
        <v>5.7799999999986001E-2</v>
      </c>
      <c r="AF3670">
        <v>-4.1476115627814399E-2</v>
      </c>
      <c r="AG3670">
        <v>-0.32460620000000001</v>
      </c>
      <c r="AH3670">
        <v>0.40989790881898602</v>
      </c>
      <c r="AI3670">
        <v>128.23444723833899</v>
      </c>
      <c r="AJ3670">
        <v>95.777890913295096</v>
      </c>
      <c r="AK3670">
        <v>0.52450524201402304</v>
      </c>
      <c r="AL3670">
        <v>70.308218747438005</v>
      </c>
      <c r="AM3670">
        <v>98.514315337882394</v>
      </c>
      <c r="AN3670">
        <v>0.99999998081866404</v>
      </c>
    </row>
    <row r="3671" spans="1:40" x14ac:dyDescent="0.25">
      <c r="A3671" t="str">
        <f>"20190304164201959"</f>
        <v>20190304164201959</v>
      </c>
      <c r="B3671" t="str">
        <f>"1551688921944394"</f>
        <v>1551688921944394</v>
      </c>
      <c r="C3671" t="s">
        <v>40</v>
      </c>
      <c r="D3671">
        <v>3.9660730000000002</v>
      </c>
      <c r="E3671">
        <v>0.54634680000000002</v>
      </c>
      <c r="F3671" t="s">
        <v>41</v>
      </c>
      <c r="G3671">
        <v>-360.5446</v>
      </c>
      <c r="H3671">
        <v>0.79351689999999997</v>
      </c>
      <c r="I3671">
        <v>213.93770000000001</v>
      </c>
      <c r="J3671">
        <v>-361.22890000000001</v>
      </c>
      <c r="K3671">
        <v>1.109915</v>
      </c>
      <c r="L3671">
        <v>213.87979999999999</v>
      </c>
      <c r="M3671">
        <v>0.99991799999999997</v>
      </c>
      <c r="N3671">
        <v>-1.222642E-2</v>
      </c>
      <c r="O3671">
        <v>3.8397729999999999E-3</v>
      </c>
      <c r="P3671">
        <v>0.9346198</v>
      </c>
      <c r="Q3671">
        <v>0.32545170000000001</v>
      </c>
      <c r="R3671">
        <v>0.14341370000000001</v>
      </c>
      <c r="S3671">
        <v>3.5903019999999999</v>
      </c>
      <c r="T3671">
        <v>-1.1902159999999999</v>
      </c>
      <c r="U3671">
        <v>0.22213749999999999</v>
      </c>
      <c r="V3671">
        <v>-0.13989679999999999</v>
      </c>
      <c r="W3671">
        <v>0.33683089999999999</v>
      </c>
      <c r="X3671">
        <v>0.93111429999999995</v>
      </c>
      <c r="Y3671">
        <v>-5.506014E-2</v>
      </c>
      <c r="Z3671">
        <v>8.0338909999999996E-3</v>
      </c>
      <c r="AA3671">
        <v>0.99845070000000002</v>
      </c>
      <c r="AB3671">
        <v>45</v>
      </c>
      <c r="AC3671">
        <v>0.68430000000000701</v>
      </c>
      <c r="AD3671">
        <v>-0.31639809999999902</v>
      </c>
      <c r="AE3671">
        <v>5.7900000000017798E-2</v>
      </c>
      <c r="AF3671">
        <v>-4.5593877347491603E-2</v>
      </c>
      <c r="AG3671">
        <v>-0.31639809999999902</v>
      </c>
      <c r="AH3671">
        <v>0.56466020767144998</v>
      </c>
      <c r="AI3671">
        <v>119.18405095788501</v>
      </c>
      <c r="AJ3671">
        <v>94.616371851000594</v>
      </c>
      <c r="AK3671">
        <v>0.64886648045861695</v>
      </c>
      <c r="AL3671">
        <v>70.316087547958006</v>
      </c>
      <c r="AM3671">
        <v>98.544585879139106</v>
      </c>
      <c r="AN3671">
        <v>1.0000000047547699</v>
      </c>
    </row>
    <row r="3672" spans="1:40" x14ac:dyDescent="0.25">
      <c r="A3672" t="str">
        <f>"20190304164201979"</f>
        <v>20190304164201979</v>
      </c>
      <c r="B3672" t="str">
        <f>"1551688921974649"</f>
        <v>1551688921974649</v>
      </c>
      <c r="C3672" t="s">
        <v>40</v>
      </c>
      <c r="D3672">
        <v>3.999228</v>
      </c>
      <c r="E3672">
        <v>0.54604549999999996</v>
      </c>
      <c r="F3672" t="s">
        <v>41</v>
      </c>
      <c r="G3672">
        <v>-360.51139999999998</v>
      </c>
      <c r="H3672">
        <v>0.87171449999999995</v>
      </c>
      <c r="I3672">
        <v>213.9247</v>
      </c>
      <c r="J3672">
        <v>-360.80900000000003</v>
      </c>
      <c r="K3672">
        <v>1.1099319999999999</v>
      </c>
      <c r="L3672">
        <v>213.88149999999999</v>
      </c>
      <c r="M3672">
        <v>0.99991739999999996</v>
      </c>
      <c r="N3672">
        <v>-1.2214610000000001E-2</v>
      </c>
      <c r="O3672">
        <v>3.9897450000000003E-3</v>
      </c>
      <c r="P3672">
        <v>0.93455359999999998</v>
      </c>
      <c r="Q3672">
        <v>0.32516529999999999</v>
      </c>
      <c r="R3672">
        <v>0.14448929999999999</v>
      </c>
      <c r="S3672">
        <v>3.5903320000000001</v>
      </c>
      <c r="T3672">
        <v>-1.1919839999999999</v>
      </c>
      <c r="U3672">
        <v>0.22523499999999999</v>
      </c>
      <c r="V3672">
        <v>-0.14084940000000001</v>
      </c>
      <c r="W3672">
        <v>0.33652559999999998</v>
      </c>
      <c r="X3672">
        <v>0.93108109999999999</v>
      </c>
      <c r="Y3672">
        <v>-5.5730399999999999E-2</v>
      </c>
      <c r="Z3672">
        <v>8.1098699999999999E-3</v>
      </c>
      <c r="AA3672">
        <v>0.99841290000000005</v>
      </c>
      <c r="AB3672">
        <v>45</v>
      </c>
      <c r="AC3672">
        <v>0.297600000000045</v>
      </c>
      <c r="AD3672">
        <v>-0.238217499999999</v>
      </c>
      <c r="AE3672">
        <v>4.3200000000012999E-2</v>
      </c>
      <c r="AF3672">
        <v>-2.58136970631632E-2</v>
      </c>
      <c r="AG3672">
        <v>-0.238217499999999</v>
      </c>
      <c r="AH3672">
        <v>0.18295973675361701</v>
      </c>
      <c r="AI3672">
        <v>142.20129892608301</v>
      </c>
      <c r="AJ3672">
        <v>98.030824759716296</v>
      </c>
      <c r="AK3672">
        <v>0.30147668157798102</v>
      </c>
      <c r="AL3672">
        <v>70.334664866203397</v>
      </c>
      <c r="AM3672">
        <v>98.602203240285206</v>
      </c>
      <c r="AN3672">
        <v>1.0000000238564599</v>
      </c>
    </row>
    <row r="3673" spans="1:40" x14ac:dyDescent="0.25">
      <c r="A3673" t="str">
        <f>"20190304164201992"</f>
        <v>20190304164201992</v>
      </c>
      <c r="B3673" t="str">
        <f>"1551688921984411"</f>
        <v>1551688921984411</v>
      </c>
      <c r="C3673" t="s">
        <v>40</v>
      </c>
      <c r="D3673">
        <v>3.9992519999999998</v>
      </c>
      <c r="E3673">
        <v>0.54596060000000002</v>
      </c>
      <c r="F3673" t="s">
        <v>41</v>
      </c>
      <c r="G3673">
        <v>-360.10789999999997</v>
      </c>
      <c r="H3673">
        <v>0.87588390000000005</v>
      </c>
      <c r="I3673">
        <v>213.92699999999999</v>
      </c>
      <c r="J3673">
        <v>-360.54849999999999</v>
      </c>
      <c r="K3673">
        <v>1.1099410000000001</v>
      </c>
      <c r="L3673">
        <v>213.8826</v>
      </c>
      <c r="M3673">
        <v>0.9999171</v>
      </c>
      <c r="N3673">
        <v>-1.220738E-2</v>
      </c>
      <c r="O3673">
        <v>4.088637E-3</v>
      </c>
      <c r="P3673">
        <v>0.93456640000000002</v>
      </c>
      <c r="Q3673">
        <v>0.32491249999999999</v>
      </c>
      <c r="R3673">
        <v>0.14497449999999901</v>
      </c>
      <c r="S3673">
        <v>3.5910030000000002</v>
      </c>
      <c r="T3673">
        <v>-1.198717</v>
      </c>
      <c r="U3673">
        <v>0.23411560000000001</v>
      </c>
      <c r="V3673">
        <v>-0.14125019999999999</v>
      </c>
      <c r="W3673">
        <v>0.33626289999999998</v>
      </c>
      <c r="X3673">
        <v>0.93111529999999998</v>
      </c>
      <c r="Y3673">
        <v>-5.7930750000000003E-2</v>
      </c>
      <c r="Z3673">
        <v>8.4892209999999999E-3</v>
      </c>
      <c r="AA3673">
        <v>0.99828450000000002</v>
      </c>
      <c r="AB3673">
        <v>45</v>
      </c>
      <c r="AC3673">
        <v>0.44060000000001698</v>
      </c>
      <c r="AD3673">
        <v>-0.23405709999999999</v>
      </c>
      <c r="AE3673">
        <v>4.4400000000024399E-2</v>
      </c>
      <c r="AF3673">
        <v>-3.3296326857760399E-2</v>
      </c>
      <c r="AG3673">
        <v>-0.23405709999999999</v>
      </c>
      <c r="AH3673">
        <v>0.34452954921538498</v>
      </c>
      <c r="AI3673">
        <v>124.066647558618</v>
      </c>
      <c r="AJ3673">
        <v>95.520085984738898</v>
      </c>
      <c r="AK3673">
        <v>0.41784205356233001</v>
      </c>
      <c r="AL3673">
        <v>70.350648054302994</v>
      </c>
      <c r="AM3673">
        <v>98.626001798992505</v>
      </c>
      <c r="AN3673">
        <v>1.00000002940526</v>
      </c>
    </row>
    <row r="3674" spans="1:40" x14ac:dyDescent="0.25">
      <c r="A3674" t="str">
        <f>"20190304164202005"</f>
        <v>20190304164202005</v>
      </c>
      <c r="B3674" t="str">
        <f>"1551688921995146"</f>
        <v>1551688921995146</v>
      </c>
      <c r="C3674" t="s">
        <v>40</v>
      </c>
      <c r="D3674">
        <v>4.0045890000000002</v>
      </c>
      <c r="E3674">
        <v>0.54588059999999905</v>
      </c>
      <c r="F3674" t="s">
        <v>41</v>
      </c>
      <c r="G3674">
        <v>-359.72379999999998</v>
      </c>
      <c r="H3674">
        <v>0.83398519999999898</v>
      </c>
      <c r="I3674">
        <v>213.9374</v>
      </c>
      <c r="J3674">
        <v>-360.28070000000002</v>
      </c>
      <c r="K3674">
        <v>1.1099559999999999</v>
      </c>
      <c r="L3674">
        <v>213.88380000000001</v>
      </c>
      <c r="M3674">
        <v>0.99991669999999999</v>
      </c>
      <c r="N3674">
        <v>-1.220009E-2</v>
      </c>
      <c r="O3674">
        <v>4.1922870000000003E-3</v>
      </c>
      <c r="P3674">
        <v>0.93460379999999998</v>
      </c>
      <c r="Q3674">
        <v>0.32475310000000002</v>
      </c>
      <c r="R3674">
        <v>0.14508960000000001</v>
      </c>
      <c r="S3674">
        <v>3.5907290000000001</v>
      </c>
      <c r="T3674">
        <v>-1.2014750000000001</v>
      </c>
      <c r="U3674">
        <v>0.23880000000000001</v>
      </c>
      <c r="V3674">
        <v>-0.1412757</v>
      </c>
      <c r="W3674">
        <v>0.336094</v>
      </c>
      <c r="X3674">
        <v>0.93117240000000001</v>
      </c>
      <c r="Y3674">
        <v>-5.9057239999999997E-2</v>
      </c>
      <c r="Z3674">
        <v>8.6647679999999998E-3</v>
      </c>
      <c r="AA3674">
        <v>0.99821700000000002</v>
      </c>
      <c r="AB3674">
        <v>45</v>
      </c>
      <c r="AC3674">
        <v>0.55690000000004103</v>
      </c>
      <c r="AD3674">
        <v>-0.27597080000000002</v>
      </c>
      <c r="AE3674">
        <v>5.3599999999988698E-2</v>
      </c>
      <c r="AF3674">
        <v>-4.1232276428496001E-2</v>
      </c>
      <c r="AG3674">
        <v>-0.27597080000000002</v>
      </c>
      <c r="AH3674">
        <v>0.44809258784704198</v>
      </c>
      <c r="AI3674">
        <v>121.52029095499999</v>
      </c>
      <c r="AJ3674">
        <v>95.257398642105002</v>
      </c>
      <c r="AK3674">
        <v>0.52787020218570302</v>
      </c>
      <c r="AL3674">
        <v>70.360923145926606</v>
      </c>
      <c r="AM3674">
        <v>98.627014541295694</v>
      </c>
      <c r="AN3674">
        <v>1.0000000193841201</v>
      </c>
    </row>
    <row r="3675" spans="1:40" x14ac:dyDescent="0.25">
      <c r="A3675" t="str">
        <f>"20190304164202025"</f>
        <v>20190304164202025</v>
      </c>
      <c r="B3675" t="str">
        <f>"1551688922014666"</f>
        <v>1551688922014666</v>
      </c>
      <c r="C3675" t="s">
        <v>40</v>
      </c>
      <c r="D3675">
        <v>4.0081959999999999</v>
      </c>
      <c r="E3675">
        <v>0.54573570000000005</v>
      </c>
      <c r="F3675" t="s">
        <v>41</v>
      </c>
      <c r="G3675">
        <v>-359.33839999999998</v>
      </c>
      <c r="H3675">
        <v>0.79405269999999994</v>
      </c>
      <c r="I3675">
        <v>213.9468</v>
      </c>
      <c r="J3675">
        <v>-359.89280000000002</v>
      </c>
      <c r="K3675">
        <v>1.1099650000000001</v>
      </c>
      <c r="L3675">
        <v>213.88550000000001</v>
      </c>
      <c r="M3675">
        <v>0.99991629999999998</v>
      </c>
      <c r="N3675">
        <v>-1.219012E-2</v>
      </c>
      <c r="O3675">
        <v>4.3461079999999996E-3</v>
      </c>
      <c r="P3675">
        <v>0.93471839999999995</v>
      </c>
      <c r="Q3675">
        <v>0.32435550000000002</v>
      </c>
      <c r="R3675">
        <v>0.14524179999999901</v>
      </c>
      <c r="S3675">
        <v>3.5907290000000001</v>
      </c>
      <c r="T3675">
        <v>-1.2037690000000001</v>
      </c>
      <c r="U3675">
        <v>0.2411499</v>
      </c>
      <c r="V3675">
        <v>-0.1412931</v>
      </c>
      <c r="W3675">
        <v>0.33568490000000001</v>
      </c>
      <c r="X3675">
        <v>0.93131730000000001</v>
      </c>
      <c r="Y3675">
        <v>-5.952433E-2</v>
      </c>
      <c r="Z3675">
        <v>8.7099699999999992E-3</v>
      </c>
      <c r="AA3675">
        <v>0.99818890000000005</v>
      </c>
      <c r="AB3675">
        <v>45</v>
      </c>
      <c r="AC3675">
        <v>0.55440000000004297</v>
      </c>
      <c r="AD3675">
        <v>-0.31591229999999898</v>
      </c>
      <c r="AE3675">
        <v>6.1299999999988503E-2</v>
      </c>
      <c r="AF3675">
        <v>-4.45870581827967E-2</v>
      </c>
      <c r="AG3675">
        <v>-0.31591229999999898</v>
      </c>
      <c r="AH3675">
        <v>0.41994926230205398</v>
      </c>
      <c r="AI3675">
        <v>126.798639794523</v>
      </c>
      <c r="AJ3675">
        <v>96.060530898527304</v>
      </c>
      <c r="AK3675">
        <v>0.52739545879418204</v>
      </c>
      <c r="AL3675">
        <v>70.385808322440894</v>
      </c>
      <c r="AM3675">
        <v>98.626738876147996</v>
      </c>
      <c r="AN3675">
        <v>1.00000000273745</v>
      </c>
    </row>
    <row r="3676" spans="1:40" x14ac:dyDescent="0.25">
      <c r="A3676" t="str">
        <f>"20190304164202046"</f>
        <v>20190304164202046</v>
      </c>
      <c r="B3676" t="str">
        <f>"1551688922035162"</f>
        <v>1551688922035162</v>
      </c>
      <c r="C3676" t="s">
        <v>40</v>
      </c>
      <c r="D3676">
        <v>4.4077330000000003</v>
      </c>
      <c r="E3676">
        <v>0.54564360000000001</v>
      </c>
      <c r="F3676" t="s">
        <v>41</v>
      </c>
      <c r="G3676">
        <v>-358.93740000000003</v>
      </c>
      <c r="H3676">
        <v>0.78852929999999999</v>
      </c>
      <c r="I3676">
        <v>213.95050000000001</v>
      </c>
      <c r="J3676">
        <v>-359.46409999999997</v>
      </c>
      <c r="K3676">
        <v>1.1099680000000001</v>
      </c>
      <c r="L3676">
        <v>213.88749999999999</v>
      </c>
      <c r="M3676">
        <v>0.99991569999999996</v>
      </c>
      <c r="N3676">
        <v>-1.2180059999999999E-2</v>
      </c>
      <c r="O3676">
        <v>4.518574E-3</v>
      </c>
      <c r="P3676">
        <v>0.93471740000000003</v>
      </c>
      <c r="Q3676">
        <v>0.32448630000000001</v>
      </c>
      <c r="R3676">
        <v>0.1449558</v>
      </c>
      <c r="S3676">
        <v>3.5907290000000001</v>
      </c>
      <c r="T3676">
        <v>-1.2081170000000001</v>
      </c>
      <c r="U3676">
        <v>0.24446109999999999</v>
      </c>
      <c r="V3676">
        <v>-0.1408547</v>
      </c>
      <c r="W3676">
        <v>0.33580300000000002</v>
      </c>
      <c r="X3676">
        <v>0.93134110000000003</v>
      </c>
      <c r="Y3676">
        <v>-6.0216480000000003E-2</v>
      </c>
      <c r="Z3676">
        <v>8.8009939999999995E-3</v>
      </c>
      <c r="AA3676">
        <v>0.99814650000000005</v>
      </c>
      <c r="AB3676">
        <v>45</v>
      </c>
      <c r="AC3676">
        <v>0.52669999999994799</v>
      </c>
      <c r="AD3676">
        <v>-0.32143870000000002</v>
      </c>
      <c r="AE3676">
        <v>6.3000000000016598E-2</v>
      </c>
      <c r="AF3676">
        <v>-4.4338312454540903E-2</v>
      </c>
      <c r="AG3676">
        <v>-0.32143870000000002</v>
      </c>
      <c r="AH3676">
        <v>0.38544479565760598</v>
      </c>
      <c r="AI3676">
        <v>129.64103273466699</v>
      </c>
      <c r="AJ3676">
        <v>96.561980506501499</v>
      </c>
      <c r="AK3676">
        <v>0.50384165598781205</v>
      </c>
      <c r="AL3676">
        <v>70.378624096820005</v>
      </c>
      <c r="AM3676">
        <v>98.600156459983495</v>
      </c>
      <c r="AN3676">
        <v>0.99999997293514897</v>
      </c>
    </row>
    <row r="3677" spans="1:40" x14ac:dyDescent="0.25">
      <c r="A3677" t="str">
        <f>"20190304164202069"</f>
        <v>20190304164202069</v>
      </c>
      <c r="B3677" t="str">
        <f>"1551688922064441"</f>
        <v>1551688922064441</v>
      </c>
      <c r="C3677" t="s">
        <v>40</v>
      </c>
      <c r="D3677">
        <v>4.0469030000000004</v>
      </c>
      <c r="E3677">
        <v>0.54559740000000001</v>
      </c>
      <c r="F3677" t="s">
        <v>41</v>
      </c>
      <c r="G3677">
        <v>-358.53390000000002</v>
      </c>
      <c r="H3677">
        <v>0.79676559999999996</v>
      </c>
      <c r="I3677">
        <v>213.9504</v>
      </c>
      <c r="J3677">
        <v>-359.01819999999998</v>
      </c>
      <c r="K3677">
        <v>1.109977</v>
      </c>
      <c r="L3677">
        <v>213.8897</v>
      </c>
      <c r="M3677">
        <v>0.99991509999999995</v>
      </c>
      <c r="N3677">
        <v>-1.2170790000000001E-2</v>
      </c>
      <c r="O3677">
        <v>4.6980570000000003E-3</v>
      </c>
      <c r="P3677">
        <v>0.93473649999999997</v>
      </c>
      <c r="Q3677">
        <v>0.32481270000000001</v>
      </c>
      <c r="R3677">
        <v>0.14410010000000001</v>
      </c>
      <c r="S3677">
        <v>3.591431</v>
      </c>
      <c r="T3677">
        <v>-1.2091689999999999</v>
      </c>
      <c r="U3677">
        <v>0.24400330000000001</v>
      </c>
      <c r="V3677">
        <v>-0.13983909999999999</v>
      </c>
      <c r="W3677">
        <v>0.33611829999999998</v>
      </c>
      <c r="X3677">
        <v>0.93138049999999994</v>
      </c>
      <c r="Y3677">
        <v>-5.9919529999999999E-2</v>
      </c>
      <c r="Z3677">
        <v>8.6989949999999993E-3</v>
      </c>
      <c r="AA3677">
        <v>0.99816530000000003</v>
      </c>
      <c r="AB3677">
        <v>45</v>
      </c>
      <c r="AC3677">
        <v>0.48429999999996198</v>
      </c>
      <c r="AD3677">
        <v>-0.31321139999999997</v>
      </c>
      <c r="AE3677">
        <v>6.0699999999996999E-2</v>
      </c>
      <c r="AF3677">
        <v>-4.1382819144425202E-2</v>
      </c>
      <c r="AG3677">
        <v>-0.31321139999999997</v>
      </c>
      <c r="AH3677">
        <v>0.343237658178488</v>
      </c>
      <c r="AI3677">
        <v>132.17530826742399</v>
      </c>
      <c r="AJ3677">
        <v>96.874744874890894</v>
      </c>
      <c r="AK3677">
        <v>0.46650402870945601</v>
      </c>
      <c r="AL3677">
        <v>70.359445701216501</v>
      </c>
      <c r="AM3677">
        <v>98.538708514011901</v>
      </c>
      <c r="AN3677">
        <v>1.0000000606319699</v>
      </c>
    </row>
    <row r="3678" spans="1:40" x14ac:dyDescent="0.25">
      <c r="A3678" t="str">
        <f>"20190304164202092"</f>
        <v>20190304164202092</v>
      </c>
      <c r="B3678" t="str">
        <f>"1551688922084938"</f>
        <v>1551688922084938</v>
      </c>
      <c r="C3678" t="s">
        <v>40</v>
      </c>
      <c r="D3678">
        <v>4.0543230000000001</v>
      </c>
      <c r="E3678">
        <v>0.54555299999999995</v>
      </c>
      <c r="F3678" t="s">
        <v>41</v>
      </c>
      <c r="G3678">
        <v>-358.12639999999999</v>
      </c>
      <c r="H3678">
        <v>0.80999370000000004</v>
      </c>
      <c r="I3678">
        <v>213.94929999999999</v>
      </c>
      <c r="J3678">
        <v>-358.54489999999998</v>
      </c>
      <c r="K3678">
        <v>1.1099870000000001</v>
      </c>
      <c r="L3678">
        <v>213.892</v>
      </c>
      <c r="M3678">
        <v>0.99991410000000003</v>
      </c>
      <c r="N3678">
        <v>-1.2162330000000001E-2</v>
      </c>
      <c r="O3678">
        <v>4.888135E-3</v>
      </c>
      <c r="P3678">
        <v>0.93491679999999999</v>
      </c>
      <c r="Q3678">
        <v>0.324656</v>
      </c>
      <c r="R3678">
        <v>0.14328099999999999</v>
      </c>
      <c r="S3678">
        <v>3.5924990000000001</v>
      </c>
      <c r="T3678">
        <v>-1.2084159999999999</v>
      </c>
      <c r="U3678">
        <v>0.2394714</v>
      </c>
      <c r="V3678">
        <v>-0.1388489</v>
      </c>
      <c r="W3678">
        <v>0.33595350000000002</v>
      </c>
      <c r="X3678">
        <v>0.93158799999999997</v>
      </c>
      <c r="Y3678">
        <v>-5.8549219999999999E-2</v>
      </c>
      <c r="Z3678">
        <v>8.3992470000000003E-3</v>
      </c>
      <c r="AA3678">
        <v>0.99824919999999995</v>
      </c>
      <c r="AB3678">
        <v>45</v>
      </c>
      <c r="AC3678">
        <v>0.41849999999999399</v>
      </c>
      <c r="AD3678">
        <v>-0.29999330000000002</v>
      </c>
      <c r="AE3678">
        <v>5.7299999999997901E-2</v>
      </c>
      <c r="AF3678">
        <v>-3.6728172625208298E-2</v>
      </c>
      <c r="AG3678">
        <v>-0.29999330000000002</v>
      </c>
      <c r="AH3678">
        <v>0.27836879539139597</v>
      </c>
      <c r="AI3678">
        <v>136.89464997255899</v>
      </c>
      <c r="AJ3678">
        <v>97.516230624500096</v>
      </c>
      <c r="AK3678">
        <v>0.41089429900758401</v>
      </c>
      <c r="AL3678">
        <v>70.369469510286805</v>
      </c>
      <c r="AM3678">
        <v>98.477266763341305</v>
      </c>
      <c r="AN3678">
        <v>0.99999998646872901</v>
      </c>
    </row>
    <row r="3679" spans="1:40" x14ac:dyDescent="0.25">
      <c r="A3679" t="str">
        <f>"20190304164202106"</f>
        <v>20190304164202106</v>
      </c>
      <c r="B3679" t="str">
        <f>"1551688922094698"</f>
        <v>1551688922094698</v>
      </c>
      <c r="C3679" t="s">
        <v>40</v>
      </c>
      <c r="D3679">
        <v>4.0430510000000002</v>
      </c>
      <c r="E3679">
        <v>0.54555629999999999</v>
      </c>
      <c r="F3679" t="s">
        <v>41</v>
      </c>
      <c r="G3679">
        <v>-357.71559999999999</v>
      </c>
      <c r="H3679">
        <v>0.83073149999999996</v>
      </c>
      <c r="I3679">
        <v>213.94649999999999</v>
      </c>
      <c r="J3679">
        <v>-358.27350000000001</v>
      </c>
      <c r="K3679">
        <v>1.1099909999999999</v>
      </c>
      <c r="L3679">
        <v>213.89340000000001</v>
      </c>
      <c r="M3679">
        <v>0.99991379999999996</v>
      </c>
      <c r="N3679">
        <v>-1.2157980000000001E-2</v>
      </c>
      <c r="O3679">
        <v>4.9965259999999899E-3</v>
      </c>
      <c r="P3679">
        <v>0.93495300000000003</v>
      </c>
      <c r="Q3679">
        <v>0.32469540000000002</v>
      </c>
      <c r="R3679">
        <v>0.14295459999999999</v>
      </c>
      <c r="S3679">
        <v>3.5927120000000001</v>
      </c>
      <c r="T3679">
        <v>-1.209662</v>
      </c>
      <c r="U3679">
        <v>0.23631289999999999</v>
      </c>
      <c r="V3679">
        <v>-0.13842460000000001</v>
      </c>
      <c r="W3679">
        <v>0.33598810000000001</v>
      </c>
      <c r="X3679">
        <v>0.93163870000000004</v>
      </c>
      <c r="Y3679">
        <v>-5.7616140000000003E-2</v>
      </c>
      <c r="Z3679">
        <v>8.2139159999999999E-3</v>
      </c>
      <c r="AA3679">
        <v>0.998305</v>
      </c>
      <c r="AB3679">
        <v>45</v>
      </c>
      <c r="AC3679">
        <v>0.55790000000001705</v>
      </c>
      <c r="AD3679">
        <v>-0.27925949999999899</v>
      </c>
      <c r="AE3679">
        <v>5.30999999999721E-2</v>
      </c>
      <c r="AF3679">
        <v>-4.0303885722816998E-2</v>
      </c>
      <c r="AG3679">
        <v>-0.27925949999999899</v>
      </c>
      <c r="AH3679">
        <v>0.447132762650159</v>
      </c>
      <c r="AI3679">
        <v>121.883026053026</v>
      </c>
      <c r="AJ3679">
        <v>95.150637334126401</v>
      </c>
      <c r="AK3679">
        <v>0.52871351314277104</v>
      </c>
      <c r="AL3679">
        <v>70.367365421601704</v>
      </c>
      <c r="AM3679">
        <v>98.451283006158604</v>
      </c>
      <c r="AN3679">
        <v>1.0000000202822299</v>
      </c>
    </row>
    <row r="3680" spans="1:40" x14ac:dyDescent="0.25">
      <c r="A3680" t="str">
        <f>"20190304164202123"</f>
        <v>20190304164202123</v>
      </c>
      <c r="B3680" t="str">
        <f>"1551688922114218"</f>
        <v>1551688922114218</v>
      </c>
      <c r="C3680" t="s">
        <v>40</v>
      </c>
      <c r="D3680">
        <v>4.0623610000000001</v>
      </c>
      <c r="E3680">
        <v>0.54550949999999998</v>
      </c>
      <c r="F3680" t="s">
        <v>41</v>
      </c>
      <c r="G3680">
        <v>-357.3295</v>
      </c>
      <c r="H3680">
        <v>0.79222819999999905</v>
      </c>
      <c r="I3680">
        <v>213.95500000000001</v>
      </c>
      <c r="J3680">
        <v>-357.90379999999999</v>
      </c>
      <c r="K3680">
        <v>1.109993</v>
      </c>
      <c r="L3680">
        <v>213.8954</v>
      </c>
      <c r="M3680">
        <v>0.99991289999999999</v>
      </c>
      <c r="N3680">
        <v>-1.2152680000000001E-2</v>
      </c>
      <c r="O3680">
        <v>5.1443929999999997E-3</v>
      </c>
      <c r="P3680">
        <v>0.93491539999999995</v>
      </c>
      <c r="Q3680">
        <v>0.3249727</v>
      </c>
      <c r="R3680">
        <v>0.14256949999999999</v>
      </c>
      <c r="S3680">
        <v>3.5928650000000002</v>
      </c>
      <c r="T3680">
        <v>-1.2093579999999999</v>
      </c>
      <c r="U3680">
        <v>0.23440549999999999</v>
      </c>
      <c r="V3680">
        <v>-0.13790669999999999</v>
      </c>
      <c r="W3680">
        <v>0.33625840000000001</v>
      </c>
      <c r="X3680">
        <v>0.93161799999999995</v>
      </c>
      <c r="Y3680">
        <v>-5.6983279999999997E-2</v>
      </c>
      <c r="Z3680">
        <v>8.0575349999999994E-3</v>
      </c>
      <c r="AA3680">
        <v>0.99834259999999997</v>
      </c>
      <c r="AB3680">
        <v>45</v>
      </c>
      <c r="AC3680">
        <v>0.57429999999999304</v>
      </c>
      <c r="AD3680">
        <v>-0.31776480000000001</v>
      </c>
      <c r="AE3680">
        <v>5.9600000000017403E-2</v>
      </c>
      <c r="AF3680">
        <v>-4.34761714323516E-2</v>
      </c>
      <c r="AG3680">
        <v>-0.31776480000000001</v>
      </c>
      <c r="AH3680">
        <v>0.44101961919448202</v>
      </c>
      <c r="AI3680">
        <v>125.642311553764</v>
      </c>
      <c r="AJ3680">
        <v>95.630086249592395</v>
      </c>
      <c r="AK3680">
        <v>0.54530995783673497</v>
      </c>
      <c r="AL3680">
        <v>70.350921915247397</v>
      </c>
      <c r="AM3680">
        <v>98.420302018178205</v>
      </c>
      <c r="AN3680">
        <v>1.0000000336997199</v>
      </c>
    </row>
    <row r="3681" spans="1:40" x14ac:dyDescent="0.25">
      <c r="A3681" t="str">
        <f>"20190304164202136"</f>
        <v>20190304164202136</v>
      </c>
      <c r="B3681" t="str">
        <f>"1551688922124955"</f>
        <v>1551688922124955</v>
      </c>
      <c r="C3681" t="s">
        <v>40</v>
      </c>
      <c r="D3681">
        <v>4.070767</v>
      </c>
      <c r="E3681">
        <v>0.54549259999999999</v>
      </c>
      <c r="F3681" t="s">
        <v>41</v>
      </c>
      <c r="G3681">
        <v>-356.92939999999999</v>
      </c>
      <c r="H3681">
        <v>0.78227950000000002</v>
      </c>
      <c r="I3681">
        <v>213.95779999999999</v>
      </c>
      <c r="J3681">
        <v>-357.65910000000002</v>
      </c>
      <c r="K3681">
        <v>1.1099969999999999</v>
      </c>
      <c r="L3681">
        <v>213.89670000000001</v>
      </c>
      <c r="M3681">
        <v>0.99991260000000004</v>
      </c>
      <c r="N3681">
        <v>-1.214955E-2</v>
      </c>
      <c r="O3681">
        <v>5.242025E-3</v>
      </c>
      <c r="P3681">
        <v>0.93490790000000001</v>
      </c>
      <c r="Q3681">
        <v>0.32480809999999999</v>
      </c>
      <c r="R3681">
        <v>0.14299410000000001</v>
      </c>
      <c r="S3681">
        <v>3.59375</v>
      </c>
      <c r="T3681">
        <v>-1.20871</v>
      </c>
      <c r="U3681">
        <v>0.2311859</v>
      </c>
      <c r="V3681">
        <v>-0.13824249999999999</v>
      </c>
      <c r="W3681">
        <v>0.33608959999999999</v>
      </c>
      <c r="X3681">
        <v>0.93162909999999999</v>
      </c>
      <c r="Y3681">
        <v>-5.604199E-2</v>
      </c>
      <c r="Z3681">
        <v>7.8613859999999997E-3</v>
      </c>
      <c r="AA3681">
        <v>0.99839750000000005</v>
      </c>
      <c r="AB3681">
        <v>45</v>
      </c>
      <c r="AC3681">
        <v>0.72970000000003599</v>
      </c>
      <c r="AD3681">
        <v>-0.327717499999999</v>
      </c>
      <c r="AE3681">
        <v>6.1099999999981898E-2</v>
      </c>
      <c r="AF3681">
        <v>-4.7716301003595599E-2</v>
      </c>
      <c r="AG3681">
        <v>-0.327717499999999</v>
      </c>
      <c r="AH3681">
        <v>0.60819095101304599</v>
      </c>
      <c r="AI3681">
        <v>118.24420539776</v>
      </c>
      <c r="AJ3681">
        <v>94.486015146960696</v>
      </c>
      <c r="AK3681">
        <v>0.69251125484129705</v>
      </c>
      <c r="AL3681">
        <v>70.361190299056005</v>
      </c>
      <c r="AM3681">
        <v>98.440411164281002</v>
      </c>
      <c r="AN3681">
        <v>0.99999999400060902</v>
      </c>
    </row>
    <row r="3682" spans="1:40" x14ac:dyDescent="0.25">
      <c r="A3682" t="str">
        <f>"20190304164202150"</f>
        <v>20190304164202150</v>
      </c>
      <c r="B3682" t="str">
        <f>"1551688922144474"</f>
        <v>1551688922144474</v>
      </c>
      <c r="C3682" t="s">
        <v>40</v>
      </c>
      <c r="D3682">
        <v>4.104438</v>
      </c>
      <c r="E3682">
        <v>0.54545489999999996</v>
      </c>
      <c r="F3682" t="s">
        <v>41</v>
      </c>
      <c r="G3682">
        <v>-356.90109999999999</v>
      </c>
      <c r="H3682">
        <v>0.85487219999999997</v>
      </c>
      <c r="I3682">
        <v>213.94550000000001</v>
      </c>
      <c r="J3682">
        <v>-357.39510000000001</v>
      </c>
      <c r="K3682">
        <v>1.1100000000000001</v>
      </c>
      <c r="L3682">
        <v>213.8982</v>
      </c>
      <c r="M3682">
        <v>0.99991200000000002</v>
      </c>
      <c r="N3682">
        <v>-1.214642E-2</v>
      </c>
      <c r="O3682">
        <v>5.347999E-3</v>
      </c>
      <c r="P3682">
        <v>0.93490240000000002</v>
      </c>
      <c r="Q3682">
        <v>0.32472099999999998</v>
      </c>
      <c r="R3682">
        <v>0.14322650000000001</v>
      </c>
      <c r="S3682">
        <v>3.5934750000000002</v>
      </c>
      <c r="T3682">
        <v>-1.209489</v>
      </c>
      <c r="U3682">
        <v>0.2324677</v>
      </c>
      <c r="V3682">
        <v>-0.13837829999999901</v>
      </c>
      <c r="W3682">
        <v>0.33599839999999997</v>
      </c>
      <c r="X3682">
        <v>0.93164179999999996</v>
      </c>
      <c r="Y3682">
        <v>-5.628346E-2</v>
      </c>
      <c r="Z3682">
        <v>7.8738980000000007E-3</v>
      </c>
      <c r="AA3682">
        <v>0.99838380000000004</v>
      </c>
      <c r="AB3682">
        <v>45</v>
      </c>
      <c r="AC3682">
        <v>0.49400000000002797</v>
      </c>
      <c r="AD3682">
        <v>-0.25512780000000002</v>
      </c>
      <c r="AE3682">
        <v>4.7300000000007003E-2</v>
      </c>
      <c r="AF3682">
        <v>-3.5321675048592002E-2</v>
      </c>
      <c r="AG3682">
        <v>-0.25512780000000002</v>
      </c>
      <c r="AH3682">
        <v>0.39092434821467698</v>
      </c>
      <c r="AI3682">
        <v>123.023031892539</v>
      </c>
      <c r="AJ3682">
        <v>95.162897684825097</v>
      </c>
      <c r="AK3682">
        <v>0.46814491462382501</v>
      </c>
      <c r="AL3682">
        <v>70.366737639452893</v>
      </c>
      <c r="AM3682">
        <v>98.448469333865503</v>
      </c>
      <c r="AN3682">
        <v>0.99999996111034395</v>
      </c>
    </row>
    <row r="3683" spans="1:40" x14ac:dyDescent="0.25">
      <c r="A3683" t="str">
        <f>"20190304164202163"</f>
        <v>20190304164202163</v>
      </c>
      <c r="B3683" t="str">
        <f>"1551688922154234"</f>
        <v>1551688922154234</v>
      </c>
      <c r="C3683" t="s">
        <v>40</v>
      </c>
      <c r="D3683">
        <v>4.104978</v>
      </c>
      <c r="E3683">
        <v>0.5454194</v>
      </c>
      <c r="F3683" t="s">
        <v>41</v>
      </c>
      <c r="G3683">
        <v>-356.51609999999999</v>
      </c>
      <c r="H3683">
        <v>0.81388280000000002</v>
      </c>
      <c r="I3683">
        <v>213.95529999999999</v>
      </c>
      <c r="J3683">
        <v>-357.12580000000003</v>
      </c>
      <c r="K3683">
        <v>1.1100000000000001</v>
      </c>
      <c r="L3683">
        <v>213.8997</v>
      </c>
      <c r="M3683">
        <v>0.99991140000000001</v>
      </c>
      <c r="N3683">
        <v>-1.214344E-2</v>
      </c>
      <c r="O3683">
        <v>5.4561130000000003E-3</v>
      </c>
      <c r="P3683">
        <v>0.9347702</v>
      </c>
      <c r="Q3683">
        <v>0.32490350000000001</v>
      </c>
      <c r="R3683">
        <v>0.14367489999999999</v>
      </c>
      <c r="S3683">
        <v>3.5935060000000001</v>
      </c>
      <c r="T3683">
        <v>-1.210561</v>
      </c>
      <c r="U3683">
        <v>0.2339783</v>
      </c>
      <c r="V3683">
        <v>-0.13872789999999999</v>
      </c>
      <c r="W3683">
        <v>0.33617619999999998</v>
      </c>
      <c r="X3683">
        <v>0.93152570000000001</v>
      </c>
      <c r="Y3683">
        <v>-5.6576910000000001E-2</v>
      </c>
      <c r="Z3683">
        <v>7.8956889999999991E-3</v>
      </c>
      <c r="AA3683">
        <v>0.998367</v>
      </c>
      <c r="AB3683">
        <v>45</v>
      </c>
      <c r="AC3683">
        <v>0.60970000000003199</v>
      </c>
      <c r="AD3683">
        <v>-0.29611720000000002</v>
      </c>
      <c r="AE3683">
        <v>5.5599999999998297E-2</v>
      </c>
      <c r="AF3683">
        <v>-4.2362252986588397E-2</v>
      </c>
      <c r="AG3683">
        <v>-0.29611720000000002</v>
      </c>
      <c r="AH3683">
        <v>0.49434816944354198</v>
      </c>
      <c r="AI3683">
        <v>120.82951515557301</v>
      </c>
      <c r="AJ3683">
        <v>94.897890428902699</v>
      </c>
      <c r="AK3683">
        <v>0.57780625580389899</v>
      </c>
      <c r="AL3683">
        <v>70.355922039491503</v>
      </c>
      <c r="AM3683">
        <v>98.470544697360296</v>
      </c>
      <c r="AN3683">
        <v>0.99999999872266998</v>
      </c>
    </row>
    <row r="3684" spans="1:40" x14ac:dyDescent="0.25">
      <c r="A3684" t="str">
        <f>"20190304164202180"</f>
        <v>20190304164202180</v>
      </c>
      <c r="B3684" t="str">
        <f>"1551688922174731"</f>
        <v>1551688922174731</v>
      </c>
      <c r="C3684" t="s">
        <v>40</v>
      </c>
      <c r="D3684">
        <v>4.1118050000000004</v>
      </c>
      <c r="E3684">
        <v>0.54537049999999998</v>
      </c>
      <c r="F3684" t="s">
        <v>41</v>
      </c>
      <c r="G3684">
        <v>-356.11939999999998</v>
      </c>
      <c r="H3684">
        <v>0.7710053</v>
      </c>
      <c r="I3684">
        <v>213.9657</v>
      </c>
      <c r="J3684">
        <v>-356.76240000000001</v>
      </c>
      <c r="K3684">
        <v>1.110004</v>
      </c>
      <c r="L3684">
        <v>213.90180000000001</v>
      </c>
      <c r="M3684">
        <v>0.99991070000000004</v>
      </c>
      <c r="N3684">
        <v>-1.213994E-2</v>
      </c>
      <c r="O3684">
        <v>5.6021409999999997E-3</v>
      </c>
      <c r="P3684">
        <v>0.93457380000000001</v>
      </c>
      <c r="Q3684">
        <v>0.32521809999999901</v>
      </c>
      <c r="R3684">
        <v>0.1442406</v>
      </c>
      <c r="S3684">
        <v>3.5936889999999999</v>
      </c>
      <c r="T3684">
        <v>-1.210518</v>
      </c>
      <c r="U3684">
        <v>0.23678589999999999</v>
      </c>
      <c r="V3684">
        <v>-0.1391607</v>
      </c>
      <c r="W3684">
        <v>0.33648430000000001</v>
      </c>
      <c r="X3684">
        <v>0.93134989999999995</v>
      </c>
      <c r="Y3684">
        <v>-5.7178310000000003E-2</v>
      </c>
      <c r="Z3684">
        <v>7.9509230000000004E-3</v>
      </c>
      <c r="AA3684">
        <v>0.99833229999999995</v>
      </c>
      <c r="AB3684">
        <v>45</v>
      </c>
      <c r="AC3684">
        <v>0.64300000000002899</v>
      </c>
      <c r="AD3684">
        <v>-0.33899869999999899</v>
      </c>
      <c r="AE3684">
        <v>6.3899999999989604E-2</v>
      </c>
      <c r="AF3684">
        <v>-4.7282644167596102E-2</v>
      </c>
      <c r="AG3684">
        <v>-0.33899869999999899</v>
      </c>
      <c r="AH3684">
        <v>0.50449300513685502</v>
      </c>
      <c r="AI3684">
        <v>123.783599937443</v>
      </c>
      <c r="AJ3684">
        <v>95.354296737659197</v>
      </c>
      <c r="AK3684">
        <v>0.60964658555033702</v>
      </c>
      <c r="AL3684">
        <v>70.337177452165804</v>
      </c>
      <c r="AM3684">
        <v>98.498166147646401</v>
      </c>
      <c r="AN3684">
        <v>1.00000001040049</v>
      </c>
    </row>
    <row r="3685" spans="1:40" x14ac:dyDescent="0.25">
      <c r="A3685" t="str">
        <f>"20190304164202194"</f>
        <v>20190304164202194</v>
      </c>
      <c r="B3685" t="str">
        <f>"1551688922184490"</f>
        <v>1551688922184490</v>
      </c>
      <c r="C3685" t="s">
        <v>40</v>
      </c>
      <c r="D3685">
        <v>4.1148439999999997</v>
      </c>
      <c r="E3685">
        <v>0.54533019999999999</v>
      </c>
      <c r="F3685" t="s">
        <v>41</v>
      </c>
      <c r="G3685">
        <v>-356.08499999999998</v>
      </c>
      <c r="H3685">
        <v>0.88180179999999997</v>
      </c>
      <c r="I3685">
        <v>213.94710000000001</v>
      </c>
      <c r="J3685">
        <v>-356.50229999999999</v>
      </c>
      <c r="K3685">
        <v>1.110007</v>
      </c>
      <c r="L3685">
        <v>213.9033</v>
      </c>
      <c r="M3685">
        <v>0.99991019999999997</v>
      </c>
      <c r="N3685">
        <v>-1.213614E-2</v>
      </c>
      <c r="O3685">
        <v>5.7070860000000001E-3</v>
      </c>
      <c r="P3685">
        <v>0.93446110000000004</v>
      </c>
      <c r="Q3685">
        <v>0.32526270000000002</v>
      </c>
      <c r="R3685">
        <v>0.14486859999999999</v>
      </c>
      <c r="S3685">
        <v>3.5939030000000001</v>
      </c>
      <c r="T3685">
        <v>-1.210539</v>
      </c>
      <c r="U3685">
        <v>0.24200440000000001</v>
      </c>
      <c r="V3685">
        <v>-0.13969239999999999</v>
      </c>
      <c r="W3685">
        <v>0.33652330000000003</v>
      </c>
      <c r="X3685">
        <v>0.93125619999999998</v>
      </c>
      <c r="Y3685">
        <v>-5.8446459999999999E-2</v>
      </c>
      <c r="Z3685">
        <v>8.1325849999999995E-3</v>
      </c>
      <c r="AA3685">
        <v>0.99825739999999996</v>
      </c>
      <c r="AB3685">
        <v>45</v>
      </c>
      <c r="AC3685">
        <v>0.417300000000011</v>
      </c>
      <c r="AD3685">
        <v>-0.2282052</v>
      </c>
      <c r="AE3685">
        <v>4.3800000000004502E-2</v>
      </c>
      <c r="AF3685">
        <v>-3.1962951303494698E-2</v>
      </c>
      <c r="AG3685">
        <v>-0.2282052</v>
      </c>
      <c r="AH3685">
        <v>0.32222848707766799</v>
      </c>
      <c r="AI3685">
        <v>125.174290655278</v>
      </c>
      <c r="AJ3685">
        <v>95.664834418374994</v>
      </c>
      <c r="AK3685">
        <v>0.396144470423901</v>
      </c>
      <c r="AL3685">
        <v>70.334804403116806</v>
      </c>
      <c r="AM3685">
        <v>98.531004490268998</v>
      </c>
      <c r="AN3685">
        <v>1.00000000404954</v>
      </c>
    </row>
    <row r="3686" spans="1:40" x14ac:dyDescent="0.25">
      <c r="A3686" t="str">
        <f>"20190304164202213"</f>
        <v>20190304164202213</v>
      </c>
      <c r="B3686" t="str">
        <f>"1551688922204987"</f>
        <v>1551688922204987</v>
      </c>
      <c r="C3686" t="s">
        <v>40</v>
      </c>
      <c r="D3686">
        <v>4.1360270000000003</v>
      </c>
      <c r="E3686">
        <v>0.54527490000000001</v>
      </c>
      <c r="F3686" t="s">
        <v>41</v>
      </c>
      <c r="G3686">
        <v>-355.7004</v>
      </c>
      <c r="H3686">
        <v>0.83972039999999903</v>
      </c>
      <c r="I3686">
        <v>213.9579</v>
      </c>
      <c r="J3686">
        <v>-356.10410000000002</v>
      </c>
      <c r="K3686">
        <v>1.1100159999999999</v>
      </c>
      <c r="L3686">
        <v>213.9057</v>
      </c>
      <c r="M3686">
        <v>0.9999093</v>
      </c>
      <c r="N3686">
        <v>-1.2128709999999999E-2</v>
      </c>
      <c r="O3686">
        <v>5.8683199999999998E-3</v>
      </c>
      <c r="P3686">
        <v>0.93421489999999996</v>
      </c>
      <c r="Q3686">
        <v>0.32544980000000001</v>
      </c>
      <c r="R3686">
        <v>0.14603099999999999</v>
      </c>
      <c r="S3686">
        <v>3.5939329999999998</v>
      </c>
      <c r="T3686">
        <v>-1.211201</v>
      </c>
      <c r="U3686">
        <v>0.245285</v>
      </c>
      <c r="V3686">
        <v>-0.1407069</v>
      </c>
      <c r="W3686">
        <v>0.33669979999999999</v>
      </c>
      <c r="X3686">
        <v>0.93103959999999997</v>
      </c>
      <c r="Y3686">
        <v>-5.9156859999999999E-2</v>
      </c>
      <c r="Z3686">
        <v>8.2059349999999993E-3</v>
      </c>
      <c r="AA3686">
        <v>0.99821499999999996</v>
      </c>
      <c r="AB3686">
        <v>45</v>
      </c>
      <c r="AC3686">
        <v>0.40370000000001399</v>
      </c>
      <c r="AD3686">
        <v>-0.27029560000000002</v>
      </c>
      <c r="AE3686">
        <v>5.2199999999999101E-2</v>
      </c>
      <c r="AF3686">
        <v>-3.4582005805150098E-2</v>
      </c>
      <c r="AG3686">
        <v>-0.27029560000000002</v>
      </c>
      <c r="AH3686">
        <v>0.28037610659565299</v>
      </c>
      <c r="AI3686">
        <v>133.73517573902001</v>
      </c>
      <c r="AJ3686">
        <v>97.031433449214802</v>
      </c>
      <c r="AK3686">
        <v>0.39098131368980299</v>
      </c>
      <c r="AL3686">
        <v>70.324064120613201</v>
      </c>
      <c r="AM3686">
        <v>98.594007561357003</v>
      </c>
      <c r="AN3686">
        <v>0.99999996189790397</v>
      </c>
    </row>
    <row r="3687" spans="1:40" x14ac:dyDescent="0.25">
      <c r="A3687" t="str">
        <f>"20190304164202236"</f>
        <v>20190304164202236</v>
      </c>
      <c r="B3687" t="str">
        <f>"1551688922224506"</f>
        <v>1551688922224506</v>
      </c>
      <c r="C3687" t="s">
        <v>40</v>
      </c>
      <c r="D3687">
        <v>4.1132739999999997</v>
      </c>
      <c r="E3687">
        <v>0.54519329999999999</v>
      </c>
      <c r="F3687" t="s">
        <v>41</v>
      </c>
      <c r="G3687">
        <v>-355.29840000000002</v>
      </c>
      <c r="H3687">
        <v>0.83845820000000004</v>
      </c>
      <c r="I3687">
        <v>213.96129999999999</v>
      </c>
      <c r="J3687">
        <v>-355.6542</v>
      </c>
      <c r="K3687">
        <v>1.1100110000000001</v>
      </c>
      <c r="L3687">
        <v>213.9085</v>
      </c>
      <c r="M3687">
        <v>0.99990829999999997</v>
      </c>
      <c r="N3687">
        <v>-1.211667E-2</v>
      </c>
      <c r="O3687">
        <v>6.0504399999999998E-3</v>
      </c>
      <c r="P3687">
        <v>0.93394820000000001</v>
      </c>
      <c r="Q3687">
        <v>0.32569720000000002</v>
      </c>
      <c r="R3687">
        <v>0.1471809</v>
      </c>
      <c r="S3687">
        <v>3.59436</v>
      </c>
      <c r="T3687">
        <v>-1.211389</v>
      </c>
      <c r="U3687">
        <v>0.24865719999999999</v>
      </c>
      <c r="V3687">
        <v>-0.14168919999999999</v>
      </c>
      <c r="W3687">
        <v>0.33693190000000001</v>
      </c>
      <c r="X3687">
        <v>0.93080660000000004</v>
      </c>
      <c r="Y3687">
        <v>-5.9867999999999998E-2</v>
      </c>
      <c r="Z3687">
        <v>8.2689600000000005E-3</v>
      </c>
      <c r="AA3687">
        <v>0.99817199999999995</v>
      </c>
      <c r="AB3687">
        <v>45</v>
      </c>
      <c r="AC3687">
        <v>0.35579999999998702</v>
      </c>
      <c r="AD3687">
        <v>-0.27155279999999998</v>
      </c>
      <c r="AE3687">
        <v>5.2799999999990598E-2</v>
      </c>
      <c r="AF3687">
        <v>-3.2259716322008303E-2</v>
      </c>
      <c r="AG3687">
        <v>-0.27155279999999998</v>
      </c>
      <c r="AH3687">
        <v>0.22683083100652901</v>
      </c>
      <c r="AI3687">
        <v>139.845152915265</v>
      </c>
      <c r="AJ3687">
        <v>98.094282963898195</v>
      </c>
      <c r="AK3687">
        <v>0.35529401680879602</v>
      </c>
      <c r="AL3687">
        <v>70.309939894834599</v>
      </c>
      <c r="AM3687">
        <v>98.655232051382498</v>
      </c>
      <c r="AN3687">
        <v>0.99999993061890202</v>
      </c>
    </row>
    <row r="3688" spans="1:40" x14ac:dyDescent="0.25">
      <c r="A3688" t="str">
        <f>"20190304164202259"</f>
        <v>20190304164202259</v>
      </c>
      <c r="B3688" t="str">
        <f>"1551688922254762"</f>
        <v>1551688922254762</v>
      </c>
      <c r="C3688" t="s">
        <v>40</v>
      </c>
      <c r="D3688">
        <v>4.1258179999999998</v>
      </c>
      <c r="E3688">
        <v>0.54507989999999995</v>
      </c>
      <c r="F3688" t="s">
        <v>41</v>
      </c>
      <c r="G3688">
        <v>-354.88990000000001</v>
      </c>
      <c r="H3688">
        <v>0.85246730000000004</v>
      </c>
      <c r="I3688">
        <v>213.96170000000001</v>
      </c>
      <c r="J3688">
        <v>-355.17770000000002</v>
      </c>
      <c r="K3688">
        <v>1.110007</v>
      </c>
      <c r="L3688">
        <v>213.91149999999999</v>
      </c>
      <c r="M3688">
        <v>0.99990730000000005</v>
      </c>
      <c r="N3688">
        <v>-1.210001E-2</v>
      </c>
      <c r="O3688">
        <v>6.2436660000000001E-3</v>
      </c>
      <c r="P3688">
        <v>0.93379599999999996</v>
      </c>
      <c r="Q3688">
        <v>0.3258511</v>
      </c>
      <c r="R3688">
        <v>0.14780370000000001</v>
      </c>
      <c r="S3688">
        <v>3.5951230000000001</v>
      </c>
      <c r="T3688">
        <v>-1.211419</v>
      </c>
      <c r="U3688">
        <v>0.25035099999999999</v>
      </c>
      <c r="V3688">
        <v>-0.1421337</v>
      </c>
      <c r="W3688">
        <v>0.33706829999999999</v>
      </c>
      <c r="X3688">
        <v>0.93068949999999995</v>
      </c>
      <c r="Y3688">
        <v>-6.0125190000000002E-2</v>
      </c>
      <c r="Z3688">
        <v>8.2495629999999997E-3</v>
      </c>
      <c r="AA3688">
        <v>0.99815670000000001</v>
      </c>
      <c r="AB3688">
        <v>45</v>
      </c>
      <c r="AC3688">
        <v>0.287800000000004</v>
      </c>
      <c r="AD3688">
        <v>-0.25753969999999898</v>
      </c>
      <c r="AE3688">
        <v>5.0200000000018001E-2</v>
      </c>
      <c r="AF3688">
        <v>-2.7236114005409699E-2</v>
      </c>
      <c r="AG3688">
        <v>-0.25753969999999898</v>
      </c>
      <c r="AH3688">
        <v>0.16212024580751</v>
      </c>
      <c r="AI3688">
        <v>147.449188680665</v>
      </c>
      <c r="AJ3688">
        <v>99.536605755546006</v>
      </c>
      <c r="AK3688">
        <v>0.30553473956801203</v>
      </c>
      <c r="AL3688">
        <v>70.301640343145607</v>
      </c>
      <c r="AM3688">
        <v>98.683047418865002</v>
      </c>
      <c r="AN3688">
        <v>0.99999998647541399</v>
      </c>
    </row>
    <row r="3689" spans="1:40" x14ac:dyDescent="0.25">
      <c r="A3689" t="str">
        <f>"20190304164202282"</f>
        <v>20190304164202282</v>
      </c>
      <c r="B3689" t="str">
        <f>"1551688922274282"</f>
        <v>1551688922274282</v>
      </c>
      <c r="C3689" t="s">
        <v>40</v>
      </c>
      <c r="D3689">
        <v>4.0763379999999998</v>
      </c>
      <c r="E3689">
        <v>0.54503330000000005</v>
      </c>
      <c r="F3689" t="s">
        <v>41</v>
      </c>
      <c r="G3689">
        <v>-354.47809999999998</v>
      </c>
      <c r="H3689">
        <v>0.87408449999999904</v>
      </c>
      <c r="I3689">
        <v>213.96029999999999</v>
      </c>
      <c r="J3689">
        <v>-354.73360000000002</v>
      </c>
      <c r="K3689">
        <v>1.1100019999999999</v>
      </c>
      <c r="L3689">
        <v>213.9145</v>
      </c>
      <c r="M3689">
        <v>0.99990630000000003</v>
      </c>
      <c r="N3689">
        <v>-1.208302E-2</v>
      </c>
      <c r="O3689">
        <v>6.4242530000000004E-3</v>
      </c>
      <c r="P3689">
        <v>0.93365489999999995</v>
      </c>
      <c r="Q3689">
        <v>0.3259975</v>
      </c>
      <c r="R3689">
        <v>0.14837110000000001</v>
      </c>
      <c r="S3689">
        <v>3.5960079999999999</v>
      </c>
      <c r="T3689">
        <v>-1.2125790000000001</v>
      </c>
      <c r="U3689">
        <v>0.2514496</v>
      </c>
      <c r="V3689">
        <v>-0.14253370000000001</v>
      </c>
      <c r="W3689">
        <v>0.33719680000000002</v>
      </c>
      <c r="X3689">
        <v>0.93058180000000001</v>
      </c>
      <c r="Y3689">
        <v>-6.0230699999999998E-2</v>
      </c>
      <c r="Z3689">
        <v>8.2150190000000005E-3</v>
      </c>
      <c r="AA3689">
        <v>0.99815069999999995</v>
      </c>
      <c r="AB3689">
        <v>45</v>
      </c>
      <c r="AC3689">
        <v>0.25550000000003997</v>
      </c>
      <c r="AD3689">
        <v>-0.2359175</v>
      </c>
      <c r="AE3689">
        <v>4.5799999999985602E-2</v>
      </c>
      <c r="AF3689">
        <v>-2.4182084724092199E-2</v>
      </c>
      <c r="AG3689">
        <v>-0.2359175</v>
      </c>
      <c r="AH3689">
        <v>0.14007825209650701</v>
      </c>
      <c r="AI3689">
        <v>148.929264787741</v>
      </c>
      <c r="AJ3689">
        <v>99.794586094147306</v>
      </c>
      <c r="AK3689">
        <v>0.27543376107199702</v>
      </c>
      <c r="AL3689">
        <v>70.293820535559306</v>
      </c>
      <c r="AM3689">
        <v>98.708101985003793</v>
      </c>
      <c r="AN3689">
        <v>1.0000000120285799</v>
      </c>
    </row>
    <row r="3690" spans="1:40" x14ac:dyDescent="0.25">
      <c r="A3690" t="str">
        <f>"20190304164202294"</f>
        <v>20190304164202294</v>
      </c>
      <c r="B3690" t="str">
        <f>"1551688922285019"</f>
        <v>1551688922285019</v>
      </c>
      <c r="C3690" t="s">
        <v>40</v>
      </c>
      <c r="D3690">
        <v>4.1599430000000002</v>
      </c>
      <c r="E3690">
        <v>0.54499439999999999</v>
      </c>
      <c r="F3690" t="s">
        <v>41</v>
      </c>
      <c r="G3690">
        <v>-354.0702</v>
      </c>
      <c r="H3690">
        <v>0.88623299999999905</v>
      </c>
      <c r="I3690">
        <v>213.96129999999999</v>
      </c>
      <c r="J3690">
        <v>-354.47829999999999</v>
      </c>
      <c r="K3690">
        <v>1.1100000000000001</v>
      </c>
      <c r="L3690">
        <v>213.9162</v>
      </c>
      <c r="M3690">
        <v>0.99990590000000001</v>
      </c>
      <c r="N3690">
        <v>-1.2073560000000001E-2</v>
      </c>
      <c r="O3690">
        <v>6.5279639999999998E-3</v>
      </c>
      <c r="P3690">
        <v>0.9336641</v>
      </c>
      <c r="Q3690">
        <v>0.32584869999999999</v>
      </c>
      <c r="R3690">
        <v>0.14864089999999999</v>
      </c>
      <c r="S3690">
        <v>3.5964360000000002</v>
      </c>
      <c r="T3690">
        <v>-1.2130289999999999</v>
      </c>
      <c r="U3690">
        <v>0.25340269999999998</v>
      </c>
      <c r="V3690">
        <v>-0.14270679999999999</v>
      </c>
      <c r="W3690">
        <v>0.33703919999999998</v>
      </c>
      <c r="X3690">
        <v>0.93061229999999995</v>
      </c>
      <c r="Y3690">
        <v>-6.0639060000000002E-2</v>
      </c>
      <c r="Z3690">
        <v>8.2530980000000004E-3</v>
      </c>
      <c r="AA3690">
        <v>0.99812559999999995</v>
      </c>
      <c r="AB3690">
        <v>45</v>
      </c>
      <c r="AC3690">
        <v>0.40809999999999003</v>
      </c>
      <c r="AD3690">
        <v>-0.22376699999999999</v>
      </c>
      <c r="AE3690">
        <v>4.50999999999908E-2</v>
      </c>
      <c r="AF3690">
        <v>-3.2717115727784803E-2</v>
      </c>
      <c r="AG3690">
        <v>-0.22376699999999999</v>
      </c>
      <c r="AH3690">
        <v>0.31486442208237297</v>
      </c>
      <c r="AI3690">
        <v>125.255401991802</v>
      </c>
      <c r="AJ3690">
        <v>95.9322342509941</v>
      </c>
      <c r="AK3690">
        <v>0.38766181685047602</v>
      </c>
      <c r="AL3690">
        <v>70.303410589288504</v>
      </c>
      <c r="AM3690">
        <v>98.718233785964699</v>
      </c>
      <c r="AN3690">
        <v>0.999999953007083</v>
      </c>
    </row>
    <row r="3691" spans="1:40" x14ac:dyDescent="0.25">
      <c r="A3691" t="str">
        <f>"20190304164202309"</f>
        <v>20190304164202309</v>
      </c>
      <c r="B3691" t="str">
        <f>"1551688922304538"</f>
        <v>1551688922304538</v>
      </c>
      <c r="C3691" t="s">
        <v>40</v>
      </c>
      <c r="D3691">
        <v>4.1334269999999904</v>
      </c>
      <c r="E3691">
        <v>0.5449136</v>
      </c>
      <c r="F3691" t="s">
        <v>41</v>
      </c>
      <c r="G3691">
        <v>-353.6859</v>
      </c>
      <c r="H3691">
        <v>0.84246129999999997</v>
      </c>
      <c r="I3691">
        <v>213.97210000000001</v>
      </c>
      <c r="J3691">
        <v>-354.19690000000003</v>
      </c>
      <c r="K3691">
        <v>1.1100019999999999</v>
      </c>
      <c r="L3691">
        <v>213.91810000000001</v>
      </c>
      <c r="M3691">
        <v>0.99990520000000005</v>
      </c>
      <c r="N3691">
        <v>-1.2065269999999999E-2</v>
      </c>
      <c r="O3691">
        <v>6.6422779999999997E-3</v>
      </c>
      <c r="P3691">
        <v>0.93347100000000005</v>
      </c>
      <c r="Q3691">
        <v>0.32620979999999999</v>
      </c>
      <c r="R3691">
        <v>0.1490612</v>
      </c>
      <c r="S3691">
        <v>3.5964659999999999</v>
      </c>
      <c r="T3691">
        <v>-1.2142090000000001</v>
      </c>
      <c r="U3691">
        <v>0.25421139999999998</v>
      </c>
      <c r="V3691">
        <v>-0.14302229999999999</v>
      </c>
      <c r="W3691">
        <v>0.33739029999999998</v>
      </c>
      <c r="X3691">
        <v>0.93043670000000001</v>
      </c>
      <c r="Y3691">
        <v>-6.0742099999999903E-2</v>
      </c>
      <c r="Z3691">
        <v>8.2412590000000008E-3</v>
      </c>
      <c r="AA3691">
        <v>0.99811950000000005</v>
      </c>
      <c r="AB3691">
        <v>45</v>
      </c>
      <c r="AC3691">
        <v>0.51100000000002399</v>
      </c>
      <c r="AD3691">
        <v>-0.26754069999999902</v>
      </c>
      <c r="AE3691">
        <v>5.4000000000001998E-2</v>
      </c>
      <c r="AF3691">
        <v>-3.9811753734924897E-2</v>
      </c>
      <c r="AG3691">
        <v>-0.26754069999999902</v>
      </c>
      <c r="AH3691">
        <v>0.40229021973869</v>
      </c>
      <c r="AI3691">
        <v>123.49703473724099</v>
      </c>
      <c r="AJ3691">
        <v>95.651746512072606</v>
      </c>
      <c r="AK3691">
        <v>0.48476842181534902</v>
      </c>
      <c r="AL3691">
        <v>70.282043893110796</v>
      </c>
      <c r="AM3691">
        <v>98.738834697894703</v>
      </c>
      <c r="AN3691">
        <v>1.0000000227691299</v>
      </c>
    </row>
    <row r="3692" spans="1:40" x14ac:dyDescent="0.25">
      <c r="A3692" t="str">
        <f>"20190304164202326"</f>
        <v>20190304164202326</v>
      </c>
      <c r="B3692" t="str">
        <f>"1551688922314299"</f>
        <v>1551688922314299</v>
      </c>
      <c r="C3692" t="s">
        <v>40</v>
      </c>
      <c r="D3692">
        <v>4.1562320000000001</v>
      </c>
      <c r="E3692">
        <v>0.54487410000000003</v>
      </c>
      <c r="F3692" t="s">
        <v>41</v>
      </c>
      <c r="G3692">
        <v>-353.29809999999998</v>
      </c>
      <c r="H3692">
        <v>0.8066101</v>
      </c>
      <c r="I3692">
        <v>213.982</v>
      </c>
      <c r="J3692">
        <v>-353.85079999999999</v>
      </c>
      <c r="K3692">
        <v>1.110009</v>
      </c>
      <c r="L3692">
        <v>213.9205</v>
      </c>
      <c r="M3692">
        <v>0.99990429999999997</v>
      </c>
      <c r="N3692">
        <v>-1.205986E-2</v>
      </c>
      <c r="O3692">
        <v>6.78328E-3</v>
      </c>
      <c r="P3692">
        <v>0.93340109999999998</v>
      </c>
      <c r="Q3692">
        <v>0.32614979999999999</v>
      </c>
      <c r="R3692">
        <v>0.14962879999999901</v>
      </c>
      <c r="S3692">
        <v>3.597229</v>
      </c>
      <c r="T3692">
        <v>-1.2142219999999999</v>
      </c>
      <c r="U3692">
        <v>0.2562103</v>
      </c>
      <c r="V3692">
        <v>-0.14345929999999901</v>
      </c>
      <c r="W3692">
        <v>0.33732430000000002</v>
      </c>
      <c r="X3692">
        <v>0.93039329999999998</v>
      </c>
      <c r="Y3692">
        <v>-6.112505E-2</v>
      </c>
      <c r="Z3692">
        <v>8.2600269999999996E-3</v>
      </c>
      <c r="AA3692">
        <v>0.99809590000000004</v>
      </c>
      <c r="AB3692">
        <v>45</v>
      </c>
      <c r="AC3692">
        <v>0.55270000000001496</v>
      </c>
      <c r="AD3692">
        <v>-0.30339890000000003</v>
      </c>
      <c r="AE3692">
        <v>6.1499999999995197E-2</v>
      </c>
      <c r="AF3692">
        <v>-4.4502927316568297E-2</v>
      </c>
      <c r="AG3692">
        <v>-0.30339890000000003</v>
      </c>
      <c r="AH3692">
        <v>0.42623571318568898</v>
      </c>
      <c r="AI3692">
        <v>125.297033880181</v>
      </c>
      <c r="AJ3692">
        <v>95.960609348766994</v>
      </c>
      <c r="AK3692">
        <v>0.52507931425249199</v>
      </c>
      <c r="AL3692">
        <v>70.286059891586206</v>
      </c>
      <c r="AM3692">
        <v>98.765524410122794</v>
      </c>
      <c r="AN3692">
        <v>0.99999997340593405</v>
      </c>
    </row>
    <row r="3693" spans="1:40" x14ac:dyDescent="0.25">
      <c r="A3693" t="str">
        <f>"20190304164202348"</f>
        <v>20190304164202348</v>
      </c>
      <c r="B3693" t="str">
        <f>"1551688922344555"</f>
        <v>1551688922344555</v>
      </c>
      <c r="C3693" t="s">
        <v>40</v>
      </c>
      <c r="D3693">
        <v>4.0852440000000003</v>
      </c>
      <c r="E3693">
        <v>0.5447611</v>
      </c>
      <c r="F3693" t="s">
        <v>41</v>
      </c>
      <c r="G3693">
        <v>-352.90050000000002</v>
      </c>
      <c r="H3693">
        <v>0.78898740000000001</v>
      </c>
      <c r="I3693">
        <v>213.98869999999999</v>
      </c>
      <c r="J3693">
        <v>-353.39339999999999</v>
      </c>
      <c r="K3693">
        <v>1.1100139999999901</v>
      </c>
      <c r="L3693">
        <v>213.9238</v>
      </c>
      <c r="M3693">
        <v>0.99990299999999999</v>
      </c>
      <c r="N3693">
        <v>-1.2065330000000001E-2</v>
      </c>
      <c r="O3693">
        <v>6.9694079999999999E-3</v>
      </c>
      <c r="P3693">
        <v>0.93288340000000003</v>
      </c>
      <c r="Q3693">
        <v>0.3273006</v>
      </c>
      <c r="R3693">
        <v>0.15034339999999999</v>
      </c>
      <c r="S3693">
        <v>3.5972599999999999</v>
      </c>
      <c r="T3693">
        <v>-1.2151809999999901</v>
      </c>
      <c r="U3693">
        <v>0.2583008</v>
      </c>
      <c r="V3693">
        <v>-0.144005299999999</v>
      </c>
      <c r="W3693">
        <v>0.33847359999999999</v>
      </c>
      <c r="X3693">
        <v>0.92989140000000003</v>
      </c>
      <c r="Y3693">
        <v>-6.1499270000000002E-2</v>
      </c>
      <c r="Z3693">
        <v>8.2707219999999994E-3</v>
      </c>
      <c r="AA3693">
        <v>0.99807290000000004</v>
      </c>
      <c r="AB3693">
        <v>45</v>
      </c>
      <c r="AC3693">
        <v>0.49289999999996298</v>
      </c>
      <c r="AD3693">
        <v>-0.321026599999999</v>
      </c>
      <c r="AE3693">
        <v>6.4899999999994407E-2</v>
      </c>
      <c r="AF3693">
        <v>-4.3376479068619397E-2</v>
      </c>
      <c r="AG3693">
        <v>-0.321026599999999</v>
      </c>
      <c r="AH3693">
        <v>0.34816694528527198</v>
      </c>
      <c r="AI3693">
        <v>132.457713705408</v>
      </c>
      <c r="AJ3693">
        <v>97.101619453068395</v>
      </c>
      <c r="AK3693">
        <v>0.47556263376470997</v>
      </c>
      <c r="AL3693">
        <v>70.216094381904099</v>
      </c>
      <c r="AM3693">
        <v>98.803039071509104</v>
      </c>
      <c r="AN3693">
        <v>0.99999996005950398</v>
      </c>
    </row>
    <row r="3694" spans="1:40" x14ac:dyDescent="0.25">
      <c r="A3694" t="str">
        <f>"20190304164202371"</f>
        <v>20190304164202371</v>
      </c>
      <c r="B3694" t="str">
        <f>"1551688922365051"</f>
        <v>1551688922365051</v>
      </c>
      <c r="C3694" t="s">
        <v>40</v>
      </c>
      <c r="D3694">
        <v>4.0949400000000002</v>
      </c>
      <c r="E3694">
        <v>0.54472229999999999</v>
      </c>
      <c r="F3694" t="s">
        <v>41</v>
      </c>
      <c r="G3694">
        <v>-352.49220000000003</v>
      </c>
      <c r="H3694">
        <v>0.80637239999999999</v>
      </c>
      <c r="I3694">
        <v>213.98920000000001</v>
      </c>
      <c r="J3694">
        <v>-352.92219999999998</v>
      </c>
      <c r="K3694">
        <v>1.1100380000000001</v>
      </c>
      <c r="L3694">
        <v>213.9272</v>
      </c>
      <c r="M3694">
        <v>0.99990129999999999</v>
      </c>
      <c r="N3694">
        <v>-1.209382E-2</v>
      </c>
      <c r="O3694">
        <v>7.1629930000000003E-3</v>
      </c>
      <c r="P3694">
        <v>0.93250520000000003</v>
      </c>
      <c r="Q3694">
        <v>0.3280419</v>
      </c>
      <c r="R3694">
        <v>0.1510726</v>
      </c>
      <c r="S3694">
        <v>3.5992130000000002</v>
      </c>
      <c r="T3694">
        <v>-1.2126049999999999</v>
      </c>
      <c r="U3694">
        <v>0.2606812</v>
      </c>
      <c r="V3694">
        <v>-0.14455950000000001</v>
      </c>
      <c r="W3694">
        <v>0.33923589999999998</v>
      </c>
      <c r="X3694">
        <v>0.92952760000000001</v>
      </c>
      <c r="Y3694">
        <v>-6.1925460000000002E-2</v>
      </c>
      <c r="Z3694">
        <v>8.2632550000000006E-3</v>
      </c>
      <c r="AA3694">
        <v>0.99804660000000001</v>
      </c>
      <c r="AB3694">
        <v>45</v>
      </c>
      <c r="AC3694">
        <v>0.42999999999994998</v>
      </c>
      <c r="AD3694">
        <v>-0.30366559999999898</v>
      </c>
      <c r="AE3694">
        <v>6.2000000000011803E-2</v>
      </c>
      <c r="AF3694">
        <v>-3.9580595561795197E-2</v>
      </c>
      <c r="AG3694">
        <v>-0.30366559999999898</v>
      </c>
      <c r="AH3694">
        <v>0.28916070703369501</v>
      </c>
      <c r="AI3694">
        <v>136.13596247626</v>
      </c>
      <c r="AJ3694">
        <v>97.794263433615797</v>
      </c>
      <c r="AK3694">
        <v>0.42118088116700197</v>
      </c>
      <c r="AL3694">
        <v>70.16967222625</v>
      </c>
      <c r="AM3694">
        <v>98.839787438853804</v>
      </c>
      <c r="AN3694">
        <v>1.0000000020254101</v>
      </c>
    </row>
    <row r="3695" spans="1:40" x14ac:dyDescent="0.25">
      <c r="A3695" t="str">
        <f>"20190304164202393"</f>
        <v>20190304164202393</v>
      </c>
      <c r="B3695" t="str">
        <f>"1551688922384570"</f>
        <v>1551688922384570</v>
      </c>
      <c r="C3695" t="s">
        <v>40</v>
      </c>
      <c r="D3695">
        <v>4.1338860000000004</v>
      </c>
      <c r="E3695">
        <v>0.54464519999999905</v>
      </c>
      <c r="F3695" t="s">
        <v>41</v>
      </c>
      <c r="G3695">
        <v>-352.08049999999997</v>
      </c>
      <c r="H3695">
        <v>0.82715930000000004</v>
      </c>
      <c r="I3695">
        <v>213.9881</v>
      </c>
      <c r="J3695">
        <v>-352.49130000000002</v>
      </c>
      <c r="K3695">
        <v>1.1100730000000001</v>
      </c>
      <c r="L3695">
        <v>213.93049999999999</v>
      </c>
      <c r="M3695">
        <v>0.99989910000000004</v>
      </c>
      <c r="N3695">
        <v>-1.216572E-2</v>
      </c>
      <c r="O3695">
        <v>7.3388069999999897E-3</v>
      </c>
      <c r="P3695">
        <v>0.93203559999999996</v>
      </c>
      <c r="Q3695">
        <v>0.32921119999999998</v>
      </c>
      <c r="R3695">
        <v>0.151425</v>
      </c>
      <c r="S3695">
        <v>3.600403</v>
      </c>
      <c r="T3695">
        <v>-1.2099930000000001</v>
      </c>
      <c r="U3695">
        <v>0.2616272</v>
      </c>
      <c r="V3695">
        <v>-0.14475439999999901</v>
      </c>
      <c r="W3695">
        <v>0.34046500000000002</v>
      </c>
      <c r="X3695">
        <v>0.92904779999999998</v>
      </c>
      <c r="Y3695">
        <v>-6.2005560000000001E-2</v>
      </c>
      <c r="Z3695">
        <v>8.2058440000000003E-3</v>
      </c>
      <c r="AA3695">
        <v>0.99804199999999998</v>
      </c>
      <c r="AB3695">
        <v>45</v>
      </c>
      <c r="AC3695">
        <v>0.41080000000005101</v>
      </c>
      <c r="AD3695">
        <v>-0.28291369999999899</v>
      </c>
      <c r="AE3695">
        <v>5.7600000000007798E-2</v>
      </c>
      <c r="AF3695">
        <v>-3.7254545172459998E-2</v>
      </c>
      <c r="AG3695">
        <v>-0.28291369999999899</v>
      </c>
      <c r="AH3695">
        <v>0.28066210473964298</v>
      </c>
      <c r="AI3695">
        <v>134.97872740915599</v>
      </c>
      <c r="AJ3695">
        <v>97.561130234502201</v>
      </c>
      <c r="AK3695">
        <v>0.40024902226062098</v>
      </c>
      <c r="AL3695">
        <v>70.094793790538802</v>
      </c>
      <c r="AM3695">
        <v>98.856015795169199</v>
      </c>
      <c r="AN3695">
        <v>1.00000003361459</v>
      </c>
    </row>
    <row r="3696" spans="1:40" x14ac:dyDescent="0.25">
      <c r="A3696" t="str">
        <f>"20190304164202414"</f>
        <v>20190304164202414</v>
      </c>
      <c r="B3696" t="str">
        <f>"1551688922405067"</f>
        <v>1551688922405067</v>
      </c>
      <c r="C3696" t="s">
        <v>40</v>
      </c>
      <c r="D3696">
        <v>4.1199909999999997</v>
      </c>
      <c r="E3696">
        <v>0.54455549999999997</v>
      </c>
      <c r="F3696" t="s">
        <v>41</v>
      </c>
      <c r="G3696">
        <v>-351.6739</v>
      </c>
      <c r="H3696">
        <v>0.83624949999999998</v>
      </c>
      <c r="I3696">
        <v>213.99</v>
      </c>
      <c r="J3696">
        <v>-352.05799999999999</v>
      </c>
      <c r="K3696">
        <v>1.1101190000000001</v>
      </c>
      <c r="L3696">
        <v>213.93379999999999</v>
      </c>
      <c r="M3696">
        <v>0.99989600000000001</v>
      </c>
      <c r="N3696">
        <v>-1.231836E-2</v>
      </c>
      <c r="O3696">
        <v>7.5057199999999996E-3</v>
      </c>
      <c r="P3696">
        <v>0.93175909999999995</v>
      </c>
      <c r="Q3696">
        <v>0.329905</v>
      </c>
      <c r="R3696">
        <v>0.15161749999999999</v>
      </c>
      <c r="S3696">
        <v>3.6022949999999998</v>
      </c>
      <c r="T3696">
        <v>-1.206806</v>
      </c>
      <c r="U3696">
        <v>0.2630615</v>
      </c>
      <c r="V3696">
        <v>-0.1447956</v>
      </c>
      <c r="W3696">
        <v>0.34129619999999999</v>
      </c>
      <c r="X3696">
        <v>0.92873629999999996</v>
      </c>
      <c r="Y3696">
        <v>-6.221024E-2</v>
      </c>
      <c r="Z3696">
        <v>8.1707989999999994E-3</v>
      </c>
      <c r="AA3696">
        <v>0.99802959999999996</v>
      </c>
      <c r="AB3696">
        <v>45</v>
      </c>
      <c r="AC3696">
        <v>0.38410000000004602</v>
      </c>
      <c r="AD3696">
        <v>-0.27386949999999999</v>
      </c>
      <c r="AE3696">
        <v>5.6200000000018201E-2</v>
      </c>
      <c r="AF3696">
        <v>-3.55972219784009E-2</v>
      </c>
      <c r="AG3696">
        <v>-0.27386949999999999</v>
      </c>
      <c r="AH3696">
        <v>0.256728127701145</v>
      </c>
      <c r="AI3696">
        <v>136.57805474503999</v>
      </c>
      <c r="AJ3696">
        <v>97.894142802162193</v>
      </c>
      <c r="AK3696">
        <v>0.377068954961509</v>
      </c>
      <c r="AL3696">
        <v>70.044134497048901</v>
      </c>
      <c r="AM3696">
        <v>98.861420434109405</v>
      </c>
      <c r="AN3696">
        <v>0.999999988425744</v>
      </c>
    </row>
    <row r="3697" spans="1:40" x14ac:dyDescent="0.25">
      <c r="A3697" t="str">
        <f>"20190304164202428"</f>
        <v>20190304164202428</v>
      </c>
      <c r="B3697" t="str">
        <f>"1551688922424586"</f>
        <v>1551688922424586</v>
      </c>
      <c r="C3697" t="s">
        <v>40</v>
      </c>
      <c r="D3697">
        <v>4.1477930000000001</v>
      </c>
      <c r="E3697">
        <v>0.54446919999999899</v>
      </c>
      <c r="F3697" t="s">
        <v>41</v>
      </c>
      <c r="G3697">
        <v>-351.26760000000002</v>
      </c>
      <c r="H3697">
        <v>0.845639899999999</v>
      </c>
      <c r="I3697">
        <v>213.99160000000001</v>
      </c>
      <c r="J3697">
        <v>-351.78480000000002</v>
      </c>
      <c r="K3697">
        <v>1.110152</v>
      </c>
      <c r="L3697">
        <v>213.9359</v>
      </c>
      <c r="M3697">
        <v>0.99989349999999999</v>
      </c>
      <c r="N3697">
        <v>-1.245776E-2</v>
      </c>
      <c r="O3697">
        <v>7.6081639999999997E-3</v>
      </c>
      <c r="P3697">
        <v>0.9318111</v>
      </c>
      <c r="Q3697">
        <v>0.32978220000000003</v>
      </c>
      <c r="R3697">
        <v>0.15156539999999999</v>
      </c>
      <c r="S3697">
        <v>3.6034549999999999</v>
      </c>
      <c r="T3697">
        <v>-1.205748</v>
      </c>
      <c r="U3697">
        <v>0.26506039999999997</v>
      </c>
      <c r="V3697">
        <v>-0.14464730000000001</v>
      </c>
      <c r="W3697">
        <v>0.3413042</v>
      </c>
      <c r="X3697">
        <v>0.92875649999999998</v>
      </c>
      <c r="Y3697">
        <v>-6.2622689999999995E-2</v>
      </c>
      <c r="Z3697">
        <v>8.2050500000000002E-3</v>
      </c>
      <c r="AA3697">
        <v>0.99800350000000004</v>
      </c>
      <c r="AB3697">
        <v>45</v>
      </c>
      <c r="AC3697">
        <v>0.51720000000000199</v>
      </c>
      <c r="AD3697">
        <v>-0.26451210000000003</v>
      </c>
      <c r="AE3697">
        <v>5.5700000000001602E-2</v>
      </c>
      <c r="AF3697">
        <v>-4.1128771388638401E-2</v>
      </c>
      <c r="AG3697">
        <v>-0.26451210000000003</v>
      </c>
      <c r="AH3697">
        <v>0.41126978541440301</v>
      </c>
      <c r="AI3697">
        <v>122.617918744302</v>
      </c>
      <c r="AJ3697">
        <v>95.7108404337568</v>
      </c>
      <c r="AK3697">
        <v>0.49071484925275899</v>
      </c>
      <c r="AL3697">
        <v>70.043647450701599</v>
      </c>
      <c r="AM3697">
        <v>98.852298880663298</v>
      </c>
      <c r="AN3697">
        <v>1.0000000173135899</v>
      </c>
    </row>
    <row r="3698" spans="1:40" x14ac:dyDescent="0.25">
      <c r="A3698" t="str">
        <f>"20190304164202448"</f>
        <v>20190304164202448</v>
      </c>
      <c r="B3698" t="str">
        <f>"1551688922445083"</f>
        <v>1551688922445083</v>
      </c>
      <c r="C3698" t="s">
        <v>40</v>
      </c>
      <c r="D3698">
        <v>4.1683190000000003</v>
      </c>
      <c r="E3698">
        <v>0.54436430000000002</v>
      </c>
      <c r="F3698" t="s">
        <v>41</v>
      </c>
      <c r="G3698">
        <v>-350.88189999999997</v>
      </c>
      <c r="H3698">
        <v>0.80749669999999996</v>
      </c>
      <c r="I3698">
        <v>214.0027</v>
      </c>
      <c r="J3698">
        <v>-351.36849999999998</v>
      </c>
      <c r="K3698">
        <v>1.1101970000000001</v>
      </c>
      <c r="L3698">
        <v>213.9392</v>
      </c>
      <c r="M3698">
        <v>0.99988920000000003</v>
      </c>
      <c r="N3698">
        <v>-1.2715239999999999E-2</v>
      </c>
      <c r="O3698">
        <v>7.7650430000000001E-3</v>
      </c>
      <c r="P3698">
        <v>0.93213460000000004</v>
      </c>
      <c r="Q3698">
        <v>0.32886670000000001</v>
      </c>
      <c r="R3698">
        <v>0.151565899999999</v>
      </c>
      <c r="S3698">
        <v>3.6036380000000001</v>
      </c>
      <c r="T3698">
        <v>-1.2078549999999999</v>
      </c>
      <c r="U3698">
        <v>0.26640320000000001</v>
      </c>
      <c r="V3698">
        <v>-0.14449329999999999</v>
      </c>
      <c r="W3698">
        <v>0.34063500000000002</v>
      </c>
      <c r="X3698">
        <v>0.92902609999999997</v>
      </c>
      <c r="Y3698">
        <v>-6.2815830000000003E-2</v>
      </c>
      <c r="Z3698">
        <v>8.2111649999999994E-3</v>
      </c>
      <c r="AA3698">
        <v>0.99799139999999997</v>
      </c>
      <c r="AB3698">
        <v>45</v>
      </c>
      <c r="AC3698">
        <v>0.48660000000000903</v>
      </c>
      <c r="AD3698">
        <v>-0.30270029999999898</v>
      </c>
      <c r="AE3698">
        <v>6.3500000000004705E-2</v>
      </c>
      <c r="AF3698">
        <v>-4.3259374177375097E-2</v>
      </c>
      <c r="AG3698">
        <v>-0.30270029999999898</v>
      </c>
      <c r="AH3698">
        <v>0.35282906991018598</v>
      </c>
      <c r="AI3698">
        <v>130.41594825963901</v>
      </c>
      <c r="AJ3698">
        <v>96.989987056101796</v>
      </c>
      <c r="AK3698">
        <v>0.46689099118316102</v>
      </c>
      <c r="AL3698">
        <v>70.084433704485207</v>
      </c>
      <c r="AM3698">
        <v>98.840497567416705</v>
      </c>
      <c r="AN3698">
        <v>1.00000000572555</v>
      </c>
    </row>
    <row r="3699" spans="1:40" x14ac:dyDescent="0.25">
      <c r="A3699" t="str">
        <f>"20190304164202472"</f>
        <v>20190304164202472</v>
      </c>
      <c r="B3699" t="str">
        <f>"1551688922464602"</f>
        <v>1551688922464602</v>
      </c>
      <c r="C3699" t="s">
        <v>40</v>
      </c>
      <c r="D3699">
        <v>4.1681839999999903</v>
      </c>
      <c r="E3699">
        <v>0.54425709999999905</v>
      </c>
      <c r="F3699" t="s">
        <v>41</v>
      </c>
      <c r="G3699">
        <v>-350.47919999999999</v>
      </c>
      <c r="H3699">
        <v>0.81076099999999995</v>
      </c>
      <c r="I3699">
        <v>214.00460000000001</v>
      </c>
      <c r="J3699">
        <v>-350.90050000000002</v>
      </c>
      <c r="K3699">
        <v>1.1102339999999999</v>
      </c>
      <c r="L3699">
        <v>213.94300000000001</v>
      </c>
      <c r="M3699">
        <v>0.99988379999999999</v>
      </c>
      <c r="N3699">
        <v>-1.3024040000000001E-2</v>
      </c>
      <c r="O3699">
        <v>7.9419350000000007E-3</v>
      </c>
      <c r="P3699">
        <v>0.93271890000000002</v>
      </c>
      <c r="Q3699">
        <v>0.32729789999999997</v>
      </c>
      <c r="R3699">
        <v>0.15136549999999999</v>
      </c>
      <c r="S3699">
        <v>3.6030579999999999</v>
      </c>
      <c r="T3699">
        <v>-1.2131350000000001</v>
      </c>
      <c r="U3699">
        <v>0.26687620000000001</v>
      </c>
      <c r="V3699">
        <v>-0.14411260000000001</v>
      </c>
      <c r="W3699">
        <v>0.33936509999999998</v>
      </c>
      <c r="X3699">
        <v>0.92954979999999998</v>
      </c>
      <c r="Y3699">
        <v>-6.276205E-2</v>
      </c>
      <c r="Z3699">
        <v>8.1918430000000007E-3</v>
      </c>
      <c r="AA3699">
        <v>0.99799490000000002</v>
      </c>
      <c r="AB3699">
        <v>45</v>
      </c>
      <c r="AC3699">
        <v>0.42130000000002998</v>
      </c>
      <c r="AD3699">
        <v>-0.29947299999999999</v>
      </c>
      <c r="AE3699">
        <v>6.1600000000026897E-2</v>
      </c>
      <c r="AF3699">
        <v>-3.8972147366529798E-2</v>
      </c>
      <c r="AG3699">
        <v>-0.29947299999999999</v>
      </c>
      <c r="AH3699">
        <v>0.28218021057814202</v>
      </c>
      <c r="AI3699">
        <v>136.432681250168</v>
      </c>
      <c r="AJ3699">
        <v>97.863423104576199</v>
      </c>
      <c r="AK3699">
        <v>0.413314138690274</v>
      </c>
      <c r="AL3699">
        <v>70.161802152253401</v>
      </c>
      <c r="AM3699">
        <v>98.812682055719606</v>
      </c>
      <c r="AN3699">
        <v>0.99999997162840404</v>
      </c>
    </row>
    <row r="3700" spans="1:40" x14ac:dyDescent="0.25">
      <c r="A3700" t="str">
        <f>"20190304164202493"</f>
        <v>20190304164202493</v>
      </c>
      <c r="B3700" t="str">
        <f>"1551688922485099"</f>
        <v>1551688922485099</v>
      </c>
      <c r="C3700" t="s">
        <v>40</v>
      </c>
      <c r="D3700">
        <v>4.1820750000000002</v>
      </c>
      <c r="E3700">
        <v>0.54415309999999995</v>
      </c>
      <c r="F3700" t="s">
        <v>41</v>
      </c>
      <c r="G3700">
        <v>-350.07060000000001</v>
      </c>
      <c r="H3700">
        <v>0.82884659999999999</v>
      </c>
      <c r="I3700">
        <v>214.00470000000001</v>
      </c>
      <c r="J3700">
        <v>-350.47680000000003</v>
      </c>
      <c r="K3700">
        <v>1.110263</v>
      </c>
      <c r="L3700">
        <v>213.94649999999999</v>
      </c>
      <c r="M3700">
        <v>0.99987890000000001</v>
      </c>
      <c r="N3700">
        <v>-1.329374E-2</v>
      </c>
      <c r="O3700">
        <v>8.0978769999999999E-3</v>
      </c>
      <c r="P3700">
        <v>0.93280149999999995</v>
      </c>
      <c r="Q3700">
        <v>0.32720290000000002</v>
      </c>
      <c r="R3700">
        <v>0.1510619</v>
      </c>
      <c r="S3700">
        <v>3.6014400000000002</v>
      </c>
      <c r="T3700">
        <v>-1.221058</v>
      </c>
      <c r="U3700">
        <v>0.26745609999999997</v>
      </c>
      <c r="V3700">
        <v>-0.1436547</v>
      </c>
      <c r="W3700">
        <v>0.3395261</v>
      </c>
      <c r="X3700">
        <v>0.92956190000000005</v>
      </c>
      <c r="Y3700">
        <v>-6.2761399999999995E-2</v>
      </c>
      <c r="Z3700">
        <v>8.204009E-3</v>
      </c>
      <c r="AA3700">
        <v>0.99799479999999996</v>
      </c>
      <c r="AB3700">
        <v>45</v>
      </c>
      <c r="AC3700">
        <v>0.406200000000012</v>
      </c>
      <c r="AD3700">
        <v>-0.28141640000000001</v>
      </c>
      <c r="AE3700">
        <v>5.8200000000027702E-2</v>
      </c>
      <c r="AF3700">
        <v>-3.73445474422869E-2</v>
      </c>
      <c r="AG3700">
        <v>-0.28141640000000001</v>
      </c>
      <c r="AH3700">
        <v>0.27657785790304001</v>
      </c>
      <c r="AI3700">
        <v>135.238045942307</v>
      </c>
      <c r="AJ3700">
        <v>97.689777653723894</v>
      </c>
      <c r="AK3700">
        <v>0.39633964840129698</v>
      </c>
      <c r="AL3700">
        <v>70.151995544036097</v>
      </c>
      <c r="AM3700">
        <v>98.785005764623904</v>
      </c>
      <c r="AN3700">
        <v>0.99999998567245496</v>
      </c>
    </row>
    <row r="3701" spans="1:40" x14ac:dyDescent="0.25">
      <c r="A3701" t="str">
        <f>"20190304164202515"</f>
        <v>20190304164202515</v>
      </c>
      <c r="B3701" t="str">
        <f>"1551688922504618"</f>
        <v>1551688922504618</v>
      </c>
      <c r="C3701" t="s">
        <v>40</v>
      </c>
      <c r="D3701">
        <v>4.1657489999999999</v>
      </c>
      <c r="E3701">
        <v>0.54405159999999997</v>
      </c>
      <c r="F3701" t="s">
        <v>41</v>
      </c>
      <c r="G3701">
        <v>-349.66730000000001</v>
      </c>
      <c r="H3701">
        <v>0.83533670000000004</v>
      </c>
      <c r="I3701">
        <v>214.00630000000001</v>
      </c>
      <c r="J3701">
        <v>-350.04129999999998</v>
      </c>
      <c r="K3701">
        <v>1.1102959999999999</v>
      </c>
      <c r="L3701">
        <v>213.9502</v>
      </c>
      <c r="M3701">
        <v>0.99987420000000005</v>
      </c>
      <c r="N3701">
        <v>-1.3550609999999999E-2</v>
      </c>
      <c r="O3701">
        <v>8.2476719999999993E-3</v>
      </c>
      <c r="P3701">
        <v>0.93276230000000004</v>
      </c>
      <c r="Q3701">
        <v>0.32735310000000001</v>
      </c>
      <c r="R3701">
        <v>0.15097820000000001</v>
      </c>
      <c r="S3701">
        <v>3.6019589999999901</v>
      </c>
      <c r="T3701">
        <v>-1.223285</v>
      </c>
      <c r="U3701">
        <v>0.2673645</v>
      </c>
      <c r="V3701">
        <v>-0.14342349999999901</v>
      </c>
      <c r="W3701">
        <v>0.339918</v>
      </c>
      <c r="X3701">
        <v>0.92945440000000001</v>
      </c>
      <c r="Y3701">
        <v>-6.2580520000000001E-2</v>
      </c>
      <c r="Z3701">
        <v>8.1480430000000006E-3</v>
      </c>
      <c r="AA3701">
        <v>0.99800659999999997</v>
      </c>
      <c r="AB3701">
        <v>45</v>
      </c>
      <c r="AC3701">
        <v>0.37399999999996603</v>
      </c>
      <c r="AD3701">
        <v>-0.27495929999999902</v>
      </c>
      <c r="AE3701">
        <v>5.6100000000014902E-2</v>
      </c>
      <c r="AF3701">
        <v>-3.4680783869076401E-2</v>
      </c>
      <c r="AG3701">
        <v>-0.27495929999999902</v>
      </c>
      <c r="AH3701">
        <v>0.24496210616663899</v>
      </c>
      <c r="AI3701">
        <v>138.01951834513699</v>
      </c>
      <c r="AJ3701">
        <v>98.058160077108198</v>
      </c>
      <c r="AK3701">
        <v>0.36988080091275199</v>
      </c>
      <c r="AL3701">
        <v>70.128122030310706</v>
      </c>
      <c r="AM3701">
        <v>98.772085758053507</v>
      </c>
      <c r="AN3701">
        <v>1.0000000143778001</v>
      </c>
    </row>
    <row r="3702" spans="1:40" x14ac:dyDescent="0.25">
      <c r="A3702" t="str">
        <f>"20190304164202538"</f>
        <v>20190304164202538</v>
      </c>
      <c r="B3702" t="str">
        <f>"1551688922534875"</f>
        <v>1551688922534875</v>
      </c>
      <c r="C3702" t="s">
        <v>40</v>
      </c>
      <c r="D3702">
        <v>4.1922439999999996</v>
      </c>
      <c r="E3702">
        <v>0.54392559999999901</v>
      </c>
      <c r="F3702" t="s">
        <v>41</v>
      </c>
      <c r="G3702">
        <v>-349.26280000000003</v>
      </c>
      <c r="H3702">
        <v>0.84572990000000003</v>
      </c>
      <c r="I3702">
        <v>214.00790000000001</v>
      </c>
      <c r="J3702">
        <v>-349.58080000000001</v>
      </c>
      <c r="K3702">
        <v>1.1103069999999999</v>
      </c>
      <c r="L3702">
        <v>213.95410000000001</v>
      </c>
      <c r="M3702">
        <v>0.99986960000000003</v>
      </c>
      <c r="N3702">
        <v>-1.379762E-2</v>
      </c>
      <c r="O3702">
        <v>8.38969E-3</v>
      </c>
      <c r="P3702">
        <v>0.93271289999999996</v>
      </c>
      <c r="Q3702">
        <v>0.32747900000000002</v>
      </c>
      <c r="R3702">
        <v>0.1510109</v>
      </c>
      <c r="S3702">
        <v>3.6026609999999999</v>
      </c>
      <c r="T3702">
        <v>-1.2243189999999999</v>
      </c>
      <c r="U3702">
        <v>0.26727289999999998</v>
      </c>
      <c r="V3702">
        <v>-0.14331679999999999</v>
      </c>
      <c r="W3702">
        <v>0.34027669999999999</v>
      </c>
      <c r="X3702">
        <v>0.92933960000000004</v>
      </c>
      <c r="Y3702">
        <v>-6.240917E-2</v>
      </c>
      <c r="Z3702">
        <v>8.0882230000000003E-3</v>
      </c>
      <c r="AA3702">
        <v>0.99801779999999995</v>
      </c>
      <c r="AB3702">
        <v>45</v>
      </c>
      <c r="AC3702">
        <v>0.31799999999998302</v>
      </c>
      <c r="AD3702">
        <v>-0.26457709999999901</v>
      </c>
      <c r="AE3702">
        <v>5.37999999999954E-2</v>
      </c>
      <c r="AF3702">
        <v>-3.05624150740678E-2</v>
      </c>
      <c r="AG3702">
        <v>-0.26457709999999901</v>
      </c>
      <c r="AH3702">
        <v>0.19034451769137001</v>
      </c>
      <c r="AI3702">
        <v>143.92127305658701</v>
      </c>
      <c r="AJ3702">
        <v>99.121764142476394</v>
      </c>
      <c r="AK3702">
        <v>0.32736239624417701</v>
      </c>
      <c r="AL3702">
        <v>70.106267289052496</v>
      </c>
      <c r="AM3702">
        <v>98.766727141125003</v>
      </c>
      <c r="AN3702">
        <v>1.0000000149266399</v>
      </c>
    </row>
    <row r="3703" spans="1:40" x14ac:dyDescent="0.25">
      <c r="A3703" t="str">
        <f>"20190304164202560"</f>
        <v>20190304164202560</v>
      </c>
      <c r="B3703" t="str">
        <f>"1551688922554395"</f>
        <v>1551688922554395</v>
      </c>
      <c r="C3703" t="s">
        <v>40</v>
      </c>
      <c r="D3703">
        <v>4.2151870000000002</v>
      </c>
      <c r="E3703">
        <v>0.54385699999999904</v>
      </c>
      <c r="F3703" t="s">
        <v>41</v>
      </c>
      <c r="G3703">
        <v>-348.85570000000001</v>
      </c>
      <c r="H3703">
        <v>0.86357589999999995</v>
      </c>
      <c r="I3703">
        <v>214.00790000000001</v>
      </c>
      <c r="J3703">
        <v>-349.13940000000002</v>
      </c>
      <c r="K3703">
        <v>1.1103179999999999</v>
      </c>
      <c r="L3703">
        <v>213.9579</v>
      </c>
      <c r="M3703">
        <v>0.99986569999999997</v>
      </c>
      <c r="N3703">
        <v>-1.4010699999999999E-2</v>
      </c>
      <c r="O3703">
        <v>8.5103360000000003E-3</v>
      </c>
      <c r="P3703">
        <v>0.93282160000000003</v>
      </c>
      <c r="Q3703">
        <v>0.3273046</v>
      </c>
      <c r="R3703">
        <v>0.1507174</v>
      </c>
      <c r="S3703">
        <v>3.6033629999999999</v>
      </c>
      <c r="T3703">
        <v>-1.226118</v>
      </c>
      <c r="U3703">
        <v>0.26927190000000001</v>
      </c>
      <c r="V3703">
        <v>-0.142901799999999</v>
      </c>
      <c r="W3703">
        <v>0.34030539999999998</v>
      </c>
      <c r="X3703">
        <v>0.92939300000000002</v>
      </c>
      <c r="Y3703">
        <v>-6.2797989999999998E-2</v>
      </c>
      <c r="Z3703">
        <v>8.1346370000000001E-3</v>
      </c>
      <c r="AA3703">
        <v>0.99799309999999997</v>
      </c>
      <c r="AB3703">
        <v>45</v>
      </c>
      <c r="AC3703">
        <v>0.28370000000001</v>
      </c>
      <c r="AD3703">
        <v>-0.24674209999999999</v>
      </c>
      <c r="AE3703">
        <v>5.0000000000011299E-2</v>
      </c>
      <c r="AF3703">
        <v>-2.7447195392162602E-2</v>
      </c>
      <c r="AG3703">
        <v>-0.24674209999999999</v>
      </c>
      <c r="AH3703">
        <v>0.163883620127875</v>
      </c>
      <c r="AI3703">
        <v>146.04207456095901</v>
      </c>
      <c r="AJ3703">
        <v>99.507645984990006</v>
      </c>
      <c r="AK3703">
        <v>0.29747748384293399</v>
      </c>
      <c r="AL3703">
        <v>70.104518620971504</v>
      </c>
      <c r="AM3703">
        <v>98.741239645689305</v>
      </c>
      <c r="AN3703">
        <v>1.0000000190806999</v>
      </c>
    </row>
    <row r="3704" spans="1:40" x14ac:dyDescent="0.25">
      <c r="A3704" t="str">
        <f>"20190304164202582"</f>
        <v>20190304164202582</v>
      </c>
      <c r="B3704" t="str">
        <f>"1551688922574891"</f>
        <v>1551688922574891</v>
      </c>
      <c r="C3704" t="s">
        <v>40</v>
      </c>
      <c r="D3704">
        <v>4.2195609999999997</v>
      </c>
      <c r="E3704">
        <v>0.54379029999999995</v>
      </c>
      <c r="F3704" t="s">
        <v>41</v>
      </c>
      <c r="G3704">
        <v>-348.45119999999997</v>
      </c>
      <c r="H3704">
        <v>0.87582059999999995</v>
      </c>
      <c r="I3704">
        <v>214.00909999999999</v>
      </c>
      <c r="J3704">
        <v>-348.69470000000001</v>
      </c>
      <c r="K3704">
        <v>1.1103289999999999</v>
      </c>
      <c r="L3704">
        <v>213.96180000000001</v>
      </c>
      <c r="M3704">
        <v>0.99986200000000003</v>
      </c>
      <c r="N3704">
        <v>-1.4202360000000001E-2</v>
      </c>
      <c r="O3704">
        <v>8.6179140000000008E-3</v>
      </c>
      <c r="P3704">
        <v>0.93322079999999996</v>
      </c>
      <c r="Q3704">
        <v>0.32645940000000001</v>
      </c>
      <c r="R3704">
        <v>0.15007699999999999</v>
      </c>
      <c r="S3704">
        <v>3.6035159999999999</v>
      </c>
      <c r="T3704">
        <v>-1.2277929999999999</v>
      </c>
      <c r="U3704">
        <v>0.26850889999999999</v>
      </c>
      <c r="V3704">
        <v>-0.14214969999999999</v>
      </c>
      <c r="W3704">
        <v>0.33964759999999899</v>
      </c>
      <c r="X3704">
        <v>0.92974889999999999</v>
      </c>
      <c r="Y3704">
        <v>-6.249014E-2</v>
      </c>
      <c r="Z3704">
        <v>8.0646840000000008E-3</v>
      </c>
      <c r="AA3704">
        <v>0.99801300000000004</v>
      </c>
      <c r="AB3704">
        <v>45</v>
      </c>
      <c r="AC3704">
        <v>0.24350000000003999</v>
      </c>
      <c r="AD3704">
        <v>-0.23450840000000001</v>
      </c>
      <c r="AE3704">
        <v>4.7299999999978498E-2</v>
      </c>
      <c r="AF3704">
        <v>-2.3867316323521501E-2</v>
      </c>
      <c r="AG3704">
        <v>-0.23450840000000001</v>
      </c>
      <c r="AH3704">
        <v>0.128788961705191</v>
      </c>
      <c r="AI3704">
        <v>150.81498221457099</v>
      </c>
      <c r="AJ3704">
        <v>100.49900781085501</v>
      </c>
      <c r="AK3704">
        <v>0.26860833031785902</v>
      </c>
      <c r="AL3704">
        <v>70.144595061612407</v>
      </c>
      <c r="AM3704">
        <v>98.6926612047628</v>
      </c>
      <c r="AN3704">
        <v>1.00000002322352</v>
      </c>
    </row>
    <row r="3705" spans="1:40" x14ac:dyDescent="0.25">
      <c r="A3705" t="str">
        <f>"20190304164202604"</f>
        <v>20190304164202604</v>
      </c>
      <c r="B3705" t="str">
        <f>"1551688922594410"</f>
        <v>1551688922594410</v>
      </c>
      <c r="C3705" t="s">
        <v>40</v>
      </c>
      <c r="D3705">
        <v>4.1630539999999998</v>
      </c>
      <c r="E3705">
        <v>0.54373349999999998</v>
      </c>
      <c r="F3705" t="s">
        <v>46</v>
      </c>
      <c r="G3705">
        <v>-345.44909999999999</v>
      </c>
      <c r="H3705" s="1">
        <v>1.362966E-6</v>
      </c>
      <c r="I3705">
        <v>214.20249999999999</v>
      </c>
      <c r="J3705">
        <v>-348.26749999999998</v>
      </c>
      <c r="K3705">
        <v>1.1103320000000001</v>
      </c>
      <c r="L3705">
        <v>213.96549999999999</v>
      </c>
      <c r="M3705">
        <v>0.99985889999999999</v>
      </c>
      <c r="N3705">
        <v>-1.436518E-2</v>
      </c>
      <c r="O3705">
        <v>8.7111199999999993E-3</v>
      </c>
      <c r="P3705">
        <v>0.93329530000000005</v>
      </c>
      <c r="Q3705">
        <v>0.32636789999999999</v>
      </c>
      <c r="R3705">
        <v>0.14981259999999999</v>
      </c>
      <c r="S3705">
        <v>3.602875</v>
      </c>
      <c r="T3705">
        <v>-1.23255</v>
      </c>
      <c r="U3705">
        <v>0.26725769999999999</v>
      </c>
      <c r="V3705">
        <v>-0.14178840000000001</v>
      </c>
      <c r="W3705">
        <v>0.33971259999999998</v>
      </c>
      <c r="X3705">
        <v>0.9297803</v>
      </c>
      <c r="Y3705">
        <v>-6.2068310000000002E-2</v>
      </c>
      <c r="Z3705">
        <v>7.9973300000000004E-3</v>
      </c>
      <c r="AA3705">
        <v>0.99803980000000003</v>
      </c>
      <c r="AB3705">
        <v>45</v>
      </c>
      <c r="AC3705">
        <v>2.8183999999999898</v>
      </c>
      <c r="AD3705">
        <v>-1.11033063703399</v>
      </c>
      <c r="AE3705">
        <v>0.23699999999999399</v>
      </c>
      <c r="AF3705">
        <v>-0.18406954585208199</v>
      </c>
      <c r="AG3705">
        <v>-1.11033063703399</v>
      </c>
      <c r="AH3705">
        <v>2.4437449667753501</v>
      </c>
      <c r="AI3705">
        <v>114.373984557963</v>
      </c>
      <c r="AJ3705">
        <v>94.307540604402703</v>
      </c>
      <c r="AK3705">
        <v>2.6904656072669599</v>
      </c>
      <c r="AL3705">
        <v>70.140634992877807</v>
      </c>
      <c r="AM3705">
        <v>98.670615020077804</v>
      </c>
      <c r="AN3705">
        <v>1.0000000036207</v>
      </c>
    </row>
    <row r="3706" spans="1:40" x14ac:dyDescent="0.25">
      <c r="A3706" t="str">
        <f>"20190304164202626"</f>
        <v>20190304164202626</v>
      </c>
      <c r="B3706" t="str">
        <f>"1551688922614907"</f>
        <v>1551688922614907</v>
      </c>
      <c r="C3706" t="s">
        <v>40</v>
      </c>
      <c r="D3706">
        <v>4.2253759999999998</v>
      </c>
      <c r="E3706">
        <v>0.54367900000000002</v>
      </c>
      <c r="F3706" t="s">
        <v>41</v>
      </c>
      <c r="G3706">
        <v>-347.29020000000003</v>
      </c>
      <c r="H3706">
        <v>0.77575499999999997</v>
      </c>
      <c r="I3706">
        <v>214.03749999999999</v>
      </c>
      <c r="J3706">
        <v>-347.82769999999999</v>
      </c>
      <c r="K3706">
        <v>1.110336</v>
      </c>
      <c r="L3706">
        <v>213.96940000000001</v>
      </c>
      <c r="M3706">
        <v>0.99985610000000003</v>
      </c>
      <c r="N3706">
        <v>-1.451322E-2</v>
      </c>
      <c r="O3706">
        <v>8.7994619999999992E-3</v>
      </c>
      <c r="P3706">
        <v>0.93318089999999998</v>
      </c>
      <c r="Q3706">
        <v>0.32685720000000001</v>
      </c>
      <c r="R3706">
        <v>0.1494597</v>
      </c>
      <c r="S3706">
        <v>3.60318</v>
      </c>
      <c r="T3706">
        <v>-1.233587</v>
      </c>
      <c r="U3706">
        <v>0.26596069999999999</v>
      </c>
      <c r="V3706">
        <v>-0.14134539999999901</v>
      </c>
      <c r="W3706">
        <v>0.34034180000000003</v>
      </c>
      <c r="X3706">
        <v>0.92961760000000004</v>
      </c>
      <c r="Y3706">
        <v>-6.1639819999999998E-2</v>
      </c>
      <c r="Z3706">
        <v>7.9061830000000007E-3</v>
      </c>
      <c r="AA3706">
        <v>0.99806709999999998</v>
      </c>
      <c r="AB3706">
        <v>45</v>
      </c>
      <c r="AC3706">
        <v>0.53749999999996501</v>
      </c>
      <c r="AD3706">
        <v>-0.33458100000000002</v>
      </c>
      <c r="AE3706">
        <v>6.8099999999986893E-2</v>
      </c>
      <c r="AF3706">
        <v>-4.58731827399863E-2</v>
      </c>
      <c r="AG3706">
        <v>-0.33458100000000002</v>
      </c>
      <c r="AH3706">
        <v>0.38952945228170099</v>
      </c>
      <c r="AI3706">
        <v>130.46555129968701</v>
      </c>
      <c r="AJ3706">
        <v>96.716537799175498</v>
      </c>
      <c r="AK3706">
        <v>0.51554048206768199</v>
      </c>
      <c r="AL3706">
        <v>70.102299696657596</v>
      </c>
      <c r="AM3706">
        <v>98.645424577517005</v>
      </c>
      <c r="AN3706">
        <v>0.99999997257907902</v>
      </c>
    </row>
    <row r="3707" spans="1:40" x14ac:dyDescent="0.25">
      <c r="A3707" t="str">
        <f>"20190304164202651"</f>
        <v>20190304164202651</v>
      </c>
      <c r="B3707" t="str">
        <f>"1551688922645163"</f>
        <v>1551688922645163</v>
      </c>
      <c r="C3707" t="s">
        <v>40</v>
      </c>
      <c r="D3707">
        <v>4.1931919999999998</v>
      </c>
      <c r="E3707">
        <v>0.54358280000000003</v>
      </c>
      <c r="F3707" t="s">
        <v>41</v>
      </c>
      <c r="G3707">
        <v>-346.89420000000001</v>
      </c>
      <c r="H3707">
        <v>0.79105190000000003</v>
      </c>
      <c r="I3707">
        <v>214.0378</v>
      </c>
      <c r="J3707">
        <v>-347.34989999999999</v>
      </c>
      <c r="K3707">
        <v>1.1103379999999901</v>
      </c>
      <c r="L3707">
        <v>213.97370000000001</v>
      </c>
      <c r="M3707">
        <v>0.9998532</v>
      </c>
      <c r="N3707">
        <v>-1.4653050000000001E-2</v>
      </c>
      <c r="O3707">
        <v>8.8862139999999999E-3</v>
      </c>
      <c r="P3707">
        <v>0.93278280000000002</v>
      </c>
      <c r="Q3707">
        <v>0.32794849999999998</v>
      </c>
      <c r="R3707">
        <v>0.1495533</v>
      </c>
      <c r="S3707">
        <v>3.6042179999999999</v>
      </c>
      <c r="T3707">
        <v>-1.2326569999999999</v>
      </c>
      <c r="U3707">
        <v>0.26461790000000002</v>
      </c>
      <c r="V3707">
        <v>-0.14135159999999999</v>
      </c>
      <c r="W3707">
        <v>0.341561</v>
      </c>
      <c r="X3707">
        <v>0.92916940000000003</v>
      </c>
      <c r="Y3707">
        <v>-6.1197219999999997E-2</v>
      </c>
      <c r="Z3707">
        <v>7.8002710000000001E-3</v>
      </c>
      <c r="AA3707">
        <v>0.99809519999999996</v>
      </c>
      <c r="AB3707">
        <v>44</v>
      </c>
      <c r="AC3707">
        <v>0.45569999999997801</v>
      </c>
      <c r="AD3707">
        <v>-0.31928609999999902</v>
      </c>
      <c r="AE3707">
        <v>6.4099999999996202E-2</v>
      </c>
      <c r="AF3707">
        <v>-4.05347493889925E-2</v>
      </c>
      <c r="AG3707">
        <v>-0.31928609999999902</v>
      </c>
      <c r="AH3707">
        <v>0.30798985101301402</v>
      </c>
      <c r="AI3707">
        <v>135.78583347110899</v>
      </c>
      <c r="AJ3707">
        <v>97.497644043474395</v>
      </c>
      <c r="AK3707">
        <v>0.44547101801156103</v>
      </c>
      <c r="AL3707">
        <v>70.027992450203698</v>
      </c>
      <c r="AM3707">
        <v>98.649905448500107</v>
      </c>
      <c r="AN3707">
        <v>0.99999998271995905</v>
      </c>
    </row>
    <row r="3708" spans="1:40" x14ac:dyDescent="0.25">
      <c r="A3708" t="str">
        <f>"20190304164202672"</f>
        <v>20190304164202672</v>
      </c>
      <c r="B3708" t="str">
        <f>"1551688922664682"</f>
        <v>1551688922664682</v>
      </c>
      <c r="C3708" t="s">
        <v>40</v>
      </c>
      <c r="D3708">
        <v>4.2703220000000002</v>
      </c>
      <c r="E3708">
        <v>0.54351430000000001</v>
      </c>
      <c r="F3708" t="s">
        <v>41</v>
      </c>
      <c r="G3708">
        <v>-346.48759999999999</v>
      </c>
      <c r="H3708">
        <v>0.81620039999999905</v>
      </c>
      <c r="I3708">
        <v>214.03700000000001</v>
      </c>
      <c r="J3708">
        <v>-346.9074</v>
      </c>
      <c r="K3708">
        <v>1.1103289999999999</v>
      </c>
      <c r="L3708">
        <v>213.9777</v>
      </c>
      <c r="M3708">
        <v>0.99985100000000005</v>
      </c>
      <c r="N3708">
        <v>-1.476563E-2</v>
      </c>
      <c r="O3708">
        <v>8.9563490000000006E-3</v>
      </c>
      <c r="P3708">
        <v>0.93254840000000006</v>
      </c>
      <c r="Q3708">
        <v>0.32825359999999998</v>
      </c>
      <c r="R3708">
        <v>0.1503438</v>
      </c>
      <c r="S3708">
        <v>3.6060789999999998</v>
      </c>
      <c r="T3708">
        <v>-1.230011</v>
      </c>
      <c r="U3708">
        <v>0.2653046</v>
      </c>
      <c r="V3708">
        <v>-0.14206939999999901</v>
      </c>
      <c r="W3708">
        <v>0.34197149999999998</v>
      </c>
      <c r="X3708">
        <v>0.92890890000000004</v>
      </c>
      <c r="Y3708">
        <v>-6.1291079999999998E-2</v>
      </c>
      <c r="Z3708">
        <v>7.7805840000000001E-3</v>
      </c>
      <c r="AA3708">
        <v>0.99808960000000002</v>
      </c>
      <c r="AB3708">
        <v>44</v>
      </c>
      <c r="AC3708">
        <v>0.419800000000009</v>
      </c>
      <c r="AD3708">
        <v>-0.29412860000000002</v>
      </c>
      <c r="AE3708">
        <v>5.9300000000007402E-2</v>
      </c>
      <c r="AF3708">
        <v>-3.7492482650480302E-2</v>
      </c>
      <c r="AG3708">
        <v>-0.29412860000000002</v>
      </c>
      <c r="AH3708">
        <v>0.28374835213736599</v>
      </c>
      <c r="AI3708">
        <v>135.78127741838901</v>
      </c>
      <c r="AJ3708">
        <v>97.5270524182787</v>
      </c>
      <c r="AK3708">
        <v>0.410402786216087</v>
      </c>
      <c r="AL3708">
        <v>70.002965539152797</v>
      </c>
      <c r="AM3708">
        <v>98.695561942929601</v>
      </c>
      <c r="AN3708">
        <v>0.99999998286390901</v>
      </c>
    </row>
    <row r="3709" spans="1:40" x14ac:dyDescent="0.25">
      <c r="A3709" t="str">
        <f>"20190304164202693"</f>
        <v>20190304164202693</v>
      </c>
      <c r="B3709" t="str">
        <f>"1551688922685178"</f>
        <v>1551688922685178</v>
      </c>
      <c r="C3709" t="s">
        <v>40</v>
      </c>
      <c r="D3709">
        <v>4.2785880000000001</v>
      </c>
      <c r="E3709">
        <v>0.54343260000000004</v>
      </c>
      <c r="F3709" t="s">
        <v>41</v>
      </c>
      <c r="G3709">
        <v>-346.08510000000001</v>
      </c>
      <c r="H3709">
        <v>0.82988759999999995</v>
      </c>
      <c r="I3709">
        <v>214.03880000000001</v>
      </c>
      <c r="J3709">
        <v>-346.48779999999999</v>
      </c>
      <c r="K3709">
        <v>1.1103259999999999</v>
      </c>
      <c r="L3709">
        <v>213.98159999999999</v>
      </c>
      <c r="M3709">
        <v>0.99984910000000005</v>
      </c>
      <c r="N3709">
        <v>-1.4858440000000001E-2</v>
      </c>
      <c r="O3709">
        <v>9.0130279999999993E-3</v>
      </c>
      <c r="P3709">
        <v>0.93222839999999996</v>
      </c>
      <c r="Q3709">
        <v>0.3287175</v>
      </c>
      <c r="R3709">
        <v>0.15131220000000001</v>
      </c>
      <c r="S3709">
        <v>3.6067200000000001</v>
      </c>
      <c r="T3709">
        <v>-1.230048</v>
      </c>
      <c r="U3709">
        <v>0.2683258</v>
      </c>
      <c r="V3709">
        <v>-0.14297739999999901</v>
      </c>
      <c r="W3709">
        <v>0.34252129999999997</v>
      </c>
      <c r="X3709">
        <v>0.92856700000000003</v>
      </c>
      <c r="Y3709">
        <v>-6.2013279999999997E-2</v>
      </c>
      <c r="Z3709">
        <v>7.8903199999999993E-3</v>
      </c>
      <c r="AA3709">
        <v>0.99804409999999999</v>
      </c>
      <c r="AB3709">
        <v>44</v>
      </c>
      <c r="AC3709">
        <v>0.40269999999998102</v>
      </c>
      <c r="AD3709">
        <v>-0.28043839999999898</v>
      </c>
      <c r="AE3709">
        <v>5.7200000000023003E-2</v>
      </c>
      <c r="AF3709">
        <v>-3.6307863519419198E-2</v>
      </c>
      <c r="AG3709">
        <v>-0.28043839999999898</v>
      </c>
      <c r="AH3709">
        <v>0.2732858603851</v>
      </c>
      <c r="AI3709">
        <v>135.48949034563699</v>
      </c>
      <c r="AJ3709">
        <v>97.567810857342806</v>
      </c>
      <c r="AK3709">
        <v>0.39325452144168499</v>
      </c>
      <c r="AL3709">
        <v>69.969440595289598</v>
      </c>
      <c r="AM3709">
        <v>98.753451899934802</v>
      </c>
      <c r="AN3709">
        <v>1.0000000256767201</v>
      </c>
    </row>
    <row r="3710" spans="1:40" x14ac:dyDescent="0.25">
      <c r="A3710" t="str">
        <f>"20190304164202715"</f>
        <v>20190304164202715</v>
      </c>
      <c r="B3710" t="str">
        <f>"1551688922704699"</f>
        <v>1551688922704699</v>
      </c>
      <c r="C3710" t="s">
        <v>40</v>
      </c>
      <c r="D3710">
        <v>4.2870489999999997</v>
      </c>
      <c r="E3710">
        <v>0.54334380000000004</v>
      </c>
      <c r="F3710" t="s">
        <v>41</v>
      </c>
      <c r="G3710">
        <v>-345.68599999999998</v>
      </c>
      <c r="H3710">
        <v>0.83703859999999997</v>
      </c>
      <c r="I3710">
        <v>214.042</v>
      </c>
      <c r="J3710">
        <v>-346.0564</v>
      </c>
      <c r="K3710">
        <v>1.110322</v>
      </c>
      <c r="L3710">
        <v>213.9855</v>
      </c>
      <c r="M3710">
        <v>0.9998475</v>
      </c>
      <c r="N3710">
        <v>-1.4941309999999999E-2</v>
      </c>
      <c r="O3710">
        <v>9.0610010000000008E-3</v>
      </c>
      <c r="P3710">
        <v>0.93190499999999998</v>
      </c>
      <c r="Q3710">
        <v>0.32927840000000003</v>
      </c>
      <c r="R3710">
        <v>0.15208169999999999</v>
      </c>
      <c r="S3710">
        <v>3.607361</v>
      </c>
      <c r="T3710">
        <v>-1.2295990000000001</v>
      </c>
      <c r="U3710">
        <v>0.27302549999999998</v>
      </c>
      <c r="V3710">
        <v>-0.1436945</v>
      </c>
      <c r="W3710">
        <v>0.34315869999999998</v>
      </c>
      <c r="X3710">
        <v>0.92822090000000002</v>
      </c>
      <c r="Y3710">
        <v>-6.3181490000000007E-2</v>
      </c>
      <c r="Z3710">
        <v>8.0768209999999997E-3</v>
      </c>
      <c r="AA3710">
        <v>0.99796940000000001</v>
      </c>
      <c r="AB3710">
        <v>44</v>
      </c>
      <c r="AC3710">
        <v>0.37040000000001699</v>
      </c>
      <c r="AD3710">
        <v>-0.27328339999999901</v>
      </c>
      <c r="AE3710">
        <v>5.6499999999999703E-2</v>
      </c>
      <c r="AF3710">
        <v>-3.4687863812369803E-2</v>
      </c>
      <c r="AG3710">
        <v>-0.27328339999999901</v>
      </c>
      <c r="AH3710">
        <v>0.24210290688524999</v>
      </c>
      <c r="AI3710">
        <v>138.173013354792</v>
      </c>
      <c r="AJ3710">
        <v>98.153695744340197</v>
      </c>
      <c r="AK3710">
        <v>0.36674361907702402</v>
      </c>
      <c r="AL3710">
        <v>69.930564011128496</v>
      </c>
      <c r="AM3710">
        <v>98.799898283670302</v>
      </c>
      <c r="AN3710">
        <v>1.00000002095637</v>
      </c>
    </row>
    <row r="3711" spans="1:40" x14ac:dyDescent="0.25">
      <c r="A3711" t="str">
        <f>"20190304164202739"</f>
        <v>20190304164202739</v>
      </c>
      <c r="B3711" t="str">
        <f>"1551688922734955"</f>
        <v>1551688922734955</v>
      </c>
      <c r="C3711" t="s">
        <v>40</v>
      </c>
      <c r="D3711">
        <v>4.2863939999999996</v>
      </c>
      <c r="E3711">
        <v>0.54321850000000005</v>
      </c>
      <c r="F3711" t="s">
        <v>41</v>
      </c>
      <c r="G3711">
        <v>-345.28559999999999</v>
      </c>
      <c r="H3711">
        <v>0.84776790000000002</v>
      </c>
      <c r="I3711">
        <v>214.04470000000001</v>
      </c>
      <c r="J3711">
        <v>-345.59410000000003</v>
      </c>
      <c r="K3711">
        <v>1.1103240000000001</v>
      </c>
      <c r="L3711">
        <v>213.9897</v>
      </c>
      <c r="M3711">
        <v>0.99984589999999995</v>
      </c>
      <c r="N3711">
        <v>-1.501801E-2</v>
      </c>
      <c r="O3711">
        <v>9.1024499999999998E-3</v>
      </c>
      <c r="P3711">
        <v>0.93169610000000003</v>
      </c>
      <c r="Q3711">
        <v>0.32980880000000001</v>
      </c>
      <c r="R3711">
        <v>0.152213299999999</v>
      </c>
      <c r="S3711">
        <v>3.6081539999999999</v>
      </c>
      <c r="T3711">
        <v>-1.2290939999999999</v>
      </c>
      <c r="U3711">
        <v>0.27780149999999998</v>
      </c>
      <c r="V3711">
        <v>-0.14377889999999999</v>
      </c>
      <c r="W3711">
        <v>0.34376200000000001</v>
      </c>
      <c r="X3711">
        <v>0.92798460000000005</v>
      </c>
      <c r="Y3711">
        <v>-6.4372260000000001E-2</v>
      </c>
      <c r="Z3711">
        <v>8.2682950000000002E-3</v>
      </c>
      <c r="AA3711">
        <v>0.99789170000000005</v>
      </c>
      <c r="AB3711">
        <v>44</v>
      </c>
      <c r="AC3711">
        <v>0.30850000000003702</v>
      </c>
      <c r="AD3711">
        <v>-0.26255610000000001</v>
      </c>
      <c r="AE3711">
        <v>5.50000000000068E-2</v>
      </c>
      <c r="AF3711">
        <v>-3.06632859541035E-2</v>
      </c>
      <c r="AG3711">
        <v>-0.26255610000000001</v>
      </c>
      <c r="AH3711">
        <v>0.18154266883749601</v>
      </c>
      <c r="AI3711">
        <v>144.96044294550001</v>
      </c>
      <c r="AJ3711">
        <v>99.587002871026499</v>
      </c>
      <c r="AK3711">
        <v>0.32067691429436301</v>
      </c>
      <c r="AL3711">
        <v>69.893759119288106</v>
      </c>
      <c r="AM3711">
        <v>98.807192933229501</v>
      </c>
      <c r="AN3711">
        <v>1.0000000512831799</v>
      </c>
    </row>
    <row r="3712" spans="1:40" x14ac:dyDescent="0.25">
      <c r="A3712" t="str">
        <f>"20190304164202761"</f>
        <v>20190304164202761</v>
      </c>
      <c r="B3712" t="str">
        <f>"1551688922754474"</f>
        <v>1551688922754474</v>
      </c>
      <c r="C3712" t="s">
        <v>40</v>
      </c>
      <c r="D3712">
        <v>4.3148179999999998</v>
      </c>
      <c r="E3712">
        <v>0.54312019999999905</v>
      </c>
      <c r="F3712" t="s">
        <v>41</v>
      </c>
      <c r="G3712">
        <v>-344.88189999999997</v>
      </c>
      <c r="H3712">
        <v>0.86777459999999995</v>
      </c>
      <c r="I3712">
        <v>214.04490000000001</v>
      </c>
      <c r="J3712">
        <v>-345.14609999999999</v>
      </c>
      <c r="K3712">
        <v>1.1103190000000001</v>
      </c>
      <c r="L3712">
        <v>213.99379999999999</v>
      </c>
      <c r="M3712">
        <v>0.99984459999999997</v>
      </c>
      <c r="N3712">
        <v>-1.508145E-2</v>
      </c>
      <c r="O3712">
        <v>9.1344800000000004E-3</v>
      </c>
      <c r="P3712">
        <v>0.93139629999999995</v>
      </c>
      <c r="Q3712">
        <v>0.33056099999999999</v>
      </c>
      <c r="R3712">
        <v>0.15241489999999999</v>
      </c>
      <c r="S3712">
        <v>3.609283</v>
      </c>
      <c r="T3712">
        <v>-1.229239</v>
      </c>
      <c r="U3712">
        <v>0.28038020000000002</v>
      </c>
      <c r="V3712">
        <v>-0.1439435</v>
      </c>
      <c r="W3712">
        <v>0.34457280000000001</v>
      </c>
      <c r="X3712">
        <v>0.92765830000000005</v>
      </c>
      <c r="Y3712">
        <v>-6.499096E-2</v>
      </c>
      <c r="Z3712">
        <v>8.3663850000000005E-3</v>
      </c>
      <c r="AA3712">
        <v>0.99785080000000004</v>
      </c>
      <c r="AB3712">
        <v>44</v>
      </c>
      <c r="AC3712">
        <v>0.26420000000001598</v>
      </c>
      <c r="AD3712">
        <v>-0.24254439999999999</v>
      </c>
      <c r="AE3712">
        <v>5.1100000000019401E-2</v>
      </c>
      <c r="AF3712">
        <v>-2.6861850016379901E-2</v>
      </c>
      <c r="AG3712">
        <v>-0.24254439999999999</v>
      </c>
      <c r="AH3712">
        <v>0.14602550959437199</v>
      </c>
      <c r="AI3712">
        <v>148.52676144883301</v>
      </c>
      <c r="AJ3712">
        <v>100.423211169499</v>
      </c>
      <c r="AK3712">
        <v>0.284381424164727</v>
      </c>
      <c r="AL3712">
        <v>69.844280628274007</v>
      </c>
      <c r="AM3712">
        <v>98.820169812868002</v>
      </c>
      <c r="AN3712">
        <v>1.00000003362548</v>
      </c>
    </row>
    <row r="3713" spans="1:40" x14ac:dyDescent="0.25">
      <c r="A3713" t="str">
        <f>"20190304164202782"</f>
        <v>20190304164202782</v>
      </c>
      <c r="B3713" t="str">
        <f>"1551688922774971"</f>
        <v>1551688922774971</v>
      </c>
      <c r="C3713" t="s">
        <v>40</v>
      </c>
      <c r="D3713">
        <v>4.324249</v>
      </c>
      <c r="E3713">
        <v>0.54302469999999903</v>
      </c>
      <c r="F3713" t="s">
        <v>41</v>
      </c>
      <c r="G3713">
        <v>-344.4803</v>
      </c>
      <c r="H3713">
        <v>0.88390460000000004</v>
      </c>
      <c r="I3713">
        <v>214.04570000000001</v>
      </c>
      <c r="J3713">
        <v>-344.7285</v>
      </c>
      <c r="K3713">
        <v>1.110312</v>
      </c>
      <c r="L3713">
        <v>213.99770000000001</v>
      </c>
      <c r="M3713">
        <v>0.9998437</v>
      </c>
      <c r="N3713">
        <v>-1.51316E-2</v>
      </c>
      <c r="O3713">
        <v>9.1572930000000004E-3</v>
      </c>
      <c r="P3713">
        <v>0.93121640000000006</v>
      </c>
      <c r="Q3713">
        <v>0.33126609999999901</v>
      </c>
      <c r="R3713">
        <v>0.15198399999999901</v>
      </c>
      <c r="S3713">
        <v>3.6106569999999998</v>
      </c>
      <c r="T3713">
        <v>-1.227743</v>
      </c>
      <c r="U3713">
        <v>0.28163149999999998</v>
      </c>
      <c r="V3713">
        <v>-0.143485</v>
      </c>
      <c r="W3713">
        <v>0.34532469999999998</v>
      </c>
      <c r="X3713">
        <v>0.92744970000000004</v>
      </c>
      <c r="Y3713">
        <v>-6.5276520000000005E-2</v>
      </c>
      <c r="Z3713">
        <v>8.3988999999999904E-3</v>
      </c>
      <c r="AA3713">
        <v>0.99783189999999999</v>
      </c>
      <c r="AB3713">
        <v>44</v>
      </c>
      <c r="AC3713">
        <v>0.24819999999999701</v>
      </c>
      <c r="AD3713">
        <v>-0.22640740000000001</v>
      </c>
      <c r="AE3713">
        <v>4.8000000000001798E-2</v>
      </c>
      <c r="AF3713">
        <v>-2.5373043875235601E-2</v>
      </c>
      <c r="AG3713">
        <v>-0.22640740000000001</v>
      </c>
      <c r="AH3713">
        <v>0.13796599204123799</v>
      </c>
      <c r="AI3713">
        <v>148.21806212077701</v>
      </c>
      <c r="AJ3713">
        <v>100.420707523197</v>
      </c>
      <c r="AK3713">
        <v>0.26634323173337399</v>
      </c>
      <c r="AL3713">
        <v>69.7983825017497</v>
      </c>
      <c r="AM3713">
        <v>98.794461493299494</v>
      </c>
      <c r="AN3713">
        <v>1.00000001984258</v>
      </c>
    </row>
    <row r="3714" spans="1:40" x14ac:dyDescent="0.25">
      <c r="A3714" t="str">
        <f>"20190304164202805"</f>
        <v>20190304164202805</v>
      </c>
      <c r="B3714" t="str">
        <f>"1551688922794491"</f>
        <v>1551688922794491</v>
      </c>
      <c r="C3714" t="s">
        <v>40</v>
      </c>
      <c r="D3714">
        <v>4.2781320000000003</v>
      </c>
      <c r="E3714">
        <v>0.54294409999999904</v>
      </c>
      <c r="F3714" t="s">
        <v>46</v>
      </c>
      <c r="G3714">
        <v>-341.45859999999999</v>
      </c>
      <c r="H3714" s="1">
        <v>-7.6059069999999895E-7</v>
      </c>
      <c r="I3714">
        <v>214.2516</v>
      </c>
      <c r="J3714">
        <v>-344.29629999999997</v>
      </c>
      <c r="K3714">
        <v>1.110304</v>
      </c>
      <c r="L3714">
        <v>214.0016</v>
      </c>
      <c r="M3714">
        <v>0.99984280000000003</v>
      </c>
      <c r="N3714">
        <v>-1.5176149999999999E-2</v>
      </c>
      <c r="O3714">
        <v>9.1765969999999999E-3</v>
      </c>
      <c r="P3714">
        <v>0.93106960000000005</v>
      </c>
      <c r="Q3714">
        <v>0.33184669999999999</v>
      </c>
      <c r="R3714">
        <v>0.15161620000000001</v>
      </c>
      <c r="S3714">
        <v>3.6120909999999999</v>
      </c>
      <c r="T3714">
        <v>-1.2265029999999999</v>
      </c>
      <c r="U3714">
        <v>0.28051759999999998</v>
      </c>
      <c r="V3714">
        <v>-0.143094</v>
      </c>
      <c r="W3714">
        <v>0.34594709999999901</v>
      </c>
      <c r="X3714">
        <v>0.92727820000000005</v>
      </c>
      <c r="Y3714">
        <v>-6.4948930000000002E-2</v>
      </c>
      <c r="Z3714">
        <v>8.3278629999999996E-3</v>
      </c>
      <c r="AA3714">
        <v>0.99785380000000001</v>
      </c>
      <c r="AB3714">
        <v>44</v>
      </c>
      <c r="AC3714">
        <v>2.8376999999999799</v>
      </c>
      <c r="AD3714">
        <v>-1.1103047605906999</v>
      </c>
      <c r="AE3714">
        <v>0.25</v>
      </c>
      <c r="AF3714">
        <v>-0.19441236523778299</v>
      </c>
      <c r="AG3714">
        <v>-1.1103047605906999</v>
      </c>
      <c r="AH3714">
        <v>2.4653563225362101</v>
      </c>
      <c r="AI3714">
        <v>114.17860168020999</v>
      </c>
      <c r="AJ3714">
        <v>94.508883453468002</v>
      </c>
      <c r="AK3714">
        <v>2.7108217621630799</v>
      </c>
      <c r="AL3714">
        <v>69.760380584884999</v>
      </c>
      <c r="AM3714">
        <v>98.772466458766402</v>
      </c>
      <c r="AN3714">
        <v>1.0000000745148201</v>
      </c>
    </row>
    <row r="3715" spans="1:40" x14ac:dyDescent="0.25">
      <c r="A3715" t="str">
        <f>"20190304164202829"</f>
        <v>20190304164202829</v>
      </c>
      <c r="B3715" t="str">
        <f>"1551688922824747"</f>
        <v>1551688922824747</v>
      </c>
      <c r="C3715" t="s">
        <v>40</v>
      </c>
      <c r="D3715">
        <v>4.4487819999999996</v>
      </c>
      <c r="E3715">
        <v>0.55227890000000002</v>
      </c>
      <c r="F3715" t="s">
        <v>41</v>
      </c>
      <c r="G3715">
        <v>-343.33749999999998</v>
      </c>
      <c r="H3715">
        <v>0.78513679999999997</v>
      </c>
      <c r="I3715">
        <v>214.07550000000001</v>
      </c>
      <c r="J3715">
        <v>-343.82670000000002</v>
      </c>
      <c r="K3715">
        <v>1.1102959999999999</v>
      </c>
      <c r="L3715">
        <v>214.0059</v>
      </c>
      <c r="M3715">
        <v>0.99984200000000001</v>
      </c>
      <c r="N3715">
        <v>-1.521689E-2</v>
      </c>
      <c r="O3715">
        <v>9.1938009999999997E-3</v>
      </c>
      <c r="P3715">
        <v>0.93093840000000005</v>
      </c>
      <c r="Q3715">
        <v>0.33218209999999998</v>
      </c>
      <c r="R3715">
        <v>0.15168670000000001</v>
      </c>
      <c r="S3715">
        <v>3.6134029999999999</v>
      </c>
      <c r="T3715">
        <v>-1.225411</v>
      </c>
      <c r="U3715">
        <v>0.27912900000000002</v>
      </c>
      <c r="V3715">
        <v>-0.1431442</v>
      </c>
      <c r="W3715">
        <v>0.34632059999999998</v>
      </c>
      <c r="X3715">
        <v>0.92713089999999998</v>
      </c>
      <c r="Y3715">
        <v>-6.4553659999999999E-2</v>
      </c>
      <c r="Z3715">
        <v>8.2469290000000001E-3</v>
      </c>
      <c r="AA3715">
        <v>0.99788019999999999</v>
      </c>
      <c r="AB3715">
        <v>44</v>
      </c>
      <c r="AC3715">
        <v>0.48920000000003899</v>
      </c>
      <c r="AD3715">
        <v>-0.32515919999999898</v>
      </c>
      <c r="AE3715">
        <v>6.9600000000008294E-2</v>
      </c>
      <c r="AF3715">
        <v>-4.5427529561993703E-2</v>
      </c>
      <c r="AG3715">
        <v>-0.32515919999999898</v>
      </c>
      <c r="AH3715">
        <v>0.34180715444494503</v>
      </c>
      <c r="AI3715">
        <v>133.319721742588</v>
      </c>
      <c r="AJ3715">
        <v>97.570471300367004</v>
      </c>
      <c r="AK3715">
        <v>0.47394545742785199</v>
      </c>
      <c r="AL3715">
        <v>69.737568256188396</v>
      </c>
      <c r="AM3715">
        <v>98.776868624374004</v>
      </c>
      <c r="AN3715">
        <v>0.99999996285640402</v>
      </c>
    </row>
    <row r="3716" spans="1:40" x14ac:dyDescent="0.25">
      <c r="A3716" t="str">
        <f>"20190304164202851"</f>
        <v>20190304164202851</v>
      </c>
      <c r="B3716" t="str">
        <f>"1551688922845243"</f>
        <v>1551688922845243</v>
      </c>
      <c r="C3716" t="s">
        <v>40</v>
      </c>
      <c r="D3716">
        <v>4.2747270000000004</v>
      </c>
      <c r="E3716">
        <v>0.55612539999999999</v>
      </c>
      <c r="F3716" t="s">
        <v>41</v>
      </c>
      <c r="G3716">
        <v>-342.92290000000003</v>
      </c>
      <c r="H3716">
        <v>0.84472780000000003</v>
      </c>
      <c r="I3716">
        <v>214.05449999999999</v>
      </c>
      <c r="J3716">
        <v>-343.38339999999999</v>
      </c>
      <c r="K3716">
        <v>1.1103000000000001</v>
      </c>
      <c r="L3716">
        <v>214.01009999999999</v>
      </c>
      <c r="M3716">
        <v>0.99984139999999999</v>
      </c>
      <c r="N3716">
        <v>-1.524937E-2</v>
      </c>
      <c r="O3716">
        <v>9.2079959999999995E-3</v>
      </c>
      <c r="P3716">
        <v>0.93086880000000005</v>
      </c>
      <c r="Q3716">
        <v>0.33206069999999999</v>
      </c>
      <c r="R3716">
        <v>0.15237890000000001</v>
      </c>
      <c r="S3716">
        <v>3.5650629999999999</v>
      </c>
      <c r="T3716">
        <v>-1.0475159999999999</v>
      </c>
      <c r="U3716">
        <v>0.1918793</v>
      </c>
      <c r="V3716">
        <v>-0.14381859999999999</v>
      </c>
      <c r="W3716">
        <v>0.34623019999999999</v>
      </c>
      <c r="X3716">
        <v>0.92706029999999995</v>
      </c>
      <c r="Y3716">
        <v>-4.2985019999999999E-2</v>
      </c>
      <c r="Z3716">
        <v>4.0053320000000003E-3</v>
      </c>
      <c r="AA3716">
        <v>0.9990677</v>
      </c>
      <c r="AB3716">
        <v>44</v>
      </c>
      <c r="AC3716">
        <v>0.46049999999996699</v>
      </c>
      <c r="AD3716">
        <v>-0.26557219999999998</v>
      </c>
      <c r="AE3716">
        <v>4.4399999999995998E-2</v>
      </c>
      <c r="AF3716">
        <v>-3.02042960488202E-2</v>
      </c>
      <c r="AG3716">
        <v>-0.26557219999999998</v>
      </c>
      <c r="AH3716">
        <v>0.346657366597862</v>
      </c>
      <c r="AI3716">
        <v>127.35097120345699</v>
      </c>
      <c r="AJ3716">
        <v>94.979612070829205</v>
      </c>
      <c r="AK3716">
        <v>0.43773533411093202</v>
      </c>
      <c r="AL3716">
        <v>69.743089531090604</v>
      </c>
      <c r="AM3716">
        <v>98.818231995548004</v>
      </c>
      <c r="AN3716">
        <v>0.99999997046704403</v>
      </c>
    </row>
    <row r="3717" spans="1:40" x14ac:dyDescent="0.25">
      <c r="A3717" t="str">
        <f>"20190304164202874"</f>
        <v>20190304164202874</v>
      </c>
      <c r="B3717" t="str">
        <f>"1551688922864762"</f>
        <v>1551688922864762</v>
      </c>
      <c r="C3717" t="s">
        <v>40</v>
      </c>
      <c r="D3717">
        <v>4.3308030000000004</v>
      </c>
      <c r="E3717">
        <v>0.55157040000000002</v>
      </c>
      <c r="F3717" t="s">
        <v>41</v>
      </c>
      <c r="G3717">
        <v>-342.4683</v>
      </c>
      <c r="H3717">
        <v>0.9846935</v>
      </c>
      <c r="I3717">
        <v>214.0428</v>
      </c>
      <c r="J3717">
        <v>-342.9348</v>
      </c>
      <c r="K3717">
        <v>1.1103099999999999</v>
      </c>
      <c r="L3717">
        <v>214.01419999999999</v>
      </c>
      <c r="M3717">
        <v>0.99984079999999997</v>
      </c>
      <c r="N3717">
        <v>-1.527705E-2</v>
      </c>
      <c r="O3717">
        <v>9.2218230000000005E-3</v>
      </c>
      <c r="P3717">
        <v>0.93056360000000005</v>
      </c>
      <c r="Q3717">
        <v>0.33280100000000001</v>
      </c>
      <c r="R3717">
        <v>0.15262709999999999</v>
      </c>
      <c r="S3717">
        <v>3.3680110000000001</v>
      </c>
      <c r="T3717">
        <v>-0.46239089999999999</v>
      </c>
      <c r="U3717">
        <v>0.1207886</v>
      </c>
      <c r="V3717">
        <v>-0.1440533</v>
      </c>
      <c r="W3717">
        <v>0.3469933</v>
      </c>
      <c r="X3717">
        <v>0.92673850000000002</v>
      </c>
      <c r="Y3717">
        <v>-2.641487E-2</v>
      </c>
      <c r="Z3717">
        <v>8.8768199999999999E-4</v>
      </c>
      <c r="AA3717">
        <v>0.9996507</v>
      </c>
      <c r="AB3717">
        <v>44</v>
      </c>
      <c r="AC3717">
        <v>0.46649999999999597</v>
      </c>
      <c r="AD3717">
        <v>-0.12561649999999999</v>
      </c>
      <c r="AE3717">
        <v>2.8600000000011502E-2</v>
      </c>
      <c r="AF3717">
        <v>-2.26594466202166E-2</v>
      </c>
      <c r="AG3717">
        <v>-0.12561649999999999</v>
      </c>
      <c r="AH3717">
        <v>0.43529915014371801</v>
      </c>
      <c r="AI3717">
        <v>106.076183955133</v>
      </c>
      <c r="AJ3717">
        <v>92.979835581478</v>
      </c>
      <c r="AK3717">
        <v>0.45362793753165997</v>
      </c>
      <c r="AL3717">
        <v>69.696477687929701</v>
      </c>
      <c r="AM3717">
        <v>98.835414469184002</v>
      </c>
      <c r="AN3717">
        <v>0.99999997543401398</v>
      </c>
    </row>
    <row r="3718" spans="1:40" x14ac:dyDescent="0.25">
      <c r="A3718" t="str">
        <f>"20190304164202895"</f>
        <v>20190304164202895</v>
      </c>
      <c r="B3718" t="str">
        <f>"1551688922885259"</f>
        <v>1551688922885259</v>
      </c>
      <c r="C3718" t="s">
        <v>40</v>
      </c>
      <c r="D3718">
        <v>4.3546740000000002</v>
      </c>
      <c r="E3718">
        <v>0.54949989999999904</v>
      </c>
      <c r="F3718" t="s">
        <v>41</v>
      </c>
      <c r="G3718">
        <v>-342.05849999999998</v>
      </c>
      <c r="H3718">
        <v>1.017395</v>
      </c>
      <c r="I3718">
        <v>214.054</v>
      </c>
      <c r="J3718">
        <v>-342.53179999999998</v>
      </c>
      <c r="K3718">
        <v>1.110325</v>
      </c>
      <c r="L3718">
        <v>214.0179</v>
      </c>
      <c r="M3718">
        <v>0.99984039999999996</v>
      </c>
      <c r="N3718">
        <v>-1.529787E-2</v>
      </c>
      <c r="O3718">
        <v>9.2338149999999994E-3</v>
      </c>
      <c r="P3718">
        <v>0.93014229999999998</v>
      </c>
      <c r="Q3718">
        <v>0.33401380000000003</v>
      </c>
      <c r="R3718">
        <v>0.1525463</v>
      </c>
      <c r="S3718">
        <v>3.3251949999999999</v>
      </c>
      <c r="T3718">
        <v>-0.3525665</v>
      </c>
      <c r="U3718">
        <v>0.15084839999999999</v>
      </c>
      <c r="V3718">
        <v>-0.1439618</v>
      </c>
      <c r="W3718">
        <v>0.34822009999999998</v>
      </c>
      <c r="X3718">
        <v>0.92629249999999996</v>
      </c>
      <c r="Y3718">
        <v>-3.5899149999999998E-2</v>
      </c>
      <c r="Z3718">
        <v>1.3376200000000001E-3</v>
      </c>
      <c r="AA3718">
        <v>0.99935450000000003</v>
      </c>
      <c r="AB3718">
        <v>44</v>
      </c>
      <c r="AC3718">
        <v>0.473299999999994</v>
      </c>
      <c r="AD3718">
        <v>-9.2929999999999902E-2</v>
      </c>
      <c r="AE3718">
        <v>3.6100000000004601E-2</v>
      </c>
      <c r="AF3718">
        <v>-3.0556409267315999E-2</v>
      </c>
      <c r="AG3718">
        <v>-9.2929999999999902E-2</v>
      </c>
      <c r="AH3718">
        <v>0.45613048715003801</v>
      </c>
      <c r="AI3718">
        <v>101.490516610163</v>
      </c>
      <c r="AJ3718">
        <v>93.832546604776297</v>
      </c>
      <c r="AK3718">
        <v>0.46650262631098099</v>
      </c>
      <c r="AL3718">
        <v>69.621513293537802</v>
      </c>
      <c r="AM3718">
        <v>98.834075296121895</v>
      </c>
      <c r="AN3718">
        <v>1.00000001672974</v>
      </c>
    </row>
    <row r="3719" spans="1:40" x14ac:dyDescent="0.25">
      <c r="A3719" t="str">
        <f>"20190304164202916"</f>
        <v>20190304164202916</v>
      </c>
      <c r="B3719" t="str">
        <f>"1551688922904779"</f>
        <v>1551688922904779</v>
      </c>
      <c r="C3719" t="s">
        <v>40</v>
      </c>
      <c r="D3719">
        <v>4.3218300000000003</v>
      </c>
      <c r="E3719">
        <v>0.54857519999999904</v>
      </c>
      <c r="F3719" t="s">
        <v>46</v>
      </c>
      <c r="G3719">
        <v>-330.49689999999998</v>
      </c>
      <c r="H3719" s="1">
        <v>-1.272688E-6</v>
      </c>
      <c r="I3719">
        <v>214.6241</v>
      </c>
      <c r="J3719">
        <v>-342.10520000000002</v>
      </c>
      <c r="K3719">
        <v>1.110333</v>
      </c>
      <c r="L3719">
        <v>214.02189999999999</v>
      </c>
      <c r="M3719">
        <v>0.99983999999999995</v>
      </c>
      <c r="N3719">
        <v>-1.5316440000000001E-2</v>
      </c>
      <c r="O3719">
        <v>9.2465470000000008E-3</v>
      </c>
      <c r="P3719">
        <v>0.93011969999999999</v>
      </c>
      <c r="Q3719">
        <v>0.33410380000000001</v>
      </c>
      <c r="R3719">
        <v>0.15248639999999999</v>
      </c>
      <c r="S3719">
        <v>3.3075869999999998</v>
      </c>
      <c r="T3719">
        <v>-0.30515560000000003</v>
      </c>
      <c r="U3719">
        <v>0.16658020000000001</v>
      </c>
      <c r="V3719">
        <v>-0.1438876</v>
      </c>
      <c r="W3719">
        <v>0.34832780000000002</v>
      </c>
      <c r="X3719">
        <v>0.92626350000000002</v>
      </c>
      <c r="Y3719">
        <v>-4.0886350000000002E-2</v>
      </c>
      <c r="Z3719">
        <v>1.4856229999999999E-3</v>
      </c>
      <c r="AA3719">
        <v>0.99916269999999996</v>
      </c>
      <c r="AB3719">
        <v>44</v>
      </c>
      <c r="AC3719">
        <v>11.6083</v>
      </c>
      <c r="AD3719">
        <v>-1.1103342726879999</v>
      </c>
      <c r="AE3719">
        <v>0.60220000000000995</v>
      </c>
      <c r="AF3719">
        <v>-0.49035082808646901</v>
      </c>
      <c r="AG3719">
        <v>-1.1103342726879999</v>
      </c>
      <c r="AH3719">
        <v>11.5083659228081</v>
      </c>
      <c r="AI3719">
        <v>95.505910319082602</v>
      </c>
      <c r="AJ3719">
        <v>92.439794651858804</v>
      </c>
      <c r="AK3719">
        <v>11.572198250330899</v>
      </c>
      <c r="AL3719">
        <v>69.614929716812199</v>
      </c>
      <c r="AM3719">
        <v>98.829865935839905</v>
      </c>
      <c r="AN3719">
        <v>0.99999998455942496</v>
      </c>
    </row>
    <row r="3720" spans="1:40" x14ac:dyDescent="0.25">
      <c r="A3720" t="str">
        <f>"20190304164202939"</f>
        <v>20190304164202939</v>
      </c>
      <c r="B3720" t="str">
        <f>"1551688922935035"</f>
        <v>1551688922935035</v>
      </c>
      <c r="C3720" t="s">
        <v>40</v>
      </c>
      <c r="D3720">
        <v>4.3443630000000004</v>
      </c>
      <c r="E3720">
        <v>0.54818789999999995</v>
      </c>
      <c r="F3720" t="s">
        <v>46</v>
      </c>
      <c r="G3720">
        <v>-329.19970000000001</v>
      </c>
      <c r="H3720" s="1">
        <v>3.3588520000000001E-6</v>
      </c>
      <c r="I3720">
        <v>214.69710000000001</v>
      </c>
      <c r="J3720">
        <v>-341.64589999999998</v>
      </c>
      <c r="K3720">
        <v>1.1103339999999999</v>
      </c>
      <c r="L3720">
        <v>214.02619999999999</v>
      </c>
      <c r="M3720">
        <v>0.9998397</v>
      </c>
      <c r="N3720">
        <v>-1.5333080000000001E-2</v>
      </c>
      <c r="O3720">
        <v>9.2601320000000008E-3</v>
      </c>
      <c r="P3720">
        <v>0.93016149999999997</v>
      </c>
      <c r="Q3720">
        <v>0.33395249999999999</v>
      </c>
      <c r="R3720">
        <v>0.152563</v>
      </c>
      <c r="S3720">
        <v>3.299042</v>
      </c>
      <c r="T3720">
        <v>-0.28383459999999899</v>
      </c>
      <c r="U3720">
        <v>0.17260739999999999</v>
      </c>
      <c r="V3720">
        <v>-0.1439492</v>
      </c>
      <c r="W3720">
        <v>0.34819420000000001</v>
      </c>
      <c r="X3720">
        <v>0.92630420000000002</v>
      </c>
      <c r="Y3720">
        <v>-4.2835140000000001E-2</v>
      </c>
      <c r="Z3720">
        <v>1.5144360000000001E-3</v>
      </c>
      <c r="AA3720">
        <v>0.999081</v>
      </c>
      <c r="AB3720">
        <v>44</v>
      </c>
      <c r="AC3720">
        <v>12.4461999999999</v>
      </c>
      <c r="AD3720">
        <v>-1.1103306411479901</v>
      </c>
      <c r="AE3720">
        <v>0.67090000000001704</v>
      </c>
      <c r="AF3720">
        <v>-0.55122998573557402</v>
      </c>
      <c r="AG3720">
        <v>-1.1103306411479901</v>
      </c>
      <c r="AH3720">
        <v>12.3538463747592</v>
      </c>
      <c r="AI3720">
        <v>95.130714402842301</v>
      </c>
      <c r="AJ3720">
        <v>92.554849361569794</v>
      </c>
      <c r="AK3720">
        <v>12.4158853442273</v>
      </c>
      <c r="AL3720">
        <v>69.623096436526197</v>
      </c>
      <c r="AM3720">
        <v>98.833204490843897</v>
      </c>
      <c r="AN3720">
        <v>1.00000002201595</v>
      </c>
    </row>
    <row r="3721" spans="1:40" x14ac:dyDescent="0.25">
      <c r="A3721" t="str">
        <f>"20190304164202962"</f>
        <v>20190304164202962</v>
      </c>
      <c r="B3721" t="str">
        <f>"1551688922954555"</f>
        <v>1551688922954555</v>
      </c>
      <c r="C3721" t="s">
        <v>40</v>
      </c>
      <c r="D3721">
        <v>4.3581839999999996</v>
      </c>
      <c r="E3721">
        <v>0.54800649999999995</v>
      </c>
      <c r="F3721" t="s">
        <v>46</v>
      </c>
      <c r="G3721">
        <v>-327.98989999999998</v>
      </c>
      <c r="H3721" s="1">
        <v>2.7150139999999998E-6</v>
      </c>
      <c r="I3721">
        <v>214.74600000000001</v>
      </c>
      <c r="J3721">
        <v>-341.20769999999999</v>
      </c>
      <c r="K3721">
        <v>1.1103369999999999</v>
      </c>
      <c r="L3721">
        <v>214.03020000000001</v>
      </c>
      <c r="M3721">
        <v>0.99983920000000004</v>
      </c>
      <c r="N3721">
        <v>-1.5345950000000001E-2</v>
      </c>
      <c r="O3721">
        <v>9.2732249999999995E-3</v>
      </c>
      <c r="P3721">
        <v>0.93026299999999995</v>
      </c>
      <c r="Q3721">
        <v>0.333605599999999</v>
      </c>
      <c r="R3721">
        <v>0.15270359999999999</v>
      </c>
      <c r="S3721">
        <v>3.2929080000000002</v>
      </c>
      <c r="T3721">
        <v>-0.26773560000000002</v>
      </c>
      <c r="U3721">
        <v>0.17358399999999999</v>
      </c>
      <c r="V3721">
        <v>-0.1440746</v>
      </c>
      <c r="W3721">
        <v>0.34786119999999998</v>
      </c>
      <c r="X3721">
        <v>0.92640979999999995</v>
      </c>
      <c r="Y3721">
        <v>-4.3228519999999999E-2</v>
      </c>
      <c r="Z3721">
        <v>1.4757450000000001E-3</v>
      </c>
      <c r="AA3721">
        <v>0.99906410000000001</v>
      </c>
      <c r="AB3721">
        <v>44</v>
      </c>
      <c r="AC3721">
        <v>13.2178</v>
      </c>
      <c r="AD3721">
        <v>-1.1103342849860001</v>
      </c>
      <c r="AE3721">
        <v>0.71579999999997301</v>
      </c>
      <c r="AF3721">
        <v>-0.58903874572216797</v>
      </c>
      <c r="AG3721">
        <v>-1.1103342849860001</v>
      </c>
      <c r="AH3721">
        <v>13.1314788094568</v>
      </c>
      <c r="AI3721">
        <v>94.828325083474297</v>
      </c>
      <c r="AJ3721">
        <v>92.568395042575403</v>
      </c>
      <c r="AK3721">
        <v>13.1914951613375</v>
      </c>
      <c r="AL3721">
        <v>69.643448008661494</v>
      </c>
      <c r="AM3721">
        <v>98.839786118499603</v>
      </c>
      <c r="AN3721">
        <v>1.0000000111833101</v>
      </c>
    </row>
    <row r="3722" spans="1:40" x14ac:dyDescent="0.25">
      <c r="A3722" t="str">
        <f>"20190304164202983"</f>
        <v>20190304164202983</v>
      </c>
      <c r="B3722" t="str">
        <f>"1551688922975054"</f>
        <v>1551688922975054</v>
      </c>
      <c r="C3722" t="s">
        <v>40</v>
      </c>
      <c r="D3722">
        <v>4.3559519999999896</v>
      </c>
      <c r="E3722">
        <v>0.5478925</v>
      </c>
      <c r="F3722" t="s">
        <v>46</v>
      </c>
      <c r="G3722">
        <v>-327.34399999999999</v>
      </c>
      <c r="H3722" s="1">
        <v>2.371305E-6</v>
      </c>
      <c r="I3722">
        <v>214.76140000000001</v>
      </c>
      <c r="J3722">
        <v>-340.79610000000002</v>
      </c>
      <c r="K3722">
        <v>1.1103369999999999</v>
      </c>
      <c r="L3722">
        <v>214.0341</v>
      </c>
      <c r="M3722">
        <v>0.99983909999999998</v>
      </c>
      <c r="N3722">
        <v>-1.535603E-2</v>
      </c>
      <c r="O3722">
        <v>9.2852160000000006E-3</v>
      </c>
      <c r="P3722">
        <v>0.93010099999999996</v>
      </c>
      <c r="Q3722">
        <v>0.33410519999999999</v>
      </c>
      <c r="R3722">
        <v>0.15259829999999999</v>
      </c>
      <c r="S3722">
        <v>3.2908940000000002</v>
      </c>
      <c r="T3722">
        <v>-0.26356429999999997</v>
      </c>
      <c r="U3722">
        <v>0.1735535</v>
      </c>
      <c r="V3722">
        <v>-0.14395820000000001</v>
      </c>
      <c r="W3722">
        <v>0.3483677</v>
      </c>
      <c r="X3722">
        <v>0.92623759999999999</v>
      </c>
      <c r="Y3722">
        <v>-4.3243280000000002E-2</v>
      </c>
      <c r="Z3722">
        <v>1.4610279999999901E-3</v>
      </c>
      <c r="AA3722">
        <v>0.99906349999999999</v>
      </c>
      <c r="AB3722">
        <v>44</v>
      </c>
      <c r="AC3722">
        <v>13.4521</v>
      </c>
      <c r="AD3722">
        <v>-1.110334628695</v>
      </c>
      <c r="AE3722">
        <v>0.72730000000001305</v>
      </c>
      <c r="AF3722">
        <v>-0.59828414307964295</v>
      </c>
      <c r="AG3722">
        <v>-1.110334628695</v>
      </c>
      <c r="AH3722">
        <v>13.3674690267347</v>
      </c>
      <c r="AI3722">
        <v>94.743500562362399</v>
      </c>
      <c r="AJ3722">
        <v>92.562661250300494</v>
      </c>
      <c r="AK3722">
        <v>13.426839355717799</v>
      </c>
      <c r="AL3722">
        <v>69.612492351782606</v>
      </c>
      <c r="AM3722">
        <v>98.834373211641307</v>
      </c>
      <c r="AN3722">
        <v>1.0000000547021399</v>
      </c>
    </row>
    <row r="3723" spans="1:40" x14ac:dyDescent="0.25">
      <c r="A3723" t="str">
        <f>"20190304164203006"</f>
        <v>20190304164203006</v>
      </c>
      <c r="B3723" t="str">
        <f>"1551688922994575"</f>
        <v>1551688922994575</v>
      </c>
      <c r="C3723" t="s">
        <v>40</v>
      </c>
      <c r="D3723">
        <v>4.3618759999999996</v>
      </c>
      <c r="E3723">
        <v>0.54786569999999901</v>
      </c>
      <c r="F3723" t="s">
        <v>46</v>
      </c>
      <c r="G3723">
        <v>-326.68880000000001</v>
      </c>
      <c r="H3723" s="1">
        <v>2.0226619999999999E-6</v>
      </c>
      <c r="I3723">
        <v>214.7824</v>
      </c>
      <c r="J3723">
        <v>-340.36130000000003</v>
      </c>
      <c r="K3723">
        <v>1.1103400000000001</v>
      </c>
      <c r="L3723">
        <v>214.03809999999999</v>
      </c>
      <c r="M3723">
        <v>0.99983880000000003</v>
      </c>
      <c r="N3723">
        <v>-1.536442E-2</v>
      </c>
      <c r="O3723">
        <v>9.2975839999999994E-3</v>
      </c>
      <c r="P3723">
        <v>0.92987299999999995</v>
      </c>
      <c r="Q3723">
        <v>0.33465669999999997</v>
      </c>
      <c r="R3723">
        <v>0.1527782</v>
      </c>
      <c r="S3723">
        <v>3.2897639999999999</v>
      </c>
      <c r="T3723">
        <v>-0.25892480000000001</v>
      </c>
      <c r="U3723">
        <v>0.1745148</v>
      </c>
      <c r="V3723">
        <v>-0.144127799999999</v>
      </c>
      <c r="W3723">
        <v>0.34892450000000003</v>
      </c>
      <c r="X3723">
        <v>0.92600150000000003</v>
      </c>
      <c r="Y3723">
        <v>-4.354334E-2</v>
      </c>
      <c r="Z3723">
        <v>1.457613E-3</v>
      </c>
      <c r="AA3723">
        <v>0.99905049999999995</v>
      </c>
      <c r="AB3723">
        <v>44</v>
      </c>
      <c r="AC3723">
        <v>13.672499999999999</v>
      </c>
      <c r="AD3723">
        <v>-1.110337977338</v>
      </c>
      <c r="AE3723">
        <v>0.74430000000000895</v>
      </c>
      <c r="AF3723">
        <v>-0.61310015956752095</v>
      </c>
      <c r="AG3723">
        <v>-1.110337977338</v>
      </c>
      <c r="AH3723">
        <v>13.5894721922439</v>
      </c>
      <c r="AI3723">
        <v>94.666293033689797</v>
      </c>
      <c r="AJ3723">
        <v>92.583194290711205</v>
      </c>
      <c r="AK3723">
        <v>13.6485345987528</v>
      </c>
      <c r="AL3723">
        <v>69.578452174183298</v>
      </c>
      <c r="AM3723">
        <v>98.846836117703205</v>
      </c>
      <c r="AN3723">
        <v>0.99999995371766803</v>
      </c>
    </row>
    <row r="3724" spans="1:40" x14ac:dyDescent="0.25">
      <c r="A3724" t="str">
        <f>"20190304164203018"</f>
        <v>20190304164203018</v>
      </c>
      <c r="B3724" t="str">
        <f>"1551688923015070"</f>
        <v>1551688923015070</v>
      </c>
      <c r="C3724" t="s">
        <v>40</v>
      </c>
      <c r="D3724">
        <v>4.3881259999999997</v>
      </c>
      <c r="E3724">
        <v>0.54786369999999995</v>
      </c>
      <c r="F3724" t="s">
        <v>46</v>
      </c>
      <c r="G3724">
        <v>-326.16210000000001</v>
      </c>
      <c r="H3724" s="1">
        <v>1.742383E-6</v>
      </c>
      <c r="I3724">
        <v>214.7987</v>
      </c>
      <c r="J3724">
        <v>-340.10599999999999</v>
      </c>
      <c r="K3724">
        <v>1.1103419999999999</v>
      </c>
      <c r="L3724">
        <v>214.04050000000001</v>
      </c>
      <c r="M3724">
        <v>0.99983869999999997</v>
      </c>
      <c r="N3724">
        <v>-1.5368389999999999E-2</v>
      </c>
      <c r="O3724">
        <v>9.3048720000000005E-3</v>
      </c>
      <c r="P3724">
        <v>0.92980700000000005</v>
      </c>
      <c r="Q3724">
        <v>0.33485589999999998</v>
      </c>
      <c r="R3724">
        <v>0.15274450000000001</v>
      </c>
      <c r="S3724">
        <v>3.2898860000000001</v>
      </c>
      <c r="T3724">
        <v>-0.25726080000000001</v>
      </c>
      <c r="U3724">
        <v>0.17622380000000001</v>
      </c>
      <c r="V3724">
        <v>-0.1440871</v>
      </c>
      <c r="W3724">
        <v>0.34912650000000001</v>
      </c>
      <c r="X3724">
        <v>0.92593179999999997</v>
      </c>
      <c r="Y3724">
        <v>-4.4051350000000003E-2</v>
      </c>
      <c r="Z3724">
        <v>1.4746850000000001E-3</v>
      </c>
      <c r="AA3724">
        <v>0.99902820000000003</v>
      </c>
      <c r="AB3724">
        <v>44</v>
      </c>
      <c r="AC3724">
        <v>13.9438999999999</v>
      </c>
      <c r="AD3724">
        <v>-1.1103402576169901</v>
      </c>
      <c r="AE3724">
        <v>0.758199999999987</v>
      </c>
      <c r="AF3724">
        <v>-0.62445776615720505</v>
      </c>
      <c r="AG3724">
        <v>-1.1103402576169901</v>
      </c>
      <c r="AH3724">
        <v>13.8627105260531</v>
      </c>
      <c r="AI3724">
        <v>94.574736930607401</v>
      </c>
      <c r="AJ3724">
        <v>92.579194299588394</v>
      </c>
      <c r="AK3724">
        <v>13.921118709304301</v>
      </c>
      <c r="AL3724">
        <v>69.566103841768694</v>
      </c>
      <c r="AM3724">
        <v>98.845032615581601</v>
      </c>
      <c r="AN3724">
        <v>1.0000000518199399</v>
      </c>
    </row>
    <row r="3725" spans="1:40" x14ac:dyDescent="0.25">
      <c r="A3725" t="str">
        <f>"20190304164203041"</f>
        <v>20190304164203041</v>
      </c>
      <c r="B3725" t="str">
        <f>"1551688923034590"</f>
        <v>1551688923034590</v>
      </c>
      <c r="C3725" t="s">
        <v>40</v>
      </c>
      <c r="D3725">
        <v>4.3701049999999997</v>
      </c>
      <c r="E3725">
        <v>0.54790969999999894</v>
      </c>
      <c r="F3725" t="s">
        <v>46</v>
      </c>
      <c r="G3725">
        <v>-325.90010000000001</v>
      </c>
      <c r="H3725" s="1">
        <v>1.6029750000000001E-6</v>
      </c>
      <c r="I3725">
        <v>214.8032</v>
      </c>
      <c r="J3725">
        <v>-339.67009999999999</v>
      </c>
      <c r="K3725">
        <v>1.1103479999999999</v>
      </c>
      <c r="L3725">
        <v>214.0445</v>
      </c>
      <c r="M3725">
        <v>0.99983849999999996</v>
      </c>
      <c r="N3725">
        <v>-1.537378E-2</v>
      </c>
      <c r="O3725">
        <v>9.3174469999999995E-3</v>
      </c>
      <c r="P3725">
        <v>0.92961590000000005</v>
      </c>
      <c r="Q3725">
        <v>0.3350515</v>
      </c>
      <c r="R3725">
        <v>0.15347629999999901</v>
      </c>
      <c r="S3725">
        <v>3.2900390000000002</v>
      </c>
      <c r="T3725">
        <v>-0.2571522</v>
      </c>
      <c r="U3725">
        <v>0.17663570000000001</v>
      </c>
      <c r="V3725">
        <v>-0.14480850000000001</v>
      </c>
      <c r="W3725">
        <v>0.34932479999999999</v>
      </c>
      <c r="X3725">
        <v>0.92574440000000002</v>
      </c>
      <c r="Y3725">
        <v>-4.4160789999999998E-2</v>
      </c>
      <c r="Z3725">
        <v>1.4787100000000001E-3</v>
      </c>
      <c r="AA3725">
        <v>0.99902329999999995</v>
      </c>
      <c r="AB3725">
        <v>44</v>
      </c>
      <c r="AC3725">
        <v>13.7699999999999</v>
      </c>
      <c r="AD3725">
        <v>-1.1103463970249901</v>
      </c>
      <c r="AE3725">
        <v>0.75870000000000404</v>
      </c>
      <c r="AF3725">
        <v>-0.62629082261159497</v>
      </c>
      <c r="AG3725">
        <v>-1.1103463970249901</v>
      </c>
      <c r="AH3725">
        <v>13.687743326481099</v>
      </c>
      <c r="AI3725">
        <v>94.632838921066707</v>
      </c>
      <c r="AJ3725">
        <v>92.619775197528895</v>
      </c>
      <c r="AK3725">
        <v>13.746978820362701</v>
      </c>
      <c r="AL3725">
        <v>69.553977690431694</v>
      </c>
      <c r="AM3725">
        <v>98.890382183036294</v>
      </c>
      <c r="AN3725">
        <v>1.0000000058493199</v>
      </c>
    </row>
    <row r="3726" spans="1:40" x14ac:dyDescent="0.25">
      <c r="A3726" t="str">
        <f>"20190304164203064"</f>
        <v>20190304164203064</v>
      </c>
      <c r="B3726" t="str">
        <f>"1551688923055086"</f>
        <v>1551688923055086</v>
      </c>
      <c r="C3726" t="s">
        <v>40</v>
      </c>
      <c r="D3726">
        <v>4.3677739999999998</v>
      </c>
      <c r="E3726">
        <v>0.54797479999999998</v>
      </c>
      <c r="F3726" t="s">
        <v>46</v>
      </c>
      <c r="G3726">
        <v>-325.44639999999998</v>
      </c>
      <c r="H3726" s="1">
        <v>1.361493E-6</v>
      </c>
      <c r="I3726">
        <v>214.82149999999999</v>
      </c>
      <c r="J3726">
        <v>-339.22309999999999</v>
      </c>
      <c r="K3726">
        <v>1.110358</v>
      </c>
      <c r="L3726">
        <v>214.0487</v>
      </c>
      <c r="M3726">
        <v>0.99983829999999996</v>
      </c>
      <c r="N3726">
        <v>-1.537766E-2</v>
      </c>
      <c r="O3726">
        <v>9.3299799999999999E-3</v>
      </c>
      <c r="P3726">
        <v>0.92946289999999998</v>
      </c>
      <c r="Q3726">
        <v>0.33537499999999998</v>
      </c>
      <c r="R3726">
        <v>0.15369639999999901</v>
      </c>
      <c r="S3726">
        <v>3.2900700000000001</v>
      </c>
      <c r="T3726">
        <v>-0.25683240000000002</v>
      </c>
      <c r="U3726">
        <v>0.17971799999999999</v>
      </c>
      <c r="V3726">
        <v>-0.14501749999999999</v>
      </c>
      <c r="W3726">
        <v>0.34964959999999901</v>
      </c>
      <c r="X3726">
        <v>0.925589</v>
      </c>
      <c r="Y3726">
        <v>-4.5077949999999999E-2</v>
      </c>
      <c r="Z3726">
        <v>1.5195720000000001E-3</v>
      </c>
      <c r="AA3726">
        <v>0.99898229999999999</v>
      </c>
      <c r="AB3726">
        <v>44</v>
      </c>
      <c r="AC3726">
        <v>13.7767</v>
      </c>
      <c r="AD3726">
        <v>-1.1103566385070001</v>
      </c>
      <c r="AE3726">
        <v>0.77279999999998905</v>
      </c>
      <c r="AF3726">
        <v>-0.64007008550443301</v>
      </c>
      <c r="AG3726">
        <v>-1.1103566385070001</v>
      </c>
      <c r="AH3726">
        <v>13.694632333875999</v>
      </c>
      <c r="AI3726">
        <v>94.630351882584094</v>
      </c>
      <c r="AJ3726">
        <v>92.675986044874705</v>
      </c>
      <c r="AK3726">
        <v>13.754473321035499</v>
      </c>
      <c r="AL3726">
        <v>69.534114502637905</v>
      </c>
      <c r="AM3726">
        <v>98.904478942020802</v>
      </c>
      <c r="AN3726">
        <v>0.99999995750370396</v>
      </c>
    </row>
    <row r="3727" spans="1:40" x14ac:dyDescent="0.25">
      <c r="A3727" t="str">
        <f>"20190304164203085"</f>
        <v>20190304164203085</v>
      </c>
      <c r="B3727" t="str">
        <f>"1551688923074606"</f>
        <v>1551688923074606</v>
      </c>
      <c r="C3727" t="s">
        <v>40</v>
      </c>
      <c r="D3727">
        <v>4.3569740000000001</v>
      </c>
      <c r="E3727">
        <v>0.54804350000000002</v>
      </c>
      <c r="F3727" t="s">
        <v>46</v>
      </c>
      <c r="G3727">
        <v>-324.96660000000003</v>
      </c>
      <c r="H3727" s="1">
        <v>1.1061990000000001E-6</v>
      </c>
      <c r="I3727">
        <v>214.83009999999999</v>
      </c>
      <c r="J3727">
        <v>-338.82920000000001</v>
      </c>
      <c r="K3727">
        <v>1.1103670000000001</v>
      </c>
      <c r="L3727">
        <v>214.05240000000001</v>
      </c>
      <c r="M3727">
        <v>0.99983820000000001</v>
      </c>
      <c r="N3727">
        <v>-1.5380049999999999E-2</v>
      </c>
      <c r="O3727">
        <v>9.3409800000000005E-3</v>
      </c>
      <c r="P3727">
        <v>0.92923860000000003</v>
      </c>
      <c r="Q3727">
        <v>0.336061</v>
      </c>
      <c r="R3727">
        <v>0.1535542</v>
      </c>
      <c r="S3727">
        <v>3.290314</v>
      </c>
      <c r="T3727">
        <v>-0.2562643</v>
      </c>
      <c r="U3727">
        <v>0.1803284</v>
      </c>
      <c r="V3727">
        <v>-0.1448672</v>
      </c>
      <c r="W3727">
        <v>0.3503349</v>
      </c>
      <c r="X3727">
        <v>0.92535350000000005</v>
      </c>
      <c r="Y3727">
        <v>-4.5247669999999997E-2</v>
      </c>
      <c r="Z3727">
        <v>1.5245160000000001E-3</v>
      </c>
      <c r="AA3727">
        <v>0.99897460000000005</v>
      </c>
      <c r="AB3727">
        <v>43</v>
      </c>
      <c r="AC3727">
        <v>13.862599999999899</v>
      </c>
      <c r="AD3727">
        <v>-1.1103658938009999</v>
      </c>
      <c r="AE3727">
        <v>0.77769999999998096</v>
      </c>
      <c r="AF3727">
        <v>-0.64404148805910599</v>
      </c>
      <c r="AG3727">
        <v>-1.1103658938009999</v>
      </c>
      <c r="AH3727">
        <v>13.7811224915985</v>
      </c>
      <c r="AI3727">
        <v>94.6014563238938</v>
      </c>
      <c r="AJ3727">
        <v>92.675691336433005</v>
      </c>
      <c r="AK3727">
        <v>13.840774508129901</v>
      </c>
      <c r="AL3727">
        <v>69.492201125754704</v>
      </c>
      <c r="AM3727">
        <v>98.897625402328799</v>
      </c>
      <c r="AN3727">
        <v>1.0000000738780399</v>
      </c>
    </row>
    <row r="3728" spans="1:40" x14ac:dyDescent="0.25">
      <c r="A3728" t="str">
        <f>"20190304164203098"</f>
        <v>20190304164203098</v>
      </c>
      <c r="B3728" t="str">
        <f>"1551688923095103"</f>
        <v>1551688923095103</v>
      </c>
      <c r="C3728" t="s">
        <v>40</v>
      </c>
      <c r="D3728">
        <v>4.3621869999999996</v>
      </c>
      <c r="E3728">
        <v>0.54811509999999997</v>
      </c>
      <c r="F3728" t="s">
        <v>46</v>
      </c>
      <c r="G3728">
        <v>-324.5102</v>
      </c>
      <c r="H3728" s="1">
        <v>8.6331979999999999E-7</v>
      </c>
      <c r="I3728">
        <v>214.83250000000001</v>
      </c>
      <c r="J3728">
        <v>-338.5634</v>
      </c>
      <c r="K3728">
        <v>1.110368</v>
      </c>
      <c r="L3728">
        <v>214.0549</v>
      </c>
      <c r="M3728">
        <v>0.99983820000000001</v>
      </c>
      <c r="N3728">
        <v>-1.538116E-2</v>
      </c>
      <c r="O3728">
        <v>9.3481780000000004E-3</v>
      </c>
      <c r="P3728">
        <v>0.92903860000000005</v>
      </c>
      <c r="Q3728">
        <v>0.33657680000000001</v>
      </c>
      <c r="R3728">
        <v>0.15363399999999999</v>
      </c>
      <c r="S3728">
        <v>3.2911069999999998</v>
      </c>
      <c r="T3728">
        <v>-0.25520900000000002</v>
      </c>
      <c r="U3728">
        <v>0.1792908</v>
      </c>
      <c r="V3728">
        <v>-0.14494109999999999</v>
      </c>
      <c r="W3728">
        <v>0.35084799999999999</v>
      </c>
      <c r="X3728">
        <v>0.92514750000000001</v>
      </c>
      <c r="Y3728">
        <v>-4.49156E-2</v>
      </c>
      <c r="Z3728">
        <v>1.504217E-3</v>
      </c>
      <c r="AA3728">
        <v>0.99898960000000003</v>
      </c>
      <c r="AB3728">
        <v>43</v>
      </c>
      <c r="AC3728">
        <v>14.0532</v>
      </c>
      <c r="AD3728">
        <v>-1.1103671366801999</v>
      </c>
      <c r="AE3728">
        <v>0.77760000000000595</v>
      </c>
      <c r="AF3728">
        <v>-0.64218187605052102</v>
      </c>
      <c r="AG3728">
        <v>-1.1103671366801999</v>
      </c>
      <c r="AH3728">
        <v>13.9728914241248</v>
      </c>
      <c r="AI3728">
        <v>94.538736907333799</v>
      </c>
      <c r="AJ3728">
        <v>92.631412260357195</v>
      </c>
      <c r="AK3728">
        <v>14.0316430787891</v>
      </c>
      <c r="AL3728">
        <v>69.460810135297294</v>
      </c>
      <c r="AM3728">
        <v>98.904042050756999</v>
      </c>
      <c r="AN3728">
        <v>1.00000006916472</v>
      </c>
    </row>
    <row r="3729" spans="1:40" x14ac:dyDescent="0.25">
      <c r="A3729" t="str">
        <f>"20190304164203118"</f>
        <v>20190304164203118</v>
      </c>
      <c r="B3729" t="str">
        <f>"1551688923114623"</f>
        <v>1551688923114623</v>
      </c>
      <c r="C3729" t="s">
        <v>40</v>
      </c>
      <c r="D3729">
        <v>4.3401110000000003</v>
      </c>
      <c r="E3729">
        <v>0.548133599999999</v>
      </c>
      <c r="F3729" t="s">
        <v>46</v>
      </c>
      <c r="G3729">
        <v>-324.1739</v>
      </c>
      <c r="H3729" s="1">
        <v>6.8435950000000001E-7</v>
      </c>
      <c r="I3729">
        <v>214.83670000000001</v>
      </c>
      <c r="J3729">
        <v>-338.1859</v>
      </c>
      <c r="K3729">
        <v>1.1103700000000001</v>
      </c>
      <c r="L3729">
        <v>214.05840000000001</v>
      </c>
      <c r="M3729">
        <v>0.999838</v>
      </c>
      <c r="N3729">
        <v>-1.538227E-2</v>
      </c>
      <c r="O3729">
        <v>9.3584180000000003E-3</v>
      </c>
      <c r="P3729">
        <v>0.92901769999999995</v>
      </c>
      <c r="Q3729">
        <v>0.33695019999999998</v>
      </c>
      <c r="R3729">
        <v>0.1529412</v>
      </c>
      <c r="S3729">
        <v>3.291595</v>
      </c>
      <c r="T3729">
        <v>-0.25399729999999998</v>
      </c>
      <c r="U3729">
        <v>0.17884829999999999</v>
      </c>
      <c r="V3729">
        <v>-0.14423920000000001</v>
      </c>
      <c r="W3729">
        <v>0.35122219999999998</v>
      </c>
      <c r="X3729">
        <v>0.92511520000000003</v>
      </c>
      <c r="Y3729">
        <v>-4.4765180000000002E-2</v>
      </c>
      <c r="Z3729">
        <v>1.4917190000000001E-3</v>
      </c>
      <c r="AA3729">
        <v>0.99899640000000001</v>
      </c>
      <c r="AB3729">
        <v>43</v>
      </c>
      <c r="AC3729">
        <v>14.012</v>
      </c>
      <c r="AD3729">
        <v>-1.1103693156404999</v>
      </c>
      <c r="AE3729">
        <v>0.77830000000000099</v>
      </c>
      <c r="AF3729">
        <v>-0.64309427614798897</v>
      </c>
      <c r="AG3729">
        <v>-1.1103693156404999</v>
      </c>
      <c r="AH3729">
        <v>13.931455353393</v>
      </c>
      <c r="AI3729">
        <v>94.552146504442405</v>
      </c>
      <c r="AJ3729">
        <v>92.642972223957301</v>
      </c>
      <c r="AK3729">
        <v>13.9904231004181</v>
      </c>
      <c r="AL3729">
        <v>69.437912667721093</v>
      </c>
      <c r="AM3729">
        <v>98.861913297585502</v>
      </c>
      <c r="AN3729">
        <v>1.0000000569302501</v>
      </c>
    </row>
    <row r="3730" spans="1:40" x14ac:dyDescent="0.25">
      <c r="A3730" t="str">
        <f>"20190304164203132"</f>
        <v>20190304164203132</v>
      </c>
      <c r="B3730" t="str">
        <f>"1551688923124382"</f>
        <v>1551688923124382</v>
      </c>
      <c r="C3730" t="s">
        <v>40</v>
      </c>
      <c r="D3730">
        <v>4.3125730000000004</v>
      </c>
      <c r="E3730">
        <v>0.54814030000000002</v>
      </c>
      <c r="F3730" t="s">
        <v>46</v>
      </c>
      <c r="G3730">
        <v>-323.82729999999998</v>
      </c>
      <c r="H3730" s="1">
        <v>4.9990010000000001E-7</v>
      </c>
      <c r="I3730">
        <v>214.8321</v>
      </c>
      <c r="J3730">
        <v>-337.90370000000001</v>
      </c>
      <c r="K3730">
        <v>1.110371</v>
      </c>
      <c r="L3730">
        <v>214.06110000000001</v>
      </c>
      <c r="M3730">
        <v>0.99983789999999995</v>
      </c>
      <c r="N3730">
        <v>-1.5382679999999999E-2</v>
      </c>
      <c r="O3730">
        <v>9.3661600000000001E-3</v>
      </c>
      <c r="P3730">
        <v>0.92915619999999999</v>
      </c>
      <c r="Q3730">
        <v>0.336758</v>
      </c>
      <c r="R3730">
        <v>0.1525223</v>
      </c>
      <c r="S3730">
        <v>3.2923580000000001</v>
      </c>
      <c r="T3730">
        <v>-0.25460290000000002</v>
      </c>
      <c r="U3730">
        <v>0.17739869999999999</v>
      </c>
      <c r="V3730">
        <v>-0.1438121</v>
      </c>
      <c r="W3730">
        <v>0.35103230000000002</v>
      </c>
      <c r="X3730">
        <v>0.92525369999999996</v>
      </c>
      <c r="Y3730">
        <v>-4.430746E-2</v>
      </c>
      <c r="Z3730">
        <v>1.472227E-3</v>
      </c>
      <c r="AA3730">
        <v>0.99901689999999999</v>
      </c>
      <c r="AB3730">
        <v>43</v>
      </c>
      <c r="AC3730">
        <v>14.0764</v>
      </c>
      <c r="AD3730">
        <v>-1.1103705000999</v>
      </c>
      <c r="AE3730">
        <v>0.77099999999998603</v>
      </c>
      <c r="AF3730">
        <v>-0.63516836684324596</v>
      </c>
      <c r="AG3730">
        <v>-1.1103705000999</v>
      </c>
      <c r="AH3730">
        <v>13.9961763194289</v>
      </c>
      <c r="AI3730">
        <v>94.531349904633004</v>
      </c>
      <c r="AJ3730">
        <v>92.598389262477497</v>
      </c>
      <c r="AK3730">
        <v>14.054512195955899</v>
      </c>
      <c r="AL3730">
        <v>69.449531862282598</v>
      </c>
      <c r="AM3730">
        <v>98.834785588775205</v>
      </c>
      <c r="AN3730">
        <v>1.00000000255669</v>
      </c>
    </row>
    <row r="3731" spans="1:40" x14ac:dyDescent="0.25">
      <c r="A3731" t="str">
        <f>"20190304164203144"</f>
        <v>20190304164203144</v>
      </c>
      <c r="B3731" t="str">
        <f>"1551688923135119"</f>
        <v>1551688923135119</v>
      </c>
      <c r="C3731" t="s">
        <v>40</v>
      </c>
      <c r="D3731">
        <v>4.3101279999999997</v>
      </c>
      <c r="E3731">
        <v>0.54815979999999997</v>
      </c>
      <c r="F3731" t="s">
        <v>46</v>
      </c>
      <c r="G3731">
        <v>-323.62630000000001</v>
      </c>
      <c r="H3731" s="1">
        <v>3.9295080000000002E-7</v>
      </c>
      <c r="I3731">
        <v>214.82550000000001</v>
      </c>
      <c r="J3731">
        <v>-337.66539999999998</v>
      </c>
      <c r="K3731">
        <v>1.110366</v>
      </c>
      <c r="L3731">
        <v>214.0633</v>
      </c>
      <c r="M3731">
        <v>0.9998378</v>
      </c>
      <c r="N3731">
        <v>-1.538283E-2</v>
      </c>
      <c r="O3731">
        <v>9.3725340000000001E-3</v>
      </c>
      <c r="P3731">
        <v>0.92934939999999999</v>
      </c>
      <c r="Q3731">
        <v>0.33622150000000001</v>
      </c>
      <c r="R3731">
        <v>0.1525289</v>
      </c>
      <c r="S3731">
        <v>3.2926030000000002</v>
      </c>
      <c r="T3731">
        <v>-0.25606879999999999</v>
      </c>
      <c r="U3731">
        <v>0.17630000000000001</v>
      </c>
      <c r="V3731">
        <v>-0.14381060000000001</v>
      </c>
      <c r="W3731">
        <v>0.35049920000000001</v>
      </c>
      <c r="X3731">
        <v>0.92545599999999995</v>
      </c>
      <c r="Y3731">
        <v>-4.3964580000000003E-2</v>
      </c>
      <c r="Z3731">
        <v>1.46149E-3</v>
      </c>
      <c r="AA3731">
        <v>0.99903200000000003</v>
      </c>
      <c r="AB3731">
        <v>43</v>
      </c>
      <c r="AC3731">
        <v>14.0390999999999</v>
      </c>
      <c r="AD3731">
        <v>-1.1103656070491901</v>
      </c>
      <c r="AE3731">
        <v>0.76220000000000698</v>
      </c>
      <c r="AF3731">
        <v>-0.62666053022229695</v>
      </c>
      <c r="AG3731">
        <v>-1.1103656070491901</v>
      </c>
      <c r="AH3731">
        <v>13.958568311128399</v>
      </c>
      <c r="AI3731">
        <v>94.543586855888194</v>
      </c>
      <c r="AJ3731">
        <v>92.570529420572797</v>
      </c>
      <c r="AK3731">
        <v>14.016677370115</v>
      </c>
      <c r="AL3731">
        <v>69.482148398234699</v>
      </c>
      <c r="AM3731">
        <v>98.832794129625995</v>
      </c>
      <c r="AN3731">
        <v>0.99999999290449904</v>
      </c>
    </row>
    <row r="3732" spans="1:40" x14ac:dyDescent="0.25">
      <c r="A3732" t="str">
        <f>"20190304164203158"</f>
        <v>20190304164203158</v>
      </c>
      <c r="B3732" t="str">
        <f>"1551688923154638"</f>
        <v>1551688923154638</v>
      </c>
      <c r="C3732" t="s">
        <v>40</v>
      </c>
      <c r="D3732">
        <v>4.2592540000000003</v>
      </c>
      <c r="E3732">
        <v>0.54819039999999997</v>
      </c>
      <c r="F3732" t="s">
        <v>46</v>
      </c>
      <c r="G3732">
        <v>-323.5172</v>
      </c>
      <c r="H3732" s="1">
        <v>3.3490499999999999E-7</v>
      </c>
      <c r="I3732">
        <v>214.8203</v>
      </c>
      <c r="J3732">
        <v>-337.39179999999999</v>
      </c>
      <c r="K3732">
        <v>1.1103689999999999</v>
      </c>
      <c r="L3732">
        <v>214.0659</v>
      </c>
      <c r="M3732">
        <v>0.9998378</v>
      </c>
      <c r="N3732">
        <v>-1.5382659999999999E-2</v>
      </c>
      <c r="O3732">
        <v>9.3797450000000001E-3</v>
      </c>
      <c r="P3732">
        <v>0.92941770000000001</v>
      </c>
      <c r="Q3732">
        <v>0.3359336</v>
      </c>
      <c r="R3732">
        <v>0.15274649999999901</v>
      </c>
      <c r="S3732">
        <v>3.2926030000000002</v>
      </c>
      <c r="T3732">
        <v>-0.2584072</v>
      </c>
      <c r="U3732">
        <v>0.17616270000000001</v>
      </c>
      <c r="V3732">
        <v>-0.14402079999999901</v>
      </c>
      <c r="W3732">
        <v>0.35021249999999998</v>
      </c>
      <c r="X3732">
        <v>0.92553189999999996</v>
      </c>
      <c r="Y3732">
        <v>-4.3913769999999998E-2</v>
      </c>
      <c r="Z3732">
        <v>1.467566E-3</v>
      </c>
      <c r="AA3732">
        <v>0.99903419999999998</v>
      </c>
      <c r="AB3732">
        <v>43</v>
      </c>
      <c r="AC3732">
        <v>13.8745999999999</v>
      </c>
      <c r="AD3732">
        <v>-1.110368665095</v>
      </c>
      <c r="AE3732">
        <v>0.75440000000000396</v>
      </c>
      <c r="AF3732">
        <v>-0.62025045097034903</v>
      </c>
      <c r="AG3732">
        <v>-1.110368665095</v>
      </c>
      <c r="AH3732">
        <v>13.792987948423701</v>
      </c>
      <c r="AI3732">
        <v>94.597896031368194</v>
      </c>
      <c r="AJ3732">
        <v>92.574772616463093</v>
      </c>
      <c r="AK3732">
        <v>13.851503374714</v>
      </c>
      <c r="AL3732">
        <v>69.499687787564298</v>
      </c>
      <c r="AM3732">
        <v>98.844786595969595</v>
      </c>
      <c r="AN3732">
        <v>1.00000004195324</v>
      </c>
    </row>
    <row r="3733" spans="1:40" x14ac:dyDescent="0.25">
      <c r="A3733" t="str">
        <f>"20190304164203174"</f>
        <v>20190304164203174</v>
      </c>
      <c r="B3733" t="str">
        <f>"1551688923164398"</f>
        <v>1551688923164398</v>
      </c>
      <c r="C3733" t="s">
        <v>40</v>
      </c>
      <c r="D3733">
        <v>4.2526659999999996</v>
      </c>
      <c r="E3733">
        <v>0.54819039999999997</v>
      </c>
      <c r="F3733" t="s">
        <v>46</v>
      </c>
      <c r="G3733">
        <v>-323.35509999999999</v>
      </c>
      <c r="H3733" s="1">
        <v>2.4863999999999998E-7</v>
      </c>
      <c r="I3733">
        <v>214.8168</v>
      </c>
      <c r="J3733">
        <v>-337.10489999999999</v>
      </c>
      <c r="K3733">
        <v>1.110376</v>
      </c>
      <c r="L3733">
        <v>214.0686</v>
      </c>
      <c r="M3733">
        <v>0.99983770000000005</v>
      </c>
      <c r="N3733">
        <v>-1.5382130000000001E-2</v>
      </c>
      <c r="O3733">
        <v>9.3874349999999995E-3</v>
      </c>
      <c r="P3733">
        <v>0.92925579999999997</v>
      </c>
      <c r="Q3733">
        <v>0.3362964</v>
      </c>
      <c r="R3733">
        <v>0.1529334</v>
      </c>
      <c r="S3733">
        <v>3.292999</v>
      </c>
      <c r="T3733">
        <v>-0.26049240000000001</v>
      </c>
      <c r="U3733">
        <v>0.17616270000000001</v>
      </c>
      <c r="V3733">
        <v>-0.14420169999999999</v>
      </c>
      <c r="W3733">
        <v>0.35057199999999999</v>
      </c>
      <c r="X3733">
        <v>0.92536759999999996</v>
      </c>
      <c r="Y3733">
        <v>-4.3897760000000001E-2</v>
      </c>
      <c r="Z3733">
        <v>1.474115E-3</v>
      </c>
      <c r="AA3733">
        <v>0.99903489999999995</v>
      </c>
      <c r="AB3733">
        <v>43</v>
      </c>
      <c r="AC3733">
        <v>13.749799999999899</v>
      </c>
      <c r="AD3733">
        <v>-1.1103757513600001</v>
      </c>
      <c r="AE3733">
        <v>0.74819999999999698</v>
      </c>
      <c r="AF3733">
        <v>-0.61507702834653799</v>
      </c>
      <c r="AG3733">
        <v>-1.1103757513600001</v>
      </c>
      <c r="AH3733">
        <v>13.6673500940685</v>
      </c>
      <c r="AI3733">
        <v>94.640000975084007</v>
      </c>
      <c r="AJ3733">
        <v>92.576765426900593</v>
      </c>
      <c r="AK3733">
        <v>13.726168899363101</v>
      </c>
      <c r="AL3733">
        <v>69.477695390223303</v>
      </c>
      <c r="AM3733">
        <v>98.857267685250406</v>
      </c>
      <c r="AN3733">
        <v>1.00000002629832</v>
      </c>
    </row>
    <row r="3734" spans="1:40" x14ac:dyDescent="0.25">
      <c r="A3734" t="str">
        <f>"20190304164203195"</f>
        <v>20190304164203195</v>
      </c>
      <c r="B3734" t="str">
        <f>"1551688923184894"</f>
        <v>1551688923184894</v>
      </c>
      <c r="C3734" t="s">
        <v>40</v>
      </c>
      <c r="D3734">
        <v>4.2135020000000001</v>
      </c>
      <c r="E3734">
        <v>0.5482011</v>
      </c>
      <c r="F3734" t="s">
        <v>46</v>
      </c>
      <c r="G3734">
        <v>-323.03649999999999</v>
      </c>
      <c r="H3734" s="1">
        <v>7.9105689999999994E-8</v>
      </c>
      <c r="I3734">
        <v>214.82400000000001</v>
      </c>
      <c r="J3734">
        <v>-336.68759999999997</v>
      </c>
      <c r="K3734">
        <v>1.110384</v>
      </c>
      <c r="L3734">
        <v>214.07249999999999</v>
      </c>
      <c r="M3734">
        <v>0.99983759999999999</v>
      </c>
      <c r="N3734">
        <v>-1.5380939999999999E-2</v>
      </c>
      <c r="O3734">
        <v>9.3987050000000003E-3</v>
      </c>
      <c r="P3734">
        <v>0.92892620000000004</v>
      </c>
      <c r="Q3734">
        <v>0.33722980000000002</v>
      </c>
      <c r="R3734">
        <v>0.15287999999999999</v>
      </c>
      <c r="S3734">
        <v>3.2933650000000001</v>
      </c>
      <c r="T3734">
        <v>-0.25993680000000002</v>
      </c>
      <c r="U3734">
        <v>0.17683409999999999</v>
      </c>
      <c r="V3734">
        <v>-0.14414070000000001</v>
      </c>
      <c r="W3734">
        <v>0.35149940000000002</v>
      </c>
      <c r="X3734">
        <v>0.92502519999999999</v>
      </c>
      <c r="Y3734">
        <v>-4.4083560000000001E-2</v>
      </c>
      <c r="Z3734">
        <v>1.479888E-3</v>
      </c>
      <c r="AA3734">
        <v>0.99902679999999999</v>
      </c>
      <c r="AB3734">
        <v>43</v>
      </c>
      <c r="AC3734">
        <v>13.6510999999999</v>
      </c>
      <c r="AD3734">
        <v>-1.11038392089431</v>
      </c>
      <c r="AE3734">
        <v>0.75150000000002104</v>
      </c>
      <c r="AF3734">
        <v>-0.61906545868584795</v>
      </c>
      <c r="AG3734">
        <v>-1.11038392089431</v>
      </c>
      <c r="AH3734">
        <v>13.5680625830945</v>
      </c>
      <c r="AI3734">
        <v>94.673708481216707</v>
      </c>
      <c r="AJ3734">
        <v>92.612403568352207</v>
      </c>
      <c r="AK3734">
        <v>13.627491212717301</v>
      </c>
      <c r="AL3734">
        <v>69.420947325676806</v>
      </c>
      <c r="AM3734">
        <v>98.856805491422804</v>
      </c>
      <c r="AN3734">
        <v>0.99999999511594495</v>
      </c>
    </row>
    <row r="3735" spans="1:40" x14ac:dyDescent="0.25">
      <c r="A3735" t="str">
        <f>"20190304164203220"</f>
        <v>20190304164203220</v>
      </c>
      <c r="B3735" t="str">
        <f>"1551688923215150"</f>
        <v>1551688923215150</v>
      </c>
      <c r="C3735" t="s">
        <v>40</v>
      </c>
      <c r="D3735">
        <v>4.1668729999999998</v>
      </c>
      <c r="E3735">
        <v>0.54828149999999998</v>
      </c>
      <c r="F3735" t="s">
        <v>46</v>
      </c>
      <c r="G3735">
        <v>-322.4631</v>
      </c>
      <c r="H3735" s="1">
        <v>-2.260674E-7</v>
      </c>
      <c r="I3735">
        <v>214.8372</v>
      </c>
      <c r="J3735">
        <v>-336.23059999999998</v>
      </c>
      <c r="K3735">
        <v>1.1103909999999999</v>
      </c>
      <c r="L3735">
        <v>214.07679999999999</v>
      </c>
      <c r="M3735">
        <v>0.99983750000000005</v>
      </c>
      <c r="N3735">
        <v>-1.537913E-2</v>
      </c>
      <c r="O3735">
        <v>9.4109350000000005E-3</v>
      </c>
      <c r="P3735">
        <v>0.92864040000000003</v>
      </c>
      <c r="Q3735">
        <v>0.3380553</v>
      </c>
      <c r="R3735">
        <v>0.1527936</v>
      </c>
      <c r="S3735">
        <v>3.2937319999999999</v>
      </c>
      <c r="T3735">
        <v>-0.25711329999999999</v>
      </c>
      <c r="U3735">
        <v>0.177063</v>
      </c>
      <c r="V3735">
        <v>-0.1440457</v>
      </c>
      <c r="W3735">
        <v>0.35231879999999999</v>
      </c>
      <c r="X3735">
        <v>0.9247282</v>
      </c>
      <c r="Y3735">
        <v>-4.4137210000000003E-2</v>
      </c>
      <c r="Z3735">
        <v>1.470669E-3</v>
      </c>
      <c r="AA3735">
        <v>0.99902440000000003</v>
      </c>
      <c r="AB3735">
        <v>43</v>
      </c>
      <c r="AC3735">
        <v>13.767499999999901</v>
      </c>
      <c r="AD3735">
        <v>-1.11039122606739</v>
      </c>
      <c r="AE3735">
        <v>0.76040000000000396</v>
      </c>
      <c r="AF3735">
        <v>-0.62672157873148604</v>
      </c>
      <c r="AG3735">
        <v>-1.11039122606739</v>
      </c>
      <c r="AH3735">
        <v>13.6852960975966</v>
      </c>
      <c r="AI3735">
        <v>94.633841672853194</v>
      </c>
      <c r="AJ3735">
        <v>92.622042678352898</v>
      </c>
      <c r="AK3735">
        <v>13.7445653947685</v>
      </c>
      <c r="AL3735">
        <v>69.370790367898493</v>
      </c>
      <c r="AM3735">
        <v>98.853858330633102</v>
      </c>
      <c r="AN3735">
        <v>0.99999997219858405</v>
      </c>
    </row>
    <row r="3736" spans="1:40" x14ac:dyDescent="0.25">
      <c r="A3736" t="str">
        <f>"20190304164203232"</f>
        <v>20190304164203232</v>
      </c>
      <c r="B3736" t="str">
        <f>"1551688923224910"</f>
        <v>1551688923224910</v>
      </c>
      <c r="C3736" t="s">
        <v>40</v>
      </c>
      <c r="D3736">
        <v>4.1492699999999996</v>
      </c>
      <c r="E3736">
        <v>0.54832380000000003</v>
      </c>
      <c r="F3736" t="s">
        <v>46</v>
      </c>
      <c r="G3736">
        <v>-321.90320000000003</v>
      </c>
      <c r="H3736" s="1">
        <v>-5.2399879999999997E-7</v>
      </c>
      <c r="I3736">
        <v>214.84719999999999</v>
      </c>
      <c r="J3736">
        <v>-335.9769</v>
      </c>
      <c r="K3736">
        <v>1.1103940000000001</v>
      </c>
      <c r="L3736">
        <v>214.07919999999999</v>
      </c>
      <c r="M3736">
        <v>0.99983739999999999</v>
      </c>
      <c r="N3736">
        <v>-1.537789E-2</v>
      </c>
      <c r="O3736">
        <v>9.4178560000000005E-3</v>
      </c>
      <c r="P3736">
        <v>0.92846700000000004</v>
      </c>
      <c r="Q3736">
        <v>0.33861740000000001</v>
      </c>
      <c r="R3736">
        <v>0.1526013</v>
      </c>
      <c r="S3736">
        <v>3.2943120000000001</v>
      </c>
      <c r="T3736">
        <v>-0.25531300000000001</v>
      </c>
      <c r="U3736">
        <v>0.177124</v>
      </c>
      <c r="V3736">
        <v>-0.14384839999999999</v>
      </c>
      <c r="W3736">
        <v>0.352877</v>
      </c>
      <c r="X3736">
        <v>0.92454610000000004</v>
      </c>
      <c r="Y3736">
        <v>-4.4141100000000003E-2</v>
      </c>
      <c r="Z3736">
        <v>1.4633210000000001E-3</v>
      </c>
      <c r="AA3736">
        <v>0.99902420000000003</v>
      </c>
      <c r="AB3736">
        <v>43</v>
      </c>
      <c r="AC3736">
        <v>14.073699999999899</v>
      </c>
      <c r="AD3736">
        <v>-1.1103945239988</v>
      </c>
      <c r="AE3736">
        <v>0.76800000000000002</v>
      </c>
      <c r="AF3736">
        <v>-0.63148685473941801</v>
      </c>
      <c r="AG3736">
        <v>-1.1103945239988</v>
      </c>
      <c r="AH3736">
        <v>13.993459076313799</v>
      </c>
      <c r="AI3736">
        <v>94.532375615652796</v>
      </c>
      <c r="AJ3736">
        <v>92.583850102472894</v>
      </c>
      <c r="AK3736">
        <v>14.051642201789299</v>
      </c>
      <c r="AL3736">
        <v>69.336613734297799</v>
      </c>
      <c r="AM3736">
        <v>98.843636907344603</v>
      </c>
      <c r="AN3736">
        <v>1.0000000151683801</v>
      </c>
    </row>
    <row r="3737" spans="1:40" x14ac:dyDescent="0.25">
      <c r="A3737" t="str">
        <f>"20190304164203246"</f>
        <v>20190304164203246</v>
      </c>
      <c r="B3737" t="str">
        <f>"1551688923234670"</f>
        <v>1551688923234670</v>
      </c>
      <c r="C3737" t="s">
        <v>40</v>
      </c>
      <c r="D3737">
        <v>4.139246</v>
      </c>
      <c r="E3737">
        <v>0.54836890000000005</v>
      </c>
      <c r="F3737" t="s">
        <v>46</v>
      </c>
      <c r="G3737">
        <v>-321.5643</v>
      </c>
      <c r="H3737" s="1">
        <v>-7.0432209999999999E-7</v>
      </c>
      <c r="I3737">
        <v>214.8527</v>
      </c>
      <c r="J3737">
        <v>-335.73129999999998</v>
      </c>
      <c r="K3737">
        <v>1.110398</v>
      </c>
      <c r="L3737">
        <v>214.08150000000001</v>
      </c>
      <c r="M3737">
        <v>0.99983739999999999</v>
      </c>
      <c r="N3737">
        <v>-1.5376600000000001E-2</v>
      </c>
      <c r="O3737">
        <v>9.4245400000000003E-3</v>
      </c>
      <c r="P3737">
        <v>0.92842559999999996</v>
      </c>
      <c r="Q3737">
        <v>0.33877059999999998</v>
      </c>
      <c r="R3737">
        <v>0.15251389999999901</v>
      </c>
      <c r="S3737">
        <v>3.2946469999999999</v>
      </c>
      <c r="T3737">
        <v>-0.25383149999999999</v>
      </c>
      <c r="U3737">
        <v>0.1768188</v>
      </c>
      <c r="V3737">
        <v>-0.14375539999999901</v>
      </c>
      <c r="W3737">
        <v>0.35302879999999998</v>
      </c>
      <c r="X3737">
        <v>0.92450259999999995</v>
      </c>
      <c r="Y3737">
        <v>-4.4038510000000003E-2</v>
      </c>
      <c r="Z3737">
        <v>1.4523730000000001E-3</v>
      </c>
      <c r="AA3737">
        <v>0.99902880000000005</v>
      </c>
      <c r="AB3737">
        <v>43</v>
      </c>
      <c r="AC3737">
        <v>14.1669999999999</v>
      </c>
      <c r="AD3737">
        <v>-1.1103987043221</v>
      </c>
      <c r="AE3737">
        <v>0.771199999999993</v>
      </c>
      <c r="AF3737">
        <v>-0.63375068098309795</v>
      </c>
      <c r="AG3737">
        <v>-1.1103987043221</v>
      </c>
      <c r="AH3737">
        <v>14.087352519116299</v>
      </c>
      <c r="AI3737">
        <v>94.502336671579101</v>
      </c>
      <c r="AJ3737">
        <v>92.575840476919595</v>
      </c>
      <c r="AK3737">
        <v>14.145251012479701</v>
      </c>
      <c r="AL3737">
        <v>69.327317707479693</v>
      </c>
      <c r="AM3737">
        <v>98.838418948336894</v>
      </c>
      <c r="AN3737">
        <v>1.0000000030326699</v>
      </c>
    </row>
    <row r="3738" spans="1:40" x14ac:dyDescent="0.25">
      <c r="A3738" t="str">
        <f>"20190304164203260"</f>
        <v>20190304164203260</v>
      </c>
      <c r="B3738" t="str">
        <f>"1551688923255166"</f>
        <v>1551688923255166</v>
      </c>
      <c r="C3738" t="s">
        <v>40</v>
      </c>
      <c r="D3738">
        <v>4.1074679999999999</v>
      </c>
      <c r="E3738">
        <v>0.54843140000000001</v>
      </c>
      <c r="F3738" t="s">
        <v>46</v>
      </c>
      <c r="G3738">
        <v>-321.3</v>
      </c>
      <c r="H3738" s="1">
        <v>-8.4501400000000003E-7</v>
      </c>
      <c r="I3738">
        <v>214.85380000000001</v>
      </c>
      <c r="J3738">
        <v>-335.43779999999998</v>
      </c>
      <c r="K3738">
        <v>1.110403</v>
      </c>
      <c r="L3738">
        <v>214.08430000000001</v>
      </c>
      <c r="M3738">
        <v>0.99983730000000004</v>
      </c>
      <c r="N3738">
        <v>-1.537492E-2</v>
      </c>
      <c r="O3738">
        <v>9.4325969999999992E-3</v>
      </c>
      <c r="P3738">
        <v>0.92851099999999998</v>
      </c>
      <c r="Q3738">
        <v>0.3387135</v>
      </c>
      <c r="R3738">
        <v>0.15212059999999999</v>
      </c>
      <c r="S3738">
        <v>3.2948</v>
      </c>
      <c r="T3738">
        <v>-0.25351319999999999</v>
      </c>
      <c r="U3738">
        <v>0.17631529999999901</v>
      </c>
      <c r="V3738">
        <v>-0.14335400000000001</v>
      </c>
      <c r="W3738">
        <v>0.35297119999999998</v>
      </c>
      <c r="X3738">
        <v>0.92458700000000005</v>
      </c>
      <c r="Y3738">
        <v>-4.3876650000000003E-2</v>
      </c>
      <c r="Z3738">
        <v>1.443111E-3</v>
      </c>
      <c r="AA3738">
        <v>0.99903589999999998</v>
      </c>
      <c r="AB3738">
        <v>43</v>
      </c>
      <c r="AC3738">
        <v>14.137799999999899</v>
      </c>
      <c r="AD3738">
        <v>-1.1104038450139999</v>
      </c>
      <c r="AE3738">
        <v>0.76949999999999297</v>
      </c>
      <c r="AF3738">
        <v>-0.63220541555903798</v>
      </c>
      <c r="AG3738">
        <v>-1.1104038450139999</v>
      </c>
      <c r="AH3738">
        <v>14.057965985820999</v>
      </c>
      <c r="AI3738">
        <v>94.511733466829895</v>
      </c>
      <c r="AJ3738">
        <v>92.574932429368005</v>
      </c>
      <c r="AK3738">
        <v>14.1159161248919</v>
      </c>
      <c r="AL3738">
        <v>69.330846662214498</v>
      </c>
      <c r="AM3738">
        <v>98.8133360278851</v>
      </c>
      <c r="AN3738">
        <v>1.0000000789572101</v>
      </c>
    </row>
    <row r="3739" spans="1:40" x14ac:dyDescent="0.25">
      <c r="A3739" t="str">
        <f>"20190304164203275"</f>
        <v>20190304164203275</v>
      </c>
      <c r="B3739" t="str">
        <f>"1551688923264925"</f>
        <v>1551688923264925</v>
      </c>
      <c r="C3739" t="s">
        <v>40</v>
      </c>
      <c r="D3739">
        <v>4.0896679999999996</v>
      </c>
      <c r="E3739">
        <v>0.54846600000000001</v>
      </c>
      <c r="F3739" t="s">
        <v>46</v>
      </c>
      <c r="G3739">
        <v>-321.04469999999998</v>
      </c>
      <c r="H3739" s="1">
        <v>-9.8082810000000007E-7</v>
      </c>
      <c r="I3739">
        <v>214.84790000000001</v>
      </c>
      <c r="J3739">
        <v>-335.15629999999999</v>
      </c>
      <c r="K3739">
        <v>1.1104069999999999</v>
      </c>
      <c r="L3739">
        <v>214.08699999999999</v>
      </c>
      <c r="M3739">
        <v>0.99983730000000004</v>
      </c>
      <c r="N3739">
        <v>-1.537313E-2</v>
      </c>
      <c r="O3739">
        <v>9.439823E-3</v>
      </c>
      <c r="P3739">
        <v>0.92848940000000002</v>
      </c>
      <c r="Q3739">
        <v>0.338951</v>
      </c>
      <c r="R3739">
        <v>0.15172269999999999</v>
      </c>
      <c r="S3739">
        <v>3.295105</v>
      </c>
      <c r="T3739">
        <v>-0.25421199999999999</v>
      </c>
      <c r="U3739">
        <v>0.17480470000000001</v>
      </c>
      <c r="V3739">
        <v>-0.1429494</v>
      </c>
      <c r="W3739">
        <v>0.35320679999999999</v>
      </c>
      <c r="X3739">
        <v>0.92455960000000004</v>
      </c>
      <c r="Y3739">
        <v>-4.3408830000000002E-2</v>
      </c>
      <c r="Z3739">
        <v>1.423559E-3</v>
      </c>
      <c r="AA3739">
        <v>0.99905639999999996</v>
      </c>
      <c r="AB3739">
        <v>43</v>
      </c>
      <c r="AC3739">
        <v>14.111599999999999</v>
      </c>
      <c r="AD3739">
        <v>-1.1104079808281</v>
      </c>
      <c r="AE3739">
        <v>0.76089999999999203</v>
      </c>
      <c r="AF3739">
        <v>-0.623788206805305</v>
      </c>
      <c r="AG3739">
        <v>-1.1104079808281</v>
      </c>
      <c r="AH3739">
        <v>14.0315270118246</v>
      </c>
      <c r="AI3739">
        <v>94.520319772203493</v>
      </c>
      <c r="AJ3739">
        <v>92.545475925621105</v>
      </c>
      <c r="AK3739">
        <v>14.0892110458463</v>
      </c>
      <c r="AL3739">
        <v>69.316417053049094</v>
      </c>
      <c r="AM3739">
        <v>98.789106709555298</v>
      </c>
      <c r="AN3739">
        <v>1.0000000142393799</v>
      </c>
    </row>
    <row r="3740" spans="1:40" x14ac:dyDescent="0.25">
      <c r="A3740" t="str">
        <f>"20190304164203296"</f>
        <v>20190304164203296</v>
      </c>
      <c r="B3740" t="str">
        <f>"1551688923285102"</f>
        <v>1551688923285102</v>
      </c>
      <c r="C3740" t="s">
        <v>40</v>
      </c>
      <c r="D3740">
        <v>4.054792</v>
      </c>
      <c r="E3740">
        <v>0.54853189999999996</v>
      </c>
      <c r="F3740" t="s">
        <v>46</v>
      </c>
      <c r="G3740">
        <v>-320.71679999999998</v>
      </c>
      <c r="H3740" s="1">
        <v>-1.1553509999999999E-6</v>
      </c>
      <c r="I3740">
        <v>214.84440000000001</v>
      </c>
      <c r="J3740">
        <v>-334.7509</v>
      </c>
      <c r="K3740">
        <v>1.1104069999999999</v>
      </c>
      <c r="L3740">
        <v>214.0908</v>
      </c>
      <c r="M3740">
        <v>0.99983719999999998</v>
      </c>
      <c r="N3740">
        <v>-1.537037E-2</v>
      </c>
      <c r="O3740">
        <v>9.4507500000000008E-3</v>
      </c>
      <c r="P3740">
        <v>0.9284751</v>
      </c>
      <c r="Q3740">
        <v>0.33912900000000001</v>
      </c>
      <c r="R3740">
        <v>0.15141199999999999</v>
      </c>
      <c r="S3740">
        <v>3.2953489999999999</v>
      </c>
      <c r="T3740">
        <v>-0.25341380000000002</v>
      </c>
      <c r="U3740">
        <v>0.17285159999999999</v>
      </c>
      <c r="V3740">
        <v>-0.14262839999999999</v>
      </c>
      <c r="W3740">
        <v>0.35338199999999997</v>
      </c>
      <c r="X3740">
        <v>0.92454219999999998</v>
      </c>
      <c r="Y3740">
        <v>-4.2806410000000003E-2</v>
      </c>
      <c r="Z3740">
        <v>1.392031E-3</v>
      </c>
      <c r="AA3740">
        <v>0.99908240000000004</v>
      </c>
      <c r="AB3740">
        <v>43</v>
      </c>
      <c r="AC3740">
        <v>14.0341</v>
      </c>
      <c r="AD3740">
        <v>-1.1104081553509999</v>
      </c>
      <c r="AE3740">
        <v>0.75360000000000504</v>
      </c>
      <c r="AF3740">
        <v>-0.61706597546803399</v>
      </c>
      <c r="AG3740">
        <v>-1.1104081553509999</v>
      </c>
      <c r="AH3740">
        <v>13.9534939192539</v>
      </c>
      <c r="AI3740">
        <v>94.545540838869002</v>
      </c>
      <c r="AJ3740">
        <v>92.5321439523279</v>
      </c>
      <c r="AK3740">
        <v>14.011201563185301</v>
      </c>
      <c r="AL3740">
        <v>69.305686320070194</v>
      </c>
      <c r="AM3740">
        <v>98.769839955331193</v>
      </c>
      <c r="AN3740">
        <v>0.99999998899569897</v>
      </c>
    </row>
    <row r="3741" spans="1:40" x14ac:dyDescent="0.25">
      <c r="A3741" t="str">
        <f>"20190304164203310"</f>
        <v>20190304164203310</v>
      </c>
      <c r="B3741" t="str">
        <f>"1551688923304622"</f>
        <v>1551688923304622</v>
      </c>
      <c r="C3741" t="s">
        <v>40</v>
      </c>
      <c r="D3741">
        <v>4.0238339999999999</v>
      </c>
      <c r="E3741">
        <v>0.54863439999999997</v>
      </c>
      <c r="F3741" t="s">
        <v>46</v>
      </c>
      <c r="G3741">
        <v>-320.26369999999997</v>
      </c>
      <c r="H3741" s="1">
        <v>-1.3964530000000001E-6</v>
      </c>
      <c r="I3741">
        <v>214.84610000000001</v>
      </c>
      <c r="J3741">
        <v>-334.48379999999997</v>
      </c>
      <c r="K3741">
        <v>1.110409</v>
      </c>
      <c r="L3741">
        <v>214.0933</v>
      </c>
      <c r="M3741">
        <v>0.99983719999999998</v>
      </c>
      <c r="N3741">
        <v>-1.5368410000000001E-2</v>
      </c>
      <c r="O3741">
        <v>9.4581539999999999E-3</v>
      </c>
      <c r="P3741">
        <v>0.92835400000000001</v>
      </c>
      <c r="Q3741">
        <v>0.33945360000000002</v>
      </c>
      <c r="R3741">
        <v>0.1514277</v>
      </c>
      <c r="S3741">
        <v>3.2953800000000002</v>
      </c>
      <c r="T3741">
        <v>-0.25258330000000001</v>
      </c>
      <c r="U3741">
        <v>0.1717987</v>
      </c>
      <c r="V3741">
        <v>-0.14263870000000001</v>
      </c>
      <c r="W3741">
        <v>0.35370279999999998</v>
      </c>
      <c r="X3741">
        <v>0.92441799999999996</v>
      </c>
      <c r="Y3741">
        <v>-4.2482100000000002E-2</v>
      </c>
      <c r="Z3741">
        <v>1.3736149999999999E-3</v>
      </c>
      <c r="AA3741">
        <v>0.99909630000000005</v>
      </c>
      <c r="AB3741">
        <v>43</v>
      </c>
      <c r="AC3741">
        <v>14.2201</v>
      </c>
      <c r="AD3741">
        <v>-1.1104103964530001</v>
      </c>
      <c r="AE3741">
        <v>0.75280000000000702</v>
      </c>
      <c r="AF3741">
        <v>-0.61451790644729898</v>
      </c>
      <c r="AG3741">
        <v>-1.1104103964530001</v>
      </c>
      <c r="AH3741">
        <v>14.1406014176785</v>
      </c>
      <c r="AI3741">
        <v>94.485800269442095</v>
      </c>
      <c r="AJ3741">
        <v>92.488376656745103</v>
      </c>
      <c r="AK3741">
        <v>14.197438218197901</v>
      </c>
      <c r="AL3741">
        <v>69.286038251262198</v>
      </c>
      <c r="AM3741">
        <v>98.771623457683006</v>
      </c>
      <c r="AN3741">
        <v>1.00000005409476</v>
      </c>
    </row>
    <row r="3742" spans="1:40" x14ac:dyDescent="0.25">
      <c r="A3742" t="str">
        <f>"20190304164203331"</f>
        <v>20190304164203331</v>
      </c>
      <c r="B3742" t="str">
        <f>"1551688923325119"</f>
        <v>1551688923325119</v>
      </c>
      <c r="C3742" t="s">
        <v>40</v>
      </c>
      <c r="D3742">
        <v>3.9808309999999998</v>
      </c>
      <c r="E3742">
        <v>0.54872019999999899</v>
      </c>
      <c r="F3742" t="s">
        <v>47</v>
      </c>
      <c r="G3742">
        <v>-319.89359999999999</v>
      </c>
      <c r="H3742" s="1">
        <v>5.293025E-6</v>
      </c>
      <c r="I3742">
        <v>214.84979999999999</v>
      </c>
      <c r="J3742">
        <v>-334.07040000000001</v>
      </c>
      <c r="K3742">
        <v>1.1104130000000001</v>
      </c>
      <c r="L3742">
        <v>214.09719999999999</v>
      </c>
      <c r="M3742">
        <v>0.99983719999999998</v>
      </c>
      <c r="N3742">
        <v>-1.5365200000000001E-2</v>
      </c>
      <c r="O3742">
        <v>9.4690850000000003E-3</v>
      </c>
      <c r="P3742">
        <v>0.92833580000000004</v>
      </c>
      <c r="Q3742">
        <v>0.33952369999999998</v>
      </c>
      <c r="R3742">
        <v>0.1513823</v>
      </c>
      <c r="S3742">
        <v>3.2953489999999999</v>
      </c>
      <c r="T3742">
        <v>-0.25079600000000002</v>
      </c>
      <c r="U3742">
        <v>0.17086789999999999</v>
      </c>
      <c r="V3742">
        <v>-0.14258280000000001</v>
      </c>
      <c r="W3742">
        <v>0.35376970000000002</v>
      </c>
      <c r="X3742">
        <v>0.92440100000000003</v>
      </c>
      <c r="Y3742">
        <v>-4.219287E-2</v>
      </c>
      <c r="Z3742">
        <v>1.353293E-3</v>
      </c>
      <c r="AA3742">
        <v>0.99910860000000001</v>
      </c>
      <c r="AB3742">
        <v>43</v>
      </c>
      <c r="AC3742">
        <v>14.1768</v>
      </c>
      <c r="AD3742">
        <v>-1.11040770697499</v>
      </c>
      <c r="AE3742">
        <v>0.75260000000000105</v>
      </c>
      <c r="AF3742">
        <v>-0.61454947631438395</v>
      </c>
      <c r="AG3742">
        <v>-1.11040770697499</v>
      </c>
      <c r="AH3742">
        <v>14.097050385700401</v>
      </c>
      <c r="AI3742">
        <v>94.499564326319501</v>
      </c>
      <c r="AJ3742">
        <v>92.496182538465206</v>
      </c>
      <c r="AK3742">
        <v>14.154063229741601</v>
      </c>
      <c r="AL3742">
        <v>69.281939729954999</v>
      </c>
      <c r="AM3742">
        <v>98.768398040274903</v>
      </c>
      <c r="AN3742">
        <v>1.00000003214746</v>
      </c>
    </row>
    <row r="3743" spans="1:40" x14ac:dyDescent="0.25">
      <c r="A3743" t="str">
        <f>"20190304164203354"</f>
        <v>20190304164203354</v>
      </c>
      <c r="B3743" t="str">
        <f>"1551688923344637"</f>
        <v>1551688923344637</v>
      </c>
      <c r="C3743" t="s">
        <v>40</v>
      </c>
      <c r="D3743">
        <v>3.9827170000000001</v>
      </c>
      <c r="E3743">
        <v>0.54880090000000004</v>
      </c>
      <c r="F3743" t="s">
        <v>47</v>
      </c>
      <c r="G3743">
        <v>-319.43729999999999</v>
      </c>
      <c r="H3743" s="1">
        <v>5.090706E-6</v>
      </c>
      <c r="I3743">
        <v>214.85509999999999</v>
      </c>
      <c r="J3743">
        <v>-333.65480000000002</v>
      </c>
      <c r="K3743">
        <v>1.1104080000000001</v>
      </c>
      <c r="L3743">
        <v>214.10120000000001</v>
      </c>
      <c r="M3743">
        <v>0.99983719999999998</v>
      </c>
      <c r="N3743">
        <v>-1.536178E-2</v>
      </c>
      <c r="O3743">
        <v>9.4801969999999992E-3</v>
      </c>
      <c r="P3743">
        <v>0.92825619999999998</v>
      </c>
      <c r="Q3743">
        <v>0.3395475</v>
      </c>
      <c r="R3743">
        <v>0.1518167</v>
      </c>
      <c r="S3743">
        <v>3.295166</v>
      </c>
      <c r="T3743">
        <v>-0.25004789999999999</v>
      </c>
      <c r="U3743">
        <v>0.1706696</v>
      </c>
      <c r="V3743">
        <v>-0.14300789999999999</v>
      </c>
      <c r="W3743">
        <v>0.35378880000000001</v>
      </c>
      <c r="X3743">
        <v>0.92432800000000004</v>
      </c>
      <c r="Y3743">
        <v>-4.2125570000000001E-2</v>
      </c>
      <c r="Z3743">
        <v>1.346873E-3</v>
      </c>
      <c r="AA3743">
        <v>0.99911139999999998</v>
      </c>
      <c r="AB3743">
        <v>43</v>
      </c>
      <c r="AC3743">
        <v>14.217499999999999</v>
      </c>
      <c r="AD3743">
        <v>-1.110402909294</v>
      </c>
      <c r="AE3743">
        <v>0.75389999999998702</v>
      </c>
      <c r="AF3743">
        <v>-0.61532271136293704</v>
      </c>
      <c r="AG3743">
        <v>-1.110402909294</v>
      </c>
      <c r="AH3743">
        <v>14.138011841456899</v>
      </c>
      <c r="AI3743">
        <v>94.486575839303498</v>
      </c>
      <c r="AJ3743">
        <v>92.492087263126905</v>
      </c>
      <c r="AK3743">
        <v>14.1948932891115</v>
      </c>
      <c r="AL3743">
        <v>69.280769300068599</v>
      </c>
      <c r="AM3743">
        <v>98.794815982491698</v>
      </c>
      <c r="AN3743">
        <v>1.0000000130259199</v>
      </c>
    </row>
    <row r="3744" spans="1:40" x14ac:dyDescent="0.25">
      <c r="A3744" t="str">
        <f>"20190304164203379"</f>
        <v>20190304164203379</v>
      </c>
      <c r="B3744" t="str">
        <f>"1551688923374588"</f>
        <v>1551688923374588</v>
      </c>
      <c r="C3744" t="s">
        <v>40</v>
      </c>
      <c r="D3744">
        <v>3.973503</v>
      </c>
      <c r="E3744">
        <v>0.54887790000000003</v>
      </c>
      <c r="F3744" t="s">
        <v>47</v>
      </c>
      <c r="G3744">
        <v>-318.9794</v>
      </c>
      <c r="H3744" s="1">
        <v>4.8876359999999997E-6</v>
      </c>
      <c r="I3744">
        <v>214.8603</v>
      </c>
      <c r="J3744">
        <v>-333.21949999999998</v>
      </c>
      <c r="K3744">
        <v>1.1104130000000001</v>
      </c>
      <c r="L3744">
        <v>214.1053</v>
      </c>
      <c r="M3744">
        <v>0.99983699999999998</v>
      </c>
      <c r="N3744">
        <v>-1.5357920000000001E-2</v>
      </c>
      <c r="O3744">
        <v>9.4921459999999999E-3</v>
      </c>
      <c r="P3744">
        <v>0.92825809999999997</v>
      </c>
      <c r="Q3744">
        <v>0.33954600000000001</v>
      </c>
      <c r="R3744">
        <v>0.15180729999999901</v>
      </c>
      <c r="S3744">
        <v>3.2951969999999999</v>
      </c>
      <c r="T3744">
        <v>-0.24932869999999999</v>
      </c>
      <c r="U3744">
        <v>0.17045589999999999</v>
      </c>
      <c r="V3744">
        <v>-0.14298739999999999</v>
      </c>
      <c r="W3744">
        <v>0.35378389999999998</v>
      </c>
      <c r="X3744">
        <v>0.92433299999999996</v>
      </c>
      <c r="Y3744">
        <v>-4.204948E-2</v>
      </c>
      <c r="Z3744">
        <v>1.3400529999999999E-3</v>
      </c>
      <c r="AA3744">
        <v>0.99911459999999996</v>
      </c>
      <c r="AB3744">
        <v>43</v>
      </c>
      <c r="AC3744">
        <v>14.240099999999901</v>
      </c>
      <c r="AD3744">
        <v>-1.1104081123639999</v>
      </c>
      <c r="AE3744">
        <v>0.75499999999999501</v>
      </c>
      <c r="AF3744">
        <v>-0.61604556198765104</v>
      </c>
      <c r="AG3744">
        <v>-1.1104081123639999</v>
      </c>
      <c r="AH3744">
        <v>14.160762599072701</v>
      </c>
      <c r="AI3744">
        <v>94.479421602967903</v>
      </c>
      <c r="AJ3744">
        <v>92.491007701296695</v>
      </c>
      <c r="AK3744">
        <v>14.217584735029501</v>
      </c>
      <c r="AL3744">
        <v>69.281068522446105</v>
      </c>
      <c r="AM3744">
        <v>98.793528139185497</v>
      </c>
      <c r="AN3744">
        <v>0.99999996967348403</v>
      </c>
    </row>
    <row r="3745" spans="1:40" x14ac:dyDescent="0.25">
      <c r="A3745" t="str">
        <f>"20190304164203397"</f>
        <v>20190304164203397</v>
      </c>
      <c r="B3745" t="str">
        <f>"1551688923385305"</f>
        <v>1551688923385305</v>
      </c>
      <c r="C3745" t="s">
        <v>40</v>
      </c>
      <c r="D3745">
        <v>3.9683000000000002</v>
      </c>
      <c r="E3745">
        <v>0.54891199999999996</v>
      </c>
      <c r="F3745" t="s">
        <v>47</v>
      </c>
      <c r="G3745">
        <v>-318.4812</v>
      </c>
      <c r="H3745" s="1">
        <v>4.6667100000000004E-6</v>
      </c>
      <c r="I3745">
        <v>214.86250000000001</v>
      </c>
      <c r="J3745">
        <v>-332.82830000000001</v>
      </c>
      <c r="K3745">
        <v>1.110412</v>
      </c>
      <c r="L3745">
        <v>214.10910000000001</v>
      </c>
      <c r="M3745">
        <v>0.99983710000000003</v>
      </c>
      <c r="N3745">
        <v>-1.5354349999999999E-2</v>
      </c>
      <c r="O3745">
        <v>9.5024250000000001E-3</v>
      </c>
      <c r="P3745">
        <v>0.9282764</v>
      </c>
      <c r="Q3745">
        <v>0.33956330000000001</v>
      </c>
      <c r="R3745">
        <v>0.1516583</v>
      </c>
      <c r="S3745">
        <v>3.2949519999999999</v>
      </c>
      <c r="T3745">
        <v>-0.24824669999999999</v>
      </c>
      <c r="U3745">
        <v>0.16928099999999999</v>
      </c>
      <c r="V3745">
        <v>-0.14282839999999999</v>
      </c>
      <c r="W3745">
        <v>0.35379860000000002</v>
      </c>
      <c r="X3745">
        <v>0.92435199999999995</v>
      </c>
      <c r="Y3745">
        <v>-4.168989E-2</v>
      </c>
      <c r="Z3745">
        <v>1.319342E-3</v>
      </c>
      <c r="AA3745">
        <v>0.99912970000000001</v>
      </c>
      <c r="AB3745">
        <v>43</v>
      </c>
      <c r="AC3745">
        <v>14.347099999999999</v>
      </c>
      <c r="AD3745">
        <v>-1.11040733329</v>
      </c>
      <c r="AE3745">
        <v>0.75339999999999896</v>
      </c>
      <c r="AF3745">
        <v>-0.613353714409966</v>
      </c>
      <c r="AG3745">
        <v>-1.11040733329</v>
      </c>
      <c r="AH3745">
        <v>14.2683776321155</v>
      </c>
      <c r="AI3745">
        <v>94.445868504965205</v>
      </c>
      <c r="AJ3745">
        <v>92.461454110811601</v>
      </c>
      <c r="AK3745">
        <v>14.324657324957499</v>
      </c>
      <c r="AL3745">
        <v>69.280168920943893</v>
      </c>
      <c r="AM3745">
        <v>98.783724700385605</v>
      </c>
      <c r="AN3745">
        <v>1.0000000105562501</v>
      </c>
    </row>
    <row r="3746" spans="1:40" x14ac:dyDescent="0.25">
      <c r="A3746" t="str">
        <f>"20190304164203412"</f>
        <v>20190304164203412</v>
      </c>
      <c r="B3746" t="str">
        <f>"1551688923405802"</f>
        <v>1551688923405802</v>
      </c>
      <c r="C3746" t="s">
        <v>40</v>
      </c>
      <c r="D3746">
        <v>3.9314879999999999</v>
      </c>
      <c r="E3746">
        <v>0.54897240000000003</v>
      </c>
      <c r="F3746" t="s">
        <v>47</v>
      </c>
      <c r="G3746">
        <v>-318.07679999999999</v>
      </c>
      <c r="H3746" s="1">
        <v>4.487384E-6</v>
      </c>
      <c r="I3746">
        <v>214.8623</v>
      </c>
      <c r="J3746">
        <v>-332.53769999999997</v>
      </c>
      <c r="K3746">
        <v>1.1104130000000001</v>
      </c>
      <c r="L3746">
        <v>214.11179999999999</v>
      </c>
      <c r="M3746">
        <v>0.99983699999999998</v>
      </c>
      <c r="N3746">
        <v>-1.535166E-2</v>
      </c>
      <c r="O3746">
        <v>9.5101319999999993E-3</v>
      </c>
      <c r="P3746">
        <v>0.92831929999999996</v>
      </c>
      <c r="Q3746">
        <v>0.33941359999999998</v>
      </c>
      <c r="R3746">
        <v>0.15172939999999999</v>
      </c>
      <c r="S3746">
        <v>3.2950439999999999</v>
      </c>
      <c r="T3746">
        <v>-0.24803220000000001</v>
      </c>
      <c r="U3746">
        <v>0.16825870000000001</v>
      </c>
      <c r="V3746">
        <v>-0.14289180000000001</v>
      </c>
      <c r="W3746">
        <v>0.35364709999999899</v>
      </c>
      <c r="X3746">
        <v>0.92440020000000001</v>
      </c>
      <c r="Y3746">
        <v>-4.1372880000000001E-2</v>
      </c>
      <c r="Z3746">
        <v>1.3037000000000001E-3</v>
      </c>
      <c r="AA3746">
        <v>0.99914289999999994</v>
      </c>
      <c r="AB3746">
        <v>43</v>
      </c>
      <c r="AC3746">
        <v>14.460899999999899</v>
      </c>
      <c r="AD3746">
        <v>-1.1104085126159999</v>
      </c>
      <c r="AE3746">
        <v>0.75050000000001604</v>
      </c>
      <c r="AF3746">
        <v>-0.60934161491212102</v>
      </c>
      <c r="AG3746">
        <v>-1.1104085126159999</v>
      </c>
      <c r="AH3746">
        <v>14.3828074500057</v>
      </c>
      <c r="AI3746">
        <v>94.410758119935196</v>
      </c>
      <c r="AJ3746">
        <v>92.425940652941406</v>
      </c>
      <c r="AK3746">
        <v>14.438471332259899</v>
      </c>
      <c r="AL3746">
        <v>69.289449702394805</v>
      </c>
      <c r="AM3746">
        <v>98.787111808891893</v>
      </c>
      <c r="AN3746">
        <v>1.0000000338028401</v>
      </c>
    </row>
    <row r="3747" spans="1:40" x14ac:dyDescent="0.25">
      <c r="A3747" t="str">
        <f>"20190304164203425"</f>
        <v>20190304164203425</v>
      </c>
      <c r="B3747" t="str">
        <f>"1551688923414585"</f>
        <v>1551688923414585</v>
      </c>
      <c r="C3747" t="s">
        <v>40</v>
      </c>
      <c r="D3747">
        <v>3.9218410000000001</v>
      </c>
      <c r="E3747">
        <v>0.54900950000000004</v>
      </c>
      <c r="F3747" t="s">
        <v>47</v>
      </c>
      <c r="G3747">
        <v>-317.78730000000002</v>
      </c>
      <c r="H3747" s="1">
        <v>4.3590049999999996E-6</v>
      </c>
      <c r="I3747">
        <v>214.86279999999999</v>
      </c>
      <c r="J3747">
        <v>-332.2921</v>
      </c>
      <c r="K3747">
        <v>1.1104149999999999</v>
      </c>
      <c r="L3747">
        <v>214.11420000000001</v>
      </c>
      <c r="M3747">
        <v>0.99983690000000003</v>
      </c>
      <c r="N3747">
        <v>-1.5349349999999999E-2</v>
      </c>
      <c r="O3747">
        <v>9.516521E-3</v>
      </c>
      <c r="P3747">
        <v>0.92840529999999999</v>
      </c>
      <c r="Q3747">
        <v>0.3392482</v>
      </c>
      <c r="R3747">
        <v>0.1515727</v>
      </c>
      <c r="S3747">
        <v>3.294861</v>
      </c>
      <c r="T3747">
        <v>-0.24803700000000001</v>
      </c>
      <c r="U3747">
        <v>0.1677399</v>
      </c>
      <c r="V3747">
        <v>-0.1427281</v>
      </c>
      <c r="W3747">
        <v>0.35348109999999999</v>
      </c>
      <c r="X3747">
        <v>0.92448900000000001</v>
      </c>
      <c r="Y3747">
        <v>-4.1212949999999998E-2</v>
      </c>
      <c r="Z3747">
        <v>1.296076E-3</v>
      </c>
      <c r="AA3747">
        <v>0.99914959999999997</v>
      </c>
      <c r="AB3747">
        <v>43</v>
      </c>
      <c r="AC3747">
        <v>14.5047999999999</v>
      </c>
      <c r="AD3747">
        <v>-1.1104106409950001</v>
      </c>
      <c r="AE3747">
        <v>0.74859999999998195</v>
      </c>
      <c r="AF3747">
        <v>-0.60696684169978299</v>
      </c>
      <c r="AG3747">
        <v>-1.1104106409950001</v>
      </c>
      <c r="AH3747">
        <v>14.426941687324099</v>
      </c>
      <c r="AI3747">
        <v>94.397380639807807</v>
      </c>
      <c r="AJ3747">
        <v>92.4091136050003</v>
      </c>
      <c r="AK3747">
        <v>14.482336378775599</v>
      </c>
      <c r="AL3747">
        <v>69.299617994740601</v>
      </c>
      <c r="AM3747">
        <v>98.776371992656706</v>
      </c>
      <c r="AN3747">
        <v>1.0000000548539001</v>
      </c>
    </row>
    <row r="3748" spans="1:40" x14ac:dyDescent="0.25">
      <c r="A3748" t="str">
        <f>"20190304164203442"</f>
        <v>20190304164203442</v>
      </c>
      <c r="B3748" t="str">
        <f>"1551688923435081"</f>
        <v>1551688923435081</v>
      </c>
      <c r="C3748" t="s">
        <v>40</v>
      </c>
      <c r="D3748">
        <v>3.9164319999999999</v>
      </c>
      <c r="E3748">
        <v>0.54905249999999906</v>
      </c>
      <c r="F3748" t="s">
        <v>47</v>
      </c>
      <c r="G3748">
        <v>-317.54059999999998</v>
      </c>
      <c r="H3748" s="1">
        <v>4.2496010000000002E-6</v>
      </c>
      <c r="I3748">
        <v>214.8614</v>
      </c>
      <c r="J3748">
        <v>-331.959</v>
      </c>
      <c r="K3748">
        <v>1.110411</v>
      </c>
      <c r="L3748">
        <v>214.1174</v>
      </c>
      <c r="M3748">
        <v>0.99983690000000003</v>
      </c>
      <c r="N3748">
        <v>-1.5346139999999999E-2</v>
      </c>
      <c r="O3748">
        <v>9.5237410000000005E-3</v>
      </c>
      <c r="P3748">
        <v>0.92838109999999996</v>
      </c>
      <c r="Q3748">
        <v>0.33926699999999999</v>
      </c>
      <c r="R3748">
        <v>0.151678799999999</v>
      </c>
      <c r="S3748">
        <v>3.294708</v>
      </c>
      <c r="T3748">
        <v>-0.24800739999999999</v>
      </c>
      <c r="U3748">
        <v>0.16688539999999999</v>
      </c>
      <c r="V3748">
        <v>-0.142826799999999</v>
      </c>
      <c r="W3748">
        <v>0.3534967</v>
      </c>
      <c r="X3748">
        <v>0.9244677</v>
      </c>
      <c r="Y3748">
        <v>-4.0950540000000001E-2</v>
      </c>
      <c r="Z3748">
        <v>1.283616E-3</v>
      </c>
      <c r="AA3748">
        <v>0.9991603</v>
      </c>
      <c r="AB3748">
        <v>43</v>
      </c>
      <c r="AC3748">
        <v>14.4184</v>
      </c>
      <c r="AD3748">
        <v>-1.1104067503990001</v>
      </c>
      <c r="AE3748">
        <v>0.743999999999999</v>
      </c>
      <c r="AF3748">
        <v>-0.60306567147677104</v>
      </c>
      <c r="AG3748">
        <v>-1.1104067503990001</v>
      </c>
      <c r="AH3748">
        <v>14.3400073019027</v>
      </c>
      <c r="AI3748">
        <v>94.423921369097897</v>
      </c>
      <c r="AJ3748">
        <v>92.4081416663292</v>
      </c>
      <c r="AK3748">
        <v>14.395572262819799</v>
      </c>
      <c r="AL3748">
        <v>69.298660655493904</v>
      </c>
      <c r="AM3748">
        <v>98.782545678848194</v>
      </c>
      <c r="AN3748">
        <v>0.999999970026209</v>
      </c>
    </row>
    <row r="3749" spans="1:40" x14ac:dyDescent="0.25">
      <c r="A3749" t="str">
        <f>"20190304164203458"</f>
        <v>20190304164203458</v>
      </c>
      <c r="B3749" t="str">
        <f>"1551688923454602"</f>
        <v>1551688923454602</v>
      </c>
      <c r="C3749" t="s">
        <v>40</v>
      </c>
      <c r="D3749">
        <v>3.9108540000000001</v>
      </c>
      <c r="E3749">
        <v>0.54909949999999996</v>
      </c>
      <c r="F3749" t="s">
        <v>47</v>
      </c>
      <c r="G3749">
        <v>-317.15010000000001</v>
      </c>
      <c r="H3749" s="1">
        <v>4.0764410000000001E-6</v>
      </c>
      <c r="I3749">
        <v>214.86250000000001</v>
      </c>
      <c r="J3749">
        <v>-331.6694</v>
      </c>
      <c r="K3749">
        <v>1.1104099999999999</v>
      </c>
      <c r="L3749">
        <v>214.12010000000001</v>
      </c>
      <c r="M3749">
        <v>0.99983690000000003</v>
      </c>
      <c r="N3749">
        <v>-1.5343259999999999E-2</v>
      </c>
      <c r="O3749">
        <v>9.5286269999999996E-3</v>
      </c>
      <c r="P3749">
        <v>0.92855189999999999</v>
      </c>
      <c r="Q3749">
        <v>0.33869009999999999</v>
      </c>
      <c r="R3749">
        <v>0.151923</v>
      </c>
      <c r="S3749">
        <v>3.2946469999999999</v>
      </c>
      <c r="T3749">
        <v>-0.24704119999999999</v>
      </c>
      <c r="U3749">
        <v>0.16578670000000001</v>
      </c>
      <c r="V3749">
        <v>-0.14306379999999999</v>
      </c>
      <c r="W3749">
        <v>0.35292030000000002</v>
      </c>
      <c r="X3749">
        <v>0.92465129999999995</v>
      </c>
      <c r="Y3749">
        <v>-4.061621E-2</v>
      </c>
      <c r="Z3749">
        <v>1.2649810000000001E-3</v>
      </c>
      <c r="AA3749">
        <v>0.99917400000000001</v>
      </c>
      <c r="AB3749">
        <v>43</v>
      </c>
      <c r="AC3749">
        <v>14.5192999999999</v>
      </c>
      <c r="AD3749">
        <v>-1.110405923559</v>
      </c>
      <c r="AE3749">
        <v>0.74240000000000295</v>
      </c>
      <c r="AF3749">
        <v>-0.60049793186192302</v>
      </c>
      <c r="AG3749">
        <v>-1.110405923559</v>
      </c>
      <c r="AH3749">
        <v>14.4414695171406</v>
      </c>
      <c r="AI3749">
        <v>94.393045271492099</v>
      </c>
      <c r="AJ3749">
        <v>92.3810726494264</v>
      </c>
      <c r="AK3749">
        <v>14.496538928163</v>
      </c>
      <c r="AL3749">
        <v>69.333962074567594</v>
      </c>
      <c r="AM3749">
        <v>98.795171845561896</v>
      </c>
      <c r="AN3749">
        <v>1.0000000078071001</v>
      </c>
    </row>
    <row r="3750" spans="1:40" x14ac:dyDescent="0.25">
      <c r="A3750" t="str">
        <f>"20190304164203476"</f>
        <v>20190304164203476</v>
      </c>
      <c r="B3750" t="str">
        <f>"1551688923465338"</f>
        <v>1551688923465338</v>
      </c>
      <c r="C3750" t="s">
        <v>40</v>
      </c>
      <c r="D3750">
        <v>3.8930929999999999</v>
      </c>
      <c r="E3750">
        <v>0.54911909999999997</v>
      </c>
      <c r="F3750" t="s">
        <v>47</v>
      </c>
      <c r="G3750">
        <v>-316.93090000000001</v>
      </c>
      <c r="H3750" s="1">
        <v>3.9792090000000004E-6</v>
      </c>
      <c r="I3750">
        <v>214.86160000000001</v>
      </c>
      <c r="J3750">
        <v>-331.32150000000001</v>
      </c>
      <c r="K3750">
        <v>1.1103989999999999</v>
      </c>
      <c r="L3750">
        <v>214.1234</v>
      </c>
      <c r="M3750">
        <v>0.99983699999999998</v>
      </c>
      <c r="N3750">
        <v>-1.5339770000000001E-2</v>
      </c>
      <c r="O3750">
        <v>9.5333320000000003E-3</v>
      </c>
      <c r="P3750">
        <v>0.9284791</v>
      </c>
      <c r="Q3750">
        <v>0.33866429999999997</v>
      </c>
      <c r="R3750">
        <v>0.1524239</v>
      </c>
      <c r="S3750">
        <v>3.2942499999999999</v>
      </c>
      <c r="T3750">
        <v>-0.2481903</v>
      </c>
      <c r="U3750">
        <v>0.165741</v>
      </c>
      <c r="V3750">
        <v>-0.143559299999999</v>
      </c>
      <c r="W3750">
        <v>0.35289090000000001</v>
      </c>
      <c r="X3750">
        <v>0.92458569999999995</v>
      </c>
      <c r="Y3750">
        <v>-4.0602770000000003E-2</v>
      </c>
      <c r="Z3750">
        <v>1.2678279999999999E-3</v>
      </c>
      <c r="AA3750">
        <v>0.99917449999999997</v>
      </c>
      <c r="AB3750">
        <v>43</v>
      </c>
      <c r="AC3750">
        <v>14.390599999999999</v>
      </c>
      <c r="AD3750">
        <v>-1.1103950207909901</v>
      </c>
      <c r="AE3750">
        <v>0.73820000000000596</v>
      </c>
      <c r="AF3750">
        <v>-0.59741238658417295</v>
      </c>
      <c r="AG3750">
        <v>-1.1103950207909901</v>
      </c>
      <c r="AH3750">
        <v>14.3119965153422</v>
      </c>
      <c r="AI3750">
        <v>94.432556298443501</v>
      </c>
      <c r="AJ3750">
        <v>92.390256926815297</v>
      </c>
      <c r="AK3750">
        <v>14.3674327183742</v>
      </c>
      <c r="AL3750">
        <v>69.335761983769103</v>
      </c>
      <c r="AM3750">
        <v>98.825771414325601</v>
      </c>
      <c r="AN3750">
        <v>0.99999998828189396</v>
      </c>
    </row>
    <row r="3751" spans="1:40" x14ac:dyDescent="0.25">
      <c r="A3751" t="str">
        <f>"20190304164203498"</f>
        <v>20190304164203498</v>
      </c>
      <c r="B3751" t="str">
        <f>"1551688923484388"</f>
        <v>1551688923484388</v>
      </c>
      <c r="C3751" t="s">
        <v>40</v>
      </c>
      <c r="D3751">
        <v>3.880795</v>
      </c>
      <c r="E3751">
        <v>0.54916549999999997</v>
      </c>
      <c r="F3751" t="s">
        <v>47</v>
      </c>
      <c r="G3751">
        <v>-316.55799999999999</v>
      </c>
      <c r="H3751" s="1">
        <v>3.8138569999999999E-6</v>
      </c>
      <c r="I3751">
        <v>214.86779999999999</v>
      </c>
      <c r="J3751">
        <v>-330.91770000000002</v>
      </c>
      <c r="K3751">
        <v>1.1103970000000001</v>
      </c>
      <c r="L3751">
        <v>214.12729999999999</v>
      </c>
      <c r="M3751">
        <v>0.99983690000000003</v>
      </c>
      <c r="N3751">
        <v>-1.533589E-2</v>
      </c>
      <c r="O3751">
        <v>9.5376760000000001E-3</v>
      </c>
      <c r="P3751">
        <v>0.9284869</v>
      </c>
      <c r="Q3751">
        <v>0.33833950000000002</v>
      </c>
      <c r="R3751">
        <v>0.1530966</v>
      </c>
      <c r="S3751">
        <v>3.2941590000000001</v>
      </c>
      <c r="T3751">
        <v>-0.24776119999999999</v>
      </c>
      <c r="U3751">
        <v>0.16609189999999999</v>
      </c>
      <c r="V3751">
        <v>-0.1442263</v>
      </c>
      <c r="W3751">
        <v>0.35256379999999998</v>
      </c>
      <c r="X3751">
        <v>0.9246067</v>
      </c>
      <c r="Y3751">
        <v>-4.0706029999999997E-2</v>
      </c>
      <c r="Z3751">
        <v>1.270745E-3</v>
      </c>
      <c r="AA3751">
        <v>0.99917040000000001</v>
      </c>
      <c r="AB3751">
        <v>42</v>
      </c>
      <c r="AC3751">
        <v>14.3597</v>
      </c>
      <c r="AD3751">
        <v>-1.1103931861430001</v>
      </c>
      <c r="AE3751">
        <v>0.74049999999999705</v>
      </c>
      <c r="AF3751">
        <v>-0.59991437769782296</v>
      </c>
      <c r="AG3751">
        <v>-1.1103931861430001</v>
      </c>
      <c r="AH3751">
        <v>14.280944151000501</v>
      </c>
      <c r="AI3751">
        <v>94.442099378158105</v>
      </c>
      <c r="AJ3751">
        <v>92.405468723232104</v>
      </c>
      <c r="AK3751">
        <v>14.336604763066999</v>
      </c>
      <c r="AL3751">
        <v>69.355791103596502</v>
      </c>
      <c r="AM3751">
        <v>98.865929213425005</v>
      </c>
      <c r="AN3751">
        <v>1.0000000041835</v>
      </c>
    </row>
    <row r="3752" spans="1:40" x14ac:dyDescent="0.25">
      <c r="A3752" t="str">
        <f>"20190304164203521"</f>
        <v>20190304164203521</v>
      </c>
      <c r="B3752" t="str">
        <f>"1551688923514644"</f>
        <v>1551688923514644</v>
      </c>
      <c r="C3752" t="s">
        <v>40</v>
      </c>
      <c r="D3752">
        <v>3.8947880000000001</v>
      </c>
      <c r="E3752">
        <v>0.54921419999999999</v>
      </c>
      <c r="F3752" t="s">
        <v>47</v>
      </c>
      <c r="G3752">
        <v>-316.18270000000001</v>
      </c>
      <c r="H3752" s="1">
        <v>3.647409E-6</v>
      </c>
      <c r="I3752">
        <v>214.8777</v>
      </c>
      <c r="J3752">
        <v>-330.47590000000002</v>
      </c>
      <c r="K3752">
        <v>1.1103970000000001</v>
      </c>
      <c r="L3752">
        <v>214.13149999999999</v>
      </c>
      <c r="M3752">
        <v>0.99983699999999998</v>
      </c>
      <c r="N3752">
        <v>-1.533151E-2</v>
      </c>
      <c r="O3752">
        <v>9.5396939999999996E-3</v>
      </c>
      <c r="P3752">
        <v>0.92841249999999997</v>
      </c>
      <c r="Q3752">
        <v>0.33819080000000001</v>
      </c>
      <c r="R3752">
        <v>0.15387490000000001</v>
      </c>
      <c r="S3752">
        <v>3.2938540000000001</v>
      </c>
      <c r="T3752">
        <v>-0.24821599999999999</v>
      </c>
      <c r="U3752">
        <v>0.1677399</v>
      </c>
      <c r="V3752">
        <v>-0.14500150000000001</v>
      </c>
      <c r="W3752">
        <v>0.35241080000000002</v>
      </c>
      <c r="X3752">
        <v>0.92454380000000003</v>
      </c>
      <c r="Y3752">
        <v>-4.1205190000000003E-2</v>
      </c>
      <c r="Z3752">
        <v>1.294653E-3</v>
      </c>
      <c r="AA3752">
        <v>0.99914990000000004</v>
      </c>
      <c r="AB3752">
        <v>42</v>
      </c>
      <c r="AC3752">
        <v>14.293200000000001</v>
      </c>
      <c r="AD3752">
        <v>-1.1103933525909999</v>
      </c>
      <c r="AE3752">
        <v>0.74620000000001596</v>
      </c>
      <c r="AF3752">
        <v>-0.606148948018159</v>
      </c>
      <c r="AG3752">
        <v>-1.1103933525909999</v>
      </c>
      <c r="AH3752">
        <v>14.2141163359132</v>
      </c>
      <c r="AI3752">
        <v>94.462780985083199</v>
      </c>
      <c r="AJ3752">
        <v>92.441850502010297</v>
      </c>
      <c r="AK3752">
        <v>14.2703010884681</v>
      </c>
      <c r="AL3752">
        <v>69.365158991358399</v>
      </c>
      <c r="AM3752">
        <v>98.913416163192906</v>
      </c>
      <c r="AN3752">
        <v>1.00000002253866</v>
      </c>
    </row>
    <row r="3753" spans="1:40" x14ac:dyDescent="0.25">
      <c r="A3753" t="str">
        <f>"20190304164203543"</f>
        <v>20190304164203543</v>
      </c>
      <c r="B3753" t="str">
        <f>"1551688923535140"</f>
        <v>1551688923535140</v>
      </c>
      <c r="C3753" t="s">
        <v>40</v>
      </c>
      <c r="D3753">
        <v>3.920067</v>
      </c>
      <c r="E3753">
        <v>0.54926560000000002</v>
      </c>
      <c r="F3753" t="s">
        <v>47</v>
      </c>
      <c r="G3753">
        <v>-315.72460000000001</v>
      </c>
      <c r="H3753" s="1">
        <v>3.444278E-6</v>
      </c>
      <c r="I3753">
        <v>214.89410000000001</v>
      </c>
      <c r="J3753">
        <v>-330.05450000000002</v>
      </c>
      <c r="K3753">
        <v>1.110393</v>
      </c>
      <c r="L3753">
        <v>214.13550000000001</v>
      </c>
      <c r="M3753">
        <v>0.99983719999999998</v>
      </c>
      <c r="N3753">
        <v>-1.5326940000000001E-2</v>
      </c>
      <c r="O3753">
        <v>9.5274899999999996E-3</v>
      </c>
      <c r="P3753">
        <v>0.92822990000000005</v>
      </c>
      <c r="Q3753">
        <v>0.338393</v>
      </c>
      <c r="R3753">
        <v>0.154529799999999</v>
      </c>
      <c r="S3753">
        <v>3.293396</v>
      </c>
      <c r="T3753">
        <v>-0.24790809999999999</v>
      </c>
      <c r="U3753">
        <v>0.17025760000000001</v>
      </c>
      <c r="V3753">
        <v>-0.14566299999999999</v>
      </c>
      <c r="W3753">
        <v>0.35260839999999999</v>
      </c>
      <c r="X3753">
        <v>0.92436439999999997</v>
      </c>
      <c r="Y3753">
        <v>-4.1983819999999998E-2</v>
      </c>
      <c r="Z3753">
        <v>1.329544E-3</v>
      </c>
      <c r="AA3753">
        <v>0.99911740000000004</v>
      </c>
      <c r="AB3753">
        <v>42</v>
      </c>
      <c r="AC3753">
        <v>14.3299</v>
      </c>
      <c r="AD3753">
        <v>-1.110389555722</v>
      </c>
      <c r="AE3753">
        <v>0.75860000000000105</v>
      </c>
      <c r="AF3753">
        <v>-0.61831933387224902</v>
      </c>
      <c r="AG3753">
        <v>-1.110389555722</v>
      </c>
      <c r="AH3753">
        <v>14.2511484118022</v>
      </c>
      <c r="AI3753">
        <v>94.451074345840496</v>
      </c>
      <c r="AJ3753">
        <v>92.484352996651694</v>
      </c>
      <c r="AK3753">
        <v>14.3077082308562</v>
      </c>
      <c r="AL3753">
        <v>69.353059573455099</v>
      </c>
      <c r="AM3753">
        <v>98.9551315825275</v>
      </c>
      <c r="AN3753">
        <v>0.99999996865345897</v>
      </c>
    </row>
    <row r="3754" spans="1:40" x14ac:dyDescent="0.25">
      <c r="A3754" t="str">
        <f>"20190304164203555"</f>
        <v>20190304164203555</v>
      </c>
      <c r="B3754" t="str">
        <f>"1551688923544900"</f>
        <v>1551688923544900</v>
      </c>
      <c r="C3754" t="s">
        <v>40</v>
      </c>
      <c r="D3754">
        <v>3.8787959999999999</v>
      </c>
      <c r="E3754">
        <v>0.54928449999999995</v>
      </c>
      <c r="F3754" t="s">
        <v>47</v>
      </c>
      <c r="G3754">
        <v>-315.22649999999999</v>
      </c>
      <c r="H3754" s="1">
        <v>3.223374E-6</v>
      </c>
      <c r="I3754">
        <v>214.91120000000001</v>
      </c>
      <c r="J3754">
        <v>-329.8134</v>
      </c>
      <c r="K3754">
        <v>1.1103860000000001</v>
      </c>
      <c r="L3754">
        <v>214.1378</v>
      </c>
      <c r="M3754">
        <v>0.99983750000000005</v>
      </c>
      <c r="N3754">
        <v>-1.532421E-2</v>
      </c>
      <c r="O3754">
        <v>9.5070239999999993E-3</v>
      </c>
      <c r="P3754">
        <v>0.92815040000000004</v>
      </c>
      <c r="Q3754">
        <v>0.33841870000000002</v>
      </c>
      <c r="R3754">
        <v>0.15495120000000001</v>
      </c>
      <c r="S3754">
        <v>3.2931819999999998</v>
      </c>
      <c r="T3754">
        <v>-0.24660889999999999</v>
      </c>
      <c r="U3754">
        <v>0.1722717</v>
      </c>
      <c r="V3754">
        <v>-0.146097</v>
      </c>
      <c r="W3754">
        <v>0.35263349999999999</v>
      </c>
      <c r="X3754">
        <v>0.92428639999999995</v>
      </c>
      <c r="Y3754">
        <v>-4.2616010000000003E-2</v>
      </c>
      <c r="Z3754">
        <v>1.354694E-3</v>
      </c>
      <c r="AA3754">
        <v>0.99909060000000005</v>
      </c>
      <c r="AB3754">
        <v>42</v>
      </c>
      <c r="AC3754">
        <v>14.5869</v>
      </c>
      <c r="AD3754">
        <v>-1.1103827766259999</v>
      </c>
      <c r="AE3754">
        <v>0.77340000000000897</v>
      </c>
      <c r="AF3754">
        <v>-0.63102451171172003</v>
      </c>
      <c r="AG3754">
        <v>-1.1103827766259999</v>
      </c>
      <c r="AH3754">
        <v>14.509752478983399</v>
      </c>
      <c r="AI3754">
        <v>94.372008292068301</v>
      </c>
      <c r="AJ3754">
        <v>92.490206032127801</v>
      </c>
      <c r="AK3754">
        <v>14.565852492949899</v>
      </c>
      <c r="AL3754">
        <v>69.3515241427083</v>
      </c>
      <c r="AM3754">
        <v>98.982124486289507</v>
      </c>
      <c r="AN3754">
        <v>1.0000000339780999</v>
      </c>
    </row>
    <row r="3755" spans="1:40" x14ac:dyDescent="0.25">
      <c r="A3755" t="str">
        <f>"20190304164203575"</f>
        <v>20190304164203575</v>
      </c>
      <c r="B3755" t="str">
        <f>"1551688923564420"</f>
        <v>1551688923564420</v>
      </c>
      <c r="C3755" t="s">
        <v>40</v>
      </c>
      <c r="D3755">
        <v>3.9181840000000001</v>
      </c>
      <c r="E3755">
        <v>0.54933050000000005</v>
      </c>
      <c r="F3755" t="s">
        <v>47</v>
      </c>
      <c r="G3755">
        <v>-314.96640000000002</v>
      </c>
      <c r="H3755" s="1">
        <v>3.108019E-6</v>
      </c>
      <c r="I3755">
        <v>214.91990000000001</v>
      </c>
      <c r="J3755">
        <v>-329.45010000000002</v>
      </c>
      <c r="K3755">
        <v>1.1103689999999999</v>
      </c>
      <c r="L3755">
        <v>214.1413</v>
      </c>
      <c r="M3755">
        <v>0.99983789999999995</v>
      </c>
      <c r="N3755">
        <v>-1.532005E-2</v>
      </c>
      <c r="O3755">
        <v>9.4628190000000008E-3</v>
      </c>
      <c r="P3755">
        <v>0.92803250000000004</v>
      </c>
      <c r="Q3755">
        <v>0.33819629999999901</v>
      </c>
      <c r="R3755">
        <v>0.156138</v>
      </c>
      <c r="S3755">
        <v>3.2931520000000001</v>
      </c>
      <c r="T3755">
        <v>-0.24628900000000001</v>
      </c>
      <c r="U3755">
        <v>0.1734619</v>
      </c>
      <c r="V3755">
        <v>-0.14731150000000001</v>
      </c>
      <c r="W3755">
        <v>0.35241169999999999</v>
      </c>
      <c r="X3755">
        <v>0.92417819999999995</v>
      </c>
      <c r="Y3755">
        <v>-4.301961E-2</v>
      </c>
      <c r="Z3755">
        <v>1.3742089999999999E-3</v>
      </c>
      <c r="AA3755">
        <v>0.99907330000000005</v>
      </c>
      <c r="AB3755">
        <v>42</v>
      </c>
      <c r="AC3755">
        <v>14.483700000000001</v>
      </c>
      <c r="AD3755">
        <v>-1.110365891981</v>
      </c>
      <c r="AE3755">
        <v>0.77860000000001095</v>
      </c>
      <c r="AF3755">
        <v>-0.63775498158721899</v>
      </c>
      <c r="AG3755">
        <v>-1.110365891981</v>
      </c>
      <c r="AH3755">
        <v>14.4059964939823</v>
      </c>
      <c r="AI3755">
        <v>94.403156704338997</v>
      </c>
      <c r="AJ3755">
        <v>92.534835097289402</v>
      </c>
      <c r="AK3755">
        <v>14.462792911994701</v>
      </c>
      <c r="AL3755">
        <v>69.365103724095107</v>
      </c>
      <c r="AM3755">
        <v>99.056602957156201</v>
      </c>
      <c r="AN3755">
        <v>1.0000000148421899</v>
      </c>
    </row>
    <row r="3756" spans="1:40" x14ac:dyDescent="0.25">
      <c r="A3756" t="str">
        <f>"20190304164203590"</f>
        <v>20190304164203590</v>
      </c>
      <c r="B3756" t="str">
        <f>"1551688923585128"</f>
        <v>1551688923585128</v>
      </c>
      <c r="C3756" t="s">
        <v>40</v>
      </c>
      <c r="D3756">
        <v>3.8967679999999998</v>
      </c>
      <c r="E3756">
        <v>0.54938569999999998</v>
      </c>
      <c r="F3756" t="s">
        <v>47</v>
      </c>
      <c r="G3756">
        <v>-314.6035</v>
      </c>
      <c r="H3756" s="1">
        <v>2.9470910000000001E-6</v>
      </c>
      <c r="I3756">
        <v>214.93770000000001</v>
      </c>
      <c r="J3756">
        <v>-329.1823</v>
      </c>
      <c r="K3756">
        <v>1.1103559999999999</v>
      </c>
      <c r="L3756">
        <v>214.1438</v>
      </c>
      <c r="M3756">
        <v>0.99983849999999996</v>
      </c>
      <c r="N3756">
        <v>-1.5316990000000001E-2</v>
      </c>
      <c r="O3756">
        <v>9.4155890000000002E-3</v>
      </c>
      <c r="P3756">
        <v>0.92806200000000005</v>
      </c>
      <c r="Q3756">
        <v>0.33806199999999997</v>
      </c>
      <c r="R3756">
        <v>0.1562539</v>
      </c>
      <c r="S3756">
        <v>3.2926639999999998</v>
      </c>
      <c r="T3756">
        <v>-0.2462558</v>
      </c>
      <c r="U3756">
        <v>0.17663570000000001</v>
      </c>
      <c r="V3756">
        <v>-0.1474577</v>
      </c>
      <c r="W3756">
        <v>0.3522805</v>
      </c>
      <c r="X3756">
        <v>0.9242049</v>
      </c>
      <c r="Y3756">
        <v>-4.4031389999999997E-2</v>
      </c>
      <c r="Z3756">
        <v>1.4224330000000001E-3</v>
      </c>
      <c r="AA3756">
        <v>0.99902919999999995</v>
      </c>
      <c r="AB3756">
        <v>42</v>
      </c>
      <c r="AC3756">
        <v>14.578799999999999</v>
      </c>
      <c r="AD3756">
        <v>-1.110353052909</v>
      </c>
      <c r="AE3756">
        <v>0.79390000000000704</v>
      </c>
      <c r="AF3756">
        <v>-0.652805210308118</v>
      </c>
      <c r="AG3756">
        <v>-1.110353052909</v>
      </c>
      <c r="AH3756">
        <v>14.501758227141901</v>
      </c>
      <c r="AI3756">
        <v>94.373998768484995</v>
      </c>
      <c r="AJ3756">
        <v>92.577463295955297</v>
      </c>
      <c r="AK3756">
        <v>14.5588471460891</v>
      </c>
      <c r="AL3756">
        <v>69.373135952836094</v>
      </c>
      <c r="AM3756">
        <v>99.065184489195801</v>
      </c>
      <c r="AN3756">
        <v>1.0000000105767699</v>
      </c>
    </row>
    <row r="3757" spans="1:40" x14ac:dyDescent="0.25">
      <c r="A3757" t="str">
        <f>"20190304164203602"</f>
        <v>20190304164203602</v>
      </c>
      <c r="B3757" t="str">
        <f>"1551688923594887"</f>
        <v>1551688923594887</v>
      </c>
      <c r="C3757" t="s">
        <v>40</v>
      </c>
      <c r="D3757">
        <v>3.8660549999999998</v>
      </c>
      <c r="E3757">
        <v>0.54941890000000004</v>
      </c>
      <c r="F3757" t="s">
        <v>47</v>
      </c>
      <c r="G3757">
        <v>-314.33330000000001</v>
      </c>
      <c r="H3757" s="1">
        <v>2.8272779999999998E-6</v>
      </c>
      <c r="I3757">
        <v>214.9427</v>
      </c>
      <c r="J3757">
        <v>-328.93849999999998</v>
      </c>
      <c r="K3757">
        <v>1.110341</v>
      </c>
      <c r="L3757">
        <v>214.14599999999999</v>
      </c>
      <c r="M3757">
        <v>0.99983889999999997</v>
      </c>
      <c r="N3757">
        <v>-1.53142E-2</v>
      </c>
      <c r="O3757">
        <v>9.3641169999999999E-3</v>
      </c>
      <c r="P3757">
        <v>0.92791999999999997</v>
      </c>
      <c r="Q3757">
        <v>0.33834920000000002</v>
      </c>
      <c r="R3757">
        <v>0.1564749</v>
      </c>
      <c r="S3757">
        <v>3.292389</v>
      </c>
      <c r="T3757">
        <v>-0.24619269999999999</v>
      </c>
      <c r="U3757">
        <v>0.17715449999999999</v>
      </c>
      <c r="V3757">
        <v>-0.14771419999999999</v>
      </c>
      <c r="W3757">
        <v>0.3525682</v>
      </c>
      <c r="X3757">
        <v>0.92405420000000005</v>
      </c>
      <c r="Y3757">
        <v>-4.4243499999999998E-2</v>
      </c>
      <c r="Z3757">
        <v>1.4347749999999999E-3</v>
      </c>
      <c r="AA3757">
        <v>0.99901969999999995</v>
      </c>
      <c r="AB3757">
        <v>42</v>
      </c>
      <c r="AC3757">
        <v>14.6051999999999</v>
      </c>
      <c r="AD3757">
        <v>-1.1103381727220001</v>
      </c>
      <c r="AE3757">
        <v>0.79670000000001495</v>
      </c>
      <c r="AF3757">
        <v>-0.65610347586482698</v>
      </c>
      <c r="AG3757">
        <v>-1.1103381727220001</v>
      </c>
      <c r="AH3757">
        <v>14.528302533000501</v>
      </c>
      <c r="AI3757">
        <v>94.365951455048702</v>
      </c>
      <c r="AJ3757">
        <v>92.585741553860402</v>
      </c>
      <c r="AK3757">
        <v>14.585434416541499</v>
      </c>
      <c r="AL3757">
        <v>69.355521451694102</v>
      </c>
      <c r="AM3757">
        <v>99.082146951704104</v>
      </c>
      <c r="AN3757">
        <v>0.99999999253525995</v>
      </c>
    </row>
    <row r="3758" spans="1:40" x14ac:dyDescent="0.25">
      <c r="A3758" t="str">
        <f>"20190304164203615"</f>
        <v>20190304164203615</v>
      </c>
      <c r="B3758" t="str">
        <f>"1551688923604648"</f>
        <v>1551688923604648</v>
      </c>
      <c r="C3758" t="s">
        <v>40</v>
      </c>
      <c r="D3758">
        <v>3.9267759999999998</v>
      </c>
      <c r="E3758">
        <v>0.54941890000000004</v>
      </c>
      <c r="F3758" t="s">
        <v>47</v>
      </c>
      <c r="G3758">
        <v>-314.0308</v>
      </c>
      <c r="H3758" s="1">
        <v>2.693128E-6</v>
      </c>
      <c r="I3758">
        <v>214.95480000000001</v>
      </c>
      <c r="J3758">
        <v>-328.68959999999998</v>
      </c>
      <c r="K3758">
        <v>1.110328</v>
      </c>
      <c r="L3758">
        <v>214.14830000000001</v>
      </c>
      <c r="M3758">
        <v>0.99983960000000005</v>
      </c>
      <c r="N3758">
        <v>-1.5311379999999999E-2</v>
      </c>
      <c r="O3758">
        <v>9.2938269999999993E-3</v>
      </c>
      <c r="P3758">
        <v>0.92787019999999998</v>
      </c>
      <c r="Q3758">
        <v>0.33873019999999998</v>
      </c>
      <c r="R3758">
        <v>0.1559449</v>
      </c>
      <c r="S3758">
        <v>3.2923279999999999</v>
      </c>
      <c r="T3758">
        <v>-0.2452154</v>
      </c>
      <c r="U3758">
        <v>0.17861939999999901</v>
      </c>
      <c r="V3758">
        <v>-0.1472349</v>
      </c>
      <c r="W3758">
        <v>0.35295199999999999</v>
      </c>
      <c r="X3758">
        <v>0.92398420000000003</v>
      </c>
      <c r="Y3758">
        <v>-4.4756990000000003E-2</v>
      </c>
      <c r="Z3758">
        <v>1.4580960000000001E-3</v>
      </c>
      <c r="AA3758">
        <v>0.99899689999999997</v>
      </c>
      <c r="AB3758">
        <v>42</v>
      </c>
      <c r="AC3758">
        <v>14.6587999999999</v>
      </c>
      <c r="AD3758">
        <v>-1.110325306872</v>
      </c>
      <c r="AE3758">
        <v>0.806499999999999</v>
      </c>
      <c r="AF3758">
        <v>-0.66640106928538601</v>
      </c>
      <c r="AG3758">
        <v>-1.110325306872</v>
      </c>
      <c r="AH3758">
        <v>14.5822535817509</v>
      </c>
      <c r="AI3758">
        <v>94.349704419090102</v>
      </c>
      <c r="AJ3758">
        <v>92.616565506932105</v>
      </c>
      <c r="AK3758">
        <v>14.6396390732392</v>
      </c>
      <c r="AL3758">
        <v>69.332021053639195</v>
      </c>
      <c r="AM3758">
        <v>99.053840714649994</v>
      </c>
      <c r="AN3758">
        <v>1.00000001596582</v>
      </c>
    </row>
    <row r="3759" spans="1:40" x14ac:dyDescent="0.25">
      <c r="A3759" t="str">
        <f>"20190304164203631"</f>
        <v>20190304164203631</v>
      </c>
      <c r="B3759" t="str">
        <f>"1551688923625144"</f>
        <v>1551688923625144</v>
      </c>
      <c r="C3759" t="s">
        <v>40</v>
      </c>
      <c r="D3759">
        <v>3.9384990000000002</v>
      </c>
      <c r="E3759">
        <v>0.54972129999999997</v>
      </c>
      <c r="F3759" t="s">
        <v>47</v>
      </c>
      <c r="G3759">
        <v>-313.7287</v>
      </c>
      <c r="H3759" s="1">
        <v>2.559156E-6</v>
      </c>
      <c r="I3759">
        <v>214.9597</v>
      </c>
      <c r="J3759">
        <v>-328.38459999999998</v>
      </c>
      <c r="K3759">
        <v>1.110311</v>
      </c>
      <c r="L3759">
        <v>214.15100000000001</v>
      </c>
      <c r="M3759">
        <v>0.99984059999999997</v>
      </c>
      <c r="N3759">
        <v>-1.530802E-2</v>
      </c>
      <c r="O3759">
        <v>9.1949730000000004E-3</v>
      </c>
      <c r="P3759">
        <v>0.92810230000000005</v>
      </c>
      <c r="Q3759">
        <v>0.33862039999999999</v>
      </c>
      <c r="R3759">
        <v>0.15479849999999901</v>
      </c>
      <c r="S3759">
        <v>3.2924500000000001</v>
      </c>
      <c r="T3759">
        <v>-0.2443495</v>
      </c>
      <c r="U3759">
        <v>0.1785736</v>
      </c>
      <c r="V3759">
        <v>-0.1461596</v>
      </c>
      <c r="W3759">
        <v>0.35285029999999901</v>
      </c>
      <c r="X3759">
        <v>0.92419370000000001</v>
      </c>
      <c r="Y3759">
        <v>-4.4840289999999998E-2</v>
      </c>
      <c r="Z3759">
        <v>1.464059E-3</v>
      </c>
      <c r="AA3759">
        <v>0.99899309999999997</v>
      </c>
      <c r="AB3759">
        <v>42</v>
      </c>
      <c r="AC3759">
        <v>14.6558999999999</v>
      </c>
      <c r="AD3759">
        <v>-1.110308440844</v>
      </c>
      <c r="AE3759">
        <v>0.80870000000001596</v>
      </c>
      <c r="AF3759">
        <v>-0.67005540930653895</v>
      </c>
      <c r="AG3759">
        <v>-1.110308440844</v>
      </c>
      <c r="AH3759">
        <v>14.579295524102401</v>
      </c>
      <c r="AI3759">
        <v>94.350466212658205</v>
      </c>
      <c r="AJ3759">
        <v>92.631426891605003</v>
      </c>
      <c r="AK3759">
        <v>14.6368581691722</v>
      </c>
      <c r="AL3759">
        <v>69.338247919781594</v>
      </c>
      <c r="AM3759">
        <v>98.986796991807097</v>
      </c>
      <c r="AN3759">
        <v>0.99999997900096904</v>
      </c>
    </row>
    <row r="3760" spans="1:40" x14ac:dyDescent="0.25">
      <c r="A3760" t="str">
        <f>"20190304164203654"</f>
        <v>20190304164203654</v>
      </c>
      <c r="B3760" t="str">
        <f>"1551688923644664"</f>
        <v>1551688923644664</v>
      </c>
      <c r="C3760" t="s">
        <v>40</v>
      </c>
      <c r="D3760">
        <v>3.9190619999999998</v>
      </c>
      <c r="E3760">
        <v>0.58165619999999996</v>
      </c>
      <c r="F3760" t="s">
        <v>47</v>
      </c>
      <c r="G3760">
        <v>-313.4074</v>
      </c>
      <c r="H3760" s="1">
        <v>2.416675E-6</v>
      </c>
      <c r="I3760">
        <v>214.9443</v>
      </c>
      <c r="J3760">
        <v>-327.97820000000002</v>
      </c>
      <c r="K3760">
        <v>1.1102829999999999</v>
      </c>
      <c r="L3760">
        <v>214.15459999999999</v>
      </c>
      <c r="M3760">
        <v>0.99984220000000001</v>
      </c>
      <c r="N3760">
        <v>-1.5303509999999999E-2</v>
      </c>
      <c r="O3760">
        <v>9.0400519999999998E-3</v>
      </c>
      <c r="P3760">
        <v>0.92829779999999995</v>
      </c>
      <c r="Q3760">
        <v>0.33870729999999999</v>
      </c>
      <c r="R3760">
        <v>0.1534307</v>
      </c>
      <c r="S3760">
        <v>3.2923279999999999</v>
      </c>
      <c r="T3760">
        <v>-0.24407139999999999</v>
      </c>
      <c r="U3760">
        <v>0.17437739999999999</v>
      </c>
      <c r="V3760">
        <v>-0.14490989999999901</v>
      </c>
      <c r="W3760">
        <v>0.35294490000000001</v>
      </c>
      <c r="X3760">
        <v>0.92435440000000002</v>
      </c>
      <c r="Y3760">
        <v>-4.3731119999999998E-2</v>
      </c>
      <c r="Z3760">
        <v>1.4224210000000001E-3</v>
      </c>
      <c r="AA3760">
        <v>0.99904230000000005</v>
      </c>
      <c r="AB3760">
        <v>42</v>
      </c>
      <c r="AC3760">
        <v>14.5708</v>
      </c>
      <c r="AD3760">
        <v>-1.110280583325</v>
      </c>
      <c r="AE3760">
        <v>0.78970000000000995</v>
      </c>
      <c r="AF3760">
        <v>-0.65414450108237499</v>
      </c>
      <c r="AG3760">
        <v>-1.110280583325</v>
      </c>
      <c r="AH3760">
        <v>14.4934375988166</v>
      </c>
      <c r="AI3760">
        <v>94.3761923916922</v>
      </c>
      <c r="AJ3760">
        <v>92.584224783471797</v>
      </c>
      <c r="AK3760">
        <v>14.5506137819954</v>
      </c>
      <c r="AL3760">
        <v>69.332455904387004</v>
      </c>
      <c r="AM3760">
        <v>98.909671669824704</v>
      </c>
      <c r="AN3760">
        <v>1.00000001917668</v>
      </c>
    </row>
    <row r="3761" spans="1:40" x14ac:dyDescent="0.25">
      <c r="A3761" t="str">
        <f>"20190304164203677"</f>
        <v>20190304164203677</v>
      </c>
      <c r="B3761" t="str">
        <f>"1551688923665159"</f>
        <v>1551688923665159</v>
      </c>
      <c r="C3761" t="s">
        <v>40</v>
      </c>
      <c r="D3761">
        <v>3.8913359999999999</v>
      </c>
      <c r="E3761">
        <v>0.58263690000000001</v>
      </c>
      <c r="F3761" t="s">
        <v>47</v>
      </c>
      <c r="G3761">
        <v>-308.56380000000001</v>
      </c>
      <c r="H3761" s="1">
        <v>1.1341869999999999E-6</v>
      </c>
      <c r="I3761">
        <v>213.64859999999999</v>
      </c>
      <c r="J3761">
        <v>-327.5462</v>
      </c>
      <c r="K3761">
        <v>1.1102620000000001</v>
      </c>
      <c r="L3761">
        <v>214.1583</v>
      </c>
      <c r="M3761">
        <v>0.99984379999999995</v>
      </c>
      <c r="N3761">
        <v>-1.529865E-2</v>
      </c>
      <c r="O3761">
        <v>8.8516849999999998E-3</v>
      </c>
      <c r="P3761">
        <v>0.92841750000000001</v>
      </c>
      <c r="Q3761">
        <v>0.33912510000000001</v>
      </c>
      <c r="R3761">
        <v>0.1517733</v>
      </c>
      <c r="S3761">
        <v>3.3151860000000002</v>
      </c>
      <c r="T3761">
        <v>-0.18959019999999999</v>
      </c>
      <c r="U3761">
        <v>-8.6410520000000005E-2</v>
      </c>
      <c r="V3761">
        <v>-0.14340429999999901</v>
      </c>
      <c r="W3761">
        <v>0.3533674</v>
      </c>
      <c r="X3761">
        <v>0.92442769999999996</v>
      </c>
      <c r="Y3761">
        <v>3.4825050000000003E-2</v>
      </c>
      <c r="Z3761">
        <v>-1.6319419999999999E-3</v>
      </c>
      <c r="AA3761">
        <v>0.99939210000000001</v>
      </c>
      <c r="AB3761">
        <v>42</v>
      </c>
      <c r="AC3761">
        <v>18.982399999999899</v>
      </c>
      <c r="AD3761">
        <v>-1.110260865813</v>
      </c>
      <c r="AE3761">
        <v>-0.50970000000000903</v>
      </c>
      <c r="AF3761">
        <v>0.67541700770950397</v>
      </c>
      <c r="AG3761">
        <v>-1.110260865813</v>
      </c>
      <c r="AH3761">
        <v>18.912491683509099</v>
      </c>
      <c r="AI3761">
        <v>93.357566445492594</v>
      </c>
      <c r="AJ3761">
        <v>87.954679630002005</v>
      </c>
      <c r="AK3761">
        <v>18.957088621496201</v>
      </c>
      <c r="AL3761">
        <v>69.306579526830603</v>
      </c>
      <c r="AM3761">
        <v>98.817875262476804</v>
      </c>
      <c r="AN3761">
        <v>0.99999994258426805</v>
      </c>
    </row>
    <row r="3762" spans="1:40" x14ac:dyDescent="0.25">
      <c r="A3762" t="str">
        <f>"20190304164203699"</f>
        <v>20190304164203699</v>
      </c>
      <c r="B3762" t="str">
        <f>"1551688923694946"</f>
        <v>1551688923694946</v>
      </c>
      <c r="C3762" t="s">
        <v>40</v>
      </c>
      <c r="D3762">
        <v>3.901678</v>
      </c>
      <c r="E3762">
        <v>0.58270649999999902</v>
      </c>
      <c r="F3762" t="s">
        <v>47</v>
      </c>
      <c r="G3762">
        <v>-308.36939999999998</v>
      </c>
      <c r="H3762" s="1">
        <v>1.1686590000000001E-6</v>
      </c>
      <c r="I3762">
        <v>213.57509999999999</v>
      </c>
      <c r="J3762">
        <v>-327.12470000000002</v>
      </c>
      <c r="K3762">
        <v>1.110242</v>
      </c>
      <c r="L3762">
        <v>214.1619</v>
      </c>
      <c r="M3762">
        <v>0.99984569999999995</v>
      </c>
      <c r="N3762">
        <v>-1.5293869999999999E-2</v>
      </c>
      <c r="O3762">
        <v>8.6499550000000008E-3</v>
      </c>
      <c r="P3762">
        <v>0.92895760000000005</v>
      </c>
      <c r="Q3762">
        <v>0.33831250000000002</v>
      </c>
      <c r="R3762">
        <v>0.15027509999999999</v>
      </c>
      <c r="S3762">
        <v>3.3179630000000002</v>
      </c>
      <c r="T3762">
        <v>-0.19209770000000001</v>
      </c>
      <c r="U3762">
        <v>-0.10090639999999999</v>
      </c>
      <c r="V3762">
        <v>-0.142073</v>
      </c>
      <c r="W3762">
        <v>0.35256419999999999</v>
      </c>
      <c r="X3762">
        <v>0.92493979999999998</v>
      </c>
      <c r="Y3762">
        <v>3.8953649999999999E-2</v>
      </c>
      <c r="Z3762">
        <v>-1.7928029999999999E-3</v>
      </c>
      <c r="AA3762">
        <v>0.9992394</v>
      </c>
      <c r="AB3762">
        <v>42</v>
      </c>
      <c r="AC3762">
        <v>18.755299999999998</v>
      </c>
      <c r="AD3762">
        <v>-1.1102408313409999</v>
      </c>
      <c r="AE3762">
        <v>-0.58680000000000998</v>
      </c>
      <c r="AF3762">
        <v>0.74641648778619196</v>
      </c>
      <c r="AG3762">
        <v>-1.1102408313409999</v>
      </c>
      <c r="AH3762">
        <v>18.684113322177001</v>
      </c>
      <c r="AI3762">
        <v>93.397907047401404</v>
      </c>
      <c r="AJ3762">
        <v>87.712292547409206</v>
      </c>
      <c r="AK3762">
        <v>18.7319476540153</v>
      </c>
      <c r="AL3762">
        <v>69.355765292729998</v>
      </c>
      <c r="AM3762">
        <v>98.732520236981898</v>
      </c>
      <c r="AN3762">
        <v>0.99999994303733797</v>
      </c>
    </row>
    <row r="3763" spans="1:40" x14ac:dyDescent="0.25">
      <c r="A3763" t="str">
        <f>"20190304164203723"</f>
        <v>20190304164203723</v>
      </c>
      <c r="B3763" t="str">
        <f>"1551688923714466"</f>
        <v>1551688923714466</v>
      </c>
      <c r="C3763" t="s">
        <v>40</v>
      </c>
      <c r="D3763">
        <v>3.9436450000000001</v>
      </c>
      <c r="E3763">
        <v>0.5826886</v>
      </c>
      <c r="F3763" t="s">
        <v>47</v>
      </c>
      <c r="G3763">
        <v>-308.05810000000002</v>
      </c>
      <c r="H3763" s="1">
        <v>1.2238799999999999E-6</v>
      </c>
      <c r="I3763">
        <v>213.54409999999999</v>
      </c>
      <c r="J3763">
        <v>-326.6807</v>
      </c>
      <c r="K3763">
        <v>1.1102289999999999</v>
      </c>
      <c r="L3763">
        <v>214.16550000000001</v>
      </c>
      <c r="M3763">
        <v>0.99984770000000001</v>
      </c>
      <c r="N3763">
        <v>-1.528877E-2</v>
      </c>
      <c r="O3763">
        <v>8.4247569999999997E-3</v>
      </c>
      <c r="P3763">
        <v>0.92913029999999996</v>
      </c>
      <c r="Q3763">
        <v>0.33814539999999998</v>
      </c>
      <c r="R3763">
        <v>0.149581399999999</v>
      </c>
      <c r="S3763">
        <v>3.3171689999999998</v>
      </c>
      <c r="T3763">
        <v>-0.19315760000000001</v>
      </c>
      <c r="U3763">
        <v>-0.10748290000000001</v>
      </c>
      <c r="V3763">
        <v>-0.141573799999999</v>
      </c>
      <c r="W3763">
        <v>0.35240009999999999</v>
      </c>
      <c r="X3763">
        <v>0.92507890000000004</v>
      </c>
      <c r="Y3763">
        <v>4.0710400000000001E-2</v>
      </c>
      <c r="Z3763">
        <v>-1.8569459999999999E-3</v>
      </c>
      <c r="AA3763">
        <v>0.99916930000000004</v>
      </c>
      <c r="AB3763">
        <v>42</v>
      </c>
      <c r="AC3763">
        <v>18.622599999999899</v>
      </c>
      <c r="AD3763">
        <v>-1.1102277761199999</v>
      </c>
      <c r="AE3763">
        <v>-0.62140000000002205</v>
      </c>
      <c r="AF3763">
        <v>0.77553380256403004</v>
      </c>
      <c r="AG3763">
        <v>-1.1102277761199999</v>
      </c>
      <c r="AH3763">
        <v>18.550842863776499</v>
      </c>
      <c r="AI3763">
        <v>93.4219612108908</v>
      </c>
      <c r="AJ3763">
        <v>87.606095069687299</v>
      </c>
      <c r="AK3763">
        <v>18.6002104652156</v>
      </c>
      <c r="AL3763">
        <v>69.365812975931604</v>
      </c>
      <c r="AM3763">
        <v>98.701018916247406</v>
      </c>
      <c r="AN3763">
        <v>0.99999997127582896</v>
      </c>
    </row>
    <row r="3764" spans="1:40" x14ac:dyDescent="0.25">
      <c r="A3764" t="str">
        <f>"20190304164203742"</f>
        <v>20190304164203742</v>
      </c>
      <c r="B3764" t="str">
        <f>"1551688923734962"</f>
        <v>1551688923734962</v>
      </c>
      <c r="C3764" t="s">
        <v>40</v>
      </c>
      <c r="D3764">
        <v>3.9179909999999998</v>
      </c>
      <c r="E3764">
        <v>0.58254830000000002</v>
      </c>
      <c r="F3764" t="s">
        <v>41</v>
      </c>
      <c r="G3764">
        <v>-325.58569999999997</v>
      </c>
      <c r="H3764">
        <v>1.047499</v>
      </c>
      <c r="I3764">
        <v>214.12870000000001</v>
      </c>
      <c r="J3764">
        <v>-326.30040000000002</v>
      </c>
      <c r="K3764">
        <v>1.110215</v>
      </c>
      <c r="L3764">
        <v>214.1686</v>
      </c>
      <c r="M3764">
        <v>0.9998494</v>
      </c>
      <c r="N3764">
        <v>-1.528445E-2</v>
      </c>
      <c r="O3764">
        <v>8.2253410000000006E-3</v>
      </c>
      <c r="P3764">
        <v>0.92910360000000003</v>
      </c>
      <c r="Q3764">
        <v>0.33817129999999901</v>
      </c>
      <c r="R3764">
        <v>0.14968919999999999</v>
      </c>
      <c r="S3764">
        <v>3.3158569999999998</v>
      </c>
      <c r="T3764">
        <v>-0.1901031</v>
      </c>
      <c r="U3764">
        <v>-0.1108246</v>
      </c>
      <c r="V3764">
        <v>-0.14185829999999999</v>
      </c>
      <c r="W3764">
        <v>0.35242469999999998</v>
      </c>
      <c r="X3764">
        <v>0.92502600000000001</v>
      </c>
      <c r="Y3764">
        <v>4.1530940000000002E-2</v>
      </c>
      <c r="Z3764">
        <v>-1.852486E-3</v>
      </c>
      <c r="AA3764">
        <v>0.99913549999999995</v>
      </c>
      <c r="AB3764">
        <v>42</v>
      </c>
      <c r="AC3764">
        <v>0.71470000000004996</v>
      </c>
      <c r="AD3764">
        <v>-6.2715999999999994E-2</v>
      </c>
      <c r="AE3764">
        <v>-3.9899999999988701E-2</v>
      </c>
      <c r="AF3764">
        <v>4.5429254461298002E-2</v>
      </c>
      <c r="AG3764">
        <v>-6.2715999999999994E-2</v>
      </c>
      <c r="AH3764">
        <v>0.70890574262070805</v>
      </c>
      <c r="AI3764">
        <v>95.045427245934107</v>
      </c>
      <c r="AJ3764">
        <v>86.333292258137902</v>
      </c>
      <c r="AK3764">
        <v>0.71312303688601097</v>
      </c>
      <c r="AL3764">
        <v>69.364308003725895</v>
      </c>
      <c r="AM3764">
        <v>98.718726603262795</v>
      </c>
      <c r="AN3764">
        <v>1.00000002356248</v>
      </c>
    </row>
    <row r="3765" spans="1:40" x14ac:dyDescent="0.25">
      <c r="A3765" t="str">
        <f>"20190304164203765"</f>
        <v>20190304164203765</v>
      </c>
      <c r="B3765" t="str">
        <f>"1551688923754482"</f>
        <v>1551688923754482</v>
      </c>
      <c r="C3765" t="s">
        <v>40</v>
      </c>
      <c r="D3765">
        <v>3.9901070000000001</v>
      </c>
      <c r="E3765">
        <v>0.58253880000000002</v>
      </c>
      <c r="F3765" t="s">
        <v>41</v>
      </c>
      <c r="G3765">
        <v>-325.21140000000003</v>
      </c>
      <c r="H3765">
        <v>1.048343</v>
      </c>
      <c r="I3765">
        <v>214.13249999999999</v>
      </c>
      <c r="J3765">
        <v>-325.89060000000001</v>
      </c>
      <c r="K3765">
        <v>1.1102069999999999</v>
      </c>
      <c r="L3765">
        <v>214.17179999999999</v>
      </c>
      <c r="M3765">
        <v>0.9998513</v>
      </c>
      <c r="N3765">
        <v>-1.527981E-2</v>
      </c>
      <c r="O3765">
        <v>8.0082439999999994E-3</v>
      </c>
      <c r="P3765">
        <v>0.92923020000000001</v>
      </c>
      <c r="Q3765">
        <v>0.33781290000000003</v>
      </c>
      <c r="R3765">
        <v>0.14971309999999999</v>
      </c>
      <c r="S3765">
        <v>3.3151250000000001</v>
      </c>
      <c r="T3765">
        <v>-0.1884344</v>
      </c>
      <c r="U3765">
        <v>-0.10916140000000001</v>
      </c>
      <c r="V3765">
        <v>-0.1420746</v>
      </c>
      <c r="W3765">
        <v>0.35206720000000002</v>
      </c>
      <c r="X3765">
        <v>0.92512890000000003</v>
      </c>
      <c r="Y3765">
        <v>4.0823770000000002E-2</v>
      </c>
      <c r="Z3765">
        <v>-1.803743E-3</v>
      </c>
      <c r="AA3765">
        <v>0.99916479999999996</v>
      </c>
      <c r="AB3765">
        <v>42</v>
      </c>
      <c r="AC3765">
        <v>0.67919999999998004</v>
      </c>
      <c r="AD3765">
        <v>-6.1863999999999898E-2</v>
      </c>
      <c r="AE3765">
        <v>-3.9299999999997198E-2</v>
      </c>
      <c r="AF3765">
        <v>4.4371684046648603E-2</v>
      </c>
      <c r="AG3765">
        <v>-6.1863999999999898E-2</v>
      </c>
      <c r="AH3765">
        <v>0.67329627484999399</v>
      </c>
      <c r="AI3765">
        <v>95.238427137169893</v>
      </c>
      <c r="AJ3765">
        <v>86.2295361152147</v>
      </c>
      <c r="AK3765">
        <v>0.67758680223866097</v>
      </c>
      <c r="AL3765">
        <v>69.386193322580695</v>
      </c>
      <c r="AM3765">
        <v>98.730859590306196</v>
      </c>
      <c r="AN3765">
        <v>0.99999999344810497</v>
      </c>
    </row>
    <row r="3766" spans="1:40" x14ac:dyDescent="0.25">
      <c r="A3766" t="str">
        <f>"20190304164203787"</f>
        <v>20190304164203787</v>
      </c>
      <c r="B3766" t="str">
        <f>"1551688923774978"</f>
        <v>1551688923774978</v>
      </c>
      <c r="C3766" t="s">
        <v>40</v>
      </c>
      <c r="D3766">
        <v>4.5821909999999999</v>
      </c>
      <c r="E3766">
        <v>0.57590010000000003</v>
      </c>
      <c r="F3766" t="s">
        <v>41</v>
      </c>
      <c r="G3766">
        <v>-324.8322</v>
      </c>
      <c r="H3766">
        <v>1.050087</v>
      </c>
      <c r="I3766">
        <v>214.13730000000001</v>
      </c>
      <c r="J3766">
        <v>-325.47070000000002</v>
      </c>
      <c r="K3766">
        <v>1.1101909999999999</v>
      </c>
      <c r="L3766">
        <v>214.17490000000001</v>
      </c>
      <c r="M3766">
        <v>0.99985310000000005</v>
      </c>
      <c r="N3766">
        <v>-1.527507E-2</v>
      </c>
      <c r="O3766">
        <v>7.7855069999999997E-3</v>
      </c>
      <c r="P3766">
        <v>0.9292414</v>
      </c>
      <c r="Q3766">
        <v>0.33752480000000001</v>
      </c>
      <c r="R3766">
        <v>0.150291799999999</v>
      </c>
      <c r="S3766">
        <v>3.3142399999999999</v>
      </c>
      <c r="T3766">
        <v>-0.1882346</v>
      </c>
      <c r="U3766">
        <v>-0.1075897</v>
      </c>
      <c r="V3766">
        <v>-0.14285339999999999</v>
      </c>
      <c r="W3766">
        <v>0.35177789999999998</v>
      </c>
      <c r="X3766">
        <v>0.92511900000000002</v>
      </c>
      <c r="Y3766">
        <v>4.013837E-2</v>
      </c>
      <c r="Z3766">
        <v>-1.7684910000000001E-3</v>
      </c>
      <c r="AA3766">
        <v>0.99919259999999999</v>
      </c>
      <c r="AB3766">
        <v>42</v>
      </c>
      <c r="AC3766">
        <v>0.63850000000002105</v>
      </c>
      <c r="AD3766">
        <v>-6.0103999999999901E-2</v>
      </c>
      <c r="AE3766">
        <v>-3.7599999999997601E-2</v>
      </c>
      <c r="AF3766">
        <v>4.2197861064733798E-2</v>
      </c>
      <c r="AG3766">
        <v>-6.0103999999999901E-2</v>
      </c>
      <c r="AH3766">
        <v>0.63260173403697395</v>
      </c>
      <c r="AI3766">
        <v>95.415462902299097</v>
      </c>
      <c r="AJ3766">
        <v>86.183723908071897</v>
      </c>
      <c r="AK3766">
        <v>0.636850142656045</v>
      </c>
      <c r="AL3766">
        <v>69.403901411731496</v>
      </c>
      <c r="AM3766">
        <v>98.778067979353594</v>
      </c>
      <c r="AN3766">
        <v>0.99999997449048394</v>
      </c>
    </row>
    <row r="3767" spans="1:40" x14ac:dyDescent="0.25">
      <c r="A3767" t="str">
        <f>"20190304164203811"</f>
        <v>20190304164203811</v>
      </c>
      <c r="B3767" t="str">
        <f>"1551688923805235"</f>
        <v>1551688923805235</v>
      </c>
      <c r="C3767" t="s">
        <v>40</v>
      </c>
      <c r="D3767">
        <v>3.9866799999999998</v>
      </c>
      <c r="E3767">
        <v>0.57663819999999999</v>
      </c>
      <c r="F3767" t="s">
        <v>47</v>
      </c>
      <c r="G3767">
        <v>-305.459</v>
      </c>
      <c r="H3767" s="1">
        <v>1.684918E-6</v>
      </c>
      <c r="I3767">
        <v>213.85659999999999</v>
      </c>
      <c r="J3767">
        <v>-325.03199999999998</v>
      </c>
      <c r="K3767">
        <v>1.11019</v>
      </c>
      <c r="L3767">
        <v>214.1781</v>
      </c>
      <c r="M3767">
        <v>0.99985500000000005</v>
      </c>
      <c r="N3767">
        <v>-1.527013E-2</v>
      </c>
      <c r="O3767">
        <v>7.5536709999999996E-3</v>
      </c>
      <c r="P3767">
        <v>0.92921260000000006</v>
      </c>
      <c r="Q3767">
        <v>0.33740579999999998</v>
      </c>
      <c r="R3767">
        <v>0.1507366</v>
      </c>
      <c r="S3767">
        <v>3.3034970000000001</v>
      </c>
      <c r="T3767">
        <v>-0.18326870000000001</v>
      </c>
      <c r="U3767">
        <v>-5.2551269999999997E-2</v>
      </c>
      <c r="V3767">
        <v>-0.14350789999999999</v>
      </c>
      <c r="W3767">
        <v>0.35165649999999998</v>
      </c>
      <c r="X3767">
        <v>0.92506390000000005</v>
      </c>
      <c r="Y3767">
        <v>2.340689E-2</v>
      </c>
      <c r="Z3767">
        <v>-1.131075E-3</v>
      </c>
      <c r="AA3767">
        <v>0.99972539999999999</v>
      </c>
      <c r="AB3767">
        <v>42</v>
      </c>
      <c r="AC3767">
        <v>19.572999999999901</v>
      </c>
      <c r="AD3767">
        <v>-1.110188315082</v>
      </c>
      <c r="AE3767">
        <v>-0.321500000000014</v>
      </c>
      <c r="AF3767">
        <v>0.46785128289137101</v>
      </c>
      <c r="AG3767">
        <v>-1.110188315082</v>
      </c>
      <c r="AH3767">
        <v>19.507270747496701</v>
      </c>
      <c r="AI3767">
        <v>93.256341531363205</v>
      </c>
      <c r="AJ3767">
        <v>88.626114004374799</v>
      </c>
      <c r="AK3767">
        <v>19.5444369305946</v>
      </c>
      <c r="AL3767">
        <v>69.411332756239801</v>
      </c>
      <c r="AM3767">
        <v>98.818172093226494</v>
      </c>
      <c r="AN3767">
        <v>1.0000000152189299</v>
      </c>
    </row>
    <row r="3768" spans="1:40" x14ac:dyDescent="0.25">
      <c r="A3768" t="str">
        <f>"20190304164203832"</f>
        <v>20190304164203832</v>
      </c>
      <c r="B3768" t="str">
        <f>"1551688923824754"</f>
        <v>1551688923824754</v>
      </c>
      <c r="C3768" t="s">
        <v>40</v>
      </c>
      <c r="D3768">
        <v>4.0112199999999998</v>
      </c>
      <c r="E3768">
        <v>0.5769706</v>
      </c>
      <c r="F3768" t="s">
        <v>47</v>
      </c>
      <c r="G3768">
        <v>-296.2165</v>
      </c>
      <c r="H3768" s="1">
        <v>1.9971119999999998E-6</v>
      </c>
      <c r="I3768">
        <v>213.64</v>
      </c>
      <c r="J3768">
        <v>-324.63220000000001</v>
      </c>
      <c r="K3768">
        <v>1.1101920000000001</v>
      </c>
      <c r="L3768">
        <v>214.18100000000001</v>
      </c>
      <c r="M3768">
        <v>0.99985659999999998</v>
      </c>
      <c r="N3768">
        <v>-1.526564E-2</v>
      </c>
      <c r="O3768">
        <v>7.3429669999999997E-3</v>
      </c>
      <c r="P3768">
        <v>0.92893769999999998</v>
      </c>
      <c r="Q3768">
        <v>0.33824379999999998</v>
      </c>
      <c r="R3768">
        <v>0.1505523</v>
      </c>
      <c r="S3768">
        <v>3.2845149999999999</v>
      </c>
      <c r="T3768">
        <v>-0.1265442</v>
      </c>
      <c r="U3768">
        <v>-6.1340329999999998E-2</v>
      </c>
      <c r="V3768">
        <v>-0.14351649999999999</v>
      </c>
      <c r="W3768">
        <v>0.35248750000000001</v>
      </c>
      <c r="X3768">
        <v>0.92474619999999996</v>
      </c>
      <c r="Y3768">
        <v>2.598549E-2</v>
      </c>
      <c r="Z3768">
        <v>-8.6953740000000001E-4</v>
      </c>
      <c r="AA3768">
        <v>0.99966189999999999</v>
      </c>
      <c r="AB3768">
        <v>42</v>
      </c>
      <c r="AC3768">
        <v>28.415700000000001</v>
      </c>
      <c r="AD3768">
        <v>-1.1101900028880001</v>
      </c>
      <c r="AE3768">
        <v>-0.54099999999999604</v>
      </c>
      <c r="AF3768">
        <v>0.74852309991284005</v>
      </c>
      <c r="AG3768">
        <v>-1.1101900028880001</v>
      </c>
      <c r="AH3768">
        <v>28.367675046784601</v>
      </c>
      <c r="AI3768">
        <v>92.240390096534497</v>
      </c>
      <c r="AJ3768">
        <v>88.488516763435001</v>
      </c>
      <c r="AK3768">
        <v>28.399256966223302</v>
      </c>
      <c r="AL3768">
        <v>69.360462131299101</v>
      </c>
      <c r="AM3768">
        <v>98.821674281655106</v>
      </c>
      <c r="AN3768">
        <v>0.99999997892146897</v>
      </c>
    </row>
    <row r="3769" spans="1:40" x14ac:dyDescent="0.25">
      <c r="A3769" t="str">
        <f>"20190304164203855"</f>
        <v>20190304164203855</v>
      </c>
      <c r="B3769" t="str">
        <f>"1551688923845250"</f>
        <v>1551688923845250</v>
      </c>
      <c r="C3769" t="s">
        <v>40</v>
      </c>
      <c r="D3769">
        <v>4.0044430000000002</v>
      </c>
      <c r="E3769">
        <v>0.57697430000000005</v>
      </c>
      <c r="F3769" t="s">
        <v>47</v>
      </c>
      <c r="G3769">
        <v>-294.91739999999999</v>
      </c>
      <c r="H3769" s="1">
        <v>1.766685E-6</v>
      </c>
      <c r="I3769">
        <v>213.6037</v>
      </c>
      <c r="J3769">
        <v>-324.2174</v>
      </c>
      <c r="K3769">
        <v>1.1101920000000001</v>
      </c>
      <c r="L3769">
        <v>214.18389999999999</v>
      </c>
      <c r="M3769">
        <v>0.99985809999999997</v>
      </c>
      <c r="N3769">
        <v>-1.526099E-2</v>
      </c>
      <c r="O3769">
        <v>7.1240629999999999E-3</v>
      </c>
      <c r="P3769">
        <v>0.92901990000000001</v>
      </c>
      <c r="Q3769">
        <v>0.33847529999999998</v>
      </c>
      <c r="R3769">
        <v>0.14952119999999999</v>
      </c>
      <c r="S3769">
        <v>3.2845149999999999</v>
      </c>
      <c r="T3769">
        <v>-0.12271459999999999</v>
      </c>
      <c r="U3769">
        <v>-6.3812259999999996E-2</v>
      </c>
      <c r="V3769">
        <v>-0.14268439999999999</v>
      </c>
      <c r="W3769">
        <v>0.35271599999999997</v>
      </c>
      <c r="X3769">
        <v>0.9247879</v>
      </c>
      <c r="Y3769">
        <v>2.65198E-2</v>
      </c>
      <c r="Z3769">
        <v>-8.550392E-4</v>
      </c>
      <c r="AA3769">
        <v>0.99964790000000003</v>
      </c>
      <c r="AB3769">
        <v>42</v>
      </c>
      <c r="AC3769">
        <v>29.3</v>
      </c>
      <c r="AD3769">
        <v>-1.110190233315</v>
      </c>
      <c r="AE3769">
        <v>-0.58019999999998995</v>
      </c>
      <c r="AF3769">
        <v>0.78781403331159905</v>
      </c>
      <c r="AG3769">
        <v>-1.110190233315</v>
      </c>
      <c r="AH3769">
        <v>29.253140561495002</v>
      </c>
      <c r="AI3769">
        <v>92.172610530707402</v>
      </c>
      <c r="AJ3769">
        <v>88.457344734682593</v>
      </c>
      <c r="AK3769">
        <v>29.284798206848102</v>
      </c>
      <c r="AL3769">
        <v>69.346472735400098</v>
      </c>
      <c r="AM3769">
        <v>98.770935041749695</v>
      </c>
      <c r="AN3769">
        <v>1.0000000373228799</v>
      </c>
    </row>
    <row r="3770" spans="1:40" x14ac:dyDescent="0.25">
      <c r="A3770" t="str">
        <f>"20190304164203878"</f>
        <v>20190304164203878</v>
      </c>
      <c r="B3770" t="str">
        <f>"1551688923864772"</f>
        <v>1551688923864772</v>
      </c>
      <c r="C3770" t="s">
        <v>40</v>
      </c>
      <c r="D3770">
        <v>4.0138150000000001</v>
      </c>
      <c r="E3770">
        <v>0.57688539999999999</v>
      </c>
      <c r="F3770" t="s">
        <v>47</v>
      </c>
      <c r="G3770">
        <v>-293.30869999999999</v>
      </c>
      <c r="H3770" s="1">
        <v>1.481319E-6</v>
      </c>
      <c r="I3770">
        <v>213.5599</v>
      </c>
      <c r="J3770">
        <v>-323.79329999999999</v>
      </c>
      <c r="K3770">
        <v>1.1101909999999999</v>
      </c>
      <c r="L3770">
        <v>214.1867</v>
      </c>
      <c r="M3770">
        <v>0.99985990000000002</v>
      </c>
      <c r="N3770">
        <v>-1.5256189999999999E-2</v>
      </c>
      <c r="O3770">
        <v>6.8999339999999999E-3</v>
      </c>
      <c r="P3770">
        <v>0.92915720000000002</v>
      </c>
      <c r="Q3770">
        <v>0.33824890000000002</v>
      </c>
      <c r="R3770">
        <v>0.14918020000000001</v>
      </c>
      <c r="S3770">
        <v>3.282867</v>
      </c>
      <c r="T3770">
        <v>-0.1179152</v>
      </c>
      <c r="U3770">
        <v>-6.6268919999999995E-2</v>
      </c>
      <c r="V3770">
        <v>-0.14254849999999999</v>
      </c>
      <c r="W3770">
        <v>0.35248800000000002</v>
      </c>
      <c r="X3770">
        <v>0.92489580000000005</v>
      </c>
      <c r="Y3770">
        <v>2.7054709999999999E-2</v>
      </c>
      <c r="Z3770">
        <v>-8.3466839999999905E-4</v>
      </c>
      <c r="AA3770">
        <v>0.99963360000000001</v>
      </c>
      <c r="AB3770">
        <v>42</v>
      </c>
      <c r="AC3770">
        <v>30.4846</v>
      </c>
      <c r="AD3770">
        <v>-1.110189518681</v>
      </c>
      <c r="AE3770">
        <v>-0.62680000000000202</v>
      </c>
      <c r="AF3770">
        <v>0.83604291429044297</v>
      </c>
      <c r="AG3770">
        <v>-1.110189518681</v>
      </c>
      <c r="AH3770">
        <v>30.439195116963599</v>
      </c>
      <c r="AI3770">
        <v>92.088000150318294</v>
      </c>
      <c r="AJ3770">
        <v>88.426709695879595</v>
      </c>
      <c r="AK3770">
        <v>30.470905596823101</v>
      </c>
      <c r="AL3770">
        <v>69.360433115704296</v>
      </c>
      <c r="AM3770">
        <v>98.761704457468895</v>
      </c>
      <c r="AN3770">
        <v>1.0000000529269399</v>
      </c>
    </row>
    <row r="3771" spans="1:40" x14ac:dyDescent="0.25">
      <c r="A3771" t="str">
        <f>"20190304164203900"</f>
        <v>20190304164203900</v>
      </c>
      <c r="B3771" t="str">
        <f>"1551688923895027"</f>
        <v>1551688923895027</v>
      </c>
      <c r="C3771" t="s">
        <v>40</v>
      </c>
      <c r="D3771">
        <v>3.9348010000000002</v>
      </c>
      <c r="E3771">
        <v>0.57681169999999904</v>
      </c>
      <c r="F3771" t="s">
        <v>47</v>
      </c>
      <c r="G3771">
        <v>-292.68340000000001</v>
      </c>
      <c r="H3771" s="1">
        <v>1.3704090000000001E-6</v>
      </c>
      <c r="I3771">
        <v>213.53909999999999</v>
      </c>
      <c r="J3771">
        <v>-323.3723</v>
      </c>
      <c r="K3771">
        <v>1.11019</v>
      </c>
      <c r="L3771">
        <v>214.18940000000001</v>
      </c>
      <c r="M3771">
        <v>0.99986140000000001</v>
      </c>
      <c r="N3771">
        <v>-1.525142E-2</v>
      </c>
      <c r="O3771">
        <v>6.6765440000000004E-3</v>
      </c>
      <c r="P3771">
        <v>0.92927219999999999</v>
      </c>
      <c r="Q3771">
        <v>0.3382365</v>
      </c>
      <c r="R3771">
        <v>0.1484907</v>
      </c>
      <c r="S3771">
        <v>3.282349</v>
      </c>
      <c r="T3771">
        <v>-0.11713419999999999</v>
      </c>
      <c r="U3771">
        <v>-6.8328860000000005E-2</v>
      </c>
      <c r="V3771">
        <v>-0.14206379999999999</v>
      </c>
      <c r="W3771">
        <v>0.35247279999999998</v>
      </c>
      <c r="X3771">
        <v>0.92497609999999997</v>
      </c>
      <c r="Y3771">
        <v>2.7461630000000001E-2</v>
      </c>
      <c r="Z3771">
        <v>-8.3569380000000004E-4</v>
      </c>
      <c r="AA3771">
        <v>0.99962249999999997</v>
      </c>
      <c r="AB3771">
        <v>42</v>
      </c>
      <c r="AC3771">
        <v>30.688899999999901</v>
      </c>
      <c r="AD3771">
        <v>-1.110188629591</v>
      </c>
      <c r="AE3771">
        <v>-0.65030000000001498</v>
      </c>
      <c r="AF3771">
        <v>0.85408790814439794</v>
      </c>
      <c r="AG3771">
        <v>-1.110188629591</v>
      </c>
      <c r="AH3771">
        <v>30.643788895213099</v>
      </c>
      <c r="AI3771">
        <v>92.074046906973706</v>
      </c>
      <c r="AJ3771">
        <v>88.403494843528506</v>
      </c>
      <c r="AK3771">
        <v>30.675784958212599</v>
      </c>
      <c r="AL3771">
        <v>69.361362420366504</v>
      </c>
      <c r="AM3771">
        <v>98.731626076187496</v>
      </c>
      <c r="AN3771">
        <v>0.99999999179074495</v>
      </c>
    </row>
    <row r="3772" spans="1:40" x14ac:dyDescent="0.25">
      <c r="A3772" t="str">
        <f>"20190304164203923"</f>
        <v>20190304164203923</v>
      </c>
      <c r="B3772" t="str">
        <f>"1551688923914547"</f>
        <v>1551688923914547</v>
      </c>
      <c r="C3772" t="s">
        <v>40</v>
      </c>
      <c r="D3772">
        <v>4.0089990000000002</v>
      </c>
      <c r="E3772">
        <v>0.57680799999999999</v>
      </c>
      <c r="F3772" t="s">
        <v>47</v>
      </c>
      <c r="G3772">
        <v>-293.44499999999999</v>
      </c>
      <c r="H3772" s="1">
        <v>1.5054959999999999E-6</v>
      </c>
      <c r="I3772">
        <v>213.54920000000001</v>
      </c>
      <c r="J3772">
        <v>-322.9588</v>
      </c>
      <c r="K3772">
        <v>1.11019</v>
      </c>
      <c r="L3772">
        <v>214.19200000000001</v>
      </c>
      <c r="M3772">
        <v>0.99986299999999995</v>
      </c>
      <c r="N3772">
        <v>-1.524672E-2</v>
      </c>
      <c r="O3772">
        <v>6.4567380000000001E-3</v>
      </c>
      <c r="P3772">
        <v>0.92949899999999996</v>
      </c>
      <c r="Q3772">
        <v>0.3380379</v>
      </c>
      <c r="R3772">
        <v>0.14752000000000001</v>
      </c>
      <c r="S3772">
        <v>3.2839360000000002</v>
      </c>
      <c r="T3772">
        <v>-0.12182129999999999</v>
      </c>
      <c r="U3772">
        <v>-7.0251460000000002E-2</v>
      </c>
      <c r="V3772">
        <v>-0.1412948</v>
      </c>
      <c r="W3772">
        <v>0.3522729</v>
      </c>
      <c r="X3772">
        <v>0.9251701</v>
      </c>
      <c r="Y3772">
        <v>2.7814599999999998E-2</v>
      </c>
      <c r="Z3772">
        <v>-8.6884679999999902E-4</v>
      </c>
      <c r="AA3772">
        <v>0.99961270000000002</v>
      </c>
      <c r="AB3772">
        <v>41</v>
      </c>
      <c r="AC3772">
        <v>29.5138</v>
      </c>
      <c r="AD3772">
        <v>-1.1101884945039999</v>
      </c>
      <c r="AE3772">
        <v>-0.64279999999999404</v>
      </c>
      <c r="AF3772">
        <v>0.83219464749628402</v>
      </c>
      <c r="AG3772">
        <v>-1.1101884945039999</v>
      </c>
      <c r="AH3772">
        <v>29.467358499176601</v>
      </c>
      <c r="AI3772">
        <v>92.1567501404582</v>
      </c>
      <c r="AJ3772">
        <v>88.382326303064602</v>
      </c>
      <c r="AK3772">
        <v>29.500004802434301</v>
      </c>
      <c r="AL3772">
        <v>69.373602405981302</v>
      </c>
      <c r="AM3772">
        <v>98.683290439837904</v>
      </c>
      <c r="AN3772">
        <v>1.0000000652577199</v>
      </c>
    </row>
    <row r="3773" spans="1:40" x14ac:dyDescent="0.25">
      <c r="A3773" t="str">
        <f>"20190304164203943"</f>
        <v>20190304164203943</v>
      </c>
      <c r="B3773" t="str">
        <f>"1551688923935043"</f>
        <v>1551688923935043</v>
      </c>
      <c r="C3773" t="s">
        <v>40</v>
      </c>
      <c r="D3773">
        <v>4.1274680000000004</v>
      </c>
      <c r="E3773">
        <v>0.57574369999999997</v>
      </c>
      <c r="F3773" t="s">
        <v>47</v>
      </c>
      <c r="G3773">
        <v>-293.19740000000002</v>
      </c>
      <c r="H3773" s="1">
        <v>1.461565E-6</v>
      </c>
      <c r="I3773">
        <v>213.52780000000001</v>
      </c>
      <c r="J3773">
        <v>-322.57</v>
      </c>
      <c r="K3773">
        <v>1.110185</v>
      </c>
      <c r="L3773">
        <v>214.1943</v>
      </c>
      <c r="M3773">
        <v>0.99986439999999999</v>
      </c>
      <c r="N3773">
        <v>-1.524233E-2</v>
      </c>
      <c r="O3773">
        <v>6.2497580000000002E-3</v>
      </c>
      <c r="P3773">
        <v>0.92974670000000004</v>
      </c>
      <c r="Q3773">
        <v>0.33754889999999999</v>
      </c>
      <c r="R3773">
        <v>0.14707919999999999</v>
      </c>
      <c r="S3773">
        <v>3.283722</v>
      </c>
      <c r="T3773">
        <v>-0.1224922</v>
      </c>
      <c r="U3773">
        <v>-7.3287959999999999E-2</v>
      </c>
      <c r="V3773">
        <v>-0.14104459999999999</v>
      </c>
      <c r="W3773">
        <v>0.35178330000000002</v>
      </c>
      <c r="X3773">
        <v>0.92539450000000001</v>
      </c>
      <c r="Y3773">
        <v>2.853203E-2</v>
      </c>
      <c r="Z3773">
        <v>-8.8729839999999896E-4</v>
      </c>
      <c r="AA3773">
        <v>0.99959249999999999</v>
      </c>
      <c r="AB3773">
        <v>41</v>
      </c>
      <c r="AC3773">
        <v>29.372599999999899</v>
      </c>
      <c r="AD3773">
        <v>-1.1101835384350001</v>
      </c>
      <c r="AE3773">
        <v>-0.66649999999998499</v>
      </c>
      <c r="AF3773">
        <v>0.84886787913102801</v>
      </c>
      <c r="AG3773">
        <v>-1.1101835384350001</v>
      </c>
      <c r="AH3773">
        <v>29.325987294779001</v>
      </c>
      <c r="AI3773">
        <v>92.167083999113601</v>
      </c>
      <c r="AJ3773">
        <v>88.341983527199503</v>
      </c>
      <c r="AK3773">
        <v>29.3592679571336</v>
      </c>
      <c r="AL3773">
        <v>69.403571975610205</v>
      </c>
      <c r="AM3773">
        <v>98.666078080264796</v>
      </c>
      <c r="AN3773">
        <v>1.0000000249891401</v>
      </c>
    </row>
    <row r="3774" spans="1:40" x14ac:dyDescent="0.25">
      <c r="A3774" t="str">
        <f>"20190304164203966"</f>
        <v>20190304164203966</v>
      </c>
      <c r="B3774" t="str">
        <f>"1551688923954562"</f>
        <v>1551688923954562</v>
      </c>
      <c r="C3774" t="s">
        <v>40</v>
      </c>
      <c r="D3774">
        <v>3.944118</v>
      </c>
      <c r="E3774">
        <v>0.57582419999999901</v>
      </c>
      <c r="F3774" t="s">
        <v>41</v>
      </c>
      <c r="G3774">
        <v>-321.49270000000001</v>
      </c>
      <c r="H3774">
        <v>1.047156</v>
      </c>
      <c r="I3774">
        <v>214.17449999999999</v>
      </c>
      <c r="J3774">
        <v>-322.15730000000002</v>
      </c>
      <c r="K3774">
        <v>1.110185</v>
      </c>
      <c r="L3774">
        <v>214.19669999999999</v>
      </c>
      <c r="M3774">
        <v>0.99986580000000003</v>
      </c>
      <c r="N3774">
        <v>-1.52377E-2</v>
      </c>
      <c r="O3774">
        <v>6.0299699999999999E-3</v>
      </c>
      <c r="P3774">
        <v>0.92982370000000003</v>
      </c>
      <c r="Q3774">
        <v>0.3375438</v>
      </c>
      <c r="R3774">
        <v>0.14660200000000001</v>
      </c>
      <c r="S3774">
        <v>3.3065190000000002</v>
      </c>
      <c r="T3774">
        <v>-0.1934477</v>
      </c>
      <c r="U3774">
        <v>-6.0867310000000001E-2</v>
      </c>
      <c r="V3774">
        <v>-0.1407706</v>
      </c>
      <c r="W3774">
        <v>0.3517748</v>
      </c>
      <c r="X3774">
        <v>0.92543940000000002</v>
      </c>
      <c r="Y3774">
        <v>2.4376289999999998E-2</v>
      </c>
      <c r="Z3774">
        <v>-1.1589770000000001E-3</v>
      </c>
      <c r="AA3774">
        <v>0.99970219999999999</v>
      </c>
      <c r="AB3774">
        <v>41</v>
      </c>
      <c r="AC3774">
        <v>0.66460000000000696</v>
      </c>
      <c r="AD3774">
        <v>-6.3029000000000002E-2</v>
      </c>
      <c r="AE3774">
        <v>-2.2199999999997999E-2</v>
      </c>
      <c r="AF3774">
        <v>2.5974223654654301E-2</v>
      </c>
      <c r="AG3774">
        <v>-6.3029000000000002E-2</v>
      </c>
      <c r="AH3774">
        <v>0.65853764825377203</v>
      </c>
      <c r="AI3774">
        <v>95.462935182396805</v>
      </c>
      <c r="AJ3774">
        <v>87.741294851428506</v>
      </c>
      <c r="AK3774">
        <v>0.66205675685931298</v>
      </c>
      <c r="AL3774">
        <v>69.404091219128503</v>
      </c>
      <c r="AM3774">
        <v>98.649084491830195</v>
      </c>
      <c r="AN3774">
        <v>0.99999997740587898</v>
      </c>
    </row>
    <row r="3775" spans="1:40" x14ac:dyDescent="0.25">
      <c r="A3775" t="str">
        <f>"20190304164203989"</f>
        <v>20190304164203989</v>
      </c>
      <c r="B3775" t="str">
        <f>"1551688923984818"</f>
        <v>1551688923984818</v>
      </c>
      <c r="C3775" t="s">
        <v>40</v>
      </c>
      <c r="D3775">
        <v>3.9564180000000002</v>
      </c>
      <c r="E3775">
        <v>0.57657760000000002</v>
      </c>
      <c r="F3775" t="s">
        <v>47</v>
      </c>
      <c r="G3775">
        <v>-303.25720000000001</v>
      </c>
      <c r="H3775" s="1">
        <v>2.07549E-6</v>
      </c>
      <c r="I3775">
        <v>213.83779999999999</v>
      </c>
      <c r="J3775">
        <v>-321.72969999999998</v>
      </c>
      <c r="K3775">
        <v>1.110174</v>
      </c>
      <c r="L3775">
        <v>214.19909999999999</v>
      </c>
      <c r="M3775">
        <v>0.99986710000000001</v>
      </c>
      <c r="N3775">
        <v>-1.5232910000000001E-2</v>
      </c>
      <c r="O3775">
        <v>5.8025569999999999E-3</v>
      </c>
      <c r="P3775">
        <v>0.92992719999999995</v>
      </c>
      <c r="Q3775">
        <v>0.33733780000000002</v>
      </c>
      <c r="R3775">
        <v>0.14641989999999999</v>
      </c>
      <c r="S3775">
        <v>3.3068240000000002</v>
      </c>
      <c r="T3775">
        <v>-0.19424140000000001</v>
      </c>
      <c r="U3775">
        <v>-6.2789919999999999E-2</v>
      </c>
      <c r="V3775">
        <v>-0.14079920000000001</v>
      </c>
      <c r="W3775">
        <v>0.35156549999999998</v>
      </c>
      <c r="X3775">
        <v>0.92551459999999997</v>
      </c>
      <c r="Y3775">
        <v>2.4727260000000001E-2</v>
      </c>
      <c r="Z3775">
        <v>-1.166299E-3</v>
      </c>
      <c r="AA3775">
        <v>0.99969359999999996</v>
      </c>
      <c r="AB3775">
        <v>41</v>
      </c>
      <c r="AC3775">
        <v>18.472499999999901</v>
      </c>
      <c r="AD3775">
        <v>-1.1101719245099999</v>
      </c>
      <c r="AE3775">
        <v>-0.36130000000000001</v>
      </c>
      <c r="AF3775">
        <v>0.46680869626464899</v>
      </c>
      <c r="AG3775">
        <v>-1.1101719245099999</v>
      </c>
      <c r="AH3775">
        <v>18.403646532540701</v>
      </c>
      <c r="AI3775">
        <v>93.450990021952606</v>
      </c>
      <c r="AJ3775">
        <v>88.547003481890798</v>
      </c>
      <c r="AK3775">
        <v>18.443009454955401</v>
      </c>
      <c r="AL3775">
        <v>69.416901877659001</v>
      </c>
      <c r="AM3775">
        <v>98.650122858287403</v>
      </c>
      <c r="AN3775">
        <v>0.99999999516202498</v>
      </c>
    </row>
    <row r="3776" spans="1:40" x14ac:dyDescent="0.25">
      <c r="A3776" t="str">
        <f>"20190304164204012"</f>
        <v>20190304164204012</v>
      </c>
      <c r="B3776" t="str">
        <f>"1551688924005314"</f>
        <v>1551688924005314</v>
      </c>
      <c r="C3776" t="s">
        <v>40</v>
      </c>
      <c r="D3776">
        <v>4.1130839999999997</v>
      </c>
      <c r="E3776">
        <v>0.57670759999999999</v>
      </c>
      <c r="F3776" t="s">
        <v>47</v>
      </c>
      <c r="G3776">
        <v>-294.05070000000001</v>
      </c>
      <c r="H3776" s="1">
        <v>1.6129419999999999E-6</v>
      </c>
      <c r="I3776">
        <v>213.57130000000001</v>
      </c>
      <c r="J3776">
        <v>-321.31029999999998</v>
      </c>
      <c r="K3776">
        <v>1.1101760000000001</v>
      </c>
      <c r="L3776">
        <v>214.2013</v>
      </c>
      <c r="M3776">
        <v>0.9998686</v>
      </c>
      <c r="N3776">
        <v>-1.5228169999999999E-2</v>
      </c>
      <c r="O3776">
        <v>5.5789059999999998E-3</v>
      </c>
      <c r="P3776">
        <v>0.93011750000000004</v>
      </c>
      <c r="Q3776">
        <v>0.33690350000000002</v>
      </c>
      <c r="R3776">
        <v>0.1462109</v>
      </c>
      <c r="S3776">
        <v>3.2855829999999999</v>
      </c>
      <c r="T3776">
        <v>-0.13178119999999999</v>
      </c>
      <c r="U3776">
        <v>-7.4523930000000002E-2</v>
      </c>
      <c r="V3776">
        <v>-0.1407969</v>
      </c>
      <c r="W3776">
        <v>0.35112969999999999</v>
      </c>
      <c r="X3776">
        <v>0.92568039999999996</v>
      </c>
      <c r="Y3776">
        <v>2.8221E-2</v>
      </c>
      <c r="Z3776">
        <v>-9.1941280000000004E-4</v>
      </c>
      <c r="AA3776">
        <v>0.99960130000000003</v>
      </c>
      <c r="AB3776">
        <v>41</v>
      </c>
      <c r="AC3776">
        <v>27.259599999999899</v>
      </c>
      <c r="AD3776">
        <v>-1.1101743870579901</v>
      </c>
      <c r="AE3776">
        <v>-0.62999999999999501</v>
      </c>
      <c r="AF3776">
        <v>0.78079222178502095</v>
      </c>
      <c r="AG3776">
        <v>-1.1101743870579901</v>
      </c>
      <c r="AH3776">
        <v>27.210553047823701</v>
      </c>
      <c r="AI3776">
        <v>92.335377786169204</v>
      </c>
      <c r="AJ3776">
        <v>88.3563793497879</v>
      </c>
      <c r="AK3776">
        <v>27.2443814543789</v>
      </c>
      <c r="AL3776">
        <v>69.443572204791593</v>
      </c>
      <c r="AM3776">
        <v>98.6484578097308</v>
      </c>
      <c r="AN3776">
        <v>1.0000000181079201</v>
      </c>
    </row>
    <row r="3777" spans="1:40" x14ac:dyDescent="0.25">
      <c r="A3777" t="str">
        <f>"20190304164204033"</f>
        <v>20190304164204033</v>
      </c>
      <c r="B3777" t="str">
        <f>"1551688924024834"</f>
        <v>1551688924024834</v>
      </c>
      <c r="C3777" t="s">
        <v>40</v>
      </c>
      <c r="D3777">
        <v>4.0196829999999997</v>
      </c>
      <c r="E3777">
        <v>0.57663529999999996</v>
      </c>
      <c r="F3777" t="s">
        <v>47</v>
      </c>
      <c r="G3777">
        <v>-294.38869999999997</v>
      </c>
      <c r="H3777" s="1">
        <v>1.67289E-6</v>
      </c>
      <c r="I3777">
        <v>213.5753</v>
      </c>
      <c r="J3777">
        <v>-320.91680000000002</v>
      </c>
      <c r="K3777">
        <v>1.1101730000000001</v>
      </c>
      <c r="L3777">
        <v>214.20330000000001</v>
      </c>
      <c r="M3777">
        <v>0.99986980000000003</v>
      </c>
      <c r="N3777">
        <v>-1.522393E-2</v>
      </c>
      <c r="O3777">
        <v>5.3690810000000004E-3</v>
      </c>
      <c r="P3777">
        <v>0.93024960000000001</v>
      </c>
      <c r="Q3777">
        <v>0.3365262</v>
      </c>
      <c r="R3777">
        <v>0.1462396</v>
      </c>
      <c r="S3777">
        <v>3.2864990000000001</v>
      </c>
      <c r="T3777">
        <v>-0.13552639999999999</v>
      </c>
      <c r="U3777">
        <v>-7.6416020000000001E-2</v>
      </c>
      <c r="V3777">
        <v>-0.14102049999999999</v>
      </c>
      <c r="W3777">
        <v>0.35075020000000001</v>
      </c>
      <c r="X3777">
        <v>0.92579029999999995</v>
      </c>
      <c r="Y3777">
        <v>2.8578070000000001E-2</v>
      </c>
      <c r="Z3777">
        <v>-9.4619140000000001E-4</v>
      </c>
      <c r="AA3777">
        <v>0.99959109999999995</v>
      </c>
      <c r="AB3777">
        <v>41</v>
      </c>
      <c r="AC3777">
        <v>26.528099999999998</v>
      </c>
      <c r="AD3777">
        <v>-1.11017132710999</v>
      </c>
      <c r="AE3777">
        <v>-0.62800000000001399</v>
      </c>
      <c r="AF3777">
        <v>0.769092777115707</v>
      </c>
      <c r="AG3777">
        <v>-1.11017132710999</v>
      </c>
      <c r="AH3777">
        <v>26.4779996581487</v>
      </c>
      <c r="AI3777">
        <v>92.399884019353195</v>
      </c>
      <c r="AJ3777">
        <v>88.336226894622001</v>
      </c>
      <c r="AK3777">
        <v>26.512420673568698</v>
      </c>
      <c r="AL3777">
        <v>69.4667942008995</v>
      </c>
      <c r="AM3777">
        <v>98.660971628813996</v>
      </c>
      <c r="AN3777">
        <v>1.0000000818971799</v>
      </c>
    </row>
    <row r="3778" spans="1:40" x14ac:dyDescent="0.25">
      <c r="A3778" t="str">
        <f>"20190304164204057"</f>
        <v>20190304164204057</v>
      </c>
      <c r="B3778" t="str">
        <f>"1551688924045331"</f>
        <v>1551688924045331</v>
      </c>
      <c r="C3778" t="s">
        <v>40</v>
      </c>
      <c r="D3778">
        <v>3.9297460000000002</v>
      </c>
      <c r="E3778">
        <v>0.57654450000000002</v>
      </c>
      <c r="F3778" t="s">
        <v>47</v>
      </c>
      <c r="G3778">
        <v>-293.88409999999999</v>
      </c>
      <c r="H3778" s="1">
        <v>1.5833879999999901E-6</v>
      </c>
      <c r="I3778">
        <v>213.5667</v>
      </c>
      <c r="J3778">
        <v>-320.4984</v>
      </c>
      <c r="K3778">
        <v>1.110177</v>
      </c>
      <c r="L3778">
        <v>214.2054</v>
      </c>
      <c r="M3778">
        <v>0.99987099999999995</v>
      </c>
      <c r="N3778">
        <v>-1.5219450000000001E-2</v>
      </c>
      <c r="O3778">
        <v>5.1458509999999999E-3</v>
      </c>
      <c r="P3778">
        <v>0.93023080000000002</v>
      </c>
      <c r="Q3778">
        <v>0.33657530000000002</v>
      </c>
      <c r="R3778">
        <v>0.14624609999999999</v>
      </c>
      <c r="S3778">
        <v>3.2859189999999998</v>
      </c>
      <c r="T3778">
        <v>-0.13494529999999999</v>
      </c>
      <c r="U3778">
        <v>-7.7392580000000002E-2</v>
      </c>
      <c r="V3778">
        <v>-0.14123520000000001</v>
      </c>
      <c r="W3778">
        <v>0.35079440000000001</v>
      </c>
      <c r="X3778">
        <v>0.92574069999999997</v>
      </c>
      <c r="Y3778">
        <v>2.8656149999999998E-2</v>
      </c>
      <c r="Z3778">
        <v>-9.3925020000000005E-4</v>
      </c>
      <c r="AA3778">
        <v>0.9995889</v>
      </c>
      <c r="AB3778">
        <v>41</v>
      </c>
      <c r="AC3778">
        <v>26.6143</v>
      </c>
      <c r="AD3778">
        <v>-1.1101754166119999</v>
      </c>
      <c r="AE3778">
        <v>-0.63870000000000005</v>
      </c>
      <c r="AF3778">
        <v>0.77431407628092297</v>
      </c>
      <c r="AG3778">
        <v>-1.1101754166119999</v>
      </c>
      <c r="AH3778">
        <v>26.564464535397601</v>
      </c>
      <c r="AI3778">
        <v>92.392083422790904</v>
      </c>
      <c r="AJ3778">
        <v>88.330387188055397</v>
      </c>
      <c r="AK3778">
        <v>26.598925312816199</v>
      </c>
      <c r="AL3778">
        <v>69.464087458423094</v>
      </c>
      <c r="AM3778">
        <v>98.6744149991558</v>
      </c>
      <c r="AN3778">
        <v>0.99999996821344395</v>
      </c>
    </row>
    <row r="3779" spans="1:40" x14ac:dyDescent="0.25">
      <c r="A3779" t="str">
        <f>"20190304164204079"</f>
        <v>20190304164204079</v>
      </c>
      <c r="B3779" t="str">
        <f>"1551688924064851"</f>
        <v>1551688924064851</v>
      </c>
      <c r="C3779" t="s">
        <v>40</v>
      </c>
      <c r="D3779">
        <v>4.0013120000000004</v>
      </c>
      <c r="E3779">
        <v>0.57668730000000001</v>
      </c>
      <c r="F3779" t="s">
        <v>47</v>
      </c>
      <c r="G3779">
        <v>-294.0104</v>
      </c>
      <c r="H3779" s="1">
        <v>1.605786E-6</v>
      </c>
      <c r="I3779">
        <v>213.58690000000001</v>
      </c>
      <c r="J3779">
        <v>-320.07940000000002</v>
      </c>
      <c r="K3779">
        <v>1.110177</v>
      </c>
      <c r="L3779">
        <v>214.2073</v>
      </c>
      <c r="M3779">
        <v>0.99987230000000005</v>
      </c>
      <c r="N3779">
        <v>-1.521458E-2</v>
      </c>
      <c r="O3779">
        <v>4.9216160000000002E-3</v>
      </c>
      <c r="P3779">
        <v>0.93011529999999998</v>
      </c>
      <c r="Q3779">
        <v>0.33673140000000001</v>
      </c>
      <c r="R3779">
        <v>0.146621</v>
      </c>
      <c r="S3779">
        <v>3.2869259999999998</v>
      </c>
      <c r="T3779">
        <v>-0.137763</v>
      </c>
      <c r="U3779">
        <v>-7.6751710000000001E-2</v>
      </c>
      <c r="V3779">
        <v>-0.141819899999999</v>
      </c>
      <c r="W3779">
        <v>0.35094449999999999</v>
      </c>
      <c r="X3779">
        <v>0.92559440000000004</v>
      </c>
      <c r="Y3779">
        <v>2.8229270000000001E-2</v>
      </c>
      <c r="Z3779">
        <v>-9.3746469999999996E-4</v>
      </c>
      <c r="AA3779">
        <v>0.99960099999999996</v>
      </c>
      <c r="AB3779">
        <v>41</v>
      </c>
      <c r="AC3779">
        <v>26.068999999999999</v>
      </c>
      <c r="AD3779">
        <v>-1.110175394214</v>
      </c>
      <c r="AE3779">
        <v>-0.62039999999998896</v>
      </c>
      <c r="AF3779">
        <v>0.74735431116855799</v>
      </c>
      <c r="AG3779">
        <v>-1.110175394214</v>
      </c>
      <c r="AH3779">
        <v>26.0184708533309</v>
      </c>
      <c r="AI3779">
        <v>92.442250664592507</v>
      </c>
      <c r="AJ3779">
        <v>88.354688968268206</v>
      </c>
      <c r="AK3779">
        <v>26.052866510577498</v>
      </c>
      <c r="AL3779">
        <v>69.454903302308495</v>
      </c>
      <c r="AM3779">
        <v>98.711132217124202</v>
      </c>
      <c r="AN3779">
        <v>0.99999995971380895</v>
      </c>
    </row>
    <row r="3780" spans="1:40" x14ac:dyDescent="0.25">
      <c r="A3780" t="str">
        <f>"20190304164204102"</f>
        <v>20190304164204102</v>
      </c>
      <c r="B3780" t="str">
        <f>"1551688924095106"</f>
        <v>1551688924095106</v>
      </c>
      <c r="C3780" t="s">
        <v>40</v>
      </c>
      <c r="D3780">
        <v>4.0160260000000001</v>
      </c>
      <c r="E3780">
        <v>0.57695620000000003</v>
      </c>
      <c r="F3780" t="s">
        <v>47</v>
      </c>
      <c r="G3780">
        <v>-293.37009999999998</v>
      </c>
      <c r="H3780" s="1">
        <v>1.4922089999999999E-6</v>
      </c>
      <c r="I3780">
        <v>213.5865</v>
      </c>
      <c r="J3780">
        <v>-319.66430000000003</v>
      </c>
      <c r="K3780">
        <v>1.110187</v>
      </c>
      <c r="L3780">
        <v>214.20920000000001</v>
      </c>
      <c r="M3780">
        <v>0.99987349999999997</v>
      </c>
      <c r="N3780">
        <v>-1.5209459999999999E-2</v>
      </c>
      <c r="O3780">
        <v>4.699529E-3</v>
      </c>
      <c r="P3780">
        <v>0.92996049999999997</v>
      </c>
      <c r="Q3780">
        <v>0.33704089999999998</v>
      </c>
      <c r="R3780">
        <v>0.1468922</v>
      </c>
      <c r="S3780">
        <v>3.286896</v>
      </c>
      <c r="T3780">
        <v>-0.13661999999999999</v>
      </c>
      <c r="U3780">
        <v>-7.6400759999999998E-2</v>
      </c>
      <c r="V3780">
        <v>-0.14229829999999999</v>
      </c>
      <c r="W3780">
        <v>0.35124620000000001</v>
      </c>
      <c r="X3780">
        <v>0.92540659999999997</v>
      </c>
      <c r="Y3780">
        <v>2.7901780000000001E-2</v>
      </c>
      <c r="Z3780">
        <v>-9.1566909999999996E-4</v>
      </c>
      <c r="AA3780">
        <v>0.9996102</v>
      </c>
      <c r="AB3780">
        <v>41</v>
      </c>
      <c r="AC3780">
        <v>26.2942</v>
      </c>
      <c r="AD3780">
        <v>-1.1101855077909999</v>
      </c>
      <c r="AE3780">
        <v>-0.62270000000000802</v>
      </c>
      <c r="AF3780">
        <v>0.74495048882635295</v>
      </c>
      <c r="AG3780">
        <v>-1.1101855077909999</v>
      </c>
      <c r="AH3780">
        <v>26.244224243733601</v>
      </c>
      <c r="AI3780">
        <v>92.421312882198706</v>
      </c>
      <c r="AJ3780">
        <v>88.374078020839804</v>
      </c>
      <c r="AK3780">
        <v>26.278256586917699</v>
      </c>
      <c r="AL3780">
        <v>69.436443573799593</v>
      </c>
      <c r="AM3780">
        <v>98.741810719378805</v>
      </c>
      <c r="AN3780">
        <v>1.0000000372604401</v>
      </c>
    </row>
    <row r="3781" spans="1:40" x14ac:dyDescent="0.25">
      <c r="A3781" t="str">
        <f>"20190304164204123"</f>
        <v>20190304164204123</v>
      </c>
      <c r="B3781" t="str">
        <f>"1551688924114626"</f>
        <v>1551688924114626</v>
      </c>
      <c r="C3781" t="s">
        <v>40</v>
      </c>
      <c r="D3781">
        <v>3.9866679999999999</v>
      </c>
      <c r="E3781">
        <v>0.57757219999999998</v>
      </c>
      <c r="F3781" t="s">
        <v>47</v>
      </c>
      <c r="G3781">
        <v>-292.50139999999999</v>
      </c>
      <c r="H3781" s="1">
        <v>1.338116E-6</v>
      </c>
      <c r="I3781">
        <v>213.56110000000001</v>
      </c>
      <c r="J3781">
        <v>-319.27710000000002</v>
      </c>
      <c r="K3781">
        <v>1.11019</v>
      </c>
      <c r="L3781">
        <v>214.21080000000001</v>
      </c>
      <c r="M3781">
        <v>0.99987440000000005</v>
      </c>
      <c r="N3781">
        <v>-1.520467E-2</v>
      </c>
      <c r="O3781">
        <v>4.4921639999999999E-3</v>
      </c>
      <c r="P3781">
        <v>0.92976190000000003</v>
      </c>
      <c r="Q3781">
        <v>0.33738679999999999</v>
      </c>
      <c r="R3781">
        <v>0.1473537</v>
      </c>
      <c r="S3781">
        <v>3.2870180000000002</v>
      </c>
      <c r="T3781">
        <v>-0.1343452</v>
      </c>
      <c r="U3781">
        <v>-7.8430180000000002E-2</v>
      </c>
      <c r="V3781">
        <v>-0.142954</v>
      </c>
      <c r="W3781">
        <v>0.35158460000000002</v>
      </c>
      <c r="X3781">
        <v>0.92517700000000003</v>
      </c>
      <c r="Y3781">
        <v>2.8311059999999999E-2</v>
      </c>
      <c r="Z3781">
        <v>-9.0885270000000005E-4</v>
      </c>
      <c r="AA3781">
        <v>0.99959869999999995</v>
      </c>
      <c r="AB3781">
        <v>41</v>
      </c>
      <c r="AC3781">
        <v>26.775700000000001</v>
      </c>
      <c r="AD3781">
        <v>-1.110188661884</v>
      </c>
      <c r="AE3781">
        <v>-0.64969999999999495</v>
      </c>
      <c r="AF3781">
        <v>0.76866750237153103</v>
      </c>
      <c r="AG3781">
        <v>-1.110188661884</v>
      </c>
      <c r="AH3781">
        <v>26.726591093616001</v>
      </c>
      <c r="AI3781">
        <v>92.377644472428898</v>
      </c>
      <c r="AJ3781">
        <v>88.352604471810594</v>
      </c>
      <c r="AK3781">
        <v>26.760680859790099</v>
      </c>
      <c r="AL3781">
        <v>69.4157336328621</v>
      </c>
      <c r="AM3781">
        <v>98.783611181667794</v>
      </c>
      <c r="AN3781">
        <v>1.00000002920107</v>
      </c>
    </row>
    <row r="3782" spans="1:40" x14ac:dyDescent="0.25">
      <c r="A3782" t="str">
        <f>"20190304164204144"</f>
        <v>20190304164204144</v>
      </c>
      <c r="B3782" t="str">
        <f>"1551688924135123"</f>
        <v>1551688924135123</v>
      </c>
      <c r="C3782" t="s">
        <v>40</v>
      </c>
      <c r="D3782">
        <v>4.0029680000000001</v>
      </c>
      <c r="E3782">
        <v>0.5770634</v>
      </c>
      <c r="F3782" t="s">
        <v>47</v>
      </c>
      <c r="G3782">
        <v>-298.67529999999999</v>
      </c>
      <c r="H3782" s="1">
        <v>2.4332669999999998E-6</v>
      </c>
      <c r="I3782">
        <v>213.72020000000001</v>
      </c>
      <c r="J3782">
        <v>-318.87970000000001</v>
      </c>
      <c r="K3782">
        <v>1.110185</v>
      </c>
      <c r="L3782">
        <v>214.2124</v>
      </c>
      <c r="M3782">
        <v>0.99987539999999997</v>
      </c>
      <c r="N3782">
        <v>-1.519978E-2</v>
      </c>
      <c r="O3782">
        <v>4.2794309999999898E-3</v>
      </c>
      <c r="P3782">
        <v>0.92970319999999995</v>
      </c>
      <c r="Q3782">
        <v>0.33739079999999999</v>
      </c>
      <c r="R3782">
        <v>0.14771489999999901</v>
      </c>
      <c r="S3782">
        <v>3.303741</v>
      </c>
      <c r="T3782">
        <v>-0.178032</v>
      </c>
      <c r="U3782">
        <v>-7.8674320000000006E-2</v>
      </c>
      <c r="V3782">
        <v>-0.1435131</v>
      </c>
      <c r="W3782">
        <v>0.35158289999999998</v>
      </c>
      <c r="X3782">
        <v>0.92509110000000006</v>
      </c>
      <c r="Y3782">
        <v>2.8030119999999999E-2</v>
      </c>
      <c r="Z3782">
        <v>-1.1332619999999999E-3</v>
      </c>
      <c r="AA3782">
        <v>0.99960640000000001</v>
      </c>
      <c r="AB3782">
        <v>41</v>
      </c>
      <c r="AC3782">
        <v>20.2044</v>
      </c>
      <c r="AD3782">
        <v>-1.1101825667330001</v>
      </c>
      <c r="AE3782">
        <v>-0.49219999999999597</v>
      </c>
      <c r="AF3782">
        <v>0.57692796247318101</v>
      </c>
      <c r="AG3782">
        <v>-1.1101825667330001</v>
      </c>
      <c r="AH3782">
        <v>20.141333024204901</v>
      </c>
      <c r="AI3782">
        <v>93.153638080409095</v>
      </c>
      <c r="AJ3782">
        <v>88.359269403979795</v>
      </c>
      <c r="AK3782">
        <v>20.1801547862569</v>
      </c>
      <c r="AL3782">
        <v>69.415838004756495</v>
      </c>
      <c r="AM3782">
        <v>98.818231386580095</v>
      </c>
      <c r="AN3782">
        <v>1.0000000443716099</v>
      </c>
    </row>
    <row r="3783" spans="1:40" x14ac:dyDescent="0.25">
      <c r="A3783" t="str">
        <f>"20190304164204168"</f>
        <v>20190304164204168</v>
      </c>
      <c r="B3783" t="str">
        <f>"1551688924164402"</f>
        <v>1551688924164402</v>
      </c>
      <c r="C3783" t="s">
        <v>40</v>
      </c>
      <c r="D3783">
        <v>3.9560620000000002</v>
      </c>
      <c r="E3783">
        <v>0.55444499999999997</v>
      </c>
      <c r="F3783" t="s">
        <v>47</v>
      </c>
      <c r="G3783">
        <v>-297.39769999999999</v>
      </c>
      <c r="H3783" s="1">
        <v>2.206633E-6</v>
      </c>
      <c r="I3783">
        <v>213.72819999999999</v>
      </c>
      <c r="J3783">
        <v>-318.45780000000002</v>
      </c>
      <c r="K3783">
        <v>1.1101939999999999</v>
      </c>
      <c r="L3783">
        <v>214.214</v>
      </c>
      <c r="M3783">
        <v>0.9998764</v>
      </c>
      <c r="N3783">
        <v>-1.519469E-2</v>
      </c>
      <c r="O3783">
        <v>4.0537689999999996E-3</v>
      </c>
      <c r="P3783">
        <v>0.92976990000000004</v>
      </c>
      <c r="Q3783">
        <v>0.33718019999999999</v>
      </c>
      <c r="R3783">
        <v>0.14777579999999901</v>
      </c>
      <c r="S3783">
        <v>3.3005979999999999</v>
      </c>
      <c r="T3783">
        <v>-0.170573799999999</v>
      </c>
      <c r="U3783">
        <v>-7.440186E-2</v>
      </c>
      <c r="V3783">
        <v>-0.14378479999999999</v>
      </c>
      <c r="W3783">
        <v>0.35136820000000002</v>
      </c>
      <c r="X3783">
        <v>0.92513049999999997</v>
      </c>
      <c r="Y3783">
        <v>2.6540709999999999E-2</v>
      </c>
      <c r="Z3783">
        <v>-1.0348849999999999E-3</v>
      </c>
      <c r="AA3783">
        <v>0.99964719999999996</v>
      </c>
      <c r="AB3783">
        <v>41</v>
      </c>
      <c r="AC3783">
        <v>21.060099999999998</v>
      </c>
      <c r="AD3783">
        <v>-1.110191793367</v>
      </c>
      <c r="AE3783">
        <v>-0.48580000000003998</v>
      </c>
      <c r="AF3783">
        <v>0.56959662120237498</v>
      </c>
      <c r="AG3783">
        <v>-1.110191793367</v>
      </c>
      <c r="AH3783">
        <v>20.999632225104399</v>
      </c>
      <c r="AI3783">
        <v>93.025139683195903</v>
      </c>
      <c r="AJ3783">
        <v>88.446283149327002</v>
      </c>
      <c r="AK3783">
        <v>21.036670832586299</v>
      </c>
      <c r="AL3783">
        <v>69.428978128458198</v>
      </c>
      <c r="AM3783">
        <v>98.834292680832803</v>
      </c>
      <c r="AN3783">
        <v>1.0000000613562601</v>
      </c>
    </row>
    <row r="3784" spans="1:40" x14ac:dyDescent="0.25">
      <c r="A3784" t="str">
        <f>"20190304164204182"</f>
        <v>20190304164204182</v>
      </c>
      <c r="B3784" t="str">
        <f>"1551688924175139"</f>
        <v>1551688924175139</v>
      </c>
      <c r="C3784" t="s">
        <v>40</v>
      </c>
      <c r="D3784">
        <v>3.9959769999999999</v>
      </c>
      <c r="E3784">
        <v>0.55260229999999999</v>
      </c>
      <c r="F3784" t="s">
        <v>47</v>
      </c>
      <c r="G3784">
        <v>-297.87700000000001</v>
      </c>
      <c r="H3784" s="1">
        <v>2.291668E-6</v>
      </c>
      <c r="I3784">
        <v>214.8681</v>
      </c>
      <c r="J3784">
        <v>-318.19009999999997</v>
      </c>
      <c r="K3784">
        <v>1.110195</v>
      </c>
      <c r="L3784">
        <v>214.215</v>
      </c>
      <c r="M3784">
        <v>0.99987700000000002</v>
      </c>
      <c r="N3784">
        <v>-1.5191629999999999E-2</v>
      </c>
      <c r="O3784">
        <v>3.9105770000000002E-3</v>
      </c>
      <c r="P3784">
        <v>0.92990090000000003</v>
      </c>
      <c r="Q3784">
        <v>0.33684829999999999</v>
      </c>
      <c r="R3784">
        <v>0.14770839999999999</v>
      </c>
      <c r="S3784">
        <v>3.2741389999999999</v>
      </c>
      <c r="T3784">
        <v>-0.17661740000000001</v>
      </c>
      <c r="U3784">
        <v>0.1040649</v>
      </c>
      <c r="V3784">
        <v>-0.14385029999999999</v>
      </c>
      <c r="W3784">
        <v>0.35103509999999999</v>
      </c>
      <c r="X3784">
        <v>0.92524669999999998</v>
      </c>
      <c r="Y3784">
        <v>-2.7809710000000001E-2</v>
      </c>
      <c r="Z3784">
        <v>8.0946519999999995E-4</v>
      </c>
      <c r="AA3784">
        <v>0.99961290000000003</v>
      </c>
      <c r="AB3784">
        <v>41</v>
      </c>
      <c r="AC3784">
        <v>20.313099999999899</v>
      </c>
      <c r="AD3784">
        <v>-1.110192708332</v>
      </c>
      <c r="AE3784">
        <v>0.65309999999999402</v>
      </c>
      <c r="AF3784">
        <v>-0.571943233128128</v>
      </c>
      <c r="AG3784">
        <v>-1.110192708332</v>
      </c>
      <c r="AH3784">
        <v>20.255058287539001</v>
      </c>
      <c r="AI3784">
        <v>93.1360316977471</v>
      </c>
      <c r="AJ3784">
        <v>91.617434399828497</v>
      </c>
      <c r="AK3784">
        <v>20.2935219501977</v>
      </c>
      <c r="AL3784">
        <v>69.449360541694105</v>
      </c>
      <c r="AM3784">
        <v>98.837161089448401</v>
      </c>
      <c r="AN3784">
        <v>1.0000000030514899</v>
      </c>
    </row>
    <row r="3785" spans="1:40" x14ac:dyDescent="0.25">
      <c r="A3785" t="str">
        <f>"20190304164204194"</f>
        <v>20190304164204194</v>
      </c>
      <c r="B3785" t="str">
        <f>"1551688924184899"</f>
        <v>1551688924184899</v>
      </c>
      <c r="C3785" t="s">
        <v>40</v>
      </c>
      <c r="D3785">
        <v>3.9934080000000001</v>
      </c>
      <c r="E3785">
        <v>0.55153189999999996</v>
      </c>
      <c r="F3785" t="s">
        <v>47</v>
      </c>
      <c r="G3785">
        <v>-297.79590000000002</v>
      </c>
      <c r="H3785" s="1">
        <v>2.277276E-6</v>
      </c>
      <c r="I3785">
        <v>214.95240000000001</v>
      </c>
      <c r="J3785">
        <v>-317.95890000000003</v>
      </c>
      <c r="K3785">
        <v>1.1101939999999999</v>
      </c>
      <c r="L3785">
        <v>214.2158</v>
      </c>
      <c r="M3785">
        <v>0.99987760000000003</v>
      </c>
      <c r="N3785">
        <v>-1.5188979999999999E-2</v>
      </c>
      <c r="O3785">
        <v>3.786453E-3</v>
      </c>
      <c r="P3785">
        <v>0.93001049999999996</v>
      </c>
      <c r="Q3785">
        <v>0.33663510000000002</v>
      </c>
      <c r="R3785">
        <v>0.147504</v>
      </c>
      <c r="S3785">
        <v>3.271881</v>
      </c>
      <c r="T3785">
        <v>-0.1781102</v>
      </c>
      <c r="U3785">
        <v>0.1183014</v>
      </c>
      <c r="V3785">
        <v>-0.1437611</v>
      </c>
      <c r="W3785">
        <v>0.3508212</v>
      </c>
      <c r="X3785">
        <v>0.92534170000000004</v>
      </c>
      <c r="Y3785">
        <v>-3.2290520000000003E-2</v>
      </c>
      <c r="Z3785">
        <v>9.7508269999999997E-4</v>
      </c>
      <c r="AA3785">
        <v>0.99947799999999998</v>
      </c>
      <c r="AB3785">
        <v>41</v>
      </c>
      <c r="AC3785">
        <v>20.163</v>
      </c>
      <c r="AD3785">
        <v>-1.1101917227239999</v>
      </c>
      <c r="AE3785">
        <v>0.73660000000000903</v>
      </c>
      <c r="AF3785">
        <v>-0.65824672383952898</v>
      </c>
      <c r="AG3785">
        <v>-1.1101917227239999</v>
      </c>
      <c r="AH3785">
        <v>20.104774518873398</v>
      </c>
      <c r="AI3785">
        <v>93.158990987660403</v>
      </c>
      <c r="AJ3785">
        <v>91.875240706089997</v>
      </c>
      <c r="AK3785">
        <v>20.146160251159301</v>
      </c>
      <c r="AL3785">
        <v>69.462448726387095</v>
      </c>
      <c r="AM3785">
        <v>98.830875258827305</v>
      </c>
      <c r="AN3785">
        <v>1.00000001500077</v>
      </c>
    </row>
    <row r="3786" spans="1:40" x14ac:dyDescent="0.25">
      <c r="A3786" t="str">
        <f>"20190304164204212"</f>
        <v>20190304164204212</v>
      </c>
      <c r="B3786" t="str">
        <f>"1551688924204418"</f>
        <v>1551688924204418</v>
      </c>
      <c r="C3786" t="s">
        <v>40</v>
      </c>
      <c r="D3786">
        <v>3.942796</v>
      </c>
      <c r="E3786">
        <v>0.55063309999999999</v>
      </c>
      <c r="F3786" t="s">
        <v>47</v>
      </c>
      <c r="G3786">
        <v>-297.88229999999999</v>
      </c>
      <c r="H3786" s="1">
        <v>2.292604E-6</v>
      </c>
      <c r="I3786">
        <v>214.99160000000001</v>
      </c>
      <c r="J3786">
        <v>-317.64249999999998</v>
      </c>
      <c r="K3786">
        <v>1.110195</v>
      </c>
      <c r="L3786">
        <v>214.21680000000001</v>
      </c>
      <c r="M3786">
        <v>0.9998783</v>
      </c>
      <c r="N3786">
        <v>-1.5185300000000001E-2</v>
      </c>
      <c r="O3786">
        <v>3.6167460000000001E-3</v>
      </c>
      <c r="P3786">
        <v>0.93007629999999997</v>
      </c>
      <c r="Q3786">
        <v>0.33671299999999998</v>
      </c>
      <c r="R3786">
        <v>0.1469105</v>
      </c>
      <c r="S3786">
        <v>3.2711790000000001</v>
      </c>
      <c r="T3786">
        <v>-0.18088960000000001</v>
      </c>
      <c r="U3786">
        <v>0.12641910000000001</v>
      </c>
      <c r="V3786">
        <v>-0.14332629999999999</v>
      </c>
      <c r="W3786">
        <v>0.35089530000000002</v>
      </c>
      <c r="X3786">
        <v>0.92538109999999996</v>
      </c>
      <c r="Y3786">
        <v>-3.4937709999999997E-2</v>
      </c>
      <c r="Z3786">
        <v>1.085644E-3</v>
      </c>
      <c r="AA3786">
        <v>0.99938890000000002</v>
      </c>
      <c r="AB3786">
        <v>41</v>
      </c>
      <c r="AC3786">
        <v>19.760200000000001</v>
      </c>
      <c r="AD3786">
        <v>-1.1101927073960001</v>
      </c>
      <c r="AE3786">
        <v>0.77479999999999805</v>
      </c>
      <c r="AF3786">
        <v>-0.70110937925164396</v>
      </c>
      <c r="AG3786">
        <v>-1.1101927073960001</v>
      </c>
      <c r="AH3786">
        <v>19.7007820649618</v>
      </c>
      <c r="AI3786">
        <v>93.2233256572367</v>
      </c>
      <c r="AJ3786">
        <v>92.038176072479203</v>
      </c>
      <c r="AK3786">
        <v>19.7444902740068</v>
      </c>
      <c r="AL3786">
        <v>69.457915853463305</v>
      </c>
      <c r="AM3786">
        <v>98.804216717056804</v>
      </c>
      <c r="AN3786">
        <v>1.0000000600354899</v>
      </c>
    </row>
    <row r="3787" spans="1:40" x14ac:dyDescent="0.25">
      <c r="A3787" t="str">
        <f>"20190304164204226"</f>
        <v>20190304164204226</v>
      </c>
      <c r="B3787" t="str">
        <f>"1551688924215155"</f>
        <v>1551688924215155</v>
      </c>
      <c r="C3787" t="s">
        <v>40</v>
      </c>
      <c r="D3787">
        <v>3.9644210000000002</v>
      </c>
      <c r="E3787">
        <v>0.55046930000000005</v>
      </c>
      <c r="F3787" t="s">
        <v>47</v>
      </c>
      <c r="G3787">
        <v>-297.66160000000002</v>
      </c>
      <c r="H3787" s="1">
        <v>2.2534439999999998E-6</v>
      </c>
      <c r="I3787">
        <v>215.02119999999999</v>
      </c>
      <c r="J3787">
        <v>-317.38990000000001</v>
      </c>
      <c r="K3787">
        <v>1.110196</v>
      </c>
      <c r="L3787">
        <v>214.2176</v>
      </c>
      <c r="M3787">
        <v>0.99987859999999995</v>
      </c>
      <c r="N3787">
        <v>-1.5182309999999999E-2</v>
      </c>
      <c r="O3787">
        <v>3.4814799999999999E-3</v>
      </c>
      <c r="P3787">
        <v>0.93012269999999997</v>
      </c>
      <c r="Q3787">
        <v>0.33664629999999901</v>
      </c>
      <c r="R3787">
        <v>0.14676929999999999</v>
      </c>
      <c r="S3787">
        <v>3.270508</v>
      </c>
      <c r="T3787">
        <v>-0.18171799999999999</v>
      </c>
      <c r="U3787">
        <v>0.13166810000000001</v>
      </c>
      <c r="V3787">
        <v>-0.14331079999999999</v>
      </c>
      <c r="W3787">
        <v>0.35082649999999999</v>
      </c>
      <c r="X3787">
        <v>0.9254095</v>
      </c>
      <c r="Y3787">
        <v>-3.6678200000000001E-2</v>
      </c>
      <c r="Z3787">
        <v>1.1562040000000001E-3</v>
      </c>
      <c r="AA3787">
        <v>0.99932650000000001</v>
      </c>
      <c r="AB3787">
        <v>41</v>
      </c>
      <c r="AC3787">
        <v>19.728299999999901</v>
      </c>
      <c r="AD3787">
        <v>-1.1101937465559999</v>
      </c>
      <c r="AE3787">
        <v>0.80359999999998799</v>
      </c>
      <c r="AF3787">
        <v>-0.73258742197960902</v>
      </c>
      <c r="AG3787">
        <v>-1.1101937465559999</v>
      </c>
      <c r="AH3787">
        <v>19.668794833277001</v>
      </c>
      <c r="AI3787">
        <v>93.228365370067394</v>
      </c>
      <c r="AJ3787">
        <v>92.1330627502619</v>
      </c>
      <c r="AK3787">
        <v>19.713718692303502</v>
      </c>
      <c r="AL3787">
        <v>69.462123709574399</v>
      </c>
      <c r="AM3787">
        <v>98.803013568154995</v>
      </c>
      <c r="AN3787">
        <v>0.99999998059456896</v>
      </c>
    </row>
    <row r="3788" spans="1:40" x14ac:dyDescent="0.25">
      <c r="A3788" t="str">
        <f>"20190304164204245"</f>
        <v>20190304164204245</v>
      </c>
      <c r="B3788" t="str">
        <f>"1551688924234674"</f>
        <v>1551688924234674</v>
      </c>
      <c r="C3788" t="s">
        <v>40</v>
      </c>
      <c r="D3788">
        <v>3.945039</v>
      </c>
      <c r="E3788">
        <v>0.54997299999999905</v>
      </c>
      <c r="F3788" t="s">
        <v>47</v>
      </c>
      <c r="G3788">
        <v>-297.31959999999998</v>
      </c>
      <c r="H3788" s="1">
        <v>2.192793E-6</v>
      </c>
      <c r="I3788">
        <v>215.0264</v>
      </c>
      <c r="J3788">
        <v>-317.04309999999998</v>
      </c>
      <c r="K3788">
        <v>1.1101920000000001</v>
      </c>
      <c r="L3788">
        <v>214.21870000000001</v>
      </c>
      <c r="M3788">
        <v>0.99987950000000003</v>
      </c>
      <c r="N3788">
        <v>-1.5178179999999999E-2</v>
      </c>
      <c r="O3788">
        <v>3.2955609999999998E-3</v>
      </c>
      <c r="P3788">
        <v>0.93018190000000001</v>
      </c>
      <c r="Q3788">
        <v>0.33667839999999999</v>
      </c>
      <c r="R3788">
        <v>0.14632049999999999</v>
      </c>
      <c r="S3788">
        <v>3.2700809999999998</v>
      </c>
      <c r="T3788">
        <v>-0.18088599999999999</v>
      </c>
      <c r="U3788">
        <v>0.1317749</v>
      </c>
      <c r="V3788">
        <v>-0.1430351</v>
      </c>
      <c r="W3788">
        <v>0.35085509999999998</v>
      </c>
      <c r="X3788">
        <v>0.92544130000000002</v>
      </c>
      <c r="Y3788">
        <v>-3.690181E-2</v>
      </c>
      <c r="Z3788">
        <v>1.167778E-3</v>
      </c>
      <c r="AA3788">
        <v>0.99931820000000005</v>
      </c>
      <c r="AB3788">
        <v>41</v>
      </c>
      <c r="AC3788">
        <v>19.723500000000001</v>
      </c>
      <c r="AD3788">
        <v>-1.110189807207</v>
      </c>
      <c r="AE3788">
        <v>0.80769999999998199</v>
      </c>
      <c r="AF3788">
        <v>-0.74034642151720897</v>
      </c>
      <c r="AG3788">
        <v>-1.110189807207</v>
      </c>
      <c r="AH3788">
        <v>19.663858272379201</v>
      </c>
      <c r="AI3788">
        <v>93.229114019951794</v>
      </c>
      <c r="AJ3788">
        <v>92.156173955818304</v>
      </c>
      <c r="AK3788">
        <v>19.709083093540801</v>
      </c>
      <c r="AL3788">
        <v>69.460373599504607</v>
      </c>
      <c r="AM3788">
        <v>98.786045711364594</v>
      </c>
      <c r="AN3788">
        <v>0.99999997038685395</v>
      </c>
    </row>
    <row r="3789" spans="1:40" x14ac:dyDescent="0.25">
      <c r="A3789" t="str">
        <f>"20190304164204269"</f>
        <v>20190304164204269</v>
      </c>
      <c r="B3789" t="str">
        <f>"1551688924264930"</f>
        <v>1551688924264930</v>
      </c>
      <c r="C3789" t="s">
        <v>40</v>
      </c>
      <c r="D3789">
        <v>3.9698310000000001</v>
      </c>
      <c r="E3789">
        <v>0.54937769999999997</v>
      </c>
      <c r="F3789" t="s">
        <v>47</v>
      </c>
      <c r="G3789">
        <v>-296.52190000000002</v>
      </c>
      <c r="H3789" s="1">
        <v>2.0512890000000001E-6</v>
      </c>
      <c r="I3789">
        <v>215.0634</v>
      </c>
      <c r="J3789">
        <v>-316.61840000000001</v>
      </c>
      <c r="K3789">
        <v>1.1101909999999999</v>
      </c>
      <c r="L3789">
        <v>214.21979999999999</v>
      </c>
      <c r="M3789">
        <v>0.99988010000000005</v>
      </c>
      <c r="N3789">
        <v>-1.517318E-2</v>
      </c>
      <c r="O3789">
        <v>3.067873E-3</v>
      </c>
      <c r="P3789">
        <v>0.93013469999999998</v>
      </c>
      <c r="Q3789">
        <v>0.33678930000000001</v>
      </c>
      <c r="R3789">
        <v>0.146364299999999</v>
      </c>
      <c r="S3789">
        <v>3.268005</v>
      </c>
      <c r="T3789">
        <v>-0.17679819999999999</v>
      </c>
      <c r="U3789">
        <v>0.13452149999999999</v>
      </c>
      <c r="V3789">
        <v>-0.14329120000000001</v>
      </c>
      <c r="W3789">
        <v>0.35095959999999898</v>
      </c>
      <c r="X3789">
        <v>0.92536209999999997</v>
      </c>
      <c r="Y3789">
        <v>-3.7993779999999998E-2</v>
      </c>
      <c r="Z3789">
        <v>1.195925E-3</v>
      </c>
      <c r="AA3789">
        <v>0.99927719999999998</v>
      </c>
      <c r="AB3789">
        <v>41</v>
      </c>
      <c r="AC3789">
        <v>20.096499999999899</v>
      </c>
      <c r="AD3789">
        <v>-1.1101889487109999</v>
      </c>
      <c r="AE3789">
        <v>0.84360000000000901</v>
      </c>
      <c r="AF3789">
        <v>-0.77956055548016201</v>
      </c>
      <c r="AG3789">
        <v>-1.1101889487109999</v>
      </c>
      <c r="AH3789">
        <v>20.0379499511583</v>
      </c>
      <c r="AI3789">
        <v>93.168799178809493</v>
      </c>
      <c r="AJ3789">
        <v>92.227923312462295</v>
      </c>
      <c r="AK3789">
        <v>20.083816181359101</v>
      </c>
      <c r="AL3789">
        <v>69.453980500663803</v>
      </c>
      <c r="AM3789">
        <v>98.802272268972104</v>
      </c>
      <c r="AN3789">
        <v>1.000000012473</v>
      </c>
    </row>
    <row r="3790" spans="1:40" x14ac:dyDescent="0.25">
      <c r="A3790" t="str">
        <f>"20190304164204292"</f>
        <v>20190304164204292</v>
      </c>
      <c r="B3790" t="str">
        <f>"1551688924284450"</f>
        <v>1551688924284450</v>
      </c>
      <c r="C3790" t="s">
        <v>40</v>
      </c>
      <c r="D3790">
        <v>3.966485</v>
      </c>
      <c r="E3790">
        <v>0.54911209999999999</v>
      </c>
      <c r="F3790" t="s">
        <v>47</v>
      </c>
      <c r="G3790">
        <v>-295.42270000000002</v>
      </c>
      <c r="H3790" s="1">
        <v>1.8563140000000001E-6</v>
      </c>
      <c r="I3790">
        <v>215.11580000000001</v>
      </c>
      <c r="J3790">
        <v>-316.19959999999998</v>
      </c>
      <c r="K3790">
        <v>1.11019</v>
      </c>
      <c r="L3790">
        <v>214.2209</v>
      </c>
      <c r="M3790">
        <v>0.99988100000000002</v>
      </c>
      <c r="N3790">
        <v>-1.5168310000000001E-2</v>
      </c>
      <c r="O3790">
        <v>2.8430450000000002E-3</v>
      </c>
      <c r="P3790">
        <v>0.93033500000000002</v>
      </c>
      <c r="Q3790">
        <v>0.33626349999999999</v>
      </c>
      <c r="R3790">
        <v>0.14630090000000001</v>
      </c>
      <c r="S3790">
        <v>3.265533</v>
      </c>
      <c r="T3790">
        <v>-0.17104269999999999</v>
      </c>
      <c r="U3790">
        <v>0.13803099999999999</v>
      </c>
      <c r="V3790">
        <v>-0.14343710000000001</v>
      </c>
      <c r="W3790">
        <v>0.35043170000000001</v>
      </c>
      <c r="X3790">
        <v>0.92553949999999996</v>
      </c>
      <c r="Y3790">
        <v>-3.9322860000000001E-2</v>
      </c>
      <c r="Z3790">
        <v>1.2216550000000001E-3</v>
      </c>
      <c r="AA3790">
        <v>0.99922580000000005</v>
      </c>
      <c r="AB3790">
        <v>41</v>
      </c>
      <c r="AC3790">
        <v>20.776899999999898</v>
      </c>
      <c r="AD3790">
        <v>-1.1101881436859999</v>
      </c>
      <c r="AE3790">
        <v>0.89490000000000602</v>
      </c>
      <c r="AF3790">
        <v>-0.83344471127376296</v>
      </c>
      <c r="AG3790">
        <v>-1.1101881436859999</v>
      </c>
      <c r="AH3790">
        <v>20.720310127789901</v>
      </c>
      <c r="AI3790">
        <v>93.064485119274806</v>
      </c>
      <c r="AJ3790">
        <v>92.303398714257497</v>
      </c>
      <c r="AK3790">
        <v>20.766761894742402</v>
      </c>
      <c r="AL3790">
        <v>69.486277318523804</v>
      </c>
      <c r="AM3790">
        <v>98.8094318839388</v>
      </c>
      <c r="AN3790">
        <v>0.99999997204077395</v>
      </c>
    </row>
    <row r="3791" spans="1:40" x14ac:dyDescent="0.25">
      <c r="A3791" t="str">
        <f>"20190304164204313"</f>
        <v>20190304164204313</v>
      </c>
      <c r="B3791" t="str">
        <f>"1551688924304947"</f>
        <v>1551688924304947</v>
      </c>
      <c r="C3791" t="s">
        <v>40</v>
      </c>
      <c r="D3791">
        <v>3.9822289999999998</v>
      </c>
      <c r="E3791">
        <v>0.54893549999999902</v>
      </c>
      <c r="F3791" t="s">
        <v>47</v>
      </c>
      <c r="G3791">
        <v>-295.13330000000002</v>
      </c>
      <c r="H3791" s="1">
        <v>1.8049760000000001E-6</v>
      </c>
      <c r="I3791">
        <v>215.11699999999999</v>
      </c>
      <c r="J3791">
        <v>-315.80759999999998</v>
      </c>
      <c r="K3791">
        <v>1.1101989999999999</v>
      </c>
      <c r="L3791">
        <v>214.22190000000001</v>
      </c>
      <c r="M3791">
        <v>0.99988160000000004</v>
      </c>
      <c r="N3791">
        <v>-1.516381E-2</v>
      </c>
      <c r="O3791">
        <v>2.6323399999999999E-3</v>
      </c>
      <c r="P3791">
        <v>0.93022119999999997</v>
      </c>
      <c r="Q3791">
        <v>0.33662180000000003</v>
      </c>
      <c r="R3791">
        <v>0.1462</v>
      </c>
      <c r="S3791">
        <v>3.2649539999999999</v>
      </c>
      <c r="T3791">
        <v>-0.17206199999999999</v>
      </c>
      <c r="U3791">
        <v>0.1388702</v>
      </c>
      <c r="V3791">
        <v>-0.14353250000000001</v>
      </c>
      <c r="W3791">
        <v>0.35078409999999999</v>
      </c>
      <c r="X3791">
        <v>0.92539130000000003</v>
      </c>
      <c r="Y3791">
        <v>-3.9795589999999999E-2</v>
      </c>
      <c r="Z3791">
        <v>1.2508759999999999E-3</v>
      </c>
      <c r="AA3791">
        <v>0.99920710000000001</v>
      </c>
      <c r="AB3791">
        <v>41</v>
      </c>
      <c r="AC3791">
        <v>20.674299999999899</v>
      </c>
      <c r="AD3791">
        <v>-1.1101971950239999</v>
      </c>
      <c r="AE3791">
        <v>0.895100000000013</v>
      </c>
      <c r="AF3791">
        <v>-0.838256162570437</v>
      </c>
      <c r="AG3791">
        <v>-1.1101971950239999</v>
      </c>
      <c r="AH3791">
        <v>20.617243689776501</v>
      </c>
      <c r="AI3791">
        <v>93.079746329867803</v>
      </c>
      <c r="AJ3791">
        <v>92.3282501917205</v>
      </c>
      <c r="AK3791">
        <v>20.664122254999199</v>
      </c>
      <c r="AL3791">
        <v>69.464719636791301</v>
      </c>
      <c r="AM3791">
        <v>98.816588603191803</v>
      </c>
      <c r="AN3791">
        <v>1.00000006074237</v>
      </c>
    </row>
    <row r="3792" spans="1:40" x14ac:dyDescent="0.25">
      <c r="A3792" t="str">
        <f>"20190304164204336"</f>
        <v>20190304164204336</v>
      </c>
      <c r="B3792" t="str">
        <f>"1551688924324466"</f>
        <v>1551688924324466</v>
      </c>
      <c r="C3792" t="s">
        <v>40</v>
      </c>
      <c r="D3792">
        <v>4.0299579999999997</v>
      </c>
      <c r="E3792">
        <v>0.5488016</v>
      </c>
      <c r="F3792" t="s">
        <v>47</v>
      </c>
      <c r="G3792">
        <v>-294.42</v>
      </c>
      <c r="H3792" s="1">
        <v>1.678434E-6</v>
      </c>
      <c r="I3792">
        <v>215.14429999999999</v>
      </c>
      <c r="J3792">
        <v>-315.40769999999998</v>
      </c>
      <c r="K3792">
        <v>1.1102030000000001</v>
      </c>
      <c r="L3792">
        <v>214.2227</v>
      </c>
      <c r="M3792">
        <v>0.99988220000000005</v>
      </c>
      <c r="N3792">
        <v>-1.5159250000000001E-2</v>
      </c>
      <c r="O3792">
        <v>2.4175210000000002E-3</v>
      </c>
      <c r="P3792">
        <v>0.93024839999999998</v>
      </c>
      <c r="Q3792">
        <v>0.33678829999999998</v>
      </c>
      <c r="R3792">
        <v>0.14564279999999999</v>
      </c>
      <c r="S3792">
        <v>3.264221</v>
      </c>
      <c r="T3792">
        <v>-0.16944049999999999</v>
      </c>
      <c r="U3792">
        <v>0.1407776</v>
      </c>
      <c r="V3792">
        <v>-0.143176</v>
      </c>
      <c r="W3792">
        <v>0.35094570000000003</v>
      </c>
      <c r="X3792">
        <v>0.92538520000000002</v>
      </c>
      <c r="Y3792">
        <v>-4.0602829999999999E-2</v>
      </c>
      <c r="Z3792">
        <v>1.2720699999999999E-3</v>
      </c>
      <c r="AA3792">
        <v>0.99917449999999997</v>
      </c>
      <c r="AB3792">
        <v>41</v>
      </c>
      <c r="AC3792">
        <v>20.987699999999901</v>
      </c>
      <c r="AD3792">
        <v>-1.110201321566</v>
      </c>
      <c r="AE3792">
        <v>0.92159999999998299</v>
      </c>
      <c r="AF3792">
        <v>-0.86842794072596696</v>
      </c>
      <c r="AG3792">
        <v>-1.110201321566</v>
      </c>
      <c r="AH3792">
        <v>20.931410014651298</v>
      </c>
      <c r="AI3792">
        <v>93.033516468111401</v>
      </c>
      <c r="AJ3792">
        <v>92.375794810432197</v>
      </c>
      <c r="AK3792">
        <v>20.978814057617399</v>
      </c>
      <c r="AL3792">
        <v>69.454830953882905</v>
      </c>
      <c r="AM3792">
        <v>98.795090189612793</v>
      </c>
      <c r="AN3792">
        <v>1.0000000098517601</v>
      </c>
    </row>
    <row r="3793" spans="1:40" x14ac:dyDescent="0.25">
      <c r="A3793" t="str">
        <f>"20190304164204358"</f>
        <v>20190304164204358</v>
      </c>
      <c r="B3793" t="str">
        <f>"1551688924354723"</f>
        <v>1551688924354723</v>
      </c>
      <c r="C3793" t="s">
        <v>40</v>
      </c>
      <c r="D3793">
        <v>4.0067110000000001</v>
      </c>
      <c r="E3793">
        <v>0.54865359999999996</v>
      </c>
      <c r="F3793" t="s">
        <v>47</v>
      </c>
      <c r="G3793">
        <v>-293.91000000000003</v>
      </c>
      <c r="H3793" s="1">
        <v>1.5879869999999999E-6</v>
      </c>
      <c r="I3793">
        <v>215.15610000000001</v>
      </c>
      <c r="J3793">
        <v>-314.99790000000002</v>
      </c>
      <c r="K3793">
        <v>1.110206</v>
      </c>
      <c r="L3793">
        <v>214.2235</v>
      </c>
      <c r="M3793">
        <v>0.99988279999999996</v>
      </c>
      <c r="N3793">
        <v>-1.5154620000000001E-2</v>
      </c>
      <c r="O3793">
        <v>2.1971619999999999E-3</v>
      </c>
      <c r="P3793">
        <v>0.93031699999999995</v>
      </c>
      <c r="Q3793">
        <v>0.33661560000000001</v>
      </c>
      <c r="R3793">
        <v>0.14560319999999999</v>
      </c>
      <c r="S3793">
        <v>3.2638240000000001</v>
      </c>
      <c r="T3793">
        <v>-0.16855339999999999</v>
      </c>
      <c r="U3793">
        <v>0.14170839999999901</v>
      </c>
      <c r="V3793">
        <v>-0.14334189999999999</v>
      </c>
      <c r="W3793">
        <v>0.350769</v>
      </c>
      <c r="X3793">
        <v>0.92542650000000004</v>
      </c>
      <c r="Y3793">
        <v>-4.1112259999999998E-2</v>
      </c>
      <c r="Z3793">
        <v>1.2922560000000001E-3</v>
      </c>
      <c r="AA3793">
        <v>0.99915370000000003</v>
      </c>
      <c r="AB3793">
        <v>40</v>
      </c>
      <c r="AC3793">
        <v>21.087899999999902</v>
      </c>
      <c r="AD3793">
        <v>-1.1102044120129999</v>
      </c>
      <c r="AE3793">
        <v>0.93260000000000798</v>
      </c>
      <c r="AF3793">
        <v>-0.88381405047433503</v>
      </c>
      <c r="AG3793">
        <v>-1.1102044120129999</v>
      </c>
      <c r="AH3793">
        <v>21.0317195032409</v>
      </c>
      <c r="AI3793">
        <v>93.019016479899605</v>
      </c>
      <c r="AJ3793">
        <v>92.4063195777602</v>
      </c>
      <c r="AK3793">
        <v>21.079537622425999</v>
      </c>
      <c r="AL3793">
        <v>69.465642187360999</v>
      </c>
      <c r="AM3793">
        <v>98.804734775624098</v>
      </c>
      <c r="AN3793">
        <v>0.99999999927942995</v>
      </c>
    </row>
    <row r="3794" spans="1:40" x14ac:dyDescent="0.25">
      <c r="A3794" t="str">
        <f>"20190304164204381"</f>
        <v>20190304164204381</v>
      </c>
      <c r="B3794" t="str">
        <f>"1551688924375220"</f>
        <v>1551688924375220</v>
      </c>
      <c r="C3794" t="s">
        <v>40</v>
      </c>
      <c r="D3794">
        <v>4.0217619999999998</v>
      </c>
      <c r="E3794">
        <v>0.54854669999999905</v>
      </c>
      <c r="F3794" t="s">
        <v>47</v>
      </c>
      <c r="G3794">
        <v>-293.48880000000003</v>
      </c>
      <c r="H3794" s="1">
        <v>1.5132730000000001E-6</v>
      </c>
      <c r="I3794">
        <v>215.15950000000001</v>
      </c>
      <c r="J3794">
        <v>-314.60410000000002</v>
      </c>
      <c r="K3794">
        <v>1.1102099999999999</v>
      </c>
      <c r="L3794">
        <v>214.2242</v>
      </c>
      <c r="M3794">
        <v>0.99988339999999998</v>
      </c>
      <c r="N3794">
        <v>-1.5150149999999999E-2</v>
      </c>
      <c r="O3794">
        <v>1.9857389999999998E-3</v>
      </c>
      <c r="P3794">
        <v>0.93033049999999995</v>
      </c>
      <c r="Q3794">
        <v>0.33657019999999999</v>
      </c>
      <c r="R3794">
        <v>0.14562259999999999</v>
      </c>
      <c r="S3794">
        <v>3.263458</v>
      </c>
      <c r="T3794">
        <v>-0.16844589999999901</v>
      </c>
      <c r="U3794">
        <v>0.14201349999999999</v>
      </c>
      <c r="V3794">
        <v>-0.14355780000000001</v>
      </c>
      <c r="W3794">
        <v>0.35071940000000001</v>
      </c>
      <c r="X3794">
        <v>0.92541180000000001</v>
      </c>
      <c r="Y3794">
        <v>-4.1421039999999999E-2</v>
      </c>
      <c r="Z3794">
        <v>1.309658E-3</v>
      </c>
      <c r="AA3794">
        <v>0.9991409</v>
      </c>
      <c r="AB3794">
        <v>40</v>
      </c>
      <c r="AC3794">
        <v>21.115299999999898</v>
      </c>
      <c r="AD3794">
        <v>-1.1102084867269999</v>
      </c>
      <c r="AE3794">
        <v>0.93530000000001201</v>
      </c>
      <c r="AF3794">
        <v>-0.89090579921291702</v>
      </c>
      <c r="AG3794">
        <v>-1.1102084867269999</v>
      </c>
      <c r="AH3794">
        <v>21.059012466449602</v>
      </c>
      <c r="AI3794">
        <v>93.015086277339407</v>
      </c>
      <c r="AJ3794">
        <v>92.422465091119307</v>
      </c>
      <c r="AK3794">
        <v>21.1070671124425</v>
      </c>
      <c r="AL3794">
        <v>69.468676207530905</v>
      </c>
      <c r="AM3794">
        <v>98.817925979998193</v>
      </c>
      <c r="AN3794">
        <v>0.99999996952821901</v>
      </c>
    </row>
    <row r="3795" spans="1:40" x14ac:dyDescent="0.25">
      <c r="A3795" t="str">
        <f>"20190304164204403"</f>
        <v>20190304164204403</v>
      </c>
      <c r="B3795" t="str">
        <f>"1551688924394738"</f>
        <v>1551688924394738</v>
      </c>
      <c r="C3795" t="s">
        <v>40</v>
      </c>
      <c r="D3795">
        <v>4.0287660000000001</v>
      </c>
      <c r="E3795">
        <v>0.54843710000000001</v>
      </c>
      <c r="F3795" t="s">
        <v>47</v>
      </c>
      <c r="G3795">
        <v>-293.01949999999999</v>
      </c>
      <c r="H3795" s="1">
        <v>1.4300249999999999E-6</v>
      </c>
      <c r="I3795">
        <v>215.1619</v>
      </c>
      <c r="J3795">
        <v>-314.19810000000001</v>
      </c>
      <c r="K3795">
        <v>1.110212</v>
      </c>
      <c r="L3795">
        <v>214.22479999999999</v>
      </c>
      <c r="M3795">
        <v>0.99988370000000004</v>
      </c>
      <c r="N3795">
        <v>-1.5145540000000001E-2</v>
      </c>
      <c r="O3795">
        <v>1.7676440000000001E-3</v>
      </c>
      <c r="P3795">
        <v>0.93032519999999996</v>
      </c>
      <c r="Q3795">
        <v>0.3365573</v>
      </c>
      <c r="R3795">
        <v>0.14568619999999999</v>
      </c>
      <c r="S3795">
        <v>3.2631839999999999</v>
      </c>
      <c r="T3795">
        <v>-0.16784260000000001</v>
      </c>
      <c r="U3795">
        <v>0.14176939999999999</v>
      </c>
      <c r="V3795">
        <v>-0.14382490000000001</v>
      </c>
      <c r="W3795">
        <v>0.35070190000000001</v>
      </c>
      <c r="X3795">
        <v>0.92537700000000001</v>
      </c>
      <c r="Y3795">
        <v>-4.1568059999999997E-2</v>
      </c>
      <c r="Z3795">
        <v>1.318977E-3</v>
      </c>
      <c r="AA3795">
        <v>0.99913479999999999</v>
      </c>
      <c r="AB3795">
        <v>40</v>
      </c>
      <c r="AC3795">
        <v>21.178599999999999</v>
      </c>
      <c r="AD3795">
        <v>-1.110210569975</v>
      </c>
      <c r="AE3795">
        <v>0.93710000000001503</v>
      </c>
      <c r="AF3795">
        <v>-0.89719733681749403</v>
      </c>
      <c r="AG3795">
        <v>-1.110210569975</v>
      </c>
      <c r="AH3795">
        <v>21.122292980403799</v>
      </c>
      <c r="AI3795">
        <v>93.006053842446207</v>
      </c>
      <c r="AJ3795">
        <v>92.4322519468368</v>
      </c>
      <c r="AK3795">
        <v>21.170469794524902</v>
      </c>
      <c r="AL3795">
        <v>69.469747721738202</v>
      </c>
      <c r="AM3795">
        <v>98.834400818011503</v>
      </c>
      <c r="AN3795">
        <v>1.0000000083263101</v>
      </c>
    </row>
    <row r="3796" spans="1:40" x14ac:dyDescent="0.25">
      <c r="A3796" t="str">
        <f>"20190304164204417"</f>
        <v>20190304164204417</v>
      </c>
      <c r="B3796" t="str">
        <f>"1551688924404499"</f>
        <v>1551688924404499</v>
      </c>
      <c r="C3796" t="s">
        <v>40</v>
      </c>
      <c r="D3796">
        <v>4.0399260000000004</v>
      </c>
      <c r="E3796">
        <v>0.54839749999999998</v>
      </c>
      <c r="F3796" t="s">
        <v>47</v>
      </c>
      <c r="G3796">
        <v>-292.62220000000002</v>
      </c>
      <c r="H3796" s="1">
        <v>1.3595409999999999E-6</v>
      </c>
      <c r="I3796">
        <v>215.16390000000001</v>
      </c>
      <c r="J3796">
        <v>-313.93810000000002</v>
      </c>
      <c r="K3796">
        <v>1.1102129999999999</v>
      </c>
      <c r="L3796">
        <v>214.2251</v>
      </c>
      <c r="M3796">
        <v>0.999884</v>
      </c>
      <c r="N3796">
        <v>-1.5142620000000001E-2</v>
      </c>
      <c r="O3796">
        <v>1.6277310000000001E-3</v>
      </c>
      <c r="P3796">
        <v>0.93048260000000005</v>
      </c>
      <c r="Q3796">
        <v>0.33613720000000002</v>
      </c>
      <c r="R3796">
        <v>0.14565059999999999</v>
      </c>
      <c r="S3796">
        <v>3.2631839999999999</v>
      </c>
      <c r="T3796">
        <v>-0.16791020000000001</v>
      </c>
      <c r="U3796">
        <v>0.14202879999999901</v>
      </c>
      <c r="V3796">
        <v>-0.1439202</v>
      </c>
      <c r="W3796">
        <v>0.3502808</v>
      </c>
      <c r="X3796">
        <v>0.9255217</v>
      </c>
      <c r="Y3796">
        <v>-4.1786619999999997E-2</v>
      </c>
      <c r="Z3796">
        <v>1.33165E-3</v>
      </c>
      <c r="AA3796">
        <v>0.99912570000000001</v>
      </c>
      <c r="AB3796">
        <v>40</v>
      </c>
      <c r="AC3796">
        <v>21.315899999999999</v>
      </c>
      <c r="AD3796">
        <v>-1.1102116404589999</v>
      </c>
      <c r="AE3796">
        <v>0.93880000000001396</v>
      </c>
      <c r="AF3796">
        <v>-0.90165702204287002</v>
      </c>
      <c r="AG3796">
        <v>-1.1102116404589999</v>
      </c>
      <c r="AH3796">
        <v>21.2598398038776</v>
      </c>
      <c r="AI3796">
        <v>92.986651703205496</v>
      </c>
      <c r="AJ3796">
        <v>92.428531974253502</v>
      </c>
      <c r="AK3796">
        <v>21.307893930619901</v>
      </c>
      <c r="AL3796">
        <v>69.495509802703594</v>
      </c>
      <c r="AM3796">
        <v>98.838801878479998</v>
      </c>
      <c r="AN3796">
        <v>1.0000000399937801</v>
      </c>
    </row>
    <row r="3797" spans="1:40" x14ac:dyDescent="0.25">
      <c r="A3797" t="str">
        <f>"20190304164204430"</f>
        <v>20190304164204430</v>
      </c>
      <c r="B3797" t="str">
        <f>"1551688924424996"</f>
        <v>1551688924424996</v>
      </c>
      <c r="C3797" t="s">
        <v>40</v>
      </c>
      <c r="D3797">
        <v>4.0530790000000003</v>
      </c>
      <c r="E3797">
        <v>0.548317099999999</v>
      </c>
      <c r="F3797" t="s">
        <v>47</v>
      </c>
      <c r="G3797">
        <v>-292.54629999999997</v>
      </c>
      <c r="H3797" s="1">
        <v>1.34608E-6</v>
      </c>
      <c r="I3797">
        <v>215.15729999999999</v>
      </c>
      <c r="J3797">
        <v>-313.70100000000002</v>
      </c>
      <c r="K3797">
        <v>1.110209</v>
      </c>
      <c r="L3797">
        <v>214.22540000000001</v>
      </c>
      <c r="M3797">
        <v>0.99988440000000001</v>
      </c>
      <c r="N3797">
        <v>-1.513988E-2</v>
      </c>
      <c r="O3797">
        <v>1.500092E-3</v>
      </c>
      <c r="P3797">
        <v>0.93043339999999997</v>
      </c>
      <c r="Q3797">
        <v>0.33631889999999998</v>
      </c>
      <c r="R3797">
        <v>0.1455466</v>
      </c>
      <c r="S3797">
        <v>3.2630620000000001</v>
      </c>
      <c r="T3797">
        <v>-0.16934929999999901</v>
      </c>
      <c r="U3797">
        <v>0.14219670000000001</v>
      </c>
      <c r="V3797">
        <v>-0.14393510000000001</v>
      </c>
      <c r="W3797">
        <v>0.35045900000000002</v>
      </c>
      <c r="X3797">
        <v>0.92545189999999999</v>
      </c>
      <c r="Y3797">
        <v>-4.1965620000000002E-2</v>
      </c>
      <c r="Z3797">
        <v>1.350787E-3</v>
      </c>
      <c r="AA3797">
        <v>0.99911810000000001</v>
      </c>
      <c r="AB3797">
        <v>40</v>
      </c>
      <c r="AC3797">
        <v>21.154699999999899</v>
      </c>
      <c r="AD3797">
        <v>-1.1102076539200001</v>
      </c>
      <c r="AE3797">
        <v>0.93189999999998396</v>
      </c>
      <c r="AF3797">
        <v>-0.89769368692027796</v>
      </c>
      <c r="AG3797">
        <v>-1.1102076539200001</v>
      </c>
      <c r="AH3797">
        <v>21.0980786083529</v>
      </c>
      <c r="AI3797">
        <v>93.009480463606096</v>
      </c>
      <c r="AJ3797">
        <v>92.436385593581093</v>
      </c>
      <c r="AK3797">
        <v>21.146331501104299</v>
      </c>
      <c r="AL3797">
        <v>69.484608291510995</v>
      </c>
      <c r="AM3797">
        <v>98.840358687479707</v>
      </c>
      <c r="AN3797">
        <v>1.0000000214533</v>
      </c>
    </row>
    <row r="3798" spans="1:40" x14ac:dyDescent="0.25">
      <c r="A3798" t="str">
        <f>"20190304164204447"</f>
        <v>20190304164204447</v>
      </c>
      <c r="B3798" t="str">
        <f>"1551688924434754"</f>
        <v>1551688924434754</v>
      </c>
      <c r="C3798" t="s">
        <v>40</v>
      </c>
      <c r="D3798">
        <v>4.0498820000000002</v>
      </c>
      <c r="E3798">
        <v>0.54832669999999994</v>
      </c>
      <c r="F3798" t="s">
        <v>47</v>
      </c>
      <c r="G3798">
        <v>-292.22910000000002</v>
      </c>
      <c r="H3798" s="1">
        <v>1.28981E-6</v>
      </c>
      <c r="I3798">
        <v>215.1662</v>
      </c>
      <c r="J3798">
        <v>-313.40969999999999</v>
      </c>
      <c r="K3798">
        <v>1.110209</v>
      </c>
      <c r="L3798">
        <v>214.22569999999999</v>
      </c>
      <c r="M3798">
        <v>0.99988469999999996</v>
      </c>
      <c r="N3798">
        <v>-1.5136510000000001E-2</v>
      </c>
      <c r="O3798">
        <v>1.3433129999999901E-3</v>
      </c>
      <c r="P3798">
        <v>0.93054159999999997</v>
      </c>
      <c r="Q3798">
        <v>0.33603090000000002</v>
      </c>
      <c r="R3798">
        <v>0.14552000000000001</v>
      </c>
      <c r="S3798">
        <v>3.2629389999999998</v>
      </c>
      <c r="T3798">
        <v>-0.1687101</v>
      </c>
      <c r="U3798">
        <v>0.14297489999999999</v>
      </c>
      <c r="V3798">
        <v>-0.1440546</v>
      </c>
      <c r="W3798">
        <v>0.35016920000000001</v>
      </c>
      <c r="X3798">
        <v>0.925543</v>
      </c>
      <c r="Y3798">
        <v>-4.2361419999999997E-2</v>
      </c>
      <c r="Z3798">
        <v>1.3658819999999999E-3</v>
      </c>
      <c r="AA3798">
        <v>0.99910140000000003</v>
      </c>
      <c r="AB3798">
        <v>40</v>
      </c>
      <c r="AC3798">
        <v>21.180599999999899</v>
      </c>
      <c r="AD3798">
        <v>-1.1102077101899901</v>
      </c>
      <c r="AE3798">
        <v>0.94050000000001399</v>
      </c>
      <c r="AF3798">
        <v>-0.90954968345112996</v>
      </c>
      <c r="AG3798">
        <v>-1.1102077101899901</v>
      </c>
      <c r="AH3798">
        <v>21.123921415779598</v>
      </c>
      <c r="AI3798">
        <v>93.005740328146203</v>
      </c>
      <c r="AJ3798">
        <v>92.465507575916803</v>
      </c>
      <c r="AK3798">
        <v>21.1726214193346</v>
      </c>
      <c r="AL3798">
        <v>69.502335953031803</v>
      </c>
      <c r="AM3798">
        <v>98.846725110780895</v>
      </c>
      <c r="AN3798">
        <v>1.00000002062939</v>
      </c>
    </row>
    <row r="3799" spans="1:40" x14ac:dyDescent="0.25">
      <c r="A3799" t="str">
        <f>"20190304164204470"</f>
        <v>20190304164204470</v>
      </c>
      <c r="B3799" t="str">
        <f>"1551688924465010"</f>
        <v>1551688924465010</v>
      </c>
      <c r="C3799" t="s">
        <v>40</v>
      </c>
      <c r="D3799">
        <v>4.0453720000000004</v>
      </c>
      <c r="E3799">
        <v>0.55583700000000003</v>
      </c>
      <c r="F3799" t="s">
        <v>47</v>
      </c>
      <c r="G3799">
        <v>-292.13310000000001</v>
      </c>
      <c r="H3799" s="1">
        <v>1.27278E-6</v>
      </c>
      <c r="I3799">
        <v>215.1593</v>
      </c>
      <c r="J3799">
        <v>-312.98809999999997</v>
      </c>
      <c r="K3799">
        <v>1.1102050000000001</v>
      </c>
      <c r="L3799">
        <v>214.226</v>
      </c>
      <c r="M3799">
        <v>0.99988500000000002</v>
      </c>
      <c r="N3799">
        <v>-1.5131840000000001E-2</v>
      </c>
      <c r="O3799">
        <v>1.116398E-3</v>
      </c>
      <c r="P3799">
        <v>0.93068099999999998</v>
      </c>
      <c r="Q3799">
        <v>0.33575480000000002</v>
      </c>
      <c r="R3799">
        <v>0.14526520000000001</v>
      </c>
      <c r="S3799">
        <v>3.2629999999999999</v>
      </c>
      <c r="T3799">
        <v>-0.17026259999999999</v>
      </c>
      <c r="U3799">
        <v>0.1431732</v>
      </c>
      <c r="V3799">
        <v>-0.14401149999999999</v>
      </c>
      <c r="W3799">
        <v>0.34989009999999998</v>
      </c>
      <c r="X3799">
        <v>0.92565520000000001</v>
      </c>
      <c r="Y3799">
        <v>-4.2646129999999997E-2</v>
      </c>
      <c r="Z3799">
        <v>1.393149E-3</v>
      </c>
      <c r="AA3799">
        <v>0.99908920000000001</v>
      </c>
      <c r="AB3799">
        <v>40</v>
      </c>
      <c r="AC3799">
        <v>20.854999999999901</v>
      </c>
      <c r="AD3799">
        <v>-1.1102037272199901</v>
      </c>
      <c r="AE3799">
        <v>0.93330000000000202</v>
      </c>
      <c r="AF3799">
        <v>-0.90744779566488398</v>
      </c>
      <c r="AG3799">
        <v>-1.1102037272199901</v>
      </c>
      <c r="AH3799">
        <v>20.7972095800252</v>
      </c>
      <c r="AI3799">
        <v>93.052783318101802</v>
      </c>
      <c r="AJ3799">
        <v>92.498410695336901</v>
      </c>
      <c r="AK3799">
        <v>20.846581017838002</v>
      </c>
      <c r="AL3799">
        <v>69.519406106372699</v>
      </c>
      <c r="AM3799">
        <v>98.843065026517806</v>
      </c>
      <c r="AN3799">
        <v>0.99999997174864896</v>
      </c>
    </row>
    <row r="3800" spans="1:40" x14ac:dyDescent="0.25">
      <c r="A3800" t="str">
        <f>"20190304164204493"</f>
        <v>20190304164204493</v>
      </c>
      <c r="B3800" t="str">
        <f>"1551688924484530"</f>
        <v>1551688924484530</v>
      </c>
      <c r="C3800" t="s">
        <v>40</v>
      </c>
      <c r="D3800">
        <v>4.0124050000000002</v>
      </c>
      <c r="E3800">
        <v>0.55650699999999997</v>
      </c>
      <c r="F3800" t="s">
        <v>47</v>
      </c>
      <c r="G3800">
        <v>-290.22620000000001</v>
      </c>
      <c r="H3800" s="1">
        <v>9.3452739999999998E-7</v>
      </c>
      <c r="I3800">
        <v>214.7971</v>
      </c>
      <c r="J3800">
        <v>-312.57400000000001</v>
      </c>
      <c r="K3800">
        <v>1.1102050000000001</v>
      </c>
      <c r="L3800">
        <v>214.22630000000001</v>
      </c>
      <c r="M3800">
        <v>0.99988529999999998</v>
      </c>
      <c r="N3800">
        <v>-1.512727E-2</v>
      </c>
      <c r="O3800">
        <v>8.9335700000000001E-4</v>
      </c>
      <c r="P3800">
        <v>0.93064669999999905</v>
      </c>
      <c r="Q3800">
        <v>0.33599459999999998</v>
      </c>
      <c r="R3800">
        <v>0.14493039999999999</v>
      </c>
      <c r="S3800">
        <v>3.2681269999999998</v>
      </c>
      <c r="T3800">
        <v>-0.1594014</v>
      </c>
      <c r="U3800">
        <v>8.1985470000000005E-2</v>
      </c>
      <c r="V3800">
        <v>-0.14388500000000001</v>
      </c>
      <c r="W3800">
        <v>0.35012450000000001</v>
      </c>
      <c r="X3800">
        <v>0.92558629999999997</v>
      </c>
      <c r="Y3800">
        <v>-2.4148200000000002E-2</v>
      </c>
      <c r="Z3800">
        <v>7.4126289999999902E-4</v>
      </c>
      <c r="AA3800">
        <v>0.99970809999999999</v>
      </c>
      <c r="AB3800">
        <v>40</v>
      </c>
      <c r="AC3800">
        <v>22.347799999999999</v>
      </c>
      <c r="AD3800">
        <v>-1.1102040654726</v>
      </c>
      <c r="AE3800">
        <v>0.57079999999999098</v>
      </c>
      <c r="AF3800">
        <v>-0.54947772780302995</v>
      </c>
      <c r="AG3800">
        <v>-1.1102040654726</v>
      </c>
      <c r="AH3800">
        <v>22.293318177378399</v>
      </c>
      <c r="AI3800">
        <v>92.850102212563399</v>
      </c>
      <c r="AJ3800">
        <v>91.411919997211001</v>
      </c>
      <c r="AK3800">
        <v>22.3277073206851</v>
      </c>
      <c r="AL3800">
        <v>69.505070337662602</v>
      </c>
      <c r="AM3800">
        <v>98.836067196404201</v>
      </c>
      <c r="AN3800">
        <v>1.0000000287364601</v>
      </c>
    </row>
    <row r="3801" spans="1:40" x14ac:dyDescent="0.25">
      <c r="A3801" t="str">
        <f>"20190304164204513"</f>
        <v>20190304164204513</v>
      </c>
      <c r="B3801" t="str">
        <f>"1551688924505027"</f>
        <v>1551688924505027</v>
      </c>
      <c r="C3801" t="s">
        <v>40</v>
      </c>
      <c r="D3801">
        <v>4.0463719999999999</v>
      </c>
      <c r="E3801">
        <v>0.55636859999999999</v>
      </c>
      <c r="F3801" t="s">
        <v>47</v>
      </c>
      <c r="G3801">
        <v>-291.09820000000002</v>
      </c>
      <c r="H3801" s="1">
        <v>1.0892150000000001E-6</v>
      </c>
      <c r="I3801">
        <v>214.73089999999999</v>
      </c>
      <c r="J3801">
        <v>-312.2038</v>
      </c>
      <c r="K3801">
        <v>1.1102069999999999</v>
      </c>
      <c r="L3801">
        <v>214.22640000000001</v>
      </c>
      <c r="M3801">
        <v>0.99988549999999998</v>
      </c>
      <c r="N3801">
        <v>-1.512311E-2</v>
      </c>
      <c r="O3801">
        <v>6.9373660000000001E-4</v>
      </c>
      <c r="P3801">
        <v>0.93077019999999999</v>
      </c>
      <c r="Q3801">
        <v>0.33589550000000001</v>
      </c>
      <c r="R3801">
        <v>0.1443661</v>
      </c>
      <c r="S3801">
        <v>3.272675</v>
      </c>
      <c r="T3801">
        <v>-0.16918269999999999</v>
      </c>
      <c r="U3801">
        <v>7.6904299999999995E-2</v>
      </c>
      <c r="V3801">
        <v>-0.14350689999999999</v>
      </c>
      <c r="W3801">
        <v>0.35002220000000001</v>
      </c>
      <c r="X3801">
        <v>0.9256837</v>
      </c>
      <c r="Y3801">
        <v>-2.2759979999999999E-2</v>
      </c>
      <c r="Z3801">
        <v>7.3475570000000004E-4</v>
      </c>
      <c r="AA3801">
        <v>0.99974070000000004</v>
      </c>
      <c r="AB3801">
        <v>40</v>
      </c>
      <c r="AC3801">
        <v>21.1055999999999</v>
      </c>
      <c r="AD3801">
        <v>-1.110205910785</v>
      </c>
      <c r="AE3801">
        <v>0.50449999999997797</v>
      </c>
      <c r="AF3801">
        <v>-0.48850554749240999</v>
      </c>
      <c r="AG3801">
        <v>-1.110205910785</v>
      </c>
      <c r="AH3801">
        <v>21.047738779022499</v>
      </c>
      <c r="AI3801">
        <v>93.018573193506896</v>
      </c>
      <c r="AJ3801">
        <v>91.329562397627797</v>
      </c>
      <c r="AK3801">
        <v>21.082658811076001</v>
      </c>
      <c r="AL3801">
        <v>69.511327920031903</v>
      </c>
      <c r="AM3801">
        <v>98.812300067210401</v>
      </c>
      <c r="AN3801">
        <v>1.0000000416430599</v>
      </c>
    </row>
    <row r="3802" spans="1:40" x14ac:dyDescent="0.25">
      <c r="A3802" t="str">
        <f>"20190304164204536"</f>
        <v>20190304164204536</v>
      </c>
      <c r="B3802" t="str">
        <f>"1551688924524547"</f>
        <v>1551688924524547</v>
      </c>
      <c r="C3802" t="s">
        <v>40</v>
      </c>
      <c r="D3802">
        <v>4.0141920000000004</v>
      </c>
      <c r="E3802">
        <v>0.55609410000000004</v>
      </c>
      <c r="F3802" t="s">
        <v>47</v>
      </c>
      <c r="G3802">
        <v>-290.68849999999998</v>
      </c>
      <c r="H3802" s="1">
        <v>1.0165389999999999E-6</v>
      </c>
      <c r="I3802">
        <v>214.72579999999999</v>
      </c>
      <c r="J3802">
        <v>-311.80790000000002</v>
      </c>
      <c r="K3802">
        <v>1.1102129999999999</v>
      </c>
      <c r="L3802">
        <v>214.22649999999999</v>
      </c>
      <c r="M3802">
        <v>0.99988560000000004</v>
      </c>
      <c r="N3802">
        <v>-1.5118639999999999E-2</v>
      </c>
      <c r="O3802">
        <v>4.8040879999999999E-4</v>
      </c>
      <c r="P3802">
        <v>0.93064919999999995</v>
      </c>
      <c r="Q3802">
        <v>0.33640330000000002</v>
      </c>
      <c r="R3802">
        <v>0.14396099999999901</v>
      </c>
      <c r="S3802">
        <v>3.2723390000000001</v>
      </c>
      <c r="T3802">
        <v>-0.16885549999999999</v>
      </c>
      <c r="U3802">
        <v>7.5942990000000002E-2</v>
      </c>
      <c r="V3802">
        <v>-0.14329990000000001</v>
      </c>
      <c r="W3802">
        <v>0.35052369999999999</v>
      </c>
      <c r="X3802">
        <v>0.92552599999999996</v>
      </c>
      <c r="Y3802">
        <v>-2.2682279999999999E-2</v>
      </c>
      <c r="Z3802">
        <v>7.3887750000000004E-4</v>
      </c>
      <c r="AA3802">
        <v>0.99974240000000003</v>
      </c>
      <c r="AB3802">
        <v>40</v>
      </c>
      <c r="AC3802">
        <v>21.119399999999999</v>
      </c>
      <c r="AD3802">
        <v>-1.11021198346099</v>
      </c>
      <c r="AE3802">
        <v>0.49930000000000502</v>
      </c>
      <c r="AF3802">
        <v>-0.48780557295062099</v>
      </c>
      <c r="AG3802">
        <v>-1.11021198346099</v>
      </c>
      <c r="AH3802">
        <v>21.061468050977101</v>
      </c>
      <c r="AI3802">
        <v>93.016628965881296</v>
      </c>
      <c r="AJ3802">
        <v>91.326792817110203</v>
      </c>
      <c r="AK3802">
        <v>21.096349480124498</v>
      </c>
      <c r="AL3802">
        <v>69.480650811983594</v>
      </c>
      <c r="AM3802">
        <v>98.801263868206803</v>
      </c>
      <c r="AN3802">
        <v>1.0000000511388401</v>
      </c>
    </row>
    <row r="3803" spans="1:40" x14ac:dyDescent="0.25">
      <c r="A3803" t="str">
        <f>"20190304164204551"</f>
        <v>20190304164204551</v>
      </c>
      <c r="B3803" t="str">
        <f>"1551688924545043"</f>
        <v>1551688924545043</v>
      </c>
      <c r="C3803" t="s">
        <v>40</v>
      </c>
      <c r="D3803">
        <v>4.0251039999999998</v>
      </c>
      <c r="E3803">
        <v>0.55581459999999905</v>
      </c>
      <c r="F3803" t="s">
        <v>47</v>
      </c>
      <c r="G3803">
        <v>-290.17180000000002</v>
      </c>
      <c r="H3803" s="1">
        <v>9.2488299999999998E-7</v>
      </c>
      <c r="I3803">
        <v>214.7347</v>
      </c>
      <c r="J3803">
        <v>-311.5265</v>
      </c>
      <c r="K3803">
        <v>1.110217</v>
      </c>
      <c r="L3803">
        <v>214.22649999999999</v>
      </c>
      <c r="M3803">
        <v>0.99988589999999999</v>
      </c>
      <c r="N3803">
        <v>-1.5115450000000001E-2</v>
      </c>
      <c r="O3803">
        <v>3.282793E-4</v>
      </c>
      <c r="P3803">
        <v>0.93070730000000002</v>
      </c>
      <c r="Q3803">
        <v>0.3363525</v>
      </c>
      <c r="R3803">
        <v>0.14370550000000001</v>
      </c>
      <c r="S3803">
        <v>3.2723689999999999</v>
      </c>
      <c r="T3803">
        <v>-0.16791500000000001</v>
      </c>
      <c r="U3803">
        <v>7.685852E-2</v>
      </c>
      <c r="V3803">
        <v>-0.14318689999999901</v>
      </c>
      <c r="W3803">
        <v>0.3504697</v>
      </c>
      <c r="X3803">
        <v>0.92556389999999999</v>
      </c>
      <c r="Y3803">
        <v>-2.3113270000000002E-2</v>
      </c>
      <c r="Z3803">
        <v>7.5552789999999996E-4</v>
      </c>
      <c r="AA3803">
        <v>0.99973259999999997</v>
      </c>
      <c r="AB3803">
        <v>40</v>
      </c>
      <c r="AC3803">
        <v>21.354699999999902</v>
      </c>
      <c r="AD3803">
        <v>-1.110216075117</v>
      </c>
      <c r="AE3803">
        <v>0.50820000000001597</v>
      </c>
      <c r="AF3803">
        <v>-0.49983862386835998</v>
      </c>
      <c r="AG3803">
        <v>-1.110216075117</v>
      </c>
      <c r="AH3803">
        <v>21.297333971047699</v>
      </c>
      <c r="AI3803">
        <v>92.983270345571697</v>
      </c>
      <c r="AJ3803">
        <v>91.344458753485796</v>
      </c>
      <c r="AK3803">
        <v>21.3321084906697</v>
      </c>
      <c r="AL3803">
        <v>69.483953592952602</v>
      </c>
      <c r="AM3803">
        <v>98.794077630065104</v>
      </c>
      <c r="AN3803">
        <v>1.0000000159664499</v>
      </c>
    </row>
    <row r="3804" spans="1:40" x14ac:dyDescent="0.25">
      <c r="A3804" t="str">
        <f>"20190304164204564"</f>
        <v>20190304164204564</v>
      </c>
      <c r="B3804" t="str">
        <f>"1551688924554806"</f>
        <v>1551688924554806</v>
      </c>
      <c r="C3804" t="s">
        <v>40</v>
      </c>
      <c r="D3804">
        <v>4.0508629999999997</v>
      </c>
      <c r="E3804">
        <v>0.55565799999999999</v>
      </c>
      <c r="F3804" t="s">
        <v>47</v>
      </c>
      <c r="G3804">
        <v>-289.9572</v>
      </c>
      <c r="H3804" s="1">
        <v>2.6600209999999999E-6</v>
      </c>
      <c r="I3804">
        <v>214.74469999999999</v>
      </c>
      <c r="J3804">
        <v>-311.2937</v>
      </c>
      <c r="K3804">
        <v>1.11022</v>
      </c>
      <c r="L3804">
        <v>214.22649999999999</v>
      </c>
      <c r="M3804">
        <v>0.99988580000000005</v>
      </c>
      <c r="N3804">
        <v>-1.5112799999999999E-2</v>
      </c>
      <c r="O3804">
        <v>2.0290750000000001E-4</v>
      </c>
      <c r="P3804">
        <v>0.93065399999999998</v>
      </c>
      <c r="Q3804">
        <v>0.33663480000000001</v>
      </c>
      <c r="R3804">
        <v>0.14338819999999999</v>
      </c>
      <c r="S3804">
        <v>3.2720950000000002</v>
      </c>
      <c r="T3804">
        <v>-0.16842099999999999</v>
      </c>
      <c r="U3804">
        <v>7.8613279999999994E-2</v>
      </c>
      <c r="V3804">
        <v>-0.14298649999999999</v>
      </c>
      <c r="W3804">
        <v>0.35074880000000003</v>
      </c>
      <c r="X3804">
        <v>0.92548909999999995</v>
      </c>
      <c r="Y3804">
        <v>-2.3774989999999999E-2</v>
      </c>
      <c r="Z3804">
        <v>7.8385199999999905E-4</v>
      </c>
      <c r="AA3804">
        <v>0.99971710000000003</v>
      </c>
      <c r="AB3804">
        <v>40</v>
      </c>
      <c r="AC3804">
        <v>21.336500000000001</v>
      </c>
      <c r="AD3804">
        <v>-1.1102173399789901</v>
      </c>
      <c r="AE3804">
        <v>0.51820000000000699</v>
      </c>
      <c r="AF3804">
        <v>-0.51248342439403105</v>
      </c>
      <c r="AG3804">
        <v>-1.1102173399789901</v>
      </c>
      <c r="AH3804">
        <v>21.279025563799699</v>
      </c>
      <c r="AI3804">
        <v>92.985792378294605</v>
      </c>
      <c r="AJ3804">
        <v>91.379643157698993</v>
      </c>
      <c r="AK3804">
        <v>21.314130307078202</v>
      </c>
      <c r="AL3804">
        <v>69.466877392190497</v>
      </c>
      <c r="AM3804">
        <v>98.782660413253197</v>
      </c>
      <c r="AN3804">
        <v>0.99999996705124905</v>
      </c>
    </row>
    <row r="3805" spans="1:40" x14ac:dyDescent="0.25">
      <c r="A3805" t="str">
        <f>"20190304164204581"</f>
        <v>20190304164204581</v>
      </c>
      <c r="B3805" t="str">
        <f>"1551688924575298"</f>
        <v>1551688924575298</v>
      </c>
      <c r="C3805" t="s">
        <v>40</v>
      </c>
      <c r="D3805">
        <v>4.041239</v>
      </c>
      <c r="E3805">
        <v>0.55548900000000001</v>
      </c>
      <c r="F3805" t="s">
        <v>47</v>
      </c>
      <c r="G3805">
        <v>-289.5881</v>
      </c>
      <c r="H3805" s="1">
        <v>2.8227020000000002E-6</v>
      </c>
      <c r="I3805">
        <v>214.75290000000001</v>
      </c>
      <c r="J3805">
        <v>-310.98820000000001</v>
      </c>
      <c r="K3805">
        <v>1.1102240000000001</v>
      </c>
      <c r="L3805">
        <v>214.22640000000001</v>
      </c>
      <c r="M3805">
        <v>0.99988589999999999</v>
      </c>
      <c r="N3805">
        <v>-1.5109340000000001E-2</v>
      </c>
      <c r="O3805" s="1">
        <v>3.9108369999999998E-5</v>
      </c>
      <c r="P3805">
        <v>0.93050949999999999</v>
      </c>
      <c r="Q3805">
        <v>0.33695209999999998</v>
      </c>
      <c r="R3805">
        <v>0.14358209999999999</v>
      </c>
      <c r="S3805">
        <v>3.2718509999999998</v>
      </c>
      <c r="T3805">
        <v>-0.167351799999999</v>
      </c>
      <c r="U3805">
        <v>7.9345700000000005E-2</v>
      </c>
      <c r="V3805">
        <v>-0.14333360000000001</v>
      </c>
      <c r="W3805">
        <v>0.35106009999999999</v>
      </c>
      <c r="X3805">
        <v>0.92531739999999996</v>
      </c>
      <c r="Y3805">
        <v>-2.4163899999999999E-2</v>
      </c>
      <c r="Z3805">
        <v>7.9881889999999995E-4</v>
      </c>
      <c r="AA3805">
        <v>0.99970769999999998</v>
      </c>
      <c r="AB3805">
        <v>40</v>
      </c>
      <c r="AC3805">
        <v>21.400099999999998</v>
      </c>
      <c r="AD3805">
        <v>-1.110221177298</v>
      </c>
      <c r="AE3805">
        <v>0.52649999999999797</v>
      </c>
      <c r="AF3805">
        <v>-0.52425283078698104</v>
      </c>
      <c r="AG3805">
        <v>-1.110221177298</v>
      </c>
      <c r="AH3805">
        <v>21.3427123376594</v>
      </c>
      <c r="AI3805">
        <v>92.976874434178697</v>
      </c>
      <c r="AJ3805">
        <v>91.407104921569996</v>
      </c>
      <c r="AK3805">
        <v>21.377998082636001</v>
      </c>
      <c r="AL3805">
        <v>69.447830783094702</v>
      </c>
      <c r="AM3805">
        <v>98.805254739157803</v>
      </c>
      <c r="AN3805">
        <v>1.0000000027218601</v>
      </c>
    </row>
    <row r="3806" spans="1:40" x14ac:dyDescent="0.25">
      <c r="A3806" t="str">
        <f>"20190304164204604"</f>
        <v>20190304164204604</v>
      </c>
      <c r="B3806" t="str">
        <f>"1551688924594818"</f>
        <v>1551688924594818</v>
      </c>
      <c r="C3806" t="s">
        <v>40</v>
      </c>
      <c r="D3806">
        <v>4.0394439999999996</v>
      </c>
      <c r="E3806">
        <v>0.55396599999999996</v>
      </c>
      <c r="F3806" t="s">
        <v>47</v>
      </c>
      <c r="G3806">
        <v>-289.08499999999998</v>
      </c>
      <c r="H3806" s="1">
        <v>3.0438579999999999E-6</v>
      </c>
      <c r="I3806">
        <v>214.76929999999999</v>
      </c>
      <c r="J3806">
        <v>-310.60750000000002</v>
      </c>
      <c r="K3806">
        <v>1.110236</v>
      </c>
      <c r="L3806">
        <v>214.22620000000001</v>
      </c>
      <c r="M3806">
        <v>0.99988589999999999</v>
      </c>
      <c r="N3806">
        <v>-1.510498E-2</v>
      </c>
      <c r="O3806">
        <v>-1.6299080000000001E-4</v>
      </c>
      <c r="P3806">
        <v>0.93006529999999998</v>
      </c>
      <c r="Q3806">
        <v>0.33767439999999999</v>
      </c>
      <c r="R3806">
        <v>0.14475679999999999</v>
      </c>
      <c r="S3806">
        <v>3.2715450000000001</v>
      </c>
      <c r="T3806">
        <v>-0.165827</v>
      </c>
      <c r="U3806">
        <v>8.1085210000000005E-2</v>
      </c>
      <c r="V3806">
        <v>-0.14469699999999999</v>
      </c>
      <c r="W3806">
        <v>0.35177170000000002</v>
      </c>
      <c r="X3806">
        <v>0.92483479999999996</v>
      </c>
      <c r="Y3806">
        <v>-2.4898750000000001E-2</v>
      </c>
      <c r="Z3806">
        <v>8.2456659999999998E-4</v>
      </c>
      <c r="AA3806">
        <v>0.99968959999999996</v>
      </c>
      <c r="AB3806">
        <v>40</v>
      </c>
      <c r="AC3806">
        <v>21.522500000000001</v>
      </c>
      <c r="AD3806">
        <v>-1.1102329561419999</v>
      </c>
      <c r="AE3806">
        <v>0.54309999999998104</v>
      </c>
      <c r="AF3806">
        <v>-0.54515862550539795</v>
      </c>
      <c r="AG3806">
        <v>-1.1102329561419999</v>
      </c>
      <c r="AH3806">
        <v>21.465328565427299</v>
      </c>
      <c r="AI3806">
        <v>92.959869840394703</v>
      </c>
      <c r="AJ3806">
        <v>91.454837979884402</v>
      </c>
      <c r="AK3806">
        <v>21.500933597535202</v>
      </c>
      <c r="AL3806">
        <v>69.404280998064706</v>
      </c>
      <c r="AM3806">
        <v>98.892243714902193</v>
      </c>
      <c r="AN3806">
        <v>0.999999979010464</v>
      </c>
    </row>
    <row r="3807" spans="1:40" x14ac:dyDescent="0.25">
      <c r="A3807" t="str">
        <f>"20190304164204625"</f>
        <v>20190304164204625</v>
      </c>
      <c r="B3807" t="str">
        <f>"1551688924615315"</f>
        <v>1551688924615315</v>
      </c>
      <c r="C3807" t="s">
        <v>40</v>
      </c>
      <c r="D3807">
        <v>4.0309549999999996</v>
      </c>
      <c r="E3807">
        <v>0.55378680000000002</v>
      </c>
      <c r="F3807" t="s">
        <v>47</v>
      </c>
      <c r="G3807">
        <v>-281.3186</v>
      </c>
      <c r="H3807" s="1">
        <v>6.4524850000000003E-6</v>
      </c>
      <c r="I3807">
        <v>215.0667</v>
      </c>
      <c r="J3807">
        <v>-310.21949999999998</v>
      </c>
      <c r="K3807">
        <v>1.110244</v>
      </c>
      <c r="L3807">
        <v>214.226</v>
      </c>
      <c r="M3807">
        <v>0.99988589999999999</v>
      </c>
      <c r="N3807">
        <v>-1.510064E-2</v>
      </c>
      <c r="O3807">
        <v>-3.644675E-4</v>
      </c>
      <c r="P3807">
        <v>0.93005190000000004</v>
      </c>
      <c r="Q3807">
        <v>0.33745249999999999</v>
      </c>
      <c r="R3807">
        <v>0.14535960000000001</v>
      </c>
      <c r="S3807">
        <v>3.2558289999999999</v>
      </c>
      <c r="T3807">
        <v>-0.1234161</v>
      </c>
      <c r="U3807">
        <v>9.3429570000000003E-2</v>
      </c>
      <c r="V3807">
        <v>-0.14548989999999901</v>
      </c>
      <c r="W3807">
        <v>0.35154400000000002</v>
      </c>
      <c r="X3807">
        <v>0.92479699999999998</v>
      </c>
      <c r="Y3807">
        <v>-2.9019409999999999E-2</v>
      </c>
      <c r="Z3807">
        <v>7.7727679999999998E-4</v>
      </c>
      <c r="AA3807">
        <v>0.99957850000000004</v>
      </c>
      <c r="AB3807">
        <v>40</v>
      </c>
      <c r="AC3807">
        <v>28.900899999999901</v>
      </c>
      <c r="AD3807">
        <v>-1.1102375475149999</v>
      </c>
      <c r="AE3807">
        <v>0.840699999999998</v>
      </c>
      <c r="AF3807">
        <v>-0.84998129552608803</v>
      </c>
      <c r="AG3807">
        <v>-1.1102375475149999</v>
      </c>
      <c r="AH3807">
        <v>28.858040752328201</v>
      </c>
      <c r="AI3807">
        <v>92.2022643746444</v>
      </c>
      <c r="AJ3807">
        <v>91.687095309843698</v>
      </c>
      <c r="AK3807">
        <v>28.8918952593576</v>
      </c>
      <c r="AL3807">
        <v>69.418217686455705</v>
      </c>
      <c r="AM3807">
        <v>98.940545318807693</v>
      </c>
      <c r="AN3807">
        <v>0.99999999307350496</v>
      </c>
    </row>
    <row r="3808" spans="1:40" x14ac:dyDescent="0.25">
      <c r="A3808" t="str">
        <f>"20190304164204648"</f>
        <v>20190304164204648</v>
      </c>
      <c r="B3808" t="str">
        <f>"1551688924634835"</f>
        <v>1551688924634835</v>
      </c>
      <c r="C3808" t="s">
        <v>40</v>
      </c>
      <c r="D3808">
        <v>4.0375100000000002</v>
      </c>
      <c r="E3808">
        <v>0.55388899999999996</v>
      </c>
      <c r="F3808" t="s">
        <v>47</v>
      </c>
      <c r="G3808">
        <v>-281.2276</v>
      </c>
      <c r="H3808" s="1">
        <v>6.4901489999999998E-6</v>
      </c>
      <c r="I3808">
        <v>215.0891</v>
      </c>
      <c r="J3808">
        <v>-309.80450000000002</v>
      </c>
      <c r="K3808">
        <v>1.1102449999999999</v>
      </c>
      <c r="L3808">
        <v>214.22559999999999</v>
      </c>
      <c r="M3808">
        <v>0.99988600000000005</v>
      </c>
      <c r="N3808">
        <v>-1.509602E-2</v>
      </c>
      <c r="O3808">
        <v>-5.7533129999999999E-4</v>
      </c>
      <c r="P3808">
        <v>0.93017729999999998</v>
      </c>
      <c r="Q3808">
        <v>0.33709609999999901</v>
      </c>
      <c r="R3808">
        <v>0.14538489999999901</v>
      </c>
      <c r="S3808">
        <v>3.2557070000000001</v>
      </c>
      <c r="T3808">
        <v>-0.1246768</v>
      </c>
      <c r="U3808">
        <v>9.6923830000000002E-2</v>
      </c>
      <c r="V3808">
        <v>-0.14571600000000001</v>
      </c>
      <c r="W3808">
        <v>0.35118329999999998</v>
      </c>
      <c r="X3808">
        <v>0.92489840000000001</v>
      </c>
      <c r="Y3808">
        <v>-3.0301290000000002E-2</v>
      </c>
      <c r="Z3808">
        <v>8.2208330000000003E-4</v>
      </c>
      <c r="AA3808">
        <v>0.9995404</v>
      </c>
      <c r="AB3808">
        <v>40</v>
      </c>
      <c r="AC3808">
        <v>28.576899999999998</v>
      </c>
      <c r="AD3808">
        <v>-1.1102385098509999</v>
      </c>
      <c r="AE3808">
        <v>0.86350000000001603</v>
      </c>
      <c r="AF3808">
        <v>-0.87861794381990999</v>
      </c>
      <c r="AG3808">
        <v>-1.1102385098509999</v>
      </c>
      <c r="AH3808">
        <v>28.5333696319876</v>
      </c>
      <c r="AI3808">
        <v>92.227210345895699</v>
      </c>
      <c r="AJ3808">
        <v>91.763731334718599</v>
      </c>
      <c r="AK3808">
        <v>28.568475311006502</v>
      </c>
      <c r="AL3808">
        <v>69.440290952499893</v>
      </c>
      <c r="AM3808">
        <v>98.953248723600694</v>
      </c>
      <c r="AN3808">
        <v>0.99999995658872398</v>
      </c>
    </row>
    <row r="3809" spans="1:40" x14ac:dyDescent="0.25">
      <c r="A3809" t="str">
        <f>"20190304164204670"</f>
        <v>20190304164204670</v>
      </c>
      <c r="B3809" t="str">
        <f>"1551688924665091"</f>
        <v>1551688924665091</v>
      </c>
      <c r="C3809" t="s">
        <v>40</v>
      </c>
      <c r="D3809">
        <v>4.020448</v>
      </c>
      <c r="E3809">
        <v>0.55410609999999905</v>
      </c>
      <c r="F3809" t="s">
        <v>47</v>
      </c>
      <c r="G3809">
        <v>-281.31979999999999</v>
      </c>
      <c r="H3809" s="1">
        <v>6.4507519999999997E-6</v>
      </c>
      <c r="I3809">
        <v>215.07689999999999</v>
      </c>
      <c r="J3809">
        <v>-309.40589999999997</v>
      </c>
      <c r="K3809">
        <v>1.11025</v>
      </c>
      <c r="L3809">
        <v>214.2252</v>
      </c>
      <c r="M3809">
        <v>0.99988589999999999</v>
      </c>
      <c r="N3809">
        <v>-1.50916E-2</v>
      </c>
      <c r="O3809">
        <v>-7.6827350000000004E-4</v>
      </c>
      <c r="P3809">
        <v>0.93027230000000005</v>
      </c>
      <c r="Q3809">
        <v>0.3369258</v>
      </c>
      <c r="R3809">
        <v>0.14517160000000001</v>
      </c>
      <c r="S3809">
        <v>3.2559809999999998</v>
      </c>
      <c r="T3809">
        <v>-0.12690699999999999</v>
      </c>
      <c r="U3809">
        <v>9.7305299999999997E-2</v>
      </c>
      <c r="V3809">
        <v>-0.14568789999999901</v>
      </c>
      <c r="W3809">
        <v>0.35100740000000002</v>
      </c>
      <c r="X3809">
        <v>0.92496970000000001</v>
      </c>
      <c r="Y3809">
        <v>-3.060732E-2</v>
      </c>
      <c r="Z3809">
        <v>8.4560479999999996E-4</v>
      </c>
      <c r="AA3809">
        <v>0.99953110000000001</v>
      </c>
      <c r="AB3809">
        <v>40</v>
      </c>
      <c r="AC3809">
        <v>28.086099999999899</v>
      </c>
      <c r="AD3809">
        <v>-1.1102435492479901</v>
      </c>
      <c r="AE3809">
        <v>0.85169999999999302</v>
      </c>
      <c r="AF3809">
        <v>-0.87191878407854795</v>
      </c>
      <c r="AG3809">
        <v>-1.1102435492479901</v>
      </c>
      <c r="AH3809">
        <v>28.041659070116701</v>
      </c>
      <c r="AI3809">
        <v>92.266213322954599</v>
      </c>
      <c r="AJ3809">
        <v>91.780963663920204</v>
      </c>
      <c r="AK3809">
        <v>28.0771709135613</v>
      </c>
      <c r="AL3809">
        <v>69.451056550318498</v>
      </c>
      <c r="AM3809">
        <v>98.950871287559806</v>
      </c>
      <c r="AN3809">
        <v>1.00000005248962</v>
      </c>
    </row>
    <row r="3810" spans="1:40" x14ac:dyDescent="0.25">
      <c r="A3810" t="str">
        <f>"20190304164204693"</f>
        <v>20190304164204693</v>
      </c>
      <c r="B3810" t="str">
        <f>"1551688924685116"</f>
        <v>1551688924685116</v>
      </c>
      <c r="C3810" t="s">
        <v>40</v>
      </c>
      <c r="D3810">
        <v>3.9992529999999999</v>
      </c>
      <c r="E3810">
        <v>0.55409900000000001</v>
      </c>
      <c r="F3810" t="s">
        <v>47</v>
      </c>
      <c r="G3810">
        <v>-281.22320000000002</v>
      </c>
      <c r="H3810" s="1">
        <v>6.4962130000000003E-6</v>
      </c>
      <c r="I3810">
        <v>215.0548</v>
      </c>
      <c r="J3810">
        <v>-309.00240000000002</v>
      </c>
      <c r="K3810">
        <v>1.1102609999999999</v>
      </c>
      <c r="L3810">
        <v>214.22470000000001</v>
      </c>
      <c r="M3810">
        <v>0.99988580000000005</v>
      </c>
      <c r="N3810">
        <v>-1.5087150000000001E-2</v>
      </c>
      <c r="O3810">
        <v>-9.4514190000000002E-4</v>
      </c>
      <c r="P3810">
        <v>0.93050250000000001</v>
      </c>
      <c r="Q3810">
        <v>0.33657520000000002</v>
      </c>
      <c r="R3810">
        <v>0.1445071</v>
      </c>
      <c r="S3810">
        <v>3.256348</v>
      </c>
      <c r="T3810">
        <v>-0.12828229999999999</v>
      </c>
      <c r="U3810">
        <v>9.5855709999999997E-2</v>
      </c>
      <c r="V3810">
        <v>-0.14519870000000001</v>
      </c>
      <c r="W3810">
        <v>0.3506514</v>
      </c>
      <c r="X3810">
        <v>0.92518160000000005</v>
      </c>
      <c r="Y3810">
        <v>-3.0335850000000001E-2</v>
      </c>
      <c r="Z3810">
        <v>8.4915570000000001E-4</v>
      </c>
      <c r="AA3810">
        <v>0.99953939999999997</v>
      </c>
      <c r="AB3810">
        <v>40</v>
      </c>
      <c r="AC3810">
        <v>27.779199999999999</v>
      </c>
      <c r="AD3810">
        <v>-1.110254503787</v>
      </c>
      <c r="AE3810">
        <v>0.83009999999998696</v>
      </c>
      <c r="AF3810">
        <v>-0.85499337935115705</v>
      </c>
      <c r="AG3810">
        <v>-1.110254503787</v>
      </c>
      <c r="AH3810">
        <v>27.734140767458999</v>
      </c>
      <c r="AI3810">
        <v>92.291356017232303</v>
      </c>
      <c r="AJ3810">
        <v>91.765765975175199</v>
      </c>
      <c r="AK3810">
        <v>27.769520032783198</v>
      </c>
      <c r="AL3810">
        <v>69.472837823806103</v>
      </c>
      <c r="AM3810">
        <v>98.919289276336897</v>
      </c>
      <c r="AN3810">
        <v>1.0000000298911</v>
      </c>
    </row>
    <row r="3811" spans="1:40" x14ac:dyDescent="0.25">
      <c r="A3811" t="str">
        <f>"20190304164204714"</f>
        <v>20190304164204714</v>
      </c>
      <c r="B3811" t="str">
        <f>"1551688924704636"</f>
        <v>1551688924704636</v>
      </c>
      <c r="C3811" t="s">
        <v>40</v>
      </c>
      <c r="D3811">
        <v>4.0194000000000001</v>
      </c>
      <c r="E3811">
        <v>0.55406979999999995</v>
      </c>
      <c r="F3811" t="s">
        <v>47</v>
      </c>
      <c r="G3811">
        <v>-281.24009999999998</v>
      </c>
      <c r="H3811" s="1">
        <v>6.4928319999999999E-6</v>
      </c>
      <c r="I3811">
        <v>215.02029999999999</v>
      </c>
      <c r="J3811">
        <v>-308.62950000000001</v>
      </c>
      <c r="K3811">
        <v>1.110274</v>
      </c>
      <c r="L3811">
        <v>214.2243</v>
      </c>
      <c r="M3811">
        <v>0.99988580000000005</v>
      </c>
      <c r="N3811">
        <v>-1.5083030000000001E-2</v>
      </c>
      <c r="O3811">
        <v>-1.0824350000000001E-3</v>
      </c>
      <c r="P3811">
        <v>0.93079920000000005</v>
      </c>
      <c r="Q3811">
        <v>0.33600940000000001</v>
      </c>
      <c r="R3811">
        <v>0.14391199999999901</v>
      </c>
      <c r="S3811">
        <v>3.2566830000000002</v>
      </c>
      <c r="T3811">
        <v>-0.13023950000000001</v>
      </c>
      <c r="U3811">
        <v>9.3322749999999996E-2</v>
      </c>
      <c r="V3811">
        <v>-0.14474779999999901</v>
      </c>
      <c r="W3811">
        <v>0.35007939999999999</v>
      </c>
      <c r="X3811">
        <v>0.92546879999999998</v>
      </c>
      <c r="Y3811">
        <v>-2.96931E-2</v>
      </c>
      <c r="Z3811">
        <v>8.4443119999999896E-4</v>
      </c>
      <c r="AA3811">
        <v>0.99955870000000002</v>
      </c>
      <c r="AB3811">
        <v>40</v>
      </c>
      <c r="AC3811">
        <v>27.389399999999998</v>
      </c>
      <c r="AD3811">
        <v>-1.1102675071679999</v>
      </c>
      <c r="AE3811">
        <v>0.79599999999999205</v>
      </c>
      <c r="AF3811">
        <v>-0.82429680666730298</v>
      </c>
      <c r="AG3811">
        <v>-1.1102675071679999</v>
      </c>
      <c r="AH3811">
        <v>27.343629121839001</v>
      </c>
      <c r="AI3811">
        <v>92.324120129406793</v>
      </c>
      <c r="AJ3811">
        <v>91.726706757132106</v>
      </c>
      <c r="AK3811">
        <v>27.3785721453044</v>
      </c>
      <c r="AL3811">
        <v>69.507828476174893</v>
      </c>
      <c r="AM3811">
        <v>98.889319217462301</v>
      </c>
      <c r="AN3811">
        <v>1.0000000058413101</v>
      </c>
    </row>
    <row r="3812" spans="1:40" x14ac:dyDescent="0.25">
      <c r="A3812" t="str">
        <f>"20190304164204736"</f>
        <v>20190304164204736</v>
      </c>
      <c r="B3812" t="str">
        <f>"1551688924725133"</f>
        <v>1551688924725133</v>
      </c>
      <c r="C3812" t="s">
        <v>40</v>
      </c>
      <c r="D3812">
        <v>4.6885969999999997</v>
      </c>
      <c r="E3812">
        <v>0.55523909999999999</v>
      </c>
      <c r="F3812" t="s">
        <v>47</v>
      </c>
      <c r="G3812">
        <v>-281.37569999999999</v>
      </c>
      <c r="H3812" s="1">
        <v>6.4377490000000001E-6</v>
      </c>
      <c r="I3812">
        <v>214.9777</v>
      </c>
      <c r="J3812">
        <v>-308.23930000000001</v>
      </c>
      <c r="K3812">
        <v>1.110298</v>
      </c>
      <c r="L3812">
        <v>214.22370000000001</v>
      </c>
      <c r="M3812">
        <v>0.99988569999999999</v>
      </c>
      <c r="N3812">
        <v>-1.507869E-2</v>
      </c>
      <c r="O3812">
        <v>-1.193583E-3</v>
      </c>
      <c r="P3812">
        <v>0.93125809999999998</v>
      </c>
      <c r="Q3812">
        <v>0.33493430000000002</v>
      </c>
      <c r="R3812">
        <v>0.1434482</v>
      </c>
      <c r="S3812">
        <v>3.2570190000000001</v>
      </c>
      <c r="T3812">
        <v>-0.1326851</v>
      </c>
      <c r="U3812">
        <v>9.0042109999999995E-2</v>
      </c>
      <c r="V3812">
        <v>-0.1444115</v>
      </c>
      <c r="W3812">
        <v>0.34899740000000001</v>
      </c>
      <c r="X3812">
        <v>0.92592989999999997</v>
      </c>
      <c r="Y3812">
        <v>-2.879514E-2</v>
      </c>
      <c r="Z3812">
        <v>8.3405429999999997E-4</v>
      </c>
      <c r="AA3812">
        <v>0.99958499999999995</v>
      </c>
      <c r="AB3812">
        <v>40</v>
      </c>
      <c r="AC3812">
        <v>26.863600000000002</v>
      </c>
      <c r="AD3812">
        <v>-1.1102915622509999</v>
      </c>
      <c r="AE3812">
        <v>0.75399999999999001</v>
      </c>
      <c r="AF3812">
        <v>-0.78472760364777205</v>
      </c>
      <c r="AG3812">
        <v>-1.1102915622509999</v>
      </c>
      <c r="AH3812">
        <v>26.816907483360499</v>
      </c>
      <c r="AI3812">
        <v>92.369830910367398</v>
      </c>
      <c r="AJ3812">
        <v>91.676134841493493</v>
      </c>
      <c r="AK3812">
        <v>26.8513513949718</v>
      </c>
      <c r="AL3812">
        <v>69.5739966106552</v>
      </c>
      <c r="AM3812">
        <v>98.864648439052104</v>
      </c>
      <c r="AN3812">
        <v>1.0000000231265</v>
      </c>
    </row>
    <row r="3813" spans="1:40" x14ac:dyDescent="0.25">
      <c r="A3813" t="str">
        <f>"20190304164204760"</f>
        <v>20190304164204760</v>
      </c>
      <c r="B3813" t="str">
        <f>"1551688924754413"</f>
        <v>1551688924754413</v>
      </c>
      <c r="C3813" t="s">
        <v>40</v>
      </c>
      <c r="D3813">
        <v>4.0044899999999997</v>
      </c>
      <c r="E3813">
        <v>0.55465509999999996</v>
      </c>
      <c r="F3813" t="s">
        <v>47</v>
      </c>
      <c r="G3813">
        <v>-286.48349999999999</v>
      </c>
      <c r="H3813" s="1">
        <v>4.1985469999999999E-6</v>
      </c>
      <c r="I3813">
        <v>214.76060000000001</v>
      </c>
      <c r="J3813">
        <v>-307.83159999999998</v>
      </c>
      <c r="K3813">
        <v>1.110336</v>
      </c>
      <c r="L3813">
        <v>214.22309999999999</v>
      </c>
      <c r="M3813">
        <v>0.99988569999999999</v>
      </c>
      <c r="N3813">
        <v>-1.5074209999999999E-2</v>
      </c>
      <c r="O3813">
        <v>-1.276274E-3</v>
      </c>
      <c r="P3813">
        <v>0.93116770000000004</v>
      </c>
      <c r="Q3813">
        <v>0.33538390000000001</v>
      </c>
      <c r="R3813">
        <v>0.1429841</v>
      </c>
      <c r="S3813">
        <v>3.269012</v>
      </c>
      <c r="T3813">
        <v>-0.16683220000000001</v>
      </c>
      <c r="U3813">
        <v>8.0673220000000004E-2</v>
      </c>
      <c r="V3813">
        <v>-0.14405119999999999</v>
      </c>
      <c r="W3813">
        <v>0.3494294</v>
      </c>
      <c r="X3813">
        <v>0.92582310000000001</v>
      </c>
      <c r="Y3813">
        <v>-2.590218E-2</v>
      </c>
      <c r="Z3813">
        <v>9.0170799999999998E-4</v>
      </c>
      <c r="AA3813">
        <v>0.99966410000000006</v>
      </c>
      <c r="AB3813">
        <v>40</v>
      </c>
      <c r="AC3813">
        <v>21.348099999999899</v>
      </c>
      <c r="AD3813">
        <v>-1.1103318014529999</v>
      </c>
      <c r="AE3813">
        <v>0.53750000000002196</v>
      </c>
      <c r="AF3813">
        <v>-0.56322604870149595</v>
      </c>
      <c r="AG3813">
        <v>-1.1103318014529999</v>
      </c>
      <c r="AH3813">
        <v>21.2898413692734</v>
      </c>
      <c r="AI3813">
        <v>92.9844069866909</v>
      </c>
      <c r="AJ3813">
        <v>91.515415247455394</v>
      </c>
      <c r="AK3813">
        <v>21.326214052664799</v>
      </c>
      <c r="AL3813">
        <v>69.547582059951395</v>
      </c>
      <c r="AM3813">
        <v>98.843885487229002</v>
      </c>
      <c r="AN3813">
        <v>1.0000000331497001</v>
      </c>
    </row>
    <row r="3814" spans="1:40" x14ac:dyDescent="0.25">
      <c r="A3814" t="str">
        <f>"20190304164204782"</f>
        <v>20190304164204782</v>
      </c>
      <c r="B3814" t="str">
        <f>"1551688924774909"</f>
        <v>1551688924774909</v>
      </c>
      <c r="C3814" t="s">
        <v>40</v>
      </c>
      <c r="D3814">
        <v>3.9759869999999999</v>
      </c>
      <c r="E3814">
        <v>0.55390950000000005</v>
      </c>
      <c r="F3814" t="s">
        <v>47</v>
      </c>
      <c r="G3814">
        <v>-280.42720000000003</v>
      </c>
      <c r="H3814" s="1">
        <v>6.8680059999999999E-6</v>
      </c>
      <c r="I3814">
        <v>214.89699999999999</v>
      </c>
      <c r="J3814">
        <v>-307.4366</v>
      </c>
      <c r="K3814">
        <v>1.1103670000000001</v>
      </c>
      <c r="L3814">
        <v>214.2226</v>
      </c>
      <c r="M3814">
        <v>0.99988560000000004</v>
      </c>
      <c r="N3814">
        <v>-1.5069859999999999E-2</v>
      </c>
      <c r="O3814">
        <v>-1.328514E-3</v>
      </c>
      <c r="P3814">
        <v>0.93105879999999996</v>
      </c>
      <c r="Q3814">
        <v>0.33590579999999998</v>
      </c>
      <c r="R3814">
        <v>0.14246689999999901</v>
      </c>
      <c r="S3814">
        <v>3.2569889999999999</v>
      </c>
      <c r="T3814">
        <v>-0.13196150000000001</v>
      </c>
      <c r="U3814">
        <v>8.0093380000000006E-2</v>
      </c>
      <c r="V3814">
        <v>-0.14360680000000001</v>
      </c>
      <c r="W3814">
        <v>0.34993550000000001</v>
      </c>
      <c r="X3814">
        <v>0.92570090000000005</v>
      </c>
      <c r="Y3814">
        <v>-2.5882490000000001E-2</v>
      </c>
      <c r="Z3814">
        <v>7.5299479999999897E-4</v>
      </c>
      <c r="AA3814">
        <v>0.99966469999999996</v>
      </c>
      <c r="AB3814">
        <v>40</v>
      </c>
      <c r="AC3814">
        <v>27.0093999999999</v>
      </c>
      <c r="AD3814">
        <v>-1.110360131994</v>
      </c>
      <c r="AE3814">
        <v>0.67440000000001898</v>
      </c>
      <c r="AF3814">
        <v>-0.70908820136395201</v>
      </c>
      <c r="AG3814">
        <v>-1.110360131994</v>
      </c>
      <c r="AH3814">
        <v>26.962939962571799</v>
      </c>
      <c r="AI3814">
        <v>92.357349434279399</v>
      </c>
      <c r="AJ3814">
        <v>91.506452890169399</v>
      </c>
      <c r="AK3814">
        <v>26.9951076516707</v>
      </c>
      <c r="AL3814">
        <v>69.516629122069205</v>
      </c>
      <c r="AM3814">
        <v>98.818176946864497</v>
      </c>
      <c r="AN3814">
        <v>0.99999996171364902</v>
      </c>
    </row>
    <row r="3815" spans="1:40" x14ac:dyDescent="0.25">
      <c r="A3815" t="str">
        <f>"20190304164204804"</f>
        <v>20190304164204804</v>
      </c>
      <c r="B3815" t="str">
        <f>"1551688924794428"</f>
        <v>1551688924794428</v>
      </c>
      <c r="C3815" t="s">
        <v>40</v>
      </c>
      <c r="D3815">
        <v>4.0010669999999999</v>
      </c>
      <c r="E3815">
        <v>0.55307850000000003</v>
      </c>
      <c r="F3815" t="s">
        <v>47</v>
      </c>
      <c r="G3815">
        <v>-285.68560000000002</v>
      </c>
      <c r="H3815" s="1">
        <v>4.547514E-6</v>
      </c>
      <c r="I3815">
        <v>214.8015</v>
      </c>
      <c r="J3815">
        <v>-307.05119999999999</v>
      </c>
      <c r="K3815">
        <v>1.1103860000000001</v>
      </c>
      <c r="L3815">
        <v>214.22200000000001</v>
      </c>
      <c r="M3815">
        <v>0.99988560000000004</v>
      </c>
      <c r="N3815">
        <v>-1.506564E-2</v>
      </c>
      <c r="O3815">
        <v>-1.3554750000000001E-3</v>
      </c>
      <c r="P3815">
        <v>0.93079449999999997</v>
      </c>
      <c r="Q3815">
        <v>0.3366709</v>
      </c>
      <c r="R3815">
        <v>0.142389299999999</v>
      </c>
      <c r="S3815">
        <v>3.2690730000000001</v>
      </c>
      <c r="T3815">
        <v>-0.16688249999999999</v>
      </c>
      <c r="U3815">
        <v>8.7005620000000006E-2</v>
      </c>
      <c r="V3815">
        <v>-0.14357310000000001</v>
      </c>
      <c r="W3815">
        <v>0.35068500000000002</v>
      </c>
      <c r="X3815">
        <v>0.92542250000000004</v>
      </c>
      <c r="Y3815">
        <v>-2.7912530000000001E-2</v>
      </c>
      <c r="Z3815">
        <v>9.7107789999999997E-4</v>
      </c>
      <c r="AA3815">
        <v>0.99960990000000005</v>
      </c>
      <c r="AB3815">
        <v>39</v>
      </c>
      <c r="AC3815">
        <v>21.365599999999901</v>
      </c>
      <c r="AD3815">
        <v>-1.1103814524860001</v>
      </c>
      <c r="AE3815">
        <v>0.57949999999999502</v>
      </c>
      <c r="AF3815">
        <v>-0.60682549935972097</v>
      </c>
      <c r="AG3815">
        <v>-1.1103814524860001</v>
      </c>
      <c r="AH3815">
        <v>21.307287477900601</v>
      </c>
      <c r="AI3815">
        <v>92.981935508627103</v>
      </c>
      <c r="AJ3815">
        <v>91.631326579456598</v>
      </c>
      <c r="AK3815">
        <v>21.344828034505198</v>
      </c>
      <c r="AL3815">
        <v>69.470781591991098</v>
      </c>
      <c r="AM3815">
        <v>98.818750635330503</v>
      </c>
      <c r="AN3815">
        <v>1.0000000038874299</v>
      </c>
    </row>
    <row r="3816" spans="1:40" x14ac:dyDescent="0.25">
      <c r="A3816" t="str">
        <f>"20190304164204826"</f>
        <v>20190304164204826</v>
      </c>
      <c r="B3816" t="str">
        <f>"1551688924814925"</f>
        <v>1551688924814925</v>
      </c>
      <c r="C3816" t="s">
        <v>40</v>
      </c>
      <c r="D3816">
        <v>4.0240410000000004</v>
      </c>
      <c r="E3816">
        <v>0.54954639999999999</v>
      </c>
      <c r="F3816" t="s">
        <v>46</v>
      </c>
      <c r="G3816">
        <v>-278.51369999999997</v>
      </c>
      <c r="H3816" s="1">
        <v>2.976163E-6</v>
      </c>
      <c r="I3816">
        <v>215.0198</v>
      </c>
      <c r="J3816">
        <v>-306.65640000000002</v>
      </c>
      <c r="K3816">
        <v>1.110406</v>
      </c>
      <c r="L3816">
        <v>214.22149999999999</v>
      </c>
      <c r="M3816">
        <v>0.99988569999999999</v>
      </c>
      <c r="N3816">
        <v>-1.506127E-2</v>
      </c>
      <c r="O3816">
        <v>-1.3644E-3</v>
      </c>
      <c r="P3816">
        <v>0.93076809999999999</v>
      </c>
      <c r="Q3816">
        <v>0.33665519999999999</v>
      </c>
      <c r="R3816">
        <v>0.14259740000000001</v>
      </c>
      <c r="S3816">
        <v>3.2549130000000002</v>
      </c>
      <c r="T3816">
        <v>-0.12664739999999999</v>
      </c>
      <c r="U3816">
        <v>9.0988159999999998E-2</v>
      </c>
      <c r="V3816">
        <v>-0.14380499999999999</v>
      </c>
      <c r="W3816">
        <v>0.35065819999999998</v>
      </c>
      <c r="X3816">
        <v>0.92539669999999896</v>
      </c>
      <c r="Y3816">
        <v>-2.9276070000000001E-2</v>
      </c>
      <c r="Z3816">
        <v>8.2238839999999999E-4</v>
      </c>
      <c r="AA3816">
        <v>0.99957099999999999</v>
      </c>
      <c r="AB3816">
        <v>39</v>
      </c>
      <c r="AC3816">
        <v>28.142700000000001</v>
      </c>
      <c r="AD3816">
        <v>-1.110403023837</v>
      </c>
      <c r="AE3816">
        <v>0.798300000000011</v>
      </c>
      <c r="AF3816">
        <v>-0.83540201126758096</v>
      </c>
      <c r="AG3816">
        <v>-1.110403023837</v>
      </c>
      <c r="AH3816">
        <v>28.097877177944198</v>
      </c>
      <c r="AI3816">
        <v>92.262101840374001</v>
      </c>
      <c r="AJ3816">
        <v>91.703008119097404</v>
      </c>
      <c r="AK3816">
        <v>28.132216288494199</v>
      </c>
      <c r="AL3816">
        <v>69.472422267063394</v>
      </c>
      <c r="AM3816">
        <v>98.833012667234797</v>
      </c>
      <c r="AN3816">
        <v>1.0000000518115599</v>
      </c>
    </row>
    <row r="3817" spans="1:40" x14ac:dyDescent="0.25">
      <c r="A3817" t="str">
        <f>"20190304164204850"</f>
        <v>20190304164204850</v>
      </c>
      <c r="B3817" t="str">
        <f>"1551688924845181"</f>
        <v>1551688924845181</v>
      </c>
      <c r="C3817" t="s">
        <v>40</v>
      </c>
      <c r="D3817">
        <v>4.0105259999999996</v>
      </c>
      <c r="E3817">
        <v>0.54310019999999903</v>
      </c>
      <c r="F3817" t="s">
        <v>46</v>
      </c>
      <c r="G3817">
        <v>-279.31450000000001</v>
      </c>
      <c r="H3817" s="1">
        <v>3.3929909999999999E-6</v>
      </c>
      <c r="I3817">
        <v>215.2329</v>
      </c>
      <c r="J3817">
        <v>-306.2527</v>
      </c>
      <c r="K3817">
        <v>1.1104240000000001</v>
      </c>
      <c r="L3817">
        <v>214.221</v>
      </c>
      <c r="M3817">
        <v>0.99988569999999999</v>
      </c>
      <c r="N3817">
        <v>-1.5056730000000001E-2</v>
      </c>
      <c r="O3817">
        <v>-1.35679299999999E-3</v>
      </c>
      <c r="P3817">
        <v>0.930786</v>
      </c>
      <c r="Q3817">
        <v>0.3364241</v>
      </c>
      <c r="R3817">
        <v>0.14302599999999999</v>
      </c>
      <c r="S3817">
        <v>3.252472</v>
      </c>
      <c r="T3817">
        <v>-0.1320887</v>
      </c>
      <c r="U3817">
        <v>0.12031559999999999</v>
      </c>
      <c r="V3817">
        <v>-0.1442407</v>
      </c>
      <c r="W3817">
        <v>0.35041749999999999</v>
      </c>
      <c r="X3817">
        <v>0.92542000000000002</v>
      </c>
      <c r="Y3817">
        <v>-3.8279069999999998E-2</v>
      </c>
      <c r="Z3817">
        <v>1.099804E-3</v>
      </c>
      <c r="AA3817">
        <v>0.99926649999999995</v>
      </c>
      <c r="AB3817">
        <v>39</v>
      </c>
      <c r="AC3817">
        <v>26.938199999999899</v>
      </c>
      <c r="AD3817">
        <v>-1.1104206070089999</v>
      </c>
      <c r="AE3817">
        <v>1.01190000000002</v>
      </c>
      <c r="AF3817">
        <v>-1.04667679389576</v>
      </c>
      <c r="AG3817">
        <v>-1.1104206070089999</v>
      </c>
      <c r="AH3817">
        <v>26.8911737021979</v>
      </c>
      <c r="AI3817">
        <v>92.362791373605006</v>
      </c>
      <c r="AJ3817">
        <v>92.228980650664795</v>
      </c>
      <c r="AK3817">
        <v>26.9344350101711</v>
      </c>
      <c r="AL3817">
        <v>69.487146388537596</v>
      </c>
      <c r="AM3817">
        <v>98.859131475542</v>
      </c>
      <c r="AN3817">
        <v>0.99999999012136997</v>
      </c>
    </row>
    <row r="3818" spans="1:40" x14ac:dyDescent="0.25">
      <c r="A3818" t="str">
        <f>"20190304164204872"</f>
        <v>20190304164204872</v>
      </c>
      <c r="B3818" t="str">
        <f>"1551688924864702"</f>
        <v>1551688924864702</v>
      </c>
      <c r="C3818" t="s">
        <v>40</v>
      </c>
      <c r="D3818">
        <v>4.0225999999999997</v>
      </c>
      <c r="E3818">
        <v>0.54085050000000001</v>
      </c>
      <c r="F3818" t="s">
        <v>47</v>
      </c>
      <c r="G3818">
        <v>-280.74369999999999</v>
      </c>
      <c r="H3818" s="1">
        <v>6.64538699999999E-6</v>
      </c>
      <c r="I3818">
        <v>215.58709999999999</v>
      </c>
      <c r="J3818">
        <v>-305.85969999999998</v>
      </c>
      <c r="K3818">
        <v>1.11043799999999</v>
      </c>
      <c r="L3818">
        <v>214.22040000000001</v>
      </c>
      <c r="M3818">
        <v>0.99988600000000005</v>
      </c>
      <c r="N3818">
        <v>-1.5052299999999999E-2</v>
      </c>
      <c r="O3818">
        <v>-1.3374070000000001E-3</v>
      </c>
      <c r="P3818">
        <v>0.93088190000000004</v>
      </c>
      <c r="Q3818">
        <v>0.3359298</v>
      </c>
      <c r="R3818">
        <v>0.1435632</v>
      </c>
      <c r="S3818">
        <v>3.2474059999999998</v>
      </c>
      <c r="T3818">
        <v>-0.1413606</v>
      </c>
      <c r="U3818">
        <v>0.17391970000000001</v>
      </c>
      <c r="V3818">
        <v>-0.1447727</v>
      </c>
      <c r="W3818">
        <v>0.34991539999999999</v>
      </c>
      <c r="X3818">
        <v>0.92552690000000004</v>
      </c>
      <c r="Y3818">
        <v>-5.4745269999999999E-2</v>
      </c>
      <c r="Z3818">
        <v>1.6407629999999999E-3</v>
      </c>
      <c r="AA3818">
        <v>0.99849900000000003</v>
      </c>
      <c r="AB3818">
        <v>39</v>
      </c>
      <c r="AC3818">
        <v>25.1159999999999</v>
      </c>
      <c r="AD3818">
        <v>-1.11043135461299</v>
      </c>
      <c r="AE3818">
        <v>1.36669999999998</v>
      </c>
      <c r="AF3818">
        <v>-1.3975691133164601</v>
      </c>
      <c r="AG3818">
        <v>-1.11043135461299</v>
      </c>
      <c r="AH3818">
        <v>25.065298734587198</v>
      </c>
      <c r="AI3818">
        <v>92.532703975586202</v>
      </c>
      <c r="AJ3818">
        <v>93.191343804279796</v>
      </c>
      <c r="AK3818">
        <v>25.128777484666902</v>
      </c>
      <c r="AL3818">
        <v>69.517858929937603</v>
      </c>
      <c r="AM3818">
        <v>98.890274754092502</v>
      </c>
      <c r="AN3818">
        <v>0.99999998222302999</v>
      </c>
    </row>
    <row r="3819" spans="1:40" x14ac:dyDescent="0.25">
      <c r="A3819" t="str">
        <f>"20190304164204893"</f>
        <v>20190304164204893</v>
      </c>
      <c r="B3819" t="str">
        <f>"1551688924885197"</f>
        <v>1551688924885197</v>
      </c>
      <c r="C3819" t="s">
        <v>40</v>
      </c>
      <c r="D3819">
        <v>4.020842</v>
      </c>
      <c r="E3819">
        <v>0.53928109999999996</v>
      </c>
      <c r="F3819" t="s">
        <v>47</v>
      </c>
      <c r="G3819">
        <v>-281.50069999999999</v>
      </c>
      <c r="H3819" s="1">
        <v>6.2993440000000003E-6</v>
      </c>
      <c r="I3819">
        <v>215.6737</v>
      </c>
      <c r="J3819">
        <v>-305.471</v>
      </c>
      <c r="K3819">
        <v>1.110452</v>
      </c>
      <c r="L3819">
        <v>214.2199</v>
      </c>
      <c r="M3819">
        <v>0.99988600000000005</v>
      </c>
      <c r="N3819">
        <v>-1.5047909999999999E-2</v>
      </c>
      <c r="O3819">
        <v>-1.310891E-3</v>
      </c>
      <c r="P3819">
        <v>0.93084900000000004</v>
      </c>
      <c r="Q3819">
        <v>0.3357252</v>
      </c>
      <c r="R3819">
        <v>0.14425260000000001</v>
      </c>
      <c r="S3819">
        <v>3.2462770000000001</v>
      </c>
      <c r="T3819">
        <v>-0.14798549999999999</v>
      </c>
      <c r="U3819">
        <v>0.19367980000000001</v>
      </c>
      <c r="V3819">
        <v>-0.1454492</v>
      </c>
      <c r="W3819">
        <v>0.3497015</v>
      </c>
      <c r="X3819">
        <v>0.92550169999999998</v>
      </c>
      <c r="Y3819">
        <v>-6.0780529999999999E-2</v>
      </c>
      <c r="Z3819">
        <v>1.881459E-3</v>
      </c>
      <c r="AA3819">
        <v>0.99814939999999996</v>
      </c>
      <c r="AB3819">
        <v>39</v>
      </c>
      <c r="AC3819">
        <v>23.970300000000002</v>
      </c>
      <c r="AD3819">
        <v>-1.110445700656</v>
      </c>
      <c r="AE3819">
        <v>1.4538</v>
      </c>
      <c r="AF3819">
        <v>-1.4820557899736799</v>
      </c>
      <c r="AG3819">
        <v>-1.110445700656</v>
      </c>
      <c r="AH3819">
        <v>23.917233017865399</v>
      </c>
      <c r="AI3819">
        <v>92.653177136688697</v>
      </c>
      <c r="AJ3819">
        <v>93.545857730657303</v>
      </c>
      <c r="AK3819">
        <v>23.988822694112599</v>
      </c>
      <c r="AL3819">
        <v>69.530941446688303</v>
      </c>
      <c r="AM3819">
        <v>98.931388710597503</v>
      </c>
      <c r="AN3819">
        <v>1.0000000027928899</v>
      </c>
    </row>
    <row r="3820" spans="1:40" x14ac:dyDescent="0.25">
      <c r="A3820" t="str">
        <f>"20190304164204915"</f>
        <v>20190304164204915</v>
      </c>
      <c r="B3820" t="str">
        <f>"1551688924904718"</f>
        <v>1551688924904718</v>
      </c>
      <c r="C3820" t="s">
        <v>40</v>
      </c>
      <c r="D3820">
        <v>3.9813830000000001</v>
      </c>
      <c r="E3820">
        <v>0.53828260000000006</v>
      </c>
      <c r="F3820" t="s">
        <v>47</v>
      </c>
      <c r="G3820">
        <v>-281.3091</v>
      </c>
      <c r="H3820" s="1">
        <v>6.3723550000000004E-6</v>
      </c>
      <c r="I3820">
        <v>215.77420000000001</v>
      </c>
      <c r="J3820">
        <v>-305.09769999999997</v>
      </c>
      <c r="K3820">
        <v>1.110466</v>
      </c>
      <c r="L3820">
        <v>214.21950000000001</v>
      </c>
      <c r="M3820">
        <v>0.99988619999999995</v>
      </c>
      <c r="N3820">
        <v>-1.504367E-2</v>
      </c>
      <c r="O3820">
        <v>-1.2811949999999999E-3</v>
      </c>
      <c r="P3820">
        <v>0.93071890000000002</v>
      </c>
      <c r="Q3820">
        <v>0.33593200000000001</v>
      </c>
      <c r="R3820">
        <v>0.1446114</v>
      </c>
      <c r="S3820">
        <v>3.2442929999999999</v>
      </c>
      <c r="T3820">
        <v>-0.1491027</v>
      </c>
      <c r="U3820">
        <v>0.20869450000000001</v>
      </c>
      <c r="V3820">
        <v>-0.1457909</v>
      </c>
      <c r="W3820">
        <v>0.34989799999999999</v>
      </c>
      <c r="X3820">
        <v>0.92537369999999997</v>
      </c>
      <c r="Y3820">
        <v>-6.5380659999999993E-2</v>
      </c>
      <c r="Z3820">
        <v>2.0322610000000001E-3</v>
      </c>
      <c r="AA3820">
        <v>0.99785829999999998</v>
      </c>
      <c r="AB3820">
        <v>39</v>
      </c>
      <c r="AC3820">
        <v>23.788599999999899</v>
      </c>
      <c r="AD3820">
        <v>-1.1104596276450001</v>
      </c>
      <c r="AE3820">
        <v>1.55469999999999</v>
      </c>
      <c r="AF3820">
        <v>-1.5817479495142199</v>
      </c>
      <c r="AG3820">
        <v>-1.1104596276450001</v>
      </c>
      <c r="AH3820">
        <v>23.7350883285965</v>
      </c>
      <c r="AI3820">
        <v>92.672742599379504</v>
      </c>
      <c r="AJ3820">
        <v>93.812653833961505</v>
      </c>
      <c r="AK3820">
        <v>23.813640316564399</v>
      </c>
      <c r="AL3820">
        <v>69.518924405122704</v>
      </c>
      <c r="AM3820">
        <v>98.953249773684504</v>
      </c>
      <c r="AN3820">
        <v>1.00000004078924</v>
      </c>
    </row>
    <row r="3821" spans="1:40" x14ac:dyDescent="0.25">
      <c r="A3821" t="str">
        <f>"20190304164204938"</f>
        <v>20190304164204938</v>
      </c>
      <c r="B3821" t="str">
        <f>"1551688924934973"</f>
        <v>1551688924934973</v>
      </c>
      <c r="C3821" t="s">
        <v>40</v>
      </c>
      <c r="D3821">
        <v>3.9840580000000001</v>
      </c>
      <c r="E3821">
        <v>0.537219</v>
      </c>
      <c r="F3821" t="s">
        <v>47</v>
      </c>
      <c r="G3821">
        <v>-280.8759</v>
      </c>
      <c r="H3821" s="1">
        <v>6.5547080000000003E-6</v>
      </c>
      <c r="I3821">
        <v>215.85599999999999</v>
      </c>
      <c r="J3821">
        <v>-304.68990000000002</v>
      </c>
      <c r="K3821">
        <v>1.110482</v>
      </c>
      <c r="L3821">
        <v>214.21889999999999</v>
      </c>
      <c r="M3821">
        <v>0.99988630000000001</v>
      </c>
      <c r="N3821">
        <v>-1.503908E-2</v>
      </c>
      <c r="O3821">
        <v>-1.2455610000000001E-3</v>
      </c>
      <c r="P3821">
        <v>0.93067710000000003</v>
      </c>
      <c r="Q3821">
        <v>0.33611390000000002</v>
      </c>
      <c r="R3821">
        <v>0.14445649999999999</v>
      </c>
      <c r="S3821">
        <v>3.2429809999999999</v>
      </c>
      <c r="T3821">
        <v>-0.14867559999999999</v>
      </c>
      <c r="U3821">
        <v>0.21911620000000001</v>
      </c>
      <c r="V3821">
        <v>-0.145611299999999</v>
      </c>
      <c r="W3821">
        <v>0.35007169999999999</v>
      </c>
      <c r="X3821">
        <v>0.92533620000000005</v>
      </c>
      <c r="Y3821">
        <v>-6.8559510000000004E-2</v>
      </c>
      <c r="Z3821">
        <v>2.123771E-3</v>
      </c>
      <c r="AA3821">
        <v>0.9976448</v>
      </c>
      <c r="AB3821">
        <v>39</v>
      </c>
      <c r="AC3821">
        <v>23.814</v>
      </c>
      <c r="AD3821">
        <v>-1.110475445292</v>
      </c>
      <c r="AE3821">
        <v>1.6371</v>
      </c>
      <c r="AF3821">
        <v>-1.6631643808380401</v>
      </c>
      <c r="AG3821">
        <v>-1.110475445292</v>
      </c>
      <c r="AH3821">
        <v>23.760518696353898</v>
      </c>
      <c r="AI3821">
        <v>92.6693159165075</v>
      </c>
      <c r="AJ3821">
        <v>94.004000340474505</v>
      </c>
      <c r="AK3821">
        <v>23.844528097491601</v>
      </c>
      <c r="AL3821">
        <v>69.508298569892901</v>
      </c>
      <c r="AM3821">
        <v>98.942755144594599</v>
      </c>
      <c r="AN3821">
        <v>0.999999964429509</v>
      </c>
    </row>
    <row r="3822" spans="1:40" x14ac:dyDescent="0.25">
      <c r="A3822" t="str">
        <f>"20190304164204961"</f>
        <v>20190304164204961</v>
      </c>
      <c r="B3822" t="str">
        <f>"1551688924955469"</f>
        <v>1551688924955469</v>
      </c>
      <c r="C3822" t="s">
        <v>40</v>
      </c>
      <c r="D3822">
        <v>3.9941599999999999</v>
      </c>
      <c r="E3822">
        <v>0.53679370000000004</v>
      </c>
      <c r="F3822" t="s">
        <v>47</v>
      </c>
      <c r="G3822">
        <v>-280.56119999999999</v>
      </c>
      <c r="H3822" s="1">
        <v>6.6863160000000003E-6</v>
      </c>
      <c r="I3822">
        <v>215.92259999999999</v>
      </c>
      <c r="J3822">
        <v>-304.29579999999999</v>
      </c>
      <c r="K3822">
        <v>1.11049</v>
      </c>
      <c r="L3822">
        <v>214.21850000000001</v>
      </c>
      <c r="M3822">
        <v>0.99988639999999995</v>
      </c>
      <c r="N3822">
        <v>-1.503465E-2</v>
      </c>
      <c r="O3822">
        <v>-1.208305E-3</v>
      </c>
      <c r="P3822">
        <v>0.93050279999999996</v>
      </c>
      <c r="Q3822">
        <v>0.33627400000000002</v>
      </c>
      <c r="R3822">
        <v>0.14520520000000001</v>
      </c>
      <c r="S3822">
        <v>3.2418209999999998</v>
      </c>
      <c r="T3822">
        <v>-0.14919839999999901</v>
      </c>
      <c r="U3822">
        <v>0.22889709999999999</v>
      </c>
      <c r="V3822">
        <v>-0.1463323</v>
      </c>
      <c r="W3822">
        <v>0.35022180000000003</v>
      </c>
      <c r="X3822">
        <v>0.92516569999999998</v>
      </c>
      <c r="Y3822">
        <v>-7.1536929999999999E-2</v>
      </c>
      <c r="Z3822">
        <v>2.2194749999999998E-3</v>
      </c>
      <c r="AA3822">
        <v>0.99743550000000003</v>
      </c>
      <c r="AB3822">
        <v>39</v>
      </c>
      <c r="AC3822">
        <v>23.7346</v>
      </c>
      <c r="AD3822">
        <v>-1.110483313684</v>
      </c>
      <c r="AE3822">
        <v>1.70409999999998</v>
      </c>
      <c r="AF3822">
        <v>-1.7290150998587599</v>
      </c>
      <c r="AG3822">
        <v>-1.110483313684</v>
      </c>
      <c r="AH3822">
        <v>23.680949897058699</v>
      </c>
      <c r="AI3822">
        <v>92.677717072811305</v>
      </c>
      <c r="AJ3822">
        <v>94.175921746939594</v>
      </c>
      <c r="AK3822">
        <v>23.7699401436461</v>
      </c>
      <c r="AL3822">
        <v>69.499118263753601</v>
      </c>
      <c r="AM3822">
        <v>98.987943738778398</v>
      </c>
      <c r="AN3822">
        <v>1.0000000118375101</v>
      </c>
    </row>
    <row r="3823" spans="1:40" x14ac:dyDescent="0.25">
      <c r="A3823" t="str">
        <f>"20190304164204982"</f>
        <v>20190304164204982</v>
      </c>
      <c r="B3823" t="str">
        <f>"1551688924974989"</f>
        <v>1551688924974989</v>
      </c>
      <c r="C3823" t="s">
        <v>40</v>
      </c>
      <c r="D3823">
        <v>3.993773</v>
      </c>
      <c r="E3823">
        <v>0.53634550000000003</v>
      </c>
      <c r="F3823" t="s">
        <v>47</v>
      </c>
      <c r="G3823">
        <v>-280.24799999999999</v>
      </c>
      <c r="H3823" s="1">
        <v>6.82150499999999E-6</v>
      </c>
      <c r="I3823">
        <v>215.95349999999999</v>
      </c>
      <c r="J3823">
        <v>-303.92059999999998</v>
      </c>
      <c r="K3823">
        <v>1.110498</v>
      </c>
      <c r="L3823">
        <v>214.21799999999999</v>
      </c>
      <c r="M3823">
        <v>0.99988639999999995</v>
      </c>
      <c r="N3823">
        <v>-1.5030419999999999E-2</v>
      </c>
      <c r="O3823">
        <v>-1.1684519999999999E-3</v>
      </c>
      <c r="P3823">
        <v>0.93059610000000004</v>
      </c>
      <c r="Q3823">
        <v>0.33574939999999998</v>
      </c>
      <c r="R3823">
        <v>0.1458198</v>
      </c>
      <c r="S3823">
        <v>3.2416689999999999</v>
      </c>
      <c r="T3823">
        <v>-0.14969479999999999</v>
      </c>
      <c r="U3823">
        <v>0.2338867</v>
      </c>
      <c r="V3823">
        <v>-0.14691560000000001</v>
      </c>
      <c r="W3823">
        <v>0.34969250000000002</v>
      </c>
      <c r="X3823">
        <v>0.92527340000000002</v>
      </c>
      <c r="Y3823">
        <v>-7.3025220000000002E-2</v>
      </c>
      <c r="Z3823">
        <v>2.2692630000000001E-3</v>
      </c>
      <c r="AA3823">
        <v>0.99732750000000003</v>
      </c>
      <c r="AB3823">
        <v>39</v>
      </c>
      <c r="AC3823">
        <v>23.6725999999999</v>
      </c>
      <c r="AD3823">
        <v>-1.110491178495</v>
      </c>
      <c r="AE3823">
        <v>1.7355</v>
      </c>
      <c r="AF3823">
        <v>-1.75931141692294</v>
      </c>
      <c r="AG3823">
        <v>-1.110491178495</v>
      </c>
      <c r="AH3823">
        <v>23.618858295177901</v>
      </c>
      <c r="AI3823">
        <v>92.684475256230698</v>
      </c>
      <c r="AJ3823">
        <v>94.259956501796196</v>
      </c>
      <c r="AK3823">
        <v>23.710310721011702</v>
      </c>
      <c r="AL3823">
        <v>69.531490761438505</v>
      </c>
      <c r="AM3823">
        <v>99.022149571483297</v>
      </c>
      <c r="AN3823">
        <v>0.999999951413583</v>
      </c>
    </row>
    <row r="3824" spans="1:40" x14ac:dyDescent="0.25">
      <c r="A3824" t="str">
        <f>"20190304164205005"</f>
        <v>20190304164205005</v>
      </c>
      <c r="B3824" t="str">
        <f>"1551688924994509"</f>
        <v>1551688924994509</v>
      </c>
      <c r="C3824" t="s">
        <v>40</v>
      </c>
      <c r="D3824">
        <v>4.0079949999999904</v>
      </c>
      <c r="E3824">
        <v>0.53601069999999995</v>
      </c>
      <c r="F3824" t="s">
        <v>47</v>
      </c>
      <c r="G3824">
        <v>-280.05329999999998</v>
      </c>
      <c r="H3824" s="1">
        <v>6.9049069999999997E-6</v>
      </c>
      <c r="I3824">
        <v>215.97819999999999</v>
      </c>
      <c r="J3824">
        <v>-303.53710000000001</v>
      </c>
      <c r="K3824">
        <v>1.1105130000000001</v>
      </c>
      <c r="L3824">
        <v>214.2176</v>
      </c>
      <c r="M3824">
        <v>0.99988650000000001</v>
      </c>
      <c r="N3824">
        <v>-1.5026070000000001E-2</v>
      </c>
      <c r="O3824">
        <v>-1.120596E-3</v>
      </c>
      <c r="P3824">
        <v>0.93064040000000003</v>
      </c>
      <c r="Q3824">
        <v>0.3361171</v>
      </c>
      <c r="R3824">
        <v>0.14468539999999999</v>
      </c>
      <c r="S3824">
        <v>3.2406920000000001</v>
      </c>
      <c r="T3824">
        <v>-0.15078250000000001</v>
      </c>
      <c r="U3824">
        <v>0.2389984</v>
      </c>
      <c r="V3824">
        <v>-0.14574379999999901</v>
      </c>
      <c r="W3824">
        <v>0.35005439999999999</v>
      </c>
      <c r="X3824">
        <v>0.92532190000000003</v>
      </c>
      <c r="Y3824">
        <v>-7.4560249999999995E-2</v>
      </c>
      <c r="Z3824">
        <v>2.3278750000000001E-3</v>
      </c>
      <c r="AA3824">
        <v>0.99721380000000004</v>
      </c>
      <c r="AB3824">
        <v>39</v>
      </c>
      <c r="AC3824">
        <v>23.483799999999999</v>
      </c>
      <c r="AD3824">
        <v>-1.1105060950929999</v>
      </c>
      <c r="AE3824">
        <v>1.76059999999998</v>
      </c>
      <c r="AF3824">
        <v>-1.7829530123831601</v>
      </c>
      <c r="AG3824">
        <v>-1.1105060950929999</v>
      </c>
      <c r="AH3824">
        <v>23.429712083533499</v>
      </c>
      <c r="AI3824">
        <v>92.705825256938894</v>
      </c>
      <c r="AJ3824">
        <v>94.351704092947998</v>
      </c>
      <c r="AK3824">
        <v>23.523680697307501</v>
      </c>
      <c r="AL3824">
        <v>69.509357040835795</v>
      </c>
      <c r="AM3824">
        <v>98.950897058923999</v>
      </c>
      <c r="AN3824">
        <v>0.99999997840870403</v>
      </c>
    </row>
    <row r="3825" spans="1:40" x14ac:dyDescent="0.25">
      <c r="A3825" t="str">
        <f>"20190304164205027"</f>
        <v>20190304164205027</v>
      </c>
      <c r="B3825" t="str">
        <f>"1551688925015006"</f>
        <v>1551688925015006</v>
      </c>
      <c r="C3825" t="s">
        <v>40</v>
      </c>
      <c r="D3825">
        <v>4.0104819999999997</v>
      </c>
      <c r="E3825">
        <v>0.53565529999999995</v>
      </c>
      <c r="F3825" t="s">
        <v>46</v>
      </c>
      <c r="G3825">
        <v>-279.62689999999998</v>
      </c>
      <c r="H3825" s="1">
        <v>3.5262260000000001E-6</v>
      </c>
      <c r="I3825">
        <v>215.9881</v>
      </c>
      <c r="J3825">
        <v>-303.14460000000003</v>
      </c>
      <c r="K3825">
        <v>1.110522</v>
      </c>
      <c r="L3825">
        <v>214.21719999999999</v>
      </c>
      <c r="M3825">
        <v>0.99988659999999996</v>
      </c>
      <c r="N3825">
        <v>-1.5021629999999999E-2</v>
      </c>
      <c r="O3825">
        <v>-1.064979E-3</v>
      </c>
      <c r="P3825">
        <v>0.93085340000000005</v>
      </c>
      <c r="Q3825">
        <v>0.33599440000000003</v>
      </c>
      <c r="R3825">
        <v>0.1435961</v>
      </c>
      <c r="S3825">
        <v>3.240631</v>
      </c>
      <c r="T3825">
        <v>-0.15051139999999999</v>
      </c>
      <c r="U3825">
        <v>0.2399597</v>
      </c>
      <c r="V3825">
        <v>-0.14460999999999999</v>
      </c>
      <c r="W3825">
        <v>0.34992790000000001</v>
      </c>
      <c r="X3825">
        <v>0.92554760000000003</v>
      </c>
      <c r="Y3825">
        <v>-7.4800389999999994E-2</v>
      </c>
      <c r="Z3825">
        <v>2.330159E-3</v>
      </c>
      <c r="AA3825">
        <v>0.99719579999999997</v>
      </c>
      <c r="AB3825">
        <v>39</v>
      </c>
      <c r="AC3825">
        <v>23.517700000000001</v>
      </c>
      <c r="AD3825">
        <v>-1.1105184737739999</v>
      </c>
      <c r="AE3825">
        <v>1.7709000000000099</v>
      </c>
      <c r="AF3825">
        <v>-1.7919744994971001</v>
      </c>
      <c r="AG3825">
        <v>-1.1105184737739999</v>
      </c>
      <c r="AH3825">
        <v>23.4637764196125</v>
      </c>
      <c r="AI3825">
        <v>92.701876850824505</v>
      </c>
      <c r="AJ3825">
        <v>94.367312876729599</v>
      </c>
      <c r="AK3825">
        <v>23.558294245488302</v>
      </c>
      <c r="AL3825">
        <v>69.517094213256996</v>
      </c>
      <c r="AM3825">
        <v>98.880247474713997</v>
      </c>
      <c r="AN3825">
        <v>0.99999997358208403</v>
      </c>
    </row>
    <row r="3826" spans="1:40" x14ac:dyDescent="0.25">
      <c r="A3826" t="str">
        <f>"20190304164205051"</f>
        <v>20190304164205051</v>
      </c>
      <c r="B3826" t="str">
        <f>"1551688925045260"</f>
        <v>1551688925045260</v>
      </c>
      <c r="C3826" t="s">
        <v>40</v>
      </c>
      <c r="D3826">
        <v>4.0008029999999897</v>
      </c>
      <c r="E3826">
        <v>0.53519139999999998</v>
      </c>
      <c r="F3826" t="s">
        <v>46</v>
      </c>
      <c r="G3826">
        <v>-279.52940000000001</v>
      </c>
      <c r="H3826" s="1">
        <v>3.47467E-6</v>
      </c>
      <c r="I3826">
        <v>215.98050000000001</v>
      </c>
      <c r="J3826">
        <v>-302.74349999999998</v>
      </c>
      <c r="K3826">
        <v>1.110522</v>
      </c>
      <c r="L3826">
        <v>214.21680000000001</v>
      </c>
      <c r="M3826">
        <v>0.99988690000000002</v>
      </c>
      <c r="N3826">
        <v>-1.501709E-2</v>
      </c>
      <c r="O3826">
        <v>-9.9728990000000003E-4</v>
      </c>
      <c r="P3826">
        <v>0.93112550000000005</v>
      </c>
      <c r="Q3826">
        <v>0.33559119999999998</v>
      </c>
      <c r="R3826">
        <v>0.14277329999999999</v>
      </c>
      <c r="S3826">
        <v>3.2405400000000002</v>
      </c>
      <c r="T3826">
        <v>-0.15238850000000001</v>
      </c>
      <c r="U3826">
        <v>0.2419586</v>
      </c>
      <c r="V3826">
        <v>-0.14373329999999901</v>
      </c>
      <c r="W3826">
        <v>0.34952149999999998</v>
      </c>
      <c r="X3826">
        <v>0.92583769999999999</v>
      </c>
      <c r="Y3826">
        <v>-7.5343569999999999E-2</v>
      </c>
      <c r="Z3826">
        <v>2.3669110000000002E-3</v>
      </c>
      <c r="AA3826">
        <v>0.99715480000000001</v>
      </c>
      <c r="AB3826">
        <v>39</v>
      </c>
      <c r="AC3826">
        <v>23.214099999999899</v>
      </c>
      <c r="AD3826">
        <v>-1.1105185253299901</v>
      </c>
      <c r="AE3826">
        <v>1.7637</v>
      </c>
      <c r="AF3826">
        <v>-1.7827964310378199</v>
      </c>
      <c r="AG3826">
        <v>-1.1105185253299901</v>
      </c>
      <c r="AH3826">
        <v>23.159633057653</v>
      </c>
      <c r="AI3826">
        <v>92.737179309557305</v>
      </c>
      <c r="AJ3826">
        <v>94.401868608480399</v>
      </c>
      <c r="AK3826">
        <v>23.254681633485301</v>
      </c>
      <c r="AL3826">
        <v>69.541949146731397</v>
      </c>
      <c r="AM3826">
        <v>98.824538878943301</v>
      </c>
      <c r="AN3826">
        <v>0.99999999361621505</v>
      </c>
    </row>
    <row r="3827" spans="1:40" x14ac:dyDescent="0.25">
      <c r="A3827" t="str">
        <f>"20190304164205072"</f>
        <v>20190304164205072</v>
      </c>
      <c r="B3827" t="str">
        <f>"1551688925064780"</f>
        <v>1551688925064780</v>
      </c>
      <c r="C3827" t="s">
        <v>40</v>
      </c>
      <c r="D3827">
        <v>4.0544449999999896</v>
      </c>
      <c r="E3827">
        <v>0.53503230000000002</v>
      </c>
      <c r="F3827" t="s">
        <v>46</v>
      </c>
      <c r="G3827">
        <v>-279.19819999999999</v>
      </c>
      <c r="H3827" s="1">
        <v>3.2985389999999999E-6</v>
      </c>
      <c r="I3827">
        <v>215.97810000000001</v>
      </c>
      <c r="J3827">
        <v>-302.35910000000001</v>
      </c>
      <c r="K3827">
        <v>1.1105309999999999</v>
      </c>
      <c r="L3827">
        <v>214.2165</v>
      </c>
      <c r="M3827">
        <v>0.99988690000000002</v>
      </c>
      <c r="N3827">
        <v>-1.501273E-2</v>
      </c>
      <c r="O3827">
        <v>-9.1584819999999999E-4</v>
      </c>
      <c r="P3827">
        <v>0.93127289999999996</v>
      </c>
      <c r="Q3827">
        <v>0.3354567</v>
      </c>
      <c r="R3827">
        <v>0.14212529999999901</v>
      </c>
      <c r="S3827">
        <v>3.2398069999999999</v>
      </c>
      <c r="T3827">
        <v>-0.15280650000000001</v>
      </c>
      <c r="U3827">
        <v>0.2423553</v>
      </c>
      <c r="V3827">
        <v>-0.143020799999999</v>
      </c>
      <c r="W3827">
        <v>0.34938069999999999</v>
      </c>
      <c r="X3827">
        <v>0.92600119999999997</v>
      </c>
      <c r="Y3827">
        <v>-7.5399930000000004E-2</v>
      </c>
      <c r="Z3827">
        <v>2.3712690000000001E-3</v>
      </c>
      <c r="AA3827">
        <v>0.99715050000000005</v>
      </c>
      <c r="AB3827">
        <v>39</v>
      </c>
      <c r="AC3827">
        <v>23.160900000000002</v>
      </c>
      <c r="AD3827">
        <v>-1.110527701461</v>
      </c>
      <c r="AE3827">
        <v>1.76160000000001</v>
      </c>
      <c r="AF3827">
        <v>-1.7787476161996101</v>
      </c>
      <c r="AG3827">
        <v>-1.110527701461</v>
      </c>
      <c r="AH3827">
        <v>23.106459446676801</v>
      </c>
      <c r="AI3827">
        <v>92.743490847251095</v>
      </c>
      <c r="AJ3827">
        <v>94.401978095478796</v>
      </c>
      <c r="AK3827">
        <v>23.201415539116802</v>
      </c>
      <c r="AL3827">
        <v>69.550559836773203</v>
      </c>
      <c r="AM3827">
        <v>98.779951920495407</v>
      </c>
      <c r="AN3827">
        <v>1.0000000225832799</v>
      </c>
    </row>
    <row r="3828" spans="1:40" x14ac:dyDescent="0.25">
      <c r="A3828" t="str">
        <f>"20190304164205096"</f>
        <v>20190304164205096</v>
      </c>
      <c r="B3828" t="str">
        <f>"1551688925085276"</f>
        <v>1551688925085276</v>
      </c>
      <c r="C3828" t="s">
        <v>40</v>
      </c>
      <c r="D3828">
        <v>4.0589589999999998</v>
      </c>
      <c r="E3828">
        <v>0.53492989999999996</v>
      </c>
      <c r="F3828" t="s">
        <v>46</v>
      </c>
      <c r="G3828">
        <v>-278.87310000000002</v>
      </c>
      <c r="H3828" s="1">
        <v>3.1264700000000001E-6</v>
      </c>
      <c r="I3828">
        <v>215.95660000000001</v>
      </c>
      <c r="J3828">
        <v>-301.97000000000003</v>
      </c>
      <c r="K3828">
        <v>1.110547</v>
      </c>
      <c r="L3828">
        <v>214.21619999999999</v>
      </c>
      <c r="M3828">
        <v>0.99988699999999997</v>
      </c>
      <c r="N3828">
        <v>-1.5008229999999999E-2</v>
      </c>
      <c r="O3828">
        <v>-8.1311130000000004E-4</v>
      </c>
      <c r="P3828">
        <v>0.93147460000000004</v>
      </c>
      <c r="Q3828">
        <v>0.33531480000000002</v>
      </c>
      <c r="R3828">
        <v>0.1411347</v>
      </c>
      <c r="S3828">
        <v>3.23996</v>
      </c>
      <c r="T3828">
        <v>-0.15320049999999999</v>
      </c>
      <c r="U3828">
        <v>0.2400513</v>
      </c>
      <c r="V3828">
        <v>-0.14194860000000001</v>
      </c>
      <c r="W3828">
        <v>0.34923199999999999</v>
      </c>
      <c r="X3828">
        <v>0.92622230000000005</v>
      </c>
      <c r="Y3828">
        <v>-7.458948E-2</v>
      </c>
      <c r="Z3828">
        <v>2.3472050000000002E-3</v>
      </c>
      <c r="AA3828">
        <v>0.99721159999999998</v>
      </c>
      <c r="AB3828">
        <v>39</v>
      </c>
      <c r="AC3828">
        <v>23.096900000000002</v>
      </c>
      <c r="AD3828">
        <v>-1.1105438735299999</v>
      </c>
      <c r="AE3828">
        <v>1.7404000000000199</v>
      </c>
      <c r="AF3828">
        <v>-1.75514712231241</v>
      </c>
      <c r="AG3828">
        <v>-1.1105438735299999</v>
      </c>
      <c r="AH3828">
        <v>23.042506470087101</v>
      </c>
      <c r="AI3828">
        <v>92.751303055796399</v>
      </c>
      <c r="AJ3828">
        <v>94.355807103625395</v>
      </c>
      <c r="AK3828">
        <v>23.135923442560099</v>
      </c>
      <c r="AL3828">
        <v>69.559653531346896</v>
      </c>
      <c r="AM3828">
        <v>98.713096103118104</v>
      </c>
      <c r="AN3828">
        <v>1.00000007194162</v>
      </c>
    </row>
    <row r="3829" spans="1:40" x14ac:dyDescent="0.25">
      <c r="A3829" t="str">
        <f>"20190304164205117"</f>
        <v>20190304164205117</v>
      </c>
      <c r="B3829" t="str">
        <f>"1551688925104797"</f>
        <v>1551688925104797</v>
      </c>
      <c r="C3829" t="s">
        <v>40</v>
      </c>
      <c r="D3829">
        <v>4.0478589999999999</v>
      </c>
      <c r="E3829">
        <v>0.53478819999999905</v>
      </c>
      <c r="F3829" t="s">
        <v>46</v>
      </c>
      <c r="G3829">
        <v>-278.61470000000003</v>
      </c>
      <c r="H3829" s="1">
        <v>2.9902749999999999E-6</v>
      </c>
      <c r="I3829">
        <v>215.9265</v>
      </c>
      <c r="J3829">
        <v>-301.58179999999999</v>
      </c>
      <c r="K3829">
        <v>1.110574</v>
      </c>
      <c r="L3829">
        <v>214.21600000000001</v>
      </c>
      <c r="M3829">
        <v>0.99988730000000003</v>
      </c>
      <c r="N3829">
        <v>-1.5003799999999901E-2</v>
      </c>
      <c r="O3829">
        <v>-6.8646859999999996E-4</v>
      </c>
      <c r="P3829">
        <v>0.93150630000000001</v>
      </c>
      <c r="Q3829">
        <v>0.33534819999999999</v>
      </c>
      <c r="R3829">
        <v>0.140847</v>
      </c>
      <c r="S3829">
        <v>3.2402039999999999</v>
      </c>
      <c r="T3829">
        <v>-0.15407179999999901</v>
      </c>
      <c r="U3829">
        <v>0.23727419999999999</v>
      </c>
      <c r="V3829">
        <v>-0.14156089999999999</v>
      </c>
      <c r="W3829">
        <v>0.34925469999999997</v>
      </c>
      <c r="X3829">
        <v>0.92627300000000001</v>
      </c>
      <c r="Y3829">
        <v>-7.3607969999999995E-2</v>
      </c>
      <c r="Z3829">
        <v>2.3223839999999998E-3</v>
      </c>
      <c r="AA3829">
        <v>0.99728450000000002</v>
      </c>
      <c r="AB3829">
        <v>39</v>
      </c>
      <c r="AC3829">
        <v>22.967099999999899</v>
      </c>
      <c r="AD3829">
        <v>-1.1105710097249999</v>
      </c>
      <c r="AE3829">
        <v>1.7105000000000199</v>
      </c>
      <c r="AF3829">
        <v>-1.7222627937296799</v>
      </c>
      <c r="AG3829">
        <v>-1.1105710097249999</v>
      </c>
      <c r="AH3829">
        <v>22.9126415943268</v>
      </c>
      <c r="AI3829">
        <v>92.767148889891402</v>
      </c>
      <c r="AJ3829">
        <v>94.298638899394604</v>
      </c>
      <c r="AK3829">
        <v>23.004101850069699</v>
      </c>
      <c r="AL3829">
        <v>69.558264027574793</v>
      </c>
      <c r="AM3829">
        <v>98.689193646443101</v>
      </c>
      <c r="AN3829">
        <v>1.00000000220494</v>
      </c>
    </row>
    <row r="3830" spans="1:40" x14ac:dyDescent="0.25">
      <c r="A3830" t="str">
        <f>"20190304164205139"</f>
        <v>20190304164205139</v>
      </c>
      <c r="B3830" t="str">
        <f>"1551688925135053"</f>
        <v>1551688925135053</v>
      </c>
      <c r="C3830" t="s">
        <v>40</v>
      </c>
      <c r="D3830">
        <v>4.0647440000000001</v>
      </c>
      <c r="E3830">
        <v>0.53460559999999901</v>
      </c>
      <c r="F3830" t="s">
        <v>46</v>
      </c>
      <c r="G3830">
        <v>-278.26400000000001</v>
      </c>
      <c r="H3830" s="1">
        <v>2.803762E-6</v>
      </c>
      <c r="I3830">
        <v>215.9237</v>
      </c>
      <c r="J3830">
        <v>-301.20060000000001</v>
      </c>
      <c r="K3830">
        <v>1.1105969999999901</v>
      </c>
      <c r="L3830">
        <v>214.2159</v>
      </c>
      <c r="M3830">
        <v>0.99988750000000004</v>
      </c>
      <c r="N3830">
        <v>-1.4999510000000001E-2</v>
      </c>
      <c r="O3830">
        <v>-5.3763439999999997E-4</v>
      </c>
      <c r="P3830">
        <v>0.93165980000000004</v>
      </c>
      <c r="Q3830">
        <v>0.33507189999999998</v>
      </c>
      <c r="R3830">
        <v>0.140488</v>
      </c>
      <c r="S3830">
        <v>3.240265</v>
      </c>
      <c r="T3830">
        <v>-0.15432660000000001</v>
      </c>
      <c r="U3830">
        <v>0.23730470000000001</v>
      </c>
      <c r="V3830">
        <v>-0.1410817</v>
      </c>
      <c r="W3830">
        <v>0.34897009999999901</v>
      </c>
      <c r="X3830">
        <v>0.92645339999999998</v>
      </c>
      <c r="Y3830">
        <v>-7.3467459999999998E-2</v>
      </c>
      <c r="Z3830">
        <v>2.315891E-3</v>
      </c>
      <c r="AA3830">
        <v>0.99729489999999998</v>
      </c>
      <c r="AB3830">
        <v>39</v>
      </c>
      <c r="AC3830">
        <v>22.936599999999999</v>
      </c>
      <c r="AD3830">
        <v>-1.1105941962379999</v>
      </c>
      <c r="AE3830">
        <v>1.70779999999999</v>
      </c>
      <c r="AF3830">
        <v>-1.7161313339686499</v>
      </c>
      <c r="AG3830">
        <v>-1.1105941962379999</v>
      </c>
      <c r="AH3830">
        <v>22.882326268096001</v>
      </c>
      <c r="AI3830">
        <v>92.770901735878098</v>
      </c>
      <c r="AJ3830">
        <v>94.289045923021604</v>
      </c>
      <c r="AK3830">
        <v>22.9734494942258</v>
      </c>
      <c r="AL3830">
        <v>69.575666075474302</v>
      </c>
      <c r="AM3830">
        <v>98.658565646509004</v>
      </c>
      <c r="AN3830">
        <v>1.00000003957022</v>
      </c>
    </row>
    <row r="3831" spans="1:40" x14ac:dyDescent="0.25">
      <c r="A3831" t="str">
        <f>"20190304164205154"</f>
        <v>20190304164205154</v>
      </c>
      <c r="B3831" t="str">
        <f>"1551688925144813"</f>
        <v>1551688925144813</v>
      </c>
      <c r="C3831" t="s">
        <v>40</v>
      </c>
      <c r="D3831">
        <v>4.0612329999999996</v>
      </c>
      <c r="E3831">
        <v>0.53453669999999998</v>
      </c>
      <c r="F3831" t="s">
        <v>46</v>
      </c>
      <c r="G3831">
        <v>-278.0385</v>
      </c>
      <c r="H3831" s="1">
        <v>2.684161E-6</v>
      </c>
      <c r="I3831">
        <v>215.91470000000001</v>
      </c>
      <c r="J3831">
        <v>-300.94549999999998</v>
      </c>
      <c r="K3831">
        <v>1.1106119999999999</v>
      </c>
      <c r="L3831">
        <v>214.2159</v>
      </c>
      <c r="M3831">
        <v>0.99988759999999999</v>
      </c>
      <c r="N3831">
        <v>-1.499667E-2</v>
      </c>
      <c r="O3831">
        <v>-4.2471309999999999E-4</v>
      </c>
      <c r="P3831">
        <v>0.93167109999999997</v>
      </c>
      <c r="Q3831">
        <v>0.33487850000000002</v>
      </c>
      <c r="R3831">
        <v>0.14087469999999999</v>
      </c>
      <c r="S3831">
        <v>3.2401119999999999</v>
      </c>
      <c r="T3831">
        <v>-0.15535959999999999</v>
      </c>
      <c r="U3831">
        <v>0.2376404</v>
      </c>
      <c r="V3831">
        <v>-0.14137520000000001</v>
      </c>
      <c r="W3831">
        <v>0.34876990000000002</v>
      </c>
      <c r="X3831">
        <v>0.92648399999999997</v>
      </c>
      <c r="Y3831">
        <v>-7.345981E-2</v>
      </c>
      <c r="Z3831">
        <v>2.3237650000000002E-3</v>
      </c>
      <c r="AA3831">
        <v>0.9972955</v>
      </c>
      <c r="AB3831">
        <v>39</v>
      </c>
      <c r="AC3831">
        <v>22.906999999999901</v>
      </c>
      <c r="AD3831">
        <v>-1.110609315839</v>
      </c>
      <c r="AE3831">
        <v>1.6988000000000001</v>
      </c>
      <c r="AF3831">
        <v>-1.70454498620244</v>
      </c>
      <c r="AG3831">
        <v>-1.110609315839</v>
      </c>
      <c r="AH3831">
        <v>22.852851342361401</v>
      </c>
      <c r="AI3831">
        <v>92.774592225816704</v>
      </c>
      <c r="AJ3831">
        <v>94.265670087021604</v>
      </c>
      <c r="AK3831">
        <v>22.943228655498501</v>
      </c>
      <c r="AL3831">
        <v>69.587904768456298</v>
      </c>
      <c r="AM3831">
        <v>98.676022502245601</v>
      </c>
      <c r="AN3831">
        <v>0.99999999628852498</v>
      </c>
    </row>
    <row r="3832" spans="1:40" x14ac:dyDescent="0.25">
      <c r="A3832" t="str">
        <f>"20190304164205173"</f>
        <v>20190304164205173</v>
      </c>
      <c r="B3832" t="str">
        <f>"1551688925165310"</f>
        <v>1551688925165310</v>
      </c>
      <c r="C3832" t="s">
        <v>40</v>
      </c>
      <c r="D3832">
        <v>4.0051439999999996</v>
      </c>
      <c r="E3832">
        <v>0.53436209999999995</v>
      </c>
      <c r="F3832" t="s">
        <v>46</v>
      </c>
      <c r="G3832">
        <v>-277.85340000000002</v>
      </c>
      <c r="H3832" s="1">
        <v>2.5853419999999999E-6</v>
      </c>
      <c r="I3832">
        <v>215.9213</v>
      </c>
      <c r="J3832">
        <v>-300.61750000000001</v>
      </c>
      <c r="K3832">
        <v>1.110627</v>
      </c>
      <c r="L3832">
        <v>214.2159</v>
      </c>
      <c r="M3832">
        <v>0.99988779999999999</v>
      </c>
      <c r="N3832">
        <v>-1.4993029999999999E-2</v>
      </c>
      <c r="O3832">
        <v>-2.6907139999999999E-4</v>
      </c>
      <c r="P3832">
        <v>0.93156830000000002</v>
      </c>
      <c r="Q3832">
        <v>0.33481820000000001</v>
      </c>
      <c r="R3832">
        <v>0.1416953</v>
      </c>
      <c r="S3832">
        <v>3.2398380000000002</v>
      </c>
      <c r="T3832">
        <v>-0.15581889999999901</v>
      </c>
      <c r="U3832">
        <v>0.23927309999999999</v>
      </c>
      <c r="V3832">
        <v>-0.14206489999999999</v>
      </c>
      <c r="W3832">
        <v>0.34869889999999998</v>
      </c>
      <c r="X3832">
        <v>0.92640529999999999</v>
      </c>
      <c r="Y3832">
        <v>-7.3809589999999994E-2</v>
      </c>
      <c r="Z3832">
        <v>2.334895E-3</v>
      </c>
      <c r="AA3832">
        <v>0.99726959999999998</v>
      </c>
      <c r="AB3832">
        <v>39</v>
      </c>
      <c r="AC3832">
        <v>22.7640999999999</v>
      </c>
      <c r="AD3832">
        <v>-1.110624414658</v>
      </c>
      <c r="AE3832">
        <v>1.70539999999999</v>
      </c>
      <c r="AF3832">
        <v>-1.7074841361383499</v>
      </c>
      <c r="AG3832">
        <v>-1.110624414658</v>
      </c>
      <c r="AH3832">
        <v>22.709885385708201</v>
      </c>
      <c r="AI3832">
        <v>92.791945170560894</v>
      </c>
      <c r="AJ3832">
        <v>94.299797483904001</v>
      </c>
      <c r="AK3832">
        <v>22.801050039364402</v>
      </c>
      <c r="AL3832">
        <v>69.592246813574405</v>
      </c>
      <c r="AM3832">
        <v>98.718429066899105</v>
      </c>
      <c r="AN3832">
        <v>1.0000000692706501</v>
      </c>
    </row>
    <row r="3833" spans="1:40" x14ac:dyDescent="0.25">
      <c r="A3833" t="str">
        <f>"20190304164205189"</f>
        <v>20190304164205189</v>
      </c>
      <c r="B3833" t="str">
        <f>"1551688925185374"</f>
        <v>1551688925185374</v>
      </c>
      <c r="C3833" t="s">
        <v>40</v>
      </c>
      <c r="D3833">
        <v>4.0396029999999996</v>
      </c>
      <c r="E3833">
        <v>0.53408800000000001</v>
      </c>
      <c r="F3833" t="s">
        <v>46</v>
      </c>
      <c r="G3833">
        <v>-277.53440000000001</v>
      </c>
      <c r="H3833" s="1">
        <v>2.4144920000000001E-6</v>
      </c>
      <c r="I3833">
        <v>215.94640000000001</v>
      </c>
      <c r="J3833">
        <v>-300.35270000000003</v>
      </c>
      <c r="K3833">
        <v>1.110638</v>
      </c>
      <c r="L3833">
        <v>214.2159</v>
      </c>
      <c r="M3833">
        <v>0.99988779999999999</v>
      </c>
      <c r="N3833">
        <v>-1.4990079999999999E-2</v>
      </c>
      <c r="O3833">
        <v>-1.356997E-4</v>
      </c>
      <c r="P3833">
        <v>0.93154479999999995</v>
      </c>
      <c r="Q3833">
        <v>0.33454610000000001</v>
      </c>
      <c r="R3833">
        <v>0.14249039999999999</v>
      </c>
      <c r="S3833">
        <v>3.239471</v>
      </c>
      <c r="T3833">
        <v>-0.15586439999999999</v>
      </c>
      <c r="U3833">
        <v>0.24285889999999999</v>
      </c>
      <c r="V3833">
        <v>-0.14274500000000001</v>
      </c>
      <c r="W3833">
        <v>0.3484199</v>
      </c>
      <c r="X3833">
        <v>0.9264057</v>
      </c>
      <c r="Y3833">
        <v>-7.4781150000000005E-2</v>
      </c>
      <c r="Z3833">
        <v>2.3616739999999998E-3</v>
      </c>
      <c r="AA3833">
        <v>0.99719720000000001</v>
      </c>
      <c r="AB3833">
        <v>39</v>
      </c>
      <c r="AC3833">
        <v>22.818300000000001</v>
      </c>
      <c r="AD3833">
        <v>-1.1106355855079999</v>
      </c>
      <c r="AE3833">
        <v>1.7304999999999999</v>
      </c>
      <c r="AF3833">
        <v>-1.72952285037774</v>
      </c>
      <c r="AG3833">
        <v>-1.1106355855079999</v>
      </c>
      <c r="AH3833">
        <v>22.764442940944999</v>
      </c>
      <c r="AI3833">
        <v>92.785127815435303</v>
      </c>
      <c r="AJ3833">
        <v>94.3446859142813</v>
      </c>
      <c r="AK3833">
        <v>22.857047558801501</v>
      </c>
      <c r="AL3833">
        <v>69.609301322524502</v>
      </c>
      <c r="AM3833">
        <v>98.759516816806695</v>
      </c>
      <c r="AN3833">
        <v>1.00000004136674</v>
      </c>
    </row>
    <row r="3834" spans="1:40" x14ac:dyDescent="0.25">
      <c r="A3834" t="str">
        <f>"20190304164205206"</f>
        <v>20190304164205206</v>
      </c>
      <c r="B3834" t="str">
        <f>"1551688925195134"</f>
        <v>1551688925195134</v>
      </c>
      <c r="C3834" t="s">
        <v>40</v>
      </c>
      <c r="D3834">
        <v>4.0698650000000001</v>
      </c>
      <c r="E3834">
        <v>0.53391140000000004</v>
      </c>
      <c r="F3834" t="s">
        <v>46</v>
      </c>
      <c r="G3834">
        <v>-277.40350000000001</v>
      </c>
      <c r="H3834" s="1">
        <v>2.3439320000000002E-6</v>
      </c>
      <c r="I3834">
        <v>215.96719999999999</v>
      </c>
      <c r="J3834">
        <v>-300.04599999999999</v>
      </c>
      <c r="K3834">
        <v>1.1106499999999999</v>
      </c>
      <c r="L3834">
        <v>214.21600000000001</v>
      </c>
      <c r="M3834">
        <v>0.99988779999999999</v>
      </c>
      <c r="N3834">
        <v>-1.498668E-2</v>
      </c>
      <c r="O3834" s="1">
        <v>2.5854749999999998E-5</v>
      </c>
      <c r="P3834">
        <v>0.9314443</v>
      </c>
      <c r="Q3834">
        <v>0.33432539999999999</v>
      </c>
      <c r="R3834">
        <v>0.1436595</v>
      </c>
      <c r="S3834">
        <v>3.2389830000000002</v>
      </c>
      <c r="T3834">
        <v>-0.15675210000000001</v>
      </c>
      <c r="U3834">
        <v>0.24716189999999999</v>
      </c>
      <c r="V3834">
        <v>-0.1437726</v>
      </c>
      <c r="W3834">
        <v>0.34819060000000002</v>
      </c>
      <c r="X3834">
        <v>0.92633299999999996</v>
      </c>
      <c r="Y3834">
        <v>-7.5945589999999993E-2</v>
      </c>
      <c r="Z3834">
        <v>2.4034920000000001E-3</v>
      </c>
      <c r="AA3834">
        <v>0.99710909999999997</v>
      </c>
      <c r="AB3834">
        <v>39</v>
      </c>
      <c r="AC3834">
        <v>22.642499999999899</v>
      </c>
      <c r="AD3834">
        <v>-1.1106476560680001</v>
      </c>
      <c r="AE3834">
        <v>1.7512000000000101</v>
      </c>
      <c r="AF3834">
        <v>-1.7464374948652099</v>
      </c>
      <c r="AG3834">
        <v>-1.1106476560680001</v>
      </c>
      <c r="AH3834">
        <v>22.588519431291001</v>
      </c>
      <c r="AI3834">
        <v>92.806528575592793</v>
      </c>
      <c r="AJ3834">
        <v>94.421043550258801</v>
      </c>
      <c r="AK3834">
        <v>22.683138941451901</v>
      </c>
      <c r="AL3834">
        <v>69.623316867225498</v>
      </c>
      <c r="AM3834">
        <v>98.822268332300993</v>
      </c>
      <c r="AN3834">
        <v>1.0000000406640499</v>
      </c>
    </row>
    <row r="3835" spans="1:40" x14ac:dyDescent="0.25">
      <c r="A3835" t="str">
        <f>"20190304164205228"</f>
        <v>20190304164205228</v>
      </c>
      <c r="B3835" t="str">
        <f>"1551688925225389"</f>
        <v>1551688925225389</v>
      </c>
      <c r="C3835" t="s">
        <v>40</v>
      </c>
      <c r="D3835">
        <v>4.0715500000000002</v>
      </c>
      <c r="E3835">
        <v>0.53338030000000003</v>
      </c>
      <c r="F3835" t="s">
        <v>46</v>
      </c>
      <c r="G3835">
        <v>-277.2407</v>
      </c>
      <c r="H3835" s="1">
        <v>2.2560920000000001E-6</v>
      </c>
      <c r="I3835">
        <v>215.99440000000001</v>
      </c>
      <c r="J3835">
        <v>-299.66829999999999</v>
      </c>
      <c r="K3835">
        <v>1.1106579999999999</v>
      </c>
      <c r="L3835">
        <v>214.21619999999999</v>
      </c>
      <c r="M3835">
        <v>0.99988770000000005</v>
      </c>
      <c r="N3835">
        <v>-1.4982499999999999E-2</v>
      </c>
      <c r="O3835">
        <v>2.320375E-4</v>
      </c>
      <c r="P3835">
        <v>0.93122269999999896</v>
      </c>
      <c r="Q3835">
        <v>0.33474769999999998</v>
      </c>
      <c r="R3835">
        <v>0.144113299999999</v>
      </c>
      <c r="S3835">
        <v>3.238464</v>
      </c>
      <c r="T3835">
        <v>-0.15771729999999901</v>
      </c>
      <c r="U3835">
        <v>0.25253300000000001</v>
      </c>
      <c r="V3835">
        <v>-0.14404330000000001</v>
      </c>
      <c r="W3835">
        <v>0.34860219999999997</v>
      </c>
      <c r="X3835">
        <v>0.92613610000000002</v>
      </c>
      <c r="Y3835">
        <v>-7.7392600000000006E-2</v>
      </c>
      <c r="Z3835">
        <v>2.4539129999999998E-3</v>
      </c>
      <c r="AA3835">
        <v>0.99699769999999999</v>
      </c>
      <c r="AB3835">
        <v>39</v>
      </c>
      <c r="AC3835">
        <v>22.427599999999899</v>
      </c>
      <c r="AD3835">
        <v>-1.11065574390799</v>
      </c>
      <c r="AE3835">
        <v>1.77820000000002</v>
      </c>
      <c r="AF3835">
        <v>-1.7686848773367101</v>
      </c>
      <c r="AG3835">
        <v>-1.11065574390799</v>
      </c>
      <c r="AH3835">
        <v>22.373485827889901</v>
      </c>
      <c r="AI3835">
        <v>92.833097314539302</v>
      </c>
      <c r="AJ3835">
        <v>94.519987135922307</v>
      </c>
      <c r="AK3835">
        <v>22.470751444212699</v>
      </c>
      <c r="AL3835">
        <v>69.598157210234604</v>
      </c>
      <c r="AM3835">
        <v>98.840466611419401</v>
      </c>
      <c r="AN3835">
        <v>1.0000000209214699</v>
      </c>
    </row>
    <row r="3836" spans="1:40" x14ac:dyDescent="0.25">
      <c r="A3836" t="str">
        <f>"20190304164205251"</f>
        <v>20190304164205251</v>
      </c>
      <c r="B3836" t="str">
        <f>"1551688925244909"</f>
        <v>1551688925244909</v>
      </c>
      <c r="C3836" t="s">
        <v>40</v>
      </c>
      <c r="D3836">
        <v>4.038259</v>
      </c>
      <c r="E3836">
        <v>0.53307569999999904</v>
      </c>
      <c r="F3836" t="s">
        <v>46</v>
      </c>
      <c r="G3836">
        <v>-276.79450000000003</v>
      </c>
      <c r="H3836" s="1">
        <v>2.016176E-6</v>
      </c>
      <c r="I3836">
        <v>216.05099999999999</v>
      </c>
      <c r="J3836">
        <v>-299.27069999999998</v>
      </c>
      <c r="K3836">
        <v>1.110673</v>
      </c>
      <c r="L3836">
        <v>214.2165</v>
      </c>
      <c r="M3836">
        <v>0.99988779999999999</v>
      </c>
      <c r="N3836">
        <v>-1.4978089999999999E-2</v>
      </c>
      <c r="O3836">
        <v>4.5385860000000001E-4</v>
      </c>
      <c r="P3836">
        <v>0.93121180000000003</v>
      </c>
      <c r="Q3836">
        <v>0.334648</v>
      </c>
      <c r="R3836">
        <v>0.14441470000000001</v>
      </c>
      <c r="S3836">
        <v>3.237854</v>
      </c>
      <c r="T3836">
        <v>-0.1572162</v>
      </c>
      <c r="U3836">
        <v>0.2597198</v>
      </c>
      <c r="V3836">
        <v>-0.14414389999999999</v>
      </c>
      <c r="W3836">
        <v>0.3484968</v>
      </c>
      <c r="X3836">
        <v>0.92616010000000004</v>
      </c>
      <c r="Y3836">
        <v>-7.9382770000000005E-2</v>
      </c>
      <c r="Z3836">
        <v>2.5037639999999999E-3</v>
      </c>
      <c r="AA3836">
        <v>0.99684110000000004</v>
      </c>
      <c r="AB3836">
        <v>38</v>
      </c>
      <c r="AC3836">
        <v>22.476199999999899</v>
      </c>
      <c r="AD3836">
        <v>-1.1106709838240001</v>
      </c>
      <c r="AE3836">
        <v>1.83449999999999</v>
      </c>
      <c r="AF3836">
        <v>-1.8198831153954</v>
      </c>
      <c r="AG3836">
        <v>-1.1106709838240001</v>
      </c>
      <c r="AH3836">
        <v>22.422639232932301</v>
      </c>
      <c r="AI3836">
        <v>92.826461620329496</v>
      </c>
      <c r="AJ3836">
        <v>94.640112253842602</v>
      </c>
      <c r="AK3836">
        <v>22.5237722142239</v>
      </c>
      <c r="AL3836">
        <v>69.604599931407293</v>
      </c>
      <c r="AM3836">
        <v>98.846317557122205</v>
      </c>
      <c r="AN3836">
        <v>1.0000000071747299</v>
      </c>
    </row>
    <row r="3837" spans="1:40" x14ac:dyDescent="0.25">
      <c r="A3837" t="str">
        <f>"20190304164205274"</f>
        <v>20190304164205274</v>
      </c>
      <c r="B3837" t="str">
        <f>"1551688925265405"</f>
        <v>1551688925265405</v>
      </c>
      <c r="C3837" t="s">
        <v>40</v>
      </c>
      <c r="D3837">
        <v>4.063796</v>
      </c>
      <c r="E3837">
        <v>0.53280930000000004</v>
      </c>
      <c r="F3837" t="s">
        <v>46</v>
      </c>
      <c r="G3837">
        <v>-276.52609999999999</v>
      </c>
      <c r="H3837" s="1">
        <v>1.8724559999999999E-6</v>
      </c>
      <c r="I3837">
        <v>216.0718</v>
      </c>
      <c r="J3837">
        <v>-298.89010000000002</v>
      </c>
      <c r="K3837">
        <v>1.1106750000000001</v>
      </c>
      <c r="L3837">
        <v>214.21690000000001</v>
      </c>
      <c r="M3837">
        <v>0.99988779999999999</v>
      </c>
      <c r="N3837">
        <v>-1.497386E-2</v>
      </c>
      <c r="O3837">
        <v>6.6819410000000003E-4</v>
      </c>
      <c r="P3837">
        <v>0.93119410000000002</v>
      </c>
      <c r="Q3837">
        <v>0.33447890000000002</v>
      </c>
      <c r="R3837">
        <v>0.14491999999999999</v>
      </c>
      <c r="S3837">
        <v>3.2374879999999999</v>
      </c>
      <c r="T3837">
        <v>-0.15809400000000001</v>
      </c>
      <c r="U3837">
        <v>0.26408389999999998</v>
      </c>
      <c r="V3837">
        <v>-0.1444542</v>
      </c>
      <c r="W3837">
        <v>0.34832160000000001</v>
      </c>
      <c r="X3837">
        <v>0.92617769999999999</v>
      </c>
      <c r="Y3837">
        <v>-8.0510150000000003E-2</v>
      </c>
      <c r="Z3837">
        <v>2.5430309999999999E-3</v>
      </c>
      <c r="AA3837">
        <v>0.99675049999999998</v>
      </c>
      <c r="AB3837">
        <v>38</v>
      </c>
      <c r="AC3837">
        <v>22.364000000000001</v>
      </c>
      <c r="AD3837">
        <v>-1.110673127544</v>
      </c>
      <c r="AE3837">
        <v>1.85489999999998</v>
      </c>
      <c r="AF3837">
        <v>-1.8354582706154501</v>
      </c>
      <c r="AG3837">
        <v>-1.110673127544</v>
      </c>
      <c r="AH3837">
        <v>22.3105824508858</v>
      </c>
      <c r="AI3837">
        <v>92.840385501459807</v>
      </c>
      <c r="AJ3837">
        <v>94.703046980960593</v>
      </c>
      <c r="AK3837">
        <v>22.4134912755062</v>
      </c>
      <c r="AL3837">
        <v>69.615309916410595</v>
      </c>
      <c r="AM3837">
        <v>98.864893164644698</v>
      </c>
      <c r="AN3837">
        <v>1.00000004245074</v>
      </c>
    </row>
    <row r="3838" spans="1:40" x14ac:dyDescent="0.25">
      <c r="A3838" t="str">
        <f>"20190304164205290"</f>
        <v>20190304164205290</v>
      </c>
      <c r="B3838" t="str">
        <f>"1551688925284567"</f>
        <v>1551688925284567</v>
      </c>
      <c r="C3838" t="s">
        <v>40</v>
      </c>
      <c r="D3838">
        <v>4.0432769999999998</v>
      </c>
      <c r="E3838">
        <v>0.53258119999999998</v>
      </c>
      <c r="F3838" t="s">
        <v>46</v>
      </c>
      <c r="G3838">
        <v>-276.2758</v>
      </c>
      <c r="H3838" s="1">
        <v>1.738853E-6</v>
      </c>
      <c r="I3838">
        <v>216.08109999999999</v>
      </c>
      <c r="J3838">
        <v>-298.62490000000003</v>
      </c>
      <c r="K3838">
        <v>1.1106769999999999</v>
      </c>
      <c r="L3838">
        <v>214.21719999999999</v>
      </c>
      <c r="M3838">
        <v>0.99988770000000005</v>
      </c>
      <c r="N3838">
        <v>-1.497092E-2</v>
      </c>
      <c r="O3838">
        <v>8.1757429999999897E-4</v>
      </c>
      <c r="P3838">
        <v>0.93107930000000005</v>
      </c>
      <c r="Q3838">
        <v>0.33476420000000001</v>
      </c>
      <c r="R3838">
        <v>0.14499809999999999</v>
      </c>
      <c r="S3838">
        <v>3.237244</v>
      </c>
      <c r="T3838">
        <v>-0.1589931</v>
      </c>
      <c r="U3838">
        <v>0.26686100000000001</v>
      </c>
      <c r="V3838">
        <v>-0.1443962</v>
      </c>
      <c r="W3838">
        <v>0.3486013</v>
      </c>
      <c r="X3838">
        <v>0.92608140000000005</v>
      </c>
      <c r="Y3838">
        <v>-8.1214410000000001E-2</v>
      </c>
      <c r="Z3838">
        <v>2.5714209999999999E-3</v>
      </c>
      <c r="AA3838">
        <v>0.9966933</v>
      </c>
      <c r="AB3838">
        <v>38</v>
      </c>
      <c r="AC3838">
        <v>22.3491</v>
      </c>
      <c r="AD3838">
        <v>-1.1106752611470001</v>
      </c>
      <c r="AE3838">
        <v>1.8638999999999999</v>
      </c>
      <c r="AF3838">
        <v>-1.84110959744897</v>
      </c>
      <c r="AG3838">
        <v>-1.1106752611470001</v>
      </c>
      <c r="AH3838">
        <v>22.2959314167942</v>
      </c>
      <c r="AI3838">
        <v>92.842182919422498</v>
      </c>
      <c r="AJ3838">
        <v>94.720548201321904</v>
      </c>
      <c r="AK3838">
        <v>22.399371460555201</v>
      </c>
      <c r="AL3838">
        <v>69.598210592274199</v>
      </c>
      <c r="AM3838">
        <v>98.862297148114493</v>
      </c>
      <c r="AN3838">
        <v>0.99999994418104299</v>
      </c>
    </row>
    <row r="3839" spans="1:40" x14ac:dyDescent="0.25">
      <c r="A3839" t="str">
        <f>"20190304164205307"</f>
        <v>20190304164205307</v>
      </c>
      <c r="B3839" t="str">
        <f>"1551688925305051"</f>
        <v>1551688925305051</v>
      </c>
      <c r="C3839" t="s">
        <v>40</v>
      </c>
      <c r="D3839">
        <v>4.0419260000000001</v>
      </c>
      <c r="E3839">
        <v>0.5324236</v>
      </c>
      <c r="F3839" t="s">
        <v>46</v>
      </c>
      <c r="G3839">
        <v>-275.91000000000003</v>
      </c>
      <c r="H3839" s="1">
        <v>1.5434060000000001E-6</v>
      </c>
      <c r="I3839">
        <v>216.09909999999999</v>
      </c>
      <c r="J3839">
        <v>-298.31099999999998</v>
      </c>
      <c r="K3839">
        <v>1.110687</v>
      </c>
      <c r="L3839">
        <v>214.2176</v>
      </c>
      <c r="M3839">
        <v>0.99988750000000004</v>
      </c>
      <c r="N3839">
        <v>-1.496741E-2</v>
      </c>
      <c r="O3839">
        <v>9.9372210000000009E-4</v>
      </c>
      <c r="P3839">
        <v>0.93115840000000005</v>
      </c>
      <c r="Q3839">
        <v>0.33456170000000002</v>
      </c>
      <c r="R3839">
        <v>0.14495659999999999</v>
      </c>
      <c r="S3839">
        <v>3.2371829999999999</v>
      </c>
      <c r="T3839">
        <v>-0.15828610000000001</v>
      </c>
      <c r="U3839">
        <v>0.2681885</v>
      </c>
      <c r="V3839">
        <v>-0.1441934</v>
      </c>
      <c r="W3839">
        <v>0.34839619999999999</v>
      </c>
      <c r="X3839">
        <v>0.92619030000000002</v>
      </c>
      <c r="Y3839">
        <v>-8.1447060000000002E-2</v>
      </c>
      <c r="Z3839">
        <v>2.5640839999999999E-3</v>
      </c>
      <c r="AA3839">
        <v>0.99667439999999996</v>
      </c>
      <c r="AB3839">
        <v>38</v>
      </c>
      <c r="AC3839">
        <v>22.4009999999999</v>
      </c>
      <c r="AD3839">
        <v>-1.1106854565940001</v>
      </c>
      <c r="AE3839">
        <v>1.88149999999998</v>
      </c>
      <c r="AF3839">
        <v>-1.8547085880029399</v>
      </c>
      <c r="AG3839">
        <v>-1.1106854565940001</v>
      </c>
      <c r="AH3839">
        <v>22.3483032910333</v>
      </c>
      <c r="AI3839">
        <v>92.835462716265894</v>
      </c>
      <c r="AJ3839">
        <v>94.744163554487301</v>
      </c>
      <c r="AK3839">
        <v>22.452621809443801</v>
      </c>
      <c r="AL3839">
        <v>69.610750405540799</v>
      </c>
      <c r="AM3839">
        <v>98.849023389294302</v>
      </c>
      <c r="AN3839">
        <v>1.0000000602960399</v>
      </c>
    </row>
    <row r="3840" spans="1:40" x14ac:dyDescent="0.25">
      <c r="A3840" t="str">
        <f>"20190304164205330"</f>
        <v>20190304164205330</v>
      </c>
      <c r="B3840" t="str">
        <f>"1551688925325549"</f>
        <v>1551688925325549</v>
      </c>
      <c r="C3840" t="s">
        <v>40</v>
      </c>
      <c r="D3840">
        <v>3.9583949999999999</v>
      </c>
      <c r="E3840">
        <v>0.53235089999999996</v>
      </c>
      <c r="F3840" t="s">
        <v>46</v>
      </c>
      <c r="G3840">
        <v>-275.8116</v>
      </c>
      <c r="H3840" s="1">
        <v>1.4917630000000001E-6</v>
      </c>
      <c r="I3840">
        <v>216.08330000000001</v>
      </c>
      <c r="J3840">
        <v>-297.92410000000001</v>
      </c>
      <c r="K3840">
        <v>1.1106849999999999</v>
      </c>
      <c r="L3840">
        <v>214.2182</v>
      </c>
      <c r="M3840">
        <v>0.99988739999999998</v>
      </c>
      <c r="N3840">
        <v>-1.496307E-2</v>
      </c>
      <c r="O3840">
        <v>1.20981E-3</v>
      </c>
      <c r="P3840">
        <v>0.93126419999999999</v>
      </c>
      <c r="Q3840">
        <v>0.33433580000000002</v>
      </c>
      <c r="R3840">
        <v>0.14479919999999999</v>
      </c>
      <c r="S3840">
        <v>3.2374269999999998</v>
      </c>
      <c r="T3840">
        <v>-0.15981600000000001</v>
      </c>
      <c r="U3840">
        <v>0.26844790000000002</v>
      </c>
      <c r="V3840">
        <v>-0.1438372</v>
      </c>
      <c r="W3840">
        <v>0.34816740000000002</v>
      </c>
      <c r="X3840">
        <v>0.92633160000000003</v>
      </c>
      <c r="Y3840">
        <v>-8.1303050000000002E-2</v>
      </c>
      <c r="Z3840">
        <v>2.5704270000000001E-3</v>
      </c>
      <c r="AA3840">
        <v>0.99668610000000002</v>
      </c>
      <c r="AB3840">
        <v>38</v>
      </c>
      <c r="AC3840">
        <v>22.112500000000001</v>
      </c>
      <c r="AD3840">
        <v>-1.1106835082369999</v>
      </c>
      <c r="AE3840">
        <v>1.86510000000001</v>
      </c>
      <c r="AF3840">
        <v>-1.8337499788829801</v>
      </c>
      <c r="AG3840">
        <v>-1.1106835082369999</v>
      </c>
      <c r="AH3840">
        <v>22.059479135440998</v>
      </c>
      <c r="AI3840">
        <v>92.872488253424805</v>
      </c>
      <c r="AJ3840">
        <v>94.751931061241905</v>
      </c>
      <c r="AK3840">
        <v>22.163413017120799</v>
      </c>
      <c r="AL3840">
        <v>69.624733050516994</v>
      </c>
      <c r="AM3840">
        <v>98.826183088534293</v>
      </c>
      <c r="AN3840">
        <v>0.99999995584257895</v>
      </c>
    </row>
    <row r="3841" spans="1:40" x14ac:dyDescent="0.25">
      <c r="A3841" t="str">
        <f>"20190304164205462"</f>
        <v>20190304164205462</v>
      </c>
      <c r="B3841" t="str">
        <f>"1551688925454925"</f>
        <v>1551688925454925</v>
      </c>
      <c r="C3841" t="s">
        <v>40</v>
      </c>
      <c r="D3841">
        <v>4.0811989999999998</v>
      </c>
      <c r="E3841">
        <v>0.53006500000000001</v>
      </c>
      <c r="F3841" t="s">
        <v>46</v>
      </c>
      <c r="G3841">
        <v>-275.68</v>
      </c>
      <c r="H3841" s="1">
        <v>1.422647E-6</v>
      </c>
      <c r="I3841">
        <v>216.06190000000001</v>
      </c>
      <c r="J3841">
        <v>-295.6644</v>
      </c>
      <c r="K3841">
        <v>1.110687</v>
      </c>
      <c r="L3841">
        <v>214.22329999999999</v>
      </c>
      <c r="M3841">
        <v>0.99988540000000004</v>
      </c>
      <c r="N3841">
        <v>-1.493763E-2</v>
      </c>
      <c r="O3841">
        <v>2.4728900000000002E-3</v>
      </c>
      <c r="P3841">
        <v>0.93198919999999996</v>
      </c>
      <c r="Q3841">
        <v>0.33238319999999999</v>
      </c>
      <c r="R3841">
        <v>0.14462949999999999</v>
      </c>
      <c r="S3841">
        <v>3.2377319999999998</v>
      </c>
      <c r="T3841">
        <v>-0.16166539999999999</v>
      </c>
      <c r="U3841">
        <v>0.26835629999999999</v>
      </c>
      <c r="V3841">
        <v>-0.14249419999999999</v>
      </c>
      <c r="W3841">
        <v>0.34620339999999999</v>
      </c>
      <c r="X3841">
        <v>0.92727479999999995</v>
      </c>
      <c r="Y3841">
        <v>-8.0008529999999994E-2</v>
      </c>
      <c r="Z3841">
        <v>2.505611E-3</v>
      </c>
      <c r="AA3841">
        <v>0.99679099999999998</v>
      </c>
      <c r="AB3841">
        <v>38</v>
      </c>
      <c r="AC3841">
        <v>19.984399999999901</v>
      </c>
      <c r="AD3841">
        <v>-1.110685577353</v>
      </c>
      <c r="AE3841">
        <v>1.83860000000001</v>
      </c>
      <c r="AF3841">
        <v>-1.7837062433031901</v>
      </c>
      <c r="AG3841">
        <v>-1.110685577353</v>
      </c>
      <c r="AH3841">
        <v>19.927848100035</v>
      </c>
      <c r="AI3841">
        <v>93.177423013559405</v>
      </c>
      <c r="AJ3841">
        <v>95.114812903321905</v>
      </c>
      <c r="AK3841">
        <v>20.038322292852001</v>
      </c>
      <c r="AL3841">
        <v>69.744726336479502</v>
      </c>
      <c r="AM3841">
        <v>98.736295336800296</v>
      </c>
      <c r="AN3841">
        <v>0.999999972960119</v>
      </c>
    </row>
    <row r="3842" spans="1:40" x14ac:dyDescent="0.25">
      <c r="A3842" t="str">
        <f>"20190304164205478"</f>
        <v>20190304164205478</v>
      </c>
      <c r="B3842" t="str">
        <f>"1551688925475421"</f>
        <v>1551688925475421</v>
      </c>
      <c r="C3842" t="s">
        <v>40</v>
      </c>
      <c r="D3842">
        <v>4.0110729999999997</v>
      </c>
      <c r="E3842">
        <v>0.5417843</v>
      </c>
      <c r="F3842" t="s">
        <v>41</v>
      </c>
      <c r="G3842">
        <v>-294.65050000000002</v>
      </c>
      <c r="H3842">
        <v>0.94549919999999998</v>
      </c>
      <c r="I3842">
        <v>214.3184</v>
      </c>
      <c r="J3842">
        <v>-295.39729999999997</v>
      </c>
      <c r="K3842">
        <v>1.11069</v>
      </c>
      <c r="L3842">
        <v>214.22409999999999</v>
      </c>
      <c r="M3842">
        <v>0.99988500000000002</v>
      </c>
      <c r="N3842">
        <v>-1.4934599999999999E-2</v>
      </c>
      <c r="O3842">
        <v>2.6225710000000002E-3</v>
      </c>
      <c r="P3842">
        <v>0.93195079999999997</v>
      </c>
      <c r="Q3842">
        <v>0.33238719999999999</v>
      </c>
      <c r="R3842">
        <v>0.14486740000000001</v>
      </c>
      <c r="S3842">
        <v>3.3654790000000001</v>
      </c>
      <c r="T3842">
        <v>-0.54830630000000002</v>
      </c>
      <c r="U3842">
        <v>0.31547550000000002</v>
      </c>
      <c r="V3842">
        <v>-0.14259269999999999</v>
      </c>
      <c r="W3842">
        <v>0.34620430000000002</v>
      </c>
      <c r="X3842">
        <v>0.92725939999999996</v>
      </c>
      <c r="Y3842">
        <v>-8.9467350000000001E-2</v>
      </c>
      <c r="Z3842">
        <v>7.5144130000000002E-3</v>
      </c>
      <c r="AA3842">
        <v>0.9959614</v>
      </c>
      <c r="AB3842">
        <v>38</v>
      </c>
      <c r="AC3842">
        <v>0.74679999999994995</v>
      </c>
      <c r="AD3842">
        <v>-0.165190799999999</v>
      </c>
      <c r="AE3842">
        <v>9.4300000000004006E-2</v>
      </c>
      <c r="AF3842">
        <v>-8.8098054579803506E-2</v>
      </c>
      <c r="AG3842">
        <v>-0.165190799999999</v>
      </c>
      <c r="AH3842">
        <v>0.71271966860602098</v>
      </c>
      <c r="AI3842">
        <v>102.954106768673</v>
      </c>
      <c r="AJ3842">
        <v>97.046490205354303</v>
      </c>
      <c r="AK3842">
        <v>0.73689795334446595</v>
      </c>
      <c r="AL3842">
        <v>69.744672897750306</v>
      </c>
      <c r="AM3842">
        <v>98.742384041549698</v>
      </c>
      <c r="AN3842">
        <v>1.0000000451600599</v>
      </c>
    </row>
    <row r="3843" spans="1:40" x14ac:dyDescent="0.25">
      <c r="A3843" t="str">
        <f>"20190304164205496"</f>
        <v>20190304164205496</v>
      </c>
      <c r="B3843" t="str">
        <f>"1551688925485278"</f>
        <v>1551688925485278</v>
      </c>
      <c r="C3843" t="s">
        <v>40</v>
      </c>
      <c r="D3843">
        <v>4.01546</v>
      </c>
      <c r="E3843">
        <v>0.54096129999999998</v>
      </c>
      <c r="F3843" t="s">
        <v>46</v>
      </c>
      <c r="G3843">
        <v>-274.36880000000002</v>
      </c>
      <c r="H3843" s="1">
        <v>7.5016139999999998E-7</v>
      </c>
      <c r="I3843">
        <v>215.48410000000001</v>
      </c>
      <c r="J3843">
        <v>-295.0926</v>
      </c>
      <c r="K3843">
        <v>1.11069</v>
      </c>
      <c r="L3843">
        <v>214.2251</v>
      </c>
      <c r="M3843">
        <v>0.99988469999999996</v>
      </c>
      <c r="N3843">
        <v>-1.4931150000000001E-2</v>
      </c>
      <c r="O3843">
        <v>2.7931760000000001E-3</v>
      </c>
      <c r="P3843">
        <v>0.93188769999999999</v>
      </c>
      <c r="Q3843">
        <v>0.33240809999999998</v>
      </c>
      <c r="R3843">
        <v>0.1452244</v>
      </c>
      <c r="S3843">
        <v>3.2500309999999999</v>
      </c>
      <c r="T3843">
        <v>-0.17166139999999999</v>
      </c>
      <c r="U3843">
        <v>0.19473270000000001</v>
      </c>
      <c r="V3843">
        <v>-0.1427908</v>
      </c>
      <c r="W3843">
        <v>0.3462208</v>
      </c>
      <c r="X3843">
        <v>0.92722269999999896</v>
      </c>
      <c r="Y3843">
        <v>-5.6921689999999997E-2</v>
      </c>
      <c r="Z3843">
        <v>1.8209599999999999E-3</v>
      </c>
      <c r="AA3843">
        <v>0.99837699999999996</v>
      </c>
      <c r="AB3843">
        <v>38</v>
      </c>
      <c r="AC3843">
        <v>20.723799999999901</v>
      </c>
      <c r="AD3843">
        <v>-1.1106892498385901</v>
      </c>
      <c r="AE3843">
        <v>1.2590000000000101</v>
      </c>
      <c r="AF3843">
        <v>-1.1976758525514599</v>
      </c>
      <c r="AG3843">
        <v>-1.1106892498385901</v>
      </c>
      <c r="AH3843">
        <v>20.668087233440598</v>
      </c>
      <c r="AI3843">
        <v>93.0709363126618</v>
      </c>
      <c r="AJ3843">
        <v>93.316471186944696</v>
      </c>
      <c r="AK3843">
        <v>20.7325321161358</v>
      </c>
      <c r="AL3843">
        <v>69.743664139996596</v>
      </c>
      <c r="AM3843">
        <v>98.754682701240498</v>
      </c>
      <c r="AN3843">
        <v>0.99999999515628402</v>
      </c>
    </row>
    <row r="3844" spans="1:40" x14ac:dyDescent="0.25">
      <c r="A3844" t="str">
        <f>"20190304164205520"</f>
        <v>20190304164205520</v>
      </c>
      <c r="B3844" t="str">
        <f>"1551688925514538"</f>
        <v>1551688925514538</v>
      </c>
      <c r="C3844" t="s">
        <v>40</v>
      </c>
      <c r="D3844">
        <v>4.0613539999999997</v>
      </c>
      <c r="E3844">
        <v>0.54021409999999903</v>
      </c>
      <c r="F3844" t="s">
        <v>46</v>
      </c>
      <c r="G3844">
        <v>-274.5994</v>
      </c>
      <c r="H3844" s="1">
        <v>8.7210399999999999E-7</v>
      </c>
      <c r="I3844">
        <v>215.50110000000001</v>
      </c>
      <c r="J3844">
        <v>-294.70069999999998</v>
      </c>
      <c r="K3844">
        <v>1.1106929999999999</v>
      </c>
      <c r="L3844">
        <v>214.22640000000001</v>
      </c>
      <c r="M3844">
        <v>0.99988410000000005</v>
      </c>
      <c r="N3844">
        <v>-1.4926729999999999E-2</v>
      </c>
      <c r="O3844">
        <v>3.0127180000000002E-3</v>
      </c>
      <c r="P3844">
        <v>0.93172310000000003</v>
      </c>
      <c r="Q3844">
        <v>0.332752299999999</v>
      </c>
      <c r="R3844">
        <v>0.14549279999999901</v>
      </c>
      <c r="S3844">
        <v>3.2505799999999998</v>
      </c>
      <c r="T3844">
        <v>-0.17617449999999901</v>
      </c>
      <c r="U3844">
        <v>0.20239260000000001</v>
      </c>
      <c r="V3844">
        <v>-0.14285490000000001</v>
      </c>
      <c r="W3844">
        <v>0.34655950000000002</v>
      </c>
      <c r="X3844">
        <v>0.92708630000000003</v>
      </c>
      <c r="Y3844">
        <v>-5.9027820000000002E-2</v>
      </c>
      <c r="Z3844">
        <v>1.920188E-3</v>
      </c>
      <c r="AA3844">
        <v>0.99825450000000004</v>
      </c>
      <c r="AB3844">
        <v>38</v>
      </c>
      <c r="AC3844">
        <v>20.101299999999899</v>
      </c>
      <c r="AD3844">
        <v>-1.110692127896</v>
      </c>
      <c r="AE3844">
        <v>1.27469999999999</v>
      </c>
      <c r="AF3844">
        <v>-1.2104471227036699</v>
      </c>
      <c r="AG3844">
        <v>-1.110692127896</v>
      </c>
      <c r="AH3844">
        <v>20.044098234309502</v>
      </c>
      <c r="AI3844">
        <v>93.165898848660106</v>
      </c>
      <c r="AJ3844">
        <v>93.455849558298894</v>
      </c>
      <c r="AK3844">
        <v>20.111307597132601</v>
      </c>
      <c r="AL3844">
        <v>69.722977635300595</v>
      </c>
      <c r="AM3844">
        <v>98.759820465879002</v>
      </c>
      <c r="AN3844">
        <v>1.0000000085709699</v>
      </c>
    </row>
    <row r="3845" spans="1:40" x14ac:dyDescent="0.25">
      <c r="A3845" t="str">
        <f>"20190304164205541"</f>
        <v>20190304164205541</v>
      </c>
      <c r="B3845" t="str">
        <f>"1551688925535034"</f>
        <v>1551688925535034</v>
      </c>
      <c r="C3845" t="s">
        <v>40</v>
      </c>
      <c r="D3845">
        <v>4.0951399999999998</v>
      </c>
      <c r="E3845">
        <v>0.53997949999999995</v>
      </c>
      <c r="F3845" t="s">
        <v>46</v>
      </c>
      <c r="G3845">
        <v>-275.39420000000001</v>
      </c>
      <c r="H3845" s="1">
        <v>1.2961270000000001E-6</v>
      </c>
      <c r="I3845">
        <v>215.47659999999999</v>
      </c>
      <c r="J3845">
        <v>-294.3295</v>
      </c>
      <c r="K3845">
        <v>1.1106929999999999</v>
      </c>
      <c r="L3845">
        <v>214.2277</v>
      </c>
      <c r="M3845">
        <v>0.99988350000000004</v>
      </c>
      <c r="N3845">
        <v>-1.4922690000000001E-2</v>
      </c>
      <c r="O3845">
        <v>3.221107E-3</v>
      </c>
      <c r="P3845">
        <v>0.93168569999999995</v>
      </c>
      <c r="Q3845">
        <v>0.33264159999999998</v>
      </c>
      <c r="R3845">
        <v>0.1459838</v>
      </c>
      <c r="S3845">
        <v>3.253784</v>
      </c>
      <c r="T3845">
        <v>-0.18718860000000001</v>
      </c>
      <c r="U3845">
        <v>0.2106934</v>
      </c>
      <c r="V3845">
        <v>-0.14315129999999901</v>
      </c>
      <c r="W3845">
        <v>0.3464449</v>
      </c>
      <c r="X3845">
        <v>0.9270834</v>
      </c>
      <c r="Y3845">
        <v>-6.1278640000000002E-2</v>
      </c>
      <c r="Z3845">
        <v>2.0806050000000001E-3</v>
      </c>
      <c r="AA3845">
        <v>0.99811850000000002</v>
      </c>
      <c r="AB3845">
        <v>38</v>
      </c>
      <c r="AC3845">
        <v>18.935299999999899</v>
      </c>
      <c r="AD3845">
        <v>-1.110691703873</v>
      </c>
      <c r="AE3845">
        <v>1.2488999999999899</v>
      </c>
      <c r="AF3845">
        <v>-1.1838385502039801</v>
      </c>
      <c r="AG3845">
        <v>-1.110691703873</v>
      </c>
      <c r="AH3845">
        <v>18.8745652199052</v>
      </c>
      <c r="AI3845">
        <v>93.361151127558998</v>
      </c>
      <c r="AJ3845">
        <v>93.5889682984416</v>
      </c>
      <c r="AK3845">
        <v>18.9442424502659</v>
      </c>
      <c r="AL3845">
        <v>69.729977126068803</v>
      </c>
      <c r="AM3845">
        <v>98.777739890743803</v>
      </c>
      <c r="AN3845">
        <v>0.99999999699163</v>
      </c>
    </row>
    <row r="3846" spans="1:40" x14ac:dyDescent="0.25">
      <c r="A3846" t="str">
        <f>"20190304164205559"</f>
        <v>20190304164205559</v>
      </c>
      <c r="B3846" t="str">
        <f>"1551688925544794"</f>
        <v>1551688925544794</v>
      </c>
      <c r="C3846" t="s">
        <v>40</v>
      </c>
      <c r="D3846">
        <v>4.0767939999999996</v>
      </c>
      <c r="E3846">
        <v>0.53969140000000004</v>
      </c>
      <c r="F3846" t="s">
        <v>46</v>
      </c>
      <c r="G3846">
        <v>-274.8963</v>
      </c>
      <c r="H3846" s="1">
        <v>1.029806E-6</v>
      </c>
      <c r="I3846">
        <v>215.5077</v>
      </c>
      <c r="J3846">
        <v>-294.0471</v>
      </c>
      <c r="K3846">
        <v>1.1106929999999999</v>
      </c>
      <c r="L3846">
        <v>214.22880000000001</v>
      </c>
      <c r="M3846">
        <v>0.99988310000000002</v>
      </c>
      <c r="N3846">
        <v>-1.491952E-2</v>
      </c>
      <c r="O3846">
        <v>3.379604E-3</v>
      </c>
      <c r="P3846">
        <v>0.93165089999999995</v>
      </c>
      <c r="Q3846">
        <v>0.33270490000000003</v>
      </c>
      <c r="R3846">
        <v>0.14606269999999999</v>
      </c>
      <c r="S3846">
        <v>3.252777</v>
      </c>
      <c r="T3846">
        <v>-0.18590999999999999</v>
      </c>
      <c r="U3846">
        <v>0.21424869999999999</v>
      </c>
      <c r="V3846">
        <v>-0.1430825</v>
      </c>
      <c r="W3846">
        <v>0.3465049</v>
      </c>
      <c r="X3846">
        <v>0.9270716</v>
      </c>
      <c r="Y3846">
        <v>-6.2226280000000002E-2</v>
      </c>
      <c r="Z3846">
        <v>2.097631E-3</v>
      </c>
      <c r="AA3846">
        <v>0.9980599</v>
      </c>
      <c r="AB3846">
        <v>38</v>
      </c>
      <c r="AC3846">
        <v>19.1508</v>
      </c>
      <c r="AD3846">
        <v>-1.1106919701939999</v>
      </c>
      <c r="AE3846">
        <v>1.2788999999999899</v>
      </c>
      <c r="AF3846">
        <v>-1.21011103469827</v>
      </c>
      <c r="AG3846">
        <v>-1.1106919701939999</v>
      </c>
      <c r="AH3846">
        <v>19.091082266178098</v>
      </c>
      <c r="AI3846">
        <v>93.322979692618901</v>
      </c>
      <c r="AJ3846">
        <v>93.626909150435395</v>
      </c>
      <c r="AK3846">
        <v>19.161613383609801</v>
      </c>
      <c r="AL3846">
        <v>69.726312435971195</v>
      </c>
      <c r="AM3846">
        <v>98.773696806363304</v>
      </c>
      <c r="AN3846">
        <v>0.99999999952841001</v>
      </c>
    </row>
    <row r="3847" spans="1:40" x14ac:dyDescent="0.25">
      <c r="A3847" t="str">
        <f>"20190304164205575"</f>
        <v>20190304164205575</v>
      </c>
      <c r="B3847" t="str">
        <f>"1551688925565291"</f>
        <v>1551688925565291</v>
      </c>
      <c r="C3847" t="s">
        <v>40</v>
      </c>
      <c r="D3847">
        <v>4.09985</v>
      </c>
      <c r="E3847">
        <v>0.53907190000000005</v>
      </c>
      <c r="F3847" t="s">
        <v>46</v>
      </c>
      <c r="G3847">
        <v>-274.1671</v>
      </c>
      <c r="H3847" s="1">
        <v>6.3971449999999997E-7</v>
      </c>
      <c r="I3847">
        <v>215.55520000000001</v>
      </c>
      <c r="J3847">
        <v>-293.77109999999999</v>
      </c>
      <c r="K3847">
        <v>1.110689</v>
      </c>
      <c r="L3847">
        <v>214.22989999999999</v>
      </c>
      <c r="M3847">
        <v>0.99988259999999995</v>
      </c>
      <c r="N3847">
        <v>-1.491643E-2</v>
      </c>
      <c r="O3847">
        <v>3.5348229999999999E-3</v>
      </c>
      <c r="P3847">
        <v>0.93168720000000005</v>
      </c>
      <c r="Q3847">
        <v>0.33239159999999901</v>
      </c>
      <c r="R3847">
        <v>0.14654310000000001</v>
      </c>
      <c r="S3847">
        <v>3.2509160000000001</v>
      </c>
      <c r="T3847">
        <v>-0.18162829999999999</v>
      </c>
      <c r="U3847">
        <v>0.2169037</v>
      </c>
      <c r="V3847">
        <v>-0.14341760000000001</v>
      </c>
      <c r="W3847">
        <v>0.34618989999999999</v>
      </c>
      <c r="X3847">
        <v>0.92713749999999995</v>
      </c>
      <c r="Y3847">
        <v>-6.2924030000000006E-2</v>
      </c>
      <c r="Z3847">
        <v>2.0803060000000001E-3</v>
      </c>
      <c r="AA3847">
        <v>0.99801620000000002</v>
      </c>
      <c r="AB3847">
        <v>38</v>
      </c>
      <c r="AC3847">
        <v>19.6039999999999</v>
      </c>
      <c r="AD3847">
        <v>-1.1106883602855</v>
      </c>
      <c r="AE3847">
        <v>1.3253000000000199</v>
      </c>
      <c r="AF3847">
        <v>-1.25198684277251</v>
      </c>
      <c r="AG3847">
        <v>-1.1106883602855</v>
      </c>
      <c r="AH3847">
        <v>19.546106597276601</v>
      </c>
      <c r="AI3847">
        <v>93.245642039693806</v>
      </c>
      <c r="AJ3847">
        <v>93.664960078616303</v>
      </c>
      <c r="AK3847">
        <v>19.617629387880999</v>
      </c>
      <c r="AL3847">
        <v>69.745551372130194</v>
      </c>
      <c r="AM3847">
        <v>98.7933087409248</v>
      </c>
      <c r="AN3847">
        <v>0.99999999937900996</v>
      </c>
    </row>
    <row r="3848" spans="1:40" x14ac:dyDescent="0.25">
      <c r="A3848" t="str">
        <f>"20190304164205591"</f>
        <v>20190304164205591</v>
      </c>
      <c r="B3848" t="str">
        <f>"1551688925585334"</f>
        <v>1551688925585334</v>
      </c>
      <c r="C3848" t="s">
        <v>40</v>
      </c>
      <c r="D3848">
        <v>4.0964970000000003</v>
      </c>
      <c r="E3848">
        <v>0.53832749999999996</v>
      </c>
      <c r="F3848" t="s">
        <v>46</v>
      </c>
      <c r="G3848">
        <v>-273.2217</v>
      </c>
      <c r="H3848" s="1">
        <v>1.329576E-7</v>
      </c>
      <c r="I3848">
        <v>215.6388</v>
      </c>
      <c r="J3848">
        <v>-293.50979999999998</v>
      </c>
      <c r="K3848">
        <v>1.11069</v>
      </c>
      <c r="L3848">
        <v>214.23089999999999</v>
      </c>
      <c r="M3848">
        <v>0.99988220000000005</v>
      </c>
      <c r="N3848">
        <v>-1.491349E-2</v>
      </c>
      <c r="O3848">
        <v>3.6815789999999999E-3</v>
      </c>
      <c r="P3848">
        <v>0.9317974</v>
      </c>
      <c r="Q3848">
        <v>0.3321672</v>
      </c>
      <c r="R3848">
        <v>0.1463525</v>
      </c>
      <c r="S3848">
        <v>3.2475890000000001</v>
      </c>
      <c r="T3848">
        <v>-0.1755313</v>
      </c>
      <c r="U3848">
        <v>0.22267149999999999</v>
      </c>
      <c r="V3848">
        <v>-0.14308950000000001</v>
      </c>
      <c r="W3848">
        <v>0.34596460000000001</v>
      </c>
      <c r="X3848">
        <v>0.92727230000000005</v>
      </c>
      <c r="Y3848">
        <v>-6.461364E-2</v>
      </c>
      <c r="Z3848">
        <v>2.0819189999999998E-3</v>
      </c>
      <c r="AA3848">
        <v>0.99790820000000002</v>
      </c>
      <c r="AB3848">
        <v>38</v>
      </c>
      <c r="AC3848">
        <v>20.288099999999901</v>
      </c>
      <c r="AD3848">
        <v>-1.1106898670423999</v>
      </c>
      <c r="AE3848">
        <v>1.4079000000000099</v>
      </c>
      <c r="AF3848">
        <v>-1.32922517748798</v>
      </c>
      <c r="AG3848">
        <v>-1.1106898670423999</v>
      </c>
      <c r="AH3848">
        <v>20.2327970282096</v>
      </c>
      <c r="AI3848">
        <v>93.135382323061194</v>
      </c>
      <c r="AJ3848">
        <v>93.7587342513512</v>
      </c>
      <c r="AK3848">
        <v>20.306810363470301</v>
      </c>
      <c r="AL3848">
        <v>69.759310639100306</v>
      </c>
      <c r="AM3848">
        <v>98.7722498216243</v>
      </c>
      <c r="AN3848">
        <v>1.00000001390535</v>
      </c>
    </row>
    <row r="3849" spans="1:40" x14ac:dyDescent="0.25">
      <c r="A3849" t="str">
        <f>"20190304164205620"</f>
        <v>20190304164205620</v>
      </c>
      <c r="B3849" t="str">
        <f>"1551688925614598"</f>
        <v>1551688925614598</v>
      </c>
      <c r="C3849" t="s">
        <v>40</v>
      </c>
      <c r="D3849">
        <v>4.1370469999999999</v>
      </c>
      <c r="E3849">
        <v>0.53775719999999905</v>
      </c>
      <c r="F3849" t="s">
        <v>46</v>
      </c>
      <c r="G3849">
        <v>-272.43459999999999</v>
      </c>
      <c r="H3849" s="1">
        <v>-2.8891870000000002E-7</v>
      </c>
      <c r="I3849">
        <v>215.70740000000001</v>
      </c>
      <c r="J3849">
        <v>-293.01220000000001</v>
      </c>
      <c r="K3849">
        <v>1.1106849999999999</v>
      </c>
      <c r="L3849">
        <v>214.233</v>
      </c>
      <c r="M3849">
        <v>0.99988100000000002</v>
      </c>
      <c r="N3849">
        <v>-1.490786E-2</v>
      </c>
      <c r="O3849">
        <v>3.9615600000000003E-3</v>
      </c>
      <c r="P3849">
        <v>0.93194350000000004</v>
      </c>
      <c r="Q3849">
        <v>0.3319435</v>
      </c>
      <c r="R3849">
        <v>0.14592829999999901</v>
      </c>
      <c r="S3849">
        <v>3.244812</v>
      </c>
      <c r="T3849">
        <v>-0.171005399999999</v>
      </c>
      <c r="U3849">
        <v>0.22732540000000001</v>
      </c>
      <c r="V3849">
        <v>-0.14240340000000001</v>
      </c>
      <c r="W3849">
        <v>0.34573949999999998</v>
      </c>
      <c r="X3849">
        <v>0.92746189999999995</v>
      </c>
      <c r="Y3849">
        <v>-6.5820030000000002E-2</v>
      </c>
      <c r="Z3849">
        <v>2.073348E-3</v>
      </c>
      <c r="AA3849">
        <v>0.99782939999999998</v>
      </c>
      <c r="AB3849">
        <v>38</v>
      </c>
      <c r="AC3849">
        <v>20.5776</v>
      </c>
      <c r="AD3849">
        <v>-1.1106852889187</v>
      </c>
      <c r="AE3849">
        <v>1.4743999999999999</v>
      </c>
      <c r="AF3849">
        <v>-1.3888344745569801</v>
      </c>
      <c r="AG3849">
        <v>-1.1106852889187</v>
      </c>
      <c r="AH3849">
        <v>20.523792481888201</v>
      </c>
      <c r="AI3849">
        <v>93.090597543448297</v>
      </c>
      <c r="AJ3849">
        <v>93.871274050264901</v>
      </c>
      <c r="AK3849">
        <v>20.6006927273902</v>
      </c>
      <c r="AL3849">
        <v>69.773056995304202</v>
      </c>
      <c r="AM3849">
        <v>98.729080042165606</v>
      </c>
      <c r="AN3849">
        <v>1.0000000530716999</v>
      </c>
    </row>
    <row r="3850" spans="1:40" x14ac:dyDescent="0.25">
      <c r="A3850" t="str">
        <f>"20190304164205641"</f>
        <v>20190304164205641</v>
      </c>
      <c r="B3850" t="str">
        <f>"1551688925635094"</f>
        <v>1551688925635094</v>
      </c>
      <c r="C3850" t="s">
        <v>40</v>
      </c>
      <c r="D3850">
        <v>4.1388089999999904</v>
      </c>
      <c r="E3850">
        <v>0.53741149999999904</v>
      </c>
      <c r="F3850" t="s">
        <v>46</v>
      </c>
      <c r="G3850">
        <v>-271.5206</v>
      </c>
      <c r="H3850" s="1">
        <v>-7.7795410000000005E-7</v>
      </c>
      <c r="I3850">
        <v>215.7679</v>
      </c>
      <c r="J3850">
        <v>-292.64420000000001</v>
      </c>
      <c r="K3850">
        <v>1.1106879999999999</v>
      </c>
      <c r="L3850">
        <v>214.2347</v>
      </c>
      <c r="M3850">
        <v>0.99988030000000006</v>
      </c>
      <c r="N3850">
        <v>-1.4903710000000001E-2</v>
      </c>
      <c r="O3850">
        <v>4.1683409999999999E-3</v>
      </c>
      <c r="P3850">
        <v>0.93192680000000006</v>
      </c>
      <c r="Q3850">
        <v>0.3321461</v>
      </c>
      <c r="R3850">
        <v>0.145572799999999</v>
      </c>
      <c r="S3850">
        <v>3.2424930000000001</v>
      </c>
      <c r="T3850">
        <v>-0.16757149999999901</v>
      </c>
      <c r="U3850">
        <v>0.23156740000000001</v>
      </c>
      <c r="V3850">
        <v>-0.14185449999999999</v>
      </c>
      <c r="W3850">
        <v>0.34593810000000003</v>
      </c>
      <c r="X3850">
        <v>0.92747190000000002</v>
      </c>
      <c r="Y3850">
        <v>-6.6964319999999994E-2</v>
      </c>
      <c r="Z3850">
        <v>2.07413E-3</v>
      </c>
      <c r="AA3850">
        <v>0.99775320000000001</v>
      </c>
      <c r="AB3850">
        <v>38</v>
      </c>
      <c r="AC3850">
        <v>21.1236</v>
      </c>
      <c r="AD3850">
        <v>-1.1106887779540999</v>
      </c>
      <c r="AE3850">
        <v>1.5331999999999899</v>
      </c>
      <c r="AF3850">
        <v>-1.4411630226390599</v>
      </c>
      <c r="AG3850">
        <v>-1.1106887779540999</v>
      </c>
      <c r="AH3850">
        <v>21.0718558810267</v>
      </c>
      <c r="AI3850">
        <v>93.010225471318805</v>
      </c>
      <c r="AJ3850">
        <v>93.9125254543642</v>
      </c>
      <c r="AK3850">
        <v>21.150264553665799</v>
      </c>
      <c r="AL3850">
        <v>69.760928538435195</v>
      </c>
      <c r="AM3850">
        <v>98.695856398926793</v>
      </c>
      <c r="AN3850">
        <v>0.99999999674573503</v>
      </c>
    </row>
    <row r="3851" spans="1:40" x14ac:dyDescent="0.25">
      <c r="A3851" t="str">
        <f>"20190304164205664"</f>
        <v>20190304164205664</v>
      </c>
      <c r="B3851" t="str">
        <f>"1551688925654614"</f>
        <v>1551688925654614</v>
      </c>
      <c r="C3851" t="s">
        <v>40</v>
      </c>
      <c r="D3851">
        <v>4.6378139999999997</v>
      </c>
      <c r="E3851">
        <v>0.53893440000000004</v>
      </c>
      <c r="F3851" t="s">
        <v>46</v>
      </c>
      <c r="G3851">
        <v>-270.76479999999998</v>
      </c>
      <c r="H3851" s="1">
        <v>-1.1815579999999999E-6</v>
      </c>
      <c r="I3851">
        <v>215.80029999999999</v>
      </c>
      <c r="J3851">
        <v>-292.2826</v>
      </c>
      <c r="K3851">
        <v>1.1106879999999999</v>
      </c>
      <c r="L3851">
        <v>214.2364</v>
      </c>
      <c r="M3851">
        <v>0.99987950000000003</v>
      </c>
      <c r="N3851">
        <v>-1.489966E-2</v>
      </c>
      <c r="O3851">
        <v>4.3717249999999999E-3</v>
      </c>
      <c r="P3851">
        <v>0.93195070000000002</v>
      </c>
      <c r="Q3851">
        <v>0.33198119999999998</v>
      </c>
      <c r="R3851">
        <v>0.14579510000000001</v>
      </c>
      <c r="S3851">
        <v>3.2416079999999998</v>
      </c>
      <c r="T3851">
        <v>-0.16455719999999999</v>
      </c>
      <c r="U3851">
        <v>0.23196410000000001</v>
      </c>
      <c r="V3851">
        <v>-0.14188689999999901</v>
      </c>
      <c r="W3851">
        <v>0.34577069999999999</v>
      </c>
      <c r="X3851">
        <v>0.9275293</v>
      </c>
      <c r="Y3851">
        <v>-6.6905889999999996E-2</v>
      </c>
      <c r="Z3851">
        <v>2.0380070000000001E-3</v>
      </c>
      <c r="AA3851">
        <v>0.99775720000000001</v>
      </c>
      <c r="AB3851">
        <v>38</v>
      </c>
      <c r="AC3851">
        <v>21.517800000000001</v>
      </c>
      <c r="AD3851">
        <v>-1.110689181558</v>
      </c>
      <c r="AE3851">
        <v>1.5638999999999801</v>
      </c>
      <c r="AF3851">
        <v>-1.46591952752538</v>
      </c>
      <c r="AG3851">
        <v>-1.110689181558</v>
      </c>
      <c r="AH3851">
        <v>21.467535795707601</v>
      </c>
      <c r="AI3851">
        <v>92.954864217197695</v>
      </c>
      <c r="AJ3851">
        <v>93.906401727302097</v>
      </c>
      <c r="AK3851">
        <v>21.5461746873824</v>
      </c>
      <c r="AL3851">
        <v>69.771149393302196</v>
      </c>
      <c r="AM3851">
        <v>98.6972821568298</v>
      </c>
      <c r="AN3851">
        <v>0.99999993586429203</v>
      </c>
    </row>
    <row r="3852" spans="1:40" x14ac:dyDescent="0.25">
      <c r="A3852" t="str">
        <f>"20190304164205685"</f>
        <v>20190304164205685</v>
      </c>
      <c r="B3852" t="str">
        <f>"1551688925675111"</f>
        <v>1551688925675111</v>
      </c>
      <c r="C3852" t="s">
        <v>40</v>
      </c>
      <c r="D3852">
        <v>4.2630699999999999</v>
      </c>
      <c r="E3852">
        <v>0.55418529999999999</v>
      </c>
      <c r="F3852" t="s">
        <v>46</v>
      </c>
      <c r="G3852">
        <v>-273.30500000000001</v>
      </c>
      <c r="H3852" s="1">
        <v>1.8208660000000001E-7</v>
      </c>
      <c r="I3852">
        <v>215.52860000000001</v>
      </c>
      <c r="J3852">
        <v>-291.90879999999999</v>
      </c>
      <c r="K3852">
        <v>1.1106929999999999</v>
      </c>
      <c r="L3852">
        <v>214.23820000000001</v>
      </c>
      <c r="M3852">
        <v>0.9998785</v>
      </c>
      <c r="N3852">
        <v>-1.4895419999999999E-2</v>
      </c>
      <c r="O3852">
        <v>4.5816659999999999E-3</v>
      </c>
      <c r="P3852">
        <v>0.93194549999999998</v>
      </c>
      <c r="Q3852">
        <v>0.33205240000000003</v>
      </c>
      <c r="R3852">
        <v>0.14566660000000001</v>
      </c>
      <c r="S3852">
        <v>3.2522280000000001</v>
      </c>
      <c r="T3852">
        <v>-0.19034100000000001</v>
      </c>
      <c r="U3852">
        <v>0.2214508</v>
      </c>
      <c r="V3852">
        <v>-0.1415624</v>
      </c>
      <c r="W3852">
        <v>0.3458388</v>
      </c>
      <c r="X3852">
        <v>0.92755359999999998</v>
      </c>
      <c r="Y3852">
        <v>-6.3231499999999996E-2</v>
      </c>
      <c r="Z3852">
        <v>2.1191750000000001E-3</v>
      </c>
      <c r="AA3852">
        <v>0.99799660000000001</v>
      </c>
      <c r="AB3852">
        <v>38</v>
      </c>
      <c r="AC3852">
        <v>18.6037999999999</v>
      </c>
      <c r="AD3852">
        <v>-1.1106928179133999</v>
      </c>
      <c r="AE3852">
        <v>1.2904</v>
      </c>
      <c r="AF3852">
        <v>-1.20088068644493</v>
      </c>
      <c r="AG3852">
        <v>-1.1106928179133999</v>
      </c>
      <c r="AH3852">
        <v>18.5437369915524</v>
      </c>
      <c r="AI3852">
        <v>93.420536244370098</v>
      </c>
      <c r="AJ3852">
        <v>93.705264562829797</v>
      </c>
      <c r="AK3852">
        <v>18.615744265828098</v>
      </c>
      <c r="AL3852">
        <v>69.766993093707498</v>
      </c>
      <c r="AM3852">
        <v>98.677470433999105</v>
      </c>
      <c r="AN3852">
        <v>1.00000003477607</v>
      </c>
    </row>
    <row r="3853" spans="1:40" x14ac:dyDescent="0.25">
      <c r="A3853" t="str">
        <f>"20190304164205710"</f>
        <v>20190304164205710</v>
      </c>
      <c r="B3853" t="str">
        <f>"1551688925705368"</f>
        <v>1551688925705368</v>
      </c>
      <c r="C3853" t="s">
        <v>40</v>
      </c>
      <c r="D3853">
        <v>4.2814990000000002</v>
      </c>
      <c r="E3853">
        <v>0.5488847</v>
      </c>
      <c r="F3853" t="s">
        <v>41</v>
      </c>
      <c r="G3853">
        <v>-290.99419999999998</v>
      </c>
      <c r="H3853">
        <v>0.8474045</v>
      </c>
      <c r="I3853">
        <v>214.2807</v>
      </c>
      <c r="J3853">
        <v>-291.51369999999997</v>
      </c>
      <c r="K3853">
        <v>1.110689</v>
      </c>
      <c r="L3853">
        <v>214.24019999999999</v>
      </c>
      <c r="M3853">
        <v>0.99987769999999998</v>
      </c>
      <c r="N3853">
        <v>-1.489094E-2</v>
      </c>
      <c r="O3853">
        <v>4.8037050000000001E-3</v>
      </c>
      <c r="P3853">
        <v>0.93199739999999998</v>
      </c>
      <c r="Q3853">
        <v>0.33209369999999999</v>
      </c>
      <c r="R3853">
        <v>0.1452408</v>
      </c>
      <c r="S3853">
        <v>3.5579830000000001</v>
      </c>
      <c r="T3853">
        <v>-1.0243009999999999</v>
      </c>
      <c r="U3853">
        <v>0.1664581</v>
      </c>
      <c r="V3853">
        <v>-0.14092869999999999</v>
      </c>
      <c r="W3853">
        <v>0.345877299999999</v>
      </c>
      <c r="X3853">
        <v>0.92763569999999995</v>
      </c>
      <c r="Y3853">
        <v>-4.0383889999999999E-2</v>
      </c>
      <c r="Z3853">
        <v>4.717026E-3</v>
      </c>
      <c r="AA3853">
        <v>0.99917310000000004</v>
      </c>
      <c r="AB3853">
        <v>38</v>
      </c>
      <c r="AC3853">
        <v>0.51949999999999297</v>
      </c>
      <c r="AD3853">
        <v>-0.26328449999999998</v>
      </c>
      <c r="AE3853">
        <v>4.0500000000008599E-2</v>
      </c>
      <c r="AF3853">
        <v>-3.02746612287919E-2</v>
      </c>
      <c r="AG3853">
        <v>-0.26328449999999998</v>
      </c>
      <c r="AH3853">
        <v>0.41399607360299301</v>
      </c>
      <c r="AI3853">
        <v>122.38553700785999</v>
      </c>
      <c r="AJ3853">
        <v>94.182474801854895</v>
      </c>
      <c r="AK3853">
        <v>0.49155674342995498</v>
      </c>
      <c r="AL3853">
        <v>69.764641354685693</v>
      </c>
      <c r="AM3853">
        <v>98.638460291032203</v>
      </c>
      <c r="AN3853">
        <v>0.99999999852673405</v>
      </c>
    </row>
    <row r="3854" spans="1:40" x14ac:dyDescent="0.25">
      <c r="A3854" t="str">
        <f>"20190304164205731"</f>
        <v>20190304164205731</v>
      </c>
      <c r="B3854" t="str">
        <f>"1551688925724886"</f>
        <v>1551688925724886</v>
      </c>
      <c r="C3854" t="s">
        <v>40</v>
      </c>
      <c r="D3854">
        <v>4.594544</v>
      </c>
      <c r="E3854">
        <v>0.54806589999999999</v>
      </c>
      <c r="F3854" t="s">
        <v>41</v>
      </c>
      <c r="G3854">
        <v>-290.66019999999997</v>
      </c>
      <c r="H3854">
        <v>0.84538380000000002</v>
      </c>
      <c r="I3854">
        <v>214.29169999999999</v>
      </c>
      <c r="J3854">
        <v>-291.13799999999998</v>
      </c>
      <c r="K3854">
        <v>1.110687</v>
      </c>
      <c r="L3854">
        <v>214.2423</v>
      </c>
      <c r="M3854">
        <v>0.9998766</v>
      </c>
      <c r="N3854">
        <v>-1.4886699999999999E-2</v>
      </c>
      <c r="O3854">
        <v>5.0150730000000001E-3</v>
      </c>
      <c r="P3854">
        <v>0.93218219999999996</v>
      </c>
      <c r="Q3854">
        <v>0.33153630000000001</v>
      </c>
      <c r="R3854">
        <v>0.1453284</v>
      </c>
      <c r="S3854">
        <v>3.581909</v>
      </c>
      <c r="T3854">
        <v>-1.1134759999999999</v>
      </c>
      <c r="U3854">
        <v>0.21647640000000001</v>
      </c>
      <c r="V3854">
        <v>-0.140818</v>
      </c>
      <c r="W3854">
        <v>0.3453193</v>
      </c>
      <c r="X3854">
        <v>0.92786040000000003</v>
      </c>
      <c r="Y3854">
        <v>-5.2918399999999997E-2</v>
      </c>
      <c r="Z3854">
        <v>6.9837040000000003E-3</v>
      </c>
      <c r="AA3854">
        <v>0.99857439999999997</v>
      </c>
      <c r="AB3854">
        <v>37</v>
      </c>
      <c r="AC3854">
        <v>0.477800000000002</v>
      </c>
      <c r="AD3854">
        <v>-0.26530320000000002</v>
      </c>
      <c r="AE3854">
        <v>4.9399999999991402E-2</v>
      </c>
      <c r="AF3854">
        <v>-3.6016101732095497E-2</v>
      </c>
      <c r="AG3854">
        <v>-0.26530320000000002</v>
      </c>
      <c r="AH3854">
        <v>0.36630073137670699</v>
      </c>
      <c r="AI3854">
        <v>125.784108219529</v>
      </c>
      <c r="AJ3854">
        <v>95.615492528434302</v>
      </c>
      <c r="AK3854">
        <v>0.45371706307050702</v>
      </c>
      <c r="AL3854">
        <v>69.798712287666305</v>
      </c>
      <c r="AM3854">
        <v>98.629718111328401</v>
      </c>
      <c r="AN3854">
        <v>1.00000002498232</v>
      </c>
    </row>
    <row r="3855" spans="1:40" x14ac:dyDescent="0.25">
      <c r="A3855" t="str">
        <f>"20190304164205753"</f>
        <v>20190304164205753</v>
      </c>
      <c r="B3855" t="str">
        <f>"1551688925745383"</f>
        <v>1551688925745383</v>
      </c>
      <c r="C3855" t="s">
        <v>40</v>
      </c>
      <c r="D3855">
        <v>4.2411450000000004</v>
      </c>
      <c r="E3855">
        <v>0.54765589999999997</v>
      </c>
      <c r="F3855" t="s">
        <v>41</v>
      </c>
      <c r="G3855">
        <v>-290.32249999999999</v>
      </c>
      <c r="H3855">
        <v>0.85383580000000003</v>
      </c>
      <c r="I3855">
        <v>214.29310000000001</v>
      </c>
      <c r="J3855">
        <v>-290.7851</v>
      </c>
      <c r="K3855">
        <v>1.110689</v>
      </c>
      <c r="L3855">
        <v>214.24420000000001</v>
      </c>
      <c r="M3855">
        <v>0.99987570000000003</v>
      </c>
      <c r="N3855">
        <v>-1.488273E-2</v>
      </c>
      <c r="O3855">
        <v>5.2135080000000004E-3</v>
      </c>
      <c r="P3855">
        <v>0.93193369999999998</v>
      </c>
      <c r="Q3855">
        <v>0.33177129999999999</v>
      </c>
      <c r="R3855">
        <v>0.14638229999999999</v>
      </c>
      <c r="S3855">
        <v>3.5848689999999999</v>
      </c>
      <c r="T3855">
        <v>-1.1290519999999999</v>
      </c>
      <c r="U3855">
        <v>0.22431950000000001</v>
      </c>
      <c r="V3855">
        <v>-0.14168789999999901</v>
      </c>
      <c r="W3855">
        <v>0.34554750000000001</v>
      </c>
      <c r="X3855">
        <v>0.927643</v>
      </c>
      <c r="Y3855">
        <v>-5.470531E-2</v>
      </c>
      <c r="Z3855">
        <v>7.295101E-3</v>
      </c>
      <c r="AA3855">
        <v>0.99847589999999997</v>
      </c>
      <c r="AB3855">
        <v>37</v>
      </c>
      <c r="AC3855">
        <v>0.462600000000008</v>
      </c>
      <c r="AD3855">
        <v>-0.2568532</v>
      </c>
      <c r="AE3855">
        <v>4.8900000000003198E-2</v>
      </c>
      <c r="AF3855">
        <v>-3.5625652883679901E-2</v>
      </c>
      <c r="AG3855">
        <v>-0.2568532</v>
      </c>
      <c r="AH3855">
        <v>0.35470519094178599</v>
      </c>
      <c r="AI3855">
        <v>125.772995091986</v>
      </c>
      <c r="AJ3855">
        <v>95.735402824355901</v>
      </c>
      <c r="AK3855">
        <v>0.43938425776838802</v>
      </c>
      <c r="AL3855">
        <v>69.7847799737212</v>
      </c>
      <c r="AM3855">
        <v>98.684221818290993</v>
      </c>
      <c r="AN3855">
        <v>1.0000000356058201</v>
      </c>
    </row>
    <row r="3856" spans="1:40" x14ac:dyDescent="0.25">
      <c r="A3856" t="str">
        <f>"20190304164205775"</f>
        <v>20190304164205775</v>
      </c>
      <c r="B3856" t="str">
        <f>"1551688925764903"</f>
        <v>1551688925764903</v>
      </c>
      <c r="C3856" t="s">
        <v>40</v>
      </c>
      <c r="D3856">
        <v>4.2274900000000004</v>
      </c>
      <c r="E3856">
        <v>0.54733419999999999</v>
      </c>
      <c r="F3856" t="s">
        <v>41</v>
      </c>
      <c r="G3856">
        <v>-289.98689999999999</v>
      </c>
      <c r="H3856">
        <v>0.85794090000000001</v>
      </c>
      <c r="I3856">
        <v>214.2955</v>
      </c>
      <c r="J3856">
        <v>-290.40589999999997</v>
      </c>
      <c r="K3856">
        <v>1.110681</v>
      </c>
      <c r="L3856">
        <v>214.24639999999999</v>
      </c>
      <c r="M3856">
        <v>0.99987479999999995</v>
      </c>
      <c r="N3856">
        <v>-1.487839E-2</v>
      </c>
      <c r="O3856">
        <v>5.4269039999999998E-3</v>
      </c>
      <c r="P3856">
        <v>0.93191349999999995</v>
      </c>
      <c r="Q3856">
        <v>0.33163350000000003</v>
      </c>
      <c r="R3856">
        <v>0.14682210000000001</v>
      </c>
      <c r="S3856">
        <v>3.5874019999999902</v>
      </c>
      <c r="T3856">
        <v>-1.1360779999999999</v>
      </c>
      <c r="U3856">
        <v>0.2302246</v>
      </c>
      <c r="V3856">
        <v>-0.141928</v>
      </c>
      <c r="W3856">
        <v>0.34540609999999999</v>
      </c>
      <c r="X3856">
        <v>0.92765889999999995</v>
      </c>
      <c r="Y3856">
        <v>-5.6002049999999998E-2</v>
      </c>
      <c r="Z3856">
        <v>7.4778249999999996E-3</v>
      </c>
      <c r="AA3856">
        <v>0.99840269999999998</v>
      </c>
      <c r="AB3856">
        <v>37</v>
      </c>
      <c r="AC3856">
        <v>0.418999999999982</v>
      </c>
      <c r="AD3856">
        <v>-0.25274009999999902</v>
      </c>
      <c r="AE3856">
        <v>4.91000000000099E-2</v>
      </c>
      <c r="AF3856">
        <v>-3.4457634772427699E-2</v>
      </c>
      <c r="AG3856">
        <v>-0.25274009999999902</v>
      </c>
      <c r="AH3856">
        <v>0.30852475820026798</v>
      </c>
      <c r="AI3856">
        <v>129.14997381561301</v>
      </c>
      <c r="AJ3856">
        <v>96.372678763929201</v>
      </c>
      <c r="AK3856">
        <v>0.40031539211558398</v>
      </c>
      <c r="AL3856">
        <v>69.793412054699999</v>
      </c>
      <c r="AM3856">
        <v>98.698566114330603</v>
      </c>
      <c r="AN3856">
        <v>0.99999998292520897</v>
      </c>
    </row>
    <row r="3857" spans="1:40" x14ac:dyDescent="0.25">
      <c r="A3857" t="str">
        <f>"20190304164205798"</f>
        <v>20190304164205798</v>
      </c>
      <c r="B3857" t="str">
        <f>"1551688925785399"</f>
        <v>1551688925785399</v>
      </c>
      <c r="C3857" t="s">
        <v>40</v>
      </c>
      <c r="D3857">
        <v>4.2351609999999997</v>
      </c>
      <c r="E3857">
        <v>0.5472688</v>
      </c>
      <c r="F3857" t="s">
        <v>41</v>
      </c>
      <c r="G3857">
        <v>-289.64870000000002</v>
      </c>
      <c r="H3857">
        <v>0.86954549999999997</v>
      </c>
      <c r="I3857">
        <v>214.29570000000001</v>
      </c>
      <c r="J3857">
        <v>-290.03500000000003</v>
      </c>
      <c r="K3857">
        <v>1.1106739999999999</v>
      </c>
      <c r="L3857">
        <v>214.24860000000001</v>
      </c>
      <c r="M3857">
        <v>0.99987360000000003</v>
      </c>
      <c r="N3857">
        <v>-1.487404E-2</v>
      </c>
      <c r="O3857">
        <v>5.6358889999999998E-3</v>
      </c>
      <c r="P3857">
        <v>0.93187540000000002</v>
      </c>
      <c r="Q3857">
        <v>0.33160289999999998</v>
      </c>
      <c r="R3857">
        <v>0.14713280000000001</v>
      </c>
      <c r="S3857">
        <v>3.5889890000000002</v>
      </c>
      <c r="T3857">
        <v>-1.1429450000000001</v>
      </c>
      <c r="U3857">
        <v>0.2342072</v>
      </c>
      <c r="V3857">
        <v>-0.14204320000000001</v>
      </c>
      <c r="W3857">
        <v>0.34537069999999997</v>
      </c>
      <c r="X3857">
        <v>0.92765439999999999</v>
      </c>
      <c r="Y3857">
        <v>-5.6808409999999997E-2</v>
      </c>
      <c r="Z3857">
        <v>7.5842399999999999E-3</v>
      </c>
      <c r="AA3857">
        <v>0.99835629999999997</v>
      </c>
      <c r="AB3857">
        <v>37</v>
      </c>
      <c r="AC3857">
        <v>0.38630000000000497</v>
      </c>
      <c r="AD3857">
        <v>-0.2411285</v>
      </c>
      <c r="AE3857">
        <v>4.7100000000000301E-2</v>
      </c>
      <c r="AF3857">
        <v>-3.2459908975291697E-2</v>
      </c>
      <c r="AG3857">
        <v>-0.2411285</v>
      </c>
      <c r="AH3857">
        <v>0.279322340411438</v>
      </c>
      <c r="AI3857">
        <v>130.61281959183799</v>
      </c>
      <c r="AJ3857">
        <v>96.628581595597396</v>
      </c>
      <c r="AK3857">
        <v>0.370428898786066</v>
      </c>
      <c r="AL3857">
        <v>69.795572393081002</v>
      </c>
      <c r="AM3857">
        <v>98.705560021837897</v>
      </c>
      <c r="AN3857">
        <v>0.99999993846204305</v>
      </c>
    </row>
    <row r="3858" spans="1:40" x14ac:dyDescent="0.25">
      <c r="A3858" t="str">
        <f>"20190304164205821"</f>
        <v>20190304164205821</v>
      </c>
      <c r="B3858" t="str">
        <f>"1551688925814679"</f>
        <v>1551688925814679</v>
      </c>
      <c r="C3858" t="s">
        <v>40</v>
      </c>
      <c r="D3858">
        <v>4.036575</v>
      </c>
      <c r="E3858">
        <v>0.54813959999999995</v>
      </c>
      <c r="F3858" t="s">
        <v>41</v>
      </c>
      <c r="G3858">
        <v>-289.31130000000002</v>
      </c>
      <c r="H3858">
        <v>0.87973609999999902</v>
      </c>
      <c r="I3858">
        <v>214.2961</v>
      </c>
      <c r="J3858">
        <v>-289.65210000000002</v>
      </c>
      <c r="K3858">
        <v>1.1106769999999999</v>
      </c>
      <c r="L3858">
        <v>214.251</v>
      </c>
      <c r="M3858">
        <v>0.99987239999999999</v>
      </c>
      <c r="N3858">
        <v>-1.4869520000000001E-2</v>
      </c>
      <c r="O3858">
        <v>5.8517279999999996E-3</v>
      </c>
      <c r="P3858">
        <v>0.93190150000000005</v>
      </c>
      <c r="Q3858">
        <v>0.33136670000000001</v>
      </c>
      <c r="R3858">
        <v>0.14749989999999999</v>
      </c>
      <c r="S3858">
        <v>3.589569</v>
      </c>
      <c r="T3858">
        <v>-1.1454260000000001</v>
      </c>
      <c r="U3858">
        <v>0.23640439999999999</v>
      </c>
      <c r="V3858">
        <v>-0.14220820000000001</v>
      </c>
      <c r="W3858">
        <v>0.34513129999999997</v>
      </c>
      <c r="X3858">
        <v>0.9277183</v>
      </c>
      <c r="Y3858">
        <v>-5.7171739999999999E-2</v>
      </c>
      <c r="Z3858">
        <v>7.5928069999999896E-3</v>
      </c>
      <c r="AA3858">
        <v>0.99833550000000004</v>
      </c>
      <c r="AB3858">
        <v>37</v>
      </c>
      <c r="AC3858">
        <v>0.34080000000000099</v>
      </c>
      <c r="AD3858">
        <v>-0.2309409</v>
      </c>
      <c r="AE3858">
        <v>4.5100000000019201E-2</v>
      </c>
      <c r="AF3858">
        <v>-2.9700833870150101E-2</v>
      </c>
      <c r="AG3858">
        <v>-0.2309409</v>
      </c>
      <c r="AH3858">
        <v>0.23500224141520301</v>
      </c>
      <c r="AI3858">
        <v>134.27366107650801</v>
      </c>
      <c r="AJ3858">
        <v>97.203154937280502</v>
      </c>
      <c r="AK3858">
        <v>0.33082003007006899</v>
      </c>
      <c r="AL3858">
        <v>69.810189311128099</v>
      </c>
      <c r="AM3858">
        <v>98.714926277735202</v>
      </c>
      <c r="AN3858">
        <v>1.0000000152709001</v>
      </c>
    </row>
    <row r="3859" spans="1:40" x14ac:dyDescent="0.25">
      <c r="A3859" t="str">
        <f>"20190304164205842"</f>
        <v>20190304164205842</v>
      </c>
      <c r="B3859" t="str">
        <f>"1551688925835175"</f>
        <v>1551688925835175</v>
      </c>
      <c r="C3859" t="s">
        <v>40</v>
      </c>
      <c r="D3859">
        <v>4.1724430000000003</v>
      </c>
      <c r="E3859">
        <v>0.54783939999999998</v>
      </c>
      <c r="F3859" t="s">
        <v>41</v>
      </c>
      <c r="G3859">
        <v>-288.97199999999998</v>
      </c>
      <c r="H3859">
        <v>0.89572909999999994</v>
      </c>
      <c r="I3859">
        <v>214.29429999999999</v>
      </c>
      <c r="J3859">
        <v>-289.2921</v>
      </c>
      <c r="K3859">
        <v>1.110679</v>
      </c>
      <c r="L3859">
        <v>214.2533</v>
      </c>
      <c r="M3859">
        <v>0.99987119999999996</v>
      </c>
      <c r="N3859">
        <v>-1.486529E-2</v>
      </c>
      <c r="O3859">
        <v>6.0547519999999896E-3</v>
      </c>
      <c r="P3859">
        <v>0.93190899999999999</v>
      </c>
      <c r="Q3859">
        <v>0.3311364</v>
      </c>
      <c r="R3859">
        <v>0.14796689999999901</v>
      </c>
      <c r="S3859">
        <v>3.5859679999999998</v>
      </c>
      <c r="T3859">
        <v>-1.1333839999999999</v>
      </c>
      <c r="U3859">
        <v>0.229187</v>
      </c>
      <c r="V3859">
        <v>-0.14248529999999901</v>
      </c>
      <c r="W3859">
        <v>0.3448986</v>
      </c>
      <c r="X3859">
        <v>0.92776230000000004</v>
      </c>
      <c r="Y3859">
        <v>-5.519189E-2</v>
      </c>
      <c r="Z3859">
        <v>7.1488480000000002E-3</v>
      </c>
      <c r="AA3859">
        <v>0.99845019999999995</v>
      </c>
      <c r="AB3859">
        <v>37</v>
      </c>
      <c r="AC3859">
        <v>0.32010000000002398</v>
      </c>
      <c r="AD3859">
        <v>-0.2149499</v>
      </c>
      <c r="AE3859">
        <v>4.0999999999996803E-2</v>
      </c>
      <c r="AF3859">
        <v>-2.7057133827074701E-2</v>
      </c>
      <c r="AG3859">
        <v>-0.2149499</v>
      </c>
      <c r="AH3859">
        <v>0.22189825358163401</v>
      </c>
      <c r="AI3859">
        <v>133.877481603924</v>
      </c>
      <c r="AJ3859">
        <v>96.952034212682705</v>
      </c>
      <c r="AK3859">
        <v>0.31011994928337899</v>
      </c>
      <c r="AL3859">
        <v>69.824393839178299</v>
      </c>
      <c r="AM3859">
        <v>98.731238577362106</v>
      </c>
      <c r="AN3859">
        <v>0.99999999514966997</v>
      </c>
    </row>
    <row r="3860" spans="1:40" x14ac:dyDescent="0.25">
      <c r="A3860" t="str">
        <f>"20190304164205864"</f>
        <v>20190304164205864</v>
      </c>
      <c r="B3860" t="str">
        <f>"1551688925854697"</f>
        <v>1551688925854697</v>
      </c>
      <c r="C3860" t="s">
        <v>40</v>
      </c>
      <c r="D3860">
        <v>4.1923250000000003</v>
      </c>
      <c r="E3860">
        <v>0.5476297</v>
      </c>
      <c r="F3860" t="s">
        <v>41</v>
      </c>
      <c r="G3860">
        <v>-288.34469999999999</v>
      </c>
      <c r="H3860">
        <v>0.80958469999999905</v>
      </c>
      <c r="I3860">
        <v>214.3143</v>
      </c>
      <c r="J3860">
        <v>-288.92829999999998</v>
      </c>
      <c r="K3860">
        <v>1.110679</v>
      </c>
      <c r="L3860">
        <v>214.25569999999999</v>
      </c>
      <c r="M3860">
        <v>0.99987000000000004</v>
      </c>
      <c r="N3860">
        <v>-1.4860999999999999E-2</v>
      </c>
      <c r="O3860">
        <v>6.2601610000000002E-3</v>
      </c>
      <c r="P3860">
        <v>0.93176519999999996</v>
      </c>
      <c r="Q3860">
        <v>0.33156429999999998</v>
      </c>
      <c r="R3860">
        <v>0.14791480000000001</v>
      </c>
      <c r="S3860">
        <v>3.5874630000000001</v>
      </c>
      <c r="T3860">
        <v>-1.140131</v>
      </c>
      <c r="U3860">
        <v>0.23225399999999999</v>
      </c>
      <c r="V3860">
        <v>-0.14224229999999999</v>
      </c>
      <c r="W3860">
        <v>0.34532109999999999</v>
      </c>
      <c r="X3860">
        <v>0.92764239999999998</v>
      </c>
      <c r="Y3860">
        <v>-5.5763550000000002E-2</v>
      </c>
      <c r="Z3860">
        <v>7.215923E-3</v>
      </c>
      <c r="AA3860">
        <v>0.99841789999999997</v>
      </c>
      <c r="AB3860">
        <v>37</v>
      </c>
      <c r="AC3860">
        <v>0.58359999999998902</v>
      </c>
      <c r="AD3860">
        <v>-0.30109429999999998</v>
      </c>
      <c r="AE3860">
        <v>5.86000000000126E-2</v>
      </c>
      <c r="AF3860">
        <v>-4.3485587660762298E-2</v>
      </c>
      <c r="AG3860">
        <v>-0.30109429999999998</v>
      </c>
      <c r="AH3860">
        <v>0.46216466351383501</v>
      </c>
      <c r="AI3860">
        <v>122.968338095829</v>
      </c>
      <c r="AJ3860">
        <v>95.375198493429494</v>
      </c>
      <c r="AK3860">
        <v>0.55330366890844696</v>
      </c>
      <c r="AL3860">
        <v>69.798601407808505</v>
      </c>
      <c r="AM3860">
        <v>98.717686199320994</v>
      </c>
      <c r="AN3860">
        <v>0.99999997814612895</v>
      </c>
    </row>
    <row r="3861" spans="1:40" x14ac:dyDescent="0.25">
      <c r="A3861" t="str">
        <f>"20190304164205887"</f>
        <v>20190304164205887</v>
      </c>
      <c r="B3861" t="str">
        <f>"1551688925875190"</f>
        <v>1551688925875190</v>
      </c>
      <c r="C3861" t="s">
        <v>40</v>
      </c>
      <c r="D3861">
        <v>4.1731439999999997</v>
      </c>
      <c r="E3861">
        <v>0.54722459999999995</v>
      </c>
      <c r="F3861" t="s">
        <v>41</v>
      </c>
      <c r="G3861">
        <v>-288.00959999999998</v>
      </c>
      <c r="H3861">
        <v>0.81808599999999998</v>
      </c>
      <c r="I3861">
        <v>214.3158</v>
      </c>
      <c r="J3861">
        <v>-288.55970000000002</v>
      </c>
      <c r="K3861">
        <v>1.110679</v>
      </c>
      <c r="L3861">
        <v>214.25819999999999</v>
      </c>
      <c r="M3861">
        <v>0.99986870000000005</v>
      </c>
      <c r="N3861">
        <v>-1.4856680000000001E-2</v>
      </c>
      <c r="O3861">
        <v>6.4680170000000004E-3</v>
      </c>
      <c r="P3861">
        <v>0.93190550000000005</v>
      </c>
      <c r="Q3861">
        <v>0.33117819999999998</v>
      </c>
      <c r="R3861">
        <v>0.14789579999999999</v>
      </c>
      <c r="S3861">
        <v>3.5892330000000001</v>
      </c>
      <c r="T3861">
        <v>-1.143159</v>
      </c>
      <c r="U3861">
        <v>0.23481750000000001</v>
      </c>
      <c r="V3861">
        <v>-0.14202819999999999</v>
      </c>
      <c r="W3861">
        <v>0.3449335</v>
      </c>
      <c r="X3861">
        <v>0.92781939999999996</v>
      </c>
      <c r="Y3861">
        <v>-5.6210129999999997E-2</v>
      </c>
      <c r="Z3861">
        <v>7.2406939999999998E-3</v>
      </c>
      <c r="AA3861">
        <v>0.99839270000000002</v>
      </c>
      <c r="AB3861">
        <v>37</v>
      </c>
      <c r="AC3861">
        <v>0.550100000000043</v>
      </c>
      <c r="AD3861">
        <v>-0.29259299999999999</v>
      </c>
      <c r="AE3861">
        <v>5.7600000000007798E-2</v>
      </c>
      <c r="AF3861">
        <v>-4.22243159309173E-2</v>
      </c>
      <c r="AG3861">
        <v>-0.29259299999999999</v>
      </c>
      <c r="AH3861">
        <v>0.43010166843998199</v>
      </c>
      <c r="AI3861">
        <v>124.099305456987</v>
      </c>
      <c r="AJ3861">
        <v>95.606924260945505</v>
      </c>
      <c r="AK3861">
        <v>0.52190133329939903</v>
      </c>
      <c r="AL3861">
        <v>69.822263249703298</v>
      </c>
      <c r="AM3861">
        <v>98.703130481705301</v>
      </c>
      <c r="AN3861">
        <v>0.99999998401692403</v>
      </c>
    </row>
    <row r="3862" spans="1:40" x14ac:dyDescent="0.25">
      <c r="A3862" t="str">
        <f>"20190304164205911"</f>
        <v>20190304164205911</v>
      </c>
      <c r="B3862" t="str">
        <f>"1551688925905447"</f>
        <v>1551688925905447</v>
      </c>
      <c r="C3862" t="s">
        <v>40</v>
      </c>
      <c r="D3862">
        <v>4.1746809999999996</v>
      </c>
      <c r="E3862">
        <v>0.54673559999999999</v>
      </c>
      <c r="F3862" t="s">
        <v>41</v>
      </c>
      <c r="G3862">
        <v>-287.67489999999998</v>
      </c>
      <c r="H3862">
        <v>0.82664130000000002</v>
      </c>
      <c r="I3862">
        <v>214.31639999999999</v>
      </c>
      <c r="J3862">
        <v>-288.1662</v>
      </c>
      <c r="K3862">
        <v>1.110679</v>
      </c>
      <c r="L3862">
        <v>214.261</v>
      </c>
      <c r="M3862">
        <v>0.99986739999999996</v>
      </c>
      <c r="N3862">
        <v>-1.4852199999999999E-2</v>
      </c>
      <c r="O3862">
        <v>6.6898189999999996E-3</v>
      </c>
      <c r="P3862">
        <v>0.93188649999999995</v>
      </c>
      <c r="Q3862">
        <v>0.33134730000000001</v>
      </c>
      <c r="R3862">
        <v>0.14763760000000001</v>
      </c>
      <c r="S3862">
        <v>3.5913089999999999</v>
      </c>
      <c r="T3862">
        <v>-1.152987</v>
      </c>
      <c r="U3862">
        <v>0.23721310000000001</v>
      </c>
      <c r="V3862">
        <v>-0.14156279999999999</v>
      </c>
      <c r="W3862">
        <v>0.34509869999999998</v>
      </c>
      <c r="X3862">
        <v>0.92782909999999996</v>
      </c>
      <c r="Y3862">
        <v>-5.6565959999999998E-2</v>
      </c>
      <c r="Z3862">
        <v>7.2840209999999999E-3</v>
      </c>
      <c r="AA3862">
        <v>0.99837229999999999</v>
      </c>
      <c r="AB3862">
        <v>37</v>
      </c>
      <c r="AC3862">
        <v>0.491300000000023</v>
      </c>
      <c r="AD3862">
        <v>-0.2840377</v>
      </c>
      <c r="AE3862">
        <v>5.5399999999991602E-2</v>
      </c>
      <c r="AF3862">
        <v>-3.9180442351650503E-2</v>
      </c>
      <c r="AG3862">
        <v>-0.2840377</v>
      </c>
      <c r="AH3862">
        <v>0.36965684882743799</v>
      </c>
      <c r="AI3862">
        <v>127.383519155759</v>
      </c>
      <c r="AJ3862">
        <v>96.050270057167296</v>
      </c>
      <c r="AK3862">
        <v>0.46782337261961598</v>
      </c>
      <c r="AL3862">
        <v>69.812178870733405</v>
      </c>
      <c r="AM3862">
        <v>98.674957177062694</v>
      </c>
      <c r="AN3862">
        <v>0.99999998894616904</v>
      </c>
    </row>
    <row r="3863" spans="1:40" x14ac:dyDescent="0.25">
      <c r="A3863" t="str">
        <f>"20190304164205932"</f>
        <v>20190304164205932</v>
      </c>
      <c r="B3863" t="str">
        <f>"1551688925924966"</f>
        <v>1551688925924966</v>
      </c>
      <c r="C3863" t="s">
        <v>40</v>
      </c>
      <c r="D3863">
        <v>4.0906849999999997</v>
      </c>
      <c r="E3863">
        <v>0.54655980000000004</v>
      </c>
      <c r="F3863" t="s">
        <v>41</v>
      </c>
      <c r="G3863">
        <v>-287.3374</v>
      </c>
      <c r="H3863">
        <v>0.84260619999999997</v>
      </c>
      <c r="I3863">
        <v>214.31639999999999</v>
      </c>
      <c r="J3863">
        <v>-287.80500000000001</v>
      </c>
      <c r="K3863">
        <v>1.1106819999999999</v>
      </c>
      <c r="L3863">
        <v>214.2636</v>
      </c>
      <c r="M3863">
        <v>0.99986609999999998</v>
      </c>
      <c r="N3863">
        <v>-1.4848109999999999E-2</v>
      </c>
      <c r="O3863">
        <v>6.8937969999999897E-3</v>
      </c>
      <c r="P3863">
        <v>0.93195689999999998</v>
      </c>
      <c r="Q3863">
        <v>0.331572599999999</v>
      </c>
      <c r="R3863">
        <v>0.14668390000000001</v>
      </c>
      <c r="S3863">
        <v>3.5946349999999998</v>
      </c>
      <c r="T3863">
        <v>-1.1626190000000001</v>
      </c>
      <c r="U3863">
        <v>0.23999019999999999</v>
      </c>
      <c r="V3863">
        <v>-0.1404183</v>
      </c>
      <c r="W3863">
        <v>0.34532239999999997</v>
      </c>
      <c r="X3863">
        <v>0.92791979999999996</v>
      </c>
      <c r="Y3863">
        <v>-5.7017480000000002E-2</v>
      </c>
      <c r="Z3863">
        <v>7.3448380000000002E-3</v>
      </c>
      <c r="AA3863">
        <v>0.99834610000000001</v>
      </c>
      <c r="AB3863">
        <v>37</v>
      </c>
      <c r="AC3863">
        <v>0.46760000000000401</v>
      </c>
      <c r="AD3863">
        <v>-0.26807579999999998</v>
      </c>
      <c r="AE3863">
        <v>5.2799999999990598E-2</v>
      </c>
      <c r="AF3863">
        <v>-3.7428067799064997E-2</v>
      </c>
      <c r="AG3863">
        <v>-0.26807579999999998</v>
      </c>
      <c r="AH3863">
        <v>0.35329553969601901</v>
      </c>
      <c r="AI3863">
        <v>127.036880654724</v>
      </c>
      <c r="AJ3863">
        <v>96.047348565448004</v>
      </c>
      <c r="AK3863">
        <v>0.44506542572290703</v>
      </c>
      <c r="AL3863">
        <v>69.798522650869401</v>
      </c>
      <c r="AM3863">
        <v>98.605047984565104</v>
      </c>
      <c r="AN3863">
        <v>1.00000000707434</v>
      </c>
    </row>
    <row r="3864" spans="1:40" x14ac:dyDescent="0.25">
      <c r="A3864" t="str">
        <f>"20190304164205954"</f>
        <v>20190304164205954</v>
      </c>
      <c r="B3864" t="str">
        <f>"1551688925945463"</f>
        <v>1551688925945463</v>
      </c>
      <c r="C3864" t="s">
        <v>40</v>
      </c>
      <c r="D3864">
        <v>4.0781790000000004</v>
      </c>
      <c r="E3864">
        <v>0.54641779999999995</v>
      </c>
      <c r="F3864" t="s">
        <v>41</v>
      </c>
      <c r="G3864">
        <v>-287.00349999999997</v>
      </c>
      <c r="H3864">
        <v>0.85093019999999997</v>
      </c>
      <c r="I3864">
        <v>214.3169</v>
      </c>
      <c r="J3864">
        <v>-287.44940000000003</v>
      </c>
      <c r="K3864">
        <v>1.110687</v>
      </c>
      <c r="L3864">
        <v>214.2663</v>
      </c>
      <c r="M3864">
        <v>0.99986470000000005</v>
      </c>
      <c r="N3864">
        <v>-1.4844090000000001E-2</v>
      </c>
      <c r="O3864">
        <v>7.0937129999999998E-3</v>
      </c>
      <c r="P3864">
        <v>0.93196400000000001</v>
      </c>
      <c r="Q3864">
        <v>0.33169929999999997</v>
      </c>
      <c r="R3864">
        <v>0.1463526</v>
      </c>
      <c r="S3864">
        <v>3.595917</v>
      </c>
      <c r="T3864">
        <v>-1.16547</v>
      </c>
      <c r="U3864">
        <v>0.23994450000000001</v>
      </c>
      <c r="V3864">
        <v>-0.13989949999999901</v>
      </c>
      <c r="W3864">
        <v>0.34544629999999998</v>
      </c>
      <c r="X3864">
        <v>0.927952</v>
      </c>
      <c r="Y3864">
        <v>-5.6792170000000003E-2</v>
      </c>
      <c r="Z3864">
        <v>7.260819E-3</v>
      </c>
      <c r="AA3864">
        <v>0.99835960000000001</v>
      </c>
      <c r="AB3864">
        <v>37</v>
      </c>
      <c r="AC3864">
        <v>0.44590000000005098</v>
      </c>
      <c r="AD3864">
        <v>-0.25975679999999901</v>
      </c>
      <c r="AE3864">
        <v>5.0600000000002802E-2</v>
      </c>
      <c r="AF3864">
        <v>-3.5530878291327603E-2</v>
      </c>
      <c r="AG3864">
        <v>-0.25975679999999901</v>
      </c>
      <c r="AH3864">
        <v>0.33425692816721603</v>
      </c>
      <c r="AI3864">
        <v>127.69554368675399</v>
      </c>
      <c r="AJ3864">
        <v>96.067647918779997</v>
      </c>
      <c r="AK3864">
        <v>0.42481023114583299</v>
      </c>
      <c r="AL3864">
        <v>69.790957316169894</v>
      </c>
      <c r="AM3864">
        <v>98.573435379486497</v>
      </c>
      <c r="AN3864">
        <v>0.99999996529396895</v>
      </c>
    </row>
    <row r="3865" spans="1:40" x14ac:dyDescent="0.25">
      <c r="A3865" t="str">
        <f>"20190304164205976"</f>
        <v>20190304164205976</v>
      </c>
      <c r="B3865" t="str">
        <f>"1551688925964983"</f>
        <v>1551688925964983</v>
      </c>
      <c r="C3865" t="s">
        <v>40</v>
      </c>
      <c r="D3865">
        <v>4.0768309999999897</v>
      </c>
      <c r="E3865">
        <v>0.54630419999999902</v>
      </c>
      <c r="F3865" t="s">
        <v>41</v>
      </c>
      <c r="G3865">
        <v>-286.67070000000001</v>
      </c>
      <c r="H3865">
        <v>0.85789369999999998</v>
      </c>
      <c r="I3865">
        <v>214.31800000000001</v>
      </c>
      <c r="J3865">
        <v>-287.084</v>
      </c>
      <c r="K3865">
        <v>1.110687</v>
      </c>
      <c r="L3865">
        <v>214.26910000000001</v>
      </c>
      <c r="M3865">
        <v>0.99986330000000001</v>
      </c>
      <c r="N3865">
        <v>-1.4839979999999999E-2</v>
      </c>
      <c r="O3865">
        <v>7.2947899999999998E-3</v>
      </c>
      <c r="P3865">
        <v>0.93190669999999998</v>
      </c>
      <c r="Q3865">
        <v>0.33184649999999999</v>
      </c>
      <c r="R3865">
        <v>0.14638229999999999</v>
      </c>
      <c r="S3865">
        <v>3.5970149999999999</v>
      </c>
      <c r="T3865">
        <v>-1.167618</v>
      </c>
      <c r="U3865">
        <v>0.23927309999999999</v>
      </c>
      <c r="V3865">
        <v>-0.1397398</v>
      </c>
      <c r="W3865">
        <v>0.34559040000000002</v>
      </c>
      <c r="X3865">
        <v>0.92792240000000004</v>
      </c>
      <c r="Y3865">
        <v>-5.6407739999999998E-2</v>
      </c>
      <c r="Z3865">
        <v>7.1462100000000001E-3</v>
      </c>
      <c r="AA3865">
        <v>0.99838229999999994</v>
      </c>
      <c r="AB3865">
        <v>37</v>
      </c>
      <c r="AC3865">
        <v>0.41329999999999201</v>
      </c>
      <c r="AD3865">
        <v>-0.2527933</v>
      </c>
      <c r="AE3865">
        <v>4.8899999999974797E-2</v>
      </c>
      <c r="AF3865">
        <v>-3.3517338663944699E-2</v>
      </c>
      <c r="AG3865">
        <v>-0.2527933</v>
      </c>
      <c r="AH3865">
        <v>0.30216365426864999</v>
      </c>
      <c r="AI3865">
        <v>129.74388328756299</v>
      </c>
      <c r="AJ3865">
        <v>96.3296273430159</v>
      </c>
      <c r="AK3865">
        <v>0.39538682132436798</v>
      </c>
      <c r="AL3865">
        <v>69.782158984795899</v>
      </c>
      <c r="AM3865">
        <v>98.564062832869993</v>
      </c>
      <c r="AN3865">
        <v>0.99999995834897903</v>
      </c>
    </row>
    <row r="3866" spans="1:40" x14ac:dyDescent="0.25">
      <c r="A3866" t="str">
        <f>"20190304164206000"</f>
        <v>20190304164206000</v>
      </c>
      <c r="B3866" t="str">
        <f>"1551688925995238"</f>
        <v>1551688925995238</v>
      </c>
      <c r="C3866" t="s">
        <v>40</v>
      </c>
      <c r="D3866">
        <v>4.0537330000000003</v>
      </c>
      <c r="E3866">
        <v>0.54604839999999999</v>
      </c>
      <c r="F3866" t="s">
        <v>41</v>
      </c>
      <c r="G3866">
        <v>-286.33690000000001</v>
      </c>
      <c r="H3866">
        <v>0.86794839999999995</v>
      </c>
      <c r="I3866">
        <v>214.3184</v>
      </c>
      <c r="J3866">
        <v>-286.7029</v>
      </c>
      <c r="K3866">
        <v>1.1106830000000001</v>
      </c>
      <c r="L3866">
        <v>214.27209999999999</v>
      </c>
      <c r="M3866">
        <v>0.99986200000000003</v>
      </c>
      <c r="N3866">
        <v>-1.483568E-2</v>
      </c>
      <c r="O3866">
        <v>7.4943719999999896E-3</v>
      </c>
      <c r="P3866">
        <v>0.93170439999999999</v>
      </c>
      <c r="Q3866">
        <v>0.33242939999999999</v>
      </c>
      <c r="R3866">
        <v>0.146348799999999</v>
      </c>
      <c r="S3866">
        <v>3.5979920000000001</v>
      </c>
      <c r="T3866">
        <v>-1.1688670000000001</v>
      </c>
      <c r="U3866">
        <v>0.2384338</v>
      </c>
      <c r="V3866">
        <v>-0.1395161</v>
      </c>
      <c r="W3866">
        <v>0.34616849999999999</v>
      </c>
      <c r="X3866">
        <v>0.92774060000000003</v>
      </c>
      <c r="Y3866">
        <v>-5.5986550000000003E-2</v>
      </c>
      <c r="Z3866">
        <v>7.0210450000000001E-3</v>
      </c>
      <c r="AA3866">
        <v>0.99840680000000004</v>
      </c>
      <c r="AB3866">
        <v>37</v>
      </c>
      <c r="AC3866">
        <v>0.365999999999985</v>
      </c>
      <c r="AD3866">
        <v>-0.24273459999999999</v>
      </c>
      <c r="AE3866">
        <v>4.6300000000002201E-2</v>
      </c>
      <c r="AF3866">
        <v>-3.0396324021558001E-2</v>
      </c>
      <c r="AG3866">
        <v>-0.24273459999999999</v>
      </c>
      <c r="AH3866">
        <v>0.25565775274577002</v>
      </c>
      <c r="AI3866">
        <v>133.31391570983101</v>
      </c>
      <c r="AJ3866">
        <v>96.780329098645296</v>
      </c>
      <c r="AK3866">
        <v>0.35384305714567998</v>
      </c>
      <c r="AL3866">
        <v>69.746858255768501</v>
      </c>
      <c r="AM3866">
        <v>98.552206802666504</v>
      </c>
      <c r="AN3866">
        <v>0.99999999671991002</v>
      </c>
    </row>
    <row r="3867" spans="1:40" x14ac:dyDescent="0.25">
      <c r="A3867" t="str">
        <f>"20190304164206021"</f>
        <v>20190304164206021</v>
      </c>
      <c r="B3867" t="str">
        <f>"1551688926014758"</f>
        <v>1551688926014758</v>
      </c>
      <c r="C3867" t="s">
        <v>40</v>
      </c>
      <c r="D3867">
        <v>4.0628510000000002</v>
      </c>
      <c r="E3867">
        <v>0.54577050000000005</v>
      </c>
      <c r="F3867" t="s">
        <v>41</v>
      </c>
      <c r="G3867">
        <v>-286.00139999999999</v>
      </c>
      <c r="H3867">
        <v>0.88249279999999997</v>
      </c>
      <c r="I3867">
        <v>214.31880000000001</v>
      </c>
      <c r="J3867">
        <v>-286.3329</v>
      </c>
      <c r="K3867">
        <v>1.110671</v>
      </c>
      <c r="L3867">
        <v>214.27500000000001</v>
      </c>
      <c r="M3867">
        <v>0.99986070000000005</v>
      </c>
      <c r="N3867">
        <v>-1.4831509999999999E-2</v>
      </c>
      <c r="O3867">
        <v>7.6722409999999998E-3</v>
      </c>
      <c r="P3867">
        <v>0.93186040000000003</v>
      </c>
      <c r="Q3867">
        <v>0.3318044</v>
      </c>
      <c r="R3867">
        <v>0.14677299999999999</v>
      </c>
      <c r="S3867">
        <v>3.5999759999999998</v>
      </c>
      <c r="T3867">
        <v>-1.1710370000000001</v>
      </c>
      <c r="U3867">
        <v>0.2402802</v>
      </c>
      <c r="V3867">
        <v>-0.1397639</v>
      </c>
      <c r="W3867">
        <v>0.34554659999999998</v>
      </c>
      <c r="X3867">
        <v>0.92793510000000001</v>
      </c>
      <c r="Y3867">
        <v>-5.6269159999999999E-2</v>
      </c>
      <c r="Z3867">
        <v>7.022024E-3</v>
      </c>
      <c r="AA3867">
        <v>0.99839089999999997</v>
      </c>
      <c r="AB3867">
        <v>37</v>
      </c>
      <c r="AC3867">
        <v>0.33150000000000501</v>
      </c>
      <c r="AD3867">
        <v>-0.2281782</v>
      </c>
      <c r="AE3867">
        <v>4.3800000000004502E-2</v>
      </c>
      <c r="AF3867">
        <v>-2.8147867044337398E-2</v>
      </c>
      <c r="AG3867">
        <v>-0.2281782</v>
      </c>
      <c r="AH3867">
        <v>0.226401268992271</v>
      </c>
      <c r="AI3867">
        <v>135.00425224105399</v>
      </c>
      <c r="AJ3867">
        <v>97.087065440352703</v>
      </c>
      <c r="AK3867">
        <v>0.32266875890872398</v>
      </c>
      <c r="AL3867">
        <v>69.784833649618307</v>
      </c>
      <c r="AM3867">
        <v>98.565402422454994</v>
      </c>
      <c r="AN3867">
        <v>0.99999997516338901</v>
      </c>
    </row>
    <row r="3868" spans="1:40" x14ac:dyDescent="0.25">
      <c r="A3868" t="str">
        <f>"20190304164206043"</f>
        <v>20190304164206043</v>
      </c>
      <c r="B3868" t="str">
        <f>"1551688926035255"</f>
        <v>1551688926035255</v>
      </c>
      <c r="C3868" t="s">
        <v>40</v>
      </c>
      <c r="D3868">
        <v>4.078938</v>
      </c>
      <c r="E3868">
        <v>0.54547860000000004</v>
      </c>
      <c r="F3868" t="s">
        <v>41</v>
      </c>
      <c r="G3868">
        <v>-285.66800000000001</v>
      </c>
      <c r="H3868">
        <v>0.89315999999999995</v>
      </c>
      <c r="I3868">
        <v>214.31970000000001</v>
      </c>
      <c r="J3868">
        <v>-285.98259999999999</v>
      </c>
      <c r="K3868">
        <v>1.110654</v>
      </c>
      <c r="L3868">
        <v>214.27780000000001</v>
      </c>
      <c r="M3868">
        <v>0.99985950000000001</v>
      </c>
      <c r="N3868">
        <v>-1.482757E-2</v>
      </c>
      <c r="O3868">
        <v>7.8193819999999997E-3</v>
      </c>
      <c r="P3868">
        <v>0.93192090000000005</v>
      </c>
      <c r="Q3868">
        <v>0.33132610000000001</v>
      </c>
      <c r="R3868">
        <v>0.14746770000000001</v>
      </c>
      <c r="S3868">
        <v>3.6003419999999999</v>
      </c>
      <c r="T3868">
        <v>-1.1778230000000001</v>
      </c>
      <c r="U3868">
        <v>0.24380489999999999</v>
      </c>
      <c r="V3868">
        <v>-0.14030689999999901</v>
      </c>
      <c r="W3868">
        <v>0.34507090000000001</v>
      </c>
      <c r="X3868">
        <v>0.92803020000000003</v>
      </c>
      <c r="Y3868">
        <v>-5.702579E-2</v>
      </c>
      <c r="Z3868">
        <v>7.1383849999999997E-3</v>
      </c>
      <c r="AA3868">
        <v>0.99834719999999999</v>
      </c>
      <c r="AB3868">
        <v>37</v>
      </c>
      <c r="AC3868">
        <v>0.314599999999984</v>
      </c>
      <c r="AD3868">
        <v>-0.21749399999999999</v>
      </c>
      <c r="AE3868">
        <v>4.1899999999998203E-2</v>
      </c>
      <c r="AF3868">
        <v>-2.6835938476252302E-2</v>
      </c>
      <c r="AG3868">
        <v>-0.21749399999999999</v>
      </c>
      <c r="AH3868">
        <v>0.214286233867716</v>
      </c>
      <c r="AI3868">
        <v>135.20275868701901</v>
      </c>
      <c r="AJ3868">
        <v>97.138221197621505</v>
      </c>
      <c r="AK3868">
        <v>0.306500240872843</v>
      </c>
      <c r="AL3868">
        <v>69.813876220361806</v>
      </c>
      <c r="AM3868">
        <v>98.597315711750795</v>
      </c>
      <c r="AN3868">
        <v>1.00000000216323</v>
      </c>
    </row>
    <row r="3869" spans="1:40" x14ac:dyDescent="0.25">
      <c r="A3869" t="str">
        <f>"20190304164206065"</f>
        <v>20190304164206065</v>
      </c>
      <c r="B3869" t="str">
        <f>"1551688926054774"</f>
        <v>1551688926054774</v>
      </c>
      <c r="C3869" t="s">
        <v>40</v>
      </c>
      <c r="D3869">
        <v>4.0677909999999997</v>
      </c>
      <c r="E3869">
        <v>0.54522910000000002</v>
      </c>
      <c r="F3869" t="s">
        <v>41</v>
      </c>
      <c r="G3869">
        <v>-285.0496</v>
      </c>
      <c r="H3869">
        <v>0.80379179999999995</v>
      </c>
      <c r="I3869">
        <v>214.34229999999999</v>
      </c>
      <c r="J3869">
        <v>-285.61329999999998</v>
      </c>
      <c r="K3869">
        <v>1.110633</v>
      </c>
      <c r="L3869">
        <v>214.2809</v>
      </c>
      <c r="M3869">
        <v>0.99985860000000004</v>
      </c>
      <c r="N3869">
        <v>-1.482342E-2</v>
      </c>
      <c r="O3869">
        <v>7.9490329999999994E-3</v>
      </c>
      <c r="P3869">
        <v>0.93179239999999997</v>
      </c>
      <c r="Q3869">
        <v>0.3312486</v>
      </c>
      <c r="R3869">
        <v>0.14844949999999901</v>
      </c>
      <c r="S3869">
        <v>3.6006770000000001</v>
      </c>
      <c r="T3869">
        <v>-1.1841280000000001</v>
      </c>
      <c r="U3869">
        <v>0.2496033</v>
      </c>
      <c r="V3869">
        <v>-0.1411509</v>
      </c>
      <c r="W3869">
        <v>0.34499479999999999</v>
      </c>
      <c r="X3869">
        <v>0.92793049999999999</v>
      </c>
      <c r="Y3869">
        <v>-5.8394389999999997E-2</v>
      </c>
      <c r="Z3869">
        <v>7.360765E-3</v>
      </c>
      <c r="AA3869">
        <v>0.99826649999999995</v>
      </c>
      <c r="AB3869">
        <v>37</v>
      </c>
      <c r="AC3869">
        <v>0.56369999999998299</v>
      </c>
      <c r="AD3869">
        <v>-0.30684119999999898</v>
      </c>
      <c r="AE3869">
        <v>6.1399999999991899E-2</v>
      </c>
      <c r="AF3869">
        <v>-4.4025039740741199E-2</v>
      </c>
      <c r="AG3869">
        <v>-0.30684119999999898</v>
      </c>
      <c r="AH3869">
        <v>0.43638547808705702</v>
      </c>
      <c r="AI3869">
        <v>124.97630415076</v>
      </c>
      <c r="AJ3869">
        <v>95.760831237783094</v>
      </c>
      <c r="AK3869">
        <v>0.53527750898658399</v>
      </c>
      <c r="AL3869">
        <v>69.8185216750704</v>
      </c>
      <c r="AM3869">
        <v>98.649167373302902</v>
      </c>
      <c r="AN3869">
        <v>1.0000000007140499</v>
      </c>
    </row>
    <row r="3870" spans="1:40" x14ac:dyDescent="0.25">
      <c r="A3870" t="str">
        <f>"20190304164206089"</f>
        <v>20190304164206089</v>
      </c>
      <c r="B3870" t="str">
        <f>"1551688926085030"</f>
        <v>1551688926085030</v>
      </c>
      <c r="C3870" t="s">
        <v>40</v>
      </c>
      <c r="D3870">
        <v>4.0929219999999997</v>
      </c>
      <c r="E3870">
        <v>0.54483709999999996</v>
      </c>
      <c r="F3870" t="s">
        <v>41</v>
      </c>
      <c r="G3870">
        <v>-284.71699999999998</v>
      </c>
      <c r="H3870">
        <v>0.81485509999999906</v>
      </c>
      <c r="I3870">
        <v>214.34440000000001</v>
      </c>
      <c r="J3870">
        <v>-285.2269</v>
      </c>
      <c r="K3870">
        <v>1.1106130000000001</v>
      </c>
      <c r="L3870">
        <v>214.2841</v>
      </c>
      <c r="M3870">
        <v>0.99985780000000002</v>
      </c>
      <c r="N3870">
        <v>-1.481909E-2</v>
      </c>
      <c r="O3870">
        <v>8.0589830000000005E-3</v>
      </c>
      <c r="P3870">
        <v>0.9317571</v>
      </c>
      <c r="Q3870">
        <v>0.33099610000000002</v>
      </c>
      <c r="R3870">
        <v>0.14923320000000001</v>
      </c>
      <c r="S3870">
        <v>3.6013790000000001</v>
      </c>
      <c r="T3870">
        <v>-1.188453</v>
      </c>
      <c r="U3870">
        <v>0.25550840000000002</v>
      </c>
      <c r="V3870">
        <v>-0.14181340000000001</v>
      </c>
      <c r="W3870">
        <v>0.34474589999999999</v>
      </c>
      <c r="X3870">
        <v>0.92792200000000002</v>
      </c>
      <c r="Y3870">
        <v>-5.9808989999999999E-2</v>
      </c>
      <c r="Z3870">
        <v>7.5868300000000001E-3</v>
      </c>
      <c r="AA3870">
        <v>0.99818099999999998</v>
      </c>
      <c r="AB3870">
        <v>37</v>
      </c>
      <c r="AC3870">
        <v>0.50990000000001601</v>
      </c>
      <c r="AD3870">
        <v>-0.29575789999999902</v>
      </c>
      <c r="AE3870">
        <v>6.0300000000012198E-2</v>
      </c>
      <c r="AF3870">
        <v>-4.21898817303216E-2</v>
      </c>
      <c r="AG3870">
        <v>-0.29575789999999902</v>
      </c>
      <c r="AH3870">
        <v>0.38321894212673502</v>
      </c>
      <c r="AI3870">
        <v>127.493169136604</v>
      </c>
      <c r="AJ3870">
        <v>96.282586688264701</v>
      </c>
      <c r="AK3870">
        <v>0.485910978613946</v>
      </c>
      <c r="AL3870">
        <v>69.833714813523301</v>
      </c>
      <c r="AM3870">
        <v>98.689222959814501</v>
      </c>
      <c r="AN3870">
        <v>1.00000000703518</v>
      </c>
    </row>
    <row r="3871" spans="1:40" x14ac:dyDescent="0.25">
      <c r="A3871" t="str">
        <f>"20190304164206111"</f>
        <v>20190304164206111</v>
      </c>
      <c r="B3871" t="str">
        <f>"1551688926104550"</f>
        <v>1551688926104550</v>
      </c>
      <c r="C3871" t="s">
        <v>40</v>
      </c>
      <c r="D3871">
        <v>4.0840589999999999</v>
      </c>
      <c r="E3871">
        <v>0.54462749999999904</v>
      </c>
      <c r="F3871" t="s">
        <v>41</v>
      </c>
      <c r="G3871">
        <v>-284.38299999999998</v>
      </c>
      <c r="H3871">
        <v>0.83037969999999905</v>
      </c>
      <c r="I3871">
        <v>214.34559999999999</v>
      </c>
      <c r="J3871">
        <v>-284.86989999999997</v>
      </c>
      <c r="K3871">
        <v>1.11059</v>
      </c>
      <c r="L3871">
        <v>214.28700000000001</v>
      </c>
      <c r="M3871">
        <v>0.99985710000000005</v>
      </c>
      <c r="N3871">
        <v>-1.4815139999999999E-2</v>
      </c>
      <c r="O3871">
        <v>8.1339580000000002E-3</v>
      </c>
      <c r="P3871">
        <v>0.93187050000000005</v>
      </c>
      <c r="Q3871">
        <v>0.330578599999999</v>
      </c>
      <c r="R3871">
        <v>0.14944939999999901</v>
      </c>
      <c r="S3871">
        <v>3.6025089999999902</v>
      </c>
      <c r="T3871">
        <v>-1.1961679999999999</v>
      </c>
      <c r="U3871">
        <v>0.26309199999999999</v>
      </c>
      <c r="V3871">
        <v>-0.1419397</v>
      </c>
      <c r="W3871">
        <v>0.34433459999999899</v>
      </c>
      <c r="X3871">
        <v>0.92805539999999997</v>
      </c>
      <c r="Y3871">
        <v>-6.1668439999999998E-2</v>
      </c>
      <c r="Z3871">
        <v>7.9187579999999997E-3</v>
      </c>
      <c r="AA3871">
        <v>0.99806530000000004</v>
      </c>
      <c r="AB3871">
        <v>37</v>
      </c>
      <c r="AC3871">
        <v>0.48689999999999101</v>
      </c>
      <c r="AD3871">
        <v>-0.28021030000000002</v>
      </c>
      <c r="AE3871">
        <v>5.8599999999984199E-2</v>
      </c>
      <c r="AF3871">
        <v>-4.1189931896094399E-2</v>
      </c>
      <c r="AG3871">
        <v>-0.28021030000000002</v>
      </c>
      <c r="AH3871">
        <v>0.367411742805483</v>
      </c>
      <c r="AI3871">
        <v>127.15893254621299</v>
      </c>
      <c r="AJ3871">
        <v>96.396627507026693</v>
      </c>
      <c r="AK3871">
        <v>0.46390280390083599</v>
      </c>
      <c r="AL3871">
        <v>69.858817639983002</v>
      </c>
      <c r="AM3871">
        <v>98.695612387482697</v>
      </c>
      <c r="AN3871">
        <v>1.0000000103311999</v>
      </c>
    </row>
    <row r="3872" spans="1:40" x14ac:dyDescent="0.25">
      <c r="A3872" t="str">
        <f>"20190304164206133"</f>
        <v>20190304164206133</v>
      </c>
      <c r="B3872" t="str">
        <f>"1551688926125046"</f>
        <v>1551688926125046</v>
      </c>
      <c r="C3872" t="s">
        <v>40</v>
      </c>
      <c r="D3872">
        <v>4.1097149999999996</v>
      </c>
      <c r="E3872">
        <v>0.54445929999999998</v>
      </c>
      <c r="F3872" t="s">
        <v>41</v>
      </c>
      <c r="G3872">
        <v>-284.05270000000002</v>
      </c>
      <c r="H3872">
        <v>0.83808570000000004</v>
      </c>
      <c r="I3872">
        <v>214.34710000000001</v>
      </c>
      <c r="J3872">
        <v>-284.50650000000002</v>
      </c>
      <c r="K3872">
        <v>1.1105670000000001</v>
      </c>
      <c r="L3872">
        <v>214.2901</v>
      </c>
      <c r="M3872">
        <v>0.999857</v>
      </c>
      <c r="N3872">
        <v>-1.481113E-2</v>
      </c>
      <c r="O3872">
        <v>8.1838409999999903E-3</v>
      </c>
      <c r="P3872">
        <v>0.93175730000000001</v>
      </c>
      <c r="Q3872">
        <v>0.33091569999999998</v>
      </c>
      <c r="R3872">
        <v>0.14941090000000001</v>
      </c>
      <c r="S3872">
        <v>3.6029049999999998</v>
      </c>
      <c r="T3872">
        <v>-1.2013020000000001</v>
      </c>
      <c r="U3872">
        <v>0.26559450000000001</v>
      </c>
      <c r="V3872">
        <v>-0.141837299999999</v>
      </c>
      <c r="W3872">
        <v>0.34467350000000002</v>
      </c>
      <c r="X3872">
        <v>0.92794529999999997</v>
      </c>
      <c r="Y3872">
        <v>-6.2246120000000002E-2</v>
      </c>
      <c r="Z3872">
        <v>8.0302020000000002E-3</v>
      </c>
      <c r="AA3872">
        <v>0.99802849999999999</v>
      </c>
      <c r="AB3872">
        <v>37</v>
      </c>
      <c r="AC3872">
        <v>0.45380000000000098</v>
      </c>
      <c r="AD3872">
        <v>-0.27248129999999998</v>
      </c>
      <c r="AE3872">
        <v>5.7000000000016302E-2</v>
      </c>
      <c r="AF3872">
        <v>-3.9325830736751902E-2</v>
      </c>
      <c r="AG3872">
        <v>-0.27248129999999998</v>
      </c>
      <c r="AH3872">
        <v>0.33525746673819401</v>
      </c>
      <c r="AI3872">
        <v>128.91109078294801</v>
      </c>
      <c r="AJ3872">
        <v>96.690244377164206</v>
      </c>
      <c r="AK3872">
        <v>0.43380888512862098</v>
      </c>
      <c r="AL3872">
        <v>69.838135000590597</v>
      </c>
      <c r="AM3872">
        <v>98.690450125452898</v>
      </c>
      <c r="AN3872">
        <v>1.0000000605328101</v>
      </c>
    </row>
    <row r="3873" spans="1:40" x14ac:dyDescent="0.25">
      <c r="A3873" t="str">
        <f>"20190304164206156"</f>
        <v>20190304164206156</v>
      </c>
      <c r="B3873" t="str">
        <f>"1551688926144566"</f>
        <v>1551688926144566</v>
      </c>
      <c r="C3873" t="s">
        <v>40</v>
      </c>
      <c r="D3873">
        <v>4.1110610000000003</v>
      </c>
      <c r="E3873">
        <v>0.5443114</v>
      </c>
      <c r="F3873" t="s">
        <v>41</v>
      </c>
      <c r="G3873">
        <v>-283.72149999999999</v>
      </c>
      <c r="H3873">
        <v>0.84857950000000004</v>
      </c>
      <c r="I3873">
        <v>214.34819999999999</v>
      </c>
      <c r="J3873">
        <v>-284.13940000000002</v>
      </c>
      <c r="K3873">
        <v>1.1105480000000001</v>
      </c>
      <c r="L3873">
        <v>214.29310000000001</v>
      </c>
      <c r="M3873">
        <v>0.99985659999999998</v>
      </c>
      <c r="N3873">
        <v>-1.4807020000000001E-2</v>
      </c>
      <c r="O3873">
        <v>8.2142099999999996E-3</v>
      </c>
      <c r="P3873">
        <v>0.93182469999999995</v>
      </c>
      <c r="Q3873">
        <v>0.33080859999999901</v>
      </c>
      <c r="R3873">
        <v>0.14922629999999901</v>
      </c>
      <c r="S3873">
        <v>3.6040649999999999</v>
      </c>
      <c r="T3873">
        <v>-1.2029259999999999</v>
      </c>
      <c r="U3873">
        <v>0.26757809999999999</v>
      </c>
      <c r="V3873">
        <v>-0.1416076</v>
      </c>
      <c r="W3873">
        <v>0.3445705</v>
      </c>
      <c r="X3873">
        <v>0.92801860000000003</v>
      </c>
      <c r="Y3873">
        <v>-6.2708120000000006E-2</v>
      </c>
      <c r="Z3873">
        <v>8.1062689999999993E-3</v>
      </c>
      <c r="AA3873">
        <v>0.99799899999999997</v>
      </c>
      <c r="AB3873">
        <v>37</v>
      </c>
      <c r="AC3873">
        <v>0.41790000000003102</v>
      </c>
      <c r="AD3873">
        <v>-0.26196849999999899</v>
      </c>
      <c r="AE3873">
        <v>5.5099999999981698E-2</v>
      </c>
      <c r="AF3873">
        <v>-3.7269648697845298E-2</v>
      </c>
      <c r="AG3873">
        <v>-0.26196849999999899</v>
      </c>
      <c r="AH3873">
        <v>0.30177716032810298</v>
      </c>
      <c r="AI3873">
        <v>130.74623046325399</v>
      </c>
      <c r="AJ3873">
        <v>97.040411004990304</v>
      </c>
      <c r="AK3873">
        <v>0.40135517462965897</v>
      </c>
      <c r="AL3873">
        <v>69.844420968893502</v>
      </c>
      <c r="AM3873">
        <v>98.675915733736701</v>
      </c>
      <c r="AN3873">
        <v>1.0000000318969799</v>
      </c>
    </row>
    <row r="3874" spans="1:40" x14ac:dyDescent="0.25">
      <c r="A3874" t="str">
        <f>"20190304164206177"</f>
        <v>20190304164206177</v>
      </c>
      <c r="B3874" t="str">
        <f>"1551688926165063"</f>
        <v>1551688926165063</v>
      </c>
      <c r="C3874" t="s">
        <v>40</v>
      </c>
      <c r="D3874">
        <v>4.1203450000000004</v>
      </c>
      <c r="E3874">
        <v>0.54419069999999903</v>
      </c>
      <c r="F3874" t="s">
        <v>41</v>
      </c>
      <c r="G3874">
        <v>-283.3904</v>
      </c>
      <c r="H3874">
        <v>0.85998609999999898</v>
      </c>
      <c r="I3874">
        <v>214.34870000000001</v>
      </c>
      <c r="J3874">
        <v>-283.78440000000001</v>
      </c>
      <c r="K3874">
        <v>1.1105370000000001</v>
      </c>
      <c r="L3874">
        <v>214.29599999999999</v>
      </c>
      <c r="M3874">
        <v>0.99985659999999998</v>
      </c>
      <c r="N3874">
        <v>-1.480306E-2</v>
      </c>
      <c r="O3874">
        <v>8.2292159999999993E-3</v>
      </c>
      <c r="P3874">
        <v>0.93183649999999996</v>
      </c>
      <c r="Q3874">
        <v>0.331009</v>
      </c>
      <c r="R3874">
        <v>0.14870749999999999</v>
      </c>
      <c r="S3874">
        <v>3.6046749999999999</v>
      </c>
      <c r="T3874">
        <v>-1.20583</v>
      </c>
      <c r="U3874">
        <v>0.26794430000000002</v>
      </c>
      <c r="V3874">
        <v>-0.1410614</v>
      </c>
      <c r="W3874">
        <v>0.3447732</v>
      </c>
      <c r="X3874">
        <v>0.92802640000000003</v>
      </c>
      <c r="Y3874">
        <v>-6.2765730000000006E-2</v>
      </c>
      <c r="Z3874">
        <v>8.1272610000000002E-3</v>
      </c>
      <c r="AA3874">
        <v>0.99799519999999997</v>
      </c>
      <c r="AB3874">
        <v>37</v>
      </c>
      <c r="AC3874">
        <v>0.39400000000000501</v>
      </c>
      <c r="AD3874">
        <v>-0.25055090000000002</v>
      </c>
      <c r="AE3874">
        <v>5.27000000000157E-2</v>
      </c>
      <c r="AF3874">
        <v>-3.5394120384695103E-2</v>
      </c>
      <c r="AG3874">
        <v>-0.25055090000000002</v>
      </c>
      <c r="AH3874">
        <v>0.28227697084820302</v>
      </c>
      <c r="AI3874">
        <v>131.37070398610899</v>
      </c>
      <c r="AJ3874">
        <v>97.146899170156104</v>
      </c>
      <c r="AK3874">
        <v>0.379089416259349</v>
      </c>
      <c r="AL3874">
        <v>69.832047036233703</v>
      </c>
      <c r="AM3874">
        <v>98.642886290806501</v>
      </c>
      <c r="AN3874">
        <v>0.99999993855257796</v>
      </c>
    </row>
    <row r="3875" spans="1:40" x14ac:dyDescent="0.25">
      <c r="A3875" t="str">
        <f>"20190304164206201"</f>
        <v>20190304164206201</v>
      </c>
      <c r="B3875" t="str">
        <f>"1551688926195318"</f>
        <v>1551688926195318</v>
      </c>
      <c r="C3875" t="s">
        <v>40</v>
      </c>
      <c r="D3875">
        <v>4.1423889999999997</v>
      </c>
      <c r="E3875">
        <v>0.54402879999999998</v>
      </c>
      <c r="F3875" t="s">
        <v>41</v>
      </c>
      <c r="G3875">
        <v>-283.0609</v>
      </c>
      <c r="H3875">
        <v>0.86830680000000005</v>
      </c>
      <c r="I3875">
        <v>214.34950000000001</v>
      </c>
      <c r="J3875">
        <v>-283.41129999999998</v>
      </c>
      <c r="K3875">
        <v>1.1105210000000001</v>
      </c>
      <c r="L3875">
        <v>214.29910000000001</v>
      </c>
      <c r="M3875">
        <v>0.99985659999999998</v>
      </c>
      <c r="N3875">
        <v>-1.47989E-2</v>
      </c>
      <c r="O3875">
        <v>8.23575E-3</v>
      </c>
      <c r="P3875">
        <v>0.93185090000000004</v>
      </c>
      <c r="Q3875">
        <v>0.33116099999999998</v>
      </c>
      <c r="R3875">
        <v>0.14827899999999999</v>
      </c>
      <c r="S3875">
        <v>3.6055299999999999</v>
      </c>
      <c r="T3875">
        <v>-1.2070700000000001</v>
      </c>
      <c r="U3875">
        <v>0.26773069999999999</v>
      </c>
      <c r="V3875">
        <v>-0.1406162</v>
      </c>
      <c r="W3875">
        <v>0.34492590000000001</v>
      </c>
      <c r="X3875">
        <v>0.92803729999999995</v>
      </c>
      <c r="Y3875">
        <v>-6.2683249999999996E-2</v>
      </c>
      <c r="Z3875">
        <v>8.1166899999999993E-3</v>
      </c>
      <c r="AA3875">
        <v>0.99800040000000001</v>
      </c>
      <c r="AB3875">
        <v>36</v>
      </c>
      <c r="AC3875">
        <v>0.35039999999997901</v>
      </c>
      <c r="AD3875">
        <v>-0.24221419999999899</v>
      </c>
      <c r="AE3875">
        <v>5.0399999999996198E-2</v>
      </c>
      <c r="AF3875">
        <v>-3.2362104002021198E-2</v>
      </c>
      <c r="AG3875">
        <v>-0.24221419999999899</v>
      </c>
      <c r="AH3875">
        <v>0.23894365492905201</v>
      </c>
      <c r="AI3875">
        <v>135.129088047506</v>
      </c>
      <c r="AJ3875">
        <v>97.713105250924997</v>
      </c>
      <c r="AK3875">
        <v>0.34177345521255897</v>
      </c>
      <c r="AL3875">
        <v>69.822727741226998</v>
      </c>
      <c r="AM3875">
        <v>98.615919041558897</v>
      </c>
      <c r="AN3875">
        <v>1.00000001119227</v>
      </c>
    </row>
    <row r="3876" spans="1:40" x14ac:dyDescent="0.25">
      <c r="A3876" t="str">
        <f>"20190304164206215"</f>
        <v>20190304164206215</v>
      </c>
      <c r="B3876" t="str">
        <f>"1551688926205079"</f>
        <v>1551688926205079</v>
      </c>
      <c r="C3876" t="s">
        <v>40</v>
      </c>
      <c r="D3876">
        <v>4.138598</v>
      </c>
      <c r="E3876">
        <v>0.54397949999999995</v>
      </c>
      <c r="F3876" t="s">
        <v>41</v>
      </c>
      <c r="G3876">
        <v>-282.7296</v>
      </c>
      <c r="H3876">
        <v>0.88192429999999999</v>
      </c>
      <c r="I3876">
        <v>214.34960000000001</v>
      </c>
      <c r="J3876">
        <v>-283.166</v>
      </c>
      <c r="K3876">
        <v>1.110519</v>
      </c>
      <c r="L3876">
        <v>214.30109999999999</v>
      </c>
      <c r="M3876">
        <v>0.99985650000000004</v>
      </c>
      <c r="N3876">
        <v>-1.479626E-2</v>
      </c>
      <c r="O3876">
        <v>8.2363130000000003E-3</v>
      </c>
      <c r="P3876">
        <v>0.93191139999999995</v>
      </c>
      <c r="Q3876">
        <v>0.33107809999999999</v>
      </c>
      <c r="R3876">
        <v>0.14808289999999999</v>
      </c>
      <c r="S3876">
        <v>3.6064150000000001</v>
      </c>
      <c r="T3876">
        <v>-1.20922</v>
      </c>
      <c r="U3876">
        <v>0.2681885</v>
      </c>
      <c r="V3876">
        <v>-0.1404136</v>
      </c>
      <c r="W3876">
        <v>0.34484359999999997</v>
      </c>
      <c r="X3876">
        <v>0.9280986</v>
      </c>
      <c r="Y3876">
        <v>-6.2776219999999994E-2</v>
      </c>
      <c r="Z3876">
        <v>8.1432220000000003E-3</v>
      </c>
      <c r="AA3876">
        <v>0.99799439999999995</v>
      </c>
      <c r="AB3876">
        <v>36</v>
      </c>
      <c r="AC3876">
        <v>0.43639999999999102</v>
      </c>
      <c r="AD3876">
        <v>-0.22859470000000001</v>
      </c>
      <c r="AE3876">
        <v>4.8500000000018403E-2</v>
      </c>
      <c r="AF3876">
        <v>-3.5328293202313302E-2</v>
      </c>
      <c r="AG3876">
        <v>-0.22859470000000001</v>
      </c>
      <c r="AH3876">
        <v>0.343643858324096</v>
      </c>
      <c r="AI3876">
        <v>123.493424759821</v>
      </c>
      <c r="AJ3876">
        <v>95.869669723559198</v>
      </c>
      <c r="AK3876">
        <v>0.41423993836006501</v>
      </c>
      <c r="AL3876">
        <v>69.827752215626205</v>
      </c>
      <c r="AM3876">
        <v>98.603131355028495</v>
      </c>
      <c r="AN3876">
        <v>1.0000000494239301</v>
      </c>
    </row>
    <row r="3877" spans="1:40" x14ac:dyDescent="0.25">
      <c r="A3877" t="str">
        <f>"20190304164206230"</f>
        <v>20190304164206230</v>
      </c>
      <c r="B3877" t="str">
        <f>"1551688926224598"</f>
        <v>1551688926224598</v>
      </c>
      <c r="C3877" t="s">
        <v>40</v>
      </c>
      <c r="D3877">
        <v>4.1338439999999999</v>
      </c>
      <c r="E3877">
        <v>0.54386540000000005</v>
      </c>
      <c r="F3877" t="s">
        <v>41</v>
      </c>
      <c r="G3877">
        <v>-282.41449999999998</v>
      </c>
      <c r="H3877">
        <v>0.85825529999999906</v>
      </c>
      <c r="I3877">
        <v>214.3569</v>
      </c>
      <c r="J3877">
        <v>-282.93079999999998</v>
      </c>
      <c r="K3877">
        <v>1.110511</v>
      </c>
      <c r="L3877">
        <v>214.3031</v>
      </c>
      <c r="M3877">
        <v>0.99985679999999999</v>
      </c>
      <c r="N3877">
        <v>-1.4793779999999999E-2</v>
      </c>
      <c r="O3877">
        <v>8.2354070000000001E-3</v>
      </c>
      <c r="P3877">
        <v>0.93197770000000002</v>
      </c>
      <c r="Q3877">
        <v>0.33105519999999999</v>
      </c>
      <c r="R3877">
        <v>0.14771689999999901</v>
      </c>
      <c r="S3877">
        <v>3.606506</v>
      </c>
      <c r="T3877">
        <v>-1.210491</v>
      </c>
      <c r="U3877">
        <v>0.26901249999999999</v>
      </c>
      <c r="V3877">
        <v>-0.14004359999999999</v>
      </c>
      <c r="W3877">
        <v>0.34482119999999999</v>
      </c>
      <c r="X3877">
        <v>0.92816279999999995</v>
      </c>
      <c r="Y3877">
        <v>-6.2984040000000005E-2</v>
      </c>
      <c r="Z3877">
        <v>8.1861920000000001E-3</v>
      </c>
      <c r="AA3877">
        <v>0.99798100000000001</v>
      </c>
      <c r="AB3877">
        <v>36</v>
      </c>
      <c r="AC3877">
        <v>0.51630000000000098</v>
      </c>
      <c r="AD3877">
        <v>-0.25225570000000003</v>
      </c>
      <c r="AE3877">
        <v>5.37999999999954E-2</v>
      </c>
      <c r="AF3877">
        <v>-4.0080718716122697E-2</v>
      </c>
      <c r="AG3877">
        <v>-0.25225570000000003</v>
      </c>
      <c r="AH3877">
        <v>0.41801214408517201</v>
      </c>
      <c r="AI3877">
        <v>120.993655969481</v>
      </c>
      <c r="AJ3877">
        <v>95.47701049858</v>
      </c>
      <c r="AK3877">
        <v>0.48987095729178798</v>
      </c>
      <c r="AL3877">
        <v>69.829119024022702</v>
      </c>
      <c r="AM3877">
        <v>98.580214684028107</v>
      </c>
      <c r="AN3877">
        <v>1.0000000265871101</v>
      </c>
    </row>
    <row r="3878" spans="1:40" x14ac:dyDescent="0.25">
      <c r="A3878" t="str">
        <f>"20190304164206244"</f>
        <v>20190304164206244</v>
      </c>
      <c r="B3878" t="str">
        <f>"1551688926235335"</f>
        <v>1551688926235335</v>
      </c>
      <c r="C3878" t="s">
        <v>40</v>
      </c>
      <c r="D3878">
        <v>4.1555619999999998</v>
      </c>
      <c r="E3878">
        <v>0.54379429999999995</v>
      </c>
      <c r="F3878" t="s">
        <v>41</v>
      </c>
      <c r="G3878">
        <v>-282.101</v>
      </c>
      <c r="H3878">
        <v>0.83157930000000002</v>
      </c>
      <c r="I3878">
        <v>214.3648</v>
      </c>
      <c r="J3878">
        <v>-282.69729999999998</v>
      </c>
      <c r="K3878">
        <v>1.110506</v>
      </c>
      <c r="L3878">
        <v>214.30500000000001</v>
      </c>
      <c r="M3878">
        <v>0.99985679999999999</v>
      </c>
      <c r="N3878">
        <v>-1.479133E-2</v>
      </c>
      <c r="O3878">
        <v>8.2343369999999996E-3</v>
      </c>
      <c r="P3878">
        <v>0.93214790000000003</v>
      </c>
      <c r="Q3878">
        <v>0.33083109999999999</v>
      </c>
      <c r="R3878">
        <v>0.14714349999999901</v>
      </c>
      <c r="S3878">
        <v>3.6071170000000001</v>
      </c>
      <c r="T3878">
        <v>-1.2125919999999999</v>
      </c>
      <c r="U3878">
        <v>0.26869199999999999</v>
      </c>
      <c r="V3878">
        <v>-0.13946610000000001</v>
      </c>
      <c r="W3878">
        <v>0.34459869999999998</v>
      </c>
      <c r="X3878">
        <v>0.92833239999999995</v>
      </c>
      <c r="Y3878">
        <v>-6.2880839999999993E-2</v>
      </c>
      <c r="Z3878">
        <v>8.1801029999999993E-3</v>
      </c>
      <c r="AA3878">
        <v>0.99798750000000003</v>
      </c>
      <c r="AB3878">
        <v>36</v>
      </c>
      <c r="AC3878">
        <v>0.59629999999998495</v>
      </c>
      <c r="AD3878">
        <v>-0.27892670000000003</v>
      </c>
      <c r="AE3878">
        <v>5.97999999999956E-2</v>
      </c>
      <c r="AF3878">
        <v>-4.5114467511244302E-2</v>
      </c>
      <c r="AG3878">
        <v>-0.27892670000000003</v>
      </c>
      <c r="AH3878">
        <v>0.49051532821212301</v>
      </c>
      <c r="AI3878">
        <v>119.52071614054999</v>
      </c>
      <c r="AJ3878">
        <v>95.254915826092201</v>
      </c>
      <c r="AK3878">
        <v>0.56607482399658104</v>
      </c>
      <c r="AL3878">
        <v>69.842700218026195</v>
      </c>
      <c r="AM3878">
        <v>98.543817607769796</v>
      </c>
      <c r="AN3878">
        <v>1.00000005099032</v>
      </c>
    </row>
    <row r="3879" spans="1:40" x14ac:dyDescent="0.25">
      <c r="A3879" t="str">
        <f>"20190304164206259"</f>
        <v>20190304164206259</v>
      </c>
      <c r="B3879" t="str">
        <f>"1551688926254855"</f>
        <v>1551688926254855</v>
      </c>
      <c r="C3879" t="s">
        <v>40</v>
      </c>
      <c r="D3879">
        <v>4.1610769999999997</v>
      </c>
      <c r="E3879">
        <v>0.54370549999999995</v>
      </c>
      <c r="F3879" t="s">
        <v>41</v>
      </c>
      <c r="G3879">
        <v>-281.78820000000002</v>
      </c>
      <c r="H3879">
        <v>0.80438460000000001</v>
      </c>
      <c r="I3879">
        <v>214.3723</v>
      </c>
      <c r="J3879">
        <v>-282.4409</v>
      </c>
      <c r="K3879">
        <v>1.1105039999999999</v>
      </c>
      <c r="L3879">
        <v>214.30709999999999</v>
      </c>
      <c r="M3879">
        <v>0.99985690000000005</v>
      </c>
      <c r="N3879">
        <v>-1.478865E-2</v>
      </c>
      <c r="O3879">
        <v>8.2326209999999903E-3</v>
      </c>
      <c r="P3879">
        <v>0.93216549999999998</v>
      </c>
      <c r="Q3879">
        <v>0.33083190000000001</v>
      </c>
      <c r="R3879">
        <v>0.147030299999999</v>
      </c>
      <c r="S3879">
        <v>3.6071780000000002</v>
      </c>
      <c r="T3879">
        <v>-1.2146220000000001</v>
      </c>
      <c r="U3879">
        <v>0.26814270000000001</v>
      </c>
      <c r="V3879">
        <v>-0.13935149999999999</v>
      </c>
      <c r="W3879">
        <v>0.34459869999999998</v>
      </c>
      <c r="X3879">
        <v>0.9283496</v>
      </c>
      <c r="Y3879">
        <v>-6.2728809999999996E-2</v>
      </c>
      <c r="Z3879">
        <v>8.1664759999999902E-3</v>
      </c>
      <c r="AA3879">
        <v>0.99799720000000003</v>
      </c>
      <c r="AB3879">
        <v>36</v>
      </c>
      <c r="AC3879">
        <v>0.65269999999998096</v>
      </c>
      <c r="AD3879">
        <v>-0.30611939999999999</v>
      </c>
      <c r="AE3879">
        <v>6.5200000000004296E-2</v>
      </c>
      <c r="AF3879">
        <v>-4.9124777831428802E-2</v>
      </c>
      <c r="AG3879">
        <v>-0.30611939999999999</v>
      </c>
      <c r="AH3879">
        <v>0.53639258036237203</v>
      </c>
      <c r="AI3879">
        <v>119.610515483787</v>
      </c>
      <c r="AJ3879">
        <v>95.232757836128698</v>
      </c>
      <c r="AK3879">
        <v>0.61954768268564298</v>
      </c>
      <c r="AL3879">
        <v>69.842700033293795</v>
      </c>
      <c r="AM3879">
        <v>98.536744757692603</v>
      </c>
      <c r="AN3879">
        <v>1.0000000422070401</v>
      </c>
    </row>
    <row r="3880" spans="1:40" x14ac:dyDescent="0.25">
      <c r="A3880" t="str">
        <f>"20190304164206272"</f>
        <v>20190304164206272</v>
      </c>
      <c r="B3880" t="str">
        <f>"1551688926264614"</f>
        <v>1551688926264614</v>
      </c>
      <c r="C3880" t="s">
        <v>40</v>
      </c>
      <c r="D3880">
        <v>4.1697709999999999</v>
      </c>
      <c r="E3880">
        <v>0.54366919999999996</v>
      </c>
      <c r="F3880" t="s">
        <v>41</v>
      </c>
      <c r="G3880">
        <v>-281.7561</v>
      </c>
      <c r="H3880">
        <v>0.87966119999999903</v>
      </c>
      <c r="I3880">
        <v>214.35769999999999</v>
      </c>
      <c r="J3880">
        <v>-282.25420000000003</v>
      </c>
      <c r="K3880">
        <v>1.1105020000000001</v>
      </c>
      <c r="L3880">
        <v>214.30869999999999</v>
      </c>
      <c r="M3880">
        <v>0.99985679999999999</v>
      </c>
      <c r="N3880">
        <v>-1.478667E-2</v>
      </c>
      <c r="O3880">
        <v>8.2315830000000006E-3</v>
      </c>
      <c r="P3880">
        <v>0.93214379999999997</v>
      </c>
      <c r="Q3880">
        <v>0.33090229999999998</v>
      </c>
      <c r="R3880">
        <v>0.14700959999999999</v>
      </c>
      <c r="S3880">
        <v>3.607666</v>
      </c>
      <c r="T3880">
        <v>-1.2160530000000001</v>
      </c>
      <c r="U3880">
        <v>0.2678528</v>
      </c>
      <c r="V3880">
        <v>-0.13932999999999901</v>
      </c>
      <c r="W3880">
        <v>0.34466720000000001</v>
      </c>
      <c r="X3880">
        <v>0.92832740000000002</v>
      </c>
      <c r="Y3880">
        <v>-6.2638920000000001E-2</v>
      </c>
      <c r="Z3880">
        <v>8.1588370000000004E-3</v>
      </c>
      <c r="AA3880">
        <v>0.99800290000000003</v>
      </c>
      <c r="AB3880">
        <v>36</v>
      </c>
      <c r="AC3880">
        <v>0.49810000000002203</v>
      </c>
      <c r="AD3880">
        <v>-0.23084080000000001</v>
      </c>
      <c r="AE3880">
        <v>4.9000000000006497E-2</v>
      </c>
      <c r="AF3880">
        <v>-3.7022329895425199E-2</v>
      </c>
      <c r="AG3880">
        <v>-0.23084080000000001</v>
      </c>
      <c r="AH3880">
        <v>0.411048133073044</v>
      </c>
      <c r="AI3880">
        <v>119.219444154773</v>
      </c>
      <c r="AJ3880">
        <v>95.146635792089995</v>
      </c>
      <c r="AK3880">
        <v>0.47288338473492703</v>
      </c>
      <c r="AL3880">
        <v>69.838519191564004</v>
      </c>
      <c r="AM3880">
        <v>98.535648168157906</v>
      </c>
      <c r="AN3880">
        <v>1.00000004462329</v>
      </c>
    </row>
    <row r="3881" spans="1:40" x14ac:dyDescent="0.25">
      <c r="A3881" t="str">
        <f>"20190304164206284"</f>
        <v>20190304164206284</v>
      </c>
      <c r="B3881" t="str">
        <f>"1551688926275351"</f>
        <v>1551688926275351</v>
      </c>
      <c r="C3881" t="s">
        <v>40</v>
      </c>
      <c r="D3881">
        <v>4.1832589999999996</v>
      </c>
      <c r="E3881">
        <v>0.54362200000000005</v>
      </c>
      <c r="F3881" t="s">
        <v>41</v>
      </c>
      <c r="G3881">
        <v>-281.44929999999999</v>
      </c>
      <c r="H3881">
        <v>0.83916219999999997</v>
      </c>
      <c r="I3881">
        <v>214.3681</v>
      </c>
      <c r="J3881">
        <v>-282.04969999999997</v>
      </c>
      <c r="K3881">
        <v>1.110501</v>
      </c>
      <c r="L3881">
        <v>214.31030000000001</v>
      </c>
      <c r="M3881">
        <v>0.99985679999999999</v>
      </c>
      <c r="N3881">
        <v>-1.4784510000000001E-2</v>
      </c>
      <c r="O3881">
        <v>8.230546E-3</v>
      </c>
      <c r="P3881">
        <v>0.93220809999999998</v>
      </c>
      <c r="Q3881">
        <v>0.33079439999999999</v>
      </c>
      <c r="R3881">
        <v>0.14684330000000001</v>
      </c>
      <c r="S3881">
        <v>3.607971</v>
      </c>
      <c r="T3881">
        <v>-1.216372</v>
      </c>
      <c r="U3881">
        <v>0.26757809999999999</v>
      </c>
      <c r="V3881">
        <v>-0.13916239999999999</v>
      </c>
      <c r="W3881">
        <v>0.3445589</v>
      </c>
      <c r="X3881">
        <v>0.92839269999999996</v>
      </c>
      <c r="Y3881">
        <v>-6.2561510000000001E-2</v>
      </c>
      <c r="Z3881">
        <v>8.1470980000000002E-3</v>
      </c>
      <c r="AA3881">
        <v>0.9980078</v>
      </c>
      <c r="AB3881">
        <v>36</v>
      </c>
      <c r="AC3881">
        <v>0.60039999999997895</v>
      </c>
      <c r="AD3881">
        <v>-0.27133879999999999</v>
      </c>
      <c r="AE3881">
        <v>5.7799999999986001E-2</v>
      </c>
      <c r="AF3881">
        <v>-4.3959919544799698E-2</v>
      </c>
      <c r="AG3881">
        <v>-0.27133879999999999</v>
      </c>
      <c r="AH3881">
        <v>0.49972786026439198</v>
      </c>
      <c r="AI3881">
        <v>118.40826378304899</v>
      </c>
      <c r="AJ3881">
        <v>95.027238174072195</v>
      </c>
      <c r="AK3881">
        <v>0.57033775364800599</v>
      </c>
      <c r="AL3881">
        <v>69.845128437447499</v>
      </c>
      <c r="AM3881">
        <v>98.524940769483393</v>
      </c>
      <c r="AN3881">
        <v>1.0000000072781201</v>
      </c>
    </row>
    <row r="3882" spans="1:40" x14ac:dyDescent="0.25">
      <c r="A3882" t="str">
        <f>"20190304164206297"</f>
        <v>20190304164206297</v>
      </c>
      <c r="B3882" t="str">
        <f>"1551688926285111"</f>
        <v>1551688926285111</v>
      </c>
      <c r="C3882" t="s">
        <v>40</v>
      </c>
      <c r="D3882">
        <v>4.0275509999999999</v>
      </c>
      <c r="E3882">
        <v>0.5438094</v>
      </c>
      <c r="F3882" t="s">
        <v>41</v>
      </c>
      <c r="G3882">
        <v>-281.14069999999998</v>
      </c>
      <c r="H3882">
        <v>0.80378499999999997</v>
      </c>
      <c r="I3882">
        <v>214.37719999999999</v>
      </c>
      <c r="J3882">
        <v>-281.83839999999998</v>
      </c>
      <c r="K3882">
        <v>1.1104989999999999</v>
      </c>
      <c r="L3882">
        <v>214.31209999999999</v>
      </c>
      <c r="M3882">
        <v>0.99985690000000005</v>
      </c>
      <c r="N3882">
        <v>-1.478227E-2</v>
      </c>
      <c r="O3882">
        <v>8.2298700000000002E-3</v>
      </c>
      <c r="P3882">
        <v>0.93218429999999997</v>
      </c>
      <c r="Q3882">
        <v>0.33092329999999998</v>
      </c>
      <c r="R3882">
        <v>0.14670449999999999</v>
      </c>
      <c r="S3882">
        <v>3.608215</v>
      </c>
      <c r="T3882">
        <v>-1.217546</v>
      </c>
      <c r="U3882">
        <v>0.26634219999999997</v>
      </c>
      <c r="V3882">
        <v>-0.1390227</v>
      </c>
      <c r="W3882">
        <v>0.34468599999999999</v>
      </c>
      <c r="X3882">
        <v>0.92836649999999998</v>
      </c>
      <c r="Y3882">
        <v>-6.2230769999999998E-2</v>
      </c>
      <c r="Z3882">
        <v>8.0969939999999997E-3</v>
      </c>
      <c r="AA3882">
        <v>0.9980289</v>
      </c>
      <c r="AB3882">
        <v>36</v>
      </c>
      <c r="AC3882">
        <v>0.69769999999999699</v>
      </c>
      <c r="AD3882">
        <v>-0.30671399999999899</v>
      </c>
      <c r="AE3882">
        <v>6.5100000000001004E-2</v>
      </c>
      <c r="AF3882">
        <v>-4.9811896143889901E-2</v>
      </c>
      <c r="AG3882">
        <v>-0.30671399999999899</v>
      </c>
      <c r="AH3882">
        <v>0.58595170313891298</v>
      </c>
      <c r="AI3882">
        <v>117.544953406717</v>
      </c>
      <c r="AJ3882">
        <v>94.859045538317801</v>
      </c>
      <c r="AK3882">
        <v>0.66324512904720401</v>
      </c>
      <c r="AL3882">
        <v>69.8373719129563</v>
      </c>
      <c r="AM3882">
        <v>98.516745279305397</v>
      </c>
      <c r="AN3882">
        <v>1.00000005401676</v>
      </c>
    </row>
    <row r="3883" spans="1:40" x14ac:dyDescent="0.25">
      <c r="A3883" t="str">
        <f>"20190304164206312"</f>
        <v>20190304164206312</v>
      </c>
      <c r="B3883" t="str">
        <f>"1551688926304632"</f>
        <v>1551688926304632</v>
      </c>
      <c r="C3883" t="s">
        <v>40</v>
      </c>
      <c r="D3883">
        <v>4.185975</v>
      </c>
      <c r="E3883">
        <v>0.54393800000000003</v>
      </c>
      <c r="F3883" t="s">
        <v>41</v>
      </c>
      <c r="G3883">
        <v>-281.1139</v>
      </c>
      <c r="H3883">
        <v>0.86670579999999997</v>
      </c>
      <c r="I3883">
        <v>214.36500000000001</v>
      </c>
      <c r="J3883">
        <v>-281.59660000000002</v>
      </c>
      <c r="K3883">
        <v>1.1104989999999999</v>
      </c>
      <c r="L3883">
        <v>214.3141</v>
      </c>
      <c r="M3883">
        <v>0.99985710000000005</v>
      </c>
      <c r="N3883">
        <v>-1.477971E-2</v>
      </c>
      <c r="O3883">
        <v>8.2291989999999995E-3</v>
      </c>
      <c r="P3883">
        <v>0.93209770000000003</v>
      </c>
      <c r="Q3883">
        <v>0.33108850000000001</v>
      </c>
      <c r="R3883">
        <v>0.14688280000000001</v>
      </c>
      <c r="S3883">
        <v>3.607605</v>
      </c>
      <c r="T3883">
        <v>-1.2139819999999999</v>
      </c>
      <c r="U3883">
        <v>0.26460270000000002</v>
      </c>
      <c r="V3883">
        <v>-0.13920060000000001</v>
      </c>
      <c r="W3883">
        <v>0.3448484</v>
      </c>
      <c r="X3883">
        <v>0.92827950000000004</v>
      </c>
      <c r="Y3883">
        <v>-6.1805980000000003E-2</v>
      </c>
      <c r="Z3883">
        <v>8.0048419999999999E-3</v>
      </c>
      <c r="AA3883">
        <v>0.9980561</v>
      </c>
      <c r="AB3883">
        <v>36</v>
      </c>
      <c r="AC3883">
        <v>0.482700000000022</v>
      </c>
      <c r="AD3883">
        <v>-0.24379319999999899</v>
      </c>
      <c r="AE3883">
        <v>5.0900000000012803E-2</v>
      </c>
      <c r="AF3883">
        <v>-3.7472080050661098E-2</v>
      </c>
      <c r="AG3883">
        <v>-0.24379319999999899</v>
      </c>
      <c r="AH3883">
        <v>0.38577779776765803</v>
      </c>
      <c r="AI3883">
        <v>122.169568022992</v>
      </c>
      <c r="AJ3883">
        <v>95.547954650566894</v>
      </c>
      <c r="AK3883">
        <v>0.45789058780458403</v>
      </c>
      <c r="AL3883">
        <v>69.8274587740963</v>
      </c>
      <c r="AM3883">
        <v>98.528271036736399</v>
      </c>
      <c r="AN3883">
        <v>1.0000000280715799</v>
      </c>
    </row>
    <row r="3884" spans="1:40" x14ac:dyDescent="0.25">
      <c r="A3884" t="str">
        <f>"20190304164206335"</f>
        <v>20190304164206335</v>
      </c>
      <c r="B3884" t="str">
        <f>"1551688926325127"</f>
        <v>1551688926325127</v>
      </c>
      <c r="C3884" t="s">
        <v>40</v>
      </c>
      <c r="D3884">
        <v>4.1832129999999896</v>
      </c>
      <c r="E3884">
        <v>0.54385019999999995</v>
      </c>
      <c r="F3884" t="s">
        <v>41</v>
      </c>
      <c r="G3884">
        <v>-280.80059999999997</v>
      </c>
      <c r="H3884">
        <v>0.84323060000000005</v>
      </c>
      <c r="I3884">
        <v>214.3723</v>
      </c>
      <c r="J3884">
        <v>-281.2285</v>
      </c>
      <c r="K3884">
        <v>1.1104969999999901</v>
      </c>
      <c r="L3884">
        <v>214.31710000000001</v>
      </c>
      <c r="M3884">
        <v>0.99985690000000005</v>
      </c>
      <c r="N3884">
        <v>-1.4775760000000001E-2</v>
      </c>
      <c r="O3884">
        <v>8.2293639999999994E-3</v>
      </c>
      <c r="P3884">
        <v>0.93198170000000002</v>
      </c>
      <c r="Q3884">
        <v>0.33126430000000001</v>
      </c>
      <c r="R3884">
        <v>0.1472214</v>
      </c>
      <c r="S3884">
        <v>3.6071780000000002</v>
      </c>
      <c r="T3884">
        <v>-1.211239</v>
      </c>
      <c r="U3884">
        <v>0.2638702</v>
      </c>
      <c r="V3884">
        <v>-0.139538299999999</v>
      </c>
      <c r="W3884">
        <v>0.34501939999999998</v>
      </c>
      <c r="X3884">
        <v>0.92816520000000002</v>
      </c>
      <c r="Y3884">
        <v>-6.1635269999999999E-2</v>
      </c>
      <c r="Z3884">
        <v>7.9604280000000003E-3</v>
      </c>
      <c r="AA3884">
        <v>0.99806700000000004</v>
      </c>
      <c r="AB3884">
        <v>36</v>
      </c>
      <c r="AC3884">
        <v>0.42790000000002198</v>
      </c>
      <c r="AD3884">
        <v>-0.26726639999999902</v>
      </c>
      <c r="AE3884">
        <v>5.5199999999984997E-2</v>
      </c>
      <c r="AF3884">
        <v>-3.73454740288134E-2</v>
      </c>
      <c r="AG3884">
        <v>-0.26726639999999902</v>
      </c>
      <c r="AH3884">
        <v>0.30955239287365999</v>
      </c>
      <c r="AI3884">
        <v>130.602547770716</v>
      </c>
      <c r="AJ3884">
        <v>96.879115247323</v>
      </c>
      <c r="AK3884">
        <v>0.410668597452016</v>
      </c>
      <c r="AL3884">
        <v>69.817019581062794</v>
      </c>
      <c r="AM3884">
        <v>98.549692434189794</v>
      </c>
      <c r="AN3884">
        <v>0.99999998101714405</v>
      </c>
    </row>
    <row r="3885" spans="1:40" x14ac:dyDescent="0.25">
      <c r="A3885" t="str">
        <f>"20190304164206357"</f>
        <v>20190304164206357</v>
      </c>
      <c r="B3885" t="str">
        <f>"1551688926344646"</f>
        <v>1551688926344646</v>
      </c>
      <c r="C3885" t="s">
        <v>40</v>
      </c>
      <c r="D3885">
        <v>4.2114560000000001</v>
      </c>
      <c r="E3885">
        <v>0.54374350000000005</v>
      </c>
      <c r="F3885" t="s">
        <v>41</v>
      </c>
      <c r="G3885">
        <v>-280.47199999999998</v>
      </c>
      <c r="H3885">
        <v>0.85638709999999996</v>
      </c>
      <c r="I3885">
        <v>214.3724</v>
      </c>
      <c r="J3885">
        <v>-280.88209999999998</v>
      </c>
      <c r="K3885">
        <v>1.1104940000000001</v>
      </c>
      <c r="L3885">
        <v>214.32</v>
      </c>
      <c r="M3885">
        <v>0.99985710000000005</v>
      </c>
      <c r="N3885">
        <v>-1.4771909999999999E-2</v>
      </c>
      <c r="O3885">
        <v>8.2295409999999999E-3</v>
      </c>
      <c r="P3885">
        <v>0.93198619999999999</v>
      </c>
      <c r="Q3885">
        <v>0.33077719999999999</v>
      </c>
      <c r="R3885">
        <v>0.14828440000000001</v>
      </c>
      <c r="S3885">
        <v>3.6078800000000002</v>
      </c>
      <c r="T3885">
        <v>-1.211916</v>
      </c>
      <c r="U3885">
        <v>0.26477050000000002</v>
      </c>
      <c r="V3885">
        <v>-0.14059949999999999</v>
      </c>
      <c r="W3885">
        <v>0.3445298</v>
      </c>
      <c r="X3885">
        <v>0.92818699999999998</v>
      </c>
      <c r="Y3885">
        <v>-6.185417E-2</v>
      </c>
      <c r="Z3885">
        <v>8.0001199999999995E-3</v>
      </c>
      <c r="AA3885">
        <v>0.99805310000000003</v>
      </c>
      <c r="AB3885">
        <v>36</v>
      </c>
      <c r="AC3885">
        <v>0.41009999999999902</v>
      </c>
      <c r="AD3885">
        <v>-0.25410690000000002</v>
      </c>
      <c r="AE3885">
        <v>5.2400000000005699E-2</v>
      </c>
      <c r="AF3885">
        <v>-3.5581515433485297E-2</v>
      </c>
      <c r="AG3885">
        <v>-0.25410690000000002</v>
      </c>
      <c r="AH3885">
        <v>0.29795919833200701</v>
      </c>
      <c r="AI3885">
        <v>130.25818986810799</v>
      </c>
      <c r="AJ3885">
        <v>96.809864987816695</v>
      </c>
      <c r="AK3885">
        <v>0.39321246767975898</v>
      </c>
      <c r="AL3885">
        <v>69.846905490153702</v>
      </c>
      <c r="AM3885">
        <v>98.613542553190996</v>
      </c>
      <c r="AN3885">
        <v>1.0000000547286401</v>
      </c>
    </row>
    <row r="3886" spans="1:40" x14ac:dyDescent="0.25">
      <c r="A3886" t="str">
        <f>"20190304164206379"</f>
        <v>20190304164206379</v>
      </c>
      <c r="B3886" t="str">
        <f>"1551688926374903"</f>
        <v>1551688926374903</v>
      </c>
      <c r="C3886" t="s">
        <v>40</v>
      </c>
      <c r="D3886">
        <v>4.2055579999999999</v>
      </c>
      <c r="E3886">
        <v>0.54381880000000005</v>
      </c>
      <c r="F3886" t="s">
        <v>41</v>
      </c>
      <c r="G3886">
        <v>-280.14659999999998</v>
      </c>
      <c r="H3886">
        <v>0.86270259999999999</v>
      </c>
      <c r="I3886">
        <v>214.37459999999999</v>
      </c>
      <c r="J3886">
        <v>-280.5222</v>
      </c>
      <c r="K3886">
        <v>1.1104989999999999</v>
      </c>
      <c r="L3886">
        <v>214.3229</v>
      </c>
      <c r="M3886">
        <v>0.99985710000000005</v>
      </c>
      <c r="N3886">
        <v>-1.476797E-2</v>
      </c>
      <c r="O3886">
        <v>8.2298459999999903E-3</v>
      </c>
      <c r="P3886">
        <v>0.93205119999999997</v>
      </c>
      <c r="Q3886">
        <v>0.33058070000000001</v>
      </c>
      <c r="R3886">
        <v>0.14831349999999999</v>
      </c>
      <c r="S3886">
        <v>3.607513</v>
      </c>
      <c r="T3886">
        <v>-1.215484</v>
      </c>
      <c r="U3886">
        <v>0.26889039999999997</v>
      </c>
      <c r="V3886">
        <v>-0.14062639999999901</v>
      </c>
      <c r="W3886">
        <v>0.344331</v>
      </c>
      <c r="X3886">
        <v>0.92825659999999999</v>
      </c>
      <c r="Y3886">
        <v>-6.2916120000000006E-2</v>
      </c>
      <c r="Z3886">
        <v>8.2029849999999994E-3</v>
      </c>
      <c r="AA3886">
        <v>0.99798509999999996</v>
      </c>
      <c r="AB3886">
        <v>36</v>
      </c>
      <c r="AC3886">
        <v>0.37560000000001897</v>
      </c>
      <c r="AD3886">
        <v>-0.247796399999999</v>
      </c>
      <c r="AE3886">
        <v>5.1699999999982503E-2</v>
      </c>
      <c r="AF3886">
        <v>-3.4058470917170597E-2</v>
      </c>
      <c r="AG3886">
        <v>-0.247796399999999</v>
      </c>
      <c r="AH3886">
        <v>0.26346984589427203</v>
      </c>
      <c r="AI3886">
        <v>133.00720965833901</v>
      </c>
      <c r="AJ3886">
        <v>97.365718441037501</v>
      </c>
      <c r="AK3886">
        <v>0.36328968467288902</v>
      </c>
      <c r="AL3886">
        <v>69.859036464933496</v>
      </c>
      <c r="AM3886">
        <v>98.614529534509202</v>
      </c>
      <c r="AN3886">
        <v>0.99999996869075902</v>
      </c>
    </row>
    <row r="3887" spans="1:40" x14ac:dyDescent="0.25">
      <c r="A3887" t="str">
        <f>"20190304164206402"</f>
        <v>20190304164206402</v>
      </c>
      <c r="B3887" t="str">
        <f>"1551688926395399"</f>
        <v>1551688926395399</v>
      </c>
      <c r="C3887" t="s">
        <v>40</v>
      </c>
      <c r="D3887">
        <v>4.2141590000000004</v>
      </c>
      <c r="E3887">
        <v>0.5437225</v>
      </c>
      <c r="F3887" t="s">
        <v>41</v>
      </c>
      <c r="G3887">
        <v>-279.81970000000001</v>
      </c>
      <c r="H3887">
        <v>0.87375069999999999</v>
      </c>
      <c r="I3887">
        <v>214.37549999999999</v>
      </c>
      <c r="J3887">
        <v>-280.1574</v>
      </c>
      <c r="K3887">
        <v>1.1105039999999999</v>
      </c>
      <c r="L3887">
        <v>214.32599999999999</v>
      </c>
      <c r="M3887">
        <v>0.99985710000000005</v>
      </c>
      <c r="N3887">
        <v>-1.476418E-2</v>
      </c>
      <c r="O3887">
        <v>8.2300369999999904E-3</v>
      </c>
      <c r="P3887">
        <v>0.93179449999999997</v>
      </c>
      <c r="Q3887">
        <v>0.33116679999999998</v>
      </c>
      <c r="R3887">
        <v>0.1486198</v>
      </c>
      <c r="S3887">
        <v>3.606598</v>
      </c>
      <c r="T3887">
        <v>-1.215452</v>
      </c>
      <c r="U3887">
        <v>0.27127079999999998</v>
      </c>
      <c r="V3887">
        <v>-0.14093429999999901</v>
      </c>
      <c r="W3887">
        <v>0.3449102</v>
      </c>
      <c r="X3887">
        <v>0.92799480000000001</v>
      </c>
      <c r="Y3887">
        <v>-6.3552010000000006E-2</v>
      </c>
      <c r="Z3887">
        <v>8.3132169999999995E-3</v>
      </c>
      <c r="AA3887">
        <v>0.99794389999999999</v>
      </c>
      <c r="AB3887">
        <v>36</v>
      </c>
      <c r="AC3887">
        <v>0.33769999999998301</v>
      </c>
      <c r="AD3887">
        <v>-0.2367533</v>
      </c>
      <c r="AE3887">
        <v>4.9499999999994701E-2</v>
      </c>
      <c r="AF3887">
        <v>-3.1541798868348701E-2</v>
      </c>
      <c r="AG3887">
        <v>-0.2367533</v>
      </c>
      <c r="AH3887">
        <v>0.22826293120823399</v>
      </c>
      <c r="AI3887">
        <v>135.77521432872601</v>
      </c>
      <c r="AJ3887">
        <v>97.867416365633702</v>
      </c>
      <c r="AK3887">
        <v>0.33038004767315499</v>
      </c>
      <c r="AL3887">
        <v>69.823684511419899</v>
      </c>
      <c r="AM3887">
        <v>98.635505879918796</v>
      </c>
      <c r="AN3887">
        <v>0.999999935903783</v>
      </c>
    </row>
    <row r="3888" spans="1:40" x14ac:dyDescent="0.25">
      <c r="A3888" t="str">
        <f>"20190304164206416"</f>
        <v>20190304164206416</v>
      </c>
      <c r="B3888" t="str">
        <f>"1551688926405159"</f>
        <v>1551688926405159</v>
      </c>
      <c r="C3888" t="s">
        <v>40</v>
      </c>
      <c r="D3888">
        <v>4.2202719999999996</v>
      </c>
      <c r="E3888">
        <v>0.54366919999999996</v>
      </c>
      <c r="F3888" t="s">
        <v>41</v>
      </c>
      <c r="G3888">
        <v>-279.4923</v>
      </c>
      <c r="H3888">
        <v>0.88647580000000004</v>
      </c>
      <c r="I3888">
        <v>214.3767</v>
      </c>
      <c r="J3888">
        <v>-279.911</v>
      </c>
      <c r="K3888">
        <v>1.110506</v>
      </c>
      <c r="L3888">
        <v>214.328</v>
      </c>
      <c r="M3888">
        <v>0.99985729999999995</v>
      </c>
      <c r="N3888">
        <v>-1.4761700000000001E-2</v>
      </c>
      <c r="O3888">
        <v>8.2300469999999903E-3</v>
      </c>
      <c r="P3888">
        <v>0.93169279999999999</v>
      </c>
      <c r="Q3888">
        <v>0.33133299999999999</v>
      </c>
      <c r="R3888">
        <v>0.1488872</v>
      </c>
      <c r="S3888">
        <v>3.6074220000000001</v>
      </c>
      <c r="T3888">
        <v>-1.2152069999999999</v>
      </c>
      <c r="U3888">
        <v>0.2759857</v>
      </c>
      <c r="V3888">
        <v>-0.14120189999999999</v>
      </c>
      <c r="W3888">
        <v>0.34507259999999901</v>
      </c>
      <c r="X3888">
        <v>0.92789379999999999</v>
      </c>
      <c r="Y3888">
        <v>-6.4765130000000004E-2</v>
      </c>
      <c r="Z3888">
        <v>8.5174180000000006E-3</v>
      </c>
      <c r="AA3888">
        <v>0.99786419999999998</v>
      </c>
      <c r="AB3888">
        <v>36</v>
      </c>
      <c r="AC3888">
        <v>0.41870000000000102</v>
      </c>
      <c r="AD3888">
        <v>-0.22403020000000001</v>
      </c>
      <c r="AE3888">
        <v>4.86999999999966E-2</v>
      </c>
      <c r="AF3888">
        <v>-3.5285098411401601E-2</v>
      </c>
      <c r="AG3888">
        <v>-0.22403020000000001</v>
      </c>
      <c r="AH3888">
        <v>0.32678105577505601</v>
      </c>
      <c r="AI3888">
        <v>124.27852621601799</v>
      </c>
      <c r="AJ3888">
        <v>96.162794952762795</v>
      </c>
      <c r="AK3888">
        <v>0.39776931391876202</v>
      </c>
      <c r="AL3888">
        <v>69.813772186019904</v>
      </c>
      <c r="AM3888">
        <v>98.652582199822305</v>
      </c>
      <c r="AN3888">
        <v>0.99999998995640405</v>
      </c>
    </row>
    <row r="3889" spans="1:40" x14ac:dyDescent="0.25">
      <c r="A3889" t="str">
        <f>"20190304164206430"</f>
        <v>20190304164206430</v>
      </c>
      <c r="B3889" t="str">
        <f>"1551688926424679"</f>
        <v>1551688926424679</v>
      </c>
      <c r="C3889" t="s">
        <v>40</v>
      </c>
      <c r="D3889">
        <v>4.2342170000000001</v>
      </c>
      <c r="E3889">
        <v>0.54359029999999997</v>
      </c>
      <c r="F3889" t="s">
        <v>41</v>
      </c>
      <c r="G3889">
        <v>-279.18029999999999</v>
      </c>
      <c r="H3889">
        <v>0.86435149999999905</v>
      </c>
      <c r="I3889">
        <v>214.38390000000001</v>
      </c>
      <c r="J3889">
        <v>-279.69970000000001</v>
      </c>
      <c r="K3889">
        <v>1.1105069999999999</v>
      </c>
      <c r="L3889">
        <v>214.3297</v>
      </c>
      <c r="M3889">
        <v>0.9998572</v>
      </c>
      <c r="N3889">
        <v>-1.475957E-2</v>
      </c>
      <c r="O3889">
        <v>8.2302360000000001E-3</v>
      </c>
      <c r="P3889">
        <v>0.93156340000000004</v>
      </c>
      <c r="Q3889">
        <v>0.3316267</v>
      </c>
      <c r="R3889">
        <v>0.1490426</v>
      </c>
      <c r="S3889">
        <v>3.607971</v>
      </c>
      <c r="T3889">
        <v>-1.2153179999999999</v>
      </c>
      <c r="U3889">
        <v>0.27650449999999999</v>
      </c>
      <c r="V3889">
        <v>-0.14135799999999901</v>
      </c>
      <c r="W3889">
        <v>0.34536220000000001</v>
      </c>
      <c r="X3889">
        <v>0.92776230000000004</v>
      </c>
      <c r="Y3889">
        <v>-6.4889340000000004E-2</v>
      </c>
      <c r="Z3889">
        <v>8.5380539999999998E-3</v>
      </c>
      <c r="AA3889">
        <v>0.99785599999999997</v>
      </c>
      <c r="AB3889">
        <v>36</v>
      </c>
      <c r="AC3889">
        <v>0.51940000000001796</v>
      </c>
      <c r="AD3889">
        <v>-0.2461555</v>
      </c>
      <c r="AE3889">
        <v>5.4200000000008602E-2</v>
      </c>
      <c r="AF3889">
        <v>-4.0847316915387802E-2</v>
      </c>
      <c r="AG3889">
        <v>-0.2461555</v>
      </c>
      <c r="AH3889">
        <v>0.425327755212766</v>
      </c>
      <c r="AI3889">
        <v>119.94592163097001</v>
      </c>
      <c r="AJ3889">
        <v>95.485706410408199</v>
      </c>
      <c r="AK3889">
        <v>0.49311736212971302</v>
      </c>
      <c r="AL3889">
        <v>69.796092833274997</v>
      </c>
      <c r="AM3889">
        <v>98.663211819120804</v>
      </c>
      <c r="AN3889">
        <v>1.00000000932706</v>
      </c>
    </row>
    <row r="3890" spans="1:40" x14ac:dyDescent="0.25">
      <c r="A3890" t="str">
        <f>"20190304164206445"</f>
        <v>20190304164206445</v>
      </c>
      <c r="B3890" t="str">
        <f>"1551688926435415"</f>
        <v>1551688926435415</v>
      </c>
      <c r="C3890" t="s">
        <v>40</v>
      </c>
      <c r="D3890">
        <v>4.2356220000000002</v>
      </c>
      <c r="E3890">
        <v>0.54355330000000002</v>
      </c>
      <c r="F3890" t="s">
        <v>41</v>
      </c>
      <c r="G3890">
        <v>-278.87290000000002</v>
      </c>
      <c r="H3890">
        <v>0.83206309999999895</v>
      </c>
      <c r="I3890">
        <v>214.3931</v>
      </c>
      <c r="J3890">
        <v>-279.4624</v>
      </c>
      <c r="K3890">
        <v>1.110511</v>
      </c>
      <c r="L3890">
        <v>214.33170000000001</v>
      </c>
      <c r="M3890">
        <v>0.9998572</v>
      </c>
      <c r="N3890">
        <v>-1.475716E-2</v>
      </c>
      <c r="O3890">
        <v>8.2304279999999997E-3</v>
      </c>
      <c r="P3890">
        <v>0.93138569999999998</v>
      </c>
      <c r="Q3890">
        <v>0.33191559999999998</v>
      </c>
      <c r="R3890">
        <v>0.1495088</v>
      </c>
      <c r="S3890">
        <v>3.6087340000000001</v>
      </c>
      <c r="T3890">
        <v>-1.2152909999999999</v>
      </c>
      <c r="U3890">
        <v>0.27699279999999998</v>
      </c>
      <c r="V3890">
        <v>-0.14182520000000001</v>
      </c>
      <c r="W3890">
        <v>0.34564679999999998</v>
      </c>
      <c r="X3890">
        <v>0.92758490000000005</v>
      </c>
      <c r="Y3890">
        <v>-6.5002370000000004E-2</v>
      </c>
      <c r="Z3890">
        <v>8.5554580000000002E-3</v>
      </c>
      <c r="AA3890">
        <v>0.99784850000000003</v>
      </c>
      <c r="AB3890">
        <v>36</v>
      </c>
      <c r="AC3890">
        <v>0.58949999999998604</v>
      </c>
      <c r="AD3890">
        <v>-0.27844790000000003</v>
      </c>
      <c r="AE3890">
        <v>6.1399999999991899E-2</v>
      </c>
      <c r="AF3890">
        <v>-4.6321621725964802E-2</v>
      </c>
      <c r="AG3890">
        <v>-0.27844790000000003</v>
      </c>
      <c r="AH3890">
        <v>0.48331088945339601</v>
      </c>
      <c r="AI3890">
        <v>119.83417940447301</v>
      </c>
      <c r="AJ3890">
        <v>95.474636626846205</v>
      </c>
      <c r="AK3890">
        <v>0.55970379801995795</v>
      </c>
      <c r="AL3890">
        <v>69.7787145221549</v>
      </c>
      <c r="AM3890">
        <v>98.693044770789598</v>
      </c>
      <c r="AN3890">
        <v>0.99999992220664202</v>
      </c>
    </row>
    <row r="3891" spans="1:40" x14ac:dyDescent="0.25">
      <c r="A3891" t="str">
        <f>"20190304164206467"</f>
        <v>20190304164206467</v>
      </c>
      <c r="B3891" t="str">
        <f>"1551688926454935"</f>
        <v>1551688926454935</v>
      </c>
      <c r="C3891" t="s">
        <v>40</v>
      </c>
      <c r="D3891">
        <v>4.2368230000000002</v>
      </c>
      <c r="E3891">
        <v>0.54348030000000003</v>
      </c>
      <c r="F3891" t="s">
        <v>41</v>
      </c>
      <c r="G3891">
        <v>-278.5625</v>
      </c>
      <c r="H3891">
        <v>0.80769959999999996</v>
      </c>
      <c r="I3891">
        <v>214.40039999999999</v>
      </c>
      <c r="J3891">
        <v>-279.0942</v>
      </c>
      <c r="K3891">
        <v>1.1105039999999999</v>
      </c>
      <c r="L3891">
        <v>214.3347</v>
      </c>
      <c r="M3891">
        <v>0.99985740000000001</v>
      </c>
      <c r="N3891">
        <v>-1.475342E-2</v>
      </c>
      <c r="O3891">
        <v>8.2305690000000001E-3</v>
      </c>
      <c r="P3891">
        <v>0.93142919999999996</v>
      </c>
      <c r="Q3891">
        <v>0.33176949999999999</v>
      </c>
      <c r="R3891">
        <v>0.14956159999999999</v>
      </c>
      <c r="S3891">
        <v>3.6094059999999999</v>
      </c>
      <c r="T3891">
        <v>-1.2144489999999999</v>
      </c>
      <c r="U3891">
        <v>0.27639770000000002</v>
      </c>
      <c r="V3891">
        <v>-0.14187729999999901</v>
      </c>
      <c r="W3891">
        <v>0.34549780000000002</v>
      </c>
      <c r="X3891">
        <v>0.92763249999999997</v>
      </c>
      <c r="Y3891">
        <v>-6.4839359999999999E-2</v>
      </c>
      <c r="Z3891">
        <v>8.5207819999999993E-3</v>
      </c>
      <c r="AA3891">
        <v>0.99785939999999995</v>
      </c>
      <c r="AB3891">
        <v>36</v>
      </c>
      <c r="AC3891">
        <v>0.53169999999999995</v>
      </c>
      <c r="AD3891">
        <v>-0.30280439999999997</v>
      </c>
      <c r="AE3891">
        <v>6.5699999999992501E-2</v>
      </c>
      <c r="AF3891">
        <v>-4.6474559746107903E-2</v>
      </c>
      <c r="AG3891">
        <v>-0.30280439999999997</v>
      </c>
      <c r="AH3891">
        <v>0.403365531680142</v>
      </c>
      <c r="AI3891">
        <v>126.71414472553001</v>
      </c>
      <c r="AJ3891">
        <v>96.572466057970402</v>
      </c>
      <c r="AK3891">
        <v>0.50651173876876598</v>
      </c>
      <c r="AL3891">
        <v>69.787813221461803</v>
      </c>
      <c r="AM3891">
        <v>98.6957499730824</v>
      </c>
      <c r="AN3891">
        <v>0.99999997655818895</v>
      </c>
    </row>
    <row r="3892" spans="1:40" x14ac:dyDescent="0.25">
      <c r="A3892" t="str">
        <f>"20190304164206483"</f>
        <v>20190304164206483</v>
      </c>
      <c r="B3892" t="str">
        <f>"1551688926475431"</f>
        <v>1551688926475431</v>
      </c>
      <c r="C3892" t="s">
        <v>40</v>
      </c>
      <c r="D3892">
        <v>4.6037189999999999</v>
      </c>
      <c r="E3892">
        <v>0.54368490000000003</v>
      </c>
      <c r="F3892" t="s">
        <v>41</v>
      </c>
      <c r="G3892">
        <v>-278.2362</v>
      </c>
      <c r="H3892">
        <v>0.82149740000000004</v>
      </c>
      <c r="I3892">
        <v>214.40020000000001</v>
      </c>
      <c r="J3892">
        <v>-278.84300000000002</v>
      </c>
      <c r="K3892">
        <v>1.110503</v>
      </c>
      <c r="L3892">
        <v>214.33680000000001</v>
      </c>
      <c r="M3892">
        <v>0.99985740000000001</v>
      </c>
      <c r="N3892">
        <v>-1.4750859999999999E-2</v>
      </c>
      <c r="O3892">
        <v>8.2305850000000003E-3</v>
      </c>
      <c r="P3892">
        <v>0.93137190000000003</v>
      </c>
      <c r="Q3892">
        <v>0.33190730000000002</v>
      </c>
      <c r="R3892">
        <v>0.14961289999999999</v>
      </c>
      <c r="S3892">
        <v>3.6096499999999998</v>
      </c>
      <c r="T3892">
        <v>-1.2159690000000001</v>
      </c>
      <c r="U3892">
        <v>0.27606199999999997</v>
      </c>
      <c r="V3892">
        <v>-0.1419291</v>
      </c>
      <c r="W3892">
        <v>0.34563250000000001</v>
      </c>
      <c r="X3892">
        <v>0.92757449999999997</v>
      </c>
      <c r="Y3892">
        <v>-6.4740240000000004E-2</v>
      </c>
      <c r="Z3892">
        <v>8.5126179999999996E-3</v>
      </c>
      <c r="AA3892">
        <v>0.99786589999999997</v>
      </c>
      <c r="AB3892">
        <v>36</v>
      </c>
      <c r="AC3892">
        <v>0.60680000000002099</v>
      </c>
      <c r="AD3892">
        <v>-0.28900559999999997</v>
      </c>
      <c r="AE3892">
        <v>6.34000000000014E-2</v>
      </c>
      <c r="AF3892">
        <v>-4.7699611463499998E-2</v>
      </c>
      <c r="AG3892">
        <v>-0.28900559999999997</v>
      </c>
      <c r="AH3892">
        <v>0.49600263442319897</v>
      </c>
      <c r="AI3892">
        <v>120.113462264981</v>
      </c>
      <c r="AJ3892">
        <v>95.493131529643705</v>
      </c>
      <c r="AK3892">
        <v>0.576036546687693</v>
      </c>
      <c r="AL3892">
        <v>69.779590864581806</v>
      </c>
      <c r="AM3892">
        <v>98.699411881308905</v>
      </c>
      <c r="AN3892">
        <v>1.0000000737666499</v>
      </c>
    </row>
    <row r="3893" spans="1:40" x14ac:dyDescent="0.25">
      <c r="A3893" t="str">
        <f>"20190304164206495"</f>
        <v>20190304164206495</v>
      </c>
      <c r="B3893" t="str">
        <f>"1551688926485191"</f>
        <v>1551688926485191</v>
      </c>
      <c r="C3893" t="s">
        <v>40</v>
      </c>
      <c r="D3893">
        <v>4.2421360000000004</v>
      </c>
      <c r="E3893">
        <v>0.54368490000000003</v>
      </c>
      <c r="F3893" t="s">
        <v>41</v>
      </c>
      <c r="G3893">
        <v>-277.92419999999998</v>
      </c>
      <c r="H3893">
        <v>0.80270140000000001</v>
      </c>
      <c r="I3893">
        <v>214.40629999999999</v>
      </c>
      <c r="J3893">
        <v>-278.64060000000001</v>
      </c>
      <c r="K3893">
        <v>1.1105050000000001</v>
      </c>
      <c r="L3893">
        <v>214.33850000000001</v>
      </c>
      <c r="M3893">
        <v>0.99985740000000001</v>
      </c>
      <c r="N3893">
        <v>-1.4748799999999999E-2</v>
      </c>
      <c r="O3893">
        <v>8.2307769999999999E-3</v>
      </c>
      <c r="P3893">
        <v>0.93145080000000002</v>
      </c>
      <c r="Q3893">
        <v>0.33161629999999997</v>
      </c>
      <c r="R3893">
        <v>0.1497665</v>
      </c>
      <c r="S3893">
        <v>3.607758</v>
      </c>
      <c r="T3893">
        <v>-1.2085699999999999</v>
      </c>
      <c r="U3893">
        <v>0.27377319999999999</v>
      </c>
      <c r="V3893">
        <v>-0.1420816</v>
      </c>
      <c r="W3893">
        <v>0.3453408</v>
      </c>
      <c r="X3893">
        <v>0.92765969999999998</v>
      </c>
      <c r="Y3893">
        <v>-6.4214869999999993E-2</v>
      </c>
      <c r="Z3893">
        <v>8.3812969999999994E-3</v>
      </c>
      <c r="AA3893">
        <v>0.99790089999999998</v>
      </c>
      <c r="AB3893">
        <v>36</v>
      </c>
      <c r="AC3893">
        <v>0.71640000000002102</v>
      </c>
      <c r="AD3893">
        <v>-0.30780359999999901</v>
      </c>
      <c r="AE3893">
        <v>6.7799999999976907E-2</v>
      </c>
      <c r="AF3893">
        <v>-5.2326677631209899E-2</v>
      </c>
      <c r="AG3893">
        <v>-0.30780359999999901</v>
      </c>
      <c r="AH3893">
        <v>0.60604915349543698</v>
      </c>
      <c r="AI3893">
        <v>116.839546616294</v>
      </c>
      <c r="AJ3893">
        <v>94.934716816361103</v>
      </c>
      <c r="AK3893">
        <v>0.68174534381792196</v>
      </c>
      <c r="AL3893">
        <v>69.797398816558598</v>
      </c>
      <c r="AM3893">
        <v>98.707828428488895</v>
      </c>
      <c r="AN3893">
        <v>0.99999998410364399</v>
      </c>
    </row>
    <row r="3894" spans="1:40" x14ac:dyDescent="0.25">
      <c r="A3894" t="str">
        <f>"20190304164206509"</f>
        <v>20190304164206509</v>
      </c>
      <c r="B3894" t="str">
        <f>"1551688926504711"</f>
        <v>1551688926504711</v>
      </c>
      <c r="C3894" t="s">
        <v>40</v>
      </c>
      <c r="D3894">
        <v>4.3083010000000002</v>
      </c>
      <c r="E3894">
        <v>0.53944159999999997</v>
      </c>
      <c r="F3894" t="s">
        <v>41</v>
      </c>
      <c r="G3894">
        <v>-277.899</v>
      </c>
      <c r="H3894">
        <v>0.86182579999999998</v>
      </c>
      <c r="I3894">
        <v>214.3946</v>
      </c>
      <c r="J3894">
        <v>-278.44060000000002</v>
      </c>
      <c r="K3894">
        <v>1.110509</v>
      </c>
      <c r="L3894">
        <v>214.34010000000001</v>
      </c>
      <c r="M3894">
        <v>0.99985740000000001</v>
      </c>
      <c r="N3894">
        <v>-1.47467E-2</v>
      </c>
      <c r="O3894">
        <v>8.23079E-3</v>
      </c>
      <c r="P3894">
        <v>0.93144689999999997</v>
      </c>
      <c r="Q3894">
        <v>0.33156010000000002</v>
      </c>
      <c r="R3894">
        <v>0.14991579999999999</v>
      </c>
      <c r="S3894">
        <v>3.607361</v>
      </c>
      <c r="T3894">
        <v>-1.209732</v>
      </c>
      <c r="U3894">
        <v>0.27430729999999998</v>
      </c>
      <c r="V3894">
        <v>-0.14223079999999999</v>
      </c>
      <c r="W3894">
        <v>0.34528300000000001</v>
      </c>
      <c r="X3894">
        <v>0.92765839999999999</v>
      </c>
      <c r="Y3894">
        <v>-6.4355529999999994E-2</v>
      </c>
      <c r="Z3894">
        <v>8.413083E-3</v>
      </c>
      <c r="AA3894">
        <v>0.99789150000000004</v>
      </c>
      <c r="AB3894">
        <v>36</v>
      </c>
      <c r="AC3894">
        <v>0.54160000000001596</v>
      </c>
      <c r="AD3894">
        <v>-0.24868319999999999</v>
      </c>
      <c r="AE3894">
        <v>5.4499999999990202E-2</v>
      </c>
      <c r="AF3894">
        <v>-4.1399126931642098E-2</v>
      </c>
      <c r="AG3894">
        <v>-0.24868319999999999</v>
      </c>
      <c r="AH3894">
        <v>0.448433997342229</v>
      </c>
      <c r="AI3894">
        <v>118.90796222886399</v>
      </c>
      <c r="AJ3894">
        <v>95.2745572085079</v>
      </c>
      <c r="AK3894">
        <v>0.51444170869523398</v>
      </c>
      <c r="AL3894">
        <v>69.800928516338899</v>
      </c>
      <c r="AM3894">
        <v>98.716844179250401</v>
      </c>
      <c r="AN3894">
        <v>1.00000002882409</v>
      </c>
    </row>
    <row r="3895" spans="1:40" x14ac:dyDescent="0.25">
      <c r="A3895" t="str">
        <f>"20190304164206525"</f>
        <v>20190304164206525</v>
      </c>
      <c r="B3895" t="str">
        <f>"1551688926515449"</f>
        <v>1551688926515449</v>
      </c>
      <c r="C3895" t="s">
        <v>40</v>
      </c>
      <c r="D3895">
        <v>4.3105909999999996</v>
      </c>
      <c r="E3895">
        <v>0.53888610000000003</v>
      </c>
      <c r="F3895" t="s">
        <v>46</v>
      </c>
      <c r="G3895">
        <v>-265.52820000000003</v>
      </c>
      <c r="H3895" s="1">
        <v>1.3763409999999999E-6</v>
      </c>
      <c r="I3895">
        <v>215.2731</v>
      </c>
      <c r="J3895">
        <v>-278.19119999999998</v>
      </c>
      <c r="K3895">
        <v>1.1105080000000001</v>
      </c>
      <c r="L3895">
        <v>214.34209999999999</v>
      </c>
      <c r="M3895">
        <v>0.99985740000000001</v>
      </c>
      <c r="N3895">
        <v>-1.474402E-2</v>
      </c>
      <c r="O3895">
        <v>8.2309870000000004E-3</v>
      </c>
      <c r="P3895">
        <v>0.93135800000000002</v>
      </c>
      <c r="Q3895">
        <v>0.33154299999999998</v>
      </c>
      <c r="R3895">
        <v>0.15050439999999901</v>
      </c>
      <c r="S3895">
        <v>3.2831419999999998</v>
      </c>
      <c r="T3895">
        <v>-0.28236</v>
      </c>
      <c r="U3895">
        <v>0.23721310000000001</v>
      </c>
      <c r="V3895">
        <v>-0.1428198</v>
      </c>
      <c r="W3895">
        <v>0.34526200000000001</v>
      </c>
      <c r="X3895">
        <v>0.9275757</v>
      </c>
      <c r="Y3895">
        <v>-6.359795E-2</v>
      </c>
      <c r="Z3895">
        <v>2.6121429999999999E-3</v>
      </c>
      <c r="AA3895">
        <v>0.99797219999999998</v>
      </c>
      <c r="AB3895">
        <v>36</v>
      </c>
      <c r="AC3895">
        <v>12.662999999999901</v>
      </c>
      <c r="AD3895">
        <v>-1.110506623659</v>
      </c>
      <c r="AE3895">
        <v>0.93100000000001104</v>
      </c>
      <c r="AF3895">
        <v>-0.82045215964919604</v>
      </c>
      <c r="AG3895">
        <v>-1.110506623659</v>
      </c>
      <c r="AH3895">
        <v>12.5740507694159</v>
      </c>
      <c r="AI3895">
        <v>95.036460426872694</v>
      </c>
      <c r="AJ3895">
        <v>93.733236310342207</v>
      </c>
      <c r="AK3895">
        <v>12.649629222207</v>
      </c>
      <c r="AL3895">
        <v>69.802210207227702</v>
      </c>
      <c r="AM3895">
        <v>98.7531524261031</v>
      </c>
      <c r="AN3895">
        <v>1.0000000115732599</v>
      </c>
    </row>
    <row r="3896" spans="1:40" x14ac:dyDescent="0.25">
      <c r="A3896" t="str">
        <f>"20190304164206546"</f>
        <v>20190304164206546</v>
      </c>
      <c r="B3896" t="str">
        <f>"1551688926534967"</f>
        <v>1551688926534967</v>
      </c>
      <c r="C3896" t="s">
        <v>40</v>
      </c>
      <c r="D3896">
        <v>4.2642470000000001</v>
      </c>
      <c r="E3896">
        <v>0.5391589</v>
      </c>
      <c r="F3896" t="s">
        <v>46</v>
      </c>
      <c r="G3896">
        <v>-264.54430000000002</v>
      </c>
      <c r="H3896" s="1">
        <v>8.4942009999999898E-7</v>
      </c>
      <c r="I3896">
        <v>215.34899999999999</v>
      </c>
      <c r="J3896">
        <v>-277.84160000000003</v>
      </c>
      <c r="K3896">
        <v>1.1105119999999999</v>
      </c>
      <c r="L3896">
        <v>214.345</v>
      </c>
      <c r="M3896">
        <v>0.99985760000000001</v>
      </c>
      <c r="N3896">
        <v>-1.474024E-2</v>
      </c>
      <c r="O3896">
        <v>8.2306549999999999E-3</v>
      </c>
      <c r="P3896">
        <v>0.931284</v>
      </c>
      <c r="Q3896">
        <v>0.33169159999999998</v>
      </c>
      <c r="R3896">
        <v>0.15063579999999999</v>
      </c>
      <c r="S3896">
        <v>3.2769469999999998</v>
      </c>
      <c r="T3896">
        <v>-0.26665830000000001</v>
      </c>
      <c r="U3896">
        <v>0.24176030000000001</v>
      </c>
      <c r="V3896">
        <v>-0.14295189999999999</v>
      </c>
      <c r="W3896">
        <v>0.34540609999999999</v>
      </c>
      <c r="X3896">
        <v>0.92750169999999998</v>
      </c>
      <c r="Y3896">
        <v>-6.5129329999999999E-2</v>
      </c>
      <c r="Z3896">
        <v>2.5769069999999998E-3</v>
      </c>
      <c r="AA3896">
        <v>0.99787349999999997</v>
      </c>
      <c r="AB3896">
        <v>36</v>
      </c>
      <c r="AC3896">
        <v>13.2973</v>
      </c>
      <c r="AD3896">
        <v>-1.1105111505798999</v>
      </c>
      <c r="AE3896">
        <v>1.00400000000001</v>
      </c>
      <c r="AF3896">
        <v>-0.88834787330551102</v>
      </c>
      <c r="AG3896">
        <v>-1.1105111505798999</v>
      </c>
      <c r="AH3896">
        <v>13.213477731974301</v>
      </c>
      <c r="AI3896">
        <v>94.793296591416706</v>
      </c>
      <c r="AJ3896">
        <v>93.846232322204003</v>
      </c>
      <c r="AK3896">
        <v>13.289785202664</v>
      </c>
      <c r="AL3896">
        <v>69.793412658701399</v>
      </c>
      <c r="AM3896">
        <v>98.761811180305699</v>
      </c>
      <c r="AN3896">
        <v>1.0000000115668499</v>
      </c>
    </row>
    <row r="3897" spans="1:40" x14ac:dyDescent="0.25">
      <c r="A3897" t="str">
        <f>"20190304164206570"</f>
        <v>20190304164206570</v>
      </c>
      <c r="B3897" t="str">
        <f>"1551688926565223"</f>
        <v>1551688926565223</v>
      </c>
      <c r="C3897" t="s">
        <v>40</v>
      </c>
      <c r="D3897">
        <v>4.250102</v>
      </c>
      <c r="E3897">
        <v>0.54001560000000004</v>
      </c>
      <c r="F3897" t="s">
        <v>46</v>
      </c>
      <c r="G3897">
        <v>-263.44819999999999</v>
      </c>
      <c r="H3897" s="1">
        <v>2.6398670000000002E-7</v>
      </c>
      <c r="I3897">
        <v>215.39760000000001</v>
      </c>
      <c r="J3897">
        <v>-277.47559999999999</v>
      </c>
      <c r="K3897">
        <v>1.110517</v>
      </c>
      <c r="L3897">
        <v>214.34800000000001</v>
      </c>
      <c r="M3897">
        <v>0.99985749999999995</v>
      </c>
      <c r="N3897">
        <v>-1.4736330000000001E-2</v>
      </c>
      <c r="O3897">
        <v>8.2308599999999996E-3</v>
      </c>
      <c r="P3897">
        <v>0.93120749999999997</v>
      </c>
      <c r="Q3897">
        <v>0.33182339999999999</v>
      </c>
      <c r="R3897">
        <v>0.15081839999999999</v>
      </c>
      <c r="S3897">
        <v>3.272583</v>
      </c>
      <c r="T3897">
        <v>-0.2524923</v>
      </c>
      <c r="U3897">
        <v>0.2393188</v>
      </c>
      <c r="V3897">
        <v>-0.14313499999999901</v>
      </c>
      <c r="W3897">
        <v>0.34553319999999998</v>
      </c>
      <c r="X3897">
        <v>0.92742619999999998</v>
      </c>
      <c r="Y3897">
        <v>-6.4509910000000004E-2</v>
      </c>
      <c r="Z3897">
        <v>2.4462149999999998E-3</v>
      </c>
      <c r="AA3897">
        <v>0.99791410000000003</v>
      </c>
      <c r="AB3897">
        <v>36</v>
      </c>
      <c r="AC3897">
        <v>14.0274</v>
      </c>
      <c r="AD3897">
        <v>-1.1105167360132999</v>
      </c>
      <c r="AE3897">
        <v>1.0496000000000201</v>
      </c>
      <c r="AF3897">
        <v>-0.92830852930458396</v>
      </c>
      <c r="AG3897">
        <v>-1.1105167360132999</v>
      </c>
      <c r="AH3897">
        <v>13.948628187804699</v>
      </c>
      <c r="AI3897">
        <v>94.541983235677293</v>
      </c>
      <c r="AJ3897">
        <v>93.807531592143604</v>
      </c>
      <c r="AK3897">
        <v>14.0235242527749</v>
      </c>
      <c r="AL3897">
        <v>69.785654199130505</v>
      </c>
      <c r="AM3897">
        <v>98.7735623461611</v>
      </c>
      <c r="AN3897">
        <v>1.0000000884868301</v>
      </c>
    </row>
    <row r="3898" spans="1:40" x14ac:dyDescent="0.25">
      <c r="A3898" t="str">
        <f>"20190304164206584"</f>
        <v>20190304164206584</v>
      </c>
      <c r="B3898" t="str">
        <f>"1551688926574983"</f>
        <v>1551688926574983</v>
      </c>
      <c r="C3898" t="s">
        <v>40</v>
      </c>
      <c r="D3898">
        <v>4.2786429999999998</v>
      </c>
      <c r="E3898">
        <v>0.54023279999999996</v>
      </c>
      <c r="F3898" t="s">
        <v>46</v>
      </c>
      <c r="G3898">
        <v>-262.86470000000003</v>
      </c>
      <c r="H3898" s="1">
        <v>-4.6014149999999999E-8</v>
      </c>
      <c r="I3898">
        <v>215.3861</v>
      </c>
      <c r="J3898">
        <v>-277.22919999999999</v>
      </c>
      <c r="K3898">
        <v>1.11052</v>
      </c>
      <c r="L3898">
        <v>214.3501</v>
      </c>
      <c r="M3898">
        <v>0.99985780000000002</v>
      </c>
      <c r="N3898">
        <v>-1.4733690000000001E-2</v>
      </c>
      <c r="O3898">
        <v>8.2305809999999903E-3</v>
      </c>
      <c r="P3898">
        <v>0.93116779999999999</v>
      </c>
      <c r="Q3898">
        <v>0.33190259999999999</v>
      </c>
      <c r="R3898">
        <v>0.1508901</v>
      </c>
      <c r="S3898">
        <v>3.2726139999999999</v>
      </c>
      <c r="T3898">
        <v>-0.24873780000000001</v>
      </c>
      <c r="U3898">
        <v>0.23251340000000001</v>
      </c>
      <c r="V3898">
        <v>-0.14320720000000001</v>
      </c>
      <c r="W3898">
        <v>0.34560920000000001</v>
      </c>
      <c r="X3898">
        <v>0.92738659999999995</v>
      </c>
      <c r="Y3898">
        <v>-6.2457550000000001E-2</v>
      </c>
      <c r="Z3898">
        <v>2.3258419999999998E-3</v>
      </c>
      <c r="AA3898">
        <v>0.99804490000000001</v>
      </c>
      <c r="AB3898">
        <v>36</v>
      </c>
      <c r="AC3898">
        <v>14.3644999999999</v>
      </c>
      <c r="AD3898">
        <v>-1.11052004601415</v>
      </c>
      <c r="AE3898">
        <v>1.036</v>
      </c>
      <c r="AF3898">
        <v>-0.91229945822377101</v>
      </c>
      <c r="AG3898">
        <v>-1.11052004601415</v>
      </c>
      <c r="AH3898">
        <v>14.287588381813601</v>
      </c>
      <c r="AI3898">
        <v>94.435451139675806</v>
      </c>
      <c r="AJ3898">
        <v>93.653523720423607</v>
      </c>
      <c r="AK3898">
        <v>14.359691042714299</v>
      </c>
      <c r="AL3898">
        <v>69.781011203235593</v>
      </c>
      <c r="AM3898">
        <v>98.778287973886606</v>
      </c>
      <c r="AN3898">
        <v>0.99999996355801901</v>
      </c>
    </row>
    <row r="3899" spans="1:40" x14ac:dyDescent="0.25">
      <c r="A3899" t="str">
        <f>"20190304164206599"</f>
        <v>20190304164206599</v>
      </c>
      <c r="B3899" t="str">
        <f>"1551688926594504"</f>
        <v>1551688926594504</v>
      </c>
      <c r="C3899" t="s">
        <v>40</v>
      </c>
      <c r="D3899">
        <v>4.2681480000000001</v>
      </c>
      <c r="E3899">
        <v>0.54061040000000005</v>
      </c>
      <c r="F3899" t="s">
        <v>46</v>
      </c>
      <c r="G3899">
        <v>-262.65460000000002</v>
      </c>
      <c r="H3899" s="1">
        <v>-1.5747849999999999E-7</v>
      </c>
      <c r="I3899">
        <v>215.37950000000001</v>
      </c>
      <c r="J3899">
        <v>-276.99779999999998</v>
      </c>
      <c r="K3899">
        <v>1.1105210000000001</v>
      </c>
      <c r="L3899">
        <v>214.352</v>
      </c>
      <c r="M3899">
        <v>0.99985769999999996</v>
      </c>
      <c r="N3899">
        <v>-1.473121E-2</v>
      </c>
      <c r="O3899">
        <v>8.2307179999999997E-3</v>
      </c>
      <c r="P3899">
        <v>0.93101310000000004</v>
      </c>
      <c r="Q3899">
        <v>0.3323007</v>
      </c>
      <c r="R3899">
        <v>0.15096689999999999</v>
      </c>
      <c r="S3899">
        <v>3.273193</v>
      </c>
      <c r="T3899">
        <v>-0.24940319999999999</v>
      </c>
      <c r="U3899">
        <v>0.2311859</v>
      </c>
      <c r="V3899">
        <v>-0.143285</v>
      </c>
      <c r="W3899">
        <v>0.346003</v>
      </c>
      <c r="X3899">
        <v>0.92722780000000005</v>
      </c>
      <c r="Y3899">
        <v>-6.2042689999999998E-2</v>
      </c>
      <c r="Z3899">
        <v>2.3112720000000001E-3</v>
      </c>
      <c r="AA3899">
        <v>0.99807080000000004</v>
      </c>
      <c r="AB3899">
        <v>36</v>
      </c>
      <c r="AC3899">
        <v>14.3431999999999</v>
      </c>
      <c r="AD3899">
        <v>-1.1105211574785001</v>
      </c>
      <c r="AE3899">
        <v>1.0275000000000001</v>
      </c>
      <c r="AF3899">
        <v>-0.90400604894888004</v>
      </c>
      <c r="AG3899">
        <v>-1.1105211574785001</v>
      </c>
      <c r="AH3899">
        <v>14.2660888960308</v>
      </c>
      <c r="AI3899">
        <v>94.442249188564205</v>
      </c>
      <c r="AJ3899">
        <v>93.625841019726494</v>
      </c>
      <c r="AK3899">
        <v>14.337774463535</v>
      </c>
      <c r="AL3899">
        <v>69.756965999724599</v>
      </c>
      <c r="AM3899">
        <v>98.784463346826996</v>
      </c>
      <c r="AN3899">
        <v>1.00000003016341</v>
      </c>
    </row>
    <row r="3900" spans="1:40" x14ac:dyDescent="0.25">
      <c r="A3900" t="str">
        <f>"20190304164206623"</f>
        <v>20190304164206623</v>
      </c>
      <c r="B3900" t="str">
        <f>"1551688926614999"</f>
        <v>1551688926614999</v>
      </c>
      <c r="C3900" t="s">
        <v>40</v>
      </c>
      <c r="D3900">
        <v>4.2193769999999997</v>
      </c>
      <c r="E3900">
        <v>0.54077609999999998</v>
      </c>
      <c r="F3900" t="s">
        <v>46</v>
      </c>
      <c r="G3900">
        <v>-262.41449999999998</v>
      </c>
      <c r="H3900" s="1">
        <v>-2.847109E-7</v>
      </c>
      <c r="I3900">
        <v>215.36689999999999</v>
      </c>
      <c r="J3900">
        <v>-276.60599999999999</v>
      </c>
      <c r="K3900">
        <v>1.1105119999999999</v>
      </c>
      <c r="L3900">
        <v>214.3552</v>
      </c>
      <c r="M3900">
        <v>0.99985780000000002</v>
      </c>
      <c r="N3900">
        <v>-1.4726970000000001E-2</v>
      </c>
      <c r="O3900">
        <v>8.2306280000000002E-3</v>
      </c>
      <c r="P3900">
        <v>0.93108029999999997</v>
      </c>
      <c r="Q3900">
        <v>0.33223839999999999</v>
      </c>
      <c r="R3900">
        <v>0.15068970000000001</v>
      </c>
      <c r="S3900">
        <v>3.2743530000000001</v>
      </c>
      <c r="T3900">
        <v>-0.24934239999999999</v>
      </c>
      <c r="U3900">
        <v>0.22787479999999999</v>
      </c>
      <c r="V3900">
        <v>-0.143007</v>
      </c>
      <c r="W3900">
        <v>0.34593760000000001</v>
      </c>
      <c r="X3900">
        <v>0.92729510000000004</v>
      </c>
      <c r="Y3900">
        <v>-6.1017290000000002E-2</v>
      </c>
      <c r="Z3900">
        <v>2.2636150000000001E-3</v>
      </c>
      <c r="AA3900">
        <v>0.99813410000000002</v>
      </c>
      <c r="AB3900">
        <v>36</v>
      </c>
      <c r="AC3900">
        <v>14.1915</v>
      </c>
      <c r="AD3900">
        <v>-1.1105122847108999</v>
      </c>
      <c r="AE3900">
        <v>1.0116999999999901</v>
      </c>
      <c r="AF3900">
        <v>-0.88942935121480304</v>
      </c>
      <c r="AG3900">
        <v>-1.1105122847108999</v>
      </c>
      <c r="AH3900">
        <v>14.1133627432999</v>
      </c>
      <c r="AI3900">
        <v>94.490186922185103</v>
      </c>
      <c r="AJ3900">
        <v>93.606032440468795</v>
      </c>
      <c r="AK3900">
        <v>14.1848979562513</v>
      </c>
      <c r="AL3900">
        <v>69.760959432071402</v>
      </c>
      <c r="AM3900">
        <v>98.767058459067599</v>
      </c>
      <c r="AN3900">
        <v>1.00000001381338</v>
      </c>
    </row>
    <row r="3901" spans="1:40" x14ac:dyDescent="0.25">
      <c r="A3901" t="str">
        <f>"20190304164206646"</f>
        <v>20190304164206646</v>
      </c>
      <c r="B3901" t="str">
        <f>"1551688926634518"</f>
        <v>1551688926634518</v>
      </c>
      <c r="C3901" t="s">
        <v>40</v>
      </c>
      <c r="D3901">
        <v>4.2765449999999996</v>
      </c>
      <c r="E3901">
        <v>0.54101529999999998</v>
      </c>
      <c r="F3901" t="s">
        <v>46</v>
      </c>
      <c r="G3901">
        <v>-262.19929999999999</v>
      </c>
      <c r="H3901" s="1">
        <v>-3.9866860000000001E-7</v>
      </c>
      <c r="I3901">
        <v>215.3535</v>
      </c>
      <c r="J3901">
        <v>-276.25240000000002</v>
      </c>
      <c r="K3901">
        <v>1.110519</v>
      </c>
      <c r="L3901">
        <v>214.35810000000001</v>
      </c>
      <c r="M3901">
        <v>0.99985769999999996</v>
      </c>
      <c r="N3901">
        <v>-1.4723089999999999E-2</v>
      </c>
      <c r="O3901">
        <v>8.2307760000000004E-3</v>
      </c>
      <c r="P3901">
        <v>0.93092280000000005</v>
      </c>
      <c r="Q3901">
        <v>0.33267340000000001</v>
      </c>
      <c r="R3901">
        <v>0.150701799999999</v>
      </c>
      <c r="S3901">
        <v>3.2754210000000001</v>
      </c>
      <c r="T3901">
        <v>-0.25247809999999998</v>
      </c>
      <c r="U3901">
        <v>0.2269745</v>
      </c>
      <c r="V3901">
        <v>-0.14302039999999999</v>
      </c>
      <c r="W3901">
        <v>0.34636709999999998</v>
      </c>
      <c r="X3901">
        <v>0.92713270000000003</v>
      </c>
      <c r="Y3901">
        <v>-6.0718349999999997E-2</v>
      </c>
      <c r="Z3901">
        <v>2.2704439999999999E-3</v>
      </c>
      <c r="AA3901">
        <v>0.99815240000000005</v>
      </c>
      <c r="AB3901">
        <v>36</v>
      </c>
      <c r="AC3901">
        <v>14.053100000000001</v>
      </c>
      <c r="AD3901">
        <v>-1.1105193986685999</v>
      </c>
      <c r="AE3901">
        <v>0.99539999999998896</v>
      </c>
      <c r="AF3901">
        <v>-0.87425366086636802</v>
      </c>
      <c r="AG3901">
        <v>-1.1105193986685999</v>
      </c>
      <c r="AH3901">
        <v>13.9739906262531</v>
      </c>
      <c r="AI3901">
        <v>94.534942874430897</v>
      </c>
      <c r="AJ3901">
        <v>93.579925397153005</v>
      </c>
      <c r="AK3901">
        <v>14.045283436832699</v>
      </c>
      <c r="AL3901">
        <v>69.7347295004747</v>
      </c>
      <c r="AM3901">
        <v>98.769379124359006</v>
      </c>
      <c r="AN3901">
        <v>1.0000000230939201</v>
      </c>
    </row>
    <row r="3902" spans="1:40" x14ac:dyDescent="0.25">
      <c r="A3902" t="str">
        <f>"20190304164206669"</f>
        <v>20190304164206669</v>
      </c>
      <c r="B3902" t="str">
        <f>"1551688926664776"</f>
        <v>1551688926664776</v>
      </c>
      <c r="C3902" t="s">
        <v>40</v>
      </c>
      <c r="D3902">
        <v>4.3303379999999896</v>
      </c>
      <c r="E3902">
        <v>0.52221269999999997</v>
      </c>
      <c r="F3902" t="s">
        <v>46</v>
      </c>
      <c r="G3902">
        <v>-261.90519999999998</v>
      </c>
      <c r="H3902" s="1">
        <v>-5.5477329999999999E-7</v>
      </c>
      <c r="I3902">
        <v>215.3441</v>
      </c>
      <c r="J3902">
        <v>-275.89449999999999</v>
      </c>
      <c r="K3902">
        <v>1.1105210000000001</v>
      </c>
      <c r="L3902">
        <v>214.36099999999999</v>
      </c>
      <c r="M3902">
        <v>0.99985780000000002</v>
      </c>
      <c r="N3902">
        <v>-1.471915E-2</v>
      </c>
      <c r="O3902">
        <v>8.2306840000000003E-3</v>
      </c>
      <c r="P3902">
        <v>0.93069279999999999</v>
      </c>
      <c r="Q3902">
        <v>0.33321339999999999</v>
      </c>
      <c r="R3902">
        <v>0.15093039999999999</v>
      </c>
      <c r="S3902">
        <v>3.2767940000000002</v>
      </c>
      <c r="T3902">
        <v>-0.25363409999999997</v>
      </c>
      <c r="U3902">
        <v>0.2252045</v>
      </c>
      <c r="V3902">
        <v>-0.1432512</v>
      </c>
      <c r="W3902">
        <v>0.34689940000000002</v>
      </c>
      <c r="X3902">
        <v>0.926898</v>
      </c>
      <c r="Y3902">
        <v>-6.015351E-2</v>
      </c>
      <c r="Z3902">
        <v>2.2514089999999998E-3</v>
      </c>
      <c r="AA3902">
        <v>0.99818660000000003</v>
      </c>
      <c r="AB3902">
        <v>36</v>
      </c>
      <c r="AC3902">
        <v>13.9893</v>
      </c>
      <c r="AD3902">
        <v>-1.1105215547732901</v>
      </c>
      <c r="AE3902">
        <v>0.98310000000000697</v>
      </c>
      <c r="AF3902">
        <v>-0.86250412582674196</v>
      </c>
      <c r="AG3902">
        <v>-1.1105215547732901</v>
      </c>
      <c r="AH3902">
        <v>13.9096936894606</v>
      </c>
      <c r="AI3902">
        <v>94.5559825727223</v>
      </c>
      <c r="AJ3902">
        <v>93.548220195214299</v>
      </c>
      <c r="AK3902">
        <v>13.980584752624001</v>
      </c>
      <c r="AL3902">
        <v>69.702214624067494</v>
      </c>
      <c r="AM3902">
        <v>98.785499593846595</v>
      </c>
      <c r="AN3902">
        <v>1.00000000121289</v>
      </c>
    </row>
    <row r="3903" spans="1:40" x14ac:dyDescent="0.25">
      <c r="A3903" t="str">
        <f>"20190304164206692"</f>
        <v>20190304164206692</v>
      </c>
      <c r="B3903" t="str">
        <f>"1551688926685271"</f>
        <v>1551688926685271</v>
      </c>
      <c r="C3903" t="s">
        <v>40</v>
      </c>
      <c r="D3903">
        <v>4.3460349999999996</v>
      </c>
      <c r="E3903">
        <v>0.52051939999999997</v>
      </c>
      <c r="F3903" t="s">
        <v>46</v>
      </c>
      <c r="G3903">
        <v>-258.1028</v>
      </c>
      <c r="H3903" s="1">
        <v>2.6973890000000001E-6</v>
      </c>
      <c r="I3903">
        <v>216.39500000000001</v>
      </c>
      <c r="J3903">
        <v>-275.53059999999999</v>
      </c>
      <c r="K3903">
        <v>1.110519</v>
      </c>
      <c r="L3903">
        <v>214.364</v>
      </c>
      <c r="M3903">
        <v>0.99985789999999997</v>
      </c>
      <c r="N3903">
        <v>-1.471511E-2</v>
      </c>
      <c r="O3903">
        <v>8.2307140000000001E-3</v>
      </c>
      <c r="P3903">
        <v>0.93056090000000002</v>
      </c>
      <c r="Q3903">
        <v>0.33351760000000003</v>
      </c>
      <c r="R3903">
        <v>0.1510715</v>
      </c>
      <c r="S3903">
        <v>3.2357480000000001</v>
      </c>
      <c r="T3903">
        <v>-0.20196900000000001</v>
      </c>
      <c r="U3903">
        <v>0.36991879999999999</v>
      </c>
      <c r="V3903">
        <v>-0.14339250000000001</v>
      </c>
      <c r="W3903">
        <v>0.34719809999999901</v>
      </c>
      <c r="X3903">
        <v>0.92676429999999999</v>
      </c>
      <c r="Y3903">
        <v>-0.1051595</v>
      </c>
      <c r="Z3903">
        <v>3.6544479999999998E-3</v>
      </c>
      <c r="AA3903">
        <v>0.99444869999999996</v>
      </c>
      <c r="AB3903">
        <v>35</v>
      </c>
      <c r="AC3903">
        <v>17.427799999999898</v>
      </c>
      <c r="AD3903">
        <v>-1.1105163026109901</v>
      </c>
      <c r="AE3903">
        <v>2.0310000000000001</v>
      </c>
      <c r="AF3903">
        <v>-1.8799414622597499</v>
      </c>
      <c r="AG3903">
        <v>-1.1105163026109901</v>
      </c>
      <c r="AH3903">
        <v>17.374327130817399</v>
      </c>
      <c r="AI3903">
        <v>93.636038606611905</v>
      </c>
      <c r="AJ3903">
        <v>96.175507230569295</v>
      </c>
      <c r="AK3903">
        <v>17.510987111198101</v>
      </c>
      <c r="AL3903">
        <v>69.683966128076904</v>
      </c>
      <c r="AM3903">
        <v>98.795278874069993</v>
      </c>
      <c r="AN3903">
        <v>0.99999999872717404</v>
      </c>
    </row>
    <row r="3904" spans="1:40" x14ac:dyDescent="0.25">
      <c r="A3904" t="str">
        <f>"20190304164206713"</f>
        <v>20190304164206713</v>
      </c>
      <c r="B3904" t="str">
        <f>"1551688926704792"</f>
        <v>1551688926704792</v>
      </c>
      <c r="C3904" t="s">
        <v>40</v>
      </c>
      <c r="D3904">
        <v>4.345904</v>
      </c>
      <c r="E3904">
        <v>0.52054369999999905</v>
      </c>
      <c r="F3904" t="s">
        <v>46</v>
      </c>
      <c r="G3904">
        <v>-257.84039999999999</v>
      </c>
      <c r="H3904" s="1">
        <v>2.5545330000000001E-6</v>
      </c>
      <c r="I3904">
        <v>216.4676</v>
      </c>
      <c r="J3904">
        <v>-275.19240000000002</v>
      </c>
      <c r="K3904">
        <v>1.1105160000000001</v>
      </c>
      <c r="L3904">
        <v>214.36680000000001</v>
      </c>
      <c r="M3904">
        <v>0.99985800000000002</v>
      </c>
      <c r="N3904">
        <v>-1.471133E-2</v>
      </c>
      <c r="O3904">
        <v>8.2305620000000003E-3</v>
      </c>
      <c r="P3904">
        <v>0.93073039999999996</v>
      </c>
      <c r="Q3904">
        <v>0.33299630000000002</v>
      </c>
      <c r="R3904">
        <v>0.1511776</v>
      </c>
      <c r="S3904">
        <v>3.2341920000000002</v>
      </c>
      <c r="T3904">
        <v>-0.20302870000000001</v>
      </c>
      <c r="U3904">
        <v>0.38458249999999999</v>
      </c>
      <c r="V3904">
        <v>-0.1434976</v>
      </c>
      <c r="W3904">
        <v>0.34667619999999999</v>
      </c>
      <c r="X3904">
        <v>0.92694339999999997</v>
      </c>
      <c r="Y3904">
        <v>-0.1096478</v>
      </c>
      <c r="Z3904">
        <v>3.8428580000000002E-3</v>
      </c>
      <c r="AA3904">
        <v>0.99396309999999999</v>
      </c>
      <c r="AB3904">
        <v>35</v>
      </c>
      <c r="AC3904">
        <v>17.352</v>
      </c>
      <c r="AD3904">
        <v>-1.110513445467</v>
      </c>
      <c r="AE3904">
        <v>2.1007999999999898</v>
      </c>
      <c r="AF3904">
        <v>-1.95002496103311</v>
      </c>
      <c r="AG3904">
        <v>-1.110513445467</v>
      </c>
      <c r="AH3904">
        <v>17.2988740047617</v>
      </c>
      <c r="AI3904">
        <v>93.650048498778006</v>
      </c>
      <c r="AJ3904">
        <v>96.431547549405707</v>
      </c>
      <c r="AK3904">
        <v>17.443820662166701</v>
      </c>
      <c r="AL3904">
        <v>69.715849291672995</v>
      </c>
      <c r="AM3904">
        <v>98.799950506917995</v>
      </c>
      <c r="AN3904">
        <v>1.0000000078278799</v>
      </c>
    </row>
    <row r="3905" spans="1:40" x14ac:dyDescent="0.25">
      <c r="A3905" t="str">
        <f>"20190304164206737"</f>
        <v>20190304164206737</v>
      </c>
      <c r="B3905" t="str">
        <f>"1551688926725288"</f>
        <v>1551688926725288</v>
      </c>
      <c r="C3905" t="s">
        <v>40</v>
      </c>
      <c r="D3905">
        <v>4.3459500000000002</v>
      </c>
      <c r="E3905">
        <v>0.52051349999999996</v>
      </c>
      <c r="F3905" t="s">
        <v>46</v>
      </c>
      <c r="G3905">
        <v>-257.73860000000002</v>
      </c>
      <c r="H3905" s="1">
        <v>2.5014209999999998E-6</v>
      </c>
      <c r="I3905">
        <v>216.44460000000001</v>
      </c>
      <c r="J3905">
        <v>-274.82709999999997</v>
      </c>
      <c r="K3905">
        <v>1.1105149999999999</v>
      </c>
      <c r="L3905">
        <v>214.3698</v>
      </c>
      <c r="M3905">
        <v>0.99985809999999997</v>
      </c>
      <c r="N3905">
        <v>-1.470723E-2</v>
      </c>
      <c r="O3905">
        <v>8.2305929999999996E-3</v>
      </c>
      <c r="P3905">
        <v>0.93067409999999995</v>
      </c>
      <c r="Q3905">
        <v>0.33288499999999999</v>
      </c>
      <c r="R3905">
        <v>0.15176770000000001</v>
      </c>
      <c r="S3905">
        <v>3.234375</v>
      </c>
      <c r="T3905">
        <v>-0.2057911</v>
      </c>
      <c r="U3905">
        <v>0.3850403</v>
      </c>
      <c r="V3905">
        <v>-0.14408850000000001</v>
      </c>
      <c r="W3905">
        <v>0.34656029999999999</v>
      </c>
      <c r="X3905">
        <v>0.92689509999999997</v>
      </c>
      <c r="Y3905">
        <v>-0.10977339999999999</v>
      </c>
      <c r="Z3905">
        <v>3.8868819999999999E-3</v>
      </c>
      <c r="AA3905">
        <v>0.99394910000000003</v>
      </c>
      <c r="AB3905">
        <v>35</v>
      </c>
      <c r="AC3905">
        <v>17.0884999999999</v>
      </c>
      <c r="AD3905">
        <v>-1.110512498579</v>
      </c>
      <c r="AE3905">
        <v>2.07480000000001</v>
      </c>
      <c r="AF3905">
        <v>-1.9260501450020799</v>
      </c>
      <c r="AG3905">
        <v>-1.110512498579</v>
      </c>
      <c r="AH3905">
        <v>17.0341068055452</v>
      </c>
      <c r="AI3905">
        <v>93.706480376105503</v>
      </c>
      <c r="AJ3905">
        <v>96.451047359623999</v>
      </c>
      <c r="AK3905">
        <v>17.178582649138502</v>
      </c>
      <c r="AL3905">
        <v>69.722929263957994</v>
      </c>
      <c r="AM3905">
        <v>98.836069812837806</v>
      </c>
      <c r="AN3905">
        <v>1.0000000318861699</v>
      </c>
    </row>
    <row r="3906" spans="1:40" x14ac:dyDescent="0.25">
      <c r="A3906" t="str">
        <f>"20190304164206758"</f>
        <v>20190304164206758</v>
      </c>
      <c r="B3906" t="str">
        <f>"1551688926754568"</f>
        <v>1551688926754568</v>
      </c>
      <c r="C3906" t="s">
        <v>40</v>
      </c>
      <c r="D3906">
        <v>4.4053500000000003</v>
      </c>
      <c r="E3906">
        <v>0.52048439999999996</v>
      </c>
      <c r="F3906" t="s">
        <v>46</v>
      </c>
      <c r="G3906">
        <v>-257.64319999999998</v>
      </c>
      <c r="H3906" s="1">
        <v>2.4513850000000002E-6</v>
      </c>
      <c r="I3906">
        <v>216.42760000000001</v>
      </c>
      <c r="J3906">
        <v>-274.48050000000001</v>
      </c>
      <c r="K3906">
        <v>1.110517</v>
      </c>
      <c r="L3906">
        <v>214.37270000000001</v>
      </c>
      <c r="M3906">
        <v>0.99985800000000002</v>
      </c>
      <c r="N3906">
        <v>-1.470335E-2</v>
      </c>
      <c r="O3906">
        <v>8.2307999999999999E-3</v>
      </c>
      <c r="P3906">
        <v>0.93091520000000005</v>
      </c>
      <c r="Q3906">
        <v>0.33218340000000002</v>
      </c>
      <c r="R3906">
        <v>0.1518254</v>
      </c>
      <c r="S3906">
        <v>3.235077</v>
      </c>
      <c r="T3906">
        <v>-0.20906830000000001</v>
      </c>
      <c r="U3906">
        <v>0.38739010000000001</v>
      </c>
      <c r="V3906">
        <v>-0.14414370000000001</v>
      </c>
      <c r="W3906">
        <v>0.34585890000000002</v>
      </c>
      <c r="X3906">
        <v>0.92714839999999998</v>
      </c>
      <c r="Y3906">
        <v>-0.1104507</v>
      </c>
      <c r="Z3906">
        <v>3.9596570000000001E-3</v>
      </c>
      <c r="AA3906">
        <v>0.99387369999999997</v>
      </c>
      <c r="AB3906">
        <v>35</v>
      </c>
      <c r="AC3906">
        <v>16.837299999999999</v>
      </c>
      <c r="AD3906">
        <v>-1.1105145486150001</v>
      </c>
      <c r="AE3906">
        <v>2.0548999999999999</v>
      </c>
      <c r="AF3906">
        <v>-1.9080524584734699</v>
      </c>
      <c r="AG3906">
        <v>-1.1105145486150001</v>
      </c>
      <c r="AH3906">
        <v>16.781713380504801</v>
      </c>
      <c r="AI3906">
        <v>93.761809330497201</v>
      </c>
      <c r="AJ3906">
        <v>96.486577713238205</v>
      </c>
      <c r="AK3906">
        <v>16.926305288880599</v>
      </c>
      <c r="AL3906">
        <v>69.7657643449283</v>
      </c>
      <c r="AM3906">
        <v>98.837024613156004</v>
      </c>
      <c r="AN3906">
        <v>0.99999997029072896</v>
      </c>
    </row>
    <row r="3907" spans="1:40" x14ac:dyDescent="0.25">
      <c r="A3907" t="str">
        <f>"20190304164206780"</f>
        <v>20190304164206780</v>
      </c>
      <c r="B3907" t="str">
        <f>"1551688926775063"</f>
        <v>1551688926775063</v>
      </c>
      <c r="C3907" t="s">
        <v>40</v>
      </c>
      <c r="D3907">
        <v>4.2785500000000001</v>
      </c>
      <c r="E3907">
        <v>0.52041170000000003</v>
      </c>
      <c r="F3907" t="s">
        <v>46</v>
      </c>
      <c r="G3907">
        <v>-257.43529999999998</v>
      </c>
      <c r="H3907" s="1">
        <v>2.3413360000000001E-6</v>
      </c>
      <c r="I3907">
        <v>216.41370000000001</v>
      </c>
      <c r="J3907">
        <v>-274.11799999999999</v>
      </c>
      <c r="K3907">
        <v>1.1105160000000001</v>
      </c>
      <c r="L3907">
        <v>214.37569999999999</v>
      </c>
      <c r="M3907">
        <v>0.99985809999999997</v>
      </c>
      <c r="N3907">
        <v>-1.469928E-2</v>
      </c>
      <c r="O3907">
        <v>8.2306510000000003E-3</v>
      </c>
      <c r="P3907">
        <v>0.93091449999999998</v>
      </c>
      <c r="Q3907">
        <v>0.33244620000000003</v>
      </c>
      <c r="R3907">
        <v>0.15125459999999999</v>
      </c>
      <c r="S3907">
        <v>3.2346189999999999</v>
      </c>
      <c r="T3907">
        <v>-0.2107388</v>
      </c>
      <c r="U3907">
        <v>0.38731379999999999</v>
      </c>
      <c r="V3907">
        <v>-0.14357339999999999</v>
      </c>
      <c r="W3907">
        <v>0.34611750000000002</v>
      </c>
      <c r="X3907">
        <v>0.92714039999999998</v>
      </c>
      <c r="Y3907">
        <v>-0.1104405</v>
      </c>
      <c r="Z3907">
        <v>3.9835499999999998E-3</v>
      </c>
      <c r="AA3907">
        <v>0.99387479999999995</v>
      </c>
      <c r="AB3907">
        <v>35</v>
      </c>
      <c r="AC3907">
        <v>16.682700000000001</v>
      </c>
      <c r="AD3907">
        <v>-1.1105136586640001</v>
      </c>
      <c r="AE3907">
        <v>2.03800000000001</v>
      </c>
      <c r="AF3907">
        <v>-1.8923446982140799</v>
      </c>
      <c r="AG3907">
        <v>-1.1105136586640001</v>
      </c>
      <c r="AH3907">
        <v>16.626320490469801</v>
      </c>
      <c r="AI3907">
        <v>93.796812423326003</v>
      </c>
      <c r="AJ3907">
        <v>96.493246264558906</v>
      </c>
      <c r="AK3907">
        <v>16.770472327718</v>
      </c>
      <c r="AL3907">
        <v>69.749972594410096</v>
      </c>
      <c r="AM3907">
        <v>98.802684612530001</v>
      </c>
      <c r="AN3907">
        <v>0.999999983152984</v>
      </c>
    </row>
    <row r="3908" spans="1:40" x14ac:dyDescent="0.25">
      <c r="A3908" t="str">
        <f>"20190304164206803"</f>
        <v>20190304164206803</v>
      </c>
      <c r="B3908" t="str">
        <f>"1551688926794583"</f>
        <v>1551688926794583</v>
      </c>
      <c r="C3908" t="s">
        <v>40</v>
      </c>
      <c r="D3908">
        <v>4.2377449999999897</v>
      </c>
      <c r="E3908">
        <v>0.52019099999999996</v>
      </c>
      <c r="F3908" t="s">
        <v>46</v>
      </c>
      <c r="G3908">
        <v>-257.17110000000002</v>
      </c>
      <c r="H3908" s="1">
        <v>2.2013859999999998E-6</v>
      </c>
      <c r="I3908">
        <v>216.39840000000001</v>
      </c>
      <c r="J3908">
        <v>-273.78129999999999</v>
      </c>
      <c r="K3908">
        <v>1.1105119999999999</v>
      </c>
      <c r="L3908">
        <v>214.3784</v>
      </c>
      <c r="M3908">
        <v>0.99985820000000003</v>
      </c>
      <c r="N3908">
        <v>-1.469553E-2</v>
      </c>
      <c r="O3908">
        <v>8.2305009999999994E-3</v>
      </c>
      <c r="P3908">
        <v>0.93096259999999997</v>
      </c>
      <c r="Q3908">
        <v>0.33243779999999901</v>
      </c>
      <c r="R3908">
        <v>0.1509769</v>
      </c>
      <c r="S3908">
        <v>3.2355960000000001</v>
      </c>
      <c r="T3908">
        <v>-0.21202409999999999</v>
      </c>
      <c r="U3908">
        <v>0.38618469999999999</v>
      </c>
      <c r="V3908">
        <v>-0.14329549999999999</v>
      </c>
      <c r="W3908">
        <v>0.34610629999999998</v>
      </c>
      <c r="X3908">
        <v>0.9271876</v>
      </c>
      <c r="Y3908">
        <v>-0.1100614</v>
      </c>
      <c r="Z3908">
        <v>3.9858419999999999E-3</v>
      </c>
      <c r="AA3908">
        <v>0.99391680000000004</v>
      </c>
      <c r="AB3908">
        <v>35</v>
      </c>
      <c r="AC3908">
        <v>16.610199999999899</v>
      </c>
      <c r="AD3908">
        <v>-1.110509798614</v>
      </c>
      <c r="AE3908">
        <v>2.0200000000000098</v>
      </c>
      <c r="AF3908">
        <v>-1.87494790593478</v>
      </c>
      <c r="AG3908">
        <v>-1.110509798614</v>
      </c>
      <c r="AH3908">
        <v>16.553351664752402</v>
      </c>
      <c r="AI3908">
        <v>93.813720760131204</v>
      </c>
      <c r="AJ3908">
        <v>96.462177676707995</v>
      </c>
      <c r="AK3908">
        <v>16.696170608847599</v>
      </c>
      <c r="AL3908">
        <v>69.750657116010203</v>
      </c>
      <c r="AM3908">
        <v>98.785471987883398</v>
      </c>
      <c r="AN3908">
        <v>1.0000000084068399</v>
      </c>
    </row>
    <row r="3909" spans="1:40" x14ac:dyDescent="0.25">
      <c r="A3909" t="str">
        <f>"20190304164206825"</f>
        <v>20190304164206825</v>
      </c>
      <c r="B3909" t="str">
        <f>"1551688926815079"</f>
        <v>1551688926815079</v>
      </c>
      <c r="C3909" t="s">
        <v>40</v>
      </c>
      <c r="D3909">
        <v>4.2066429999999997</v>
      </c>
      <c r="E3909">
        <v>0.52019159999999998</v>
      </c>
      <c r="F3909" t="s">
        <v>46</v>
      </c>
      <c r="G3909">
        <v>-256.83210000000003</v>
      </c>
      <c r="H3909" s="1">
        <v>2.0209180000000001E-6</v>
      </c>
      <c r="I3909">
        <v>216.4006</v>
      </c>
      <c r="J3909">
        <v>-273.42930000000001</v>
      </c>
      <c r="K3909">
        <v>1.110514</v>
      </c>
      <c r="L3909">
        <v>214.38140000000001</v>
      </c>
      <c r="M3909">
        <v>0.99985829999999998</v>
      </c>
      <c r="N3909">
        <v>-1.4691569999999999E-2</v>
      </c>
      <c r="O3909">
        <v>8.2305299999999998E-3</v>
      </c>
      <c r="P3909">
        <v>0.93097660000000004</v>
      </c>
      <c r="Q3909">
        <v>0.33260030000000002</v>
      </c>
      <c r="R3909">
        <v>0.15053139999999901</v>
      </c>
      <c r="S3909">
        <v>3.2355649999999998</v>
      </c>
      <c r="T3909">
        <v>-0.21199460000000001</v>
      </c>
      <c r="U3909">
        <v>0.38603209999999999</v>
      </c>
      <c r="V3909">
        <v>-0.1428497</v>
      </c>
      <c r="W3909">
        <v>0.34626560000000001</v>
      </c>
      <c r="X3909">
        <v>0.92719689999999999</v>
      </c>
      <c r="Y3909">
        <v>-0.1100164</v>
      </c>
      <c r="Z3909">
        <v>3.9834040000000003E-3</v>
      </c>
      <c r="AA3909">
        <v>0.99392179999999997</v>
      </c>
      <c r="AB3909">
        <v>35</v>
      </c>
      <c r="AC3909">
        <v>16.597199999999901</v>
      </c>
      <c r="AD3909">
        <v>-1.1105119790819999</v>
      </c>
      <c r="AE3909">
        <v>2.0191999999999801</v>
      </c>
      <c r="AF3909">
        <v>-1.87424469360454</v>
      </c>
      <c r="AG3909">
        <v>-1.1105119790819999</v>
      </c>
      <c r="AH3909">
        <v>16.5402894701229</v>
      </c>
      <c r="AI3909">
        <v>93.816711126801493</v>
      </c>
      <c r="AJ3909">
        <v>96.464832723046499</v>
      </c>
      <c r="AK3909">
        <v>16.683141364342799</v>
      </c>
      <c r="AL3909">
        <v>69.740928085447607</v>
      </c>
      <c r="AM3909">
        <v>98.758477879921699</v>
      </c>
      <c r="AN3909">
        <v>0.99999999695152897</v>
      </c>
    </row>
    <row r="3910" spans="1:40" x14ac:dyDescent="0.25">
      <c r="A3910" t="str">
        <f>"20190304164206848"</f>
        <v>20190304164206848</v>
      </c>
      <c r="B3910" t="str">
        <f>"1551688926834599"</f>
        <v>1551688926834599</v>
      </c>
      <c r="C3910" t="s">
        <v>40</v>
      </c>
      <c r="D3910">
        <v>4.1891610000000004</v>
      </c>
      <c r="E3910">
        <v>0.5202833</v>
      </c>
      <c r="F3910" t="s">
        <v>46</v>
      </c>
      <c r="G3910">
        <v>-256.4821</v>
      </c>
      <c r="H3910" s="1">
        <v>1.8350039999999999E-6</v>
      </c>
      <c r="I3910">
        <v>216.39340000000001</v>
      </c>
      <c r="J3910">
        <v>-273.07740000000001</v>
      </c>
      <c r="K3910">
        <v>1.1105160000000001</v>
      </c>
      <c r="L3910">
        <v>214.38419999999999</v>
      </c>
      <c r="M3910">
        <v>0.99985820000000003</v>
      </c>
      <c r="N3910">
        <v>-1.468759E-2</v>
      </c>
      <c r="O3910">
        <v>8.2307379999999996E-3</v>
      </c>
      <c r="P3910">
        <v>0.93100490000000002</v>
      </c>
      <c r="Q3910">
        <v>0.33254240000000002</v>
      </c>
      <c r="R3910">
        <v>0.1504838</v>
      </c>
      <c r="S3910">
        <v>3.2360530000000001</v>
      </c>
      <c r="T3910">
        <v>-0.21205199999999999</v>
      </c>
      <c r="U3910">
        <v>0.38420100000000001</v>
      </c>
      <c r="V3910">
        <v>-0.1428014</v>
      </c>
      <c r="W3910">
        <v>0.34620430000000002</v>
      </c>
      <c r="X3910">
        <v>0.92722729999999998</v>
      </c>
      <c r="Y3910">
        <v>-0.1094454</v>
      </c>
      <c r="Z3910">
        <v>3.9607490000000004E-3</v>
      </c>
      <c r="AA3910">
        <v>0.99398489999999995</v>
      </c>
      <c r="AB3910">
        <v>35</v>
      </c>
      <c r="AC3910">
        <v>16.595300000000002</v>
      </c>
      <c r="AD3910">
        <v>-1.110514164996</v>
      </c>
      <c r="AE3910">
        <v>2.0092000000000199</v>
      </c>
      <c r="AF3910">
        <v>-1.86429800959383</v>
      </c>
      <c r="AG3910">
        <v>-1.110514164996</v>
      </c>
      <c r="AH3910">
        <v>16.538289164599298</v>
      </c>
      <c r="AI3910">
        <v>93.817428511038102</v>
      </c>
      <c r="AJ3910">
        <v>96.4315830845417</v>
      </c>
      <c r="AK3910">
        <v>16.6800436831303</v>
      </c>
      <c r="AL3910">
        <v>69.744673243718395</v>
      </c>
      <c r="AM3910">
        <v>98.755279768582298</v>
      </c>
      <c r="AN3910">
        <v>1.0000000615228599</v>
      </c>
    </row>
    <row r="3911" spans="1:40" x14ac:dyDescent="0.25">
      <c r="A3911" t="str">
        <f>"20190304164206870"</f>
        <v>20190304164206870</v>
      </c>
      <c r="B3911" t="str">
        <f>"1551688926864855"</f>
        <v>1551688926864855</v>
      </c>
      <c r="C3911" t="s">
        <v>40</v>
      </c>
      <c r="D3911">
        <v>4.1419480000000002</v>
      </c>
      <c r="E3911">
        <v>0.5206904</v>
      </c>
      <c r="F3911" t="s">
        <v>46</v>
      </c>
      <c r="G3911">
        <v>-256.05180000000001</v>
      </c>
      <c r="H3911" s="1">
        <v>1.6056510000000001E-6</v>
      </c>
      <c r="I3911">
        <v>216.40100000000001</v>
      </c>
      <c r="J3911">
        <v>-272.72160000000002</v>
      </c>
      <c r="K3911">
        <v>1.110519</v>
      </c>
      <c r="L3911">
        <v>214.38720000000001</v>
      </c>
      <c r="M3911">
        <v>0.99985829999999998</v>
      </c>
      <c r="N3911">
        <v>-1.468356E-2</v>
      </c>
      <c r="O3911">
        <v>8.230589E-3</v>
      </c>
      <c r="P3911">
        <v>0.93088630000000006</v>
      </c>
      <c r="Q3911">
        <v>0.33268170000000002</v>
      </c>
      <c r="R3911">
        <v>0.1509095</v>
      </c>
      <c r="S3911">
        <v>3.2357480000000001</v>
      </c>
      <c r="T3911">
        <v>-0.21105470000000001</v>
      </c>
      <c r="U3911">
        <v>0.3832855</v>
      </c>
      <c r="V3911">
        <v>-0.14322850000000001</v>
      </c>
      <c r="W3911">
        <v>0.34633799999999998</v>
      </c>
      <c r="X3911">
        <v>0.92711140000000003</v>
      </c>
      <c r="Y3911">
        <v>-0.10918219999999999</v>
      </c>
      <c r="Z3911">
        <v>3.9360929999999999E-3</v>
      </c>
      <c r="AA3911">
        <v>0.99401399999999995</v>
      </c>
      <c r="AB3911">
        <v>35</v>
      </c>
      <c r="AC3911">
        <v>16.669799999999999</v>
      </c>
      <c r="AD3911">
        <v>-1.1105173943490001</v>
      </c>
      <c r="AE3911">
        <v>2.0137999999999701</v>
      </c>
      <c r="AF3911">
        <v>-1.86834222135902</v>
      </c>
      <c r="AG3911">
        <v>-1.1105173943490001</v>
      </c>
      <c r="AH3911">
        <v>16.613142736463299</v>
      </c>
      <c r="AI3911">
        <v>93.800401341361805</v>
      </c>
      <c r="AJ3911">
        <v>96.416619537851304</v>
      </c>
      <c r="AK3911">
        <v>16.754714653534599</v>
      </c>
      <c r="AL3911">
        <v>69.736505919502093</v>
      </c>
      <c r="AM3911">
        <v>98.782138748750498</v>
      </c>
      <c r="AN3911">
        <v>0.99999998073310403</v>
      </c>
    </row>
    <row r="3912" spans="1:40" x14ac:dyDescent="0.25">
      <c r="A3912" t="str">
        <f>"20190304164206892"</f>
        <v>20190304164206892</v>
      </c>
      <c r="B3912" t="str">
        <f>"1551688926885352"</f>
        <v>1551688926885352</v>
      </c>
      <c r="C3912" t="s">
        <v>40</v>
      </c>
      <c r="D3912">
        <v>4.1362829999999997</v>
      </c>
      <c r="E3912">
        <v>0.52094620000000003</v>
      </c>
      <c r="F3912" t="s">
        <v>46</v>
      </c>
      <c r="G3912">
        <v>-255.25899999999999</v>
      </c>
      <c r="H3912" s="1">
        <v>1.1819230000000001E-6</v>
      </c>
      <c r="I3912">
        <v>216.44309999999999</v>
      </c>
      <c r="J3912">
        <v>-272.3716</v>
      </c>
      <c r="K3912">
        <v>1.11052</v>
      </c>
      <c r="L3912">
        <v>214.39009999999999</v>
      </c>
      <c r="M3912">
        <v>0.99985829999999998</v>
      </c>
      <c r="N3912">
        <v>-1.4679599999999999E-2</v>
      </c>
      <c r="O3912">
        <v>8.2306189999999998E-3</v>
      </c>
      <c r="P3912">
        <v>0.93079840000000003</v>
      </c>
      <c r="Q3912">
        <v>0.33281050000000001</v>
      </c>
      <c r="R3912">
        <v>0.151168</v>
      </c>
      <c r="S3912">
        <v>3.2344970000000002</v>
      </c>
      <c r="T3912">
        <v>-0.20569499999999999</v>
      </c>
      <c r="U3912">
        <v>0.38081359999999997</v>
      </c>
      <c r="V3912">
        <v>-0.14348759999999999</v>
      </c>
      <c r="W3912">
        <v>0.34646189999999999</v>
      </c>
      <c r="X3912">
        <v>0.92702499999999999</v>
      </c>
      <c r="Y3912">
        <v>-0.1084914</v>
      </c>
      <c r="Z3912">
        <v>3.833777E-3</v>
      </c>
      <c r="AA3912">
        <v>0.99409000000000003</v>
      </c>
      <c r="AB3912">
        <v>35</v>
      </c>
      <c r="AC3912">
        <v>17.112599999999901</v>
      </c>
      <c r="AD3912">
        <v>-1.110518818077</v>
      </c>
      <c r="AE3912">
        <v>2.0529999999999902</v>
      </c>
      <c r="AF3912">
        <v>-1.90416267787509</v>
      </c>
      <c r="AG3912">
        <v>-1.110518818077</v>
      </c>
      <c r="AH3912">
        <v>17.0581014015088</v>
      </c>
      <c r="AI3912">
        <v>93.701892832764401</v>
      </c>
      <c r="AJ3912">
        <v>96.369447571001999</v>
      </c>
      <c r="AK3912">
        <v>17.199939272371601</v>
      </c>
      <c r="AL3912">
        <v>69.7289376919462</v>
      </c>
      <c r="AM3912">
        <v>98.798584428072402</v>
      </c>
      <c r="AN3912">
        <v>0.99999994506518297</v>
      </c>
    </row>
    <row r="3913" spans="1:40" x14ac:dyDescent="0.25">
      <c r="A3913" t="str">
        <f>"20190304164206914"</f>
        <v>20190304164206914</v>
      </c>
      <c r="B3913" t="str">
        <f>"1551688926904514"</f>
        <v>1551688926904514</v>
      </c>
      <c r="C3913" t="s">
        <v>40</v>
      </c>
      <c r="D3913">
        <v>4.1043320000000003</v>
      </c>
      <c r="E3913">
        <v>0.52106569999999997</v>
      </c>
      <c r="F3913" t="s">
        <v>46</v>
      </c>
      <c r="G3913">
        <v>-254.6576</v>
      </c>
      <c r="H3913" s="1">
        <v>8.6067039999999996E-7</v>
      </c>
      <c r="I3913">
        <v>216.47149999999999</v>
      </c>
      <c r="J3913">
        <v>-272.0333</v>
      </c>
      <c r="K3913">
        <v>1.1105179999999999</v>
      </c>
      <c r="L3913">
        <v>214.3929</v>
      </c>
      <c r="M3913">
        <v>0.99985849999999998</v>
      </c>
      <c r="N3913">
        <v>-1.4672330000000001E-2</v>
      </c>
      <c r="O3913">
        <v>8.2306730000000008E-3</v>
      </c>
      <c r="P3913">
        <v>0.93065889999999996</v>
      </c>
      <c r="Q3913">
        <v>0.33298929999999999</v>
      </c>
      <c r="R3913">
        <v>0.15163109999999999</v>
      </c>
      <c r="S3913">
        <v>3.2337950000000002</v>
      </c>
      <c r="T3913">
        <v>-0.20273260000000001</v>
      </c>
      <c r="U3913">
        <v>0.37997439999999999</v>
      </c>
      <c r="V3913">
        <v>-0.14395139999999901</v>
      </c>
      <c r="W3913">
        <v>0.34663189999999999</v>
      </c>
      <c r="X3913">
        <v>0.92688959999999998</v>
      </c>
      <c r="Y3913">
        <v>-0.108269</v>
      </c>
      <c r="Z3913">
        <v>3.7834890000000001E-3</v>
      </c>
      <c r="AA3913">
        <v>0.99411450000000001</v>
      </c>
      <c r="AB3913">
        <v>35</v>
      </c>
      <c r="AC3913">
        <v>17.375699999999899</v>
      </c>
      <c r="AD3913">
        <v>-1.1105171393296001</v>
      </c>
      <c r="AE3913">
        <v>2.07859999999999</v>
      </c>
      <c r="AF3913">
        <v>-1.9277372430517099</v>
      </c>
      <c r="AG3913">
        <v>-1.1105171393296001</v>
      </c>
      <c r="AH3913">
        <v>17.322461738079799</v>
      </c>
      <c r="AI3913">
        <v>93.645682944780802</v>
      </c>
      <c r="AJ3913">
        <v>96.350056315420503</v>
      </c>
      <c r="AK3913">
        <v>17.464738757342801</v>
      </c>
      <c r="AL3913">
        <v>69.718555227816395</v>
      </c>
      <c r="AM3913">
        <v>98.827846350065101</v>
      </c>
      <c r="AN3913">
        <v>1.00000000512386</v>
      </c>
    </row>
    <row r="3914" spans="1:40" x14ac:dyDescent="0.25">
      <c r="A3914" t="str">
        <f>"20190304164206937"</f>
        <v>20190304164206937</v>
      </c>
      <c r="B3914" t="str">
        <f>"1551688926925011"</f>
        <v>1551688926925011</v>
      </c>
      <c r="C3914" t="s">
        <v>40</v>
      </c>
      <c r="D3914">
        <v>4.0862759999999998</v>
      </c>
      <c r="E3914">
        <v>0.52128859999999999</v>
      </c>
      <c r="F3914" t="s">
        <v>46</v>
      </c>
      <c r="G3914">
        <v>-254.1011</v>
      </c>
      <c r="H3914" s="1">
        <v>5.6305729999999996E-7</v>
      </c>
      <c r="I3914">
        <v>216.50479999999999</v>
      </c>
      <c r="J3914">
        <v>-271.6782</v>
      </c>
      <c r="K3914">
        <v>1.110519</v>
      </c>
      <c r="L3914">
        <v>214.39580000000001</v>
      </c>
      <c r="M3914">
        <v>0.99985889999999999</v>
      </c>
      <c r="N3914">
        <v>-1.4652200000000001E-2</v>
      </c>
      <c r="O3914">
        <v>8.2306429999999993E-3</v>
      </c>
      <c r="P3914">
        <v>0.93062800000000001</v>
      </c>
      <c r="Q3914">
        <v>0.33290969999999998</v>
      </c>
      <c r="R3914">
        <v>0.15199589999999999</v>
      </c>
      <c r="S3914">
        <v>3.2331240000000001</v>
      </c>
      <c r="T3914">
        <v>-0.20022309999999999</v>
      </c>
      <c r="U3914">
        <v>0.38078309999999999</v>
      </c>
      <c r="V3914">
        <v>-0.14431720000000001</v>
      </c>
      <c r="W3914">
        <v>0.34653339999999999</v>
      </c>
      <c r="X3914">
        <v>0.92686950000000001</v>
      </c>
      <c r="Y3914">
        <v>-0.108543</v>
      </c>
      <c r="Z3914">
        <v>3.7578310000000001E-3</v>
      </c>
      <c r="AA3914">
        <v>0.99408470000000004</v>
      </c>
      <c r="AB3914">
        <v>35</v>
      </c>
      <c r="AC3914">
        <v>17.577100000000002</v>
      </c>
      <c r="AD3914">
        <v>-1.1105184369426999</v>
      </c>
      <c r="AE3914">
        <v>2.10899999999998</v>
      </c>
      <c r="AF3914">
        <v>-1.9565431203938199</v>
      </c>
      <c r="AG3914">
        <v>-1.1105184369426999</v>
      </c>
      <c r="AH3914">
        <v>17.524903557608599</v>
      </c>
      <c r="AI3914">
        <v>93.603543327360796</v>
      </c>
      <c r="AJ3914">
        <v>96.370326628748003</v>
      </c>
      <c r="AK3914">
        <v>17.668716899770398</v>
      </c>
      <c r="AL3914">
        <v>69.724570832197799</v>
      </c>
      <c r="AM3914">
        <v>98.850113320605502</v>
      </c>
      <c r="AN3914">
        <v>0.99999996078082398</v>
      </c>
    </row>
    <row r="3915" spans="1:40" x14ac:dyDescent="0.25">
      <c r="A3915" t="str">
        <f>"20190304164206960"</f>
        <v>20190304164206960</v>
      </c>
      <c r="B3915" t="str">
        <f>"1551688926955267"</f>
        <v>1551688926955267</v>
      </c>
      <c r="C3915" t="s">
        <v>40</v>
      </c>
      <c r="D3915">
        <v>4.0727640000000003</v>
      </c>
      <c r="E3915">
        <v>0.52170240000000001</v>
      </c>
      <c r="F3915" t="s">
        <v>46</v>
      </c>
      <c r="G3915">
        <v>-253.59030000000001</v>
      </c>
      <c r="H3915" s="1">
        <v>2.9061269999999998E-7</v>
      </c>
      <c r="I3915">
        <v>216.51949999999999</v>
      </c>
      <c r="J3915">
        <v>-271.3279</v>
      </c>
      <c r="K3915">
        <v>1.1105100000000001</v>
      </c>
      <c r="L3915">
        <v>214.39869999999999</v>
      </c>
      <c r="M3915">
        <v>0.99985959999999996</v>
      </c>
      <c r="N3915">
        <v>-1.460929E-2</v>
      </c>
      <c r="O3915">
        <v>8.2304839999999997E-3</v>
      </c>
      <c r="P3915">
        <v>0.93073059999999996</v>
      </c>
      <c r="Q3915">
        <v>0.33248299999999997</v>
      </c>
      <c r="R3915">
        <v>0.15230250000000001</v>
      </c>
      <c r="S3915">
        <v>3.2326350000000001</v>
      </c>
      <c r="T3915">
        <v>-0.19847010000000001</v>
      </c>
      <c r="U3915">
        <v>0.37954710000000003</v>
      </c>
      <c r="V3915">
        <v>-0.144623</v>
      </c>
      <c r="W3915">
        <v>0.3460683</v>
      </c>
      <c r="X3915">
        <v>0.92699560000000003</v>
      </c>
      <c r="Y3915">
        <v>-0.10819040000000001</v>
      </c>
      <c r="Z3915">
        <v>3.7174310000000002E-3</v>
      </c>
      <c r="AA3915">
        <v>0.99412319999999998</v>
      </c>
      <c r="AB3915">
        <v>35</v>
      </c>
      <c r="AC3915">
        <v>17.737599999999901</v>
      </c>
      <c r="AD3915">
        <v>-1.1105097093873</v>
      </c>
      <c r="AE3915">
        <v>2.1208</v>
      </c>
      <c r="AF3915">
        <v>-1.9671216747970299</v>
      </c>
      <c r="AG3915">
        <v>-1.1105097093873</v>
      </c>
      <c r="AH3915">
        <v>17.686108649114502</v>
      </c>
      <c r="AI3915">
        <v>93.570919625596005</v>
      </c>
      <c r="AJ3915">
        <v>96.346587009381693</v>
      </c>
      <c r="AK3915">
        <v>17.8297851542407</v>
      </c>
      <c r="AL3915">
        <v>69.752976773129404</v>
      </c>
      <c r="AM3915">
        <v>98.867381195648704</v>
      </c>
      <c r="AN3915">
        <v>0.99999996140662395</v>
      </c>
    </row>
    <row r="3916" spans="1:40" x14ac:dyDescent="0.25">
      <c r="A3916" t="str">
        <f>"20190304164206981"</f>
        <v>20190304164206981</v>
      </c>
      <c r="B3916" t="str">
        <f>"1551688926974785"</f>
        <v>1551688926974785</v>
      </c>
      <c r="C3916" t="s">
        <v>40</v>
      </c>
      <c r="D3916">
        <v>4.2232560000000001</v>
      </c>
      <c r="E3916">
        <v>0.52175769999999999</v>
      </c>
      <c r="F3916" t="s">
        <v>46</v>
      </c>
      <c r="G3916">
        <v>-252.98990000000001</v>
      </c>
      <c r="H3916" s="1">
        <v>-2.9621129999999999E-8</v>
      </c>
      <c r="I3916">
        <v>216.53630000000001</v>
      </c>
      <c r="J3916">
        <v>-270.9803</v>
      </c>
      <c r="K3916">
        <v>1.110482</v>
      </c>
      <c r="L3916">
        <v>214.4016</v>
      </c>
      <c r="M3916">
        <v>0.99986050000000004</v>
      </c>
      <c r="N3916">
        <v>-1.4533799999999999E-2</v>
      </c>
      <c r="O3916">
        <v>8.2306819999999996E-3</v>
      </c>
      <c r="P3916">
        <v>0.93096869999999998</v>
      </c>
      <c r="Q3916">
        <v>0.33187850000000002</v>
      </c>
      <c r="R3916">
        <v>0.15216479999999999</v>
      </c>
      <c r="S3916">
        <v>3.2315369999999999</v>
      </c>
      <c r="T3916">
        <v>-0.1956958</v>
      </c>
      <c r="U3916">
        <v>0.37669370000000002</v>
      </c>
      <c r="V3916">
        <v>-0.14448329999999901</v>
      </c>
      <c r="W3916">
        <v>0.34539760000000003</v>
      </c>
      <c r="X3916">
        <v>0.92726759999999997</v>
      </c>
      <c r="Y3916">
        <v>-0.1073713</v>
      </c>
      <c r="Z3916">
        <v>3.643922E-3</v>
      </c>
      <c r="AA3916">
        <v>0.99421230000000005</v>
      </c>
      <c r="AB3916">
        <v>35</v>
      </c>
      <c r="AC3916">
        <v>17.990399999999902</v>
      </c>
      <c r="AD3916">
        <v>-1.11048202962113</v>
      </c>
      <c r="AE3916">
        <v>2.1347</v>
      </c>
      <c r="AF3916">
        <v>-1.9791028021847401</v>
      </c>
      <c r="AG3916">
        <v>-1.11048202962113</v>
      </c>
      <c r="AH3916">
        <v>17.939957589915501</v>
      </c>
      <c r="AI3916">
        <v>93.520780013514099</v>
      </c>
      <c r="AJ3916">
        <v>96.295308177890504</v>
      </c>
      <c r="AK3916">
        <v>18.082922788302099</v>
      </c>
      <c r="AL3916">
        <v>69.793932718330197</v>
      </c>
      <c r="AM3916">
        <v>98.856394151648999</v>
      </c>
      <c r="AN3916">
        <v>1.0000000640372</v>
      </c>
    </row>
    <row r="3917" spans="1:40" x14ac:dyDescent="0.25">
      <c r="A3917" t="str">
        <f>"20190304164207004"</f>
        <v>20190304164207004</v>
      </c>
      <c r="B3917" t="str">
        <f>"1551688926995283"</f>
        <v>1551688926995283</v>
      </c>
      <c r="C3917" t="s">
        <v>40</v>
      </c>
      <c r="D3917">
        <v>3.999161</v>
      </c>
      <c r="E3917">
        <v>0.55728100000000003</v>
      </c>
      <c r="F3917" t="s">
        <v>46</v>
      </c>
      <c r="G3917">
        <v>-252.74340000000001</v>
      </c>
      <c r="H3917" s="1">
        <v>-1.6023049999999999E-7</v>
      </c>
      <c r="I3917">
        <v>216.52250000000001</v>
      </c>
      <c r="J3917">
        <v>-270.64249999999998</v>
      </c>
      <c r="K3917">
        <v>1.110457</v>
      </c>
      <c r="L3917">
        <v>214.40430000000001</v>
      </c>
      <c r="M3917">
        <v>0.99986209999999998</v>
      </c>
      <c r="N3917">
        <v>-1.4424899999999999E-2</v>
      </c>
      <c r="O3917">
        <v>8.2308239999999994E-3</v>
      </c>
      <c r="P3917">
        <v>0.93092949999999997</v>
      </c>
      <c r="Q3917">
        <v>0.33190130000000001</v>
      </c>
      <c r="R3917">
        <v>0.15235470000000001</v>
      </c>
      <c r="S3917">
        <v>3.2311709999999998</v>
      </c>
      <c r="T3917">
        <v>-0.1967516</v>
      </c>
      <c r="U3917">
        <v>0.37577820000000001</v>
      </c>
      <c r="V3917">
        <v>-0.1446731</v>
      </c>
      <c r="W3917">
        <v>0.34531840000000003</v>
      </c>
      <c r="X3917">
        <v>0.92726739999999996</v>
      </c>
      <c r="Y3917">
        <v>-0.1071049</v>
      </c>
      <c r="Z3917">
        <v>3.6422540000000002E-3</v>
      </c>
      <c r="AA3917">
        <v>0.99424109999999999</v>
      </c>
      <c r="AB3917">
        <v>35</v>
      </c>
      <c r="AC3917">
        <v>17.899099999999901</v>
      </c>
      <c r="AD3917">
        <v>-1.1104571602305</v>
      </c>
      <c r="AE3917">
        <v>2.1181999999999999</v>
      </c>
      <c r="AF3917">
        <v>-1.9633361684452699</v>
      </c>
      <c r="AG3917">
        <v>-1.1104571602305</v>
      </c>
      <c r="AH3917">
        <v>17.848182095343599</v>
      </c>
      <c r="AI3917">
        <v>93.538880398555506</v>
      </c>
      <c r="AJ3917">
        <v>96.277413111793905</v>
      </c>
      <c r="AK3917">
        <v>17.990147529233202</v>
      </c>
      <c r="AL3917">
        <v>69.798766015102302</v>
      </c>
      <c r="AM3917">
        <v>98.867845417163593</v>
      </c>
      <c r="AN3917">
        <v>0.99999996717246398</v>
      </c>
    </row>
    <row r="3918" spans="1:40" x14ac:dyDescent="0.25">
      <c r="A3918" t="str">
        <f>"20190304164207026"</f>
        <v>20190304164207026</v>
      </c>
      <c r="B3918" t="str">
        <f>"1551688927014802"</f>
        <v>1551688927014802</v>
      </c>
      <c r="C3918" t="s">
        <v>40</v>
      </c>
      <c r="D3918">
        <v>3.9601150000000001</v>
      </c>
      <c r="E3918">
        <v>0.56228500000000003</v>
      </c>
      <c r="F3918" t="s">
        <v>46</v>
      </c>
      <c r="G3918">
        <v>-252.85669999999999</v>
      </c>
      <c r="H3918" s="1">
        <v>-3.023052E-8</v>
      </c>
      <c r="I3918">
        <v>214.9282</v>
      </c>
      <c r="J3918">
        <v>-270.29360000000003</v>
      </c>
      <c r="K3918">
        <v>1.1104270000000001</v>
      </c>
      <c r="L3918">
        <v>214.40719999999999</v>
      </c>
      <c r="M3918">
        <v>0.99986419999999998</v>
      </c>
      <c r="N3918">
        <v>-1.4284679999999999E-2</v>
      </c>
      <c r="O3918">
        <v>8.2308299999999997E-3</v>
      </c>
      <c r="P3918">
        <v>0.93053969999999997</v>
      </c>
      <c r="Q3918">
        <v>0.3328912</v>
      </c>
      <c r="R3918">
        <v>0.1525765</v>
      </c>
      <c r="S3918">
        <v>3.2798159999999998</v>
      </c>
      <c r="T3918">
        <v>-0.2047756</v>
      </c>
      <c r="U3918">
        <v>9.661865E-2</v>
      </c>
      <c r="V3918">
        <v>-0.1448982</v>
      </c>
      <c r="W3918">
        <v>0.34617249999999999</v>
      </c>
      <c r="X3918">
        <v>0.92691369999999895</v>
      </c>
      <c r="Y3918">
        <v>-2.1175570000000001E-2</v>
      </c>
      <c r="Z3918">
        <v>4.159376E-4</v>
      </c>
      <c r="AA3918">
        <v>0.99977570000000004</v>
      </c>
      <c r="AB3918">
        <v>35</v>
      </c>
      <c r="AC3918">
        <v>17.436900000000001</v>
      </c>
      <c r="AD3918">
        <v>-1.1104270302305199</v>
      </c>
      <c r="AE3918">
        <v>0.52100000000001501</v>
      </c>
      <c r="AF3918">
        <v>-0.37592436783577898</v>
      </c>
      <c r="AG3918">
        <v>-1.1104270302305199</v>
      </c>
      <c r="AH3918">
        <v>17.370216317985498</v>
      </c>
      <c r="AI3918">
        <v>93.656920032737304</v>
      </c>
      <c r="AJ3918">
        <v>91.239795608228405</v>
      </c>
      <c r="AK3918">
        <v>17.4097324003964</v>
      </c>
      <c r="AL3918">
        <v>69.746612932085</v>
      </c>
      <c r="AM3918">
        <v>98.884758288415895</v>
      </c>
      <c r="AN3918">
        <v>0.99999994768358802</v>
      </c>
    </row>
    <row r="3919" spans="1:40" x14ac:dyDescent="0.25">
      <c r="A3919" t="str">
        <f>"20190304164207049"</f>
        <v>20190304164207049</v>
      </c>
      <c r="B3919" t="str">
        <f>"1551688927035298"</f>
        <v>1551688927035298</v>
      </c>
      <c r="C3919" t="s">
        <v>40</v>
      </c>
      <c r="D3919">
        <v>3.9949629999999998</v>
      </c>
      <c r="E3919">
        <v>0.56456519999999899</v>
      </c>
      <c r="F3919" t="s">
        <v>46</v>
      </c>
      <c r="G3919">
        <v>-252.10140000000001</v>
      </c>
      <c r="H3919" s="1">
        <v>-4.2319529999999998E-7</v>
      </c>
      <c r="I3919">
        <v>214.7226</v>
      </c>
      <c r="J3919">
        <v>-269.93180000000001</v>
      </c>
      <c r="K3919">
        <v>1.1104069999999999</v>
      </c>
      <c r="L3919">
        <v>214.4102</v>
      </c>
      <c r="M3919">
        <v>0.99986640000000004</v>
      </c>
      <c r="N3919">
        <v>-1.4128780000000001E-2</v>
      </c>
      <c r="O3919">
        <v>8.2311160000000001E-3</v>
      </c>
      <c r="P3919">
        <v>0.93065200000000003</v>
      </c>
      <c r="Q3919">
        <v>0.33249519999999999</v>
      </c>
      <c r="R3919">
        <v>0.15275520000000001</v>
      </c>
      <c r="S3919">
        <v>3.286346</v>
      </c>
      <c r="T3919">
        <v>-0.2005932</v>
      </c>
      <c r="U3919">
        <v>5.6976319999999997E-2</v>
      </c>
      <c r="V3919">
        <v>-0.1450756</v>
      </c>
      <c r="W3919">
        <v>0.34563389999999999</v>
      </c>
      <c r="X3919">
        <v>0.92708699999999999</v>
      </c>
      <c r="Y3919">
        <v>-9.0915960000000004E-3</v>
      </c>
      <c r="Z3919" s="1">
        <v>-4.4185840000000002E-5</v>
      </c>
      <c r="AA3919">
        <v>0.99995869999999998</v>
      </c>
      <c r="AB3919">
        <v>35</v>
      </c>
      <c r="AC3919">
        <v>17.830399999999901</v>
      </c>
      <c r="AD3919">
        <v>-1.1104074231952901</v>
      </c>
      <c r="AE3919">
        <v>0.31239999999999601</v>
      </c>
      <c r="AF3919">
        <v>-0.164971074743958</v>
      </c>
      <c r="AG3919">
        <v>-1.1104074231952901</v>
      </c>
      <c r="AH3919">
        <v>17.763496303198</v>
      </c>
      <c r="AI3919">
        <v>93.576787465338597</v>
      </c>
      <c r="AJ3919">
        <v>90.532095395429906</v>
      </c>
      <c r="AK3919">
        <v>17.798933142599299</v>
      </c>
      <c r="AL3919">
        <v>69.779504122073803</v>
      </c>
      <c r="AM3919">
        <v>98.893825873447994</v>
      </c>
      <c r="AN3919">
        <v>1.00000001405678</v>
      </c>
    </row>
    <row r="3920" spans="1:40" x14ac:dyDescent="0.25">
      <c r="A3920" t="str">
        <f>"20190304164207071"</f>
        <v>20190304164207071</v>
      </c>
      <c r="B3920" t="str">
        <f>"1551688927064578"</f>
        <v>1551688927064578</v>
      </c>
      <c r="C3920" t="s">
        <v>40</v>
      </c>
      <c r="D3920">
        <v>4.8045349999999996</v>
      </c>
      <c r="E3920">
        <v>0.56562880000000004</v>
      </c>
      <c r="F3920" t="s">
        <v>46</v>
      </c>
      <c r="G3920">
        <v>-252.13300000000001</v>
      </c>
      <c r="H3920" s="1">
        <v>-4.0230839999999997E-7</v>
      </c>
      <c r="I3920">
        <v>214.62950000000001</v>
      </c>
      <c r="J3920">
        <v>-269.58300000000003</v>
      </c>
      <c r="K3920">
        <v>1.1103809999999901</v>
      </c>
      <c r="L3920">
        <v>214.41300000000001</v>
      </c>
      <c r="M3920">
        <v>0.9998686</v>
      </c>
      <c r="N3920">
        <v>-1.3972500000000001E-2</v>
      </c>
      <c r="O3920">
        <v>8.2312110000000004E-3</v>
      </c>
      <c r="P3920">
        <v>0.93062040000000001</v>
      </c>
      <c r="Q3920">
        <v>0.33283469999999998</v>
      </c>
      <c r="R3920">
        <v>0.1522067</v>
      </c>
      <c r="S3920">
        <v>3.2902529999999999</v>
      </c>
      <c r="T3920">
        <v>-0.2052678</v>
      </c>
      <c r="U3920">
        <v>4.0542599999999998E-2</v>
      </c>
      <c r="V3920">
        <v>-0.1445275</v>
      </c>
      <c r="W3920">
        <v>0.34582760000000001</v>
      </c>
      <c r="X3920">
        <v>0.92710040000000005</v>
      </c>
      <c r="Y3920">
        <v>-4.0891929999999996E-3</v>
      </c>
      <c r="Z3920">
        <v>-2.4202960000000001E-4</v>
      </c>
      <c r="AA3920">
        <v>0.99999159999999998</v>
      </c>
      <c r="AB3920">
        <v>35</v>
      </c>
      <c r="AC3920">
        <v>17.4499999999999</v>
      </c>
      <c r="AD3920">
        <v>-1.11038140230839</v>
      </c>
      <c r="AE3920">
        <v>0.21650000000002401</v>
      </c>
      <c r="AF3920">
        <v>-7.2550308820610601E-2</v>
      </c>
      <c r="AG3920">
        <v>-1.11038140230839</v>
      </c>
      <c r="AH3920">
        <v>17.380825902681099</v>
      </c>
      <c r="AI3920">
        <v>93.6553657293112</v>
      </c>
      <c r="AJ3920">
        <v>90.239160232030102</v>
      </c>
      <c r="AK3920">
        <v>17.416409488330601</v>
      </c>
      <c r="AL3920">
        <v>69.767677104826205</v>
      </c>
      <c r="AM3920">
        <v>98.860632867429103</v>
      </c>
      <c r="AN3920">
        <v>1.00000003942908</v>
      </c>
    </row>
    <row r="3921" spans="1:40" x14ac:dyDescent="0.25">
      <c r="A3921" t="str">
        <f>"20190304164207092"</f>
        <v>20190304164207092</v>
      </c>
      <c r="B3921" t="str">
        <f>"1551688927085074"</f>
        <v>1551688927085074</v>
      </c>
      <c r="C3921" t="s">
        <v>40</v>
      </c>
      <c r="D3921">
        <v>3.9680179999999998</v>
      </c>
      <c r="E3921">
        <v>0.56602569999999996</v>
      </c>
      <c r="F3921" t="s">
        <v>46</v>
      </c>
      <c r="G3921">
        <v>-250.65559999999999</v>
      </c>
      <c r="H3921" s="1">
        <v>-1.1869090000000001E-6</v>
      </c>
      <c r="I3921">
        <v>214.59299999999999</v>
      </c>
      <c r="J3921">
        <v>-269.25150000000002</v>
      </c>
      <c r="K3921">
        <v>1.1103639999999999</v>
      </c>
      <c r="L3921">
        <v>214.41579999999999</v>
      </c>
      <c r="M3921">
        <v>0.99987079999999995</v>
      </c>
      <c r="N3921">
        <v>-1.3821119999999999E-2</v>
      </c>
      <c r="O3921">
        <v>8.2310830000000001E-3</v>
      </c>
      <c r="P3921">
        <v>0.93065200000000003</v>
      </c>
      <c r="Q3921">
        <v>0.33288909999999899</v>
      </c>
      <c r="R3921">
        <v>0.1518938</v>
      </c>
      <c r="S3921">
        <v>3.2875369999999999</v>
      </c>
      <c r="T3921">
        <v>-0.19286410000000001</v>
      </c>
      <c r="U3921">
        <v>3.1265260000000003E-2</v>
      </c>
      <c r="V3921">
        <v>-0.1442145</v>
      </c>
      <c r="W3921">
        <v>0.3457421</v>
      </c>
      <c r="X3921">
        <v>0.92718100000000003</v>
      </c>
      <c r="Y3921">
        <v>-1.2835310000000001E-3</v>
      </c>
      <c r="Z3921">
        <v>-3.2225480000000001E-4</v>
      </c>
      <c r="AA3921">
        <v>0.99999910000000003</v>
      </c>
      <c r="AB3921">
        <v>35</v>
      </c>
      <c r="AC3921">
        <v>18.5959</v>
      </c>
      <c r="AD3921">
        <v>-1.1103651869090001</v>
      </c>
      <c r="AE3921">
        <v>0.177199999999999</v>
      </c>
      <c r="AF3921">
        <v>-2.4029343787133801E-2</v>
      </c>
      <c r="AG3921">
        <v>-1.1103651869090001</v>
      </c>
      <c r="AH3921">
        <v>18.5306670434517</v>
      </c>
      <c r="AI3921">
        <v>93.429083713223093</v>
      </c>
      <c r="AJ3921">
        <v>90.074297336871297</v>
      </c>
      <c r="AK3921">
        <v>18.5639195573814</v>
      </c>
      <c r="AL3921">
        <v>69.772897415826094</v>
      </c>
      <c r="AM3921">
        <v>98.840990640790594</v>
      </c>
      <c r="AN3921">
        <v>1.0000000142418299</v>
      </c>
    </row>
    <row r="3922" spans="1:40" x14ac:dyDescent="0.25">
      <c r="A3922" t="str">
        <f>"20190304164207115"</f>
        <v>20190304164207115</v>
      </c>
      <c r="B3922" t="str">
        <f>"1551688927104595"</f>
        <v>1551688927104595</v>
      </c>
      <c r="C3922" t="s">
        <v>40</v>
      </c>
      <c r="D3922">
        <v>3.9765969999999999</v>
      </c>
      <c r="E3922">
        <v>0.56614129999999996</v>
      </c>
      <c r="F3922" t="s">
        <v>46</v>
      </c>
      <c r="G3922">
        <v>-249.54900000000001</v>
      </c>
      <c r="H3922" s="1">
        <v>3.546506E-6</v>
      </c>
      <c r="I3922">
        <v>214.57589999999999</v>
      </c>
      <c r="J3922">
        <v>-268.90219999999999</v>
      </c>
      <c r="K3922">
        <v>1.110357</v>
      </c>
      <c r="L3922">
        <v>214.4187</v>
      </c>
      <c r="M3922">
        <v>0.99987280000000001</v>
      </c>
      <c r="N3922">
        <v>-1.3664030000000001E-2</v>
      </c>
      <c r="O3922">
        <v>8.2315189999999996E-3</v>
      </c>
      <c r="P3922">
        <v>0.93044830000000001</v>
      </c>
      <c r="Q3922">
        <v>0.33347159999999998</v>
      </c>
      <c r="R3922">
        <v>0.151864</v>
      </c>
      <c r="S3922">
        <v>3.2854309999999902</v>
      </c>
      <c r="T3922">
        <v>-0.18515529999999999</v>
      </c>
      <c r="U3922">
        <v>2.6702879999999998E-2</v>
      </c>
      <c r="V3922">
        <v>-0.1441858</v>
      </c>
      <c r="W3922">
        <v>0.346176599999999</v>
      </c>
      <c r="X3922">
        <v>0.92702340000000005</v>
      </c>
      <c r="Y3922" s="1">
        <v>9.7208239999999998E-5</v>
      </c>
      <c r="Z3922">
        <v>-3.5450439999999998E-4</v>
      </c>
      <c r="AA3922">
        <v>0.99999990000000005</v>
      </c>
      <c r="AB3922">
        <v>35</v>
      </c>
      <c r="AC3922">
        <v>19.353199999999902</v>
      </c>
      <c r="AD3922">
        <v>-1.1103534534940001</v>
      </c>
      <c r="AE3922">
        <v>0.15719999999998799</v>
      </c>
      <c r="AF3922">
        <v>2.11945169780827E-3</v>
      </c>
      <c r="AG3922">
        <v>-1.1103534534940001</v>
      </c>
      <c r="AH3922">
        <v>19.290344962208199</v>
      </c>
      <c r="AI3922">
        <v>93.294313617569898</v>
      </c>
      <c r="AJ3922">
        <v>89.993704848880796</v>
      </c>
      <c r="AK3922">
        <v>19.322274660214202</v>
      </c>
      <c r="AL3922">
        <v>69.746365413722003</v>
      </c>
      <c r="AM3922">
        <v>98.840737985092503</v>
      </c>
      <c r="AN3922">
        <v>1.00000008372837</v>
      </c>
    </row>
    <row r="3923" spans="1:40" x14ac:dyDescent="0.25">
      <c r="A3923" t="str">
        <f>"20190304164207137"</f>
        <v>20190304164207137</v>
      </c>
      <c r="B3923" t="str">
        <f>"1551688927125091"</f>
        <v>1551688927125091</v>
      </c>
      <c r="C3923" t="s">
        <v>40</v>
      </c>
      <c r="D3923">
        <v>4.0007519999999896</v>
      </c>
      <c r="E3923">
        <v>0.56640979999999996</v>
      </c>
      <c r="F3923" t="s">
        <v>46</v>
      </c>
      <c r="G3923">
        <v>-248.37180000000001</v>
      </c>
      <c r="H3923" s="1">
        <v>2.9204349999999999E-6</v>
      </c>
      <c r="I3923">
        <v>214.5667</v>
      </c>
      <c r="J3923">
        <v>-268.54700000000003</v>
      </c>
      <c r="K3923">
        <v>1.1103369999999999</v>
      </c>
      <c r="L3923">
        <v>214.42160000000001</v>
      </c>
      <c r="M3923">
        <v>0.99987490000000001</v>
      </c>
      <c r="N3923">
        <v>-1.351401E-2</v>
      </c>
      <c r="O3923">
        <v>8.2318949999999995E-3</v>
      </c>
      <c r="P3923">
        <v>0.93035730000000005</v>
      </c>
      <c r="Q3923">
        <v>0.33369460000000001</v>
      </c>
      <c r="R3923">
        <v>0.1519316</v>
      </c>
      <c r="S3923">
        <v>3.284027</v>
      </c>
      <c r="T3923">
        <v>-0.17761109999999999</v>
      </c>
      <c r="U3923">
        <v>2.368164E-2</v>
      </c>
      <c r="V3923">
        <v>-0.14425370000000001</v>
      </c>
      <c r="W3923">
        <v>0.34625889999999998</v>
      </c>
      <c r="X3923">
        <v>0.92698199999999997</v>
      </c>
      <c r="Y3923">
        <v>1.0130860000000001E-3</v>
      </c>
      <c r="Z3923">
        <v>-3.6790720000000001E-4</v>
      </c>
      <c r="AA3923">
        <v>0.99999939999999998</v>
      </c>
      <c r="AB3923">
        <v>35</v>
      </c>
      <c r="AC3923">
        <v>20.1752</v>
      </c>
      <c r="AD3923">
        <v>-1.1103340795649901</v>
      </c>
      <c r="AE3923">
        <v>0.14509999999998499</v>
      </c>
      <c r="AF3923">
        <v>2.09367853236785E-2</v>
      </c>
      <c r="AG3923">
        <v>-1.1103340795649901</v>
      </c>
      <c r="AH3923">
        <v>20.114790171466101</v>
      </c>
      <c r="AI3923">
        <v>93.159512223440203</v>
      </c>
      <c r="AJ3923">
        <v>89.940362837882901</v>
      </c>
      <c r="AK3923">
        <v>20.145422898498101</v>
      </c>
      <c r="AL3923">
        <v>69.741337177445004</v>
      </c>
      <c r="AM3923">
        <v>98.845224227720607</v>
      </c>
      <c r="AN3923">
        <v>0.99999999205845003</v>
      </c>
    </row>
    <row r="3924" spans="1:40" x14ac:dyDescent="0.25">
      <c r="A3924" t="str">
        <f>"20190304164207161"</f>
        <v>20190304164207161</v>
      </c>
      <c r="B3924" t="str">
        <f>"1551688927155346"</f>
        <v>1551688927155346</v>
      </c>
      <c r="C3924" t="s">
        <v>40</v>
      </c>
      <c r="D3924">
        <v>3.9723160000000002</v>
      </c>
      <c r="E3924">
        <v>0.56645299999999998</v>
      </c>
      <c r="F3924" t="s">
        <v>46</v>
      </c>
      <c r="G3924">
        <v>-248.10159999999999</v>
      </c>
      <c r="H3924" s="1">
        <v>2.7772299999999998E-6</v>
      </c>
      <c r="I3924">
        <v>214.55340000000001</v>
      </c>
      <c r="J3924">
        <v>-268.19189999999998</v>
      </c>
      <c r="K3924">
        <v>1.1103179999999999</v>
      </c>
      <c r="L3924">
        <v>214.42449999999999</v>
      </c>
      <c r="M3924">
        <v>0.9998766</v>
      </c>
      <c r="N3924">
        <v>-1.337724E-2</v>
      </c>
      <c r="O3924">
        <v>8.2322899999999997E-3</v>
      </c>
      <c r="P3924">
        <v>0.93032979999999998</v>
      </c>
      <c r="Q3924">
        <v>0.33373920000000001</v>
      </c>
      <c r="R3924">
        <v>0.1520029</v>
      </c>
      <c r="S3924">
        <v>3.2850950000000001</v>
      </c>
      <c r="T3924">
        <v>-0.17840490000000001</v>
      </c>
      <c r="U3924">
        <v>2.1179199999999999E-2</v>
      </c>
      <c r="V3924">
        <v>-0.14432509999999901</v>
      </c>
      <c r="W3924">
        <v>0.3461765</v>
      </c>
      <c r="X3924">
        <v>0.92700170000000004</v>
      </c>
      <c r="Y3924">
        <v>1.7759989999999999E-3</v>
      </c>
      <c r="Z3924">
        <v>-3.9674339999999999E-4</v>
      </c>
      <c r="AA3924">
        <v>0.99999830000000001</v>
      </c>
      <c r="AB3924">
        <v>35</v>
      </c>
      <c r="AC3924">
        <v>20.0902999999999</v>
      </c>
      <c r="AD3924">
        <v>-1.1103152227699999</v>
      </c>
      <c r="AE3924">
        <v>0.128900000000015</v>
      </c>
      <c r="AF3924">
        <v>3.6397184543519402E-2</v>
      </c>
      <c r="AG3924">
        <v>-1.1103152227699999</v>
      </c>
      <c r="AH3924">
        <v>20.029505602956299</v>
      </c>
      <c r="AI3924">
        <v>93.172880539954903</v>
      </c>
      <c r="AJ3924">
        <v>89.895883462806495</v>
      </c>
      <c r="AK3924">
        <v>20.060289612760201</v>
      </c>
      <c r="AL3924">
        <v>69.746370336855506</v>
      </c>
      <c r="AM3924">
        <v>98.849347904039405</v>
      </c>
      <c r="AN3924">
        <v>1.00000002772257</v>
      </c>
    </row>
    <row r="3925" spans="1:40" x14ac:dyDescent="0.25">
      <c r="A3925" t="str">
        <f>"20190304164207178"</f>
        <v>20190304164207178</v>
      </c>
      <c r="B3925" t="str">
        <f>"1551688927165106"</f>
        <v>1551688927165106</v>
      </c>
      <c r="C3925" t="s">
        <v>40</v>
      </c>
      <c r="D3925">
        <v>4.0651799999999998</v>
      </c>
      <c r="E3925">
        <v>0.56647720000000001</v>
      </c>
      <c r="F3925" t="s">
        <v>46</v>
      </c>
      <c r="G3925">
        <v>-248.02869999999999</v>
      </c>
      <c r="H3925" s="1">
        <v>2.738448E-6</v>
      </c>
      <c r="I3925">
        <v>214.55279999999999</v>
      </c>
      <c r="J3925">
        <v>-267.91579999999999</v>
      </c>
      <c r="K3925">
        <v>1.110306</v>
      </c>
      <c r="L3925">
        <v>214.42679999999999</v>
      </c>
      <c r="M3925">
        <v>0.99987800000000004</v>
      </c>
      <c r="N3925">
        <v>-1.3281080000000001E-2</v>
      </c>
      <c r="O3925">
        <v>8.2326399999999994E-3</v>
      </c>
      <c r="P3925">
        <v>0.93037760000000003</v>
      </c>
      <c r="Q3925">
        <v>0.33353709999999998</v>
      </c>
      <c r="R3925">
        <v>0.15215319999999999</v>
      </c>
      <c r="S3925">
        <v>3.2861630000000002</v>
      </c>
      <c r="T3925">
        <v>-0.18095710000000001</v>
      </c>
      <c r="U3925">
        <v>2.0904539999999999E-2</v>
      </c>
      <c r="V3925">
        <v>-0.14447460000000001</v>
      </c>
      <c r="W3925">
        <v>0.34588580000000002</v>
      </c>
      <c r="X3925">
        <v>0.92708690000000005</v>
      </c>
      <c r="Y3925">
        <v>1.8614790000000001E-3</v>
      </c>
      <c r="Z3925">
        <v>-4.0729269999999998E-4</v>
      </c>
      <c r="AA3925">
        <v>0.99999819999999995</v>
      </c>
      <c r="AB3925">
        <v>35</v>
      </c>
      <c r="AC3925">
        <v>19.8871</v>
      </c>
      <c r="AD3925">
        <v>-1.1103032615520001</v>
      </c>
      <c r="AE3925">
        <v>0.126000000000004</v>
      </c>
      <c r="AF3925">
        <v>3.7624759711416197E-2</v>
      </c>
      <c r="AG3925">
        <v>-1.1103032615520001</v>
      </c>
      <c r="AH3925">
        <v>19.825668707417101</v>
      </c>
      <c r="AI3925">
        <v>93.2053997771187</v>
      </c>
      <c r="AJ3925">
        <v>89.891265339875204</v>
      </c>
      <c r="AK3925">
        <v>19.856770347954701</v>
      </c>
      <c r="AL3925">
        <v>69.764122512740002</v>
      </c>
      <c r="AM3925">
        <v>98.857568064567104</v>
      </c>
      <c r="AN3925">
        <v>1.0000000084192</v>
      </c>
    </row>
    <row r="3926" spans="1:40" x14ac:dyDescent="0.25">
      <c r="A3926" t="str">
        <f>"20190304164207193"</f>
        <v>20190304164207193</v>
      </c>
      <c r="B3926" t="str">
        <f>"1551688927184627"</f>
        <v>1551688927184627</v>
      </c>
      <c r="C3926" t="s">
        <v>40</v>
      </c>
      <c r="D3926">
        <v>3.9446210000000002</v>
      </c>
      <c r="E3926">
        <v>0.56654550000000004</v>
      </c>
      <c r="F3926" t="s">
        <v>46</v>
      </c>
      <c r="G3926">
        <v>-247.6396</v>
      </c>
      <c r="H3926" s="1">
        <v>2.531083E-6</v>
      </c>
      <c r="I3926">
        <v>214.56010000000001</v>
      </c>
      <c r="J3926">
        <v>-267.6875</v>
      </c>
      <c r="K3926">
        <v>1.1102989999999999</v>
      </c>
      <c r="L3926">
        <v>214.42869999999999</v>
      </c>
      <c r="M3926">
        <v>0.99987890000000001</v>
      </c>
      <c r="N3926">
        <v>-1.320789E-2</v>
      </c>
      <c r="O3926">
        <v>8.232952E-3</v>
      </c>
      <c r="P3926">
        <v>0.93034220000000001</v>
      </c>
      <c r="Q3926">
        <v>0.333486</v>
      </c>
      <c r="R3926">
        <v>0.15248229999999999</v>
      </c>
      <c r="S3926">
        <v>3.2854610000000002</v>
      </c>
      <c r="T3926">
        <v>-0.17990819999999999</v>
      </c>
      <c r="U3926">
        <v>2.1606449999999999E-2</v>
      </c>
      <c r="V3926">
        <v>-0.14480419999999999</v>
      </c>
      <c r="W3926">
        <v>0.34576630000000003</v>
      </c>
      <c r="X3926">
        <v>0.92708000000000002</v>
      </c>
      <c r="Y3926">
        <v>1.647312E-3</v>
      </c>
      <c r="Z3926">
        <v>-3.9775219999999998E-4</v>
      </c>
      <c r="AA3926">
        <v>0.99999859999999896</v>
      </c>
      <c r="AB3926">
        <v>35</v>
      </c>
      <c r="AC3926">
        <v>20.047899999999998</v>
      </c>
      <c r="AD3926">
        <v>-1.1102964689169901</v>
      </c>
      <c r="AE3926">
        <v>0.13140000000001301</v>
      </c>
      <c r="AF3926">
        <v>3.35692885176593E-2</v>
      </c>
      <c r="AG3926">
        <v>-1.1102964689169901</v>
      </c>
      <c r="AH3926">
        <v>19.9870011151481</v>
      </c>
      <c r="AI3926">
        <v>93.179561346602199</v>
      </c>
      <c r="AJ3926">
        <v>89.9037686177289</v>
      </c>
      <c r="AK3926">
        <v>20.0178445074127</v>
      </c>
      <c r="AL3926">
        <v>69.771418543976097</v>
      </c>
      <c r="AM3926">
        <v>98.877518971980606</v>
      </c>
      <c r="AN3926">
        <v>0.99999995847666401</v>
      </c>
    </row>
    <row r="3927" spans="1:40" x14ac:dyDescent="0.25">
      <c r="A3927" t="str">
        <f>"20190304164207210"</f>
        <v>20190304164207210</v>
      </c>
      <c r="B3927" t="str">
        <f>"1551688927205122"</f>
        <v>1551688927205122</v>
      </c>
      <c r="C3927" t="s">
        <v>40</v>
      </c>
      <c r="D3927">
        <v>3.9454609999999999</v>
      </c>
      <c r="E3927">
        <v>0.56656739999999906</v>
      </c>
      <c r="F3927" t="s">
        <v>46</v>
      </c>
      <c r="G3927">
        <v>-247.03579999999999</v>
      </c>
      <c r="H3927" s="1">
        <v>2.2094200000000001E-6</v>
      </c>
      <c r="I3927">
        <v>214.5686</v>
      </c>
      <c r="J3927">
        <v>-267.43209999999999</v>
      </c>
      <c r="K3927">
        <v>1.1103000000000001</v>
      </c>
      <c r="L3927">
        <v>214.4308</v>
      </c>
      <c r="M3927">
        <v>0.99987999999999999</v>
      </c>
      <c r="N3927">
        <v>-1.3131729999999999E-2</v>
      </c>
      <c r="O3927">
        <v>8.2329229999999996E-3</v>
      </c>
      <c r="P3927">
        <v>0.93034209999999995</v>
      </c>
      <c r="Q3927">
        <v>0.33337450000000002</v>
      </c>
      <c r="R3927">
        <v>0.152725</v>
      </c>
      <c r="S3927">
        <v>3.2842709999999999</v>
      </c>
      <c r="T3927">
        <v>-0.1765727</v>
      </c>
      <c r="U3927">
        <v>2.2247309999999999E-2</v>
      </c>
      <c r="V3927">
        <v>-0.1450466</v>
      </c>
      <c r="W3927">
        <v>0.34558420000000001</v>
      </c>
      <c r="X3927">
        <v>0.92711010000000005</v>
      </c>
      <c r="Y3927">
        <v>1.450535E-3</v>
      </c>
      <c r="Z3927">
        <v>-3.8273490000000001E-4</v>
      </c>
      <c r="AA3927">
        <v>0.99999890000000002</v>
      </c>
      <c r="AB3927">
        <v>35</v>
      </c>
      <c r="AC3927">
        <v>20.3963</v>
      </c>
      <c r="AD3927">
        <v>-1.11029779058</v>
      </c>
      <c r="AE3927">
        <v>0.13779999999999801</v>
      </c>
      <c r="AF3927">
        <v>3.0051251723364401E-2</v>
      </c>
      <c r="AG3927">
        <v>-1.11029779058</v>
      </c>
      <c r="AH3927">
        <v>20.336482797804798</v>
      </c>
      <c r="AI3927">
        <v>93.125034656280903</v>
      </c>
      <c r="AJ3927">
        <v>89.915334000637898</v>
      </c>
      <c r="AK3927">
        <v>20.366791520681598</v>
      </c>
      <c r="AL3927">
        <v>69.782539402755503</v>
      </c>
      <c r="AM3927">
        <v>98.891858432045694</v>
      </c>
      <c r="AN3927">
        <v>1.0000000464915999</v>
      </c>
    </row>
    <row r="3928" spans="1:40" x14ac:dyDescent="0.25">
      <c r="A3928" t="str">
        <f>"20190304164207222"</f>
        <v>20190304164207222</v>
      </c>
      <c r="B3928" t="str">
        <f>"1551688927214882"</f>
        <v>1551688927214882</v>
      </c>
      <c r="C3928" t="s">
        <v>40</v>
      </c>
      <c r="D3928">
        <v>3.9648319999999999</v>
      </c>
      <c r="E3928">
        <v>0.56661300000000003</v>
      </c>
      <c r="F3928" t="s">
        <v>46</v>
      </c>
      <c r="G3928">
        <v>-246.4528</v>
      </c>
      <c r="H3928" s="1">
        <v>1.898925E-6</v>
      </c>
      <c r="I3928">
        <v>214.57419999999999</v>
      </c>
      <c r="J3928">
        <v>-267.22800000000001</v>
      </c>
      <c r="K3928">
        <v>1.1102959999999999</v>
      </c>
      <c r="L3928">
        <v>214.4324</v>
      </c>
      <c r="M3928">
        <v>0.99988069999999896</v>
      </c>
      <c r="N3928">
        <v>-1.3074590000000001E-2</v>
      </c>
      <c r="O3928">
        <v>8.2328249999999992E-3</v>
      </c>
      <c r="P3928">
        <v>0.9301741</v>
      </c>
      <c r="Q3928">
        <v>0.33377820000000002</v>
      </c>
      <c r="R3928">
        <v>0.15286710000000001</v>
      </c>
      <c r="S3928">
        <v>3.2832340000000002</v>
      </c>
      <c r="T3928">
        <v>-0.1737602</v>
      </c>
      <c r="U3928">
        <v>2.2445679999999999E-2</v>
      </c>
      <c r="V3928">
        <v>-0.14518989999999901</v>
      </c>
      <c r="W3928">
        <v>0.34593269999999998</v>
      </c>
      <c r="X3928">
        <v>0.9269577</v>
      </c>
      <c r="Y3928">
        <v>1.3883189999999901E-3</v>
      </c>
      <c r="Z3928">
        <v>-3.7359969999999998E-4</v>
      </c>
      <c r="AA3928">
        <v>0.99999899999999997</v>
      </c>
      <c r="AB3928">
        <v>35</v>
      </c>
      <c r="AC3928">
        <v>20.775200000000002</v>
      </c>
      <c r="AD3928">
        <v>-1.110294101075</v>
      </c>
      <c r="AE3928">
        <v>0.14179999999998899</v>
      </c>
      <c r="AF3928">
        <v>2.9174677252860201E-2</v>
      </c>
      <c r="AG3928">
        <v>-1.110294101075</v>
      </c>
      <c r="AH3928">
        <v>20.7164960227366</v>
      </c>
      <c r="AI3928">
        <v>93.067811207041203</v>
      </c>
      <c r="AJ3928">
        <v>89.919311414036898</v>
      </c>
      <c r="AK3928">
        <v>20.746248133403199</v>
      </c>
      <c r="AL3928">
        <v>69.761259606064897</v>
      </c>
      <c r="AM3928">
        <v>98.901942526700495</v>
      </c>
      <c r="AN3928">
        <v>1.00000005879029</v>
      </c>
    </row>
    <row r="3929" spans="1:40" x14ac:dyDescent="0.25">
      <c r="A3929" t="str">
        <f>"20190304164207238"</f>
        <v>20190304164207238</v>
      </c>
      <c r="B3929" t="str">
        <f>"1551688927224643"</f>
        <v>1551688927224643</v>
      </c>
      <c r="C3929" t="s">
        <v>40</v>
      </c>
      <c r="D3929">
        <v>3.984038</v>
      </c>
      <c r="E3929">
        <v>0.56663589999999997</v>
      </c>
      <c r="F3929" t="s">
        <v>46</v>
      </c>
      <c r="G3929">
        <v>-246.19720000000001</v>
      </c>
      <c r="H3929" s="1">
        <v>1.7626310000000001E-6</v>
      </c>
      <c r="I3929">
        <v>214.57990000000001</v>
      </c>
      <c r="J3929">
        <v>-266.97730000000001</v>
      </c>
      <c r="K3929">
        <v>1.1103000000000001</v>
      </c>
      <c r="L3929">
        <v>214.43450000000001</v>
      </c>
      <c r="M3929">
        <v>0.99988160000000004</v>
      </c>
      <c r="N3929">
        <v>-1.301152E-2</v>
      </c>
      <c r="O3929">
        <v>8.2328839999999993E-3</v>
      </c>
      <c r="P3929">
        <v>0.93013889999999999</v>
      </c>
      <c r="Q3929">
        <v>0.33391969999999999</v>
      </c>
      <c r="R3929">
        <v>0.15277260000000001</v>
      </c>
      <c r="S3929">
        <v>3.28363</v>
      </c>
      <c r="T3929">
        <v>-0.17335490000000001</v>
      </c>
      <c r="U3929">
        <v>2.3025509999999999E-2</v>
      </c>
      <c r="V3929">
        <v>-0.1450958</v>
      </c>
      <c r="W3929">
        <v>0.34601549999999998</v>
      </c>
      <c r="X3929">
        <v>0.92694149999999997</v>
      </c>
      <c r="Y3929">
        <v>1.212961E-3</v>
      </c>
      <c r="Z3929">
        <v>-3.6715260000000003E-4</v>
      </c>
      <c r="AA3929">
        <v>0.99999919999999998</v>
      </c>
      <c r="AB3929">
        <v>35</v>
      </c>
      <c r="AC3929">
        <v>20.780100000000001</v>
      </c>
      <c r="AD3929">
        <v>-1.110298237369</v>
      </c>
      <c r="AE3929">
        <v>0.14539999999999501</v>
      </c>
      <c r="AF3929">
        <v>2.5626383918161199E-2</v>
      </c>
      <c r="AG3929">
        <v>-1.110298237369</v>
      </c>
      <c r="AH3929">
        <v>20.721438985235999</v>
      </c>
      <c r="AI3929">
        <v>93.067092897210202</v>
      </c>
      <c r="AJ3929">
        <v>89.929141846993105</v>
      </c>
      <c r="AK3929">
        <v>20.7511795449395</v>
      </c>
      <c r="AL3929">
        <v>69.756202667302802</v>
      </c>
      <c r="AM3929">
        <v>98.896418332961602</v>
      </c>
      <c r="AN3929">
        <v>1.0000000309200601</v>
      </c>
    </row>
    <row r="3930" spans="1:40" x14ac:dyDescent="0.25">
      <c r="A3930" t="str">
        <f>"20190304164207262"</f>
        <v>20190304164207262</v>
      </c>
      <c r="B3930" t="str">
        <f>"1551688927255405"</f>
        <v>1551688927255405</v>
      </c>
      <c r="C3930" t="s">
        <v>40</v>
      </c>
      <c r="D3930">
        <v>3.8687670000000001</v>
      </c>
      <c r="E3930">
        <v>0.56628659999999997</v>
      </c>
      <c r="F3930" t="s">
        <v>46</v>
      </c>
      <c r="G3930">
        <v>-246.01769999999999</v>
      </c>
      <c r="H3930" s="1">
        <v>1.667012E-6</v>
      </c>
      <c r="I3930">
        <v>214.5822</v>
      </c>
      <c r="J3930">
        <v>-266.62150000000003</v>
      </c>
      <c r="K3930">
        <v>1.1103000000000001</v>
      </c>
      <c r="L3930">
        <v>214.4374</v>
      </c>
      <c r="M3930">
        <v>0.99988259999999995</v>
      </c>
      <c r="N3930">
        <v>-1.2930209999999999E-2</v>
      </c>
      <c r="O3930">
        <v>8.2331190000000005E-3</v>
      </c>
      <c r="P3930">
        <v>0.93011619999999995</v>
      </c>
      <c r="Q3930">
        <v>0.33394879999999999</v>
      </c>
      <c r="R3930">
        <v>0.1528465</v>
      </c>
      <c r="S3930">
        <v>3.2839969999999998</v>
      </c>
      <c r="T3930">
        <v>-0.17396349999999999</v>
      </c>
      <c r="U3930">
        <v>2.3132320000000001E-2</v>
      </c>
      <c r="V3930">
        <v>-0.14516960000000001</v>
      </c>
      <c r="W3930">
        <v>0.34596939999999998</v>
      </c>
      <c r="X3930">
        <v>0.92694710000000002</v>
      </c>
      <c r="Y3930">
        <v>1.181405E-3</v>
      </c>
      <c r="Z3930">
        <v>-3.683259E-4</v>
      </c>
      <c r="AA3930">
        <v>0.99999919999999998</v>
      </c>
      <c r="AB3930">
        <v>35</v>
      </c>
      <c r="AC3930">
        <v>20.6038</v>
      </c>
      <c r="AD3930">
        <v>-1.1102983329880001</v>
      </c>
      <c r="AE3930">
        <v>0.14480000000000301</v>
      </c>
      <c r="AF3930">
        <v>2.4780654579291499E-2</v>
      </c>
      <c r="AG3930">
        <v>-1.1102983329880001</v>
      </c>
      <c r="AH3930">
        <v>20.5446367745066</v>
      </c>
      <c r="AI3930">
        <v>93.093436897636806</v>
      </c>
      <c r="AJ3930">
        <v>89.930890662707299</v>
      </c>
      <c r="AK3930">
        <v>20.574631871931199</v>
      </c>
      <c r="AL3930">
        <v>69.759016851482798</v>
      </c>
      <c r="AM3930">
        <v>98.900817967549798</v>
      </c>
      <c r="AN3930">
        <v>0.99999998234946397</v>
      </c>
    </row>
    <row r="3931" spans="1:40" x14ac:dyDescent="0.25">
      <c r="A3931" t="str">
        <f>"20190304164207277"</f>
        <v>20190304164207277</v>
      </c>
      <c r="B3931" t="str">
        <f>"1551688927265164"</f>
        <v>1551688927265164</v>
      </c>
      <c r="C3931" t="s">
        <v>40</v>
      </c>
      <c r="D3931">
        <v>3.9178950000000001</v>
      </c>
      <c r="E3931">
        <v>0.56615130000000002</v>
      </c>
      <c r="F3931" t="s">
        <v>46</v>
      </c>
      <c r="G3931">
        <v>-245.6686</v>
      </c>
      <c r="H3931" s="1">
        <v>1.4804839999999901E-6</v>
      </c>
      <c r="I3931">
        <v>214.6002</v>
      </c>
      <c r="J3931">
        <v>-266.38459999999998</v>
      </c>
      <c r="K3931">
        <v>1.110301</v>
      </c>
      <c r="L3931">
        <v>214.43940000000001</v>
      </c>
      <c r="M3931">
        <v>0.99988319999999997</v>
      </c>
      <c r="N3931">
        <v>-1.287979E-2</v>
      </c>
      <c r="O3931">
        <v>8.2332689999999997E-3</v>
      </c>
      <c r="P3931">
        <v>0.93005479999999996</v>
      </c>
      <c r="Q3931">
        <v>0.33412049999999999</v>
      </c>
      <c r="R3931">
        <v>0.15284449999999999</v>
      </c>
      <c r="S3931">
        <v>3.2836910000000001</v>
      </c>
      <c r="T3931">
        <v>-0.17400379999999999</v>
      </c>
      <c r="U3931">
        <v>2.5512699999999999E-2</v>
      </c>
      <c r="V3931">
        <v>-0.14516789999999999</v>
      </c>
      <c r="W3931">
        <v>0.3460934</v>
      </c>
      <c r="X3931">
        <v>0.92690110000000003</v>
      </c>
      <c r="Y3931">
        <v>4.5726950000000001E-4</v>
      </c>
      <c r="Z3931">
        <v>-3.4502719999999999E-4</v>
      </c>
      <c r="AA3931">
        <v>0.99999979999999999</v>
      </c>
      <c r="AB3931">
        <v>35</v>
      </c>
      <c r="AC3931">
        <v>20.715999999999902</v>
      </c>
      <c r="AD3931">
        <v>-1.1102995195159999</v>
      </c>
      <c r="AE3931">
        <v>0.160799999999994</v>
      </c>
      <c r="AF3931">
        <v>9.7519814125539804E-3</v>
      </c>
      <c r="AG3931">
        <v>-1.1102995195159999</v>
      </c>
      <c r="AH3931">
        <v>20.657286120731499</v>
      </c>
      <c r="AI3931">
        <v>93.076605282406405</v>
      </c>
      <c r="AJ3931">
        <v>89.972951561397906</v>
      </c>
      <c r="AK3931">
        <v>20.687105404042001</v>
      </c>
      <c r="AL3931">
        <v>69.7514448465339</v>
      </c>
      <c r="AM3931">
        <v>98.901150053335499</v>
      </c>
      <c r="AN3931">
        <v>1.0000000049475899</v>
      </c>
    </row>
    <row r="3932" spans="1:40" x14ac:dyDescent="0.25">
      <c r="A3932" t="str">
        <f>"20190304164207294"</f>
        <v>20190304164207294</v>
      </c>
      <c r="B3932" t="str">
        <f>"1551688927284684"</f>
        <v>1551688927284684</v>
      </c>
      <c r="C3932" t="s">
        <v>40</v>
      </c>
      <c r="D3932">
        <v>3.9348480000000001</v>
      </c>
      <c r="E3932">
        <v>0.56585989999999997</v>
      </c>
      <c r="F3932" t="s">
        <v>46</v>
      </c>
      <c r="G3932">
        <v>-245.35059999999999</v>
      </c>
      <c r="H3932" s="1">
        <v>1.3108819999999999E-6</v>
      </c>
      <c r="I3932">
        <v>214.608</v>
      </c>
      <c r="J3932">
        <v>-266.12009999999998</v>
      </c>
      <c r="K3932">
        <v>1.1102989999999999</v>
      </c>
      <c r="L3932">
        <v>214.44159999999999</v>
      </c>
      <c r="M3932">
        <v>0.99988390000000005</v>
      </c>
      <c r="N3932">
        <v>-1.282352E-2</v>
      </c>
      <c r="O3932">
        <v>8.2334550000000006E-3</v>
      </c>
      <c r="P3932">
        <v>0.92998840000000005</v>
      </c>
      <c r="Q3932">
        <v>0.33448519999999998</v>
      </c>
      <c r="R3932">
        <v>0.15245159999999999</v>
      </c>
      <c r="S3932">
        <v>3.283569</v>
      </c>
      <c r="T3932">
        <v>-0.17332600000000001</v>
      </c>
      <c r="U3932">
        <v>2.632141E-2</v>
      </c>
      <c r="V3932">
        <v>-0.14477570000000001</v>
      </c>
      <c r="W3932">
        <v>0.34640510000000002</v>
      </c>
      <c r="X3932">
        <v>0.92684599999999995</v>
      </c>
      <c r="Y3932">
        <v>2.1136509999999999E-4</v>
      </c>
      <c r="Z3932">
        <v>-3.3569379999999997E-4</v>
      </c>
      <c r="AA3932">
        <v>0.99999990000000005</v>
      </c>
      <c r="AB3932">
        <v>35</v>
      </c>
      <c r="AC3932">
        <v>20.769499999999901</v>
      </c>
      <c r="AD3932">
        <v>-1.1102976891180001</v>
      </c>
      <c r="AE3932">
        <v>0.16640000000001001</v>
      </c>
      <c r="AF3932">
        <v>4.6112657234280898E-3</v>
      </c>
      <c r="AG3932">
        <v>-1.1102976891180001</v>
      </c>
      <c r="AH3932">
        <v>20.710982691763601</v>
      </c>
      <c r="AI3932">
        <v>93.068639166668106</v>
      </c>
      <c r="AJ3932">
        <v>89.987243190546195</v>
      </c>
      <c r="AK3932">
        <v>20.740722896773999</v>
      </c>
      <c r="AL3932">
        <v>69.732408134505107</v>
      </c>
      <c r="AM3932">
        <v>98.878004716442604</v>
      </c>
      <c r="AN3932">
        <v>1.0000000021662401</v>
      </c>
    </row>
    <row r="3933" spans="1:40" x14ac:dyDescent="0.25">
      <c r="A3933" t="str">
        <f>"20190304164207311"</f>
        <v>20190304164207311</v>
      </c>
      <c r="B3933" t="str">
        <f>"1551688927305181"</f>
        <v>1551688927305181</v>
      </c>
      <c r="C3933" t="s">
        <v>40</v>
      </c>
      <c r="D3933">
        <v>3.9246750000000001</v>
      </c>
      <c r="E3933">
        <v>0.5656466</v>
      </c>
      <c r="F3933" t="s">
        <v>46</v>
      </c>
      <c r="G3933">
        <v>-244.7063</v>
      </c>
      <c r="H3933" s="1">
        <v>9.6733130000000008E-7</v>
      </c>
      <c r="I3933">
        <v>214.6234</v>
      </c>
      <c r="J3933">
        <v>-265.8648</v>
      </c>
      <c r="K3933">
        <v>1.1102860000000001</v>
      </c>
      <c r="L3933">
        <v>214.44370000000001</v>
      </c>
      <c r="M3933">
        <v>0.99988469999999996</v>
      </c>
      <c r="N3933">
        <v>-1.2769910000000001E-2</v>
      </c>
      <c r="O3933">
        <v>8.2334450000000007E-3</v>
      </c>
      <c r="P3933">
        <v>0.93005380000000004</v>
      </c>
      <c r="Q3933">
        <v>0.33440930000000002</v>
      </c>
      <c r="R3933">
        <v>0.15221970000000001</v>
      </c>
      <c r="S3933">
        <v>3.2825009999999999</v>
      </c>
      <c r="T3933">
        <v>-0.17019589999999901</v>
      </c>
      <c r="U3933">
        <v>2.7877809999999999E-2</v>
      </c>
      <c r="V3933">
        <v>-0.14454330000000001</v>
      </c>
      <c r="W3933">
        <v>0.34627989999999997</v>
      </c>
      <c r="X3933">
        <v>0.92692909999999995</v>
      </c>
      <c r="Y3933">
        <v>-2.6428170000000002E-4</v>
      </c>
      <c r="Z3933">
        <v>-3.1297109999999998E-4</v>
      </c>
      <c r="AA3933">
        <v>0.99999990000000005</v>
      </c>
      <c r="AB3933">
        <v>35</v>
      </c>
      <c r="AC3933">
        <v>21.1585</v>
      </c>
      <c r="AD3933">
        <v>-1.1102850326686999</v>
      </c>
      <c r="AE3933">
        <v>0.179699999999996</v>
      </c>
      <c r="AF3933">
        <v>-5.4573537904068197E-3</v>
      </c>
      <c r="AG3933">
        <v>-1.1102850326686999</v>
      </c>
      <c r="AH3933">
        <v>21.1011626263235</v>
      </c>
      <c r="AI3933">
        <v>93.011968367191798</v>
      </c>
      <c r="AJ3933">
        <v>90.014818298785997</v>
      </c>
      <c r="AK3933">
        <v>21.1303532109388</v>
      </c>
      <c r="AL3933">
        <v>69.740055752621103</v>
      </c>
      <c r="AM3933">
        <v>98.863197810510798</v>
      </c>
      <c r="AN3933">
        <v>1.0000000455728499</v>
      </c>
    </row>
    <row r="3934" spans="1:40" x14ac:dyDescent="0.25">
      <c r="A3934" t="str">
        <f>"20190304164207324"</f>
        <v>20190304164207324</v>
      </c>
      <c r="B3934" t="str">
        <f>"1551688927314941"</f>
        <v>1551688927314941</v>
      </c>
      <c r="C3934" t="s">
        <v>40</v>
      </c>
      <c r="D3934">
        <v>3.9225219999999998</v>
      </c>
      <c r="E3934">
        <v>0.56556300000000004</v>
      </c>
      <c r="F3934" t="s">
        <v>46</v>
      </c>
      <c r="G3934">
        <v>-244.62119999999999</v>
      </c>
      <c r="H3934" s="1">
        <v>9.215336E-7</v>
      </c>
      <c r="I3934">
        <v>214.6354</v>
      </c>
      <c r="J3934">
        <v>-265.64159999999998</v>
      </c>
      <c r="K3934">
        <v>1.110285</v>
      </c>
      <c r="L3934">
        <v>214.44550000000001</v>
      </c>
      <c r="M3934">
        <v>0.99988529999999998</v>
      </c>
      <c r="N3934">
        <v>-1.2724360000000001E-2</v>
      </c>
      <c r="O3934">
        <v>8.2336189999999993E-3</v>
      </c>
      <c r="P3934">
        <v>0.93015360000000002</v>
      </c>
      <c r="Q3934">
        <v>0.33424920000000002</v>
      </c>
      <c r="R3934">
        <v>0.15196099999999901</v>
      </c>
      <c r="S3934">
        <v>3.2824710000000001</v>
      </c>
      <c r="T3934">
        <v>-0.1715565</v>
      </c>
      <c r="U3934">
        <v>2.9617310000000001E-2</v>
      </c>
      <c r="V3934">
        <v>-0.14428379999999999</v>
      </c>
      <c r="W3934">
        <v>0.34607860000000001</v>
      </c>
      <c r="X3934">
        <v>0.92704470000000005</v>
      </c>
      <c r="Y3934">
        <v>-7.9333279999999995E-4</v>
      </c>
      <c r="Z3934">
        <v>-2.995292E-4</v>
      </c>
      <c r="AA3934">
        <v>0.99999959999999999</v>
      </c>
      <c r="AB3934">
        <v>35</v>
      </c>
      <c r="AC3934">
        <v>21.020399999999899</v>
      </c>
      <c r="AD3934">
        <v>-1.1102840784664001</v>
      </c>
      <c r="AE3934">
        <v>0.18989999999999399</v>
      </c>
      <c r="AF3934">
        <v>-1.6758860069779401E-2</v>
      </c>
      <c r="AG3934">
        <v>-1.1102840784664001</v>
      </c>
      <c r="AH3934">
        <v>20.962772104115299</v>
      </c>
      <c r="AI3934">
        <v>93.0318121215888</v>
      </c>
      <c r="AJ3934">
        <v>90.045805571043303</v>
      </c>
      <c r="AK3934">
        <v>20.992161057960701</v>
      </c>
      <c r="AL3934">
        <v>69.752349504967</v>
      </c>
      <c r="AM3934">
        <v>98.846451781234805</v>
      </c>
      <c r="AN3934">
        <v>1.00000004405924</v>
      </c>
    </row>
    <row r="3935" spans="1:40" x14ac:dyDescent="0.25">
      <c r="A3935" t="str">
        <f>"20190304164207339"</f>
        <v>20190304164207339</v>
      </c>
      <c r="B3935" t="str">
        <f>"1551688927324701"</f>
        <v>1551688927324701</v>
      </c>
      <c r="C3935" t="s">
        <v>40</v>
      </c>
      <c r="D3935">
        <v>3.94286</v>
      </c>
      <c r="E3935">
        <v>0.56549629999999995</v>
      </c>
      <c r="F3935" t="s">
        <v>46</v>
      </c>
      <c r="G3935">
        <v>-244.50559999999999</v>
      </c>
      <c r="H3935" s="1">
        <v>8.6005539999999897E-7</v>
      </c>
      <c r="I3935">
        <v>214.6354</v>
      </c>
      <c r="J3935">
        <v>-265.40719999999999</v>
      </c>
      <c r="K3935">
        <v>1.110284</v>
      </c>
      <c r="L3935">
        <v>214.44739999999999</v>
      </c>
      <c r="M3935">
        <v>0.99988580000000005</v>
      </c>
      <c r="N3935">
        <v>-1.2679579999999999E-2</v>
      </c>
      <c r="O3935">
        <v>8.2339059999999992E-3</v>
      </c>
      <c r="P3935">
        <v>0.92987640000000005</v>
      </c>
      <c r="Q3935">
        <v>0.33496510000000002</v>
      </c>
      <c r="R3935">
        <v>0.15208039999999901</v>
      </c>
      <c r="S3935">
        <v>3.28241</v>
      </c>
      <c r="T3935">
        <v>-0.17242660000000001</v>
      </c>
      <c r="U3935">
        <v>2.9495239999999999E-2</v>
      </c>
      <c r="V3935">
        <v>-0.144404799999999</v>
      </c>
      <c r="W3935">
        <v>0.34674959999999999</v>
      </c>
      <c r="X3935">
        <v>0.92677500000000002</v>
      </c>
      <c r="Y3935">
        <v>-7.561852E-4</v>
      </c>
      <c r="Z3935">
        <v>-3.0321910000000001E-4</v>
      </c>
      <c r="AA3935">
        <v>0.99999959999999999</v>
      </c>
      <c r="AB3935">
        <v>35</v>
      </c>
      <c r="AC3935">
        <v>20.901599999999998</v>
      </c>
      <c r="AD3935">
        <v>-1.1102831399446</v>
      </c>
      <c r="AE3935">
        <v>0.18800000000001599</v>
      </c>
      <c r="AF3935">
        <v>-1.58333226989558E-2</v>
      </c>
      <c r="AG3935">
        <v>-1.1102831399446</v>
      </c>
      <c r="AH3935">
        <v>20.843630051366802</v>
      </c>
      <c r="AI3935">
        <v>93.049106853676903</v>
      </c>
      <c r="AJ3935">
        <v>90.043523243772398</v>
      </c>
      <c r="AK3935">
        <v>20.873185982575698</v>
      </c>
      <c r="AL3935">
        <v>69.711364782068699</v>
      </c>
      <c r="AM3935">
        <v>98.856288831222997</v>
      </c>
      <c r="AN3935">
        <v>0.99999996599409902</v>
      </c>
    </row>
    <row r="3936" spans="1:40" x14ac:dyDescent="0.25">
      <c r="A3936" t="str">
        <f>"20190304164207363"</f>
        <v>20190304164207363</v>
      </c>
      <c r="B3936" t="str">
        <f>"1551688927354956"</f>
        <v>1551688927354956</v>
      </c>
      <c r="C3936" t="s">
        <v>40</v>
      </c>
      <c r="D3936">
        <v>3.9202870000000001</v>
      </c>
      <c r="E3936">
        <v>0.56531519999999902</v>
      </c>
      <c r="F3936" t="s">
        <v>46</v>
      </c>
      <c r="G3936">
        <v>-243.95650000000001</v>
      </c>
      <c r="H3936" s="1">
        <v>5.6734520000000001E-7</v>
      </c>
      <c r="I3936">
        <v>214.64680000000001</v>
      </c>
      <c r="J3936">
        <v>-265.05149999999998</v>
      </c>
      <c r="K3936">
        <v>1.110277</v>
      </c>
      <c r="L3936">
        <v>214.4504</v>
      </c>
      <c r="M3936">
        <v>0.99988650000000001</v>
      </c>
      <c r="N3936">
        <v>-1.2617949999999999E-2</v>
      </c>
      <c r="O3936">
        <v>8.2341210000000005E-3</v>
      </c>
      <c r="P3936">
        <v>0.92987980000000003</v>
      </c>
      <c r="Q3936">
        <v>0.33481660000000002</v>
      </c>
      <c r="R3936">
        <v>0.15238570000000001</v>
      </c>
      <c r="S3936">
        <v>3.2824710000000001</v>
      </c>
      <c r="T3936">
        <v>-0.16990039999999901</v>
      </c>
      <c r="U3936">
        <v>3.0502319999999999E-2</v>
      </c>
      <c r="V3936">
        <v>-0.1447099</v>
      </c>
      <c r="W3936">
        <v>0.34654420000000002</v>
      </c>
      <c r="X3936">
        <v>0.92680419999999997</v>
      </c>
      <c r="Y3936">
        <v>-1.0618839999999999E-3</v>
      </c>
      <c r="Z3936">
        <v>-2.8787860000000003E-4</v>
      </c>
      <c r="AA3936">
        <v>0.99999939999999998</v>
      </c>
      <c r="AB3936">
        <v>35</v>
      </c>
      <c r="AC3936">
        <v>21.094999999999899</v>
      </c>
      <c r="AD3936">
        <v>-1.1102764326548</v>
      </c>
      <c r="AE3936">
        <v>0.19640000000001101</v>
      </c>
      <c r="AF3936">
        <v>-2.2618081375795799E-2</v>
      </c>
      <c r="AG3936">
        <v>-1.1102764326548</v>
      </c>
      <c r="AH3936">
        <v>21.037629730636102</v>
      </c>
      <c r="AI3936">
        <v>93.021022581636998</v>
      </c>
      <c r="AJ3936">
        <v>90.061600100429303</v>
      </c>
      <c r="AK3936">
        <v>21.0669193290775</v>
      </c>
      <c r="AL3936">
        <v>69.723910540302597</v>
      </c>
      <c r="AM3936">
        <v>98.874427790629596</v>
      </c>
      <c r="AN3936">
        <v>0.99999993142464205</v>
      </c>
    </row>
    <row r="3937" spans="1:40" x14ac:dyDescent="0.25">
      <c r="A3937" t="str">
        <f>"20190304164207385"</f>
        <v>20190304164207385</v>
      </c>
      <c r="B3937" t="str">
        <f>"1551688927375452"</f>
        <v>1551688927375452</v>
      </c>
      <c r="C3937" t="s">
        <v>40</v>
      </c>
      <c r="D3937">
        <v>3.9470679999999998</v>
      </c>
      <c r="E3937">
        <v>0.56521889999999997</v>
      </c>
      <c r="F3937" t="s">
        <v>46</v>
      </c>
      <c r="G3937">
        <v>-243.66730000000001</v>
      </c>
      <c r="H3937" s="1">
        <v>4.1266469999999999E-7</v>
      </c>
      <c r="I3937">
        <v>214.6645</v>
      </c>
      <c r="J3937">
        <v>-264.71730000000002</v>
      </c>
      <c r="K3937">
        <v>1.110269</v>
      </c>
      <c r="L3937">
        <v>214.45310000000001</v>
      </c>
      <c r="M3937">
        <v>0.99988719999999998</v>
      </c>
      <c r="N3937">
        <v>-1.2566630000000001E-2</v>
      </c>
      <c r="O3937">
        <v>8.2340899999999995E-3</v>
      </c>
      <c r="P3937">
        <v>0.9299847</v>
      </c>
      <c r="Q3937">
        <v>0.334343</v>
      </c>
      <c r="R3937">
        <v>0.1527848</v>
      </c>
      <c r="S3937">
        <v>3.2821959999999999</v>
      </c>
      <c r="T3937">
        <v>-0.1704128</v>
      </c>
      <c r="U3937">
        <v>3.2867430000000003E-2</v>
      </c>
      <c r="V3937">
        <v>-0.14510819999999999</v>
      </c>
      <c r="W3937">
        <v>0.346024</v>
      </c>
      <c r="X3937">
        <v>0.92693639999999999</v>
      </c>
      <c r="Y3937">
        <v>-1.782074E-3</v>
      </c>
      <c r="Z3937">
        <v>-2.6634690000000002E-4</v>
      </c>
      <c r="AA3937">
        <v>0.99999839999999995</v>
      </c>
      <c r="AB3937">
        <v>35</v>
      </c>
      <c r="AC3937">
        <v>21.05</v>
      </c>
      <c r="AD3937">
        <v>-1.1102685873353</v>
      </c>
      <c r="AE3937">
        <v>0.21139999999999701</v>
      </c>
      <c r="AF3937">
        <v>-3.7946007841115702E-2</v>
      </c>
      <c r="AG3937">
        <v>-1.1102685873353</v>
      </c>
      <c r="AH3937">
        <v>20.992632190599199</v>
      </c>
      <c r="AI3937">
        <v>93.027461542870896</v>
      </c>
      <c r="AJ3937">
        <v>90.103566990123795</v>
      </c>
      <c r="AK3937">
        <v>21.022006148921999</v>
      </c>
      <c r="AL3937">
        <v>69.7556838638762</v>
      </c>
      <c r="AM3937">
        <v>98.897214633939797</v>
      </c>
      <c r="AN3937">
        <v>1.0000000439640899</v>
      </c>
    </row>
    <row r="3938" spans="1:40" x14ac:dyDescent="0.25">
      <c r="A3938" t="str">
        <f>"20190304164207406"</f>
        <v>20190304164207406</v>
      </c>
      <c r="B3938" t="str">
        <f>"1551688927395573"</f>
        <v>1551688927395573</v>
      </c>
      <c r="C3938" t="s">
        <v>40</v>
      </c>
      <c r="D3938">
        <v>3.9492340000000001</v>
      </c>
      <c r="E3938">
        <v>0.56511709999999904</v>
      </c>
      <c r="F3938" t="s">
        <v>46</v>
      </c>
      <c r="G3938">
        <v>-243.62360000000001</v>
      </c>
      <c r="H3938" s="1">
        <v>3.8886769999999998E-7</v>
      </c>
      <c r="I3938">
        <v>214.6763</v>
      </c>
      <c r="J3938">
        <v>-264.37810000000002</v>
      </c>
      <c r="K3938">
        <v>1.110258</v>
      </c>
      <c r="L3938">
        <v>214.45590000000001</v>
      </c>
      <c r="M3938">
        <v>0.99988790000000005</v>
      </c>
      <c r="N3938">
        <v>-1.2520299999999899E-2</v>
      </c>
      <c r="O3938">
        <v>8.2340269999999997E-3</v>
      </c>
      <c r="P3938">
        <v>0.93010809999999999</v>
      </c>
      <c r="Q3938">
        <v>0.33397579999999999</v>
      </c>
      <c r="R3938">
        <v>0.15283720000000001</v>
      </c>
      <c r="S3938">
        <v>3.282257</v>
      </c>
      <c r="T3938">
        <v>-0.17276169999999999</v>
      </c>
      <c r="U3938">
        <v>3.4729000000000003E-2</v>
      </c>
      <c r="V3938">
        <v>-0.1451597</v>
      </c>
      <c r="W3938">
        <v>0.34561599999999998</v>
      </c>
      <c r="X3938">
        <v>0.92708049999999997</v>
      </c>
      <c r="Y3938">
        <v>-2.3482640000000001E-3</v>
      </c>
      <c r="Z3938">
        <v>-2.5356670000000001E-4</v>
      </c>
      <c r="AA3938">
        <v>0.99999720000000003</v>
      </c>
      <c r="AB3938">
        <v>35</v>
      </c>
      <c r="AC3938">
        <v>20.7545</v>
      </c>
      <c r="AD3938">
        <v>-1.1102576111322999</v>
      </c>
      <c r="AE3938">
        <v>0.220399999999983</v>
      </c>
      <c r="AF3938">
        <v>-4.9344855576395501E-2</v>
      </c>
      <c r="AG3938">
        <v>-1.1102576111322999</v>
      </c>
      <c r="AH3938">
        <v>20.696391200747801</v>
      </c>
      <c r="AI3938">
        <v>93.070679229158102</v>
      </c>
      <c r="AJ3938">
        <v>90.136605777336001</v>
      </c>
      <c r="AK3938">
        <v>20.726208423448799</v>
      </c>
      <c r="AL3938">
        <v>69.780596896098899</v>
      </c>
      <c r="AM3938">
        <v>98.898960506967995</v>
      </c>
      <c r="AN3938">
        <v>1.0000000057201699</v>
      </c>
    </row>
    <row r="3939" spans="1:40" x14ac:dyDescent="0.25">
      <c r="A3939" t="str">
        <f>"20190304164207422"</f>
        <v>20190304164207422</v>
      </c>
      <c r="B3939" t="str">
        <f>"1551688927415091"</f>
        <v>1551688927415091</v>
      </c>
      <c r="C3939" t="s">
        <v>40</v>
      </c>
      <c r="D3939">
        <v>3.9329190000000001</v>
      </c>
      <c r="E3939">
        <v>0.56500289999999997</v>
      </c>
      <c r="F3939" t="s">
        <v>46</v>
      </c>
      <c r="G3939">
        <v>-243.50290000000001</v>
      </c>
      <c r="H3939" s="1">
        <v>3.2430369999999999E-7</v>
      </c>
      <c r="I3939">
        <v>214.68459999999999</v>
      </c>
      <c r="J3939">
        <v>-264.1121</v>
      </c>
      <c r="K3939">
        <v>1.110252</v>
      </c>
      <c r="L3939">
        <v>214.4581</v>
      </c>
      <c r="M3939">
        <v>0.9998882</v>
      </c>
      <c r="N3939">
        <v>-1.2487369999999999E-2</v>
      </c>
      <c r="O3939">
        <v>8.2342349999999995E-3</v>
      </c>
      <c r="P3939">
        <v>0.93006239999999996</v>
      </c>
      <c r="Q3939">
        <v>0.3341189</v>
      </c>
      <c r="R3939">
        <v>0.1528033</v>
      </c>
      <c r="S3939">
        <v>3.2821660000000001</v>
      </c>
      <c r="T3939">
        <v>-0.17456379999999999</v>
      </c>
      <c r="U3939">
        <v>3.5949710000000003E-2</v>
      </c>
      <c r="V3939">
        <v>-0.145126</v>
      </c>
      <c r="W3939">
        <v>0.34572779999999997</v>
      </c>
      <c r="X3939">
        <v>0.92704410000000004</v>
      </c>
      <c r="Y3939">
        <v>-2.7196999999999998E-3</v>
      </c>
      <c r="Z3939">
        <v>-2.4557179999999999E-4</v>
      </c>
      <c r="AA3939">
        <v>0.9999962</v>
      </c>
      <c r="AB3939">
        <v>35</v>
      </c>
      <c r="AC3939">
        <v>20.609199999999898</v>
      </c>
      <c r="AD3939">
        <v>-1.1102516756962999</v>
      </c>
      <c r="AE3939">
        <v>0.22649999999998699</v>
      </c>
      <c r="AF3939">
        <v>-5.6613821850675303E-2</v>
      </c>
      <c r="AG3939">
        <v>-1.1102516756962999</v>
      </c>
      <c r="AH3939">
        <v>20.550732192180501</v>
      </c>
      <c r="AI3939">
        <v>93.0923819860012</v>
      </c>
      <c r="AJ3939">
        <v>90.157839867610505</v>
      </c>
      <c r="AK3939">
        <v>20.580778837131799</v>
      </c>
      <c r="AL3939">
        <v>69.773770617970101</v>
      </c>
      <c r="AM3939">
        <v>98.897271340399101</v>
      </c>
      <c r="AN3939">
        <v>1.00000001545682</v>
      </c>
    </row>
    <row r="3940" spans="1:40" x14ac:dyDescent="0.25">
      <c r="A3940" t="str">
        <f>"20190304164207439"</f>
        <v>20190304164207439</v>
      </c>
      <c r="B3940" t="str">
        <f>"1551688927424851"</f>
        <v>1551688927424851</v>
      </c>
      <c r="C3940" t="s">
        <v>40</v>
      </c>
      <c r="D3940">
        <v>3.9751029999999998</v>
      </c>
      <c r="E3940">
        <v>0.56496749999999996</v>
      </c>
      <c r="F3940" t="s">
        <v>46</v>
      </c>
      <c r="G3940">
        <v>-243.2465</v>
      </c>
      <c r="H3940" s="1">
        <v>1.875268E-7</v>
      </c>
      <c r="I3940">
        <v>214.6918</v>
      </c>
      <c r="J3940">
        <v>-263.85169999999999</v>
      </c>
      <c r="K3940">
        <v>1.110258</v>
      </c>
      <c r="L3940">
        <v>214.46029999999999</v>
      </c>
      <c r="M3940">
        <v>0.99988860000000002</v>
      </c>
      <c r="N3940">
        <v>-1.2458479999999999E-2</v>
      </c>
      <c r="O3940">
        <v>8.2345960000000003E-3</v>
      </c>
      <c r="P3940">
        <v>0.93024099999999998</v>
      </c>
      <c r="Q3940">
        <v>0.33368740000000002</v>
      </c>
      <c r="R3940">
        <v>0.152658399999999</v>
      </c>
      <c r="S3940">
        <v>3.2822879999999999</v>
      </c>
      <c r="T3940">
        <v>-0.17464939999999901</v>
      </c>
      <c r="U3940">
        <v>3.675842E-2</v>
      </c>
      <c r="V3940">
        <v>-0.14497950000000001</v>
      </c>
      <c r="W3940">
        <v>0.34527190000000002</v>
      </c>
      <c r="X3940">
        <v>0.92723690000000003</v>
      </c>
      <c r="Y3940">
        <v>-2.9648790000000001E-3</v>
      </c>
      <c r="Z3940">
        <v>-2.3798180000000001E-4</v>
      </c>
      <c r="AA3940">
        <v>0.99999559999999998</v>
      </c>
      <c r="AB3940">
        <v>35</v>
      </c>
      <c r="AC3940">
        <v>20.6052</v>
      </c>
      <c r="AD3940">
        <v>-1.1102578124732001</v>
      </c>
      <c r="AE3940">
        <v>0.231500000000011</v>
      </c>
      <c r="AF3940">
        <v>-6.1624609698812401E-2</v>
      </c>
      <c r="AG3940">
        <v>-1.1102578124732001</v>
      </c>
      <c r="AH3940">
        <v>20.546761560549999</v>
      </c>
      <c r="AI3940">
        <v>93.092993316325803</v>
      </c>
      <c r="AJ3940">
        <v>90.171843112717795</v>
      </c>
      <c r="AK3940">
        <v>20.576828731093901</v>
      </c>
      <c r="AL3940">
        <v>69.8016056630631</v>
      </c>
      <c r="AM3940">
        <v>98.886614643552406</v>
      </c>
      <c r="AN3940">
        <v>1.00000000453573</v>
      </c>
    </row>
    <row r="3941" spans="1:40" x14ac:dyDescent="0.25">
      <c r="A3941" t="str">
        <f>"20190304164207457"</f>
        <v>20190304164207457</v>
      </c>
      <c r="B3941" t="str">
        <f>"1551688927445347"</f>
        <v>1551688927445347</v>
      </c>
      <c r="C3941" t="s">
        <v>40</v>
      </c>
      <c r="D3941">
        <v>3.9991539999999999</v>
      </c>
      <c r="E3941">
        <v>0.56488159999999998</v>
      </c>
      <c r="F3941" t="s">
        <v>46</v>
      </c>
      <c r="G3941">
        <v>-243.2276</v>
      </c>
      <c r="H3941" s="1">
        <v>1.775879E-7</v>
      </c>
      <c r="I3941">
        <v>214.68950000000001</v>
      </c>
      <c r="J3941">
        <v>-263.58699999999999</v>
      </c>
      <c r="K3941">
        <v>1.1102590000000001</v>
      </c>
      <c r="L3941">
        <v>214.4624</v>
      </c>
      <c r="M3941">
        <v>0.99988880000000002</v>
      </c>
      <c r="N3941">
        <v>-1.243205E-2</v>
      </c>
      <c r="O3941">
        <v>8.2347630000000008E-3</v>
      </c>
      <c r="P3941">
        <v>0.93030290000000004</v>
      </c>
      <c r="Q3941">
        <v>0.33360119999999999</v>
      </c>
      <c r="R3941">
        <v>0.15246999999999999</v>
      </c>
      <c r="S3941">
        <v>3.282349</v>
      </c>
      <c r="T3941">
        <v>-0.17669840000000001</v>
      </c>
      <c r="U3941">
        <v>3.6483759999999997E-2</v>
      </c>
      <c r="V3941">
        <v>-0.14479029999999901</v>
      </c>
      <c r="W3941">
        <v>0.34516219999999997</v>
      </c>
      <c r="X3941">
        <v>0.92730729999999995</v>
      </c>
      <c r="Y3941">
        <v>-2.8811010000000001E-3</v>
      </c>
      <c r="Z3941">
        <v>-2.4522059999999997E-4</v>
      </c>
      <c r="AA3941">
        <v>0.99999579999999999</v>
      </c>
      <c r="AB3941">
        <v>35</v>
      </c>
      <c r="AC3941">
        <v>20.359399999999901</v>
      </c>
      <c r="AD3941">
        <v>-1.1102588224120999</v>
      </c>
      <c r="AE3941">
        <v>0.22710000000000699</v>
      </c>
      <c r="AF3941">
        <v>-5.9248332133935398E-2</v>
      </c>
      <c r="AG3941">
        <v>-1.1102588224120999</v>
      </c>
      <c r="AH3941">
        <v>20.300217625746299</v>
      </c>
      <c r="AI3941">
        <v>93.130486704307103</v>
      </c>
      <c r="AJ3941">
        <v>90.167223317413502</v>
      </c>
      <c r="AK3941">
        <v>20.330642406728401</v>
      </c>
      <c r="AL3941">
        <v>69.808302671918696</v>
      </c>
      <c r="AM3941">
        <v>98.874539176147707</v>
      </c>
      <c r="AN3941">
        <v>1.0000000019581099</v>
      </c>
    </row>
    <row r="3942" spans="1:40" x14ac:dyDescent="0.25">
      <c r="A3942" t="str">
        <f>"20190304164207472"</f>
        <v>20190304164207472</v>
      </c>
      <c r="B3942" t="str">
        <f>"1551688927464867"</f>
        <v>1551688927464867</v>
      </c>
      <c r="C3942" t="s">
        <v>40</v>
      </c>
      <c r="D3942">
        <v>3.9574530000000001</v>
      </c>
      <c r="E3942">
        <v>0.56480039999999998</v>
      </c>
      <c r="F3942" t="s">
        <v>46</v>
      </c>
      <c r="G3942">
        <v>-243.07589999999999</v>
      </c>
      <c r="H3942" s="1">
        <v>9.6819899999999905E-8</v>
      </c>
      <c r="I3942">
        <v>214.68989999999999</v>
      </c>
      <c r="J3942">
        <v>-263.33800000000002</v>
      </c>
      <c r="K3942">
        <v>1.11026</v>
      </c>
      <c r="L3942">
        <v>214.46449999999999</v>
      </c>
      <c r="M3942">
        <v>0.99988900000000003</v>
      </c>
      <c r="N3942">
        <v>-1.2409440000000001E-2</v>
      </c>
      <c r="O3942">
        <v>8.2349039999999995E-3</v>
      </c>
      <c r="P3942">
        <v>0.93026350000000002</v>
      </c>
      <c r="Q3942">
        <v>0.33395180000000002</v>
      </c>
      <c r="R3942">
        <v>0.1519404</v>
      </c>
      <c r="S3942">
        <v>3.2825319999999998</v>
      </c>
      <c r="T3942">
        <v>-0.17768229999999999</v>
      </c>
      <c r="U3942">
        <v>3.6407469999999997E-2</v>
      </c>
      <c r="V3942">
        <v>-0.1442609</v>
      </c>
      <c r="W3942">
        <v>0.345491099999999</v>
      </c>
      <c r="X3942">
        <v>0.92726730000000002</v>
      </c>
      <c r="Y3942">
        <v>-2.8572039999999999E-3</v>
      </c>
      <c r="Z3942">
        <v>-2.4825200000000002E-4</v>
      </c>
      <c r="AA3942">
        <v>0.99999590000000005</v>
      </c>
      <c r="AB3942">
        <v>35</v>
      </c>
      <c r="AC3942">
        <v>20.262099999999901</v>
      </c>
      <c r="AD3942">
        <v>-1.1102599031800999</v>
      </c>
      <c r="AE3942">
        <v>0.22540000000000701</v>
      </c>
      <c r="AF3942">
        <v>-5.83478770324935E-2</v>
      </c>
      <c r="AG3942">
        <v>-1.1102599031800999</v>
      </c>
      <c r="AH3942">
        <v>20.2026186573733</v>
      </c>
      <c r="AI3942">
        <v>93.145583139643804</v>
      </c>
      <c r="AJ3942">
        <v>90.165477449186199</v>
      </c>
      <c r="AK3942">
        <v>20.233187641659701</v>
      </c>
      <c r="AL3942">
        <v>69.788222293326996</v>
      </c>
      <c r="AM3942">
        <v>98.842980133815004</v>
      </c>
      <c r="AN3942">
        <v>0.99999997654865402</v>
      </c>
    </row>
    <row r="3943" spans="1:40" x14ac:dyDescent="0.25">
      <c r="A3943" t="str">
        <f>"20190304164207490"</f>
        <v>20190304164207490</v>
      </c>
      <c r="B3943" t="str">
        <f>"1551688927485363"</f>
        <v>1551688927485363</v>
      </c>
      <c r="C3943" t="s">
        <v>40</v>
      </c>
      <c r="D3943">
        <v>3.9939149999999999</v>
      </c>
      <c r="E3943">
        <v>0.56472769999999906</v>
      </c>
      <c r="F3943" t="s">
        <v>46</v>
      </c>
      <c r="G3943">
        <v>-242.74279999999999</v>
      </c>
      <c r="H3943" s="1">
        <v>-8.0108959999999993E-8</v>
      </c>
      <c r="I3943">
        <v>214.68260000000001</v>
      </c>
      <c r="J3943">
        <v>-263.07859999999999</v>
      </c>
      <c r="K3943">
        <v>1.11026</v>
      </c>
      <c r="L3943">
        <v>214.4666</v>
      </c>
      <c r="M3943">
        <v>0.99988940000000004</v>
      </c>
      <c r="N3943">
        <v>-1.238797E-2</v>
      </c>
      <c r="O3943">
        <v>8.2347410000000003E-3</v>
      </c>
      <c r="P3943">
        <v>0.93029629999999996</v>
      </c>
      <c r="Q3943">
        <v>0.33392149999999998</v>
      </c>
      <c r="R3943">
        <v>0.15180750000000001</v>
      </c>
      <c r="S3943">
        <v>3.2827449999999998</v>
      </c>
      <c r="T3943">
        <v>-0.17696879999999901</v>
      </c>
      <c r="U3943">
        <v>3.4774779999999998E-2</v>
      </c>
      <c r="V3943">
        <v>-0.14412800000000001</v>
      </c>
      <c r="W3943">
        <v>0.345441</v>
      </c>
      <c r="X3943">
        <v>0.92730670000000004</v>
      </c>
      <c r="Y3943">
        <v>-2.360212E-3</v>
      </c>
      <c r="Z3943">
        <v>-2.6342070000000002E-4</v>
      </c>
      <c r="AA3943">
        <v>0.99999720000000003</v>
      </c>
      <c r="AB3943">
        <v>35</v>
      </c>
      <c r="AC3943">
        <v>20.335799999999999</v>
      </c>
      <c r="AD3943">
        <v>-1.1102600801089599</v>
      </c>
      <c r="AE3943">
        <v>0.21600000000000799</v>
      </c>
      <c r="AF3943">
        <v>-4.8375605643716402E-2</v>
      </c>
      <c r="AG3943">
        <v>-1.1102600801089599</v>
      </c>
      <c r="AH3943">
        <v>20.2764568062214</v>
      </c>
      <c r="AI3943">
        <v>93.134155796642602</v>
      </c>
      <c r="AJ3943">
        <v>90.136696110289904</v>
      </c>
      <c r="AK3943">
        <v>20.306888443561899</v>
      </c>
      <c r="AL3943">
        <v>69.791282487341604</v>
      </c>
      <c r="AM3943">
        <v>98.834592677613003</v>
      </c>
      <c r="AN3943">
        <v>1.0000000403649401</v>
      </c>
    </row>
    <row r="3944" spans="1:40" x14ac:dyDescent="0.25">
      <c r="A3944" t="str">
        <f>"20190304164207506"</f>
        <v>20190304164207506</v>
      </c>
      <c r="B3944" t="str">
        <f>"1551688927494770"</f>
        <v>1551688927494770</v>
      </c>
      <c r="C3944" t="s">
        <v>40</v>
      </c>
      <c r="D3944">
        <v>3.99953</v>
      </c>
      <c r="E3944">
        <v>0.56469740000000002</v>
      </c>
      <c r="F3944" t="s">
        <v>46</v>
      </c>
      <c r="G3944">
        <v>-242.58420000000001</v>
      </c>
      <c r="H3944" s="1">
        <v>-1.6456340000000001E-7</v>
      </c>
      <c r="I3944">
        <v>214.68430000000001</v>
      </c>
      <c r="J3944">
        <v>-262.81869999999998</v>
      </c>
      <c r="K3944">
        <v>1.110258</v>
      </c>
      <c r="L3944">
        <v>214.46879999999999</v>
      </c>
      <c r="M3944">
        <v>0.99988969999999999</v>
      </c>
      <c r="N3944">
        <v>-1.2368489999999999E-2</v>
      </c>
      <c r="O3944">
        <v>8.2346840000000008E-3</v>
      </c>
      <c r="P3944">
        <v>0.9303439</v>
      </c>
      <c r="Q3944">
        <v>0.33386640000000001</v>
      </c>
      <c r="R3944">
        <v>0.15163750000000001</v>
      </c>
      <c r="S3944">
        <v>3.2829280000000001</v>
      </c>
      <c r="T3944">
        <v>-0.17784939999999999</v>
      </c>
      <c r="U3944">
        <v>3.4866330000000001E-2</v>
      </c>
      <c r="V3944">
        <v>-0.1439579</v>
      </c>
      <c r="W3944">
        <v>0.34536850000000002</v>
      </c>
      <c r="X3944">
        <v>0.92736010000000002</v>
      </c>
      <c r="Y3944">
        <v>-2.3875770000000001E-3</v>
      </c>
      <c r="Z3944">
        <v>-2.6455910000000002E-4</v>
      </c>
      <c r="AA3944">
        <v>0.99999709999999997</v>
      </c>
      <c r="AB3944">
        <v>35</v>
      </c>
      <c r="AC3944">
        <v>20.234499999999901</v>
      </c>
      <c r="AD3944">
        <v>-1.11025816456339</v>
      </c>
      <c r="AE3944">
        <v>0.21550000000002001</v>
      </c>
      <c r="AF3944">
        <v>-4.8708620197028998E-2</v>
      </c>
      <c r="AG3944">
        <v>-1.11025816456339</v>
      </c>
      <c r="AH3944">
        <v>20.174855620832801</v>
      </c>
      <c r="AI3944">
        <v>93.149902157161904</v>
      </c>
      <c r="AJ3944">
        <v>90.138330255897898</v>
      </c>
      <c r="AK3944">
        <v>20.205440976210099</v>
      </c>
      <c r="AL3944">
        <v>69.795708352436705</v>
      </c>
      <c r="AM3944">
        <v>98.823830144592904</v>
      </c>
      <c r="AN3944">
        <v>1.00000001641833</v>
      </c>
    </row>
    <row r="3945" spans="1:40" x14ac:dyDescent="0.25">
      <c r="A3945" t="str">
        <f>"20190304164207522"</f>
        <v>20190304164207522</v>
      </c>
      <c r="B3945" t="str">
        <f>"1551688927515252"</f>
        <v>1551688927515252</v>
      </c>
      <c r="C3945" t="s">
        <v>40</v>
      </c>
      <c r="D3945">
        <v>4.0006649999999997</v>
      </c>
      <c r="E3945">
        <v>0.56461729999999999</v>
      </c>
      <c r="F3945" t="s">
        <v>46</v>
      </c>
      <c r="G3945">
        <v>-242.3621</v>
      </c>
      <c r="H3945" s="1">
        <v>-2.8269450000000002E-7</v>
      </c>
      <c r="I3945">
        <v>214.68209999999999</v>
      </c>
      <c r="J3945">
        <v>-262.56470000000002</v>
      </c>
      <c r="K3945">
        <v>1.110255</v>
      </c>
      <c r="L3945">
        <v>214.4709</v>
      </c>
      <c r="M3945">
        <v>0.9998899</v>
      </c>
      <c r="N3945">
        <v>-1.2351340000000001E-2</v>
      </c>
      <c r="O3945">
        <v>8.2347919999999995E-3</v>
      </c>
      <c r="P3945">
        <v>0.93028690000000003</v>
      </c>
      <c r="Q3945">
        <v>0.33407969999999998</v>
      </c>
      <c r="R3945">
        <v>0.15151600000000001</v>
      </c>
      <c r="S3945">
        <v>3.2829589999999902</v>
      </c>
      <c r="T3945">
        <v>-0.17817839999999999</v>
      </c>
      <c r="U3945">
        <v>3.4240720000000002E-2</v>
      </c>
      <c r="V3945">
        <v>-0.14383670000000001</v>
      </c>
      <c r="W3945">
        <v>0.34556500000000001</v>
      </c>
      <c r="X3945">
        <v>0.92730570000000001</v>
      </c>
      <c r="Y3945">
        <v>-2.1972020000000001E-3</v>
      </c>
      <c r="Z3945">
        <v>-2.7176549999999999E-4</v>
      </c>
      <c r="AA3945">
        <v>0.99999760000000004</v>
      </c>
      <c r="AB3945">
        <v>35</v>
      </c>
      <c r="AC3945">
        <v>20.2026</v>
      </c>
      <c r="AD3945">
        <v>-1.1102552826945</v>
      </c>
      <c r="AE3945">
        <v>0.21119999999999001</v>
      </c>
      <c r="AF3945">
        <v>-4.4681023120342403E-2</v>
      </c>
      <c r="AG3945">
        <v>-1.1102552826945</v>
      </c>
      <c r="AH3945">
        <v>20.1428261370779</v>
      </c>
      <c r="AI3945">
        <v>93.154894022945996</v>
      </c>
      <c r="AJ3945">
        <v>90.127093876145594</v>
      </c>
      <c r="AK3945">
        <v>20.1734505718563</v>
      </c>
      <c r="AL3945">
        <v>69.783711006955798</v>
      </c>
      <c r="AM3945">
        <v>98.8170271021541</v>
      </c>
      <c r="AN3945">
        <v>1.00000001337219</v>
      </c>
    </row>
    <row r="3946" spans="1:40" x14ac:dyDescent="0.25">
      <c r="A3946" t="str">
        <f>"20190304164207540"</f>
        <v>20190304164207540</v>
      </c>
      <c r="B3946" t="str">
        <f>"1551688927534772"</f>
        <v>1551688927534772</v>
      </c>
      <c r="C3946" t="s">
        <v>40</v>
      </c>
      <c r="D3946">
        <v>3.974072</v>
      </c>
      <c r="E3946">
        <v>0.56452800000000003</v>
      </c>
      <c r="F3946" t="s">
        <v>46</v>
      </c>
      <c r="G3946">
        <v>-242.08969999999999</v>
      </c>
      <c r="H3946" s="1">
        <v>-4.2771179999999997E-7</v>
      </c>
      <c r="I3946">
        <v>214.68350000000001</v>
      </c>
      <c r="J3946">
        <v>-262.2792</v>
      </c>
      <c r="K3946">
        <v>1.1102529999999999</v>
      </c>
      <c r="L3946">
        <v>214.47319999999999</v>
      </c>
      <c r="M3946">
        <v>0.9998901</v>
      </c>
      <c r="N3946">
        <v>-1.233801E-2</v>
      </c>
      <c r="O3946">
        <v>8.2350540000000003E-3</v>
      </c>
      <c r="P3946">
        <v>0.93027190000000004</v>
      </c>
      <c r="Q3946">
        <v>0.33418690000000001</v>
      </c>
      <c r="R3946">
        <v>0.15137320000000001</v>
      </c>
      <c r="S3946">
        <v>3.2832029999999999</v>
      </c>
      <c r="T3946">
        <v>-0.1780312</v>
      </c>
      <c r="U3946">
        <v>3.4103389999999997E-2</v>
      </c>
      <c r="V3946">
        <v>-0.1436934</v>
      </c>
      <c r="W3946">
        <v>0.3456593</v>
      </c>
      <c r="X3946">
        <v>0.92729280000000003</v>
      </c>
      <c r="Y3946">
        <v>-2.1544149999999998E-3</v>
      </c>
      <c r="Z3946">
        <v>-2.729761E-4</v>
      </c>
      <c r="AA3946">
        <v>0.99999760000000004</v>
      </c>
      <c r="AB3946">
        <v>35</v>
      </c>
      <c r="AC3946">
        <v>20.189499999999999</v>
      </c>
      <c r="AD3946">
        <v>-1.1102534277117999</v>
      </c>
      <c r="AE3946">
        <v>0.210300000000017</v>
      </c>
      <c r="AF3946">
        <v>-4.3885910160914497E-2</v>
      </c>
      <c r="AG3946">
        <v>-1.1102534277117999</v>
      </c>
      <c r="AH3946">
        <v>20.129680124190401</v>
      </c>
      <c r="AI3946">
        <v>93.156945211076504</v>
      </c>
      <c r="AJ3946">
        <v>90.124913731015994</v>
      </c>
      <c r="AK3946">
        <v>20.160322679686502</v>
      </c>
      <c r="AL3946">
        <v>69.777953785692006</v>
      </c>
      <c r="AM3946">
        <v>98.8085014099576</v>
      </c>
      <c r="AN3946">
        <v>1.00000004090594</v>
      </c>
    </row>
    <row r="3947" spans="1:40" x14ac:dyDescent="0.25">
      <c r="A3947" t="str">
        <f>"20190304164207564"</f>
        <v>20190304164207564</v>
      </c>
      <c r="B3947" t="str">
        <f>"1551688927555267"</f>
        <v>1551688927555267</v>
      </c>
      <c r="C3947" t="s">
        <v>40</v>
      </c>
      <c r="D3947">
        <v>4.0150329999999999</v>
      </c>
      <c r="E3947">
        <v>0.5644439</v>
      </c>
      <c r="F3947" t="s">
        <v>46</v>
      </c>
      <c r="G3947">
        <v>-241.87880000000001</v>
      </c>
      <c r="H3947" s="1">
        <v>-5.4018430000000004E-7</v>
      </c>
      <c r="I3947">
        <v>214.68979999999999</v>
      </c>
      <c r="J3947">
        <v>-261.9316</v>
      </c>
      <c r="K3947">
        <v>1.110252</v>
      </c>
      <c r="L3947">
        <v>214.4761</v>
      </c>
      <c r="M3947">
        <v>0.99988999999999995</v>
      </c>
      <c r="N3947">
        <v>-1.2332839999999999E-2</v>
      </c>
      <c r="O3947">
        <v>8.2350859999999904E-3</v>
      </c>
      <c r="P3947">
        <v>0.93013190000000001</v>
      </c>
      <c r="Q3947">
        <v>0.3344644</v>
      </c>
      <c r="R3947">
        <v>0.151619</v>
      </c>
      <c r="S3947">
        <v>3.2833559999999999</v>
      </c>
      <c r="T3947">
        <v>-0.178690299999999</v>
      </c>
      <c r="U3947">
        <v>3.4866330000000001E-2</v>
      </c>
      <c r="V3947">
        <v>-0.14394029999999899</v>
      </c>
      <c r="W3947">
        <v>0.34593089999999999</v>
      </c>
      <c r="X3947">
        <v>0.92715320000000001</v>
      </c>
      <c r="Y3947">
        <v>-2.3858640000000001E-3</v>
      </c>
      <c r="Z3947">
        <v>-2.667193E-4</v>
      </c>
      <c r="AA3947">
        <v>0.99999709999999997</v>
      </c>
      <c r="AB3947">
        <v>35</v>
      </c>
      <c r="AC3947">
        <v>20.052799999999898</v>
      </c>
      <c r="AD3947">
        <v>-1.1102525401843</v>
      </c>
      <c r="AE3947">
        <v>0.21369999999998801</v>
      </c>
      <c r="AF3947">
        <v>-4.83953177433167E-2</v>
      </c>
      <c r="AG3947">
        <v>-1.1102525401843</v>
      </c>
      <c r="AH3947">
        <v>19.992600644851201</v>
      </c>
      <c r="AI3947">
        <v>93.178542315862003</v>
      </c>
      <c r="AJ3947">
        <v>90.138693414040205</v>
      </c>
      <c r="AK3947">
        <v>20.0234633206714</v>
      </c>
      <c r="AL3947">
        <v>69.761368851312994</v>
      </c>
      <c r="AM3947">
        <v>98.824706203941403</v>
      </c>
      <c r="AN3947">
        <v>1.0000000269045599</v>
      </c>
    </row>
    <row r="3948" spans="1:40" x14ac:dyDescent="0.25">
      <c r="A3948" t="str">
        <f>"20190304164207584"</f>
        <v>20190304164207584</v>
      </c>
      <c r="B3948" t="str">
        <f>"1551688927574789"</f>
        <v>1551688927574789</v>
      </c>
      <c r="C3948" t="s">
        <v>40</v>
      </c>
      <c r="D3948">
        <v>3.9966789999999999</v>
      </c>
      <c r="E3948">
        <v>0.56436759999999997</v>
      </c>
      <c r="F3948" t="s">
        <v>46</v>
      </c>
      <c r="G3948">
        <v>-241.5256</v>
      </c>
      <c r="H3948" s="1">
        <v>-7.2877659999999899E-7</v>
      </c>
      <c r="I3948">
        <v>214.7037</v>
      </c>
      <c r="J3948">
        <v>-261.60399999999998</v>
      </c>
      <c r="K3948">
        <v>1.1102510000000001</v>
      </c>
      <c r="L3948">
        <v>214.47880000000001</v>
      </c>
      <c r="M3948">
        <v>0.99988999999999995</v>
      </c>
      <c r="N3948">
        <v>-1.233953E-2</v>
      </c>
      <c r="O3948">
        <v>8.2350440000000004E-3</v>
      </c>
      <c r="P3948">
        <v>0.93011999999999995</v>
      </c>
      <c r="Q3948">
        <v>0.33447749999999998</v>
      </c>
      <c r="R3948">
        <v>0.1516632</v>
      </c>
      <c r="S3948">
        <v>3.2836609999999999</v>
      </c>
      <c r="T3948">
        <v>-0.1786575</v>
      </c>
      <c r="U3948">
        <v>3.6621090000000002E-2</v>
      </c>
      <c r="V3948">
        <v>-0.14398469999999999</v>
      </c>
      <c r="W3948">
        <v>0.34594979999999997</v>
      </c>
      <c r="X3948">
        <v>0.92713920000000005</v>
      </c>
      <c r="Y3948">
        <v>-2.9182740000000002E-3</v>
      </c>
      <c r="Z3948">
        <v>-2.4878710000000002E-4</v>
      </c>
      <c r="AA3948">
        <v>0.99999570000000004</v>
      </c>
      <c r="AB3948">
        <v>35</v>
      </c>
      <c r="AC3948">
        <v>20.078399999999998</v>
      </c>
      <c r="AD3948">
        <v>-1.1102517287766001</v>
      </c>
      <c r="AE3948">
        <v>0.224899999999991</v>
      </c>
      <c r="AF3948">
        <v>-5.9351830291031402E-2</v>
      </c>
      <c r="AG3948">
        <v>-1.1102517287766001</v>
      </c>
      <c r="AH3948">
        <v>20.0183702093397</v>
      </c>
      <c r="AI3948">
        <v>93.174452007759797</v>
      </c>
      <c r="AJ3948">
        <v>90.169873939898906</v>
      </c>
      <c r="AK3948">
        <v>20.049222612839301</v>
      </c>
      <c r="AL3948">
        <v>69.7602136468672</v>
      </c>
      <c r="AM3948">
        <v>98.827516614736794</v>
      </c>
      <c r="AN3948">
        <v>0.99999997706538402</v>
      </c>
    </row>
    <row r="3949" spans="1:40" x14ac:dyDescent="0.25">
      <c r="A3949" t="str">
        <f>"20190304164207601"</f>
        <v>20190304164207601</v>
      </c>
      <c r="B3949" t="str">
        <f>"1551688927595284"</f>
        <v>1551688927595284</v>
      </c>
      <c r="C3949" t="s">
        <v>40</v>
      </c>
      <c r="D3949">
        <v>3.9885920000000001</v>
      </c>
      <c r="E3949">
        <v>0.56427780000000005</v>
      </c>
      <c r="F3949" t="s">
        <v>46</v>
      </c>
      <c r="G3949">
        <v>-241.2757</v>
      </c>
      <c r="H3949" s="1">
        <v>-8.6205230000000005E-7</v>
      </c>
      <c r="I3949">
        <v>214.71100000000001</v>
      </c>
      <c r="J3949">
        <v>-261.34629999999999</v>
      </c>
      <c r="K3949">
        <v>1.11025</v>
      </c>
      <c r="L3949">
        <v>214.48089999999999</v>
      </c>
      <c r="M3949">
        <v>0.9998899</v>
      </c>
      <c r="N3949">
        <v>-1.234913E-2</v>
      </c>
      <c r="O3949">
        <v>8.2351030000000006E-3</v>
      </c>
      <c r="P3949">
        <v>0.93014289999999999</v>
      </c>
      <c r="Q3949">
        <v>0.33449240000000002</v>
      </c>
      <c r="R3949">
        <v>0.151490299999999</v>
      </c>
      <c r="S3949">
        <v>3.2837830000000001</v>
      </c>
      <c r="T3949">
        <v>-0.1793476</v>
      </c>
      <c r="U3949">
        <v>3.7506100000000001E-2</v>
      </c>
      <c r="V3949">
        <v>-0.14381140000000001</v>
      </c>
      <c r="W3949">
        <v>0.34597440000000002</v>
      </c>
      <c r="X3949">
        <v>0.92715700000000001</v>
      </c>
      <c r="Y3949">
        <v>-3.186815E-3</v>
      </c>
      <c r="Z3949">
        <v>-2.4111599999999999E-4</v>
      </c>
      <c r="AA3949">
        <v>0.99999490000000002</v>
      </c>
      <c r="AB3949">
        <v>35</v>
      </c>
      <c r="AC3949">
        <v>20.070599999999899</v>
      </c>
      <c r="AD3949">
        <v>-1.1102508620522999</v>
      </c>
      <c r="AE3949">
        <v>0.230099999999993</v>
      </c>
      <c r="AF3949">
        <v>-6.4598498956692396E-2</v>
      </c>
      <c r="AG3949">
        <v>-1.1102508620522999</v>
      </c>
      <c r="AH3949">
        <v>20.0105899907193</v>
      </c>
      <c r="AI3949">
        <v>93.175678666649901</v>
      </c>
      <c r="AJ3949">
        <v>90.184962487244107</v>
      </c>
      <c r="AK3949">
        <v>20.041470547827402</v>
      </c>
      <c r="AL3949">
        <v>69.758713018499094</v>
      </c>
      <c r="AM3949">
        <v>98.816892243941695</v>
      </c>
      <c r="AN3949">
        <v>1.00000005343715</v>
      </c>
    </row>
    <row r="3950" spans="1:40" x14ac:dyDescent="0.25">
      <c r="A3950" t="str">
        <f>"20190304164207613"</f>
        <v>20190304164207613</v>
      </c>
      <c r="B3950" t="str">
        <f>"1551688927605044"</f>
        <v>1551688927605044</v>
      </c>
      <c r="C3950" t="s">
        <v>40</v>
      </c>
      <c r="D3950">
        <v>3.9868600000000001</v>
      </c>
      <c r="E3950">
        <v>0.56424359999999996</v>
      </c>
      <c r="F3950" t="s">
        <v>46</v>
      </c>
      <c r="G3950">
        <v>-241.10769999999999</v>
      </c>
      <c r="H3950" s="1">
        <v>-9.5168529999999996E-7</v>
      </c>
      <c r="I3950">
        <v>214.7159</v>
      </c>
      <c r="J3950">
        <v>-261.15269999999998</v>
      </c>
      <c r="K3950">
        <v>1.110257</v>
      </c>
      <c r="L3950">
        <v>214.48249999999999</v>
      </c>
      <c r="M3950">
        <v>0.99988969999999999</v>
      </c>
      <c r="N3950">
        <v>-1.235759E-2</v>
      </c>
      <c r="O3950">
        <v>8.2352290000000002E-3</v>
      </c>
      <c r="P3950">
        <v>0.93023679999999997</v>
      </c>
      <c r="Q3950">
        <v>0.3342328</v>
      </c>
      <c r="R3950">
        <v>0.15148589999999901</v>
      </c>
      <c r="S3950">
        <v>3.2838750000000001</v>
      </c>
      <c r="T3950">
        <v>-0.18014659999999999</v>
      </c>
      <c r="U3950">
        <v>3.8131709999999999E-2</v>
      </c>
      <c r="V3950">
        <v>-0.1438065</v>
      </c>
      <c r="W3950">
        <v>0.34572340000000001</v>
      </c>
      <c r="X3950">
        <v>0.9272513</v>
      </c>
      <c r="Y3950">
        <v>-3.376534E-3</v>
      </c>
      <c r="Z3950">
        <v>-2.3626720000000001E-4</v>
      </c>
      <c r="AA3950">
        <v>0.9999943</v>
      </c>
      <c r="AB3950">
        <v>35</v>
      </c>
      <c r="AC3950">
        <v>20.044999999999899</v>
      </c>
      <c r="AD3950">
        <v>-1.1102579516852999</v>
      </c>
      <c r="AE3950">
        <v>0.23340000000001701</v>
      </c>
      <c r="AF3950">
        <v>-6.8095429274118296E-2</v>
      </c>
      <c r="AG3950">
        <v>-1.1102579516852999</v>
      </c>
      <c r="AH3950">
        <v>19.9849397143098</v>
      </c>
      <c r="AI3950">
        <v>93.179764606316098</v>
      </c>
      <c r="AJ3950">
        <v>90.195225287560007</v>
      </c>
      <c r="AK3950">
        <v>20.0158718294099</v>
      </c>
      <c r="AL3950">
        <v>69.774038454803005</v>
      </c>
      <c r="AM3950">
        <v>98.815714002193303</v>
      </c>
      <c r="AN3950">
        <v>0.99999997605074897</v>
      </c>
    </row>
    <row r="3951" spans="1:40" x14ac:dyDescent="0.25">
      <c r="A3951" t="str">
        <f>"20190304164207631"</f>
        <v>20190304164207631</v>
      </c>
      <c r="B3951" t="str">
        <f>"1551688927625542"</f>
        <v>1551688927625542</v>
      </c>
      <c r="C3951" t="s">
        <v>40</v>
      </c>
      <c r="D3951">
        <v>4.0519270000000001</v>
      </c>
      <c r="E3951">
        <v>0.56414350000000002</v>
      </c>
      <c r="F3951" t="s">
        <v>46</v>
      </c>
      <c r="G3951">
        <v>-241.04050000000001</v>
      </c>
      <c r="H3951" s="1">
        <v>-9.8750910000000005E-7</v>
      </c>
      <c r="I3951">
        <v>214.71709999999999</v>
      </c>
      <c r="J3951">
        <v>-260.87990000000002</v>
      </c>
      <c r="K3951">
        <v>1.1102590000000001</v>
      </c>
      <c r="L3951">
        <v>214.4847</v>
      </c>
      <c r="M3951">
        <v>0.99988960000000005</v>
      </c>
      <c r="N3951">
        <v>-1.2371460000000001E-2</v>
      </c>
      <c r="O3951">
        <v>8.2353210000000003E-3</v>
      </c>
      <c r="P3951">
        <v>0.93029360000000005</v>
      </c>
      <c r="Q3951">
        <v>0.33384259999999999</v>
      </c>
      <c r="R3951">
        <v>0.1519962</v>
      </c>
      <c r="S3951">
        <v>3.2838750000000001</v>
      </c>
      <c r="T3951">
        <v>-0.18127969999999999</v>
      </c>
      <c r="U3951">
        <v>3.8299560000000003E-2</v>
      </c>
      <c r="V3951">
        <v>-0.144316</v>
      </c>
      <c r="W3951">
        <v>0.34534700000000002</v>
      </c>
      <c r="X3951">
        <v>0.92731240000000004</v>
      </c>
      <c r="Y3951">
        <v>-3.427495E-3</v>
      </c>
      <c r="Z3951">
        <v>-2.3666679999999999E-4</v>
      </c>
      <c r="AA3951">
        <v>0.9999941</v>
      </c>
      <c r="AB3951">
        <v>35</v>
      </c>
      <c r="AC3951">
        <v>19.839400000000001</v>
      </c>
      <c r="AD3951">
        <v>-1.1102599875090999</v>
      </c>
      <c r="AE3951">
        <v>0.23239999999998401</v>
      </c>
      <c r="AF3951">
        <v>-6.87804167372119E-2</v>
      </c>
      <c r="AG3951">
        <v>-1.1102599875090999</v>
      </c>
      <c r="AH3951">
        <v>19.778706949561901</v>
      </c>
      <c r="AI3951">
        <v>93.212856045109604</v>
      </c>
      <c r="AJ3951">
        <v>90.199245163846697</v>
      </c>
      <c r="AK3951">
        <v>19.809963568422798</v>
      </c>
      <c r="AL3951">
        <v>69.797020054796903</v>
      </c>
      <c r="AM3951">
        <v>98.845880833624193</v>
      </c>
      <c r="AN3951">
        <v>0.99999997272937902</v>
      </c>
    </row>
    <row r="3952" spans="1:40" x14ac:dyDescent="0.25">
      <c r="A3952" t="str">
        <f>"20190304164207651"</f>
        <v>20190304164207651</v>
      </c>
      <c r="B3952" t="str">
        <f>"1551688927645060"</f>
        <v>1551688927645060</v>
      </c>
      <c r="C3952" t="s">
        <v>40</v>
      </c>
      <c r="D3952">
        <v>4.1020430000000001</v>
      </c>
      <c r="E3952">
        <v>0.54358719999999905</v>
      </c>
      <c r="F3952" t="s">
        <v>46</v>
      </c>
      <c r="G3952">
        <v>-240.9385</v>
      </c>
      <c r="H3952" s="1">
        <v>-1.0422270000000001E-6</v>
      </c>
      <c r="I3952">
        <v>214.72720000000001</v>
      </c>
      <c r="J3952">
        <v>-260.55799999999999</v>
      </c>
      <c r="K3952">
        <v>1.1102529999999999</v>
      </c>
      <c r="L3952">
        <v>214.48740000000001</v>
      </c>
      <c r="M3952">
        <v>0.99988929999999998</v>
      </c>
      <c r="N3952">
        <v>-1.2391269999999999E-2</v>
      </c>
      <c r="O3952">
        <v>8.2353759999999904E-3</v>
      </c>
      <c r="P3952">
        <v>0.93023359999999999</v>
      </c>
      <c r="Q3952">
        <v>0.33384439999999999</v>
      </c>
      <c r="R3952">
        <v>0.1523592</v>
      </c>
      <c r="S3952">
        <v>3.2838750000000001</v>
      </c>
      <c r="T3952">
        <v>-0.1828333</v>
      </c>
      <c r="U3952">
        <v>3.9932250000000002E-2</v>
      </c>
      <c r="V3952">
        <v>-0.14467959999999999</v>
      </c>
      <c r="W3952">
        <v>0.34536630000000001</v>
      </c>
      <c r="X3952">
        <v>0.92724859999999998</v>
      </c>
      <c r="Y3952">
        <v>-3.9236660000000001E-3</v>
      </c>
      <c r="Z3952">
        <v>-2.226715E-4</v>
      </c>
      <c r="AA3952">
        <v>0.99999229999999995</v>
      </c>
      <c r="AB3952">
        <v>35</v>
      </c>
      <c r="AC3952">
        <v>19.619499999999899</v>
      </c>
      <c r="AD3952">
        <v>-1.110254042227</v>
      </c>
      <c r="AE3952">
        <v>0.23980000000000201</v>
      </c>
      <c r="AF3952">
        <v>-7.7955894998382402E-2</v>
      </c>
      <c r="AG3952">
        <v>-1.110254042227</v>
      </c>
      <c r="AH3952">
        <v>19.558186757524499</v>
      </c>
      <c r="AI3952">
        <v>93.248980580259101</v>
      </c>
      <c r="AJ3952">
        <v>90.228370869646895</v>
      </c>
      <c r="AK3952">
        <v>19.589829259134799</v>
      </c>
      <c r="AL3952">
        <v>69.795842680529205</v>
      </c>
      <c r="AM3952">
        <v>98.8684144525742</v>
      </c>
      <c r="AN3952">
        <v>1.0000000170168999</v>
      </c>
    </row>
    <row r="3953" spans="1:40" x14ac:dyDescent="0.25">
      <c r="A3953" t="str">
        <f>"20190304164207674"</f>
        <v>20190304164207674</v>
      </c>
      <c r="B3953" t="str">
        <f>"1551688927665557"</f>
        <v>1551688927665557</v>
      </c>
      <c r="C3953" t="s">
        <v>40</v>
      </c>
      <c r="D3953">
        <v>4.0964650000000002</v>
      </c>
      <c r="E3953">
        <v>0.53616079999999999</v>
      </c>
      <c r="F3953" t="s">
        <v>46</v>
      </c>
      <c r="G3953">
        <v>-241.5487</v>
      </c>
      <c r="H3953" s="1">
        <v>-7.5875239999999996E-7</v>
      </c>
      <c r="I3953">
        <v>215.67089999999999</v>
      </c>
      <c r="J3953">
        <v>-260.2097</v>
      </c>
      <c r="K3953">
        <v>1.1102510000000001</v>
      </c>
      <c r="L3953">
        <v>214.49029999999999</v>
      </c>
      <c r="M3953">
        <v>0.99988920000000003</v>
      </c>
      <c r="N3953">
        <v>-1.2414730000000001E-2</v>
      </c>
      <c r="O3953">
        <v>8.2352299999999996E-3</v>
      </c>
      <c r="P3953">
        <v>0.93043520000000002</v>
      </c>
      <c r="Q3953">
        <v>0.33348270000000002</v>
      </c>
      <c r="R3953">
        <v>0.15192039999999901</v>
      </c>
      <c r="S3953">
        <v>3.2600709999999999</v>
      </c>
      <c r="T3953">
        <v>-0.19040750000000001</v>
      </c>
      <c r="U3953">
        <v>0.2029724</v>
      </c>
      <c r="V3953">
        <v>-0.14423929999999999</v>
      </c>
      <c r="W3953">
        <v>0.34502880000000002</v>
      </c>
      <c r="X3953">
        <v>0.92744280000000001</v>
      </c>
      <c r="Y3953">
        <v>-5.3815549999999997E-2</v>
      </c>
      <c r="Z3953">
        <v>1.5254579999999999E-3</v>
      </c>
      <c r="AA3953">
        <v>0.99854969999999998</v>
      </c>
      <c r="AB3953">
        <v>35</v>
      </c>
      <c r="AC3953">
        <v>18.660999999999898</v>
      </c>
      <c r="AD3953">
        <v>-1.1102517587523999</v>
      </c>
      <c r="AE3953">
        <v>1.1805999999999901</v>
      </c>
      <c r="AF3953">
        <v>-1.02326285654272</v>
      </c>
      <c r="AG3953">
        <v>-1.1102517587523999</v>
      </c>
      <c r="AH3953">
        <v>18.604497555069798</v>
      </c>
      <c r="AI3953">
        <v>93.410020992886402</v>
      </c>
      <c r="AJ3953">
        <v>93.148143662947405</v>
      </c>
      <c r="AK3953">
        <v>18.6656651399834</v>
      </c>
      <c r="AL3953">
        <v>69.816446120094099</v>
      </c>
      <c r="AM3953">
        <v>98.840030325221093</v>
      </c>
      <c r="AN3953">
        <v>0.99999999788288496</v>
      </c>
    </row>
    <row r="3954" spans="1:40" x14ac:dyDescent="0.25">
      <c r="A3954" t="str">
        <f>"20190304164207696"</f>
        <v>20190304164207696</v>
      </c>
      <c r="B3954" t="str">
        <f>"1551688927685077"</f>
        <v>1551688927685077</v>
      </c>
      <c r="C3954" t="s">
        <v>40</v>
      </c>
      <c r="D3954">
        <v>4.127148</v>
      </c>
      <c r="E3954">
        <v>0.53381049999999997</v>
      </c>
      <c r="F3954" t="s">
        <v>46</v>
      </c>
      <c r="G3954">
        <v>-240.2818</v>
      </c>
      <c r="H3954" s="1">
        <v>-1.451009E-6</v>
      </c>
      <c r="I3954">
        <v>216.08500000000001</v>
      </c>
      <c r="J3954">
        <v>-259.87270000000001</v>
      </c>
      <c r="K3954">
        <v>1.1102510000000001</v>
      </c>
      <c r="L3954">
        <v>214.4931</v>
      </c>
      <c r="M3954">
        <v>0.99988869999999996</v>
      </c>
      <c r="N3954">
        <v>-1.243706E-2</v>
      </c>
      <c r="O3954">
        <v>8.2355659999999997E-3</v>
      </c>
      <c r="P3954">
        <v>0.9302435</v>
      </c>
      <c r="Q3954">
        <v>0.33403840000000001</v>
      </c>
      <c r="R3954">
        <v>0.151872799999999</v>
      </c>
      <c r="S3954">
        <v>3.2467039999999998</v>
      </c>
      <c r="T3954">
        <v>-0.18088560000000001</v>
      </c>
      <c r="U3954">
        <v>0.25981140000000003</v>
      </c>
      <c r="V3954">
        <v>-0.14419309999999999</v>
      </c>
      <c r="W3954">
        <v>0.34560289999999999</v>
      </c>
      <c r="X3954">
        <v>0.92723619999999995</v>
      </c>
      <c r="Y3954">
        <v>-7.1428320000000003E-2</v>
      </c>
      <c r="Z3954">
        <v>2.0748899999999998E-3</v>
      </c>
      <c r="AA3954">
        <v>0.99744359999999999</v>
      </c>
      <c r="AB3954">
        <v>35</v>
      </c>
      <c r="AC3954">
        <v>19.590900000000001</v>
      </c>
      <c r="AD3954">
        <v>-1.1102524510089999</v>
      </c>
      <c r="AE3954">
        <v>1.5919000000000001</v>
      </c>
      <c r="AF3954">
        <v>-1.4259417153632401</v>
      </c>
      <c r="AG3954">
        <v>-1.1102524510089999</v>
      </c>
      <c r="AH3954">
        <v>19.540998606378199</v>
      </c>
      <c r="AI3954">
        <v>93.243248347920996</v>
      </c>
      <c r="AJ3954">
        <v>94.173578343356397</v>
      </c>
      <c r="AK3954">
        <v>19.6243878073956</v>
      </c>
      <c r="AL3954">
        <v>69.781396482426004</v>
      </c>
      <c r="AM3954">
        <v>98.839181513926903</v>
      </c>
      <c r="AN3954">
        <v>0.99999999258322902</v>
      </c>
    </row>
    <row r="3955" spans="1:40" x14ac:dyDescent="0.25">
      <c r="A3955" t="str">
        <f>"20190304164207719"</f>
        <v>20190304164207719</v>
      </c>
      <c r="B3955" t="str">
        <f>"1551688927714865"</f>
        <v>1551688927714865</v>
      </c>
      <c r="C3955" t="s">
        <v>40</v>
      </c>
      <c r="D3955">
        <v>4.099164</v>
      </c>
      <c r="E3955">
        <v>0.53265909999999905</v>
      </c>
      <c r="F3955" t="s">
        <v>46</v>
      </c>
      <c r="G3955">
        <v>-239.64019999999999</v>
      </c>
      <c r="H3955" s="1">
        <v>3.5230809999999999E-6</v>
      </c>
      <c r="I3955">
        <v>216.2217</v>
      </c>
      <c r="J3955">
        <v>-259.51569999999998</v>
      </c>
      <c r="K3955">
        <v>1.110258</v>
      </c>
      <c r="L3955">
        <v>214.49600000000001</v>
      </c>
      <c r="M3955">
        <v>0.99988860000000002</v>
      </c>
      <c r="N3955">
        <v>-1.246268E-2</v>
      </c>
      <c r="O3955">
        <v>8.2355829999999994E-3</v>
      </c>
      <c r="P3955">
        <v>0.93023169999999999</v>
      </c>
      <c r="Q3955">
        <v>0.33380280000000001</v>
      </c>
      <c r="R3955">
        <v>0.1524625</v>
      </c>
      <c r="S3955">
        <v>3.2436219999999998</v>
      </c>
      <c r="T3955">
        <v>-0.17799219999999999</v>
      </c>
      <c r="U3955">
        <v>0.27713009999999999</v>
      </c>
      <c r="V3955">
        <v>-0.144783</v>
      </c>
      <c r="W3955">
        <v>0.3453909</v>
      </c>
      <c r="X3955">
        <v>0.92722329999999997</v>
      </c>
      <c r="Y3955">
        <v>-7.6785569999999997E-2</v>
      </c>
      <c r="Z3955">
        <v>2.2328719999999999E-3</v>
      </c>
      <c r="AA3955">
        <v>0.99704519999999996</v>
      </c>
      <c r="AB3955">
        <v>35</v>
      </c>
      <c r="AC3955">
        <v>19.875499999999899</v>
      </c>
      <c r="AD3955">
        <v>-1.1102544769189999</v>
      </c>
      <c r="AE3955">
        <v>1.72570000000001</v>
      </c>
      <c r="AF3955">
        <v>-1.5571199858816001</v>
      </c>
      <c r="AG3955">
        <v>-1.1102544769189999</v>
      </c>
      <c r="AH3955">
        <v>19.827632078006101</v>
      </c>
      <c r="AI3955">
        <v>93.195131050059004</v>
      </c>
      <c r="AJ3955">
        <v>94.490383296318001</v>
      </c>
      <c r="AK3955">
        <v>19.9196456161933</v>
      </c>
      <c r="AL3955">
        <v>69.794340834637197</v>
      </c>
      <c r="AM3955">
        <v>98.874889998258396</v>
      </c>
      <c r="AN3955">
        <v>1.00000001947734</v>
      </c>
    </row>
    <row r="3956" spans="1:40" x14ac:dyDescent="0.25">
      <c r="A3956" t="str">
        <f>"20190304164207742"</f>
        <v>20190304164207742</v>
      </c>
      <c r="B3956" t="str">
        <f>"1551688927735361"</f>
        <v>1551688927735361</v>
      </c>
      <c r="C3956" t="s">
        <v>40</v>
      </c>
      <c r="D3956">
        <v>4.076721</v>
      </c>
      <c r="E3956">
        <v>0.53214340000000004</v>
      </c>
      <c r="F3956" t="s">
        <v>46</v>
      </c>
      <c r="G3956">
        <v>-239.12100000000001</v>
      </c>
      <c r="H3956" s="1">
        <v>3.243325E-6</v>
      </c>
      <c r="I3956">
        <v>216.30119999999999</v>
      </c>
      <c r="J3956">
        <v>-259.15789999999998</v>
      </c>
      <c r="K3956">
        <v>1.110263</v>
      </c>
      <c r="L3956">
        <v>214.499</v>
      </c>
      <c r="M3956">
        <v>0.9998882</v>
      </c>
      <c r="N3956">
        <v>-1.2491179999999999E-2</v>
      </c>
      <c r="O3956">
        <v>8.2357619999999902E-3</v>
      </c>
      <c r="P3956">
        <v>0.93030749999999995</v>
      </c>
      <c r="Q3956">
        <v>0.33370090000000002</v>
      </c>
      <c r="R3956">
        <v>0.1522239</v>
      </c>
      <c r="S3956">
        <v>3.2413020000000001</v>
      </c>
      <c r="T3956">
        <v>-0.1764512</v>
      </c>
      <c r="U3956">
        <v>0.28689579999999998</v>
      </c>
      <c r="V3956">
        <v>-0.14454359999999999</v>
      </c>
      <c r="W3956">
        <v>0.34531650000000003</v>
      </c>
      <c r="X3956">
        <v>0.92728829999999995</v>
      </c>
      <c r="Y3956">
        <v>-7.9823290000000005E-2</v>
      </c>
      <c r="Z3956">
        <v>2.3224140000000001E-3</v>
      </c>
      <c r="AA3956">
        <v>0.99680630000000003</v>
      </c>
      <c r="AB3956">
        <v>35</v>
      </c>
      <c r="AC3956">
        <v>20.036899999999999</v>
      </c>
      <c r="AD3956">
        <v>-1.1102597566750001</v>
      </c>
      <c r="AE3956">
        <v>1.80219999999997</v>
      </c>
      <c r="AF3956">
        <v>-1.6321358610035901</v>
      </c>
      <c r="AG3956">
        <v>-1.1102597566750001</v>
      </c>
      <c r="AH3956">
        <v>19.990179666441598</v>
      </c>
      <c r="AI3956">
        <v>93.168434787837</v>
      </c>
      <c r="AJ3956">
        <v>94.667668290522798</v>
      </c>
      <c r="AK3956">
        <v>20.087404692808999</v>
      </c>
      <c r="AL3956">
        <v>69.798881954008706</v>
      </c>
      <c r="AM3956">
        <v>98.859837084599107</v>
      </c>
      <c r="AN3956">
        <v>0.99999996439504901</v>
      </c>
    </row>
    <row r="3957" spans="1:40" x14ac:dyDescent="0.25">
      <c r="A3957" t="str">
        <f>"20190304164207763"</f>
        <v>20190304164207763</v>
      </c>
      <c r="B3957" t="str">
        <f>"1551688927754880"</f>
        <v>1551688927754880</v>
      </c>
      <c r="C3957" t="s">
        <v>40</v>
      </c>
      <c r="D3957">
        <v>4.0996730000000001</v>
      </c>
      <c r="E3957">
        <v>0.53177469999999905</v>
      </c>
      <c r="F3957" t="s">
        <v>46</v>
      </c>
      <c r="G3957">
        <v>-239.01390000000001</v>
      </c>
      <c r="H3957" s="1">
        <v>3.1860769999999999E-6</v>
      </c>
      <c r="I3957">
        <v>216.30699999999999</v>
      </c>
      <c r="J3957">
        <v>-258.82170000000002</v>
      </c>
      <c r="K3957">
        <v>1.1102669999999999</v>
      </c>
      <c r="L3957">
        <v>214.5017</v>
      </c>
      <c r="M3957">
        <v>0.99988779999999999</v>
      </c>
      <c r="N3957">
        <v>-1.2517790000000001E-2</v>
      </c>
      <c r="O3957">
        <v>8.2357719999999902E-3</v>
      </c>
      <c r="P3957">
        <v>0.9302127</v>
      </c>
      <c r="Q3957">
        <v>0.33411800000000003</v>
      </c>
      <c r="R3957">
        <v>0.15188689999999999</v>
      </c>
      <c r="S3957">
        <v>3.2412109999999998</v>
      </c>
      <c r="T3957">
        <v>-0.1786431</v>
      </c>
      <c r="U3957">
        <v>0.29092410000000002</v>
      </c>
      <c r="V3957">
        <v>-0.144207</v>
      </c>
      <c r="W3957">
        <v>0.34575689999999998</v>
      </c>
      <c r="X3957">
        <v>0.92717669999999996</v>
      </c>
      <c r="Y3957">
        <v>-8.1049430000000006E-2</v>
      </c>
      <c r="Z3957">
        <v>2.386408E-3</v>
      </c>
      <c r="AA3957">
        <v>0.99670720000000002</v>
      </c>
      <c r="AB3957">
        <v>35</v>
      </c>
      <c r="AC3957">
        <v>19.8078</v>
      </c>
      <c r="AD3957">
        <v>-1.1102638139229899</v>
      </c>
      <c r="AE3957">
        <v>1.8053000000000099</v>
      </c>
      <c r="AF3957">
        <v>-1.6369927188478199</v>
      </c>
      <c r="AG3957">
        <v>-1.1102638139229899</v>
      </c>
      <c r="AH3957">
        <v>19.760425286018201</v>
      </c>
      <c r="AI3957">
        <v>93.204897229265796</v>
      </c>
      <c r="AJ3957">
        <v>94.735682130784895</v>
      </c>
      <c r="AK3957">
        <v>19.859175168731898</v>
      </c>
      <c r="AL3957">
        <v>69.771994730496999</v>
      </c>
      <c r="AM3957">
        <v>98.840578472854901</v>
      </c>
      <c r="AN3957">
        <v>1.0000000628847401</v>
      </c>
    </row>
    <row r="3958" spans="1:40" x14ac:dyDescent="0.25">
      <c r="A3958" t="str">
        <f>"20190304164207785"</f>
        <v>20190304164207785</v>
      </c>
      <c r="B3958" t="str">
        <f>"1551688927775378"</f>
        <v>1551688927775378</v>
      </c>
      <c r="C3958" t="s">
        <v>40</v>
      </c>
      <c r="D3958">
        <v>4.0821769999999997</v>
      </c>
      <c r="E3958">
        <v>0.53168059999999995</v>
      </c>
      <c r="F3958" t="s">
        <v>46</v>
      </c>
      <c r="G3958">
        <v>-238.6807</v>
      </c>
      <c r="H3958" s="1">
        <v>3.0075439999999999E-6</v>
      </c>
      <c r="I3958">
        <v>216.33430000000001</v>
      </c>
      <c r="J3958">
        <v>-258.48590000000002</v>
      </c>
      <c r="K3958">
        <v>1.1102730000000001</v>
      </c>
      <c r="L3958">
        <v>214.50450000000001</v>
      </c>
      <c r="M3958">
        <v>0.99988750000000004</v>
      </c>
      <c r="N3958">
        <v>-1.25472E-2</v>
      </c>
      <c r="O3958">
        <v>8.2333619999999993E-3</v>
      </c>
      <c r="P3958">
        <v>0.93025970000000002</v>
      </c>
      <c r="Q3958">
        <v>0.33398620000000001</v>
      </c>
      <c r="R3958">
        <v>0.1518891</v>
      </c>
      <c r="S3958">
        <v>3.2410890000000001</v>
      </c>
      <c r="T3958">
        <v>-0.17866360000000001</v>
      </c>
      <c r="U3958">
        <v>0.29489140000000003</v>
      </c>
      <c r="V3958">
        <v>-0.1442097</v>
      </c>
      <c r="W3958">
        <v>0.34565359999999901</v>
      </c>
      <c r="X3958">
        <v>0.92721469999999995</v>
      </c>
      <c r="Y3958">
        <v>-8.2262909999999995E-2</v>
      </c>
      <c r="Z3958">
        <v>2.4291299999999998E-3</v>
      </c>
      <c r="AA3958">
        <v>0.99660769999999999</v>
      </c>
      <c r="AB3958">
        <v>35</v>
      </c>
      <c r="AC3958">
        <v>19.805199999999999</v>
      </c>
      <c r="AD3958">
        <v>-1.110269992456</v>
      </c>
      <c r="AE3958">
        <v>1.8298000000000001</v>
      </c>
      <c r="AF3958">
        <v>-1.6614844664168</v>
      </c>
      <c r="AG3958">
        <v>-1.110269992456</v>
      </c>
      <c r="AH3958">
        <v>19.758027770551202</v>
      </c>
      <c r="AI3958">
        <v>93.204971812141807</v>
      </c>
      <c r="AJ3958">
        <v>94.806785690045601</v>
      </c>
      <c r="AK3958">
        <v>19.858824020323201</v>
      </c>
      <c r="AL3958">
        <v>69.778300419249007</v>
      </c>
      <c r="AM3958">
        <v>98.840384784503698</v>
      </c>
      <c r="AN3958">
        <v>0.99999997433156895</v>
      </c>
    </row>
    <row r="3959" spans="1:40" x14ac:dyDescent="0.25">
      <c r="A3959" t="str">
        <f>"20190304164207807"</f>
        <v>20190304164207807</v>
      </c>
      <c r="B3959" t="str">
        <f>"1551688927794897"</f>
        <v>1551688927794897</v>
      </c>
      <c r="C3959" t="s">
        <v>40</v>
      </c>
      <c r="D3959">
        <v>4.1006970000000003</v>
      </c>
      <c r="E3959">
        <v>0.5313061</v>
      </c>
      <c r="F3959" t="s">
        <v>46</v>
      </c>
      <c r="G3959">
        <v>-238.1859</v>
      </c>
      <c r="H3959" s="1">
        <v>2.7432280000000002E-6</v>
      </c>
      <c r="I3959">
        <v>216.35749999999999</v>
      </c>
      <c r="J3959">
        <v>-258.13630000000001</v>
      </c>
      <c r="K3959">
        <v>1.110274</v>
      </c>
      <c r="L3959">
        <v>214.50729999999999</v>
      </c>
      <c r="M3959">
        <v>0.99988699999999997</v>
      </c>
      <c r="N3959">
        <v>-1.2579160000000001E-2</v>
      </c>
      <c r="O3959">
        <v>8.2275719999999903E-3</v>
      </c>
      <c r="P3959">
        <v>0.93021370000000003</v>
      </c>
      <c r="Q3959">
        <v>0.33382650000000003</v>
      </c>
      <c r="R3959">
        <v>0.15252070000000001</v>
      </c>
      <c r="S3959">
        <v>3.240265</v>
      </c>
      <c r="T3959">
        <v>-0.17722009999999999</v>
      </c>
      <c r="U3959">
        <v>0.29577639999999999</v>
      </c>
      <c r="V3959">
        <v>-0.144844899999999</v>
      </c>
      <c r="W3959">
        <v>0.34552369999999999</v>
      </c>
      <c r="X3959">
        <v>0.92716410000000005</v>
      </c>
      <c r="Y3959">
        <v>-8.2562880000000005E-2</v>
      </c>
      <c r="Z3959">
        <v>2.4268689999999999E-3</v>
      </c>
      <c r="AA3959">
        <v>0.99658290000000005</v>
      </c>
      <c r="AB3959">
        <v>35</v>
      </c>
      <c r="AC3959">
        <v>19.950399999999998</v>
      </c>
      <c r="AD3959">
        <v>-1.1102712567719999</v>
      </c>
      <c r="AE3959">
        <v>1.8502000000000001</v>
      </c>
      <c r="AF3959">
        <v>-1.68081974758938</v>
      </c>
      <c r="AG3959">
        <v>-1.1102712567719999</v>
      </c>
      <c r="AH3959">
        <v>19.903830035098601</v>
      </c>
      <c r="AI3959">
        <v>93.181451909749299</v>
      </c>
      <c r="AJ3959">
        <v>94.827007061218694</v>
      </c>
      <c r="AK3959">
        <v>20.005506925684099</v>
      </c>
      <c r="AL3959">
        <v>69.786231741527999</v>
      </c>
      <c r="AM3959">
        <v>98.879181770873402</v>
      </c>
      <c r="AN3959">
        <v>0.99999997032325405</v>
      </c>
    </row>
    <row r="3960" spans="1:40" x14ac:dyDescent="0.25">
      <c r="A3960" t="str">
        <f>"20190304164207831"</f>
        <v>20190304164207831</v>
      </c>
      <c r="B3960" t="str">
        <f>"1551688927825153"</f>
        <v>1551688927825153</v>
      </c>
      <c r="C3960" t="s">
        <v>40</v>
      </c>
      <c r="D3960">
        <v>4.1044960000000001</v>
      </c>
      <c r="E3960">
        <v>0.53085139999999997</v>
      </c>
      <c r="F3960" t="s">
        <v>46</v>
      </c>
      <c r="G3960">
        <v>-237.7261</v>
      </c>
      <c r="H3960" s="1">
        <v>2.4966290000000001E-6</v>
      </c>
      <c r="I3960">
        <v>216.4014</v>
      </c>
      <c r="J3960">
        <v>-257.7724</v>
      </c>
      <c r="K3960">
        <v>1.110268</v>
      </c>
      <c r="L3960">
        <v>214.5103</v>
      </c>
      <c r="M3960">
        <v>0.99988690000000002</v>
      </c>
      <c r="N3960">
        <v>-1.261258E-2</v>
      </c>
      <c r="O3960">
        <v>8.2111760000000006E-3</v>
      </c>
      <c r="P3960">
        <v>0.93022550000000004</v>
      </c>
      <c r="Q3960">
        <v>0.33377519999999999</v>
      </c>
      <c r="R3960">
        <v>0.1525608</v>
      </c>
      <c r="S3960">
        <v>3.2389830000000002</v>
      </c>
      <c r="T3960">
        <v>-0.17619409999999999</v>
      </c>
      <c r="U3960">
        <v>0.30058289999999999</v>
      </c>
      <c r="V3960">
        <v>-0.14489540000000001</v>
      </c>
      <c r="W3960">
        <v>0.34550540000000002</v>
      </c>
      <c r="X3960">
        <v>0.92716310000000002</v>
      </c>
      <c r="Y3960">
        <v>-8.407982E-2</v>
      </c>
      <c r="Z3960">
        <v>2.470135E-3</v>
      </c>
      <c r="AA3960">
        <v>0.99645600000000001</v>
      </c>
      <c r="AB3960">
        <v>35</v>
      </c>
      <c r="AC3960">
        <v>20.046299999999999</v>
      </c>
      <c r="AD3960">
        <v>-1.1102655033710001</v>
      </c>
      <c r="AE3960">
        <v>1.89109999999999</v>
      </c>
      <c r="AF3960">
        <v>-1.7211862960234401</v>
      </c>
      <c r="AG3960">
        <v>-1.1102655033710001</v>
      </c>
      <c r="AH3960">
        <v>20.000343497780701</v>
      </c>
      <c r="AI3960">
        <v>93.165683725854606</v>
      </c>
      <c r="AJ3960">
        <v>94.918632344636407</v>
      </c>
      <c r="AK3960">
        <v>20.1049474454129</v>
      </c>
      <c r="AL3960">
        <v>69.787350455968905</v>
      </c>
      <c r="AM3960">
        <v>98.882237561907203</v>
      </c>
      <c r="AN3960">
        <v>1.00000003618596</v>
      </c>
    </row>
    <row r="3961" spans="1:40" x14ac:dyDescent="0.25">
      <c r="A3961" t="str">
        <f>"20190304164207852"</f>
        <v>20190304164207852</v>
      </c>
      <c r="B3961" t="str">
        <f>"1551688927844672"</f>
        <v>1551688927844672</v>
      </c>
      <c r="C3961" t="s">
        <v>40</v>
      </c>
      <c r="D3961">
        <v>4.1161070000000004</v>
      </c>
      <c r="E3961">
        <v>0.53059940000000005</v>
      </c>
      <c r="F3961" t="s">
        <v>46</v>
      </c>
      <c r="G3961">
        <v>-237.4402</v>
      </c>
      <c r="H3961" s="1">
        <v>2.3438010000000001E-6</v>
      </c>
      <c r="I3961">
        <v>216.41749999999999</v>
      </c>
      <c r="J3961">
        <v>-257.44200000000001</v>
      </c>
      <c r="K3961">
        <v>1.1102700000000001</v>
      </c>
      <c r="L3961">
        <v>214.51300000000001</v>
      </c>
      <c r="M3961">
        <v>0.99988650000000001</v>
      </c>
      <c r="N3961">
        <v>-1.264912E-2</v>
      </c>
      <c r="O3961">
        <v>8.185299E-3</v>
      </c>
      <c r="P3961">
        <v>0.93028949999999999</v>
      </c>
      <c r="Q3961">
        <v>0.33362789999999998</v>
      </c>
      <c r="R3961">
        <v>0.15249170000000001</v>
      </c>
      <c r="S3961">
        <v>3.2386780000000002</v>
      </c>
      <c r="T3961">
        <v>-0.17685209999999901</v>
      </c>
      <c r="U3961">
        <v>0.30378719999999998</v>
      </c>
      <c r="V3961">
        <v>-0.1448429</v>
      </c>
      <c r="W3961">
        <v>0.34539579999999998</v>
      </c>
      <c r="X3961">
        <v>0.92721209999999998</v>
      </c>
      <c r="Y3961">
        <v>-8.5088659999999997E-2</v>
      </c>
      <c r="Z3961">
        <v>2.513876E-3</v>
      </c>
      <c r="AA3961">
        <v>0.99637019999999998</v>
      </c>
      <c r="AB3961">
        <v>35</v>
      </c>
      <c r="AC3961">
        <v>20.001799999999999</v>
      </c>
      <c r="AD3961">
        <v>-1.1102676561989999</v>
      </c>
      <c r="AE3961">
        <v>1.9044999999999801</v>
      </c>
      <c r="AF3961">
        <v>-1.735403327287</v>
      </c>
      <c r="AG3961">
        <v>-1.1102676561989999</v>
      </c>
      <c r="AH3961">
        <v>19.955785039243601</v>
      </c>
      <c r="AI3961">
        <v>93.172498039313595</v>
      </c>
      <c r="AJ3961">
        <v>94.9700760439639</v>
      </c>
      <c r="AK3961">
        <v>20.061846263723101</v>
      </c>
      <c r="AL3961">
        <v>69.7940412924047</v>
      </c>
      <c r="AM3961">
        <v>98.878608793031702</v>
      </c>
      <c r="AN3961">
        <v>1.0000000013622199</v>
      </c>
    </row>
    <row r="3962" spans="1:40" x14ac:dyDescent="0.25">
      <c r="A3962" t="str">
        <f>"20190304164207874"</f>
        <v>20190304164207874</v>
      </c>
      <c r="B3962" t="str">
        <f>"1551688927865169"</f>
        <v>1551688927865169</v>
      </c>
      <c r="C3962" t="s">
        <v>40</v>
      </c>
      <c r="D3962">
        <v>4.1090280000000003</v>
      </c>
      <c r="E3962">
        <v>0.53036280000000002</v>
      </c>
      <c r="F3962" t="s">
        <v>46</v>
      </c>
      <c r="G3962">
        <v>-237.2371</v>
      </c>
      <c r="H3962" s="1">
        <v>2.2354109999999999E-6</v>
      </c>
      <c r="I3962">
        <v>216.4239</v>
      </c>
      <c r="J3962">
        <v>-257.10000000000002</v>
      </c>
      <c r="K3962">
        <v>1.110266</v>
      </c>
      <c r="L3962">
        <v>214.51580000000001</v>
      </c>
      <c r="M3962">
        <v>0.99988630000000001</v>
      </c>
      <c r="N3962">
        <v>-1.269847E-2</v>
      </c>
      <c r="O3962">
        <v>8.1453519999999998E-3</v>
      </c>
      <c r="P3962">
        <v>0.93028160000000004</v>
      </c>
      <c r="Q3962">
        <v>0.33371659999999997</v>
      </c>
      <c r="R3962">
        <v>0.15234739999999999</v>
      </c>
      <c r="S3962">
        <v>3.2384189999999999</v>
      </c>
      <c r="T3962">
        <v>-0.1779522</v>
      </c>
      <c r="U3962">
        <v>0.3062744</v>
      </c>
      <c r="V3962">
        <v>-0.1447262</v>
      </c>
      <c r="W3962">
        <v>0.34553450000000002</v>
      </c>
      <c r="X3962">
        <v>0.92717859999999996</v>
      </c>
      <c r="Y3962">
        <v>-8.589107E-2</v>
      </c>
      <c r="Z3962">
        <v>2.5568829999999998E-3</v>
      </c>
      <c r="AA3962">
        <v>0.9963012</v>
      </c>
      <c r="AB3962">
        <v>35</v>
      </c>
      <c r="AC3962">
        <v>19.8629</v>
      </c>
      <c r="AD3962">
        <v>-1.1102637645889999</v>
      </c>
      <c r="AE3962">
        <v>1.9080999999999899</v>
      </c>
      <c r="AF3962">
        <v>-1.7408439857114699</v>
      </c>
      <c r="AG3962">
        <v>-1.1102637645889999</v>
      </c>
      <c r="AH3962">
        <v>19.816435968109101</v>
      </c>
      <c r="AI3962">
        <v>93.194504771462803</v>
      </c>
      <c r="AJ3962">
        <v>95.020459317551698</v>
      </c>
      <c r="AK3962">
        <v>19.923713456274001</v>
      </c>
      <c r="AL3962">
        <v>69.785572114540699</v>
      </c>
      <c r="AM3962">
        <v>98.871884567705905</v>
      </c>
      <c r="AN3962">
        <v>0.99999995997732405</v>
      </c>
    </row>
    <row r="3963" spans="1:40" x14ac:dyDescent="0.25">
      <c r="A3963" t="str">
        <f>"20190304164207896"</f>
        <v>20190304164207896</v>
      </c>
      <c r="B3963" t="str">
        <f>"1551688927884689"</f>
        <v>1551688927884689</v>
      </c>
      <c r="C3963" t="s">
        <v>40</v>
      </c>
      <c r="D3963">
        <v>4.1561180000000002</v>
      </c>
      <c r="E3963">
        <v>0.53028889999999995</v>
      </c>
      <c r="F3963" t="s">
        <v>46</v>
      </c>
      <c r="G3963">
        <v>-236.88659999999999</v>
      </c>
      <c r="H3963" s="1">
        <v>2.0481879999999998E-6</v>
      </c>
      <c r="I3963">
        <v>216.4408</v>
      </c>
      <c r="J3963">
        <v>-256.75490000000002</v>
      </c>
      <c r="K3963">
        <v>1.1102669999999999</v>
      </c>
      <c r="L3963">
        <v>214.51849999999999</v>
      </c>
      <c r="M3963">
        <v>0.99988580000000005</v>
      </c>
      <c r="N3963">
        <v>-1.2758230000000001E-2</v>
      </c>
      <c r="O3963">
        <v>8.0910159999999995E-3</v>
      </c>
      <c r="P3963">
        <v>0.9303612</v>
      </c>
      <c r="Q3963">
        <v>0.33357520000000002</v>
      </c>
      <c r="R3963">
        <v>0.1521689</v>
      </c>
      <c r="S3963">
        <v>3.2381289999999998</v>
      </c>
      <c r="T3963">
        <v>-0.17786160000000001</v>
      </c>
      <c r="U3963">
        <v>0.30838009999999999</v>
      </c>
      <c r="V3963">
        <v>-0.14458760000000001</v>
      </c>
      <c r="W3963">
        <v>0.34545350000000002</v>
      </c>
      <c r="X3963">
        <v>0.92723049999999996</v>
      </c>
      <c r="Y3963">
        <v>-8.6594260000000006E-2</v>
      </c>
      <c r="Z3963">
        <v>2.5851369999999999E-3</v>
      </c>
      <c r="AA3963">
        <v>0.99624029999999997</v>
      </c>
      <c r="AB3963">
        <v>35</v>
      </c>
      <c r="AC3963">
        <v>19.868300000000001</v>
      </c>
      <c r="AD3963">
        <v>-1.110264951812</v>
      </c>
      <c r="AE3963">
        <v>1.9222999999999999</v>
      </c>
      <c r="AF3963">
        <v>-1.7560364980048699</v>
      </c>
      <c r="AG3963">
        <v>-1.110264951812</v>
      </c>
      <c r="AH3963">
        <v>19.821880217336702</v>
      </c>
      <c r="AI3963">
        <v>93.193425506117805</v>
      </c>
      <c r="AJ3963">
        <v>95.062662849157306</v>
      </c>
      <c r="AK3963">
        <v>19.930461304144298</v>
      </c>
      <c r="AL3963">
        <v>69.790519456453197</v>
      </c>
      <c r="AM3963">
        <v>98.863034952306407</v>
      </c>
      <c r="AN3963">
        <v>1.0000000474331201</v>
      </c>
    </row>
    <row r="3964" spans="1:40" x14ac:dyDescent="0.25">
      <c r="A3964" t="str">
        <f>"20190304164207920"</f>
        <v>20190304164207920</v>
      </c>
      <c r="B3964" t="str">
        <f>"1551688927915452"</f>
        <v>1551688927915452</v>
      </c>
      <c r="C3964" t="s">
        <v>40</v>
      </c>
      <c r="D3964">
        <v>4.135408</v>
      </c>
      <c r="E3964">
        <v>0.5302019</v>
      </c>
      <c r="F3964" t="s">
        <v>46</v>
      </c>
      <c r="G3964">
        <v>-236.67760000000001</v>
      </c>
      <c r="H3964" s="1">
        <v>1.937328E-6</v>
      </c>
      <c r="I3964">
        <v>216.43219999999999</v>
      </c>
      <c r="J3964">
        <v>-256.39269999999999</v>
      </c>
      <c r="K3964">
        <v>1.110266</v>
      </c>
      <c r="L3964">
        <v>214.5214</v>
      </c>
      <c r="M3964">
        <v>0.99988569999999999</v>
      </c>
      <c r="N3964">
        <v>-1.283277E-2</v>
      </c>
      <c r="O3964">
        <v>8.0201930000000001E-3</v>
      </c>
      <c r="P3964">
        <v>0.93050909999999998</v>
      </c>
      <c r="Q3964">
        <v>0.33359909999999998</v>
      </c>
      <c r="R3964">
        <v>0.1512117</v>
      </c>
      <c r="S3964">
        <v>3.238235</v>
      </c>
      <c r="T3964">
        <v>-0.1790726</v>
      </c>
      <c r="U3964">
        <v>0.30865479999999901</v>
      </c>
      <c r="V3964">
        <v>-0.1436858</v>
      </c>
      <c r="W3964">
        <v>0.34555200000000003</v>
      </c>
      <c r="X3964">
        <v>0.92733399999999999</v>
      </c>
      <c r="Y3964">
        <v>-8.6743059999999997E-2</v>
      </c>
      <c r="Z3964">
        <v>2.6100780000000001E-3</v>
      </c>
      <c r="AA3964">
        <v>0.99622730000000004</v>
      </c>
      <c r="AB3964">
        <v>35</v>
      </c>
      <c r="AC3964">
        <v>19.7150999999999</v>
      </c>
      <c r="AD3964">
        <v>-1.110264062672</v>
      </c>
      <c r="AE3964">
        <v>1.9107999999999901</v>
      </c>
      <c r="AF3964">
        <v>-1.7471173497214501</v>
      </c>
      <c r="AG3964">
        <v>-1.110264062672</v>
      </c>
      <c r="AH3964">
        <v>19.6679969374343</v>
      </c>
      <c r="AI3964">
        <v>93.218288373568498</v>
      </c>
      <c r="AJ3964">
        <v>95.076286746722602</v>
      </c>
      <c r="AK3964">
        <v>19.776632899800799</v>
      </c>
      <c r="AL3964">
        <v>69.784505958117606</v>
      </c>
      <c r="AM3964">
        <v>98.807657638909603</v>
      </c>
      <c r="AN3964">
        <v>1.0000000706908101</v>
      </c>
    </row>
    <row r="3965" spans="1:40" x14ac:dyDescent="0.25">
      <c r="A3965" t="str">
        <f>"20190304164207942"</f>
        <v>20190304164207942</v>
      </c>
      <c r="B3965" t="str">
        <f>"1551688927934972"</f>
        <v>1551688927934972</v>
      </c>
      <c r="C3965" t="s">
        <v>40</v>
      </c>
      <c r="D3965">
        <v>4.1430889999999998</v>
      </c>
      <c r="E3965">
        <v>0.53015449999999997</v>
      </c>
      <c r="F3965" t="s">
        <v>46</v>
      </c>
      <c r="G3965">
        <v>-236.29849999999999</v>
      </c>
      <c r="H3965" s="1">
        <v>1.7357529999999999E-6</v>
      </c>
      <c r="I3965">
        <v>216.42840000000001</v>
      </c>
      <c r="J3965">
        <v>-256.04939999999999</v>
      </c>
      <c r="K3965">
        <v>1.110274</v>
      </c>
      <c r="L3965">
        <v>214.5241</v>
      </c>
      <c r="M3965">
        <v>0.99988509999999997</v>
      </c>
      <c r="N3965">
        <v>-1.2914729999999999E-2</v>
      </c>
      <c r="O3965">
        <v>7.9425699999999995E-3</v>
      </c>
      <c r="P3965">
        <v>0.93086120000000006</v>
      </c>
      <c r="Q3965">
        <v>0.3330978</v>
      </c>
      <c r="R3965">
        <v>0.15014379999999999</v>
      </c>
      <c r="S3965">
        <v>3.238251</v>
      </c>
      <c r="T3965">
        <v>-0.1789232</v>
      </c>
      <c r="U3965">
        <v>0.30731199999999997</v>
      </c>
      <c r="V3965">
        <v>-0.14267959999999999</v>
      </c>
      <c r="W3965">
        <v>0.34513389999999999</v>
      </c>
      <c r="X3965">
        <v>0.92764489999999999</v>
      </c>
      <c r="Y3965">
        <v>-8.6411100000000005E-2</v>
      </c>
      <c r="Z3965">
        <v>2.604678E-3</v>
      </c>
      <c r="AA3965">
        <v>0.99625620000000004</v>
      </c>
      <c r="AB3965">
        <v>35</v>
      </c>
      <c r="AC3965">
        <v>19.750900000000001</v>
      </c>
      <c r="AD3965">
        <v>-1.110272264247</v>
      </c>
      <c r="AE3965">
        <v>1.9043000000000001</v>
      </c>
      <c r="AF3965">
        <v>-1.74190025678885</v>
      </c>
      <c r="AG3965">
        <v>-1.110272264247</v>
      </c>
      <c r="AH3965">
        <v>19.7037132034507</v>
      </c>
      <c r="AI3965">
        <v>93.212610622575696</v>
      </c>
      <c r="AJ3965">
        <v>95.052080459487698</v>
      </c>
      <c r="AK3965">
        <v>19.811694400257501</v>
      </c>
      <c r="AL3965">
        <v>69.810029611015494</v>
      </c>
      <c r="AM3965">
        <v>98.744050466475002</v>
      </c>
      <c r="AN3965">
        <v>0.99999996884068898</v>
      </c>
    </row>
    <row r="3966" spans="1:40" x14ac:dyDescent="0.25">
      <c r="A3966" t="str">
        <f>"20190304164207964"</f>
        <v>20190304164207964</v>
      </c>
      <c r="B3966" t="str">
        <f>"1551688927955468"</f>
        <v>1551688927955468</v>
      </c>
      <c r="C3966" t="s">
        <v>40</v>
      </c>
      <c r="D3966">
        <v>4.155049</v>
      </c>
      <c r="E3966">
        <v>0.53010159999999995</v>
      </c>
      <c r="F3966" t="s">
        <v>46</v>
      </c>
      <c r="G3966">
        <v>-236.01410000000001</v>
      </c>
      <c r="H3966" s="1">
        <v>1.5855229999999999E-6</v>
      </c>
      <c r="I3966">
        <v>216.40270000000001</v>
      </c>
      <c r="J3966">
        <v>-255.7123</v>
      </c>
      <c r="K3966">
        <v>1.110284</v>
      </c>
      <c r="L3966">
        <v>214.52670000000001</v>
      </c>
      <c r="M3966">
        <v>0.99988460000000001</v>
      </c>
      <c r="N3966">
        <v>-1.3007029999999999E-2</v>
      </c>
      <c r="O3966">
        <v>7.8596139999999991E-3</v>
      </c>
      <c r="P3966">
        <v>0.93096020000000002</v>
      </c>
      <c r="Q3966">
        <v>0.33334989999999998</v>
      </c>
      <c r="R3966">
        <v>0.148967299999999</v>
      </c>
      <c r="S3966">
        <v>3.2380680000000002</v>
      </c>
      <c r="T3966">
        <v>-0.17943990000000001</v>
      </c>
      <c r="U3966">
        <v>0.30361939999999998</v>
      </c>
      <c r="V3966">
        <v>-0.14157510000000001</v>
      </c>
      <c r="W3966">
        <v>0.34547450000000002</v>
      </c>
      <c r="X3966">
        <v>0.92768729999999999</v>
      </c>
      <c r="Y3966">
        <v>-8.5373710000000005E-2</v>
      </c>
      <c r="Z3966">
        <v>2.5832820000000001E-3</v>
      </c>
      <c r="AA3966">
        <v>0.99634560000000005</v>
      </c>
      <c r="AB3966">
        <v>35</v>
      </c>
      <c r="AC3966">
        <v>19.6981999999999</v>
      </c>
      <c r="AD3966">
        <v>-1.110282414477</v>
      </c>
      <c r="AE3966">
        <v>1.8759999999999999</v>
      </c>
      <c r="AF3966">
        <v>-1.71570694826974</v>
      </c>
      <c r="AG3966">
        <v>-1.110282414477</v>
      </c>
      <c r="AH3966">
        <v>19.650469448961601</v>
      </c>
      <c r="AI3966">
        <v>93.221632860871296</v>
      </c>
      <c r="AJ3966">
        <v>94.989911717063293</v>
      </c>
      <c r="AK3966">
        <v>19.756450261542799</v>
      </c>
      <c r="AL3966">
        <v>69.789234888496495</v>
      </c>
      <c r="AM3966">
        <v>98.677005379128801</v>
      </c>
      <c r="AN3966">
        <v>0.99999993283577204</v>
      </c>
    </row>
    <row r="3967" spans="1:40" x14ac:dyDescent="0.25">
      <c r="A3967" t="str">
        <f>"20190304164207986"</f>
        <v>20190304164207986</v>
      </c>
      <c r="B3967" t="str">
        <f>"1551688927974987"</f>
        <v>1551688927974987</v>
      </c>
      <c r="C3967" t="s">
        <v>40</v>
      </c>
      <c r="D3967">
        <v>4.1702370000000002</v>
      </c>
      <c r="E3967">
        <v>0.55345230000000001</v>
      </c>
      <c r="F3967" t="s">
        <v>46</v>
      </c>
      <c r="G3967">
        <v>-235.49930000000001</v>
      </c>
      <c r="H3967" s="1">
        <v>1.3119310000000001E-6</v>
      </c>
      <c r="I3967">
        <v>216.39500000000001</v>
      </c>
      <c r="J3967">
        <v>-255.36869999999999</v>
      </c>
      <c r="K3967">
        <v>1.110298</v>
      </c>
      <c r="L3967">
        <v>214.52930000000001</v>
      </c>
      <c r="M3967">
        <v>0.99988390000000005</v>
      </c>
      <c r="N3967">
        <v>-1.3104670000000001E-2</v>
      </c>
      <c r="O3967">
        <v>7.7709240000000002E-3</v>
      </c>
      <c r="P3967">
        <v>0.93098309999999995</v>
      </c>
      <c r="Q3967">
        <v>0.33382650000000003</v>
      </c>
      <c r="R3967">
        <v>0.14775150000000001</v>
      </c>
      <c r="S3967">
        <v>3.2382810000000002</v>
      </c>
      <c r="T3967">
        <v>-0.17787639999999999</v>
      </c>
      <c r="U3967">
        <v>0.29931639999999998</v>
      </c>
      <c r="V3967">
        <v>-0.14043829999999999</v>
      </c>
      <c r="W3967">
        <v>0.34604279999999998</v>
      </c>
      <c r="X3967">
        <v>0.92764840000000004</v>
      </c>
      <c r="Y3967">
        <v>-8.4147650000000004E-2</v>
      </c>
      <c r="Z3967">
        <v>2.5335050000000001E-3</v>
      </c>
      <c r="AA3967">
        <v>0.99645010000000001</v>
      </c>
      <c r="AB3967">
        <v>35</v>
      </c>
      <c r="AC3967">
        <v>19.869399999999899</v>
      </c>
      <c r="AD3967">
        <v>-1.1102966880689999</v>
      </c>
      <c r="AE3967">
        <v>1.8656999999999999</v>
      </c>
      <c r="AF3967">
        <v>-1.70594645790292</v>
      </c>
      <c r="AG3967">
        <v>-1.1102966880689999</v>
      </c>
      <c r="AH3967">
        <v>19.8219454671991</v>
      </c>
      <c r="AI3967">
        <v>93.194204212020594</v>
      </c>
      <c r="AJ3967">
        <v>94.918955741580703</v>
      </c>
      <c r="AK3967">
        <v>19.9261771084517</v>
      </c>
      <c r="AL3967">
        <v>69.754535794242003</v>
      </c>
      <c r="AM3967">
        <v>98.608735457779503</v>
      </c>
      <c r="AN3967">
        <v>1.0000000447806401</v>
      </c>
    </row>
    <row r="3968" spans="1:40" x14ac:dyDescent="0.25">
      <c r="A3968" t="str">
        <f>"20190304164208009"</f>
        <v>20190304164208009</v>
      </c>
      <c r="B3968" t="str">
        <f>"1551688928005244"</f>
        <v>1551688928005244</v>
      </c>
      <c r="C3968" t="s">
        <v>40</v>
      </c>
      <c r="D3968">
        <v>4.1800230000000003</v>
      </c>
      <c r="E3968">
        <v>0.56851859999999999</v>
      </c>
      <c r="F3968" t="s">
        <v>46</v>
      </c>
      <c r="G3968">
        <v>-232.09360000000001</v>
      </c>
      <c r="H3968" s="1">
        <v>-4.5333019999999998E-7</v>
      </c>
      <c r="I3968">
        <v>215.31809999999999</v>
      </c>
      <c r="J3968">
        <v>-255.0205</v>
      </c>
      <c r="K3968">
        <v>1.110314</v>
      </c>
      <c r="L3968">
        <v>214.53190000000001</v>
      </c>
      <c r="M3968">
        <v>0.99988330000000003</v>
      </c>
      <c r="N3968">
        <v>-1.3208040000000001E-2</v>
      </c>
      <c r="O3968">
        <v>7.6798229999999997E-3</v>
      </c>
      <c r="P3968">
        <v>0.93091049999999997</v>
      </c>
      <c r="Q3968">
        <v>0.33447749999999998</v>
      </c>
      <c r="R3968">
        <v>0.14673369999999999</v>
      </c>
      <c r="S3968">
        <v>3.2606350000000002</v>
      </c>
      <c r="T3968">
        <v>-0.1555433</v>
      </c>
      <c r="U3968">
        <v>0.1105042</v>
      </c>
      <c r="V3968">
        <v>-0.1395033</v>
      </c>
      <c r="W3968">
        <v>0.34678940000000003</v>
      </c>
      <c r="X3968">
        <v>0.92751059999999996</v>
      </c>
      <c r="Y3968">
        <v>-2.616044E-2</v>
      </c>
      <c r="Z3968">
        <v>5.3173130000000002E-4</v>
      </c>
      <c r="AA3968">
        <v>0.99965760000000004</v>
      </c>
      <c r="AB3968">
        <v>35</v>
      </c>
      <c r="AC3968">
        <v>22.9268999999999</v>
      </c>
      <c r="AD3968">
        <v>-1.1103144533302001</v>
      </c>
      <c r="AE3968">
        <v>0.78619999999997903</v>
      </c>
      <c r="AF3968">
        <v>-0.60866109468385499</v>
      </c>
      <c r="AG3968">
        <v>-1.1103144533302001</v>
      </c>
      <c r="AH3968">
        <v>22.8786674892789</v>
      </c>
      <c r="AI3968">
        <v>92.777434974218906</v>
      </c>
      <c r="AJ3968">
        <v>91.523930006543907</v>
      </c>
      <c r="AK3968">
        <v>22.913679158931298</v>
      </c>
      <c r="AL3968">
        <v>69.708933974553702</v>
      </c>
      <c r="AM3968">
        <v>98.553522959736</v>
      </c>
      <c r="AN3968">
        <v>0.99999998588780403</v>
      </c>
    </row>
    <row r="3969" spans="1:40" x14ac:dyDescent="0.25">
      <c r="A3969" t="str">
        <f>"20190304164208031"</f>
        <v>20190304164208031</v>
      </c>
      <c r="B3969" t="str">
        <f>"1551688928024763"</f>
        <v>1551688928024763</v>
      </c>
      <c r="C3969" t="s">
        <v>40</v>
      </c>
      <c r="D3969">
        <v>4.4680739999999997</v>
      </c>
      <c r="E3969">
        <v>0.57010620000000001</v>
      </c>
      <c r="F3969" t="s">
        <v>46</v>
      </c>
      <c r="G3969">
        <v>-230.53319999999999</v>
      </c>
      <c r="H3969" s="1">
        <v>-1.245471E-6</v>
      </c>
      <c r="I3969">
        <v>214.4435</v>
      </c>
      <c r="J3969">
        <v>-254.67529999999999</v>
      </c>
      <c r="K3969">
        <v>1.110325</v>
      </c>
      <c r="L3969">
        <v>214.53440000000001</v>
      </c>
      <c r="M3969">
        <v>0.99988250000000001</v>
      </c>
      <c r="N3969">
        <v>-1.332267E-2</v>
      </c>
      <c r="O3969">
        <v>7.58948E-3</v>
      </c>
      <c r="P3969">
        <v>0.9308765</v>
      </c>
      <c r="Q3969">
        <v>0.33463310000000002</v>
      </c>
      <c r="R3969">
        <v>0.14659430000000001</v>
      </c>
      <c r="S3969">
        <v>3.277908</v>
      </c>
      <c r="T3969">
        <v>-0.1486286</v>
      </c>
      <c r="U3969">
        <v>-1.1825560000000001E-2</v>
      </c>
      <c r="V3969">
        <v>-0.13944589999999901</v>
      </c>
      <c r="W3969">
        <v>0.34705140000000001</v>
      </c>
      <c r="X3969">
        <v>0.92742119999999995</v>
      </c>
      <c r="Y3969">
        <v>1.117888E-2</v>
      </c>
      <c r="Z3969">
        <v>-5.7069459999999897E-4</v>
      </c>
      <c r="AA3969">
        <v>0.99993739999999998</v>
      </c>
      <c r="AB3969">
        <v>34</v>
      </c>
      <c r="AC3969">
        <v>24.142099999999999</v>
      </c>
      <c r="AD3969">
        <v>-1.1103262454709999</v>
      </c>
      <c r="AE3969">
        <v>-9.0900000000004796E-2</v>
      </c>
      <c r="AF3969">
        <v>0.273560992112866</v>
      </c>
      <c r="AG3969">
        <v>-1.1103262454709999</v>
      </c>
      <c r="AH3969">
        <v>24.089760724225499</v>
      </c>
      <c r="AI3969">
        <v>92.638794285617493</v>
      </c>
      <c r="AJ3969">
        <v>89.349382637344704</v>
      </c>
      <c r="AK3969">
        <v>24.1168868583453</v>
      </c>
      <c r="AL3969">
        <v>69.692927853314501</v>
      </c>
      <c r="AM3969">
        <v>98.550867566495995</v>
      </c>
      <c r="AN3969">
        <v>0.999999957739104</v>
      </c>
    </row>
    <row r="3970" spans="1:40" x14ac:dyDescent="0.25">
      <c r="A3970" t="str">
        <f>"20190304164208053"</f>
        <v>20190304164208053</v>
      </c>
      <c r="B3970" t="str">
        <f>"1551688928045261"</f>
        <v>1551688928045261</v>
      </c>
      <c r="C3970" t="s">
        <v>40</v>
      </c>
      <c r="D3970">
        <v>4.2623930000000003</v>
      </c>
      <c r="E3970">
        <v>0.56959019999999905</v>
      </c>
      <c r="F3970" t="s">
        <v>46</v>
      </c>
      <c r="G3970">
        <v>-231.4736</v>
      </c>
      <c r="H3970" s="1">
        <v>-7.4152689999999997E-7</v>
      </c>
      <c r="I3970">
        <v>214.3629</v>
      </c>
      <c r="J3970">
        <v>-254.34010000000001</v>
      </c>
      <c r="K3970">
        <v>1.110336</v>
      </c>
      <c r="L3970">
        <v>214.5369</v>
      </c>
      <c r="M3970">
        <v>0.99988169999999998</v>
      </c>
      <c r="N3970">
        <v>-1.344221E-2</v>
      </c>
      <c r="O3970">
        <v>7.5023249999999998E-3</v>
      </c>
      <c r="P3970">
        <v>0.93117479999999997</v>
      </c>
      <c r="Q3970">
        <v>0.33387430000000001</v>
      </c>
      <c r="R3970">
        <v>0.14643049999999999</v>
      </c>
      <c r="S3970">
        <v>3.2830659999999998</v>
      </c>
      <c r="T3970">
        <v>-0.1571121</v>
      </c>
      <c r="U3970">
        <v>-2.427673E-2</v>
      </c>
      <c r="V3970">
        <v>-0.13936009999999999</v>
      </c>
      <c r="W3970">
        <v>0.34640779999999999</v>
      </c>
      <c r="X3970">
        <v>0.92767469999999996</v>
      </c>
      <c r="Y3970">
        <v>1.4870680000000001E-2</v>
      </c>
      <c r="Z3970">
        <v>-7.1364490000000002E-4</v>
      </c>
      <c r="AA3970">
        <v>0.99988920000000003</v>
      </c>
      <c r="AB3970">
        <v>34</v>
      </c>
      <c r="AC3970">
        <v>22.866499999999998</v>
      </c>
      <c r="AD3970">
        <v>-1.1103367415268901</v>
      </c>
      <c r="AE3970">
        <v>-0.17400000000000601</v>
      </c>
      <c r="AF3970">
        <v>0.34474967500778803</v>
      </c>
      <c r="AG3970">
        <v>-1.1103367415268901</v>
      </c>
      <c r="AH3970">
        <v>22.810770333387001</v>
      </c>
      <c r="AI3970">
        <v>92.786411335343004</v>
      </c>
      <c r="AJ3970">
        <v>89.134128425520004</v>
      </c>
      <c r="AK3970">
        <v>22.840379664544301</v>
      </c>
      <c r="AL3970">
        <v>69.732242654861096</v>
      </c>
      <c r="AM3970">
        <v>98.543383225627906</v>
      </c>
      <c r="AN3970">
        <v>0.99999997519646899</v>
      </c>
    </row>
    <row r="3971" spans="1:40" x14ac:dyDescent="0.25">
      <c r="A3971" t="str">
        <f>"20190304164208075"</f>
        <v>20190304164208075</v>
      </c>
      <c r="B3971" t="str">
        <f>"1551688928064780"</f>
        <v>1551688928064780</v>
      </c>
      <c r="C3971" t="s">
        <v>40</v>
      </c>
      <c r="D3971">
        <v>4.3464080000000003</v>
      </c>
      <c r="E3971">
        <v>0.56907859999999999</v>
      </c>
      <c r="F3971" t="s">
        <v>46</v>
      </c>
      <c r="G3971">
        <v>-233.89009999999999</v>
      </c>
      <c r="H3971" s="1">
        <v>5.4201269999999997E-7</v>
      </c>
      <c r="I3971">
        <v>214.41730000000001</v>
      </c>
      <c r="J3971">
        <v>-254.0017</v>
      </c>
      <c r="K3971">
        <v>1.110339</v>
      </c>
      <c r="L3971">
        <v>214.5393</v>
      </c>
      <c r="M3971">
        <v>0.99988060000000001</v>
      </c>
      <c r="N3971">
        <v>-1.3564100000000001E-2</v>
      </c>
      <c r="O3971">
        <v>7.4151549999999997E-3</v>
      </c>
      <c r="P3971">
        <v>0.93140310000000004</v>
      </c>
      <c r="Q3971">
        <v>0.33333449999999998</v>
      </c>
      <c r="R3971">
        <v>0.1462069</v>
      </c>
      <c r="S3971">
        <v>3.2887729999999999</v>
      </c>
      <c r="T3971">
        <v>-0.17856440000000001</v>
      </c>
      <c r="U3971">
        <v>-1.9241330000000001E-2</v>
      </c>
      <c r="V3971">
        <v>-0.13921520000000001</v>
      </c>
      <c r="W3971">
        <v>0.34598459999999998</v>
      </c>
      <c r="X3971">
        <v>0.92785439999999997</v>
      </c>
      <c r="Y3971">
        <v>1.323554E-2</v>
      </c>
      <c r="Z3971">
        <v>-7.5067539999999896E-4</v>
      </c>
      <c r="AA3971">
        <v>0.99991209999999997</v>
      </c>
      <c r="AB3971">
        <v>34</v>
      </c>
      <c r="AC3971">
        <v>20.111599999999999</v>
      </c>
      <c r="AD3971">
        <v>-1.1103384579872999</v>
      </c>
      <c r="AE3971">
        <v>-0.121999999999985</v>
      </c>
      <c r="AF3971">
        <v>0.270317082664496</v>
      </c>
      <c r="AG3971">
        <v>-1.1103384579872999</v>
      </c>
      <c r="AH3971">
        <v>20.049034676520002</v>
      </c>
      <c r="AI3971">
        <v>93.169580180989399</v>
      </c>
      <c r="AJ3971">
        <v>89.227539389411803</v>
      </c>
      <c r="AK3971">
        <v>20.081576488830901</v>
      </c>
      <c r="AL3971">
        <v>69.758089035596498</v>
      </c>
      <c r="AM3971">
        <v>98.5330025168969</v>
      </c>
      <c r="AN3971">
        <v>1.00000000147378</v>
      </c>
    </row>
    <row r="3972" spans="1:40" x14ac:dyDescent="0.25">
      <c r="A3972" t="str">
        <f>"20190304164208097"</f>
        <v>20190304164208097</v>
      </c>
      <c r="B3972" t="str">
        <f>"1551688928095036"</f>
        <v>1551688928095036</v>
      </c>
      <c r="C3972" t="s">
        <v>40</v>
      </c>
      <c r="D3972">
        <v>4.3645849999999999</v>
      </c>
      <c r="E3972">
        <v>0.56834200000000001</v>
      </c>
      <c r="F3972" t="s">
        <v>46</v>
      </c>
      <c r="G3972">
        <v>-235.01949999999999</v>
      </c>
      <c r="H3972" s="1">
        <v>1.1411970000000001E-6</v>
      </c>
      <c r="I3972">
        <v>214.4597</v>
      </c>
      <c r="J3972">
        <v>-253.65280000000001</v>
      </c>
      <c r="K3972">
        <v>1.1103510000000001</v>
      </c>
      <c r="L3972">
        <v>214.54179999999999</v>
      </c>
      <c r="M3972">
        <v>0.99987969999999904</v>
      </c>
      <c r="N3972">
        <v>-1.3684409999999999E-2</v>
      </c>
      <c r="O3972">
        <v>7.3269279999999999E-3</v>
      </c>
      <c r="P3972">
        <v>0.93156159999999999</v>
      </c>
      <c r="Q3972">
        <v>0.3328197</v>
      </c>
      <c r="R3972">
        <v>0.14637120000000001</v>
      </c>
      <c r="S3972">
        <v>3.2920069999999999</v>
      </c>
      <c r="T3972">
        <v>-0.19256190000000001</v>
      </c>
      <c r="U3972">
        <v>-1.3809200000000001E-2</v>
      </c>
      <c r="V3972">
        <v>-0.13945969999999999</v>
      </c>
      <c r="W3972">
        <v>0.34558329999999998</v>
      </c>
      <c r="X3972">
        <v>0.92796730000000005</v>
      </c>
      <c r="Y3972">
        <v>1.149057E-2</v>
      </c>
      <c r="Z3972">
        <v>-7.4248960000000003E-4</v>
      </c>
      <c r="AA3972">
        <v>0.99993370000000004</v>
      </c>
      <c r="AB3972">
        <v>34</v>
      </c>
      <c r="AC3972">
        <v>18.633299999999998</v>
      </c>
      <c r="AD3972">
        <v>-1.1103498588030001</v>
      </c>
      <c r="AE3972">
        <v>-8.2099999999996898E-2</v>
      </c>
      <c r="AF3972">
        <v>0.21786180999511101</v>
      </c>
      <c r="AG3972">
        <v>-1.1103498588030001</v>
      </c>
      <c r="AH3972">
        <v>18.566272196449599</v>
      </c>
      <c r="AI3972">
        <v>93.4222439877027</v>
      </c>
      <c r="AJ3972">
        <v>89.327706217847293</v>
      </c>
      <c r="AK3972">
        <v>18.600720519642699</v>
      </c>
      <c r="AL3972">
        <v>69.782594798283895</v>
      </c>
      <c r="AM3972">
        <v>98.546743024801799</v>
      </c>
      <c r="AN3972">
        <v>1.00000006751613</v>
      </c>
    </row>
    <row r="3973" spans="1:40" x14ac:dyDescent="0.25">
      <c r="A3973" t="str">
        <f>"20190304164208121"</f>
        <v>20190304164208121</v>
      </c>
      <c r="B3973" t="str">
        <f>"1551688928115532"</f>
        <v>1551688928115532</v>
      </c>
      <c r="C3973" t="s">
        <v>40</v>
      </c>
      <c r="D3973">
        <v>4.3450290000000003</v>
      </c>
      <c r="E3973">
        <v>0.56816219999999995</v>
      </c>
      <c r="F3973" t="s">
        <v>46</v>
      </c>
      <c r="G3973">
        <v>-234.8733</v>
      </c>
      <c r="H3973" s="1">
        <v>1.0612849999999999E-6</v>
      </c>
      <c r="I3973">
        <v>214.50739999999999</v>
      </c>
      <c r="J3973">
        <v>-253.3006</v>
      </c>
      <c r="K3973">
        <v>1.1103700000000001</v>
      </c>
      <c r="L3973">
        <v>214.54429999999999</v>
      </c>
      <c r="M3973">
        <v>0.99987859999999995</v>
      </c>
      <c r="N3973">
        <v>-1.3796269999999999E-2</v>
      </c>
      <c r="O3973">
        <v>7.2432069999999998E-3</v>
      </c>
      <c r="P3973">
        <v>0.93155589999999999</v>
      </c>
      <c r="Q3973">
        <v>0.33283410000000002</v>
      </c>
      <c r="R3973">
        <v>0.1463739</v>
      </c>
      <c r="S3973">
        <v>3.2908629999999999</v>
      </c>
      <c r="T3973">
        <v>-0.1945741</v>
      </c>
      <c r="U3973">
        <v>-6.0272219999999996E-3</v>
      </c>
      <c r="V3973">
        <v>-0.13954169999999999</v>
      </c>
      <c r="W3973">
        <v>0.34570139999999999</v>
      </c>
      <c r="X3973">
        <v>0.92791089999999998</v>
      </c>
      <c r="Y3973">
        <v>9.0484039999999995E-3</v>
      </c>
      <c r="Z3973">
        <v>-6.5776479999999997E-4</v>
      </c>
      <c r="AA3973">
        <v>0.99995889999999998</v>
      </c>
      <c r="AB3973">
        <v>34</v>
      </c>
      <c r="AC3973">
        <v>18.427299999999999</v>
      </c>
      <c r="AD3973">
        <v>-1.110368938715</v>
      </c>
      <c r="AE3973">
        <v>-3.6900000000002799E-2</v>
      </c>
      <c r="AF3973">
        <v>0.169768079294431</v>
      </c>
      <c r="AG3973">
        <v>-1.110368938715</v>
      </c>
      <c r="AH3973">
        <v>18.359887044511499</v>
      </c>
      <c r="AI3973">
        <v>93.460770171300496</v>
      </c>
      <c r="AJ3973">
        <v>89.470219113706094</v>
      </c>
      <c r="AK3973">
        <v>18.394216283061098</v>
      </c>
      <c r="AL3973">
        <v>69.775382110564394</v>
      </c>
      <c r="AM3973">
        <v>98.552206188758802</v>
      </c>
      <c r="AN3973">
        <v>0.99999999116982996</v>
      </c>
    </row>
    <row r="3974" spans="1:40" x14ac:dyDescent="0.25">
      <c r="A3974" t="str">
        <f>"20190304164208143"</f>
        <v>20190304164208143</v>
      </c>
      <c r="B3974" t="str">
        <f>"1551688928135052"</f>
        <v>1551688928135052</v>
      </c>
      <c r="C3974" t="s">
        <v>40</v>
      </c>
      <c r="D3974">
        <v>4.3421050000000001</v>
      </c>
      <c r="E3974">
        <v>0.56782359999999998</v>
      </c>
      <c r="F3974" t="s">
        <v>46</v>
      </c>
      <c r="G3974">
        <v>-234.4042</v>
      </c>
      <c r="H3974" s="1">
        <v>8.1101709999999898E-7</v>
      </c>
      <c r="I3974">
        <v>214.52189999999999</v>
      </c>
      <c r="J3974">
        <v>-252.9605</v>
      </c>
      <c r="K3974">
        <v>1.110379</v>
      </c>
      <c r="L3974">
        <v>214.54669999999999</v>
      </c>
      <c r="M3974">
        <v>0.99987789999999999</v>
      </c>
      <c r="N3974">
        <v>-1.389336E-2</v>
      </c>
      <c r="O3974">
        <v>7.1724060000000001E-3</v>
      </c>
      <c r="P3974">
        <v>0.93170399999999998</v>
      </c>
      <c r="Q3974">
        <v>0.33250669999999999</v>
      </c>
      <c r="R3974">
        <v>0.14617459999999999</v>
      </c>
      <c r="S3974">
        <v>3.2900999999999998</v>
      </c>
      <c r="T3974">
        <v>-0.1933291</v>
      </c>
      <c r="U3974">
        <v>-3.90625E-3</v>
      </c>
      <c r="V3974">
        <v>-0.1394127</v>
      </c>
      <c r="W3974">
        <v>0.34546379999999999</v>
      </c>
      <c r="X3974">
        <v>0.92801880000000003</v>
      </c>
      <c r="Y3974">
        <v>8.335337E-3</v>
      </c>
      <c r="Z3974">
        <v>-6.2415460000000002E-4</v>
      </c>
      <c r="AA3974">
        <v>0.99996510000000005</v>
      </c>
      <c r="AB3974">
        <v>34</v>
      </c>
      <c r="AC3974">
        <v>18.5563</v>
      </c>
      <c r="AD3974">
        <v>-1.1103781889828901</v>
      </c>
      <c r="AE3974">
        <v>-2.4799999999999E-2</v>
      </c>
      <c r="AF3974">
        <v>0.157342125152512</v>
      </c>
      <c r="AG3974">
        <v>-1.1103781889828901</v>
      </c>
      <c r="AH3974">
        <v>18.489441037005001</v>
      </c>
      <c r="AI3974">
        <v>93.436630147976203</v>
      </c>
      <c r="AJ3974">
        <v>89.512434038040396</v>
      </c>
      <c r="AK3974">
        <v>18.523421015778901</v>
      </c>
      <c r="AL3974">
        <v>69.789889921765393</v>
      </c>
      <c r="AM3974">
        <v>98.5434380189499</v>
      </c>
      <c r="AN3974">
        <v>1.0000000155925799</v>
      </c>
    </row>
    <row r="3975" spans="1:40" x14ac:dyDescent="0.25">
      <c r="A3975" t="str">
        <f>"20190304164208165"</f>
        <v>20190304164208165</v>
      </c>
      <c r="B3975" t="str">
        <f>"1551688928155548"</f>
        <v>1551688928155548</v>
      </c>
      <c r="C3975" t="s">
        <v>40</v>
      </c>
      <c r="D3975">
        <v>4.3564780000000001</v>
      </c>
      <c r="E3975">
        <v>0.56760440000000001</v>
      </c>
      <c r="F3975" t="s">
        <v>46</v>
      </c>
      <c r="G3975">
        <v>-234.58959999999999</v>
      </c>
      <c r="H3975" s="1">
        <v>9.0889090000000002E-7</v>
      </c>
      <c r="I3975">
        <v>214.5403</v>
      </c>
      <c r="J3975">
        <v>-252.62379999999999</v>
      </c>
      <c r="K3975">
        <v>1.1103989999999999</v>
      </c>
      <c r="L3975">
        <v>214.54910000000001</v>
      </c>
      <c r="M3975">
        <v>0.99987700000000002</v>
      </c>
      <c r="N3975">
        <v>-1.397927E-2</v>
      </c>
      <c r="O3975">
        <v>7.1182179999999999E-3</v>
      </c>
      <c r="P3975">
        <v>0.93196579999999996</v>
      </c>
      <c r="Q3975">
        <v>0.33196409999999998</v>
      </c>
      <c r="R3975">
        <v>0.14573900000000001</v>
      </c>
      <c r="S3975">
        <v>3.2911069999999998</v>
      </c>
      <c r="T3975">
        <v>-0.1989223</v>
      </c>
      <c r="U3975">
        <v>-1.1444090000000001E-3</v>
      </c>
      <c r="V3975">
        <v>-0.13903479999999999</v>
      </c>
      <c r="W3975">
        <v>0.34500059999999999</v>
      </c>
      <c r="X3975">
        <v>0.92824770000000001</v>
      </c>
      <c r="Y3975">
        <v>7.4422269999999896E-3</v>
      </c>
      <c r="Z3975">
        <v>-6.0719099999999998E-4</v>
      </c>
      <c r="AA3975">
        <v>0.99997210000000003</v>
      </c>
      <c r="AB3975">
        <v>34</v>
      </c>
      <c r="AC3975">
        <v>18.034199999999998</v>
      </c>
      <c r="AD3975">
        <v>-1.11039809110909</v>
      </c>
      <c r="AE3975">
        <v>-8.8000000000079091E-3</v>
      </c>
      <c r="AF3975">
        <v>0.13666557155577799</v>
      </c>
      <c r="AG3975">
        <v>-1.11039809110909</v>
      </c>
      <c r="AH3975">
        <v>17.965571358918499</v>
      </c>
      <c r="AI3975">
        <v>93.536679199342998</v>
      </c>
      <c r="AJ3975">
        <v>89.564154723383595</v>
      </c>
      <c r="AK3975">
        <v>18.0003726531308</v>
      </c>
      <c r="AL3975">
        <v>69.818166366107206</v>
      </c>
      <c r="AM3975">
        <v>98.518549772188706</v>
      </c>
      <c r="AN3975">
        <v>0.999999941083343</v>
      </c>
    </row>
    <row r="3976" spans="1:40" x14ac:dyDescent="0.25">
      <c r="A3976" t="str">
        <f>"20190304164208187"</f>
        <v>20190304164208187</v>
      </c>
      <c r="B3976" t="str">
        <f>"1551688928175069"</f>
        <v>1551688928175069</v>
      </c>
      <c r="C3976" t="s">
        <v>40</v>
      </c>
      <c r="D3976">
        <v>4.3474449999999996</v>
      </c>
      <c r="E3976">
        <v>0.56749189999999905</v>
      </c>
      <c r="F3976" t="s">
        <v>46</v>
      </c>
      <c r="G3976">
        <v>-235.0847</v>
      </c>
      <c r="H3976" s="1">
        <v>1.172149E-6</v>
      </c>
      <c r="I3976">
        <v>214.54480000000001</v>
      </c>
      <c r="J3976">
        <v>-252.28909999999999</v>
      </c>
      <c r="K3976">
        <v>1.110428</v>
      </c>
      <c r="L3976">
        <v>214.5514</v>
      </c>
      <c r="M3976">
        <v>0.99987630000000005</v>
      </c>
      <c r="N3976">
        <v>-1.405525E-2</v>
      </c>
      <c r="O3976">
        <v>7.078445E-3</v>
      </c>
      <c r="P3976">
        <v>0.93207810000000002</v>
      </c>
      <c r="Q3976">
        <v>0.33196789999999998</v>
      </c>
      <c r="R3976">
        <v>0.1450111</v>
      </c>
      <c r="S3976">
        <v>3.293396</v>
      </c>
      <c r="T3976">
        <v>-0.20850440000000001</v>
      </c>
      <c r="U3976">
        <v>-8.0871580000000005E-4</v>
      </c>
      <c r="V3976">
        <v>-0.13835410000000001</v>
      </c>
      <c r="W3976">
        <v>0.34507179999999998</v>
      </c>
      <c r="X3976">
        <v>0.92832300000000001</v>
      </c>
      <c r="Y3976">
        <v>7.2982530000000002E-3</v>
      </c>
      <c r="Z3976">
        <v>-6.3041629999999996E-4</v>
      </c>
      <c r="AA3976">
        <v>0.99997320000000001</v>
      </c>
      <c r="AB3976">
        <v>34</v>
      </c>
      <c r="AC3976">
        <v>17.2043999999999</v>
      </c>
      <c r="AD3976">
        <v>-1.1104268278510001</v>
      </c>
      <c r="AE3976">
        <v>-6.5999999999917201E-3</v>
      </c>
      <c r="AF3976">
        <v>0.127859607559624</v>
      </c>
      <c r="AG3976">
        <v>-1.1104268278510001</v>
      </c>
      <c r="AH3976">
        <v>17.132551012175298</v>
      </c>
      <c r="AI3976">
        <v>93.708270917923201</v>
      </c>
      <c r="AJ3976">
        <v>89.572411611270795</v>
      </c>
      <c r="AK3976">
        <v>17.168974925837698</v>
      </c>
      <c r="AL3976">
        <v>69.8138211967605</v>
      </c>
      <c r="AM3976">
        <v>98.476773665118898</v>
      </c>
      <c r="AN3976">
        <v>0.99999999823552499</v>
      </c>
    </row>
    <row r="3977" spans="1:40" x14ac:dyDescent="0.25">
      <c r="A3977" t="str">
        <f>"20190304164208205"</f>
        <v>20190304164208205</v>
      </c>
      <c r="B3977" t="str">
        <f>"1551688928195565"</f>
        <v>1551688928195565</v>
      </c>
      <c r="C3977" t="s">
        <v>40</v>
      </c>
      <c r="D3977">
        <v>4.5731169999999999</v>
      </c>
      <c r="E3977">
        <v>0.56741490000000006</v>
      </c>
      <c r="F3977" t="s">
        <v>46</v>
      </c>
      <c r="G3977">
        <v>-235.126</v>
      </c>
      <c r="H3977" s="1">
        <v>1.194393E-6</v>
      </c>
      <c r="I3977">
        <v>214.53899999999999</v>
      </c>
      <c r="J3977">
        <v>-252.0188</v>
      </c>
      <c r="K3977">
        <v>1.1104430000000001</v>
      </c>
      <c r="L3977">
        <v>214.55330000000001</v>
      </c>
      <c r="M3977">
        <v>0.99987559999999998</v>
      </c>
      <c r="N3977">
        <v>-1.4110350000000001E-2</v>
      </c>
      <c r="O3977">
        <v>7.0555890000000001E-3</v>
      </c>
      <c r="P3977">
        <v>0.93221719999999997</v>
      </c>
      <c r="Q3977">
        <v>0.3318197</v>
      </c>
      <c r="R3977">
        <v>0.14445439999999901</v>
      </c>
      <c r="S3977">
        <v>3.2949069999999998</v>
      </c>
      <c r="T3977">
        <v>-0.21317520000000001</v>
      </c>
      <c r="U3977">
        <v>-2.3956300000000002E-3</v>
      </c>
      <c r="V3977">
        <v>-0.1378269</v>
      </c>
      <c r="W3977">
        <v>0.34497290000000003</v>
      </c>
      <c r="X3977">
        <v>0.92843819999999999</v>
      </c>
      <c r="Y3977">
        <v>7.75456699999999E-3</v>
      </c>
      <c r="Z3977">
        <v>-6.6189919999999896E-4</v>
      </c>
      <c r="AA3977">
        <v>0.99996969999999996</v>
      </c>
      <c r="AB3977">
        <v>34</v>
      </c>
      <c r="AC3977">
        <v>16.892800000000001</v>
      </c>
      <c r="AD3977">
        <v>-1.110441805607</v>
      </c>
      <c r="AE3977">
        <v>-1.42999999999915E-2</v>
      </c>
      <c r="AF3977">
        <v>0.132925781817226</v>
      </c>
      <c r="AG3977">
        <v>-1.110441805607</v>
      </c>
      <c r="AH3977">
        <v>16.819600412254999</v>
      </c>
      <c r="AI3977">
        <v>93.777108293235997</v>
      </c>
      <c r="AJ3977">
        <v>89.547199247045498</v>
      </c>
      <c r="AK3977">
        <v>16.856740737611101</v>
      </c>
      <c r="AL3977">
        <v>69.819859006788107</v>
      </c>
      <c r="AM3977">
        <v>98.443906732521697</v>
      </c>
      <c r="AN3977">
        <v>1.00000002365862</v>
      </c>
    </row>
    <row r="3978" spans="1:40" x14ac:dyDescent="0.25">
      <c r="A3978" t="str">
        <f>"20190304164208218"</f>
        <v>20190304164208218</v>
      </c>
      <c r="B3978" t="str">
        <f>"1551688928215084"</f>
        <v>1551688928215084</v>
      </c>
      <c r="C3978" t="s">
        <v>40</v>
      </c>
      <c r="D3978">
        <v>4.3574529999999996</v>
      </c>
      <c r="E3978">
        <v>0.56724379999999996</v>
      </c>
      <c r="F3978" t="s">
        <v>46</v>
      </c>
      <c r="G3978">
        <v>-235.33629999999999</v>
      </c>
      <c r="H3978" s="1">
        <v>1.3063770000000001E-6</v>
      </c>
      <c r="I3978">
        <v>214.5378</v>
      </c>
      <c r="J3978">
        <v>-251.80709999999999</v>
      </c>
      <c r="K3978">
        <v>1.1104480000000001</v>
      </c>
      <c r="L3978">
        <v>214.5548</v>
      </c>
      <c r="M3978">
        <v>0.99987519999999996</v>
      </c>
      <c r="N3978">
        <v>-1.4149419999999999E-2</v>
      </c>
      <c r="O3978">
        <v>7.0435200000000002E-3</v>
      </c>
      <c r="P3978">
        <v>0.93230780000000002</v>
      </c>
      <c r="Q3978">
        <v>0.33174520000000002</v>
      </c>
      <c r="R3978">
        <v>0.14404159999999999</v>
      </c>
      <c r="S3978">
        <v>3.2967379999999999</v>
      </c>
      <c r="T3978">
        <v>-0.2194422</v>
      </c>
      <c r="U3978">
        <v>-3.067017E-3</v>
      </c>
      <c r="V3978">
        <v>-0.13743150000000001</v>
      </c>
      <c r="W3978">
        <v>0.3449335</v>
      </c>
      <c r="X3978">
        <v>0.92851139999999999</v>
      </c>
      <c r="Y3978">
        <v>7.9435310000000002E-3</v>
      </c>
      <c r="Z3978">
        <v>-6.8909829999999996E-4</v>
      </c>
      <c r="AA3978">
        <v>0.99996819999999997</v>
      </c>
      <c r="AB3978">
        <v>34</v>
      </c>
      <c r="AC3978">
        <v>16.470799999999901</v>
      </c>
      <c r="AD3978">
        <v>-1.110446693623</v>
      </c>
      <c r="AE3978">
        <v>-1.69999999999959E-2</v>
      </c>
      <c r="AF3978">
        <v>0.13242168836455701</v>
      </c>
      <c r="AG3978">
        <v>-1.110446693623</v>
      </c>
      <c r="AH3978">
        <v>16.395747482964101</v>
      </c>
      <c r="AI3978">
        <v>93.874469790791494</v>
      </c>
      <c r="AJ3978">
        <v>89.537255687834602</v>
      </c>
      <c r="AK3978">
        <v>16.433842000215702</v>
      </c>
      <c r="AL3978">
        <v>69.822263128746002</v>
      </c>
      <c r="AM3978">
        <v>98.419376186208694</v>
      </c>
      <c r="AN3978">
        <v>0.99999997827222897</v>
      </c>
    </row>
    <row r="3979" spans="1:40" x14ac:dyDescent="0.25">
      <c r="A3979" t="str">
        <f>"20190304164208232"</f>
        <v>20190304164208232</v>
      </c>
      <c r="B3979" t="str">
        <f>"1551688928224844"</f>
        <v>1551688928224844</v>
      </c>
      <c r="C3979" t="s">
        <v>40</v>
      </c>
      <c r="D3979">
        <v>4.761355</v>
      </c>
      <c r="E3979">
        <v>0.56713599999999997</v>
      </c>
      <c r="F3979" t="s">
        <v>46</v>
      </c>
      <c r="G3979">
        <v>-235.4718</v>
      </c>
      <c r="H3979" s="1">
        <v>1.3783250000000001E-6</v>
      </c>
      <c r="I3979">
        <v>214.541</v>
      </c>
      <c r="J3979">
        <v>-251.602</v>
      </c>
      <c r="K3979">
        <v>1.110452</v>
      </c>
      <c r="L3979">
        <v>214.55619999999999</v>
      </c>
      <c r="M3979">
        <v>0.99987470000000001</v>
      </c>
      <c r="N3979">
        <v>-1.4183899999999999E-2</v>
      </c>
      <c r="O3979">
        <v>7.0371260000000003E-3</v>
      </c>
      <c r="P3979">
        <v>0.93255480000000002</v>
      </c>
      <c r="Q3979">
        <v>0.33158110000000002</v>
      </c>
      <c r="R3979">
        <v>0.14281350000000001</v>
      </c>
      <c r="S3979">
        <v>3.298019</v>
      </c>
      <c r="T3979">
        <v>-0.22419359999999999</v>
      </c>
      <c r="U3979">
        <v>-2.7770999999999998E-3</v>
      </c>
      <c r="V3979">
        <v>-0.13621279999999999</v>
      </c>
      <c r="W3979">
        <v>0.34480229999999901</v>
      </c>
      <c r="X3979">
        <v>0.92873969999999995</v>
      </c>
      <c r="Y3979">
        <v>7.8477919999999993E-3</v>
      </c>
      <c r="Z3979">
        <v>-7.0025770000000005E-4</v>
      </c>
      <c r="AA3979">
        <v>0.99996890000000005</v>
      </c>
      <c r="AB3979">
        <v>34</v>
      </c>
      <c r="AC3979">
        <v>16.130199999999999</v>
      </c>
      <c r="AD3979">
        <v>-1.1104506216750001</v>
      </c>
      <c r="AE3979">
        <v>-1.51999999999929E-2</v>
      </c>
      <c r="AF3979">
        <v>0.128114109083976</v>
      </c>
      <c r="AG3979">
        <v>-1.1104506216750001</v>
      </c>
      <c r="AH3979">
        <v>16.053609900313901</v>
      </c>
      <c r="AI3979">
        <v>93.956800662312901</v>
      </c>
      <c r="AJ3979">
        <v>89.542766893574694</v>
      </c>
      <c r="AK3979">
        <v>16.092479754207599</v>
      </c>
      <c r="AL3979">
        <v>69.830271929838204</v>
      </c>
      <c r="AM3979">
        <v>98.343749298425905</v>
      </c>
      <c r="AN3979">
        <v>0.999999991662609</v>
      </c>
    </row>
    <row r="3980" spans="1:40" x14ac:dyDescent="0.25">
      <c r="A3980" t="str">
        <f>"20190304164208251"</f>
        <v>20190304164208251</v>
      </c>
      <c r="B3980" t="str">
        <f>"1551688928245340"</f>
        <v>1551688928245340</v>
      </c>
      <c r="C3980" t="s">
        <v>40</v>
      </c>
      <c r="D3980">
        <v>4.3167299999999997</v>
      </c>
      <c r="E3980">
        <v>0.56690869999999904</v>
      </c>
      <c r="F3980" t="s">
        <v>46</v>
      </c>
      <c r="G3980">
        <v>-235.21019999999999</v>
      </c>
      <c r="H3980" s="1">
        <v>1.2397340000000001E-6</v>
      </c>
      <c r="I3980">
        <v>214.52690000000001</v>
      </c>
      <c r="J3980">
        <v>-251.32390000000001</v>
      </c>
      <c r="K3980">
        <v>1.110465</v>
      </c>
      <c r="L3980">
        <v>214.5582</v>
      </c>
      <c r="M3980">
        <v>0.99987420000000005</v>
      </c>
      <c r="N3980">
        <v>-1.4226620000000001E-2</v>
      </c>
      <c r="O3980">
        <v>7.0414149999999997E-3</v>
      </c>
      <c r="P3980">
        <v>0.93258180000000002</v>
      </c>
      <c r="Q3980">
        <v>0.331677</v>
      </c>
      <c r="R3980">
        <v>0.1424154</v>
      </c>
      <c r="S3980">
        <v>3.2972869999999999</v>
      </c>
      <c r="T3980">
        <v>-0.22337270000000001</v>
      </c>
      <c r="U3980">
        <v>-5.8898930000000002E-3</v>
      </c>
      <c r="V3980">
        <v>-0.13581960000000001</v>
      </c>
      <c r="W3980">
        <v>0.34493489999999999</v>
      </c>
      <c r="X3980">
        <v>0.92874809999999997</v>
      </c>
      <c r="Y3980">
        <v>8.7938809999999999E-3</v>
      </c>
      <c r="Z3980">
        <v>-7.3654759999999895E-4</v>
      </c>
      <c r="AA3980">
        <v>0.99996110000000005</v>
      </c>
      <c r="AB3980">
        <v>34</v>
      </c>
      <c r="AC3980">
        <v>16.113700000000001</v>
      </c>
      <c r="AD3980">
        <v>-1.1104637602659999</v>
      </c>
      <c r="AE3980">
        <v>-3.12999999999874E-2</v>
      </c>
      <c r="AF3980">
        <v>0.14408963006263101</v>
      </c>
      <c r="AG3980">
        <v>-1.1104637602659999</v>
      </c>
      <c r="AH3980">
        <v>16.036918170964501</v>
      </c>
      <c r="AI3980">
        <v>93.960918998613593</v>
      </c>
      <c r="AJ3980">
        <v>89.485218703425204</v>
      </c>
      <c r="AK3980">
        <v>16.0759645435839</v>
      </c>
      <c r="AL3980">
        <v>69.822178993018497</v>
      </c>
      <c r="AM3980">
        <v>98.319927173876195</v>
      </c>
      <c r="AN3980">
        <v>1.00000004111788</v>
      </c>
    </row>
    <row r="3981" spans="1:40" x14ac:dyDescent="0.25">
      <c r="A3981" t="str">
        <f>"20190304164208265"</f>
        <v>20190304164208265</v>
      </c>
      <c r="B3981" t="str">
        <f>"1551688928255101"</f>
        <v>1551688928255101</v>
      </c>
      <c r="C3981" t="s">
        <v>40</v>
      </c>
      <c r="D3981">
        <v>4.3623390000000004</v>
      </c>
      <c r="E3981">
        <v>0.56679579999999996</v>
      </c>
      <c r="F3981" t="s">
        <v>46</v>
      </c>
      <c r="G3981">
        <v>-234.76689999999999</v>
      </c>
      <c r="H3981" s="1">
        <v>1.003562E-6</v>
      </c>
      <c r="I3981">
        <v>214.5325</v>
      </c>
      <c r="J3981">
        <v>-251.09950000000001</v>
      </c>
      <c r="K3981">
        <v>1.110487</v>
      </c>
      <c r="L3981">
        <v>214.5598</v>
      </c>
      <c r="M3981">
        <v>0.99987349999999997</v>
      </c>
      <c r="N3981">
        <v>-1.4257870000000001E-2</v>
      </c>
      <c r="O3981">
        <v>7.0601750000000001E-3</v>
      </c>
      <c r="P3981">
        <v>0.932701</v>
      </c>
      <c r="Q3981">
        <v>0.33178780000000002</v>
      </c>
      <c r="R3981">
        <v>0.1413721</v>
      </c>
      <c r="S3981">
        <v>3.2962799999999999</v>
      </c>
      <c r="T3981">
        <v>-0.22107889999999999</v>
      </c>
      <c r="U3981">
        <v>-5.111694E-3</v>
      </c>
      <c r="V3981">
        <v>-0.134768</v>
      </c>
      <c r="W3981">
        <v>0.34507179999999998</v>
      </c>
      <c r="X3981">
        <v>0.92885039999999996</v>
      </c>
      <c r="Y3981">
        <v>8.5783769999999999E-3</v>
      </c>
      <c r="Z3981">
        <v>-7.2099729999999904E-4</v>
      </c>
      <c r="AA3981">
        <v>0.99996289999999999</v>
      </c>
      <c r="AB3981">
        <v>34</v>
      </c>
      <c r="AC3981">
        <v>16.332599999999999</v>
      </c>
      <c r="AD3981">
        <v>-1.1104859964380001</v>
      </c>
      <c r="AE3981">
        <v>-2.7299999999996698E-2</v>
      </c>
      <c r="AF3981">
        <v>0.14196575426854199</v>
      </c>
      <c r="AG3981">
        <v>-1.1104859964380001</v>
      </c>
      <c r="AH3981">
        <v>16.2568463500753</v>
      </c>
      <c r="AI3981">
        <v>93.907588164737902</v>
      </c>
      <c r="AJ3981">
        <v>89.499667301819798</v>
      </c>
      <c r="AK3981">
        <v>16.295348620806699</v>
      </c>
      <c r="AL3981">
        <v>69.813821513666795</v>
      </c>
      <c r="AM3981">
        <v>98.255503779207004</v>
      </c>
      <c r="AN3981">
        <v>1.0000000132797</v>
      </c>
    </row>
    <row r="3982" spans="1:40" x14ac:dyDescent="0.25">
      <c r="A3982" t="str">
        <f>"20190304164208283"</f>
        <v>20190304164208283</v>
      </c>
      <c r="B3982" t="str">
        <f>"1551688928274620"</f>
        <v>1551688928274620</v>
      </c>
      <c r="C3982" t="s">
        <v>40</v>
      </c>
      <c r="D3982">
        <v>4.332389</v>
      </c>
      <c r="E3982">
        <v>0.56655900000000003</v>
      </c>
      <c r="F3982" t="s">
        <v>46</v>
      </c>
      <c r="G3982">
        <v>-234.44409999999999</v>
      </c>
      <c r="H3982" s="1">
        <v>8.3234809999999995E-7</v>
      </c>
      <c r="I3982">
        <v>214.52029999999999</v>
      </c>
      <c r="J3982">
        <v>-250.8347</v>
      </c>
      <c r="K3982">
        <v>1.1105100000000001</v>
      </c>
      <c r="L3982">
        <v>214.5617</v>
      </c>
      <c r="M3982">
        <v>0.99987269999999995</v>
      </c>
      <c r="N3982">
        <v>-1.429123E-2</v>
      </c>
      <c r="O3982">
        <v>7.1043299999999998E-3</v>
      </c>
      <c r="P3982">
        <v>0.93280039999999997</v>
      </c>
      <c r="Q3982">
        <v>0.331758099999999</v>
      </c>
      <c r="R3982">
        <v>0.1407842</v>
      </c>
      <c r="S3982">
        <v>3.2958069999999999</v>
      </c>
      <c r="T3982">
        <v>-0.21974540000000001</v>
      </c>
      <c r="U3982">
        <v>-7.8125E-3</v>
      </c>
      <c r="V3982">
        <v>-0.1341552</v>
      </c>
      <c r="W3982">
        <v>0.34506870000000001</v>
      </c>
      <c r="X3982">
        <v>0.92894019999999999</v>
      </c>
      <c r="Y3982">
        <v>9.4402070000000008E-3</v>
      </c>
      <c r="Z3982">
        <v>-7.5361160000000005E-4</v>
      </c>
      <c r="AA3982">
        <v>0.99995520000000004</v>
      </c>
      <c r="AB3982">
        <v>34</v>
      </c>
      <c r="AC3982">
        <v>16.390599999999999</v>
      </c>
      <c r="AD3982">
        <v>-1.1105091676518899</v>
      </c>
      <c r="AE3982">
        <v>-4.1400000000009998E-2</v>
      </c>
      <c r="AF3982">
        <v>0.15713376301021401</v>
      </c>
      <c r="AG3982">
        <v>-1.1105091676518899</v>
      </c>
      <c r="AH3982">
        <v>16.3149995354173</v>
      </c>
      <c r="AI3982">
        <v>93.893751847711599</v>
      </c>
      <c r="AJ3982">
        <v>89.448187353184593</v>
      </c>
      <c r="AK3982">
        <v>16.353505173863599</v>
      </c>
      <c r="AL3982">
        <v>69.814009638146501</v>
      </c>
      <c r="AM3982">
        <v>98.217695703151605</v>
      </c>
      <c r="AN3982">
        <v>0.99999996029138405</v>
      </c>
    </row>
    <row r="3983" spans="1:40" x14ac:dyDescent="0.25">
      <c r="A3983" t="str">
        <f>"20190304164208299"</f>
        <v>20190304164208299</v>
      </c>
      <c r="B3983" t="str">
        <f>"1551688928295117"</f>
        <v>1551688928295117</v>
      </c>
      <c r="C3983" t="s">
        <v>40</v>
      </c>
      <c r="D3983">
        <v>4.2849320000000004</v>
      </c>
      <c r="E3983">
        <v>0.56636330000000001</v>
      </c>
      <c r="F3983" t="s">
        <v>41</v>
      </c>
      <c r="G3983">
        <v>-249.81139999999999</v>
      </c>
      <c r="H3983">
        <v>1.042942</v>
      </c>
      <c r="I3983">
        <v>214.55889999999999</v>
      </c>
      <c r="J3983">
        <v>-250.57660000000001</v>
      </c>
      <c r="K3983">
        <v>1.110538</v>
      </c>
      <c r="L3983">
        <v>214.56360000000001</v>
      </c>
      <c r="M3983">
        <v>0.99987179999999998</v>
      </c>
      <c r="N3983">
        <v>-1.431965E-2</v>
      </c>
      <c r="O3983">
        <v>7.174606E-3</v>
      </c>
      <c r="P3983">
        <v>0.9328938</v>
      </c>
      <c r="Q3983">
        <v>0.33205810000000002</v>
      </c>
      <c r="R3983">
        <v>0.13945109999999999</v>
      </c>
      <c r="S3983">
        <v>3.2948</v>
      </c>
      <c r="T3983">
        <v>-0.21772630000000001</v>
      </c>
      <c r="U3983">
        <v>-8.3618159999999993E-3</v>
      </c>
      <c r="V3983">
        <v>-0.13277720000000001</v>
      </c>
      <c r="W3983">
        <v>0.34538780000000002</v>
      </c>
      <c r="X3983">
        <v>0.92901959999999995</v>
      </c>
      <c r="Y3983">
        <v>9.6778369999999999E-3</v>
      </c>
      <c r="Z3983">
        <v>-7.5973890000000002E-4</v>
      </c>
      <c r="AA3983">
        <v>0.99995290000000003</v>
      </c>
      <c r="AB3983">
        <v>34</v>
      </c>
      <c r="AC3983">
        <v>0.76520000000002097</v>
      </c>
      <c r="AD3983">
        <v>-6.7595999999999906E-2</v>
      </c>
      <c r="AE3983">
        <v>-4.7000000000139101E-3</v>
      </c>
      <c r="AF3983">
        <v>1.01115471197435E-2</v>
      </c>
      <c r="AG3983">
        <v>-6.7595999999999906E-2</v>
      </c>
      <c r="AH3983">
        <v>0.75922217457415897</v>
      </c>
      <c r="AI3983">
        <v>95.087364070581401</v>
      </c>
      <c r="AJ3983">
        <v>89.236962850995297</v>
      </c>
      <c r="AK3983">
        <v>0.76229244582789202</v>
      </c>
      <c r="AL3983">
        <v>69.794528996740695</v>
      </c>
      <c r="AM3983">
        <v>98.133735623443897</v>
      </c>
      <c r="AN3983">
        <v>0.99999996720641904</v>
      </c>
    </row>
    <row r="3984" spans="1:40" x14ac:dyDescent="0.25">
      <c r="A3984" t="str">
        <f>"20190304164208317"</f>
        <v>20190304164208317</v>
      </c>
      <c r="B3984" t="str">
        <f>"1551688928304876"</f>
        <v>1551688928304876</v>
      </c>
      <c r="C3984" t="s">
        <v>40</v>
      </c>
      <c r="D3984">
        <v>4.2955509999999997</v>
      </c>
      <c r="E3984">
        <v>0.56627950000000005</v>
      </c>
      <c r="F3984" t="s">
        <v>46</v>
      </c>
      <c r="G3984">
        <v>-233.50409999999999</v>
      </c>
      <c r="H3984" s="1">
        <v>3.3303719999999998E-7</v>
      </c>
      <c r="I3984">
        <v>214.49959999999999</v>
      </c>
      <c r="J3984">
        <v>-250.31780000000001</v>
      </c>
      <c r="K3984">
        <v>1.1105689999999999</v>
      </c>
      <c r="L3984">
        <v>214.56549999999999</v>
      </c>
      <c r="M3984">
        <v>0.9998707</v>
      </c>
      <c r="N3984">
        <v>-1.434466E-2</v>
      </c>
      <c r="O3984">
        <v>7.2720340000000001E-3</v>
      </c>
      <c r="P3984">
        <v>0.93308919999999995</v>
      </c>
      <c r="Q3984">
        <v>0.33176850000000002</v>
      </c>
      <c r="R3984">
        <v>0.1388315</v>
      </c>
      <c r="S3984">
        <v>3.2939150000000001</v>
      </c>
      <c r="T3984">
        <v>-0.21426429999999999</v>
      </c>
      <c r="U3984">
        <v>-1.2329100000000001E-2</v>
      </c>
      <c r="V3984">
        <v>-0.13209000000000001</v>
      </c>
      <c r="W3984">
        <v>0.34511520000000001</v>
      </c>
      <c r="X3984">
        <v>0.92921889999999996</v>
      </c>
      <c r="Y3984">
        <v>1.097794E-2</v>
      </c>
      <c r="Z3984">
        <v>-8.0381229999999999E-4</v>
      </c>
      <c r="AA3984">
        <v>0.99993940000000003</v>
      </c>
      <c r="AB3984">
        <v>34</v>
      </c>
      <c r="AC3984">
        <v>16.813700000000001</v>
      </c>
      <c r="AD3984">
        <v>-1.1105686669628001</v>
      </c>
      <c r="AE3984">
        <v>-6.5899999999999098E-2</v>
      </c>
      <c r="AF3984">
        <v>0.18736321894574001</v>
      </c>
      <c r="AG3984">
        <v>-1.1105686669628001</v>
      </c>
      <c r="AH3984">
        <v>16.7397451911087</v>
      </c>
      <c r="AI3984">
        <v>93.795387510814095</v>
      </c>
      <c r="AJ3984">
        <v>89.358731372243994</v>
      </c>
      <c r="AK3984">
        <v>16.777590315748601</v>
      </c>
      <c r="AL3984">
        <v>69.811172193146305</v>
      </c>
      <c r="AM3984">
        <v>98.090485128883699</v>
      </c>
      <c r="AN3984">
        <v>1.0000000167441201</v>
      </c>
    </row>
    <row r="3985" spans="1:40" x14ac:dyDescent="0.25">
      <c r="A3985" t="str">
        <f>"20190304164208333"</f>
        <v>20190304164208333</v>
      </c>
      <c r="B3985" t="str">
        <f>"1551688928325372"</f>
        <v>1551688928325372</v>
      </c>
      <c r="C3985" t="s">
        <v>40</v>
      </c>
      <c r="D3985">
        <v>4.3091419999999996</v>
      </c>
      <c r="E3985">
        <v>0.56612180000000001</v>
      </c>
      <c r="F3985" t="s">
        <v>46</v>
      </c>
      <c r="G3985">
        <v>-233.40690000000001</v>
      </c>
      <c r="H3985" s="1">
        <v>2.8162159999999998E-7</v>
      </c>
      <c r="I3985">
        <v>214.4922</v>
      </c>
      <c r="J3985">
        <v>-250.07419999999999</v>
      </c>
      <c r="K3985">
        <v>1.1105989999999999</v>
      </c>
      <c r="L3985">
        <v>214.56739999999999</v>
      </c>
      <c r="M3985">
        <v>0.99986949999999997</v>
      </c>
      <c r="N3985">
        <v>-1.4365670000000001E-2</v>
      </c>
      <c r="O3985">
        <v>7.3909619999999896E-3</v>
      </c>
      <c r="P3985">
        <v>0.93323560000000005</v>
      </c>
      <c r="Q3985">
        <v>0.33198739999999999</v>
      </c>
      <c r="R3985">
        <v>0.1373162</v>
      </c>
      <c r="S3985">
        <v>3.2941739999999999</v>
      </c>
      <c r="T3985">
        <v>-0.2163341</v>
      </c>
      <c r="U3985">
        <v>-1.428223E-2</v>
      </c>
      <c r="V3985">
        <v>-0.13048870000000001</v>
      </c>
      <c r="W3985">
        <v>0.34534619999999999</v>
      </c>
      <c r="X3985">
        <v>0.9293593</v>
      </c>
      <c r="Y3985">
        <v>1.168669E-2</v>
      </c>
      <c r="Z3985">
        <v>-8.4614539999999902E-4</v>
      </c>
      <c r="AA3985">
        <v>0.99993129999999997</v>
      </c>
      <c r="AB3985">
        <v>34</v>
      </c>
      <c r="AC3985">
        <v>16.667299999999901</v>
      </c>
      <c r="AD3985">
        <v>-1.1105987183784001</v>
      </c>
      <c r="AE3985">
        <v>-7.5199999999995201E-2</v>
      </c>
      <c r="AF3985">
        <v>0.197521061377565</v>
      </c>
      <c r="AG3985">
        <v>-1.1105987183784001</v>
      </c>
      <c r="AH3985">
        <v>16.592618931084001</v>
      </c>
      <c r="AI3985">
        <v>93.829013369734795</v>
      </c>
      <c r="AJ3985">
        <v>89.317974534608993</v>
      </c>
      <c r="AK3985">
        <v>16.630918407445701</v>
      </c>
      <c r="AL3985">
        <v>69.797069547043506</v>
      </c>
      <c r="AM3985">
        <v>97.992489217736903</v>
      </c>
      <c r="AN3985">
        <v>1.00000000358931</v>
      </c>
    </row>
    <row r="3986" spans="1:40" x14ac:dyDescent="0.25">
      <c r="A3986" t="str">
        <f>"20190304164208355"</f>
        <v>20190304164208355</v>
      </c>
      <c r="B3986" t="str">
        <f>"1551688928344892"</f>
        <v>1551688928344892</v>
      </c>
      <c r="C3986" t="s">
        <v>40</v>
      </c>
      <c r="D3986">
        <v>4.325634</v>
      </c>
      <c r="E3986">
        <v>0.5659653</v>
      </c>
      <c r="F3986" t="s">
        <v>46</v>
      </c>
      <c r="G3986">
        <v>-233.3092</v>
      </c>
      <c r="H3986" s="1">
        <v>2.3024060000000001E-7</v>
      </c>
      <c r="I3986">
        <v>214.4778</v>
      </c>
      <c r="J3986">
        <v>-249.7347</v>
      </c>
      <c r="K3986">
        <v>1.1106480000000001</v>
      </c>
      <c r="L3986">
        <v>214.5701</v>
      </c>
      <c r="M3986">
        <v>0.99986770000000003</v>
      </c>
      <c r="N3986">
        <v>-1.4391320000000001E-2</v>
      </c>
      <c r="O3986">
        <v>7.5987629999999997E-3</v>
      </c>
      <c r="P3986">
        <v>0.933365</v>
      </c>
      <c r="Q3986">
        <v>0.3323004</v>
      </c>
      <c r="R3986">
        <v>0.1356705</v>
      </c>
      <c r="S3986">
        <v>3.294861</v>
      </c>
      <c r="T3986">
        <v>-0.21826760000000001</v>
      </c>
      <c r="U3986">
        <v>-1.7608639999999998E-2</v>
      </c>
      <c r="V3986">
        <v>-0.12868479999999999</v>
      </c>
      <c r="W3986">
        <v>0.34567140000000002</v>
      </c>
      <c r="X3986">
        <v>0.92948989999999998</v>
      </c>
      <c r="Y3986">
        <v>1.289886E-2</v>
      </c>
      <c r="Z3986">
        <v>-9.1327119999999996E-4</v>
      </c>
      <c r="AA3986">
        <v>0.99991640000000004</v>
      </c>
      <c r="AB3986">
        <v>34</v>
      </c>
      <c r="AC3986">
        <v>16.4255</v>
      </c>
      <c r="AD3986">
        <v>-1.1106477697593999</v>
      </c>
      <c r="AE3986">
        <v>-9.2299999999994498E-2</v>
      </c>
      <c r="AF3986">
        <v>0.216135564891724</v>
      </c>
      <c r="AG3986">
        <v>-1.1106477697593999</v>
      </c>
      <c r="AH3986">
        <v>16.3495747501367</v>
      </c>
      <c r="AI3986">
        <v>93.885867453134793</v>
      </c>
      <c r="AJ3986">
        <v>89.242614285034506</v>
      </c>
      <c r="AK3986">
        <v>16.388680470409799</v>
      </c>
      <c r="AL3986">
        <v>69.777213770877296</v>
      </c>
      <c r="AM3986">
        <v>97.882304561744604</v>
      </c>
      <c r="AN3986">
        <v>0.99999998436550497</v>
      </c>
    </row>
    <row r="3987" spans="1:40" x14ac:dyDescent="0.25">
      <c r="A3987" t="str">
        <f>"20190304164208381"</f>
        <v>20190304164208381</v>
      </c>
      <c r="B3987" t="str">
        <f>"1551688928375148"</f>
        <v>1551688928375148</v>
      </c>
      <c r="C3987" t="s">
        <v>40</v>
      </c>
      <c r="D3987">
        <v>4.2005559999999997</v>
      </c>
      <c r="E3987">
        <v>0.56586510000000001</v>
      </c>
      <c r="F3987" t="s">
        <v>46</v>
      </c>
      <c r="G3987">
        <v>-233.07419999999999</v>
      </c>
      <c r="H3987" s="1">
        <v>1.060302E-7</v>
      </c>
      <c r="I3987">
        <v>214.45949999999999</v>
      </c>
      <c r="J3987">
        <v>-249.35810000000001</v>
      </c>
      <c r="K3987">
        <v>1.110692</v>
      </c>
      <c r="L3987">
        <v>214.57320000000001</v>
      </c>
      <c r="M3987">
        <v>0.99986520000000001</v>
      </c>
      <c r="N3987">
        <v>-1.441541E-2</v>
      </c>
      <c r="O3987">
        <v>7.8795789999999994E-3</v>
      </c>
      <c r="P3987">
        <v>0.93342749999999997</v>
      </c>
      <c r="Q3987">
        <v>0.33266020000000002</v>
      </c>
      <c r="R3987">
        <v>0.13435320000000001</v>
      </c>
      <c r="S3987">
        <v>3.295547</v>
      </c>
      <c r="T3987">
        <v>-0.21969379999999999</v>
      </c>
      <c r="U3987">
        <v>-2.1865840000000001E-2</v>
      </c>
      <c r="V3987">
        <v>-0.127141</v>
      </c>
      <c r="W3987">
        <v>0.3460415</v>
      </c>
      <c r="X3987">
        <v>0.92956470000000002</v>
      </c>
      <c r="Y3987">
        <v>1.446503E-2</v>
      </c>
      <c r="Z3987">
        <v>-9.9721500000000008E-4</v>
      </c>
      <c r="AA3987">
        <v>0.99989490000000003</v>
      </c>
      <c r="AB3987">
        <v>34</v>
      </c>
      <c r="AC3987">
        <v>16.283899999999999</v>
      </c>
      <c r="AD3987">
        <v>-1.1106918939698001</v>
      </c>
      <c r="AE3987">
        <v>-0.11370000000002201</v>
      </c>
      <c r="AF3987">
        <v>0.24089937156399099</v>
      </c>
      <c r="AG3987">
        <v>-1.1106918939698001</v>
      </c>
      <c r="AH3987">
        <v>16.207101290986198</v>
      </c>
      <c r="AI3987">
        <v>93.919986365922497</v>
      </c>
      <c r="AJ3987">
        <v>89.148428785160604</v>
      </c>
      <c r="AK3987">
        <v>16.246901281377799</v>
      </c>
      <c r="AL3987">
        <v>69.754615136250806</v>
      </c>
      <c r="AM3987">
        <v>97.788291052527399</v>
      </c>
      <c r="AN3987">
        <v>1.00000004254466</v>
      </c>
    </row>
    <row r="3988" spans="1:40" x14ac:dyDescent="0.25">
      <c r="A3988" t="str">
        <f>"20190304164208401"</f>
        <v>20190304164208401</v>
      </c>
      <c r="B3988" t="str">
        <f>"1551688928394668"</f>
        <v>1551688928394668</v>
      </c>
      <c r="C3988" t="s">
        <v>40</v>
      </c>
      <c r="D3988">
        <v>4.6021650000000003</v>
      </c>
      <c r="E3988">
        <v>0.56591910000000001</v>
      </c>
      <c r="F3988" t="s">
        <v>46</v>
      </c>
      <c r="G3988">
        <v>-232.761</v>
      </c>
      <c r="H3988" s="1">
        <v>-5.9816640000000003E-8</v>
      </c>
      <c r="I3988">
        <v>214.44069999999999</v>
      </c>
      <c r="J3988">
        <v>-249.05279999999999</v>
      </c>
      <c r="K3988">
        <v>1.110724</v>
      </c>
      <c r="L3988">
        <v>214.57579999999999</v>
      </c>
      <c r="M3988">
        <v>0.99986280000000005</v>
      </c>
      <c r="N3988">
        <v>-1.4431660000000001E-2</v>
      </c>
      <c r="O3988">
        <v>8.1391899999999993E-3</v>
      </c>
      <c r="P3988">
        <v>0.93373329999999999</v>
      </c>
      <c r="Q3988">
        <v>0.33288630000000002</v>
      </c>
      <c r="R3988">
        <v>0.1316407</v>
      </c>
      <c r="S3988">
        <v>3.2963870000000002</v>
      </c>
      <c r="T3988">
        <v>-0.22059809999999999</v>
      </c>
      <c r="U3988">
        <v>-2.632141E-2</v>
      </c>
      <c r="V3988">
        <v>-0.12420680000000001</v>
      </c>
      <c r="W3988">
        <v>0.34628029999999999</v>
      </c>
      <c r="X3988">
        <v>0.92987229999999998</v>
      </c>
      <c r="Y3988">
        <v>1.6069279999999998E-2</v>
      </c>
      <c r="Z3988">
        <v>-1.0799010000000001E-3</v>
      </c>
      <c r="AA3988">
        <v>0.99987029999999999</v>
      </c>
      <c r="AB3988">
        <v>34</v>
      </c>
      <c r="AC3988">
        <v>16.291799999999899</v>
      </c>
      <c r="AD3988">
        <v>-1.1107240598166399</v>
      </c>
      <c r="AE3988">
        <v>-0.135099999999994</v>
      </c>
      <c r="AF3988">
        <v>0.26647287752723098</v>
      </c>
      <c r="AG3988">
        <v>-1.1107240598166399</v>
      </c>
      <c r="AH3988">
        <v>16.214797919115799</v>
      </c>
      <c r="AI3988">
        <v>93.918148642534405</v>
      </c>
      <c r="AJ3988">
        <v>89.058489840002096</v>
      </c>
      <c r="AK3988">
        <v>16.254980384155399</v>
      </c>
      <c r="AL3988">
        <v>69.740028980591305</v>
      </c>
      <c r="AM3988">
        <v>97.608193530412706</v>
      </c>
      <c r="AN3988">
        <v>0.99999993482080696</v>
      </c>
    </row>
    <row r="3989" spans="1:40" x14ac:dyDescent="0.25">
      <c r="A3989" t="str">
        <f>"20190304164208422"</f>
        <v>20190304164208422</v>
      </c>
      <c r="B3989" t="str">
        <f>"1551688928415165"</f>
        <v>1551688928415165</v>
      </c>
      <c r="C3989" t="s">
        <v>40</v>
      </c>
      <c r="D3989">
        <v>4.1481070000000004</v>
      </c>
      <c r="E3989">
        <v>0.56596049999999998</v>
      </c>
      <c r="F3989" t="s">
        <v>46</v>
      </c>
      <c r="G3989">
        <v>-232.2799</v>
      </c>
      <c r="H3989" s="1">
        <v>-3.1363040000000001E-7</v>
      </c>
      <c r="I3989">
        <v>214.38919999999999</v>
      </c>
      <c r="J3989">
        <v>-248.7268</v>
      </c>
      <c r="K3989">
        <v>1.1107579999999999</v>
      </c>
      <c r="L3989">
        <v>214.5787</v>
      </c>
      <c r="M3989">
        <v>0.99986019999999998</v>
      </c>
      <c r="N3989">
        <v>-1.4446240000000001E-2</v>
      </c>
      <c r="O3989">
        <v>8.4369040000000003E-3</v>
      </c>
      <c r="P3989">
        <v>0.9338746</v>
      </c>
      <c r="Q3989">
        <v>0.3341848</v>
      </c>
      <c r="R3989">
        <v>0.12727559999999999</v>
      </c>
      <c r="S3989">
        <v>3.2959139999999998</v>
      </c>
      <c r="T3989">
        <v>-0.2182598</v>
      </c>
      <c r="U3989">
        <v>-3.668213E-2</v>
      </c>
      <c r="V3989">
        <v>-0.11958009999999999</v>
      </c>
      <c r="W3989">
        <v>0.34759069999999997</v>
      </c>
      <c r="X3989">
        <v>0.92998990000000004</v>
      </c>
      <c r="Y3989">
        <v>1.9502410000000001E-2</v>
      </c>
      <c r="Z3989">
        <v>-1.2223760000000001E-3</v>
      </c>
      <c r="AA3989">
        <v>0.99980910000000001</v>
      </c>
      <c r="AB3989">
        <v>34</v>
      </c>
      <c r="AC3989">
        <v>16.446899999999999</v>
      </c>
      <c r="AD3989">
        <v>-1.11075831363039</v>
      </c>
      <c r="AE3989">
        <v>-0.18950000000000899</v>
      </c>
      <c r="AF3989">
        <v>0.32677835564143598</v>
      </c>
      <c r="AG3989">
        <v>-1.11075831363039</v>
      </c>
      <c r="AH3989">
        <v>16.370059734033301</v>
      </c>
      <c r="AI3989">
        <v>93.8809720702085</v>
      </c>
      <c r="AJ3989">
        <v>88.856416250187905</v>
      </c>
      <c r="AK3989">
        <v>16.4109543848258</v>
      </c>
      <c r="AL3989">
        <v>69.659976851889795</v>
      </c>
      <c r="AM3989">
        <v>97.327010912742196</v>
      </c>
      <c r="AN3989">
        <v>0.99999995457225299</v>
      </c>
    </row>
    <row r="3990" spans="1:40" x14ac:dyDescent="0.25">
      <c r="A3990" t="str">
        <f>"20190304164208439"</f>
        <v>20190304164208439</v>
      </c>
      <c r="B3990" t="str">
        <f>"1551688928434684"</f>
        <v>1551688928434684</v>
      </c>
      <c r="C3990" t="s">
        <v>40</v>
      </c>
      <c r="D3990">
        <v>4.3511329999999999</v>
      </c>
      <c r="E3990">
        <v>0.56619929999999996</v>
      </c>
      <c r="F3990" t="s">
        <v>41</v>
      </c>
      <c r="G3990">
        <v>-247.70079999999999</v>
      </c>
      <c r="H3990">
        <v>1.0449299999999999</v>
      </c>
      <c r="I3990">
        <v>214.56219999999999</v>
      </c>
      <c r="J3990">
        <v>-248.47030000000001</v>
      </c>
      <c r="K3990">
        <v>1.1107750000000001</v>
      </c>
      <c r="L3990">
        <v>214.58109999999999</v>
      </c>
      <c r="M3990">
        <v>0.99985780000000002</v>
      </c>
      <c r="N3990">
        <v>-1.445603E-2</v>
      </c>
      <c r="O3990">
        <v>8.6805509999999999E-3</v>
      </c>
      <c r="P3990">
        <v>0.93413349999999995</v>
      </c>
      <c r="Q3990">
        <v>0.33476679999999998</v>
      </c>
      <c r="R3990">
        <v>0.1237968</v>
      </c>
      <c r="S3990">
        <v>3.2953030000000001</v>
      </c>
      <c r="T3990">
        <v>-0.21155850000000001</v>
      </c>
      <c r="U3990">
        <v>-5.2627559999999997E-2</v>
      </c>
      <c r="V3990">
        <v>-0.115881</v>
      </c>
      <c r="W3990">
        <v>0.34818519999999997</v>
      </c>
      <c r="X3990">
        <v>0.93023579999999995</v>
      </c>
      <c r="Y3990">
        <v>2.4575469999999999E-2</v>
      </c>
      <c r="Z3990">
        <v>-1.3971910000000001E-3</v>
      </c>
      <c r="AA3990">
        <v>0.99969699999999995</v>
      </c>
      <c r="AB3990">
        <v>34</v>
      </c>
      <c r="AC3990">
        <v>0.76950000000002095</v>
      </c>
      <c r="AD3990">
        <v>-6.5845000000000098E-2</v>
      </c>
      <c r="AE3990">
        <v>-1.8900000000002099E-2</v>
      </c>
      <c r="AF3990">
        <v>2.5393848908704299E-2</v>
      </c>
      <c r="AG3990">
        <v>-6.5845000000000098E-2</v>
      </c>
      <c r="AH3990">
        <v>0.76371836528205195</v>
      </c>
      <c r="AI3990">
        <v>94.924938548473804</v>
      </c>
      <c r="AJ3990">
        <v>88.095600947460696</v>
      </c>
      <c r="AK3990">
        <v>0.76697206797672102</v>
      </c>
      <c r="AL3990">
        <v>69.623645873902106</v>
      </c>
      <c r="AM3990">
        <v>97.100849493078698</v>
      </c>
      <c r="AN3990">
        <v>0.99999999163083997</v>
      </c>
    </row>
    <row r="3991" spans="1:40" x14ac:dyDescent="0.25">
      <c r="A3991" t="str">
        <f>"20190304164208456"</f>
        <v>20190304164208456</v>
      </c>
      <c r="B3991" t="str">
        <f>"1551688928445422"</f>
        <v>1551688928445422</v>
      </c>
      <c r="C3991" t="s">
        <v>40</v>
      </c>
      <c r="D3991">
        <v>4.1881449999999996</v>
      </c>
      <c r="E3991">
        <v>0.59841979999999995</v>
      </c>
      <c r="F3991" t="s">
        <v>46</v>
      </c>
      <c r="G3991">
        <v>-230.94649999999999</v>
      </c>
      <c r="H3991" s="1">
        <v>-1.0163089999999999E-6</v>
      </c>
      <c r="I3991">
        <v>214.232</v>
      </c>
      <c r="J3991">
        <v>-248.2243</v>
      </c>
      <c r="K3991">
        <v>1.110789</v>
      </c>
      <c r="L3991">
        <v>214.58349999999999</v>
      </c>
      <c r="M3991">
        <v>0.99985559999999996</v>
      </c>
      <c r="N3991">
        <v>-1.4464050000000001E-2</v>
      </c>
      <c r="O3991">
        <v>8.9177800000000002E-3</v>
      </c>
      <c r="P3991">
        <v>0.93480350000000001</v>
      </c>
      <c r="Q3991">
        <v>0.33540160000000002</v>
      </c>
      <c r="R3991">
        <v>0.11682629999999999</v>
      </c>
      <c r="S3991">
        <v>3.2950590000000002</v>
      </c>
      <c r="T3991">
        <v>-0.20886289999999999</v>
      </c>
      <c r="U3991">
        <v>-6.5658569999999999E-2</v>
      </c>
      <c r="V3991">
        <v>-0.1086897</v>
      </c>
      <c r="W3991">
        <v>0.34883829999999999</v>
      </c>
      <c r="X3991">
        <v>0.93085899999999999</v>
      </c>
      <c r="Y3991">
        <v>2.8757020000000001E-2</v>
      </c>
      <c r="Z3991">
        <v>-1.5544350000000001E-3</v>
      </c>
      <c r="AA3991">
        <v>0.99958519999999895</v>
      </c>
      <c r="AB3991">
        <v>34</v>
      </c>
      <c r="AC3991">
        <v>17.277799999999999</v>
      </c>
      <c r="AD3991">
        <v>-1.1107900163089901</v>
      </c>
      <c r="AE3991">
        <v>-0.35149999999998699</v>
      </c>
      <c r="AF3991">
        <v>0.50350154788003998</v>
      </c>
      <c r="AG3991">
        <v>-1.1107900163089901</v>
      </c>
      <c r="AH3991">
        <v>17.202904160173201</v>
      </c>
      <c r="AI3991">
        <v>93.692877752960797</v>
      </c>
      <c r="AJ3991">
        <v>88.323522584158397</v>
      </c>
      <c r="AK3991">
        <v>17.246080128920699</v>
      </c>
      <c r="AL3991">
        <v>69.583724131736105</v>
      </c>
      <c r="AM3991">
        <v>96.6598588593356</v>
      </c>
      <c r="AN3991">
        <v>1.0000000441569801</v>
      </c>
    </row>
    <row r="3992" spans="1:40" x14ac:dyDescent="0.25">
      <c r="A3992" t="str">
        <f>"20190304164208473"</f>
        <v>20190304164208473</v>
      </c>
      <c r="B3992" t="str">
        <f>"1551688928464940"</f>
        <v>1551688928464940</v>
      </c>
      <c r="C3992" t="s">
        <v>40</v>
      </c>
      <c r="D3992">
        <v>4.4248719999999997</v>
      </c>
      <c r="E3992">
        <v>0.60003260000000003</v>
      </c>
      <c r="F3992" t="s">
        <v>46</v>
      </c>
      <c r="G3992">
        <v>-220.6078</v>
      </c>
      <c r="H3992" s="1">
        <v>-1.084293E-6</v>
      </c>
      <c r="I3992">
        <v>211.6636</v>
      </c>
      <c r="J3992">
        <v>-247.96260000000001</v>
      </c>
      <c r="K3992">
        <v>1.1107959999999999</v>
      </c>
      <c r="L3992">
        <v>214.58600000000001</v>
      </c>
      <c r="M3992">
        <v>0.9998532</v>
      </c>
      <c r="N3992">
        <v>-1.447145E-2</v>
      </c>
      <c r="O3992">
        <v>9.1707260000000006E-3</v>
      </c>
      <c r="P3992">
        <v>0.93532510000000002</v>
      </c>
      <c r="Q3992">
        <v>0.33539580000000002</v>
      </c>
      <c r="R3992">
        <v>0.11259039999999999</v>
      </c>
      <c r="S3992">
        <v>3.3004760000000002</v>
      </c>
      <c r="T3992">
        <v>-0.13275129999999999</v>
      </c>
      <c r="U3992">
        <v>-0.34895320000000002</v>
      </c>
      <c r="V3992">
        <v>-0.1042179</v>
      </c>
      <c r="W3992">
        <v>0.34884759999999998</v>
      </c>
      <c r="X3992">
        <v>0.93136669999999999</v>
      </c>
      <c r="Y3992">
        <v>0.1141311</v>
      </c>
      <c r="Z3992">
        <v>-3.3520260000000001E-3</v>
      </c>
      <c r="AA3992">
        <v>0.99346009999999996</v>
      </c>
      <c r="AB3992">
        <v>34</v>
      </c>
      <c r="AC3992">
        <v>27.354800000000001</v>
      </c>
      <c r="AD3992">
        <v>-1.1107970842929999</v>
      </c>
      <c r="AE3992">
        <v>-2.9223999999999801</v>
      </c>
      <c r="AF3992">
        <v>3.1680018693043199</v>
      </c>
      <c r="AG3992">
        <v>-1.1107970842929999</v>
      </c>
      <c r="AH3992">
        <v>27.2823670226927</v>
      </c>
      <c r="AI3992">
        <v>92.315956147230395</v>
      </c>
      <c r="AJ3992">
        <v>83.376533087522105</v>
      </c>
      <c r="AK3992">
        <v>27.488136647785002</v>
      </c>
      <c r="AL3992">
        <v>69.583154074161001</v>
      </c>
      <c r="AM3992">
        <v>96.384713091822604</v>
      </c>
      <c r="AN3992">
        <v>0.99999997428752896</v>
      </c>
    </row>
    <row r="3993" spans="1:40" x14ac:dyDescent="0.25">
      <c r="A3993" t="str">
        <f>"20190304164208490"</f>
        <v>20190304164208490</v>
      </c>
      <c r="B3993" t="str">
        <f>"1551688928485436"</f>
        <v>1551688928485436</v>
      </c>
      <c r="C3993" t="s">
        <v>40</v>
      </c>
      <c r="D3993">
        <v>3.9626250000000001</v>
      </c>
      <c r="E3993">
        <v>0.61391809999999902</v>
      </c>
      <c r="F3993" t="s">
        <v>41</v>
      </c>
      <c r="G3993">
        <v>-247.09979999999999</v>
      </c>
      <c r="H3993">
        <v>1.04661</v>
      </c>
      <c r="I3993">
        <v>214.49090000000001</v>
      </c>
      <c r="J3993">
        <v>-247.7193</v>
      </c>
      <c r="K3993">
        <v>1.1108039999999999</v>
      </c>
      <c r="L3993">
        <v>214.58850000000001</v>
      </c>
      <c r="M3993">
        <v>0.99985100000000005</v>
      </c>
      <c r="N3993">
        <v>-1.447735E-2</v>
      </c>
      <c r="O3993">
        <v>9.4053539999999995E-3</v>
      </c>
      <c r="P3993">
        <v>0.93634600000000001</v>
      </c>
      <c r="Q3993">
        <v>0.33532899999999999</v>
      </c>
      <c r="R3993">
        <v>0.10397430000000001</v>
      </c>
      <c r="S3993">
        <v>3.340897</v>
      </c>
      <c r="T3993">
        <v>-0.24864829999999999</v>
      </c>
      <c r="U3993">
        <v>-0.36787409999999998</v>
      </c>
      <c r="V3993">
        <v>-9.5376749999999996E-2</v>
      </c>
      <c r="W3993">
        <v>0.34880480000000003</v>
      </c>
      <c r="X3993">
        <v>0.93232959999999998</v>
      </c>
      <c r="Y3993">
        <v>0.11839180000000001</v>
      </c>
      <c r="Z3993">
        <v>-5.8088559999999899E-3</v>
      </c>
      <c r="AA3993">
        <v>0.99295</v>
      </c>
      <c r="AB3993">
        <v>34</v>
      </c>
      <c r="AC3993">
        <v>0.61950000000001604</v>
      </c>
      <c r="AD3993">
        <v>-6.4194000000000001E-2</v>
      </c>
      <c r="AE3993">
        <v>-9.7599999999999895E-2</v>
      </c>
      <c r="AF3993">
        <v>0.10235053018576</v>
      </c>
      <c r="AG3993">
        <v>-6.4194000000000001E-2</v>
      </c>
      <c r="AH3993">
        <v>0.61214081957972299</v>
      </c>
      <c r="AI3993">
        <v>95.905230304416904</v>
      </c>
      <c r="AJ3993">
        <v>80.507895221705596</v>
      </c>
      <c r="AK3993">
        <v>0.62394942396082198</v>
      </c>
      <c r="AL3993">
        <v>69.585771195390606</v>
      </c>
      <c r="AM3993">
        <v>95.841004194672493</v>
      </c>
      <c r="AN3993">
        <v>0.99999999798988104</v>
      </c>
    </row>
    <row r="3994" spans="1:40" x14ac:dyDescent="0.25">
      <c r="A3994" t="str">
        <f>"20190304164208507"</f>
        <v>20190304164208507</v>
      </c>
      <c r="B3994" t="str">
        <f>"1551688928504957"</f>
        <v>1551688928504957</v>
      </c>
      <c r="C3994" t="s">
        <v>40</v>
      </c>
      <c r="D3994">
        <v>4.4405900000000003</v>
      </c>
      <c r="E3994">
        <v>0.61290819999999901</v>
      </c>
      <c r="F3994" t="s">
        <v>46</v>
      </c>
      <c r="G3994">
        <v>-229.51150000000001</v>
      </c>
      <c r="H3994" s="1">
        <v>3.648083E-6</v>
      </c>
      <c r="I3994">
        <v>211.7954</v>
      </c>
      <c r="J3994">
        <v>-247.453</v>
      </c>
      <c r="K3994">
        <v>1.110808</v>
      </c>
      <c r="L3994">
        <v>214.59119999999999</v>
      </c>
      <c r="M3994">
        <v>0.99984850000000003</v>
      </c>
      <c r="N3994">
        <v>-1.448286E-2</v>
      </c>
      <c r="O3994">
        <v>9.6607150000000003E-3</v>
      </c>
      <c r="P3994">
        <v>0.93681479999999995</v>
      </c>
      <c r="Q3994">
        <v>0.33527000000000001</v>
      </c>
      <c r="R3994">
        <v>9.9860489999999996E-2</v>
      </c>
      <c r="S3994">
        <v>3.3335720000000002</v>
      </c>
      <c r="T3994">
        <v>-0.20337140000000001</v>
      </c>
      <c r="U3994">
        <v>-0.51136780000000004</v>
      </c>
      <c r="V3994">
        <v>-9.102238E-2</v>
      </c>
      <c r="W3994">
        <v>0.34875919999999999</v>
      </c>
      <c r="X3994">
        <v>0.93278190000000005</v>
      </c>
      <c r="Y3994">
        <v>0.16079549999999901</v>
      </c>
      <c r="Z3994">
        <v>-6.490918E-3</v>
      </c>
      <c r="AA3994">
        <v>0.98696640000000002</v>
      </c>
      <c r="AB3994">
        <v>34</v>
      </c>
      <c r="AC3994">
        <v>17.941499999999898</v>
      </c>
      <c r="AD3994">
        <v>-1.1108043519169899</v>
      </c>
      <c r="AE3994">
        <v>-2.7957999999999799</v>
      </c>
      <c r="AF3994">
        <v>2.9579458921864998</v>
      </c>
      <c r="AG3994">
        <v>-1.1108043519169899</v>
      </c>
      <c r="AH3994">
        <v>17.846862112647699</v>
      </c>
      <c r="AI3994">
        <v>93.513733849663595</v>
      </c>
      <c r="AJ3994">
        <v>80.589322890912101</v>
      </c>
      <c r="AK3994">
        <v>18.124398403180201</v>
      </c>
      <c r="AL3994">
        <v>69.588560331009703</v>
      </c>
      <c r="AM3994">
        <v>95.573370160653198</v>
      </c>
      <c r="AN3994">
        <v>1.00000006310655</v>
      </c>
    </row>
    <row r="3995" spans="1:40" x14ac:dyDescent="0.25">
      <c r="A3995" t="str">
        <f>"20190304164208520"</f>
        <v>20190304164208520</v>
      </c>
      <c r="B3995" t="str">
        <f>"1551688928514716"</f>
        <v>1551688928514716</v>
      </c>
      <c r="C3995" t="s">
        <v>40</v>
      </c>
      <c r="D3995">
        <v>4.4764179999999998</v>
      </c>
      <c r="E3995">
        <v>0.61236210000000002</v>
      </c>
      <c r="F3995" t="s">
        <v>46</v>
      </c>
      <c r="G3995">
        <v>-232.82910000000001</v>
      </c>
      <c r="H3995" s="1">
        <v>6.8196990000000002E-8</v>
      </c>
      <c r="I3995">
        <v>212.34020000000001</v>
      </c>
      <c r="J3995">
        <v>-247.26179999999999</v>
      </c>
      <c r="K3995">
        <v>1.110811</v>
      </c>
      <c r="L3995">
        <v>214.5932</v>
      </c>
      <c r="M3995">
        <v>0.99984660000000003</v>
      </c>
      <c r="N3995">
        <v>-1.448632E-2</v>
      </c>
      <c r="O3995">
        <v>9.8430519999999997E-3</v>
      </c>
      <c r="P3995">
        <v>0.93733420000000001</v>
      </c>
      <c r="Q3995">
        <v>0.33509359999999999</v>
      </c>
      <c r="R3995">
        <v>9.5482629999999999E-2</v>
      </c>
      <c r="S3995">
        <v>3.3482970000000001</v>
      </c>
      <c r="T3995">
        <v>-0.25433090000000003</v>
      </c>
      <c r="U3995">
        <v>-0.51539609999999902</v>
      </c>
      <c r="V3995">
        <v>-8.6470539999999999E-2</v>
      </c>
      <c r="W3995">
        <v>0.3485955</v>
      </c>
      <c r="X3995">
        <v>0.93327590000000005</v>
      </c>
      <c r="Y3995">
        <v>0.16129749999999901</v>
      </c>
      <c r="Z3995">
        <v>-7.85942699999999E-3</v>
      </c>
      <c r="AA3995">
        <v>0.98687449999999999</v>
      </c>
      <c r="AB3995">
        <v>34</v>
      </c>
      <c r="AC3995">
        <v>14.432699999999899</v>
      </c>
      <c r="AD3995">
        <v>-1.1108109318030099</v>
      </c>
      <c r="AE3995">
        <v>-2.2529999999999801</v>
      </c>
      <c r="AF3995">
        <v>2.3811978620173799</v>
      </c>
      <c r="AG3995">
        <v>-1.1108109318030099</v>
      </c>
      <c r="AH3995">
        <v>14.326973688564699</v>
      </c>
      <c r="AI3995">
        <v>94.373675488588205</v>
      </c>
      <c r="AJ3995">
        <v>80.563481741224393</v>
      </c>
      <c r="AK3995">
        <v>14.565925279813699</v>
      </c>
      <c r="AL3995">
        <v>69.598565085125898</v>
      </c>
      <c r="AM3995">
        <v>95.293496300551993</v>
      </c>
      <c r="AN3995">
        <v>0.999999941214474</v>
      </c>
    </row>
    <row r="3996" spans="1:40" x14ac:dyDescent="0.25">
      <c r="A3996" t="str">
        <f>"20190304164208533"</f>
        <v>20190304164208533</v>
      </c>
      <c r="B3996" t="str">
        <f>"1551688928525453"</f>
        <v>1551688928525453</v>
      </c>
      <c r="C3996" t="s">
        <v>40</v>
      </c>
      <c r="D3996">
        <v>4.4574379999999998</v>
      </c>
      <c r="E3996">
        <v>0.61188399999999998</v>
      </c>
      <c r="F3996" t="s">
        <v>46</v>
      </c>
      <c r="G3996">
        <v>-233.6191</v>
      </c>
      <c r="H3996" s="1">
        <v>4.8362989999999995E-7</v>
      </c>
      <c r="I3996">
        <v>212.4545</v>
      </c>
      <c r="J3996">
        <v>-247.0626</v>
      </c>
      <c r="K3996">
        <v>1.110814</v>
      </c>
      <c r="L3996">
        <v>214.59530000000001</v>
      </c>
      <c r="M3996">
        <v>0.99984470000000003</v>
      </c>
      <c r="N3996">
        <v>-1.448929E-2</v>
      </c>
      <c r="O3996">
        <v>1.003194E-2</v>
      </c>
      <c r="P3996">
        <v>0.93836399999999998</v>
      </c>
      <c r="Q3996">
        <v>0.33469500000000002</v>
      </c>
      <c r="R3996">
        <v>8.6325929999999995E-2</v>
      </c>
      <c r="S3996">
        <v>3.3516240000000002</v>
      </c>
      <c r="T3996">
        <v>-0.27289570000000002</v>
      </c>
      <c r="U3996">
        <v>-0.52540589999999998</v>
      </c>
      <c r="V3996">
        <v>-7.7127989999999993E-2</v>
      </c>
      <c r="W3996">
        <v>0.34821920000000001</v>
      </c>
      <c r="X3996">
        <v>0.93423480000000003</v>
      </c>
      <c r="Y3996">
        <v>0.16412560000000001</v>
      </c>
      <c r="Z3996">
        <v>-8.4953979999999995E-3</v>
      </c>
      <c r="AA3996">
        <v>0.98640289999999997</v>
      </c>
      <c r="AB3996">
        <v>34</v>
      </c>
      <c r="AC3996">
        <v>13.4435</v>
      </c>
      <c r="AD3996">
        <v>-1.1108135163701001</v>
      </c>
      <c r="AE3996">
        <v>-2.1408000000000098</v>
      </c>
      <c r="AF3996">
        <v>2.2605189423490599</v>
      </c>
      <c r="AG3996">
        <v>-1.1108135163701001</v>
      </c>
      <c r="AH3996">
        <v>13.332568726614101</v>
      </c>
      <c r="AI3996">
        <v>94.695931538408402</v>
      </c>
      <c r="AJ3996">
        <v>80.377090992515704</v>
      </c>
      <c r="AK3996">
        <v>13.568391260822199</v>
      </c>
      <c r="AL3996">
        <v>69.621567942491097</v>
      </c>
      <c r="AM3996">
        <v>94.719487393588395</v>
      </c>
      <c r="AN3996">
        <v>0.99999999981055998</v>
      </c>
    </row>
    <row r="3997" spans="1:40" x14ac:dyDescent="0.25">
      <c r="A3997" t="str">
        <f>"20190304164208557"</f>
        <v>20190304164208557</v>
      </c>
      <c r="B3997" t="str">
        <f>"1551688928544972"</f>
        <v>1551688928544972</v>
      </c>
      <c r="C3997" t="s">
        <v>40</v>
      </c>
      <c r="D3997">
        <v>4.4733960000000002</v>
      </c>
      <c r="E3997">
        <v>0.6102535</v>
      </c>
      <c r="F3997" t="s">
        <v>46</v>
      </c>
      <c r="G3997">
        <v>-234.1987</v>
      </c>
      <c r="H3997" s="1">
        <v>7.9111359999999897E-7</v>
      </c>
      <c r="I3997">
        <v>212.47550000000001</v>
      </c>
      <c r="J3997">
        <v>-246.71530000000001</v>
      </c>
      <c r="K3997">
        <v>1.1108199999999999</v>
      </c>
      <c r="L3997">
        <v>214.59909999999999</v>
      </c>
      <c r="M3997">
        <v>0.99984130000000004</v>
      </c>
      <c r="N3997">
        <v>-1.449364E-2</v>
      </c>
      <c r="O3997">
        <v>1.036018E-2</v>
      </c>
      <c r="P3997">
        <v>0.93944689999999997</v>
      </c>
      <c r="Q3997">
        <v>0.33408549999999998</v>
      </c>
      <c r="R3997">
        <v>7.6330990000000001E-2</v>
      </c>
      <c r="S3997">
        <v>3.3510589999999998</v>
      </c>
      <c r="T3997">
        <v>-0.28936699999999999</v>
      </c>
      <c r="U3997">
        <v>-0.55220029999999998</v>
      </c>
      <c r="V3997">
        <v>-6.6815449999999998E-2</v>
      </c>
      <c r="W3997">
        <v>0.34763450000000001</v>
      </c>
      <c r="X3997">
        <v>0.93524649999999998</v>
      </c>
      <c r="Y3997">
        <v>0.1720489</v>
      </c>
      <c r="Z3997">
        <v>-9.3612469999999996E-3</v>
      </c>
      <c r="AA3997">
        <v>0.98504389999999997</v>
      </c>
      <c r="AB3997">
        <v>33</v>
      </c>
      <c r="AC3997">
        <v>12.5166</v>
      </c>
      <c r="AD3997">
        <v>-1.1108192088864</v>
      </c>
      <c r="AE3997">
        <v>-2.1235999999999802</v>
      </c>
      <c r="AF3997">
        <v>2.2360551192256302</v>
      </c>
      <c r="AG3997">
        <v>-1.1108192088864</v>
      </c>
      <c r="AH3997">
        <v>12.3990009549956</v>
      </c>
      <c r="AI3997">
        <v>95.038576859851005</v>
      </c>
      <c r="AJ3997">
        <v>79.777071876647895</v>
      </c>
      <c r="AK3997">
        <v>12.647888617987901</v>
      </c>
      <c r="AL3997">
        <v>69.657302050575893</v>
      </c>
      <c r="AM3997">
        <v>94.086356037298998</v>
      </c>
      <c r="AN3997">
        <v>1.0000000328556</v>
      </c>
    </row>
    <row r="3998" spans="1:40" x14ac:dyDescent="0.25">
      <c r="A3998" t="str">
        <f>"20190304164208579"</f>
        <v>20190304164208579</v>
      </c>
      <c r="B3998" t="str">
        <f>"1551688928575229"</f>
        <v>1551688928575229</v>
      </c>
      <c r="C3998" t="s">
        <v>40</v>
      </c>
      <c r="D3998">
        <v>4.4649929999999998</v>
      </c>
      <c r="E3998">
        <v>0.60918319999999904</v>
      </c>
      <c r="F3998" t="s">
        <v>41</v>
      </c>
      <c r="G3998">
        <v>-245.9091</v>
      </c>
      <c r="H3998">
        <v>1.0334049999999999</v>
      </c>
      <c r="I3998">
        <v>214.46190000000001</v>
      </c>
      <c r="J3998">
        <v>-246.39070000000001</v>
      </c>
      <c r="K3998">
        <v>1.1108209999999901</v>
      </c>
      <c r="L3998">
        <v>214.6027</v>
      </c>
      <c r="M3998">
        <v>0.99983809999999995</v>
      </c>
      <c r="N3998">
        <v>-1.449668E-2</v>
      </c>
      <c r="O3998">
        <v>1.066605E-2</v>
      </c>
      <c r="P3998">
        <v>0.94081619999999999</v>
      </c>
      <c r="Q3998">
        <v>0.33325179999999999</v>
      </c>
      <c r="R3998">
        <v>6.1713730000000001E-2</v>
      </c>
      <c r="S3998">
        <v>3.3543240000000001</v>
      </c>
      <c r="T3998">
        <v>-0.32228509999999999</v>
      </c>
      <c r="U3998">
        <v>-0.57014469999999995</v>
      </c>
      <c r="V3998">
        <v>-5.1897739999999998E-2</v>
      </c>
      <c r="W3998">
        <v>0.3468309</v>
      </c>
      <c r="X3998">
        <v>0.93649079999999996</v>
      </c>
      <c r="Y3998">
        <v>0.1771259</v>
      </c>
      <c r="Z3998">
        <v>-1.0588200000000001E-2</v>
      </c>
      <c r="AA3998">
        <v>0.98413119999999998</v>
      </c>
      <c r="AB3998">
        <v>33</v>
      </c>
      <c r="AC3998">
        <v>0.48160000000001402</v>
      </c>
      <c r="AD3998">
        <v>-7.7415999999999902E-2</v>
      </c>
      <c r="AE3998">
        <v>-0.14079999999998399</v>
      </c>
      <c r="AF3998">
        <v>0.14253621562528601</v>
      </c>
      <c r="AG3998">
        <v>-7.7415999999999902E-2</v>
      </c>
      <c r="AH3998">
        <v>0.46890827370691701</v>
      </c>
      <c r="AI3998">
        <v>98.976371461234805</v>
      </c>
      <c r="AJ3998">
        <v>73.092059199841898</v>
      </c>
      <c r="AK3998">
        <v>0.49617011092122298</v>
      </c>
      <c r="AL3998">
        <v>69.706399868364599</v>
      </c>
      <c r="AM3998">
        <v>93.171929825385206</v>
      </c>
      <c r="AN3998">
        <v>1.0000000335482699</v>
      </c>
    </row>
    <row r="3999" spans="1:40" x14ac:dyDescent="0.25">
      <c r="A3999" t="str">
        <f>"20190304164208612"</f>
        <v>20190304164208612</v>
      </c>
      <c r="B3999" t="str">
        <f>"1551688928605485"</f>
        <v>1551688928605485</v>
      </c>
      <c r="C3999" t="s">
        <v>40</v>
      </c>
      <c r="D3999">
        <v>4.4774830000000003</v>
      </c>
      <c r="E3999">
        <v>0.6083267</v>
      </c>
      <c r="F3999" t="s">
        <v>41</v>
      </c>
      <c r="G3999">
        <v>-245.613</v>
      </c>
      <c r="H3999">
        <v>1.030025</v>
      </c>
      <c r="I3999">
        <v>214.46109999999999</v>
      </c>
      <c r="J3999">
        <v>-245.88800000000001</v>
      </c>
      <c r="K3999">
        <v>1.1108260000000001</v>
      </c>
      <c r="L3999">
        <v>214.60849999999999</v>
      </c>
      <c r="M3999">
        <v>0.99983290000000002</v>
      </c>
      <c r="N3999">
        <v>-1.4499669999999999E-2</v>
      </c>
      <c r="O3999">
        <v>1.1139639999999999E-2</v>
      </c>
      <c r="P3999">
        <v>0.94188079999999996</v>
      </c>
      <c r="Q3999">
        <v>0.33287840000000002</v>
      </c>
      <c r="R3999">
        <v>4.5307880000000002E-2</v>
      </c>
      <c r="S3999">
        <v>3.3521269999999999</v>
      </c>
      <c r="T3999">
        <v>-0.3485299</v>
      </c>
      <c r="U3999">
        <v>-0.60877990000000004</v>
      </c>
      <c r="V3999">
        <v>-3.503539E-2</v>
      </c>
      <c r="W3999">
        <v>0.34648430000000002</v>
      </c>
      <c r="X3999">
        <v>0.93740129999999999</v>
      </c>
      <c r="Y3999">
        <v>0.188469</v>
      </c>
      <c r="Z3999">
        <v>-1.2060690000000001E-2</v>
      </c>
      <c r="AA3999">
        <v>0.98200509999999996</v>
      </c>
      <c r="AB3999">
        <v>33</v>
      </c>
      <c r="AC3999">
        <v>0.27500000000000502</v>
      </c>
      <c r="AD3999">
        <v>-8.0801000000000095E-2</v>
      </c>
      <c r="AE3999">
        <v>-0.147400000000004</v>
      </c>
      <c r="AF3999">
        <v>0.14099863783923799</v>
      </c>
      <c r="AG3999">
        <v>-8.0801000000000095E-2</v>
      </c>
      <c r="AH3999">
        <v>0.25616155124585999</v>
      </c>
      <c r="AI3999">
        <v>105.44731926146601</v>
      </c>
      <c r="AJ3999">
        <v>61.1703570107194</v>
      </c>
      <c r="AK3999">
        <v>0.303361430986548</v>
      </c>
      <c r="AL3999">
        <v>69.727571170529004</v>
      </c>
      <c r="AM3999">
        <v>92.140434481563702</v>
      </c>
      <c r="AN3999">
        <v>1.0000000229703101</v>
      </c>
    </row>
    <row r="4000" spans="1:40" x14ac:dyDescent="0.25">
      <c r="A4000" t="str">
        <f>"20190304164208634"</f>
        <v>20190304164208634</v>
      </c>
      <c r="B4000" t="str">
        <f>"1551688928625005"</f>
        <v>1551688928625005</v>
      </c>
      <c r="C4000" t="s">
        <v>40</v>
      </c>
      <c r="D4000">
        <v>4.4725109999999999</v>
      </c>
      <c r="E4000">
        <v>0.60739460000000001</v>
      </c>
      <c r="F4000" t="s">
        <v>41</v>
      </c>
      <c r="G4000">
        <v>-245.02199999999999</v>
      </c>
      <c r="H4000">
        <v>1.016289</v>
      </c>
      <c r="I4000">
        <v>214.43870000000001</v>
      </c>
      <c r="J4000">
        <v>-245.56649999999999</v>
      </c>
      <c r="K4000">
        <v>1.1108309999999999</v>
      </c>
      <c r="L4000">
        <v>214.6123</v>
      </c>
      <c r="M4000">
        <v>0.99982950000000004</v>
      </c>
      <c r="N4000">
        <v>-1.450072E-2</v>
      </c>
      <c r="O4000">
        <v>1.1442880000000001E-2</v>
      </c>
      <c r="P4000">
        <v>0.9421313</v>
      </c>
      <c r="Q4000">
        <v>0.33353319999999997</v>
      </c>
      <c r="R4000">
        <v>3.3833120000000001E-2</v>
      </c>
      <c r="S4000">
        <v>3.3457949999999999</v>
      </c>
      <c r="T4000">
        <v>-0.36544749999999998</v>
      </c>
      <c r="U4000">
        <v>-0.65498350000000005</v>
      </c>
      <c r="V4000">
        <v>-2.32733E-2</v>
      </c>
      <c r="W4000">
        <v>0.34714980000000001</v>
      </c>
      <c r="X4000">
        <v>0.93752089999999999</v>
      </c>
      <c r="Y4000">
        <v>0.2019688</v>
      </c>
      <c r="Z4000">
        <v>-1.34488E-2</v>
      </c>
      <c r="AA4000">
        <v>0.97929960000000005</v>
      </c>
      <c r="AB4000">
        <v>33</v>
      </c>
      <c r="AC4000">
        <v>0.54449999999997001</v>
      </c>
      <c r="AD4000">
        <v>-9.4541999999999904E-2</v>
      </c>
      <c r="AE4000">
        <v>-0.17359999999999301</v>
      </c>
      <c r="AF4000">
        <v>0.175030070370119</v>
      </c>
      <c r="AG4000">
        <v>-9.4541999999999904E-2</v>
      </c>
      <c r="AH4000">
        <v>0.52802767233760795</v>
      </c>
      <c r="AI4000">
        <v>99.645462576110205</v>
      </c>
      <c r="AJ4000">
        <v>71.660726648756494</v>
      </c>
      <c r="AK4000">
        <v>0.56425786485616802</v>
      </c>
      <c r="AL4000">
        <v>69.686917808829193</v>
      </c>
      <c r="AM4000">
        <v>91.422035554750707</v>
      </c>
      <c r="AN4000">
        <v>1.00000003403486</v>
      </c>
    </row>
    <row r="4001" spans="1:40" x14ac:dyDescent="0.25">
      <c r="A4001" t="str">
        <f>"20190304164208657"</f>
        <v>20190304164208657</v>
      </c>
      <c r="B4001" t="str">
        <f>"1551688928645501"</f>
        <v>1551688928645501</v>
      </c>
      <c r="C4001" t="s">
        <v>40</v>
      </c>
      <c r="D4001">
        <v>4.5844550000000002</v>
      </c>
      <c r="E4001">
        <v>0.60665239999999998</v>
      </c>
      <c r="F4001" t="s">
        <v>41</v>
      </c>
      <c r="G4001">
        <v>-244.7175</v>
      </c>
      <c r="H4001">
        <v>1.0154270000000001</v>
      </c>
      <c r="I4001">
        <v>214.43819999999999</v>
      </c>
      <c r="J4001">
        <v>-245.22389999999999</v>
      </c>
      <c r="K4001">
        <v>1.110832</v>
      </c>
      <c r="L4001">
        <v>214.6165</v>
      </c>
      <c r="M4001">
        <v>0.99982570000000004</v>
      </c>
      <c r="N4001">
        <v>-1.450121E-2</v>
      </c>
      <c r="O4001">
        <v>1.176579E-2</v>
      </c>
      <c r="P4001">
        <v>0.9424245</v>
      </c>
      <c r="Q4001">
        <v>0.33367039999999998</v>
      </c>
      <c r="R4001">
        <v>2.237188E-2</v>
      </c>
      <c r="S4001">
        <v>3.3418730000000001</v>
      </c>
      <c r="T4001">
        <v>-0.37570750000000003</v>
      </c>
      <c r="U4001">
        <v>-0.68493649999999995</v>
      </c>
      <c r="V4001">
        <v>-1.150489E-2</v>
      </c>
      <c r="W4001">
        <v>0.34729739999999998</v>
      </c>
      <c r="X4001">
        <v>0.93768450000000003</v>
      </c>
      <c r="Y4001">
        <v>0.21079539999999999</v>
      </c>
      <c r="Z4001">
        <v>-1.437824E-2</v>
      </c>
      <c r="AA4001">
        <v>0.97742439999999997</v>
      </c>
      <c r="AB4001">
        <v>33</v>
      </c>
      <c r="AC4001">
        <v>0.50639999999998497</v>
      </c>
      <c r="AD4001">
        <v>-9.5404999999999907E-2</v>
      </c>
      <c r="AE4001">
        <v>-0.17830000000000701</v>
      </c>
      <c r="AF4001">
        <v>0.17860624607398601</v>
      </c>
      <c r="AG4001">
        <v>-9.5404999999999907E-2</v>
      </c>
      <c r="AH4001">
        <v>0.488830046555565</v>
      </c>
      <c r="AI4001">
        <v>100.387951512683</v>
      </c>
      <c r="AJ4001">
        <v>69.928963497916996</v>
      </c>
      <c r="AK4001">
        <v>0.52910974247046005</v>
      </c>
      <c r="AL4001">
        <v>69.677899877900302</v>
      </c>
      <c r="AM4001">
        <v>90.702953462543903</v>
      </c>
      <c r="AN4001">
        <v>1.00000003404046</v>
      </c>
    </row>
    <row r="4002" spans="1:40" x14ac:dyDescent="0.25">
      <c r="A4002" t="str">
        <f>"20190304164208680"</f>
        <v>20190304164208680</v>
      </c>
      <c r="B4002" t="str">
        <f>"1551688928674780"</f>
        <v>1551688928674780</v>
      </c>
      <c r="C4002" t="s">
        <v>40</v>
      </c>
      <c r="D4002">
        <v>4.4539080000000002</v>
      </c>
      <c r="E4002">
        <v>0.6054041</v>
      </c>
      <c r="F4002" t="s">
        <v>46</v>
      </c>
      <c r="G4002">
        <v>-235.524</v>
      </c>
      <c r="H4002" s="1">
        <v>1.493662E-6</v>
      </c>
      <c r="I4002">
        <v>212.53800000000001</v>
      </c>
      <c r="J4002">
        <v>-244.8837</v>
      </c>
      <c r="K4002">
        <v>1.110833</v>
      </c>
      <c r="L4002">
        <v>214.6208</v>
      </c>
      <c r="M4002">
        <v>0.99982199999999999</v>
      </c>
      <c r="N4002">
        <v>-1.4501150000000001E-2</v>
      </c>
      <c r="O4002">
        <v>1.208621E-2</v>
      </c>
      <c r="P4002">
        <v>0.94269619999999998</v>
      </c>
      <c r="Q4002">
        <v>0.33345439999999998</v>
      </c>
      <c r="R4002">
        <v>1.1504830000000001E-2</v>
      </c>
      <c r="S4002">
        <v>3.33548</v>
      </c>
      <c r="T4002">
        <v>-0.38197759999999997</v>
      </c>
      <c r="U4002">
        <v>-0.71475219999999995</v>
      </c>
      <c r="V4002">
        <v>-3.3254740000000001E-4</v>
      </c>
      <c r="W4002">
        <v>0.34709030000000002</v>
      </c>
      <c r="X4002">
        <v>0.93783159999999999</v>
      </c>
      <c r="Y4002">
        <v>0.21972169999999999</v>
      </c>
      <c r="Z4002">
        <v>-1.520941E-2</v>
      </c>
      <c r="AA4002">
        <v>0.97544399999999998</v>
      </c>
      <c r="AB4002">
        <v>33</v>
      </c>
      <c r="AC4002">
        <v>9.3597000000000001</v>
      </c>
      <c r="AD4002">
        <v>-1.1108315063380001</v>
      </c>
      <c r="AE4002">
        <v>-2.08280000000001</v>
      </c>
      <c r="AF4002">
        <v>2.1667038557848</v>
      </c>
      <c r="AG4002">
        <v>-1.1108315063380001</v>
      </c>
      <c r="AH4002">
        <v>9.2102306589774905</v>
      </c>
      <c r="AI4002">
        <v>96.696071148388896</v>
      </c>
      <c r="AJ4002">
        <v>76.7618923940488</v>
      </c>
      <c r="AK4002">
        <v>9.5266416446570901</v>
      </c>
      <c r="AL4002">
        <v>69.690551122482105</v>
      </c>
      <c r="AM4002">
        <v>90.020316613035305</v>
      </c>
      <c r="AN4002">
        <v>0.99999994845021001</v>
      </c>
    </row>
    <row r="4003" spans="1:40" x14ac:dyDescent="0.25">
      <c r="A4003" t="str">
        <f>"20190304164208702"</f>
        <v>20190304164208702</v>
      </c>
      <c r="B4003" t="str">
        <f>"1551688928695276"</f>
        <v>1551688928695276</v>
      </c>
      <c r="C4003" t="s">
        <v>40</v>
      </c>
      <c r="D4003">
        <v>4.4368819999999998</v>
      </c>
      <c r="E4003">
        <v>0.60465959999999996</v>
      </c>
      <c r="F4003" t="s">
        <v>46</v>
      </c>
      <c r="G4003">
        <v>-235.1798</v>
      </c>
      <c r="H4003" s="1">
        <v>1.3135899999999999E-6</v>
      </c>
      <c r="I4003">
        <v>212.4675</v>
      </c>
      <c r="J4003">
        <v>-244.5635</v>
      </c>
      <c r="K4003">
        <v>1.1108279999999999</v>
      </c>
      <c r="L4003">
        <v>214.6249</v>
      </c>
      <c r="M4003">
        <v>0.99981830000000005</v>
      </c>
      <c r="N4003">
        <v>-1.4500620000000001E-2</v>
      </c>
      <c r="O4003">
        <v>1.2388089999999999E-2</v>
      </c>
      <c r="P4003">
        <v>0.94258280000000005</v>
      </c>
      <c r="Q4003">
        <v>0.33397179999999999</v>
      </c>
      <c r="R4003">
        <v>8.9484829999999995E-4</v>
      </c>
      <c r="S4003">
        <v>3.32605</v>
      </c>
      <c r="T4003">
        <v>-0.38074400000000003</v>
      </c>
      <c r="U4003">
        <v>-0.73806759999999905</v>
      </c>
      <c r="V4003">
        <v>1.0559560000000001E-2</v>
      </c>
      <c r="W4003">
        <v>0.3476108</v>
      </c>
      <c r="X4003">
        <v>0.93757950000000001</v>
      </c>
      <c r="Y4003">
        <v>0.22705359999999999</v>
      </c>
      <c r="Z4003">
        <v>-1.569135E-2</v>
      </c>
      <c r="AA4003">
        <v>0.97375579999999995</v>
      </c>
      <c r="AB4003">
        <v>33</v>
      </c>
      <c r="AC4003">
        <v>9.3836999999999993</v>
      </c>
      <c r="AD4003">
        <v>-1.11082668641</v>
      </c>
      <c r="AE4003">
        <v>-2.1573999999999902</v>
      </c>
      <c r="AF4003">
        <v>2.2436302671483301</v>
      </c>
      <c r="AG4003">
        <v>-1.11082668641</v>
      </c>
      <c r="AH4003">
        <v>9.2333559667827192</v>
      </c>
      <c r="AI4003">
        <v>96.667842393503307</v>
      </c>
      <c r="AJ4003">
        <v>76.342292688319205</v>
      </c>
      <c r="AK4003">
        <v>9.5667484085360392</v>
      </c>
      <c r="AL4003">
        <v>69.658750552900997</v>
      </c>
      <c r="AM4003">
        <v>89.3547292339899</v>
      </c>
      <c r="AN4003">
        <v>1.0000000457021401</v>
      </c>
    </row>
    <row r="4004" spans="1:40" x14ac:dyDescent="0.25">
      <c r="A4004" t="str">
        <f>"20190304164208724"</f>
        <v>20190304164208724</v>
      </c>
      <c r="B4004" t="str">
        <f>"1551688928714798"</f>
        <v>1551688928714798</v>
      </c>
      <c r="C4004" t="s">
        <v>40</v>
      </c>
      <c r="D4004">
        <v>4.4627970000000001</v>
      </c>
      <c r="E4004">
        <v>0.60396019999999995</v>
      </c>
      <c r="F4004" t="s">
        <v>46</v>
      </c>
      <c r="G4004">
        <v>-234.7852</v>
      </c>
      <c r="H4004" s="1">
        <v>1.1079119999999999E-6</v>
      </c>
      <c r="I4004">
        <v>212.36859999999999</v>
      </c>
      <c r="J4004">
        <v>-244.23859999999999</v>
      </c>
      <c r="K4004">
        <v>1.110825</v>
      </c>
      <c r="L4004">
        <v>214.6292</v>
      </c>
      <c r="M4004">
        <v>0.99981439999999999</v>
      </c>
      <c r="N4004">
        <v>-1.4499639999999999E-2</v>
      </c>
      <c r="O4004">
        <v>1.269468E-2</v>
      </c>
      <c r="P4004">
        <v>0.94242939999999997</v>
      </c>
      <c r="Q4004">
        <v>0.33424710000000002</v>
      </c>
      <c r="R4004">
        <v>-1.029738E-2</v>
      </c>
      <c r="S4004">
        <v>3.3169710000000001</v>
      </c>
      <c r="T4004">
        <v>-0.37681389999999998</v>
      </c>
      <c r="U4004">
        <v>-0.76538090000000003</v>
      </c>
      <c r="V4004">
        <v>2.2038120000000001E-2</v>
      </c>
      <c r="W4004">
        <v>0.34788799999999998</v>
      </c>
      <c r="X4004">
        <v>0.93727700000000003</v>
      </c>
      <c r="Y4004">
        <v>0.23550080000000001</v>
      </c>
      <c r="Z4004">
        <v>-1.6136330000000001E-2</v>
      </c>
      <c r="AA4004">
        <v>0.97174020000000005</v>
      </c>
      <c r="AB4004">
        <v>33</v>
      </c>
      <c r="AC4004">
        <v>9.4533999999999807</v>
      </c>
      <c r="AD4004">
        <v>-1.110823892088</v>
      </c>
      <c r="AE4004">
        <v>-2.2606000000000099</v>
      </c>
      <c r="AF4004">
        <v>2.34974910163336</v>
      </c>
      <c r="AG4004">
        <v>-1.110823892088</v>
      </c>
      <c r="AH4004">
        <v>9.3024417717991099</v>
      </c>
      <c r="AI4004">
        <v>96.604056644982293</v>
      </c>
      <c r="AJ4004">
        <v>75.823912504384595</v>
      </c>
      <c r="AK4004">
        <v>9.6587097211570292</v>
      </c>
      <c r="AL4004">
        <v>69.641809033185197</v>
      </c>
      <c r="AM4004">
        <v>88.653057052003007</v>
      </c>
      <c r="AN4004">
        <v>0.99999995700306599</v>
      </c>
    </row>
    <row r="4005" spans="1:40" x14ac:dyDescent="0.25">
      <c r="A4005" t="str">
        <f>"20190304164208746"</f>
        <v>20190304164208746</v>
      </c>
      <c r="B4005" t="str">
        <f>"1551688928735293"</f>
        <v>1551688928735293</v>
      </c>
      <c r="C4005" t="s">
        <v>40</v>
      </c>
      <c r="D4005">
        <v>4.479393</v>
      </c>
      <c r="E4005">
        <v>0.60312030000000005</v>
      </c>
      <c r="F4005" t="s">
        <v>46</v>
      </c>
      <c r="G4005">
        <v>-234.4348</v>
      </c>
      <c r="H4005" s="1">
        <v>9.255416E-7</v>
      </c>
      <c r="I4005">
        <v>212.27510000000001</v>
      </c>
      <c r="J4005">
        <v>-243.91249999999999</v>
      </c>
      <c r="K4005">
        <v>1.1108260000000001</v>
      </c>
      <c r="L4005">
        <v>214.6336</v>
      </c>
      <c r="M4005">
        <v>0.99981039999999999</v>
      </c>
      <c r="N4005">
        <v>-1.449835E-2</v>
      </c>
      <c r="O4005">
        <v>1.300216E-2</v>
      </c>
      <c r="P4005">
        <v>0.94235860000000005</v>
      </c>
      <c r="Q4005">
        <v>0.33391859999999901</v>
      </c>
      <c r="R4005">
        <v>-2.1423640000000001E-2</v>
      </c>
      <c r="S4005">
        <v>3.3074949999999999</v>
      </c>
      <c r="T4005">
        <v>-0.37475849999999999</v>
      </c>
      <c r="U4005">
        <v>-0.79422000000000004</v>
      </c>
      <c r="V4005">
        <v>3.3452820000000001E-2</v>
      </c>
      <c r="W4005">
        <v>0.3475625</v>
      </c>
      <c r="X4005">
        <v>0.93705989999999995</v>
      </c>
      <c r="Y4005">
        <v>0.2443757</v>
      </c>
      <c r="Z4005">
        <v>-1.6674689999999999E-2</v>
      </c>
      <c r="AA4005">
        <v>0.96953730000000005</v>
      </c>
      <c r="AB4005">
        <v>33</v>
      </c>
      <c r="AC4005">
        <v>9.4777000000000005</v>
      </c>
      <c r="AD4005">
        <v>-1.1108250744583901</v>
      </c>
      <c r="AE4005">
        <v>-2.35849999999999</v>
      </c>
      <c r="AF4005">
        <v>2.4498534196832802</v>
      </c>
      <c r="AG4005">
        <v>-1.1108250744583901</v>
      </c>
      <c r="AH4005">
        <v>9.3255962718954599</v>
      </c>
      <c r="AI4005">
        <v>96.571884002284193</v>
      </c>
      <c r="AJ4005">
        <v>75.280865374626998</v>
      </c>
      <c r="AK4005">
        <v>9.7057951735223593</v>
      </c>
      <c r="AL4005">
        <v>69.661701406775705</v>
      </c>
      <c r="AM4005">
        <v>87.955422318703796</v>
      </c>
      <c r="AN4005">
        <v>1.0000000193801</v>
      </c>
    </row>
    <row r="4006" spans="1:40" x14ac:dyDescent="0.25">
      <c r="A4006" t="str">
        <f>"20190304164208769"</f>
        <v>20190304164208769</v>
      </c>
      <c r="B4006" t="str">
        <f>"1551688928765549"</f>
        <v>1551688928765549</v>
      </c>
      <c r="C4006" t="s">
        <v>40</v>
      </c>
      <c r="D4006">
        <v>4.4744640000000002</v>
      </c>
      <c r="E4006">
        <v>0.602012199999999</v>
      </c>
      <c r="F4006" t="s">
        <v>46</v>
      </c>
      <c r="G4006">
        <v>-234.16730000000001</v>
      </c>
      <c r="H4006" s="1">
        <v>7.8617480000000005E-7</v>
      </c>
      <c r="I4006">
        <v>212.20660000000001</v>
      </c>
      <c r="J4006">
        <v>-243.571</v>
      </c>
      <c r="K4006">
        <v>1.110832</v>
      </c>
      <c r="L4006">
        <v>214.63839999999999</v>
      </c>
      <c r="M4006">
        <v>0.99980619999999998</v>
      </c>
      <c r="N4006">
        <v>-1.4496729999999999E-2</v>
      </c>
      <c r="O4006">
        <v>1.3324849999999999E-2</v>
      </c>
      <c r="P4006">
        <v>0.94210340000000004</v>
      </c>
      <c r="Q4006">
        <v>0.33366050000000003</v>
      </c>
      <c r="R4006">
        <v>-3.3348959999999997E-2</v>
      </c>
      <c r="S4006">
        <v>3.298035</v>
      </c>
      <c r="T4006">
        <v>-0.37593149999999997</v>
      </c>
      <c r="U4006">
        <v>-0.82136540000000002</v>
      </c>
      <c r="V4006">
        <v>4.5678509999999999E-2</v>
      </c>
      <c r="W4006">
        <v>0.34730460000000002</v>
      </c>
      <c r="X4006">
        <v>0.93663920000000001</v>
      </c>
      <c r="Y4006">
        <v>0.25276340000000003</v>
      </c>
      <c r="Z4006">
        <v>-1.731371E-2</v>
      </c>
      <c r="AA4006">
        <v>0.96737320000000004</v>
      </c>
      <c r="AB4006">
        <v>33</v>
      </c>
      <c r="AC4006">
        <v>9.4036999999999793</v>
      </c>
      <c r="AD4006">
        <v>-1.1108312138251999</v>
      </c>
      <c r="AE4006">
        <v>-2.43179999999998</v>
      </c>
      <c r="AF4006">
        <v>2.52388933503306</v>
      </c>
      <c r="AG4006">
        <v>-1.1108312138251999</v>
      </c>
      <c r="AH4006">
        <v>9.2494811945654902</v>
      </c>
      <c r="AI4006">
        <v>96.608862764494503</v>
      </c>
      <c r="AJ4006">
        <v>74.737365742999103</v>
      </c>
      <c r="AK4006">
        <v>9.6517804435100292</v>
      </c>
      <c r="AL4006">
        <v>69.677459268863004</v>
      </c>
      <c r="AM4006">
        <v>87.207981562581196</v>
      </c>
      <c r="AN4006">
        <v>1.00000000121681</v>
      </c>
    </row>
    <row r="4007" spans="1:40" x14ac:dyDescent="0.25">
      <c r="A4007" t="str">
        <f>"20190304164208792"</f>
        <v>20190304164208792</v>
      </c>
      <c r="B4007" t="str">
        <f>"1551688928785069"</f>
        <v>1551688928785069</v>
      </c>
      <c r="C4007" t="s">
        <v>40</v>
      </c>
      <c r="D4007">
        <v>4.385834</v>
      </c>
      <c r="E4007">
        <v>0.60128409999999999</v>
      </c>
      <c r="F4007" t="s">
        <v>46</v>
      </c>
      <c r="G4007">
        <v>-233.80940000000001</v>
      </c>
      <c r="H4007" s="1">
        <v>5.9963289999999996E-7</v>
      </c>
      <c r="I4007">
        <v>212.1174</v>
      </c>
      <c r="J4007">
        <v>-243.2303</v>
      </c>
      <c r="K4007">
        <v>1.110833</v>
      </c>
      <c r="L4007">
        <v>214.64320000000001</v>
      </c>
      <c r="M4007">
        <v>0.99980179999999996</v>
      </c>
      <c r="N4007">
        <v>-1.4494770000000001E-2</v>
      </c>
      <c r="O4007">
        <v>1.364682E-2</v>
      </c>
      <c r="P4007">
        <v>0.94184630000000003</v>
      </c>
      <c r="Q4007">
        <v>0.33294639999999998</v>
      </c>
      <c r="R4007">
        <v>-4.5526469999999999E-2</v>
      </c>
      <c r="S4007">
        <v>3.2867890000000002</v>
      </c>
      <c r="T4007">
        <v>-0.37402679999999999</v>
      </c>
      <c r="U4007">
        <v>-0.84881589999999996</v>
      </c>
      <c r="V4007">
        <v>5.8155659999999998E-2</v>
      </c>
      <c r="W4007">
        <v>0.34659030000000002</v>
      </c>
      <c r="X4007">
        <v>0.93621209999999999</v>
      </c>
      <c r="Y4007">
        <v>0.26137909999999998</v>
      </c>
      <c r="Z4007">
        <v>-1.78485E-2</v>
      </c>
      <c r="AA4007">
        <v>0.96507120000000002</v>
      </c>
      <c r="AB4007">
        <v>33</v>
      </c>
      <c r="AC4007">
        <v>9.4208999999999801</v>
      </c>
      <c r="AD4007">
        <v>-1.1108324003671</v>
      </c>
      <c r="AE4007">
        <v>-2.5257999999999998</v>
      </c>
      <c r="AF4007">
        <v>2.62015810854977</v>
      </c>
      <c r="AG4007">
        <v>-1.1108324003671</v>
      </c>
      <c r="AH4007">
        <v>9.2653707611473006</v>
      </c>
      <c r="AI4007">
        <v>96.580921676831593</v>
      </c>
      <c r="AJ4007">
        <v>74.209605079729698</v>
      </c>
      <c r="AK4007">
        <v>9.6925885333603095</v>
      </c>
      <c r="AL4007">
        <v>69.721096282574393</v>
      </c>
      <c r="AM4007">
        <v>86.4454657250607</v>
      </c>
      <c r="AN4007">
        <v>1.0000000065152601</v>
      </c>
    </row>
    <row r="4008" spans="1:40" x14ac:dyDescent="0.25">
      <c r="A4008" t="str">
        <f>"20190304164208812"</f>
        <v>20190304164208812</v>
      </c>
      <c r="B4008" t="str">
        <f>"1551688928804890"</f>
        <v>1551688928804890</v>
      </c>
      <c r="C4008" t="s">
        <v>40</v>
      </c>
      <c r="D4008">
        <v>4.394984</v>
      </c>
      <c r="E4008">
        <v>0.60053000000000001</v>
      </c>
      <c r="F4008" t="s">
        <v>46</v>
      </c>
      <c r="G4008">
        <v>-233.53980000000001</v>
      </c>
      <c r="H4008" s="1">
        <v>4.595981E-7</v>
      </c>
      <c r="I4008">
        <v>212.0385</v>
      </c>
      <c r="J4008">
        <v>-242.9265</v>
      </c>
      <c r="K4008">
        <v>1.1108279999999999</v>
      </c>
      <c r="L4008">
        <v>214.64760000000001</v>
      </c>
      <c r="M4008">
        <v>0.99979790000000002</v>
      </c>
      <c r="N4008">
        <v>-1.449281E-2</v>
      </c>
      <c r="O4008">
        <v>1.39338E-2</v>
      </c>
      <c r="P4008">
        <v>0.94135579999999996</v>
      </c>
      <c r="Q4008">
        <v>0.33244469999999998</v>
      </c>
      <c r="R4008">
        <v>-5.7707559999999998E-2</v>
      </c>
      <c r="S4008">
        <v>3.2754059999999998</v>
      </c>
      <c r="T4008">
        <v>-0.3754652</v>
      </c>
      <c r="U4008">
        <v>-0.88040160000000001</v>
      </c>
      <c r="V4008">
        <v>7.0599499999999996E-2</v>
      </c>
      <c r="W4008">
        <v>0.34608489999999997</v>
      </c>
      <c r="X4008">
        <v>0.93554320000000002</v>
      </c>
      <c r="Y4008">
        <v>0.27106540000000001</v>
      </c>
      <c r="Z4008">
        <v>-1.8590949999999998E-2</v>
      </c>
      <c r="AA4008">
        <v>0.96238140000000005</v>
      </c>
      <c r="AB4008">
        <v>33</v>
      </c>
      <c r="AC4008">
        <v>9.3866999999999905</v>
      </c>
      <c r="AD4008">
        <v>-1.1108275404018999</v>
      </c>
      <c r="AE4008">
        <v>-2.60910000000001</v>
      </c>
      <c r="AF4008">
        <v>2.7044940888409998</v>
      </c>
      <c r="AG4008">
        <v>-1.1108275404018999</v>
      </c>
      <c r="AH4008">
        <v>9.22944629561702</v>
      </c>
      <c r="AI4008">
        <v>96.588482409161202</v>
      </c>
      <c r="AJ4008">
        <v>73.667892900805398</v>
      </c>
      <c r="AK4008">
        <v>9.6814722550224808</v>
      </c>
      <c r="AL4008">
        <v>69.751965171741801</v>
      </c>
      <c r="AM4008">
        <v>85.684431272070498</v>
      </c>
      <c r="AN4008">
        <v>1.0000000632372399</v>
      </c>
    </row>
    <row r="4009" spans="1:40" x14ac:dyDescent="0.25">
      <c r="A4009" t="str">
        <f>"20190304164208835"</f>
        <v>20190304164208835</v>
      </c>
      <c r="B4009" t="str">
        <f>"1551688928825386"</f>
        <v>1551688928825386</v>
      </c>
      <c r="C4009" t="s">
        <v>40</v>
      </c>
      <c r="D4009">
        <v>4.4151959999999999</v>
      </c>
      <c r="E4009">
        <v>0.58589519999999995</v>
      </c>
      <c r="F4009" t="s">
        <v>46</v>
      </c>
      <c r="G4009">
        <v>-233.30359999999999</v>
      </c>
      <c r="H4009" s="1">
        <v>3.3743529999999998E-7</v>
      </c>
      <c r="I4009">
        <v>211.95760000000001</v>
      </c>
      <c r="J4009">
        <v>-242.59950000000001</v>
      </c>
      <c r="K4009">
        <v>1.1108260000000001</v>
      </c>
      <c r="L4009">
        <v>214.6524</v>
      </c>
      <c r="M4009">
        <v>0.99979370000000001</v>
      </c>
      <c r="N4009">
        <v>-1.449053E-2</v>
      </c>
      <c r="O4009">
        <v>1.424243E-2</v>
      </c>
      <c r="P4009">
        <v>0.94118270000000004</v>
      </c>
      <c r="Q4009">
        <v>0.33064700000000002</v>
      </c>
      <c r="R4009">
        <v>-6.9626099999999996E-2</v>
      </c>
      <c r="S4009">
        <v>3.264008</v>
      </c>
      <c r="T4009">
        <v>-0.37678339999999999</v>
      </c>
      <c r="U4009">
        <v>-0.91239930000000002</v>
      </c>
      <c r="V4009">
        <v>8.2806340000000006E-2</v>
      </c>
      <c r="W4009">
        <v>0.34428760000000003</v>
      </c>
      <c r="X4009">
        <v>0.93520539999999996</v>
      </c>
      <c r="Y4009">
        <v>0.28087289999999998</v>
      </c>
      <c r="Z4009">
        <v>-1.934423E-2</v>
      </c>
      <c r="AA4009">
        <v>0.95955000000000001</v>
      </c>
      <c r="AB4009">
        <v>33</v>
      </c>
      <c r="AC4009">
        <v>9.2959000000000103</v>
      </c>
      <c r="AD4009">
        <v>-1.1108256625646999</v>
      </c>
      <c r="AE4009">
        <v>-2.6947999999999799</v>
      </c>
      <c r="AF4009">
        <v>2.7901832978254899</v>
      </c>
      <c r="AG4009">
        <v>-1.1108256625646999</v>
      </c>
      <c r="AH4009">
        <v>9.1362263969843092</v>
      </c>
      <c r="AI4009">
        <v>96.632729894067694</v>
      </c>
      <c r="AJ4009">
        <v>73.017444794585799</v>
      </c>
      <c r="AK4009">
        <v>9.6171559863105802</v>
      </c>
      <c r="AL4009">
        <v>69.861685510988195</v>
      </c>
      <c r="AM4009">
        <v>84.940028103923396</v>
      </c>
      <c r="AN4009">
        <v>0.99999999082355695</v>
      </c>
    </row>
    <row r="4010" spans="1:40" x14ac:dyDescent="0.25">
      <c r="A4010" t="str">
        <f>"20190304164208857"</f>
        <v>20190304164208857</v>
      </c>
      <c r="B4010" t="str">
        <f>"1551688928844907"</f>
        <v>1551688928844907</v>
      </c>
      <c r="C4010" t="s">
        <v>40</v>
      </c>
      <c r="D4010">
        <v>4.3772180000000001</v>
      </c>
      <c r="E4010">
        <v>0.58489040000000003</v>
      </c>
      <c r="F4010" t="s">
        <v>46</v>
      </c>
      <c r="G4010">
        <v>-231.64760000000001</v>
      </c>
      <c r="H4010" s="1">
        <v>-5.3833659999999999E-7</v>
      </c>
      <c r="I4010">
        <v>211.83189999999999</v>
      </c>
      <c r="J4010">
        <v>-242.2698</v>
      </c>
      <c r="K4010">
        <v>1.110822</v>
      </c>
      <c r="L4010">
        <v>214.65729999999999</v>
      </c>
      <c r="M4010">
        <v>0.99978920000000004</v>
      </c>
      <c r="N4010">
        <v>-1.448808E-2</v>
      </c>
      <c r="O4010">
        <v>1.455391E-2</v>
      </c>
      <c r="P4010">
        <v>0.94089809999999996</v>
      </c>
      <c r="Q4010">
        <v>0.32878679999999999</v>
      </c>
      <c r="R4010">
        <v>-8.1303799999999996E-2</v>
      </c>
      <c r="S4010">
        <v>3.2412260000000002</v>
      </c>
      <c r="T4010">
        <v>-0.32874809999999999</v>
      </c>
      <c r="U4010">
        <v>-0.83471679999999904</v>
      </c>
      <c r="V4010">
        <v>9.4773129999999997E-2</v>
      </c>
      <c r="W4010">
        <v>0.34242539999999999</v>
      </c>
      <c r="X4010">
        <v>0.93475280000000005</v>
      </c>
      <c r="Y4010">
        <v>0.26195930000000001</v>
      </c>
      <c r="Z4010">
        <v>-1.6215799999999999E-2</v>
      </c>
      <c r="AA4010">
        <v>0.96494270000000004</v>
      </c>
      <c r="AB4010">
        <v>33</v>
      </c>
      <c r="AC4010">
        <v>10.6221999999999</v>
      </c>
      <c r="AD4010">
        <v>-1.1108225383365999</v>
      </c>
      <c r="AE4010">
        <v>-2.8254000000000001</v>
      </c>
      <c r="AF4010">
        <v>2.9495860265103202</v>
      </c>
      <c r="AG4010">
        <v>-1.1108225383365999</v>
      </c>
      <c r="AH4010">
        <v>10.472984597824899</v>
      </c>
      <c r="AI4010">
        <v>95.829343698591202</v>
      </c>
      <c r="AJ4010">
        <v>74.270785429303601</v>
      </c>
      <c r="AK4010">
        <v>10.9369735679364</v>
      </c>
      <c r="AL4010">
        <v>69.975287320342701</v>
      </c>
      <c r="AM4010">
        <v>84.210653516692105</v>
      </c>
      <c r="AN4010">
        <v>0.99999994892149702</v>
      </c>
    </row>
    <row r="4011" spans="1:40" x14ac:dyDescent="0.25">
      <c r="A4011" t="str">
        <f>"20190304164208881"</f>
        <v>20190304164208881</v>
      </c>
      <c r="B4011" t="str">
        <f>"1551688928875163"</f>
        <v>1551688928875163</v>
      </c>
      <c r="C4011" t="s">
        <v>40</v>
      </c>
      <c r="D4011">
        <v>4.3277330000000003</v>
      </c>
      <c r="E4011">
        <v>0.58433930000000001</v>
      </c>
      <c r="F4011" t="s">
        <v>46</v>
      </c>
      <c r="G4011">
        <v>-231.53110000000001</v>
      </c>
      <c r="H4011" s="1">
        <v>-5.984123E-7</v>
      </c>
      <c r="I4011">
        <v>211.78890000000001</v>
      </c>
      <c r="J4011">
        <v>-241.92320000000001</v>
      </c>
      <c r="K4011">
        <v>1.1108089999999999</v>
      </c>
      <c r="L4011">
        <v>214.6627</v>
      </c>
      <c r="M4011">
        <v>0.99978449999999996</v>
      </c>
      <c r="N4011">
        <v>-1.4485329999999999E-2</v>
      </c>
      <c r="O4011">
        <v>1.4881729999999999E-2</v>
      </c>
      <c r="P4011">
        <v>0.94072690000000003</v>
      </c>
      <c r="Q4011">
        <v>0.32681110000000002</v>
      </c>
      <c r="R4011">
        <v>-9.0706469999999997E-2</v>
      </c>
      <c r="S4011">
        <v>3.230667</v>
      </c>
      <c r="T4011">
        <v>-0.33418360000000003</v>
      </c>
      <c r="U4011">
        <v>-0.86296079999999997</v>
      </c>
      <c r="V4011">
        <v>0.10448209999999999</v>
      </c>
      <c r="W4011">
        <v>0.34044849999999999</v>
      </c>
      <c r="X4011">
        <v>0.9344401</v>
      </c>
      <c r="Y4011">
        <v>0.2708122</v>
      </c>
      <c r="Z4011">
        <v>-1.702979E-2</v>
      </c>
      <c r="AA4011">
        <v>0.96248160000000005</v>
      </c>
      <c r="AB4011">
        <v>33</v>
      </c>
      <c r="AC4011">
        <v>10.392099999999999</v>
      </c>
      <c r="AD4011">
        <v>-1.1108095984123001</v>
      </c>
      <c r="AE4011">
        <v>-2.8737999999999801</v>
      </c>
      <c r="AF4011">
        <v>2.9963477788872801</v>
      </c>
      <c r="AG4011">
        <v>-1.1108095984123001</v>
      </c>
      <c r="AH4011">
        <v>10.239497698107201</v>
      </c>
      <c r="AI4011">
        <v>95.944025612960502</v>
      </c>
      <c r="AJ4011">
        <v>73.689128602688399</v>
      </c>
      <c r="AK4011">
        <v>10.7265703319146</v>
      </c>
      <c r="AL4011">
        <v>70.095798443845098</v>
      </c>
      <c r="AM4011">
        <v>83.620113785512501</v>
      </c>
      <c r="AN4011">
        <v>0.99999999543033502</v>
      </c>
    </row>
    <row r="4012" spans="1:40" x14ac:dyDescent="0.25">
      <c r="A4012" t="str">
        <f>"20190304164208902"</f>
        <v>20190304164208902</v>
      </c>
      <c r="B4012" t="str">
        <f>"1551688928894682"</f>
        <v>1551688928894682</v>
      </c>
      <c r="C4012" t="s">
        <v>40</v>
      </c>
      <c r="D4012">
        <v>4.3425349999999998</v>
      </c>
      <c r="E4012">
        <v>0.58456359999999996</v>
      </c>
      <c r="F4012" t="s">
        <v>46</v>
      </c>
      <c r="G4012">
        <v>-231.08850000000001</v>
      </c>
      <c r="H4012" s="1">
        <v>-8.2900330000000003E-7</v>
      </c>
      <c r="I4012">
        <v>211.67590000000001</v>
      </c>
      <c r="J4012">
        <v>-241.6138</v>
      </c>
      <c r="K4012">
        <v>1.1108009999999999</v>
      </c>
      <c r="L4012">
        <v>214.66759999999999</v>
      </c>
      <c r="M4012">
        <v>0.99978009999999995</v>
      </c>
      <c r="N4012">
        <v>-1.4482800000000001E-2</v>
      </c>
      <c r="O4012">
        <v>1.517432E-2</v>
      </c>
      <c r="P4012">
        <v>0.94084650000000003</v>
      </c>
      <c r="Q4012">
        <v>0.32409539999999998</v>
      </c>
      <c r="R4012">
        <v>-9.8845390000000005E-2</v>
      </c>
      <c r="S4012">
        <v>3.218124</v>
      </c>
      <c r="T4012">
        <v>-0.32993499999999998</v>
      </c>
      <c r="U4012">
        <v>-0.88713069999999905</v>
      </c>
      <c r="V4012">
        <v>0.112899</v>
      </c>
      <c r="W4012">
        <v>0.33773540000000002</v>
      </c>
      <c r="X4012">
        <v>0.93444559999999999</v>
      </c>
      <c r="Y4012">
        <v>0.27873550000000002</v>
      </c>
      <c r="Z4012">
        <v>-1.736238E-2</v>
      </c>
      <c r="AA4012">
        <v>0.96021100000000004</v>
      </c>
      <c r="AB4012">
        <v>33</v>
      </c>
      <c r="AC4012">
        <v>10.5252999999999</v>
      </c>
      <c r="AD4012">
        <v>-1.1108018290032999</v>
      </c>
      <c r="AE4012">
        <v>-2.9916999999999798</v>
      </c>
      <c r="AF4012">
        <v>3.11894470124862</v>
      </c>
      <c r="AG4012">
        <v>-1.1108018290032999</v>
      </c>
      <c r="AH4012">
        <v>10.371801227780299</v>
      </c>
      <c r="AI4012">
        <v>95.855857608680694</v>
      </c>
      <c r="AJ4012">
        <v>73.263237522201294</v>
      </c>
      <c r="AK4012">
        <v>10.887421984168199</v>
      </c>
      <c r="AL4012">
        <v>70.261037306971801</v>
      </c>
      <c r="AM4012">
        <v>83.110958849361893</v>
      </c>
      <c r="AN4012">
        <v>0.99999998198675899</v>
      </c>
    </row>
    <row r="4013" spans="1:40" x14ac:dyDescent="0.25">
      <c r="A4013" t="str">
        <f>"20190304164208924"</f>
        <v>20190304164208924</v>
      </c>
      <c r="B4013" t="str">
        <f>"1551688928915179"</f>
        <v>1551688928915179</v>
      </c>
      <c r="C4013" t="s">
        <v>40</v>
      </c>
      <c r="D4013">
        <v>4.3546760000000004</v>
      </c>
      <c r="E4013">
        <v>0.58435369999999998</v>
      </c>
      <c r="F4013" t="s">
        <v>46</v>
      </c>
      <c r="G4013">
        <v>-230.72739999999999</v>
      </c>
      <c r="H4013" s="1">
        <v>-1.016365E-6</v>
      </c>
      <c r="I4013">
        <v>211.56540000000001</v>
      </c>
      <c r="J4013">
        <v>-241.2885</v>
      </c>
      <c r="K4013">
        <v>1.1107910000000001</v>
      </c>
      <c r="L4013">
        <v>214.6728</v>
      </c>
      <c r="M4013">
        <v>0.99977539999999998</v>
      </c>
      <c r="N4013">
        <v>-1.447999E-2</v>
      </c>
      <c r="O4013">
        <v>1.547959E-2</v>
      </c>
      <c r="P4013">
        <v>0.94101230000000002</v>
      </c>
      <c r="Q4013">
        <v>0.32207190000000002</v>
      </c>
      <c r="R4013">
        <v>-0.10375760000000001</v>
      </c>
      <c r="S4013">
        <v>3.2053379999999998</v>
      </c>
      <c r="T4013">
        <v>-0.32705869999999998</v>
      </c>
      <c r="U4013">
        <v>-0.91339110000000001</v>
      </c>
      <c r="V4013">
        <v>0.1181027</v>
      </c>
      <c r="W4013">
        <v>0.33571309999999999</v>
      </c>
      <c r="X4013">
        <v>0.93453120000000001</v>
      </c>
      <c r="Y4013">
        <v>0.28726030000000002</v>
      </c>
      <c r="Z4013">
        <v>-1.7786940000000001E-2</v>
      </c>
      <c r="AA4013">
        <v>0.95768739999999997</v>
      </c>
      <c r="AB4013">
        <v>33</v>
      </c>
      <c r="AC4013">
        <v>10.5611</v>
      </c>
      <c r="AD4013">
        <v>-1.110792016365</v>
      </c>
      <c r="AE4013">
        <v>-3.1073999999999802</v>
      </c>
      <c r="AF4013">
        <v>3.2375647119079298</v>
      </c>
      <c r="AG4013">
        <v>-1.110792016365</v>
      </c>
      <c r="AH4013">
        <v>10.405787109727299</v>
      </c>
      <c r="AI4013">
        <v>95.819945651867201</v>
      </c>
      <c r="AJ4013">
        <v>72.717453799292201</v>
      </c>
      <c r="AK4013">
        <v>10.954272661403699</v>
      </c>
      <c r="AL4013">
        <v>70.384093977393505</v>
      </c>
      <c r="AM4013">
        <v>82.797347520277597</v>
      </c>
      <c r="AN4013">
        <v>1.00000004851616</v>
      </c>
    </row>
    <row r="4014" spans="1:40" x14ac:dyDescent="0.25">
      <c r="A4014" t="str">
        <f>"20190304164208946"</f>
        <v>20190304164208946</v>
      </c>
      <c r="B4014" t="str">
        <f>"1551688928934698"</f>
        <v>1551688928934698</v>
      </c>
      <c r="C4014" t="s">
        <v>40</v>
      </c>
      <c r="D4014">
        <v>4.8172779999999999</v>
      </c>
      <c r="E4014">
        <v>0.57810059999999996</v>
      </c>
      <c r="F4014" t="s">
        <v>46</v>
      </c>
      <c r="G4014">
        <v>-227.8083</v>
      </c>
      <c r="H4014" s="1">
        <v>2.7883009999999999E-6</v>
      </c>
      <c r="I4014">
        <v>210.73</v>
      </c>
      <c r="J4014">
        <v>-240.96539999999999</v>
      </c>
      <c r="K4014">
        <v>1.1107769999999999</v>
      </c>
      <c r="L4014">
        <v>214.6781</v>
      </c>
      <c r="M4014">
        <v>0.99977070000000001</v>
      </c>
      <c r="N4014">
        <v>-1.447738E-2</v>
      </c>
      <c r="O4014">
        <v>1.577959E-2</v>
      </c>
      <c r="P4014">
        <v>0.94092679999999995</v>
      </c>
      <c r="Q4014">
        <v>0.32079249999999998</v>
      </c>
      <c r="R4014">
        <v>-0.1083935</v>
      </c>
      <c r="S4014">
        <v>3.1752009999999999</v>
      </c>
      <c r="T4014">
        <v>-0.26164150000000003</v>
      </c>
      <c r="U4014">
        <v>-0.92871090000000001</v>
      </c>
      <c r="V4014">
        <v>0.123021699999999</v>
      </c>
      <c r="W4014">
        <v>0.33443099999999998</v>
      </c>
      <c r="X4014">
        <v>0.93435619999999997</v>
      </c>
      <c r="Y4014">
        <v>0.2947109</v>
      </c>
      <c r="Z4014">
        <v>-1.5104299999999999E-2</v>
      </c>
      <c r="AA4014">
        <v>0.95546710000000001</v>
      </c>
      <c r="AB4014">
        <v>33</v>
      </c>
      <c r="AC4014">
        <v>13.1570999999999</v>
      </c>
      <c r="AD4014">
        <v>-1.110774211699</v>
      </c>
      <c r="AE4014">
        <v>-3.9481000000000099</v>
      </c>
      <c r="AF4014">
        <v>4.1282506124606204</v>
      </c>
      <c r="AG4014">
        <v>-1.110774211699</v>
      </c>
      <c r="AH4014">
        <v>13.0081003761122</v>
      </c>
      <c r="AI4014">
        <v>94.653078624502399</v>
      </c>
      <c r="AJ4014">
        <v>72.3926443352006</v>
      </c>
      <c r="AK4014">
        <v>13.6925873327018</v>
      </c>
      <c r="AL4014">
        <v>70.462058328334606</v>
      </c>
      <c r="AM4014">
        <v>82.499314499680693</v>
      </c>
      <c r="AN4014">
        <v>0.99999997045516398</v>
      </c>
    </row>
    <row r="4015" spans="1:40" x14ac:dyDescent="0.25">
      <c r="A4015" t="str">
        <f>"20190304164208970"</f>
        <v>20190304164208970</v>
      </c>
      <c r="B4015" t="str">
        <f>"1551688928964954"</f>
        <v>1551688928964954</v>
      </c>
      <c r="C4015" t="s">
        <v>40</v>
      </c>
      <c r="D4015">
        <v>4.379111</v>
      </c>
      <c r="E4015">
        <v>0.50486469999999894</v>
      </c>
      <c r="F4015" t="s">
        <v>46</v>
      </c>
      <c r="G4015">
        <v>-228.864</v>
      </c>
      <c r="H4015" s="1">
        <v>3.3254259999999998E-6</v>
      </c>
      <c r="I4015">
        <v>211.29390000000001</v>
      </c>
      <c r="J4015">
        <v>-240.62780000000001</v>
      </c>
      <c r="K4015">
        <v>1.1107769999999999</v>
      </c>
      <c r="L4015">
        <v>214.68369999999999</v>
      </c>
      <c r="M4015">
        <v>0.99976589999999999</v>
      </c>
      <c r="N4015">
        <v>-1.4474229999999999E-2</v>
      </c>
      <c r="O4015">
        <v>1.6088100000000001E-2</v>
      </c>
      <c r="P4015">
        <v>0.94097759999999997</v>
      </c>
      <c r="Q4015">
        <v>0.31999270000000002</v>
      </c>
      <c r="R4015">
        <v>-0.1102993</v>
      </c>
      <c r="S4015">
        <v>3.185425</v>
      </c>
      <c r="T4015">
        <v>-0.29238740000000002</v>
      </c>
      <c r="U4015">
        <v>-0.89082340000000004</v>
      </c>
      <c r="V4015">
        <v>0.1252219</v>
      </c>
      <c r="W4015">
        <v>0.33362829999999999</v>
      </c>
      <c r="X4015">
        <v>0.93435089999999998</v>
      </c>
      <c r="Y4015">
        <v>0.28344629999999998</v>
      </c>
      <c r="Z4015">
        <v>-1.605202E-2</v>
      </c>
      <c r="AA4015">
        <v>0.95885370000000003</v>
      </c>
      <c r="AB4015">
        <v>33</v>
      </c>
      <c r="AC4015">
        <v>11.7638</v>
      </c>
      <c r="AD4015">
        <v>-1.110773674574</v>
      </c>
      <c r="AE4015">
        <v>-3.3897999999999802</v>
      </c>
      <c r="AF4015">
        <v>3.5494187961218699</v>
      </c>
      <c r="AG4015">
        <v>-1.110773674574</v>
      </c>
      <c r="AH4015">
        <v>11.612142968078899</v>
      </c>
      <c r="AI4015">
        <v>95.226766993778895</v>
      </c>
      <c r="AJ4015">
        <v>73.003472709799496</v>
      </c>
      <c r="AK4015">
        <v>12.193197130264601</v>
      </c>
      <c r="AL4015">
        <v>70.510852558090505</v>
      </c>
      <c r="AM4015">
        <v>82.366692639128601</v>
      </c>
      <c r="AN4015">
        <v>0.99999998556565395</v>
      </c>
    </row>
    <row r="4016" spans="1:40" x14ac:dyDescent="0.25">
      <c r="A4016" t="str">
        <f>"20190304164208992"</f>
        <v>20190304164208992</v>
      </c>
      <c r="B4016" t="str">
        <f>"1551688928985451"</f>
        <v>1551688928985451</v>
      </c>
      <c r="C4016" t="s">
        <v>40</v>
      </c>
      <c r="D4016">
        <v>4.3145179999999996</v>
      </c>
      <c r="E4016">
        <v>0.49892399999999998</v>
      </c>
      <c r="F4016" t="s">
        <v>46</v>
      </c>
      <c r="G4016">
        <v>-223.2961</v>
      </c>
      <c r="H4016" s="1">
        <v>2.8887350000000001E-7</v>
      </c>
      <c r="I4016">
        <v>212.97710000000001</v>
      </c>
      <c r="J4016">
        <v>-240.3021</v>
      </c>
      <c r="K4016">
        <v>1.110776</v>
      </c>
      <c r="L4016">
        <v>214.6893</v>
      </c>
      <c r="M4016">
        <v>0.99976129999999996</v>
      </c>
      <c r="N4016">
        <v>-1.447086E-2</v>
      </c>
      <c r="O4016">
        <v>1.6376780000000001E-2</v>
      </c>
      <c r="P4016">
        <v>0.94085229999999997</v>
      </c>
      <c r="Q4016">
        <v>0.32014569999999998</v>
      </c>
      <c r="R4016">
        <v>-0.1109243</v>
      </c>
      <c r="S4016">
        <v>3.2212070000000002</v>
      </c>
      <c r="T4016">
        <v>-0.20644460000000001</v>
      </c>
      <c r="U4016">
        <v>-0.31718439999999998</v>
      </c>
      <c r="V4016">
        <v>0.12612100000000001</v>
      </c>
      <c r="W4016">
        <v>0.33377390000000001</v>
      </c>
      <c r="X4016">
        <v>0.93417799999999995</v>
      </c>
      <c r="Y4016">
        <v>0.1139758</v>
      </c>
      <c r="Z4016">
        <v>-5.2774679999999996E-3</v>
      </c>
      <c r="AA4016">
        <v>0.99346950000000001</v>
      </c>
      <c r="AB4016">
        <v>33</v>
      </c>
      <c r="AC4016">
        <v>17.006</v>
      </c>
      <c r="AD4016">
        <v>-1.1107757111265</v>
      </c>
      <c r="AE4016">
        <v>-1.71219999999999</v>
      </c>
      <c r="AF4016">
        <v>1.9821315313335499</v>
      </c>
      <c r="AG4016">
        <v>-1.1107757111265</v>
      </c>
      <c r="AH4016">
        <v>16.904281099613499</v>
      </c>
      <c r="AI4016">
        <v>93.733976929716803</v>
      </c>
      <c r="AJ4016">
        <v>83.312253809058902</v>
      </c>
      <c r="AK4016">
        <v>17.056300524518399</v>
      </c>
      <c r="AL4016">
        <v>70.502003915679197</v>
      </c>
      <c r="AM4016">
        <v>82.311132392246805</v>
      </c>
      <c r="AN4016">
        <v>1.0000000293230999</v>
      </c>
    </row>
    <row r="4017" spans="1:40" x14ac:dyDescent="0.25">
      <c r="A4017" t="str">
        <f>"20190304164209013"</f>
        <v>20190304164209013</v>
      </c>
      <c r="B4017" t="str">
        <f>"1551688929004970"</f>
        <v>1551688929004970</v>
      </c>
      <c r="C4017" t="s">
        <v>40</v>
      </c>
      <c r="D4017">
        <v>4.3061220000000002</v>
      </c>
      <c r="E4017">
        <v>0.49628749999999999</v>
      </c>
      <c r="F4017" t="s">
        <v>46</v>
      </c>
      <c r="G4017">
        <v>-222.17570000000001</v>
      </c>
      <c r="H4017" s="1">
        <v>-3.1533670000000001E-7</v>
      </c>
      <c r="I4017">
        <v>213.16030000000001</v>
      </c>
      <c r="J4017">
        <v>-239.99080000000001</v>
      </c>
      <c r="K4017">
        <v>1.110776</v>
      </c>
      <c r="L4017">
        <v>214.69460000000001</v>
      </c>
      <c r="M4017">
        <v>0.99975689999999995</v>
      </c>
      <c r="N4017">
        <v>-1.4467600000000001E-2</v>
      </c>
      <c r="O4017">
        <v>1.6641949999999999E-2</v>
      </c>
      <c r="P4017">
        <v>0.94017930000000005</v>
      </c>
      <c r="Q4017">
        <v>0.32211309999999999</v>
      </c>
      <c r="R4017">
        <v>-0.11093500000000001</v>
      </c>
      <c r="S4017">
        <v>3.2237399999999998</v>
      </c>
      <c r="T4017">
        <v>-0.19754959999999999</v>
      </c>
      <c r="U4017">
        <v>-0.27192690000000003</v>
      </c>
      <c r="V4017">
        <v>0.1263754</v>
      </c>
      <c r="W4017">
        <v>0.33572529999999901</v>
      </c>
      <c r="X4017">
        <v>0.93344400000000005</v>
      </c>
      <c r="Y4017">
        <v>0.1003764</v>
      </c>
      <c r="Z4017">
        <v>-4.5725150000000001E-3</v>
      </c>
      <c r="AA4017">
        <v>0.99493900000000002</v>
      </c>
      <c r="AB4017">
        <v>33</v>
      </c>
      <c r="AC4017">
        <v>17.815100000000001</v>
      </c>
      <c r="AD4017">
        <v>-1.1107763153366901</v>
      </c>
      <c r="AE4017">
        <v>-1.5343</v>
      </c>
      <c r="AF4017">
        <v>1.8235594981273</v>
      </c>
      <c r="AG4017">
        <v>-1.1107763153366901</v>
      </c>
      <c r="AH4017">
        <v>17.7187205465213</v>
      </c>
      <c r="AI4017">
        <v>93.568346013093404</v>
      </c>
      <c r="AJ4017">
        <v>84.123971887926203</v>
      </c>
      <c r="AK4017">
        <v>17.846911527534399</v>
      </c>
      <c r="AL4017">
        <v>70.383350091954497</v>
      </c>
      <c r="AM4017">
        <v>82.289823946008099</v>
      </c>
      <c r="AN4017">
        <v>0.99999995996062396</v>
      </c>
    </row>
    <row r="4018" spans="1:40" x14ac:dyDescent="0.25">
      <c r="A4018" t="str">
        <f>"20190304164209036"</f>
        <v>20190304164209036</v>
      </c>
      <c r="B4018" t="str">
        <f>"1551688929025467"</f>
        <v>1551688929025467</v>
      </c>
      <c r="C4018" t="s">
        <v>40</v>
      </c>
      <c r="D4018">
        <v>4.2600980000000002</v>
      </c>
      <c r="E4018">
        <v>0.49485869999999998</v>
      </c>
      <c r="F4018" t="s">
        <v>46</v>
      </c>
      <c r="G4018">
        <v>-220.85329999999999</v>
      </c>
      <c r="H4018" s="1">
        <v>-1.02109E-6</v>
      </c>
      <c r="I4018">
        <v>213.20679999999999</v>
      </c>
      <c r="J4018">
        <v>-239.6679</v>
      </c>
      <c r="K4018">
        <v>1.1107659999999999</v>
      </c>
      <c r="L4018">
        <v>214.7003</v>
      </c>
      <c r="M4018">
        <v>0.99975259999999999</v>
      </c>
      <c r="N4018">
        <v>-1.446418E-2</v>
      </c>
      <c r="O4018">
        <v>1.6902710000000001E-2</v>
      </c>
      <c r="P4018">
        <v>0.93997580000000003</v>
      </c>
      <c r="Q4018">
        <v>0.32330609999999999</v>
      </c>
      <c r="R4018">
        <v>-0.1091744</v>
      </c>
      <c r="S4018">
        <v>3.2254179999999999</v>
      </c>
      <c r="T4018">
        <v>-0.18720980000000001</v>
      </c>
      <c r="U4018">
        <v>-0.25076290000000001</v>
      </c>
      <c r="V4018">
        <v>0.1248649</v>
      </c>
      <c r="W4018">
        <v>0.33690809999999999</v>
      </c>
      <c r="X4018">
        <v>0.93322119999999997</v>
      </c>
      <c r="Y4018">
        <v>9.4141530000000001E-2</v>
      </c>
      <c r="Z4018">
        <v>-4.1432480000000004E-3</v>
      </c>
      <c r="AA4018">
        <v>0.99555020000000005</v>
      </c>
      <c r="AB4018">
        <v>33</v>
      </c>
      <c r="AC4018">
        <v>18.814599999999999</v>
      </c>
      <c r="AD4018">
        <v>-1.11076702109</v>
      </c>
      <c r="AE4018">
        <v>-1.49350000000001</v>
      </c>
      <c r="AF4018">
        <v>1.80508546609966</v>
      </c>
      <c r="AG4018">
        <v>-1.11076702109</v>
      </c>
      <c r="AH4018">
        <v>18.721819793537001</v>
      </c>
      <c r="AI4018">
        <v>93.379746537397097</v>
      </c>
      <c r="AJ4018">
        <v>84.492785558194996</v>
      </c>
      <c r="AK4018">
        <v>18.841408474334902</v>
      </c>
      <c r="AL4018">
        <v>70.311390857552794</v>
      </c>
      <c r="AM4018">
        <v>82.379093072735699</v>
      </c>
      <c r="AN4018">
        <v>1.0000000596135199</v>
      </c>
    </row>
    <row r="4019" spans="1:40" x14ac:dyDescent="0.25">
      <c r="A4019" t="str">
        <f>"20190304164209059"</f>
        <v>20190304164209059</v>
      </c>
      <c r="B4019" t="str">
        <f>"1551688929054746"</f>
        <v>1551688929054746</v>
      </c>
      <c r="C4019" t="s">
        <v>40</v>
      </c>
      <c r="D4019">
        <v>4.2354699999999896</v>
      </c>
      <c r="E4019">
        <v>0.49309340000000002</v>
      </c>
      <c r="F4019" t="s">
        <v>46</v>
      </c>
      <c r="G4019">
        <v>-219.9025</v>
      </c>
      <c r="H4019" s="1">
        <v>3.7917909999999998E-6</v>
      </c>
      <c r="I4019">
        <v>213.26779999999999</v>
      </c>
      <c r="J4019">
        <v>-239.3364</v>
      </c>
      <c r="K4019">
        <v>1.1107560000000001</v>
      </c>
      <c r="L4019">
        <v>214.70609999999999</v>
      </c>
      <c r="M4019">
        <v>0.99974830000000003</v>
      </c>
      <c r="N4019">
        <v>-1.446061E-2</v>
      </c>
      <c r="O4019">
        <v>1.715289E-2</v>
      </c>
      <c r="P4019">
        <v>0.93985870000000005</v>
      </c>
      <c r="Q4019">
        <v>0.32455630000000002</v>
      </c>
      <c r="R4019">
        <v>-0.10643809999999999</v>
      </c>
      <c r="S4019">
        <v>3.226791</v>
      </c>
      <c r="T4019">
        <v>-0.1813369</v>
      </c>
      <c r="U4019">
        <v>-0.23385619999999999</v>
      </c>
      <c r="V4019">
        <v>0.1223723</v>
      </c>
      <c r="W4019">
        <v>0.33814739999999999</v>
      </c>
      <c r="X4019">
        <v>0.93310309999999996</v>
      </c>
      <c r="Y4019">
        <v>8.9191759999999995E-2</v>
      </c>
      <c r="Z4019">
        <v>-3.8618049999999998E-3</v>
      </c>
      <c r="AA4019">
        <v>0.99600699999999998</v>
      </c>
      <c r="AB4019">
        <v>33</v>
      </c>
      <c r="AC4019">
        <v>19.433899999999898</v>
      </c>
      <c r="AD4019">
        <v>-1.11075220820899</v>
      </c>
      <c r="AE4019">
        <v>-1.4382999999999899</v>
      </c>
      <c r="AF4019">
        <v>1.76573398985412</v>
      </c>
      <c r="AG4019">
        <v>-1.11075220820899</v>
      </c>
      <c r="AH4019">
        <v>19.3435206751241</v>
      </c>
      <c r="AI4019">
        <v>93.2728769040109</v>
      </c>
      <c r="AJ4019">
        <v>84.784325784284903</v>
      </c>
      <c r="AK4019">
        <v>19.455677297383399</v>
      </c>
      <c r="AL4019">
        <v>70.235956604376199</v>
      </c>
      <c r="AM4019">
        <v>82.5285541319233</v>
      </c>
      <c r="AN4019">
        <v>1.0000000195818299</v>
      </c>
    </row>
    <row r="4020" spans="1:40" x14ac:dyDescent="0.25">
      <c r="A4020" t="str">
        <f>"20190304164209082"</f>
        <v>20190304164209082</v>
      </c>
      <c r="B4020" t="str">
        <f>"1551688929075243"</f>
        <v>1551688929075243</v>
      </c>
      <c r="C4020" t="s">
        <v>40</v>
      </c>
      <c r="D4020">
        <v>4.2333259999999999</v>
      </c>
      <c r="E4020">
        <v>0.4922551</v>
      </c>
      <c r="F4020" t="s">
        <v>46</v>
      </c>
      <c r="G4020">
        <v>-219.3493</v>
      </c>
      <c r="H4020" s="1">
        <v>3.4918140000000001E-6</v>
      </c>
      <c r="I4020">
        <v>213.39510000000001</v>
      </c>
      <c r="J4020">
        <v>-239.0052</v>
      </c>
      <c r="K4020">
        <v>1.1107450000000001</v>
      </c>
      <c r="L4020">
        <v>214.71209999999999</v>
      </c>
      <c r="M4020">
        <v>0.99974439999999998</v>
      </c>
      <c r="N4020">
        <v>-1.4457009999999999E-2</v>
      </c>
      <c r="O4020">
        <v>1.738176E-2</v>
      </c>
      <c r="P4020">
        <v>0.94036180000000003</v>
      </c>
      <c r="Q4020">
        <v>0.32389400000000002</v>
      </c>
      <c r="R4020">
        <v>-0.1039843</v>
      </c>
      <c r="S4020">
        <v>3.229965</v>
      </c>
      <c r="T4020">
        <v>-0.17949999999999999</v>
      </c>
      <c r="U4020">
        <v>-0.21186830000000001</v>
      </c>
      <c r="V4020">
        <v>0.1201555</v>
      </c>
      <c r="W4020">
        <v>0.33748359999999999</v>
      </c>
      <c r="X4020">
        <v>0.9336314</v>
      </c>
      <c r="Y4020">
        <v>8.2615579999999994E-2</v>
      </c>
      <c r="Z4020">
        <v>-3.603247E-3</v>
      </c>
      <c r="AA4020">
        <v>0.99657499999999999</v>
      </c>
      <c r="AB4020">
        <v>32</v>
      </c>
      <c r="AC4020">
        <v>19.655899999999999</v>
      </c>
      <c r="AD4020">
        <v>-1.1107415081859999</v>
      </c>
      <c r="AE4020">
        <v>-1.31699999999997</v>
      </c>
      <c r="AF4020">
        <v>1.65323515395099</v>
      </c>
      <c r="AG4020">
        <v>-1.1107415081859999</v>
      </c>
      <c r="AH4020">
        <v>19.567828970550199</v>
      </c>
      <c r="AI4020">
        <v>93.237322538615899</v>
      </c>
      <c r="AJ4020">
        <v>85.170697014792495</v>
      </c>
      <c r="AK4020">
        <v>19.668931434955301</v>
      </c>
      <c r="AL4020">
        <v>70.276365845475695</v>
      </c>
      <c r="AM4020">
        <v>82.666519377720107</v>
      </c>
      <c r="AN4020">
        <v>1.0000000577575801</v>
      </c>
    </row>
    <row r="4021" spans="1:40" x14ac:dyDescent="0.25">
      <c r="A4021" t="str">
        <f>"20190304164209103"</f>
        <v>20190304164209103</v>
      </c>
      <c r="B4021" t="str">
        <f>"1551688929094762"</f>
        <v>1551688929094762</v>
      </c>
      <c r="C4021" t="s">
        <v>40</v>
      </c>
      <c r="D4021">
        <v>4.2414120000000004</v>
      </c>
      <c r="E4021">
        <v>0.49163089999999998</v>
      </c>
      <c r="F4021" t="s">
        <v>46</v>
      </c>
      <c r="G4021">
        <v>-219.3886</v>
      </c>
      <c r="H4021" s="1">
        <v>3.5072559999999999E-6</v>
      </c>
      <c r="I4021">
        <v>213.52</v>
      </c>
      <c r="J4021">
        <v>-238.6968</v>
      </c>
      <c r="K4021">
        <v>1.1107260000000001</v>
      </c>
      <c r="L4021">
        <v>214.71770000000001</v>
      </c>
      <c r="M4021">
        <v>0.9997412</v>
      </c>
      <c r="N4021">
        <v>-1.4453580000000001E-2</v>
      </c>
      <c r="O4021">
        <v>1.7568739999999999E-2</v>
      </c>
      <c r="P4021">
        <v>0.94064780000000003</v>
      </c>
      <c r="Q4021">
        <v>0.32354830000000001</v>
      </c>
      <c r="R4021">
        <v>-0.102461</v>
      </c>
      <c r="S4021">
        <v>3.2315830000000001</v>
      </c>
      <c r="T4021">
        <v>-0.18298010000000001</v>
      </c>
      <c r="U4021">
        <v>-0.19638059999999999</v>
      </c>
      <c r="V4021">
        <v>0.1188285</v>
      </c>
      <c r="W4021">
        <v>0.33713310000000002</v>
      </c>
      <c r="X4021">
        <v>0.93392779999999997</v>
      </c>
      <c r="Y4021">
        <v>7.8014130000000001E-2</v>
      </c>
      <c r="Z4021">
        <v>-3.5094179999999998E-3</v>
      </c>
      <c r="AA4021">
        <v>0.99694609999999995</v>
      </c>
      <c r="AB4021">
        <v>32</v>
      </c>
      <c r="AC4021">
        <v>19.308199999999999</v>
      </c>
      <c r="AD4021">
        <v>-1.110722492744</v>
      </c>
      <c r="AE4021">
        <v>-1.19769999999999</v>
      </c>
      <c r="AF4021">
        <v>1.53172188586045</v>
      </c>
      <c r="AG4021">
        <v>-1.110722492744</v>
      </c>
      <c r="AH4021">
        <v>19.220812656612601</v>
      </c>
      <c r="AI4021">
        <v>93.296872156136303</v>
      </c>
      <c r="AJ4021">
        <v>85.443682519037694</v>
      </c>
      <c r="AK4021">
        <v>19.313713148229901</v>
      </c>
      <c r="AL4021">
        <v>70.297697801029202</v>
      </c>
      <c r="AM4021">
        <v>82.748920699344595</v>
      </c>
      <c r="AN4021">
        <v>1.00000003757034</v>
      </c>
    </row>
    <row r="4022" spans="1:40" x14ac:dyDescent="0.25">
      <c r="A4022" t="str">
        <f>"20190304164209125"</f>
        <v>20190304164209125</v>
      </c>
      <c r="B4022" t="str">
        <f>"1551688929115259"</f>
        <v>1551688929115259</v>
      </c>
      <c r="C4022" t="s">
        <v>40</v>
      </c>
      <c r="D4022">
        <v>4.2489910000000002</v>
      </c>
      <c r="E4022">
        <v>0.49130269999999998</v>
      </c>
      <c r="F4022" t="s">
        <v>41</v>
      </c>
      <c r="G4022">
        <v>-237.6824</v>
      </c>
      <c r="H4022">
        <v>1.052753</v>
      </c>
      <c r="I4022">
        <v>214.65940000000001</v>
      </c>
      <c r="J4022">
        <v>-238.37610000000001</v>
      </c>
      <c r="K4022">
        <v>1.1106990000000001</v>
      </c>
      <c r="L4022">
        <v>214.7235</v>
      </c>
      <c r="M4022">
        <v>0.99973849999999997</v>
      </c>
      <c r="N4022">
        <v>-1.445023E-2</v>
      </c>
      <c r="O4022">
        <v>1.7728890000000001E-2</v>
      </c>
      <c r="P4022">
        <v>0.9410039</v>
      </c>
      <c r="Q4022">
        <v>0.32315529999999998</v>
      </c>
      <c r="R4022">
        <v>-0.100412</v>
      </c>
      <c r="S4022">
        <v>3.2326199999999998</v>
      </c>
      <c r="T4022">
        <v>-0.1847734</v>
      </c>
      <c r="U4022">
        <v>-0.1856689</v>
      </c>
      <c r="V4022">
        <v>0.1169574</v>
      </c>
      <c r="W4022">
        <v>0.33673439999999999</v>
      </c>
      <c r="X4022">
        <v>0.93430780000000002</v>
      </c>
      <c r="Y4022">
        <v>7.486524E-2</v>
      </c>
      <c r="Z4022">
        <v>-3.434033E-3</v>
      </c>
      <c r="AA4022">
        <v>0.99718770000000001</v>
      </c>
      <c r="AB4022">
        <v>32</v>
      </c>
      <c r="AC4022">
        <v>0.69370000000000598</v>
      </c>
      <c r="AD4022">
        <v>-5.7945999999999803E-2</v>
      </c>
      <c r="AE4022">
        <v>-6.4099999999996202E-2</v>
      </c>
      <c r="AF4022">
        <v>7.5864867300810102E-2</v>
      </c>
      <c r="AG4022">
        <v>-5.7945999999999803E-2</v>
      </c>
      <c r="AH4022">
        <v>0.68769658871591999</v>
      </c>
      <c r="AI4022">
        <v>94.787514748772907</v>
      </c>
      <c r="AJ4022">
        <v>83.704736529673397</v>
      </c>
      <c r="AK4022">
        <v>0.69429087214083596</v>
      </c>
      <c r="AL4022">
        <v>70.321961110567401</v>
      </c>
      <c r="AM4022">
        <v>82.864784041847699</v>
      </c>
      <c r="AN4022">
        <v>1.0000000773494699</v>
      </c>
    </row>
    <row r="4023" spans="1:40" x14ac:dyDescent="0.25">
      <c r="A4023" t="str">
        <f>"20190304164209143"</f>
        <v>20190304164209143</v>
      </c>
      <c r="B4023" t="str">
        <f>"1551688929134779"</f>
        <v>1551688929134779</v>
      </c>
      <c r="C4023" t="s">
        <v>40</v>
      </c>
      <c r="D4023">
        <v>4.2730319999999997</v>
      </c>
      <c r="E4023">
        <v>0.49116900000000002</v>
      </c>
      <c r="F4023" t="s">
        <v>41</v>
      </c>
      <c r="G4023">
        <v>-237.3887</v>
      </c>
      <c r="H4023">
        <v>1.053418</v>
      </c>
      <c r="I4023">
        <v>214.6694</v>
      </c>
      <c r="J4023">
        <v>-238.10849999999999</v>
      </c>
      <c r="K4023">
        <v>1.110679</v>
      </c>
      <c r="L4023">
        <v>214.72839999999999</v>
      </c>
      <c r="M4023">
        <v>0.99973650000000003</v>
      </c>
      <c r="N4023">
        <v>-1.4447400000000001E-2</v>
      </c>
      <c r="O4023">
        <v>1.784034E-2</v>
      </c>
      <c r="P4023">
        <v>0.94127159999999999</v>
      </c>
      <c r="Q4023">
        <v>0.32271660000000002</v>
      </c>
      <c r="R4023">
        <v>-9.9307129999999993E-2</v>
      </c>
      <c r="S4023">
        <v>3.233673</v>
      </c>
      <c r="T4023">
        <v>-0.18769749999999999</v>
      </c>
      <c r="U4023">
        <v>-0.17684939999999999</v>
      </c>
      <c r="V4023">
        <v>0.115981</v>
      </c>
      <c r="W4023">
        <v>0.33628980000000003</v>
      </c>
      <c r="X4023">
        <v>0.93458949999999996</v>
      </c>
      <c r="Y4023">
        <v>7.2246749999999998E-2</v>
      </c>
      <c r="Z4023">
        <v>-3.3928949999999999E-3</v>
      </c>
      <c r="AA4023">
        <v>0.99738099999999996</v>
      </c>
      <c r="AB4023">
        <v>32</v>
      </c>
      <c r="AC4023">
        <v>0.719799999999992</v>
      </c>
      <c r="AD4023">
        <v>-5.7261000000000201E-2</v>
      </c>
      <c r="AE4023">
        <v>-5.8999999999997499E-2</v>
      </c>
      <c r="AF4023">
        <v>7.1384688514112907E-2</v>
      </c>
      <c r="AG4023">
        <v>-5.7261000000000201E-2</v>
      </c>
      <c r="AH4023">
        <v>0.71414350201838495</v>
      </c>
      <c r="AI4023">
        <v>94.561610600262497</v>
      </c>
      <c r="AJ4023">
        <v>84.291763069348093</v>
      </c>
      <c r="AK4023">
        <v>0.71998301184843305</v>
      </c>
      <c r="AL4023">
        <v>70.349010432559894</v>
      </c>
      <c r="AM4023">
        <v>82.925856140291998</v>
      </c>
      <c r="AN4023">
        <v>0.99999997772764404</v>
      </c>
    </row>
    <row r="4024" spans="1:40" x14ac:dyDescent="0.25">
      <c r="A4024" t="str">
        <f>"20190304164209160"</f>
        <v>20190304164209160</v>
      </c>
      <c r="B4024" t="str">
        <f>"1551688929155274"</f>
        <v>1551688929155274</v>
      </c>
      <c r="C4024" t="s">
        <v>40</v>
      </c>
      <c r="D4024">
        <v>4.2480180000000001</v>
      </c>
      <c r="E4024">
        <v>0.49106519999999998</v>
      </c>
      <c r="F4024" t="s">
        <v>41</v>
      </c>
      <c r="G4024">
        <v>-237.10769999999999</v>
      </c>
      <c r="H4024">
        <v>1.051993</v>
      </c>
      <c r="I4024">
        <v>214.6747</v>
      </c>
      <c r="J4024">
        <v>-237.87569999999999</v>
      </c>
      <c r="K4024">
        <v>1.1106510000000001</v>
      </c>
      <c r="L4024">
        <v>214.73269999999999</v>
      </c>
      <c r="M4024">
        <v>0.99973520000000005</v>
      </c>
      <c r="N4024">
        <v>-1.444491E-2</v>
      </c>
      <c r="O4024">
        <v>1.7913809999999999E-2</v>
      </c>
      <c r="P4024">
        <v>0.94197960000000003</v>
      </c>
      <c r="Q4024">
        <v>0.3214533</v>
      </c>
      <c r="R4024">
        <v>-9.6654219999999999E-2</v>
      </c>
      <c r="S4024">
        <v>3.233994</v>
      </c>
      <c r="T4024">
        <v>-0.18972729999999999</v>
      </c>
      <c r="U4024">
        <v>-0.1729279</v>
      </c>
      <c r="V4024">
        <v>0.1134289</v>
      </c>
      <c r="W4024">
        <v>0.33502859999999901</v>
      </c>
      <c r="X4024">
        <v>0.93535539999999995</v>
      </c>
      <c r="Y4024">
        <v>7.1107660000000003E-2</v>
      </c>
      <c r="Z4024">
        <v>-3.3880300000000002E-3</v>
      </c>
      <c r="AA4024">
        <v>0.99746290000000004</v>
      </c>
      <c r="AB4024">
        <v>32</v>
      </c>
      <c r="AC4024">
        <v>0.76800000000000002</v>
      </c>
      <c r="AD4024">
        <v>-5.8658000000000099E-2</v>
      </c>
      <c r="AE4024">
        <v>-5.7999999999992703E-2</v>
      </c>
      <c r="AF4024">
        <v>7.1336150286315195E-2</v>
      </c>
      <c r="AG4024">
        <v>-5.8658000000000099E-2</v>
      </c>
      <c r="AH4024">
        <v>0.76241527132915898</v>
      </c>
      <c r="AI4024">
        <v>94.380444821995496</v>
      </c>
      <c r="AJ4024">
        <v>84.654625484252804</v>
      </c>
      <c r="AK4024">
        <v>0.76798870646487205</v>
      </c>
      <c r="AL4024">
        <v>70.425722920796005</v>
      </c>
      <c r="AM4024">
        <v>83.085604279015897</v>
      </c>
      <c r="AN4024">
        <v>1.0000000012411601</v>
      </c>
    </row>
    <row r="4025" spans="1:40" x14ac:dyDescent="0.25">
      <c r="A4025" t="str">
        <f>"20190304164209182"</f>
        <v>20190304164209182</v>
      </c>
      <c r="B4025" t="str">
        <f>"1551688929174797"</f>
        <v>1551688929174797</v>
      </c>
      <c r="C4025" t="s">
        <v>40</v>
      </c>
      <c r="D4025">
        <v>4.2286950000000001</v>
      </c>
      <c r="E4025">
        <v>0.49100680000000002</v>
      </c>
      <c r="F4025" t="s">
        <v>46</v>
      </c>
      <c r="G4025">
        <v>-219.4324</v>
      </c>
      <c r="H4025" s="1">
        <v>3.5191739999999998E-6</v>
      </c>
      <c r="I4025">
        <v>213.7816</v>
      </c>
      <c r="J4025">
        <v>-237.55709999999999</v>
      </c>
      <c r="K4025">
        <v>1.1106149999999999</v>
      </c>
      <c r="L4025">
        <v>214.73849999999999</v>
      </c>
      <c r="M4025">
        <v>0.99973409999999996</v>
      </c>
      <c r="N4025">
        <v>-1.444143E-2</v>
      </c>
      <c r="O4025">
        <v>1.7983260000000001E-2</v>
      </c>
      <c r="P4025">
        <v>0.94248100000000001</v>
      </c>
      <c r="Q4025">
        <v>0.32064350000000003</v>
      </c>
      <c r="R4025">
        <v>-9.4431589999999996E-2</v>
      </c>
      <c r="S4025">
        <v>3.234146</v>
      </c>
      <c r="T4025">
        <v>-0.19475909999999999</v>
      </c>
      <c r="U4025">
        <v>-0.1667786</v>
      </c>
      <c r="V4025">
        <v>0.1113072</v>
      </c>
      <c r="W4025">
        <v>0.33421390000000001</v>
      </c>
      <c r="X4025">
        <v>0.9359016</v>
      </c>
      <c r="Y4025">
        <v>6.9278439999999997E-2</v>
      </c>
      <c r="Z4025">
        <v>-3.4058349999999999E-3</v>
      </c>
      <c r="AA4025">
        <v>0.99759160000000002</v>
      </c>
      <c r="AB4025">
        <v>32</v>
      </c>
      <c r="AC4025">
        <v>18.124699999999901</v>
      </c>
      <c r="AD4025">
        <v>-1.1106114808259999</v>
      </c>
      <c r="AE4025">
        <v>-0.95689999999998998</v>
      </c>
      <c r="AF4025">
        <v>1.2779353669820299</v>
      </c>
      <c r="AG4025">
        <v>-1.1106114808259999</v>
      </c>
      <c r="AH4025">
        <v>18.037021919801798</v>
      </c>
      <c r="AI4025">
        <v>93.514693204850104</v>
      </c>
      <c r="AJ4025">
        <v>85.947326922163001</v>
      </c>
      <c r="AK4025">
        <v>18.116311335339098</v>
      </c>
      <c r="AL4025">
        <v>70.4752575837731</v>
      </c>
      <c r="AM4025">
        <v>83.217644901077406</v>
      </c>
      <c r="AN4025">
        <v>1.0000000143037999</v>
      </c>
    </row>
    <row r="4026" spans="1:40" x14ac:dyDescent="0.25">
      <c r="A4026" t="str">
        <f>"20190304164209204"</f>
        <v>20190304164209204</v>
      </c>
      <c r="B4026" t="str">
        <f>"1551688929195291"</f>
        <v>1551688929195291</v>
      </c>
      <c r="C4026" t="s">
        <v>40</v>
      </c>
      <c r="D4026">
        <v>4.2397030000000004</v>
      </c>
      <c r="E4026">
        <v>0.49104730000000002</v>
      </c>
      <c r="F4026" t="s">
        <v>41</v>
      </c>
      <c r="G4026">
        <v>-236.5359</v>
      </c>
      <c r="H4026">
        <v>1.0480780000000001</v>
      </c>
      <c r="I4026">
        <v>214.6875</v>
      </c>
      <c r="J4026">
        <v>-237.2424</v>
      </c>
      <c r="K4026">
        <v>1.110571</v>
      </c>
      <c r="L4026">
        <v>214.74420000000001</v>
      </c>
      <c r="M4026">
        <v>0.99973389999999995</v>
      </c>
      <c r="N4026">
        <v>-1.4438029999999999E-2</v>
      </c>
      <c r="O4026">
        <v>1.7992790000000002E-2</v>
      </c>
      <c r="P4026">
        <v>0.94280039999999998</v>
      </c>
      <c r="Q4026">
        <v>0.32002129999999901</v>
      </c>
      <c r="R4026">
        <v>-9.3346040000000005E-2</v>
      </c>
      <c r="S4026">
        <v>3.2343139999999999</v>
      </c>
      <c r="T4026">
        <v>-0.19809579999999999</v>
      </c>
      <c r="U4026">
        <v>-0.16130069999999999</v>
      </c>
      <c r="V4026">
        <v>0.11026900000000001</v>
      </c>
      <c r="W4026">
        <v>0.33358280000000001</v>
      </c>
      <c r="X4026">
        <v>0.93624960000000002</v>
      </c>
      <c r="Y4026">
        <v>6.7598099999999994E-2</v>
      </c>
      <c r="Z4026">
        <v>-3.3967569999999998E-3</v>
      </c>
      <c r="AA4026">
        <v>0.9977068</v>
      </c>
      <c r="AB4026">
        <v>32</v>
      </c>
      <c r="AC4026">
        <v>0.70650000000000501</v>
      </c>
      <c r="AD4026">
        <v>-6.2492999999999903E-2</v>
      </c>
      <c r="AE4026">
        <v>-5.6700000000006398E-2</v>
      </c>
      <c r="AF4026">
        <v>6.8868658259676002E-2</v>
      </c>
      <c r="AG4026">
        <v>-6.2492999999999903E-2</v>
      </c>
      <c r="AH4026">
        <v>0.69992402811175003</v>
      </c>
      <c r="AI4026">
        <v>95.077755890317803</v>
      </c>
      <c r="AJ4026">
        <v>84.380500203525898</v>
      </c>
      <c r="AK4026">
        <v>0.70607500470393803</v>
      </c>
      <c r="AL4026">
        <v>70.513618739757106</v>
      </c>
      <c r="AM4026">
        <v>83.2827998906386</v>
      </c>
      <c r="AN4026">
        <v>1.00000002515849</v>
      </c>
    </row>
    <row r="4027" spans="1:40" x14ac:dyDescent="0.25">
      <c r="A4027" t="str">
        <f>"20190304164209221"</f>
        <v>20190304164209221</v>
      </c>
      <c r="B4027" t="str">
        <f>"1551688929214812"</f>
        <v>1551688929214812</v>
      </c>
      <c r="C4027" t="s">
        <v>40</v>
      </c>
      <c r="D4027">
        <v>4.2427029999999997</v>
      </c>
      <c r="E4027">
        <v>0.4911701</v>
      </c>
      <c r="F4027" t="s">
        <v>41</v>
      </c>
      <c r="G4027">
        <v>-236.24770000000001</v>
      </c>
      <c r="H4027">
        <v>1.0490120000000001</v>
      </c>
      <c r="I4027">
        <v>214.69540000000001</v>
      </c>
      <c r="J4027">
        <v>-236.988</v>
      </c>
      <c r="K4027">
        <v>1.110535</v>
      </c>
      <c r="L4027">
        <v>214.74879999999999</v>
      </c>
      <c r="M4027">
        <v>0.99973449999999997</v>
      </c>
      <c r="N4027">
        <v>-1.443534E-2</v>
      </c>
      <c r="O4027">
        <v>1.7966159999999998E-2</v>
      </c>
      <c r="P4027">
        <v>0.94286579999999998</v>
      </c>
      <c r="Q4027">
        <v>0.31992150000000003</v>
      </c>
      <c r="R4027">
        <v>-9.302995E-2</v>
      </c>
      <c r="S4027">
        <v>3.234299</v>
      </c>
      <c r="T4027">
        <v>-0.2002226</v>
      </c>
      <c r="U4027">
        <v>-0.15835569999999999</v>
      </c>
      <c r="V4027">
        <v>0.1099566</v>
      </c>
      <c r="W4027">
        <v>0.33347270000000001</v>
      </c>
      <c r="X4027">
        <v>0.93632559999999998</v>
      </c>
      <c r="Y4027">
        <v>6.6664109999999999E-2</v>
      </c>
      <c r="Z4027">
        <v>-3.3938560000000002E-3</v>
      </c>
      <c r="AA4027">
        <v>0.99776969999999998</v>
      </c>
      <c r="AB4027">
        <v>32</v>
      </c>
      <c r="AC4027">
        <v>0.74029999999998997</v>
      </c>
      <c r="AD4027">
        <v>-6.1523000000000001E-2</v>
      </c>
      <c r="AE4027">
        <v>-5.3399999999982101E-2</v>
      </c>
      <c r="AF4027">
        <v>6.6238005513070894E-2</v>
      </c>
      <c r="AG4027">
        <v>-6.1523000000000001E-2</v>
      </c>
      <c r="AH4027">
        <v>0.734176632832506</v>
      </c>
      <c r="AI4027">
        <v>94.7708292106188</v>
      </c>
      <c r="AJ4027">
        <v>84.844686248064207</v>
      </c>
      <c r="AK4027">
        <v>0.73972148887309297</v>
      </c>
      <c r="AL4027">
        <v>70.520310907556294</v>
      </c>
      <c r="AM4027">
        <v>83.302195788047698</v>
      </c>
      <c r="AN4027">
        <v>1.0000000623720999</v>
      </c>
    </row>
    <row r="4028" spans="1:40" x14ac:dyDescent="0.25">
      <c r="A4028" t="str">
        <f>"20190304164209237"</f>
        <v>20190304164209237</v>
      </c>
      <c r="B4028" t="str">
        <f>"1551688929225547"</f>
        <v>1551688929225547</v>
      </c>
      <c r="C4028" t="s">
        <v>40</v>
      </c>
      <c r="D4028">
        <v>4.2270960000000004</v>
      </c>
      <c r="E4028">
        <v>0.49125960000000002</v>
      </c>
      <c r="F4028" t="s">
        <v>46</v>
      </c>
      <c r="G4028">
        <v>-219.05760000000001</v>
      </c>
      <c r="H4028" s="1">
        <v>3.3156749999999998E-6</v>
      </c>
      <c r="I4028">
        <v>213.874</v>
      </c>
      <c r="J4028">
        <v>-236.76130000000001</v>
      </c>
      <c r="K4028">
        <v>1.110495</v>
      </c>
      <c r="L4028">
        <v>214.75280000000001</v>
      </c>
      <c r="M4028">
        <v>0.9997357</v>
      </c>
      <c r="N4028">
        <v>-1.443296E-2</v>
      </c>
      <c r="O4028">
        <v>1.7901239999999999E-2</v>
      </c>
      <c r="P4028">
        <v>0.94342110000000001</v>
      </c>
      <c r="Q4028">
        <v>0.318581</v>
      </c>
      <c r="R4028">
        <v>-9.1994880000000001E-2</v>
      </c>
      <c r="S4028">
        <v>3.2341920000000002</v>
      </c>
      <c r="T4028">
        <v>-0.2003124</v>
      </c>
      <c r="U4028">
        <v>-0.15779109999999999</v>
      </c>
      <c r="V4028">
        <v>0.1088992</v>
      </c>
      <c r="W4028">
        <v>0.33212909999999901</v>
      </c>
      <c r="X4028">
        <v>0.9369265</v>
      </c>
      <c r="Y4028">
        <v>6.6427639999999996E-2</v>
      </c>
      <c r="Z4028">
        <v>-3.3832530000000001E-3</v>
      </c>
      <c r="AA4028">
        <v>0.99778549999999999</v>
      </c>
      <c r="AB4028">
        <v>32</v>
      </c>
      <c r="AC4028">
        <v>17.703699999999898</v>
      </c>
      <c r="AD4028">
        <v>-1.1104916843249999</v>
      </c>
      <c r="AE4028">
        <v>-0.87879999999998404</v>
      </c>
      <c r="AF4028">
        <v>1.19093595125719</v>
      </c>
      <c r="AG4028">
        <v>-1.1104916843249999</v>
      </c>
      <c r="AH4028">
        <v>17.615987515425701</v>
      </c>
      <c r="AI4028">
        <v>93.598894014853897</v>
      </c>
      <c r="AJ4028">
        <v>86.132380825026999</v>
      </c>
      <c r="AK4028">
        <v>17.691086353431999</v>
      </c>
      <c r="AL4028">
        <v>70.601946171504906</v>
      </c>
      <c r="AM4028">
        <v>83.370245331537504</v>
      </c>
      <c r="AN4028">
        <v>1.0000000206148401</v>
      </c>
    </row>
    <row r="4029" spans="1:40" x14ac:dyDescent="0.25">
      <c r="A4029" t="str">
        <f>"20190304164209260"</f>
        <v>20190304164209260</v>
      </c>
      <c r="B4029" t="str">
        <f>"1551688929254827"</f>
        <v>1551688929254827</v>
      </c>
      <c r="C4029" t="s">
        <v>40</v>
      </c>
      <c r="D4029">
        <v>4.2086579999999998</v>
      </c>
      <c r="E4029">
        <v>0.49155090000000001</v>
      </c>
      <c r="F4029" t="s">
        <v>46</v>
      </c>
      <c r="G4029">
        <v>-219.21510000000001</v>
      </c>
      <c r="H4029" s="1">
        <v>3.3977429999999998E-6</v>
      </c>
      <c r="I4029">
        <v>213.9136</v>
      </c>
      <c r="J4029">
        <v>-236.4331</v>
      </c>
      <c r="K4029">
        <v>1.110433</v>
      </c>
      <c r="L4029">
        <v>214.7586</v>
      </c>
      <c r="M4029">
        <v>0.99973860000000003</v>
      </c>
      <c r="N4029">
        <v>-1.4429569999999999E-2</v>
      </c>
      <c r="O4029">
        <v>1.77357E-2</v>
      </c>
      <c r="P4029">
        <v>0.94383320000000004</v>
      </c>
      <c r="Q4029">
        <v>0.31791760000000002</v>
      </c>
      <c r="R4029">
        <v>-9.0041880000000005E-2</v>
      </c>
      <c r="S4029">
        <v>3.2339630000000001</v>
      </c>
      <c r="T4029">
        <v>-0.20467589999999999</v>
      </c>
      <c r="U4029">
        <v>-0.15467829999999999</v>
      </c>
      <c r="V4029">
        <v>0.1068491</v>
      </c>
      <c r="W4029">
        <v>0.33145259999999999</v>
      </c>
      <c r="X4029">
        <v>0.93740199999999996</v>
      </c>
      <c r="Y4029">
        <v>6.5303180000000002E-2</v>
      </c>
      <c r="Z4029">
        <v>-3.4005070000000001E-3</v>
      </c>
      <c r="AA4029">
        <v>0.99785970000000002</v>
      </c>
      <c r="AB4029">
        <v>32</v>
      </c>
      <c r="AC4029">
        <v>17.2179999999999</v>
      </c>
      <c r="AD4029">
        <v>-1.1104296022569999</v>
      </c>
      <c r="AE4029">
        <v>-0.84499999999999797</v>
      </c>
      <c r="AF4029">
        <v>1.14551906546817</v>
      </c>
      <c r="AG4029">
        <v>-1.1104296022569999</v>
      </c>
      <c r="AH4029">
        <v>17.129229160085998</v>
      </c>
      <c r="AI4029">
        <v>93.700856938222401</v>
      </c>
      <c r="AJ4029">
        <v>86.174035314596594</v>
      </c>
      <c r="AK4029">
        <v>17.2033647711621</v>
      </c>
      <c r="AL4029">
        <v>70.643034533621105</v>
      </c>
      <c r="AM4029">
        <v>83.497246588799896</v>
      </c>
      <c r="AN4029">
        <v>1.0000000329107801</v>
      </c>
    </row>
    <row r="4030" spans="1:40" x14ac:dyDescent="0.25">
      <c r="A4030" t="str">
        <f>"20190304164209282"</f>
        <v>20190304164209282</v>
      </c>
      <c r="B4030" t="str">
        <f>"1551688929275323"</f>
        <v>1551688929275323</v>
      </c>
      <c r="C4030" t="s">
        <v>40</v>
      </c>
      <c r="D4030">
        <v>4.1794279999999997</v>
      </c>
      <c r="E4030">
        <v>0.49176510000000001</v>
      </c>
      <c r="F4030" t="s">
        <v>46</v>
      </c>
      <c r="G4030">
        <v>-219.00909999999999</v>
      </c>
      <c r="H4030" s="1">
        <v>3.2868699999999901E-6</v>
      </c>
      <c r="I4030">
        <v>213.9418</v>
      </c>
      <c r="J4030">
        <v>-236.12260000000001</v>
      </c>
      <c r="K4030">
        <v>1.1103590000000001</v>
      </c>
      <c r="L4030">
        <v>214.76390000000001</v>
      </c>
      <c r="M4030">
        <v>0.9997431</v>
      </c>
      <c r="N4030">
        <v>-1.442651E-2</v>
      </c>
      <c r="O4030">
        <v>1.7484610000000001E-2</v>
      </c>
      <c r="P4030">
        <v>0.94402920000000001</v>
      </c>
      <c r="Q4030">
        <v>0.31776559999999998</v>
      </c>
      <c r="R4030">
        <v>-8.8511709999999993E-2</v>
      </c>
      <c r="S4030">
        <v>3.2334749999999999</v>
      </c>
      <c r="T4030">
        <v>-0.206069</v>
      </c>
      <c r="U4030">
        <v>-0.15156559999999999</v>
      </c>
      <c r="V4030">
        <v>0.1051455</v>
      </c>
      <c r="W4030">
        <v>0.33128299999999999</v>
      </c>
      <c r="X4030">
        <v>0.9376546</v>
      </c>
      <c r="Y4030">
        <v>6.4102119999999999E-2</v>
      </c>
      <c r="Z4030">
        <v>-3.3633830000000002E-3</v>
      </c>
      <c r="AA4030">
        <v>0.99793770000000004</v>
      </c>
      <c r="AB4030">
        <v>32</v>
      </c>
      <c r="AC4030">
        <v>17.113499999999998</v>
      </c>
      <c r="AD4030">
        <v>-1.1103557131299999</v>
      </c>
      <c r="AE4030">
        <v>-0.82210000000000505</v>
      </c>
      <c r="AF4030">
        <v>1.1165388793700199</v>
      </c>
      <c r="AG4030">
        <v>-1.1103557131299999</v>
      </c>
      <c r="AH4030">
        <v>17.025003368927699</v>
      </c>
      <c r="AI4030">
        <v>93.723519211942502</v>
      </c>
      <c r="AJ4030">
        <v>86.247784314208502</v>
      </c>
      <c r="AK4030">
        <v>17.097669098179001</v>
      </c>
      <c r="AL4030">
        <v>70.653334646668895</v>
      </c>
      <c r="AM4030">
        <v>83.601769053382199</v>
      </c>
      <c r="AN4030">
        <v>1.0000000755802001</v>
      </c>
    </row>
    <row r="4031" spans="1:40" x14ac:dyDescent="0.25">
      <c r="A4031" t="str">
        <f>"20190304164209304"</f>
        <v>20190304164209304</v>
      </c>
      <c r="B4031" t="str">
        <f>"1551688929294843"</f>
        <v>1551688929294843</v>
      </c>
      <c r="C4031" t="s">
        <v>40</v>
      </c>
      <c r="D4031">
        <v>4.1710690000000001</v>
      </c>
      <c r="E4031">
        <v>0.49203029999999998</v>
      </c>
      <c r="F4031" t="s">
        <v>41</v>
      </c>
      <c r="G4031">
        <v>-235.1046</v>
      </c>
      <c r="H4031">
        <v>1.04548</v>
      </c>
      <c r="I4031">
        <v>214.7166</v>
      </c>
      <c r="J4031">
        <v>-235.80719999999999</v>
      </c>
      <c r="K4031">
        <v>1.110279</v>
      </c>
      <c r="L4031">
        <v>214.76910000000001</v>
      </c>
      <c r="M4031">
        <v>0.99974909999999995</v>
      </c>
      <c r="N4031">
        <v>-1.442365E-2</v>
      </c>
      <c r="O4031">
        <v>1.713661E-2</v>
      </c>
      <c r="P4031">
        <v>0.94401400000000002</v>
      </c>
      <c r="Q4031">
        <v>0.31792490000000001</v>
      </c>
      <c r="R4031">
        <v>-8.8100520000000002E-2</v>
      </c>
      <c r="S4031">
        <v>3.2332920000000001</v>
      </c>
      <c r="T4031">
        <v>-0.20624419999999999</v>
      </c>
      <c r="U4031">
        <v>-0.14927670000000001</v>
      </c>
      <c r="V4031">
        <v>0.1044696</v>
      </c>
      <c r="W4031">
        <v>0.33141979999999999</v>
      </c>
      <c r="X4031">
        <v>0.93768169999999995</v>
      </c>
      <c r="Y4031">
        <v>6.3055159999999999E-2</v>
      </c>
      <c r="Z4031">
        <v>-3.3081769999999998E-3</v>
      </c>
      <c r="AA4031">
        <v>0.99800460000000002</v>
      </c>
      <c r="AB4031">
        <v>32</v>
      </c>
      <c r="AC4031">
        <v>0.70259999999998901</v>
      </c>
      <c r="AD4031">
        <v>-6.4798999999999995E-2</v>
      </c>
      <c r="AE4031">
        <v>-5.2500000000008998E-2</v>
      </c>
      <c r="AF4031">
        <v>6.3992433145921304E-2</v>
      </c>
      <c r="AG4031">
        <v>-6.4798999999999995E-2</v>
      </c>
      <c r="AH4031">
        <v>0.69571223949587402</v>
      </c>
      <c r="AI4031">
        <v>95.298966019237994</v>
      </c>
      <c r="AJ4031">
        <v>84.744654282749394</v>
      </c>
      <c r="AK4031">
        <v>0.70164767660507499</v>
      </c>
      <c r="AL4031">
        <v>70.645025272605295</v>
      </c>
      <c r="AM4031">
        <v>83.642742791966995</v>
      </c>
      <c r="AN4031">
        <v>0.99999997583554401</v>
      </c>
    </row>
    <row r="4032" spans="1:40" x14ac:dyDescent="0.25">
      <c r="A4032" t="str">
        <f>"20190304164209327"</f>
        <v>20190304164209327</v>
      </c>
      <c r="B4032" t="str">
        <f>"1551688929314930"</f>
        <v>1551688929314930</v>
      </c>
      <c r="C4032" t="s">
        <v>40</v>
      </c>
      <c r="D4032">
        <v>4.1760060000000001</v>
      </c>
      <c r="E4032">
        <v>0.49231259999999999</v>
      </c>
      <c r="F4032" t="s">
        <v>41</v>
      </c>
      <c r="G4032">
        <v>-234.81720000000001</v>
      </c>
      <c r="H4032">
        <v>1.0473239999999999</v>
      </c>
      <c r="I4032">
        <v>214.72309999999999</v>
      </c>
      <c r="J4032">
        <v>-235.4845</v>
      </c>
      <c r="K4032">
        <v>1.1102099999999999</v>
      </c>
      <c r="L4032">
        <v>214.77420000000001</v>
      </c>
      <c r="M4032">
        <v>0.9997566</v>
      </c>
      <c r="N4032">
        <v>-1.442075E-2</v>
      </c>
      <c r="O4032">
        <v>1.6706140000000001E-2</v>
      </c>
      <c r="P4032">
        <v>0.94361519999999999</v>
      </c>
      <c r="Q4032">
        <v>0.31910100000000002</v>
      </c>
      <c r="R4032">
        <v>-8.8120329999999997E-2</v>
      </c>
      <c r="S4032">
        <v>3.233276</v>
      </c>
      <c r="T4032">
        <v>-0.20572460000000001</v>
      </c>
      <c r="U4032">
        <v>-0.1494904</v>
      </c>
      <c r="V4032">
        <v>0.10413509999999999</v>
      </c>
      <c r="W4032">
        <v>0.33257029999999999</v>
      </c>
      <c r="X4032">
        <v>0.93731149999999996</v>
      </c>
      <c r="Y4032">
        <v>6.2693730000000003E-2</v>
      </c>
      <c r="Z4032">
        <v>-3.2651070000000002E-3</v>
      </c>
      <c r="AA4032">
        <v>0.99802740000000001</v>
      </c>
      <c r="AB4032">
        <v>32</v>
      </c>
      <c r="AC4032">
        <v>0.66729999999998302</v>
      </c>
      <c r="AD4032">
        <v>-6.2886000000000206E-2</v>
      </c>
      <c r="AE4032">
        <v>-5.1100000000019401E-2</v>
      </c>
      <c r="AF4032">
        <v>6.1697287943354703E-2</v>
      </c>
      <c r="AG4032">
        <v>-6.2886000000000206E-2</v>
      </c>
      <c r="AH4032">
        <v>0.66052114072794998</v>
      </c>
      <c r="AI4032">
        <v>95.415115362877401</v>
      </c>
      <c r="AJ4032">
        <v>84.663657689328502</v>
      </c>
      <c r="AK4032">
        <v>0.66637030372317596</v>
      </c>
      <c r="AL4032">
        <v>70.575143017416593</v>
      </c>
      <c r="AM4032">
        <v>83.660449649394806</v>
      </c>
      <c r="AN4032">
        <v>0.99999998576317395</v>
      </c>
    </row>
    <row r="4033" spans="1:40" x14ac:dyDescent="0.25">
      <c r="A4033" t="str">
        <f>"20190304164209350"</f>
        <v>20190304164209350</v>
      </c>
      <c r="B4033" t="str">
        <f>"1551688929345186"</f>
        <v>1551688929345186</v>
      </c>
      <c r="C4033" t="s">
        <v>40</v>
      </c>
      <c r="D4033">
        <v>4.150067</v>
      </c>
      <c r="E4033">
        <v>0.4926237</v>
      </c>
      <c r="F4033" t="s">
        <v>41</v>
      </c>
      <c r="G4033">
        <v>-234.52860000000001</v>
      </c>
      <c r="H4033">
        <v>1.050746</v>
      </c>
      <c r="I4033">
        <v>214.72909999999999</v>
      </c>
      <c r="J4033">
        <v>-235.1568</v>
      </c>
      <c r="K4033">
        <v>1.11015</v>
      </c>
      <c r="L4033">
        <v>214.7792</v>
      </c>
      <c r="M4033">
        <v>0.99976500000000001</v>
      </c>
      <c r="N4033">
        <v>-1.441767E-2</v>
      </c>
      <c r="O4033">
        <v>1.6197329999999999E-2</v>
      </c>
      <c r="P4033">
        <v>0.94365180000000004</v>
      </c>
      <c r="Q4033">
        <v>0.31893630000000001</v>
      </c>
      <c r="R4033">
        <v>-8.8326569999999993E-2</v>
      </c>
      <c r="S4033">
        <v>3.233139</v>
      </c>
      <c r="T4033">
        <v>-0.20125460000000001</v>
      </c>
      <c r="U4033">
        <v>-0.15197749999999999</v>
      </c>
      <c r="V4033">
        <v>0.1039099</v>
      </c>
      <c r="W4033">
        <v>0.33238959999999901</v>
      </c>
      <c r="X4033">
        <v>0.93740060000000003</v>
      </c>
      <c r="Y4033">
        <v>6.2960970000000005E-2</v>
      </c>
      <c r="Z4033">
        <v>-3.184849E-3</v>
      </c>
      <c r="AA4033">
        <v>0.99801090000000003</v>
      </c>
      <c r="AB4033">
        <v>32</v>
      </c>
      <c r="AC4033">
        <v>0.62819999999999199</v>
      </c>
      <c r="AD4033">
        <v>-5.9403999999999998E-2</v>
      </c>
      <c r="AE4033">
        <v>-5.0100000000014598E-2</v>
      </c>
      <c r="AF4033">
        <v>5.97388356676294E-2</v>
      </c>
      <c r="AG4033">
        <v>-5.9403999999999998E-2</v>
      </c>
      <c r="AH4033">
        <v>0.62178116352692203</v>
      </c>
      <c r="AI4033">
        <v>95.432520215271595</v>
      </c>
      <c r="AJ4033">
        <v>84.512041129718</v>
      </c>
      <c r="AK4033">
        <v>0.62746265149394898</v>
      </c>
      <c r="AL4033">
        <v>70.586121163923195</v>
      </c>
      <c r="AM4033">
        <v>83.674644550157694</v>
      </c>
      <c r="AN4033">
        <v>0.99999999919326399</v>
      </c>
    </row>
    <row r="4034" spans="1:40" x14ac:dyDescent="0.25">
      <c r="A4034" t="str">
        <f>"20190304164209373"</f>
        <v>20190304164209373</v>
      </c>
      <c r="B4034" t="str">
        <f>"1551688929364706"</f>
        <v>1551688929364706</v>
      </c>
      <c r="C4034" t="s">
        <v>40</v>
      </c>
      <c r="D4034">
        <v>4.3146149999999999</v>
      </c>
      <c r="E4034">
        <v>0.49978220000000001</v>
      </c>
      <c r="F4034" t="s">
        <v>46</v>
      </c>
      <c r="G4034">
        <v>-217.32259999999999</v>
      </c>
      <c r="H4034" s="1">
        <v>2.3900410000000001E-6</v>
      </c>
      <c r="I4034">
        <v>213.92689999999999</v>
      </c>
      <c r="J4034">
        <v>-234.8305</v>
      </c>
      <c r="K4034">
        <v>1.110098</v>
      </c>
      <c r="L4034">
        <v>214.78389999999999</v>
      </c>
      <c r="M4034">
        <v>0.99977400000000005</v>
      </c>
      <c r="N4034">
        <v>-1.4414629999999999E-2</v>
      </c>
      <c r="O4034">
        <v>1.5628929999999999E-2</v>
      </c>
      <c r="P4034">
        <v>0.94376210000000005</v>
      </c>
      <c r="Q4034">
        <v>0.31854399999999999</v>
      </c>
      <c r="R4034">
        <v>-8.8563039999999996E-2</v>
      </c>
      <c r="S4034">
        <v>3.2327119999999998</v>
      </c>
      <c r="T4034">
        <v>-0.20122960000000001</v>
      </c>
      <c r="U4034">
        <v>-0.15448000000000001</v>
      </c>
      <c r="V4034">
        <v>0.1036507</v>
      </c>
      <c r="W4034">
        <v>0.33198509999999998</v>
      </c>
      <c r="X4034">
        <v>0.93757259999999998</v>
      </c>
      <c r="Y4034">
        <v>6.3170740000000003E-2</v>
      </c>
      <c r="Z4034">
        <v>-3.1656700000000002E-3</v>
      </c>
      <c r="AA4034">
        <v>0.99799769999999999</v>
      </c>
      <c r="AB4034">
        <v>32</v>
      </c>
      <c r="AC4034">
        <v>17.507899999999999</v>
      </c>
      <c r="AD4034">
        <v>-1.110095609959</v>
      </c>
      <c r="AE4034">
        <v>-0.85699999999999898</v>
      </c>
      <c r="AF4034">
        <v>1.1260373408170301</v>
      </c>
      <c r="AG4034">
        <v>-1.110095609959</v>
      </c>
      <c r="AH4034">
        <v>17.4224904927007</v>
      </c>
      <c r="AI4034">
        <v>93.638173118877106</v>
      </c>
      <c r="AJ4034">
        <v>86.302045450206904</v>
      </c>
      <c r="AK4034">
        <v>17.4940974995685</v>
      </c>
      <c r="AL4034">
        <v>70.610692194342604</v>
      </c>
      <c r="AM4034">
        <v>83.691443732297401</v>
      </c>
      <c r="AN4034">
        <v>0.99999997725162904</v>
      </c>
    </row>
    <row r="4035" spans="1:40" x14ac:dyDescent="0.25">
      <c r="A4035" t="str">
        <f>"20190304164209395"</f>
        <v>20190304164209395</v>
      </c>
      <c r="B4035" t="str">
        <f>"1551688929385202"</f>
        <v>1551688929385202</v>
      </c>
      <c r="C4035" t="s">
        <v>40</v>
      </c>
      <c r="D4035">
        <v>4.1262349999999897</v>
      </c>
      <c r="E4035">
        <v>0.50012309999999904</v>
      </c>
      <c r="F4035" t="s">
        <v>46</v>
      </c>
      <c r="G4035">
        <v>-216.57</v>
      </c>
      <c r="H4035" s="1">
        <v>2.0046440000000002E-6</v>
      </c>
      <c r="I4035">
        <v>213.5821</v>
      </c>
      <c r="J4035">
        <v>-234.50470000000001</v>
      </c>
      <c r="K4035">
        <v>1.1100620000000001</v>
      </c>
      <c r="L4035">
        <v>214.7884</v>
      </c>
      <c r="M4035">
        <v>0.99978339999999999</v>
      </c>
      <c r="N4035">
        <v>-1.441156E-2</v>
      </c>
      <c r="O4035">
        <v>1.5015799999999999E-2</v>
      </c>
      <c r="P4035">
        <v>0.94376919999999997</v>
      </c>
      <c r="Q4035">
        <v>0.3185751</v>
      </c>
      <c r="R4035">
        <v>-8.8371569999999997E-2</v>
      </c>
      <c r="S4035">
        <v>3.2250369999999999</v>
      </c>
      <c r="T4035">
        <v>-0.19605710000000001</v>
      </c>
      <c r="U4035">
        <v>-0.21224979999999999</v>
      </c>
      <c r="V4035">
        <v>0.10291409999999999</v>
      </c>
      <c r="W4035">
        <v>0.33200550000000001</v>
      </c>
      <c r="X4035">
        <v>0.9376466</v>
      </c>
      <c r="Y4035">
        <v>8.0449370000000006E-2</v>
      </c>
      <c r="Z4035">
        <v>-3.7165750000000002E-3</v>
      </c>
      <c r="AA4035">
        <v>0.99675179999999997</v>
      </c>
      <c r="AB4035">
        <v>32</v>
      </c>
      <c r="AC4035">
        <v>17.934699999999999</v>
      </c>
      <c r="AD4035">
        <v>-1.110059995356</v>
      </c>
      <c r="AE4035">
        <v>-1.2062999999999899</v>
      </c>
      <c r="AF4035">
        <v>1.4698901143782701</v>
      </c>
      <c r="AG4035">
        <v>-1.110059995356</v>
      </c>
      <c r="AH4035">
        <v>17.846501257409201</v>
      </c>
      <c r="AI4035">
        <v>93.547256049866604</v>
      </c>
      <c r="AJ4035">
        <v>85.291579355937003</v>
      </c>
      <c r="AK4035">
        <v>17.941304781769499</v>
      </c>
      <c r="AL4035">
        <v>70.6094546520347</v>
      </c>
      <c r="AM4035">
        <v>83.7364086565116</v>
      </c>
      <c r="AN4035">
        <v>1.0000000552502999</v>
      </c>
    </row>
    <row r="4036" spans="1:40" x14ac:dyDescent="0.25">
      <c r="A4036" t="str">
        <f>"20190304164209415"</f>
        <v>20190304164209415</v>
      </c>
      <c r="B4036" t="str">
        <f>"1551688929404896"</f>
        <v>1551688929404896</v>
      </c>
      <c r="C4036" t="s">
        <v>40</v>
      </c>
      <c r="D4036">
        <v>4.1019920000000001</v>
      </c>
      <c r="E4036">
        <v>0.50001700000000004</v>
      </c>
      <c r="F4036" t="s">
        <v>46</v>
      </c>
      <c r="G4036">
        <v>-216.02379999999999</v>
      </c>
      <c r="H4036" s="1">
        <v>1.7153229999999999E-6</v>
      </c>
      <c r="I4036">
        <v>213.55099999999999</v>
      </c>
      <c r="J4036">
        <v>-234.21459999999999</v>
      </c>
      <c r="K4036">
        <v>1.110047</v>
      </c>
      <c r="L4036">
        <v>214.79220000000001</v>
      </c>
      <c r="M4036">
        <v>0.99979200000000001</v>
      </c>
      <c r="N4036">
        <v>-1.440875E-2</v>
      </c>
      <c r="O4036">
        <v>1.444464E-2</v>
      </c>
      <c r="P4036">
        <v>0.94329669999999999</v>
      </c>
      <c r="Q4036">
        <v>0.3199205</v>
      </c>
      <c r="R4036">
        <v>-8.8558410000000004E-2</v>
      </c>
      <c r="S4036">
        <v>3.2238920000000002</v>
      </c>
      <c r="T4036">
        <v>-0.19364390000000001</v>
      </c>
      <c r="U4036">
        <v>-0.21585080000000001</v>
      </c>
      <c r="V4036">
        <v>0.10258059999999999</v>
      </c>
      <c r="W4036">
        <v>0.333335099999999</v>
      </c>
      <c r="X4036">
        <v>0.93721129999999997</v>
      </c>
      <c r="Y4036">
        <v>8.1015390000000007E-2</v>
      </c>
      <c r="Z4036">
        <v>-3.6714109999999999E-3</v>
      </c>
      <c r="AA4036">
        <v>0.99670610000000004</v>
      </c>
      <c r="AB4036">
        <v>32</v>
      </c>
      <c r="AC4036">
        <v>18.190799999999999</v>
      </c>
      <c r="AD4036">
        <v>-1.1100452846769999</v>
      </c>
      <c r="AE4036">
        <v>-1.2412000000000201</v>
      </c>
      <c r="AF4036">
        <v>1.49830385817433</v>
      </c>
      <c r="AG4036">
        <v>-1.1100452846769999</v>
      </c>
      <c r="AH4036">
        <v>18.1038697660656</v>
      </c>
      <c r="AI4036">
        <v>93.496793291186506</v>
      </c>
      <c r="AJ4036">
        <v>85.268896141415695</v>
      </c>
      <c r="AK4036">
        <v>18.199648773867001</v>
      </c>
      <c r="AL4036">
        <v>70.528672906590998</v>
      </c>
      <c r="AM4036">
        <v>83.753668750394496</v>
      </c>
      <c r="AN4036">
        <v>1.0000000446180199</v>
      </c>
    </row>
    <row r="4037" spans="1:40" x14ac:dyDescent="0.25">
      <c r="A4037" t="str">
        <f>"20190304164209439"</f>
        <v>20190304164209439</v>
      </c>
      <c r="B4037" t="str">
        <f>"1551688929435131"</f>
        <v>1551688929435131</v>
      </c>
      <c r="C4037" t="s">
        <v>40</v>
      </c>
      <c r="D4037">
        <v>4.0914479999999998</v>
      </c>
      <c r="E4037">
        <v>0.50000299999999998</v>
      </c>
      <c r="F4037" t="s">
        <v>46</v>
      </c>
      <c r="G4037">
        <v>-215.3407</v>
      </c>
      <c r="H4037" s="1">
        <v>1.3532560000000001E-6</v>
      </c>
      <c r="I4037">
        <v>213.51849999999999</v>
      </c>
      <c r="J4037">
        <v>-233.8879</v>
      </c>
      <c r="K4037">
        <v>1.110025</v>
      </c>
      <c r="L4037">
        <v>214.7962</v>
      </c>
      <c r="M4037">
        <v>0.99980119999999895</v>
      </c>
      <c r="N4037">
        <v>-1.440552E-2</v>
      </c>
      <c r="O4037">
        <v>1.3786730000000001E-2</v>
      </c>
      <c r="P4037">
        <v>0.94285330000000001</v>
      </c>
      <c r="Q4037">
        <v>0.32095249999999997</v>
      </c>
      <c r="R4037">
        <v>-8.9539049999999995E-2</v>
      </c>
      <c r="S4037">
        <v>3.2242280000000001</v>
      </c>
      <c r="T4037">
        <v>-0.18962909999999999</v>
      </c>
      <c r="U4037">
        <v>-0.21757509999999999</v>
      </c>
      <c r="V4037">
        <v>0.1029569</v>
      </c>
      <c r="W4037">
        <v>0.33435150000000002</v>
      </c>
      <c r="X4037">
        <v>0.93680790000000003</v>
      </c>
      <c r="Y4037">
        <v>8.0891669999999999E-2</v>
      </c>
      <c r="Z4037">
        <v>-3.5690510000000002E-3</v>
      </c>
      <c r="AA4037">
        <v>0.99671650000000001</v>
      </c>
      <c r="AB4037">
        <v>32</v>
      </c>
      <c r="AC4037">
        <v>18.5472</v>
      </c>
      <c r="AD4037">
        <v>-1.1100236467439999</v>
      </c>
      <c r="AE4037">
        <v>-1.27770000000001</v>
      </c>
      <c r="AF4037">
        <v>1.52786357675436</v>
      </c>
      <c r="AG4037">
        <v>-1.1100236467439999</v>
      </c>
      <c r="AH4037">
        <v>18.462003908013401</v>
      </c>
      <c r="AI4037">
        <v>93.429058939190796</v>
      </c>
      <c r="AJ4037">
        <v>85.269142755473695</v>
      </c>
      <c r="AK4037">
        <v>18.5583433502294</v>
      </c>
      <c r="AL4037">
        <v>70.466893090220793</v>
      </c>
      <c r="AM4037">
        <v>83.728259206048307</v>
      </c>
      <c r="AN4037">
        <v>1.0000000451561299</v>
      </c>
    </row>
    <row r="4038" spans="1:40" x14ac:dyDescent="0.25">
      <c r="A4038" t="str">
        <f>"20190304164209461"</f>
        <v>20190304164209461</v>
      </c>
      <c r="B4038" t="str">
        <f>"1551688929454652"</f>
        <v>1551688929454652</v>
      </c>
      <c r="C4038" t="s">
        <v>40</v>
      </c>
      <c r="D4038">
        <v>4.0722909999999999</v>
      </c>
      <c r="E4038">
        <v>0.5001255</v>
      </c>
      <c r="F4038" t="s">
        <v>46</v>
      </c>
      <c r="G4038">
        <v>-214.8022</v>
      </c>
      <c r="H4038" s="1">
        <v>1.0684879999999999E-6</v>
      </c>
      <c r="I4038">
        <v>213.47739999999999</v>
      </c>
      <c r="J4038">
        <v>-233.56950000000001</v>
      </c>
      <c r="K4038">
        <v>1.110015</v>
      </c>
      <c r="L4038">
        <v>214.8</v>
      </c>
      <c r="M4038">
        <v>0.99981010000000003</v>
      </c>
      <c r="N4038">
        <v>-1.440231E-2</v>
      </c>
      <c r="O4038">
        <v>1.313665E-2</v>
      </c>
      <c r="P4038">
        <v>0.94244600000000001</v>
      </c>
      <c r="Q4038">
        <v>0.32193369999999999</v>
      </c>
      <c r="R4038">
        <v>-9.030212E-2</v>
      </c>
      <c r="S4038">
        <v>3.2245180000000002</v>
      </c>
      <c r="T4038">
        <v>-0.1875376</v>
      </c>
      <c r="U4038">
        <v>-0.2228088</v>
      </c>
      <c r="V4038">
        <v>0.10311720000000001</v>
      </c>
      <c r="W4038">
        <v>0.33532009999999901</v>
      </c>
      <c r="X4038">
        <v>0.9364439</v>
      </c>
      <c r="Y4038">
        <v>8.1850300000000001E-2</v>
      </c>
      <c r="Z4038">
        <v>-3.5398339999999999E-3</v>
      </c>
      <c r="AA4038">
        <v>0.99663840000000004</v>
      </c>
      <c r="AB4038">
        <v>32</v>
      </c>
      <c r="AC4038">
        <v>18.767299999999999</v>
      </c>
      <c r="AD4038">
        <v>-1.1100139315119999</v>
      </c>
      <c r="AE4038">
        <v>-1.32260000000002</v>
      </c>
      <c r="AF4038">
        <v>1.5636079561449101</v>
      </c>
      <c r="AG4038">
        <v>-1.1100139315119999</v>
      </c>
      <c r="AH4038">
        <v>18.6832678074623</v>
      </c>
      <c r="AI4038">
        <v>93.388253865730604</v>
      </c>
      <c r="AJ4038">
        <v>85.216048289685702</v>
      </c>
      <c r="AK4038">
        <v>18.781413597863899</v>
      </c>
      <c r="AL4038">
        <v>70.407994793623701</v>
      </c>
      <c r="AM4038">
        <v>83.716150247030797</v>
      </c>
      <c r="AN4038">
        <v>0.99999995212352799</v>
      </c>
    </row>
    <row r="4039" spans="1:40" x14ac:dyDescent="0.25">
      <c r="A4039" t="str">
        <f>"20190304164209483"</f>
        <v>20190304164209483</v>
      </c>
      <c r="B4039" t="str">
        <f>"1551688929475148"</f>
        <v>1551688929475148</v>
      </c>
      <c r="C4039" t="s">
        <v>40</v>
      </c>
      <c r="D4039">
        <v>4.09056</v>
      </c>
      <c r="E4039">
        <v>0.50013269999999999</v>
      </c>
      <c r="F4039" t="s">
        <v>46</v>
      </c>
      <c r="G4039">
        <v>-214.28389999999999</v>
      </c>
      <c r="H4039" s="1">
        <v>7.9443670000000001E-7</v>
      </c>
      <c r="I4039">
        <v>213.43690000000001</v>
      </c>
      <c r="J4039">
        <v>-233.26329999999999</v>
      </c>
      <c r="K4039">
        <v>1.11002</v>
      </c>
      <c r="L4039">
        <v>214.80330000000001</v>
      </c>
      <c r="M4039">
        <v>0.99981830000000005</v>
      </c>
      <c r="N4039">
        <v>-1.4399159999999999E-2</v>
      </c>
      <c r="O4039">
        <v>1.2507229999999999E-2</v>
      </c>
      <c r="P4039">
        <v>0.94195469999999903</v>
      </c>
      <c r="Q4039">
        <v>0.32309310000000002</v>
      </c>
      <c r="R4039">
        <v>-9.1284069999999995E-2</v>
      </c>
      <c r="S4039">
        <v>3.2247620000000001</v>
      </c>
      <c r="T4039">
        <v>-0.18560579999999999</v>
      </c>
      <c r="U4039">
        <v>-0.2279205</v>
      </c>
      <c r="V4039">
        <v>0.1035097</v>
      </c>
      <c r="W4039">
        <v>0.33646730000000002</v>
      </c>
      <c r="X4039">
        <v>0.93598910000000002</v>
      </c>
      <c r="Y4039">
        <v>8.2791999999999893E-2</v>
      </c>
      <c r="Z4039">
        <v>-3.5138280000000001E-3</v>
      </c>
      <c r="AA4039">
        <v>0.99656060000000002</v>
      </c>
      <c r="AB4039">
        <v>32</v>
      </c>
      <c r="AC4039">
        <v>18.979399999999998</v>
      </c>
      <c r="AD4039">
        <v>-1.1100192055633</v>
      </c>
      <c r="AE4039">
        <v>-1.3663999999999901</v>
      </c>
      <c r="AF4039">
        <v>1.5982586511566299</v>
      </c>
      <c r="AG4039">
        <v>-1.1100192055633</v>
      </c>
      <c r="AH4039">
        <v>18.896520291390399</v>
      </c>
      <c r="AI4039">
        <v>93.349871641046605</v>
      </c>
      <c r="AJ4039">
        <v>85.1654567374691</v>
      </c>
      <c r="AK4039">
        <v>18.996448417418598</v>
      </c>
      <c r="AL4039">
        <v>70.338212573340201</v>
      </c>
      <c r="AM4039">
        <v>83.689383997784702</v>
      </c>
      <c r="AN4039">
        <v>1.00000004864109</v>
      </c>
    </row>
    <row r="4040" spans="1:40" x14ac:dyDescent="0.25">
      <c r="A4040" t="str">
        <f>"20190304164209505"</f>
        <v>20190304164209505</v>
      </c>
      <c r="B4040" t="str">
        <f>"1551688929494667"</f>
        <v>1551688929494667</v>
      </c>
      <c r="C4040" t="s">
        <v>40</v>
      </c>
      <c r="D4040">
        <v>4.2733369999999997</v>
      </c>
      <c r="E4040">
        <v>0.51972949999999996</v>
      </c>
      <c r="F4040" t="s">
        <v>46</v>
      </c>
      <c r="G4040">
        <v>-213.6371</v>
      </c>
      <c r="H4040" s="1">
        <v>4.5233560000000001E-7</v>
      </c>
      <c r="I4040">
        <v>213.3887</v>
      </c>
      <c r="J4040">
        <v>-232.9486</v>
      </c>
      <c r="K4040">
        <v>1.110028</v>
      </c>
      <c r="L4040">
        <v>214.8065</v>
      </c>
      <c r="M4040">
        <v>0.99982610000000005</v>
      </c>
      <c r="N4040">
        <v>-1.439589E-2</v>
      </c>
      <c r="O4040">
        <v>1.185928E-2</v>
      </c>
      <c r="P4040">
        <v>0.9414787</v>
      </c>
      <c r="Q4040">
        <v>0.32427020000000001</v>
      </c>
      <c r="R4040">
        <v>-9.2016470000000003E-2</v>
      </c>
      <c r="S4040">
        <v>3.224869</v>
      </c>
      <c r="T4040">
        <v>-0.182392</v>
      </c>
      <c r="U4040">
        <v>-0.23243710000000001</v>
      </c>
      <c r="V4040">
        <v>0.10363260000000001</v>
      </c>
      <c r="W4040">
        <v>0.33763359999999998</v>
      </c>
      <c r="X4040">
        <v>0.93555540000000004</v>
      </c>
      <c r="Y4040">
        <v>8.3537410000000006E-2</v>
      </c>
      <c r="Z4040">
        <v>-3.4591219999999998E-3</v>
      </c>
      <c r="AA4040">
        <v>0.99649860000000001</v>
      </c>
      <c r="AB4040">
        <v>32</v>
      </c>
      <c r="AC4040">
        <v>19.311499999999899</v>
      </c>
      <c r="AD4040">
        <v>-1.1100275476643999</v>
      </c>
      <c r="AE4040">
        <v>-1.41779999999999</v>
      </c>
      <c r="AF4040">
        <v>1.6413505900040399</v>
      </c>
      <c r="AG4040">
        <v>-1.1100275476643999</v>
      </c>
      <c r="AH4040">
        <v>19.2301307740094</v>
      </c>
      <c r="AI4040">
        <v>93.291696276905199</v>
      </c>
      <c r="AJ4040">
        <v>85.121453688106996</v>
      </c>
      <c r="AK4040">
        <v>19.331945647072899</v>
      </c>
      <c r="AL4040">
        <v>70.267235106680403</v>
      </c>
      <c r="AM4040">
        <v>83.679046594059997</v>
      </c>
      <c r="AN4040">
        <v>1.0000000350504299</v>
      </c>
    </row>
    <row r="4041" spans="1:40" x14ac:dyDescent="0.25">
      <c r="A4041" t="str">
        <f>"20190304164209527"</f>
        <v>20190304164209527</v>
      </c>
      <c r="B4041" t="str">
        <f>"1551688929515164"</f>
        <v>1551688929515164</v>
      </c>
      <c r="C4041" t="s">
        <v>40</v>
      </c>
      <c r="D4041">
        <v>4.1072559999999996</v>
      </c>
      <c r="E4041">
        <v>0.53254659999999998</v>
      </c>
      <c r="F4041" t="s">
        <v>46</v>
      </c>
      <c r="G4041">
        <v>-214.42019999999999</v>
      </c>
      <c r="H4041" s="1">
        <v>9.0555420000000005E-7</v>
      </c>
      <c r="I4041">
        <v>212.5538</v>
      </c>
      <c r="J4041">
        <v>-232.63130000000001</v>
      </c>
      <c r="K4041">
        <v>1.110031</v>
      </c>
      <c r="L4041">
        <v>214.80959999999999</v>
      </c>
      <c r="M4041">
        <v>0.99983359999999999</v>
      </c>
      <c r="N4041">
        <v>-1.439257E-2</v>
      </c>
      <c r="O4041">
        <v>1.1207089999999999E-2</v>
      </c>
      <c r="P4041">
        <v>0.94117410000000001</v>
      </c>
      <c r="Q4041">
        <v>0.3250227</v>
      </c>
      <c r="R4041">
        <v>-9.247495E-2</v>
      </c>
      <c r="S4041">
        <v>3.2145999999999999</v>
      </c>
      <c r="T4041">
        <v>-0.19258449999999999</v>
      </c>
      <c r="U4041">
        <v>-0.39083859999999998</v>
      </c>
      <c r="V4041">
        <v>0.1034776</v>
      </c>
      <c r="W4041">
        <v>0.33837899999999999</v>
      </c>
      <c r="X4041">
        <v>0.9353032</v>
      </c>
      <c r="Y4041">
        <v>0.13151179999999901</v>
      </c>
      <c r="Z4041">
        <v>-5.3802950000000002E-3</v>
      </c>
      <c r="AA4041">
        <v>0.99129999999999996</v>
      </c>
      <c r="AB4041">
        <v>32</v>
      </c>
      <c r="AC4041">
        <v>18.211099999999998</v>
      </c>
      <c r="AD4041">
        <v>-1.1100300944457999</v>
      </c>
      <c r="AE4041">
        <v>-2.25579999999999</v>
      </c>
      <c r="AF4041">
        <v>2.4508049416478799</v>
      </c>
      <c r="AG4041">
        <v>-1.1100300944457999</v>
      </c>
      <c r="AH4041">
        <v>18.118374067357099</v>
      </c>
      <c r="AI4041">
        <v>93.474306948917203</v>
      </c>
      <c r="AJ4041">
        <v>82.296569482870495</v>
      </c>
      <c r="AK4041">
        <v>18.3170437166388</v>
      </c>
      <c r="AL4041">
        <v>70.221855654530799</v>
      </c>
      <c r="AM4041">
        <v>83.686736145532706</v>
      </c>
      <c r="AN4041">
        <v>1.0000000186364999</v>
      </c>
    </row>
    <row r="4042" spans="1:40" x14ac:dyDescent="0.25">
      <c r="A4042" t="str">
        <f>"20190304164209551"</f>
        <v>20190304164209551</v>
      </c>
      <c r="B4042" t="str">
        <f>"1551688929545420"</f>
        <v>1551688929545420</v>
      </c>
      <c r="C4042" t="s">
        <v>40</v>
      </c>
      <c r="D4042">
        <v>4.0506510000000002</v>
      </c>
      <c r="E4042">
        <v>0.53927040000000004</v>
      </c>
      <c r="F4042" t="s">
        <v>46</v>
      </c>
      <c r="G4042">
        <v>-217.26230000000001</v>
      </c>
      <c r="H4042" s="1">
        <v>2.4221789999999999E-6</v>
      </c>
      <c r="I4042">
        <v>212.45760000000001</v>
      </c>
      <c r="J4042">
        <v>-232.2962</v>
      </c>
      <c r="K4042">
        <v>1.110028</v>
      </c>
      <c r="L4042">
        <v>214.8126</v>
      </c>
      <c r="M4042">
        <v>0.99984099999999998</v>
      </c>
      <c r="N4042">
        <v>-1.438916E-2</v>
      </c>
      <c r="O4042">
        <v>1.0520720000000001E-2</v>
      </c>
      <c r="P4042">
        <v>0.94115420000000005</v>
      </c>
      <c r="Q4042">
        <v>0.3249322</v>
      </c>
      <c r="R4042">
        <v>-9.2992099999999994E-2</v>
      </c>
      <c r="S4042">
        <v>3.2193909999999999</v>
      </c>
      <c r="T4042">
        <v>-0.23252049999999999</v>
      </c>
      <c r="U4042">
        <v>-0.4926758</v>
      </c>
      <c r="V4042">
        <v>0.1033504</v>
      </c>
      <c r="W4042">
        <v>0.33828560000000002</v>
      </c>
      <c r="X4042">
        <v>0.93535100000000004</v>
      </c>
      <c r="Y4042">
        <v>0.16115409999999999</v>
      </c>
      <c r="Z4042">
        <v>-7.5508850000000002E-3</v>
      </c>
      <c r="AA4042">
        <v>0.98690040000000001</v>
      </c>
      <c r="AB4042">
        <v>32</v>
      </c>
      <c r="AC4042">
        <v>15.0338999999999</v>
      </c>
      <c r="AD4042">
        <v>-1.110025577821</v>
      </c>
      <c r="AE4042">
        <v>-2.35499999999998</v>
      </c>
      <c r="AF4042">
        <v>2.4997522623488302</v>
      </c>
      <c r="AG4042">
        <v>-1.110025577821</v>
      </c>
      <c r="AH4042">
        <v>14.928852254162599</v>
      </c>
      <c r="AI4042">
        <v>94.194188917435298</v>
      </c>
      <c r="AJ4042">
        <v>80.494328442178301</v>
      </c>
      <c r="AK4042">
        <v>15.1773366498589</v>
      </c>
      <c r="AL4042">
        <v>70.227541504657296</v>
      </c>
      <c r="AM4042">
        <v>83.694753829285403</v>
      </c>
      <c r="AN4042">
        <v>0.999999972774259</v>
      </c>
    </row>
    <row r="4043" spans="1:40" x14ac:dyDescent="0.25">
      <c r="A4043" t="str">
        <f>"20190304164209568"</f>
        <v>20190304164209568</v>
      </c>
      <c r="B4043" t="str">
        <f>"1551688929564940"</f>
        <v>1551688929564940</v>
      </c>
      <c r="C4043" t="s">
        <v>40</v>
      </c>
      <c r="D4043">
        <v>4.0706419999999897</v>
      </c>
      <c r="E4043">
        <v>0.54114989999999996</v>
      </c>
      <c r="F4043" t="s">
        <v>46</v>
      </c>
      <c r="G4043">
        <v>-217.9034</v>
      </c>
      <c r="H4043" s="1">
        <v>2.7670419999999998E-6</v>
      </c>
      <c r="I4043">
        <v>212.37360000000001</v>
      </c>
      <c r="J4043">
        <v>-232.05869999999999</v>
      </c>
      <c r="K4043">
        <v>1.110028</v>
      </c>
      <c r="L4043">
        <v>214.81460000000001</v>
      </c>
      <c r="M4043">
        <v>0.99984620000000002</v>
      </c>
      <c r="N4043">
        <v>-1.4386690000000001E-2</v>
      </c>
      <c r="O4043">
        <v>1.0035570000000001E-2</v>
      </c>
      <c r="P4043">
        <v>0.94114960000000003</v>
      </c>
      <c r="Q4043">
        <v>0.3247893</v>
      </c>
      <c r="R4043">
        <v>-9.3537449999999994E-2</v>
      </c>
      <c r="S4043">
        <v>3.219376</v>
      </c>
      <c r="T4043">
        <v>-0.24829010000000001</v>
      </c>
      <c r="U4043">
        <v>-0.54554749999999996</v>
      </c>
      <c r="V4043">
        <v>0.10343960000000001</v>
      </c>
      <c r="W4043">
        <v>0.33814070000000002</v>
      </c>
      <c r="X4043">
        <v>0.93539360000000005</v>
      </c>
      <c r="Y4043">
        <v>0.17633689999999999</v>
      </c>
      <c r="Z4043">
        <v>-8.6459959999999995E-3</v>
      </c>
      <c r="AA4043">
        <v>0.9842919</v>
      </c>
      <c r="AB4043">
        <v>32</v>
      </c>
      <c r="AC4043">
        <v>14.155299999999899</v>
      </c>
      <c r="AD4043">
        <v>-1.110025232958</v>
      </c>
      <c r="AE4043">
        <v>-2.4409999999999998</v>
      </c>
      <c r="AF4043">
        <v>2.5676151096109301</v>
      </c>
      <c r="AG4043">
        <v>-1.110025232958</v>
      </c>
      <c r="AH4043">
        <v>14.0462073032409</v>
      </c>
      <c r="AI4043">
        <v>94.445150337935601</v>
      </c>
      <c r="AJ4043">
        <v>79.640833720609294</v>
      </c>
      <c r="AK4043">
        <v>14.322036970156301</v>
      </c>
      <c r="AL4043">
        <v>70.236364839572602</v>
      </c>
      <c r="AM4043">
        <v>83.689640845837005</v>
      </c>
      <c r="AN4043">
        <v>1.0000000353828</v>
      </c>
    </row>
    <row r="4044" spans="1:40" x14ac:dyDescent="0.25">
      <c r="A4044" t="str">
        <f>"20190304164209583"</f>
        <v>20190304164209583</v>
      </c>
      <c r="B4044" t="str">
        <f>"1551688929574700"</f>
        <v>1551688929574700</v>
      </c>
      <c r="C4044" t="s">
        <v>40</v>
      </c>
      <c r="D4044">
        <v>4.0881030000000003</v>
      </c>
      <c r="E4044">
        <v>0.54176630000000003</v>
      </c>
      <c r="F4044" t="s">
        <v>46</v>
      </c>
      <c r="G4044">
        <v>-218.07579999999999</v>
      </c>
      <c r="H4044" s="1">
        <v>2.858497E-6</v>
      </c>
      <c r="I4044">
        <v>212.37979999999999</v>
      </c>
      <c r="J4044">
        <v>-231.8433</v>
      </c>
      <c r="K4044">
        <v>1.1100209999999999</v>
      </c>
      <c r="L4044">
        <v>214.81630000000001</v>
      </c>
      <c r="M4044">
        <v>0.99985060000000003</v>
      </c>
      <c r="N4044">
        <v>-1.438445E-2</v>
      </c>
      <c r="O4044">
        <v>9.596261E-3</v>
      </c>
      <c r="P4044">
        <v>0.94131419999999999</v>
      </c>
      <c r="Q4044">
        <v>0.32416289999999998</v>
      </c>
      <c r="R4044">
        <v>-9.4054180000000001E-2</v>
      </c>
      <c r="S4044">
        <v>3.220078</v>
      </c>
      <c r="T4044">
        <v>-0.25562420000000002</v>
      </c>
      <c r="U4044">
        <v>-0.56069950000000002</v>
      </c>
      <c r="V4044">
        <v>0.1035442</v>
      </c>
      <c r="W4044">
        <v>0.33751510000000001</v>
      </c>
      <c r="X4044">
        <v>0.93560790000000005</v>
      </c>
      <c r="Y4044">
        <v>0.18031900000000001</v>
      </c>
      <c r="Z4044">
        <v>-9.0201829999999993E-3</v>
      </c>
      <c r="AA4044">
        <v>0.98356679999999996</v>
      </c>
      <c r="AB4044">
        <v>31</v>
      </c>
      <c r="AC4044">
        <v>13.7675</v>
      </c>
      <c r="AD4044">
        <v>-1.1100181415029999</v>
      </c>
      <c r="AE4044">
        <v>-2.4365000000000201</v>
      </c>
      <c r="AF4044">
        <v>2.5524296614461699</v>
      </c>
      <c r="AG4044">
        <v>-1.1100181415029999</v>
      </c>
      <c r="AH4044">
        <v>13.657397831609099</v>
      </c>
      <c r="AI4044">
        <v>94.567812302822006</v>
      </c>
      <c r="AJ4044">
        <v>79.414117634144702</v>
      </c>
      <c r="AK4044">
        <v>13.938133052239699</v>
      </c>
      <c r="AL4044">
        <v>70.274447207657303</v>
      </c>
      <c r="AM4044">
        <v>83.684746390715404</v>
      </c>
      <c r="AN4044">
        <v>0.99999999331203004</v>
      </c>
    </row>
    <row r="4045" spans="1:40" x14ac:dyDescent="0.25">
      <c r="A4045" t="str">
        <f>"20190304164209606"</f>
        <v>20190304164209606</v>
      </c>
      <c r="B4045" t="str">
        <f>"1551688929595196"</f>
        <v>1551688929595196</v>
      </c>
      <c r="C4045" t="s">
        <v>40</v>
      </c>
      <c r="D4045">
        <v>4.0974969999999997</v>
      </c>
      <c r="E4045">
        <v>0.54265559999999902</v>
      </c>
      <c r="F4045" t="s">
        <v>46</v>
      </c>
      <c r="G4045">
        <v>-218.1557</v>
      </c>
      <c r="H4045" s="1">
        <v>2.8993949999999998E-6</v>
      </c>
      <c r="I4045">
        <v>212.41679999999999</v>
      </c>
      <c r="J4045">
        <v>-231.53120000000001</v>
      </c>
      <c r="K4045">
        <v>1.110012</v>
      </c>
      <c r="L4045">
        <v>214.8186</v>
      </c>
      <c r="M4045">
        <v>0.99985650000000004</v>
      </c>
      <c r="N4045">
        <v>-1.438117E-2</v>
      </c>
      <c r="O4045">
        <v>8.9608780000000002E-3</v>
      </c>
      <c r="P4045">
        <v>0.94166119999999998</v>
      </c>
      <c r="Q4045">
        <v>0.32290049999999998</v>
      </c>
      <c r="R4045">
        <v>-9.4918020000000006E-2</v>
      </c>
      <c r="S4045">
        <v>3.2205509999999999</v>
      </c>
      <c r="T4045">
        <v>-0.26117580000000001</v>
      </c>
      <c r="U4045">
        <v>-0.5645905</v>
      </c>
      <c r="V4045">
        <v>0.1038115</v>
      </c>
      <c r="W4045">
        <v>0.33625529999999998</v>
      </c>
      <c r="X4045">
        <v>0.93603179999999997</v>
      </c>
      <c r="Y4045">
        <v>0.18079519999999999</v>
      </c>
      <c r="Z4045">
        <v>-9.1686509999999999E-3</v>
      </c>
      <c r="AA4045">
        <v>0.98347799999999996</v>
      </c>
      <c r="AB4045">
        <v>31</v>
      </c>
      <c r="AC4045">
        <v>13.375500000000001</v>
      </c>
      <c r="AD4045">
        <v>-1.1100091006049999</v>
      </c>
      <c r="AE4045">
        <v>-2.4018000000000002</v>
      </c>
      <c r="AF4045">
        <v>2.50485994776224</v>
      </c>
      <c r="AG4045">
        <v>-1.1100091006049999</v>
      </c>
      <c r="AH4045">
        <v>13.2649358820928</v>
      </c>
      <c r="AI4045">
        <v>94.700671556700001</v>
      </c>
      <c r="AJ4045">
        <v>79.3065715423309</v>
      </c>
      <c r="AK4045">
        <v>13.5449240498927</v>
      </c>
      <c r="AL4045">
        <v>70.351109670581394</v>
      </c>
      <c r="AM4045">
        <v>83.671419787852997</v>
      </c>
      <c r="AN4045">
        <v>0.99999999246078997</v>
      </c>
    </row>
    <row r="4046" spans="1:40" x14ac:dyDescent="0.25">
      <c r="A4046" t="str">
        <f>"20190304164209628"</f>
        <v>20190304164209628</v>
      </c>
      <c r="B4046" t="str">
        <f>"1551688929615223"</f>
        <v>1551688929615223</v>
      </c>
      <c r="C4046" t="s">
        <v>40</v>
      </c>
      <c r="D4046">
        <v>4.118061</v>
      </c>
      <c r="E4046">
        <v>0.54336240000000002</v>
      </c>
      <c r="F4046" t="s">
        <v>46</v>
      </c>
      <c r="G4046">
        <v>-218.2972</v>
      </c>
      <c r="H4046" s="1">
        <v>2.9723529999999999E-6</v>
      </c>
      <c r="I4046">
        <v>212.47069999999999</v>
      </c>
      <c r="J4046">
        <v>-231.21889999999999</v>
      </c>
      <c r="K4046">
        <v>1.110009</v>
      </c>
      <c r="L4046">
        <v>214.82069999999999</v>
      </c>
      <c r="M4046">
        <v>0.99986209999999998</v>
      </c>
      <c r="N4046">
        <v>-1.4377940000000001E-2</v>
      </c>
      <c r="O4046">
        <v>8.3250859999999902E-3</v>
      </c>
      <c r="P4046">
        <v>0.94195720000000005</v>
      </c>
      <c r="Q4046">
        <v>0.32171450000000001</v>
      </c>
      <c r="R4046">
        <v>-9.6004370000000006E-2</v>
      </c>
      <c r="S4046">
        <v>3.2208860000000001</v>
      </c>
      <c r="T4046">
        <v>-0.27015319999999998</v>
      </c>
      <c r="U4046">
        <v>-0.5714264</v>
      </c>
      <c r="V4046">
        <v>0.1042998</v>
      </c>
      <c r="W4046">
        <v>0.3350708</v>
      </c>
      <c r="X4046">
        <v>0.93640219999999996</v>
      </c>
      <c r="Y4046">
        <v>0.18212780000000001</v>
      </c>
      <c r="Z4046">
        <v>-9.4612180000000004E-3</v>
      </c>
      <c r="AA4046">
        <v>0.98322929999999997</v>
      </c>
      <c r="AB4046">
        <v>31</v>
      </c>
      <c r="AC4046">
        <v>12.9216999999999</v>
      </c>
      <c r="AD4046">
        <v>-1.1100060276469901</v>
      </c>
      <c r="AE4046">
        <v>-2.3499999999999899</v>
      </c>
      <c r="AF4046">
        <v>2.4400745060679201</v>
      </c>
      <c r="AG4046">
        <v>-1.1100060276469901</v>
      </c>
      <c r="AH4046">
        <v>12.810183222455001</v>
      </c>
      <c r="AI4046">
        <v>94.865281539166503</v>
      </c>
      <c r="AJ4046">
        <v>79.215531187408004</v>
      </c>
      <c r="AK4046">
        <v>13.0876610274503</v>
      </c>
      <c r="AL4046">
        <v>70.423156376821098</v>
      </c>
      <c r="AM4046">
        <v>83.644389554342098</v>
      </c>
      <c r="AN4046">
        <v>0.99999998472875895</v>
      </c>
    </row>
    <row r="4047" spans="1:40" x14ac:dyDescent="0.25">
      <c r="A4047" t="str">
        <f>"20190304164209651"</f>
        <v>20190304164209651</v>
      </c>
      <c r="B4047" t="str">
        <f>"1551688929645480"</f>
        <v>1551688929645480</v>
      </c>
      <c r="C4047" t="s">
        <v>40</v>
      </c>
      <c r="D4047">
        <v>4.1188449999999897</v>
      </c>
      <c r="E4047">
        <v>0.54408469999999998</v>
      </c>
      <c r="F4047" t="s">
        <v>46</v>
      </c>
      <c r="G4047">
        <v>-218.3099</v>
      </c>
      <c r="H4047" s="1">
        <v>2.9777450000000001E-6</v>
      </c>
      <c r="I4047">
        <v>212.5017</v>
      </c>
      <c r="J4047">
        <v>-230.89230000000001</v>
      </c>
      <c r="K4047">
        <v>1.110006</v>
      </c>
      <c r="L4047">
        <v>214.8227</v>
      </c>
      <c r="M4047">
        <v>0.99986739999999996</v>
      </c>
      <c r="N4047">
        <v>-1.437475E-2</v>
      </c>
      <c r="O4047">
        <v>7.6600959999999999E-3</v>
      </c>
      <c r="P4047">
        <v>0.94232819999999995</v>
      </c>
      <c r="Q4047">
        <v>0.3203009</v>
      </c>
      <c r="R4047">
        <v>-9.7083429999999998E-2</v>
      </c>
      <c r="S4047">
        <v>3.2204739999999998</v>
      </c>
      <c r="T4047">
        <v>-0.27691789999999999</v>
      </c>
      <c r="U4047">
        <v>-0.57853699999999997</v>
      </c>
      <c r="V4047">
        <v>0.10475329999999999</v>
      </c>
      <c r="W4047">
        <v>0.33366020000000002</v>
      </c>
      <c r="X4047">
        <v>0.9368552</v>
      </c>
      <c r="Y4047">
        <v>0.18355969999999999</v>
      </c>
      <c r="Z4047">
        <v>-9.6910239999999995E-3</v>
      </c>
      <c r="AA4047">
        <v>0.98296079999999997</v>
      </c>
      <c r="AB4047">
        <v>31</v>
      </c>
      <c r="AC4047">
        <v>12.5824</v>
      </c>
      <c r="AD4047">
        <v>-1.1100030222549999</v>
      </c>
      <c r="AE4047">
        <v>-2.32099999999999</v>
      </c>
      <c r="AF4047">
        <v>2.3992663066240101</v>
      </c>
      <c r="AG4047">
        <v>-1.1100030222549999</v>
      </c>
      <c r="AH4047">
        <v>12.4703922182082</v>
      </c>
      <c r="AI4047">
        <v>94.995413486318199</v>
      </c>
      <c r="AJ4047">
        <v>79.109537431019504</v>
      </c>
      <c r="AK4047">
        <v>12.7475200566802</v>
      </c>
      <c r="AL4047">
        <v>70.508914512221295</v>
      </c>
      <c r="AM4047">
        <v>83.620043622744703</v>
      </c>
      <c r="AN4047">
        <v>1.0000000243459799</v>
      </c>
    </row>
    <row r="4048" spans="1:40" x14ac:dyDescent="0.25">
      <c r="A4048" t="str">
        <f>"20190304164209672"</f>
        <v>20190304164209672</v>
      </c>
      <c r="B4048" t="str">
        <f>"1551688929664999"</f>
        <v>1551688929664999</v>
      </c>
      <c r="C4048" t="s">
        <v>40</v>
      </c>
      <c r="D4048">
        <v>4.144031</v>
      </c>
      <c r="E4048">
        <v>0.54445269999999901</v>
      </c>
      <c r="F4048" t="s">
        <v>46</v>
      </c>
      <c r="G4048">
        <v>-218.27520000000001</v>
      </c>
      <c r="H4048" s="1">
        <v>2.9582100000000002E-6</v>
      </c>
      <c r="I4048">
        <v>212.52600000000001</v>
      </c>
      <c r="J4048">
        <v>-230.59020000000001</v>
      </c>
      <c r="K4048">
        <v>1.1100049999999999</v>
      </c>
      <c r="L4048">
        <v>214.82429999999999</v>
      </c>
      <c r="M4048">
        <v>0.99987199999999998</v>
      </c>
      <c r="N4048">
        <v>-1.4371490000000001E-2</v>
      </c>
      <c r="O4048">
        <v>7.0445760000000003E-3</v>
      </c>
      <c r="P4048">
        <v>0.94246870000000005</v>
      </c>
      <c r="Q4048">
        <v>0.31942350000000003</v>
      </c>
      <c r="R4048">
        <v>-9.8597760000000007E-2</v>
      </c>
      <c r="S4048">
        <v>3.2194820000000002</v>
      </c>
      <c r="T4048">
        <v>-0.2832364</v>
      </c>
      <c r="U4048">
        <v>-0.58604429999999996</v>
      </c>
      <c r="V4048">
        <v>0.1056868</v>
      </c>
      <c r="W4048">
        <v>0.33278210000000003</v>
      </c>
      <c r="X4048">
        <v>0.93706259999999997</v>
      </c>
      <c r="Y4048">
        <v>0.18518709999999999</v>
      </c>
      <c r="Z4048">
        <v>-9.9223200000000001E-3</v>
      </c>
      <c r="AA4048">
        <v>0.9826532</v>
      </c>
      <c r="AB4048">
        <v>31</v>
      </c>
      <c r="AC4048">
        <v>12.3149999999999</v>
      </c>
      <c r="AD4048">
        <v>-1.1100020417899901</v>
      </c>
      <c r="AE4048">
        <v>-2.29830000000001</v>
      </c>
      <c r="AF4048">
        <v>2.3664276822427501</v>
      </c>
      <c r="AG4048">
        <v>-1.1100020417899901</v>
      </c>
      <c r="AH4048">
        <v>12.202702028746</v>
      </c>
      <c r="AI4048">
        <v>95.102974496741695</v>
      </c>
      <c r="AJ4048">
        <v>79.025055065112099</v>
      </c>
      <c r="AK4048">
        <v>12.4795040490568</v>
      </c>
      <c r="AL4048">
        <v>70.562274514932497</v>
      </c>
      <c r="AM4048">
        <v>83.565076815547897</v>
      </c>
      <c r="AN4048">
        <v>0.99999997104670402</v>
      </c>
    </row>
    <row r="4049" spans="1:40" x14ac:dyDescent="0.25">
      <c r="A4049" t="str">
        <f>"20190304164209695"</f>
        <v>20190304164209695</v>
      </c>
      <c r="B4049" t="str">
        <f>"1551688929685495"</f>
        <v>1551688929685495</v>
      </c>
      <c r="C4049" t="s">
        <v>40</v>
      </c>
      <c r="D4049">
        <v>4.1623190000000001</v>
      </c>
      <c r="E4049">
        <v>0.5446396</v>
      </c>
      <c r="F4049" t="s">
        <v>46</v>
      </c>
      <c r="G4049">
        <v>-218.13</v>
      </c>
      <c r="H4049" s="1">
        <v>2.8809249999999999E-6</v>
      </c>
      <c r="I4049">
        <v>212.5273</v>
      </c>
      <c r="J4049">
        <v>-230.2843</v>
      </c>
      <c r="K4049">
        <v>1.110004</v>
      </c>
      <c r="L4049">
        <v>214.82579999999999</v>
      </c>
      <c r="M4049">
        <v>0.99987630000000005</v>
      </c>
      <c r="N4049">
        <v>-1.436803E-2</v>
      </c>
      <c r="O4049">
        <v>6.4232350000000002E-3</v>
      </c>
      <c r="P4049">
        <v>0.94242440000000005</v>
      </c>
      <c r="Q4049">
        <v>0.31909670000000001</v>
      </c>
      <c r="R4049">
        <v>-0.1000699</v>
      </c>
      <c r="S4049">
        <v>3.2182460000000002</v>
      </c>
      <c r="T4049">
        <v>-0.28669430000000001</v>
      </c>
      <c r="U4049">
        <v>-0.59327700000000005</v>
      </c>
      <c r="V4049">
        <v>0.1065711</v>
      </c>
      <c r="W4049">
        <v>0.33245160000000001</v>
      </c>
      <c r="X4049">
        <v>0.93707980000000002</v>
      </c>
      <c r="Y4049">
        <v>0.186755</v>
      </c>
      <c r="Z4049">
        <v>-1.006402E-2</v>
      </c>
      <c r="AA4049">
        <v>0.98235490000000003</v>
      </c>
      <c r="AB4049">
        <v>31</v>
      </c>
      <c r="AC4049">
        <v>12.154299999999999</v>
      </c>
      <c r="AD4049">
        <v>-1.1100011190750001</v>
      </c>
      <c r="AE4049">
        <v>-2.29849999999999</v>
      </c>
      <c r="AF4049">
        <v>2.3575465789140799</v>
      </c>
      <c r="AG4049">
        <v>-1.1100011190750001</v>
      </c>
      <c r="AH4049">
        <v>12.042314053337</v>
      </c>
      <c r="AI4049">
        <v>95.168788066048506</v>
      </c>
      <c r="AJ4049">
        <v>78.923191248731101</v>
      </c>
      <c r="AK4049">
        <v>12.3210168458327</v>
      </c>
      <c r="AL4049">
        <v>70.582354817993206</v>
      </c>
      <c r="AM4049">
        <v>83.511810010689501</v>
      </c>
      <c r="AN4049">
        <v>1.0000000086329</v>
      </c>
    </row>
    <row r="4050" spans="1:40" x14ac:dyDescent="0.25">
      <c r="A4050" t="str">
        <f>"20190304164209718"</f>
        <v>20190304164209718</v>
      </c>
      <c r="B4050" t="str">
        <f>"1551688929705015"</f>
        <v>1551688929705015</v>
      </c>
      <c r="C4050" t="s">
        <v>40</v>
      </c>
      <c r="D4050">
        <v>4.1537329999999999</v>
      </c>
      <c r="E4050">
        <v>0.54472529999999997</v>
      </c>
      <c r="F4050" t="s">
        <v>46</v>
      </c>
      <c r="G4050">
        <v>-217.85919999999999</v>
      </c>
      <c r="H4050" s="1">
        <v>2.737438E-6</v>
      </c>
      <c r="I4050">
        <v>212.5128</v>
      </c>
      <c r="J4050">
        <v>-229.9657</v>
      </c>
      <c r="K4050">
        <v>1.1100129999999999</v>
      </c>
      <c r="L4050">
        <v>214.8271</v>
      </c>
      <c r="M4050">
        <v>0.99988010000000005</v>
      </c>
      <c r="N4050">
        <v>-1.436438E-2</v>
      </c>
      <c r="O4050">
        <v>5.7828790000000003E-3</v>
      </c>
      <c r="P4050">
        <v>0.94206330000000005</v>
      </c>
      <c r="Q4050">
        <v>0.31953939999999997</v>
      </c>
      <c r="R4050">
        <v>-0.1020359</v>
      </c>
      <c r="S4050">
        <v>3.2170100000000001</v>
      </c>
      <c r="T4050">
        <v>-0.2873925</v>
      </c>
      <c r="U4050">
        <v>-0.5988464</v>
      </c>
      <c r="V4050">
        <v>0.1079286</v>
      </c>
      <c r="W4050">
        <v>0.3328855</v>
      </c>
      <c r="X4050">
        <v>0.93677029999999994</v>
      </c>
      <c r="Y4050">
        <v>0.1878302</v>
      </c>
      <c r="Z4050">
        <v>-1.009505E-2</v>
      </c>
      <c r="AA4050">
        <v>0.98214970000000001</v>
      </c>
      <c r="AB4050">
        <v>31</v>
      </c>
      <c r="AC4050">
        <v>12.1065</v>
      </c>
      <c r="AD4050">
        <v>-1.1100102625620001</v>
      </c>
      <c r="AE4050">
        <v>-2.3142999999999998</v>
      </c>
      <c r="AF4050">
        <v>2.3650976187808901</v>
      </c>
      <c r="AG4050">
        <v>-1.1100102625620001</v>
      </c>
      <c r="AH4050">
        <v>11.995626355387399</v>
      </c>
      <c r="AI4050">
        <v>95.187480069977497</v>
      </c>
      <c r="AJ4050">
        <v>78.846430618019099</v>
      </c>
      <c r="AK4050">
        <v>12.2768424762812</v>
      </c>
      <c r="AL4050">
        <v>70.555991848714001</v>
      </c>
      <c r="AM4050">
        <v>83.427730000537196</v>
      </c>
      <c r="AN4050">
        <v>0.99999996688514903</v>
      </c>
    </row>
    <row r="4051" spans="1:40" x14ac:dyDescent="0.25">
      <c r="A4051" t="str">
        <f>"20190304164209740"</f>
        <v>20190304164209740</v>
      </c>
      <c r="B4051" t="str">
        <f>"1551688929735271"</f>
        <v>1551688929735271</v>
      </c>
      <c r="C4051" t="s">
        <v>40</v>
      </c>
      <c r="D4051">
        <v>4.15097</v>
      </c>
      <c r="E4051">
        <v>0.54516399999999998</v>
      </c>
      <c r="F4051" t="s">
        <v>46</v>
      </c>
      <c r="G4051">
        <v>-217.4126</v>
      </c>
      <c r="H4051" s="1">
        <v>2.5017589999999998E-6</v>
      </c>
      <c r="I4051">
        <v>212.46729999999999</v>
      </c>
      <c r="J4051">
        <v>-229.64930000000001</v>
      </c>
      <c r="K4051">
        <v>1.1100289999999999</v>
      </c>
      <c r="L4051">
        <v>214.82830000000001</v>
      </c>
      <c r="M4051">
        <v>0.99988350000000004</v>
      </c>
      <c r="N4051">
        <v>-1.436076E-2</v>
      </c>
      <c r="O4051">
        <v>5.158213E-3</v>
      </c>
      <c r="P4051">
        <v>0.94150049999999996</v>
      </c>
      <c r="Q4051">
        <v>0.32066889999999998</v>
      </c>
      <c r="R4051">
        <v>-0.1036753</v>
      </c>
      <c r="S4051">
        <v>3.2154690000000001</v>
      </c>
      <c r="T4051">
        <v>-0.28432760000000001</v>
      </c>
      <c r="U4051">
        <v>-0.60447689999999998</v>
      </c>
      <c r="V4051">
        <v>0.1089712</v>
      </c>
      <c r="W4051">
        <v>0.3340053</v>
      </c>
      <c r="X4051">
        <v>0.9362509</v>
      </c>
      <c r="Y4051">
        <v>0.18897600000000001</v>
      </c>
      <c r="Z4051">
        <v>-1.001663E-2</v>
      </c>
      <c r="AA4051">
        <v>0.98193059999999999</v>
      </c>
      <c r="AB4051">
        <v>31</v>
      </c>
      <c r="AC4051">
        <v>12.236700000000001</v>
      </c>
      <c r="AD4051">
        <v>-1.110026498241</v>
      </c>
      <c r="AE4051">
        <v>-2.36100000000001</v>
      </c>
      <c r="AF4051">
        <v>2.4050144542100198</v>
      </c>
      <c r="AG4051">
        <v>-1.110026498241</v>
      </c>
      <c r="AH4051">
        <v>12.1281389542692</v>
      </c>
      <c r="AI4051">
        <v>95.130076102282999</v>
      </c>
      <c r="AJ4051">
        <v>78.783734180993903</v>
      </c>
      <c r="AK4051">
        <v>12.414024643354701</v>
      </c>
      <c r="AL4051">
        <v>70.487938000933397</v>
      </c>
      <c r="AM4051">
        <v>83.361156592208502</v>
      </c>
      <c r="AN4051">
        <v>1.00000000530417</v>
      </c>
    </row>
    <row r="4052" spans="1:40" x14ac:dyDescent="0.25">
      <c r="A4052" t="str">
        <f>"20190304164209762"</f>
        <v>20190304164209762</v>
      </c>
      <c r="B4052" t="str">
        <f>"1551688929754791"</f>
        <v>1551688929754791</v>
      </c>
      <c r="C4052" t="s">
        <v>40</v>
      </c>
      <c r="D4052">
        <v>4.1794440000000002</v>
      </c>
      <c r="E4052">
        <v>0.54534919999999998</v>
      </c>
      <c r="F4052" t="s">
        <v>46</v>
      </c>
      <c r="G4052">
        <v>-216.97659999999999</v>
      </c>
      <c r="H4052" s="1">
        <v>2.272138E-6</v>
      </c>
      <c r="I4052">
        <v>212.4128</v>
      </c>
      <c r="J4052">
        <v>-229.3476</v>
      </c>
      <c r="K4052">
        <v>1.1100429999999999</v>
      </c>
      <c r="L4052">
        <v>214.82919999999999</v>
      </c>
      <c r="M4052">
        <v>0.99988650000000001</v>
      </c>
      <c r="N4052">
        <v>-1.435727E-2</v>
      </c>
      <c r="O4052">
        <v>4.5747160000000004E-3</v>
      </c>
      <c r="P4052">
        <v>0.941083</v>
      </c>
      <c r="Q4052">
        <v>0.32176850000000001</v>
      </c>
      <c r="R4052">
        <v>-0.1040575</v>
      </c>
      <c r="S4052">
        <v>3.2148129999999999</v>
      </c>
      <c r="T4052">
        <v>-0.28159220000000001</v>
      </c>
      <c r="U4052">
        <v>-0.61276249999999999</v>
      </c>
      <c r="V4052">
        <v>0.10879469999999999</v>
      </c>
      <c r="W4052">
        <v>0.33509949999999999</v>
      </c>
      <c r="X4052">
        <v>0.9358803</v>
      </c>
      <c r="Y4052">
        <v>0.1908907</v>
      </c>
      <c r="Z4052">
        <v>-9.9872980000000004E-3</v>
      </c>
      <c r="AA4052">
        <v>0.98156049999999995</v>
      </c>
      <c r="AB4052">
        <v>31</v>
      </c>
      <c r="AC4052">
        <v>12.371</v>
      </c>
      <c r="AD4052">
        <v>-1.1100407278619999</v>
      </c>
      <c r="AE4052">
        <v>-2.4163999999999799</v>
      </c>
      <c r="AF4052">
        <v>2.4539429267392698</v>
      </c>
      <c r="AG4052">
        <v>-1.1100407278619999</v>
      </c>
      <c r="AH4052">
        <v>12.2646968246111</v>
      </c>
      <c r="AI4052">
        <v>95.071598898409505</v>
      </c>
      <c r="AJ4052">
        <v>78.685559672720601</v>
      </c>
      <c r="AK4052">
        <v>12.5569428805276</v>
      </c>
      <c r="AL4052">
        <v>70.421410356685897</v>
      </c>
      <c r="AM4052">
        <v>83.369212399133701</v>
      </c>
      <c r="AN4052">
        <v>0.99999994878821297</v>
      </c>
    </row>
    <row r="4053" spans="1:40" x14ac:dyDescent="0.25">
      <c r="A4053" t="str">
        <f>"20190304164209785"</f>
        <v>20190304164209785</v>
      </c>
      <c r="B4053" t="str">
        <f>"1551688929775287"</f>
        <v>1551688929775287</v>
      </c>
      <c r="C4053" t="s">
        <v>40</v>
      </c>
      <c r="D4053">
        <v>4.2377089999999997</v>
      </c>
      <c r="E4053">
        <v>0.54551039999999995</v>
      </c>
      <c r="F4053" t="s">
        <v>46</v>
      </c>
      <c r="G4053">
        <v>-216.47409999999999</v>
      </c>
      <c r="H4053" s="1">
        <v>2.006961E-6</v>
      </c>
      <c r="I4053">
        <v>212.36150000000001</v>
      </c>
      <c r="J4053">
        <v>-229.03290000000001</v>
      </c>
      <c r="K4053">
        <v>1.110058</v>
      </c>
      <c r="L4053">
        <v>214.83</v>
      </c>
      <c r="M4053">
        <v>0.99988900000000003</v>
      </c>
      <c r="N4053">
        <v>-1.4353690000000001E-2</v>
      </c>
      <c r="O4053">
        <v>3.979013E-3</v>
      </c>
      <c r="P4053">
        <v>0.94094279999999997</v>
      </c>
      <c r="Q4053">
        <v>0.3222236</v>
      </c>
      <c r="R4053">
        <v>-0.10391590000000001</v>
      </c>
      <c r="S4053">
        <v>3.2144620000000002</v>
      </c>
      <c r="T4053">
        <v>-0.2771728</v>
      </c>
      <c r="U4053">
        <v>-0.61618039999999996</v>
      </c>
      <c r="V4053">
        <v>0.1080829</v>
      </c>
      <c r="W4053">
        <v>0.33555459999999998</v>
      </c>
      <c r="X4053">
        <v>0.93579979999999996</v>
      </c>
      <c r="Y4053">
        <v>0.19135640000000001</v>
      </c>
      <c r="Z4053">
        <v>-9.8324480000000006E-3</v>
      </c>
      <c r="AA4053">
        <v>0.98147139999999999</v>
      </c>
      <c r="AB4053">
        <v>31</v>
      </c>
      <c r="AC4053">
        <v>12.5588</v>
      </c>
      <c r="AD4053">
        <v>-1.1100559930389999</v>
      </c>
      <c r="AE4053">
        <v>-2.4685000000000001</v>
      </c>
      <c r="AF4053">
        <v>2.4996549339521201</v>
      </c>
      <c r="AG4053">
        <v>-1.1100559930389999</v>
      </c>
      <c r="AH4053">
        <v>12.455189931458101</v>
      </c>
      <c r="AI4053">
        <v>94.993912205961095</v>
      </c>
      <c r="AJ4053">
        <v>78.651957911755503</v>
      </c>
      <c r="AK4053">
        <v>12.751951039947199</v>
      </c>
      <c r="AL4053">
        <v>70.393734294459705</v>
      </c>
      <c r="AM4053">
        <v>83.411650684952605</v>
      </c>
      <c r="AN4053">
        <v>1.0000000342668001</v>
      </c>
    </row>
    <row r="4054" spans="1:40" x14ac:dyDescent="0.25">
      <c r="A4054" t="str">
        <f>"20190304164209807"</f>
        <v>20190304164209807</v>
      </c>
      <c r="B4054" t="str">
        <f>"1551688929794807"</f>
        <v>1551688929794807</v>
      </c>
      <c r="C4054" t="s">
        <v>40</v>
      </c>
      <c r="D4054">
        <v>4.7742490000000002</v>
      </c>
      <c r="E4054">
        <v>0.5719708</v>
      </c>
      <c r="F4054" t="s">
        <v>46</v>
      </c>
      <c r="G4054">
        <v>-216.02770000000001</v>
      </c>
      <c r="H4054" s="1">
        <v>1.7708249999999999E-6</v>
      </c>
      <c r="I4054">
        <v>212.32910000000001</v>
      </c>
      <c r="J4054">
        <v>-228.7158</v>
      </c>
      <c r="K4054">
        <v>1.1100719999999999</v>
      </c>
      <c r="L4054">
        <v>214.8306</v>
      </c>
      <c r="M4054">
        <v>0.99989139999999999</v>
      </c>
      <c r="N4054">
        <v>-1.4350119999999999E-2</v>
      </c>
      <c r="O4054">
        <v>3.3884539999999999E-3</v>
      </c>
      <c r="P4054">
        <v>0.94093479999999996</v>
      </c>
      <c r="Q4054">
        <v>0.32224180000000002</v>
      </c>
      <c r="R4054">
        <v>-0.10393429999999999</v>
      </c>
      <c r="S4054">
        <v>3.2139739999999999</v>
      </c>
      <c r="T4054">
        <v>-0.2743274</v>
      </c>
      <c r="U4054">
        <v>-0.61804199999999998</v>
      </c>
      <c r="V4054">
        <v>0.10753790000000001</v>
      </c>
      <c r="W4054">
        <v>0.33557300000000001</v>
      </c>
      <c r="X4054">
        <v>0.93585589999999996</v>
      </c>
      <c r="Y4054">
        <v>0.1913694</v>
      </c>
      <c r="Z4054">
        <v>-9.7051429999999994E-3</v>
      </c>
      <c r="AA4054">
        <v>0.98147010000000001</v>
      </c>
      <c r="AB4054">
        <v>31</v>
      </c>
      <c r="AC4054">
        <v>12.688099999999899</v>
      </c>
      <c r="AD4054">
        <v>-1.110070229175</v>
      </c>
      <c r="AE4054">
        <v>-2.5014999999999898</v>
      </c>
      <c r="AF4054">
        <v>2.5258725948925602</v>
      </c>
      <c r="AG4054">
        <v>-1.110070229175</v>
      </c>
      <c r="AH4054">
        <v>12.5868110391597</v>
      </c>
      <c r="AI4054">
        <v>94.942028475794999</v>
      </c>
      <c r="AJ4054">
        <v>78.652822664247395</v>
      </c>
      <c r="AK4054">
        <v>12.8856548306573</v>
      </c>
      <c r="AL4054">
        <v>70.392613481207903</v>
      </c>
      <c r="AM4054">
        <v>83.444971606651507</v>
      </c>
      <c r="AN4054">
        <v>0.99999995191510804</v>
      </c>
    </row>
    <row r="4055" spans="1:40" x14ac:dyDescent="0.25">
      <c r="A4055" t="str">
        <f>"20190304164209829"</f>
        <v>20190304164209829</v>
      </c>
      <c r="B4055" t="str">
        <f>"1551688929825064"</f>
        <v>1551688929825064</v>
      </c>
      <c r="C4055" t="s">
        <v>40</v>
      </c>
      <c r="D4055">
        <v>4.4202370000000002</v>
      </c>
      <c r="E4055">
        <v>0.58827180000000001</v>
      </c>
      <c r="F4055" t="s">
        <v>46</v>
      </c>
      <c r="G4055">
        <v>-211.45359999999999</v>
      </c>
      <c r="H4055" s="1">
        <v>-5.7449259999999895E-7</v>
      </c>
      <c r="I4055">
        <v>210.29830000000001</v>
      </c>
      <c r="J4055">
        <v>-228.40989999999999</v>
      </c>
      <c r="K4055">
        <v>1.11008</v>
      </c>
      <c r="L4055">
        <v>214.83099999999999</v>
      </c>
      <c r="M4055">
        <v>0.99989320000000004</v>
      </c>
      <c r="N4055">
        <v>-1.434685E-2</v>
      </c>
      <c r="O4055">
        <v>2.8264409999999998E-3</v>
      </c>
      <c r="P4055">
        <v>0.94121330000000003</v>
      </c>
      <c r="Q4055">
        <v>0.32158239999999999</v>
      </c>
      <c r="R4055">
        <v>-0.1034535</v>
      </c>
      <c r="S4055">
        <v>3.166229</v>
      </c>
      <c r="T4055">
        <v>-0.20361009999999999</v>
      </c>
      <c r="U4055">
        <v>-0.83132929999999905</v>
      </c>
      <c r="V4055">
        <v>0.1065231</v>
      </c>
      <c r="W4055">
        <v>0.33491850000000001</v>
      </c>
      <c r="X4055">
        <v>0.93620639999999999</v>
      </c>
      <c r="Y4055">
        <v>0.25607170000000001</v>
      </c>
      <c r="Z4055">
        <v>-1.009696E-2</v>
      </c>
      <c r="AA4055">
        <v>0.96660509999999999</v>
      </c>
      <c r="AB4055">
        <v>31</v>
      </c>
      <c r="AC4055">
        <v>16.956299999999999</v>
      </c>
      <c r="AD4055">
        <v>-1.1100805744925999</v>
      </c>
      <c r="AE4055">
        <v>-4.53269999999997</v>
      </c>
      <c r="AF4055">
        <v>4.5623628603055</v>
      </c>
      <c r="AG4055">
        <v>-1.1100805744925999</v>
      </c>
      <c r="AH4055">
        <v>16.875914067444299</v>
      </c>
      <c r="AI4055">
        <v>93.633368920767197</v>
      </c>
      <c r="AJ4055">
        <v>74.871863733905101</v>
      </c>
      <c r="AK4055">
        <v>17.516960620002699</v>
      </c>
      <c r="AL4055">
        <v>70.432417908719898</v>
      </c>
      <c r="AM4055">
        <v>83.508708808429304</v>
      </c>
      <c r="AN4055">
        <v>0.99999999793840999</v>
      </c>
    </row>
    <row r="4056" spans="1:40" x14ac:dyDescent="0.25">
      <c r="A4056" t="str">
        <f>"20190304164209851"</f>
        <v>20190304164209851</v>
      </c>
      <c r="B4056" t="str">
        <f>"1551688929845559"</f>
        <v>1551688929845559</v>
      </c>
      <c r="C4056" t="s">
        <v>40</v>
      </c>
      <c r="D4056">
        <v>4.2699509999999998</v>
      </c>
      <c r="E4056">
        <v>0.59265509999999999</v>
      </c>
      <c r="F4056" t="s">
        <v>46</v>
      </c>
      <c r="G4056">
        <v>-215.4572</v>
      </c>
      <c r="H4056" s="1">
        <v>1.528482E-6</v>
      </c>
      <c r="I4056">
        <v>210.9281</v>
      </c>
      <c r="J4056">
        <v>-228.101</v>
      </c>
      <c r="K4056">
        <v>1.1100810000000001</v>
      </c>
      <c r="L4056">
        <v>214.8313</v>
      </c>
      <c r="M4056">
        <v>0.99989470000000003</v>
      </c>
      <c r="N4056">
        <v>-1.4343460000000001E-2</v>
      </c>
      <c r="O4056">
        <v>2.2635530000000002E-3</v>
      </c>
      <c r="P4056">
        <v>0.9412315</v>
      </c>
      <c r="Q4056">
        <v>0.32198769999999999</v>
      </c>
      <c r="R4056">
        <v>-0.10201739999999999</v>
      </c>
      <c r="S4056">
        <v>3.1752009999999999</v>
      </c>
      <c r="T4056">
        <v>-0.27212389999999997</v>
      </c>
      <c r="U4056">
        <v>-0.95675659999999896</v>
      </c>
      <c r="V4056">
        <v>0.1045543</v>
      </c>
      <c r="W4056">
        <v>0.33532509999999999</v>
      </c>
      <c r="X4056">
        <v>0.93628279999999997</v>
      </c>
      <c r="Y4056">
        <v>0.28952169999999999</v>
      </c>
      <c r="Z4056">
        <v>-1.439957E-2</v>
      </c>
      <c r="AA4056">
        <v>0.95706310000000006</v>
      </c>
      <c r="AB4056">
        <v>31</v>
      </c>
      <c r="AC4056">
        <v>12.643800000000001</v>
      </c>
      <c r="AD4056">
        <v>-1.11007947151799</v>
      </c>
      <c r="AE4056">
        <v>-3.9031999999999898</v>
      </c>
      <c r="AF4056">
        <v>3.90433596105244</v>
      </c>
      <c r="AG4056">
        <v>-1.11007947151799</v>
      </c>
      <c r="AH4056">
        <v>12.546634252989399</v>
      </c>
      <c r="AI4056">
        <v>94.8289030655788</v>
      </c>
      <c r="AJ4056">
        <v>72.714593572592605</v>
      </c>
      <c r="AK4056">
        <v>13.186892992973799</v>
      </c>
      <c r="AL4056">
        <v>70.407691745922193</v>
      </c>
      <c r="AM4056">
        <v>83.628202928016506</v>
      </c>
      <c r="AN4056">
        <v>1.0000000029571701</v>
      </c>
    </row>
    <row r="4057" spans="1:40" x14ac:dyDescent="0.25">
      <c r="A4057" t="str">
        <f>"20190304164209873"</f>
        <v>20190304164209873</v>
      </c>
      <c r="B4057" t="str">
        <f>"1551688929865079"</f>
        <v>1551688929865079</v>
      </c>
      <c r="C4057" t="s">
        <v>40</v>
      </c>
      <c r="D4057">
        <v>4.4154390000000001</v>
      </c>
      <c r="E4057">
        <v>0.59422659999999905</v>
      </c>
      <c r="F4057" t="s">
        <v>46</v>
      </c>
      <c r="G4057">
        <v>-215.715</v>
      </c>
      <c r="H4057" s="1">
        <v>1.6633950000000001E-6</v>
      </c>
      <c r="I4057">
        <v>210.97980000000001</v>
      </c>
      <c r="J4057">
        <v>-227.79329999999999</v>
      </c>
      <c r="K4057">
        <v>1.110087</v>
      </c>
      <c r="L4057">
        <v>214.8314</v>
      </c>
      <c r="M4057">
        <v>0.9998958</v>
      </c>
      <c r="N4057">
        <v>-1.434003E-2</v>
      </c>
      <c r="O4057">
        <v>1.70505299999999E-3</v>
      </c>
      <c r="P4057">
        <v>0.94111750000000005</v>
      </c>
      <c r="Q4057">
        <v>0.32262659999999999</v>
      </c>
      <c r="R4057">
        <v>-0.10104630000000001</v>
      </c>
      <c r="S4057">
        <v>3.1776430000000002</v>
      </c>
      <c r="T4057">
        <v>-0.28479179999999998</v>
      </c>
      <c r="U4057">
        <v>-0.98809809999999998</v>
      </c>
      <c r="V4057">
        <v>0.10305549999999999</v>
      </c>
      <c r="W4057">
        <v>0.33596290000000001</v>
      </c>
      <c r="X4057">
        <v>0.93622030000000001</v>
      </c>
      <c r="Y4057">
        <v>0.29727799999999999</v>
      </c>
      <c r="Z4057">
        <v>-1.530046E-2</v>
      </c>
      <c r="AA4057">
        <v>0.95466839999999997</v>
      </c>
      <c r="AB4057">
        <v>31</v>
      </c>
      <c r="AC4057">
        <v>12.078299999999899</v>
      </c>
      <c r="AD4057">
        <v>-1.1100853366050001</v>
      </c>
      <c r="AE4057">
        <v>-3.8515999999999901</v>
      </c>
      <c r="AF4057">
        <v>3.8427273190689601</v>
      </c>
      <c r="AG4057">
        <v>-1.1100853366050001</v>
      </c>
      <c r="AH4057">
        <v>11.9798614042927</v>
      </c>
      <c r="AI4057">
        <v>95.042405143987693</v>
      </c>
      <c r="AJ4057">
        <v>72.215546663161206</v>
      </c>
      <c r="AK4057">
        <v>12.6299612813867</v>
      </c>
      <c r="AL4057">
        <v>70.368897525122705</v>
      </c>
      <c r="AM4057">
        <v>83.718392217267606</v>
      </c>
      <c r="AN4057">
        <v>0.99999997819437403</v>
      </c>
    </row>
    <row r="4058" spans="1:40" x14ac:dyDescent="0.25">
      <c r="A4058" t="str">
        <f>"20190304164209896"</f>
        <v>20190304164209896</v>
      </c>
      <c r="B4058" t="str">
        <f>"1551688929885576"</f>
        <v>1551688929885576</v>
      </c>
      <c r="C4058" t="s">
        <v>40</v>
      </c>
      <c r="D4058">
        <v>4.4215910000000003</v>
      </c>
      <c r="E4058">
        <v>0.59515269999999898</v>
      </c>
      <c r="F4058" t="s">
        <v>46</v>
      </c>
      <c r="G4058">
        <v>-215.971</v>
      </c>
      <c r="H4058" s="1">
        <v>1.7932769999999901E-6</v>
      </c>
      <c r="I4058">
        <v>211.12559999999999</v>
      </c>
      <c r="J4058">
        <v>-227.49090000000001</v>
      </c>
      <c r="K4058">
        <v>1.1100939999999999</v>
      </c>
      <c r="L4058">
        <v>214.8314</v>
      </c>
      <c r="M4058">
        <v>0.99989669999999997</v>
      </c>
      <c r="N4058">
        <v>-1.4336700000000001E-2</v>
      </c>
      <c r="O4058">
        <v>1.1573379999999999E-3</v>
      </c>
      <c r="P4058">
        <v>0.94109600000000004</v>
      </c>
      <c r="Q4058">
        <v>0.32301869999999999</v>
      </c>
      <c r="R4058">
        <v>-9.9987510000000002E-2</v>
      </c>
      <c r="S4058">
        <v>3.1830440000000002</v>
      </c>
      <c r="T4058">
        <v>-0.29887989999999998</v>
      </c>
      <c r="U4058">
        <v>-0.99775700000000001</v>
      </c>
      <c r="V4058">
        <v>0.10147929999999999</v>
      </c>
      <c r="W4058">
        <v>0.33635490000000001</v>
      </c>
      <c r="X4058">
        <v>0.93625179999999997</v>
      </c>
      <c r="Y4058">
        <v>0.29881570000000002</v>
      </c>
      <c r="Z4058">
        <v>-1.5959379999999999E-2</v>
      </c>
      <c r="AA4058">
        <v>0.95417739999999995</v>
      </c>
      <c r="AB4058">
        <v>31</v>
      </c>
      <c r="AC4058">
        <v>11.5199</v>
      </c>
      <c r="AD4058">
        <v>-1.1100922067229999</v>
      </c>
      <c r="AE4058">
        <v>-3.7058</v>
      </c>
      <c r="AF4058">
        <v>3.6880958947082498</v>
      </c>
      <c r="AG4058">
        <v>-1.1100922067229999</v>
      </c>
      <c r="AH4058">
        <v>11.4195075684398</v>
      </c>
      <c r="AI4058">
        <v>95.285126152730399</v>
      </c>
      <c r="AJ4058">
        <v>72.101383700478195</v>
      </c>
      <c r="AK4058">
        <v>12.051535551192</v>
      </c>
      <c r="AL4058">
        <v>70.345051235483197</v>
      </c>
      <c r="AM4058">
        <v>83.813923213367005</v>
      </c>
      <c r="AN4058">
        <v>1.0000000500428601</v>
      </c>
    </row>
    <row r="4059" spans="1:40" x14ac:dyDescent="0.25">
      <c r="A4059" t="str">
        <f>"20190304164209918"</f>
        <v>20190304164209918</v>
      </c>
      <c r="B4059" t="str">
        <f>"1551688929914856"</f>
        <v>1551688929914856</v>
      </c>
      <c r="C4059" t="s">
        <v>40</v>
      </c>
      <c r="D4059">
        <v>4.4056739999999897</v>
      </c>
      <c r="E4059">
        <v>0.59598019999999996</v>
      </c>
      <c r="F4059" t="s">
        <v>46</v>
      </c>
      <c r="G4059">
        <v>-215.9906</v>
      </c>
      <c r="H4059" s="1">
        <v>1.799741E-6</v>
      </c>
      <c r="I4059">
        <v>211.2159</v>
      </c>
      <c r="J4059">
        <v>-227.18</v>
      </c>
      <c r="K4059">
        <v>1.1101019999999999</v>
      </c>
      <c r="L4059">
        <v>214.83109999999999</v>
      </c>
      <c r="M4059">
        <v>0.99989709999999998</v>
      </c>
      <c r="N4059">
        <v>-1.433332E-2</v>
      </c>
      <c r="O4059">
        <v>5.956345E-4</v>
      </c>
      <c r="P4059">
        <v>0.94132559999999998</v>
      </c>
      <c r="Q4059">
        <v>0.32274459999999999</v>
      </c>
      <c r="R4059">
        <v>-9.8702780000000004E-2</v>
      </c>
      <c r="S4059">
        <v>3.1869200000000002</v>
      </c>
      <c r="T4059">
        <v>-0.30762329999999999</v>
      </c>
      <c r="U4059">
        <v>-1.001892</v>
      </c>
      <c r="V4059">
        <v>9.9662600000000004E-2</v>
      </c>
      <c r="W4059">
        <v>0.33608510000000003</v>
      </c>
      <c r="X4059">
        <v>0.93654380000000004</v>
      </c>
      <c r="Y4059">
        <v>0.29900339999999997</v>
      </c>
      <c r="Z4059">
        <v>-1.6306930000000001E-2</v>
      </c>
      <c r="AA4059">
        <v>0.95411270000000004</v>
      </c>
      <c r="AB4059">
        <v>31</v>
      </c>
      <c r="AC4059">
        <v>11.189399999999999</v>
      </c>
      <c r="AD4059">
        <v>-1.1101002002589999</v>
      </c>
      <c r="AE4059">
        <v>-3.6151999999999802</v>
      </c>
      <c r="AF4059">
        <v>3.5898708855006798</v>
      </c>
      <c r="AG4059">
        <v>-1.1101002002589999</v>
      </c>
      <c r="AH4059">
        <v>11.088421291097401</v>
      </c>
      <c r="AI4059">
        <v>95.4407956071379</v>
      </c>
      <c r="AJ4059">
        <v>72.060665526670803</v>
      </c>
      <c r="AK4059">
        <v>11.7078000562891</v>
      </c>
      <c r="AL4059">
        <v>70.361465379026995</v>
      </c>
      <c r="AM4059">
        <v>83.925711811217596</v>
      </c>
      <c r="AN4059">
        <v>1.0000000587996001</v>
      </c>
    </row>
    <row r="4060" spans="1:40" x14ac:dyDescent="0.25">
      <c r="A4060" t="str">
        <f>"20190304164209941"</f>
        <v>20190304164209941</v>
      </c>
      <c r="B4060" t="str">
        <f>"1551688929935351"</f>
        <v>1551688929935351</v>
      </c>
      <c r="C4060" t="s">
        <v>40</v>
      </c>
      <c r="D4060">
        <v>4.4133170000000002</v>
      </c>
      <c r="E4060">
        <v>0.59641549999999999</v>
      </c>
      <c r="F4060" t="s">
        <v>46</v>
      </c>
      <c r="G4060">
        <v>-216.1619</v>
      </c>
      <c r="H4060" s="1">
        <v>1.8845820000000001E-6</v>
      </c>
      <c r="I4060">
        <v>211.36009999999999</v>
      </c>
      <c r="J4060">
        <v>-226.86340000000001</v>
      </c>
      <c r="K4060">
        <v>1.110109</v>
      </c>
      <c r="L4060">
        <v>214.83070000000001</v>
      </c>
      <c r="M4060">
        <v>0.99989740000000005</v>
      </c>
      <c r="N4060">
        <v>-1.432991E-2</v>
      </c>
      <c r="O4060" s="1">
        <v>2.9438670000000001E-5</v>
      </c>
      <c r="P4060">
        <v>0.94169590000000003</v>
      </c>
      <c r="Q4060">
        <v>0.32196940000000002</v>
      </c>
      <c r="R4060">
        <v>-9.7698229999999997E-2</v>
      </c>
      <c r="S4060">
        <v>3.1918329999999999</v>
      </c>
      <c r="T4060">
        <v>-0.32158320000000001</v>
      </c>
      <c r="U4060">
        <v>-1.0055080000000001</v>
      </c>
      <c r="V4060">
        <v>9.8119209999999998E-2</v>
      </c>
      <c r="W4060">
        <v>0.33531559999999999</v>
      </c>
      <c r="X4060">
        <v>0.93698239999999999</v>
      </c>
      <c r="Y4060">
        <v>0.2989077</v>
      </c>
      <c r="Z4060">
        <v>-1.686764E-2</v>
      </c>
      <c r="AA4060">
        <v>0.95413300000000001</v>
      </c>
      <c r="AB4060">
        <v>31</v>
      </c>
      <c r="AC4060">
        <v>10.701499999999999</v>
      </c>
      <c r="AD4060">
        <v>-1.110107115418</v>
      </c>
      <c r="AE4060">
        <v>-3.4706000000000099</v>
      </c>
      <c r="AF4060">
        <v>3.4374459259221801</v>
      </c>
      <c r="AG4060">
        <v>-1.110107115418</v>
      </c>
      <c r="AH4060">
        <v>10.598206983557001</v>
      </c>
      <c r="AI4060">
        <v>95.689893570985802</v>
      </c>
      <c r="AJ4060">
        <v>72.029932775293901</v>
      </c>
      <c r="AK4060">
        <v>11.1968907991306</v>
      </c>
      <c r="AL4060">
        <v>70.408268924206993</v>
      </c>
      <c r="AM4060">
        <v>84.0218713737396</v>
      </c>
      <c r="AN4060">
        <v>0.999999974442071</v>
      </c>
    </row>
    <row r="4061" spans="1:40" x14ac:dyDescent="0.25">
      <c r="A4061" t="str">
        <f>"20190304164209963"</f>
        <v>20190304164209963</v>
      </c>
      <c r="B4061" t="str">
        <f>"1551688929954871"</f>
        <v>1551688929954871</v>
      </c>
      <c r="C4061" t="s">
        <v>40</v>
      </c>
      <c r="D4061">
        <v>4.4208220000000003</v>
      </c>
      <c r="E4061">
        <v>0.596728699999999</v>
      </c>
      <c r="F4061" t="s">
        <v>46</v>
      </c>
      <c r="G4061">
        <v>-216.1378</v>
      </c>
      <c r="H4061" s="1">
        <v>1.8678600000000001E-6</v>
      </c>
      <c r="I4061">
        <v>211.44990000000001</v>
      </c>
      <c r="J4061">
        <v>-226.56780000000001</v>
      </c>
      <c r="K4061">
        <v>1.110115</v>
      </c>
      <c r="L4061">
        <v>214.83009999999999</v>
      </c>
      <c r="M4061">
        <v>0.99989729999999999</v>
      </c>
      <c r="N4061">
        <v>-1.432668E-2</v>
      </c>
      <c r="O4061">
        <v>-4.8926619999999999E-4</v>
      </c>
      <c r="P4061">
        <v>0.9417122</v>
      </c>
      <c r="Q4061">
        <v>0.32214209999999999</v>
      </c>
      <c r="R4061">
        <v>-9.6968589999999993E-2</v>
      </c>
      <c r="S4061">
        <v>3.194321</v>
      </c>
      <c r="T4061">
        <v>-0.33061410000000002</v>
      </c>
      <c r="U4061">
        <v>-1.006866</v>
      </c>
      <c r="V4061">
        <v>9.6894259999999996E-2</v>
      </c>
      <c r="W4061">
        <v>0.33548990000000001</v>
      </c>
      <c r="X4061">
        <v>0.93704750000000003</v>
      </c>
      <c r="Y4061">
        <v>0.29849160000000002</v>
      </c>
      <c r="Z4061">
        <v>-1.7196289999999999E-2</v>
      </c>
      <c r="AA4061">
        <v>0.95425740000000003</v>
      </c>
      <c r="AB4061">
        <v>31</v>
      </c>
      <c r="AC4061">
        <v>10.43</v>
      </c>
      <c r="AD4061">
        <v>-1.11011313214</v>
      </c>
      <c r="AE4061">
        <v>-3.3801999999999701</v>
      </c>
      <c r="AF4061">
        <v>3.3408470080060599</v>
      </c>
      <c r="AG4061">
        <v>-1.11011313214</v>
      </c>
      <c r="AH4061">
        <v>10.3257968302938</v>
      </c>
      <c r="AI4061">
        <v>95.840366626345897</v>
      </c>
      <c r="AJ4061">
        <v>72.071336664027697</v>
      </c>
      <c r="AK4061">
        <v>10.909431244458</v>
      </c>
      <c r="AL4061">
        <v>70.397668619957997</v>
      </c>
      <c r="AM4061">
        <v>84.096380938059994</v>
      </c>
      <c r="AN4061">
        <v>0.99999999393960304</v>
      </c>
    </row>
    <row r="4062" spans="1:40" x14ac:dyDescent="0.25">
      <c r="A4062" t="str">
        <f>"20190304164209986"</f>
        <v>20190304164209986</v>
      </c>
      <c r="B4062" t="str">
        <f>"1551688929975368"</f>
        <v>1551688929975368</v>
      </c>
      <c r="C4062" t="s">
        <v>40</v>
      </c>
      <c r="D4062">
        <v>4.6385579999999997</v>
      </c>
      <c r="E4062">
        <v>0.59655570000000002</v>
      </c>
      <c r="F4062" t="s">
        <v>46</v>
      </c>
      <c r="G4062">
        <v>-216.03739999999999</v>
      </c>
      <c r="H4062" s="1">
        <v>1.8116059999999999E-6</v>
      </c>
      <c r="I4062">
        <v>211.5138</v>
      </c>
      <c r="J4062">
        <v>-226.25579999999999</v>
      </c>
      <c r="K4062">
        <v>1.110134</v>
      </c>
      <c r="L4062">
        <v>214.82939999999999</v>
      </c>
      <c r="M4062">
        <v>0.99989689999999998</v>
      </c>
      <c r="N4062">
        <v>-1.432334E-2</v>
      </c>
      <c r="O4062">
        <v>-1.0188420000000001E-3</v>
      </c>
      <c r="P4062">
        <v>0.94193079999999996</v>
      </c>
      <c r="Q4062">
        <v>0.3216965</v>
      </c>
      <c r="R4062">
        <v>-9.6320030000000001E-2</v>
      </c>
      <c r="S4062">
        <v>3.1972960000000001</v>
      </c>
      <c r="T4062">
        <v>-0.33705689999999999</v>
      </c>
      <c r="U4062">
        <v>-1.006912</v>
      </c>
      <c r="V4062">
        <v>9.5735130000000002E-2</v>
      </c>
      <c r="W4062">
        <v>0.33504970000000001</v>
      </c>
      <c r="X4062">
        <v>0.93732409999999999</v>
      </c>
      <c r="Y4062">
        <v>0.29769250000000003</v>
      </c>
      <c r="Z4062">
        <v>-1.7379220000000001E-2</v>
      </c>
      <c r="AA4062">
        <v>0.95450360000000001</v>
      </c>
      <c r="AB4062">
        <v>31</v>
      </c>
      <c r="AC4062">
        <v>10.218400000000001</v>
      </c>
      <c r="AD4062">
        <v>-1.1101321883940001</v>
      </c>
      <c r="AE4062">
        <v>-3.3155999999999799</v>
      </c>
      <c r="AF4062">
        <v>3.2702647670041798</v>
      </c>
      <c r="AG4062">
        <v>-1.1101321883940001</v>
      </c>
      <c r="AH4062">
        <v>10.1137732293941</v>
      </c>
      <c r="AI4062">
        <v>95.962371753283193</v>
      </c>
      <c r="AJ4062">
        <v>72.081508345215397</v>
      </c>
      <c r="AK4062">
        <v>10.6871621143139</v>
      </c>
      <c r="AL4062">
        <v>70.424439644323797</v>
      </c>
      <c r="AM4062">
        <v>84.168224560560603</v>
      </c>
      <c r="AN4062">
        <v>0.99999999251350802</v>
      </c>
    </row>
    <row r="4063" spans="1:40" x14ac:dyDescent="0.25">
      <c r="A4063" t="str">
        <f>"20190304164210009"</f>
        <v>20190304164210009</v>
      </c>
      <c r="B4063" t="str">
        <f>"1551688930005623"</f>
        <v>1551688930005623</v>
      </c>
      <c r="C4063" t="s">
        <v>40</v>
      </c>
      <c r="D4063">
        <v>4.3509900000000004</v>
      </c>
      <c r="E4063">
        <v>0.55278470000000002</v>
      </c>
      <c r="F4063" t="s">
        <v>46</v>
      </c>
      <c r="G4063">
        <v>-215.92339999999999</v>
      </c>
      <c r="H4063" s="1">
        <v>1.7477560000000001E-6</v>
      </c>
      <c r="I4063">
        <v>211.58709999999999</v>
      </c>
      <c r="J4063">
        <v>-225.93780000000001</v>
      </c>
      <c r="K4063">
        <v>1.110158</v>
      </c>
      <c r="L4063">
        <v>214.82849999999999</v>
      </c>
      <c r="M4063">
        <v>0.99989629999999996</v>
      </c>
      <c r="N4063">
        <v>-1.431986E-2</v>
      </c>
      <c r="O4063">
        <v>-1.5394269999999999E-3</v>
      </c>
      <c r="P4063">
        <v>0.94193660000000001</v>
      </c>
      <c r="Q4063">
        <v>0.3216175</v>
      </c>
      <c r="R4063">
        <v>-9.6528600000000006E-2</v>
      </c>
      <c r="S4063">
        <v>3.1996920000000002</v>
      </c>
      <c r="T4063">
        <v>-0.34378219999999998</v>
      </c>
      <c r="U4063">
        <v>-1.004059</v>
      </c>
      <c r="V4063">
        <v>9.5439750000000004E-2</v>
      </c>
      <c r="W4063">
        <v>0.3349724</v>
      </c>
      <c r="X4063">
        <v>0.93738189999999999</v>
      </c>
      <c r="Y4063">
        <v>0.2961645</v>
      </c>
      <c r="Z4063">
        <v>-1.7532409999999998E-2</v>
      </c>
      <c r="AA4063">
        <v>0.95497600000000005</v>
      </c>
      <c r="AB4063">
        <v>31</v>
      </c>
      <c r="AC4063">
        <v>10.0144</v>
      </c>
      <c r="AD4063">
        <v>-1.1101562522440001</v>
      </c>
      <c r="AE4063">
        <v>-3.2413999999999898</v>
      </c>
      <c r="AF4063">
        <v>3.1904881678192698</v>
      </c>
      <c r="AG4063">
        <v>-1.1101562522440001</v>
      </c>
      <c r="AH4063">
        <v>9.9091522935539604</v>
      </c>
      <c r="AI4063">
        <v>96.087134388936207</v>
      </c>
      <c r="AJ4063">
        <v>72.152797662268597</v>
      </c>
      <c r="AK4063">
        <v>10.4691432710722</v>
      </c>
      <c r="AL4063">
        <v>70.429141213910498</v>
      </c>
      <c r="AM4063">
        <v>84.186450438740394</v>
      </c>
      <c r="AN4063">
        <v>1.00000004054471</v>
      </c>
    </row>
    <row r="4064" spans="1:40" x14ac:dyDescent="0.25">
      <c r="A4064" t="str">
        <f>"20190304164210031"</f>
        <v>20190304164210031</v>
      </c>
      <c r="B4064" t="str">
        <f>"1551688930025144"</f>
        <v>1551688930025144</v>
      </c>
      <c r="C4064" t="s">
        <v>40</v>
      </c>
      <c r="D4064">
        <v>4.232907</v>
      </c>
      <c r="E4064">
        <v>0.54588800000000004</v>
      </c>
      <c r="F4064" t="s">
        <v>46</v>
      </c>
      <c r="G4064">
        <v>-212.86160000000001</v>
      </c>
      <c r="H4064" s="1">
        <v>9.4214929999999998E-8</v>
      </c>
      <c r="I4064">
        <v>212.14060000000001</v>
      </c>
      <c r="J4064">
        <v>-225.63130000000001</v>
      </c>
      <c r="K4064">
        <v>1.110185</v>
      </c>
      <c r="L4064">
        <v>214.82749999999999</v>
      </c>
      <c r="M4064">
        <v>0.99989550000000005</v>
      </c>
      <c r="N4064">
        <v>-1.4316489999999999E-2</v>
      </c>
      <c r="O4064">
        <v>-2.0147759999999998E-3</v>
      </c>
      <c r="P4064">
        <v>0.94171360000000004</v>
      </c>
      <c r="Q4064">
        <v>0.32208249999999999</v>
      </c>
      <c r="R4064">
        <v>-9.7151399999999902E-2</v>
      </c>
      <c r="S4064">
        <v>3.2103579999999998</v>
      </c>
      <c r="T4064">
        <v>-0.27255649999999998</v>
      </c>
      <c r="U4064">
        <v>-0.6599121</v>
      </c>
      <c r="V4064">
        <v>9.5599660000000003E-2</v>
      </c>
      <c r="W4064">
        <v>0.33543600000000001</v>
      </c>
      <c r="X4064">
        <v>0.93719980000000003</v>
      </c>
      <c r="Y4064">
        <v>0.19857279999999999</v>
      </c>
      <c r="Z4064">
        <v>-9.6262190000000001E-3</v>
      </c>
      <c r="AA4064">
        <v>0.98003890000000005</v>
      </c>
      <c r="AB4064">
        <v>31</v>
      </c>
      <c r="AC4064">
        <v>12.7697</v>
      </c>
      <c r="AD4064">
        <v>-1.1101849057850699</v>
      </c>
      <c r="AE4064">
        <v>-2.6868999999999699</v>
      </c>
      <c r="AF4064">
        <v>2.6420408855568098</v>
      </c>
      <c r="AG4064">
        <v>-1.1101849057850699</v>
      </c>
      <c r="AH4064">
        <v>12.6832872383214</v>
      </c>
      <c r="AI4064">
        <v>94.897817484769405</v>
      </c>
      <c r="AJ4064">
        <v>78.233055917671294</v>
      </c>
      <c r="AK4064">
        <v>13.0030252532153</v>
      </c>
      <c r="AL4064">
        <v>70.400947663025903</v>
      </c>
      <c r="AM4064">
        <v>84.175652990401503</v>
      </c>
      <c r="AN4064">
        <v>1.0000000351040701</v>
      </c>
    </row>
    <row r="4065" spans="1:40" x14ac:dyDescent="0.25">
      <c r="A4065" t="str">
        <f>"20190304164210053"</f>
        <v>20190304164210053</v>
      </c>
      <c r="B4065" t="str">
        <f>"1551688930045639"</f>
        <v>1551688930045639</v>
      </c>
      <c r="C4065" t="s">
        <v>40</v>
      </c>
      <c r="D4065">
        <v>4.1639559999999998</v>
      </c>
      <c r="E4065">
        <v>0.5433365</v>
      </c>
      <c r="F4065" t="s">
        <v>46</v>
      </c>
      <c r="G4065">
        <v>-213.30959999999999</v>
      </c>
      <c r="H4065" s="1">
        <v>3.1639040000000001E-7</v>
      </c>
      <c r="I4065">
        <v>212.5119</v>
      </c>
      <c r="J4065">
        <v>-225.3306</v>
      </c>
      <c r="K4065">
        <v>1.1102190000000001</v>
      </c>
      <c r="L4065">
        <v>214.82640000000001</v>
      </c>
      <c r="M4065">
        <v>0.99989450000000002</v>
      </c>
      <c r="N4065">
        <v>-1.431315E-2</v>
      </c>
      <c r="O4065">
        <v>-2.4451970000000001E-3</v>
      </c>
      <c r="P4065">
        <v>0.9414865</v>
      </c>
      <c r="Q4065">
        <v>0.32248880000000002</v>
      </c>
      <c r="R4065">
        <v>-9.8001329999999998E-2</v>
      </c>
      <c r="S4065">
        <v>3.2224729999999999</v>
      </c>
      <c r="T4065">
        <v>-0.29034349999999998</v>
      </c>
      <c r="U4065">
        <v>-0.60559079999999998</v>
      </c>
      <c r="V4065">
        <v>9.602434E-2</v>
      </c>
      <c r="W4065">
        <v>0.33584209999999998</v>
      </c>
      <c r="X4065">
        <v>0.93701089999999998</v>
      </c>
      <c r="Y4065">
        <v>0.18147070000000001</v>
      </c>
      <c r="Z4065">
        <v>-9.2180060000000008E-3</v>
      </c>
      <c r="AA4065">
        <v>0.98335309999999998</v>
      </c>
      <c r="AB4065">
        <v>31</v>
      </c>
      <c r="AC4065">
        <v>12.021000000000001</v>
      </c>
      <c r="AD4065">
        <v>-1.1102186836096</v>
      </c>
      <c r="AE4065">
        <v>-2.3144999999999998</v>
      </c>
      <c r="AF4065">
        <v>2.2664551237011699</v>
      </c>
      <c r="AG4065">
        <v>-1.1102186836096</v>
      </c>
      <c r="AH4065">
        <v>11.928513934797</v>
      </c>
      <c r="AI4065">
        <v>95.224416151087595</v>
      </c>
      <c r="AJ4065">
        <v>79.241859176082798</v>
      </c>
      <c r="AK4065">
        <v>12.192573520214401</v>
      </c>
      <c r="AL4065">
        <v>70.376246431180306</v>
      </c>
      <c r="AM4065">
        <v>84.148787511697293</v>
      </c>
      <c r="AN4065">
        <v>1.0000000083618199</v>
      </c>
    </row>
    <row r="4066" spans="1:40" x14ac:dyDescent="0.25">
      <c r="A4066" t="str">
        <f>"20190304164210074"</f>
        <v>20190304164210074</v>
      </c>
      <c r="B4066" t="str">
        <f>"1551688930065160"</f>
        <v>1551688930065160</v>
      </c>
      <c r="C4066" t="s">
        <v>40</v>
      </c>
      <c r="D4066">
        <v>4.8700519999999896</v>
      </c>
      <c r="E4066">
        <v>0.54259299999999999</v>
      </c>
      <c r="F4066" t="s">
        <v>41</v>
      </c>
      <c r="G4066">
        <v>-224.47290000000001</v>
      </c>
      <c r="H4066">
        <v>1.033185</v>
      </c>
      <c r="I4066">
        <v>214.67</v>
      </c>
      <c r="J4066">
        <v>-225.03530000000001</v>
      </c>
      <c r="K4066">
        <v>1.1102620000000001</v>
      </c>
      <c r="L4066">
        <v>214.8253</v>
      </c>
      <c r="M4066">
        <v>0.9998937</v>
      </c>
      <c r="N4066">
        <v>-1.4309850000000001E-2</v>
      </c>
      <c r="O4066">
        <v>-2.823632E-3</v>
      </c>
      <c r="P4066">
        <v>0.94124050000000004</v>
      </c>
      <c r="Q4066">
        <v>0.32290970000000002</v>
      </c>
      <c r="R4066">
        <v>-9.8974699999999999E-2</v>
      </c>
      <c r="S4066">
        <v>3.2245180000000002</v>
      </c>
      <c r="T4066">
        <v>-0.28970030000000002</v>
      </c>
      <c r="U4066">
        <v>-0.58775330000000003</v>
      </c>
      <c r="V4066">
        <v>9.661554E-2</v>
      </c>
      <c r="W4066">
        <v>0.3362638</v>
      </c>
      <c r="X4066">
        <v>0.93679889999999999</v>
      </c>
      <c r="Y4066">
        <v>0.1757531</v>
      </c>
      <c r="Z4066">
        <v>-8.8748279999999995E-3</v>
      </c>
      <c r="AA4066">
        <v>0.98439430000000006</v>
      </c>
      <c r="AB4066">
        <v>31</v>
      </c>
      <c r="AC4066">
        <v>0.56239999999999601</v>
      </c>
      <c r="AD4066">
        <v>-7.7077000000000007E-2</v>
      </c>
      <c r="AE4066">
        <v>-0.15530000000001101</v>
      </c>
      <c r="AF4066">
        <v>0.15107465441194001</v>
      </c>
      <c r="AG4066">
        <v>-7.7077000000000007E-2</v>
      </c>
      <c r="AH4066">
        <v>0.55318218299534605</v>
      </c>
      <c r="AI4066">
        <v>97.655329539029395</v>
      </c>
      <c r="AJ4066">
        <v>74.724948095769903</v>
      </c>
      <c r="AK4066">
        <v>0.57859739259539</v>
      </c>
      <c r="AL4066">
        <v>70.350593565484004</v>
      </c>
      <c r="AM4066">
        <v>84.111692289195204</v>
      </c>
      <c r="AN4066">
        <v>1.0000000424005699</v>
      </c>
    </row>
    <row r="4067" spans="1:40" x14ac:dyDescent="0.25">
      <c r="A4067" t="str">
        <f>"20190304164210097"</f>
        <v>20190304164210097</v>
      </c>
      <c r="B4067" t="str">
        <f>"1551688930085656"</f>
        <v>1551688930085656</v>
      </c>
      <c r="C4067" t="s">
        <v>40</v>
      </c>
      <c r="D4067">
        <v>4.167897</v>
      </c>
      <c r="E4067">
        <v>0.54237539999999995</v>
      </c>
      <c r="F4067" t="s">
        <v>41</v>
      </c>
      <c r="G4067">
        <v>-224.20490000000001</v>
      </c>
      <c r="H4067">
        <v>1.0354559999999999</v>
      </c>
      <c r="I4067">
        <v>214.67429999999999</v>
      </c>
      <c r="J4067">
        <v>-224.72890000000001</v>
      </c>
      <c r="K4067">
        <v>1.110314</v>
      </c>
      <c r="L4067">
        <v>214.82400000000001</v>
      </c>
      <c r="M4067">
        <v>0.99989269999999997</v>
      </c>
      <c r="N4067">
        <v>-1.430639E-2</v>
      </c>
      <c r="O4067">
        <v>-3.1645929999999998E-3</v>
      </c>
      <c r="P4067">
        <v>0.94089339999999999</v>
      </c>
      <c r="Q4067">
        <v>0.32392659999999901</v>
      </c>
      <c r="R4067">
        <v>-9.8949850000000006E-2</v>
      </c>
      <c r="S4067">
        <v>3.2254179999999999</v>
      </c>
      <c r="T4067">
        <v>-0.29066320000000001</v>
      </c>
      <c r="U4067">
        <v>-0.58547969999999905</v>
      </c>
      <c r="V4067">
        <v>9.6237699999999995E-2</v>
      </c>
      <c r="W4067">
        <v>0.337283</v>
      </c>
      <c r="X4067">
        <v>0.93647130000000001</v>
      </c>
      <c r="Y4067">
        <v>0.17469849999999901</v>
      </c>
      <c r="Z4067">
        <v>-8.8176390000000004E-3</v>
      </c>
      <c r="AA4067">
        <v>0.98458250000000003</v>
      </c>
      <c r="AB4067">
        <v>31</v>
      </c>
      <c r="AC4067">
        <v>0.52400000000000002</v>
      </c>
      <c r="AD4067">
        <v>-7.4857999999999994E-2</v>
      </c>
      <c r="AE4067">
        <v>-0.14970000000002401</v>
      </c>
      <c r="AF4067">
        <v>0.145299236575576</v>
      </c>
      <c r="AG4067">
        <v>-7.4857999999999994E-2</v>
      </c>
      <c r="AH4067">
        <v>0.51475837909862598</v>
      </c>
      <c r="AI4067">
        <v>97.967080493089796</v>
      </c>
      <c r="AJ4067">
        <v>74.237384938299797</v>
      </c>
      <c r="AK4067">
        <v>0.54008497217168505</v>
      </c>
      <c r="AL4067">
        <v>70.288574192451705</v>
      </c>
      <c r="AM4067">
        <v>84.132521617782999</v>
      </c>
      <c r="AN4067">
        <v>1.00000000635699</v>
      </c>
    </row>
    <row r="4068" spans="1:40" x14ac:dyDescent="0.25">
      <c r="A4068" t="str">
        <f>"20190304164210119"</f>
        <v>20190304164210119</v>
      </c>
      <c r="B4068" t="str">
        <f>"1551688930114935"</f>
        <v>1551688930114935</v>
      </c>
      <c r="C4068" t="s">
        <v>40</v>
      </c>
      <c r="D4068">
        <v>4.1531500000000001</v>
      </c>
      <c r="E4068">
        <v>0.542317099999999</v>
      </c>
      <c r="F4068" t="s">
        <v>41</v>
      </c>
      <c r="G4068">
        <v>-223.93049999999999</v>
      </c>
      <c r="H4068">
        <v>1.038699</v>
      </c>
      <c r="I4068">
        <v>214.67920000000001</v>
      </c>
      <c r="J4068">
        <v>-224.42089999999999</v>
      </c>
      <c r="K4068">
        <v>1.110358</v>
      </c>
      <c r="L4068">
        <v>214.8227</v>
      </c>
      <c r="M4068">
        <v>0.99989189999999994</v>
      </c>
      <c r="N4068">
        <v>-1.430291E-2</v>
      </c>
      <c r="O4068">
        <v>-3.4502859999999999E-3</v>
      </c>
      <c r="P4068">
        <v>0.9408107</v>
      </c>
      <c r="Q4068">
        <v>0.32413239999999999</v>
      </c>
      <c r="R4068">
        <v>-9.9062310000000001E-2</v>
      </c>
      <c r="S4068">
        <v>3.2265929999999998</v>
      </c>
      <c r="T4068">
        <v>-0.28944979999999998</v>
      </c>
      <c r="U4068">
        <v>-0.58493039999999996</v>
      </c>
      <c r="V4068">
        <v>9.6043799999999999E-2</v>
      </c>
      <c r="W4068">
        <v>0.33749570000000001</v>
      </c>
      <c r="X4068">
        <v>0.93641450000000004</v>
      </c>
      <c r="Y4068">
        <v>0.17420150000000001</v>
      </c>
      <c r="Z4068">
        <v>-8.7365089999999999E-3</v>
      </c>
      <c r="AA4068">
        <v>0.98467130000000003</v>
      </c>
      <c r="AB4068">
        <v>31</v>
      </c>
      <c r="AC4068">
        <v>0.49039999999999401</v>
      </c>
      <c r="AD4068">
        <v>-7.1658999999999903E-2</v>
      </c>
      <c r="AE4068">
        <v>-0.143499999999988</v>
      </c>
      <c r="AF4068">
        <v>0.13907168841543999</v>
      </c>
      <c r="AG4068">
        <v>-7.1658999999999903E-2</v>
      </c>
      <c r="AH4068">
        <v>0.48142360010243201</v>
      </c>
      <c r="AI4068">
        <v>98.138179672367897</v>
      </c>
      <c r="AJ4068">
        <v>73.887267262651307</v>
      </c>
      <c r="AK4068">
        <v>0.50620611368819701</v>
      </c>
      <c r="AL4068">
        <v>70.275626884258401</v>
      </c>
      <c r="AM4068">
        <v>84.143908476635303</v>
      </c>
      <c r="AN4068">
        <v>0.99999993742358795</v>
      </c>
    </row>
    <row r="4069" spans="1:40" x14ac:dyDescent="0.25">
      <c r="A4069" t="str">
        <f>"20190304164210142"</f>
        <v>20190304164210142</v>
      </c>
      <c r="B4069" t="str">
        <f>"1551688930135432"</f>
        <v>1551688930135432</v>
      </c>
      <c r="C4069" t="s">
        <v>40</v>
      </c>
      <c r="D4069">
        <v>4.1622399999999997</v>
      </c>
      <c r="E4069">
        <v>0.54246340000000004</v>
      </c>
      <c r="F4069" t="s">
        <v>46</v>
      </c>
      <c r="G4069">
        <v>-212.03399999999999</v>
      </c>
      <c r="H4069" s="1">
        <v>-3.6525130000000002E-7</v>
      </c>
      <c r="I4069">
        <v>212.5763</v>
      </c>
      <c r="J4069">
        <v>-224.11619999999999</v>
      </c>
      <c r="K4069">
        <v>1.110414</v>
      </c>
      <c r="L4069">
        <v>214.82140000000001</v>
      </c>
      <c r="M4069">
        <v>0.99989119999999998</v>
      </c>
      <c r="N4069">
        <v>-1.429948E-2</v>
      </c>
      <c r="O4069">
        <v>-3.6766239999999999E-3</v>
      </c>
      <c r="P4069">
        <v>0.94074239999999998</v>
      </c>
      <c r="Q4069">
        <v>0.3244438</v>
      </c>
      <c r="R4069">
        <v>-9.8694439999999994E-2</v>
      </c>
      <c r="S4069">
        <v>3.2267760000000001</v>
      </c>
      <c r="T4069">
        <v>-0.28924539999999999</v>
      </c>
      <c r="U4069">
        <v>-0.58518979999999998</v>
      </c>
      <c r="V4069">
        <v>9.5425049999999997E-2</v>
      </c>
      <c r="W4069">
        <v>0.337814</v>
      </c>
      <c r="X4069">
        <v>0.93636299999999995</v>
      </c>
      <c r="Y4069">
        <v>0.17404790000000001</v>
      </c>
      <c r="Z4069">
        <v>-8.7057049999999993E-3</v>
      </c>
      <c r="AA4069">
        <v>0.98469870000000004</v>
      </c>
      <c r="AB4069">
        <v>31</v>
      </c>
      <c r="AC4069">
        <v>12.082199999999901</v>
      </c>
      <c r="AD4069">
        <v>-1.1104143652513001</v>
      </c>
      <c r="AE4069">
        <v>-2.2450999999999999</v>
      </c>
      <c r="AF4069">
        <v>2.1828365677675201</v>
      </c>
      <c r="AG4069">
        <v>-1.1104143652513001</v>
      </c>
      <c r="AH4069">
        <v>11.9924597636619</v>
      </c>
      <c r="AI4069">
        <v>95.205049287168407</v>
      </c>
      <c r="AJ4069">
        <v>79.684103790758797</v>
      </c>
      <c r="AK4069">
        <v>12.2399708630041</v>
      </c>
      <c r="AL4069">
        <v>70.256252059310697</v>
      </c>
      <c r="AM4069">
        <v>84.181058086755499</v>
      </c>
      <c r="AN4069">
        <v>0.99999995326625002</v>
      </c>
    </row>
    <row r="4070" spans="1:40" x14ac:dyDescent="0.25">
      <c r="A4070" t="str">
        <f>"20190304164210164"</f>
        <v>20190304164210164</v>
      </c>
      <c r="B4070" t="str">
        <f>"1551688930154951"</f>
        <v>1551688930154951</v>
      </c>
      <c r="C4070" t="s">
        <v>40</v>
      </c>
      <c r="D4070">
        <v>4.1502410000000003</v>
      </c>
      <c r="E4070">
        <v>0.54264319999999999</v>
      </c>
      <c r="F4070" t="s">
        <v>41</v>
      </c>
      <c r="G4070">
        <v>-223.1206</v>
      </c>
      <c r="H4070">
        <v>1.0201910000000001</v>
      </c>
      <c r="I4070">
        <v>214.64080000000001</v>
      </c>
      <c r="J4070">
        <v>-223.8167</v>
      </c>
      <c r="K4070">
        <v>1.1104560000000001</v>
      </c>
      <c r="L4070">
        <v>214.8201</v>
      </c>
      <c r="M4070">
        <v>0.99989030000000001</v>
      </c>
      <c r="N4070">
        <v>-1.4296130000000001E-2</v>
      </c>
      <c r="O4070">
        <v>-3.8446489999999999E-3</v>
      </c>
      <c r="P4070">
        <v>0.94074659999999999</v>
      </c>
      <c r="Q4070">
        <v>0.32453470000000001</v>
      </c>
      <c r="R4070">
        <v>-9.8351400000000005E-2</v>
      </c>
      <c r="S4070">
        <v>3.2284389999999998</v>
      </c>
      <c r="T4070">
        <v>-0.29257430000000001</v>
      </c>
      <c r="U4070">
        <v>-0.58563229999999999</v>
      </c>
      <c r="V4070">
        <v>9.4890130000000003E-2</v>
      </c>
      <c r="W4070">
        <v>0.33791179999999998</v>
      </c>
      <c r="X4070">
        <v>0.93638209999999999</v>
      </c>
      <c r="Y4070">
        <v>0.17390939999999999</v>
      </c>
      <c r="Z4070">
        <v>-8.7664690000000007E-3</v>
      </c>
      <c r="AA4070">
        <v>0.98472269999999895</v>
      </c>
      <c r="AB4070">
        <v>30</v>
      </c>
      <c r="AC4070">
        <v>0.69610000000000105</v>
      </c>
      <c r="AD4070">
        <v>-9.0264999999999804E-2</v>
      </c>
      <c r="AE4070">
        <v>-0.179299999999983</v>
      </c>
      <c r="AF4070">
        <v>0.17388026654251601</v>
      </c>
      <c r="AG4070">
        <v>-9.0264999999999804E-2</v>
      </c>
      <c r="AH4070">
        <v>0.68596742323341098</v>
      </c>
      <c r="AI4070">
        <v>97.269042393639594</v>
      </c>
      <c r="AJ4070">
        <v>75.776152566461406</v>
      </c>
      <c r="AK4070">
        <v>0.71339569879232001</v>
      </c>
      <c r="AL4070">
        <v>70.250298965678397</v>
      </c>
      <c r="AM4070">
        <v>84.213572333444105</v>
      </c>
      <c r="AN4070">
        <v>0.99999997927553297</v>
      </c>
    </row>
    <row r="4071" spans="1:40" x14ac:dyDescent="0.25">
      <c r="A4071" t="str">
        <f>"20190304164210187"</f>
        <v>20190304164210187</v>
      </c>
      <c r="B4071" t="str">
        <f>"1551688930175448"</f>
        <v>1551688930175448</v>
      </c>
      <c r="C4071" t="s">
        <v>40</v>
      </c>
      <c r="D4071">
        <v>4.1443320000000003</v>
      </c>
      <c r="E4071">
        <v>0.54287369999999902</v>
      </c>
      <c r="F4071" t="s">
        <v>41</v>
      </c>
      <c r="G4071">
        <v>-222.85069999999999</v>
      </c>
      <c r="H4071">
        <v>1.0215730000000001</v>
      </c>
      <c r="I4071">
        <v>214.6447</v>
      </c>
      <c r="J4071">
        <v>-223.50640000000001</v>
      </c>
      <c r="K4071">
        <v>1.1104879999999999</v>
      </c>
      <c r="L4071">
        <v>214.81870000000001</v>
      </c>
      <c r="M4071">
        <v>0.99988999999999995</v>
      </c>
      <c r="N4071">
        <v>-1.4292600000000001E-2</v>
      </c>
      <c r="O4071">
        <v>-3.9799029999999999E-3</v>
      </c>
      <c r="P4071">
        <v>0.94103829999999999</v>
      </c>
      <c r="Q4071">
        <v>0.32377450000000002</v>
      </c>
      <c r="R4071">
        <v>-9.8065970000000002E-2</v>
      </c>
      <c r="S4071">
        <v>3.2302249999999999</v>
      </c>
      <c r="T4071">
        <v>-0.29725780000000002</v>
      </c>
      <c r="U4071">
        <v>-0.58607480000000001</v>
      </c>
      <c r="V4071">
        <v>9.4447959999999997E-2</v>
      </c>
      <c r="W4071">
        <v>0.33716089999999999</v>
      </c>
      <c r="X4071">
        <v>0.93669740000000001</v>
      </c>
      <c r="Y4071">
        <v>0.17378940000000001</v>
      </c>
      <c r="Z4071">
        <v>-8.8641669999999992E-3</v>
      </c>
      <c r="AA4071">
        <v>0.98474289999999998</v>
      </c>
      <c r="AB4071">
        <v>30</v>
      </c>
      <c r="AC4071">
        <v>0.65570000000002404</v>
      </c>
      <c r="AD4071">
        <v>-8.89149999999998E-2</v>
      </c>
      <c r="AE4071">
        <v>-0.17400000000000601</v>
      </c>
      <c r="AF4071">
        <v>0.16849424930398599</v>
      </c>
      <c r="AG4071">
        <v>-8.89149999999998E-2</v>
      </c>
      <c r="AH4071">
        <v>0.645302039154528</v>
      </c>
      <c r="AI4071">
        <v>97.593804305869597</v>
      </c>
      <c r="AJ4071">
        <v>75.366275685702504</v>
      </c>
      <c r="AK4071">
        <v>0.67283795300986604</v>
      </c>
      <c r="AL4071">
        <v>70.296004215777003</v>
      </c>
      <c r="AM4071">
        <v>84.242280001796004</v>
      </c>
      <c r="AN4071">
        <v>0.99999995440186396</v>
      </c>
    </row>
    <row r="4072" spans="1:40" x14ac:dyDescent="0.25">
      <c r="A4072" t="str">
        <f>"20190304164210209"</f>
        <v>20190304164210209</v>
      </c>
      <c r="B4072" t="str">
        <f>"1551688930194967"</f>
        <v>1551688930194967</v>
      </c>
      <c r="C4072" t="s">
        <v>40</v>
      </c>
      <c r="D4072">
        <v>4.1606500000000004</v>
      </c>
      <c r="E4072">
        <v>0.54307810000000001</v>
      </c>
      <c r="F4072" t="s">
        <v>41</v>
      </c>
      <c r="G4072">
        <v>-222.5795</v>
      </c>
      <c r="H4072">
        <v>1.023298</v>
      </c>
      <c r="I4072">
        <v>214.6508</v>
      </c>
      <c r="J4072">
        <v>-223.20740000000001</v>
      </c>
      <c r="K4072">
        <v>1.1105229999999999</v>
      </c>
      <c r="L4072">
        <v>214.81739999999999</v>
      </c>
      <c r="M4072">
        <v>0.99988969999999999</v>
      </c>
      <c r="N4072">
        <v>-1.42892E-2</v>
      </c>
      <c r="O4072">
        <v>-4.0837419999999996E-3</v>
      </c>
      <c r="P4072">
        <v>0.94137230000000005</v>
      </c>
      <c r="Q4072">
        <v>0.32285199999999997</v>
      </c>
      <c r="R4072">
        <v>-9.7902089999999997E-2</v>
      </c>
      <c r="S4072">
        <v>3.23143</v>
      </c>
      <c r="T4072">
        <v>-0.3038787</v>
      </c>
      <c r="U4072">
        <v>-0.58598329999999998</v>
      </c>
      <c r="V4072">
        <v>9.416455E-2</v>
      </c>
      <c r="W4072">
        <v>0.33624589999999999</v>
      </c>
      <c r="X4072">
        <v>0.93705479999999997</v>
      </c>
      <c r="Y4072">
        <v>0.17356369999999999</v>
      </c>
      <c r="Z4072">
        <v>-9.0083439999999997E-3</v>
      </c>
      <c r="AA4072">
        <v>0.98478140000000003</v>
      </c>
      <c r="AB4072">
        <v>30</v>
      </c>
      <c r="AC4072">
        <v>0.627900000000011</v>
      </c>
      <c r="AD4072">
        <v>-8.7224999999999803E-2</v>
      </c>
      <c r="AE4072">
        <v>-0.16659999999998801</v>
      </c>
      <c r="AF4072">
        <v>0.161129278126494</v>
      </c>
      <c r="AG4072">
        <v>-8.7224999999999803E-2</v>
      </c>
      <c r="AH4072">
        <v>0.61744371443198598</v>
      </c>
      <c r="AI4072">
        <v>97.783535111853794</v>
      </c>
      <c r="AJ4072">
        <v>75.374173401856098</v>
      </c>
      <c r="AK4072">
        <v>0.64405557631786203</v>
      </c>
      <c r="AL4072">
        <v>70.351681355911893</v>
      </c>
      <c r="AM4072">
        <v>84.2616165082772</v>
      </c>
      <c r="AN4072">
        <v>0.99999998297327597</v>
      </c>
    </row>
    <row r="4073" spans="1:40" x14ac:dyDescent="0.25">
      <c r="A4073" t="str">
        <f>"20190304164210232"</f>
        <v>20190304164210232</v>
      </c>
      <c r="B4073" t="str">
        <f>"1551688930225223"</f>
        <v>1551688930225223</v>
      </c>
      <c r="C4073" t="s">
        <v>40</v>
      </c>
      <c r="D4073">
        <v>4.1417890000000002</v>
      </c>
      <c r="E4073">
        <v>0.54331809999999903</v>
      </c>
      <c r="F4073" t="s">
        <v>41</v>
      </c>
      <c r="G4073">
        <v>-222.30879999999999</v>
      </c>
      <c r="H4073">
        <v>1.0242359999999999</v>
      </c>
      <c r="I4073">
        <v>214.6541</v>
      </c>
      <c r="J4073">
        <v>-222.89959999999999</v>
      </c>
      <c r="K4073">
        <v>1.1105480000000001</v>
      </c>
      <c r="L4073">
        <v>214.816</v>
      </c>
      <c r="M4073">
        <v>0.99988940000000004</v>
      </c>
      <c r="N4073">
        <v>-1.428577E-2</v>
      </c>
      <c r="O4073">
        <v>-4.1733999999999999E-3</v>
      </c>
      <c r="P4073">
        <v>0.94152570000000002</v>
      </c>
      <c r="Q4073">
        <v>0.32245960000000001</v>
      </c>
      <c r="R4073">
        <v>-9.7722100000000006E-2</v>
      </c>
      <c r="S4073">
        <v>3.2322850000000001</v>
      </c>
      <c r="T4073">
        <v>-0.3104904</v>
      </c>
      <c r="U4073">
        <v>-0.58694460000000004</v>
      </c>
      <c r="V4073">
        <v>9.3884609999999993E-2</v>
      </c>
      <c r="W4073">
        <v>0.33585690000000001</v>
      </c>
      <c r="X4073">
        <v>0.93722240000000001</v>
      </c>
      <c r="Y4073">
        <v>0.1736791</v>
      </c>
      <c r="Z4073">
        <v>-9.1717299999999995E-3</v>
      </c>
      <c r="AA4073">
        <v>0.98475959999999996</v>
      </c>
      <c r="AB4073">
        <v>30</v>
      </c>
      <c r="AC4073">
        <v>0.59080000000000099</v>
      </c>
      <c r="AD4073">
        <v>-8.6311999999999695E-2</v>
      </c>
      <c r="AE4073">
        <v>-0.16189999999997401</v>
      </c>
      <c r="AF4073">
        <v>0.15632917443723901</v>
      </c>
      <c r="AG4073">
        <v>-8.6311999999999695E-2</v>
      </c>
      <c r="AH4073">
        <v>0.57995702008504302</v>
      </c>
      <c r="AI4073">
        <v>98.177196364594707</v>
      </c>
      <c r="AJ4073">
        <v>74.914296754358205</v>
      </c>
      <c r="AK4073">
        <v>0.606826760509251</v>
      </c>
      <c r="AL4073">
        <v>70.375346035561194</v>
      </c>
      <c r="AM4073">
        <v>84.279579048335506</v>
      </c>
      <c r="AN4073">
        <v>1.00000000216711</v>
      </c>
    </row>
    <row r="4074" spans="1:40" x14ac:dyDescent="0.25">
      <c r="A4074" t="str">
        <f>"20190304164210253"</f>
        <v>20190304164210253</v>
      </c>
      <c r="B4074" t="str">
        <f>"1551688930244743"</f>
        <v>1551688930244743</v>
      </c>
      <c r="C4074" t="s">
        <v>40</v>
      </c>
      <c r="D4074">
        <v>4.175859</v>
      </c>
      <c r="E4074">
        <v>0.54349939999999997</v>
      </c>
      <c r="F4074" t="s">
        <v>41</v>
      </c>
      <c r="G4074">
        <v>-222.0368</v>
      </c>
      <c r="H4074">
        <v>1.027474</v>
      </c>
      <c r="I4074">
        <v>214.65899999999999</v>
      </c>
      <c r="J4074">
        <v>-222.6011</v>
      </c>
      <c r="K4074">
        <v>1.110563</v>
      </c>
      <c r="L4074">
        <v>214.81460000000001</v>
      </c>
      <c r="M4074">
        <v>0.99988900000000003</v>
      </c>
      <c r="N4074">
        <v>-1.428245E-2</v>
      </c>
      <c r="O4074">
        <v>-4.2522139999999998E-3</v>
      </c>
      <c r="P4074">
        <v>0.94130069999999999</v>
      </c>
      <c r="Q4074">
        <v>0.32315319999999997</v>
      </c>
      <c r="R4074">
        <v>-9.7597119999999996E-2</v>
      </c>
      <c r="S4074">
        <v>3.2318570000000002</v>
      </c>
      <c r="T4074">
        <v>-0.31115619999999999</v>
      </c>
      <c r="U4074">
        <v>-0.58804319999999999</v>
      </c>
      <c r="V4074">
        <v>9.3677629999999998E-2</v>
      </c>
      <c r="W4074">
        <v>0.33654669999999998</v>
      </c>
      <c r="X4074">
        <v>0.93699560000000004</v>
      </c>
      <c r="Y4074">
        <v>0.17394370000000001</v>
      </c>
      <c r="Z4074">
        <v>-9.1971569999999992E-3</v>
      </c>
      <c r="AA4074">
        <v>0.9847127</v>
      </c>
      <c r="AB4074">
        <v>30</v>
      </c>
      <c r="AC4074">
        <v>0.56430000000000202</v>
      </c>
      <c r="AD4074">
        <v>-8.3088999999999899E-2</v>
      </c>
      <c r="AE4074">
        <v>-0.15559999999999199</v>
      </c>
      <c r="AF4074">
        <v>0.150173069731071</v>
      </c>
      <c r="AG4074">
        <v>-8.3088999999999899E-2</v>
      </c>
      <c r="AH4074">
        <v>0.55379843064897605</v>
      </c>
      <c r="AI4074">
        <v>98.239455714090695</v>
      </c>
      <c r="AJ4074">
        <v>74.828005546040202</v>
      </c>
      <c r="AK4074">
        <v>0.57978309270167705</v>
      </c>
      <c r="AL4074">
        <v>70.333379876813694</v>
      </c>
      <c r="AM4074">
        <v>84.290734572863599</v>
      </c>
      <c r="AN4074">
        <v>0.99999996703133298</v>
      </c>
    </row>
    <row r="4075" spans="1:40" x14ac:dyDescent="0.25">
      <c r="A4075" t="str">
        <f>"20190304164210275"</f>
        <v>20190304164210275</v>
      </c>
      <c r="B4075" t="str">
        <f>"1551688930265240"</f>
        <v>1551688930265240</v>
      </c>
      <c r="C4075" t="s">
        <v>40</v>
      </c>
      <c r="D4075">
        <v>4.2032699999999998</v>
      </c>
      <c r="E4075">
        <v>0.54368109999999903</v>
      </c>
      <c r="F4075" t="s">
        <v>41</v>
      </c>
      <c r="G4075">
        <v>-221.7647</v>
      </c>
      <c r="H4075">
        <v>1.0307999999999999</v>
      </c>
      <c r="I4075">
        <v>214.66229999999999</v>
      </c>
      <c r="J4075">
        <v>-222.30510000000001</v>
      </c>
      <c r="K4075">
        <v>1.1105780000000001</v>
      </c>
      <c r="L4075">
        <v>214.8133</v>
      </c>
      <c r="M4075">
        <v>0.99988869999999996</v>
      </c>
      <c r="N4075">
        <v>-1.4279160000000001E-2</v>
      </c>
      <c r="O4075">
        <v>-4.3288390000000001E-3</v>
      </c>
      <c r="P4075">
        <v>0.94084069999999997</v>
      </c>
      <c r="Q4075">
        <v>0.32439400000000002</v>
      </c>
      <c r="R4075">
        <v>-9.79159E-2</v>
      </c>
      <c r="S4075">
        <v>3.231903</v>
      </c>
      <c r="T4075">
        <v>-0.30826569999999998</v>
      </c>
      <c r="U4075">
        <v>-0.58807369999999903</v>
      </c>
      <c r="V4075">
        <v>9.3921000000000004E-2</v>
      </c>
      <c r="W4075">
        <v>0.33777940000000001</v>
      </c>
      <c r="X4075">
        <v>0.93652760000000002</v>
      </c>
      <c r="Y4075">
        <v>0.1738905</v>
      </c>
      <c r="Z4075">
        <v>-9.1147550000000004E-3</v>
      </c>
      <c r="AA4075">
        <v>0.98472280000000001</v>
      </c>
      <c r="AB4075">
        <v>30</v>
      </c>
      <c r="AC4075">
        <v>0.54040000000000499</v>
      </c>
      <c r="AD4075">
        <v>-7.9778000000000099E-2</v>
      </c>
      <c r="AE4075">
        <v>-0.15100000000000999</v>
      </c>
      <c r="AF4075">
        <v>0.14571336429901299</v>
      </c>
      <c r="AG4075">
        <v>-7.9778000000000099E-2</v>
      </c>
      <c r="AH4075">
        <v>0.53032778282503001</v>
      </c>
      <c r="AI4075">
        <v>98.253513892520601</v>
      </c>
      <c r="AJ4075">
        <v>74.636483221063699</v>
      </c>
      <c r="AK4075">
        <v>0.55573777184518303</v>
      </c>
      <c r="AL4075">
        <v>70.258359496150007</v>
      </c>
      <c r="AM4075">
        <v>84.273159162526795</v>
      </c>
      <c r="AN4075">
        <v>1.0000000114335601</v>
      </c>
    </row>
    <row r="4076" spans="1:40" x14ac:dyDescent="0.25">
      <c r="A4076" t="str">
        <f>"20190304164210299"</f>
        <v>20190304164210299</v>
      </c>
      <c r="B4076" t="str">
        <f>"1551688930284758"</f>
        <v>1551688930284758</v>
      </c>
      <c r="C4076" t="s">
        <v>40</v>
      </c>
      <c r="D4076">
        <v>4.1949239999999897</v>
      </c>
      <c r="E4076">
        <v>0.54392209999999996</v>
      </c>
      <c r="F4076" t="s">
        <v>41</v>
      </c>
      <c r="G4076">
        <v>-221.49369999999999</v>
      </c>
      <c r="H4076">
        <v>1.0331520000000001</v>
      </c>
      <c r="I4076">
        <v>214.66550000000001</v>
      </c>
      <c r="J4076">
        <v>-221.9991</v>
      </c>
      <c r="K4076">
        <v>1.1105849999999999</v>
      </c>
      <c r="L4076">
        <v>214.81180000000001</v>
      </c>
      <c r="M4076">
        <v>0.99988840000000001</v>
      </c>
      <c r="N4076">
        <v>-1.427578E-2</v>
      </c>
      <c r="O4076">
        <v>-4.4094449999999997E-3</v>
      </c>
      <c r="P4076">
        <v>0.9405964</v>
      </c>
      <c r="Q4076">
        <v>0.32501649999999999</v>
      </c>
      <c r="R4076">
        <v>-9.8197740000000006E-2</v>
      </c>
      <c r="S4076">
        <v>3.233749</v>
      </c>
      <c r="T4076">
        <v>-0.30858039999999998</v>
      </c>
      <c r="U4076">
        <v>-0.58880619999999995</v>
      </c>
      <c r="V4076">
        <v>9.4124929999999996E-2</v>
      </c>
      <c r="W4076">
        <v>0.33839609999999998</v>
      </c>
      <c r="X4076">
        <v>0.93628449999999996</v>
      </c>
      <c r="Y4076">
        <v>0.17392739999999901</v>
      </c>
      <c r="Z4076">
        <v>-9.1134010000000001E-3</v>
      </c>
      <c r="AA4076">
        <v>0.98471629999999999</v>
      </c>
      <c r="AB4076">
        <v>30</v>
      </c>
      <c r="AC4076">
        <v>0.50540000000000795</v>
      </c>
      <c r="AD4076">
        <v>-7.7432999999999794E-2</v>
      </c>
      <c r="AE4076">
        <v>-0.14629999999999599</v>
      </c>
      <c r="AF4076">
        <v>0.141015587366911</v>
      </c>
      <c r="AG4076">
        <v>-7.7432999999999794E-2</v>
      </c>
      <c r="AH4076">
        <v>0.49531237762380598</v>
      </c>
      <c r="AI4076">
        <v>98.550759455749201</v>
      </c>
      <c r="AJ4076">
        <v>74.108330368348803</v>
      </c>
      <c r="AK4076">
        <v>0.52078365642249402</v>
      </c>
      <c r="AL4076">
        <v>70.220814995589905</v>
      </c>
      <c r="AM4076">
        <v>84.259327242696301</v>
      </c>
      <c r="AN4076">
        <v>1.00000004394148</v>
      </c>
    </row>
    <row r="4077" spans="1:40" x14ac:dyDescent="0.25">
      <c r="A4077" t="str">
        <f>"20190304164210321"</f>
        <v>20190304164210321</v>
      </c>
      <c r="B4077" t="str">
        <f>"1551688930315016"</f>
        <v>1551688930315016</v>
      </c>
      <c r="C4077" t="s">
        <v>40</v>
      </c>
      <c r="D4077">
        <v>4.2129640000000004</v>
      </c>
      <c r="E4077">
        <v>0.54430279999999998</v>
      </c>
      <c r="F4077" t="s">
        <v>41</v>
      </c>
      <c r="G4077">
        <v>-221.2225</v>
      </c>
      <c r="H4077">
        <v>1.0362169999999999</v>
      </c>
      <c r="I4077">
        <v>214.67</v>
      </c>
      <c r="J4077">
        <v>-221.69069999999999</v>
      </c>
      <c r="K4077">
        <v>1.1105860000000001</v>
      </c>
      <c r="L4077">
        <v>214.81039999999999</v>
      </c>
      <c r="M4077">
        <v>0.99988809999999995</v>
      </c>
      <c r="N4077">
        <v>-1.4272389999999999E-2</v>
      </c>
      <c r="O4077">
        <v>-4.4936569999999999E-3</v>
      </c>
      <c r="P4077">
        <v>0.9406738</v>
      </c>
      <c r="Q4077">
        <v>0.32471179999999999</v>
      </c>
      <c r="R4077">
        <v>-9.8464239999999995E-2</v>
      </c>
      <c r="S4077">
        <v>3.2348940000000002</v>
      </c>
      <c r="T4077">
        <v>-0.30992249999999999</v>
      </c>
      <c r="U4077">
        <v>-0.59046940000000003</v>
      </c>
      <c r="V4077">
        <v>9.4309900000000002E-2</v>
      </c>
      <c r="W4077">
        <v>0.33808949999999999</v>
      </c>
      <c r="X4077">
        <v>0.9363766</v>
      </c>
      <c r="Y4077">
        <v>0.17426529999999901</v>
      </c>
      <c r="Z4077">
        <v>-9.1555060000000008E-3</v>
      </c>
      <c r="AA4077">
        <v>0.98465619999999998</v>
      </c>
      <c r="AB4077">
        <v>30</v>
      </c>
      <c r="AC4077">
        <v>0.46819999999999601</v>
      </c>
      <c r="AD4077">
        <v>-7.4369000000000102E-2</v>
      </c>
      <c r="AE4077">
        <v>-0.140399999999999</v>
      </c>
      <c r="AF4077">
        <v>0.13516554133179301</v>
      </c>
      <c r="AG4077">
        <v>-7.4369000000000102E-2</v>
      </c>
      <c r="AH4077">
        <v>0.45821910338476102</v>
      </c>
      <c r="AI4077">
        <v>98.848144490826499</v>
      </c>
      <c r="AJ4077">
        <v>73.564986880078607</v>
      </c>
      <c r="AK4077">
        <v>0.48349272841610702</v>
      </c>
      <c r="AL4077">
        <v>70.239481283053493</v>
      </c>
      <c r="AM4077">
        <v>84.248683454545898</v>
      </c>
      <c r="AN4077">
        <v>1.0000000021379101</v>
      </c>
    </row>
    <row r="4078" spans="1:40" x14ac:dyDescent="0.25">
      <c r="A4078" t="str">
        <f>"20190304164210344"</f>
        <v>20190304164210344</v>
      </c>
      <c r="B4078" t="str">
        <f>"1551688930335512"</f>
        <v>1551688930335512</v>
      </c>
      <c r="C4078" t="s">
        <v>40</v>
      </c>
      <c r="D4078">
        <v>4.2621880000000001</v>
      </c>
      <c r="E4078">
        <v>0.54458459999999997</v>
      </c>
      <c r="F4078" t="s">
        <v>41</v>
      </c>
      <c r="G4078">
        <v>-220.9521</v>
      </c>
      <c r="H4078">
        <v>1.0383990000000001</v>
      </c>
      <c r="I4078">
        <v>214.67490000000001</v>
      </c>
      <c r="J4078">
        <v>-221.39449999999999</v>
      </c>
      <c r="K4078">
        <v>1.1105769999999999</v>
      </c>
      <c r="L4078">
        <v>214.809</v>
      </c>
      <c r="M4078">
        <v>0.99988779999999999</v>
      </c>
      <c r="N4078">
        <v>-1.426915E-2</v>
      </c>
      <c r="O4078">
        <v>-4.5774199999999996E-3</v>
      </c>
      <c r="P4078">
        <v>0.94099109999999997</v>
      </c>
      <c r="Q4078">
        <v>0.32399329999999998</v>
      </c>
      <c r="R4078">
        <v>-9.7797209999999996E-2</v>
      </c>
      <c r="S4078">
        <v>3.236237</v>
      </c>
      <c r="T4078">
        <v>-0.31632440000000001</v>
      </c>
      <c r="U4078">
        <v>-0.59368900000000002</v>
      </c>
      <c r="V4078">
        <v>9.3561679999999994E-2</v>
      </c>
      <c r="W4078">
        <v>0.33737319999999998</v>
      </c>
      <c r="X4078">
        <v>0.93670989999999998</v>
      </c>
      <c r="Y4078">
        <v>0.1750217</v>
      </c>
      <c r="Z4078">
        <v>-9.3476830000000007E-3</v>
      </c>
      <c r="AA4078">
        <v>0.98452019999999996</v>
      </c>
      <c r="AB4078">
        <v>30</v>
      </c>
      <c r="AC4078">
        <v>0.44239999999999202</v>
      </c>
      <c r="AD4078">
        <v>-7.2178000000000006E-2</v>
      </c>
      <c r="AE4078">
        <v>-0.13410000000001701</v>
      </c>
      <c r="AF4078">
        <v>0.12893023400693099</v>
      </c>
      <c r="AG4078">
        <v>-7.2178000000000006E-2</v>
      </c>
      <c r="AH4078">
        <v>0.43246644762332997</v>
      </c>
      <c r="AI4078">
        <v>99.087033913945604</v>
      </c>
      <c r="AJ4078">
        <v>73.399222930162296</v>
      </c>
      <c r="AK4078">
        <v>0.45701192243203498</v>
      </c>
      <c r="AL4078">
        <v>70.283083188054107</v>
      </c>
      <c r="AM4078">
        <v>84.296026909284095</v>
      </c>
      <c r="AN4078">
        <v>0.99999995040033496</v>
      </c>
    </row>
    <row r="4079" spans="1:40" x14ac:dyDescent="0.25">
      <c r="A4079" t="str">
        <f>"20190304164210365"</f>
        <v>20190304164210365</v>
      </c>
      <c r="B4079" t="str">
        <f>"1551688930355033"</f>
        <v>1551688930355033</v>
      </c>
      <c r="C4079" t="s">
        <v>40</v>
      </c>
      <c r="D4079">
        <v>4.2388760000000003</v>
      </c>
      <c r="E4079">
        <v>0.54483809999999999</v>
      </c>
      <c r="F4079" t="s">
        <v>41</v>
      </c>
      <c r="G4079">
        <v>-220.4265</v>
      </c>
      <c r="H4079">
        <v>1.0143089999999999</v>
      </c>
      <c r="I4079">
        <v>214.631</v>
      </c>
      <c r="J4079">
        <v>-221.1003</v>
      </c>
      <c r="K4079">
        <v>1.110552</v>
      </c>
      <c r="L4079">
        <v>214.8075</v>
      </c>
      <c r="M4079">
        <v>0.99988730000000003</v>
      </c>
      <c r="N4079">
        <v>-1.4265969999999999E-2</v>
      </c>
      <c r="O4079">
        <v>-4.6622670000000003E-3</v>
      </c>
      <c r="P4079">
        <v>0.94143080000000001</v>
      </c>
      <c r="Q4079">
        <v>0.32301869999999999</v>
      </c>
      <c r="R4079">
        <v>-9.6784679999999998E-2</v>
      </c>
      <c r="S4079">
        <v>3.2371219999999998</v>
      </c>
      <c r="T4079">
        <v>-0.32192159999999997</v>
      </c>
      <c r="U4079">
        <v>-0.59490969999999999</v>
      </c>
      <c r="V4079">
        <v>9.2466729999999997E-2</v>
      </c>
      <c r="W4079">
        <v>0.33640249999999999</v>
      </c>
      <c r="X4079">
        <v>0.93716759999999999</v>
      </c>
      <c r="Y4079">
        <v>0.17521909999999999</v>
      </c>
      <c r="Z4079">
        <v>-9.4902999999999897E-3</v>
      </c>
      <c r="AA4079">
        <v>0.98448369999999996</v>
      </c>
      <c r="AB4079">
        <v>30</v>
      </c>
      <c r="AC4079">
        <v>0.67379999999999995</v>
      </c>
      <c r="AD4079">
        <v>-9.6242999999999995E-2</v>
      </c>
      <c r="AE4079">
        <v>-0.17650000000003199</v>
      </c>
      <c r="AF4079">
        <v>0.170108589795093</v>
      </c>
      <c r="AG4079">
        <v>-9.6242999999999995E-2</v>
      </c>
      <c r="AH4079">
        <v>0.66197709347093903</v>
      </c>
      <c r="AI4079">
        <v>98.015253840856204</v>
      </c>
      <c r="AJ4079">
        <v>75.588489697886004</v>
      </c>
      <c r="AK4079">
        <v>0.69022700588379504</v>
      </c>
      <c r="AL4079">
        <v>70.342152621914295</v>
      </c>
      <c r="AM4079">
        <v>84.365083449022194</v>
      </c>
      <c r="AN4079">
        <v>0.99999992432644802</v>
      </c>
    </row>
    <row r="4080" spans="1:40" x14ac:dyDescent="0.25">
      <c r="A4080" t="str">
        <f>"20190304164210389"</f>
        <v>20190304164210389</v>
      </c>
      <c r="B4080" t="str">
        <f>"1551688930375528"</f>
        <v>1551688930375528</v>
      </c>
      <c r="C4080" t="s">
        <v>40</v>
      </c>
      <c r="D4080">
        <v>4.2826240000000002</v>
      </c>
      <c r="E4080">
        <v>0.54509960000000002</v>
      </c>
      <c r="F4080" t="s">
        <v>41</v>
      </c>
      <c r="G4080">
        <v>-220.1585</v>
      </c>
      <c r="H4080">
        <v>1.0153700000000001</v>
      </c>
      <c r="I4080">
        <v>214.63409999999999</v>
      </c>
      <c r="J4080">
        <v>-220.7996</v>
      </c>
      <c r="K4080">
        <v>1.11053</v>
      </c>
      <c r="L4080">
        <v>214.80600000000001</v>
      </c>
      <c r="M4080">
        <v>0.99988699999999997</v>
      </c>
      <c r="N4080">
        <v>-1.426295E-2</v>
      </c>
      <c r="O4080">
        <v>-4.7503390000000001E-3</v>
      </c>
      <c r="P4080">
        <v>0.9422625</v>
      </c>
      <c r="Q4080">
        <v>0.32076959999999999</v>
      </c>
      <c r="R4080">
        <v>-9.6168429999999999E-2</v>
      </c>
      <c r="S4080">
        <v>3.2377319999999998</v>
      </c>
      <c r="T4080">
        <v>-0.32731680000000002</v>
      </c>
      <c r="U4080">
        <v>-0.5954895</v>
      </c>
      <c r="V4080">
        <v>9.1763559999999994E-2</v>
      </c>
      <c r="W4080">
        <v>0.33416269999999998</v>
      </c>
      <c r="X4080">
        <v>0.93803780000000003</v>
      </c>
      <c r="Y4080">
        <v>0.17524089999999901</v>
      </c>
      <c r="Z4080">
        <v>-9.6182539999999997E-3</v>
      </c>
      <c r="AA4080">
        <v>0.98447859999999998</v>
      </c>
      <c r="AB4080">
        <v>30</v>
      </c>
      <c r="AC4080">
        <v>0.64109999999999401</v>
      </c>
      <c r="AD4080">
        <v>-9.5159999999999897E-2</v>
      </c>
      <c r="AE4080">
        <v>-0.171899999999993</v>
      </c>
      <c r="AF4080">
        <v>0.16545154933744799</v>
      </c>
      <c r="AG4080">
        <v>-9.5159999999999897E-2</v>
      </c>
      <c r="AH4080">
        <v>0.62898109747762998</v>
      </c>
      <c r="AI4080">
        <v>98.324161986692999</v>
      </c>
      <c r="AJ4080">
        <v>75.262383138622496</v>
      </c>
      <c r="AK4080">
        <v>0.65730271698991605</v>
      </c>
      <c r="AL4080">
        <v>70.478371565630596</v>
      </c>
      <c r="AM4080">
        <v>84.412816984450302</v>
      </c>
      <c r="AN4080">
        <v>1.0000000876219901</v>
      </c>
    </row>
    <row r="4081" spans="1:40" x14ac:dyDescent="0.25">
      <c r="A4081" t="str">
        <f>"20190304164210411"</f>
        <v>20190304164210411</v>
      </c>
      <c r="B4081" t="str">
        <f>"1551688930404807"</f>
        <v>1551688930404807</v>
      </c>
      <c r="C4081" t="s">
        <v>40</v>
      </c>
      <c r="D4081">
        <v>4.258521</v>
      </c>
      <c r="E4081">
        <v>0.54542789999999997</v>
      </c>
      <c r="F4081" t="s">
        <v>41</v>
      </c>
      <c r="G4081">
        <v>-219.89080000000001</v>
      </c>
      <c r="H4081">
        <v>1.0158450000000001</v>
      </c>
      <c r="I4081">
        <v>214.6387</v>
      </c>
      <c r="J4081">
        <v>-220.4949</v>
      </c>
      <c r="K4081">
        <v>1.110528</v>
      </c>
      <c r="L4081">
        <v>214.80449999999999</v>
      </c>
      <c r="M4081">
        <v>0.99988670000000002</v>
      </c>
      <c r="N4081">
        <v>-1.425968E-2</v>
      </c>
      <c r="O4081">
        <v>-4.8401989999999999E-3</v>
      </c>
      <c r="P4081">
        <v>0.94278830000000002</v>
      </c>
      <c r="Q4081">
        <v>0.31950770000000001</v>
      </c>
      <c r="R4081">
        <v>-9.5213069999999997E-2</v>
      </c>
      <c r="S4081">
        <v>3.2378689999999999</v>
      </c>
      <c r="T4081">
        <v>-0.33738220000000002</v>
      </c>
      <c r="U4081">
        <v>-0.5958099</v>
      </c>
      <c r="V4081">
        <v>9.0720739999999994E-2</v>
      </c>
      <c r="W4081">
        <v>0.33290530000000002</v>
      </c>
      <c r="X4081">
        <v>0.93858609999999998</v>
      </c>
      <c r="Y4081">
        <v>0.1751837</v>
      </c>
      <c r="Z4081">
        <v>-9.8599029999999997E-3</v>
      </c>
      <c r="AA4081">
        <v>0.98448639999999998</v>
      </c>
      <c r="AB4081">
        <v>30</v>
      </c>
      <c r="AC4081">
        <v>0.60409999999998798</v>
      </c>
      <c r="AD4081">
        <v>-9.4682999999999795E-2</v>
      </c>
      <c r="AE4081">
        <v>-0.16579999999999001</v>
      </c>
      <c r="AF4081">
        <v>0.15923609298067601</v>
      </c>
      <c r="AG4081">
        <v>-9.4682999999999795E-2</v>
      </c>
      <c r="AH4081">
        <v>0.59138547598617697</v>
      </c>
      <c r="AI4081">
        <v>98.788213371366695</v>
      </c>
      <c r="AJ4081">
        <v>74.929982791688701</v>
      </c>
      <c r="AK4081">
        <v>0.61972395871399699</v>
      </c>
      <c r="AL4081">
        <v>70.554790035329106</v>
      </c>
      <c r="AM4081">
        <v>84.479123002286798</v>
      </c>
      <c r="AN4081">
        <v>1.0000000292737199</v>
      </c>
    </row>
    <row r="4082" spans="1:40" x14ac:dyDescent="0.25">
      <c r="A4082" t="str">
        <f>"20190304164210433"</f>
        <v>20190304164210433</v>
      </c>
      <c r="B4082" t="str">
        <f>"1551688930425304"</f>
        <v>1551688930425304</v>
      </c>
      <c r="C4082" t="s">
        <v>40</v>
      </c>
      <c r="D4082">
        <v>4.2859099999999897</v>
      </c>
      <c r="E4082">
        <v>0.54572609999999999</v>
      </c>
      <c r="F4082" t="s">
        <v>41</v>
      </c>
      <c r="G4082">
        <v>-219.6225</v>
      </c>
      <c r="H4082">
        <v>1.01736</v>
      </c>
      <c r="I4082">
        <v>214.64410000000001</v>
      </c>
      <c r="J4082">
        <v>-220.19399999999999</v>
      </c>
      <c r="K4082">
        <v>1.1105510000000001</v>
      </c>
      <c r="L4082">
        <v>214.80289999999999</v>
      </c>
      <c r="M4082">
        <v>0.99988630000000001</v>
      </c>
      <c r="N4082">
        <v>-1.4256329999999999E-2</v>
      </c>
      <c r="O4082">
        <v>-4.9288689999999998E-3</v>
      </c>
      <c r="P4082">
        <v>0.94247539999999996</v>
      </c>
      <c r="Q4082">
        <v>0.3208432</v>
      </c>
      <c r="R4082">
        <v>-9.3807630000000003E-2</v>
      </c>
      <c r="S4082">
        <v>3.2392880000000002</v>
      </c>
      <c r="T4082">
        <v>-0.34607159999999998</v>
      </c>
      <c r="U4082">
        <v>-0.59457399999999905</v>
      </c>
      <c r="V4082">
        <v>8.9233859999999998E-2</v>
      </c>
      <c r="W4082">
        <v>0.33423370000000002</v>
      </c>
      <c r="X4082">
        <v>0.93825639999999999</v>
      </c>
      <c r="Y4082">
        <v>0.17461099999999999</v>
      </c>
      <c r="Z4082">
        <v>-1.003222E-2</v>
      </c>
      <c r="AA4082">
        <v>0.98458639999999997</v>
      </c>
      <c r="AB4082">
        <v>30</v>
      </c>
      <c r="AC4082">
        <v>0.571500000000014</v>
      </c>
      <c r="AD4082">
        <v>-9.3190999999999996E-2</v>
      </c>
      <c r="AE4082">
        <v>-0.15879999999998501</v>
      </c>
      <c r="AF4082">
        <v>0.15222345292859099</v>
      </c>
      <c r="AG4082">
        <v>-9.3190999999999996E-2</v>
      </c>
      <c r="AH4082">
        <v>0.55849007403080497</v>
      </c>
      <c r="AI4082">
        <v>99.145550107354694</v>
      </c>
      <c r="AJ4082">
        <v>74.753668650707993</v>
      </c>
      <c r="AK4082">
        <v>0.58631706856737298</v>
      </c>
      <c r="AL4082">
        <v>70.474052806403193</v>
      </c>
      <c r="AM4082">
        <v>84.567165697055202</v>
      </c>
      <c r="AN4082">
        <v>0.99999996006357394</v>
      </c>
    </row>
    <row r="4083" spans="1:40" x14ac:dyDescent="0.25">
      <c r="A4083" t="str">
        <f>"20190304164210454"</f>
        <v>20190304164210454</v>
      </c>
      <c r="B4083" t="str">
        <f>"1551688930444824"</f>
        <v>1551688930444824</v>
      </c>
      <c r="C4083" t="s">
        <v>40</v>
      </c>
      <c r="D4083">
        <v>4.3130100000000002</v>
      </c>
      <c r="E4083">
        <v>0.54600789999999999</v>
      </c>
      <c r="F4083" t="s">
        <v>41</v>
      </c>
      <c r="G4083">
        <v>-219.35319999999999</v>
      </c>
      <c r="H4083">
        <v>1.0215609999999999</v>
      </c>
      <c r="I4083">
        <v>214.64879999999999</v>
      </c>
      <c r="J4083">
        <v>-219.9025</v>
      </c>
      <c r="K4083">
        <v>1.110576</v>
      </c>
      <c r="L4083">
        <v>214.8014</v>
      </c>
      <c r="M4083">
        <v>0.99988589999999999</v>
      </c>
      <c r="N4083">
        <v>-1.4253109999999999E-2</v>
      </c>
      <c r="O4083">
        <v>-5.0151500000000003E-3</v>
      </c>
      <c r="P4083">
        <v>0.94190289999999999</v>
      </c>
      <c r="Q4083">
        <v>0.322967</v>
      </c>
      <c r="R4083">
        <v>-9.2257049999999993E-2</v>
      </c>
      <c r="S4083">
        <v>3.240723</v>
      </c>
      <c r="T4083">
        <v>-0.34295979999999998</v>
      </c>
      <c r="U4083">
        <v>-0.59416199999999997</v>
      </c>
      <c r="V4083">
        <v>8.7605329999999995E-2</v>
      </c>
      <c r="W4083">
        <v>0.3363469</v>
      </c>
      <c r="X4083">
        <v>0.9376546</v>
      </c>
      <c r="Y4083">
        <v>0.17434839999999999</v>
      </c>
      <c r="Z4083">
        <v>-9.9269040000000003E-3</v>
      </c>
      <c r="AA4083">
        <v>0.98463400000000001</v>
      </c>
      <c r="AB4083">
        <v>30</v>
      </c>
      <c r="AC4083">
        <v>0.549300000000016</v>
      </c>
      <c r="AD4083">
        <v>-8.9014999999999803E-2</v>
      </c>
      <c r="AE4083">
        <v>-0.15260000000000601</v>
      </c>
      <c r="AF4083">
        <v>0.14627686169574899</v>
      </c>
      <c r="AG4083">
        <v>-8.9014999999999803E-2</v>
      </c>
      <c r="AH4083">
        <v>0.53696762314862301</v>
      </c>
      <c r="AI4083">
        <v>99.087206063039503</v>
      </c>
      <c r="AJ4083">
        <v>74.761652407013699</v>
      </c>
      <c r="AK4083">
        <v>0.56360874620825296</v>
      </c>
      <c r="AL4083">
        <v>70.345537753158396</v>
      </c>
      <c r="AM4083">
        <v>84.662334612419002</v>
      </c>
      <c r="AN4083">
        <v>1.0000000399425799</v>
      </c>
    </row>
    <row r="4084" spans="1:40" x14ac:dyDescent="0.25">
      <c r="A4084" t="str">
        <f>"20190304164210477"</f>
        <v>20190304164210477</v>
      </c>
      <c r="B4084" t="str">
        <f>"1551688930465320"</f>
        <v>1551688930465320</v>
      </c>
      <c r="C4084" t="s">
        <v>40</v>
      </c>
      <c r="D4084">
        <v>5.0834840000000003</v>
      </c>
      <c r="E4084">
        <v>0.54624240000000002</v>
      </c>
      <c r="F4084" t="s">
        <v>41</v>
      </c>
      <c r="G4084">
        <v>-219.08420000000001</v>
      </c>
      <c r="H4084">
        <v>1.0255069999999999</v>
      </c>
      <c r="I4084">
        <v>214.65119999999999</v>
      </c>
      <c r="J4084">
        <v>-219.6062</v>
      </c>
      <c r="K4084">
        <v>1.1105849999999999</v>
      </c>
      <c r="L4084">
        <v>214.79990000000001</v>
      </c>
      <c r="M4084">
        <v>0.99988549999999998</v>
      </c>
      <c r="N4084">
        <v>-1.4249799999999899E-2</v>
      </c>
      <c r="O4084">
        <v>-5.1037000000000001E-3</v>
      </c>
      <c r="P4084">
        <v>0.94193709999999997</v>
      </c>
      <c r="Q4084">
        <v>0.32292939999999998</v>
      </c>
      <c r="R4084">
        <v>-9.2039360000000001E-2</v>
      </c>
      <c r="S4084">
        <v>3.2424770000000001</v>
      </c>
      <c r="T4084">
        <v>-0.33725860000000002</v>
      </c>
      <c r="U4084">
        <v>-0.59426880000000004</v>
      </c>
      <c r="V4084">
        <v>8.7304320000000005E-2</v>
      </c>
      <c r="W4084">
        <v>0.33630650000000001</v>
      </c>
      <c r="X4084">
        <v>0.93769709999999995</v>
      </c>
      <c r="Y4084">
        <v>0.17423250000000001</v>
      </c>
      <c r="Z4084">
        <v>-9.7651170000000002E-3</v>
      </c>
      <c r="AA4084">
        <v>0.98465610000000003</v>
      </c>
      <c r="AB4084">
        <v>30</v>
      </c>
      <c r="AC4084">
        <v>0.52199999999999103</v>
      </c>
      <c r="AD4084">
        <v>-8.5077999999999904E-2</v>
      </c>
      <c r="AE4084">
        <v>-0.14870000000001901</v>
      </c>
      <c r="AF4084">
        <v>0.142531634727425</v>
      </c>
      <c r="AG4084">
        <v>-8.5077999999999904E-2</v>
      </c>
      <c r="AH4084">
        <v>0.51021610115316396</v>
      </c>
      <c r="AI4084">
        <v>99.123798190676695</v>
      </c>
      <c r="AJ4084">
        <v>74.392005882126895</v>
      </c>
      <c r="AK4084">
        <v>0.53653891085177396</v>
      </c>
      <c r="AL4084">
        <v>70.347994437445294</v>
      </c>
      <c r="AM4084">
        <v>84.680809040737998</v>
      </c>
      <c r="AN4084">
        <v>0.99999997879066005</v>
      </c>
    </row>
    <row r="4085" spans="1:40" x14ac:dyDescent="0.25">
      <c r="A4085" t="str">
        <f>"20190304164210500"</f>
        <v>20190304164210500</v>
      </c>
      <c r="B4085" t="str">
        <f>"1551688930495575"</f>
        <v>1551688930495575</v>
      </c>
      <c r="C4085" t="s">
        <v>40</v>
      </c>
      <c r="D4085">
        <v>4.3467830000000003</v>
      </c>
      <c r="E4085">
        <v>0.55411549999999998</v>
      </c>
      <c r="F4085" t="s">
        <v>41</v>
      </c>
      <c r="G4085">
        <v>-218.81630000000001</v>
      </c>
      <c r="H4085">
        <v>1.028227</v>
      </c>
      <c r="I4085">
        <v>214.65459999999999</v>
      </c>
      <c r="J4085">
        <v>-219.29560000000001</v>
      </c>
      <c r="K4085">
        <v>1.1105719999999999</v>
      </c>
      <c r="L4085">
        <v>214.79820000000001</v>
      </c>
      <c r="M4085">
        <v>0.99988500000000002</v>
      </c>
      <c r="N4085">
        <v>-1.424635E-2</v>
      </c>
      <c r="O4085">
        <v>-5.2014599999999998E-3</v>
      </c>
      <c r="P4085">
        <v>0.94270589999999999</v>
      </c>
      <c r="Q4085">
        <v>0.32040649999999998</v>
      </c>
      <c r="R4085">
        <v>-9.2979610000000004E-2</v>
      </c>
      <c r="S4085">
        <v>3.2425839999999999</v>
      </c>
      <c r="T4085">
        <v>-0.33806710000000001</v>
      </c>
      <c r="U4085">
        <v>-0.59605410000000003</v>
      </c>
      <c r="V4085">
        <v>8.8149770000000002E-2</v>
      </c>
      <c r="W4085">
        <v>0.3337909</v>
      </c>
      <c r="X4085">
        <v>0.93851649999999998</v>
      </c>
      <c r="Y4085">
        <v>0.17464849999999901</v>
      </c>
      <c r="Z4085">
        <v>-9.8000450000000003E-3</v>
      </c>
      <c r="AA4085">
        <v>0.98458210000000002</v>
      </c>
      <c r="AB4085">
        <v>30</v>
      </c>
      <c r="AC4085">
        <v>0.47929999999999501</v>
      </c>
      <c r="AD4085">
        <v>-8.2344999999999793E-2</v>
      </c>
      <c r="AE4085">
        <v>-0.14360000000001999</v>
      </c>
      <c r="AF4085">
        <v>0.13738371501819199</v>
      </c>
      <c r="AG4085">
        <v>-8.2344999999999793E-2</v>
      </c>
      <c r="AH4085">
        <v>0.46738152136396099</v>
      </c>
      <c r="AI4085">
        <v>99.594161348478195</v>
      </c>
      <c r="AJ4085">
        <v>73.619648673313094</v>
      </c>
      <c r="AK4085">
        <v>0.494065249425307</v>
      </c>
      <c r="AL4085">
        <v>70.500969705479605</v>
      </c>
      <c r="AM4085">
        <v>84.634259453452003</v>
      </c>
      <c r="AN4085">
        <v>0.99999998382305599</v>
      </c>
    </row>
    <row r="4086" spans="1:40" x14ac:dyDescent="0.25">
      <c r="A4086" t="str">
        <f>"20190304164210521"</f>
        <v>20190304164210521</v>
      </c>
      <c r="B4086" t="str">
        <f>"1551688930515096"</f>
        <v>1551688930515096</v>
      </c>
      <c r="C4086" t="s">
        <v>40</v>
      </c>
      <c r="D4086">
        <v>4.3389439999999997</v>
      </c>
      <c r="E4086">
        <v>0.55485759999999995</v>
      </c>
      <c r="F4086" t="s">
        <v>41</v>
      </c>
      <c r="G4086">
        <v>-218.55549999999999</v>
      </c>
      <c r="H4086">
        <v>1.016283</v>
      </c>
      <c r="I4086">
        <v>214.64850000000001</v>
      </c>
      <c r="J4086">
        <v>-219.00640000000001</v>
      </c>
      <c r="K4086">
        <v>1.11054599999999</v>
      </c>
      <c r="L4086">
        <v>214.79660000000001</v>
      </c>
      <c r="M4086">
        <v>0.99988449999999995</v>
      </c>
      <c r="N4086">
        <v>-1.424311E-2</v>
      </c>
      <c r="O4086">
        <v>-5.3018989999999997E-3</v>
      </c>
      <c r="P4086">
        <v>0.94346540000000001</v>
      </c>
      <c r="Q4086">
        <v>0.3178069</v>
      </c>
      <c r="R4086">
        <v>-9.4191520000000001E-2</v>
      </c>
      <c r="S4086">
        <v>3.2585600000000001</v>
      </c>
      <c r="T4086">
        <v>-0.41529050000000001</v>
      </c>
      <c r="U4086">
        <v>-0.65820310000000004</v>
      </c>
      <c r="V4086">
        <v>8.926634E-2</v>
      </c>
      <c r="W4086">
        <v>0.3311984</v>
      </c>
      <c r="X4086">
        <v>0.93932910000000003</v>
      </c>
      <c r="Y4086">
        <v>0.19116730000000001</v>
      </c>
      <c r="Z4086">
        <v>-1.280207E-2</v>
      </c>
      <c r="AA4086">
        <v>0.98147399999999996</v>
      </c>
      <c r="AB4086">
        <v>30</v>
      </c>
      <c r="AC4086">
        <v>0.45090000000001801</v>
      </c>
      <c r="AD4086">
        <v>-9.4262999999999694E-2</v>
      </c>
      <c r="AE4086">
        <v>-0.14809999999999901</v>
      </c>
      <c r="AF4086">
        <v>0.14017729106715501</v>
      </c>
      <c r="AG4086">
        <v>-9.4262999999999694E-2</v>
      </c>
      <c r="AH4086">
        <v>0.43453719148570402</v>
      </c>
      <c r="AI4086">
        <v>101.664890510557</v>
      </c>
      <c r="AJ4086">
        <v>72.120825279234296</v>
      </c>
      <c r="AK4086">
        <v>0.46621642708532901</v>
      </c>
      <c r="AL4086">
        <v>70.658470543631395</v>
      </c>
      <c r="AM4086">
        <v>84.571369415204302</v>
      </c>
      <c r="AN4086">
        <v>1.00000000886318</v>
      </c>
    </row>
    <row r="4087" spans="1:40" x14ac:dyDescent="0.25">
      <c r="A4087" t="str">
        <f>"20190304164210544"</f>
        <v>20190304164210544</v>
      </c>
      <c r="B4087" t="str">
        <f>"1551688930535592"</f>
        <v>1551688930535592</v>
      </c>
      <c r="C4087" t="s">
        <v>40</v>
      </c>
      <c r="D4087">
        <v>4.438078</v>
      </c>
      <c r="E4087">
        <v>0.55728100000000003</v>
      </c>
      <c r="F4087" t="s">
        <v>41</v>
      </c>
      <c r="G4087">
        <v>-218.28919999999999</v>
      </c>
      <c r="H4087">
        <v>1.0167600000000001</v>
      </c>
      <c r="I4087">
        <v>214.6498</v>
      </c>
      <c r="J4087">
        <v>-218.71680000000001</v>
      </c>
      <c r="K4087">
        <v>1.1105179999999999</v>
      </c>
      <c r="L4087">
        <v>214.79490000000001</v>
      </c>
      <c r="M4087">
        <v>0.99988390000000005</v>
      </c>
      <c r="N4087">
        <v>-1.423991E-2</v>
      </c>
      <c r="O4087">
        <v>-5.4200799999999999E-3</v>
      </c>
      <c r="P4087">
        <v>0.94351799999999997</v>
      </c>
      <c r="Q4087">
        <v>0.3175637</v>
      </c>
      <c r="R4087">
        <v>-9.4483549999999999E-2</v>
      </c>
      <c r="S4087">
        <v>3.256653</v>
      </c>
      <c r="T4087">
        <v>-0.42580800000000002</v>
      </c>
      <c r="U4087">
        <v>-0.66668700000000003</v>
      </c>
      <c r="V4087">
        <v>8.9455480000000004E-2</v>
      </c>
      <c r="W4087">
        <v>0.33095049999999998</v>
      </c>
      <c r="X4087">
        <v>0.93939850000000003</v>
      </c>
      <c r="Y4087">
        <v>0.19351769999999999</v>
      </c>
      <c r="Z4087">
        <v>-1.324593E-2</v>
      </c>
      <c r="AA4087">
        <v>0.98100730000000003</v>
      </c>
      <c r="AB4087">
        <v>30</v>
      </c>
      <c r="AC4087">
        <v>0.42760000000001203</v>
      </c>
      <c r="AD4087">
        <v>-9.3757999999999994E-2</v>
      </c>
      <c r="AE4087">
        <v>-0.145100000000013</v>
      </c>
      <c r="AF4087">
        <v>0.13687875055578499</v>
      </c>
      <c r="AG4087">
        <v>-9.3757999999999994E-2</v>
      </c>
      <c r="AH4087">
        <v>0.41067481918680399</v>
      </c>
      <c r="AI4087">
        <v>102.220850252815</v>
      </c>
      <c r="AJ4087">
        <v>71.566665430063196</v>
      </c>
      <c r="AK4087">
        <v>0.44292229796187399</v>
      </c>
      <c r="AL4087">
        <v>70.673523465587493</v>
      </c>
      <c r="AM4087">
        <v>84.560335498916899</v>
      </c>
      <c r="AN4087">
        <v>1.0000000290772599</v>
      </c>
    </row>
    <row r="4088" spans="1:40" x14ac:dyDescent="0.25">
      <c r="A4088" t="str">
        <f>"20190304164210566"</f>
        <v>20190304164210566</v>
      </c>
      <c r="B4088" t="str">
        <f>"1551688930555112"</f>
        <v>1551688930555112</v>
      </c>
      <c r="C4088" t="s">
        <v>40</v>
      </c>
      <c r="D4088">
        <v>4.3475020000000004</v>
      </c>
      <c r="E4088">
        <v>0.56185949999999996</v>
      </c>
      <c r="F4088" t="s">
        <v>41</v>
      </c>
      <c r="G4088">
        <v>-217.77029999999999</v>
      </c>
      <c r="H4088">
        <v>0.98827790000000004</v>
      </c>
      <c r="I4088">
        <v>214.5943</v>
      </c>
      <c r="J4088">
        <v>-218.41919999999999</v>
      </c>
      <c r="K4088">
        <v>1.1105080000000001</v>
      </c>
      <c r="L4088">
        <v>214.79320000000001</v>
      </c>
      <c r="M4088">
        <v>0.99988319999999997</v>
      </c>
      <c r="N4088">
        <v>-1.4236830000000001E-2</v>
      </c>
      <c r="O4088">
        <v>-5.5675919999999997E-3</v>
      </c>
      <c r="P4088">
        <v>0.94271240000000001</v>
      </c>
      <c r="Q4088">
        <v>0.32004850000000001</v>
      </c>
      <c r="R4088">
        <v>-9.4140660000000001E-2</v>
      </c>
      <c r="S4088">
        <v>3.2519990000000001</v>
      </c>
      <c r="T4088">
        <v>-0.42010530000000001</v>
      </c>
      <c r="U4088">
        <v>-0.68896480000000004</v>
      </c>
      <c r="V4088">
        <v>8.8992920000000003E-2</v>
      </c>
      <c r="W4088">
        <v>0.33341739999999997</v>
      </c>
      <c r="X4088">
        <v>0.93856969999999995</v>
      </c>
      <c r="Y4088">
        <v>0.20006930000000001</v>
      </c>
      <c r="Z4088">
        <v>-1.3545740000000001E-2</v>
      </c>
      <c r="AA4088">
        <v>0.97968809999999995</v>
      </c>
      <c r="AB4088">
        <v>30</v>
      </c>
      <c r="AC4088">
        <v>0.64889999999999703</v>
      </c>
      <c r="AD4088">
        <v>-0.12223009999999999</v>
      </c>
      <c r="AE4088">
        <v>-0.19890000000000799</v>
      </c>
      <c r="AF4088">
        <v>0.18914886711807199</v>
      </c>
      <c r="AG4088">
        <v>-0.12223009999999999</v>
      </c>
      <c r="AH4088">
        <v>0.62957766278048699</v>
      </c>
      <c r="AI4088">
        <v>100.533058196141</v>
      </c>
      <c r="AJ4088">
        <v>73.277750687691096</v>
      </c>
      <c r="AK4088">
        <v>0.66864454290018704</v>
      </c>
      <c r="AL4088">
        <v>70.523670279867702</v>
      </c>
      <c r="AM4088">
        <v>84.583545341361102</v>
      </c>
      <c r="AN4088">
        <v>0.99999999209548796</v>
      </c>
    </row>
    <row r="4089" spans="1:40" x14ac:dyDescent="0.25">
      <c r="A4089" t="str">
        <f>"20190304164210589"</f>
        <v>20190304164210589</v>
      </c>
      <c r="B4089" t="str">
        <f>"1551688930575608"</f>
        <v>1551688930575608</v>
      </c>
      <c r="C4089" t="s">
        <v>40</v>
      </c>
      <c r="D4089">
        <v>4.4829499999999998</v>
      </c>
      <c r="E4089">
        <v>0.5632045</v>
      </c>
      <c r="F4089" t="s">
        <v>45</v>
      </c>
      <c r="G4089">
        <v>-208.09880000000001</v>
      </c>
      <c r="H4089" s="1">
        <v>5.9967340000000002E-6</v>
      </c>
      <c r="I4089">
        <v>212.46289999999999</v>
      </c>
      <c r="J4089">
        <v>-218.1232</v>
      </c>
      <c r="K4089">
        <v>1.110487</v>
      </c>
      <c r="L4089">
        <v>214.79140000000001</v>
      </c>
      <c r="M4089">
        <v>0.9998823</v>
      </c>
      <c r="N4089">
        <v>-1.423375E-2</v>
      </c>
      <c r="O4089">
        <v>-5.7411509999999999E-3</v>
      </c>
      <c r="P4089">
        <v>0.94182650000000001</v>
      </c>
      <c r="Q4089">
        <v>0.3226271</v>
      </c>
      <c r="R4089">
        <v>-9.4206869999999998E-2</v>
      </c>
      <c r="S4089">
        <v>3.2274319999999999</v>
      </c>
      <c r="T4089">
        <v>-0.34728100000000001</v>
      </c>
      <c r="U4089">
        <v>-0.72872919999999997</v>
      </c>
      <c r="V4089">
        <v>8.89186E-2</v>
      </c>
      <c r="W4089">
        <v>0.33597549999999998</v>
      </c>
      <c r="X4089">
        <v>0.9376641</v>
      </c>
      <c r="Y4089">
        <v>0.21333350000000001</v>
      </c>
      <c r="Z4089">
        <v>-1.2317730000000001E-2</v>
      </c>
      <c r="AA4089">
        <v>0.97690180000000004</v>
      </c>
      <c r="AB4089">
        <v>30</v>
      </c>
      <c r="AC4089">
        <v>10.024399999999901</v>
      </c>
      <c r="AD4089">
        <v>-1.110481003266</v>
      </c>
      <c r="AE4089">
        <v>-2.32850000000002</v>
      </c>
      <c r="AF4089">
        <v>2.24476726951788</v>
      </c>
      <c r="AG4089">
        <v>-1.110481003266</v>
      </c>
      <c r="AH4089">
        <v>9.9220767692354297</v>
      </c>
      <c r="AI4089">
        <v>96.229820416455993</v>
      </c>
      <c r="AJ4089">
        <v>77.252029718177297</v>
      </c>
      <c r="AK4089">
        <v>10.233267101347099</v>
      </c>
      <c r="AL4089">
        <v>70.368131679332507</v>
      </c>
      <c r="AM4089">
        <v>84.582846063261201</v>
      </c>
      <c r="AN4089">
        <v>1.0000000092275001</v>
      </c>
    </row>
    <row r="4090" spans="1:40" x14ac:dyDescent="0.25">
      <c r="A4090" t="str">
        <f>"20190304164210611"</f>
        <v>20190304164210611</v>
      </c>
      <c r="B4090" t="str">
        <f>"1551688930604888"</f>
        <v>1551688930604888</v>
      </c>
      <c r="C4090" t="s">
        <v>40</v>
      </c>
      <c r="D4090">
        <v>4.5002519999999997</v>
      </c>
      <c r="E4090">
        <v>0.56432939999999998</v>
      </c>
      <c r="F4090" t="s">
        <v>45</v>
      </c>
      <c r="G4090">
        <v>-208.0498</v>
      </c>
      <c r="H4090" s="1">
        <v>5.9729519999999998E-6</v>
      </c>
      <c r="I4090">
        <v>212.48609999999999</v>
      </c>
      <c r="J4090">
        <v>-217.82</v>
      </c>
      <c r="K4090">
        <v>1.1104480000000001</v>
      </c>
      <c r="L4090">
        <v>214.7894</v>
      </c>
      <c r="M4090">
        <v>0.99988109999999997</v>
      </c>
      <c r="N4090">
        <v>-1.423055E-2</v>
      </c>
      <c r="O4090">
        <v>-5.96E-3</v>
      </c>
      <c r="P4090">
        <v>0.94206000000000001</v>
      </c>
      <c r="Q4090">
        <v>0.32212279999999999</v>
      </c>
      <c r="R4090">
        <v>-9.3593389999999999E-2</v>
      </c>
      <c r="S4090">
        <v>3.2333829999999999</v>
      </c>
      <c r="T4090">
        <v>-0.35644199999999998</v>
      </c>
      <c r="U4090">
        <v>-0.73992919999999995</v>
      </c>
      <c r="V4090">
        <v>8.8120119999999996E-2</v>
      </c>
      <c r="W4090">
        <v>0.33546609999999899</v>
      </c>
      <c r="X4090">
        <v>0.93792180000000003</v>
      </c>
      <c r="Y4090">
        <v>0.21587529999999999</v>
      </c>
      <c r="Z4090">
        <v>-1.271047E-2</v>
      </c>
      <c r="AA4090">
        <v>0.97633820000000004</v>
      </c>
      <c r="AB4090">
        <v>30</v>
      </c>
      <c r="AC4090">
        <v>9.7701999999999796</v>
      </c>
      <c r="AD4090">
        <v>-1.11044202704799</v>
      </c>
      <c r="AE4090">
        <v>-2.3033000000000001</v>
      </c>
      <c r="AF4090">
        <v>2.2178813344128301</v>
      </c>
      <c r="AG4090">
        <v>-1.11044202704799</v>
      </c>
      <c r="AH4090">
        <v>9.6654736329991202</v>
      </c>
      <c r="AI4090">
        <v>96.389210250489697</v>
      </c>
      <c r="AJ4090">
        <v>77.076389056741306</v>
      </c>
      <c r="AK4090">
        <v>9.9786501922440696</v>
      </c>
      <c r="AL4090">
        <v>70.399115889788106</v>
      </c>
      <c r="AM4090">
        <v>84.632672526761297</v>
      </c>
      <c r="AN4090">
        <v>0.99999998135663204</v>
      </c>
    </row>
    <row r="4091" spans="1:40" x14ac:dyDescent="0.25">
      <c r="A4091" t="str">
        <f>"20190304164210634"</f>
        <v>20190304164210634</v>
      </c>
      <c r="B4091" t="str">
        <f>"1551688930624914"</f>
        <v>1551688930624914</v>
      </c>
      <c r="C4091" t="s">
        <v>40</v>
      </c>
      <c r="D4091">
        <v>4.5116579999999997</v>
      </c>
      <c r="E4091">
        <v>0.56476689999999996</v>
      </c>
      <c r="F4091" t="s">
        <v>45</v>
      </c>
      <c r="G4091">
        <v>-208.0461</v>
      </c>
      <c r="H4091" s="1">
        <v>5.96773E-6</v>
      </c>
      <c r="I4091">
        <v>212.52719999999999</v>
      </c>
      <c r="J4091">
        <v>-217.52080000000001</v>
      </c>
      <c r="K4091">
        <v>1.1103879999999999</v>
      </c>
      <c r="L4091">
        <v>214.78739999999999</v>
      </c>
      <c r="M4091">
        <v>0.99987939999999997</v>
      </c>
      <c r="N4091">
        <v>-1.4227460000000001E-2</v>
      </c>
      <c r="O4091">
        <v>-6.2343340000000002E-3</v>
      </c>
      <c r="P4091">
        <v>0.94341569999999997</v>
      </c>
      <c r="Q4091">
        <v>0.31877080000000002</v>
      </c>
      <c r="R4091">
        <v>-9.1390470000000001E-2</v>
      </c>
      <c r="S4091">
        <v>3.2358090000000002</v>
      </c>
      <c r="T4091">
        <v>-0.36762790000000001</v>
      </c>
      <c r="U4091">
        <v>-0.74894709999999998</v>
      </c>
      <c r="V4091">
        <v>8.567864E-2</v>
      </c>
      <c r="W4091">
        <v>0.33212469999999999</v>
      </c>
      <c r="X4091">
        <v>0.93933610000000001</v>
      </c>
      <c r="Y4091">
        <v>0.21793979999999999</v>
      </c>
      <c r="Z4091">
        <v>-1.31477E-2</v>
      </c>
      <c r="AA4091">
        <v>0.97587360000000001</v>
      </c>
      <c r="AB4091">
        <v>30</v>
      </c>
      <c r="AC4091">
        <v>9.4747000000000092</v>
      </c>
      <c r="AD4091">
        <v>-1.11038203227</v>
      </c>
      <c r="AE4091">
        <v>-2.26019999999999</v>
      </c>
      <c r="AF4091">
        <v>2.1728454540581801</v>
      </c>
      <c r="AG4091">
        <v>-1.11038203227</v>
      </c>
      <c r="AH4091">
        <v>9.3668851456741695</v>
      </c>
      <c r="AI4091">
        <v>96.587175375666703</v>
      </c>
      <c r="AJ4091">
        <v>76.940027148934107</v>
      </c>
      <c r="AK4091">
        <v>9.67950117294588</v>
      </c>
      <c r="AL4091">
        <v>70.602212569559498</v>
      </c>
      <c r="AM4091">
        <v>84.788363510638902</v>
      </c>
      <c r="AN4091">
        <v>0.99999997723277401</v>
      </c>
    </row>
    <row r="4092" spans="1:40" x14ac:dyDescent="0.25">
      <c r="A4092" t="str">
        <f>"20190304164210667"</f>
        <v>20190304164210667</v>
      </c>
      <c r="B4092" t="str">
        <f>"1551688930655172"</f>
        <v>1551688930655172</v>
      </c>
      <c r="C4092" t="s">
        <v>40</v>
      </c>
      <c r="D4092">
        <v>4.5305410000000004</v>
      </c>
      <c r="E4092">
        <v>0.56543840000000001</v>
      </c>
      <c r="F4092" t="s">
        <v>41</v>
      </c>
      <c r="G4092">
        <v>-216.69659999999999</v>
      </c>
      <c r="H4092">
        <v>1.0121599999999999</v>
      </c>
      <c r="I4092">
        <v>214.59649999999999</v>
      </c>
      <c r="J4092">
        <v>-217.08369999999999</v>
      </c>
      <c r="K4092">
        <v>1.1102860000000001</v>
      </c>
      <c r="L4092">
        <v>214.7841</v>
      </c>
      <c r="M4092">
        <v>0.99987579999999998</v>
      </c>
      <c r="N4092">
        <v>-1.422322E-2</v>
      </c>
      <c r="O4092">
        <v>-6.7855930000000004E-3</v>
      </c>
      <c r="P4092">
        <v>0.94468039999999998</v>
      </c>
      <c r="Q4092">
        <v>0.31592759999999998</v>
      </c>
      <c r="R4092">
        <v>-8.8142109999999996E-2</v>
      </c>
      <c r="S4092">
        <v>3.2377470000000002</v>
      </c>
      <c r="T4092">
        <v>-0.38590059999999998</v>
      </c>
      <c r="U4092">
        <v>-0.74926759999999903</v>
      </c>
      <c r="V4092">
        <v>8.1967310000000002E-2</v>
      </c>
      <c r="W4092">
        <v>0.32928109999999999</v>
      </c>
      <c r="X4092">
        <v>0.94066749999999999</v>
      </c>
      <c r="Y4092">
        <v>0.21723480000000001</v>
      </c>
      <c r="Z4092">
        <v>-1.360431E-2</v>
      </c>
      <c r="AA4092">
        <v>0.97602460000000002</v>
      </c>
      <c r="AB4092">
        <v>30</v>
      </c>
      <c r="AC4092">
        <v>0.387100000000003</v>
      </c>
      <c r="AD4092">
        <v>-9.8126000000000102E-2</v>
      </c>
      <c r="AE4092">
        <v>-0.18760000000000299</v>
      </c>
      <c r="AF4092">
        <v>0.17581978923253899</v>
      </c>
      <c r="AG4092">
        <v>-9.8126000000000102E-2</v>
      </c>
      <c r="AH4092">
        <v>0.369154923316936</v>
      </c>
      <c r="AI4092">
        <v>103.494845941515</v>
      </c>
      <c r="AJ4092">
        <v>64.532640563895896</v>
      </c>
      <c r="AK4092">
        <v>0.42049574025298703</v>
      </c>
      <c r="AL4092">
        <v>70.774853276501005</v>
      </c>
      <c r="AM4092">
        <v>85.019974264400901</v>
      </c>
      <c r="AN4092">
        <v>1.0000000141410399</v>
      </c>
    </row>
    <row r="4093" spans="1:40" x14ac:dyDescent="0.25">
      <c r="A4093" t="str">
        <f>"20190304164210691"</f>
        <v>20190304164210691</v>
      </c>
      <c r="B4093" t="str">
        <f>"1551688930685427"</f>
        <v>1551688930685427</v>
      </c>
      <c r="C4093" t="s">
        <v>40</v>
      </c>
      <c r="D4093">
        <v>4.5859180000000004</v>
      </c>
      <c r="E4093">
        <v>0.56594160000000004</v>
      </c>
      <c r="F4093" t="s">
        <v>41</v>
      </c>
      <c r="G4093">
        <v>-216.17509999999999</v>
      </c>
      <c r="H4093">
        <v>0.99777850000000001</v>
      </c>
      <c r="I4093">
        <v>214.5754</v>
      </c>
      <c r="J4093">
        <v>-216.76570000000001</v>
      </c>
      <c r="K4093">
        <v>1.110217</v>
      </c>
      <c r="L4093">
        <v>214.78129999999999</v>
      </c>
      <c r="M4093">
        <v>0.99987210000000004</v>
      </c>
      <c r="N4093">
        <v>-1.4220490000000001E-2</v>
      </c>
      <c r="O4093">
        <v>-7.3279240000000004E-3</v>
      </c>
      <c r="P4093">
        <v>0.94390660000000004</v>
      </c>
      <c r="Q4093">
        <v>0.31841570000000002</v>
      </c>
      <c r="R4093">
        <v>-8.7476849999999995E-2</v>
      </c>
      <c r="S4093">
        <v>3.240494</v>
      </c>
      <c r="T4093">
        <v>-0.40129160000000003</v>
      </c>
      <c r="U4093">
        <v>-0.74365230000000004</v>
      </c>
      <c r="V4093">
        <v>8.0864099999999994E-2</v>
      </c>
      <c r="W4093">
        <v>0.33174049999999999</v>
      </c>
      <c r="X4093">
        <v>0.93989860000000003</v>
      </c>
      <c r="Y4093">
        <v>0.2148195</v>
      </c>
      <c r="Z4093">
        <v>-1.3846020000000001E-2</v>
      </c>
      <c r="AA4093">
        <v>0.97655559999999997</v>
      </c>
      <c r="AB4093">
        <v>30</v>
      </c>
      <c r="AC4093">
        <v>0.590600000000023</v>
      </c>
      <c r="AD4093">
        <v>-0.1124385</v>
      </c>
      <c r="AE4093">
        <v>-0.20589999999998501</v>
      </c>
      <c r="AF4093">
        <v>0.19525611751702199</v>
      </c>
      <c r="AG4093">
        <v>-0.1124385</v>
      </c>
      <c r="AH4093">
        <v>0.57355759231661596</v>
      </c>
      <c r="AI4093">
        <v>100.513244060822</v>
      </c>
      <c r="AJ4093">
        <v>71.199893808399807</v>
      </c>
      <c r="AK4093">
        <v>0.61622697069675902</v>
      </c>
      <c r="AL4093">
        <v>70.625550566674406</v>
      </c>
      <c r="AM4093">
        <v>85.082671091173594</v>
      </c>
      <c r="AN4093">
        <v>1.0000000701455001</v>
      </c>
    </row>
    <row r="4094" spans="1:40" x14ac:dyDescent="0.25">
      <c r="A4094" t="str">
        <f>"20190304164210711"</f>
        <v>20190304164210711</v>
      </c>
      <c r="B4094" t="str">
        <f>"1551688930704947"</f>
        <v>1551688930704947</v>
      </c>
      <c r="C4094" t="s">
        <v>40</v>
      </c>
      <c r="D4094">
        <v>4.5857910000000004</v>
      </c>
      <c r="E4094">
        <v>0.56611230000000001</v>
      </c>
      <c r="F4094" t="s">
        <v>41</v>
      </c>
      <c r="G4094">
        <v>-215.90989999999999</v>
      </c>
      <c r="H4094">
        <v>1.004958</v>
      </c>
      <c r="I4094">
        <v>214.58529999999999</v>
      </c>
      <c r="J4094">
        <v>-216.49610000000001</v>
      </c>
      <c r="K4094">
        <v>1.1101559999999999</v>
      </c>
      <c r="L4094">
        <v>214.77879999999999</v>
      </c>
      <c r="M4094">
        <v>0.99986799999999998</v>
      </c>
      <c r="N4094">
        <v>-1.4218349999999999E-2</v>
      </c>
      <c r="O4094">
        <v>-7.8832709999999903E-3</v>
      </c>
      <c r="P4094">
        <v>0.94281689999999996</v>
      </c>
      <c r="Q4094">
        <v>0.32145249999999997</v>
      </c>
      <c r="R4094">
        <v>-8.8118680000000005E-2</v>
      </c>
      <c r="S4094">
        <v>3.2441249999999999</v>
      </c>
      <c r="T4094">
        <v>-0.39911219999999997</v>
      </c>
      <c r="U4094">
        <v>-0.74215699999999996</v>
      </c>
      <c r="V4094">
        <v>8.1055569999999993E-2</v>
      </c>
      <c r="W4094">
        <v>0.3347446</v>
      </c>
      <c r="X4094">
        <v>0.93881630000000005</v>
      </c>
      <c r="Y4094">
        <v>0.21364430000000001</v>
      </c>
      <c r="Z4094">
        <v>-1.3628319999999999E-2</v>
      </c>
      <c r="AA4094">
        <v>0.97681649999999998</v>
      </c>
      <c r="AB4094">
        <v>29</v>
      </c>
      <c r="AC4094">
        <v>0.58620000000001904</v>
      </c>
      <c r="AD4094">
        <v>-0.105197999999999</v>
      </c>
      <c r="AE4094">
        <v>-0.19350000000000001</v>
      </c>
      <c r="AF4094">
        <v>0.18354215284153</v>
      </c>
      <c r="AG4094">
        <v>-0.105197999999999</v>
      </c>
      <c r="AH4094">
        <v>0.57112157532829599</v>
      </c>
      <c r="AI4094">
        <v>99.946383254081695</v>
      </c>
      <c r="AJ4094">
        <v>72.184078929912403</v>
      </c>
      <c r="AK4094">
        <v>0.60904367239072299</v>
      </c>
      <c r="AL4094">
        <v>70.4429920222492</v>
      </c>
      <c r="AM4094">
        <v>85.065430948589395</v>
      </c>
      <c r="AN4094">
        <v>0.99999999890143698</v>
      </c>
    </row>
    <row r="4095" spans="1:40" x14ac:dyDescent="0.25">
      <c r="A4095" t="str">
        <f>"20190304164210733"</f>
        <v>20190304164210733</v>
      </c>
      <c r="B4095" t="str">
        <f>"1551688930725443"</f>
        <v>1551688930725443</v>
      </c>
      <c r="C4095" t="s">
        <v>40</v>
      </c>
      <c r="D4095">
        <v>4.5759679999999996</v>
      </c>
      <c r="E4095">
        <v>0.57061430000000002</v>
      </c>
      <c r="F4095" t="s">
        <v>41</v>
      </c>
      <c r="G4095">
        <v>-215.64519999999999</v>
      </c>
      <c r="H4095">
        <v>1.0075940000000001</v>
      </c>
      <c r="I4095">
        <v>214.58359999999999</v>
      </c>
      <c r="J4095">
        <v>-216.2097</v>
      </c>
      <c r="K4095">
        <v>1.110079</v>
      </c>
      <c r="L4095">
        <v>214.7758</v>
      </c>
      <c r="M4095">
        <v>0.99986200000000003</v>
      </c>
      <c r="N4095">
        <v>-1.4216289999999999E-2</v>
      </c>
      <c r="O4095">
        <v>-8.5993830000000004E-3</v>
      </c>
      <c r="P4095">
        <v>0.94221790000000005</v>
      </c>
      <c r="Q4095">
        <v>0.32248569999999999</v>
      </c>
      <c r="R4095">
        <v>-9.0710150000000003E-2</v>
      </c>
      <c r="S4095">
        <v>3.245895</v>
      </c>
      <c r="T4095">
        <v>-0.39131549999999998</v>
      </c>
      <c r="U4095">
        <v>-0.74343870000000001</v>
      </c>
      <c r="V4095">
        <v>8.3053050000000003E-2</v>
      </c>
      <c r="W4095">
        <v>0.33574779999999999</v>
      </c>
      <c r="X4095">
        <v>0.93828330000000004</v>
      </c>
      <c r="Y4095">
        <v>0.21326490000000001</v>
      </c>
      <c r="Z4095">
        <v>-1.328883E-2</v>
      </c>
      <c r="AA4095">
        <v>0.97690399999999999</v>
      </c>
      <c r="AB4095">
        <v>29</v>
      </c>
      <c r="AC4095">
        <v>0.56450000000000899</v>
      </c>
      <c r="AD4095">
        <v>-0.10248499999999899</v>
      </c>
      <c r="AE4095">
        <v>-0.192200000000013</v>
      </c>
      <c r="AF4095">
        <v>0.18196350334647099</v>
      </c>
      <c r="AG4095">
        <v>-0.10248499999999899</v>
      </c>
      <c r="AH4095">
        <v>0.54989031260138299</v>
      </c>
      <c r="AI4095">
        <v>100.033935025948</v>
      </c>
      <c r="AJ4095">
        <v>71.690169724892598</v>
      </c>
      <c r="AK4095">
        <v>0.58821190711168703</v>
      </c>
      <c r="AL4095">
        <v>70.381981758040297</v>
      </c>
      <c r="AM4095">
        <v>84.941592404852599</v>
      </c>
      <c r="AN4095">
        <v>0.99999997268901597</v>
      </c>
    </row>
    <row r="4096" spans="1:40" x14ac:dyDescent="0.25">
      <c r="A4096" t="str">
        <f>"20190304164210755"</f>
        <v>20190304164210755</v>
      </c>
      <c r="B4096" t="str">
        <f>"1551688930744964"</f>
        <v>1551688930744964</v>
      </c>
      <c r="C4096" t="s">
        <v>40</v>
      </c>
      <c r="D4096">
        <v>4.590484</v>
      </c>
      <c r="E4096">
        <v>0.57119960000000003</v>
      </c>
      <c r="F4096" t="s">
        <v>41</v>
      </c>
      <c r="G4096">
        <v>-215.38480000000001</v>
      </c>
      <c r="H4096">
        <v>1.0029760000000001</v>
      </c>
      <c r="I4096">
        <v>214.57689999999999</v>
      </c>
      <c r="J4096">
        <v>-215.91560000000001</v>
      </c>
      <c r="K4096">
        <v>1.1099749999999999</v>
      </c>
      <c r="L4096">
        <v>214.7723</v>
      </c>
      <c r="M4096">
        <v>0.99985400000000002</v>
      </c>
      <c r="N4096">
        <v>-1.421452E-2</v>
      </c>
      <c r="O4096">
        <v>-9.4828099999999995E-3</v>
      </c>
      <c r="P4096">
        <v>0.941581</v>
      </c>
      <c r="Q4096">
        <v>0.32329330000000001</v>
      </c>
      <c r="R4096">
        <v>-9.4375239999999999E-2</v>
      </c>
      <c r="S4096">
        <v>3.253098</v>
      </c>
      <c r="T4096">
        <v>-0.42238150000000002</v>
      </c>
      <c r="U4096">
        <v>-0.78366089999999999</v>
      </c>
      <c r="V4096">
        <v>8.5979929999999996E-2</v>
      </c>
      <c r="W4096">
        <v>0.33651969999999998</v>
      </c>
      <c r="X4096">
        <v>0.93774299999999999</v>
      </c>
      <c r="Y4096">
        <v>0.22305320000000001</v>
      </c>
      <c r="Z4096">
        <v>-1.475771E-2</v>
      </c>
      <c r="AA4096">
        <v>0.97469459999999997</v>
      </c>
      <c r="AB4096">
        <v>29</v>
      </c>
      <c r="AC4096">
        <v>0.53079999999999905</v>
      </c>
      <c r="AD4096">
        <v>-0.106998999999999</v>
      </c>
      <c r="AE4096">
        <v>-0.19540000000000601</v>
      </c>
      <c r="AF4096">
        <v>0.18378058379016901</v>
      </c>
      <c r="AG4096">
        <v>-0.106998999999999</v>
      </c>
      <c r="AH4096">
        <v>0.51422746950767195</v>
      </c>
      <c r="AI4096">
        <v>101.08606038006801</v>
      </c>
      <c r="AJ4096">
        <v>70.333536666648598</v>
      </c>
      <c r="AK4096">
        <v>0.55646561383028803</v>
      </c>
      <c r="AL4096">
        <v>70.335023267187594</v>
      </c>
      <c r="AM4096">
        <v>84.761302733394302</v>
      </c>
      <c r="AN4096">
        <v>0.999999995449947</v>
      </c>
    </row>
    <row r="4097" spans="1:40" x14ac:dyDescent="0.25">
      <c r="A4097" t="str">
        <f>"20190304164210781"</f>
        <v>20190304164210781</v>
      </c>
      <c r="B4097" t="str">
        <f>"1551688930775219"</f>
        <v>1551688930775219</v>
      </c>
      <c r="C4097" t="s">
        <v>40</v>
      </c>
      <c r="D4097">
        <v>4.6028909999999996</v>
      </c>
      <c r="E4097">
        <v>0.57146140000000001</v>
      </c>
      <c r="F4097" t="s">
        <v>41</v>
      </c>
      <c r="G4097">
        <v>-215.1208</v>
      </c>
      <c r="H4097">
        <v>1.006656</v>
      </c>
      <c r="I4097">
        <v>214.57740000000001</v>
      </c>
      <c r="J4097">
        <v>-215.6113</v>
      </c>
      <c r="K4097">
        <v>1.109883</v>
      </c>
      <c r="L4097">
        <v>214.76830000000001</v>
      </c>
      <c r="M4097">
        <v>0.99984289999999998</v>
      </c>
      <c r="N4097">
        <v>-1.424952E-2</v>
      </c>
      <c r="O4097">
        <v>-1.0551100000000001E-2</v>
      </c>
      <c r="P4097">
        <v>0.94035049999999998</v>
      </c>
      <c r="Q4097">
        <v>0.32590540000000001</v>
      </c>
      <c r="R4097">
        <v>-9.760518E-2</v>
      </c>
      <c r="S4097">
        <v>3.2513730000000001</v>
      </c>
      <c r="T4097">
        <v>-0.4226162</v>
      </c>
      <c r="U4097">
        <v>-0.79678340000000003</v>
      </c>
      <c r="V4097">
        <v>8.8319010000000003E-2</v>
      </c>
      <c r="W4097">
        <v>0.33911920000000001</v>
      </c>
      <c r="X4097">
        <v>0.93658850000000005</v>
      </c>
      <c r="Y4097">
        <v>0.2258233</v>
      </c>
      <c r="Z4097">
        <v>-1.4846069999999999E-2</v>
      </c>
      <c r="AA4097">
        <v>0.97405520000000001</v>
      </c>
      <c r="AB4097">
        <v>29</v>
      </c>
      <c r="AC4097">
        <v>0.49049999999999699</v>
      </c>
      <c r="AD4097">
        <v>-0.103226999999999</v>
      </c>
      <c r="AE4097">
        <v>-0.19089999999999899</v>
      </c>
      <c r="AF4097">
        <v>0.178834820460858</v>
      </c>
      <c r="AG4097">
        <v>-0.103226999999999</v>
      </c>
      <c r="AH4097">
        <v>0.47424569033722103</v>
      </c>
      <c r="AI4097">
        <v>101.511768304304</v>
      </c>
      <c r="AJ4097">
        <v>69.338882235192202</v>
      </c>
      <c r="AK4097">
        <v>0.51724914822713297</v>
      </c>
      <c r="AL4097">
        <v>70.176780940898297</v>
      </c>
      <c r="AM4097">
        <v>84.613016382268896</v>
      </c>
      <c r="AN4097">
        <v>1.0000000488341301</v>
      </c>
    </row>
    <row r="4098" spans="1:40" x14ac:dyDescent="0.25">
      <c r="A4098" t="str">
        <f>"20190304164210801"</f>
        <v>20190304164210801</v>
      </c>
      <c r="B4098" t="str">
        <f>"1551688930794753"</f>
        <v>1551688930794753</v>
      </c>
      <c r="C4098" t="s">
        <v>40</v>
      </c>
      <c r="D4098">
        <v>4.5906510000000003</v>
      </c>
      <c r="E4098">
        <v>0.57297349999999903</v>
      </c>
      <c r="F4098" t="s">
        <v>41</v>
      </c>
      <c r="G4098">
        <v>-214.85599999999999</v>
      </c>
      <c r="H4098">
        <v>1.012475</v>
      </c>
      <c r="I4098">
        <v>214.58070000000001</v>
      </c>
      <c r="J4098">
        <v>-215.32509999999999</v>
      </c>
      <c r="K4098">
        <v>1.10982</v>
      </c>
      <c r="L4098">
        <v>214.76400000000001</v>
      </c>
      <c r="M4098">
        <v>0.99982819999999994</v>
      </c>
      <c r="N4098">
        <v>-1.4380850000000001E-2</v>
      </c>
      <c r="O4098">
        <v>-1.1698689999999999E-2</v>
      </c>
      <c r="P4098">
        <v>0.9386774</v>
      </c>
      <c r="Q4098">
        <v>0.32976499999999997</v>
      </c>
      <c r="R4098">
        <v>-0.1006972</v>
      </c>
      <c r="S4098">
        <v>3.251938</v>
      </c>
      <c r="T4098">
        <v>-0.41938399999999998</v>
      </c>
      <c r="U4098">
        <v>-0.80667109999999997</v>
      </c>
      <c r="V4098">
        <v>9.045359E-2</v>
      </c>
      <c r="W4098">
        <v>0.34304990000000002</v>
      </c>
      <c r="X4098">
        <v>0.9349518</v>
      </c>
      <c r="Y4098">
        <v>0.22747870000000001</v>
      </c>
      <c r="Z4098">
        <v>-1.4745090000000001E-2</v>
      </c>
      <c r="AA4098">
        <v>0.97367139999999996</v>
      </c>
      <c r="AB4098">
        <v>29</v>
      </c>
      <c r="AC4098">
        <v>0.46909999999999702</v>
      </c>
      <c r="AD4098">
        <v>-9.7345000000000001E-2</v>
      </c>
      <c r="AE4098">
        <v>-0.18330000000000199</v>
      </c>
      <c r="AF4098">
        <v>0.171395983348651</v>
      </c>
      <c r="AG4098">
        <v>-9.7345000000000001E-2</v>
      </c>
      <c r="AH4098">
        <v>0.45424278461752998</v>
      </c>
      <c r="AI4098">
        <v>101.33766459653</v>
      </c>
      <c r="AJ4098">
        <v>69.3273847166124</v>
      </c>
      <c r="AK4098">
        <v>0.49516576972781501</v>
      </c>
      <c r="AL4098">
        <v>69.937199735704795</v>
      </c>
      <c r="AM4098">
        <v>84.474015116126296</v>
      </c>
      <c r="AN4098">
        <v>0.99999997707856803</v>
      </c>
    </row>
    <row r="4099" spans="1:40" x14ac:dyDescent="0.25">
      <c r="A4099" t="str">
        <f>"20190304164210824"</f>
        <v>20190304164210824</v>
      </c>
      <c r="B4099" t="str">
        <f>"1551688930815236"</f>
        <v>1551688930815236</v>
      </c>
      <c r="C4099" t="s">
        <v>40</v>
      </c>
      <c r="D4099">
        <v>4.591742</v>
      </c>
      <c r="E4099">
        <v>0.57344849999999903</v>
      </c>
      <c r="F4099" t="s">
        <v>41</v>
      </c>
      <c r="G4099">
        <v>-214.59460000000001</v>
      </c>
      <c r="H4099">
        <v>1.01318</v>
      </c>
      <c r="I4099">
        <v>214.5787</v>
      </c>
      <c r="J4099">
        <v>-215.0197</v>
      </c>
      <c r="K4099">
        <v>1.1097809999999999</v>
      </c>
      <c r="L4099">
        <v>214.75899999999999</v>
      </c>
      <c r="M4099">
        <v>0.99980749999999996</v>
      </c>
      <c r="N4099">
        <v>-1.462054E-2</v>
      </c>
      <c r="O4099">
        <v>-1.309856E-2</v>
      </c>
      <c r="P4099">
        <v>0.93700240000000001</v>
      </c>
      <c r="Q4099">
        <v>0.33370640000000001</v>
      </c>
      <c r="R4099">
        <v>-0.103282399999999</v>
      </c>
      <c r="S4099">
        <v>3.2587739999999998</v>
      </c>
      <c r="T4099">
        <v>-0.43117630000000001</v>
      </c>
      <c r="U4099">
        <v>-0.82672119999999905</v>
      </c>
      <c r="V4099">
        <v>9.1855660000000006E-2</v>
      </c>
      <c r="W4099">
        <v>0.34716320000000001</v>
      </c>
      <c r="X4099">
        <v>0.9332954</v>
      </c>
      <c r="Y4099">
        <v>0.2311541</v>
      </c>
      <c r="Z4099">
        <v>-1.5205079999999999E-2</v>
      </c>
      <c r="AA4099">
        <v>0.9727983</v>
      </c>
      <c r="AB4099">
        <v>29</v>
      </c>
      <c r="AC4099">
        <v>0.42509999999998599</v>
      </c>
      <c r="AD4099">
        <v>-9.6600999999999895E-2</v>
      </c>
      <c r="AE4099">
        <v>-0.180300000000016</v>
      </c>
      <c r="AF4099">
        <v>0.167389719168757</v>
      </c>
      <c r="AG4099">
        <v>-9.6600999999999895E-2</v>
      </c>
      <c r="AH4099">
        <v>0.40950303960581202</v>
      </c>
      <c r="AI4099">
        <v>102.317753613652</v>
      </c>
      <c r="AJ4099">
        <v>67.767069146208897</v>
      </c>
      <c r="AK4099">
        <v>0.45281763518086898</v>
      </c>
      <c r="AL4099">
        <v>69.686098973561997</v>
      </c>
      <c r="AM4099">
        <v>84.379007647783993</v>
      </c>
      <c r="AN4099">
        <v>1.00000002668471</v>
      </c>
    </row>
    <row r="4100" spans="1:40" x14ac:dyDescent="0.25">
      <c r="A4100" t="str">
        <f>"20190304164210845"</f>
        <v>20190304164210845</v>
      </c>
      <c r="B4100" t="str">
        <f>"1551688930835731"</f>
        <v>1551688930835731</v>
      </c>
      <c r="C4100" t="s">
        <v>40</v>
      </c>
      <c r="D4100">
        <v>4.6047929999999999</v>
      </c>
      <c r="E4100">
        <v>0.5735365</v>
      </c>
      <c r="F4100" t="s">
        <v>45</v>
      </c>
      <c r="G4100">
        <v>-206.46180000000001</v>
      </c>
      <c r="H4100" s="1">
        <v>5.2627249999999997E-6</v>
      </c>
      <c r="I4100">
        <v>212.55529999999999</v>
      </c>
      <c r="J4100">
        <v>-214.7457</v>
      </c>
      <c r="K4100">
        <v>1.109742</v>
      </c>
      <c r="L4100">
        <v>214.75389999999999</v>
      </c>
      <c r="M4100">
        <v>0.99978420000000001</v>
      </c>
      <c r="N4100">
        <v>-1.4871560000000001E-2</v>
      </c>
      <c r="O4100">
        <v>-1.450568E-2</v>
      </c>
      <c r="P4100">
        <v>0.93572900000000003</v>
      </c>
      <c r="Q4100">
        <v>0.33645209999999998</v>
      </c>
      <c r="R4100">
        <v>-0.1058833</v>
      </c>
      <c r="S4100">
        <v>3.2597049999999999</v>
      </c>
      <c r="T4100">
        <v>-0.42271710000000001</v>
      </c>
      <c r="U4100">
        <v>-0.83937070000000003</v>
      </c>
      <c r="V4100">
        <v>9.3254480000000001E-2</v>
      </c>
      <c r="W4100">
        <v>0.35009859999999998</v>
      </c>
      <c r="X4100">
        <v>0.93205930000000003</v>
      </c>
      <c r="Y4100">
        <v>0.2333248</v>
      </c>
      <c r="Z4100">
        <v>-1.496627E-2</v>
      </c>
      <c r="AA4100">
        <v>0.97228369999999997</v>
      </c>
      <c r="AB4100">
        <v>29</v>
      </c>
      <c r="AC4100">
        <v>8.2838999999999796</v>
      </c>
      <c r="AD4100">
        <v>-1.109736737275</v>
      </c>
      <c r="AE4100">
        <v>-2.1985999999999901</v>
      </c>
      <c r="AF4100">
        <v>2.0439250086879399</v>
      </c>
      <c r="AG4100">
        <v>-1.109736737275</v>
      </c>
      <c r="AH4100">
        <v>8.1778214711998398</v>
      </c>
      <c r="AI4100">
        <v>97.4999213386684</v>
      </c>
      <c r="AJ4100">
        <v>75.9672538308009</v>
      </c>
      <c r="AK4100">
        <v>8.5021120365480307</v>
      </c>
      <c r="AL4100">
        <v>69.506653593050501</v>
      </c>
      <c r="AM4100">
        <v>84.286451949433399</v>
      </c>
      <c r="AN4100">
        <v>0.99999998323925998</v>
      </c>
    </row>
    <row r="4101" spans="1:40" x14ac:dyDescent="0.25">
      <c r="A4101" t="str">
        <f>"20190304164210867"</f>
        <v>20190304164210867</v>
      </c>
      <c r="B4101" t="str">
        <f>"1551688930855252"</f>
        <v>1551688930855252</v>
      </c>
      <c r="C4101" t="s">
        <v>40</v>
      </c>
      <c r="D4101">
        <v>4.5920339999999999</v>
      </c>
      <c r="E4101">
        <v>0.57356439999999997</v>
      </c>
      <c r="F4101" t="s">
        <v>45</v>
      </c>
      <c r="G4101">
        <v>-206.1215</v>
      </c>
      <c r="H4101" s="1">
        <v>5.1154259999999996E-6</v>
      </c>
      <c r="I4101">
        <v>212.5138</v>
      </c>
      <c r="J4101">
        <v>-214.45740000000001</v>
      </c>
      <c r="K4101">
        <v>1.1096919999999999</v>
      </c>
      <c r="L4101">
        <v>214.74789999999999</v>
      </c>
      <c r="M4101">
        <v>0.99975559999999997</v>
      </c>
      <c r="N4101">
        <v>-1.5139150000000001E-2</v>
      </c>
      <c r="O4101">
        <v>-1.6114099999999999E-2</v>
      </c>
      <c r="P4101">
        <v>0.93515000000000004</v>
      </c>
      <c r="Q4101">
        <v>0.33702090000000001</v>
      </c>
      <c r="R4101">
        <v>-0.109139899999999</v>
      </c>
      <c r="S4101">
        <v>3.2610929999999998</v>
      </c>
      <c r="T4101">
        <v>-0.4196278</v>
      </c>
      <c r="U4101">
        <v>-0.84704590000000002</v>
      </c>
      <c r="V4101">
        <v>9.5104569999999999E-2</v>
      </c>
      <c r="W4101">
        <v>0.35088190000000002</v>
      </c>
      <c r="X4101">
        <v>0.93157769999999995</v>
      </c>
      <c r="Y4101">
        <v>0.2338365</v>
      </c>
      <c r="Z4101">
        <v>-1.4756689999999999E-2</v>
      </c>
      <c r="AA4101">
        <v>0.97216400000000003</v>
      </c>
      <c r="AB4101">
        <v>29</v>
      </c>
      <c r="AC4101">
        <v>8.3359000000000094</v>
      </c>
      <c r="AD4101">
        <v>-1.109686884574</v>
      </c>
      <c r="AE4101">
        <v>-2.2340999999999802</v>
      </c>
      <c r="AF4101">
        <v>2.0653215103324198</v>
      </c>
      <c r="AG4101">
        <v>-1.109686884574</v>
      </c>
      <c r="AH4101">
        <v>8.2346723434735605</v>
      </c>
      <c r="AI4101">
        <v>97.446881289729902</v>
      </c>
      <c r="AJ4101">
        <v>75.920194316428606</v>
      </c>
      <c r="AK4101">
        <v>8.5619382459350692</v>
      </c>
      <c r="AL4101">
        <v>69.458734438952604</v>
      </c>
      <c r="AM4101">
        <v>84.170881022371404</v>
      </c>
      <c r="AN4101">
        <v>0.99999999905989201</v>
      </c>
    </row>
    <row r="4102" spans="1:40" x14ac:dyDescent="0.25">
      <c r="A4102" t="str">
        <f>"20190304164210891"</f>
        <v>20190304164210891</v>
      </c>
      <c r="B4102" t="str">
        <f>"1551688930885507"</f>
        <v>1551688930885507</v>
      </c>
      <c r="C4102" t="s">
        <v>40</v>
      </c>
      <c r="D4102">
        <v>4.6152069999999998</v>
      </c>
      <c r="E4102">
        <v>0.57314339999999997</v>
      </c>
      <c r="F4102" t="s">
        <v>45</v>
      </c>
      <c r="G4102">
        <v>-205.89340000000001</v>
      </c>
      <c r="H4102" s="1">
        <v>5.0154409999999999E-6</v>
      </c>
      <c r="I4102">
        <v>212.50049999999999</v>
      </c>
      <c r="J4102">
        <v>-214.16059999999999</v>
      </c>
      <c r="K4102">
        <v>1.109639</v>
      </c>
      <c r="L4102">
        <v>214.74119999999999</v>
      </c>
      <c r="M4102">
        <v>0.99972110000000003</v>
      </c>
      <c r="N4102">
        <v>-1.540501E-2</v>
      </c>
      <c r="O4102">
        <v>-1.790361E-2</v>
      </c>
      <c r="P4102">
        <v>0.93463379999999996</v>
      </c>
      <c r="Q4102">
        <v>0.33732420000000002</v>
      </c>
      <c r="R4102">
        <v>-0.112571</v>
      </c>
      <c r="S4102">
        <v>3.260437</v>
      </c>
      <c r="T4102">
        <v>-0.42247220000000002</v>
      </c>
      <c r="U4102">
        <v>-0.85562130000000003</v>
      </c>
      <c r="V4102">
        <v>9.6955760000000002E-2</v>
      </c>
      <c r="W4102">
        <v>0.35139890000000001</v>
      </c>
      <c r="X4102">
        <v>0.93119189999999996</v>
      </c>
      <c r="Y4102">
        <v>0.234515</v>
      </c>
      <c r="Z4102">
        <v>-1.472567E-2</v>
      </c>
      <c r="AA4102">
        <v>0.972001</v>
      </c>
      <c r="AB4102">
        <v>29</v>
      </c>
      <c r="AC4102">
        <v>8.2671999999999706</v>
      </c>
      <c r="AD4102">
        <v>-1.109633984559</v>
      </c>
      <c r="AE4102">
        <v>-2.2406999999999999</v>
      </c>
      <c r="AF4102">
        <v>2.0577758566681901</v>
      </c>
      <c r="AG4102">
        <v>-1.109633984559</v>
      </c>
      <c r="AH4102">
        <v>8.16890135251335</v>
      </c>
      <c r="AI4102">
        <v>97.503882437535594</v>
      </c>
      <c r="AJ4102">
        <v>75.861148827716605</v>
      </c>
      <c r="AK4102">
        <v>8.4968628541991507</v>
      </c>
      <c r="AL4102">
        <v>69.427097601435307</v>
      </c>
      <c r="AM4102">
        <v>84.055778446645604</v>
      </c>
      <c r="AN4102">
        <v>0.99999998047199801</v>
      </c>
    </row>
    <row r="4103" spans="1:40" x14ac:dyDescent="0.25">
      <c r="A4103" t="str">
        <f>"20190304164210912"</f>
        <v>20190304164210912</v>
      </c>
      <c r="B4103" t="str">
        <f>"1551688930905028"</f>
        <v>1551688930905028</v>
      </c>
      <c r="C4103" t="s">
        <v>40</v>
      </c>
      <c r="D4103">
        <v>4.6434249999999997</v>
      </c>
      <c r="E4103">
        <v>0.57216199999999995</v>
      </c>
      <c r="F4103" t="s">
        <v>41</v>
      </c>
      <c r="G4103">
        <v>-213.31059999999999</v>
      </c>
      <c r="H4103">
        <v>0.98685219999999996</v>
      </c>
      <c r="I4103">
        <v>214.51769999999999</v>
      </c>
      <c r="J4103">
        <v>-213.88040000000001</v>
      </c>
      <c r="K4103">
        <v>1.109578</v>
      </c>
      <c r="L4103">
        <v>214.73419999999999</v>
      </c>
      <c r="M4103">
        <v>0.99968310000000005</v>
      </c>
      <c r="N4103">
        <v>-1.5642400000000001E-2</v>
      </c>
      <c r="O4103">
        <v>-1.9725240000000002E-2</v>
      </c>
      <c r="P4103">
        <v>0.93352979999999997</v>
      </c>
      <c r="Q4103">
        <v>0.33948080000000003</v>
      </c>
      <c r="R4103">
        <v>-0.11521770000000001</v>
      </c>
      <c r="S4103">
        <v>3.2770389999999998</v>
      </c>
      <c r="T4103">
        <v>-0.47339629999999999</v>
      </c>
      <c r="U4103">
        <v>-0.86042790000000002</v>
      </c>
      <c r="V4103">
        <v>9.8006319999999994E-2</v>
      </c>
      <c r="W4103">
        <v>0.35373710000000003</v>
      </c>
      <c r="X4103">
        <v>0.93019609999999997</v>
      </c>
      <c r="Y4103">
        <v>0.23246120000000001</v>
      </c>
      <c r="Z4103">
        <v>-1.5803910000000001E-2</v>
      </c>
      <c r="AA4103">
        <v>0.97247729999999999</v>
      </c>
      <c r="AB4103">
        <v>29</v>
      </c>
      <c r="AC4103">
        <v>0.56980000000001496</v>
      </c>
      <c r="AD4103">
        <v>-0.1227258</v>
      </c>
      <c r="AE4103">
        <v>-0.216499999999996</v>
      </c>
      <c r="AF4103">
        <v>0.19722208312603701</v>
      </c>
      <c r="AG4103">
        <v>-0.1227258</v>
      </c>
      <c r="AH4103">
        <v>0.55159946936758097</v>
      </c>
      <c r="AI4103">
        <v>101.83245626623599</v>
      </c>
      <c r="AJ4103">
        <v>70.325702392222396</v>
      </c>
      <c r="AK4103">
        <v>0.59851495107875996</v>
      </c>
      <c r="AL4103">
        <v>69.283935559478905</v>
      </c>
      <c r="AM4103">
        <v>83.985453937317303</v>
      </c>
      <c r="AN4103">
        <v>0.99999997956578002</v>
      </c>
    </row>
    <row r="4104" spans="1:40" x14ac:dyDescent="0.25">
      <c r="A4104" t="str">
        <f>"20190304164210934"</f>
        <v>20190304164210934</v>
      </c>
      <c r="B4104" t="str">
        <f>"1551688930925523"</f>
        <v>1551688930925523</v>
      </c>
      <c r="C4104" t="s">
        <v>40</v>
      </c>
      <c r="D4104">
        <v>4.6519079999999997</v>
      </c>
      <c r="E4104">
        <v>0.57197399999999998</v>
      </c>
      <c r="F4104" t="s">
        <v>41</v>
      </c>
      <c r="G4104">
        <v>-213.05869999999999</v>
      </c>
      <c r="H4104">
        <v>0.98311789999999999</v>
      </c>
      <c r="I4104">
        <v>214.51929999999999</v>
      </c>
      <c r="J4104">
        <v>-213.5975</v>
      </c>
      <c r="K4104">
        <v>1.1095029999999999</v>
      </c>
      <c r="L4104">
        <v>214.72640000000001</v>
      </c>
      <c r="M4104">
        <v>0.99963880000000005</v>
      </c>
      <c r="N4104">
        <v>-1.5850110000000001E-2</v>
      </c>
      <c r="O4104">
        <v>-2.1708040000000001E-2</v>
      </c>
      <c r="P4104">
        <v>0.93214799999999998</v>
      </c>
      <c r="Q4104">
        <v>0.3422386</v>
      </c>
      <c r="R4104">
        <v>-0.11820799999999999</v>
      </c>
      <c r="S4104">
        <v>3.2916409999999998</v>
      </c>
      <c r="T4104">
        <v>-0.5066117</v>
      </c>
      <c r="U4104">
        <v>-0.86050419999999905</v>
      </c>
      <c r="V4104">
        <v>9.9269319999999994E-2</v>
      </c>
      <c r="W4104">
        <v>0.35664109999999899</v>
      </c>
      <c r="X4104">
        <v>0.92895249999999996</v>
      </c>
      <c r="Y4104">
        <v>0.22924800000000001</v>
      </c>
      <c r="Z4104">
        <v>-1.6183329999999999E-2</v>
      </c>
      <c r="AA4104">
        <v>0.97323349999999997</v>
      </c>
      <c r="AB4104">
        <v>29</v>
      </c>
      <c r="AC4104">
        <v>0.53880000000000805</v>
      </c>
      <c r="AD4104">
        <v>-0.1263851</v>
      </c>
      <c r="AE4104">
        <v>-0.20710000000002499</v>
      </c>
      <c r="AF4104">
        <v>0.18641672757861699</v>
      </c>
      <c r="AG4104">
        <v>-0.1263851</v>
      </c>
      <c r="AH4104">
        <v>0.51832131243106205</v>
      </c>
      <c r="AI4104">
        <v>102.922663919193</v>
      </c>
      <c r="AJ4104">
        <v>70.218636864220798</v>
      </c>
      <c r="AK4104">
        <v>0.56513836601613698</v>
      </c>
      <c r="AL4104">
        <v>69.105943035008394</v>
      </c>
      <c r="AM4104">
        <v>83.900430721227096</v>
      </c>
      <c r="AN4104">
        <v>1.00000000967936</v>
      </c>
    </row>
    <row r="4105" spans="1:40" x14ac:dyDescent="0.25">
      <c r="A4105" t="str">
        <f>"20190304164210956"</f>
        <v>20190304164210956</v>
      </c>
      <c r="B4105" t="str">
        <f>"1551688930945043"</f>
        <v>1551688930945043</v>
      </c>
      <c r="C4105" t="s">
        <v>40</v>
      </c>
      <c r="D4105">
        <v>4.6644990000000002</v>
      </c>
      <c r="E4105">
        <v>0.5721115</v>
      </c>
      <c r="F4105" t="s">
        <v>41</v>
      </c>
      <c r="G4105">
        <v>-212.80080000000001</v>
      </c>
      <c r="H4105">
        <v>0.98757110000000004</v>
      </c>
      <c r="I4105">
        <v>214.51609999999999</v>
      </c>
      <c r="J4105">
        <v>-213.31139999999999</v>
      </c>
      <c r="K4105">
        <v>1.1093999999999999</v>
      </c>
      <c r="L4105">
        <v>214.71789999999999</v>
      </c>
      <c r="M4105">
        <v>0.99958689999999994</v>
      </c>
      <c r="N4105">
        <v>-1.6008000000000001E-2</v>
      </c>
      <c r="O4105">
        <v>-2.386957E-2</v>
      </c>
      <c r="P4105">
        <v>0.93097730000000001</v>
      </c>
      <c r="Q4105">
        <v>0.3442692</v>
      </c>
      <c r="R4105">
        <v>-0.1214903</v>
      </c>
      <c r="S4105">
        <v>3.2933650000000001</v>
      </c>
      <c r="T4105">
        <v>-0.50402959999999997</v>
      </c>
      <c r="U4105">
        <v>-0.86808779999999997</v>
      </c>
      <c r="V4105">
        <v>0.1006668</v>
      </c>
      <c r="W4105">
        <v>0.35877100000000001</v>
      </c>
      <c r="X4105">
        <v>0.92798150000000001</v>
      </c>
      <c r="Y4105">
        <v>0.22916230000000001</v>
      </c>
      <c r="Z4105">
        <v>-1.582797E-2</v>
      </c>
      <c r="AA4105">
        <v>0.97325950000000006</v>
      </c>
      <c r="AB4105">
        <v>29</v>
      </c>
      <c r="AC4105">
        <v>0.51059999999998196</v>
      </c>
      <c r="AD4105">
        <v>-0.1218289</v>
      </c>
      <c r="AE4105">
        <v>-0.20179999999999099</v>
      </c>
      <c r="AF4105">
        <v>0.18065777969927099</v>
      </c>
      <c r="AG4105">
        <v>-0.1218289</v>
      </c>
      <c r="AH4105">
        <v>0.49109130852237198</v>
      </c>
      <c r="AI4105">
        <v>103.106331219213</v>
      </c>
      <c r="AJ4105">
        <v>69.802943110943403</v>
      </c>
      <c r="AK4105">
        <v>0.53726174956653705</v>
      </c>
      <c r="AL4105">
        <v>68.975262996051995</v>
      </c>
      <c r="AM4105">
        <v>83.808802698214706</v>
      </c>
      <c r="AN4105">
        <v>1.0000000497027399</v>
      </c>
    </row>
    <row r="4106" spans="1:40" x14ac:dyDescent="0.25">
      <c r="A4106" t="str">
        <f>"20190304164210980"</f>
        <v>20190304164210980</v>
      </c>
      <c r="B4106" t="str">
        <f>"1551688930975299"</f>
        <v>1551688930975299</v>
      </c>
      <c r="C4106" t="s">
        <v>40</v>
      </c>
      <c r="D4106">
        <v>4.655627</v>
      </c>
      <c r="E4106">
        <v>0.5680269</v>
      </c>
      <c r="F4106" t="s">
        <v>41</v>
      </c>
      <c r="G4106">
        <v>-212.54329999999999</v>
      </c>
      <c r="H4106">
        <v>0.9923805</v>
      </c>
      <c r="I4106">
        <v>214.51249999999999</v>
      </c>
      <c r="J4106">
        <v>-213.01249999999999</v>
      </c>
      <c r="K4106">
        <v>1.109272</v>
      </c>
      <c r="L4106">
        <v>214.7081</v>
      </c>
      <c r="M4106">
        <v>0.99952390000000002</v>
      </c>
      <c r="N4106">
        <v>-1.61289999999999E-2</v>
      </c>
      <c r="O4106">
        <v>-2.630476E-2</v>
      </c>
      <c r="P4106">
        <v>0.93010099999999996</v>
      </c>
      <c r="Q4106">
        <v>0.34543089999999999</v>
      </c>
      <c r="R4106">
        <v>-0.1248595</v>
      </c>
      <c r="S4106">
        <v>3.2931210000000002</v>
      </c>
      <c r="T4106">
        <v>-0.50167050000000002</v>
      </c>
      <c r="U4106">
        <v>-0.87992859999999995</v>
      </c>
      <c r="V4106">
        <v>0.1019024</v>
      </c>
      <c r="W4106">
        <v>0.3599986</v>
      </c>
      <c r="X4106">
        <v>0.92737099999999995</v>
      </c>
      <c r="Y4106">
        <v>0.23011119999999999</v>
      </c>
      <c r="Z4106">
        <v>-1.553272E-2</v>
      </c>
      <c r="AA4106">
        <v>0.97304040000000003</v>
      </c>
      <c r="AB4106">
        <v>29</v>
      </c>
      <c r="AC4106">
        <v>0.46920000000000001</v>
      </c>
      <c r="AD4106">
        <v>-0.1168915</v>
      </c>
      <c r="AE4106">
        <v>-0.19560000000001301</v>
      </c>
      <c r="AF4106">
        <v>0.17398864886925999</v>
      </c>
      <c r="AG4106">
        <v>-0.1168915</v>
      </c>
      <c r="AH4106">
        <v>0.45036966225093999</v>
      </c>
      <c r="AI4106">
        <v>103.60982288937301</v>
      </c>
      <c r="AJ4106">
        <v>68.877252533014101</v>
      </c>
      <c r="AK4106">
        <v>0.496757994785818</v>
      </c>
      <c r="AL4106">
        <v>68.899890648520099</v>
      </c>
      <c r="AM4106">
        <v>83.7293194158364</v>
      </c>
      <c r="AN4106">
        <v>1.00000003138435</v>
      </c>
    </row>
    <row r="4107" spans="1:40" x14ac:dyDescent="0.25">
      <c r="A4107" t="str">
        <f>"20190304164211002"</f>
        <v>20190304164211002</v>
      </c>
      <c r="B4107" t="str">
        <f>"1551688930994819"</f>
        <v>1551688930994819</v>
      </c>
      <c r="C4107" t="s">
        <v>40</v>
      </c>
      <c r="D4107">
        <v>4.66242</v>
      </c>
      <c r="E4107">
        <v>0.57262590000000002</v>
      </c>
      <c r="F4107" t="s">
        <v>41</v>
      </c>
      <c r="G4107">
        <v>-212.29150000000001</v>
      </c>
      <c r="H4107">
        <v>0.98678350000000004</v>
      </c>
      <c r="I4107">
        <v>214.52160000000001</v>
      </c>
      <c r="J4107">
        <v>-212.7379</v>
      </c>
      <c r="K4107">
        <v>1.109156</v>
      </c>
      <c r="L4107">
        <v>214.69820000000001</v>
      </c>
      <c r="M4107">
        <v>0.99945600000000001</v>
      </c>
      <c r="N4107">
        <v>-1.622492E-2</v>
      </c>
      <c r="O4107">
        <v>-2.8719620000000001E-2</v>
      </c>
      <c r="P4107">
        <v>0.92909929999999996</v>
      </c>
      <c r="Q4107">
        <v>0.34655350000000001</v>
      </c>
      <c r="R4107">
        <v>-0.12913419999999901</v>
      </c>
      <c r="S4107">
        <v>3.3197779999999999</v>
      </c>
      <c r="T4107">
        <v>-0.56389299999999998</v>
      </c>
      <c r="U4107">
        <v>-0.85734560000000004</v>
      </c>
      <c r="V4107">
        <v>0.104064</v>
      </c>
      <c r="W4107">
        <v>0.36115940000000002</v>
      </c>
      <c r="X4107">
        <v>0.92667929999999998</v>
      </c>
      <c r="Y4107">
        <v>0.2192114</v>
      </c>
      <c r="Z4107">
        <v>-1.570703E-2</v>
      </c>
      <c r="AA4107">
        <v>0.9755509</v>
      </c>
      <c r="AB4107">
        <v>29</v>
      </c>
      <c r="AC4107">
        <v>0.44639999999998198</v>
      </c>
      <c r="AD4107">
        <v>-0.1223725</v>
      </c>
      <c r="AE4107">
        <v>-0.176600000000007</v>
      </c>
      <c r="AF4107">
        <v>0.15371669699562299</v>
      </c>
      <c r="AG4107">
        <v>-0.1223725</v>
      </c>
      <c r="AH4107">
        <v>0.42375341337889999</v>
      </c>
      <c r="AI4107">
        <v>105.188203128441</v>
      </c>
      <c r="AJ4107">
        <v>70.061742573897305</v>
      </c>
      <c r="AK4107">
        <v>0.46708757962695102</v>
      </c>
      <c r="AL4107">
        <v>68.828583655757498</v>
      </c>
      <c r="AM4107">
        <v>83.5926567916717</v>
      </c>
      <c r="AN4107">
        <v>0.99999997667642404</v>
      </c>
    </row>
    <row r="4108" spans="1:40" x14ac:dyDescent="0.25">
      <c r="A4108" t="str">
        <f>"20190304164211025"</f>
        <v>20190304164211025</v>
      </c>
      <c r="B4108" t="str">
        <f>"1551688931015315"</f>
        <v>1551688931015315</v>
      </c>
      <c r="C4108" t="s">
        <v>40</v>
      </c>
      <c r="D4108">
        <v>4.8100719999999999</v>
      </c>
      <c r="E4108">
        <v>0.57404119999999903</v>
      </c>
      <c r="F4108" t="s">
        <v>41</v>
      </c>
      <c r="G4108">
        <v>-211.79429999999999</v>
      </c>
      <c r="H4108">
        <v>0.95717569999999996</v>
      </c>
      <c r="I4108">
        <v>214.43790000000001</v>
      </c>
      <c r="J4108">
        <v>-212.4494</v>
      </c>
      <c r="K4108">
        <v>1.1090439999999999</v>
      </c>
      <c r="L4108">
        <v>214.68690000000001</v>
      </c>
      <c r="M4108">
        <v>0.99937169999999997</v>
      </c>
      <c r="N4108">
        <v>-1.6327310000000001E-2</v>
      </c>
      <c r="O4108">
        <v>-3.1458739999999999E-2</v>
      </c>
      <c r="P4108">
        <v>0.92813900000000005</v>
      </c>
      <c r="Q4108">
        <v>0.34713270000000002</v>
      </c>
      <c r="R4108">
        <v>-0.1343772</v>
      </c>
      <c r="S4108">
        <v>3.3007200000000001</v>
      </c>
      <c r="T4108">
        <v>-0.53159679999999998</v>
      </c>
      <c r="U4108">
        <v>-0.90998840000000003</v>
      </c>
      <c r="V4108">
        <v>0.10689559999999999</v>
      </c>
      <c r="W4108">
        <v>0.36177880000000001</v>
      </c>
      <c r="X4108">
        <v>0.92611529999999997</v>
      </c>
      <c r="Y4108">
        <v>0.2325362</v>
      </c>
      <c r="Z4108">
        <v>-1.578129E-2</v>
      </c>
      <c r="AA4108">
        <v>0.97245970000000004</v>
      </c>
      <c r="AB4108">
        <v>28</v>
      </c>
      <c r="AC4108">
        <v>0.65510000000000401</v>
      </c>
      <c r="AD4108">
        <v>-0.15186830000000001</v>
      </c>
      <c r="AE4108">
        <v>-0.248999999999995</v>
      </c>
      <c r="AF4108">
        <v>0.21802713690571399</v>
      </c>
      <c r="AG4108">
        <v>-0.15186830000000001</v>
      </c>
      <c r="AH4108">
        <v>0.63289038068103198</v>
      </c>
      <c r="AI4108">
        <v>102.782588804903</v>
      </c>
      <c r="AJ4108">
        <v>70.991461622429696</v>
      </c>
      <c r="AK4108">
        <v>0.68640370550483998</v>
      </c>
      <c r="AL4108">
        <v>68.790522841401298</v>
      </c>
      <c r="AM4108">
        <v>83.415848724332207</v>
      </c>
      <c r="AN4108">
        <v>1.00000005916144</v>
      </c>
    </row>
    <row r="4109" spans="1:40" x14ac:dyDescent="0.25">
      <c r="A4109" t="str">
        <f>"20190304164211047"</f>
        <v>20190304164211047</v>
      </c>
      <c r="B4109" t="str">
        <f>"1551688931034835"</f>
        <v>1551688931034835</v>
      </c>
      <c r="C4109" t="s">
        <v>40</v>
      </c>
      <c r="D4109">
        <v>4.6228389999999999</v>
      </c>
      <c r="E4109">
        <v>0.57381870000000001</v>
      </c>
      <c r="F4109" t="s">
        <v>45</v>
      </c>
      <c r="G4109">
        <v>-205.2748</v>
      </c>
      <c r="H4109" s="1">
        <v>4.7293919999999998E-6</v>
      </c>
      <c r="I4109">
        <v>212.6344</v>
      </c>
      <c r="J4109">
        <v>-212.16739999999999</v>
      </c>
      <c r="K4109">
        <v>1.1089450000000001</v>
      </c>
      <c r="L4109">
        <v>214.6748</v>
      </c>
      <c r="M4109">
        <v>0.99927699999999997</v>
      </c>
      <c r="N4109">
        <v>-1.642244E-2</v>
      </c>
      <c r="O4109">
        <v>-3.429132E-2</v>
      </c>
      <c r="P4109">
        <v>0.92718889999999998</v>
      </c>
      <c r="Q4109">
        <v>0.34727170000000002</v>
      </c>
      <c r="R4109">
        <v>-0.14043989999999901</v>
      </c>
      <c r="S4109">
        <v>3.2861479999999998</v>
      </c>
      <c r="T4109">
        <v>-0.50796319999999995</v>
      </c>
      <c r="U4109">
        <v>-0.94007870000000004</v>
      </c>
      <c r="V4109">
        <v>0.1104445</v>
      </c>
      <c r="W4109">
        <v>0.36195169999999999</v>
      </c>
      <c r="X4109">
        <v>0.92563110000000004</v>
      </c>
      <c r="Y4109">
        <v>0.2392832</v>
      </c>
      <c r="Z4109">
        <v>-1.5434379999999999E-2</v>
      </c>
      <c r="AA4109">
        <v>0.9708272</v>
      </c>
      <c r="AB4109">
        <v>28</v>
      </c>
      <c r="AC4109">
        <v>6.8925999999999803</v>
      </c>
      <c r="AD4109">
        <v>-1.108940270608</v>
      </c>
      <c r="AE4109">
        <v>-2.0404</v>
      </c>
      <c r="AF4109">
        <v>1.7609028313591999</v>
      </c>
      <c r="AG4109">
        <v>-1.108940270608</v>
      </c>
      <c r="AH4109">
        <v>6.7967630322636099</v>
      </c>
      <c r="AI4109">
        <v>98.975295235050794</v>
      </c>
      <c r="AJ4109">
        <v>75.475189287819006</v>
      </c>
      <c r="AK4109">
        <v>7.1082005473966596</v>
      </c>
      <c r="AL4109">
        <v>68.779894413660202</v>
      </c>
      <c r="AM4109">
        <v>83.195747754089197</v>
      </c>
      <c r="AN4109">
        <v>0.99999997700017396</v>
      </c>
    </row>
    <row r="4110" spans="1:40" x14ac:dyDescent="0.25">
      <c r="A4110" t="str">
        <f>"20190304164211069"</f>
        <v>20190304164211069</v>
      </c>
      <c r="B4110" t="str">
        <f>"1551688931065092"</f>
        <v>1551688931065092</v>
      </c>
      <c r="C4110" t="s">
        <v>40</v>
      </c>
      <c r="D4110">
        <v>4.8368739999999999</v>
      </c>
      <c r="E4110">
        <v>0.57397290000000001</v>
      </c>
      <c r="F4110" t="s">
        <v>45</v>
      </c>
      <c r="G4110">
        <v>-205.07599999999999</v>
      </c>
      <c r="H4110" s="1">
        <v>4.6437320000000001E-6</v>
      </c>
      <c r="I4110">
        <v>212.6063</v>
      </c>
      <c r="J4110">
        <v>-211.88939999999999</v>
      </c>
      <c r="K4110">
        <v>1.108854</v>
      </c>
      <c r="L4110">
        <v>214.66200000000001</v>
      </c>
      <c r="M4110">
        <v>0.99917040000000001</v>
      </c>
      <c r="N4110">
        <v>-1.650542E-2</v>
      </c>
      <c r="O4110">
        <v>-3.7230550000000001E-2</v>
      </c>
      <c r="P4110">
        <v>0.92619180000000001</v>
      </c>
      <c r="Q4110">
        <v>0.3471458</v>
      </c>
      <c r="R4110">
        <v>-0.14716940000000001</v>
      </c>
      <c r="S4110">
        <v>3.2828219999999999</v>
      </c>
      <c r="T4110">
        <v>-0.51336219999999999</v>
      </c>
      <c r="U4110">
        <v>-0.9575958</v>
      </c>
      <c r="V4110">
        <v>0.1145528</v>
      </c>
      <c r="W4110">
        <v>0.36184680000000002</v>
      </c>
      <c r="X4110">
        <v>0.92517269999999896</v>
      </c>
      <c r="Y4110">
        <v>0.24141550000000001</v>
      </c>
      <c r="Z4110">
        <v>-1.536875E-2</v>
      </c>
      <c r="AA4110">
        <v>0.9703001</v>
      </c>
      <c r="AB4110">
        <v>28</v>
      </c>
      <c r="AC4110">
        <v>6.8133999999999997</v>
      </c>
      <c r="AD4110">
        <v>-1.108849356268</v>
      </c>
      <c r="AE4110">
        <v>-2.0556999999999999</v>
      </c>
      <c r="AF4110">
        <v>1.7578981926732</v>
      </c>
      <c r="AG4110">
        <v>-1.108849356268</v>
      </c>
      <c r="AH4110">
        <v>6.7220350535851798</v>
      </c>
      <c r="AI4110">
        <v>99.067399474525502</v>
      </c>
      <c r="AJ4110">
        <v>75.344625184550594</v>
      </c>
      <c r="AK4110">
        <v>7.0360150804505599</v>
      </c>
      <c r="AL4110">
        <v>68.786341999094006</v>
      </c>
      <c r="AM4110">
        <v>82.941689266963394</v>
      </c>
      <c r="AN4110">
        <v>0.99999998774168397</v>
      </c>
    </row>
    <row r="4111" spans="1:40" x14ac:dyDescent="0.25">
      <c r="A4111" t="str">
        <f>"20190304164211091"</f>
        <v>20190304164211091</v>
      </c>
      <c r="B4111" t="str">
        <f>"1551688931085588"</f>
        <v>1551688931085588</v>
      </c>
      <c r="C4111" t="s">
        <v>40</v>
      </c>
      <c r="D4111">
        <v>4.6805219999999998</v>
      </c>
      <c r="E4111">
        <v>0.57425539999999997</v>
      </c>
      <c r="F4111" t="s">
        <v>45</v>
      </c>
      <c r="G4111">
        <v>-204.8501</v>
      </c>
      <c r="H4111" s="1">
        <v>4.5482870000000004E-6</v>
      </c>
      <c r="I4111">
        <v>212.55199999999999</v>
      </c>
      <c r="J4111">
        <v>-211.60720000000001</v>
      </c>
      <c r="K4111">
        <v>1.108773</v>
      </c>
      <c r="L4111">
        <v>214.648</v>
      </c>
      <c r="M4111">
        <v>0.99904729999999997</v>
      </c>
      <c r="N4111">
        <v>-1.6590819999999999E-2</v>
      </c>
      <c r="O4111">
        <v>-4.0363870000000003E-2</v>
      </c>
      <c r="P4111">
        <v>0.92540599999999995</v>
      </c>
      <c r="Q4111">
        <v>0.34625830000000002</v>
      </c>
      <c r="R4111">
        <v>-0.15404189999999901</v>
      </c>
      <c r="S4111">
        <v>3.276459</v>
      </c>
      <c r="T4111">
        <v>-0.51612060000000004</v>
      </c>
      <c r="U4111">
        <v>-0.98211669999999995</v>
      </c>
      <c r="V4111">
        <v>0.118612</v>
      </c>
      <c r="W4111">
        <v>0.36098599999999997</v>
      </c>
      <c r="X4111">
        <v>0.92499739999999997</v>
      </c>
      <c r="Y4111">
        <v>0.2455011</v>
      </c>
      <c r="Z4111">
        <v>-1.5382470000000001E-2</v>
      </c>
      <c r="AA4111">
        <v>0.96927430000000003</v>
      </c>
      <c r="AB4111">
        <v>28</v>
      </c>
      <c r="AC4111">
        <v>6.7571000000000003</v>
      </c>
      <c r="AD4111">
        <v>-1.1087684517129901</v>
      </c>
      <c r="AE4111">
        <v>-2.0959999999999699</v>
      </c>
      <c r="AF4111">
        <v>1.7778437511241001</v>
      </c>
      <c r="AG4111">
        <v>-1.1087684517129901</v>
      </c>
      <c r="AH4111">
        <v>6.6723205859892696</v>
      </c>
      <c r="AI4111">
        <v>99.122233977532801</v>
      </c>
      <c r="AJ4111">
        <v>75.080141842756007</v>
      </c>
      <c r="AK4111">
        <v>6.9935654629910502</v>
      </c>
      <c r="AL4111">
        <v>68.839236759303901</v>
      </c>
      <c r="AM4111">
        <v>82.692863853873206</v>
      </c>
      <c r="AN4111">
        <v>0.99999994437337802</v>
      </c>
    </row>
    <row r="4112" spans="1:40" x14ac:dyDescent="0.25">
      <c r="A4112" t="str">
        <f>"20190304164211113"</f>
        <v>20190304164211113</v>
      </c>
      <c r="B4112" t="str">
        <f>"1551688931105108"</f>
        <v>1551688931105108</v>
      </c>
      <c r="C4112" t="s">
        <v>40</v>
      </c>
      <c r="D4112">
        <v>4.6472870000000004</v>
      </c>
      <c r="E4112">
        <v>0.57414699999999996</v>
      </c>
      <c r="F4112" t="s">
        <v>45</v>
      </c>
      <c r="G4112">
        <v>-204.62540000000001</v>
      </c>
      <c r="H4112" s="1">
        <v>4.4536519999999998E-6</v>
      </c>
      <c r="I4112">
        <v>212.49430000000001</v>
      </c>
      <c r="J4112">
        <v>-211.33519999999999</v>
      </c>
      <c r="K4112">
        <v>1.108711</v>
      </c>
      <c r="L4112">
        <v>214.6336</v>
      </c>
      <c r="M4112">
        <v>0.99891260000000004</v>
      </c>
      <c r="N4112">
        <v>-1.670087E-2</v>
      </c>
      <c r="O4112">
        <v>-4.3528119999999997E-2</v>
      </c>
      <c r="P4112">
        <v>0.92405559999999998</v>
      </c>
      <c r="Q4112">
        <v>0.3465123</v>
      </c>
      <c r="R4112">
        <v>-0.16140189999999999</v>
      </c>
      <c r="S4112">
        <v>3.2682190000000002</v>
      </c>
      <c r="T4112">
        <v>-0.51901869999999894</v>
      </c>
      <c r="U4112">
        <v>-1.0081629999999999</v>
      </c>
      <c r="V4112">
        <v>0.1231612</v>
      </c>
      <c r="W4112">
        <v>0.36127680000000001</v>
      </c>
      <c r="X4112">
        <v>0.92428909999999997</v>
      </c>
      <c r="Y4112">
        <v>0.25010599999999999</v>
      </c>
      <c r="Z4112">
        <v>-1.5449060000000001E-2</v>
      </c>
      <c r="AA4112">
        <v>0.96809520000000004</v>
      </c>
      <c r="AB4112">
        <v>28</v>
      </c>
      <c r="AC4112">
        <v>6.7097999999999702</v>
      </c>
      <c r="AD4112">
        <v>-1.1087065463479999</v>
      </c>
      <c r="AE4112">
        <v>-2.1392999999999902</v>
      </c>
      <c r="AF4112">
        <v>1.8005417236549099</v>
      </c>
      <c r="AG4112">
        <v>-1.1087065463479999</v>
      </c>
      <c r="AH4112">
        <v>6.6321998994323499</v>
      </c>
      <c r="AI4112">
        <v>99.164595539868699</v>
      </c>
      <c r="AJ4112">
        <v>74.811160089746494</v>
      </c>
      <c r="AK4112">
        <v>6.961124636908</v>
      </c>
      <c r="AL4112">
        <v>68.821370018409297</v>
      </c>
      <c r="AM4112">
        <v>82.410067578197896</v>
      </c>
      <c r="AN4112">
        <v>0.99999997389124395</v>
      </c>
    </row>
    <row r="4113" spans="1:40" x14ac:dyDescent="0.25">
      <c r="A4113" t="str">
        <f>"20190304164211136"</f>
        <v>20190304164211136</v>
      </c>
      <c r="B4113" t="str">
        <f>"1551688931125604"</f>
        <v>1551688931125604</v>
      </c>
      <c r="C4113" t="s">
        <v>40</v>
      </c>
      <c r="D4113">
        <v>4.6693410000000002</v>
      </c>
      <c r="E4113">
        <v>0.57385369999999902</v>
      </c>
      <c r="F4113" t="s">
        <v>45</v>
      </c>
      <c r="G4113">
        <v>-204.43729999999999</v>
      </c>
      <c r="H4113" s="1">
        <v>4.3740470000000002E-6</v>
      </c>
      <c r="I4113">
        <v>212.4512</v>
      </c>
      <c r="J4113">
        <v>-211.05549999999999</v>
      </c>
      <c r="K4113">
        <v>1.1086339999999999</v>
      </c>
      <c r="L4113">
        <v>214.61760000000001</v>
      </c>
      <c r="M4113">
        <v>0.99875519999999995</v>
      </c>
      <c r="N4113">
        <v>-1.6851809999999998E-2</v>
      </c>
      <c r="O4113">
        <v>-4.6947900000000001E-2</v>
      </c>
      <c r="P4113">
        <v>0.92253479999999999</v>
      </c>
      <c r="Q4113">
        <v>0.34749980000000003</v>
      </c>
      <c r="R4113">
        <v>-0.16785</v>
      </c>
      <c r="S4113">
        <v>3.2628940000000002</v>
      </c>
      <c r="T4113">
        <v>-0.52444959999999996</v>
      </c>
      <c r="U4113">
        <v>-1.032303</v>
      </c>
      <c r="V4113">
        <v>0.12659210000000001</v>
      </c>
      <c r="W4113">
        <v>0.3623362</v>
      </c>
      <c r="X4113">
        <v>0.92341050000000002</v>
      </c>
      <c r="Y4113">
        <v>0.25368819999999997</v>
      </c>
      <c r="Z4113">
        <v>-1.544879E-2</v>
      </c>
      <c r="AA4113">
        <v>0.96716270000000004</v>
      </c>
      <c r="AB4113">
        <v>28</v>
      </c>
      <c r="AC4113">
        <v>6.6181999999999999</v>
      </c>
      <c r="AD4113">
        <v>-1.108629625953</v>
      </c>
      <c r="AE4113">
        <v>-2.1664000000000101</v>
      </c>
      <c r="AF4113">
        <v>1.80744670937211</v>
      </c>
      <c r="AG4113">
        <v>-1.108629625953</v>
      </c>
      <c r="AH4113">
        <v>6.5466989145313699</v>
      </c>
      <c r="AI4113">
        <v>99.2709038495491</v>
      </c>
      <c r="AJ4113">
        <v>74.565958743573205</v>
      </c>
      <c r="AK4113">
        <v>6.8815107303765002</v>
      </c>
      <c r="AL4113">
        <v>68.756260809483393</v>
      </c>
      <c r="AM4113">
        <v>82.1938732848905</v>
      </c>
      <c r="AN4113">
        <v>1.0000000165615499</v>
      </c>
    </row>
    <row r="4114" spans="1:40" x14ac:dyDescent="0.25">
      <c r="A4114" t="str">
        <f>"20190304164211157"</f>
        <v>20190304164211157</v>
      </c>
      <c r="B4114" t="str">
        <f>"1551688931145123"</f>
        <v>1551688931145123</v>
      </c>
      <c r="C4114" t="s">
        <v>40</v>
      </c>
      <c r="D4114">
        <v>4.7049750000000001</v>
      </c>
      <c r="E4114">
        <v>0.57393939999999999</v>
      </c>
      <c r="F4114" t="s">
        <v>41</v>
      </c>
      <c r="G4114">
        <v>-210.27950000000001</v>
      </c>
      <c r="H4114">
        <v>0.98268840000000002</v>
      </c>
      <c r="I4114">
        <v>214.3665</v>
      </c>
      <c r="J4114">
        <v>-210.7808</v>
      </c>
      <c r="K4114">
        <v>1.108538</v>
      </c>
      <c r="L4114">
        <v>214.60079999999999</v>
      </c>
      <c r="M4114">
        <v>0.99857910000000005</v>
      </c>
      <c r="N4114">
        <v>-1.7028689999999999E-2</v>
      </c>
      <c r="O4114">
        <v>-5.0495770000000002E-2</v>
      </c>
      <c r="P4114">
        <v>0.92173839999999996</v>
      </c>
      <c r="Q4114">
        <v>0.34741260000000002</v>
      </c>
      <c r="R4114">
        <v>-0.17234539999999901</v>
      </c>
      <c r="S4114">
        <v>3.259369</v>
      </c>
      <c r="T4114">
        <v>-0.52899929999999995</v>
      </c>
      <c r="U4114">
        <v>-1.0540769999999999</v>
      </c>
      <c r="V4114">
        <v>0.12793299999999999</v>
      </c>
      <c r="W4114">
        <v>0.36236289999999999</v>
      </c>
      <c r="X4114">
        <v>0.92321520000000001</v>
      </c>
      <c r="Y4114">
        <v>0.2563646</v>
      </c>
      <c r="Z4114">
        <v>-1.532674E-2</v>
      </c>
      <c r="AA4114">
        <v>0.96645859999999995</v>
      </c>
      <c r="AB4114">
        <v>28</v>
      </c>
      <c r="AC4114">
        <v>0.50129999999998598</v>
      </c>
      <c r="AD4114">
        <v>-0.12584960000000001</v>
      </c>
      <c r="AE4114">
        <v>-0.23429999999998999</v>
      </c>
      <c r="AF4114">
        <v>0.19842049683818899</v>
      </c>
      <c r="AG4114">
        <v>-0.12584960000000001</v>
      </c>
      <c r="AH4114">
        <v>0.48728815477877802</v>
      </c>
      <c r="AI4114">
        <v>103.452134084452</v>
      </c>
      <c r="AJ4114">
        <v>67.844173582288406</v>
      </c>
      <c r="AK4114">
        <v>0.54097926131542295</v>
      </c>
      <c r="AL4114">
        <v>68.754619427919195</v>
      </c>
      <c r="AM4114">
        <v>82.110576361374797</v>
      </c>
      <c r="AN4114">
        <v>1.00000001464822</v>
      </c>
    </row>
    <row r="4115" spans="1:40" x14ac:dyDescent="0.25">
      <c r="A4115" t="str">
        <f>"20190304164211180"</f>
        <v>20190304164211180</v>
      </c>
      <c r="B4115" t="str">
        <f>"1551688931175379"</f>
        <v>1551688931175379</v>
      </c>
      <c r="C4115" t="s">
        <v>40</v>
      </c>
      <c r="D4115">
        <v>4.6818160000000004</v>
      </c>
      <c r="E4115">
        <v>0.57385469999999905</v>
      </c>
      <c r="F4115" t="s">
        <v>41</v>
      </c>
      <c r="G4115">
        <v>-210.0274</v>
      </c>
      <c r="H4115">
        <v>0.98669739999999995</v>
      </c>
      <c r="I4115">
        <v>214.35210000000001</v>
      </c>
      <c r="J4115">
        <v>-210.50149999999999</v>
      </c>
      <c r="K4115">
        <v>1.108414</v>
      </c>
      <c r="L4115">
        <v>214.58250000000001</v>
      </c>
      <c r="M4115">
        <v>0.9983744</v>
      </c>
      <c r="N4115">
        <v>-1.722566E-2</v>
      </c>
      <c r="O4115">
        <v>-5.433106E-2</v>
      </c>
      <c r="P4115">
        <v>0.92046930000000005</v>
      </c>
      <c r="Q4115">
        <v>0.3472828</v>
      </c>
      <c r="R4115">
        <v>-0.17925150000000001</v>
      </c>
      <c r="S4115">
        <v>3.2522280000000001</v>
      </c>
      <c r="T4115">
        <v>-0.52580249999999995</v>
      </c>
      <c r="U4115">
        <v>-1.073318</v>
      </c>
      <c r="V4115">
        <v>0.13146659999999999</v>
      </c>
      <c r="W4115">
        <v>0.36233480000000001</v>
      </c>
      <c r="X4115">
        <v>0.92272969999999999</v>
      </c>
      <c r="Y4115">
        <v>0.25847110000000001</v>
      </c>
      <c r="Z4115">
        <v>-1.495602E-2</v>
      </c>
      <c r="AA4115">
        <v>0.96590319999999996</v>
      </c>
      <c r="AB4115">
        <v>28</v>
      </c>
      <c r="AC4115">
        <v>0.47409999999999197</v>
      </c>
      <c r="AD4115">
        <v>-0.121716599999999</v>
      </c>
      <c r="AE4115">
        <v>-0.23040000000000299</v>
      </c>
      <c r="AF4115">
        <v>0.193955893863935</v>
      </c>
      <c r="AG4115">
        <v>-0.121716599999999</v>
      </c>
      <c r="AH4115">
        <v>0.46132206835443501</v>
      </c>
      <c r="AI4115">
        <v>103.67009020397499</v>
      </c>
      <c r="AJ4115">
        <v>67.196416445949197</v>
      </c>
      <c r="AK4115">
        <v>0.51502608694213903</v>
      </c>
      <c r="AL4115">
        <v>68.756347321020002</v>
      </c>
      <c r="AM4115">
        <v>81.891314313883598</v>
      </c>
      <c r="AN4115">
        <v>1.00000003673434</v>
      </c>
    </row>
    <row r="4116" spans="1:40" x14ac:dyDescent="0.25">
      <c r="A4116" t="str">
        <f>"20190304164211200"</f>
        <v>20190304164211200</v>
      </c>
      <c r="B4116" t="str">
        <f>"1551688931194899"</f>
        <v>1551688931194899</v>
      </c>
      <c r="C4116" t="s">
        <v>40</v>
      </c>
      <c r="D4116">
        <v>4.676164</v>
      </c>
      <c r="E4116">
        <v>0.57363839999999999</v>
      </c>
      <c r="F4116" t="s">
        <v>41</v>
      </c>
      <c r="G4116">
        <v>-209.785</v>
      </c>
      <c r="H4116">
        <v>0.99065829999999999</v>
      </c>
      <c r="I4116">
        <v>214.34010000000001</v>
      </c>
      <c r="J4116">
        <v>-210.26060000000001</v>
      </c>
      <c r="K4116">
        <v>1.1082799999999999</v>
      </c>
      <c r="L4116">
        <v>214.56549999999999</v>
      </c>
      <c r="M4116">
        <v>0.99817199999999995</v>
      </c>
      <c r="N4116">
        <v>-1.7399769999999998E-2</v>
      </c>
      <c r="O4116">
        <v>-5.7877560000000002E-2</v>
      </c>
      <c r="P4116">
        <v>0.9194483</v>
      </c>
      <c r="Q4116">
        <v>0.34718459999999901</v>
      </c>
      <c r="R4116">
        <v>-0.18460070000000001</v>
      </c>
      <c r="S4116">
        <v>3.2467039999999998</v>
      </c>
      <c r="T4116">
        <v>-0.53337800000000002</v>
      </c>
      <c r="U4116">
        <v>-1.097488</v>
      </c>
      <c r="V4116">
        <v>0.13370889999999999</v>
      </c>
      <c r="W4116">
        <v>0.36232589999999998</v>
      </c>
      <c r="X4116">
        <v>0.92241090000000003</v>
      </c>
      <c r="Y4116">
        <v>0.26190380000000002</v>
      </c>
      <c r="Z4116">
        <v>-1.496698E-2</v>
      </c>
      <c r="AA4116">
        <v>0.96497790000000006</v>
      </c>
      <c r="AB4116">
        <v>28</v>
      </c>
      <c r="AC4116">
        <v>0.47560000000001401</v>
      </c>
      <c r="AD4116">
        <v>-0.117621699999999</v>
      </c>
      <c r="AE4116">
        <v>-0.22539999999997901</v>
      </c>
      <c r="AF4116">
        <v>0.18809676554451299</v>
      </c>
      <c r="AG4116">
        <v>-0.117621699999999</v>
      </c>
      <c r="AH4116">
        <v>0.46464334763611698</v>
      </c>
      <c r="AI4116">
        <v>103.205347941572</v>
      </c>
      <c r="AJ4116">
        <v>67.960929436362093</v>
      </c>
      <c r="AK4116">
        <v>0.51488707307689796</v>
      </c>
      <c r="AL4116">
        <v>68.756893568973098</v>
      </c>
      <c r="AM4116">
        <v>81.752087632209196</v>
      </c>
      <c r="AN4116">
        <v>0.99999999809441498</v>
      </c>
    </row>
    <row r="4117" spans="1:40" x14ac:dyDescent="0.25">
      <c r="A4117" t="str">
        <f>"20190304164211214"</f>
        <v>20190304164211214</v>
      </c>
      <c r="B4117" t="str">
        <f>"1551688931205637"</f>
        <v>1551688931205637</v>
      </c>
      <c r="C4117" t="s">
        <v>40</v>
      </c>
      <c r="D4117">
        <v>4.7241879999999998</v>
      </c>
      <c r="E4117">
        <v>0.57359329999999997</v>
      </c>
      <c r="F4117" t="s">
        <v>41</v>
      </c>
      <c r="G4117">
        <v>-209.54130000000001</v>
      </c>
      <c r="H4117">
        <v>0.98842140000000001</v>
      </c>
      <c r="I4117">
        <v>214.31829999999999</v>
      </c>
      <c r="J4117">
        <v>-210.0898</v>
      </c>
      <c r="K4117">
        <v>1.108169</v>
      </c>
      <c r="L4117">
        <v>214.55269999999999</v>
      </c>
      <c r="M4117">
        <v>0.99801090000000003</v>
      </c>
      <c r="N4117">
        <v>-1.7520500000000001E-2</v>
      </c>
      <c r="O4117">
        <v>-6.0560429999999998E-2</v>
      </c>
      <c r="P4117">
        <v>0.91788150000000002</v>
      </c>
      <c r="Q4117">
        <v>0.34730519999999998</v>
      </c>
      <c r="R4117">
        <v>-0.1920229</v>
      </c>
      <c r="S4117">
        <v>3.2431640000000002</v>
      </c>
      <c r="T4117">
        <v>-0.54022479999999995</v>
      </c>
      <c r="U4117">
        <v>-1.113953</v>
      </c>
      <c r="V4117">
        <v>0.13883319999999999</v>
      </c>
      <c r="W4117">
        <v>0.36246329999999999</v>
      </c>
      <c r="X4117">
        <v>0.92159959999999996</v>
      </c>
      <c r="Y4117">
        <v>0.26394499999999999</v>
      </c>
      <c r="Z4117">
        <v>-1.494152E-2</v>
      </c>
      <c r="AA4117">
        <v>0.964422</v>
      </c>
      <c r="AB4117">
        <v>27</v>
      </c>
      <c r="AC4117">
        <v>0.54849999999999</v>
      </c>
      <c r="AD4117">
        <v>-0.119747599999999</v>
      </c>
      <c r="AE4117">
        <v>-0.234399999999993</v>
      </c>
      <c r="AF4117">
        <v>0.19296995321685301</v>
      </c>
      <c r="AG4117">
        <v>-0.119747599999999</v>
      </c>
      <c r="AH4117">
        <v>0.539929900899073</v>
      </c>
      <c r="AI4117">
        <v>101.796439061962</v>
      </c>
      <c r="AJ4117">
        <v>70.333203930729795</v>
      </c>
      <c r="AK4117">
        <v>0.58574840028390796</v>
      </c>
      <c r="AL4117">
        <v>68.748448393078405</v>
      </c>
      <c r="AM4117">
        <v>81.433166475032095</v>
      </c>
      <c r="AN4117">
        <v>1.0000000619946401</v>
      </c>
    </row>
    <row r="4118" spans="1:40" x14ac:dyDescent="0.25">
      <c r="A4118" t="str">
        <f>"20190304164211237"</f>
        <v>20190304164211237</v>
      </c>
      <c r="B4118" t="str">
        <f>"1551688931225157"</f>
        <v>1551688931225157</v>
      </c>
      <c r="C4118" t="s">
        <v>40</v>
      </c>
      <c r="D4118">
        <v>4.6465920000000001</v>
      </c>
      <c r="E4118">
        <v>0.57392509999999997</v>
      </c>
      <c r="F4118" t="s">
        <v>45</v>
      </c>
      <c r="G4118">
        <v>-203.4864</v>
      </c>
      <c r="H4118" s="1">
        <v>3.9709299999999999E-6</v>
      </c>
      <c r="I4118">
        <v>212.23840000000001</v>
      </c>
      <c r="J4118">
        <v>-209.8167</v>
      </c>
      <c r="K4118">
        <v>1.1079600000000001</v>
      </c>
      <c r="L4118">
        <v>214.53100000000001</v>
      </c>
      <c r="M4118">
        <v>0.99772190000000005</v>
      </c>
      <c r="N4118">
        <v>-1.770716E-2</v>
      </c>
      <c r="O4118">
        <v>-6.5096840000000003E-2</v>
      </c>
      <c r="P4118">
        <v>0.91617950000000004</v>
      </c>
      <c r="Q4118">
        <v>0.34710560000000001</v>
      </c>
      <c r="R4118">
        <v>-0.20033190000000001</v>
      </c>
      <c r="S4118">
        <v>3.2366030000000001</v>
      </c>
      <c r="T4118">
        <v>-0.54315630000000004</v>
      </c>
      <c r="U4118">
        <v>-1.134323</v>
      </c>
      <c r="V4118">
        <v>0.14321710000000001</v>
      </c>
      <c r="W4118">
        <v>0.36231439999999998</v>
      </c>
      <c r="X4118">
        <v>0.92098709999999995</v>
      </c>
      <c r="Y4118">
        <v>0.26556469999999999</v>
      </c>
      <c r="Z4118">
        <v>-1.4546770000000001E-2</v>
      </c>
      <c r="AA4118">
        <v>0.96398329999999999</v>
      </c>
      <c r="AB4118">
        <v>27</v>
      </c>
      <c r="AC4118">
        <v>6.3302999999999896</v>
      </c>
      <c r="AD4118">
        <v>-1.1079560290699999</v>
      </c>
      <c r="AE4118">
        <v>-2.2925999999999598</v>
      </c>
      <c r="AF4118">
        <v>1.8261343040998701</v>
      </c>
      <c r="AG4118">
        <v>-1.1079560290699999</v>
      </c>
      <c r="AH4118">
        <v>6.2956384010149602</v>
      </c>
      <c r="AI4118">
        <v>99.593520433209903</v>
      </c>
      <c r="AJ4118">
        <v>73.824490082791399</v>
      </c>
      <c r="AK4118">
        <v>6.6481122083864603</v>
      </c>
      <c r="AL4118">
        <v>68.757601666200998</v>
      </c>
      <c r="AM4118">
        <v>81.161074327193802</v>
      </c>
      <c r="AN4118">
        <v>1.0000000502730799</v>
      </c>
    </row>
    <row r="4119" spans="1:40" x14ac:dyDescent="0.25">
      <c r="A4119" t="str">
        <f>"20190304164211259"</f>
        <v>20190304164211259</v>
      </c>
      <c r="B4119" t="str">
        <f>"1551688931255412"</f>
        <v>1551688931255412</v>
      </c>
      <c r="C4119" t="s">
        <v>40</v>
      </c>
      <c r="D4119">
        <v>4.8136619999999999</v>
      </c>
      <c r="E4119">
        <v>0.57387829999999995</v>
      </c>
      <c r="F4119" t="s">
        <v>45</v>
      </c>
      <c r="G4119">
        <v>-203.2679</v>
      </c>
      <c r="H4119" s="1">
        <v>3.8803940000000004E-6</v>
      </c>
      <c r="I4119">
        <v>212.16579999999999</v>
      </c>
      <c r="J4119">
        <v>-209.5461</v>
      </c>
      <c r="K4119">
        <v>1.107742</v>
      </c>
      <c r="L4119">
        <v>214.50800000000001</v>
      </c>
      <c r="M4119">
        <v>0.9973902</v>
      </c>
      <c r="N4119">
        <v>-1.7881930000000001E-2</v>
      </c>
      <c r="O4119">
        <v>-6.9950380000000006E-2</v>
      </c>
      <c r="P4119">
        <v>0.91466080000000005</v>
      </c>
      <c r="Q4119">
        <v>0.34714859999999997</v>
      </c>
      <c r="R4119">
        <v>-0.20708360000000001</v>
      </c>
      <c r="S4119">
        <v>3.226486</v>
      </c>
      <c r="T4119">
        <v>-0.54587390000000002</v>
      </c>
      <c r="U4119">
        <v>-1.1653290000000001</v>
      </c>
      <c r="V4119">
        <v>0.14575920000000001</v>
      </c>
      <c r="W4119">
        <v>0.3624077</v>
      </c>
      <c r="X4119">
        <v>0.92055140000000002</v>
      </c>
      <c r="Y4119">
        <v>0.26998719999999998</v>
      </c>
      <c r="Z4119">
        <v>-1.435529E-2</v>
      </c>
      <c r="AA4119">
        <v>0.96275690000000003</v>
      </c>
      <c r="AB4119">
        <v>27</v>
      </c>
      <c r="AC4119">
        <v>6.2781999999999902</v>
      </c>
      <c r="AD4119">
        <v>-1.1077381196060001</v>
      </c>
      <c r="AE4119">
        <v>-2.3421999999999898</v>
      </c>
      <c r="AF4119">
        <v>1.8467595152827601</v>
      </c>
      <c r="AG4119">
        <v>-1.1077381196060001</v>
      </c>
      <c r="AH4119">
        <v>6.2557226200298004</v>
      </c>
      <c r="AI4119">
        <v>99.638590100806795</v>
      </c>
      <c r="AJ4119">
        <v>73.5528081888326</v>
      </c>
      <c r="AK4119">
        <v>6.6160161689394501</v>
      </c>
      <c r="AL4119">
        <v>68.751864668664098</v>
      </c>
      <c r="AM4119">
        <v>81.002539122460504</v>
      </c>
      <c r="AN4119">
        <v>0.99999998272294399</v>
      </c>
    </row>
    <row r="4120" spans="1:40" x14ac:dyDescent="0.25">
      <c r="A4120" t="str">
        <f>"20190304164211281"</f>
        <v>20190304164211281</v>
      </c>
      <c r="B4120" t="str">
        <f>"1551688931274932"</f>
        <v>1551688931274932</v>
      </c>
      <c r="C4120" t="s">
        <v>40</v>
      </c>
      <c r="D4120">
        <v>4.7160830000000002</v>
      </c>
      <c r="E4120">
        <v>0.57381610000000005</v>
      </c>
      <c r="F4120" t="s">
        <v>45</v>
      </c>
      <c r="G4120">
        <v>-203.0429</v>
      </c>
      <c r="H4120" s="1">
        <v>3.7866369999999998E-6</v>
      </c>
      <c r="I4120">
        <v>212.09700000000001</v>
      </c>
      <c r="J4120">
        <v>-209.2724</v>
      </c>
      <c r="K4120">
        <v>1.1075029999999999</v>
      </c>
      <c r="L4120">
        <v>214.4829</v>
      </c>
      <c r="M4120">
        <v>0.99700160000000004</v>
      </c>
      <c r="N4120">
        <v>-1.8046489999999998E-2</v>
      </c>
      <c r="O4120">
        <v>-7.5248280000000001E-2</v>
      </c>
      <c r="P4120">
        <v>0.91271219999999997</v>
      </c>
      <c r="Q4120">
        <v>0.34812850000000001</v>
      </c>
      <c r="R4120">
        <v>-0.2139247</v>
      </c>
      <c r="S4120">
        <v>3.2178339999999999</v>
      </c>
      <c r="T4120">
        <v>-0.5481222</v>
      </c>
      <c r="U4120">
        <v>-1.1929780000000001</v>
      </c>
      <c r="V4120">
        <v>0.14803359999999999</v>
      </c>
      <c r="W4120">
        <v>0.36341770000000001</v>
      </c>
      <c r="X4120">
        <v>0.91979</v>
      </c>
      <c r="Y4120">
        <v>0.27297470000000001</v>
      </c>
      <c r="Z4120">
        <v>-1.3952330000000001E-2</v>
      </c>
      <c r="AA4120">
        <v>0.96192</v>
      </c>
      <c r="AB4120">
        <v>27</v>
      </c>
      <c r="AC4120">
        <v>6.2294999999999998</v>
      </c>
      <c r="AD4120">
        <v>-1.1074992133629999</v>
      </c>
      <c r="AE4120">
        <v>-2.3858999999999901</v>
      </c>
      <c r="AF4120">
        <v>1.85905575935989</v>
      </c>
      <c r="AG4120">
        <v>-1.1074992133629999</v>
      </c>
      <c r="AH4120">
        <v>6.2199528173226302</v>
      </c>
      <c r="AI4120">
        <v>99.681388935557294</v>
      </c>
      <c r="AJ4120">
        <v>73.359339993091993</v>
      </c>
      <c r="AK4120">
        <v>6.5856249417749702</v>
      </c>
      <c r="AL4120">
        <v>68.689762517967907</v>
      </c>
      <c r="AM4120">
        <v>80.857059398423402</v>
      </c>
      <c r="AN4120">
        <v>1.00000000775112</v>
      </c>
    </row>
    <row r="4121" spans="1:40" x14ac:dyDescent="0.25">
      <c r="A4121" t="str">
        <f>"20190304164211304"</f>
        <v>20190304164211304</v>
      </c>
      <c r="B4121" t="str">
        <f>"1551688931295428"</f>
        <v>1551688931295428</v>
      </c>
      <c r="C4121" t="s">
        <v>40</v>
      </c>
      <c r="D4121">
        <v>4.7056930000000001</v>
      </c>
      <c r="E4121">
        <v>0.57368059999999998</v>
      </c>
      <c r="F4121" t="s">
        <v>45</v>
      </c>
      <c r="G4121">
        <v>-202.75239999999999</v>
      </c>
      <c r="H4121" s="1">
        <v>3.666203E-6</v>
      </c>
      <c r="I4121">
        <v>212.00110000000001</v>
      </c>
      <c r="J4121">
        <v>-209.00919999999999</v>
      </c>
      <c r="K4121">
        <v>1.107253</v>
      </c>
      <c r="L4121">
        <v>214.45679999999999</v>
      </c>
      <c r="M4121">
        <v>0.99656520000000004</v>
      </c>
      <c r="N4121">
        <v>-1.81926E-2</v>
      </c>
      <c r="O4121">
        <v>-8.0790269999999997E-2</v>
      </c>
      <c r="P4121">
        <v>0.91045750000000003</v>
      </c>
      <c r="Q4121">
        <v>0.3486611</v>
      </c>
      <c r="R4121">
        <v>-0.2224923</v>
      </c>
      <c r="S4121">
        <v>3.2085270000000001</v>
      </c>
      <c r="T4121">
        <v>-0.54501140000000003</v>
      </c>
      <c r="U4121">
        <v>-1.2213290000000001</v>
      </c>
      <c r="V4121">
        <v>0.15183940000000001</v>
      </c>
      <c r="W4121">
        <v>0.36394130000000002</v>
      </c>
      <c r="X4121">
        <v>0.91896219999999995</v>
      </c>
      <c r="Y4121">
        <v>0.27601989999999998</v>
      </c>
      <c r="Z4121">
        <v>-1.342191E-2</v>
      </c>
      <c r="AA4121">
        <v>0.96105819999999997</v>
      </c>
      <c r="AB4121">
        <v>27</v>
      </c>
      <c r="AC4121">
        <v>6.2567999999999904</v>
      </c>
      <c r="AD4121">
        <v>-1.107249333797</v>
      </c>
      <c r="AE4121">
        <v>-2.4556999999999798</v>
      </c>
      <c r="AF4121">
        <v>1.8907872634970799</v>
      </c>
      <c r="AG4121">
        <v>-1.107249333797</v>
      </c>
      <c r="AH4121">
        <v>6.2647623828582697</v>
      </c>
      <c r="AI4121">
        <v>99.603706241510096</v>
      </c>
      <c r="AJ4121">
        <v>73.205498676454994</v>
      </c>
      <c r="AK4121">
        <v>6.6368912358628203</v>
      </c>
      <c r="AL4121">
        <v>68.657556964802595</v>
      </c>
      <c r="AM4121">
        <v>80.617830570692306</v>
      </c>
      <c r="AN4121">
        <v>0.99999999913344495</v>
      </c>
    </row>
    <row r="4122" spans="1:40" x14ac:dyDescent="0.25">
      <c r="A4122" t="str">
        <f>"20190304164211326"</f>
        <v>20190304164211326</v>
      </c>
      <c r="B4122" t="str">
        <f>"1551688931314948"</f>
        <v>1551688931314948</v>
      </c>
      <c r="C4122" t="s">
        <v>40</v>
      </c>
      <c r="D4122">
        <v>4.7543800000000003</v>
      </c>
      <c r="E4122">
        <v>0.57373560000000001</v>
      </c>
      <c r="F4122" t="s">
        <v>45</v>
      </c>
      <c r="G4122">
        <v>-202.51179999999999</v>
      </c>
      <c r="H4122" s="1">
        <v>3.5666049999999998E-6</v>
      </c>
      <c r="I4122">
        <v>211.9196</v>
      </c>
      <c r="J4122">
        <v>-208.74369999999999</v>
      </c>
      <c r="K4122">
        <v>1.1069869999999999</v>
      </c>
      <c r="L4122">
        <v>214.42850000000001</v>
      </c>
      <c r="M4122">
        <v>0.99605569999999999</v>
      </c>
      <c r="N4122">
        <v>-1.8330550000000001E-2</v>
      </c>
      <c r="O4122">
        <v>-8.6815539999999997E-2</v>
      </c>
      <c r="P4122">
        <v>0.90815259999999998</v>
      </c>
      <c r="Q4122">
        <v>0.34845979999999999</v>
      </c>
      <c r="R4122">
        <v>-0.23202249999999999</v>
      </c>
      <c r="S4122">
        <v>3.1985320000000002</v>
      </c>
      <c r="T4122">
        <v>-0.54506779999999999</v>
      </c>
      <c r="U4122">
        <v>-1.2490079999999999</v>
      </c>
      <c r="V4122">
        <v>0.15617590000000001</v>
      </c>
      <c r="W4122">
        <v>0.36371130000000002</v>
      </c>
      <c r="X4122">
        <v>0.91832630000000004</v>
      </c>
      <c r="Y4122">
        <v>0.27846300000000002</v>
      </c>
      <c r="Z4122">
        <v>-1.2825909999999999E-2</v>
      </c>
      <c r="AA4122">
        <v>0.96036129999999997</v>
      </c>
      <c r="AB4122">
        <v>27</v>
      </c>
      <c r="AC4122">
        <v>6.2318999999999898</v>
      </c>
      <c r="AD4122">
        <v>-1.1069834333949999</v>
      </c>
      <c r="AE4122">
        <v>-2.5089000000000099</v>
      </c>
      <c r="AF4122">
        <v>1.90654064496108</v>
      </c>
      <c r="AG4122">
        <v>-1.1069834333949999</v>
      </c>
      <c r="AH4122">
        <v>6.2563374351888701</v>
      </c>
      <c r="AI4122">
        <v>99.606471373860998</v>
      </c>
      <c r="AJ4122">
        <v>73.052055096808104</v>
      </c>
      <c r="AK4122">
        <v>6.6334054342882798</v>
      </c>
      <c r="AL4122">
        <v>68.671704759456105</v>
      </c>
      <c r="AM4122">
        <v>80.348290366137803</v>
      </c>
      <c r="AN4122">
        <v>1.0000000073800901</v>
      </c>
    </row>
    <row r="4123" spans="1:40" x14ac:dyDescent="0.25">
      <c r="A4123" t="str">
        <f>"20190304164211349"</f>
        <v>20190304164211349</v>
      </c>
      <c r="B4123" t="str">
        <f>"1551688931335444"</f>
        <v>1551688931335444</v>
      </c>
      <c r="C4123" t="s">
        <v>40</v>
      </c>
      <c r="D4123">
        <v>4.7241999999999997</v>
      </c>
      <c r="E4123">
        <v>0.57369619999999999</v>
      </c>
      <c r="F4123" t="s">
        <v>45</v>
      </c>
      <c r="G4123">
        <v>-202.25460000000001</v>
      </c>
      <c r="H4123" s="1">
        <v>3.4611519999999999E-6</v>
      </c>
      <c r="I4123">
        <v>211.8212</v>
      </c>
      <c r="J4123">
        <v>-208.47049999999999</v>
      </c>
      <c r="K4123">
        <v>1.1067480000000001</v>
      </c>
      <c r="L4123">
        <v>214.3972</v>
      </c>
      <c r="M4123">
        <v>0.99545760000000005</v>
      </c>
      <c r="N4123">
        <v>-1.8462349999999999E-2</v>
      </c>
      <c r="O4123">
        <v>-9.339952E-2</v>
      </c>
      <c r="P4123">
        <v>0.90596220000000005</v>
      </c>
      <c r="Q4123">
        <v>0.348545099999999</v>
      </c>
      <c r="R4123">
        <v>-0.24030969999999999</v>
      </c>
      <c r="S4123">
        <v>3.1849370000000001</v>
      </c>
      <c r="T4123">
        <v>-0.54331490000000005</v>
      </c>
      <c r="U4123">
        <v>-1.2797240000000001</v>
      </c>
      <c r="V4123">
        <v>0.1587459</v>
      </c>
      <c r="W4123">
        <v>0.3637841</v>
      </c>
      <c r="X4123">
        <v>0.91785669999999997</v>
      </c>
      <c r="Y4123">
        <v>0.28153240000000002</v>
      </c>
      <c r="Z4123">
        <v>-1.21876E-2</v>
      </c>
      <c r="AA4123">
        <v>0.9594743</v>
      </c>
      <c r="AB4123">
        <v>27</v>
      </c>
      <c r="AC4123">
        <v>6.2158999999999702</v>
      </c>
      <c r="AD4123">
        <v>-1.1067445388479999</v>
      </c>
      <c r="AE4123">
        <v>-2.5759999999999899</v>
      </c>
      <c r="AF4123">
        <v>1.9318088837296301</v>
      </c>
      <c r="AG4123">
        <v>-1.1067445388479999</v>
      </c>
      <c r="AH4123">
        <v>6.2599909279802501</v>
      </c>
      <c r="AI4123">
        <v>99.588752074315806</v>
      </c>
      <c r="AJ4123">
        <v>72.8499773295095</v>
      </c>
      <c r="AK4123">
        <v>6.64411434699326</v>
      </c>
      <c r="AL4123">
        <v>68.667227318977694</v>
      </c>
      <c r="AM4123">
        <v>80.187603560905501</v>
      </c>
      <c r="AN4123">
        <v>1.00000002695725</v>
      </c>
    </row>
    <row r="4124" spans="1:40" x14ac:dyDescent="0.25">
      <c r="A4124" t="str">
        <f>"20190304164211371"</f>
        <v>20190304164211371</v>
      </c>
      <c r="B4124" t="str">
        <f>"1551688931365699"</f>
        <v>1551688931365699</v>
      </c>
      <c r="C4124" t="s">
        <v>40</v>
      </c>
      <c r="D4124">
        <v>4.7293479999999999</v>
      </c>
      <c r="E4124">
        <v>0.57359079999999996</v>
      </c>
      <c r="F4124" t="s">
        <v>45</v>
      </c>
      <c r="G4124">
        <v>-202.00399999999999</v>
      </c>
      <c r="H4124" s="1">
        <v>3.358956E-6</v>
      </c>
      <c r="I4124">
        <v>211.7191</v>
      </c>
      <c r="J4124">
        <v>-208.20089999999999</v>
      </c>
      <c r="K4124">
        <v>1.10653</v>
      </c>
      <c r="L4124">
        <v>214.36410000000001</v>
      </c>
      <c r="M4124">
        <v>0.99478730000000004</v>
      </c>
      <c r="N4124">
        <v>-1.857868E-2</v>
      </c>
      <c r="O4124">
        <v>-0.1002656</v>
      </c>
      <c r="P4124">
        <v>0.90385159999999998</v>
      </c>
      <c r="Q4124">
        <v>0.34800199999999998</v>
      </c>
      <c r="R4124">
        <v>-0.24889140000000001</v>
      </c>
      <c r="S4124">
        <v>3.171799</v>
      </c>
      <c r="T4124">
        <v>-0.54285509999999904</v>
      </c>
      <c r="U4124">
        <v>-1.313599</v>
      </c>
      <c r="V4124">
        <v>0.16131409999999999</v>
      </c>
      <c r="W4124">
        <v>0.3632262</v>
      </c>
      <c r="X4124">
        <v>0.91762980000000005</v>
      </c>
      <c r="Y4124">
        <v>0.285082</v>
      </c>
      <c r="Z4124">
        <v>-1.1568500000000001E-2</v>
      </c>
      <c r="AA4124">
        <v>0.95843330000000004</v>
      </c>
      <c r="AB4124">
        <v>27</v>
      </c>
      <c r="AC4124">
        <v>6.1968999999999701</v>
      </c>
      <c r="AD4124">
        <v>-1.106526641044</v>
      </c>
      <c r="AE4124">
        <v>-2.6450000000000098</v>
      </c>
      <c r="AF4124">
        <v>1.9574302384125799</v>
      </c>
      <c r="AG4124">
        <v>-1.106526641044</v>
      </c>
      <c r="AH4124">
        <v>6.2620189540696298</v>
      </c>
      <c r="AI4124">
        <v>99.573222420511399</v>
      </c>
      <c r="AJ4124">
        <v>72.641396552695397</v>
      </c>
      <c r="AK4124">
        <v>6.6534814741396398</v>
      </c>
      <c r="AL4124">
        <v>68.701538844473006</v>
      </c>
      <c r="AM4124">
        <v>80.029602043462106</v>
      </c>
      <c r="AN4124">
        <v>0.99999998053664396</v>
      </c>
    </row>
    <row r="4125" spans="1:40" x14ac:dyDescent="0.25">
      <c r="A4125" t="str">
        <f>"20190304164211393"</f>
        <v>20190304164211393</v>
      </c>
      <c r="B4125" t="str">
        <f>"1551688931385220"</f>
        <v>1551688931385220</v>
      </c>
      <c r="C4125" t="s">
        <v>40</v>
      </c>
      <c r="D4125">
        <v>4.7395680000000002</v>
      </c>
      <c r="E4125">
        <v>0.57368299999999905</v>
      </c>
      <c r="F4125" t="s">
        <v>45</v>
      </c>
      <c r="G4125">
        <v>-201.80179999999999</v>
      </c>
      <c r="H4125" s="1">
        <v>3.2767770000000001E-6</v>
      </c>
      <c r="I4125">
        <v>211.63339999999999</v>
      </c>
      <c r="J4125">
        <v>-207.94919999999999</v>
      </c>
      <c r="K4125">
        <v>1.1063430000000001</v>
      </c>
      <c r="L4125">
        <v>214.33109999999999</v>
      </c>
      <c r="M4125">
        <v>0.99408220000000003</v>
      </c>
      <c r="N4125">
        <v>-1.8671839999999999E-2</v>
      </c>
      <c r="O4125">
        <v>-0.10701529999999999</v>
      </c>
      <c r="P4125">
        <v>0.90144460000000004</v>
      </c>
      <c r="Q4125">
        <v>0.34668209999999999</v>
      </c>
      <c r="R4125">
        <v>-0.25924829999999999</v>
      </c>
      <c r="S4125">
        <v>3.158264</v>
      </c>
      <c r="T4125">
        <v>-0.54612289999999997</v>
      </c>
      <c r="U4125">
        <v>-1.3477330000000001</v>
      </c>
      <c r="V4125">
        <v>0.1657537</v>
      </c>
      <c r="W4125">
        <v>0.36185610000000001</v>
      </c>
      <c r="X4125">
        <v>0.91737990000000003</v>
      </c>
      <c r="Y4125">
        <v>0.2888018</v>
      </c>
      <c r="Z4125">
        <v>-1.1020520000000001E-2</v>
      </c>
      <c r="AA4125">
        <v>0.95732550000000005</v>
      </c>
      <c r="AB4125">
        <v>26</v>
      </c>
      <c r="AC4125">
        <v>6.1474000000000002</v>
      </c>
      <c r="AD4125">
        <v>-1.1063397232229999</v>
      </c>
      <c r="AE4125">
        <v>-2.69769999999999</v>
      </c>
      <c r="AF4125">
        <v>1.97070074375409</v>
      </c>
      <c r="AG4125">
        <v>-1.1063397232229999</v>
      </c>
      <c r="AH4125">
        <v>6.2315895569745896</v>
      </c>
      <c r="AI4125">
        <v>99.607635568930803</v>
      </c>
      <c r="AJ4125">
        <v>72.450771062244598</v>
      </c>
      <c r="AK4125">
        <v>6.6287523268869304</v>
      </c>
      <c r="AL4125">
        <v>68.7857707669272</v>
      </c>
      <c r="AM4125">
        <v>79.758201649604302</v>
      </c>
      <c r="AN4125">
        <v>1.0000000035474499</v>
      </c>
    </row>
    <row r="4126" spans="1:40" x14ac:dyDescent="0.25">
      <c r="A4126" t="str">
        <f>"20190304164211415"</f>
        <v>20190304164211415</v>
      </c>
      <c r="B4126" t="str">
        <f>"1551688931405717"</f>
        <v>1551688931405717</v>
      </c>
      <c r="C4126" t="s">
        <v>40</v>
      </c>
      <c r="D4126">
        <v>4.7495329999999996</v>
      </c>
      <c r="E4126">
        <v>0.57359539999999998</v>
      </c>
      <c r="F4126" t="s">
        <v>45</v>
      </c>
      <c r="G4126">
        <v>-201.6319</v>
      </c>
      <c r="H4126" s="1">
        <v>3.2088000000000001E-6</v>
      </c>
      <c r="I4126">
        <v>211.54929999999999</v>
      </c>
      <c r="J4126">
        <v>-207.68989999999999</v>
      </c>
      <c r="K4126">
        <v>1.106152</v>
      </c>
      <c r="L4126">
        <v>214.29499999999999</v>
      </c>
      <c r="M4126">
        <v>0.9932687</v>
      </c>
      <c r="N4126">
        <v>-1.874605E-2</v>
      </c>
      <c r="O4126">
        <v>-0.11430709999999999</v>
      </c>
      <c r="P4126">
        <v>0.89875049999999901</v>
      </c>
      <c r="Q4126">
        <v>0.3455763</v>
      </c>
      <c r="R4126">
        <v>-0.2698603</v>
      </c>
      <c r="S4126">
        <v>3.141724</v>
      </c>
      <c r="T4126">
        <v>-0.55020429999999998</v>
      </c>
      <c r="U4126">
        <v>-1.3834690000000001</v>
      </c>
      <c r="V4126">
        <v>0.16997999999999999</v>
      </c>
      <c r="W4126">
        <v>0.36068050000000001</v>
      </c>
      <c r="X4126">
        <v>0.91706940000000003</v>
      </c>
      <c r="Y4126">
        <v>0.29272340000000002</v>
      </c>
      <c r="Z4126">
        <v>-1.041124E-2</v>
      </c>
      <c r="AA4126">
        <v>0.95614049999999995</v>
      </c>
      <c r="AB4126">
        <v>26</v>
      </c>
      <c r="AC4126">
        <v>6.0579999999999901</v>
      </c>
      <c r="AD4126">
        <v>-1.1061487912000001</v>
      </c>
      <c r="AE4126">
        <v>-2.7456999999999998</v>
      </c>
      <c r="AF4126">
        <v>1.9803297885414699</v>
      </c>
      <c r="AG4126">
        <v>-1.1061487912000001</v>
      </c>
      <c r="AH4126">
        <v>6.1617613890126304</v>
      </c>
      <c r="AI4126">
        <v>99.698625358145193</v>
      </c>
      <c r="AJ4126">
        <v>72.183103221483293</v>
      </c>
      <c r="AK4126">
        <v>6.5660166489877803</v>
      </c>
      <c r="AL4126">
        <v>68.858005245417004</v>
      </c>
      <c r="AM4126">
        <v>79.499321487512503</v>
      </c>
      <c r="AN4126">
        <v>0.99999995394830399</v>
      </c>
    </row>
    <row r="4127" spans="1:40" x14ac:dyDescent="0.25">
      <c r="A4127" t="str">
        <f>"20190304164211438"</f>
        <v>20190304164211438</v>
      </c>
      <c r="B4127" t="str">
        <f>"1551688931424768"</f>
        <v>1551688931424768</v>
      </c>
      <c r="C4127" t="s">
        <v>40</v>
      </c>
      <c r="D4127">
        <v>4.768364</v>
      </c>
      <c r="E4127">
        <v>0.57347479999999995</v>
      </c>
      <c r="F4127" t="s">
        <v>45</v>
      </c>
      <c r="G4127">
        <v>-201.47200000000001</v>
      </c>
      <c r="H4127" s="1">
        <v>3.1445499999999998E-6</v>
      </c>
      <c r="I4127">
        <v>211.47290000000001</v>
      </c>
      <c r="J4127">
        <v>-207.4263</v>
      </c>
      <c r="K4127">
        <v>1.1059570000000001</v>
      </c>
      <c r="L4127">
        <v>214.2559</v>
      </c>
      <c r="M4127">
        <v>0.99234650000000002</v>
      </c>
      <c r="N4127">
        <v>-1.8794709999999999E-2</v>
      </c>
      <c r="O4127">
        <v>-0.122047</v>
      </c>
      <c r="P4127">
        <v>0.89535189999999998</v>
      </c>
      <c r="Q4127">
        <v>0.345553</v>
      </c>
      <c r="R4127">
        <v>-0.28095999999999999</v>
      </c>
      <c r="S4127">
        <v>3.1257929999999998</v>
      </c>
      <c r="T4127">
        <v>-0.55606869999999997</v>
      </c>
      <c r="U4127">
        <v>-1.418701</v>
      </c>
      <c r="V4127">
        <v>0.17437739999999999</v>
      </c>
      <c r="W4127">
        <v>0.3605507</v>
      </c>
      <c r="X4127">
        <v>0.91629459999999996</v>
      </c>
      <c r="Y4127">
        <v>0.29601</v>
      </c>
      <c r="Z4127">
        <v>-9.6697680000000005E-3</v>
      </c>
      <c r="AA4127">
        <v>0.95513590000000004</v>
      </c>
      <c r="AB4127">
        <v>26</v>
      </c>
      <c r="AC4127">
        <v>5.9542999999999804</v>
      </c>
      <c r="AD4127">
        <v>-1.1059538554499999</v>
      </c>
      <c r="AE4127">
        <v>-2.7829999999999799</v>
      </c>
      <c r="AF4127">
        <v>1.9793126521794999</v>
      </c>
      <c r="AG4127">
        <v>-1.1059538554499999</v>
      </c>
      <c r="AH4127">
        <v>6.0774121782153996</v>
      </c>
      <c r="AI4127">
        <v>99.816815678017804</v>
      </c>
      <c r="AJ4127">
        <v>71.960426976063104</v>
      </c>
      <c r="AK4127">
        <v>6.4865824044240199</v>
      </c>
      <c r="AL4127">
        <v>68.865980631794599</v>
      </c>
      <c r="AM4127">
        <v>79.225049474906001</v>
      </c>
      <c r="AN4127">
        <v>1.0000000394452</v>
      </c>
    </row>
    <row r="4128" spans="1:40" x14ac:dyDescent="0.25">
      <c r="A4128" t="str">
        <f>"20190304164211460"</f>
        <v>20190304164211460</v>
      </c>
      <c r="B4128" t="str">
        <f>"1551688931455025"</f>
        <v>1551688931455025</v>
      </c>
      <c r="C4128" t="s">
        <v>40</v>
      </c>
      <c r="D4128">
        <v>4.767881</v>
      </c>
      <c r="E4128">
        <v>0.57327689999999998</v>
      </c>
      <c r="F4128" t="s">
        <v>45</v>
      </c>
      <c r="G4128">
        <v>-201.26329999999999</v>
      </c>
      <c r="H4128" s="1">
        <v>3.0613370000000002E-6</v>
      </c>
      <c r="I4128">
        <v>211.3664</v>
      </c>
      <c r="J4128">
        <v>-207.16149999999999</v>
      </c>
      <c r="K4128">
        <v>1.1057729999999999</v>
      </c>
      <c r="L4128">
        <v>214.2141</v>
      </c>
      <c r="M4128">
        <v>0.99131639999999999</v>
      </c>
      <c r="N4128">
        <v>-1.8822519999999999E-2</v>
      </c>
      <c r="O4128">
        <v>-0.13014329999999999</v>
      </c>
      <c r="P4128">
        <v>0.89109059999999995</v>
      </c>
      <c r="Q4128">
        <v>0.34617189999999998</v>
      </c>
      <c r="R4128">
        <v>-0.29346650000000002</v>
      </c>
      <c r="S4128">
        <v>3.1085509999999998</v>
      </c>
      <c r="T4128">
        <v>-0.55783079999999996</v>
      </c>
      <c r="U4128">
        <v>-1.4574279999999999</v>
      </c>
      <c r="V4128">
        <v>0.17996779999999901</v>
      </c>
      <c r="W4128">
        <v>0.3610158</v>
      </c>
      <c r="X4128">
        <v>0.9150296</v>
      </c>
      <c r="Y4128">
        <v>0.30001090000000002</v>
      </c>
      <c r="Z4128">
        <v>-8.8904740000000006E-3</v>
      </c>
      <c r="AA4128">
        <v>0.95389429999999997</v>
      </c>
      <c r="AB4128">
        <v>26</v>
      </c>
      <c r="AC4128">
        <v>5.8982000000000001</v>
      </c>
      <c r="AD4128">
        <v>-1.105769938663</v>
      </c>
      <c r="AE4128">
        <v>-2.8477000000000001</v>
      </c>
      <c r="AF4128">
        <v>1.9987543864892601</v>
      </c>
      <c r="AG4128">
        <v>-1.105769938663</v>
      </c>
      <c r="AH4128">
        <v>6.0463545030254497</v>
      </c>
      <c r="AI4128">
        <v>99.850649062263201</v>
      </c>
      <c r="AJ4128">
        <v>71.707569928199703</v>
      </c>
      <c r="AK4128">
        <v>6.4634471476927002</v>
      </c>
      <c r="AL4128">
        <v>68.8374069564412</v>
      </c>
      <c r="AM4128">
        <v>78.873102880770503</v>
      </c>
      <c r="AN4128">
        <v>0.99999999288132002</v>
      </c>
    </row>
    <row r="4129" spans="1:40" x14ac:dyDescent="0.25">
      <c r="A4129" t="str">
        <f>"20190304164211482"</f>
        <v>20190304164211482</v>
      </c>
      <c r="B4129" t="str">
        <f>"1551688931475521"</f>
        <v>1551688931475521</v>
      </c>
      <c r="C4129" t="s">
        <v>40</v>
      </c>
      <c r="D4129">
        <v>5.3908449999999997</v>
      </c>
      <c r="E4129">
        <v>0.573040199999999</v>
      </c>
      <c r="F4129" t="s">
        <v>45</v>
      </c>
      <c r="G4129">
        <v>-201.04490000000001</v>
      </c>
      <c r="H4129" s="1">
        <v>2.9745009999999999E-6</v>
      </c>
      <c r="I4129">
        <v>211.2518</v>
      </c>
      <c r="J4129">
        <v>-206.91059999999999</v>
      </c>
      <c r="K4129">
        <v>1.1056029999999999</v>
      </c>
      <c r="L4129">
        <v>214.1721</v>
      </c>
      <c r="M4129">
        <v>0.99023720000000004</v>
      </c>
      <c r="N4129">
        <v>-1.883957E-2</v>
      </c>
      <c r="O4129">
        <v>-0.13811399999999999</v>
      </c>
      <c r="P4129">
        <v>0.88677299999999903</v>
      </c>
      <c r="Q4129">
        <v>0.34544780000000003</v>
      </c>
      <c r="R4129">
        <v>-0.30708259999999998</v>
      </c>
      <c r="S4129">
        <v>3.0907439999999999</v>
      </c>
      <c r="T4129">
        <v>-0.55875520000000001</v>
      </c>
      <c r="U4129">
        <v>-1.496918</v>
      </c>
      <c r="V4129">
        <v>0.1867694</v>
      </c>
      <c r="W4129">
        <v>0.3601183</v>
      </c>
      <c r="X4129">
        <v>0.91401969999999999</v>
      </c>
      <c r="Y4129">
        <v>0.30437449999999999</v>
      </c>
      <c r="Z4129">
        <v>-8.1500489999999995E-3</v>
      </c>
      <c r="AA4129">
        <v>0.95251759999999996</v>
      </c>
      <c r="AB4129">
        <v>26</v>
      </c>
      <c r="AC4129">
        <v>5.8656999999999702</v>
      </c>
      <c r="AD4129">
        <v>-1.1056000254989999</v>
      </c>
      <c r="AE4129">
        <v>-2.9202999999999899</v>
      </c>
      <c r="AF4129">
        <v>2.0243892644813202</v>
      </c>
      <c r="AG4129">
        <v>-1.1056000254989999</v>
      </c>
      <c r="AH4129">
        <v>6.0408863992041102</v>
      </c>
      <c r="AI4129">
        <v>99.844758343043296</v>
      </c>
      <c r="AJ4129">
        <v>71.473246858078596</v>
      </c>
      <c r="AK4129">
        <v>6.4662826878060198</v>
      </c>
      <c r="AL4129">
        <v>68.892538711072504</v>
      </c>
      <c r="AM4129">
        <v>78.451251974604205</v>
      </c>
      <c r="AN4129">
        <v>1.0000000053796601</v>
      </c>
    </row>
    <row r="4130" spans="1:40" x14ac:dyDescent="0.25">
      <c r="A4130" t="str">
        <f>"20190304164211503"</f>
        <v>20190304164211503</v>
      </c>
      <c r="B4130" t="str">
        <f>"1551688931495041"</f>
        <v>1551688931495041</v>
      </c>
      <c r="C4130" t="s">
        <v>40</v>
      </c>
      <c r="D4130">
        <v>4.7910159999999999</v>
      </c>
      <c r="E4130">
        <v>0.57300169999999995</v>
      </c>
      <c r="F4130" t="s">
        <v>45</v>
      </c>
      <c r="G4130">
        <v>-200.9006</v>
      </c>
      <c r="H4130" s="1">
        <v>2.917928E-6</v>
      </c>
      <c r="I4130">
        <v>211.16679999999999</v>
      </c>
      <c r="J4130">
        <v>-206.65860000000001</v>
      </c>
      <c r="K4130">
        <v>1.1054219999999999</v>
      </c>
      <c r="L4130">
        <v>214.12739999999999</v>
      </c>
      <c r="M4130">
        <v>0.98903980000000002</v>
      </c>
      <c r="N4130">
        <v>-1.8845150000000001E-2</v>
      </c>
      <c r="O4130">
        <v>-0.14644170000000001</v>
      </c>
      <c r="P4130">
        <v>0.88367929999999995</v>
      </c>
      <c r="Q4130">
        <v>0.34286349999999999</v>
      </c>
      <c r="R4130">
        <v>-0.31867800000000002</v>
      </c>
      <c r="S4130">
        <v>3.071304</v>
      </c>
      <c r="T4130">
        <v>-0.56499650000000001</v>
      </c>
      <c r="U4130">
        <v>-1.535828</v>
      </c>
      <c r="V4130">
        <v>0.1910471</v>
      </c>
      <c r="W4130">
        <v>0.35740549999999999</v>
      </c>
      <c r="X4130">
        <v>0.91420040000000002</v>
      </c>
      <c r="Y4130">
        <v>0.30838959999999999</v>
      </c>
      <c r="Z4130">
        <v>-7.3314510000000001E-3</v>
      </c>
      <c r="AA4130">
        <v>0.95123190000000002</v>
      </c>
      <c r="AB4130">
        <v>26</v>
      </c>
      <c r="AC4130">
        <v>5.7580000000000098</v>
      </c>
      <c r="AD4130">
        <v>-1.105419082072</v>
      </c>
      <c r="AE4130">
        <v>-2.9605999999999901</v>
      </c>
      <c r="AF4130">
        <v>2.0262455530302002</v>
      </c>
      <c r="AG4130">
        <v>-1.105419082072</v>
      </c>
      <c r="AH4130">
        <v>5.9559209639026802</v>
      </c>
      <c r="AI4130">
        <v>99.965709798340797</v>
      </c>
      <c r="AJ4130">
        <v>71.211340077690295</v>
      </c>
      <c r="AK4130">
        <v>6.3875360598934403</v>
      </c>
      <c r="AL4130">
        <v>69.059056492328907</v>
      </c>
      <c r="AM4130">
        <v>78.196355722329301</v>
      </c>
      <c r="AN4130">
        <v>1.0000000286044</v>
      </c>
    </row>
    <row r="4131" spans="1:40" x14ac:dyDescent="0.25">
      <c r="A4131" t="str">
        <f>"20190304164211522"</f>
        <v>20190304164211522</v>
      </c>
      <c r="B4131" t="str">
        <f>"1551688931515537"</f>
        <v>1551688931515537</v>
      </c>
      <c r="C4131" t="s">
        <v>40</v>
      </c>
      <c r="D4131">
        <v>4.8030369999999998</v>
      </c>
      <c r="E4131">
        <v>0.57290010000000002</v>
      </c>
      <c r="F4131" t="s">
        <v>45</v>
      </c>
      <c r="G4131">
        <v>-200.77860000000001</v>
      </c>
      <c r="H4131" s="1">
        <v>2.8703069999999998E-6</v>
      </c>
      <c r="I4131">
        <v>211.0925</v>
      </c>
      <c r="J4131">
        <v>-206.45079999999999</v>
      </c>
      <c r="K4131">
        <v>1.1052930000000001</v>
      </c>
      <c r="L4131">
        <v>214.08869999999999</v>
      </c>
      <c r="M4131">
        <v>0.98797100000000004</v>
      </c>
      <c r="N4131">
        <v>-1.8842649999999999E-2</v>
      </c>
      <c r="O4131">
        <v>-0.1534867</v>
      </c>
      <c r="P4131">
        <v>0.88118560000000001</v>
      </c>
      <c r="Q4131">
        <v>0.34171499999999999</v>
      </c>
      <c r="R4131">
        <v>-0.32671529999999999</v>
      </c>
      <c r="S4131">
        <v>3.0497130000000001</v>
      </c>
      <c r="T4131">
        <v>-0.57333299999999998</v>
      </c>
      <c r="U4131">
        <v>-1.574036</v>
      </c>
      <c r="V4131">
        <v>0.19289390000000001</v>
      </c>
      <c r="W4131">
        <v>0.35617330000000003</v>
      </c>
      <c r="X4131">
        <v>0.91429349999999998</v>
      </c>
      <c r="Y4131">
        <v>0.3136679</v>
      </c>
      <c r="Z4131">
        <v>-6.8071429999999999E-3</v>
      </c>
      <c r="AA4131">
        <v>0.94950829999999997</v>
      </c>
      <c r="AB4131">
        <v>26</v>
      </c>
      <c r="AC4131">
        <v>5.6721999999999699</v>
      </c>
      <c r="AD4131">
        <v>-1.105290129693</v>
      </c>
      <c r="AE4131">
        <v>-2.99619999999998</v>
      </c>
      <c r="AF4131">
        <v>2.0296671414726402</v>
      </c>
      <c r="AG4131">
        <v>-1.105290129693</v>
      </c>
      <c r="AH4131">
        <v>5.8900626192465602</v>
      </c>
      <c r="AI4131">
        <v>100.06046566793999</v>
      </c>
      <c r="AJ4131">
        <v>70.986469940025898</v>
      </c>
      <c r="AK4131">
        <v>6.3272468447671697</v>
      </c>
      <c r="AL4131">
        <v>69.134630509467996</v>
      </c>
      <c r="AM4131">
        <v>78.086677793006302</v>
      </c>
      <c r="AN4131">
        <v>1.0000000402161699</v>
      </c>
    </row>
    <row r="4132" spans="1:40" x14ac:dyDescent="0.25">
      <c r="A4132" t="str">
        <f>"20190304164211537"</f>
        <v>20190304164211537</v>
      </c>
      <c r="B4132" t="str">
        <f>"1551688931535056"</f>
        <v>1551688931535056</v>
      </c>
      <c r="C4132" t="s">
        <v>40</v>
      </c>
      <c r="D4132">
        <v>4.8324740000000004</v>
      </c>
      <c r="E4132">
        <v>0.57301729999999995</v>
      </c>
      <c r="F4132" t="s">
        <v>45</v>
      </c>
      <c r="G4132">
        <v>-200.6317</v>
      </c>
      <c r="H4132" s="1">
        <v>2.8118549999999999E-6</v>
      </c>
      <c r="I4132">
        <v>211.0164</v>
      </c>
      <c r="J4132">
        <v>-206.2748</v>
      </c>
      <c r="K4132">
        <v>1.1051839999999999</v>
      </c>
      <c r="L4132">
        <v>214.05439999999999</v>
      </c>
      <c r="M4132">
        <v>0.98700060000000001</v>
      </c>
      <c r="N4132">
        <v>-1.8837039999999999E-2</v>
      </c>
      <c r="O4132">
        <v>-0.15960929999999901</v>
      </c>
      <c r="P4132">
        <v>0.87855930000000004</v>
      </c>
      <c r="Q4132">
        <v>0.34092050000000002</v>
      </c>
      <c r="R4132">
        <v>-0.33452559999999998</v>
      </c>
      <c r="S4132">
        <v>3.034027</v>
      </c>
      <c r="T4132">
        <v>-0.576295</v>
      </c>
      <c r="U4132">
        <v>-1.6018829999999999</v>
      </c>
      <c r="V4132">
        <v>0.1953783</v>
      </c>
      <c r="W4132">
        <v>0.3552901</v>
      </c>
      <c r="X4132">
        <v>0.91410959999999997</v>
      </c>
      <c r="Y4132">
        <v>0.31661149999999999</v>
      </c>
      <c r="Z4132">
        <v>-6.1662119999999999E-3</v>
      </c>
      <c r="AA4132">
        <v>0.94853529999999997</v>
      </c>
      <c r="AB4132">
        <v>26</v>
      </c>
      <c r="AC4132">
        <v>5.6430999999999996</v>
      </c>
      <c r="AD4132">
        <v>-1.105181188145</v>
      </c>
      <c r="AE4132">
        <v>-3.0379999999999798</v>
      </c>
      <c r="AF4132">
        <v>2.0375963513060298</v>
      </c>
      <c r="AG4132">
        <v>-1.105181188145</v>
      </c>
      <c r="AH4132">
        <v>5.88083086570738</v>
      </c>
      <c r="AI4132">
        <v>100.069208947663</v>
      </c>
      <c r="AJ4132">
        <v>70.889769176711098</v>
      </c>
      <c r="AK4132">
        <v>6.3211862826958196</v>
      </c>
      <c r="AL4132">
        <v>69.188776063964099</v>
      </c>
      <c r="AM4132">
        <v>77.935349633852198</v>
      </c>
      <c r="AN4132">
        <v>1.00000004804052</v>
      </c>
    </row>
    <row r="4133" spans="1:40" x14ac:dyDescent="0.25">
      <c r="A4133" t="str">
        <f>"20190304164211556"</f>
        <v>20190304164211556</v>
      </c>
      <c r="B4133" t="str">
        <f>"1551688931544816"</f>
        <v>1551688931544816</v>
      </c>
      <c r="C4133" t="s">
        <v>40</v>
      </c>
      <c r="D4133">
        <v>5.1776299999999997</v>
      </c>
      <c r="E4133">
        <v>0.57316140000000004</v>
      </c>
      <c r="F4133" t="s">
        <v>45</v>
      </c>
      <c r="G4133">
        <v>-200.51679999999999</v>
      </c>
      <c r="H4133" s="1">
        <v>2.7681760000000002E-6</v>
      </c>
      <c r="I4133">
        <v>210.9331</v>
      </c>
      <c r="J4133">
        <v>-206.06790000000001</v>
      </c>
      <c r="K4133">
        <v>1.105073</v>
      </c>
      <c r="L4133">
        <v>214.01249999999999</v>
      </c>
      <c r="M4133">
        <v>0.98578200000000005</v>
      </c>
      <c r="N4133">
        <v>-1.8829559999999999E-2</v>
      </c>
      <c r="O4133">
        <v>-0.16697129999999999</v>
      </c>
      <c r="P4133">
        <v>0.87533760000000005</v>
      </c>
      <c r="Q4133">
        <v>0.3412906</v>
      </c>
      <c r="R4133">
        <v>-0.34249829999999998</v>
      </c>
      <c r="S4133">
        <v>3.0166930000000001</v>
      </c>
      <c r="T4133">
        <v>-0.57901809999999998</v>
      </c>
      <c r="U4133">
        <v>-1.6352690000000001</v>
      </c>
      <c r="V4133">
        <v>0.19699920000000001</v>
      </c>
      <c r="W4133">
        <v>0.35556949999999998</v>
      </c>
      <c r="X4133">
        <v>0.91365289999999999</v>
      </c>
      <c r="Y4133">
        <v>0.31993440000000001</v>
      </c>
      <c r="Z4133">
        <v>-5.3622219999999998E-3</v>
      </c>
      <c r="AA4133">
        <v>0.9474245</v>
      </c>
      <c r="AB4133">
        <v>26</v>
      </c>
      <c r="AC4133">
        <v>5.5511000000000204</v>
      </c>
      <c r="AD4133">
        <v>-1.105070231824</v>
      </c>
      <c r="AE4133">
        <v>-3.0793999999999899</v>
      </c>
      <c r="AF4133">
        <v>2.0470813842934299</v>
      </c>
      <c r="AG4133">
        <v>-1.105070231824</v>
      </c>
      <c r="AH4133">
        <v>5.8113003407041504</v>
      </c>
      <c r="AI4133">
        <v>100.168248388614</v>
      </c>
      <c r="AJ4133">
        <v>70.594741762383705</v>
      </c>
      <c r="AK4133">
        <v>6.2596273100762501</v>
      </c>
      <c r="AL4133">
        <v>69.171647986305203</v>
      </c>
      <c r="AM4133">
        <v>77.832328392188899</v>
      </c>
      <c r="AN4133">
        <v>0.99999998790464995</v>
      </c>
    </row>
    <row r="4134" spans="1:40" x14ac:dyDescent="0.25">
      <c r="A4134" t="str">
        <f>"20190304164211572"</f>
        <v>20190304164211572</v>
      </c>
      <c r="B4134" t="str">
        <f>"1551688931565313"</f>
        <v>1551688931565313</v>
      </c>
      <c r="C4134" t="s">
        <v>40</v>
      </c>
      <c r="D4134">
        <v>4.9932160000000003</v>
      </c>
      <c r="E4134">
        <v>0.57362419999999903</v>
      </c>
      <c r="F4134" t="s">
        <v>45</v>
      </c>
      <c r="G4134">
        <v>-200.33279999999999</v>
      </c>
      <c r="H4134" s="1">
        <v>2.6956749999999998E-6</v>
      </c>
      <c r="I4134">
        <v>210.82900000000001</v>
      </c>
      <c r="J4134">
        <v>-205.8974</v>
      </c>
      <c r="K4134">
        <v>1.1049709999999999</v>
      </c>
      <c r="L4134">
        <v>213.97659999999999</v>
      </c>
      <c r="M4134">
        <v>0.98470550000000001</v>
      </c>
      <c r="N4134">
        <v>-1.8821419999999998E-2</v>
      </c>
      <c r="O4134">
        <v>-0.17320759999999999</v>
      </c>
      <c r="P4134">
        <v>0.87124140000000005</v>
      </c>
      <c r="Q4134">
        <v>0.34223710000000002</v>
      </c>
      <c r="R4134">
        <v>-0.35186980000000001</v>
      </c>
      <c r="S4134">
        <v>3.0009000000000001</v>
      </c>
      <c r="T4134">
        <v>-0.57822869999999904</v>
      </c>
      <c r="U4134">
        <v>-1.665802</v>
      </c>
      <c r="V4134">
        <v>0.20121149999999999</v>
      </c>
      <c r="W4134">
        <v>0.35637249999999998</v>
      </c>
      <c r="X4134">
        <v>0.91242129999999999</v>
      </c>
      <c r="Y4134">
        <v>0.32344479999999998</v>
      </c>
      <c r="Z4134">
        <v>-4.7503129999999999E-3</v>
      </c>
      <c r="AA4134">
        <v>0.9462351</v>
      </c>
      <c r="AB4134">
        <v>25</v>
      </c>
      <c r="AC4134">
        <v>5.5646000000000102</v>
      </c>
      <c r="AD4134">
        <v>-1.10496830432499</v>
      </c>
      <c r="AE4134">
        <v>-3.1475999999999802</v>
      </c>
      <c r="AF4134">
        <v>2.0740492407317501</v>
      </c>
      <c r="AG4134">
        <v>-1.10496830432499</v>
      </c>
      <c r="AH4134">
        <v>5.8509645998381803</v>
      </c>
      <c r="AI4134">
        <v>100.09292856609601</v>
      </c>
      <c r="AJ4134">
        <v>70.481607293084593</v>
      </c>
      <c r="AK4134">
        <v>6.3052693800584301</v>
      </c>
      <c r="AL4134">
        <v>69.122415401254003</v>
      </c>
      <c r="AM4134">
        <v>77.563905431971506</v>
      </c>
      <c r="AN4134">
        <v>1.0000000275910901</v>
      </c>
    </row>
    <row r="4135" spans="1:40" x14ac:dyDescent="0.25">
      <c r="A4135" t="str">
        <f>"20190304164211593"</f>
        <v>20190304164211593</v>
      </c>
      <c r="B4135" t="str">
        <f>"1551688931584832"</f>
        <v>1551688931584832</v>
      </c>
      <c r="C4135" t="s">
        <v>40</v>
      </c>
      <c r="D4135">
        <v>5.0102080000000004</v>
      </c>
      <c r="E4135">
        <v>0.57413910000000001</v>
      </c>
      <c r="F4135" t="s">
        <v>45</v>
      </c>
      <c r="G4135">
        <v>-200.17689999999999</v>
      </c>
      <c r="H4135" s="1">
        <v>2.6369460000000001E-6</v>
      </c>
      <c r="I4135">
        <v>210.71</v>
      </c>
      <c r="J4135">
        <v>-205.64869999999999</v>
      </c>
      <c r="K4135">
        <v>1.104786</v>
      </c>
      <c r="L4135">
        <v>213.922</v>
      </c>
      <c r="M4135">
        <v>0.98300860000000001</v>
      </c>
      <c r="N4135">
        <v>-1.8803739999999999E-2</v>
      </c>
      <c r="O4135">
        <v>-0.18259429999999999</v>
      </c>
      <c r="P4135">
        <v>0.86599579999999998</v>
      </c>
      <c r="Q4135">
        <v>0.34406100000000001</v>
      </c>
      <c r="R4135">
        <v>-0.36286780000000002</v>
      </c>
      <c r="S4135">
        <v>2.9818880000000001</v>
      </c>
      <c r="T4135">
        <v>-0.57597900000000002</v>
      </c>
      <c r="U4135">
        <v>-1.702774</v>
      </c>
      <c r="V4135">
        <v>0.20438729999999999</v>
      </c>
      <c r="W4135">
        <v>0.35802040000000002</v>
      </c>
      <c r="X4135">
        <v>0.91106929999999997</v>
      </c>
      <c r="Y4135">
        <v>0.3259552</v>
      </c>
      <c r="Z4135">
        <v>-3.558926E-3</v>
      </c>
      <c r="AA4135">
        <v>0.94537850000000001</v>
      </c>
      <c r="AB4135">
        <v>25</v>
      </c>
      <c r="AC4135">
        <v>5.4718</v>
      </c>
      <c r="AD4135">
        <v>-1.104783363054</v>
      </c>
      <c r="AE4135">
        <v>-3.2119999999999802</v>
      </c>
      <c r="AF4135">
        <v>2.09516350633174</v>
      </c>
      <c r="AG4135">
        <v>-1.104783363054</v>
      </c>
      <c r="AH4135">
        <v>5.7908054828036297</v>
      </c>
      <c r="AI4135">
        <v>100.170730169973</v>
      </c>
      <c r="AJ4135">
        <v>70.109437961992896</v>
      </c>
      <c r="AK4135">
        <v>6.2564913919235696</v>
      </c>
      <c r="AL4135">
        <v>69.021328807855994</v>
      </c>
      <c r="AM4135">
        <v>77.355733614704405</v>
      </c>
      <c r="AN4135">
        <v>1.0000000223099601</v>
      </c>
    </row>
    <row r="4136" spans="1:40" x14ac:dyDescent="0.25">
      <c r="A4136" t="str">
        <f>"20190304164211613"</f>
        <v>20190304164211613</v>
      </c>
      <c r="B4136" t="str">
        <f>"1551688931605331"</f>
        <v>1551688931605331</v>
      </c>
      <c r="C4136" t="s">
        <v>40</v>
      </c>
      <c r="D4136">
        <v>5.0789689999999998</v>
      </c>
      <c r="E4136">
        <v>0.57452760000000003</v>
      </c>
      <c r="F4136" t="s">
        <v>45</v>
      </c>
      <c r="G4136">
        <v>-199.9119</v>
      </c>
      <c r="H4136" s="1">
        <v>2.563027E-6</v>
      </c>
      <c r="I4136">
        <v>210.5369</v>
      </c>
      <c r="J4136">
        <v>-205.4299</v>
      </c>
      <c r="K4136">
        <v>1.1045990000000001</v>
      </c>
      <c r="L4136">
        <v>213.8716</v>
      </c>
      <c r="M4136">
        <v>0.98138049999999999</v>
      </c>
      <c r="N4136">
        <v>-1.8784160000000001E-2</v>
      </c>
      <c r="O4136">
        <v>-0.19115399999999999</v>
      </c>
      <c r="P4136">
        <v>0.86217579999999905</v>
      </c>
      <c r="Q4136">
        <v>0.34497939999999999</v>
      </c>
      <c r="R4136">
        <v>-0.37100230000000001</v>
      </c>
      <c r="S4136">
        <v>2.959015</v>
      </c>
      <c r="T4136">
        <v>-0.5698396</v>
      </c>
      <c r="U4136">
        <v>-1.7460020000000001</v>
      </c>
      <c r="V4136">
        <v>0.2052697</v>
      </c>
      <c r="W4136">
        <v>0.35880919999999999</v>
      </c>
      <c r="X4136">
        <v>0.91056040000000005</v>
      </c>
      <c r="Y4136">
        <v>0.33122869999999999</v>
      </c>
      <c r="Z4136">
        <v>-2.8019830000000001E-3</v>
      </c>
      <c r="AA4136">
        <v>0.94354640000000001</v>
      </c>
      <c r="AB4136">
        <v>25</v>
      </c>
      <c r="AC4136">
        <v>5.5179999999999998</v>
      </c>
      <c r="AD4136">
        <v>-1.1045964369729999</v>
      </c>
      <c r="AE4136">
        <v>-3.33469999999999</v>
      </c>
      <c r="AF4136">
        <v>2.15495967029256</v>
      </c>
      <c r="AG4136">
        <v>-1.1045964369729999</v>
      </c>
      <c r="AH4136">
        <v>5.8811406815208196</v>
      </c>
      <c r="AI4136">
        <v>100.00150011424201</v>
      </c>
      <c r="AJ4136">
        <v>69.8762234476131</v>
      </c>
      <c r="AK4136">
        <v>6.36017296816682</v>
      </c>
      <c r="AL4136">
        <v>68.972916351344793</v>
      </c>
      <c r="AM4136">
        <v>77.296044746649798</v>
      </c>
      <c r="AN4136">
        <v>0.99999996689544401</v>
      </c>
    </row>
    <row r="4137" spans="1:40" x14ac:dyDescent="0.25">
      <c r="A4137" t="str">
        <f>"20190304164211628"</f>
        <v>20190304164211628</v>
      </c>
      <c r="B4137" t="str">
        <f>"1551688931615598"</f>
        <v>1551688931615598</v>
      </c>
      <c r="C4137" t="s">
        <v>40</v>
      </c>
      <c r="D4137">
        <v>5.0888749999999998</v>
      </c>
      <c r="E4137">
        <v>0.57463649999999999</v>
      </c>
      <c r="F4137" t="s">
        <v>45</v>
      </c>
      <c r="G4137">
        <v>-199.7039</v>
      </c>
      <c r="H4137" s="1">
        <v>2.6110760000000001E-6</v>
      </c>
      <c r="I4137">
        <v>210.40940000000001</v>
      </c>
      <c r="J4137">
        <v>-205.27420000000001</v>
      </c>
      <c r="K4137">
        <v>1.10446</v>
      </c>
      <c r="L4137">
        <v>213.83430000000001</v>
      </c>
      <c r="M4137">
        <v>0.98014120000000005</v>
      </c>
      <c r="N4137">
        <v>-1.8768509999999999E-2</v>
      </c>
      <c r="O4137">
        <v>-0.1974109</v>
      </c>
      <c r="P4137">
        <v>0.85896309999999998</v>
      </c>
      <c r="Q4137">
        <v>0.34717599999999998</v>
      </c>
      <c r="R4137">
        <v>-0.37636579999999997</v>
      </c>
      <c r="S4137">
        <v>2.9413450000000001</v>
      </c>
      <c r="T4137">
        <v>-0.56740809999999997</v>
      </c>
      <c r="U4137">
        <v>-1.778427</v>
      </c>
      <c r="V4137">
        <v>0.20546320000000001</v>
      </c>
      <c r="W4137">
        <v>0.36090549999999999</v>
      </c>
      <c r="X4137">
        <v>0.90968789999999999</v>
      </c>
      <c r="Y4137">
        <v>0.33536339999999998</v>
      </c>
      <c r="Z4137">
        <v>-2.2711530000000001E-3</v>
      </c>
      <c r="AA4137">
        <v>0.94208610000000004</v>
      </c>
      <c r="AB4137">
        <v>25</v>
      </c>
      <c r="AC4137">
        <v>5.5702999999999996</v>
      </c>
      <c r="AD4137">
        <v>-1.1044573889239999</v>
      </c>
      <c r="AE4137">
        <v>-3.4249000000000001</v>
      </c>
      <c r="AF4137">
        <v>2.1950245040473502</v>
      </c>
      <c r="AG4137">
        <v>-1.1044573889239999</v>
      </c>
      <c r="AH4137">
        <v>5.9666542073620903</v>
      </c>
      <c r="AI4137">
        <v>99.8552009152301</v>
      </c>
      <c r="AJ4137">
        <v>69.802341091339798</v>
      </c>
      <c r="AK4137">
        <v>6.4528227255635002</v>
      </c>
      <c r="AL4137">
        <v>68.844183509029506</v>
      </c>
      <c r="AM4137">
        <v>77.272659725173696</v>
      </c>
      <c r="AN4137">
        <v>0.999999990945449</v>
      </c>
    </row>
    <row r="4138" spans="1:40" x14ac:dyDescent="0.25">
      <c r="A4138" t="str">
        <f>"20190304164211651"</f>
        <v>20190304164211651</v>
      </c>
      <c r="B4138" t="str">
        <f>"1551688931644877"</f>
        <v>1551688931644877</v>
      </c>
      <c r="C4138" t="s">
        <v>40</v>
      </c>
      <c r="D4138">
        <v>5.070093</v>
      </c>
      <c r="E4138">
        <v>0.57493969999999905</v>
      </c>
      <c r="F4138" t="s">
        <v>45</v>
      </c>
      <c r="G4138">
        <v>-199.49080000000001</v>
      </c>
      <c r="H4138" s="1">
        <v>2.6612029999999999E-6</v>
      </c>
      <c r="I4138">
        <v>210.26840000000001</v>
      </c>
      <c r="J4138">
        <v>-205.01429999999999</v>
      </c>
      <c r="K4138">
        <v>1.104225</v>
      </c>
      <c r="L4138">
        <v>213.76910000000001</v>
      </c>
      <c r="M4138">
        <v>0.97790600000000005</v>
      </c>
      <c r="N4138">
        <v>-1.873841E-2</v>
      </c>
      <c r="O4138">
        <v>-0.20820379999999999</v>
      </c>
      <c r="P4138">
        <v>0.85416250000000005</v>
      </c>
      <c r="Q4138">
        <v>0.34907680000000002</v>
      </c>
      <c r="R4138">
        <v>-0.38542399999999999</v>
      </c>
      <c r="S4138">
        <v>2.9276279999999999</v>
      </c>
      <c r="T4138">
        <v>-0.55909259999999905</v>
      </c>
      <c r="U4138">
        <v>-1.805099</v>
      </c>
      <c r="V4138">
        <v>0.20544750000000001</v>
      </c>
      <c r="W4138">
        <v>0.362653</v>
      </c>
      <c r="X4138">
        <v>0.90899620000000003</v>
      </c>
      <c r="Y4138">
        <v>0.33338950000000001</v>
      </c>
      <c r="Z4138">
        <v>-5.2739870000000002E-4</v>
      </c>
      <c r="AA4138">
        <v>0.94278910000000005</v>
      </c>
      <c r="AB4138">
        <v>25</v>
      </c>
      <c r="AC4138">
        <v>5.5234999999999799</v>
      </c>
      <c r="AD4138">
        <v>-1.104222338797</v>
      </c>
      <c r="AE4138">
        <v>-3.5006999999999899</v>
      </c>
      <c r="AF4138">
        <v>2.2107081543764902</v>
      </c>
      <c r="AG4138">
        <v>-1.104222338797</v>
      </c>
      <c r="AH4138">
        <v>5.9614240188891197</v>
      </c>
      <c r="AI4138">
        <v>99.852342687844001</v>
      </c>
      <c r="AJ4138">
        <v>69.653427264397195</v>
      </c>
      <c r="AK4138">
        <v>6.4533025537559601</v>
      </c>
      <c r="AL4138">
        <v>68.736784111208195</v>
      </c>
      <c r="AM4138">
        <v>77.264232174229207</v>
      </c>
      <c r="AN4138">
        <v>0.99999998263984502</v>
      </c>
    </row>
    <row r="4139" spans="1:40" x14ac:dyDescent="0.25">
      <c r="A4139" t="str">
        <f>"20190304164211672"</f>
        <v>20190304164211672</v>
      </c>
      <c r="B4139" t="str">
        <f>"1551688931665374"</f>
        <v>1551688931665374</v>
      </c>
      <c r="C4139" t="s">
        <v>40</v>
      </c>
      <c r="D4139">
        <v>5.0880409999999996</v>
      </c>
      <c r="E4139">
        <v>0.57504929999999999</v>
      </c>
      <c r="F4139" t="s">
        <v>45</v>
      </c>
      <c r="G4139">
        <v>-199.22049999999999</v>
      </c>
      <c r="H4139" s="1">
        <v>2.7250379999999999E-6</v>
      </c>
      <c r="I4139">
        <v>210.0866</v>
      </c>
      <c r="J4139">
        <v>-204.78749999999999</v>
      </c>
      <c r="K4139">
        <v>1.1040160000000001</v>
      </c>
      <c r="L4139">
        <v>213.70939999999999</v>
      </c>
      <c r="M4139">
        <v>0.97577910000000001</v>
      </c>
      <c r="N4139">
        <v>-1.8703959999999999E-2</v>
      </c>
      <c r="O4139">
        <v>-0.21795790000000001</v>
      </c>
      <c r="P4139">
        <v>0.8506821</v>
      </c>
      <c r="Q4139">
        <v>0.34911629999999999</v>
      </c>
      <c r="R4139">
        <v>-0.39301170000000002</v>
      </c>
      <c r="S4139">
        <v>2.9052889999999998</v>
      </c>
      <c r="T4139">
        <v>-0.5537126</v>
      </c>
      <c r="U4139">
        <v>-1.846603</v>
      </c>
      <c r="V4139">
        <v>0.20463039999999999</v>
      </c>
      <c r="W4139">
        <v>0.36258499999999999</v>
      </c>
      <c r="X4139">
        <v>0.9092076</v>
      </c>
      <c r="Y4139">
        <v>0.33695320000000001</v>
      </c>
      <c r="Z4139">
        <v>5.2130039999999996E-4</v>
      </c>
      <c r="AA4139">
        <v>0.94152130000000001</v>
      </c>
      <c r="AB4139">
        <v>25</v>
      </c>
      <c r="AC4139">
        <v>5.5670000000000002</v>
      </c>
      <c r="AD4139">
        <v>-1.104013274962</v>
      </c>
      <c r="AE4139">
        <v>-3.6227999999999798</v>
      </c>
      <c r="AF4139">
        <v>2.2596567258343399</v>
      </c>
      <c r="AG4139">
        <v>-1.104013274962</v>
      </c>
      <c r="AH4139">
        <v>6.0555640321862301</v>
      </c>
      <c r="AI4139">
        <v>99.693103099375094</v>
      </c>
      <c r="AJ4139">
        <v>69.536749219136993</v>
      </c>
      <c r="AK4139">
        <v>6.5570381711416204</v>
      </c>
      <c r="AL4139">
        <v>68.740964519147198</v>
      </c>
      <c r="AM4139">
        <v>77.316096287016293</v>
      </c>
      <c r="AN4139">
        <v>0.99999997136345897</v>
      </c>
    </row>
    <row r="4140" spans="1:40" x14ac:dyDescent="0.25">
      <c r="A4140" t="str">
        <f>"20190304164211694"</f>
        <v>20190304164211694</v>
      </c>
      <c r="B4140" t="str">
        <f>"1551688931684893"</f>
        <v>1551688931684893</v>
      </c>
      <c r="C4140" t="s">
        <v>40</v>
      </c>
      <c r="D4140">
        <v>5.0914460000000004</v>
      </c>
      <c r="E4140">
        <v>0.57514960000000004</v>
      </c>
      <c r="F4140" t="s">
        <v>45</v>
      </c>
      <c r="G4140">
        <v>-199.0532</v>
      </c>
      <c r="H4140" s="1">
        <v>2.7635089999999999E-6</v>
      </c>
      <c r="I4140">
        <v>209.98609999999999</v>
      </c>
      <c r="J4140">
        <v>-204.5428</v>
      </c>
      <c r="K4140">
        <v>1.1038140000000001</v>
      </c>
      <c r="L4140">
        <v>213.64179999999999</v>
      </c>
      <c r="M4140">
        <v>0.97328809999999999</v>
      </c>
      <c r="N4140">
        <v>-1.8643170000000001E-2</v>
      </c>
      <c r="O4140">
        <v>-0.2288287</v>
      </c>
      <c r="P4140">
        <v>0.84676469999999904</v>
      </c>
      <c r="Q4140">
        <v>0.348018099999999</v>
      </c>
      <c r="R4140">
        <v>-0.40233400000000002</v>
      </c>
      <c r="S4140">
        <v>2.8883359999999998</v>
      </c>
      <c r="T4140">
        <v>-0.55607959999999901</v>
      </c>
      <c r="U4140">
        <v>-1.8754120000000001</v>
      </c>
      <c r="V4140">
        <v>0.2045177</v>
      </c>
      <c r="W4140">
        <v>0.36135200000000001</v>
      </c>
      <c r="X4140">
        <v>0.90972379999999997</v>
      </c>
      <c r="Y4140">
        <v>0.33570080000000002</v>
      </c>
      <c r="Z4140">
        <v>2.3145510000000002E-3</v>
      </c>
      <c r="AA4140">
        <v>0.94196579999999996</v>
      </c>
      <c r="AB4140">
        <v>25</v>
      </c>
      <c r="AC4140">
        <v>5.4895999999999896</v>
      </c>
      <c r="AD4140">
        <v>-1.10381123649099</v>
      </c>
      <c r="AE4140">
        <v>-3.6556999999999902</v>
      </c>
      <c r="AF4140">
        <v>2.2395435708567999</v>
      </c>
      <c r="AG4140">
        <v>-1.10381123649099</v>
      </c>
      <c r="AH4140">
        <v>6.0121695139430704</v>
      </c>
      <c r="AI4140">
        <v>99.762015648684795</v>
      </c>
      <c r="AJ4140">
        <v>69.569550410526105</v>
      </c>
      <c r="AK4140">
        <v>6.51000283532629</v>
      </c>
      <c r="AL4140">
        <v>68.816751455606806</v>
      </c>
      <c r="AM4140">
        <v>77.329817148917499</v>
      </c>
      <c r="AN4140">
        <v>1.00000007490186</v>
      </c>
    </row>
    <row r="4141" spans="1:40" x14ac:dyDescent="0.25">
      <c r="A4141" t="str">
        <f>"20190304164211717"</f>
        <v>20190304164211717</v>
      </c>
      <c r="B4141" t="str">
        <f>"1551688931705390"</f>
        <v>1551688931705390</v>
      </c>
      <c r="C4141" t="s">
        <v>40</v>
      </c>
      <c r="D4141">
        <v>5.0891739999999999</v>
      </c>
      <c r="E4141">
        <v>0.57510749999999999</v>
      </c>
      <c r="F4141" t="s">
        <v>45</v>
      </c>
      <c r="G4141">
        <v>-198.91890000000001</v>
      </c>
      <c r="H4141" s="1">
        <v>2.7946809999999998E-6</v>
      </c>
      <c r="I4141">
        <v>209.90199999999999</v>
      </c>
      <c r="J4141">
        <v>-204.30439999999999</v>
      </c>
      <c r="K4141">
        <v>1.103623</v>
      </c>
      <c r="L4141">
        <v>213.5728</v>
      </c>
      <c r="M4141">
        <v>0.97066200000000002</v>
      </c>
      <c r="N4141">
        <v>-1.8547810000000001E-2</v>
      </c>
      <c r="O4141">
        <v>-0.23973140000000001</v>
      </c>
      <c r="P4141">
        <v>0.84238279999999999</v>
      </c>
      <c r="Q4141">
        <v>0.34583390000000003</v>
      </c>
      <c r="R4141">
        <v>-0.41326760000000001</v>
      </c>
      <c r="S4141">
        <v>2.8680729999999999</v>
      </c>
      <c r="T4141">
        <v>-0.56291069999999999</v>
      </c>
      <c r="U4141">
        <v>-1.907181</v>
      </c>
      <c r="V4141">
        <v>0.20598330000000001</v>
      </c>
      <c r="W4141">
        <v>0.35899029999999998</v>
      </c>
      <c r="X4141">
        <v>0.91032789999999997</v>
      </c>
      <c r="Y4141">
        <v>0.33551520000000001</v>
      </c>
      <c r="Z4141">
        <v>4.1382179999999999E-3</v>
      </c>
      <c r="AA4141">
        <v>0.94202569999999997</v>
      </c>
      <c r="AB4141">
        <v>25</v>
      </c>
      <c r="AC4141">
        <v>5.3854999999999702</v>
      </c>
      <c r="AD4141">
        <v>-1.1036202053190001</v>
      </c>
      <c r="AE4141">
        <v>-3.6707999999999799</v>
      </c>
      <c r="AF4141">
        <v>2.2090828939576799</v>
      </c>
      <c r="AG4141">
        <v>-1.1036202053190001</v>
      </c>
      <c r="AH4141">
        <v>5.9382895456531202</v>
      </c>
      <c r="AI4141">
        <v>99.880979659516697</v>
      </c>
      <c r="AJ4141">
        <v>69.594466858867506</v>
      </c>
      <c r="AK4141">
        <v>6.4312757302092098</v>
      </c>
      <c r="AL4141">
        <v>68.961800613069499</v>
      </c>
      <c r="AM4141">
        <v>77.2501720547167</v>
      </c>
      <c r="AN4141">
        <v>1.00000002044569</v>
      </c>
    </row>
    <row r="4142" spans="1:40" x14ac:dyDescent="0.25">
      <c r="A4142" t="str">
        <f>"20190304164211740"</f>
        <v>20190304164211740</v>
      </c>
      <c r="B4142" t="str">
        <f>"1551688931735645"</f>
        <v>1551688931735645</v>
      </c>
      <c r="C4142" t="s">
        <v>40</v>
      </c>
      <c r="D4142">
        <v>5.1195370000000002</v>
      </c>
      <c r="E4142">
        <v>0.57518630000000004</v>
      </c>
      <c r="F4142" t="s">
        <v>45</v>
      </c>
      <c r="G4142">
        <v>-198.85759999999999</v>
      </c>
      <c r="H4142" s="1">
        <v>2.8083700000000001E-6</v>
      </c>
      <c r="I4142">
        <v>209.8698</v>
      </c>
      <c r="J4142">
        <v>-204.05629999999999</v>
      </c>
      <c r="K4142">
        <v>1.1034619999999999</v>
      </c>
      <c r="L4142">
        <v>213.49770000000001</v>
      </c>
      <c r="M4142">
        <v>0.96772389999999997</v>
      </c>
      <c r="N4142">
        <v>-1.8406680000000002E-2</v>
      </c>
      <c r="O4142">
        <v>-0.2513399</v>
      </c>
      <c r="P4142">
        <v>0.83762610000000004</v>
      </c>
      <c r="Q4142">
        <v>0.34309220000000001</v>
      </c>
      <c r="R4142">
        <v>-0.42505369999999998</v>
      </c>
      <c r="S4142">
        <v>2.8482970000000001</v>
      </c>
      <c r="T4142">
        <v>-0.57710740000000005</v>
      </c>
      <c r="U4142">
        <v>-1.9363859999999999</v>
      </c>
      <c r="V4142">
        <v>0.20763989999999999</v>
      </c>
      <c r="W4142">
        <v>0.35604360000000002</v>
      </c>
      <c r="X4142">
        <v>0.91110840000000004</v>
      </c>
      <c r="Y4142">
        <v>0.33394559999999901</v>
      </c>
      <c r="Z4142">
        <v>6.4540129999999998E-3</v>
      </c>
      <c r="AA4142">
        <v>0.94257029999999997</v>
      </c>
      <c r="AB4142">
        <v>25</v>
      </c>
      <c r="AC4142">
        <v>5.1986999999999997</v>
      </c>
      <c r="AD4142">
        <v>-1.1034591916299901</v>
      </c>
      <c r="AE4142">
        <v>-3.6279000000000101</v>
      </c>
      <c r="AF4142">
        <v>2.1397091671873301</v>
      </c>
      <c r="AG4142">
        <v>-1.1034591916299901</v>
      </c>
      <c r="AH4142">
        <v>5.7689606984684296</v>
      </c>
      <c r="AI4142">
        <v>100.167181386992</v>
      </c>
      <c r="AJ4142">
        <v>69.650168377440906</v>
      </c>
      <c r="AK4142">
        <v>6.2511506979284697</v>
      </c>
      <c r="AL4142">
        <v>69.142581025580995</v>
      </c>
      <c r="AM4142">
        <v>77.161665609030095</v>
      </c>
      <c r="AN4142">
        <v>0.99999994486176302</v>
      </c>
    </row>
    <row r="4143" spans="1:40" x14ac:dyDescent="0.25">
      <c r="A4143" t="str">
        <f>"20190304164211761"</f>
        <v>20190304164211761</v>
      </c>
      <c r="B4143" t="str">
        <f>"1551688931755166"</f>
        <v>1551688931755166</v>
      </c>
      <c r="C4143" t="s">
        <v>40</v>
      </c>
      <c r="D4143">
        <v>5.1045429999999996</v>
      </c>
      <c r="E4143">
        <v>0.57522059999999997</v>
      </c>
      <c r="F4143" t="s">
        <v>45</v>
      </c>
      <c r="G4143">
        <v>-198.79349999999999</v>
      </c>
      <c r="H4143" s="1">
        <v>2.8239589999999999E-6</v>
      </c>
      <c r="I4143">
        <v>209.82149999999999</v>
      </c>
      <c r="J4143">
        <v>-203.8237</v>
      </c>
      <c r="K4143">
        <v>1.103356</v>
      </c>
      <c r="L4143">
        <v>213.42400000000001</v>
      </c>
      <c r="M4143">
        <v>0.9647869</v>
      </c>
      <c r="N4143">
        <v>-1.823379E-2</v>
      </c>
      <c r="O4143">
        <v>-0.26240039999999998</v>
      </c>
      <c r="P4143">
        <v>0.83299990000000002</v>
      </c>
      <c r="Q4143">
        <v>0.34200999999999998</v>
      </c>
      <c r="R4143">
        <v>-0.43490309999999999</v>
      </c>
      <c r="S4143">
        <v>2.8233030000000001</v>
      </c>
      <c r="T4143">
        <v>-0.59196660000000001</v>
      </c>
      <c r="U4143">
        <v>-1.9721070000000001</v>
      </c>
      <c r="V4143">
        <v>0.20787630000000001</v>
      </c>
      <c r="W4143">
        <v>0.35477429999999999</v>
      </c>
      <c r="X4143">
        <v>0.91154959999999996</v>
      </c>
      <c r="Y4143">
        <v>0.33511600000000002</v>
      </c>
      <c r="Z4143">
        <v>8.5523990000000005E-3</v>
      </c>
      <c r="AA4143">
        <v>0.94213809999999998</v>
      </c>
      <c r="AB4143">
        <v>25</v>
      </c>
      <c r="AC4143">
        <v>5.0301999999999998</v>
      </c>
      <c r="AD4143">
        <v>-1.103353176041</v>
      </c>
      <c r="AE4143">
        <v>-3.60250000000002</v>
      </c>
      <c r="AF4143">
        <v>2.0896235106835599</v>
      </c>
      <c r="AG4143">
        <v>-1.103353176041</v>
      </c>
      <c r="AH4143">
        <v>5.6205892333820797</v>
      </c>
      <c r="AI4143">
        <v>100.425848007094</v>
      </c>
      <c r="AJ4143">
        <v>69.605864959007306</v>
      </c>
      <c r="AK4143">
        <v>6.0971253864335004</v>
      </c>
      <c r="AL4143">
        <v>69.220387975241294</v>
      </c>
      <c r="AM4143">
        <v>77.153548483072896</v>
      </c>
      <c r="AN4143">
        <v>1.00000001665116</v>
      </c>
    </row>
    <row r="4144" spans="1:40" x14ac:dyDescent="0.25">
      <c r="A4144" t="str">
        <f>"20190304164211784"</f>
        <v>20190304164211784</v>
      </c>
      <c r="B4144" t="str">
        <f>"1551688931775662"</f>
        <v>1551688931775662</v>
      </c>
      <c r="C4144" t="s">
        <v>40</v>
      </c>
      <c r="D4144">
        <v>5.1107589999999998</v>
      </c>
      <c r="E4144">
        <v>0.57524069999999905</v>
      </c>
      <c r="F4144" t="s">
        <v>45</v>
      </c>
      <c r="G4144">
        <v>-198.6557</v>
      </c>
      <c r="H4144" s="1">
        <v>2.857793E-6</v>
      </c>
      <c r="I4144">
        <v>209.7141</v>
      </c>
      <c r="J4144">
        <v>-203.58789999999999</v>
      </c>
      <c r="K4144">
        <v>1.1033059999999999</v>
      </c>
      <c r="L4144">
        <v>213.34610000000001</v>
      </c>
      <c r="M4144">
        <v>0.96163710000000002</v>
      </c>
      <c r="N4144">
        <v>-1.8026750000000001E-2</v>
      </c>
      <c r="O4144">
        <v>-0.27373249999999999</v>
      </c>
      <c r="P4144">
        <v>0.82781779999999905</v>
      </c>
      <c r="Q4144">
        <v>0.34246559999999998</v>
      </c>
      <c r="R4144">
        <v>-0.44433739999999999</v>
      </c>
      <c r="S4144">
        <v>2.798019</v>
      </c>
      <c r="T4144">
        <v>-0.59737010000000001</v>
      </c>
      <c r="U4144">
        <v>-2.0086059999999999</v>
      </c>
      <c r="V4144">
        <v>0.2075795</v>
      </c>
      <c r="W4144">
        <v>0.35503459999999998</v>
      </c>
      <c r="X4144">
        <v>0.91151590000000005</v>
      </c>
      <c r="Y4144">
        <v>0.33627380000000001</v>
      </c>
      <c r="Z4144">
        <v>1.052142E-2</v>
      </c>
      <c r="AA4144">
        <v>0.94170549999999997</v>
      </c>
      <c r="AB4144">
        <v>25</v>
      </c>
      <c r="AC4144">
        <v>4.9321999999999901</v>
      </c>
      <c r="AD4144">
        <v>-1.1033031422070001</v>
      </c>
      <c r="AE4144">
        <v>-3.6320000000000001</v>
      </c>
      <c r="AF4144">
        <v>2.0755682173905901</v>
      </c>
      <c r="AG4144">
        <v>-1.1033031422070001</v>
      </c>
      <c r="AH4144">
        <v>5.5577909712039997</v>
      </c>
      <c r="AI4144">
        <v>100.534922643766</v>
      </c>
      <c r="AJ4144">
        <v>69.521752757650702</v>
      </c>
      <c r="AK4144">
        <v>6.03442637938707</v>
      </c>
      <c r="AL4144">
        <v>69.204435616510494</v>
      </c>
      <c r="AM4144">
        <v>77.170824378172</v>
      </c>
      <c r="AN4144">
        <v>1.0000000259851001</v>
      </c>
    </row>
    <row r="4145" spans="1:40" x14ac:dyDescent="0.25">
      <c r="A4145" t="str">
        <f>"20190304164211805"</f>
        <v>20190304164211805</v>
      </c>
      <c r="B4145" t="str">
        <f>"1551688931795181"</f>
        <v>1551688931795181</v>
      </c>
      <c r="C4145" t="s">
        <v>40</v>
      </c>
      <c r="D4145">
        <v>5.1011350000000002</v>
      </c>
      <c r="E4145">
        <v>0.57528049999999997</v>
      </c>
      <c r="F4145" t="s">
        <v>45</v>
      </c>
      <c r="G4145">
        <v>-198.4589</v>
      </c>
      <c r="H4145" s="1">
        <v>2.9174429999999999E-6</v>
      </c>
      <c r="I4145">
        <v>209.55520000000001</v>
      </c>
      <c r="J4145">
        <v>-203.35319999999999</v>
      </c>
      <c r="K4145">
        <v>1.103297</v>
      </c>
      <c r="L4145">
        <v>213.2653</v>
      </c>
      <c r="M4145">
        <v>0.95834030000000003</v>
      </c>
      <c r="N4145">
        <v>-1.7809160000000001E-2</v>
      </c>
      <c r="O4145">
        <v>-0.28507320000000003</v>
      </c>
      <c r="P4145">
        <v>0.82124259999999905</v>
      </c>
      <c r="Q4145">
        <v>0.34406700000000001</v>
      </c>
      <c r="R4145">
        <v>-0.45516889999999999</v>
      </c>
      <c r="S4145">
        <v>2.7711939999999999</v>
      </c>
      <c r="T4145">
        <v>-0.59610839999999998</v>
      </c>
      <c r="U4145">
        <v>-2.048203</v>
      </c>
      <c r="V4145">
        <v>0.2089927</v>
      </c>
      <c r="W4145">
        <v>0.35640280000000002</v>
      </c>
      <c r="X4145">
        <v>0.91065859999999998</v>
      </c>
      <c r="Y4145">
        <v>0.33833489999999999</v>
      </c>
      <c r="Z4145">
        <v>1.2219509999999999E-2</v>
      </c>
      <c r="AA4145">
        <v>0.94094639999999996</v>
      </c>
      <c r="AB4145">
        <v>24</v>
      </c>
      <c r="AC4145">
        <v>4.8942999999999799</v>
      </c>
      <c r="AD4145">
        <v>-1.1032940825569999</v>
      </c>
      <c r="AE4145">
        <v>-3.7100999999999802</v>
      </c>
      <c r="AF4145">
        <v>2.0930992911869799</v>
      </c>
      <c r="AG4145">
        <v>-1.1032940825569999</v>
      </c>
      <c r="AH4145">
        <v>5.5692377611576704</v>
      </c>
      <c r="AI4145">
        <v>100.50563314429699</v>
      </c>
      <c r="AJ4145">
        <v>69.402159515476498</v>
      </c>
      <c r="AK4145">
        <v>6.0510108011535797</v>
      </c>
      <c r="AL4145">
        <v>69.120556625689304</v>
      </c>
      <c r="AM4145">
        <v>77.074653138670399</v>
      </c>
      <c r="AN4145">
        <v>0.999999995127545</v>
      </c>
    </row>
    <row r="4146" spans="1:40" x14ac:dyDescent="0.25">
      <c r="A4146" t="str">
        <f>"20190304164211829"</f>
        <v>20190304164211829</v>
      </c>
      <c r="B4146" t="str">
        <f>"1551688931825438"</f>
        <v>1551688931825438</v>
      </c>
      <c r="C4146" t="s">
        <v>40</v>
      </c>
      <c r="D4146">
        <v>5.52264</v>
      </c>
      <c r="E4146">
        <v>0.57542439999999995</v>
      </c>
      <c r="F4146" t="s">
        <v>45</v>
      </c>
      <c r="G4146">
        <v>-198.23849999999999</v>
      </c>
      <c r="H4146" s="1">
        <v>3.0049989999999998E-6</v>
      </c>
      <c r="I4146">
        <v>209.37219999999999</v>
      </c>
      <c r="J4146">
        <v>-203.11359999999999</v>
      </c>
      <c r="K4146">
        <v>1.103316</v>
      </c>
      <c r="L4146">
        <v>213.1797</v>
      </c>
      <c r="M4146">
        <v>0.95481380000000005</v>
      </c>
      <c r="N4146">
        <v>-1.7575150000000001E-2</v>
      </c>
      <c r="O4146">
        <v>-0.29668440000000001</v>
      </c>
      <c r="P4146">
        <v>0.81415950000000004</v>
      </c>
      <c r="Q4146">
        <v>0.3451805</v>
      </c>
      <c r="R4146">
        <v>-0.4668987</v>
      </c>
      <c r="S4146">
        <v>2.7435149999999999</v>
      </c>
      <c r="T4146">
        <v>-0.59180140000000003</v>
      </c>
      <c r="U4146">
        <v>-2.0882719999999999</v>
      </c>
      <c r="V4146">
        <v>0.2111355</v>
      </c>
      <c r="W4146">
        <v>0.35726599999999997</v>
      </c>
      <c r="X4146">
        <v>0.90982569999999996</v>
      </c>
      <c r="Y4146">
        <v>0.34033560000000002</v>
      </c>
      <c r="Z4146">
        <v>1.38636E-2</v>
      </c>
      <c r="AA4146">
        <v>0.94020179999999998</v>
      </c>
      <c r="AB4146">
        <v>24</v>
      </c>
      <c r="AC4146">
        <v>4.8750999999999998</v>
      </c>
      <c r="AD4146">
        <v>-1.1033129950010001</v>
      </c>
      <c r="AE4146">
        <v>-3.8075000000000001</v>
      </c>
      <c r="AF4146">
        <v>2.1219200555162598</v>
      </c>
      <c r="AG4146">
        <v>-1.1033129950010001</v>
      </c>
      <c r="AH4146">
        <v>5.6069557362742497</v>
      </c>
      <c r="AI4146">
        <v>100.427895361415</v>
      </c>
      <c r="AJ4146">
        <v>69.271140635212504</v>
      </c>
      <c r="AK4146">
        <v>6.0957195568266496</v>
      </c>
      <c r="AL4146">
        <v>69.067613628835304</v>
      </c>
      <c r="AM4146">
        <v>76.935106240562405</v>
      </c>
      <c r="AN4146">
        <v>0.99999999924836902</v>
      </c>
    </row>
    <row r="4147" spans="1:40" x14ac:dyDescent="0.25">
      <c r="A4147" t="str">
        <f>"20190304164211851"</f>
        <v>20190304164211851</v>
      </c>
      <c r="B4147" t="str">
        <f>"1551688931844957"</f>
        <v>1551688931844957</v>
      </c>
      <c r="C4147" t="s">
        <v>40</v>
      </c>
      <c r="D4147">
        <v>5.1160569999999996</v>
      </c>
      <c r="E4147">
        <v>0.57552729999999996</v>
      </c>
      <c r="F4147" t="s">
        <v>45</v>
      </c>
      <c r="G4147">
        <v>-198.04230000000001</v>
      </c>
      <c r="H4147" s="1">
        <v>3.0814249999999999E-6</v>
      </c>
      <c r="I4147">
        <v>209.215</v>
      </c>
      <c r="J4147">
        <v>-202.8742</v>
      </c>
      <c r="K4147">
        <v>1.103345</v>
      </c>
      <c r="L4147">
        <v>213.09100000000001</v>
      </c>
      <c r="M4147">
        <v>0.95113809999999999</v>
      </c>
      <c r="N4147">
        <v>-1.7332549999999999E-2</v>
      </c>
      <c r="O4147">
        <v>-0.30827919999999998</v>
      </c>
      <c r="P4147">
        <v>0.80752899999999905</v>
      </c>
      <c r="Q4147">
        <v>0.3459277</v>
      </c>
      <c r="R4147">
        <v>-0.47773549999999998</v>
      </c>
      <c r="S4147">
        <v>2.7171630000000002</v>
      </c>
      <c r="T4147">
        <v>-0.59114860000000002</v>
      </c>
      <c r="U4147">
        <v>-2.1242830000000001</v>
      </c>
      <c r="V4147">
        <v>0.21229890000000001</v>
      </c>
      <c r="W4147">
        <v>0.35778349999999998</v>
      </c>
      <c r="X4147">
        <v>0.90935149999999998</v>
      </c>
      <c r="Y4147">
        <v>0.34119579999999999</v>
      </c>
      <c r="Z4147">
        <v>1.5753960000000001E-2</v>
      </c>
      <c r="AA4147">
        <v>0.93986020000000003</v>
      </c>
      <c r="AB4147">
        <v>24</v>
      </c>
      <c r="AC4147">
        <v>4.8318999999999903</v>
      </c>
      <c r="AD4147">
        <v>-1.103341918575</v>
      </c>
      <c r="AE4147">
        <v>-3.8759999999999701</v>
      </c>
      <c r="AF4147">
        <v>2.1297960776306399</v>
      </c>
      <c r="AG4147">
        <v>-1.103341918575</v>
      </c>
      <c r="AH4147">
        <v>5.6134685457126601</v>
      </c>
      <c r="AI4147">
        <v>100.41307502018699</v>
      </c>
      <c r="AJ4147">
        <v>69.222843273562901</v>
      </c>
      <c r="AK4147">
        <v>6.10445934012842</v>
      </c>
      <c r="AL4147">
        <v>69.035864651978699</v>
      </c>
      <c r="AM4147">
        <v>76.8589936430254</v>
      </c>
      <c r="AN4147">
        <v>1.00000000318285</v>
      </c>
    </row>
    <row r="4148" spans="1:40" x14ac:dyDescent="0.25">
      <c r="A4148" t="str">
        <f>"20190304164211873"</f>
        <v>20190304164211873</v>
      </c>
      <c r="B4148" t="str">
        <f>"1551688931865455"</f>
        <v>1551688931865455</v>
      </c>
      <c r="C4148" t="s">
        <v>40</v>
      </c>
      <c r="D4148">
        <v>5.1136910000000002</v>
      </c>
      <c r="E4148">
        <v>0.57559959999999999</v>
      </c>
      <c r="F4148" t="s">
        <v>45</v>
      </c>
      <c r="G4148">
        <v>-197.84610000000001</v>
      </c>
      <c r="H4148" s="1">
        <v>3.1574590000000002E-6</v>
      </c>
      <c r="I4148">
        <v>209.0592</v>
      </c>
      <c r="J4148">
        <v>-202.65289999999999</v>
      </c>
      <c r="K4148">
        <v>1.1033580000000001</v>
      </c>
      <c r="L4148">
        <v>213.006</v>
      </c>
      <c r="M4148">
        <v>0.94760359999999999</v>
      </c>
      <c r="N4148">
        <v>-1.709954E-2</v>
      </c>
      <c r="O4148">
        <v>-0.31899060000000001</v>
      </c>
      <c r="P4148">
        <v>0.80310429999999999</v>
      </c>
      <c r="Q4148">
        <v>0.34542040000000002</v>
      </c>
      <c r="R4148">
        <v>-0.48549789999999998</v>
      </c>
      <c r="S4148">
        <v>2.6913299999999998</v>
      </c>
      <c r="T4148">
        <v>-0.59057349999999997</v>
      </c>
      <c r="U4148">
        <v>-2.1580349999999999</v>
      </c>
      <c r="V4148">
        <v>0.2106787</v>
      </c>
      <c r="W4148">
        <v>0.35712440000000001</v>
      </c>
      <c r="X4148">
        <v>0.9099872</v>
      </c>
      <c r="Y4148">
        <v>0.3422925</v>
      </c>
      <c r="Z4148">
        <v>1.7483720000000001E-2</v>
      </c>
      <c r="AA4148">
        <v>0.93943080000000001</v>
      </c>
      <c r="AB4148">
        <v>24</v>
      </c>
      <c r="AC4148">
        <v>4.8067999999999804</v>
      </c>
      <c r="AD4148">
        <v>-1.103354842541</v>
      </c>
      <c r="AE4148">
        <v>-3.9467999999999601</v>
      </c>
      <c r="AF4148">
        <v>2.1396625272727299</v>
      </c>
      <c r="AG4148">
        <v>-1.103354842541</v>
      </c>
      <c r="AH4148">
        <v>5.6373677883372197</v>
      </c>
      <c r="AI4148">
        <v>100.36953115868501</v>
      </c>
      <c r="AJ4148">
        <v>69.215745853742007</v>
      </c>
      <c r="AK4148">
        <v>6.12988280639654</v>
      </c>
      <c r="AL4148">
        <v>69.076300364259794</v>
      </c>
      <c r="AM4148">
        <v>76.964640809326198</v>
      </c>
      <c r="AN4148">
        <v>1.0000000279364401</v>
      </c>
    </row>
    <row r="4149" spans="1:40" x14ac:dyDescent="0.25">
      <c r="A4149" t="str">
        <f>"20190304164211895"</f>
        <v>20190304164211895</v>
      </c>
      <c r="B4149" t="str">
        <f>"1551688931884974"</f>
        <v>1551688931884974</v>
      </c>
      <c r="C4149" t="s">
        <v>40</v>
      </c>
      <c r="D4149">
        <v>5.1573849999999997</v>
      </c>
      <c r="E4149">
        <v>0.57564630000000006</v>
      </c>
      <c r="F4149" t="s">
        <v>45</v>
      </c>
      <c r="G4149">
        <v>-197.68700000000001</v>
      </c>
      <c r="H4149" s="1">
        <v>3.2168880000000002E-6</v>
      </c>
      <c r="I4149">
        <v>208.94139999999999</v>
      </c>
      <c r="J4149">
        <v>-202.42750000000001</v>
      </c>
      <c r="K4149">
        <v>1.1033630000000001</v>
      </c>
      <c r="L4149">
        <v>212.91659999999999</v>
      </c>
      <c r="M4149">
        <v>0.94387449999999995</v>
      </c>
      <c r="N4149">
        <v>-1.6864029999999999E-2</v>
      </c>
      <c r="O4149">
        <v>-0.32987349999999999</v>
      </c>
      <c r="P4149">
        <v>0.7982996</v>
      </c>
      <c r="Q4149">
        <v>0.34506219999999999</v>
      </c>
      <c r="R4149">
        <v>-0.49360920000000003</v>
      </c>
      <c r="S4149">
        <v>2.6696620000000002</v>
      </c>
      <c r="T4149">
        <v>-0.59316169999999901</v>
      </c>
      <c r="U4149">
        <v>-2.18512</v>
      </c>
      <c r="V4149">
        <v>0.20932790000000001</v>
      </c>
      <c r="W4149">
        <v>0.356601</v>
      </c>
      <c r="X4149">
        <v>0.91050399999999998</v>
      </c>
      <c r="Y4149">
        <v>0.3410743</v>
      </c>
      <c r="Z4149">
        <v>1.9623140000000001E-2</v>
      </c>
      <c r="AA4149">
        <v>0.93983150000000004</v>
      </c>
      <c r="AB4149">
        <v>24</v>
      </c>
      <c r="AC4149">
        <v>4.7404999999999902</v>
      </c>
      <c r="AD4149">
        <v>-1.1033597831119999</v>
      </c>
      <c r="AE4149">
        <v>-3.9752000000000001</v>
      </c>
      <c r="AF4149">
        <v>2.1211676319952599</v>
      </c>
      <c r="AG4149">
        <v>-1.1033597831119999</v>
      </c>
      <c r="AH4149">
        <v>5.6081927429627498</v>
      </c>
      <c r="AI4149">
        <v>100.426812681154</v>
      </c>
      <c r="AJ4149">
        <v>69.282049030059895</v>
      </c>
      <c r="AK4149">
        <v>6.0966040363659397</v>
      </c>
      <c r="AL4149">
        <v>69.108401830297097</v>
      </c>
      <c r="AM4149">
        <v>77.052496194458996</v>
      </c>
      <c r="AN4149">
        <v>0.99999998846770399</v>
      </c>
    </row>
    <row r="4150" spans="1:40" x14ac:dyDescent="0.25">
      <c r="A4150" t="str">
        <f>"20190304164211918"</f>
        <v>20190304164211918</v>
      </c>
      <c r="B4150" t="str">
        <f>"1551688931915230"</f>
        <v>1551688931915230</v>
      </c>
      <c r="C4150" t="s">
        <v>40</v>
      </c>
      <c r="D4150">
        <v>5.231967</v>
      </c>
      <c r="E4150">
        <v>0.57575619999999905</v>
      </c>
      <c r="F4150" t="s">
        <v>45</v>
      </c>
      <c r="G4150">
        <v>-197.52340000000001</v>
      </c>
      <c r="H4150" s="1">
        <v>3.2784600000000002E-6</v>
      </c>
      <c r="I4150">
        <v>208.8185</v>
      </c>
      <c r="J4150">
        <v>-202.19749999999999</v>
      </c>
      <c r="K4150">
        <v>1.103367</v>
      </c>
      <c r="L4150">
        <v>212.82230000000001</v>
      </c>
      <c r="M4150">
        <v>0.93992659999999995</v>
      </c>
      <c r="N4150">
        <v>-1.6637969999999998E-2</v>
      </c>
      <c r="O4150">
        <v>-0.34097129999999998</v>
      </c>
      <c r="P4150">
        <v>0.79282730000000001</v>
      </c>
      <c r="Q4150">
        <v>0.34521550000000001</v>
      </c>
      <c r="R4150">
        <v>-0.50224659999999999</v>
      </c>
      <c r="S4150">
        <v>2.647491</v>
      </c>
      <c r="T4150">
        <v>-0.59564209999999995</v>
      </c>
      <c r="U4150">
        <v>-2.2123409999999999</v>
      </c>
      <c r="V4150">
        <v>0.20848</v>
      </c>
      <c r="W4150">
        <v>0.35657919999999999</v>
      </c>
      <c r="X4150">
        <v>0.91070709999999999</v>
      </c>
      <c r="Y4150">
        <v>0.33971689999999999</v>
      </c>
      <c r="Z4150">
        <v>2.182657E-2</v>
      </c>
      <c r="AA4150">
        <v>0.94027439999999995</v>
      </c>
      <c r="AB4150">
        <v>24</v>
      </c>
      <c r="AC4150">
        <v>4.6740999999999797</v>
      </c>
      <c r="AD4150">
        <v>-1.1033637215400001</v>
      </c>
      <c r="AE4150">
        <v>-4.0038000000000098</v>
      </c>
      <c r="AF4150">
        <v>2.1022757250616602</v>
      </c>
      <c r="AG4150">
        <v>-1.1033637215400001</v>
      </c>
      <c r="AH4150">
        <v>5.5799451927676902</v>
      </c>
      <c r="AI4150">
        <v>100.483448087215</v>
      </c>
      <c r="AJ4150">
        <v>69.355817435607094</v>
      </c>
      <c r="AK4150">
        <v>6.0640550030887299</v>
      </c>
      <c r="AL4150">
        <v>69.109739656526003</v>
      </c>
      <c r="AM4150">
        <v>77.105964181693295</v>
      </c>
      <c r="AN4150">
        <v>1.0000000291315201</v>
      </c>
    </row>
    <row r="4151" spans="1:40" x14ac:dyDescent="0.25">
      <c r="A4151" t="str">
        <f>"20190304164211941"</f>
        <v>20190304164211941</v>
      </c>
      <c r="B4151" t="str">
        <f>"1551688931934750"</f>
        <v>1551688931934750</v>
      </c>
      <c r="C4151" t="s">
        <v>40</v>
      </c>
      <c r="D4151">
        <v>5.1961629999999897</v>
      </c>
      <c r="E4151">
        <v>0.57583149999999905</v>
      </c>
      <c r="F4151" t="s">
        <v>45</v>
      </c>
      <c r="G4151">
        <v>-197.35579999999999</v>
      </c>
      <c r="H4151" s="1">
        <v>3.3443190000000002E-6</v>
      </c>
      <c r="I4151">
        <v>208.68199999999999</v>
      </c>
      <c r="J4151">
        <v>-201.9607</v>
      </c>
      <c r="K4151">
        <v>1.1033740000000001</v>
      </c>
      <c r="L4151">
        <v>212.72190000000001</v>
      </c>
      <c r="M4151">
        <v>0.93570050000000005</v>
      </c>
      <c r="N4151">
        <v>-1.642631E-2</v>
      </c>
      <c r="O4151">
        <v>-0.35241299999999998</v>
      </c>
      <c r="P4151">
        <v>0.78724830000000001</v>
      </c>
      <c r="Q4151">
        <v>0.34600069999999999</v>
      </c>
      <c r="R4151">
        <v>-0.51041590000000003</v>
      </c>
      <c r="S4151">
        <v>2.6231990000000001</v>
      </c>
      <c r="T4151">
        <v>-0.59779550000000004</v>
      </c>
      <c r="U4151">
        <v>-2.2431640000000002</v>
      </c>
      <c r="V4151">
        <v>0.20689479999999999</v>
      </c>
      <c r="W4151">
        <v>0.35720859999999999</v>
      </c>
      <c r="X4151">
        <v>0.91082189999999996</v>
      </c>
      <c r="Y4151">
        <v>0.33907880000000001</v>
      </c>
      <c r="Z4151">
        <v>2.4008140000000001E-2</v>
      </c>
      <c r="AA4151">
        <v>0.94045160000000005</v>
      </c>
      <c r="AB4151">
        <v>24</v>
      </c>
      <c r="AC4151">
        <v>4.6049000000000104</v>
      </c>
      <c r="AD4151">
        <v>-1.1033706556809999</v>
      </c>
      <c r="AE4151">
        <v>-4.0398999999999798</v>
      </c>
      <c r="AF4151">
        <v>2.0898027158039199</v>
      </c>
      <c r="AG4151">
        <v>-1.1033706556809999</v>
      </c>
      <c r="AH4151">
        <v>5.5531369610582697</v>
      </c>
      <c r="AI4151">
        <v>100.53444374327501</v>
      </c>
      <c r="AJ4151">
        <v>69.377259764563703</v>
      </c>
      <c r="AK4151">
        <v>6.0350668847222302</v>
      </c>
      <c r="AL4151">
        <v>69.071134502911093</v>
      </c>
      <c r="AM4151">
        <v>77.202324461304599</v>
      </c>
      <c r="AN4151">
        <v>0.99999998785030397</v>
      </c>
    </row>
    <row r="4152" spans="1:40" x14ac:dyDescent="0.25">
      <c r="A4152" t="str">
        <f>"20190304164211963"</f>
        <v>20190304164211963</v>
      </c>
      <c r="B4152" t="str">
        <f>"1551688931955246"</f>
        <v>1551688931955246</v>
      </c>
      <c r="C4152" t="s">
        <v>40</v>
      </c>
      <c r="D4152">
        <v>5.1927110000000001</v>
      </c>
      <c r="E4152">
        <v>0.57593989999999995</v>
      </c>
      <c r="F4152" t="s">
        <v>45</v>
      </c>
      <c r="G4152">
        <v>-197.14840000000001</v>
      </c>
      <c r="H4152" s="1">
        <v>3.4286480000000001E-6</v>
      </c>
      <c r="I4152">
        <v>208.5025</v>
      </c>
      <c r="J4152">
        <v>-201.74639999999999</v>
      </c>
      <c r="K4152">
        <v>1.103367</v>
      </c>
      <c r="L4152">
        <v>212.62790000000001</v>
      </c>
      <c r="M4152">
        <v>0.93171970000000004</v>
      </c>
      <c r="N4152">
        <v>-1.6255479999999999E-2</v>
      </c>
      <c r="O4152">
        <v>-0.36281390000000002</v>
      </c>
      <c r="P4152">
        <v>0.78206299999999995</v>
      </c>
      <c r="Q4152">
        <v>0.34728009999999998</v>
      </c>
      <c r="R4152">
        <v>-0.5174685</v>
      </c>
      <c r="S4152">
        <v>2.5964049999999999</v>
      </c>
      <c r="T4152">
        <v>-0.59530780000000005</v>
      </c>
      <c r="U4152">
        <v>-2.2764890000000002</v>
      </c>
      <c r="V4152">
        <v>0.20515249999999999</v>
      </c>
      <c r="W4152">
        <v>0.35836089999999998</v>
      </c>
      <c r="X4152">
        <v>0.91076330000000005</v>
      </c>
      <c r="Y4152">
        <v>0.34035500000000002</v>
      </c>
      <c r="Z4152">
        <v>2.556638E-2</v>
      </c>
      <c r="AA4152">
        <v>0.93994940000000005</v>
      </c>
      <c r="AB4152">
        <v>24</v>
      </c>
      <c r="AC4152">
        <v>4.5979999999999803</v>
      </c>
      <c r="AD4152">
        <v>-1.103363571352</v>
      </c>
      <c r="AE4152">
        <v>-4.1254000000000097</v>
      </c>
      <c r="AF4152">
        <v>2.1085191281677198</v>
      </c>
      <c r="AG4152">
        <v>-1.103363571352</v>
      </c>
      <c r="AH4152">
        <v>5.6028209865347298</v>
      </c>
      <c r="AI4152">
        <v>100.443014811391</v>
      </c>
      <c r="AJ4152">
        <v>69.377090408075205</v>
      </c>
      <c r="AK4152">
        <v>6.0872709067027504</v>
      </c>
      <c r="AL4152">
        <v>69.000431231965194</v>
      </c>
      <c r="AM4152">
        <v>77.305799893950294</v>
      </c>
      <c r="AN4152">
        <v>0.99999993576597201</v>
      </c>
    </row>
    <row r="4153" spans="1:40" x14ac:dyDescent="0.25">
      <c r="A4153" t="str">
        <f>"20190304164211984"</f>
        <v>20190304164211984</v>
      </c>
      <c r="B4153" t="str">
        <f>"1551688931975743"</f>
        <v>1551688931975743</v>
      </c>
      <c r="C4153" t="s">
        <v>40</v>
      </c>
      <c r="D4153">
        <v>5.1941119999999996</v>
      </c>
      <c r="E4153">
        <v>0.57601950000000002</v>
      </c>
      <c r="F4153" t="s">
        <v>45</v>
      </c>
      <c r="G4153">
        <v>-196.93979999999999</v>
      </c>
      <c r="H4153" s="1">
        <v>3.5165979999999999E-6</v>
      </c>
      <c r="I4153">
        <v>208.31010000000001</v>
      </c>
      <c r="J4153">
        <v>-201.52279999999999</v>
      </c>
      <c r="K4153">
        <v>1.1033389999999901</v>
      </c>
      <c r="L4153">
        <v>212.5266</v>
      </c>
      <c r="M4153">
        <v>0.92738940000000003</v>
      </c>
      <c r="N4153">
        <v>-1.6098879999999999E-2</v>
      </c>
      <c r="O4153">
        <v>-0.37375120000000001</v>
      </c>
      <c r="P4153">
        <v>0.77629759999999903</v>
      </c>
      <c r="Q4153">
        <v>0.3485586</v>
      </c>
      <c r="R4153">
        <v>-0.525232699999999</v>
      </c>
      <c r="S4153">
        <v>2.5702669999999999</v>
      </c>
      <c r="T4153">
        <v>-0.59001459999999994</v>
      </c>
      <c r="U4153">
        <v>-2.3089140000000001</v>
      </c>
      <c r="V4153">
        <v>0.20375860000000001</v>
      </c>
      <c r="W4153">
        <v>0.35950650000000001</v>
      </c>
      <c r="X4153">
        <v>0.91062480000000001</v>
      </c>
      <c r="Y4153">
        <v>0.3407464</v>
      </c>
      <c r="Z4153">
        <v>2.7111260000000002E-2</v>
      </c>
      <c r="AA4153">
        <v>0.9397643</v>
      </c>
      <c r="AB4153">
        <v>24</v>
      </c>
      <c r="AC4153">
        <v>4.5829999999999904</v>
      </c>
      <c r="AD4153">
        <v>-1.1033354834019999</v>
      </c>
      <c r="AE4153">
        <v>-4.2164999999999901</v>
      </c>
      <c r="AF4153">
        <v>2.1308355758114201</v>
      </c>
      <c r="AG4153">
        <v>-1.1033354834019999</v>
      </c>
      <c r="AH4153">
        <v>5.64956814505494</v>
      </c>
      <c r="AI4153">
        <v>100.355429286008</v>
      </c>
      <c r="AJ4153">
        <v>69.3351362745979</v>
      </c>
      <c r="AK4153">
        <v>6.1380314161542904</v>
      </c>
      <c r="AL4153">
        <v>68.930108588761598</v>
      </c>
      <c r="AM4153">
        <v>77.387425862707104</v>
      </c>
      <c r="AN4153">
        <v>1.00000000849562</v>
      </c>
    </row>
    <row r="4154" spans="1:40" x14ac:dyDescent="0.25">
      <c r="A4154" t="str">
        <f>"20190304164212007"</f>
        <v>20190304164212007</v>
      </c>
      <c r="B4154" t="str">
        <f>"1551688931995262"</f>
        <v>1551688931995262</v>
      </c>
      <c r="C4154" t="s">
        <v>40</v>
      </c>
      <c r="D4154">
        <v>5.1975160000000002</v>
      </c>
      <c r="E4154">
        <v>0.57606939999999995</v>
      </c>
      <c r="F4154" t="s">
        <v>45</v>
      </c>
      <c r="G4154">
        <v>-196.7287</v>
      </c>
      <c r="H4154" s="1">
        <v>3.6061850000000001E-6</v>
      </c>
      <c r="I4154">
        <v>208.11320000000001</v>
      </c>
      <c r="J4154">
        <v>-201.29939999999999</v>
      </c>
      <c r="K4154">
        <v>1.1032999999999999</v>
      </c>
      <c r="L4154">
        <v>212.4221</v>
      </c>
      <c r="M4154">
        <v>0.92287960000000002</v>
      </c>
      <c r="N4154">
        <v>-1.5962799999999999E-2</v>
      </c>
      <c r="O4154">
        <v>-0.38475759999999998</v>
      </c>
      <c r="P4154">
        <v>0.77013030000000005</v>
      </c>
      <c r="Q4154">
        <v>0.35057559999999999</v>
      </c>
      <c r="R4154">
        <v>-0.53291279999999996</v>
      </c>
      <c r="S4154">
        <v>2.543228</v>
      </c>
      <c r="T4154">
        <v>-0.58531679999999997</v>
      </c>
      <c r="U4154">
        <v>-2.3412630000000001</v>
      </c>
      <c r="V4154">
        <v>0.2023768</v>
      </c>
      <c r="W4154">
        <v>0.36139959999999999</v>
      </c>
      <c r="X4154">
        <v>0.91018350000000003</v>
      </c>
      <c r="Y4154">
        <v>0.34114319999999998</v>
      </c>
      <c r="Z4154">
        <v>2.8667479999999999E-2</v>
      </c>
      <c r="AA4154">
        <v>0.93957409999999997</v>
      </c>
      <c r="AB4154">
        <v>24</v>
      </c>
      <c r="AC4154">
        <v>4.57069999999998</v>
      </c>
      <c r="AD4154">
        <v>-1.103296393815</v>
      </c>
      <c r="AE4154">
        <v>-4.3088999999999897</v>
      </c>
      <c r="AF4154">
        <v>2.1518821964970001</v>
      </c>
      <c r="AG4154">
        <v>-1.103296393815</v>
      </c>
      <c r="AH4154">
        <v>5.7009639253254596</v>
      </c>
      <c r="AI4154">
        <v>100.26274244464599</v>
      </c>
      <c r="AJ4154">
        <v>69.320516396467298</v>
      </c>
      <c r="AK4154">
        <v>6.1926447983125996</v>
      </c>
      <c r="AL4154">
        <v>68.813825331814698</v>
      </c>
      <c r="AM4154">
        <v>77.464365909772098</v>
      </c>
      <c r="AN4154">
        <v>1.00000002186532</v>
      </c>
    </row>
    <row r="4155" spans="1:40" x14ac:dyDescent="0.25">
      <c r="A4155" t="str">
        <f>"20190304164212030"</f>
        <v>20190304164212030</v>
      </c>
      <c r="B4155" t="str">
        <f>"1551688932025518"</f>
        <v>1551688932025518</v>
      </c>
      <c r="C4155" t="s">
        <v>40</v>
      </c>
      <c r="D4155">
        <v>5.2228379999999897</v>
      </c>
      <c r="E4155">
        <v>0.5760769</v>
      </c>
      <c r="F4155" t="s">
        <v>45</v>
      </c>
      <c r="G4155">
        <v>-196.49850000000001</v>
      </c>
      <c r="H4155" s="1">
        <v>3.704989E-6</v>
      </c>
      <c r="I4155">
        <v>207.89429999999999</v>
      </c>
      <c r="J4155">
        <v>-201.0719</v>
      </c>
      <c r="K4155">
        <v>1.1032500000000001</v>
      </c>
      <c r="L4155">
        <v>212.31209999999999</v>
      </c>
      <c r="M4155">
        <v>0.91807740000000004</v>
      </c>
      <c r="N4155">
        <v>-1.584321E-2</v>
      </c>
      <c r="O4155">
        <v>-0.3960843</v>
      </c>
      <c r="P4155">
        <v>0.76312519999999995</v>
      </c>
      <c r="Q4155">
        <v>0.35363729999999999</v>
      </c>
      <c r="R4155">
        <v>-0.54090709999999997</v>
      </c>
      <c r="S4155">
        <v>2.5164490000000002</v>
      </c>
      <c r="T4155">
        <v>-0.57830749999999997</v>
      </c>
      <c r="U4155">
        <v>-2.373291</v>
      </c>
      <c r="V4155">
        <v>0.2013114</v>
      </c>
      <c r="W4155">
        <v>0.36433219999999999</v>
      </c>
      <c r="X4155">
        <v>0.90925009999999995</v>
      </c>
      <c r="Y4155">
        <v>0.34103600000000001</v>
      </c>
      <c r="Z4155">
        <v>3.0129980000000001E-2</v>
      </c>
      <c r="AA4155">
        <v>0.93956729999999999</v>
      </c>
      <c r="AB4155">
        <v>24</v>
      </c>
      <c r="AC4155">
        <v>4.5733999999999897</v>
      </c>
      <c r="AD4155">
        <v>-1.103246295011</v>
      </c>
      <c r="AE4155">
        <v>-4.4177999999999997</v>
      </c>
      <c r="AF4155">
        <v>2.1791144061627201</v>
      </c>
      <c r="AG4155">
        <v>-1.103246295011</v>
      </c>
      <c r="AH4155">
        <v>5.7754452756647501</v>
      </c>
      <c r="AI4155">
        <v>100.133201575302</v>
      </c>
      <c r="AJ4155">
        <v>69.328170974285101</v>
      </c>
      <c r="AK4155">
        <v>6.2706825876294898</v>
      </c>
      <c r="AL4155">
        <v>68.633508797643202</v>
      </c>
      <c r="AM4155">
        <v>77.515887117308495</v>
      </c>
      <c r="AN4155">
        <v>0.99999998803840395</v>
      </c>
    </row>
    <row r="4156" spans="1:40" x14ac:dyDescent="0.25">
      <c r="A4156" t="str">
        <f>"20190304164212052"</f>
        <v>20190304164212052</v>
      </c>
      <c r="B4156" t="str">
        <f>"1551688932045038"</f>
        <v>1551688932045038</v>
      </c>
      <c r="C4156" t="s">
        <v>40</v>
      </c>
      <c r="D4156">
        <v>5.2080919999999997</v>
      </c>
      <c r="E4156">
        <v>0.57435829999999999</v>
      </c>
      <c r="F4156" t="s">
        <v>45</v>
      </c>
      <c r="G4156">
        <v>-196.24080000000001</v>
      </c>
      <c r="H4156" s="1">
        <v>3.8165349999999997E-6</v>
      </c>
      <c r="I4156">
        <v>207.64570000000001</v>
      </c>
      <c r="J4156">
        <v>-200.85329999999999</v>
      </c>
      <c r="K4156">
        <v>1.1031930000000001</v>
      </c>
      <c r="L4156">
        <v>212.20310000000001</v>
      </c>
      <c r="M4156">
        <v>0.91324629999999996</v>
      </c>
      <c r="N4156">
        <v>-1.5746059999999999E-2</v>
      </c>
      <c r="O4156">
        <v>-0.40710370000000001</v>
      </c>
      <c r="P4156">
        <v>0.75668349999999995</v>
      </c>
      <c r="Q4156">
        <v>0.35657719999999998</v>
      </c>
      <c r="R4156">
        <v>-0.54798119999999995</v>
      </c>
      <c r="S4156">
        <v>2.48996</v>
      </c>
      <c r="T4156">
        <v>-0.56862639999999998</v>
      </c>
      <c r="U4156">
        <v>-2.4051209999999998</v>
      </c>
      <c r="V4156">
        <v>0.19948650000000001</v>
      </c>
      <c r="W4156">
        <v>0.36717519999999998</v>
      </c>
      <c r="X4156">
        <v>0.90850839999999999</v>
      </c>
      <c r="Y4156">
        <v>0.34106019999999998</v>
      </c>
      <c r="Z4156">
        <v>3.1282039999999997E-2</v>
      </c>
      <c r="AA4156">
        <v>0.93952080000000004</v>
      </c>
      <c r="AB4156">
        <v>24</v>
      </c>
      <c r="AC4156">
        <v>4.6124999999999803</v>
      </c>
      <c r="AD4156">
        <v>-1.1031891834649901</v>
      </c>
      <c r="AE4156">
        <v>-4.5574000000000003</v>
      </c>
      <c r="AF4156">
        <v>2.2202782498135898</v>
      </c>
      <c r="AG4156">
        <v>-1.1031891834649901</v>
      </c>
      <c r="AH4156">
        <v>5.8977207370539997</v>
      </c>
      <c r="AI4156">
        <v>99.929538829828104</v>
      </c>
      <c r="AJ4156">
        <v>69.370461648315001</v>
      </c>
      <c r="AK4156">
        <v>6.3976379839270603</v>
      </c>
      <c r="AL4156">
        <v>68.458490362598695</v>
      </c>
      <c r="AM4156">
        <v>77.615763873672904</v>
      </c>
      <c r="AN4156">
        <v>1.0000000020239199</v>
      </c>
    </row>
    <row r="4157" spans="1:40" x14ac:dyDescent="0.25">
      <c r="A4157" t="str">
        <f>"20190304164212074"</f>
        <v>20190304164212074</v>
      </c>
      <c r="B4157" t="str">
        <f>"1551688932065534"</f>
        <v>1551688932065534</v>
      </c>
      <c r="C4157" t="s">
        <v>40</v>
      </c>
      <c r="D4157">
        <v>5.218515</v>
      </c>
      <c r="E4157">
        <v>0.57345089999999999</v>
      </c>
      <c r="F4157" t="s">
        <v>45</v>
      </c>
      <c r="G4157">
        <v>-196.8409</v>
      </c>
      <c r="H4157" s="1">
        <v>3.5364710000000002E-6</v>
      </c>
      <c r="I4157">
        <v>208.3013</v>
      </c>
      <c r="J4157">
        <v>-200.6438</v>
      </c>
      <c r="K4157">
        <v>1.103113</v>
      </c>
      <c r="L4157">
        <v>212.09530000000001</v>
      </c>
      <c r="M4157">
        <v>0.90839179999999997</v>
      </c>
      <c r="N4157">
        <v>-1.567004E-2</v>
      </c>
      <c r="O4157">
        <v>-0.41782629999999998</v>
      </c>
      <c r="P4157">
        <v>0.75088359999999998</v>
      </c>
      <c r="Q4157">
        <v>0.35775899999999999</v>
      </c>
      <c r="R4157">
        <v>-0.55514160000000001</v>
      </c>
      <c r="S4157">
        <v>2.517792</v>
      </c>
      <c r="T4157">
        <v>-0.69225570000000003</v>
      </c>
      <c r="U4157">
        <v>-2.4483640000000002</v>
      </c>
      <c r="V4157">
        <v>0.19773689999999999</v>
      </c>
      <c r="W4157">
        <v>0.36828100000000003</v>
      </c>
      <c r="X4157">
        <v>0.90844329999999995</v>
      </c>
      <c r="Y4157">
        <v>0.33342509999999997</v>
      </c>
      <c r="Z4157">
        <v>4.2119450000000003E-2</v>
      </c>
      <c r="AA4157">
        <v>0.94183530000000004</v>
      </c>
      <c r="AB4157">
        <v>24</v>
      </c>
      <c r="AC4157">
        <v>3.80289999999999</v>
      </c>
      <c r="AD4157">
        <v>-1.103109463529</v>
      </c>
      <c r="AE4157">
        <v>-3.7940000000000098</v>
      </c>
      <c r="AF4157">
        <v>1.78254662570006</v>
      </c>
      <c r="AG4157">
        <v>-1.103109463529</v>
      </c>
      <c r="AH4157">
        <v>4.8364274128626397</v>
      </c>
      <c r="AI4157">
        <v>102.079679611576</v>
      </c>
      <c r="AJ4157">
        <v>69.767787690082201</v>
      </c>
      <c r="AK4157">
        <v>5.2711813743420999</v>
      </c>
      <c r="AL4157">
        <v>68.390358965363404</v>
      </c>
      <c r="AM4157">
        <v>77.720217696736796</v>
      </c>
      <c r="AN4157">
        <v>1.0000000029487499</v>
      </c>
    </row>
    <row r="4158" spans="1:40" x14ac:dyDescent="0.25">
      <c r="A4158" t="str">
        <f>"20190304164212096"</f>
        <v>20190304164212096</v>
      </c>
      <c r="B4158" t="str">
        <f>"1551688932085054"</f>
        <v>1551688932085054</v>
      </c>
      <c r="C4158" t="s">
        <v>40</v>
      </c>
      <c r="D4158">
        <v>5.2098899999999997</v>
      </c>
      <c r="E4158">
        <v>0.572905</v>
      </c>
      <c r="F4158" t="s">
        <v>45</v>
      </c>
      <c r="G4158">
        <v>-196.68469999999999</v>
      </c>
      <c r="H4158" s="1">
        <v>3.5991820000000001E-6</v>
      </c>
      <c r="I4158">
        <v>208.16909999999999</v>
      </c>
      <c r="J4158">
        <v>-200.42400000000001</v>
      </c>
      <c r="K4158">
        <v>1.103003</v>
      </c>
      <c r="L4158">
        <v>211.9786</v>
      </c>
      <c r="M4158">
        <v>0.90304110000000004</v>
      </c>
      <c r="N4158">
        <v>-1.560781E-2</v>
      </c>
      <c r="O4158">
        <v>-0.42927070000000001</v>
      </c>
      <c r="P4158">
        <v>0.74407199999999996</v>
      </c>
      <c r="Q4158">
        <v>0.35764869999999999</v>
      </c>
      <c r="R4158">
        <v>-0.56430880000000005</v>
      </c>
      <c r="S4158">
        <v>2.4964140000000001</v>
      </c>
      <c r="T4158">
        <v>-0.69556459999999998</v>
      </c>
      <c r="U4158">
        <v>-2.4756469999999999</v>
      </c>
      <c r="V4158">
        <v>0.1974687</v>
      </c>
      <c r="W4158">
        <v>0.3680718</v>
      </c>
      <c r="X4158">
        <v>0.90858640000000002</v>
      </c>
      <c r="Y4158">
        <v>0.33095599999999997</v>
      </c>
      <c r="Z4158">
        <v>4.4847320000000003E-2</v>
      </c>
      <c r="AA4158">
        <v>0.94257990000000003</v>
      </c>
      <c r="AB4158">
        <v>24</v>
      </c>
      <c r="AC4158">
        <v>3.7393000000000098</v>
      </c>
      <c r="AD4158">
        <v>-1.102999400818</v>
      </c>
      <c r="AE4158">
        <v>-3.8095000000000101</v>
      </c>
      <c r="AF4158">
        <v>1.76003987611357</v>
      </c>
      <c r="AG4158">
        <v>-1.102999400818</v>
      </c>
      <c r="AH4158">
        <v>4.80740168404167</v>
      </c>
      <c r="AI4158">
        <v>102.158651789169</v>
      </c>
      <c r="AJ4158">
        <v>69.891794906056901</v>
      </c>
      <c r="AK4158">
        <v>5.2369322122251498</v>
      </c>
      <c r="AL4158">
        <v>68.4032505665797</v>
      </c>
      <c r="AM4158">
        <v>77.738242014347705</v>
      </c>
      <c r="AN4158">
        <v>0.99999999184994504</v>
      </c>
    </row>
    <row r="4159" spans="1:40" x14ac:dyDescent="0.25">
      <c r="A4159" t="str">
        <f>"20190304164212120"</f>
        <v>20190304164212120</v>
      </c>
      <c r="B4159" t="str">
        <f>"1551688932115310"</f>
        <v>1551688932115310</v>
      </c>
      <c r="C4159" t="s">
        <v>40</v>
      </c>
      <c r="D4159">
        <v>5.2053269999999996</v>
      </c>
      <c r="E4159">
        <v>0.57226219999999905</v>
      </c>
      <c r="F4159" t="s">
        <v>45</v>
      </c>
      <c r="G4159">
        <v>-196.5386</v>
      </c>
      <c r="H4159" s="1">
        <v>3.6623589999999998E-6</v>
      </c>
      <c r="I4159">
        <v>208.0284</v>
      </c>
      <c r="J4159">
        <v>-200.20859999999999</v>
      </c>
      <c r="K4159">
        <v>1.102865</v>
      </c>
      <c r="L4159">
        <v>211.8605</v>
      </c>
      <c r="M4159">
        <v>0.89751959999999997</v>
      </c>
      <c r="N4159">
        <v>-1.556277E-2</v>
      </c>
      <c r="O4159">
        <v>-0.44069970000000003</v>
      </c>
      <c r="P4159">
        <v>0.73643819999999904</v>
      </c>
      <c r="Q4159">
        <v>0.35648829999999998</v>
      </c>
      <c r="R4159">
        <v>-0.57495620000000003</v>
      </c>
      <c r="S4159">
        <v>2.466583</v>
      </c>
      <c r="T4159">
        <v>-0.70021489999999997</v>
      </c>
      <c r="U4159">
        <v>-2.5076900000000002</v>
      </c>
      <c r="V4159">
        <v>0.19885659999999999</v>
      </c>
      <c r="W4159">
        <v>0.3667879</v>
      </c>
      <c r="X4159">
        <v>0.90880289999999997</v>
      </c>
      <c r="Y4159">
        <v>0.33087490000000003</v>
      </c>
      <c r="Z4159">
        <v>4.7477730000000003E-2</v>
      </c>
      <c r="AA4159">
        <v>0.94247950000000003</v>
      </c>
      <c r="AB4159">
        <v>24</v>
      </c>
      <c r="AC4159">
        <v>3.6699999999999799</v>
      </c>
      <c r="AD4159">
        <v>-1.1028613376409999</v>
      </c>
      <c r="AE4159">
        <v>-3.8320999999999898</v>
      </c>
      <c r="AF4159">
        <v>1.74677373422619</v>
      </c>
      <c r="AG4159">
        <v>-1.1028613376409999</v>
      </c>
      <c r="AH4159">
        <v>4.7769332614474003</v>
      </c>
      <c r="AI4159">
        <v>102.23408092813899</v>
      </c>
      <c r="AJ4159">
        <v>69.914128845633599</v>
      </c>
      <c r="AK4159">
        <v>5.2044800886321303</v>
      </c>
      <c r="AL4159">
        <v>68.4823456313447</v>
      </c>
      <c r="AM4159">
        <v>77.657545521483101</v>
      </c>
      <c r="AN4159">
        <v>1.00000001099919</v>
      </c>
    </row>
    <row r="4160" spans="1:40" x14ac:dyDescent="0.25">
      <c r="A4160" t="str">
        <f>"20190304164212142"</f>
        <v>20190304164212142</v>
      </c>
      <c r="B4160" t="str">
        <f>"1551688932135806"</f>
        <v>1551688932135806</v>
      </c>
      <c r="C4160" t="s">
        <v>40</v>
      </c>
      <c r="D4160">
        <v>5.4941139999999997</v>
      </c>
      <c r="E4160">
        <v>0.57194769999999995</v>
      </c>
      <c r="F4160" t="s">
        <v>45</v>
      </c>
      <c r="G4160">
        <v>-196.43090000000001</v>
      </c>
      <c r="H4160" s="1">
        <v>3.7096250000000001E-6</v>
      </c>
      <c r="I4160">
        <v>207.9221</v>
      </c>
      <c r="J4160">
        <v>-199.9941</v>
      </c>
      <c r="K4160">
        <v>1.1027119999999999</v>
      </c>
      <c r="L4160">
        <v>211.73910000000001</v>
      </c>
      <c r="M4160">
        <v>0.89172119999999999</v>
      </c>
      <c r="N4160">
        <v>-1.553204E-2</v>
      </c>
      <c r="O4160">
        <v>-0.45231830000000001</v>
      </c>
      <c r="P4160">
        <v>0.72852819999999996</v>
      </c>
      <c r="Q4160">
        <v>0.35437380000000002</v>
      </c>
      <c r="R4160">
        <v>-0.58623019999999904</v>
      </c>
      <c r="S4160">
        <v>2.4355159999999998</v>
      </c>
      <c r="T4160">
        <v>-0.7110109</v>
      </c>
      <c r="U4160">
        <v>-2.5391080000000001</v>
      </c>
      <c r="V4160">
        <v>0.2006792</v>
      </c>
      <c r="W4160">
        <v>0.36454979999999998</v>
      </c>
      <c r="X4160">
        <v>0.90930270000000002</v>
      </c>
      <c r="Y4160">
        <v>0.33064850000000001</v>
      </c>
      <c r="Z4160">
        <v>5.0708700000000002E-2</v>
      </c>
      <c r="AA4160">
        <v>0.94239070000000003</v>
      </c>
      <c r="AB4160">
        <v>24</v>
      </c>
      <c r="AC4160">
        <v>3.5631999999999899</v>
      </c>
      <c r="AD4160">
        <v>-1.1027082903749901</v>
      </c>
      <c r="AE4160">
        <v>-3.8170000000000002</v>
      </c>
      <c r="AF4160">
        <v>1.71570120522591</v>
      </c>
      <c r="AG4160">
        <v>-1.1027082903749901</v>
      </c>
      <c r="AH4160">
        <v>4.69508717136336</v>
      </c>
      <c r="AI4160">
        <v>102.44003697280699</v>
      </c>
      <c r="AJ4160">
        <v>69.926443852735005</v>
      </c>
      <c r="AK4160">
        <v>5.1189295507924504</v>
      </c>
      <c r="AL4160">
        <v>68.620121843524799</v>
      </c>
      <c r="AM4160">
        <v>77.554566298408901</v>
      </c>
      <c r="AN4160">
        <v>1.0000000491099801</v>
      </c>
    </row>
    <row r="4161" spans="1:40" x14ac:dyDescent="0.25">
      <c r="A4161" t="str">
        <f>"20190304164212164"</f>
        <v>20190304164212164</v>
      </c>
      <c r="B4161" t="str">
        <f>"1551688932155326"</f>
        <v>1551688932155326</v>
      </c>
      <c r="C4161" t="s">
        <v>40</v>
      </c>
      <c r="D4161">
        <v>5.2404710000000003</v>
      </c>
      <c r="E4161">
        <v>0.57151649999999998</v>
      </c>
      <c r="F4161" t="s">
        <v>45</v>
      </c>
      <c r="G4161">
        <v>-196.32749999999999</v>
      </c>
      <c r="H4161" s="1">
        <v>3.7594540000000002E-6</v>
      </c>
      <c r="I4161">
        <v>207.8032</v>
      </c>
      <c r="J4161">
        <v>-199.79159999999999</v>
      </c>
      <c r="K4161">
        <v>1.1025560000000001</v>
      </c>
      <c r="L4161">
        <v>211.62049999999999</v>
      </c>
      <c r="M4161">
        <v>0.88593599999999995</v>
      </c>
      <c r="N4161">
        <v>-1.5516469999999999E-2</v>
      </c>
      <c r="O4161">
        <v>-0.46354810000000002</v>
      </c>
      <c r="P4161">
        <v>0.72112419999999899</v>
      </c>
      <c r="Q4161">
        <v>0.3533425</v>
      </c>
      <c r="R4161">
        <v>-0.59592709999999904</v>
      </c>
      <c r="S4161">
        <v>2.3975979999999999</v>
      </c>
      <c r="T4161">
        <v>-0.72106499999999996</v>
      </c>
      <c r="U4161">
        <v>-2.5737299999999999</v>
      </c>
      <c r="V4161">
        <v>0.2012362</v>
      </c>
      <c r="W4161">
        <v>0.36342970000000002</v>
      </c>
      <c r="X4161">
        <v>0.90962790000000004</v>
      </c>
      <c r="Y4161">
        <v>0.33263110000000001</v>
      </c>
      <c r="Z4161">
        <v>5.3664299999999998E-2</v>
      </c>
      <c r="AA4161">
        <v>0.9415289</v>
      </c>
      <c r="AB4161">
        <v>24</v>
      </c>
      <c r="AC4161">
        <v>3.4641000000000002</v>
      </c>
      <c r="AD4161">
        <v>-1.10255224054599</v>
      </c>
      <c r="AE4161">
        <v>-3.8172999999999799</v>
      </c>
      <c r="AF4161">
        <v>1.69861109508109</v>
      </c>
      <c r="AG4161">
        <v>-1.10255224054599</v>
      </c>
      <c r="AH4161">
        <v>4.6273598637572704</v>
      </c>
      <c r="AI4161">
        <v>102.608070466444</v>
      </c>
      <c r="AJ4161">
        <v>69.8428255059778</v>
      </c>
      <c r="AK4161">
        <v>5.0510751730871402</v>
      </c>
      <c r="AL4161">
        <v>68.689025132020703</v>
      </c>
      <c r="AM4161">
        <v>77.525425362281894</v>
      </c>
      <c r="AN4161">
        <v>1.0000000357454599</v>
      </c>
    </row>
    <row r="4162" spans="1:40" x14ac:dyDescent="0.25">
      <c r="A4162" t="str">
        <f>"20190304164212186"</f>
        <v>20190304164212186</v>
      </c>
      <c r="B4162" t="str">
        <f>"1551688932175822"</f>
        <v>1551688932175822</v>
      </c>
      <c r="C4162" t="s">
        <v>40</v>
      </c>
      <c r="D4162">
        <v>5.218947</v>
      </c>
      <c r="E4162">
        <v>0.5711408</v>
      </c>
      <c r="F4162" t="s">
        <v>45</v>
      </c>
      <c r="G4162">
        <v>-196.21340000000001</v>
      </c>
      <c r="H4162" s="1">
        <v>3.8127439999999999E-6</v>
      </c>
      <c r="I4162">
        <v>207.67840000000001</v>
      </c>
      <c r="J4162">
        <v>-199.58510000000001</v>
      </c>
      <c r="K4162">
        <v>1.1024080000000001</v>
      </c>
      <c r="L4162">
        <v>211.4956</v>
      </c>
      <c r="M4162">
        <v>0.87973429999999997</v>
      </c>
      <c r="N4162">
        <v>-1.551019E-2</v>
      </c>
      <c r="O4162">
        <v>-0.47521249999999998</v>
      </c>
      <c r="P4162">
        <v>0.71302489999999996</v>
      </c>
      <c r="Q4162">
        <v>0.35259439999999997</v>
      </c>
      <c r="R4162">
        <v>-0.60603059999999997</v>
      </c>
      <c r="S4162">
        <v>2.364471</v>
      </c>
      <c r="T4162">
        <v>-0.72856869999999996</v>
      </c>
      <c r="U4162">
        <v>-2.6049349999999998</v>
      </c>
      <c r="V4162">
        <v>0.2019735</v>
      </c>
      <c r="W4162">
        <v>0.362597</v>
      </c>
      <c r="X4162">
        <v>0.90979670000000001</v>
      </c>
      <c r="Y4162">
        <v>0.33254499999999998</v>
      </c>
      <c r="Z4162">
        <v>5.6742279999999999E-2</v>
      </c>
      <c r="AA4162">
        <v>0.94137879999999996</v>
      </c>
      <c r="AB4162">
        <v>24</v>
      </c>
      <c r="AC4162">
        <v>3.3717000000000001</v>
      </c>
      <c r="AD4162">
        <v>-1.102404187256</v>
      </c>
      <c r="AE4162">
        <v>-3.8171999999999802</v>
      </c>
      <c r="AF4162">
        <v>1.6774674601958099</v>
      </c>
      <c r="AG4162">
        <v>-1.102404187256</v>
      </c>
      <c r="AH4162">
        <v>4.5667959657066604</v>
      </c>
      <c r="AI4162">
        <v>102.767217070881</v>
      </c>
      <c r="AJ4162">
        <v>69.830795372169305</v>
      </c>
      <c r="AK4162">
        <v>4.9884684487816502</v>
      </c>
      <c r="AL4162">
        <v>68.740226449087899</v>
      </c>
      <c r="AM4162">
        <v>77.483408154905604</v>
      </c>
      <c r="AN4162">
        <v>0.99999995722106905</v>
      </c>
    </row>
    <row r="4163" spans="1:40" x14ac:dyDescent="0.25">
      <c r="A4163" t="str">
        <f>"20190304164212204"</f>
        <v>20190304164212204</v>
      </c>
      <c r="B4163" t="str">
        <f>"1551688932195342"</f>
        <v>1551688932195342</v>
      </c>
      <c r="C4163" t="s">
        <v>40</v>
      </c>
      <c r="D4163">
        <v>5.2253249999999998</v>
      </c>
      <c r="E4163">
        <v>0.57085680000000005</v>
      </c>
      <c r="F4163" t="s">
        <v>45</v>
      </c>
      <c r="G4163">
        <v>-196.0883</v>
      </c>
      <c r="H4163" s="1">
        <v>3.8748700000000004E-6</v>
      </c>
      <c r="I4163">
        <v>207.5275</v>
      </c>
      <c r="J4163">
        <v>-199.41829999999999</v>
      </c>
      <c r="K4163">
        <v>1.1022970000000001</v>
      </c>
      <c r="L4163">
        <v>211.39179999999999</v>
      </c>
      <c r="M4163">
        <v>0.87449159999999904</v>
      </c>
      <c r="N4163">
        <v>-1.5509439999999999E-2</v>
      </c>
      <c r="O4163">
        <v>-0.48479299999999997</v>
      </c>
      <c r="P4163">
        <v>0.70595430000000003</v>
      </c>
      <c r="Q4163">
        <v>0.35250160000000003</v>
      </c>
      <c r="R4163">
        <v>-0.61430580000000001</v>
      </c>
      <c r="S4163">
        <v>2.326355</v>
      </c>
      <c r="T4163">
        <v>-0.73340939999999999</v>
      </c>
      <c r="U4163">
        <v>-2.6398769999999998</v>
      </c>
      <c r="V4163">
        <v>0.20272200000000001</v>
      </c>
      <c r="W4163">
        <v>0.36243520000000001</v>
      </c>
      <c r="X4163">
        <v>0.90969469999999997</v>
      </c>
      <c r="Y4163">
        <v>0.3361654</v>
      </c>
      <c r="Z4163">
        <v>5.8795790000000001E-2</v>
      </c>
      <c r="AA4163">
        <v>0.93996590000000002</v>
      </c>
      <c r="AB4163">
        <v>24</v>
      </c>
      <c r="AC4163">
        <v>3.3299999999999801</v>
      </c>
      <c r="AD4163">
        <v>-1.1022931251300001</v>
      </c>
      <c r="AE4163">
        <v>-3.8642999999999801</v>
      </c>
      <c r="AF4163">
        <v>1.6864047206845401</v>
      </c>
      <c r="AG4163">
        <v>-1.1022931251300001</v>
      </c>
      <c r="AH4163">
        <v>4.5725100144867596</v>
      </c>
      <c r="AI4163">
        <v>102.744563892478</v>
      </c>
      <c r="AJ4163">
        <v>69.755330490475004</v>
      </c>
      <c r="AK4163">
        <v>4.9966847857592196</v>
      </c>
      <c r="AL4163">
        <v>68.750173713069103</v>
      </c>
      <c r="AM4163">
        <v>77.437128339963294</v>
      </c>
      <c r="AN4163">
        <v>0.99999996534556401</v>
      </c>
    </row>
    <row r="4164" spans="1:40" x14ac:dyDescent="0.25">
      <c r="A4164" t="str">
        <f>"20190304164212217"</f>
        <v>20190304164212217</v>
      </c>
      <c r="B4164" t="str">
        <f>"1551688932206078"</f>
        <v>1551688932206078</v>
      </c>
      <c r="C4164" t="s">
        <v>40</v>
      </c>
      <c r="D4164">
        <v>5.231331</v>
      </c>
      <c r="E4164">
        <v>0.5706871</v>
      </c>
      <c r="F4164" t="s">
        <v>45</v>
      </c>
      <c r="G4164">
        <v>-195.97630000000001</v>
      </c>
      <c r="H4164" s="1">
        <v>3.9294379999999998E-6</v>
      </c>
      <c r="I4164">
        <v>207.3965</v>
      </c>
      <c r="J4164">
        <v>-199.29040000000001</v>
      </c>
      <c r="K4164">
        <v>1.102217</v>
      </c>
      <c r="L4164">
        <v>211.31030000000001</v>
      </c>
      <c r="M4164">
        <v>0.87031139999999996</v>
      </c>
      <c r="N4164">
        <v>-1.551195E-2</v>
      </c>
      <c r="O4164">
        <v>-0.49225760000000002</v>
      </c>
      <c r="P4164">
        <v>0.69967990000000002</v>
      </c>
      <c r="Q4164">
        <v>0.35258499999999998</v>
      </c>
      <c r="R4164">
        <v>-0.62139549999999999</v>
      </c>
      <c r="S4164">
        <v>2.2968440000000001</v>
      </c>
      <c r="T4164">
        <v>-0.73556639999999995</v>
      </c>
      <c r="U4164">
        <v>-2.6661069999999998</v>
      </c>
      <c r="V4164">
        <v>0.20421700000000001</v>
      </c>
      <c r="W4164">
        <v>0.36244510000000002</v>
      </c>
      <c r="X4164">
        <v>0.90935639999999995</v>
      </c>
      <c r="Y4164">
        <v>0.33872089999999999</v>
      </c>
      <c r="Z4164">
        <v>6.0294769999999998E-2</v>
      </c>
      <c r="AA4164">
        <v>0.93895300000000004</v>
      </c>
      <c r="AB4164">
        <v>24</v>
      </c>
      <c r="AC4164">
        <v>3.3140999999999901</v>
      </c>
      <c r="AD4164">
        <v>-1.1022130705619999</v>
      </c>
      <c r="AE4164">
        <v>-3.9138000000000002</v>
      </c>
      <c r="AF4164">
        <v>1.69667615632904</v>
      </c>
      <c r="AG4164">
        <v>-1.1022130705619999</v>
      </c>
      <c r="AH4164">
        <v>4.5990411569591902</v>
      </c>
      <c r="AI4164">
        <v>102.672111998712</v>
      </c>
      <c r="AJ4164">
        <v>69.749996737722597</v>
      </c>
      <c r="AK4164">
        <v>5.0244167020438999</v>
      </c>
      <c r="AL4164">
        <v>68.749566943393106</v>
      </c>
      <c r="AM4164">
        <v>77.342898750172495</v>
      </c>
      <c r="AN4164">
        <v>1.0000000479119799</v>
      </c>
    </row>
    <row r="4165" spans="1:40" x14ac:dyDescent="0.25">
      <c r="A4165" t="str">
        <f>"20190304164212231"</f>
        <v>20190304164212231</v>
      </c>
      <c r="B4165" t="str">
        <f>"1551688932225681"</f>
        <v>1551688932225681</v>
      </c>
      <c r="C4165" t="s">
        <v>40</v>
      </c>
      <c r="D4165">
        <v>5.2235500000000004</v>
      </c>
      <c r="E4165">
        <v>0.57045100000000004</v>
      </c>
      <c r="F4165" t="s">
        <v>45</v>
      </c>
      <c r="G4165">
        <v>-195.89279999999999</v>
      </c>
      <c r="H4165" s="1">
        <v>3.97259E-6</v>
      </c>
      <c r="I4165">
        <v>207.2895</v>
      </c>
      <c r="J4165">
        <v>-199.1669</v>
      </c>
      <c r="K4165">
        <v>1.102128</v>
      </c>
      <c r="L4165">
        <v>211.22989999999999</v>
      </c>
      <c r="M4165">
        <v>0.86613469999999904</v>
      </c>
      <c r="N4165">
        <v>-1.5517619999999999E-2</v>
      </c>
      <c r="O4165">
        <v>-0.49956970000000001</v>
      </c>
      <c r="P4165">
        <v>0.69229189999999996</v>
      </c>
      <c r="Q4165">
        <v>0.35262169999999998</v>
      </c>
      <c r="R4165">
        <v>-0.62959489999999996</v>
      </c>
      <c r="S4165">
        <v>2.2715450000000001</v>
      </c>
      <c r="T4165">
        <v>-0.73691329999999999</v>
      </c>
      <c r="U4165">
        <v>-2.6882320000000002</v>
      </c>
      <c r="V4165">
        <v>0.20737050000000001</v>
      </c>
      <c r="W4165">
        <v>0.362369</v>
      </c>
      <c r="X4165">
        <v>0.9086727</v>
      </c>
      <c r="Y4165">
        <v>0.3398525</v>
      </c>
      <c r="Z4165">
        <v>6.1844709999999997E-2</v>
      </c>
      <c r="AA4165">
        <v>0.93844309999999997</v>
      </c>
      <c r="AB4165">
        <v>24</v>
      </c>
      <c r="AC4165">
        <v>3.2740999999999998</v>
      </c>
      <c r="AD4165">
        <v>-1.1021240274099999</v>
      </c>
      <c r="AE4165">
        <v>-3.9403999999999799</v>
      </c>
      <c r="AF4165">
        <v>1.6988671050968001</v>
      </c>
      <c r="AG4165">
        <v>-1.1021240274099999</v>
      </c>
      <c r="AH4165">
        <v>4.5923618224709797</v>
      </c>
      <c r="AI4165">
        <v>102.684909395625</v>
      </c>
      <c r="AJ4165">
        <v>69.698892843284497</v>
      </c>
      <c r="AK4165">
        <v>5.0190251962969201</v>
      </c>
      <c r="AL4165">
        <v>68.754242910324393</v>
      </c>
      <c r="AM4165">
        <v>77.144542095686901</v>
      </c>
      <c r="AN4165">
        <v>0.99999994607826803</v>
      </c>
    </row>
    <row r="4166" spans="1:40" x14ac:dyDescent="0.25">
      <c r="A4166" t="str">
        <f>"20190304164212255"</f>
        <v>20190304164212255</v>
      </c>
      <c r="B4166" t="str">
        <f>"1551688932245201"</f>
        <v>1551688932245201</v>
      </c>
      <c r="C4166" t="s">
        <v>40</v>
      </c>
      <c r="D4166">
        <v>5.2601740000000001</v>
      </c>
      <c r="E4166">
        <v>0.57032569999999905</v>
      </c>
      <c r="F4166" t="s">
        <v>45</v>
      </c>
      <c r="G4166">
        <v>-195.82040000000001</v>
      </c>
      <c r="H4166" s="1">
        <v>4.0137049999999997E-6</v>
      </c>
      <c r="I4166">
        <v>207.18270000000001</v>
      </c>
      <c r="J4166">
        <v>-198.95869999999999</v>
      </c>
      <c r="K4166">
        <v>1.1019730000000001</v>
      </c>
      <c r="L4166">
        <v>211.0909</v>
      </c>
      <c r="M4166">
        <v>0.85878639999999995</v>
      </c>
      <c r="N4166">
        <v>-1.5534930000000001E-2</v>
      </c>
      <c r="O4166">
        <v>-0.51209799999999905</v>
      </c>
      <c r="P4166">
        <v>0.68072250000000001</v>
      </c>
      <c r="Q4166">
        <v>0.35142970000000001</v>
      </c>
      <c r="R4166">
        <v>-0.64273950000000002</v>
      </c>
      <c r="S4166">
        <v>2.2428439999999998</v>
      </c>
      <c r="T4166">
        <v>-0.7386682</v>
      </c>
      <c r="U4166">
        <v>-2.7125089999999998</v>
      </c>
      <c r="V4166">
        <v>0.21138940000000001</v>
      </c>
      <c r="W4166">
        <v>0.36102509999999999</v>
      </c>
      <c r="X4166">
        <v>0.90828160000000002</v>
      </c>
      <c r="Y4166">
        <v>0.33645809999999998</v>
      </c>
      <c r="Z4166">
        <v>6.5029379999999998E-2</v>
      </c>
      <c r="AA4166">
        <v>0.93945040000000002</v>
      </c>
      <c r="AB4166">
        <v>24</v>
      </c>
      <c r="AC4166">
        <v>3.1382999999999801</v>
      </c>
      <c r="AD4166">
        <v>-1.101968986295</v>
      </c>
      <c r="AE4166">
        <v>-3.9081999999999901</v>
      </c>
      <c r="AF4166">
        <v>1.6687432792697801</v>
      </c>
      <c r="AG4166">
        <v>-1.101968986295</v>
      </c>
      <c r="AH4166">
        <v>4.48050952704026</v>
      </c>
      <c r="AI4166">
        <v>102.978915211482</v>
      </c>
      <c r="AJ4166">
        <v>69.572406037569195</v>
      </c>
      <c r="AK4166">
        <v>4.9065268164723799</v>
      </c>
      <c r="AL4166">
        <v>68.836836461863797</v>
      </c>
      <c r="AM4166">
        <v>76.8984650461977</v>
      </c>
      <c r="AN4166">
        <v>1.0000000330804599</v>
      </c>
    </row>
    <row r="4167" spans="1:40" x14ac:dyDescent="0.25">
      <c r="A4167" t="str">
        <f>"20190304164212276"</f>
        <v>20190304164212276</v>
      </c>
      <c r="B4167" t="str">
        <f>"1551688932265697"</f>
        <v>1551688932265697</v>
      </c>
      <c r="C4167" t="s">
        <v>40</v>
      </c>
      <c r="D4167">
        <v>5.269425</v>
      </c>
      <c r="E4167">
        <v>0.57031180000000004</v>
      </c>
      <c r="F4167" t="s">
        <v>45</v>
      </c>
      <c r="G4167">
        <v>-195.7116</v>
      </c>
      <c r="H4167" s="1">
        <v>4.077265E-6</v>
      </c>
      <c r="I4167">
        <v>207.0155</v>
      </c>
      <c r="J4167">
        <v>-198.77090000000001</v>
      </c>
      <c r="K4167">
        <v>1.1018159999999999</v>
      </c>
      <c r="L4167">
        <v>210.9614</v>
      </c>
      <c r="M4167">
        <v>0.85178539999999903</v>
      </c>
      <c r="N4167">
        <v>-1.5561159999999999E-2</v>
      </c>
      <c r="O4167">
        <v>-0.52366009999999996</v>
      </c>
      <c r="P4167">
        <v>0.66990819999999995</v>
      </c>
      <c r="Q4167">
        <v>0.34916829999999999</v>
      </c>
      <c r="R4167">
        <v>-0.65521379999999996</v>
      </c>
      <c r="S4167">
        <v>2.1927639999999999</v>
      </c>
      <c r="T4167">
        <v>-0.74416850000000001</v>
      </c>
      <c r="U4167">
        <v>-2.7521059999999999</v>
      </c>
      <c r="V4167">
        <v>0.21539030000000001</v>
      </c>
      <c r="W4167">
        <v>0.35862270000000002</v>
      </c>
      <c r="X4167">
        <v>0.90829329999999997</v>
      </c>
      <c r="Y4167">
        <v>0.34087430000000002</v>
      </c>
      <c r="Z4167">
        <v>6.7610249999999997E-2</v>
      </c>
      <c r="AA4167">
        <v>0.93767449999999997</v>
      </c>
      <c r="AB4167">
        <v>24</v>
      </c>
      <c r="AC4167">
        <v>3.0592999999999999</v>
      </c>
      <c r="AD4167">
        <v>-1.1018119227349901</v>
      </c>
      <c r="AE4167">
        <v>-3.9458999999999902</v>
      </c>
      <c r="AF4167">
        <v>1.677547740903</v>
      </c>
      <c r="AG4167">
        <v>-1.1018119227349901</v>
      </c>
      <c r="AH4167">
        <v>4.4557600516482498</v>
      </c>
      <c r="AI4167">
        <v>103.030022098117</v>
      </c>
      <c r="AJ4167">
        <v>69.369161241285198</v>
      </c>
      <c r="AK4167">
        <v>4.8869165712087002</v>
      </c>
      <c r="AL4167">
        <v>68.984363965629996</v>
      </c>
      <c r="AM4167">
        <v>76.659450006072802</v>
      </c>
      <c r="AN4167">
        <v>0.99999997055713397</v>
      </c>
    </row>
    <row r="4168" spans="1:40" x14ac:dyDescent="0.25">
      <c r="A4168" t="str">
        <f>"20190304164212298"</f>
        <v>20190304164212298</v>
      </c>
      <c r="B4168" t="str">
        <f>"1551688932294977"</f>
        <v>1551688932294977</v>
      </c>
      <c r="C4168" t="s">
        <v>40</v>
      </c>
      <c r="D4168">
        <v>5.251055</v>
      </c>
      <c r="E4168">
        <v>0.57033429999999996</v>
      </c>
      <c r="F4168" t="s">
        <v>45</v>
      </c>
      <c r="G4168">
        <v>-195.6318</v>
      </c>
      <c r="H4168" s="1">
        <v>4.1278630000000004E-6</v>
      </c>
      <c r="I4168">
        <v>206.87799999999999</v>
      </c>
      <c r="J4168">
        <v>-198.57640000000001</v>
      </c>
      <c r="K4168">
        <v>1.1016360000000001</v>
      </c>
      <c r="L4168">
        <v>210.8229</v>
      </c>
      <c r="M4168">
        <v>0.84413869999999902</v>
      </c>
      <c r="N4168">
        <v>-1.559751E-2</v>
      </c>
      <c r="O4168">
        <v>-0.53589799999999999</v>
      </c>
      <c r="P4168">
        <v>0.65736319999999904</v>
      </c>
      <c r="Q4168">
        <v>0.34608129999999998</v>
      </c>
      <c r="R4168">
        <v>-0.669404</v>
      </c>
      <c r="S4168">
        <v>2.1433559999999998</v>
      </c>
      <c r="T4168">
        <v>-0.75231119999999996</v>
      </c>
      <c r="U4168">
        <v>-2.7881320000000001</v>
      </c>
      <c r="V4168">
        <v>0.2209613</v>
      </c>
      <c r="W4168">
        <v>0.35535420000000001</v>
      </c>
      <c r="X4168">
        <v>0.90823980000000004</v>
      </c>
      <c r="Y4168">
        <v>0.34375489999999997</v>
      </c>
      <c r="Z4168">
        <v>7.0846389999999995E-2</v>
      </c>
      <c r="AA4168">
        <v>0.93638310000000002</v>
      </c>
      <c r="AB4168">
        <v>24</v>
      </c>
      <c r="AC4168">
        <v>2.9445999999999999</v>
      </c>
      <c r="AD4168">
        <v>-1.101631872137</v>
      </c>
      <c r="AE4168">
        <v>-3.9449000000000098</v>
      </c>
      <c r="AF4168">
        <v>1.6686823588539299</v>
      </c>
      <c r="AG4168">
        <v>-1.101631872137</v>
      </c>
      <c r="AH4168">
        <v>4.3808782477758701</v>
      </c>
      <c r="AI4168">
        <v>103.22421118334501</v>
      </c>
      <c r="AJ4168">
        <v>69.148096226285006</v>
      </c>
      <c r="AK4168">
        <v>4.8156191521230403</v>
      </c>
      <c r="AL4168">
        <v>69.184846375890601</v>
      </c>
      <c r="AM4168">
        <v>76.326423316781003</v>
      </c>
      <c r="AN4168">
        <v>1.00000001892968</v>
      </c>
    </row>
    <row r="4169" spans="1:40" x14ac:dyDescent="0.25">
      <c r="A4169" t="str">
        <f>"20190304164212321"</f>
        <v>20190304164212321</v>
      </c>
      <c r="B4169" t="str">
        <f>"1551688932315473"</f>
        <v>1551688932315473</v>
      </c>
      <c r="C4169" t="s">
        <v>40</v>
      </c>
      <c r="D4169">
        <v>5.257917</v>
      </c>
      <c r="E4169">
        <v>0.57037090000000001</v>
      </c>
      <c r="F4169" t="s">
        <v>45</v>
      </c>
      <c r="G4169">
        <v>-195.56200000000001</v>
      </c>
      <c r="H4169" s="1">
        <v>4.1828E-6</v>
      </c>
      <c r="I4169">
        <v>206.7415</v>
      </c>
      <c r="J4169">
        <v>-198.37549999999999</v>
      </c>
      <c r="K4169">
        <v>1.1014330000000001</v>
      </c>
      <c r="L4169">
        <v>210.67500000000001</v>
      </c>
      <c r="M4169">
        <v>0.83579619999999999</v>
      </c>
      <c r="N4169">
        <v>-1.5641579999999999E-2</v>
      </c>
      <c r="O4169">
        <v>-0.54881669999999905</v>
      </c>
      <c r="P4169">
        <v>0.64397169999999904</v>
      </c>
      <c r="Q4169">
        <v>0.34366419999999998</v>
      </c>
      <c r="R4169">
        <v>-0.68351700000000004</v>
      </c>
      <c r="S4169">
        <v>2.0873110000000001</v>
      </c>
      <c r="T4169">
        <v>-0.76284359999999996</v>
      </c>
      <c r="U4169">
        <v>-2.826187</v>
      </c>
      <c r="V4169">
        <v>0.22613069999999999</v>
      </c>
      <c r="W4169">
        <v>0.35275830000000002</v>
      </c>
      <c r="X4169">
        <v>0.90797930000000004</v>
      </c>
      <c r="Y4169">
        <v>0.3475048</v>
      </c>
      <c r="Z4169">
        <v>7.449778E-2</v>
      </c>
      <c r="AA4169">
        <v>0.93471409999999999</v>
      </c>
      <c r="AB4169">
        <v>24</v>
      </c>
      <c r="AC4169">
        <v>2.8134999999999701</v>
      </c>
      <c r="AD4169">
        <v>-1.1014288172</v>
      </c>
      <c r="AE4169">
        <v>-3.9335</v>
      </c>
      <c r="AF4169">
        <v>1.65773544944736</v>
      </c>
      <c r="AG4169">
        <v>-1.1014288172</v>
      </c>
      <c r="AH4169">
        <v>4.2883965810615603</v>
      </c>
      <c r="AI4169">
        <v>103.472065503427</v>
      </c>
      <c r="AJ4169">
        <v>68.865342470177893</v>
      </c>
      <c r="AK4169">
        <v>4.7277454982447598</v>
      </c>
      <c r="AL4169">
        <v>69.343880978834406</v>
      </c>
      <c r="AM4169">
        <v>76.015088919340897</v>
      </c>
      <c r="AN4169">
        <v>0.999999960464934</v>
      </c>
    </row>
    <row r="4170" spans="1:40" x14ac:dyDescent="0.25">
      <c r="A4170" t="str">
        <f>"20190304164212343"</f>
        <v>20190304164212343</v>
      </c>
      <c r="B4170" t="str">
        <f>"1551688932334993"</f>
        <v>1551688932334993</v>
      </c>
      <c r="C4170" t="s">
        <v>40</v>
      </c>
      <c r="D4170">
        <v>5.2557029999999996</v>
      </c>
      <c r="E4170">
        <v>0.57040080000000004</v>
      </c>
      <c r="F4170" t="s">
        <v>45</v>
      </c>
      <c r="G4170">
        <v>-195.47470000000001</v>
      </c>
      <c r="H4170" s="1">
        <v>4.2601120000000004E-6</v>
      </c>
      <c r="I4170">
        <v>206.57759999999999</v>
      </c>
      <c r="J4170">
        <v>-198.18690000000001</v>
      </c>
      <c r="K4170">
        <v>1.101254</v>
      </c>
      <c r="L4170">
        <v>210.53110000000001</v>
      </c>
      <c r="M4170">
        <v>0.827499599999999</v>
      </c>
      <c r="N4170">
        <v>-1.5688219999999999E-2</v>
      </c>
      <c r="O4170">
        <v>-0.5612473</v>
      </c>
      <c r="P4170">
        <v>0.63054759999999999</v>
      </c>
      <c r="Q4170">
        <v>0.34162209999999898</v>
      </c>
      <c r="R4170">
        <v>-0.69692509999999996</v>
      </c>
      <c r="S4170">
        <v>2.028397</v>
      </c>
      <c r="T4170">
        <v>-0.77019629999999994</v>
      </c>
      <c r="U4170">
        <v>-2.8652190000000002</v>
      </c>
      <c r="V4170">
        <v>0.23118150000000001</v>
      </c>
      <c r="W4170">
        <v>0.35054249999999998</v>
      </c>
      <c r="X4170">
        <v>0.90756550000000002</v>
      </c>
      <c r="Y4170">
        <v>0.35240650000000001</v>
      </c>
      <c r="Z4170">
        <v>7.7640860000000006E-2</v>
      </c>
      <c r="AA4170">
        <v>0.93262080000000003</v>
      </c>
      <c r="AB4170">
        <v>23</v>
      </c>
      <c r="AC4170">
        <v>2.71219999999999</v>
      </c>
      <c r="AD4170">
        <v>-1.1012497398879999</v>
      </c>
      <c r="AE4170">
        <v>-3.95350000000002</v>
      </c>
      <c r="AF4170">
        <v>1.66184113534412</v>
      </c>
      <c r="AG4170">
        <v>-1.1012497398879999</v>
      </c>
      <c r="AH4170">
        <v>4.2400779959720403</v>
      </c>
      <c r="AI4170">
        <v>103.5939739045</v>
      </c>
      <c r="AJ4170">
        <v>68.597976587399103</v>
      </c>
      <c r="AK4170">
        <v>4.6853738762932799</v>
      </c>
      <c r="AL4170">
        <v>69.479500297778898</v>
      </c>
      <c r="AM4170">
        <v>75.7091321275946</v>
      </c>
      <c r="AN4170">
        <v>1.0000000335193699</v>
      </c>
    </row>
    <row r="4171" spans="1:40" x14ac:dyDescent="0.25">
      <c r="A4171" t="str">
        <f>"20190304164212365"</f>
        <v>20190304164212365</v>
      </c>
      <c r="B4171" t="str">
        <f>"1551688932355490"</f>
        <v>1551688932355490</v>
      </c>
      <c r="C4171" t="s">
        <v>40</v>
      </c>
      <c r="D4171">
        <v>5.1038920000000001</v>
      </c>
      <c r="E4171">
        <v>0.57032609999999995</v>
      </c>
      <c r="F4171" t="s">
        <v>45</v>
      </c>
      <c r="G4171">
        <v>-195.38910000000001</v>
      </c>
      <c r="H4171" s="1">
        <v>4.3387039999999998E-6</v>
      </c>
      <c r="I4171">
        <v>206.40899999999999</v>
      </c>
      <c r="J4171">
        <v>-198.00110000000001</v>
      </c>
      <c r="K4171">
        <v>1.101083</v>
      </c>
      <c r="L4171">
        <v>210.3843</v>
      </c>
      <c r="M4171">
        <v>0.81886530000000002</v>
      </c>
      <c r="N4171">
        <v>-1.5738490000000001E-2</v>
      </c>
      <c r="O4171">
        <v>-0.57377019999999901</v>
      </c>
      <c r="P4171">
        <v>0.61667469999999902</v>
      </c>
      <c r="Q4171">
        <v>0.33952919999999998</v>
      </c>
      <c r="R4171">
        <v>-0.71023429999999999</v>
      </c>
      <c r="S4171">
        <v>1.96994</v>
      </c>
      <c r="T4171">
        <v>-0.77539990000000003</v>
      </c>
      <c r="U4171">
        <v>-2.90239</v>
      </c>
      <c r="V4171">
        <v>0.23621339999999999</v>
      </c>
      <c r="W4171">
        <v>0.34828009999999998</v>
      </c>
      <c r="X4171">
        <v>0.90714070000000002</v>
      </c>
      <c r="Y4171">
        <v>0.35669200000000001</v>
      </c>
      <c r="Z4171">
        <v>8.0685999999999994E-2</v>
      </c>
      <c r="AA4171">
        <v>0.93073119999999998</v>
      </c>
      <c r="AB4171">
        <v>23</v>
      </c>
      <c r="AC4171">
        <v>2.6119999999999899</v>
      </c>
      <c r="AD4171">
        <v>-1.101078661296</v>
      </c>
      <c r="AE4171">
        <v>-3.9752999999999701</v>
      </c>
      <c r="AF4171">
        <v>1.6674173958229599</v>
      </c>
      <c r="AG4171">
        <v>-1.101078661296</v>
      </c>
      <c r="AH4171">
        <v>4.1955177845105096</v>
      </c>
      <c r="AI4171">
        <v>103.706106896668</v>
      </c>
      <c r="AJ4171">
        <v>68.325728041169896</v>
      </c>
      <c r="AK4171">
        <v>4.6470447028620701</v>
      </c>
      <c r="AL4171">
        <v>69.617846133705299</v>
      </c>
      <c r="AM4171">
        <v>75.404675925240099</v>
      </c>
      <c r="AN4171">
        <v>1.0000000239960201</v>
      </c>
    </row>
    <row r="4172" spans="1:40" x14ac:dyDescent="0.25">
      <c r="A4172" t="str">
        <f>"20190304164212387"</f>
        <v>20190304164212387</v>
      </c>
      <c r="B4172" t="str">
        <f>"1551688932375009"</f>
        <v>1551688932375009</v>
      </c>
      <c r="C4172" t="s">
        <v>40</v>
      </c>
      <c r="D4172">
        <v>5.1254949999999999</v>
      </c>
      <c r="E4172">
        <v>0.57308789999999998</v>
      </c>
      <c r="F4172" t="s">
        <v>45</v>
      </c>
      <c r="G4172">
        <v>-195.3141</v>
      </c>
      <c r="H4172" s="1">
        <v>4.4090550000000001E-6</v>
      </c>
      <c r="I4172">
        <v>206.25700000000001</v>
      </c>
      <c r="J4172">
        <v>-197.81649999999999</v>
      </c>
      <c r="K4172">
        <v>1.10094</v>
      </c>
      <c r="L4172">
        <v>210.23339999999999</v>
      </c>
      <c r="M4172">
        <v>0.80982790000000004</v>
      </c>
      <c r="N4172">
        <v>-1.579065E-2</v>
      </c>
      <c r="O4172">
        <v>-0.58645499999999995</v>
      </c>
      <c r="P4172">
        <v>0.60282720000000001</v>
      </c>
      <c r="Q4172">
        <v>0.337586</v>
      </c>
      <c r="R4172">
        <v>-0.72293540000000001</v>
      </c>
      <c r="S4172">
        <v>1.91272</v>
      </c>
      <c r="T4172">
        <v>-0.78379370000000004</v>
      </c>
      <c r="U4172">
        <v>-2.9379430000000002</v>
      </c>
      <c r="V4172">
        <v>0.24045069999999999</v>
      </c>
      <c r="W4172">
        <v>0.34619800000000001</v>
      </c>
      <c r="X4172">
        <v>0.90682439999999997</v>
      </c>
      <c r="Y4172">
        <v>0.36017300000000002</v>
      </c>
      <c r="Z4172">
        <v>8.4269479999999994E-2</v>
      </c>
      <c r="AA4172">
        <v>0.92907169999999895</v>
      </c>
      <c r="AB4172">
        <v>23</v>
      </c>
      <c r="AC4172">
        <v>2.50239999999999</v>
      </c>
      <c r="AD4172">
        <v>-1.100935590945</v>
      </c>
      <c r="AE4172">
        <v>-3.97639999999998</v>
      </c>
      <c r="AF4172">
        <v>1.6616337144979301</v>
      </c>
      <c r="AG4172">
        <v>-1.100935590945</v>
      </c>
      <c r="AH4172">
        <v>4.1321425362665902</v>
      </c>
      <c r="AI4172">
        <v>103.884859901764</v>
      </c>
      <c r="AJ4172">
        <v>68.093756515272204</v>
      </c>
      <c r="AK4172">
        <v>4.5877759008684498</v>
      </c>
      <c r="AL4172">
        <v>69.745057616841606</v>
      </c>
      <c r="AM4172">
        <v>75.149376198379997</v>
      </c>
      <c r="AN4172">
        <v>1.0000000433849201</v>
      </c>
    </row>
    <row r="4173" spans="1:40" x14ac:dyDescent="0.25">
      <c r="A4173" t="str">
        <f>"20190304164212411"</f>
        <v>20190304164212411</v>
      </c>
      <c r="B4173" t="str">
        <f>"1551688932405268"</f>
        <v>1551688932405268</v>
      </c>
      <c r="C4173" t="s">
        <v>40</v>
      </c>
      <c r="D4173">
        <v>5.0132849999999998</v>
      </c>
      <c r="E4173">
        <v>0.57278909999999905</v>
      </c>
      <c r="F4173" t="s">
        <v>45</v>
      </c>
      <c r="G4173">
        <v>-194.95650000000001</v>
      </c>
      <c r="H4173" s="1">
        <v>4.7327800000000001E-6</v>
      </c>
      <c r="I4173">
        <v>205.56549999999999</v>
      </c>
      <c r="J4173">
        <v>-197.62540000000001</v>
      </c>
      <c r="K4173">
        <v>1.1008070000000001</v>
      </c>
      <c r="L4173">
        <v>210.07169999999999</v>
      </c>
      <c r="M4173">
        <v>0.79997209999999996</v>
      </c>
      <c r="N4173">
        <v>-1.584439E-2</v>
      </c>
      <c r="O4173">
        <v>-0.59982819999999903</v>
      </c>
      <c r="P4173">
        <v>0.58925899999999998</v>
      </c>
      <c r="Q4173">
        <v>0.33735809999999999</v>
      </c>
      <c r="R4173">
        <v>-0.7341415</v>
      </c>
      <c r="S4173">
        <v>1.815094</v>
      </c>
      <c r="T4173">
        <v>-0.69872109999999998</v>
      </c>
      <c r="U4173">
        <v>-2.962494</v>
      </c>
      <c r="V4173">
        <v>0.2424692</v>
      </c>
      <c r="W4173">
        <v>0.3458907</v>
      </c>
      <c r="X4173">
        <v>0.90640399999999999</v>
      </c>
      <c r="Y4173">
        <v>0.3697222</v>
      </c>
      <c r="Z4173">
        <v>7.6764440000000003E-2</v>
      </c>
      <c r="AA4173">
        <v>0.92596579999999995</v>
      </c>
      <c r="AB4173">
        <v>23</v>
      </c>
      <c r="AC4173">
        <v>2.6688999999999998</v>
      </c>
      <c r="AD4173">
        <v>-1.10080226722</v>
      </c>
      <c r="AE4173">
        <v>-4.5061999999999998</v>
      </c>
      <c r="AF4173">
        <v>1.9194075939073301</v>
      </c>
      <c r="AG4173">
        <v>-1.10080226722</v>
      </c>
      <c r="AH4173">
        <v>4.6338803026249797</v>
      </c>
      <c r="AI4173">
        <v>102.37858765390899</v>
      </c>
      <c r="AJ4173">
        <v>67.500089431341195</v>
      </c>
      <c r="AK4173">
        <v>5.1350499318041303</v>
      </c>
      <c r="AL4173">
        <v>69.763822065861802</v>
      </c>
      <c r="AM4173">
        <v>75.023653870951307</v>
      </c>
      <c r="AN4173">
        <v>0.99999995025556299</v>
      </c>
    </row>
    <row r="4174" spans="1:40" x14ac:dyDescent="0.25">
      <c r="A4174" t="str">
        <f>"20190304164212432"</f>
        <v>20190304164212432</v>
      </c>
      <c r="B4174" t="str">
        <f>"1551688932425761"</f>
        <v>1551688932425761</v>
      </c>
      <c r="C4174" t="s">
        <v>40</v>
      </c>
      <c r="D4174">
        <v>5.0984639999999999</v>
      </c>
      <c r="E4174">
        <v>0.57545749999999996</v>
      </c>
      <c r="F4174" t="s">
        <v>45</v>
      </c>
      <c r="G4174">
        <v>-194.8434</v>
      </c>
      <c r="H4174" s="1">
        <v>4.8359520000000003E-6</v>
      </c>
      <c r="I4174">
        <v>205.34460000000001</v>
      </c>
      <c r="J4174">
        <v>-197.4504</v>
      </c>
      <c r="K4174">
        <v>1.1006959999999999</v>
      </c>
      <c r="L4174">
        <v>209.91849999999999</v>
      </c>
      <c r="M4174">
        <v>0.79047449999999997</v>
      </c>
      <c r="N4174">
        <v>-1.5893440000000002E-2</v>
      </c>
      <c r="O4174">
        <v>-0.61228870000000002</v>
      </c>
      <c r="P4174">
        <v>0.57717459999999998</v>
      </c>
      <c r="Q4174">
        <v>0.33767269999999999</v>
      </c>
      <c r="R4174">
        <v>-0.74353669999999905</v>
      </c>
      <c r="S4174">
        <v>1.761368</v>
      </c>
      <c r="T4174">
        <v>-0.69696499999999995</v>
      </c>
      <c r="U4174">
        <v>-2.9929199999999998</v>
      </c>
      <c r="V4174">
        <v>0.2430785</v>
      </c>
      <c r="W4174">
        <v>0.3461707</v>
      </c>
      <c r="X4174">
        <v>0.90613390000000005</v>
      </c>
      <c r="Y4174">
        <v>0.37171559999999998</v>
      </c>
      <c r="Z4174">
        <v>7.9009609999999994E-2</v>
      </c>
      <c r="AA4174">
        <v>0.92497839999999998</v>
      </c>
      <c r="AB4174">
        <v>23</v>
      </c>
      <c r="AC4174">
        <v>2.60699999999999</v>
      </c>
      <c r="AD4174">
        <v>-1.1006911640479999</v>
      </c>
      <c r="AE4174">
        <v>-4.5738999999999796</v>
      </c>
      <c r="AF4174">
        <v>1.93499060147083</v>
      </c>
      <c r="AG4174">
        <v>-1.1006911640479999</v>
      </c>
      <c r="AH4174">
        <v>4.6583118578921798</v>
      </c>
      <c r="AI4174">
        <v>102.309492350756</v>
      </c>
      <c r="AJ4174">
        <v>67.442758378985005</v>
      </c>
      <c r="AK4174">
        <v>5.1629041276952599</v>
      </c>
      <c r="AL4174">
        <v>69.746723496184401</v>
      </c>
      <c r="AM4174">
        <v>74.983444044003704</v>
      </c>
      <c r="AN4174">
        <v>0.99999997771497395</v>
      </c>
    </row>
    <row r="4175" spans="1:40" x14ac:dyDescent="0.25">
      <c r="A4175" t="str">
        <f>"20190304164212456"</f>
        <v>20190304164212456</v>
      </c>
      <c r="B4175" t="str">
        <f>"1551688932445281"</f>
        <v>1551688932445281</v>
      </c>
      <c r="C4175" t="s">
        <v>40</v>
      </c>
      <c r="D4175">
        <v>5.0989959999999996</v>
      </c>
      <c r="E4175">
        <v>0.57510130000000004</v>
      </c>
      <c r="F4175" t="s">
        <v>45</v>
      </c>
      <c r="G4175">
        <v>-194.542</v>
      </c>
      <c r="H4175" s="1">
        <v>5.1362489999999999E-6</v>
      </c>
      <c r="I4175">
        <v>204.6842</v>
      </c>
      <c r="J4175">
        <v>-197.27109999999999</v>
      </c>
      <c r="K4175">
        <v>1.100584</v>
      </c>
      <c r="L4175">
        <v>209.7561</v>
      </c>
      <c r="M4175">
        <v>0.78024079999999996</v>
      </c>
      <c r="N4175">
        <v>-1.594545E-2</v>
      </c>
      <c r="O4175">
        <v>-0.62527600000000005</v>
      </c>
      <c r="P4175">
        <v>0.56406309999999904</v>
      </c>
      <c r="Q4175">
        <v>0.33942080000000002</v>
      </c>
      <c r="R4175">
        <v>-0.75274619999999903</v>
      </c>
      <c r="S4175">
        <v>1.6782680000000001</v>
      </c>
      <c r="T4175">
        <v>-0.63514659999999901</v>
      </c>
      <c r="U4175">
        <v>-3.0204469999999999</v>
      </c>
      <c r="V4175">
        <v>0.24349119999999999</v>
      </c>
      <c r="W4175">
        <v>0.34788400000000003</v>
      </c>
      <c r="X4175">
        <v>0.90536669999999997</v>
      </c>
      <c r="Y4175">
        <v>0.37902970000000002</v>
      </c>
      <c r="Z4175">
        <v>7.3378499999999999E-2</v>
      </c>
      <c r="AA4175">
        <v>0.92247060000000003</v>
      </c>
      <c r="AB4175">
        <v>23</v>
      </c>
      <c r="AC4175">
        <v>2.7290999999999799</v>
      </c>
      <c r="AD4175">
        <v>-1.1005788637509999</v>
      </c>
      <c r="AE4175">
        <v>-5.0718999999999896</v>
      </c>
      <c r="AF4175">
        <v>2.1718443335342399</v>
      </c>
      <c r="AG4175">
        <v>-1.1005788637509999</v>
      </c>
      <c r="AH4175">
        <v>5.1146076565364904</v>
      </c>
      <c r="AI4175">
        <v>101.203341875289</v>
      </c>
      <c r="AJ4175">
        <v>66.992196152366901</v>
      </c>
      <c r="AK4175">
        <v>5.6645735165802202</v>
      </c>
      <c r="AL4175">
        <v>69.642055498888496</v>
      </c>
      <c r="AM4175">
        <v>74.946935915220607</v>
      </c>
      <c r="AN4175">
        <v>1.00000005170116</v>
      </c>
    </row>
    <row r="4176" spans="1:40" x14ac:dyDescent="0.25">
      <c r="A4176" t="str">
        <f>"20190304164212477"</f>
        <v>20190304164212477</v>
      </c>
      <c r="B4176" t="str">
        <f>"1551688932465776"</f>
        <v>1551688932465776</v>
      </c>
      <c r="C4176" t="s">
        <v>40</v>
      </c>
      <c r="D4176">
        <v>5.0612430000000002</v>
      </c>
      <c r="E4176">
        <v>0.57422779999999995</v>
      </c>
      <c r="F4176" t="s">
        <v>45</v>
      </c>
      <c r="G4176">
        <v>-194.41040000000001</v>
      </c>
      <c r="H4176" s="1">
        <v>5.2450919999999998E-6</v>
      </c>
      <c r="I4176">
        <v>204.40610000000001</v>
      </c>
      <c r="J4176">
        <v>-197.1009</v>
      </c>
      <c r="K4176">
        <v>1.10049</v>
      </c>
      <c r="L4176">
        <v>209.59649999999999</v>
      </c>
      <c r="M4176">
        <v>0.77002539999999997</v>
      </c>
      <c r="N4176">
        <v>-1.5997480000000001E-2</v>
      </c>
      <c r="O4176">
        <v>-0.63781299999999996</v>
      </c>
      <c r="P4176">
        <v>0.550682</v>
      </c>
      <c r="Q4176">
        <v>0.34071990000000002</v>
      </c>
      <c r="R4176">
        <v>-0.76201059999999998</v>
      </c>
      <c r="S4176">
        <v>1.629364</v>
      </c>
      <c r="T4176">
        <v>-0.62684090000000003</v>
      </c>
      <c r="U4176">
        <v>-3.0471499999999998</v>
      </c>
      <c r="V4176">
        <v>0.24451690000000001</v>
      </c>
      <c r="W4176">
        <v>0.34913539999999998</v>
      </c>
      <c r="X4176">
        <v>0.90460819999999997</v>
      </c>
      <c r="Y4176">
        <v>0.37900780000000001</v>
      </c>
      <c r="Z4176">
        <v>7.467377E-2</v>
      </c>
      <c r="AA4176">
        <v>0.92237570000000002</v>
      </c>
      <c r="AB4176">
        <v>23</v>
      </c>
      <c r="AC4176">
        <v>2.6904999999999801</v>
      </c>
      <c r="AD4176">
        <v>-1.1004847549079999</v>
      </c>
      <c r="AE4176">
        <v>-5.1903999999999799</v>
      </c>
      <c r="AF4176">
        <v>2.20293856388958</v>
      </c>
      <c r="AG4176">
        <v>-1.1004847549079999</v>
      </c>
      <c r="AH4176">
        <v>5.1987385356039404</v>
      </c>
      <c r="AI4176">
        <v>101.029042375234</v>
      </c>
      <c r="AJ4176">
        <v>67.035449077495201</v>
      </c>
      <c r="AK4176">
        <v>5.7524679376446999</v>
      </c>
      <c r="AL4176">
        <v>69.565558959817906</v>
      </c>
      <c r="AM4176">
        <v>74.874328329511101</v>
      </c>
      <c r="AN4176">
        <v>1.000000018713</v>
      </c>
    </row>
    <row r="4177" spans="1:40" x14ac:dyDescent="0.25">
      <c r="A4177" t="str">
        <f>"20190304164212499"</f>
        <v>20190304164212499</v>
      </c>
      <c r="B4177" t="str">
        <f>"1551688932495057"</f>
        <v>1551688932495057</v>
      </c>
      <c r="C4177" t="s">
        <v>40</v>
      </c>
      <c r="D4177">
        <v>5.0614939999999997</v>
      </c>
      <c r="E4177">
        <v>0.57319189999999998</v>
      </c>
      <c r="F4177" t="s">
        <v>45</v>
      </c>
      <c r="G4177">
        <v>-194.31979999999999</v>
      </c>
      <c r="H4177" s="1">
        <v>5.3158589999999997E-6</v>
      </c>
      <c r="I4177">
        <v>204.21469999999999</v>
      </c>
      <c r="J4177">
        <v>-196.928</v>
      </c>
      <c r="K4177">
        <v>1.1003889999999901</v>
      </c>
      <c r="L4177">
        <v>209.42869999999999</v>
      </c>
      <c r="M4177">
        <v>0.75912429999999997</v>
      </c>
      <c r="N4177">
        <v>-1.6052199999999999E-2</v>
      </c>
      <c r="O4177">
        <v>-0.65074770000000004</v>
      </c>
      <c r="P4177">
        <v>0.53749659999999999</v>
      </c>
      <c r="Q4177">
        <v>0.34146769999999999</v>
      </c>
      <c r="R4177">
        <v>-0.77103639999999996</v>
      </c>
      <c r="S4177">
        <v>1.5869450000000001</v>
      </c>
      <c r="T4177">
        <v>-0.62794090000000002</v>
      </c>
      <c r="U4177">
        <v>-3.070862</v>
      </c>
      <c r="V4177">
        <v>0.2446265</v>
      </c>
      <c r="W4177">
        <v>0.3498676</v>
      </c>
      <c r="X4177">
        <v>0.90429559999999998</v>
      </c>
      <c r="Y4177">
        <v>0.37645250000000002</v>
      </c>
      <c r="Z4177">
        <v>7.7488119999999994E-2</v>
      </c>
      <c r="AA4177">
        <v>0.92318960000000005</v>
      </c>
      <c r="AB4177">
        <v>23</v>
      </c>
      <c r="AC4177">
        <v>2.6082000000000098</v>
      </c>
      <c r="AD4177">
        <v>-1.10038368414099</v>
      </c>
      <c r="AE4177">
        <v>-5.2139999999999898</v>
      </c>
      <c r="AF4177">
        <v>2.1833048591697901</v>
      </c>
      <c r="AG4177">
        <v>-1.10038368414099</v>
      </c>
      <c r="AH4177">
        <v>5.1887878688816196</v>
      </c>
      <c r="AI4177">
        <v>101.060163726892</v>
      </c>
      <c r="AJ4177">
        <v>67.179927868498794</v>
      </c>
      <c r="AK4177">
        <v>5.7359553614590801</v>
      </c>
      <c r="AL4177">
        <v>69.520782782639998</v>
      </c>
      <c r="AM4177">
        <v>74.862868433880195</v>
      </c>
      <c r="AN4177">
        <v>0.99999999710568499</v>
      </c>
    </row>
    <row r="4178" spans="1:40" x14ac:dyDescent="0.25">
      <c r="A4178" t="str">
        <f>"20190304164212522"</f>
        <v>20190304164212522</v>
      </c>
      <c r="B4178" t="str">
        <f>"1551688932515553"</f>
        <v>1551688932515553</v>
      </c>
      <c r="C4178" t="s">
        <v>40</v>
      </c>
      <c r="D4178">
        <v>5.2878959999999999</v>
      </c>
      <c r="E4178">
        <v>0.573453199999999</v>
      </c>
      <c r="F4178" t="s">
        <v>45</v>
      </c>
      <c r="G4178">
        <v>-194.22280000000001</v>
      </c>
      <c r="H4178" s="1">
        <v>5.3918239999999996E-6</v>
      </c>
      <c r="I4178">
        <v>204.00899999999999</v>
      </c>
      <c r="J4178">
        <v>-196.75980000000001</v>
      </c>
      <c r="K4178">
        <v>1.100292</v>
      </c>
      <c r="L4178">
        <v>209.2594</v>
      </c>
      <c r="M4178">
        <v>0.74797829999999998</v>
      </c>
      <c r="N4178">
        <v>-1.6105609999999999E-2</v>
      </c>
      <c r="O4178">
        <v>-0.6635278</v>
      </c>
      <c r="P4178">
        <v>0.52353439999999996</v>
      </c>
      <c r="Q4178">
        <v>0.34195950000000003</v>
      </c>
      <c r="R4178">
        <v>-0.78036870000000003</v>
      </c>
      <c r="S4178">
        <v>1.543747</v>
      </c>
      <c r="T4178">
        <v>-0.62794479999999997</v>
      </c>
      <c r="U4178">
        <v>-3.0927730000000002</v>
      </c>
      <c r="V4178">
        <v>0.24550340000000001</v>
      </c>
      <c r="W4178">
        <v>0.35032370000000002</v>
      </c>
      <c r="X4178">
        <v>0.9038813</v>
      </c>
      <c r="Y4178">
        <v>0.37380370000000002</v>
      </c>
      <c r="Z4178">
        <v>8.0169069999999995E-2</v>
      </c>
      <c r="AA4178">
        <v>0.92403659999999999</v>
      </c>
      <c r="AB4178">
        <v>23</v>
      </c>
      <c r="AC4178">
        <v>2.5369999999999999</v>
      </c>
      <c r="AD4178">
        <v>-1.1002866081759901</v>
      </c>
      <c r="AE4178">
        <v>-5.2503999999999804</v>
      </c>
      <c r="AF4178">
        <v>2.1669549005318101</v>
      </c>
      <c r="AG4178">
        <v>-1.1002866081759901</v>
      </c>
      <c r="AH4178">
        <v>5.1970709273524802</v>
      </c>
      <c r="AI4178">
        <v>101.056677121628</v>
      </c>
      <c r="AJ4178">
        <v>67.365964317059095</v>
      </c>
      <c r="AK4178">
        <v>5.7372354305015802</v>
      </c>
      <c r="AL4178">
        <v>69.492884874539101</v>
      </c>
      <c r="AM4178">
        <v>74.804469569245597</v>
      </c>
      <c r="AN4178">
        <v>1.00000000934147</v>
      </c>
    </row>
    <row r="4179" spans="1:40" x14ac:dyDescent="0.25">
      <c r="A4179" t="str">
        <f>"20190304164212543"</f>
        <v>20190304164212543</v>
      </c>
      <c r="B4179" t="str">
        <f>"1551688932535074"</f>
        <v>1551688932535074</v>
      </c>
      <c r="C4179" t="s">
        <v>40</v>
      </c>
      <c r="D4179">
        <v>5.2785919999999997</v>
      </c>
      <c r="E4179">
        <v>0.57418290000000005</v>
      </c>
      <c r="F4179" t="s">
        <v>45</v>
      </c>
      <c r="G4179">
        <v>-194.1439</v>
      </c>
      <c r="H4179" s="1">
        <v>5.4716869999999897E-6</v>
      </c>
      <c r="I4179">
        <v>203.77350000000001</v>
      </c>
      <c r="J4179">
        <v>-196.60210000000001</v>
      </c>
      <c r="K4179">
        <v>1.1002149999999999</v>
      </c>
      <c r="L4179">
        <v>209.0949</v>
      </c>
      <c r="M4179">
        <v>0.73700869999999996</v>
      </c>
      <c r="N4179">
        <v>-1.615457E-2</v>
      </c>
      <c r="O4179">
        <v>-0.67569060000000003</v>
      </c>
      <c r="P4179">
        <v>0.50986620000000005</v>
      </c>
      <c r="Q4179">
        <v>0.3415704</v>
      </c>
      <c r="R4179">
        <v>-0.78953589999999996</v>
      </c>
      <c r="S4179">
        <v>1.4878690000000001</v>
      </c>
      <c r="T4179">
        <v>-0.62583369999999905</v>
      </c>
      <c r="U4179">
        <v>-3.1203609999999999</v>
      </c>
      <c r="V4179">
        <v>0.24662590000000001</v>
      </c>
      <c r="W4179">
        <v>0.34990159999999998</v>
      </c>
      <c r="X4179">
        <v>0.90373919999999996</v>
      </c>
      <c r="Y4179">
        <v>0.375334</v>
      </c>
      <c r="Z4179">
        <v>8.2077860000000002E-2</v>
      </c>
      <c r="AA4179">
        <v>0.92324839999999997</v>
      </c>
      <c r="AB4179">
        <v>23</v>
      </c>
      <c r="AC4179">
        <v>2.4582000000000002</v>
      </c>
      <c r="AD4179">
        <v>-1.100209528313</v>
      </c>
      <c r="AE4179">
        <v>-5.3213999999999801</v>
      </c>
      <c r="AF4179">
        <v>2.1842804405004301</v>
      </c>
      <c r="AG4179">
        <v>-1.100209528313</v>
      </c>
      <c r="AH4179">
        <v>5.2240038298593801</v>
      </c>
      <c r="AI4179">
        <v>100.995863917024</v>
      </c>
      <c r="AJ4179">
        <v>67.309033507899997</v>
      </c>
      <c r="AK4179">
        <v>5.7681676521516696</v>
      </c>
      <c r="AL4179">
        <v>69.518703411592597</v>
      </c>
      <c r="AM4179">
        <v>74.735937455278801</v>
      </c>
      <c r="AN4179">
        <v>1.000000002925</v>
      </c>
    </row>
    <row r="4180" spans="1:40" x14ac:dyDescent="0.25">
      <c r="A4180" t="str">
        <f>"20190304164212561"</f>
        <v>20190304164212561</v>
      </c>
      <c r="B4180" t="str">
        <f>"1551688932555569"</f>
        <v>1551688932555569</v>
      </c>
      <c r="C4180" t="s">
        <v>40</v>
      </c>
      <c r="D4180">
        <v>5.258921</v>
      </c>
      <c r="E4180">
        <v>0.57493369999999999</v>
      </c>
      <c r="F4180" t="s">
        <v>45</v>
      </c>
      <c r="G4180">
        <v>-194.11529999999999</v>
      </c>
      <c r="H4180" s="1">
        <v>5.5191630000000001E-6</v>
      </c>
      <c r="I4180">
        <v>203.6182</v>
      </c>
      <c r="J4180">
        <v>-196.47460000000001</v>
      </c>
      <c r="K4180">
        <v>1.10016</v>
      </c>
      <c r="L4180">
        <v>208.95769999999999</v>
      </c>
      <c r="M4180">
        <v>0.7277806</v>
      </c>
      <c r="N4180">
        <v>-1.6191779999999999E-2</v>
      </c>
      <c r="O4180">
        <v>-0.68561909999999904</v>
      </c>
      <c r="P4180">
        <v>0.49884010000000001</v>
      </c>
      <c r="Q4180">
        <v>0.34199180000000001</v>
      </c>
      <c r="R4180">
        <v>-0.796367099999999</v>
      </c>
      <c r="S4180">
        <v>1.430267</v>
      </c>
      <c r="T4180">
        <v>-0.63276599999999905</v>
      </c>
      <c r="U4180">
        <v>-3.1498110000000001</v>
      </c>
      <c r="V4180">
        <v>0.24686520000000001</v>
      </c>
      <c r="W4180">
        <v>0.35031699999999999</v>
      </c>
      <c r="X4180">
        <v>0.90351289999999995</v>
      </c>
      <c r="Y4180">
        <v>0.3800809</v>
      </c>
      <c r="Z4180">
        <v>8.4612110000000004E-2</v>
      </c>
      <c r="AA4180">
        <v>0.92107510000000004</v>
      </c>
      <c r="AB4180">
        <v>23</v>
      </c>
      <c r="AC4180">
        <v>2.3593000000000202</v>
      </c>
      <c r="AD4180">
        <v>-1.1001544808370001</v>
      </c>
      <c r="AE4180">
        <v>-5.3394999999999797</v>
      </c>
      <c r="AF4180">
        <v>2.1908840367264002</v>
      </c>
      <c r="AG4180">
        <v>-1.1001544808370001</v>
      </c>
      <c r="AH4180">
        <v>5.1941336205046102</v>
      </c>
      <c r="AI4180">
        <v>101.042860923335</v>
      </c>
      <c r="AJ4180">
        <v>67.129997113232605</v>
      </c>
      <c r="AK4180">
        <v>5.7436344601432099</v>
      </c>
      <c r="AL4180">
        <v>69.493294399190901</v>
      </c>
      <c r="AM4180">
        <v>74.7181708676965</v>
      </c>
      <c r="AN4180">
        <v>0.99999999396322403</v>
      </c>
    </row>
    <row r="4181" spans="1:40" x14ac:dyDescent="0.25">
      <c r="A4181" t="str">
        <f>"20190304164212578"</f>
        <v>20190304164212578</v>
      </c>
      <c r="B4181" t="str">
        <f>"1551688932575089"</f>
        <v>1551688932575089</v>
      </c>
      <c r="C4181" t="s">
        <v>40</v>
      </c>
      <c r="D4181">
        <v>5.2695189999999998</v>
      </c>
      <c r="E4181">
        <v>0.57573219999999903</v>
      </c>
      <c r="F4181" t="s">
        <v>45</v>
      </c>
      <c r="G4181">
        <v>-194.07839999999999</v>
      </c>
      <c r="H4181" s="1">
        <v>5.570566E-6</v>
      </c>
      <c r="I4181">
        <v>203.45500000000001</v>
      </c>
      <c r="J4181">
        <v>-196.3613</v>
      </c>
      <c r="K4181">
        <v>1.100128</v>
      </c>
      <c r="L4181">
        <v>208.8321</v>
      </c>
      <c r="M4181">
        <v>0.71927269999999999</v>
      </c>
      <c r="N4181">
        <v>-1.622169E-2</v>
      </c>
      <c r="O4181">
        <v>-0.69453860000000001</v>
      </c>
      <c r="P4181">
        <v>0.48945959999999999</v>
      </c>
      <c r="Q4181">
        <v>0.34246500000000002</v>
      </c>
      <c r="R4181">
        <v>-0.80196489999999998</v>
      </c>
      <c r="S4181">
        <v>1.3821110000000001</v>
      </c>
      <c r="T4181">
        <v>-0.63454750000000004</v>
      </c>
      <c r="U4181">
        <v>-3.1738740000000001</v>
      </c>
      <c r="V4181">
        <v>0.24622179999999999</v>
      </c>
      <c r="W4181">
        <v>0.35081669999999998</v>
      </c>
      <c r="X4181">
        <v>0.90349460000000004</v>
      </c>
      <c r="Y4181">
        <v>0.38303379999999998</v>
      </c>
      <c r="Z4181">
        <v>8.6348519999999998E-2</v>
      </c>
      <c r="AA4181">
        <v>0.91968970000000005</v>
      </c>
      <c r="AB4181">
        <v>23</v>
      </c>
      <c r="AC4181">
        <v>2.2829000000000099</v>
      </c>
      <c r="AD4181">
        <v>-1.100122429434</v>
      </c>
      <c r="AE4181">
        <v>-5.37709999999998</v>
      </c>
      <c r="AF4181">
        <v>2.2041662910072102</v>
      </c>
      <c r="AG4181">
        <v>-1.100122429434</v>
      </c>
      <c r="AH4181">
        <v>5.1931578766313002</v>
      </c>
      <c r="AI4181">
        <v>101.03438084331501</v>
      </c>
      <c r="AJ4181">
        <v>67.0018551870414</v>
      </c>
      <c r="AK4181">
        <v>5.74782629606828</v>
      </c>
      <c r="AL4181">
        <v>69.4627239922998</v>
      </c>
      <c r="AM4181">
        <v>74.755849865756105</v>
      </c>
      <c r="AN4181">
        <v>1.0000000120116399</v>
      </c>
    </row>
    <row r="4182" spans="1:40" x14ac:dyDescent="0.25">
      <c r="A4182" t="str">
        <f>"20190304164212593"</f>
        <v>20190304164212593</v>
      </c>
      <c r="B4182" t="str">
        <f>"1551688932585825"</f>
        <v>1551688932585825</v>
      </c>
      <c r="C4182" t="s">
        <v>40</v>
      </c>
      <c r="D4182">
        <v>5.2663440000000001</v>
      </c>
      <c r="E4182">
        <v>0.57605790000000001</v>
      </c>
      <c r="F4182" t="s">
        <v>45</v>
      </c>
      <c r="G4182">
        <v>-194.03399999999999</v>
      </c>
      <c r="H4182" s="1">
        <v>5.6277780000000004E-6</v>
      </c>
      <c r="I4182">
        <v>203.27600000000001</v>
      </c>
      <c r="J4182">
        <v>-196.2466</v>
      </c>
      <c r="K4182">
        <v>1.100109</v>
      </c>
      <c r="L4182">
        <v>208.70169999999999</v>
      </c>
      <c r="M4182">
        <v>0.71039249999999998</v>
      </c>
      <c r="N4182">
        <v>-1.624865E-2</v>
      </c>
      <c r="O4182">
        <v>-0.70361819999999997</v>
      </c>
      <c r="P4182">
        <v>0.47987370000000001</v>
      </c>
      <c r="Q4182">
        <v>0.34255089999999999</v>
      </c>
      <c r="R4182">
        <v>-0.80770059999999999</v>
      </c>
      <c r="S4182">
        <v>1.3379970000000001</v>
      </c>
      <c r="T4182">
        <v>-0.63248490000000002</v>
      </c>
      <c r="U4182">
        <v>-3.1942900000000001</v>
      </c>
      <c r="V4182">
        <v>0.2454954</v>
      </c>
      <c r="W4182">
        <v>0.3509372</v>
      </c>
      <c r="X4182">
        <v>0.90364540000000004</v>
      </c>
      <c r="Y4182">
        <v>0.38424920000000001</v>
      </c>
      <c r="Z4182">
        <v>8.7702470000000005E-2</v>
      </c>
      <c r="AA4182">
        <v>0.91905429999999999</v>
      </c>
      <c r="AB4182">
        <v>23</v>
      </c>
      <c r="AC4182">
        <v>2.2125999999999801</v>
      </c>
      <c r="AD4182">
        <v>-1.1001033722219999</v>
      </c>
      <c r="AE4182">
        <v>-5.4257</v>
      </c>
      <c r="AF4182">
        <v>2.2196153339754501</v>
      </c>
      <c r="AG4182">
        <v>-1.1001033722219999</v>
      </c>
      <c r="AH4182">
        <v>5.2066197310200302</v>
      </c>
      <c r="AI4182">
        <v>100.999133266474</v>
      </c>
      <c r="AJ4182">
        <v>66.911137984439506</v>
      </c>
      <c r="AK4182">
        <v>5.7659178526788102</v>
      </c>
      <c r="AL4182">
        <v>69.455349962940005</v>
      </c>
      <c r="AM4182">
        <v>74.801158576016505</v>
      </c>
      <c r="AN4182">
        <v>0.99999995935307895</v>
      </c>
    </row>
    <row r="4183" spans="1:40" x14ac:dyDescent="0.25">
      <c r="A4183" t="str">
        <f>"20190304164212608"</f>
        <v>20190304164212608</v>
      </c>
      <c r="B4183" t="str">
        <f>"1551688932595585"</f>
        <v>1551688932595585</v>
      </c>
      <c r="C4183" t="s">
        <v>40</v>
      </c>
      <c r="D4183">
        <v>5.2462929999999997</v>
      </c>
      <c r="E4183">
        <v>0.5762969</v>
      </c>
      <c r="F4183" t="s">
        <v>45</v>
      </c>
      <c r="G4183">
        <v>-193.98949999999999</v>
      </c>
      <c r="H4183" s="1">
        <v>5.6819099999999996E-6</v>
      </c>
      <c r="I4183">
        <v>203.10890000000001</v>
      </c>
      <c r="J4183">
        <v>-196.15360000000001</v>
      </c>
      <c r="K4183">
        <v>1.1000989999999999</v>
      </c>
      <c r="L4183">
        <v>208.59370000000001</v>
      </c>
      <c r="M4183">
        <v>0.7029976</v>
      </c>
      <c r="N4183">
        <v>-1.626816E-2</v>
      </c>
      <c r="O4183">
        <v>-0.71100649999999999</v>
      </c>
      <c r="P4183">
        <v>0.4716477</v>
      </c>
      <c r="Q4183">
        <v>0.34279999999999999</v>
      </c>
      <c r="R4183">
        <v>-0.81242669999999995</v>
      </c>
      <c r="S4183">
        <v>1.2962800000000001</v>
      </c>
      <c r="T4183">
        <v>-0.63181560000000003</v>
      </c>
      <c r="U4183">
        <v>-3.2120820000000001</v>
      </c>
      <c r="V4183">
        <v>0.24516109999999999</v>
      </c>
      <c r="W4183">
        <v>0.3512092</v>
      </c>
      <c r="X4183">
        <v>0.90363059999999995</v>
      </c>
      <c r="Y4183">
        <v>0.38665579999999999</v>
      </c>
      <c r="Z4183">
        <v>8.8871459999999999E-2</v>
      </c>
      <c r="AA4183">
        <v>0.91793199999999997</v>
      </c>
      <c r="AB4183">
        <v>23</v>
      </c>
      <c r="AC4183">
        <v>2.1641000000000101</v>
      </c>
      <c r="AD4183">
        <v>-1.1000933180900001</v>
      </c>
      <c r="AE4183">
        <v>-5.4847999999999999</v>
      </c>
      <c r="AF4183">
        <v>2.2394631803535501</v>
      </c>
      <c r="AG4183">
        <v>-1.1000933180900001</v>
      </c>
      <c r="AH4183">
        <v>5.2394192155517603</v>
      </c>
      <c r="AI4183">
        <v>100.927532286</v>
      </c>
      <c r="AJ4183">
        <v>66.856884562611597</v>
      </c>
      <c r="AK4183">
        <v>5.8031813999700699</v>
      </c>
      <c r="AL4183">
        <v>69.438708347982995</v>
      </c>
      <c r="AM4183">
        <v>74.820662741964895</v>
      </c>
      <c r="AN4183">
        <v>1.0000000641871001</v>
      </c>
    </row>
    <row r="4184" spans="1:40" x14ac:dyDescent="0.25">
      <c r="A4184" t="str">
        <f>"20190304164212622"</f>
        <v>20190304164212622</v>
      </c>
      <c r="B4184" t="str">
        <f>"1551688932615105"</f>
        <v>1551688932615105</v>
      </c>
      <c r="C4184" t="s">
        <v>40</v>
      </c>
      <c r="D4184">
        <v>5.2552560000000001</v>
      </c>
      <c r="E4184">
        <v>0.57668599999999903</v>
      </c>
      <c r="F4184" t="s">
        <v>45</v>
      </c>
      <c r="G4184">
        <v>-193.95490000000001</v>
      </c>
      <c r="H4184" s="1">
        <v>5.7255740000000004E-6</v>
      </c>
      <c r="I4184">
        <v>202.97300000000001</v>
      </c>
      <c r="J4184">
        <v>-196.04830000000001</v>
      </c>
      <c r="K4184">
        <v>1.1000939999999999</v>
      </c>
      <c r="L4184">
        <v>208.46879999999999</v>
      </c>
      <c r="M4184">
        <v>0.69440100000000005</v>
      </c>
      <c r="N4184">
        <v>-1.628783E-2</v>
      </c>
      <c r="O4184">
        <v>-0.71940409999999999</v>
      </c>
      <c r="P4184">
        <v>0.4647096</v>
      </c>
      <c r="Q4184">
        <v>0.34052880000000002</v>
      </c>
      <c r="R4184">
        <v>-0.81736500000000001</v>
      </c>
      <c r="S4184">
        <v>1.262054</v>
      </c>
      <c r="T4184">
        <v>-0.63146809999999998</v>
      </c>
      <c r="U4184">
        <v>-3.2263950000000001</v>
      </c>
      <c r="V4184">
        <v>0.24257699999999999</v>
      </c>
      <c r="W4184">
        <v>0.34904869999999999</v>
      </c>
      <c r="X4184">
        <v>0.90516379999999996</v>
      </c>
      <c r="Y4184">
        <v>0.38546760000000002</v>
      </c>
      <c r="Z4184">
        <v>9.0577989999999997E-2</v>
      </c>
      <c r="AA4184">
        <v>0.91826490000000005</v>
      </c>
      <c r="AB4184">
        <v>23</v>
      </c>
      <c r="AC4184">
        <v>2.0933999999999999</v>
      </c>
      <c r="AD4184">
        <v>-1.1000882744259901</v>
      </c>
      <c r="AE4184">
        <v>-5.4958</v>
      </c>
      <c r="AF4184">
        <v>2.23247858979156</v>
      </c>
      <c r="AG4184">
        <v>-1.1000882744259901</v>
      </c>
      <c r="AH4184">
        <v>5.2252416986679098</v>
      </c>
      <c r="AI4184">
        <v>100.957099800923</v>
      </c>
      <c r="AJ4184">
        <v>66.865458849447904</v>
      </c>
      <c r="AK4184">
        <v>5.78768569247719</v>
      </c>
      <c r="AL4184">
        <v>69.570860676057407</v>
      </c>
      <c r="AM4184">
        <v>74.997691379375794</v>
      </c>
      <c r="AN4184">
        <v>1.0000000503655599</v>
      </c>
    </row>
    <row r="4185" spans="1:40" x14ac:dyDescent="0.25">
      <c r="A4185" t="str">
        <f>"20190304164212640"</f>
        <v>20190304164212640</v>
      </c>
      <c r="B4185" t="str">
        <f>"1551688932635219"</f>
        <v>1551688932635219</v>
      </c>
      <c r="C4185" t="s">
        <v>40</v>
      </c>
      <c r="D4185">
        <v>5.2305669999999997</v>
      </c>
      <c r="E4185">
        <v>0.57694730000000005</v>
      </c>
      <c r="F4185" t="s">
        <v>45</v>
      </c>
      <c r="G4185">
        <v>-193.9392</v>
      </c>
      <c r="H4185" s="1">
        <v>5.7485069999999899E-6</v>
      </c>
      <c r="I4185">
        <v>202.89949999999999</v>
      </c>
      <c r="J4185">
        <v>-195.93799999999999</v>
      </c>
      <c r="K4185">
        <v>1.100093</v>
      </c>
      <c r="L4185">
        <v>208.33410000000001</v>
      </c>
      <c r="M4185">
        <v>0.68511409999999995</v>
      </c>
      <c r="N4185">
        <v>-1.6304510000000001E-2</v>
      </c>
      <c r="O4185">
        <v>-0.7282535</v>
      </c>
      <c r="P4185">
        <v>0.45658480000000001</v>
      </c>
      <c r="Q4185">
        <v>0.3387559</v>
      </c>
      <c r="R4185">
        <v>-0.82266349999999999</v>
      </c>
      <c r="S4185">
        <v>1.2267459999999999</v>
      </c>
      <c r="T4185">
        <v>-0.63988040000000002</v>
      </c>
      <c r="U4185">
        <v>-3.2394259999999999</v>
      </c>
      <c r="V4185">
        <v>0.24036260000000001</v>
      </c>
      <c r="W4185">
        <v>0.3473774</v>
      </c>
      <c r="X4185">
        <v>0.9063966</v>
      </c>
      <c r="Y4185">
        <v>0.38372139999999999</v>
      </c>
      <c r="Z4185">
        <v>9.3902600000000003E-2</v>
      </c>
      <c r="AA4185">
        <v>0.91866219999999998</v>
      </c>
      <c r="AB4185">
        <v>23</v>
      </c>
      <c r="AC4185">
        <v>1.9987999999999799</v>
      </c>
      <c r="AD4185">
        <v>-1.100087251493</v>
      </c>
      <c r="AE4185">
        <v>-5.4346000000000103</v>
      </c>
      <c r="AF4185">
        <v>2.1889827428787099</v>
      </c>
      <c r="AG4185">
        <v>-1.100087251493</v>
      </c>
      <c r="AH4185">
        <v>5.1422809427430503</v>
      </c>
      <c r="AI4185">
        <v>101.135613997574</v>
      </c>
      <c r="AJ4185">
        <v>66.941359141810693</v>
      </c>
      <c r="AK4185">
        <v>5.6960416697577498</v>
      </c>
      <c r="AL4185">
        <v>69.673011529063302</v>
      </c>
      <c r="AM4185">
        <v>75.147879969615502</v>
      </c>
      <c r="AN4185">
        <v>1.0000000170005301</v>
      </c>
    </row>
    <row r="4186" spans="1:40" x14ac:dyDescent="0.25">
      <c r="A4186" t="str">
        <f>"20190304164212668"</f>
        <v>20190304164212668</v>
      </c>
      <c r="B4186" t="str">
        <f>"1551688932655715"</f>
        <v>1551688932655715</v>
      </c>
      <c r="C4186" t="s">
        <v>40</v>
      </c>
      <c r="D4186">
        <v>5.2601250000000004</v>
      </c>
      <c r="E4186">
        <v>0.57710550000000005</v>
      </c>
      <c r="F4186" t="s">
        <v>45</v>
      </c>
      <c r="G4186">
        <v>-193.91569999999999</v>
      </c>
      <c r="H4186" s="1">
        <v>5.781038E-6</v>
      </c>
      <c r="I4186">
        <v>202.79640000000001</v>
      </c>
      <c r="J4186">
        <v>-195.75630000000001</v>
      </c>
      <c r="K4186">
        <v>1.100096</v>
      </c>
      <c r="L4186">
        <v>208.10400000000001</v>
      </c>
      <c r="M4186">
        <v>0.66919309999999999</v>
      </c>
      <c r="N4186">
        <v>-1.6324769999999999E-2</v>
      </c>
      <c r="O4186">
        <v>-0.74290940000000005</v>
      </c>
      <c r="P4186">
        <v>0.44561849999999997</v>
      </c>
      <c r="Q4186">
        <v>0.33436909999999997</v>
      </c>
      <c r="R4186">
        <v>-0.83043459999999902</v>
      </c>
      <c r="S4186">
        <v>1.188126</v>
      </c>
      <c r="T4186">
        <v>-0.64630269999999901</v>
      </c>
      <c r="U4186">
        <v>-3.253403</v>
      </c>
      <c r="V4186">
        <v>0.23377139999999999</v>
      </c>
      <c r="W4186">
        <v>0.34325860000000002</v>
      </c>
      <c r="X4186">
        <v>0.90968380000000004</v>
      </c>
      <c r="Y4186">
        <v>0.37482409999999999</v>
      </c>
      <c r="Z4186">
        <v>9.8702269999999995E-2</v>
      </c>
      <c r="AA4186">
        <v>0.9218269</v>
      </c>
      <c r="AB4186">
        <v>23</v>
      </c>
      <c r="AC4186">
        <v>1.84060000000002</v>
      </c>
      <c r="AD4186">
        <v>-1.1000902189620001</v>
      </c>
      <c r="AE4186">
        <v>-5.3075999999999999</v>
      </c>
      <c r="AF4186">
        <v>2.1040165223990699</v>
      </c>
      <c r="AG4186">
        <v>-1.1000902189620001</v>
      </c>
      <c r="AH4186">
        <v>4.98433313021388</v>
      </c>
      <c r="AI4186">
        <v>101.493581581467</v>
      </c>
      <c r="AJ4186">
        <v>67.114128325003506</v>
      </c>
      <c r="AK4186">
        <v>5.5209293392808299</v>
      </c>
      <c r="AL4186">
        <v>69.924471138953905</v>
      </c>
      <c r="AM4186">
        <v>75.587928881233196</v>
      </c>
      <c r="AN4186">
        <v>1.00000007495717</v>
      </c>
    </row>
    <row r="4187" spans="1:40" x14ac:dyDescent="0.25">
      <c r="A4187" t="str">
        <f>"20190304164212689"</f>
        <v>20190304164212689</v>
      </c>
      <c r="B4187" t="str">
        <f>"1551688932684995"</f>
        <v>1551688932684995</v>
      </c>
      <c r="C4187" t="s">
        <v>40</v>
      </c>
      <c r="D4187">
        <v>5.2597050000000003</v>
      </c>
      <c r="E4187">
        <v>0.57701859999999905</v>
      </c>
      <c r="F4187" t="s">
        <v>45</v>
      </c>
      <c r="G4187">
        <v>-193.87299999999999</v>
      </c>
      <c r="H4187" s="1">
        <v>5.8273889999999901E-6</v>
      </c>
      <c r="I4187">
        <v>202.6575</v>
      </c>
      <c r="J4187">
        <v>-195.61369999999999</v>
      </c>
      <c r="K4187">
        <v>1.1001449999999999</v>
      </c>
      <c r="L4187">
        <v>207.916</v>
      </c>
      <c r="M4187">
        <v>0.65614600000000001</v>
      </c>
      <c r="N4187">
        <v>-1.6334680000000001E-2</v>
      </c>
      <c r="O4187">
        <v>-0.7544575</v>
      </c>
      <c r="P4187">
        <v>0.43477139999999997</v>
      </c>
      <c r="Q4187">
        <v>0.3349163</v>
      </c>
      <c r="R4187">
        <v>-0.83594579999999996</v>
      </c>
      <c r="S4187">
        <v>1.131302</v>
      </c>
      <c r="T4187">
        <v>-0.66080609999999995</v>
      </c>
      <c r="U4187">
        <v>-3.2716059999999998</v>
      </c>
      <c r="V4187">
        <v>0.22956689999999999</v>
      </c>
      <c r="W4187">
        <v>0.34396339999999997</v>
      </c>
      <c r="X4187">
        <v>0.91048790000000002</v>
      </c>
      <c r="Y4187">
        <v>0.37470249999999999</v>
      </c>
      <c r="Z4187">
        <v>0.1037212</v>
      </c>
      <c r="AA4187">
        <v>0.92132510000000001</v>
      </c>
      <c r="AB4187">
        <v>23</v>
      </c>
      <c r="AC4187">
        <v>1.7406999999999999</v>
      </c>
      <c r="AD4187">
        <v>-1.1001391726109999</v>
      </c>
      <c r="AE4187">
        <v>-5.25849999999999</v>
      </c>
      <c r="AF4187">
        <v>2.0562320710111699</v>
      </c>
      <c r="AG4187">
        <v>-1.1001391726109999</v>
      </c>
      <c r="AH4187">
        <v>4.9162186815297702</v>
      </c>
      <c r="AI4187">
        <v>101.664681370777</v>
      </c>
      <c r="AJ4187">
        <v>67.302645910426094</v>
      </c>
      <c r="AK4187">
        <v>5.44128685639624</v>
      </c>
      <c r="AL4187">
        <v>69.881469286328795</v>
      </c>
      <c r="AM4187">
        <v>75.848622541130993</v>
      </c>
      <c r="AN4187">
        <v>0.99999999908078996</v>
      </c>
    </row>
    <row r="4188" spans="1:40" x14ac:dyDescent="0.25">
      <c r="A4188" t="str">
        <f>"20190304164212712"</f>
        <v>20190304164212712</v>
      </c>
      <c r="B4188" t="str">
        <f>"1551688932705492"</f>
        <v>1551688932705492</v>
      </c>
      <c r="C4188" t="s">
        <v>40</v>
      </c>
      <c r="D4188">
        <v>5.2659010000000004</v>
      </c>
      <c r="E4188">
        <v>0.57688830000000002</v>
      </c>
      <c r="F4188" t="s">
        <v>45</v>
      </c>
      <c r="G4188">
        <v>-193.80609999999999</v>
      </c>
      <c r="H4188" s="1">
        <v>5.9185220000000004E-6</v>
      </c>
      <c r="I4188">
        <v>202.45</v>
      </c>
      <c r="J4188">
        <v>-195.47389999999999</v>
      </c>
      <c r="K4188">
        <v>1.10022</v>
      </c>
      <c r="L4188">
        <v>207.72489999999999</v>
      </c>
      <c r="M4188">
        <v>0.64285870000000001</v>
      </c>
      <c r="N4188">
        <v>-1.6339860000000001E-2</v>
      </c>
      <c r="O4188">
        <v>-0.76581060000000001</v>
      </c>
      <c r="P4188">
        <v>0.42279139999999998</v>
      </c>
      <c r="Q4188">
        <v>0.33830779999999999</v>
      </c>
      <c r="R4188">
        <v>-0.8407116</v>
      </c>
      <c r="S4188">
        <v>1.087448</v>
      </c>
      <c r="T4188">
        <v>-0.66184589999999999</v>
      </c>
      <c r="U4188">
        <v>-3.2883300000000002</v>
      </c>
      <c r="V4188">
        <v>0.22580729999999999</v>
      </c>
      <c r="W4188">
        <v>0.34747979999999901</v>
      </c>
      <c r="X4188">
        <v>0.91009280000000004</v>
      </c>
      <c r="Y4188">
        <v>0.37108619999999998</v>
      </c>
      <c r="Z4188">
        <v>0.10657079999999999</v>
      </c>
      <c r="AA4188">
        <v>0.92246289999999997</v>
      </c>
      <c r="AB4188">
        <v>23</v>
      </c>
      <c r="AC4188">
        <v>1.66779999999999</v>
      </c>
      <c r="AD4188">
        <v>-1.1002140814779999</v>
      </c>
      <c r="AE4188">
        <v>-5.2748999999999997</v>
      </c>
      <c r="AF4188">
        <v>2.03364780760079</v>
      </c>
      <c r="AG4188">
        <v>-1.1002140814779999</v>
      </c>
      <c r="AH4188">
        <v>4.9179129104330199</v>
      </c>
      <c r="AI4188">
        <v>101.680606892656</v>
      </c>
      <c r="AJ4188">
        <v>67.534001995721297</v>
      </c>
      <c r="AK4188">
        <v>5.4343409743082702</v>
      </c>
      <c r="AL4188">
        <v>69.666754879019095</v>
      </c>
      <c r="AM4188">
        <v>76.065473227029599</v>
      </c>
      <c r="AN4188">
        <v>1.00000002637658</v>
      </c>
    </row>
    <row r="4189" spans="1:40" x14ac:dyDescent="0.25">
      <c r="A4189" t="str">
        <f>"20190304164212733"</f>
        <v>20190304164212733</v>
      </c>
      <c r="B4189" t="str">
        <f>"1551688932724939"</f>
        <v>1551688932724939</v>
      </c>
      <c r="C4189" t="s">
        <v>40</v>
      </c>
      <c r="D4189">
        <v>5.2535080000000001</v>
      </c>
      <c r="E4189">
        <v>0.5768721</v>
      </c>
      <c r="F4189" t="s">
        <v>45</v>
      </c>
      <c r="G4189">
        <v>-193.71039999999999</v>
      </c>
      <c r="H4189" s="1">
        <v>6.05040899999999E-6</v>
      </c>
      <c r="I4189">
        <v>202.149</v>
      </c>
      <c r="J4189">
        <v>-195.3443</v>
      </c>
      <c r="K4189">
        <v>1.1002989999999999</v>
      </c>
      <c r="L4189">
        <v>207.54130000000001</v>
      </c>
      <c r="M4189">
        <v>0.6300694</v>
      </c>
      <c r="N4189">
        <v>-1.6341049999999999E-2</v>
      </c>
      <c r="O4189">
        <v>-0.77636680000000002</v>
      </c>
      <c r="P4189">
        <v>0.41186899999999999</v>
      </c>
      <c r="Q4189">
        <v>0.3403679</v>
      </c>
      <c r="R4189">
        <v>-0.84528910000000002</v>
      </c>
      <c r="S4189">
        <v>1.0453190000000001</v>
      </c>
      <c r="T4189">
        <v>-0.6521517</v>
      </c>
      <c r="U4189">
        <v>-3.305145</v>
      </c>
      <c r="V4189">
        <v>0.22196759999999999</v>
      </c>
      <c r="W4189">
        <v>0.34967019999999999</v>
      </c>
      <c r="X4189">
        <v>0.91019839999999996</v>
      </c>
      <c r="Y4189">
        <v>0.36777510000000002</v>
      </c>
      <c r="Z4189">
        <v>0.1072451</v>
      </c>
      <c r="AA4189">
        <v>0.92370989999999997</v>
      </c>
      <c r="AB4189">
        <v>23</v>
      </c>
      <c r="AC4189">
        <v>1.6339000000000099</v>
      </c>
      <c r="AD4189">
        <v>-1.1002929495910001</v>
      </c>
      <c r="AE4189">
        <v>-5.3922999999999996</v>
      </c>
      <c r="AF4189">
        <v>2.05108443927696</v>
      </c>
      <c r="AG4189">
        <v>-1.1002929495910001</v>
      </c>
      <c r="AH4189">
        <v>5.0249451086610497</v>
      </c>
      <c r="AI4189">
        <v>101.460149292395</v>
      </c>
      <c r="AJ4189">
        <v>67.795676653924303</v>
      </c>
      <c r="AK4189">
        <v>5.5378394069366497</v>
      </c>
      <c r="AL4189">
        <v>69.532855504463996</v>
      </c>
      <c r="AM4189">
        <v>76.294940845826503</v>
      </c>
      <c r="AN4189">
        <v>0.99999999579017995</v>
      </c>
    </row>
    <row r="4190" spans="1:40" x14ac:dyDescent="0.25">
      <c r="A4190" t="str">
        <f>"20190304164212756"</f>
        <v>20190304164212756</v>
      </c>
      <c r="B4190" t="str">
        <f>"1551688932745411"</f>
        <v>1551688932745411</v>
      </c>
      <c r="C4190" t="s">
        <v>40</v>
      </c>
      <c r="D4190">
        <v>5.2834510000000003</v>
      </c>
      <c r="E4190">
        <v>0.57685430000000004</v>
      </c>
      <c r="F4190" t="s">
        <v>45</v>
      </c>
      <c r="G4190">
        <v>-193.63220000000001</v>
      </c>
      <c r="H4190" s="1">
        <v>6.1697659999999899E-6</v>
      </c>
      <c r="I4190">
        <v>201.87020000000001</v>
      </c>
      <c r="J4190">
        <v>-195.21420000000001</v>
      </c>
      <c r="K4190">
        <v>1.100374</v>
      </c>
      <c r="L4190">
        <v>207.35040000000001</v>
      </c>
      <c r="M4190">
        <v>0.61676999999999904</v>
      </c>
      <c r="N4190">
        <v>-1.6338800000000001E-2</v>
      </c>
      <c r="O4190">
        <v>-0.78697399999999995</v>
      </c>
      <c r="P4190">
        <v>0.40238940000000001</v>
      </c>
      <c r="Q4190">
        <v>0.34298849999999997</v>
      </c>
      <c r="R4190">
        <v>-0.8487886</v>
      </c>
      <c r="S4190">
        <v>1.002319</v>
      </c>
      <c r="T4190">
        <v>-0.6441576</v>
      </c>
      <c r="U4190">
        <v>-3.320084</v>
      </c>
      <c r="V4190">
        <v>0.21599840000000001</v>
      </c>
      <c r="W4190">
        <v>0.35247679999999998</v>
      </c>
      <c r="X4190">
        <v>0.91055189999999997</v>
      </c>
      <c r="Y4190">
        <v>0.3641221</v>
      </c>
      <c r="Z4190">
        <v>0.10825070000000001</v>
      </c>
      <c r="AA4190">
        <v>0.9250389</v>
      </c>
      <c r="AB4190">
        <v>23</v>
      </c>
      <c r="AC4190">
        <v>1.5819999999999901</v>
      </c>
      <c r="AD4190">
        <v>-1.1003678302340001</v>
      </c>
      <c r="AE4190">
        <v>-5.4801999999999902</v>
      </c>
      <c r="AF4190">
        <v>2.0586998449284102</v>
      </c>
      <c r="AG4190">
        <v>-1.1003678302340001</v>
      </c>
      <c r="AH4190">
        <v>5.09943377735609</v>
      </c>
      <c r="AI4190">
        <v>101.314988962461</v>
      </c>
      <c r="AJ4190">
        <v>68.015505731341307</v>
      </c>
      <c r="AK4190">
        <v>5.6083223216004896</v>
      </c>
      <c r="AL4190">
        <v>69.361117329434904</v>
      </c>
      <c r="AM4190">
        <v>76.655130869496105</v>
      </c>
      <c r="AN4190">
        <v>0.99999998296720405</v>
      </c>
    </row>
    <row r="4191" spans="1:40" x14ac:dyDescent="0.25">
      <c r="A4191" t="str">
        <f>"20190304164212779"</f>
        <v>20190304164212779</v>
      </c>
      <c r="B4191" t="str">
        <f>"1551688932775669"</f>
        <v>1551688932775669</v>
      </c>
      <c r="C4191" t="s">
        <v>40</v>
      </c>
      <c r="D4191">
        <v>5.2690380000000001</v>
      </c>
      <c r="E4191">
        <v>0.57661409999999902</v>
      </c>
      <c r="F4191" t="s">
        <v>45</v>
      </c>
      <c r="G4191">
        <v>-193.54480000000001</v>
      </c>
      <c r="H4191" s="1">
        <v>6.3126739999999901E-6</v>
      </c>
      <c r="I4191">
        <v>201.5317</v>
      </c>
      <c r="J4191">
        <v>-195.08420000000001</v>
      </c>
      <c r="K4191">
        <v>1.1004590000000001</v>
      </c>
      <c r="L4191">
        <v>207.1524</v>
      </c>
      <c r="M4191">
        <v>0.60297279999999998</v>
      </c>
      <c r="N4191">
        <v>-1.6332269999999999E-2</v>
      </c>
      <c r="O4191">
        <v>-0.79759469999999899</v>
      </c>
      <c r="P4191">
        <v>0.39165939999999999</v>
      </c>
      <c r="Q4191">
        <v>0.34611950000000002</v>
      </c>
      <c r="R4191">
        <v>-0.85252799999999995</v>
      </c>
      <c r="S4191">
        <v>0.95701599999999998</v>
      </c>
      <c r="T4191">
        <v>-0.63079940000000001</v>
      </c>
      <c r="U4191">
        <v>-3.3356479999999999</v>
      </c>
      <c r="V4191">
        <v>0.21085470000000001</v>
      </c>
      <c r="W4191">
        <v>0.3557651</v>
      </c>
      <c r="X4191">
        <v>0.91047869999999997</v>
      </c>
      <c r="Y4191">
        <v>0.36067919999999998</v>
      </c>
      <c r="Z4191">
        <v>0.1081512</v>
      </c>
      <c r="AA4191">
        <v>0.92639830000000001</v>
      </c>
      <c r="AB4191">
        <v>23</v>
      </c>
      <c r="AC4191">
        <v>1.5394000000000001</v>
      </c>
      <c r="AD4191">
        <v>-1.1004526873260001</v>
      </c>
      <c r="AE4191">
        <v>-5.6206999999999896</v>
      </c>
      <c r="AF4191">
        <v>2.0871767646766801</v>
      </c>
      <c r="AG4191">
        <v>-1.1004526873260001</v>
      </c>
      <c r="AH4191">
        <v>5.2256453110791297</v>
      </c>
      <c r="AI4191">
        <v>101.065381464973</v>
      </c>
      <c r="AJ4191">
        <v>68.227721513948296</v>
      </c>
      <c r="AK4191">
        <v>5.7336438572039397</v>
      </c>
      <c r="AL4191">
        <v>69.159656844446701</v>
      </c>
      <c r="AM4191">
        <v>76.960925271104799</v>
      </c>
      <c r="AN4191">
        <v>0.99999998702189397</v>
      </c>
    </row>
    <row r="4192" spans="1:40" x14ac:dyDescent="0.25">
      <c r="A4192" t="str">
        <f>"20190304164212802"</f>
        <v>20190304164212802</v>
      </c>
      <c r="B4192" t="str">
        <f>"1551688932795187"</f>
        <v>1551688932795187</v>
      </c>
      <c r="C4192" t="s">
        <v>40</v>
      </c>
      <c r="D4192">
        <v>5.275461</v>
      </c>
      <c r="E4192">
        <v>0.57644329999999999</v>
      </c>
      <c r="F4192" t="s">
        <v>45</v>
      </c>
      <c r="G4192">
        <v>-193.46250000000001</v>
      </c>
      <c r="H4192" s="1">
        <v>6.4547929999999996E-6</v>
      </c>
      <c r="I4192">
        <v>201.19159999999999</v>
      </c>
      <c r="J4192">
        <v>-194.95820000000001</v>
      </c>
      <c r="K4192">
        <v>1.1005419999999999</v>
      </c>
      <c r="L4192">
        <v>206.95339999999999</v>
      </c>
      <c r="M4192">
        <v>0.58912690000000001</v>
      </c>
      <c r="N4192">
        <v>-1.6320149999999999E-2</v>
      </c>
      <c r="O4192">
        <v>-0.80787559999999903</v>
      </c>
      <c r="P4192">
        <v>0.37934479999999998</v>
      </c>
      <c r="Q4192">
        <v>0.34823320000000002</v>
      </c>
      <c r="R4192">
        <v>-0.85722299999999996</v>
      </c>
      <c r="S4192">
        <v>0.91171259999999998</v>
      </c>
      <c r="T4192">
        <v>-0.61869700000000005</v>
      </c>
      <c r="U4192">
        <v>-3.3512879999999998</v>
      </c>
      <c r="V4192">
        <v>0.20772740000000001</v>
      </c>
      <c r="W4192">
        <v>0.35798210000000003</v>
      </c>
      <c r="X4192">
        <v>0.91032860000000004</v>
      </c>
      <c r="Y4192">
        <v>0.3573732</v>
      </c>
      <c r="Z4192">
        <v>0.1080947</v>
      </c>
      <c r="AA4192">
        <v>0.92768530000000005</v>
      </c>
      <c r="AB4192">
        <v>23</v>
      </c>
      <c r="AC4192">
        <v>1.49569999999999</v>
      </c>
      <c r="AD4192">
        <v>-1.10053554520699</v>
      </c>
      <c r="AE4192">
        <v>-5.7617999999999903</v>
      </c>
      <c r="AF4192">
        <v>2.1141228120584499</v>
      </c>
      <c r="AG4192">
        <v>-1.10053554520699</v>
      </c>
      <c r="AH4192">
        <v>5.3537231494391202</v>
      </c>
      <c r="AI4192">
        <v>100.824147136295</v>
      </c>
      <c r="AJ4192">
        <v>68.451514793753901</v>
      </c>
      <c r="AK4192">
        <v>5.86029396119089</v>
      </c>
      <c r="AL4192">
        <v>69.023678696942895</v>
      </c>
      <c r="AM4192">
        <v>77.145798234164701</v>
      </c>
      <c r="AN4192">
        <v>1.0000000083045599</v>
      </c>
    </row>
    <row r="4193" spans="1:40" x14ac:dyDescent="0.25">
      <c r="A4193" t="str">
        <f>"20190304164212825"</f>
        <v>20190304164212825</v>
      </c>
      <c r="B4193" t="str">
        <f>"1551688932815683"</f>
        <v>1551688932815683</v>
      </c>
      <c r="C4193" t="s">
        <v>40</v>
      </c>
      <c r="D4193">
        <v>5.3289210000000002</v>
      </c>
      <c r="E4193">
        <v>0.5764224</v>
      </c>
      <c r="F4193" t="s">
        <v>45</v>
      </c>
      <c r="G4193">
        <v>-193.399</v>
      </c>
      <c r="H4193" s="1">
        <v>6.5742499999999998E-6</v>
      </c>
      <c r="I4193">
        <v>200.9015</v>
      </c>
      <c r="J4193">
        <v>-194.8366</v>
      </c>
      <c r="K4193">
        <v>1.100644</v>
      </c>
      <c r="L4193">
        <v>206.75309999999999</v>
      </c>
      <c r="M4193">
        <v>0.57527980000000001</v>
      </c>
      <c r="N4193">
        <v>-1.629891E-2</v>
      </c>
      <c r="O4193">
        <v>-0.81779440000000003</v>
      </c>
      <c r="P4193">
        <v>0.36728369999999999</v>
      </c>
      <c r="Q4193">
        <v>0.34881479999999998</v>
      </c>
      <c r="R4193">
        <v>-0.86222459999999901</v>
      </c>
      <c r="S4193">
        <v>0.86688229999999999</v>
      </c>
      <c r="T4193">
        <v>-0.61186180000000001</v>
      </c>
      <c r="U4193">
        <v>-3.3646389999999999</v>
      </c>
      <c r="V4193">
        <v>0.20475860000000001</v>
      </c>
      <c r="W4193">
        <v>0.3586761</v>
      </c>
      <c r="X4193">
        <v>0.91072790000000003</v>
      </c>
      <c r="Y4193">
        <v>0.35398499999999999</v>
      </c>
      <c r="Z4193">
        <v>0.1089811</v>
      </c>
      <c r="AA4193">
        <v>0.92887989999999998</v>
      </c>
      <c r="AB4193">
        <v>22</v>
      </c>
      <c r="AC4193">
        <v>1.4376</v>
      </c>
      <c r="AD4193">
        <v>-1.10063742575</v>
      </c>
      <c r="AE4193">
        <v>-5.8515999999999897</v>
      </c>
      <c r="AF4193">
        <v>2.1201971407218898</v>
      </c>
      <c r="AG4193">
        <v>-1.10063742575</v>
      </c>
      <c r="AH4193">
        <v>5.4319380827772603</v>
      </c>
      <c r="AI4193">
        <v>100.689074002521</v>
      </c>
      <c r="AJ4193">
        <v>68.678275908391797</v>
      </c>
      <c r="AK4193">
        <v>5.9340197163147996</v>
      </c>
      <c r="AL4193">
        <v>68.981086269344402</v>
      </c>
      <c r="AM4193">
        <v>77.328908971491501</v>
      </c>
      <c r="AN4193">
        <v>0.99999996841178895</v>
      </c>
    </row>
    <row r="4194" spans="1:40" x14ac:dyDescent="0.25">
      <c r="A4194" t="str">
        <f>"20190304164212845"</f>
        <v>20190304164212845</v>
      </c>
      <c r="B4194" t="str">
        <f>"1551688932834884"</f>
        <v>1551688932834884</v>
      </c>
      <c r="C4194" t="s">
        <v>40</v>
      </c>
      <c r="D4194">
        <v>5.2979649999999996</v>
      </c>
      <c r="E4194">
        <v>0.57653829999999995</v>
      </c>
      <c r="F4194" t="s">
        <v>45</v>
      </c>
      <c r="G4194">
        <v>-193.35400000000001</v>
      </c>
      <c r="H4194" s="1">
        <v>6.6710249999999901E-6</v>
      </c>
      <c r="I4194">
        <v>200.66159999999999</v>
      </c>
      <c r="J4194">
        <v>-194.72470000000001</v>
      </c>
      <c r="K4194">
        <v>1.1007629999999999</v>
      </c>
      <c r="L4194">
        <v>206.56229999999999</v>
      </c>
      <c r="M4194">
        <v>0.56218000000000001</v>
      </c>
      <c r="N4194">
        <v>-1.6268669999999999E-2</v>
      </c>
      <c r="O4194">
        <v>-0.82685489999999995</v>
      </c>
      <c r="P4194">
        <v>0.35616249999999999</v>
      </c>
      <c r="Q4194">
        <v>0.34794059999999999</v>
      </c>
      <c r="R4194">
        <v>-0.86722869999999996</v>
      </c>
      <c r="S4194">
        <v>0.82167049999999997</v>
      </c>
      <c r="T4194">
        <v>-0.61000840000000001</v>
      </c>
      <c r="U4194">
        <v>-3.3761290000000002</v>
      </c>
      <c r="V4194">
        <v>0.20200679999999999</v>
      </c>
      <c r="W4194">
        <v>0.35792109999999999</v>
      </c>
      <c r="X4194">
        <v>0.91163899999999998</v>
      </c>
      <c r="Y4194">
        <v>0.35160590000000003</v>
      </c>
      <c r="Z4194">
        <v>0.1106427</v>
      </c>
      <c r="AA4194">
        <v>0.92958669999999999</v>
      </c>
      <c r="AB4194">
        <v>22</v>
      </c>
      <c r="AC4194">
        <v>1.37069999999999</v>
      </c>
      <c r="AD4194">
        <v>-1.100756328975</v>
      </c>
      <c r="AE4194">
        <v>-5.9006999999999996</v>
      </c>
      <c r="AF4194">
        <v>2.1143624837528598</v>
      </c>
      <c r="AG4194">
        <v>-1.100756328975</v>
      </c>
      <c r="AH4194">
        <v>5.4697502234106796</v>
      </c>
      <c r="AI4194">
        <v>100.631180857641</v>
      </c>
      <c r="AJ4194">
        <v>68.8657122335987</v>
      </c>
      <c r="AK4194">
        <v>5.9666037839780497</v>
      </c>
      <c r="AL4194">
        <v>69.027420774180399</v>
      </c>
      <c r="AM4194">
        <v>77.505912787907505</v>
      </c>
      <c r="AN4194">
        <v>0.99999996369622401</v>
      </c>
    </row>
    <row r="4195" spans="1:40" x14ac:dyDescent="0.25">
      <c r="A4195" t="str">
        <f>"20190304164212870"</f>
        <v>20190304164212870</v>
      </c>
      <c r="B4195" t="str">
        <f>"1551688932865139"</f>
        <v>1551688932865139</v>
      </c>
      <c r="C4195" t="s">
        <v>40</v>
      </c>
      <c r="D4195">
        <v>5.3149620000000004</v>
      </c>
      <c r="E4195">
        <v>0.5766945</v>
      </c>
      <c r="F4195" t="s">
        <v>45</v>
      </c>
      <c r="G4195">
        <v>-193.32820000000001</v>
      </c>
      <c r="H4195" s="1">
        <v>6.7411690000000001E-6</v>
      </c>
      <c r="I4195">
        <v>200.48259999999999</v>
      </c>
      <c r="J4195">
        <v>-194.6054</v>
      </c>
      <c r="K4195">
        <v>1.1009119999999999</v>
      </c>
      <c r="L4195">
        <v>206.351</v>
      </c>
      <c r="M4195">
        <v>0.547794</v>
      </c>
      <c r="N4195">
        <v>-1.622519E-2</v>
      </c>
      <c r="O4195">
        <v>-0.83645609999999904</v>
      </c>
      <c r="P4195">
        <v>0.34263300000000002</v>
      </c>
      <c r="Q4195">
        <v>0.34501029999999999</v>
      </c>
      <c r="R4195">
        <v>-0.87382539999999997</v>
      </c>
      <c r="S4195">
        <v>0.77775569999999905</v>
      </c>
      <c r="T4195">
        <v>-0.61301640000000002</v>
      </c>
      <c r="U4195">
        <v>-3.3858030000000001</v>
      </c>
      <c r="V4195">
        <v>0.20081969999999999</v>
      </c>
      <c r="W4195">
        <v>0.35508139999999999</v>
      </c>
      <c r="X4195">
        <v>0.91301069999999995</v>
      </c>
      <c r="Y4195">
        <v>0.34752179999999999</v>
      </c>
      <c r="Z4195">
        <v>0.1135482</v>
      </c>
      <c r="AA4195">
        <v>0.93077140000000003</v>
      </c>
      <c r="AB4195">
        <v>22</v>
      </c>
      <c r="AC4195">
        <v>1.2771999999999899</v>
      </c>
      <c r="AD4195">
        <v>-1.100905258831</v>
      </c>
      <c r="AE4195">
        <v>-5.8684000000000003</v>
      </c>
      <c r="AF4195">
        <v>2.0768491039054102</v>
      </c>
      <c r="AG4195">
        <v>-1.100905258831</v>
      </c>
      <c r="AH4195">
        <v>5.4266927095242599</v>
      </c>
      <c r="AI4195">
        <v>100.72849879524399</v>
      </c>
      <c r="AJ4195">
        <v>69.057656036573903</v>
      </c>
      <c r="AK4195">
        <v>5.9139063530730898</v>
      </c>
      <c r="AL4195">
        <v>69.201565532716302</v>
      </c>
      <c r="AM4195">
        <v>77.595134666361901</v>
      </c>
      <c r="AN4195">
        <v>0.99999994542426796</v>
      </c>
    </row>
    <row r="4196" spans="1:40" x14ac:dyDescent="0.25">
      <c r="A4196" t="str">
        <f>"20190304164212892"</f>
        <v>20190304164212892</v>
      </c>
      <c r="B4196" t="str">
        <f>"1551688932885635"</f>
        <v>1551688932885635</v>
      </c>
      <c r="C4196" t="s">
        <v>40</v>
      </c>
      <c r="D4196">
        <v>5.3557090000000001</v>
      </c>
      <c r="E4196">
        <v>0.57671740000000005</v>
      </c>
      <c r="F4196" t="s">
        <v>45</v>
      </c>
      <c r="G4196">
        <v>-193.3176</v>
      </c>
      <c r="H4196" s="1">
        <v>6.7803729999999998E-6</v>
      </c>
      <c r="I4196">
        <v>200.37970000000001</v>
      </c>
      <c r="J4196">
        <v>-194.4941</v>
      </c>
      <c r="K4196">
        <v>1.101092</v>
      </c>
      <c r="L4196">
        <v>206.1465</v>
      </c>
      <c r="M4196">
        <v>0.53404059999999998</v>
      </c>
      <c r="N4196">
        <v>-1.6174830000000001E-2</v>
      </c>
      <c r="O4196">
        <v>-0.84530419999999995</v>
      </c>
      <c r="P4196">
        <v>0.33121539999999999</v>
      </c>
      <c r="Q4196">
        <v>0.33978150000000001</v>
      </c>
      <c r="R4196">
        <v>-0.8802529</v>
      </c>
      <c r="S4196">
        <v>0.73179629999999996</v>
      </c>
      <c r="T4196">
        <v>-0.62559819999999999</v>
      </c>
      <c r="U4196">
        <v>-3.3932340000000001</v>
      </c>
      <c r="V4196">
        <v>0.1985577</v>
      </c>
      <c r="W4196">
        <v>0.34999089999999999</v>
      </c>
      <c r="X4196">
        <v>0.9154677</v>
      </c>
      <c r="Y4196">
        <v>0.344754</v>
      </c>
      <c r="Z4196">
        <v>0.11832239999999999</v>
      </c>
      <c r="AA4196">
        <v>0.93120590000000003</v>
      </c>
      <c r="AB4196">
        <v>22</v>
      </c>
      <c r="AC4196">
        <v>1.1765000000000001</v>
      </c>
      <c r="AD4196">
        <v>-1.101085219627</v>
      </c>
      <c r="AE4196">
        <v>-5.7667999999999804</v>
      </c>
      <c r="AF4196">
        <v>2.01495508495384</v>
      </c>
      <c r="AG4196">
        <v>-1.101085219627</v>
      </c>
      <c r="AH4196">
        <v>5.3176048329877501</v>
      </c>
      <c r="AI4196">
        <v>100.958536765433</v>
      </c>
      <c r="AJ4196">
        <v>69.247222043635801</v>
      </c>
      <c r="AK4196">
        <v>5.7921804024975803</v>
      </c>
      <c r="AL4196">
        <v>69.5132404110024</v>
      </c>
      <c r="AM4196">
        <v>77.762541398559605</v>
      </c>
      <c r="AN4196">
        <v>0.99999995002769304</v>
      </c>
    </row>
    <row r="4197" spans="1:40" x14ac:dyDescent="0.25">
      <c r="A4197" t="str">
        <f>"20190304164212912"</f>
        <v>20190304164212912</v>
      </c>
      <c r="B4197" t="str">
        <f>"1551688932905155"</f>
        <v>1551688932905155</v>
      </c>
      <c r="C4197" t="s">
        <v>40</v>
      </c>
      <c r="D4197">
        <v>5.3029380000000002</v>
      </c>
      <c r="E4197">
        <v>0.57674700000000001</v>
      </c>
      <c r="F4197" t="s">
        <v>45</v>
      </c>
      <c r="G4197">
        <v>-193.31790000000001</v>
      </c>
      <c r="H4197" s="1">
        <v>6.7892839999999999E-6</v>
      </c>
      <c r="I4197">
        <v>200.35419999999999</v>
      </c>
      <c r="J4197">
        <v>-194.39160000000001</v>
      </c>
      <c r="K4197">
        <v>1.101326</v>
      </c>
      <c r="L4197">
        <v>205.95160000000001</v>
      </c>
      <c r="M4197">
        <v>0.52115590000000001</v>
      </c>
      <c r="N4197">
        <v>-1.6116439999999999E-2</v>
      </c>
      <c r="O4197">
        <v>-0.85330930000000005</v>
      </c>
      <c r="P4197">
        <v>0.32415830000000001</v>
      </c>
      <c r="Q4197">
        <v>0.33804859999999998</v>
      </c>
      <c r="R4197">
        <v>-0.88354120000000003</v>
      </c>
      <c r="S4197">
        <v>0.68998719999999902</v>
      </c>
      <c r="T4197">
        <v>-0.64592079999999996</v>
      </c>
      <c r="U4197">
        <v>-3.3978579999999998</v>
      </c>
      <c r="V4197">
        <v>0.19206400000000001</v>
      </c>
      <c r="W4197">
        <v>0.3484932</v>
      </c>
      <c r="X4197">
        <v>0.91742239999999997</v>
      </c>
      <c r="Y4197">
        <v>0.34189540000000002</v>
      </c>
      <c r="Z4197">
        <v>0.1246989</v>
      </c>
      <c r="AA4197">
        <v>0.93142780000000003</v>
      </c>
      <c r="AB4197">
        <v>22</v>
      </c>
      <c r="AC4197">
        <v>1.0737000000000001</v>
      </c>
      <c r="AD4197">
        <v>-1.1013192107159999</v>
      </c>
      <c r="AE4197">
        <v>-5.5974000000000199</v>
      </c>
      <c r="AF4197">
        <v>1.9291476614209999</v>
      </c>
      <c r="AG4197">
        <v>-1.1013192107159999</v>
      </c>
      <c r="AH4197">
        <v>5.1444827796842301</v>
      </c>
      <c r="AI4197">
        <v>101.334592614979</v>
      </c>
      <c r="AJ4197">
        <v>69.444280720509298</v>
      </c>
      <c r="AK4197">
        <v>5.6035897221268698</v>
      </c>
      <c r="AL4197">
        <v>69.604819312248793</v>
      </c>
      <c r="AM4197">
        <v>78.175797822002593</v>
      </c>
      <c r="AN4197">
        <v>0.99999997528199902</v>
      </c>
    </row>
    <row r="4198" spans="1:40" x14ac:dyDescent="0.25">
      <c r="A4198" t="str">
        <f>"20190304164212934"</f>
        <v>20190304164212934</v>
      </c>
      <c r="B4198" t="str">
        <f>"1551688932925196"</f>
        <v>1551688932925196</v>
      </c>
      <c r="C4198" t="s">
        <v>40</v>
      </c>
      <c r="D4198">
        <v>5.061445</v>
      </c>
      <c r="E4198">
        <v>0.57677559999999894</v>
      </c>
      <c r="F4198" t="s">
        <v>45</v>
      </c>
      <c r="G4198">
        <v>-193.28790000000001</v>
      </c>
      <c r="H4198" s="1">
        <v>6.8654549999999898E-6</v>
      </c>
      <c r="I4198">
        <v>200.16130000000001</v>
      </c>
      <c r="J4198">
        <v>-194.29050000000001</v>
      </c>
      <c r="K4198">
        <v>1.10161</v>
      </c>
      <c r="L4198">
        <v>205.75280000000001</v>
      </c>
      <c r="M4198">
        <v>0.50830819999999999</v>
      </c>
      <c r="N4198">
        <v>-1.604245E-2</v>
      </c>
      <c r="O4198">
        <v>-0.86102599999999996</v>
      </c>
      <c r="P4198">
        <v>0.31651839999999998</v>
      </c>
      <c r="Q4198">
        <v>0.34184399999999998</v>
      </c>
      <c r="R4198">
        <v>-0.88484979999999902</v>
      </c>
      <c r="S4198">
        <v>0.649063099999999</v>
      </c>
      <c r="T4198">
        <v>-0.64766729999999995</v>
      </c>
      <c r="U4198">
        <v>-3.4051360000000002</v>
      </c>
      <c r="V4198">
        <v>0.18529960000000001</v>
      </c>
      <c r="W4198">
        <v>0.35249910000000001</v>
      </c>
      <c r="X4198">
        <v>0.91728319999999997</v>
      </c>
      <c r="Y4198">
        <v>0.3390358</v>
      </c>
      <c r="Z4198">
        <v>0.1270618</v>
      </c>
      <c r="AA4198">
        <v>0.93215349999999997</v>
      </c>
      <c r="AB4198">
        <v>22</v>
      </c>
      <c r="AC4198">
        <v>1.0025999999999999</v>
      </c>
      <c r="AD4198">
        <v>-1.1016031345449999</v>
      </c>
      <c r="AE4198">
        <v>-5.5914999999999901</v>
      </c>
      <c r="AF4198">
        <v>1.9074640154367899</v>
      </c>
      <c r="AG4198">
        <v>-1.1016031345449999</v>
      </c>
      <c r="AH4198">
        <v>5.1317590664660404</v>
      </c>
      <c r="AI4198">
        <v>101.37677772580901</v>
      </c>
      <c r="AJ4198">
        <v>69.610005913658398</v>
      </c>
      <c r="AK4198">
        <v>5.5845232162183702</v>
      </c>
      <c r="AL4198">
        <v>69.359752652828604</v>
      </c>
      <c r="AM4198">
        <v>78.579422102613094</v>
      </c>
      <c r="AN4198">
        <v>1.0000000131316</v>
      </c>
    </row>
    <row r="4199" spans="1:40" x14ac:dyDescent="0.25">
      <c r="A4199" t="str">
        <f>"20190304164212958"</f>
        <v>20190304164212958</v>
      </c>
      <c r="B4199" t="str">
        <f>"1551688932945678"</f>
        <v>1551688932945678</v>
      </c>
      <c r="C4199" t="s">
        <v>40</v>
      </c>
      <c r="D4199">
        <v>5.2548879999999896</v>
      </c>
      <c r="E4199">
        <v>0.57681190000000004</v>
      </c>
      <c r="F4199" t="s">
        <v>45</v>
      </c>
      <c r="G4199">
        <v>-193.2182</v>
      </c>
      <c r="H4199" s="1">
        <v>7.0169880000000004E-6</v>
      </c>
      <c r="I4199">
        <v>199.7851</v>
      </c>
      <c r="J4199">
        <v>-194.18549999999999</v>
      </c>
      <c r="K4199">
        <v>1.10195</v>
      </c>
      <c r="L4199">
        <v>205.5395</v>
      </c>
      <c r="M4199">
        <v>0.49489270000000002</v>
      </c>
      <c r="N4199">
        <v>-1.5947599999999999E-2</v>
      </c>
      <c r="O4199">
        <v>-0.86880759999999901</v>
      </c>
      <c r="P4199">
        <v>0.30414000000000002</v>
      </c>
      <c r="Q4199">
        <v>0.3460066</v>
      </c>
      <c r="R4199">
        <v>-0.88756880000000005</v>
      </c>
      <c r="S4199">
        <v>0.61351009999999995</v>
      </c>
      <c r="T4199">
        <v>-0.63029269999999904</v>
      </c>
      <c r="U4199">
        <v>-3.4144589999999901</v>
      </c>
      <c r="V4199">
        <v>0.1828523</v>
      </c>
      <c r="W4199">
        <v>0.35676229999999998</v>
      </c>
      <c r="X4199">
        <v>0.91612539999999998</v>
      </c>
      <c r="Y4199">
        <v>0.33428360000000001</v>
      </c>
      <c r="Z4199">
        <v>0.12529979999999999</v>
      </c>
      <c r="AA4199">
        <v>0.9341062</v>
      </c>
      <c r="AB4199">
        <v>22</v>
      </c>
      <c r="AC4199">
        <v>0.96729999999999405</v>
      </c>
      <c r="AD4199">
        <v>-1.101942983012</v>
      </c>
      <c r="AE4199">
        <v>-5.7544000000000004</v>
      </c>
      <c r="AF4199">
        <v>1.93853476377598</v>
      </c>
      <c r="AG4199">
        <v>-1.101942983012</v>
      </c>
      <c r="AH4199">
        <v>5.2902094071417904</v>
      </c>
      <c r="AI4199">
        <v>101.06627602797801</v>
      </c>
      <c r="AJ4199">
        <v>69.875236734088801</v>
      </c>
      <c r="AK4199">
        <v>5.7409503516045897</v>
      </c>
      <c r="AL4199">
        <v>69.098510161591093</v>
      </c>
      <c r="AM4199">
        <v>78.712486768566606</v>
      </c>
      <c r="AN4199">
        <v>1.0000000254208601</v>
      </c>
    </row>
    <row r="4200" spans="1:40" x14ac:dyDescent="0.25">
      <c r="A4200" t="str">
        <f>"20190304164212980"</f>
        <v>20190304164212980</v>
      </c>
      <c r="B4200" t="str">
        <f>"1551688932974959"</f>
        <v>1551688932974959</v>
      </c>
      <c r="C4200" t="s">
        <v>40</v>
      </c>
      <c r="D4200">
        <v>5.132301</v>
      </c>
      <c r="E4200">
        <v>0.57678229999999997</v>
      </c>
      <c r="F4200" t="s">
        <v>42</v>
      </c>
      <c r="G4200">
        <v>-193.155</v>
      </c>
      <c r="H4200" s="1">
        <v>-4.7876289999999999E-6</v>
      </c>
      <c r="I4200">
        <v>199.4109</v>
      </c>
      <c r="J4200">
        <v>-194.08670000000001</v>
      </c>
      <c r="K4200">
        <v>1.102322</v>
      </c>
      <c r="L4200">
        <v>205.3322</v>
      </c>
      <c r="M4200">
        <v>0.48225440000000003</v>
      </c>
      <c r="N4200">
        <v>-1.5845350000000001E-2</v>
      </c>
      <c r="O4200">
        <v>-0.87588790000000005</v>
      </c>
      <c r="P4200">
        <v>0.29042279999999998</v>
      </c>
      <c r="Q4200">
        <v>0.3496243</v>
      </c>
      <c r="R4200">
        <v>-0.89073989999999903</v>
      </c>
      <c r="S4200">
        <v>0.57547000000000004</v>
      </c>
      <c r="T4200">
        <v>-0.61542339999999995</v>
      </c>
      <c r="U4200">
        <v>-3.4227289999999999</v>
      </c>
      <c r="V4200">
        <v>0.1827762</v>
      </c>
      <c r="W4200">
        <v>0.36042429999999998</v>
      </c>
      <c r="X4200">
        <v>0.91470609999999997</v>
      </c>
      <c r="Y4200">
        <v>0.33108890000000002</v>
      </c>
      <c r="Z4200">
        <v>0.1237972</v>
      </c>
      <c r="AA4200">
        <v>0.93544349999999998</v>
      </c>
      <c r="AB4200">
        <v>22</v>
      </c>
      <c r="AC4200">
        <v>0.93170000000000597</v>
      </c>
      <c r="AD4200">
        <v>-1.1023267876289999</v>
      </c>
      <c r="AE4200">
        <v>-5.9212999999999996</v>
      </c>
      <c r="AF4200">
        <v>1.97303747223349</v>
      </c>
      <c r="AG4200">
        <v>-1.1023267876289999</v>
      </c>
      <c r="AH4200">
        <v>5.4520348315379001</v>
      </c>
      <c r="AI4200">
        <v>100.764589734873</v>
      </c>
      <c r="AJ4200">
        <v>70.105311059547503</v>
      </c>
      <c r="AK4200">
        <v>5.9019221460355196</v>
      </c>
      <c r="AL4200">
        <v>68.873744695682106</v>
      </c>
      <c r="AM4200">
        <v>78.700006907559597</v>
      </c>
      <c r="AN4200">
        <v>1.0000000323470599</v>
      </c>
    </row>
    <row r="4201" spans="1:40" x14ac:dyDescent="0.25">
      <c r="A4201" t="str">
        <f>"20190304164213003"</f>
        <v>20190304164213003</v>
      </c>
      <c r="B4201" t="str">
        <f>"1551688932995455"</f>
        <v>1551688932995455</v>
      </c>
      <c r="C4201" t="s">
        <v>40</v>
      </c>
      <c r="D4201">
        <v>5.1412659999999999</v>
      </c>
      <c r="E4201">
        <v>0.57674309999999995</v>
      </c>
      <c r="F4201" t="s">
        <v>42</v>
      </c>
      <c r="G4201">
        <v>-193.10329999999999</v>
      </c>
      <c r="H4201" s="1">
        <v>-4.6649510000000004E-6</v>
      </c>
      <c r="I4201">
        <v>199.07740000000001</v>
      </c>
      <c r="J4201">
        <v>-193.99160000000001</v>
      </c>
      <c r="K4201">
        <v>1.102706</v>
      </c>
      <c r="L4201">
        <v>205.12639999999999</v>
      </c>
      <c r="M4201">
        <v>0.47011799999999998</v>
      </c>
      <c r="N4201">
        <v>-1.5740589999999999E-2</v>
      </c>
      <c r="O4201">
        <v>-0.88246329999999995</v>
      </c>
      <c r="P4201">
        <v>0.27931109999999998</v>
      </c>
      <c r="Q4201">
        <v>0.35375050000000002</v>
      </c>
      <c r="R4201">
        <v>-0.89266229999999902</v>
      </c>
      <c r="S4201">
        <v>0.53915409999999997</v>
      </c>
      <c r="T4201">
        <v>-0.60438419999999904</v>
      </c>
      <c r="U4201">
        <v>-3.4294129999999998</v>
      </c>
      <c r="V4201">
        <v>0.18052389999999999</v>
      </c>
      <c r="W4201">
        <v>0.36463810000000002</v>
      </c>
      <c r="X4201">
        <v>0.91348240000000003</v>
      </c>
      <c r="Y4201">
        <v>0.32801370000000002</v>
      </c>
      <c r="Z4201">
        <v>0.12299019999999999</v>
      </c>
      <c r="AA4201">
        <v>0.93663249999999998</v>
      </c>
      <c r="AB4201">
        <v>22</v>
      </c>
      <c r="AC4201">
        <v>0.88830000000001497</v>
      </c>
      <c r="AD4201">
        <v>-1.1027106649509999</v>
      </c>
      <c r="AE4201">
        <v>-6.0489999999999702</v>
      </c>
      <c r="AF4201">
        <v>1.9952018870484201</v>
      </c>
      <c r="AG4201">
        <v>-1.1027106649509999</v>
      </c>
      <c r="AH4201">
        <v>5.5749823507694698</v>
      </c>
      <c r="AI4201">
        <v>100.549301555295</v>
      </c>
      <c r="AJ4201">
        <v>70.308479416526396</v>
      </c>
      <c r="AK4201">
        <v>6.0230581594460304</v>
      </c>
      <c r="AL4201">
        <v>68.614686613877097</v>
      </c>
      <c r="AM4201">
        <v>78.821155487230001</v>
      </c>
      <c r="AN4201">
        <v>0.999999958776289</v>
      </c>
    </row>
    <row r="4202" spans="1:40" x14ac:dyDescent="0.25">
      <c r="A4202" t="str">
        <f>"20190304164213024"</f>
        <v>20190304164213024</v>
      </c>
      <c r="B4202" t="str">
        <f>"1551688933014975"</f>
        <v>1551688933014975</v>
      </c>
      <c r="C4202" t="s">
        <v>40</v>
      </c>
      <c r="D4202">
        <v>5.1317009999999996</v>
      </c>
      <c r="E4202">
        <v>0.57667679999999999</v>
      </c>
      <c r="F4202" t="s">
        <v>42</v>
      </c>
      <c r="G4202">
        <v>-193.0582</v>
      </c>
      <c r="H4202" s="1">
        <v>-4.5189180000000001E-6</v>
      </c>
      <c r="I4202">
        <v>198.67169999999999</v>
      </c>
      <c r="J4202">
        <v>-193.90039999999999</v>
      </c>
      <c r="K4202">
        <v>1.1030660000000001</v>
      </c>
      <c r="L4202">
        <v>204.92250000000001</v>
      </c>
      <c r="M4202">
        <v>0.45848349999999999</v>
      </c>
      <c r="N4202">
        <v>-1.563844E-2</v>
      </c>
      <c r="O4202">
        <v>-0.88856520000000005</v>
      </c>
      <c r="P4202">
        <v>0.27160440000000002</v>
      </c>
      <c r="Q4202">
        <v>0.35717149999999998</v>
      </c>
      <c r="R4202">
        <v>-0.89367770000000002</v>
      </c>
      <c r="S4202">
        <v>0.49716189999999999</v>
      </c>
      <c r="T4202">
        <v>-0.58733269999999904</v>
      </c>
      <c r="U4202">
        <v>-3.4379270000000002</v>
      </c>
      <c r="V4202">
        <v>0.1755224</v>
      </c>
      <c r="W4202">
        <v>0.36819239999999998</v>
      </c>
      <c r="X4202">
        <v>0.91303129999999999</v>
      </c>
      <c r="Y4202">
        <v>0.32711829999999997</v>
      </c>
      <c r="Z4202">
        <v>0.1205188</v>
      </c>
      <c r="AA4202">
        <v>0.93726670000000001</v>
      </c>
      <c r="AB4202">
        <v>22</v>
      </c>
      <c r="AC4202">
        <v>0.84219999999999096</v>
      </c>
      <c r="AD4202">
        <v>-1.1030705189179999</v>
      </c>
      <c r="AE4202">
        <v>-6.2508000000000203</v>
      </c>
      <c r="AF4202">
        <v>2.05494576043179</v>
      </c>
      <c r="AG4202">
        <v>-1.1030705189179999</v>
      </c>
      <c r="AH4202">
        <v>5.7647838440905002</v>
      </c>
      <c r="AI4202">
        <v>100.217156662486</v>
      </c>
      <c r="AJ4202">
        <v>70.380609801458604</v>
      </c>
      <c r="AK4202">
        <v>6.2187056062422998</v>
      </c>
      <c r="AL4202">
        <v>68.395817964009396</v>
      </c>
      <c r="AM4202">
        <v>79.118136730130303</v>
      </c>
      <c r="AN4202">
        <v>0.99999995554960397</v>
      </c>
    </row>
    <row r="4203" spans="1:40" x14ac:dyDescent="0.25">
      <c r="A4203" t="str">
        <f>"20190304164213047"</f>
        <v>20190304164213047</v>
      </c>
      <c r="B4203" t="str">
        <f>"1551688933035002"</f>
        <v>1551688933035002</v>
      </c>
      <c r="C4203" t="s">
        <v>40</v>
      </c>
      <c r="D4203">
        <v>5.2574329999999998</v>
      </c>
      <c r="E4203">
        <v>0.57662290000000005</v>
      </c>
      <c r="F4203" t="s">
        <v>42</v>
      </c>
      <c r="G4203">
        <v>-193.00749999999999</v>
      </c>
      <c r="H4203" s="1">
        <v>-4.3737369999999997E-6</v>
      </c>
      <c r="I4203">
        <v>198.27160000000001</v>
      </c>
      <c r="J4203">
        <v>-193.81049999999999</v>
      </c>
      <c r="K4203">
        <v>1.1033459999999999</v>
      </c>
      <c r="L4203">
        <v>204.71549999999999</v>
      </c>
      <c r="M4203">
        <v>0.44696809999999998</v>
      </c>
      <c r="N4203">
        <v>-1.5541569999999999E-2</v>
      </c>
      <c r="O4203">
        <v>-0.89441489999999901</v>
      </c>
      <c r="P4203">
        <v>0.26341500000000001</v>
      </c>
      <c r="Q4203">
        <v>0.36105110000000001</v>
      </c>
      <c r="R4203">
        <v>-0.89456950000000002</v>
      </c>
      <c r="S4203">
        <v>0.46246340000000002</v>
      </c>
      <c r="T4203">
        <v>-0.57130859999999895</v>
      </c>
      <c r="U4203">
        <v>-3.4447169999999998</v>
      </c>
      <c r="V4203">
        <v>0.17120669999999999</v>
      </c>
      <c r="W4203">
        <v>0.37215690000000001</v>
      </c>
      <c r="X4203">
        <v>0.91224309999999997</v>
      </c>
      <c r="Y4203">
        <v>0.32442009999999899</v>
      </c>
      <c r="Z4203">
        <v>0.11823889999999999</v>
      </c>
      <c r="AA4203">
        <v>0.9384941</v>
      </c>
      <c r="AB4203">
        <v>22</v>
      </c>
      <c r="AC4203">
        <v>0.80299999999999705</v>
      </c>
      <c r="AD4203">
        <v>-1.1033503737369901</v>
      </c>
      <c r="AE4203">
        <v>-6.4438999999999798</v>
      </c>
      <c r="AF4203">
        <v>2.1015920738958802</v>
      </c>
      <c r="AG4203">
        <v>-1.1033503737369901</v>
      </c>
      <c r="AH4203">
        <v>5.9513629594763202</v>
      </c>
      <c r="AI4203">
        <v>99.915962772557606</v>
      </c>
      <c r="AJ4203">
        <v>70.550454290352107</v>
      </c>
      <c r="AK4203">
        <v>6.40724530260192</v>
      </c>
      <c r="AL4203">
        <v>68.151299074771401</v>
      </c>
      <c r="AM4203">
        <v>79.370569238636705</v>
      </c>
      <c r="AN4203">
        <v>0.99999998292005399</v>
      </c>
    </row>
    <row r="4204" spans="1:40" x14ac:dyDescent="0.25">
      <c r="A4204" t="str">
        <f>"20190304164213071"</f>
        <v>20190304164213071</v>
      </c>
      <c r="B4204" t="str">
        <f>"1551688933065258"</f>
        <v>1551688933065258</v>
      </c>
      <c r="C4204" t="s">
        <v>40</v>
      </c>
      <c r="D4204">
        <v>5.0979409999999996</v>
      </c>
      <c r="E4204">
        <v>0.57654700000000003</v>
      </c>
      <c r="F4204" t="s">
        <v>42</v>
      </c>
      <c r="G4204">
        <v>-192.96</v>
      </c>
      <c r="H4204" s="1">
        <v>-4.2163190000000001E-6</v>
      </c>
      <c r="I4204">
        <v>197.8338</v>
      </c>
      <c r="J4204">
        <v>-193.71719999999999</v>
      </c>
      <c r="K4204">
        <v>1.103558</v>
      </c>
      <c r="L4204">
        <v>204.4933</v>
      </c>
      <c r="M4204">
        <v>0.43488389999999999</v>
      </c>
      <c r="N4204">
        <v>-1.544797E-2</v>
      </c>
      <c r="O4204">
        <v>-0.90035409999999905</v>
      </c>
      <c r="P4204">
        <v>0.25474930000000001</v>
      </c>
      <c r="Q4204">
        <v>0.36540099999999998</v>
      </c>
      <c r="R4204">
        <v>-0.89531299999999903</v>
      </c>
      <c r="S4204">
        <v>0.42657469999999997</v>
      </c>
      <c r="T4204">
        <v>-0.55333849999999996</v>
      </c>
      <c r="U4204">
        <v>-3.4512629999999902</v>
      </c>
      <c r="V4204">
        <v>0.16685990000000001</v>
      </c>
      <c r="W4204">
        <v>0.37656260000000003</v>
      </c>
      <c r="X4204">
        <v>0.91124000000000005</v>
      </c>
      <c r="Y4204">
        <v>0.32150069999999997</v>
      </c>
      <c r="Z4204">
        <v>0.115462</v>
      </c>
      <c r="AA4204">
        <v>0.93984350000000005</v>
      </c>
      <c r="AB4204">
        <v>22</v>
      </c>
      <c r="AC4204">
        <v>0.757199999999983</v>
      </c>
      <c r="AD4204">
        <v>-1.103562216319</v>
      </c>
      <c r="AE4204">
        <v>-6.6595000000000004</v>
      </c>
      <c r="AF4204">
        <v>2.1561712039955498</v>
      </c>
      <c r="AG4204">
        <v>-1.103562216319</v>
      </c>
      <c r="AH4204">
        <v>6.1589856413613999</v>
      </c>
      <c r="AI4204">
        <v>99.598772002572403</v>
      </c>
      <c r="AJ4204">
        <v>70.705592734216395</v>
      </c>
      <c r="AK4204">
        <v>6.6181589552323699</v>
      </c>
      <c r="AL4204">
        <v>67.879075453259603</v>
      </c>
      <c r="AM4204">
        <v>79.623355716168803</v>
      </c>
      <c r="AN4204">
        <v>0.99999997777338401</v>
      </c>
    </row>
    <row r="4205" spans="1:40" x14ac:dyDescent="0.25">
      <c r="A4205" t="str">
        <f>"20190304164213093"</f>
        <v>20190304164213093</v>
      </c>
      <c r="B4205" t="str">
        <f>"1551688933085753"</f>
        <v>1551688933085753</v>
      </c>
      <c r="C4205" t="s">
        <v>40</v>
      </c>
      <c r="D4205">
        <v>4.9904719999999996</v>
      </c>
      <c r="E4205">
        <v>0.57641589999999998</v>
      </c>
      <c r="F4205" t="s">
        <v>42</v>
      </c>
      <c r="G4205">
        <v>-192.90350000000001</v>
      </c>
      <c r="H4205" s="1">
        <v>-4.0400929999999997E-6</v>
      </c>
      <c r="I4205">
        <v>197.34530000000001</v>
      </c>
      <c r="J4205">
        <v>-193.6309</v>
      </c>
      <c r="K4205">
        <v>1.103701</v>
      </c>
      <c r="L4205">
        <v>204.2809</v>
      </c>
      <c r="M4205">
        <v>0.42354190000000003</v>
      </c>
      <c r="N4205">
        <v>-1.536832E-2</v>
      </c>
      <c r="O4205">
        <v>-0.9057463</v>
      </c>
      <c r="P4205">
        <v>0.2487772</v>
      </c>
      <c r="Q4205">
        <v>0.37033369999999999</v>
      </c>
      <c r="R4205">
        <v>-0.89496559999999903</v>
      </c>
      <c r="S4205">
        <v>0.39346310000000001</v>
      </c>
      <c r="T4205">
        <v>-0.53366630000000004</v>
      </c>
      <c r="U4205">
        <v>-3.4566499999999998</v>
      </c>
      <c r="V4205">
        <v>0.16056679999999901</v>
      </c>
      <c r="W4205">
        <v>0.38156909999999999</v>
      </c>
      <c r="X4205">
        <v>0.91028750000000003</v>
      </c>
      <c r="Y4205">
        <v>0.31864540000000002</v>
      </c>
      <c r="Z4205">
        <v>0.1120968</v>
      </c>
      <c r="AA4205">
        <v>0.94122229999999996</v>
      </c>
      <c r="AB4205">
        <v>22</v>
      </c>
      <c r="AC4205">
        <v>0.72739999999998795</v>
      </c>
      <c r="AD4205">
        <v>-1.103705040093</v>
      </c>
      <c r="AE4205">
        <v>-6.9355999999999902</v>
      </c>
      <c r="AF4205">
        <v>2.2232562519182699</v>
      </c>
      <c r="AG4205">
        <v>-1.103705040093</v>
      </c>
      <c r="AH4205">
        <v>6.4296995619031501</v>
      </c>
      <c r="AI4205">
        <v>99.214956824889796</v>
      </c>
      <c r="AJ4205">
        <v>70.925679956069899</v>
      </c>
      <c r="AK4205">
        <v>6.8921745214088999</v>
      </c>
      <c r="AL4205">
        <v>67.569089855434299</v>
      </c>
      <c r="AM4205">
        <v>79.996425663698602</v>
      </c>
      <c r="AN4205">
        <v>1.0000000039966499</v>
      </c>
    </row>
    <row r="4206" spans="1:40" x14ac:dyDescent="0.25">
      <c r="A4206" t="str">
        <f>"20190304164213114"</f>
        <v>20190304164213114</v>
      </c>
      <c r="B4206" t="str">
        <f>"1551688933105274"</f>
        <v>1551688933105274</v>
      </c>
      <c r="C4206" t="s">
        <v>40</v>
      </c>
      <c r="D4206">
        <v>5.3318099999999999</v>
      </c>
      <c r="E4206">
        <v>0.57626460000000002</v>
      </c>
      <c r="F4206" t="s">
        <v>42</v>
      </c>
      <c r="G4206">
        <v>-192.83410000000001</v>
      </c>
      <c r="H4206" s="1">
        <v>-3.8559739999999997E-6</v>
      </c>
      <c r="I4206">
        <v>196.84049999999999</v>
      </c>
      <c r="J4206">
        <v>-193.55520000000001</v>
      </c>
      <c r="K4206">
        <v>1.1037950000000001</v>
      </c>
      <c r="L4206">
        <v>204.08850000000001</v>
      </c>
      <c r="M4206">
        <v>0.41337829999999898</v>
      </c>
      <c r="N4206">
        <v>-1.530361E-2</v>
      </c>
      <c r="O4206">
        <v>-0.91043099999999999</v>
      </c>
      <c r="P4206">
        <v>0.2448456</v>
      </c>
      <c r="Q4206">
        <v>0.37545509999999999</v>
      </c>
      <c r="R4206">
        <v>-0.89391529999999997</v>
      </c>
      <c r="S4206">
        <v>0.37068180000000001</v>
      </c>
      <c r="T4206">
        <v>-0.51346720000000001</v>
      </c>
      <c r="U4206">
        <v>-3.4614720000000001</v>
      </c>
      <c r="V4206">
        <v>0.15346770000000001</v>
      </c>
      <c r="W4206">
        <v>0.3867719</v>
      </c>
      <c r="X4206">
        <v>0.90931580000000001</v>
      </c>
      <c r="Y4206">
        <v>0.31428669999999997</v>
      </c>
      <c r="Z4206">
        <v>0.1083962</v>
      </c>
      <c r="AA4206">
        <v>0.94311929999999999</v>
      </c>
      <c r="AB4206">
        <v>22</v>
      </c>
      <c r="AC4206">
        <v>0.72110000000000696</v>
      </c>
      <c r="AD4206">
        <v>-1.103798855974</v>
      </c>
      <c r="AE4206">
        <v>-7.24800000000001</v>
      </c>
      <c r="AF4206">
        <v>2.2873976256648199</v>
      </c>
      <c r="AG4206">
        <v>-1.103798855974</v>
      </c>
      <c r="AH4206">
        <v>6.7428479656746401</v>
      </c>
      <c r="AI4206">
        <v>98.811971730975699</v>
      </c>
      <c r="AJ4206">
        <v>71.261359870991598</v>
      </c>
      <c r="AK4206">
        <v>7.20531460108087</v>
      </c>
      <c r="AL4206">
        <v>67.246214625867694</v>
      </c>
      <c r="AM4206">
        <v>80.420311423855196</v>
      </c>
      <c r="AN4206">
        <v>1.00000003085126</v>
      </c>
    </row>
    <row r="4207" spans="1:40" x14ac:dyDescent="0.25">
      <c r="A4207" t="str">
        <f>"20190304164213137"</f>
        <v>20190304164213137</v>
      </c>
      <c r="B4207" t="str">
        <f>"1551688933125317"</f>
        <v>1551688933125317</v>
      </c>
      <c r="C4207" t="s">
        <v>40</v>
      </c>
      <c r="D4207">
        <v>4.998564</v>
      </c>
      <c r="E4207">
        <v>0.57613490000000001</v>
      </c>
      <c r="F4207" t="s">
        <v>42</v>
      </c>
      <c r="G4207">
        <v>-192.7587</v>
      </c>
      <c r="H4207" s="1">
        <v>-3.6213730000000001E-6</v>
      </c>
      <c r="I4207">
        <v>196.31960000000001</v>
      </c>
      <c r="J4207">
        <v>-193.4753</v>
      </c>
      <c r="K4207">
        <v>1.103874</v>
      </c>
      <c r="L4207">
        <v>203.8784</v>
      </c>
      <c r="M4207">
        <v>0.40235470000000001</v>
      </c>
      <c r="N4207">
        <v>-1.5241340000000001E-2</v>
      </c>
      <c r="O4207">
        <v>-0.91535710000000003</v>
      </c>
      <c r="P4207">
        <v>0.24206949999999999</v>
      </c>
      <c r="Q4207">
        <v>0.37872349999999999</v>
      </c>
      <c r="R4207">
        <v>-0.89329269999999905</v>
      </c>
      <c r="S4207">
        <v>0.35533140000000002</v>
      </c>
      <c r="T4207">
        <v>-0.49237920000000002</v>
      </c>
      <c r="U4207">
        <v>-3.4655</v>
      </c>
      <c r="V4207">
        <v>0.1446954</v>
      </c>
      <c r="W4207">
        <v>0.39015949999999999</v>
      </c>
      <c r="X4207">
        <v>0.90930679999999997</v>
      </c>
      <c r="Y4207">
        <v>0.30705589999999999</v>
      </c>
      <c r="Z4207">
        <v>0.1045306</v>
      </c>
      <c r="AA4207">
        <v>0.94593340000000004</v>
      </c>
      <c r="AB4207">
        <v>22</v>
      </c>
      <c r="AC4207">
        <v>0.71659999999999902</v>
      </c>
      <c r="AD4207">
        <v>-1.1038776213729999</v>
      </c>
      <c r="AE4207">
        <v>-7.55879999999999</v>
      </c>
      <c r="AF4207">
        <v>2.3362681605737698</v>
      </c>
      <c r="AG4207">
        <v>-1.1038776213729999</v>
      </c>
      <c r="AH4207">
        <v>7.0589575229452404</v>
      </c>
      <c r="AI4207">
        <v>98.444449255308797</v>
      </c>
      <c r="AJ4207">
        <v>71.687261700423605</v>
      </c>
      <c r="AK4207">
        <v>7.5170190921550804</v>
      </c>
      <c r="AL4207">
        <v>67.035576296451893</v>
      </c>
      <c r="AM4207">
        <v>80.958491987317899</v>
      </c>
      <c r="AN4207">
        <v>1.0000000253738199</v>
      </c>
    </row>
    <row r="4208" spans="1:40" x14ac:dyDescent="0.25">
      <c r="A4208" t="str">
        <f>"20190304164213159"</f>
        <v>20190304164213159</v>
      </c>
      <c r="B4208" t="str">
        <f>"1551688933145797"</f>
        <v>1551688933145797</v>
      </c>
      <c r="C4208" t="s">
        <v>40</v>
      </c>
      <c r="D4208">
        <v>4.9960190000000004</v>
      </c>
      <c r="E4208">
        <v>0.57591020000000004</v>
      </c>
      <c r="F4208" t="s">
        <v>42</v>
      </c>
      <c r="G4208">
        <v>-192.68029999999999</v>
      </c>
      <c r="H4208" s="1">
        <v>-3.4122219999999999E-6</v>
      </c>
      <c r="I4208">
        <v>195.88069999999999</v>
      </c>
      <c r="J4208">
        <v>-193.3947</v>
      </c>
      <c r="K4208">
        <v>1.1039410000000001</v>
      </c>
      <c r="L4208">
        <v>203.65860000000001</v>
      </c>
      <c r="M4208">
        <v>0.39084750000000001</v>
      </c>
      <c r="N4208">
        <v>-1.5185830000000001E-2</v>
      </c>
      <c r="O4208">
        <v>-0.92033030000000005</v>
      </c>
      <c r="P4208">
        <v>0.2392743</v>
      </c>
      <c r="Q4208">
        <v>0.37926779999999999</v>
      </c>
      <c r="R4208">
        <v>-0.89381429999999995</v>
      </c>
      <c r="S4208">
        <v>0.3447113</v>
      </c>
      <c r="T4208">
        <v>-0.47864909999999999</v>
      </c>
      <c r="U4208">
        <v>-3.4678800000000001</v>
      </c>
      <c r="V4208">
        <v>0.13594809999999999</v>
      </c>
      <c r="W4208">
        <v>0.39083869999999998</v>
      </c>
      <c r="X4208">
        <v>0.91036430000000002</v>
      </c>
      <c r="Y4208">
        <v>0.29805330000000002</v>
      </c>
      <c r="Z4208">
        <v>0.10242469999999999</v>
      </c>
      <c r="AA4208">
        <v>0.9490381</v>
      </c>
      <c r="AB4208">
        <v>22</v>
      </c>
      <c r="AC4208">
        <v>0.71440000000001103</v>
      </c>
      <c r="AD4208">
        <v>-1.1039444122219999</v>
      </c>
      <c r="AE4208">
        <v>-7.7779000000000096</v>
      </c>
      <c r="AF4208">
        <v>2.3360960648556399</v>
      </c>
      <c r="AG4208">
        <v>-1.1039444122219999</v>
      </c>
      <c r="AH4208">
        <v>7.2926334396892001</v>
      </c>
      <c r="AI4208">
        <v>98.203356323156697</v>
      </c>
      <c r="AJ4208">
        <v>72.237845267071506</v>
      </c>
      <c r="AK4208">
        <v>7.7368301374130803</v>
      </c>
      <c r="AL4208">
        <v>66.993303364826204</v>
      </c>
      <c r="AM4208">
        <v>81.506572257802702</v>
      </c>
      <c r="AN4208">
        <v>0.99999996701289395</v>
      </c>
    </row>
    <row r="4209" spans="1:40" x14ac:dyDescent="0.25">
      <c r="A4209" t="str">
        <f>"20190304164213181"</f>
        <v>20190304164213181</v>
      </c>
      <c r="B4209" t="str">
        <f>"1551688933175076"</f>
        <v>1551688933175076</v>
      </c>
      <c r="C4209" t="s">
        <v>40</v>
      </c>
      <c r="D4209">
        <v>5.0068820000000001</v>
      </c>
      <c r="E4209">
        <v>0.57557159999999996</v>
      </c>
      <c r="F4209" t="s">
        <v>42</v>
      </c>
      <c r="G4209">
        <v>-192.62219999999999</v>
      </c>
      <c r="H4209" s="1">
        <v>-3.2825879999999998E-6</v>
      </c>
      <c r="I4209">
        <v>195.61449999999999</v>
      </c>
      <c r="J4209">
        <v>-193.3194</v>
      </c>
      <c r="K4209">
        <v>1.1039859999999999</v>
      </c>
      <c r="L4209">
        <v>203.44550000000001</v>
      </c>
      <c r="M4209">
        <v>0.3797027</v>
      </c>
      <c r="N4209">
        <v>-1.514048E-2</v>
      </c>
      <c r="O4209">
        <v>-0.92498480000000005</v>
      </c>
      <c r="P4209">
        <v>0.2327968</v>
      </c>
      <c r="Q4209">
        <v>0.37714490000000001</v>
      </c>
      <c r="R4209">
        <v>-0.89641930000000003</v>
      </c>
      <c r="S4209">
        <v>0.33314510000000003</v>
      </c>
      <c r="T4209">
        <v>-0.476107</v>
      </c>
      <c r="U4209">
        <v>-3.4692379999999998</v>
      </c>
      <c r="V4209">
        <v>0.13177269999999999</v>
      </c>
      <c r="W4209">
        <v>0.38878259999999998</v>
      </c>
      <c r="X4209">
        <v>0.91185749999999999</v>
      </c>
      <c r="Y4209">
        <v>0.28970610000000002</v>
      </c>
      <c r="Z4209">
        <v>0.10291649999999999</v>
      </c>
      <c r="AA4209">
        <v>0.95156640000000003</v>
      </c>
      <c r="AB4209">
        <v>22</v>
      </c>
      <c r="AC4209">
        <v>0.69720000000000903</v>
      </c>
      <c r="AD4209">
        <v>-1.103989282588</v>
      </c>
      <c r="AE4209">
        <v>-7.8310000000000102</v>
      </c>
      <c r="AF4209">
        <v>2.2837870019901101</v>
      </c>
      <c r="AG4209">
        <v>-1.103989282588</v>
      </c>
      <c r="AH4209">
        <v>7.3639410829418201</v>
      </c>
      <c r="AI4209">
        <v>98.148803789638905</v>
      </c>
      <c r="AJ4209">
        <v>72.769712190236007</v>
      </c>
      <c r="AK4209">
        <v>7.7885880414595396</v>
      </c>
      <c r="AL4209">
        <v>67.121230257110895</v>
      </c>
      <c r="AM4209">
        <v>81.777100866094997</v>
      </c>
      <c r="AN4209">
        <v>1.0000000274171399</v>
      </c>
    </row>
    <row r="4210" spans="1:40" x14ac:dyDescent="0.25">
      <c r="A4210" t="str">
        <f>"20190304164213203"</f>
        <v>20190304164213203</v>
      </c>
      <c r="B4210" t="str">
        <f>"1551688933195573"</f>
        <v>1551688933195573</v>
      </c>
      <c r="C4210" t="s">
        <v>40</v>
      </c>
      <c r="D4210">
        <v>4.971476</v>
      </c>
      <c r="E4210">
        <v>0.57532669999999997</v>
      </c>
      <c r="F4210" t="s">
        <v>42</v>
      </c>
      <c r="G4210">
        <v>-192.6113</v>
      </c>
      <c r="H4210" s="1">
        <v>-3.2494120000000001E-6</v>
      </c>
      <c r="I4210">
        <v>195.54400000000001</v>
      </c>
      <c r="J4210">
        <v>-193.24979999999999</v>
      </c>
      <c r="K4210">
        <v>1.104025</v>
      </c>
      <c r="L4210">
        <v>203.2407</v>
      </c>
      <c r="M4210">
        <v>0.36902610000000002</v>
      </c>
      <c r="N4210">
        <v>-1.510158E-2</v>
      </c>
      <c r="O4210">
        <v>-0.92929649999999997</v>
      </c>
      <c r="P4210">
        <v>0.22893520000000001</v>
      </c>
      <c r="Q4210">
        <v>0.3738302</v>
      </c>
      <c r="R4210">
        <v>-0.89879949999999997</v>
      </c>
      <c r="S4210">
        <v>0.31095889999999998</v>
      </c>
      <c r="T4210">
        <v>-0.48480620000000002</v>
      </c>
      <c r="U4210">
        <v>-3.4698639999999998</v>
      </c>
      <c r="V4210">
        <v>0.1255607</v>
      </c>
      <c r="W4210">
        <v>0.38558690000000001</v>
      </c>
      <c r="X4210">
        <v>0.91408820000000002</v>
      </c>
      <c r="Y4210">
        <v>0.28476119999999999</v>
      </c>
      <c r="Z4210">
        <v>0.1060357</v>
      </c>
      <c r="AA4210">
        <v>0.95271589999999995</v>
      </c>
      <c r="AB4210">
        <v>22</v>
      </c>
      <c r="AC4210">
        <v>0.63849999999999296</v>
      </c>
      <c r="AD4210">
        <v>-1.104028249412</v>
      </c>
      <c r="AE4210">
        <v>-7.6966999999999901</v>
      </c>
      <c r="AF4210">
        <v>2.20218189922362</v>
      </c>
      <c r="AG4210">
        <v>-1.104028249412</v>
      </c>
      <c r="AH4210">
        <v>7.2410116068820898</v>
      </c>
      <c r="AI4210">
        <v>98.299308885606806</v>
      </c>
      <c r="AJ4210">
        <v>73.084105378032007</v>
      </c>
      <c r="AK4210">
        <v>7.6485771607383901</v>
      </c>
      <c r="AL4210">
        <v>67.319819248258597</v>
      </c>
      <c r="AM4210">
        <v>82.178701167904094</v>
      </c>
      <c r="AN4210">
        <v>0.99999999210766999</v>
      </c>
    </row>
    <row r="4211" spans="1:40" x14ac:dyDescent="0.25">
      <c r="A4211" t="str">
        <f>"20190304164213218"</f>
        <v>20190304164213218</v>
      </c>
      <c r="B4211" t="str">
        <f>"1551688933205333"</f>
        <v>1551688933205333</v>
      </c>
      <c r="C4211" t="s">
        <v>40</v>
      </c>
      <c r="D4211">
        <v>4.9680339999999896</v>
      </c>
      <c r="E4211">
        <v>0.5752138</v>
      </c>
      <c r="F4211" t="s">
        <v>42</v>
      </c>
      <c r="G4211">
        <v>-192.59139999999999</v>
      </c>
      <c r="H4211" s="1">
        <v>-3.2490460000000001E-6</v>
      </c>
      <c r="I4211">
        <v>195.55539999999999</v>
      </c>
      <c r="J4211">
        <v>-193.20519999999999</v>
      </c>
      <c r="K4211">
        <v>1.104058</v>
      </c>
      <c r="L4211">
        <v>203.10489999999999</v>
      </c>
      <c r="M4211">
        <v>0.3619812</v>
      </c>
      <c r="N4211">
        <v>-1.5076559999999999E-2</v>
      </c>
      <c r="O4211">
        <v>-0.93206350000000004</v>
      </c>
      <c r="P4211">
        <v>0.22495809999999999</v>
      </c>
      <c r="Q4211">
        <v>0.37130930000000001</v>
      </c>
      <c r="R4211">
        <v>-0.90084600000000004</v>
      </c>
      <c r="S4211">
        <v>0.29722599999999999</v>
      </c>
      <c r="T4211">
        <v>-0.49839499999999998</v>
      </c>
      <c r="U4211">
        <v>-3.469376</v>
      </c>
      <c r="V4211">
        <v>0.122962</v>
      </c>
      <c r="W4211">
        <v>0.3831196</v>
      </c>
      <c r="X4211">
        <v>0.91547789999999996</v>
      </c>
      <c r="Y4211">
        <v>0.28126719999999999</v>
      </c>
      <c r="Z4211">
        <v>0.1100619</v>
      </c>
      <c r="AA4211">
        <v>0.95329699999999995</v>
      </c>
      <c r="AB4211">
        <v>22</v>
      </c>
      <c r="AC4211">
        <v>0.61379999999999701</v>
      </c>
      <c r="AD4211">
        <v>-1.104061249046</v>
      </c>
      <c r="AE4211">
        <v>-7.5494999999999903</v>
      </c>
      <c r="AF4211">
        <v>2.1159650569636499</v>
      </c>
      <c r="AG4211">
        <v>-1.104061249046</v>
      </c>
      <c r="AH4211">
        <v>7.1085892852946397</v>
      </c>
      <c r="AI4211">
        <v>98.466815437218798</v>
      </c>
      <c r="AJ4211">
        <v>73.423671163121895</v>
      </c>
      <c r="AK4211">
        <v>7.4985532598590003</v>
      </c>
      <c r="AL4211">
        <v>67.472948554404596</v>
      </c>
      <c r="AM4211">
        <v>82.350126309159904</v>
      </c>
      <c r="AN4211">
        <v>1.0000000333682799</v>
      </c>
    </row>
    <row r="4212" spans="1:40" x14ac:dyDescent="0.25">
      <c r="A4212" t="str">
        <f>"20190304164213231"</f>
        <v>20190304164213231</v>
      </c>
      <c r="B4212" t="str">
        <f>"1551688933225377"</f>
        <v>1551688933225377</v>
      </c>
      <c r="C4212" t="s">
        <v>40</v>
      </c>
      <c r="D4212">
        <v>5.012689</v>
      </c>
      <c r="E4212">
        <v>0.57489760000000001</v>
      </c>
      <c r="F4212" t="s">
        <v>42</v>
      </c>
      <c r="G4212">
        <v>-192.59200000000001</v>
      </c>
      <c r="H4212" s="1">
        <v>-3.2556400000000001E-6</v>
      </c>
      <c r="I4212">
        <v>195.57050000000001</v>
      </c>
      <c r="J4212">
        <v>-193.1669</v>
      </c>
      <c r="K4212">
        <v>1.104088</v>
      </c>
      <c r="L4212">
        <v>202.98570000000001</v>
      </c>
      <c r="M4212">
        <v>0.35580689999999998</v>
      </c>
      <c r="N4212">
        <v>-1.505478E-2</v>
      </c>
      <c r="O4212">
        <v>-0.9344382</v>
      </c>
      <c r="P4212">
        <v>0.2214834</v>
      </c>
      <c r="Q4212">
        <v>0.36917480000000003</v>
      </c>
      <c r="R4212">
        <v>-0.90258249999999995</v>
      </c>
      <c r="S4212">
        <v>0.2823792</v>
      </c>
      <c r="T4212">
        <v>-0.50836380000000003</v>
      </c>
      <c r="U4212">
        <v>-3.4692379999999998</v>
      </c>
      <c r="V4212">
        <v>0.1206599</v>
      </c>
      <c r="W4212">
        <v>0.38103120000000001</v>
      </c>
      <c r="X4212">
        <v>0.916655</v>
      </c>
      <c r="Y4212">
        <v>0.27899040000000003</v>
      </c>
      <c r="Z4212">
        <v>0.1131001</v>
      </c>
      <c r="AA4212">
        <v>0.95361039999999997</v>
      </c>
      <c r="AB4212">
        <v>22</v>
      </c>
      <c r="AC4212">
        <v>0.57489999999998498</v>
      </c>
      <c r="AD4212">
        <v>-1.10409125564</v>
      </c>
      <c r="AE4212">
        <v>-7.4151999999999898</v>
      </c>
      <c r="AF4212">
        <v>2.0560978401152199</v>
      </c>
      <c r="AG4212">
        <v>-1.10409125564</v>
      </c>
      <c r="AH4212">
        <v>6.9805741421919096</v>
      </c>
      <c r="AI4212">
        <v>98.627214124381098</v>
      </c>
      <c r="AJ4212">
        <v>73.5878912738373</v>
      </c>
      <c r="AK4212">
        <v>7.3603648811418001</v>
      </c>
      <c r="AL4212">
        <v>67.602427522713199</v>
      </c>
      <c r="AM4212">
        <v>82.501230050582606</v>
      </c>
      <c r="AN4212">
        <v>0.99999998793322398</v>
      </c>
    </row>
    <row r="4213" spans="1:40" x14ac:dyDescent="0.25">
      <c r="A4213" t="str">
        <f>"20190304164213248"</f>
        <v>20190304164213248</v>
      </c>
      <c r="B4213" t="str">
        <f>"1551688933244879"</f>
        <v>1551688933244879</v>
      </c>
      <c r="C4213" t="s">
        <v>40</v>
      </c>
      <c r="D4213">
        <v>4.9423320000000004</v>
      </c>
      <c r="E4213">
        <v>0.57464150000000003</v>
      </c>
      <c r="F4213" t="s">
        <v>42</v>
      </c>
      <c r="G4213">
        <v>-192.5909</v>
      </c>
      <c r="H4213" s="1">
        <v>-3.2674499999999999E-6</v>
      </c>
      <c r="I4213">
        <v>195.59870000000001</v>
      </c>
      <c r="J4213">
        <v>-193.1114</v>
      </c>
      <c r="K4213">
        <v>1.104141</v>
      </c>
      <c r="L4213">
        <v>202.80860000000001</v>
      </c>
      <c r="M4213">
        <v>0.34667249999999999</v>
      </c>
      <c r="N4213">
        <v>-1.5022860000000001E-2</v>
      </c>
      <c r="O4213">
        <v>-0.93786599999999998</v>
      </c>
      <c r="P4213">
        <v>0.21651200000000001</v>
      </c>
      <c r="Q4213">
        <v>0.36668600000000001</v>
      </c>
      <c r="R4213">
        <v>-0.90480059999999995</v>
      </c>
      <c r="S4213">
        <v>0.27053829999999901</v>
      </c>
      <c r="T4213">
        <v>-0.51856279999999999</v>
      </c>
      <c r="U4213">
        <v>-3.4695130000000001</v>
      </c>
      <c r="V4213">
        <v>0.1169898</v>
      </c>
      <c r="W4213">
        <v>0.37861260000000002</v>
      </c>
      <c r="X4213">
        <v>0.9181317</v>
      </c>
      <c r="Y4213">
        <v>0.27289010000000002</v>
      </c>
      <c r="Z4213">
        <v>0.116517</v>
      </c>
      <c r="AA4213">
        <v>0.95496329999999996</v>
      </c>
      <c r="AB4213">
        <v>22</v>
      </c>
      <c r="AC4213">
        <v>0.52049999999999796</v>
      </c>
      <c r="AD4213">
        <v>-1.1041442674499999</v>
      </c>
      <c r="AE4213">
        <v>-7.2099000000000002</v>
      </c>
      <c r="AF4213">
        <v>1.9656801414419101</v>
      </c>
      <c r="AG4213">
        <v>-1.1041442674499999</v>
      </c>
      <c r="AH4213">
        <v>6.7848480342758304</v>
      </c>
      <c r="AI4213">
        <v>98.883959035941899</v>
      </c>
      <c r="AJ4213">
        <v>73.842843176162106</v>
      </c>
      <c r="AK4213">
        <v>7.1496290694006204</v>
      </c>
      <c r="AL4213">
        <v>67.752228855672996</v>
      </c>
      <c r="AM4213">
        <v>82.738412358654799</v>
      </c>
      <c r="AN4213">
        <v>0.99999996636384403</v>
      </c>
    </row>
    <row r="4214" spans="1:40" x14ac:dyDescent="0.25">
      <c r="A4214" t="str">
        <f>"20190304164213263"</f>
        <v>20190304164213263</v>
      </c>
      <c r="B4214" t="str">
        <f>"1551688933255615"</f>
        <v>1551688933255615</v>
      </c>
      <c r="C4214" t="s">
        <v>40</v>
      </c>
      <c r="D4214">
        <v>4.9414319999999998</v>
      </c>
      <c r="E4214">
        <v>0.57452000000000003</v>
      </c>
      <c r="F4214" t="s">
        <v>42</v>
      </c>
      <c r="G4214">
        <v>-192.58600000000001</v>
      </c>
      <c r="H4214" s="1">
        <v>-3.252814E-6</v>
      </c>
      <c r="I4214">
        <v>195.5676</v>
      </c>
      <c r="J4214">
        <v>-193.07060000000001</v>
      </c>
      <c r="K4214">
        <v>1.104193</v>
      </c>
      <c r="L4214">
        <v>202.67509999999999</v>
      </c>
      <c r="M4214">
        <v>0.3398176</v>
      </c>
      <c r="N4214">
        <v>-1.499924E-2</v>
      </c>
      <c r="O4214">
        <v>-0.94037199999999999</v>
      </c>
      <c r="P4214">
        <v>0.21153369999999999</v>
      </c>
      <c r="Q4214">
        <v>0.36594759999999998</v>
      </c>
      <c r="R4214">
        <v>-0.90627610000000003</v>
      </c>
      <c r="S4214">
        <v>0.2517395</v>
      </c>
      <c r="T4214">
        <v>-0.52909220000000001</v>
      </c>
      <c r="U4214">
        <v>-3.4698329999999999</v>
      </c>
      <c r="V4214">
        <v>0.1153682</v>
      </c>
      <c r="W4214">
        <v>0.37790069999999998</v>
      </c>
      <c r="X4214">
        <v>0.9186301</v>
      </c>
      <c r="Y4214">
        <v>0.27104250000000002</v>
      </c>
      <c r="Z4214">
        <v>0.11974360000000001</v>
      </c>
      <c r="AA4214">
        <v>0.95509029999999995</v>
      </c>
      <c r="AB4214">
        <v>22</v>
      </c>
      <c r="AC4214">
        <v>0.48460000000002801</v>
      </c>
      <c r="AD4214">
        <v>-1.1041962528139999</v>
      </c>
      <c r="AE4214">
        <v>-7.1074999999999804</v>
      </c>
      <c r="AF4214">
        <v>1.91379244742347</v>
      </c>
      <c r="AG4214">
        <v>-1.1041962528139999</v>
      </c>
      <c r="AH4214">
        <v>6.6884552874145404</v>
      </c>
      <c r="AI4214">
        <v>99.018769931245501</v>
      </c>
      <c r="AJ4214">
        <v>74.032389617299103</v>
      </c>
      <c r="AK4214">
        <v>7.0439537923162998</v>
      </c>
      <c r="AL4214">
        <v>67.796292583778794</v>
      </c>
      <c r="AM4214">
        <v>82.841858468791102</v>
      </c>
      <c r="AN4214">
        <v>1.00000001062887</v>
      </c>
    </row>
    <row r="4215" spans="1:40" x14ac:dyDescent="0.25">
      <c r="A4215" t="str">
        <f>"20190304164213277"</f>
        <v>20190304164213277</v>
      </c>
      <c r="B4215" t="str">
        <f>"1551688933265375"</f>
        <v>1551688933265375</v>
      </c>
      <c r="C4215" t="s">
        <v>40</v>
      </c>
      <c r="D4215">
        <v>5.3283849999999999</v>
      </c>
      <c r="E4215">
        <v>0.57437569999999905</v>
      </c>
      <c r="F4215" t="s">
        <v>42</v>
      </c>
      <c r="G4215">
        <v>-192.58670000000001</v>
      </c>
      <c r="H4215" s="1">
        <v>-3.215012E-6</v>
      </c>
      <c r="I4215">
        <v>195.47909999999999</v>
      </c>
      <c r="J4215">
        <v>-193.0301</v>
      </c>
      <c r="K4215">
        <v>1.1042479999999999</v>
      </c>
      <c r="L4215">
        <v>202.53819999999999</v>
      </c>
      <c r="M4215">
        <v>0.33284750000000002</v>
      </c>
      <c r="N4215">
        <v>-1.4974889999999999E-2</v>
      </c>
      <c r="O4215">
        <v>-0.94286190000000003</v>
      </c>
      <c r="P4215">
        <v>0.20607300000000001</v>
      </c>
      <c r="Q4215">
        <v>0.36527749999999998</v>
      </c>
      <c r="R4215">
        <v>-0.90780289999999997</v>
      </c>
      <c r="S4215">
        <v>0.23339840000000001</v>
      </c>
      <c r="T4215">
        <v>-0.53257580000000004</v>
      </c>
      <c r="U4215">
        <v>-3.4708100000000002</v>
      </c>
      <c r="V4215">
        <v>0.11411640000000001</v>
      </c>
      <c r="W4215">
        <v>0.3772508</v>
      </c>
      <c r="X4215">
        <v>0.91905349999999997</v>
      </c>
      <c r="Y4215">
        <v>0.2689723</v>
      </c>
      <c r="Z4215">
        <v>0.1212046</v>
      </c>
      <c r="AA4215">
        <v>0.95549110000000004</v>
      </c>
      <c r="AB4215">
        <v>22</v>
      </c>
      <c r="AC4215">
        <v>0.44339999999999602</v>
      </c>
      <c r="AD4215">
        <v>-1.1042512150120001</v>
      </c>
      <c r="AE4215">
        <v>-7.0590999999999999</v>
      </c>
      <c r="AF4215">
        <v>1.8857908818032501</v>
      </c>
      <c r="AG4215">
        <v>-1.1042512150120001</v>
      </c>
      <c r="AH4215">
        <v>6.6422058530879999</v>
      </c>
      <c r="AI4215">
        <v>99.086204079361707</v>
      </c>
      <c r="AJ4215">
        <v>74.150207724584504</v>
      </c>
      <c r="AK4215">
        <v>6.9924585512210404</v>
      </c>
      <c r="AL4215">
        <v>67.836506132197897</v>
      </c>
      <c r="AM4215">
        <v>82.921964135443503</v>
      </c>
      <c r="AN4215">
        <v>1.00000002735592</v>
      </c>
    </row>
    <row r="4216" spans="1:40" x14ac:dyDescent="0.25">
      <c r="A4216" t="str">
        <f>"20190304164213294"</f>
        <v>20190304164213294</v>
      </c>
      <c r="B4216" t="str">
        <f>"1551688933284895"</f>
        <v>1551688933284895</v>
      </c>
      <c r="C4216" t="s">
        <v>40</v>
      </c>
      <c r="D4216">
        <v>4.9295339999999896</v>
      </c>
      <c r="E4216">
        <v>0.56036439999999998</v>
      </c>
      <c r="F4216" t="s">
        <v>41</v>
      </c>
      <c r="G4216">
        <v>-192.98140000000001</v>
      </c>
      <c r="H4216">
        <v>0.98250899999999997</v>
      </c>
      <c r="I4216">
        <v>201.75200000000001</v>
      </c>
      <c r="J4216">
        <v>-192.98259999999999</v>
      </c>
      <c r="K4216">
        <v>1.1043160000000001</v>
      </c>
      <c r="L4216">
        <v>202.3732</v>
      </c>
      <c r="M4216">
        <v>0.32450909999999999</v>
      </c>
      <c r="N4216">
        <v>-1.4945440000000001E-2</v>
      </c>
      <c r="O4216">
        <v>-0.94576450000000001</v>
      </c>
      <c r="P4216">
        <v>0.20026769999999999</v>
      </c>
      <c r="Q4216">
        <v>0.36371170000000003</v>
      </c>
      <c r="R4216">
        <v>-0.90972909999999996</v>
      </c>
      <c r="S4216">
        <v>0.21513370000000001</v>
      </c>
      <c r="T4216">
        <v>-0.53739979999999998</v>
      </c>
      <c r="U4216">
        <v>-3.472092</v>
      </c>
      <c r="V4216">
        <v>0.11196970000000001</v>
      </c>
      <c r="W4216">
        <v>0.37572489999999997</v>
      </c>
      <c r="X4216">
        <v>0.91994209999999998</v>
      </c>
      <c r="Y4216">
        <v>0.26551340000000001</v>
      </c>
      <c r="Z4216">
        <v>0.1231235</v>
      </c>
      <c r="AA4216">
        <v>0.95621290000000003</v>
      </c>
      <c r="AB4216">
        <v>22</v>
      </c>
      <c r="AC4216">
        <v>1.1999999999829901E-3</v>
      </c>
      <c r="AD4216">
        <v>-0.121807</v>
      </c>
      <c r="AE4216">
        <v>-0.62119999999998698</v>
      </c>
      <c r="AF4216">
        <v>0.193050030999386</v>
      </c>
      <c r="AG4216">
        <v>-0.121807</v>
      </c>
      <c r="AH4216">
        <v>0.56619462132929799</v>
      </c>
      <c r="AI4216">
        <v>101.509343455015</v>
      </c>
      <c r="AJ4216">
        <v>71.172648479914898</v>
      </c>
      <c r="AK4216">
        <v>0.61047654249781802</v>
      </c>
      <c r="AL4216">
        <v>67.930875459183397</v>
      </c>
      <c r="AM4216">
        <v>83.060443563394401</v>
      </c>
      <c r="AN4216">
        <v>0.999999940775253</v>
      </c>
    </row>
    <row r="4217" spans="1:40" x14ac:dyDescent="0.25">
      <c r="A4217" t="str">
        <f>"20190304164213310"</f>
        <v>20190304164213310</v>
      </c>
      <c r="B4217" t="str">
        <f>"1551688933305391"</f>
        <v>1551688933305391</v>
      </c>
      <c r="C4217" t="s">
        <v>40</v>
      </c>
      <c r="D4217">
        <v>4.8709300000000004</v>
      </c>
      <c r="E4217">
        <v>0.56230550000000001</v>
      </c>
      <c r="F4217" t="s">
        <v>41</v>
      </c>
      <c r="G4217">
        <v>-192.9126</v>
      </c>
      <c r="H4217">
        <v>0.98537870000000005</v>
      </c>
      <c r="I4217">
        <v>201.57060000000001</v>
      </c>
      <c r="J4217">
        <v>-192.94139999999999</v>
      </c>
      <c r="K4217">
        <v>1.104385</v>
      </c>
      <c r="L4217">
        <v>202.2261</v>
      </c>
      <c r="M4217">
        <v>0.31713609999999998</v>
      </c>
      <c r="N4217">
        <v>-1.491899E-2</v>
      </c>
      <c r="O4217">
        <v>-0.94826279999999996</v>
      </c>
      <c r="P4217">
        <v>0.19404189999999999</v>
      </c>
      <c r="Q4217">
        <v>0.36235790000000001</v>
      </c>
      <c r="R4217">
        <v>-0.9116166</v>
      </c>
      <c r="S4217">
        <v>0.30017090000000002</v>
      </c>
      <c r="T4217">
        <v>-0.50846289999999905</v>
      </c>
      <c r="U4217">
        <v>-3.43486</v>
      </c>
      <c r="V4217">
        <v>0.1111775</v>
      </c>
      <c r="W4217">
        <v>0.37438690000000002</v>
      </c>
      <c r="X4217">
        <v>0.9205835</v>
      </c>
      <c r="Y4217">
        <v>0.23371310000000001</v>
      </c>
      <c r="Z4217">
        <v>0.1183512</v>
      </c>
      <c r="AA4217">
        <v>0.96507569999999998</v>
      </c>
      <c r="AB4217">
        <v>22</v>
      </c>
      <c r="AC4217">
        <v>2.8799999999989698E-2</v>
      </c>
      <c r="AD4217">
        <v>-0.119006299999999</v>
      </c>
      <c r="AE4217">
        <v>-0.65549999999998898</v>
      </c>
      <c r="AF4217">
        <v>0.17484106836554</v>
      </c>
      <c r="AG4217">
        <v>-0.119006299999999</v>
      </c>
      <c r="AH4217">
        <v>0.61069969954562198</v>
      </c>
      <c r="AI4217">
        <v>100.610918643052</v>
      </c>
      <c r="AJ4217">
        <v>74.023778286182903</v>
      </c>
      <c r="AK4217">
        <v>0.64628633101126898</v>
      </c>
      <c r="AL4217">
        <v>68.013575040743703</v>
      </c>
      <c r="AM4217">
        <v>83.113823081716305</v>
      </c>
      <c r="AN4217">
        <v>0.99999998393505396</v>
      </c>
    </row>
    <row r="4218" spans="1:40" x14ac:dyDescent="0.25">
      <c r="A4218" t="str">
        <f>"20190304164213322"</f>
        <v>20190304164213322</v>
      </c>
      <c r="B4218" t="str">
        <f>"1551688933315151"</f>
        <v>1551688933315151</v>
      </c>
      <c r="C4218" t="s">
        <v>40</v>
      </c>
      <c r="D4218">
        <v>4.8591129999999998</v>
      </c>
      <c r="E4218">
        <v>0.56251079999999998</v>
      </c>
      <c r="F4218" t="s">
        <v>41</v>
      </c>
      <c r="G4218">
        <v>-192.87690000000001</v>
      </c>
      <c r="H4218">
        <v>0.98493039999999998</v>
      </c>
      <c r="I4218">
        <v>201.3751</v>
      </c>
      <c r="J4218">
        <v>-192.90639999999999</v>
      </c>
      <c r="K4218">
        <v>1.104447</v>
      </c>
      <c r="L4218">
        <v>202.0984</v>
      </c>
      <c r="M4218">
        <v>0.3107742</v>
      </c>
      <c r="N4218">
        <v>-1.4896100000000001E-2</v>
      </c>
      <c r="O4218">
        <v>-0.95036719999999997</v>
      </c>
      <c r="P4218">
        <v>0.18805730000000001</v>
      </c>
      <c r="Q4218">
        <v>0.36172799999999999</v>
      </c>
      <c r="R4218">
        <v>-0.91311969999999998</v>
      </c>
      <c r="S4218">
        <v>0.25968930000000001</v>
      </c>
      <c r="T4218">
        <v>-0.48083910000000002</v>
      </c>
      <c r="U4218">
        <v>-3.4267120000000002</v>
      </c>
      <c r="V4218">
        <v>0.1110556</v>
      </c>
      <c r="W4218">
        <v>0.37375809999999998</v>
      </c>
      <c r="X4218">
        <v>0.9208537</v>
      </c>
      <c r="Y4218">
        <v>0.23827110000000001</v>
      </c>
      <c r="Z4218">
        <v>0.11194560000000001</v>
      </c>
      <c r="AA4218">
        <v>0.96472539999999996</v>
      </c>
      <c r="AB4218">
        <v>22</v>
      </c>
      <c r="AC4218">
        <v>2.94999999999845E-2</v>
      </c>
      <c r="AD4218">
        <v>-0.119516599999999</v>
      </c>
      <c r="AE4218">
        <v>-0.72329999999999395</v>
      </c>
      <c r="AF4218">
        <v>0.191547696054996</v>
      </c>
      <c r="AG4218">
        <v>-0.119516599999999</v>
      </c>
      <c r="AH4218">
        <v>0.67816017260953598</v>
      </c>
      <c r="AI4218">
        <v>99.625826608553098</v>
      </c>
      <c r="AJ4218">
        <v>74.227561092298203</v>
      </c>
      <c r="AK4218">
        <v>0.71475587248607597</v>
      </c>
      <c r="AL4218">
        <v>68.052423387821094</v>
      </c>
      <c r="AM4218">
        <v>83.123300055129405</v>
      </c>
      <c r="AN4218">
        <v>1.00000000020533</v>
      </c>
    </row>
    <row r="4219" spans="1:40" x14ac:dyDescent="0.25">
      <c r="A4219" t="str">
        <f>"20190304164213338"</f>
        <v>20190304164213338</v>
      </c>
      <c r="B4219" t="str">
        <f>"1551688933324912"</f>
        <v>1551688933324912</v>
      </c>
      <c r="C4219" t="s">
        <v>40</v>
      </c>
      <c r="D4219">
        <v>4.8591170000000004</v>
      </c>
      <c r="E4219">
        <v>0.56270209999999998</v>
      </c>
      <c r="F4219" t="s">
        <v>41</v>
      </c>
      <c r="G4219">
        <v>-192.84280000000001</v>
      </c>
      <c r="H4219">
        <v>0.97689809999999999</v>
      </c>
      <c r="I4219">
        <v>201.18260000000001</v>
      </c>
      <c r="J4219">
        <v>-192.8674</v>
      </c>
      <c r="K4219">
        <v>1.1045149999999999</v>
      </c>
      <c r="L4219">
        <v>201.95089999999999</v>
      </c>
      <c r="M4219">
        <v>0.30351009999999901</v>
      </c>
      <c r="N4219">
        <v>-1.486926E-2</v>
      </c>
      <c r="O4219">
        <v>-0.95271209999999995</v>
      </c>
      <c r="P4219">
        <v>0.18082100000000001</v>
      </c>
      <c r="Q4219">
        <v>0.36194369999999998</v>
      </c>
      <c r="R4219">
        <v>-0.91449480000000005</v>
      </c>
      <c r="S4219">
        <v>0.238205</v>
      </c>
      <c r="T4219">
        <v>-0.47661609999999999</v>
      </c>
      <c r="U4219">
        <v>-3.4251710000000002</v>
      </c>
      <c r="V4219">
        <v>0.1112281</v>
      </c>
      <c r="W4219">
        <v>0.37396370000000001</v>
      </c>
      <c r="X4219">
        <v>0.92074940000000005</v>
      </c>
      <c r="Y4219">
        <v>0.2368441</v>
      </c>
      <c r="Z4219">
        <v>0.11144419999999999</v>
      </c>
      <c r="AA4219">
        <v>0.96513470000000001</v>
      </c>
      <c r="AB4219">
        <v>22</v>
      </c>
      <c r="AC4219">
        <v>2.4599999999992399E-2</v>
      </c>
      <c r="AD4219">
        <v>-0.12761689999999901</v>
      </c>
      <c r="AE4219">
        <v>-0.768299999999982</v>
      </c>
      <c r="AF4219">
        <v>0.20414662606909101</v>
      </c>
      <c r="AG4219">
        <v>-0.12761689999999901</v>
      </c>
      <c r="AH4219">
        <v>0.71968107423121197</v>
      </c>
      <c r="AI4219">
        <v>99.681100299553293</v>
      </c>
      <c r="AJ4219">
        <v>74.163342338044401</v>
      </c>
      <c r="AK4219">
        <v>0.75888257768089196</v>
      </c>
      <c r="AL4219">
        <v>68.039722315276506</v>
      </c>
      <c r="AM4219">
        <v>83.111948482767502</v>
      </c>
      <c r="AN4219">
        <v>0.99999999837383002</v>
      </c>
    </row>
    <row r="4220" spans="1:40" x14ac:dyDescent="0.25">
      <c r="A4220" t="str">
        <f>"20190304164213354"</f>
        <v>20190304164213354</v>
      </c>
      <c r="B4220" t="str">
        <f>"1551688933345407"</f>
        <v>1551688933345407</v>
      </c>
      <c r="C4220" t="s">
        <v>40</v>
      </c>
      <c r="D4220">
        <v>4.8649329999999997</v>
      </c>
      <c r="E4220">
        <v>0.56234770000000001</v>
      </c>
      <c r="F4220" t="s">
        <v>41</v>
      </c>
      <c r="G4220">
        <v>-192.81870000000001</v>
      </c>
      <c r="H4220">
        <v>0.99842690000000001</v>
      </c>
      <c r="I4220">
        <v>201.1814</v>
      </c>
      <c r="J4220">
        <v>-192.8304</v>
      </c>
      <c r="K4220">
        <v>1.10459</v>
      </c>
      <c r="L4220">
        <v>201.80709999999999</v>
      </c>
      <c r="M4220">
        <v>0.29648419999999998</v>
      </c>
      <c r="N4220">
        <v>-1.484364E-2</v>
      </c>
      <c r="O4220">
        <v>-0.9549223</v>
      </c>
      <c r="P4220">
        <v>0.17365720000000001</v>
      </c>
      <c r="Q4220">
        <v>0.36257479999999997</v>
      </c>
      <c r="R4220">
        <v>-0.91563260000000002</v>
      </c>
      <c r="S4220">
        <v>0.2170715</v>
      </c>
      <c r="T4220">
        <v>-0.47156730000000002</v>
      </c>
      <c r="U4220">
        <v>-3.4242249999999999</v>
      </c>
      <c r="V4220">
        <v>0.1115266</v>
      </c>
      <c r="W4220">
        <v>0.37458049999999998</v>
      </c>
      <c r="X4220">
        <v>0.92046249999999996</v>
      </c>
      <c r="Y4220">
        <v>0.23559859999999999</v>
      </c>
      <c r="Z4220">
        <v>0.11066280000000001</v>
      </c>
      <c r="AA4220">
        <v>0.96552939999999998</v>
      </c>
      <c r="AB4220">
        <v>22</v>
      </c>
      <c r="AC4220">
        <v>1.16999999999904E-2</v>
      </c>
      <c r="AD4220">
        <v>-0.106163099999999</v>
      </c>
      <c r="AE4220">
        <v>-0.62569999999999404</v>
      </c>
      <c r="AF4220">
        <v>0.16947949051817299</v>
      </c>
      <c r="AG4220">
        <v>-0.106163099999999</v>
      </c>
      <c r="AH4220">
        <v>0.58421732104627599</v>
      </c>
      <c r="AI4220">
        <v>99.899738574738706</v>
      </c>
      <c r="AJ4220">
        <v>73.822732811960094</v>
      </c>
      <c r="AK4220">
        <v>0.61749799976874198</v>
      </c>
      <c r="AL4220">
        <v>68.001611837386207</v>
      </c>
      <c r="AM4220">
        <v>83.091509646068602</v>
      </c>
      <c r="AN4220">
        <v>0.99999997369702898</v>
      </c>
    </row>
    <row r="4221" spans="1:40" x14ac:dyDescent="0.25">
      <c r="A4221" t="str">
        <f>"20190304164213368"</f>
        <v>20190304164213368</v>
      </c>
      <c r="B4221" t="str">
        <f>"1551688933355167"</f>
        <v>1551688933355167</v>
      </c>
      <c r="C4221" t="s">
        <v>40</v>
      </c>
      <c r="D4221">
        <v>4.8786589999999999</v>
      </c>
      <c r="E4221">
        <v>0.56226899999999902</v>
      </c>
      <c r="F4221" t="s">
        <v>41</v>
      </c>
      <c r="G4221">
        <v>-192.7835</v>
      </c>
      <c r="H4221">
        <v>0.9936239</v>
      </c>
      <c r="I4221">
        <v>200.98910000000001</v>
      </c>
      <c r="J4221">
        <v>-192.79519999999999</v>
      </c>
      <c r="K4221">
        <v>1.1046579999999999</v>
      </c>
      <c r="L4221">
        <v>201.66650000000001</v>
      </c>
      <c r="M4221">
        <v>0.28966730000000002</v>
      </c>
      <c r="N4221">
        <v>-1.481939E-2</v>
      </c>
      <c r="O4221">
        <v>-0.9570128</v>
      </c>
      <c r="P4221">
        <v>0.16693640000000001</v>
      </c>
      <c r="Q4221">
        <v>0.36315989999999998</v>
      </c>
      <c r="R4221">
        <v>-0.91665010000000002</v>
      </c>
      <c r="S4221">
        <v>0.19621279999999999</v>
      </c>
      <c r="T4221">
        <v>-0.46444269999999999</v>
      </c>
      <c r="U4221">
        <v>-3.4231259999999999</v>
      </c>
      <c r="V4221">
        <v>0.1115968</v>
      </c>
      <c r="W4221">
        <v>0.37515559999999998</v>
      </c>
      <c r="X4221">
        <v>0.92021980000000003</v>
      </c>
      <c r="Y4221">
        <v>0.2345081</v>
      </c>
      <c r="Z4221">
        <v>0.1093015</v>
      </c>
      <c r="AA4221">
        <v>0.96594979999999997</v>
      </c>
      <c r="AB4221">
        <v>22</v>
      </c>
      <c r="AC4221">
        <v>1.16999999999904E-2</v>
      </c>
      <c r="AD4221">
        <v>-0.111034099999999</v>
      </c>
      <c r="AE4221">
        <v>-0.677400000000005</v>
      </c>
      <c r="AF4221">
        <v>0.180203749767475</v>
      </c>
      <c r="AG4221">
        <v>-0.111034099999999</v>
      </c>
      <c r="AH4221">
        <v>0.63469370800241698</v>
      </c>
      <c r="AI4221">
        <v>99.552773011186304</v>
      </c>
      <c r="AJ4221">
        <v>74.1495688853866</v>
      </c>
      <c r="AK4221">
        <v>0.66905759525688502</v>
      </c>
      <c r="AL4221">
        <v>67.966070391809595</v>
      </c>
      <c r="AM4221">
        <v>83.085397645306003</v>
      </c>
      <c r="AN4221">
        <v>1.00000002514681</v>
      </c>
    </row>
    <row r="4222" spans="1:40" x14ac:dyDescent="0.25">
      <c r="A4222" t="str">
        <f>"20190304164213383"</f>
        <v>20190304164213383</v>
      </c>
      <c r="B4222" t="str">
        <f>"1551688933375664"</f>
        <v>1551688933375664</v>
      </c>
      <c r="C4222" t="s">
        <v>40</v>
      </c>
      <c r="D4222">
        <v>4.8796200000000001</v>
      </c>
      <c r="E4222">
        <v>0.56169959999999997</v>
      </c>
      <c r="F4222" t="s">
        <v>41</v>
      </c>
      <c r="G4222">
        <v>-192.7509</v>
      </c>
      <c r="H4222">
        <v>0.98777950000000003</v>
      </c>
      <c r="I4222">
        <v>200.79679999999999</v>
      </c>
      <c r="J4222">
        <v>-192.7587</v>
      </c>
      <c r="K4222">
        <v>1.104735</v>
      </c>
      <c r="L4222">
        <v>201.517</v>
      </c>
      <c r="M4222">
        <v>0.28246149999999998</v>
      </c>
      <c r="N4222">
        <v>-1.479454E-2</v>
      </c>
      <c r="O4222">
        <v>-0.95916460000000003</v>
      </c>
      <c r="P4222">
        <v>0.160464299999999</v>
      </c>
      <c r="Q4222">
        <v>0.36402289999999998</v>
      </c>
      <c r="R4222">
        <v>-0.91746320000000003</v>
      </c>
      <c r="S4222">
        <v>0.17448429999999901</v>
      </c>
      <c r="T4222">
        <v>-0.45994570000000001</v>
      </c>
      <c r="U4222">
        <v>-3.4232330000000002</v>
      </c>
      <c r="V4222">
        <v>0.11102190000000001</v>
      </c>
      <c r="W4222">
        <v>0.3760175</v>
      </c>
      <c r="X4222">
        <v>0.91993749999999996</v>
      </c>
      <c r="Y4222">
        <v>0.2333124</v>
      </c>
      <c r="Z4222">
        <v>0.1085882</v>
      </c>
      <c r="AA4222">
        <v>0.96631979999999995</v>
      </c>
      <c r="AB4222">
        <v>22</v>
      </c>
      <c r="AC4222">
        <v>7.80000000000313E-3</v>
      </c>
      <c r="AD4222">
        <v>-0.1169555</v>
      </c>
      <c r="AE4222">
        <v>-0.72020000000000495</v>
      </c>
      <c r="AF4222">
        <v>0.190934095095214</v>
      </c>
      <c r="AG4222">
        <v>-0.1169555</v>
      </c>
      <c r="AH4222">
        <v>0.67526372227839104</v>
      </c>
      <c r="AI4222">
        <v>99.462249377911306</v>
      </c>
      <c r="AJ4222">
        <v>74.211492104390899</v>
      </c>
      <c r="AK4222">
        <v>0.711417958921017</v>
      </c>
      <c r="AL4222">
        <v>67.912785793770098</v>
      </c>
      <c r="AM4222">
        <v>83.118585744289703</v>
      </c>
      <c r="AN4222">
        <v>1.00000001324605</v>
      </c>
    </row>
    <row r="4223" spans="1:40" x14ac:dyDescent="0.25">
      <c r="A4223" t="str">
        <f>"20190304164213399"</f>
        <v>20190304164213399</v>
      </c>
      <c r="B4223" t="str">
        <f>"1551688933395185"</f>
        <v>1551688933395185</v>
      </c>
      <c r="C4223" t="s">
        <v>40</v>
      </c>
      <c r="D4223">
        <v>4.8570330000000004</v>
      </c>
      <c r="E4223">
        <v>0.56122879999999997</v>
      </c>
      <c r="F4223" t="s">
        <v>41</v>
      </c>
      <c r="G4223">
        <v>-192.7165</v>
      </c>
      <c r="H4223">
        <v>0.98336089999999998</v>
      </c>
      <c r="I4223">
        <v>200.6052</v>
      </c>
      <c r="J4223">
        <v>-192.72280000000001</v>
      </c>
      <c r="K4223">
        <v>1.1048020000000001</v>
      </c>
      <c r="L4223">
        <v>201.36420000000001</v>
      </c>
      <c r="M4223">
        <v>0.27516570000000001</v>
      </c>
      <c r="N4223">
        <v>-1.477029E-2</v>
      </c>
      <c r="O4223">
        <v>-0.96128349999999996</v>
      </c>
      <c r="P4223">
        <v>0.154003</v>
      </c>
      <c r="Q4223">
        <v>0.36420279999999999</v>
      </c>
      <c r="R4223">
        <v>-0.91849879999999995</v>
      </c>
      <c r="S4223">
        <v>0.1585541</v>
      </c>
      <c r="T4223">
        <v>-0.45531480000000002</v>
      </c>
      <c r="U4223">
        <v>-3.4228360000000002</v>
      </c>
      <c r="V4223">
        <v>0.1104311</v>
      </c>
      <c r="W4223">
        <v>0.37619900000000001</v>
      </c>
      <c r="X4223">
        <v>0.91993440000000004</v>
      </c>
      <c r="Y4223">
        <v>0.2304079</v>
      </c>
      <c r="Z4223">
        <v>0.10786569999999999</v>
      </c>
      <c r="AA4223">
        <v>0.96709730000000005</v>
      </c>
      <c r="AB4223">
        <v>22</v>
      </c>
      <c r="AC4223">
        <v>6.3000000000101803E-3</v>
      </c>
      <c r="AD4223">
        <v>-0.121441099999999</v>
      </c>
      <c r="AE4223">
        <v>-0.759000000000014</v>
      </c>
      <c r="AF4223">
        <v>0.19775451674713601</v>
      </c>
      <c r="AG4223">
        <v>-0.121441099999999</v>
      </c>
      <c r="AH4223">
        <v>0.71317114850110597</v>
      </c>
      <c r="AI4223">
        <v>99.318711107296906</v>
      </c>
      <c r="AJ4223">
        <v>74.501890940342705</v>
      </c>
      <c r="AK4223">
        <v>0.74997858417256902</v>
      </c>
      <c r="AL4223">
        <v>67.9015624266315</v>
      </c>
      <c r="AM4223">
        <v>83.154833783788604</v>
      </c>
      <c r="AN4223">
        <v>1.00000000787578</v>
      </c>
    </row>
    <row r="4224" spans="1:40" x14ac:dyDescent="0.25">
      <c r="A4224" t="str">
        <f>"20190304164213412"</f>
        <v>20190304164213412</v>
      </c>
      <c r="B4224" t="str">
        <f>"1551688933404943"</f>
        <v>1551688933404943</v>
      </c>
      <c r="C4224" t="s">
        <v>40</v>
      </c>
      <c r="D4224">
        <v>4.871397</v>
      </c>
      <c r="E4224">
        <v>0.56095620000000002</v>
      </c>
      <c r="F4224" t="s">
        <v>41</v>
      </c>
      <c r="G4224">
        <v>-192.6919</v>
      </c>
      <c r="H4224">
        <v>1.0041199999999999</v>
      </c>
      <c r="I4224">
        <v>200.60339999999999</v>
      </c>
      <c r="J4224">
        <v>-192.69239999999999</v>
      </c>
      <c r="K4224">
        <v>1.104854</v>
      </c>
      <c r="L4224">
        <v>201.2304</v>
      </c>
      <c r="M4224">
        <v>0.26881539999999998</v>
      </c>
      <c r="N4224">
        <v>-1.475024E-2</v>
      </c>
      <c r="O4224">
        <v>-0.96307889999999996</v>
      </c>
      <c r="P4224">
        <v>0.14822639999999901</v>
      </c>
      <c r="Q4224">
        <v>0.36466460000000001</v>
      </c>
      <c r="R4224">
        <v>-0.91926540000000001</v>
      </c>
      <c r="S4224">
        <v>0.13914489999999999</v>
      </c>
      <c r="T4224">
        <v>-0.45250030000000002</v>
      </c>
      <c r="U4224">
        <v>-3.4223020000000002</v>
      </c>
      <c r="V4224">
        <v>0.11005570000000001</v>
      </c>
      <c r="W4224">
        <v>0.37665799999999999</v>
      </c>
      <c r="X4224">
        <v>0.91979149999999998</v>
      </c>
      <c r="Y4224">
        <v>0.22945479999999999</v>
      </c>
      <c r="Z4224">
        <v>0.1075233</v>
      </c>
      <c r="AA4224">
        <v>0.96736200000000006</v>
      </c>
      <c r="AB4224">
        <v>22</v>
      </c>
      <c r="AC4224">
        <v>4.9999999998817603E-4</v>
      </c>
      <c r="AD4224">
        <v>-0.100733999999999</v>
      </c>
      <c r="AE4224">
        <v>-0.62700000000000899</v>
      </c>
      <c r="AF4224">
        <v>0.16385461278577401</v>
      </c>
      <c r="AG4224">
        <v>-0.100733999999999</v>
      </c>
      <c r="AH4224">
        <v>0.58885125689196505</v>
      </c>
      <c r="AI4224">
        <v>99.358628213780804</v>
      </c>
      <c r="AJ4224">
        <v>74.450164222491097</v>
      </c>
      <c r="AK4224">
        <v>0.61946870431880796</v>
      </c>
      <c r="AL4224">
        <v>67.873174459658401</v>
      </c>
      <c r="AM4224">
        <v>83.176833694952506</v>
      </c>
      <c r="AN4224">
        <v>0.99999995476936898</v>
      </c>
    </row>
    <row r="4225" spans="1:40" x14ac:dyDescent="0.25">
      <c r="A4225" t="str">
        <f>"20190304164213426"</f>
        <v>20190304164213426</v>
      </c>
      <c r="B4225" t="str">
        <f>"1551688933415680"</f>
        <v>1551688933415680</v>
      </c>
      <c r="C4225" t="s">
        <v>40</v>
      </c>
      <c r="D4225">
        <v>4.8632759999999999</v>
      </c>
      <c r="E4225">
        <v>0.56067540000000005</v>
      </c>
      <c r="F4225" t="s">
        <v>41</v>
      </c>
      <c r="G4225">
        <v>-192.6634</v>
      </c>
      <c r="H4225">
        <v>0.99712710000000004</v>
      </c>
      <c r="I4225">
        <v>200.4118</v>
      </c>
      <c r="J4225">
        <v>-192.6634</v>
      </c>
      <c r="K4225">
        <v>1.104897</v>
      </c>
      <c r="L4225">
        <v>201.1002</v>
      </c>
      <c r="M4225">
        <v>0.262658</v>
      </c>
      <c r="N4225">
        <v>-1.4731640000000001E-2</v>
      </c>
      <c r="O4225">
        <v>-0.96477650000000004</v>
      </c>
      <c r="P4225">
        <v>0.14266909999999999</v>
      </c>
      <c r="Q4225">
        <v>0.36509770000000002</v>
      </c>
      <c r="R4225">
        <v>-0.91997269999999998</v>
      </c>
      <c r="S4225">
        <v>0.121459999999999</v>
      </c>
      <c r="T4225">
        <v>-0.45000610000000002</v>
      </c>
      <c r="U4225">
        <v>-3.4224239999999999</v>
      </c>
      <c r="V4225">
        <v>0.1096597</v>
      </c>
      <c r="W4225">
        <v>0.37708819999999998</v>
      </c>
      <c r="X4225">
        <v>0.9196626</v>
      </c>
      <c r="Y4225">
        <v>0.22823270000000001</v>
      </c>
      <c r="Z4225">
        <v>0.1072211</v>
      </c>
      <c r="AA4225">
        <v>0.96768460000000001</v>
      </c>
      <c r="AB4225">
        <v>22</v>
      </c>
      <c r="AC4225">
        <v>0</v>
      </c>
      <c r="AD4225">
        <v>-0.107769899999999</v>
      </c>
      <c r="AE4225">
        <v>-0.68840000000000101</v>
      </c>
      <c r="AF4225">
        <v>0.176507496762147</v>
      </c>
      <c r="AG4225">
        <v>-0.107769899999999</v>
      </c>
      <c r="AH4225">
        <v>0.64833465932865597</v>
      </c>
      <c r="AI4225">
        <v>99.111956185578904</v>
      </c>
      <c r="AJ4225">
        <v>74.770469740025803</v>
      </c>
      <c r="AK4225">
        <v>0.68051971187178295</v>
      </c>
      <c r="AL4225">
        <v>67.846565398243996</v>
      </c>
      <c r="AM4225">
        <v>83.200210432812796</v>
      </c>
      <c r="AN4225">
        <v>1.00000002911104</v>
      </c>
    </row>
    <row r="4226" spans="1:40" x14ac:dyDescent="0.25">
      <c r="A4226" t="str">
        <f>"20190304164213440"</f>
        <v>20190304164213440</v>
      </c>
      <c r="B4226" t="str">
        <f>"1551688933435710"</f>
        <v>1551688933435710</v>
      </c>
      <c r="C4226" t="s">
        <v>40</v>
      </c>
      <c r="D4226">
        <v>4.8613929999999996</v>
      </c>
      <c r="E4226">
        <v>0.56017569999999905</v>
      </c>
      <c r="F4226" t="s">
        <v>41</v>
      </c>
      <c r="G4226">
        <v>-192.63579999999999</v>
      </c>
      <c r="H4226">
        <v>0.98942580000000002</v>
      </c>
      <c r="I4226">
        <v>200.2208</v>
      </c>
      <c r="J4226">
        <v>-192.6343</v>
      </c>
      <c r="K4226">
        <v>1.1049329999999999</v>
      </c>
      <c r="L4226">
        <v>200.96559999999999</v>
      </c>
      <c r="M4226">
        <v>0.25632290000000002</v>
      </c>
      <c r="N4226">
        <v>-1.471336E-2</v>
      </c>
      <c r="O4226">
        <v>-0.96647930000000004</v>
      </c>
      <c r="P4226">
        <v>0.13680619999999999</v>
      </c>
      <c r="Q4226">
        <v>0.3642706</v>
      </c>
      <c r="R4226">
        <v>-0.92119039999999996</v>
      </c>
      <c r="S4226">
        <v>0.10748290000000001</v>
      </c>
      <c r="T4226">
        <v>-0.44913510000000001</v>
      </c>
      <c r="U4226">
        <v>-3.4225310000000002</v>
      </c>
      <c r="V4226">
        <v>0.109519699999999</v>
      </c>
      <c r="W4226">
        <v>0.37626130000000002</v>
      </c>
      <c r="X4226">
        <v>0.9200178</v>
      </c>
      <c r="Y4226">
        <v>0.225798</v>
      </c>
      <c r="Z4226">
        <v>0.10736800000000001</v>
      </c>
      <c r="AA4226">
        <v>0.96823930000000002</v>
      </c>
      <c r="AB4226">
        <v>22</v>
      </c>
      <c r="AC4226">
        <v>-1.4999999999929499E-3</v>
      </c>
      <c r="AD4226">
        <v>-0.11550719999999901</v>
      </c>
      <c r="AE4226">
        <v>-0.74479999999999702</v>
      </c>
      <c r="AF4226">
        <v>0.187861527182933</v>
      </c>
      <c r="AG4226">
        <v>-0.11550719999999901</v>
      </c>
      <c r="AH4226">
        <v>0.70262807281892004</v>
      </c>
      <c r="AI4226">
        <v>99.024036681202503</v>
      </c>
      <c r="AJ4226">
        <v>75.030977474221999</v>
      </c>
      <c r="AK4226">
        <v>0.73642384219997403</v>
      </c>
      <c r="AL4226">
        <v>67.897708289422695</v>
      </c>
      <c r="AM4226">
        <v>83.211407900899204</v>
      </c>
      <c r="AN4226">
        <v>0.99999994144130799</v>
      </c>
    </row>
    <row r="4227" spans="1:40" x14ac:dyDescent="0.25">
      <c r="A4227" t="str">
        <f>"20190304164213453"</f>
        <v>20190304164213453</v>
      </c>
      <c r="B4227" t="str">
        <f>"1551688933445470"</f>
        <v>1551688933445470</v>
      </c>
      <c r="C4227" t="s">
        <v>40</v>
      </c>
      <c r="D4227">
        <v>4.868106</v>
      </c>
      <c r="E4227">
        <v>0.55985069999999904</v>
      </c>
      <c r="F4227" t="s">
        <v>41</v>
      </c>
      <c r="G4227">
        <v>-192.61420000000001</v>
      </c>
      <c r="H4227">
        <v>1.0065269999999999</v>
      </c>
      <c r="I4227">
        <v>200.21889999999999</v>
      </c>
      <c r="J4227">
        <v>-192.6096</v>
      </c>
      <c r="K4227">
        <v>1.1049580000000001</v>
      </c>
      <c r="L4227">
        <v>200.84610000000001</v>
      </c>
      <c r="M4227">
        <v>0.25072270000000002</v>
      </c>
      <c r="N4227">
        <v>-1.4698330000000001E-2</v>
      </c>
      <c r="O4227">
        <v>-0.96794749999999996</v>
      </c>
      <c r="P4227">
        <v>0.13206709999999999</v>
      </c>
      <c r="Q4227">
        <v>0.362676</v>
      </c>
      <c r="R4227">
        <v>-0.92251000000000005</v>
      </c>
      <c r="S4227">
        <v>9.2758179999999996E-2</v>
      </c>
      <c r="T4227">
        <v>-0.4503934</v>
      </c>
      <c r="U4227">
        <v>-3.4210050000000001</v>
      </c>
      <c r="V4227">
        <v>0.1090279</v>
      </c>
      <c r="W4227">
        <v>0.37467739999999999</v>
      </c>
      <c r="X4227">
        <v>0.92072240000000005</v>
      </c>
      <c r="Y4227">
        <v>0.2243116</v>
      </c>
      <c r="Z4227">
        <v>0.10807849999999999</v>
      </c>
      <c r="AA4227">
        <v>0.96850570000000002</v>
      </c>
      <c r="AB4227">
        <v>22</v>
      </c>
      <c r="AC4227">
        <v>-4.6000000000105904E-3</v>
      </c>
      <c r="AD4227">
        <v>-9.8430999999999894E-2</v>
      </c>
      <c r="AE4227">
        <v>-0.62720000000001597</v>
      </c>
      <c r="AF4227">
        <v>0.15783610367655199</v>
      </c>
      <c r="AG4227">
        <v>-9.8430999999999894E-2</v>
      </c>
      <c r="AH4227">
        <v>0.59144270505013996</v>
      </c>
      <c r="AI4227">
        <v>99.134846440767703</v>
      </c>
      <c r="AJ4227">
        <v>75.057906635583194</v>
      </c>
      <c r="AK4227">
        <v>0.62000433122827603</v>
      </c>
      <c r="AL4227">
        <v>67.995624114559206</v>
      </c>
      <c r="AM4227">
        <v>83.246733776407396</v>
      </c>
      <c r="AN4227">
        <v>0.99999998745546503</v>
      </c>
    </row>
    <row r="4228" spans="1:40" x14ac:dyDescent="0.25">
      <c r="A4228" t="str">
        <f>"20190304164213467"</f>
        <v>20190304164213467</v>
      </c>
      <c r="B4228" t="str">
        <f>"1551688933455230"</f>
        <v>1551688933455230</v>
      </c>
      <c r="C4228" t="s">
        <v>40</v>
      </c>
      <c r="D4228">
        <v>4.858333</v>
      </c>
      <c r="E4228">
        <v>0.55957979999999996</v>
      </c>
      <c r="F4228" t="s">
        <v>41</v>
      </c>
      <c r="G4228">
        <v>-192.5907</v>
      </c>
      <c r="H4228">
        <v>0.99594309999999997</v>
      </c>
      <c r="I4228">
        <v>200.02860000000001</v>
      </c>
      <c r="J4228">
        <v>-192.58240000000001</v>
      </c>
      <c r="K4228">
        <v>1.1049819999999999</v>
      </c>
      <c r="L4228">
        <v>200.7123</v>
      </c>
      <c r="M4228">
        <v>0.24446229999999999</v>
      </c>
      <c r="N4228">
        <v>-1.468231E-2</v>
      </c>
      <c r="O4228">
        <v>-0.96954770000000001</v>
      </c>
      <c r="P4228">
        <v>0.12748039999999999</v>
      </c>
      <c r="Q4228">
        <v>0.36083290000000001</v>
      </c>
      <c r="R4228">
        <v>-0.9238769</v>
      </c>
      <c r="S4228">
        <v>7.920837E-2</v>
      </c>
      <c r="T4228">
        <v>-0.45575019999999999</v>
      </c>
      <c r="U4228">
        <v>-3.4198300000000001</v>
      </c>
      <c r="V4228">
        <v>0.10776760000000001</v>
      </c>
      <c r="W4228">
        <v>0.37285829999999998</v>
      </c>
      <c r="X4228">
        <v>0.92160880000000001</v>
      </c>
      <c r="Y4228">
        <v>0.22184470000000001</v>
      </c>
      <c r="Z4228">
        <v>0.10992200000000001</v>
      </c>
      <c r="AA4228">
        <v>0.96886640000000002</v>
      </c>
      <c r="AB4228">
        <v>22</v>
      </c>
      <c r="AC4228">
        <v>-8.2999999999913109E-3</v>
      </c>
      <c r="AD4228">
        <v>-0.10903889999999899</v>
      </c>
      <c r="AE4228">
        <v>-0.68369999999998698</v>
      </c>
      <c r="AF4228">
        <v>0.17085981538609801</v>
      </c>
      <c r="AG4228">
        <v>-0.10903889999999899</v>
      </c>
      <c r="AH4228">
        <v>0.64453070065662599</v>
      </c>
      <c r="AI4228">
        <v>99.287226048629407</v>
      </c>
      <c r="AJ4228">
        <v>75.152857451089403</v>
      </c>
      <c r="AK4228">
        <v>0.67564960024845899</v>
      </c>
      <c r="AL4228">
        <v>68.107994986920701</v>
      </c>
      <c r="AM4228">
        <v>83.330451973941393</v>
      </c>
      <c r="AN4228">
        <v>0.99999997386304396</v>
      </c>
    </row>
    <row r="4229" spans="1:40" x14ac:dyDescent="0.25">
      <c r="A4229" t="str">
        <f>"20190304164213483"</f>
        <v>20190304164213483</v>
      </c>
      <c r="B4229" t="str">
        <f>"1551688933475726"</f>
        <v>1551688933475726</v>
      </c>
      <c r="C4229" t="s">
        <v>40</v>
      </c>
      <c r="D4229">
        <v>4.8868640000000001</v>
      </c>
      <c r="E4229">
        <v>0.55926480000000001</v>
      </c>
      <c r="F4229" t="s">
        <v>41</v>
      </c>
      <c r="G4229">
        <v>-192.56569999999999</v>
      </c>
      <c r="H4229">
        <v>0.98701269999999997</v>
      </c>
      <c r="I4229">
        <v>199.83860000000001</v>
      </c>
      <c r="J4229">
        <v>-192.55240000000001</v>
      </c>
      <c r="K4229">
        <v>1.105008</v>
      </c>
      <c r="L4229">
        <v>200.55930000000001</v>
      </c>
      <c r="M4229">
        <v>0.2373218</v>
      </c>
      <c r="N4229">
        <v>-1.466509E-2</v>
      </c>
      <c r="O4229">
        <v>-0.97132050000000003</v>
      </c>
      <c r="P4229">
        <v>0.12258280000000001</v>
      </c>
      <c r="Q4229">
        <v>0.35799409999999998</v>
      </c>
      <c r="R4229">
        <v>-0.92564250000000003</v>
      </c>
      <c r="S4229">
        <v>6.5185549999999995E-2</v>
      </c>
      <c r="T4229">
        <v>-0.4614762</v>
      </c>
      <c r="U4229">
        <v>-3.4184269999999999</v>
      </c>
      <c r="V4229">
        <v>0.1060503</v>
      </c>
      <c r="W4229">
        <v>0.37005539999999998</v>
      </c>
      <c r="X4229">
        <v>0.9229368</v>
      </c>
      <c r="Y4229">
        <v>0.21863850000000001</v>
      </c>
      <c r="Z4229">
        <v>0.1119276</v>
      </c>
      <c r="AA4229">
        <v>0.96936549999999999</v>
      </c>
      <c r="AB4229">
        <v>22</v>
      </c>
      <c r="AC4229">
        <v>-1.3299999999986699E-2</v>
      </c>
      <c r="AD4229">
        <v>-0.117995299999999</v>
      </c>
      <c r="AE4229">
        <v>-0.72069999999999301</v>
      </c>
      <c r="AF4229">
        <v>0.179174948714725</v>
      </c>
      <c r="AG4229">
        <v>-0.117995299999999</v>
      </c>
      <c r="AH4229">
        <v>0.67876099268383905</v>
      </c>
      <c r="AI4229">
        <v>99.541189342932199</v>
      </c>
      <c r="AJ4229">
        <v>75.212739137751996</v>
      </c>
      <c r="AK4229">
        <v>0.71185886119241704</v>
      </c>
      <c r="AL4229">
        <v>68.280966038314901</v>
      </c>
      <c r="AM4229">
        <v>83.445160577319101</v>
      </c>
      <c r="AN4229">
        <v>1.00000000099674</v>
      </c>
    </row>
    <row r="4230" spans="1:40" x14ac:dyDescent="0.25">
      <c r="A4230" t="str">
        <f>"20190304164213499"</f>
        <v>20190304164213499</v>
      </c>
      <c r="B4230" t="str">
        <f>"1551688933495246"</f>
        <v>1551688933495246</v>
      </c>
      <c r="C4230" t="s">
        <v>40</v>
      </c>
      <c r="D4230">
        <v>4.8979269999999904</v>
      </c>
      <c r="E4230">
        <v>0.55150140000000003</v>
      </c>
      <c r="F4230" t="s">
        <v>41</v>
      </c>
      <c r="G4230">
        <v>-192.5393</v>
      </c>
      <c r="H4230">
        <v>0.97948100000000005</v>
      </c>
      <c r="I4230">
        <v>199.64879999999999</v>
      </c>
      <c r="J4230">
        <v>-192.52330000000001</v>
      </c>
      <c r="K4230">
        <v>1.1050120000000001</v>
      </c>
      <c r="L4230">
        <v>200.40440000000001</v>
      </c>
      <c r="M4230">
        <v>0.23011200000000001</v>
      </c>
      <c r="N4230">
        <v>-1.46491E-2</v>
      </c>
      <c r="O4230">
        <v>-0.97305410000000003</v>
      </c>
      <c r="P4230">
        <v>0.1219483</v>
      </c>
      <c r="Q4230">
        <v>0.35212650000000001</v>
      </c>
      <c r="R4230">
        <v>-0.92797439999999998</v>
      </c>
      <c r="S4230">
        <v>4.9331670000000001E-2</v>
      </c>
      <c r="T4230">
        <v>-0.47092489999999998</v>
      </c>
      <c r="U4230">
        <v>-3.416595</v>
      </c>
      <c r="V4230">
        <v>0.1002065</v>
      </c>
      <c r="W4230">
        <v>0.36430689999999999</v>
      </c>
      <c r="X4230">
        <v>0.92587209999999998</v>
      </c>
      <c r="Y4230">
        <v>0.2158921</v>
      </c>
      <c r="Z4230">
        <v>0.1149485</v>
      </c>
      <c r="AA4230">
        <v>0.96962749999999998</v>
      </c>
      <c r="AB4230">
        <v>22</v>
      </c>
      <c r="AC4230">
        <v>-1.5999999999991101E-2</v>
      </c>
      <c r="AD4230">
        <v>-0.125531</v>
      </c>
      <c r="AE4230">
        <v>-0.75560000000001504</v>
      </c>
      <c r="AF4230">
        <v>0.18437520364761001</v>
      </c>
      <c r="AG4230">
        <v>-0.125531</v>
      </c>
      <c r="AH4230">
        <v>0.71199361982591602</v>
      </c>
      <c r="AI4230">
        <v>99.685867781951899</v>
      </c>
      <c r="AJ4230">
        <v>75.481813388204301</v>
      </c>
      <c r="AK4230">
        <v>0.74611471125686102</v>
      </c>
      <c r="AL4230">
        <v>68.635065687707893</v>
      </c>
      <c r="AM4230">
        <v>83.822960770807697</v>
      </c>
      <c r="AN4230">
        <v>1.00000000279413</v>
      </c>
    </row>
    <row r="4231" spans="1:40" x14ac:dyDescent="0.25">
      <c r="A4231" t="str">
        <f>"20190304164213516"</f>
        <v>20190304164213516</v>
      </c>
      <c r="B4231" t="str">
        <f>"1551688933505006"</f>
        <v>1551688933505006</v>
      </c>
      <c r="C4231" t="s">
        <v>40</v>
      </c>
      <c r="D4231">
        <v>5.221724</v>
      </c>
      <c r="E4231">
        <v>0.55150140000000003</v>
      </c>
      <c r="F4231" t="s">
        <v>41</v>
      </c>
      <c r="G4231">
        <v>-192.50110000000001</v>
      </c>
      <c r="H4231">
        <v>0.99949560000000004</v>
      </c>
      <c r="I4231">
        <v>199.64930000000001</v>
      </c>
      <c r="J4231">
        <v>-192.4933</v>
      </c>
      <c r="K4231">
        <v>1.1050310000000001</v>
      </c>
      <c r="L4231">
        <v>200.23779999999999</v>
      </c>
      <c r="M4231">
        <v>0.22237489999999999</v>
      </c>
      <c r="N4231">
        <v>-1.463335E-2</v>
      </c>
      <c r="O4231">
        <v>-0.97485140000000003</v>
      </c>
      <c r="P4231">
        <v>0.1216218</v>
      </c>
      <c r="Q4231">
        <v>0.35027789999999998</v>
      </c>
      <c r="R4231">
        <v>-0.92871610000000004</v>
      </c>
      <c r="S4231">
        <v>9.9853520000000001E-2</v>
      </c>
      <c r="T4231">
        <v>-0.47493360000000001</v>
      </c>
      <c r="U4231">
        <v>-3.3999630000000001</v>
      </c>
      <c r="V4231">
        <v>9.323832E-2</v>
      </c>
      <c r="W4231">
        <v>0.36257220000000001</v>
      </c>
      <c r="X4231">
        <v>0.92727990000000005</v>
      </c>
      <c r="Y4231">
        <v>0.1936493</v>
      </c>
      <c r="Z4231">
        <v>0.1173747</v>
      </c>
      <c r="AA4231">
        <v>0.97402420000000001</v>
      </c>
      <c r="AB4231">
        <v>22</v>
      </c>
      <c r="AC4231">
        <v>-7.80000000000313E-3</v>
      </c>
      <c r="AD4231">
        <v>-0.105535399999999</v>
      </c>
      <c r="AE4231">
        <v>-0.58849999999998204</v>
      </c>
      <c r="AF4231">
        <v>0.13417220438532901</v>
      </c>
      <c r="AG4231">
        <v>-0.105535399999999</v>
      </c>
      <c r="AH4231">
        <v>0.55420712668851102</v>
      </c>
      <c r="AI4231">
        <v>100.485610240789</v>
      </c>
      <c r="AJ4231">
        <v>76.390683924029702</v>
      </c>
      <c r="AK4231">
        <v>0.57990123327607601</v>
      </c>
      <c r="AL4231">
        <v>68.741752063683094</v>
      </c>
      <c r="AM4231">
        <v>84.258187947535205</v>
      </c>
      <c r="AN4231">
        <v>0.99999999873663603</v>
      </c>
    </row>
    <row r="4232" spans="1:40" x14ac:dyDescent="0.25">
      <c r="A4232" t="str">
        <f>"20190304164213531"</f>
        <v>20190304164213531</v>
      </c>
      <c r="B4232" t="str">
        <f>"1551688933525502"</f>
        <v>1551688933525502</v>
      </c>
      <c r="C4232" t="s">
        <v>40</v>
      </c>
      <c r="D4232">
        <v>4.8960569999999999</v>
      </c>
      <c r="E4232">
        <v>0.55210439999999905</v>
      </c>
      <c r="F4232" t="s">
        <v>41</v>
      </c>
      <c r="G4232">
        <v>-192.47290000000001</v>
      </c>
      <c r="H4232">
        <v>0.99496910000000005</v>
      </c>
      <c r="I4232">
        <v>199.45869999999999</v>
      </c>
      <c r="J4232">
        <v>-192.46969999999999</v>
      </c>
      <c r="K4232">
        <v>1.105057</v>
      </c>
      <c r="L4232">
        <v>200.10130000000001</v>
      </c>
      <c r="M4232">
        <v>0.21604870000000001</v>
      </c>
      <c r="N4232">
        <v>-1.4621149999999999E-2</v>
      </c>
      <c r="O4232">
        <v>-0.97627319999999995</v>
      </c>
      <c r="P4232">
        <v>0.1187453</v>
      </c>
      <c r="Q4232">
        <v>0.35154920000000001</v>
      </c>
      <c r="R4232">
        <v>-0.92860810000000005</v>
      </c>
      <c r="S4232">
        <v>8.9187619999999995E-2</v>
      </c>
      <c r="T4232">
        <v>-0.47992249999999997</v>
      </c>
      <c r="U4232">
        <v>-3.3996119999999999</v>
      </c>
      <c r="V4232">
        <v>8.9971190000000006E-2</v>
      </c>
      <c r="W4232">
        <v>0.36388189999999998</v>
      </c>
      <c r="X4232">
        <v>0.92708959999999996</v>
      </c>
      <c r="Y4232">
        <v>0.19034480000000001</v>
      </c>
      <c r="Z4232">
        <v>0.11910179999999999</v>
      </c>
      <c r="AA4232">
        <v>0.97446580000000005</v>
      </c>
      <c r="AB4232">
        <v>21</v>
      </c>
      <c r="AC4232">
        <v>-3.2000000000209599E-3</v>
      </c>
      <c r="AD4232">
        <v>-0.1100879</v>
      </c>
      <c r="AE4232">
        <v>-0.64260000000001505</v>
      </c>
      <c r="AF4232">
        <v>0.137924252425107</v>
      </c>
      <c r="AG4232">
        <v>-0.1100879</v>
      </c>
      <c r="AH4232">
        <v>0.60885958135420404</v>
      </c>
      <c r="AI4232">
        <v>100.00083877229</v>
      </c>
      <c r="AJ4232">
        <v>77.236268849122197</v>
      </c>
      <c r="AK4232">
        <v>0.63391831882368899</v>
      </c>
      <c r="AL4232">
        <v>68.661210649567195</v>
      </c>
      <c r="AM4232">
        <v>84.456979178008993</v>
      </c>
      <c r="AN4232">
        <v>0.99999998930289202</v>
      </c>
    </row>
    <row r="4233" spans="1:40" x14ac:dyDescent="0.25">
      <c r="A4233" t="str">
        <f>"20190304164213543"</f>
        <v>20190304164213543</v>
      </c>
      <c r="B4233" t="str">
        <f>"1551688933535262"</f>
        <v>1551688933535262</v>
      </c>
      <c r="C4233" t="s">
        <v>40</v>
      </c>
      <c r="D4233">
        <v>4.8781140000000001</v>
      </c>
      <c r="E4233">
        <v>0.55174389999999995</v>
      </c>
      <c r="F4233" t="s">
        <v>41</v>
      </c>
      <c r="G4233">
        <v>-192.45230000000001</v>
      </c>
      <c r="H4233">
        <v>0.98869229999999997</v>
      </c>
      <c r="I4233">
        <v>199.26759999999999</v>
      </c>
      <c r="J4233">
        <v>-192.4486</v>
      </c>
      <c r="K4233">
        <v>1.105086</v>
      </c>
      <c r="L4233">
        <v>199.97559999999999</v>
      </c>
      <c r="M4233">
        <v>0.2102299</v>
      </c>
      <c r="N4233">
        <v>-1.461029E-2</v>
      </c>
      <c r="O4233">
        <v>-0.97754280000000005</v>
      </c>
      <c r="P4233">
        <v>0.1161305</v>
      </c>
      <c r="Q4233">
        <v>0.35550530000000002</v>
      </c>
      <c r="R4233">
        <v>-0.92743189999999998</v>
      </c>
      <c r="S4233">
        <v>7.13501E-2</v>
      </c>
      <c r="T4233">
        <v>-0.4743137</v>
      </c>
      <c r="U4233">
        <v>-3.4010769999999901</v>
      </c>
      <c r="V4233">
        <v>8.6760770000000001E-2</v>
      </c>
      <c r="W4233">
        <v>0.3678612</v>
      </c>
      <c r="X4233">
        <v>0.92582430000000004</v>
      </c>
      <c r="Y4233">
        <v>0.18961710000000001</v>
      </c>
      <c r="Z4233">
        <v>0.11779149999999999</v>
      </c>
      <c r="AA4233">
        <v>0.97476689999999999</v>
      </c>
      <c r="AB4233">
        <v>21</v>
      </c>
      <c r="AC4233">
        <v>-3.70000000000914E-3</v>
      </c>
      <c r="AD4233">
        <v>-0.116393699999999</v>
      </c>
      <c r="AE4233">
        <v>-0.70799999999999796</v>
      </c>
      <c r="AF4233">
        <v>0.148463586638798</v>
      </c>
      <c r="AG4233">
        <v>-0.116393699999999</v>
      </c>
      <c r="AH4233">
        <v>0.67320233360262505</v>
      </c>
      <c r="AI4233">
        <v>99.583357620298599</v>
      </c>
      <c r="AJ4233">
        <v>77.563435106775998</v>
      </c>
      <c r="AK4233">
        <v>0.69913540314116995</v>
      </c>
      <c r="AL4233">
        <v>68.416226904720602</v>
      </c>
      <c r="AM4233">
        <v>84.646337946798297</v>
      </c>
      <c r="AN4233">
        <v>0.99999996407346003</v>
      </c>
    </row>
    <row r="4234" spans="1:40" x14ac:dyDescent="0.25">
      <c r="A4234" t="str">
        <f>"20190304164213555"</f>
        <v>20190304164213555</v>
      </c>
      <c r="B4234" t="str">
        <f>"1551688933545022"</f>
        <v>1551688933545022</v>
      </c>
      <c r="C4234" t="s">
        <v>40</v>
      </c>
      <c r="D4234">
        <v>4.9203760000000001</v>
      </c>
      <c r="E4234">
        <v>0.55160330000000002</v>
      </c>
      <c r="F4234" t="s">
        <v>41</v>
      </c>
      <c r="G4234">
        <v>-192.43190000000001</v>
      </c>
      <c r="H4234">
        <v>0.98463920000000005</v>
      </c>
      <c r="I4234">
        <v>199.07589999999999</v>
      </c>
      <c r="J4234">
        <v>-192.42949999999999</v>
      </c>
      <c r="K4234">
        <v>1.1051230000000001</v>
      </c>
      <c r="L4234">
        <v>199.85650000000001</v>
      </c>
      <c r="M4234">
        <v>0.2047436</v>
      </c>
      <c r="N4234">
        <v>-1.459978E-2</v>
      </c>
      <c r="O4234">
        <v>-0.97870679999999999</v>
      </c>
      <c r="P4234">
        <v>0.1135371</v>
      </c>
      <c r="Q4234">
        <v>0.35931550000000001</v>
      </c>
      <c r="R4234">
        <v>-0.92628390000000005</v>
      </c>
      <c r="S4234">
        <v>6.3064579999999995E-2</v>
      </c>
      <c r="T4234">
        <v>-0.45511699999999999</v>
      </c>
      <c r="U4234">
        <v>-3.4012760000000002</v>
      </c>
      <c r="V4234">
        <v>8.3870449999999999E-2</v>
      </c>
      <c r="W4234">
        <v>0.37169079999999999</v>
      </c>
      <c r="X4234">
        <v>0.92456020000000005</v>
      </c>
      <c r="Y4234">
        <v>0.18648629999999999</v>
      </c>
      <c r="Z4234">
        <v>0.1127953</v>
      </c>
      <c r="AA4234">
        <v>0.97596110000000003</v>
      </c>
      <c r="AB4234">
        <v>21</v>
      </c>
      <c r="AC4234">
        <v>-2.4000000000228201E-3</v>
      </c>
      <c r="AD4234">
        <v>-0.120483799999999</v>
      </c>
      <c r="AE4234">
        <v>-0.78060000000002105</v>
      </c>
      <c r="AF4234">
        <v>0.15841510901275599</v>
      </c>
      <c r="AG4234">
        <v>-0.120483799999999</v>
      </c>
      <c r="AH4234">
        <v>0.74580127981528199</v>
      </c>
      <c r="AI4234">
        <v>98.979850112025503</v>
      </c>
      <c r="AJ4234">
        <v>78.008074364882404</v>
      </c>
      <c r="AK4234">
        <v>0.771901057001528</v>
      </c>
      <c r="AL4234">
        <v>68.180067322854697</v>
      </c>
      <c r="AM4234">
        <v>84.816663942145695</v>
      </c>
      <c r="AN4234">
        <v>0.99999993330593895</v>
      </c>
    </row>
    <row r="4235" spans="1:40" x14ac:dyDescent="0.25">
      <c r="A4235" t="str">
        <f>"20190304164213570"</f>
        <v>20190304164213570</v>
      </c>
      <c r="B4235" t="str">
        <f>"1551688933565517"</f>
        <v>1551688933565517</v>
      </c>
      <c r="C4235" t="s">
        <v>40</v>
      </c>
      <c r="D4235">
        <v>4.8065419999999897</v>
      </c>
      <c r="E4235">
        <v>0.55138540000000003</v>
      </c>
      <c r="F4235" t="s">
        <v>41</v>
      </c>
      <c r="G4235">
        <v>-192.417</v>
      </c>
      <c r="H4235">
        <v>1.003911</v>
      </c>
      <c r="I4235">
        <v>199.06989999999999</v>
      </c>
      <c r="J4235">
        <v>-192.4092</v>
      </c>
      <c r="K4235">
        <v>1.105172</v>
      </c>
      <c r="L4235">
        <v>199.72540000000001</v>
      </c>
      <c r="M4235">
        <v>0.1987246</v>
      </c>
      <c r="N4235">
        <v>-1.4587920000000001E-2</v>
      </c>
      <c r="O4235">
        <v>-0.97994700000000001</v>
      </c>
      <c r="P4235">
        <v>0.1103768</v>
      </c>
      <c r="Q4235">
        <v>0.36314560000000001</v>
      </c>
      <c r="R4235">
        <v>-0.92517139999999998</v>
      </c>
      <c r="S4235">
        <v>5.4214480000000002E-2</v>
      </c>
      <c r="T4235">
        <v>-0.43753839999999999</v>
      </c>
      <c r="U4235">
        <v>-3.40184</v>
      </c>
      <c r="V4235">
        <v>8.1054370000000001E-2</v>
      </c>
      <c r="W4235">
        <v>0.37553799999999998</v>
      </c>
      <c r="X4235">
        <v>0.92325590000000002</v>
      </c>
      <c r="Y4235">
        <v>0.18299299999999999</v>
      </c>
      <c r="Z4235">
        <v>0.10821939999999999</v>
      </c>
      <c r="AA4235">
        <v>0.9771398</v>
      </c>
      <c r="AB4235">
        <v>21</v>
      </c>
      <c r="AC4235">
        <v>-7.80000000000313E-3</v>
      </c>
      <c r="AD4235">
        <v>-0.101261</v>
      </c>
      <c r="AE4235">
        <v>-0.65550000000001696</v>
      </c>
      <c r="AF4235">
        <v>0.13470802470252699</v>
      </c>
      <c r="AG4235">
        <v>-0.101261</v>
      </c>
      <c r="AH4235">
        <v>0.62593814591158403</v>
      </c>
      <c r="AI4235">
        <v>98.987105809958294</v>
      </c>
      <c r="AJ4235">
        <v>77.854630642799606</v>
      </c>
      <c r="AK4235">
        <v>0.64822727846604</v>
      </c>
      <c r="AL4235">
        <v>67.9424322445185</v>
      </c>
      <c r="AM4235">
        <v>84.982759470596804</v>
      </c>
      <c r="AN4235">
        <v>1.00000002861245</v>
      </c>
    </row>
    <row r="4236" spans="1:40" x14ac:dyDescent="0.25">
      <c r="A4236" t="str">
        <f>"20190304164213584"</f>
        <v>20190304164213584</v>
      </c>
      <c r="B4236" t="str">
        <f>"1551688933575279"</f>
        <v>1551688933575279</v>
      </c>
      <c r="C4236" t="s">
        <v>40</v>
      </c>
      <c r="D4236">
        <v>4.814921</v>
      </c>
      <c r="E4236">
        <v>0.55101449999999996</v>
      </c>
      <c r="F4236" t="s">
        <v>41</v>
      </c>
      <c r="G4236">
        <v>-192.39840000000001</v>
      </c>
      <c r="H4236">
        <v>1.0002150000000001</v>
      </c>
      <c r="I4236">
        <v>198.87809999999999</v>
      </c>
      <c r="J4236">
        <v>-192.38829999999999</v>
      </c>
      <c r="K4236">
        <v>1.105218</v>
      </c>
      <c r="L4236">
        <v>199.58580000000001</v>
      </c>
      <c r="M4236">
        <v>0.19233259999999999</v>
      </c>
      <c r="N4236">
        <v>-1.45749E-2</v>
      </c>
      <c r="O4236">
        <v>-0.98122160000000003</v>
      </c>
      <c r="P4236">
        <v>0.1092191</v>
      </c>
      <c r="Q4236">
        <v>0.36796060000000003</v>
      </c>
      <c r="R4236">
        <v>-0.92340469999999997</v>
      </c>
      <c r="S4236">
        <v>4.4158940000000001E-2</v>
      </c>
      <c r="T4236">
        <v>-0.4208829</v>
      </c>
      <c r="U4236">
        <v>-3.4025729999999998</v>
      </c>
      <c r="V4236">
        <v>7.5827069999999996E-2</v>
      </c>
      <c r="W4236">
        <v>0.38040069999999998</v>
      </c>
      <c r="X4236">
        <v>0.92170790000000002</v>
      </c>
      <c r="Y4236">
        <v>0.1794799</v>
      </c>
      <c r="Z4236">
        <v>0.1038709</v>
      </c>
      <c r="AA4236">
        <v>0.97826270000000004</v>
      </c>
      <c r="AB4236">
        <v>21</v>
      </c>
      <c r="AC4236">
        <v>-1.01000000000226E-2</v>
      </c>
      <c r="AD4236">
        <v>-0.105003</v>
      </c>
      <c r="AE4236">
        <v>-0.70770000000001598</v>
      </c>
      <c r="AF4236">
        <v>0.142894541470791</v>
      </c>
      <c r="AG4236">
        <v>-0.105003</v>
      </c>
      <c r="AH4236">
        <v>0.67762704676384</v>
      </c>
      <c r="AI4236">
        <v>98.621654915094396</v>
      </c>
      <c r="AJ4236">
        <v>78.092218070779197</v>
      </c>
      <c r="AK4236">
        <v>0.70044478333201299</v>
      </c>
      <c r="AL4236">
        <v>67.641493561725198</v>
      </c>
      <c r="AM4236">
        <v>85.296981499200697</v>
      </c>
      <c r="AN4236">
        <v>0.99999994501384004</v>
      </c>
    </row>
    <row r="4237" spans="1:40" x14ac:dyDescent="0.25">
      <c r="A4237" t="str">
        <f>"20190304164213597"</f>
        <v>20190304164213597</v>
      </c>
      <c r="B4237" t="str">
        <f>"1551688933585038"</f>
        <v>1551688933585038</v>
      </c>
      <c r="C4237" t="s">
        <v>40</v>
      </c>
      <c r="D4237">
        <v>4.8447800000000001</v>
      </c>
      <c r="E4237">
        <v>0.55090649999999997</v>
      </c>
      <c r="F4237" t="s">
        <v>41</v>
      </c>
      <c r="G4237">
        <v>-192.3767</v>
      </c>
      <c r="H4237">
        <v>0.99879709999999999</v>
      </c>
      <c r="I4237">
        <v>198.68629999999999</v>
      </c>
      <c r="J4237">
        <v>-192.36930000000001</v>
      </c>
      <c r="K4237">
        <v>1.1052679999999999</v>
      </c>
      <c r="L4237">
        <v>199.4522</v>
      </c>
      <c r="M4237">
        <v>0.18626570000000001</v>
      </c>
      <c r="N4237">
        <v>-1.45614E-2</v>
      </c>
      <c r="O4237">
        <v>-0.98239160000000003</v>
      </c>
      <c r="P4237">
        <v>0.105615899999999</v>
      </c>
      <c r="Q4237">
        <v>0.36827199999999999</v>
      </c>
      <c r="R4237">
        <v>-0.92369990000000002</v>
      </c>
      <c r="S4237">
        <v>4.397583E-2</v>
      </c>
      <c r="T4237">
        <v>-0.40241339999999998</v>
      </c>
      <c r="U4237">
        <v>-3.4039920000000001</v>
      </c>
      <c r="V4237">
        <v>7.365112E-2</v>
      </c>
      <c r="W4237">
        <v>0.38073889999999999</v>
      </c>
      <c r="X4237">
        <v>0.92174480000000003</v>
      </c>
      <c r="Y4237">
        <v>0.17346439999999999</v>
      </c>
      <c r="Z4237">
        <v>9.897678E-2</v>
      </c>
      <c r="AA4237">
        <v>0.97985390000000006</v>
      </c>
      <c r="AB4237">
        <v>21</v>
      </c>
      <c r="AC4237">
        <v>-7.3999999999898496E-3</v>
      </c>
      <c r="AD4237">
        <v>-0.10647089999999999</v>
      </c>
      <c r="AE4237">
        <v>-0.76590000000001601</v>
      </c>
      <c r="AF4237">
        <v>0.147103972935827</v>
      </c>
      <c r="AG4237">
        <v>-0.10647089999999999</v>
      </c>
      <c r="AH4237">
        <v>0.73687617586964205</v>
      </c>
      <c r="AI4237">
        <v>98.064763079414107</v>
      </c>
      <c r="AJ4237">
        <v>78.710349715958898</v>
      </c>
      <c r="AK4237">
        <v>0.75892168895386203</v>
      </c>
      <c r="AL4237">
        <v>67.620541538352001</v>
      </c>
      <c r="AM4237">
        <v>85.431542746414806</v>
      </c>
      <c r="AN4237">
        <v>1.0000000368887501</v>
      </c>
    </row>
    <row r="4238" spans="1:40" x14ac:dyDescent="0.25">
      <c r="A4238" t="str">
        <f>"20190304164213610"</f>
        <v>20190304164213610</v>
      </c>
      <c r="B4238" t="str">
        <f>"1551688933605534"</f>
        <v>1551688933605534</v>
      </c>
      <c r="C4238" t="s">
        <v>40</v>
      </c>
      <c r="D4238">
        <v>4.9983120000000003</v>
      </c>
      <c r="E4238">
        <v>0.55332119999999996</v>
      </c>
      <c r="F4238" t="s">
        <v>41</v>
      </c>
      <c r="G4238">
        <v>-192.36150000000001</v>
      </c>
      <c r="H4238">
        <v>1.0145709999999999</v>
      </c>
      <c r="I4238">
        <v>198.68170000000001</v>
      </c>
      <c r="J4238">
        <v>-192.35290000000001</v>
      </c>
      <c r="K4238">
        <v>1.1053249999999999</v>
      </c>
      <c r="L4238">
        <v>199.3322</v>
      </c>
      <c r="M4238">
        <v>0.1808563</v>
      </c>
      <c r="N4238">
        <v>-1.454837E-2</v>
      </c>
      <c r="O4238">
        <v>-0.98340209999999995</v>
      </c>
      <c r="P4238">
        <v>0.10229340000000001</v>
      </c>
      <c r="Q4238">
        <v>0.36824499999999999</v>
      </c>
      <c r="R4238">
        <v>-0.92408449999999998</v>
      </c>
      <c r="S4238">
        <v>3.4423830000000002E-2</v>
      </c>
      <c r="T4238">
        <v>-0.40026519999999999</v>
      </c>
      <c r="U4238">
        <v>-3.4034580000000001</v>
      </c>
      <c r="V4238">
        <v>7.1836919999999999E-2</v>
      </c>
      <c r="W4238">
        <v>0.3807354</v>
      </c>
      <c r="X4238">
        <v>0.92188939999999997</v>
      </c>
      <c r="Y4238">
        <v>0.17079520000000001</v>
      </c>
      <c r="Z4238">
        <v>9.8609920000000004E-2</v>
      </c>
      <c r="AA4238">
        <v>0.98035969999999995</v>
      </c>
      <c r="AB4238">
        <v>21</v>
      </c>
      <c r="AC4238">
        <v>-8.6000000000012698E-3</v>
      </c>
      <c r="AD4238">
        <v>-9.0754000000000001E-2</v>
      </c>
      <c r="AE4238">
        <v>-0.65049999999999297</v>
      </c>
      <c r="AF4238">
        <v>0.123710107129567</v>
      </c>
      <c r="AG4238">
        <v>-9.0754000000000001E-2</v>
      </c>
      <c r="AH4238">
        <v>0.62603204114344901</v>
      </c>
      <c r="AI4238">
        <v>98.094146908994404</v>
      </c>
      <c r="AJ4238">
        <v>78.821805392798893</v>
      </c>
      <c r="AK4238">
        <v>0.64455922587473902</v>
      </c>
      <c r="AL4238">
        <v>67.620758170848703</v>
      </c>
      <c r="AM4238">
        <v>85.544311772369596</v>
      </c>
      <c r="AN4238">
        <v>1.0000000268603</v>
      </c>
    </row>
    <row r="4239" spans="1:40" x14ac:dyDescent="0.25">
      <c r="A4239" t="str">
        <f>"20190304164213623"</f>
        <v>20190304164213623</v>
      </c>
      <c r="B4239" t="str">
        <f>"1551688933615294"</f>
        <v>1551688933615294</v>
      </c>
      <c r="C4239" t="s">
        <v>40</v>
      </c>
      <c r="D4239">
        <v>4.8482120000000002</v>
      </c>
      <c r="E4239">
        <v>0.55332119999999996</v>
      </c>
      <c r="F4239" t="s">
        <v>41</v>
      </c>
      <c r="G4239">
        <v>-192.35140000000001</v>
      </c>
      <c r="H4239">
        <v>1.007296</v>
      </c>
      <c r="I4239">
        <v>198.49080000000001</v>
      </c>
      <c r="J4239">
        <v>-192.33600000000001</v>
      </c>
      <c r="K4239">
        <v>1.1053850000000001</v>
      </c>
      <c r="L4239">
        <v>199.20519999999999</v>
      </c>
      <c r="M4239">
        <v>0.17515649999999999</v>
      </c>
      <c r="N4239">
        <v>-1.4534149999999999E-2</v>
      </c>
      <c r="O4239">
        <v>-0.98443340000000001</v>
      </c>
      <c r="P4239">
        <v>9.8515599999999995E-2</v>
      </c>
      <c r="Q4239">
        <v>0.36742079999999999</v>
      </c>
      <c r="R4239">
        <v>-0.92482299999999995</v>
      </c>
      <c r="S4239">
        <v>6.3629150000000002E-3</v>
      </c>
      <c r="T4239">
        <v>-0.3961189</v>
      </c>
      <c r="U4239">
        <v>-3.40361</v>
      </c>
      <c r="V4239">
        <v>7.0245569999999993E-2</v>
      </c>
      <c r="W4239">
        <v>0.3799363</v>
      </c>
      <c r="X4239">
        <v>0.92234159999999998</v>
      </c>
      <c r="Y4239">
        <v>0.17316879999999901</v>
      </c>
      <c r="Z4239">
        <v>9.7606999999999999E-2</v>
      </c>
      <c r="AA4239">
        <v>0.98004360000000001</v>
      </c>
      <c r="AB4239">
        <v>21</v>
      </c>
      <c r="AC4239">
        <v>-1.5400000000028001E-2</v>
      </c>
      <c r="AD4239">
        <v>-9.8088999999999996E-2</v>
      </c>
      <c r="AE4239">
        <v>-0.71439999999998305</v>
      </c>
      <c r="AF4239">
        <v>0.13771194532992201</v>
      </c>
      <c r="AG4239">
        <v>-9.8088999999999996E-2</v>
      </c>
      <c r="AH4239">
        <v>0.68769730578642296</v>
      </c>
      <c r="AI4239">
        <v>97.961595192265705</v>
      </c>
      <c r="AJ4239">
        <v>78.676250318958793</v>
      </c>
      <c r="AK4239">
        <v>0.70817626068194095</v>
      </c>
      <c r="AL4239">
        <v>67.670263707354906</v>
      </c>
      <c r="AM4239">
        <v>85.644758993245205</v>
      </c>
      <c r="AN4239">
        <v>1.00000002962643</v>
      </c>
    </row>
    <row r="4240" spans="1:40" x14ac:dyDescent="0.25">
      <c r="A4240" t="str">
        <f>"20190304164213634"</f>
        <v>20190304164213634</v>
      </c>
      <c r="B4240" t="str">
        <f>"1551688933625054"</f>
        <v>1551688933625054</v>
      </c>
      <c r="C4240" t="s">
        <v>40</v>
      </c>
      <c r="D4240">
        <v>4.8490270000000004</v>
      </c>
      <c r="E4240">
        <v>0.57816330000000005</v>
      </c>
      <c r="F4240" t="s">
        <v>41</v>
      </c>
      <c r="G4240">
        <v>-192.3373</v>
      </c>
      <c r="H4240">
        <v>0.99920390000000003</v>
      </c>
      <c r="I4240">
        <v>198.30160000000001</v>
      </c>
      <c r="J4240">
        <v>-192.3218</v>
      </c>
      <c r="K4240">
        <v>1.10545</v>
      </c>
      <c r="L4240">
        <v>199.09180000000001</v>
      </c>
      <c r="M4240">
        <v>0.17014699999999999</v>
      </c>
      <c r="N4240">
        <v>-1.451942E-2</v>
      </c>
      <c r="O4240">
        <v>-0.98531170000000001</v>
      </c>
      <c r="P4240">
        <v>9.594896E-2</v>
      </c>
      <c r="Q4240">
        <v>0.3662203</v>
      </c>
      <c r="R4240">
        <v>-0.92556839999999996</v>
      </c>
      <c r="S4240">
        <v>-4.7607420000000001E-3</v>
      </c>
      <c r="T4240">
        <v>-0.39977240000000003</v>
      </c>
      <c r="U4240">
        <v>-3.4031980000000002</v>
      </c>
      <c r="V4240">
        <v>6.8102720000000005E-2</v>
      </c>
      <c r="W4240">
        <v>0.37877119999999997</v>
      </c>
      <c r="X4240">
        <v>0.9229813</v>
      </c>
      <c r="Y4240">
        <v>0.17136279999999901</v>
      </c>
      <c r="Z4240">
        <v>9.8823820000000007E-2</v>
      </c>
      <c r="AA4240">
        <v>0.98023910000000003</v>
      </c>
      <c r="AB4240">
        <v>21</v>
      </c>
      <c r="AC4240">
        <v>-1.55000000000029E-2</v>
      </c>
      <c r="AD4240">
        <v>-0.1062461</v>
      </c>
      <c r="AE4240">
        <v>-0.79019999999999802</v>
      </c>
      <c r="AF4240">
        <v>0.14708037203444699</v>
      </c>
      <c r="AG4240">
        <v>-0.1062461</v>
      </c>
      <c r="AH4240">
        <v>0.76226290745164305</v>
      </c>
      <c r="AI4240">
        <v>97.792978486640195</v>
      </c>
      <c r="AJ4240">
        <v>79.078861735627399</v>
      </c>
      <c r="AK4240">
        <v>0.78355957634351803</v>
      </c>
      <c r="AL4240">
        <v>67.742412257909905</v>
      </c>
      <c r="AM4240">
        <v>85.780044257403603</v>
      </c>
      <c r="AN4240">
        <v>1.0000000412852601</v>
      </c>
    </row>
    <row r="4241" spans="1:40" x14ac:dyDescent="0.25">
      <c r="A4241" t="str">
        <f>"20190304164213651"</f>
        <v>20190304164213651</v>
      </c>
      <c r="B4241" t="str">
        <f>"1551688933645550"</f>
        <v>1551688933645550</v>
      </c>
      <c r="C4241" t="s">
        <v>40</v>
      </c>
      <c r="D4241">
        <v>4.7519049999999998</v>
      </c>
      <c r="E4241">
        <v>0.57915190000000005</v>
      </c>
      <c r="F4241" t="s">
        <v>41</v>
      </c>
      <c r="G4241">
        <v>-192.36750000000001</v>
      </c>
      <c r="H4241">
        <v>0.98565630000000004</v>
      </c>
      <c r="I4241">
        <v>198.30199999999999</v>
      </c>
      <c r="J4241">
        <v>-192.30279999999999</v>
      </c>
      <c r="K4241">
        <v>1.105545</v>
      </c>
      <c r="L4241">
        <v>198.93510000000001</v>
      </c>
      <c r="M4241">
        <v>0.16330140000000001</v>
      </c>
      <c r="N4241">
        <v>-1.4497629999999999E-2</v>
      </c>
      <c r="O4241">
        <v>-0.98646990000000001</v>
      </c>
      <c r="P4241">
        <v>9.5212649999999996E-2</v>
      </c>
      <c r="Q4241">
        <v>0.36364099999999999</v>
      </c>
      <c r="R4241">
        <v>-0.92666079999999995</v>
      </c>
      <c r="S4241">
        <v>-0.20086670000000001</v>
      </c>
      <c r="T4241">
        <v>-0.526227</v>
      </c>
      <c r="U4241">
        <v>-3.4702760000000001</v>
      </c>
      <c r="V4241">
        <v>6.2429659999999998E-2</v>
      </c>
      <c r="W4241">
        <v>0.37628299999999998</v>
      </c>
      <c r="X4241">
        <v>0.92439910000000003</v>
      </c>
      <c r="Y4241">
        <v>0.21926680000000001</v>
      </c>
      <c r="Z4241">
        <v>0.13054839999999901</v>
      </c>
      <c r="AA4241">
        <v>0.96689150000000001</v>
      </c>
      <c r="AB4241">
        <v>21</v>
      </c>
      <c r="AC4241">
        <v>-6.4700000000016106E-2</v>
      </c>
      <c r="AD4241">
        <v>-0.119888699999999</v>
      </c>
      <c r="AE4241">
        <v>-0.63309999999998401</v>
      </c>
      <c r="AF4241">
        <v>0.161496822610153</v>
      </c>
      <c r="AG4241">
        <v>-0.119888699999999</v>
      </c>
      <c r="AH4241">
        <v>0.59298806613639599</v>
      </c>
      <c r="AI4241">
        <v>101.038197581261</v>
      </c>
      <c r="AJ4241">
        <v>74.765315631757304</v>
      </c>
      <c r="AK4241">
        <v>0.62617040067464702</v>
      </c>
      <c r="AL4241">
        <v>67.896368348859895</v>
      </c>
      <c r="AM4241">
        <v>86.1363737076787</v>
      </c>
      <c r="AN4241">
        <v>1.0000000273087599</v>
      </c>
    </row>
    <row r="4242" spans="1:40" x14ac:dyDescent="0.25">
      <c r="A4242" t="str">
        <f>"20190304164213666"</f>
        <v>20190304164213666</v>
      </c>
      <c r="B4242" t="str">
        <f>"1551688933655310"</f>
        <v>1551688933655310</v>
      </c>
      <c r="C4242" t="s">
        <v>40</v>
      </c>
      <c r="D4242">
        <v>4.7302460000000002</v>
      </c>
      <c r="E4242">
        <v>0.57951090000000005</v>
      </c>
      <c r="F4242" t="s">
        <v>41</v>
      </c>
      <c r="G4242">
        <v>-192.35419999999999</v>
      </c>
      <c r="H4242">
        <v>0.97942010000000002</v>
      </c>
      <c r="I4242">
        <v>198.11250000000001</v>
      </c>
      <c r="J4242">
        <v>-192.28749999999999</v>
      </c>
      <c r="K4242">
        <v>1.105637</v>
      </c>
      <c r="L4242">
        <v>198.80240000000001</v>
      </c>
      <c r="M4242">
        <v>0.157581</v>
      </c>
      <c r="N4242">
        <v>-1.4477810000000001E-2</v>
      </c>
      <c r="O4242">
        <v>-0.98740000000000006</v>
      </c>
      <c r="P4242">
        <v>9.2712269999999999E-2</v>
      </c>
      <c r="Q4242">
        <v>0.36235820000000002</v>
      </c>
      <c r="R4242">
        <v>-0.92741629999999997</v>
      </c>
      <c r="S4242">
        <v>-0.21614069999999999</v>
      </c>
      <c r="T4242">
        <v>-0.53145559999999903</v>
      </c>
      <c r="U4242">
        <v>-3.4681700000000002</v>
      </c>
      <c r="V4242">
        <v>5.9520980000000001E-2</v>
      </c>
      <c r="W4242">
        <v>0.37504389999999999</v>
      </c>
      <c r="X4242">
        <v>0.92509419999999998</v>
      </c>
      <c r="Y4242">
        <v>0.2178755</v>
      </c>
      <c r="Z4242">
        <v>0.13227820000000001</v>
      </c>
      <c r="AA4242">
        <v>0.96697089999999997</v>
      </c>
      <c r="AB4242">
        <v>21</v>
      </c>
      <c r="AC4242">
        <v>-6.6699999999997303E-2</v>
      </c>
      <c r="AD4242">
        <v>-0.12621689999999999</v>
      </c>
      <c r="AE4242">
        <v>-0.68989999999999396</v>
      </c>
      <c r="AF4242">
        <v>0.16898921762856201</v>
      </c>
      <c r="AG4242">
        <v>-0.12621689999999999</v>
      </c>
      <c r="AH4242">
        <v>0.649237760155567</v>
      </c>
      <c r="AI4242">
        <v>100.655021689237</v>
      </c>
      <c r="AJ4242">
        <v>75.410293876894201</v>
      </c>
      <c r="AK4242">
        <v>0.68264026451136095</v>
      </c>
      <c r="AL4242">
        <v>67.972973303236301</v>
      </c>
      <c r="AM4242">
        <v>86.318637893100799</v>
      </c>
      <c r="AN4242">
        <v>0.99999997643050398</v>
      </c>
    </row>
    <row r="4243" spans="1:40" x14ac:dyDescent="0.25">
      <c r="A4243" t="str">
        <f>"20190304164213680"</f>
        <v>20190304164213680</v>
      </c>
      <c r="B4243" t="str">
        <f>"1551688933675806"</f>
        <v>1551688933675806</v>
      </c>
      <c r="C4243" t="s">
        <v>40</v>
      </c>
      <c r="D4243">
        <v>4.6862510000000004</v>
      </c>
      <c r="E4243">
        <v>0.57983600000000002</v>
      </c>
      <c r="F4243" t="s">
        <v>41</v>
      </c>
      <c r="G4243">
        <v>-192.34620000000001</v>
      </c>
      <c r="H4243">
        <v>0.97072910000000001</v>
      </c>
      <c r="I4243">
        <v>197.92359999999999</v>
      </c>
      <c r="J4243">
        <v>-192.27099999999999</v>
      </c>
      <c r="K4243">
        <v>1.105758</v>
      </c>
      <c r="L4243">
        <v>198.65289999999999</v>
      </c>
      <c r="M4243">
        <v>0.1512558</v>
      </c>
      <c r="N4243">
        <v>-1.445344E-2</v>
      </c>
      <c r="O4243">
        <v>-0.98838910000000002</v>
      </c>
      <c r="P4243">
        <v>8.8732130000000006E-2</v>
      </c>
      <c r="Q4243">
        <v>0.36147509999999999</v>
      </c>
      <c r="R4243">
        <v>-0.92815009999999998</v>
      </c>
      <c r="S4243">
        <v>-0.23187260000000001</v>
      </c>
      <c r="T4243">
        <v>-0.53208820000000001</v>
      </c>
      <c r="U4243">
        <v>-3.4658509999999998</v>
      </c>
      <c r="V4243">
        <v>5.7481690000000002E-2</v>
      </c>
      <c r="W4243">
        <v>0.37418750000000001</v>
      </c>
      <c r="X4243">
        <v>0.92556989999999995</v>
      </c>
      <c r="Y4243">
        <v>0.2160376</v>
      </c>
      <c r="Z4243">
        <v>0.13280140000000001</v>
      </c>
      <c r="AA4243">
        <v>0.96731149999999999</v>
      </c>
      <c r="AB4243">
        <v>21</v>
      </c>
      <c r="AC4243">
        <v>-7.5200000000023595E-2</v>
      </c>
      <c r="AD4243">
        <v>-0.13502890000000001</v>
      </c>
      <c r="AE4243">
        <v>-0.72929999999999495</v>
      </c>
      <c r="AF4243">
        <v>0.178599014678895</v>
      </c>
      <c r="AG4243">
        <v>-0.13502890000000001</v>
      </c>
      <c r="AH4243">
        <v>0.68625444240479405</v>
      </c>
      <c r="AI4243">
        <v>100.78114416128101</v>
      </c>
      <c r="AJ4243">
        <v>75.412266317211603</v>
      </c>
      <c r="AK4243">
        <v>0.72185564457154305</v>
      </c>
      <c r="AL4243">
        <v>68.025896523875502</v>
      </c>
      <c r="AM4243">
        <v>86.446261047925702</v>
      </c>
      <c r="AN4243">
        <v>1.0000000348137501</v>
      </c>
    </row>
    <row r="4244" spans="1:40" x14ac:dyDescent="0.25">
      <c r="A4244" t="str">
        <f>"20190304164213697"</f>
        <v>20190304164213697</v>
      </c>
      <c r="B4244" t="str">
        <f>"1551688933685566"</f>
        <v>1551688933685566</v>
      </c>
      <c r="C4244" t="s">
        <v>40</v>
      </c>
      <c r="D4244">
        <v>4.6661339999999996</v>
      </c>
      <c r="E4244">
        <v>0.57988899999999999</v>
      </c>
      <c r="F4244" t="s">
        <v>41</v>
      </c>
      <c r="G4244">
        <v>-192.3244</v>
      </c>
      <c r="H4244">
        <v>0.99317370000000005</v>
      </c>
      <c r="I4244">
        <v>197.9169</v>
      </c>
      <c r="J4244">
        <v>-192.25630000000001</v>
      </c>
      <c r="K4244">
        <v>1.105877</v>
      </c>
      <c r="L4244">
        <v>198.5119</v>
      </c>
      <c r="M4244">
        <v>0.14543789999999901</v>
      </c>
      <c r="N4244">
        <v>-1.4428089999999999E-2</v>
      </c>
      <c r="O4244">
        <v>-0.98926230000000004</v>
      </c>
      <c r="P4244">
        <v>8.5410899999999998E-2</v>
      </c>
      <c r="Q4244">
        <v>0.36203449999999998</v>
      </c>
      <c r="R4244">
        <v>-0.92824379999999995</v>
      </c>
      <c r="S4244">
        <v>-0.25141910000000001</v>
      </c>
      <c r="T4244">
        <v>-0.529746099999999</v>
      </c>
      <c r="U4244">
        <v>-3.4626009999999998</v>
      </c>
      <c r="V4244">
        <v>5.5191240000000003E-2</v>
      </c>
      <c r="W4244">
        <v>0.37476710000000002</v>
      </c>
      <c r="X4244">
        <v>0.92547480000000004</v>
      </c>
      <c r="Y4244">
        <v>0.2157946</v>
      </c>
      <c r="Z4244">
        <v>0.13249629999999901</v>
      </c>
      <c r="AA4244">
        <v>0.96740760000000003</v>
      </c>
      <c r="AB4244">
        <v>21</v>
      </c>
      <c r="AC4244">
        <v>-6.8099999999986893E-2</v>
      </c>
      <c r="AD4244">
        <v>-0.11270330000000001</v>
      </c>
      <c r="AE4244">
        <v>-0.59499999999999797</v>
      </c>
      <c r="AF4244">
        <v>0.14865567572541599</v>
      </c>
      <c r="AG4244">
        <v>-0.11270330000000001</v>
      </c>
      <c r="AH4244">
        <v>0.55897096610475405</v>
      </c>
      <c r="AI4244">
        <v>101.026117939001</v>
      </c>
      <c r="AJ4244">
        <v>75.107179473954105</v>
      </c>
      <c r="AK4244">
        <v>0.58927844411988495</v>
      </c>
      <c r="AL4244">
        <v>67.990081737847703</v>
      </c>
      <c r="AM4244">
        <v>86.587174086035205</v>
      </c>
      <c r="AN4244">
        <v>1.0000000288250901</v>
      </c>
    </row>
    <row r="4245" spans="1:40" x14ac:dyDescent="0.25">
      <c r="A4245" t="str">
        <f>"20190304164213717"</f>
        <v>20190304164213717</v>
      </c>
      <c r="B4245" t="str">
        <f>"1551688933705086"</f>
        <v>1551688933705086</v>
      </c>
      <c r="C4245" t="s">
        <v>40</v>
      </c>
      <c r="D4245">
        <v>4.6501910000000004</v>
      </c>
      <c r="E4245">
        <v>0.57995439999999998</v>
      </c>
      <c r="F4245" t="s">
        <v>41</v>
      </c>
      <c r="G4245">
        <v>-192.3167</v>
      </c>
      <c r="H4245">
        <v>0.98658489999999999</v>
      </c>
      <c r="I4245">
        <v>197.72730000000001</v>
      </c>
      <c r="J4245">
        <v>-192.23560000000001</v>
      </c>
      <c r="K4245">
        <v>1.1060890000000001</v>
      </c>
      <c r="L4245">
        <v>198.3014</v>
      </c>
      <c r="M4245">
        <v>0.1369776</v>
      </c>
      <c r="N4245">
        <v>-1.438822E-2</v>
      </c>
      <c r="O4245">
        <v>-0.99046979999999996</v>
      </c>
      <c r="P4245">
        <v>7.9131480000000004E-2</v>
      </c>
      <c r="Q4245">
        <v>0.36394359999999998</v>
      </c>
      <c r="R4245">
        <v>-0.92805349999999998</v>
      </c>
      <c r="S4245">
        <v>-0.26585389999999998</v>
      </c>
      <c r="T4245">
        <v>-0.52602539999999998</v>
      </c>
      <c r="U4245">
        <v>-3.4615170000000002</v>
      </c>
      <c r="V4245">
        <v>5.325655E-2</v>
      </c>
      <c r="W4245">
        <v>0.37667919999999999</v>
      </c>
      <c r="X4245">
        <v>0.92481159999999996</v>
      </c>
      <c r="Y4245">
        <v>0.21149899999999999</v>
      </c>
      <c r="Z4245">
        <v>0.13189000000000001</v>
      </c>
      <c r="AA4245">
        <v>0.96843860000000004</v>
      </c>
      <c r="AB4245">
        <v>21</v>
      </c>
      <c r="AC4245">
        <v>-8.1099999999992095E-2</v>
      </c>
      <c r="AD4245">
        <v>-0.119504099999999</v>
      </c>
      <c r="AE4245">
        <v>-0.57409999999998695</v>
      </c>
      <c r="AF4245">
        <v>0.15250364999046501</v>
      </c>
      <c r="AG4245">
        <v>-0.119504099999999</v>
      </c>
      <c r="AH4245">
        <v>0.53485550637041301</v>
      </c>
      <c r="AI4245">
        <v>102.126694564826</v>
      </c>
      <c r="AJ4245">
        <v>74.085529737878204</v>
      </c>
      <c r="AK4245">
        <v>0.56886642181796598</v>
      </c>
      <c r="AL4245">
        <v>67.871863979605195</v>
      </c>
      <c r="AM4245">
        <v>86.704183575785606</v>
      </c>
      <c r="AN4245">
        <v>0.99999998766255105</v>
      </c>
    </row>
    <row r="4246" spans="1:40" x14ac:dyDescent="0.25">
      <c r="A4246" t="str">
        <f>"20190304164213730"</f>
        <v>20190304164213730</v>
      </c>
      <c r="B4246" t="str">
        <f>"1551688933725582"</f>
        <v>1551688933725582</v>
      </c>
      <c r="C4246" t="s">
        <v>40</v>
      </c>
      <c r="D4246">
        <v>4.6202709999999998</v>
      </c>
      <c r="E4246">
        <v>0.58010319999999904</v>
      </c>
      <c r="F4246" t="s">
        <v>41</v>
      </c>
      <c r="G4246">
        <v>-192.3006</v>
      </c>
      <c r="H4246">
        <v>0.99187460000000005</v>
      </c>
      <c r="I4246">
        <v>197.53399999999999</v>
      </c>
      <c r="J4246">
        <v>-192.2243</v>
      </c>
      <c r="K4246">
        <v>1.1062160000000001</v>
      </c>
      <c r="L4246">
        <v>198.18010000000001</v>
      </c>
      <c r="M4246">
        <v>0.1322603</v>
      </c>
      <c r="N4246">
        <v>-1.4363519999999999E-2</v>
      </c>
      <c r="O4246">
        <v>-0.99111119999999997</v>
      </c>
      <c r="P4246">
        <v>7.6299320000000004E-2</v>
      </c>
      <c r="Q4246">
        <v>0.36438559999999998</v>
      </c>
      <c r="R4246">
        <v>-0.92811739999999998</v>
      </c>
      <c r="S4246">
        <v>-0.29286190000000001</v>
      </c>
      <c r="T4246">
        <v>-0.51487870000000002</v>
      </c>
      <c r="U4246">
        <v>-3.459457</v>
      </c>
      <c r="V4246">
        <v>5.1528350000000001E-2</v>
      </c>
      <c r="W4246">
        <v>0.37713279999999999</v>
      </c>
      <c r="X4246">
        <v>0.92472460000000001</v>
      </c>
      <c r="Y4246">
        <v>0.2144363</v>
      </c>
      <c r="Z4246">
        <v>0.1290055</v>
      </c>
      <c r="AA4246">
        <v>0.96818110000000002</v>
      </c>
      <c r="AB4246">
        <v>21</v>
      </c>
      <c r="AC4246">
        <v>-7.6300000000003296E-2</v>
      </c>
      <c r="AD4246">
        <v>-0.1143414</v>
      </c>
      <c r="AE4246">
        <v>-0.64609999999998902</v>
      </c>
      <c r="AF4246">
        <v>0.156264996169974</v>
      </c>
      <c r="AG4246">
        <v>-0.1143414</v>
      </c>
      <c r="AH4246">
        <v>0.61144394320355999</v>
      </c>
      <c r="AI4246">
        <v>100.26939348685301</v>
      </c>
      <c r="AJ4246">
        <v>75.663940096091906</v>
      </c>
      <c r="AK4246">
        <v>0.64137071999139506</v>
      </c>
      <c r="AL4246">
        <v>67.843804516217901</v>
      </c>
      <c r="AM4246">
        <v>86.810610501142605</v>
      </c>
      <c r="AN4246">
        <v>0.99999995276735998</v>
      </c>
    </row>
    <row r="4247" spans="1:40" x14ac:dyDescent="0.25">
      <c r="A4247" t="str">
        <f>"20190304164213743"</f>
        <v>20190304164213743</v>
      </c>
      <c r="B4247" t="str">
        <f>"1551688933735343"</f>
        <v>1551688933735343</v>
      </c>
      <c r="C4247" t="s">
        <v>40</v>
      </c>
      <c r="D4247">
        <v>4.7245309999999998</v>
      </c>
      <c r="E4247">
        <v>0.57978799999999997</v>
      </c>
      <c r="F4247" t="s">
        <v>41</v>
      </c>
      <c r="G4247">
        <v>-192.29910000000001</v>
      </c>
      <c r="H4247">
        <v>0.98340640000000001</v>
      </c>
      <c r="I4247">
        <v>197.34530000000001</v>
      </c>
      <c r="J4247">
        <v>-192.2131</v>
      </c>
      <c r="K4247">
        <v>1.1063510000000001</v>
      </c>
      <c r="L4247">
        <v>198.05529999999999</v>
      </c>
      <c r="M4247">
        <v>0.12748319999999999</v>
      </c>
      <c r="N4247">
        <v>-1.433796E-2</v>
      </c>
      <c r="O4247">
        <v>-0.99173719999999999</v>
      </c>
      <c r="P4247">
        <v>7.3721759999999997E-2</v>
      </c>
      <c r="Q4247">
        <v>0.36389630000000001</v>
      </c>
      <c r="R4247">
        <v>-0.92851760000000005</v>
      </c>
      <c r="S4247">
        <v>-0.30903629999999999</v>
      </c>
      <c r="T4247">
        <v>-0.50804280000000002</v>
      </c>
      <c r="U4247">
        <v>-3.457214</v>
      </c>
      <c r="V4247">
        <v>4.9522620000000003E-2</v>
      </c>
      <c r="W4247">
        <v>0.37666240000000001</v>
      </c>
      <c r="X4247">
        <v>0.92502589999999996</v>
      </c>
      <c r="Y4247">
        <v>0.2143033</v>
      </c>
      <c r="Z4247">
        <v>0.1273629</v>
      </c>
      <c r="AA4247">
        <v>0.96842799999999996</v>
      </c>
      <c r="AB4247">
        <v>21</v>
      </c>
      <c r="AC4247">
        <v>-8.6000000000012705E-2</v>
      </c>
      <c r="AD4247">
        <v>-0.1229446</v>
      </c>
      <c r="AE4247">
        <v>-0.70999999999997898</v>
      </c>
      <c r="AF4247">
        <v>0.17077393267270799</v>
      </c>
      <c r="AG4247">
        <v>-0.1229446</v>
      </c>
      <c r="AH4247">
        <v>0.67334288106357298</v>
      </c>
      <c r="AI4247">
        <v>100.036557841488</v>
      </c>
      <c r="AJ4247">
        <v>75.768656468014299</v>
      </c>
      <c r="AK4247">
        <v>0.70545711863206495</v>
      </c>
      <c r="AL4247">
        <v>67.872903009402293</v>
      </c>
      <c r="AM4247">
        <v>86.935511832353797</v>
      </c>
      <c r="AN4247">
        <v>0.99999998456811701</v>
      </c>
    </row>
    <row r="4248" spans="1:40" x14ac:dyDescent="0.25">
      <c r="A4248" t="str">
        <f>"20190304164213753"</f>
        <v>20190304164213753</v>
      </c>
      <c r="B4248" t="str">
        <f>"1551688933745103"</f>
        <v>1551688933745103</v>
      </c>
      <c r="C4248" t="s">
        <v>40</v>
      </c>
      <c r="D4248">
        <v>4.7130169999999998</v>
      </c>
      <c r="E4248">
        <v>0.57955509999999999</v>
      </c>
      <c r="F4248" t="s">
        <v>41</v>
      </c>
      <c r="G4248">
        <v>-192.29669999999999</v>
      </c>
      <c r="H4248">
        <v>0.97445020000000004</v>
      </c>
      <c r="I4248">
        <v>197.1575</v>
      </c>
      <c r="J4248">
        <v>-192.2037</v>
      </c>
      <c r="K4248">
        <v>1.1064659999999999</v>
      </c>
      <c r="L4248">
        <v>197.94450000000001</v>
      </c>
      <c r="M4248">
        <v>0.1233871</v>
      </c>
      <c r="N4248">
        <v>-1.4313970000000001E-2</v>
      </c>
      <c r="O4248">
        <v>-0.99225529999999995</v>
      </c>
      <c r="P4248">
        <v>7.1730799999999997E-2</v>
      </c>
      <c r="Q4248">
        <v>0.3634444</v>
      </c>
      <c r="R4248">
        <v>-0.92885030000000002</v>
      </c>
      <c r="S4248">
        <v>-0.32163999999999998</v>
      </c>
      <c r="T4248">
        <v>-0.50761650000000003</v>
      </c>
      <c r="U4248">
        <v>-3.45546</v>
      </c>
      <c r="V4248">
        <v>4.7579339999999998E-2</v>
      </c>
      <c r="W4248">
        <v>0.37622729999999999</v>
      </c>
      <c r="X4248">
        <v>0.92530489999999999</v>
      </c>
      <c r="Y4248">
        <v>0.2138188</v>
      </c>
      <c r="Z4248">
        <v>0.12743699999999999</v>
      </c>
      <c r="AA4248">
        <v>0.96852539999999998</v>
      </c>
      <c r="AB4248">
        <v>21</v>
      </c>
      <c r="AC4248">
        <v>-9.29999999999893E-2</v>
      </c>
      <c r="AD4248">
        <v>-0.13201579999999899</v>
      </c>
      <c r="AE4248">
        <v>-0.78700000000000603</v>
      </c>
      <c r="AF4248">
        <v>0.18429054973981701</v>
      </c>
      <c r="AG4248">
        <v>-0.13201579999999899</v>
      </c>
      <c r="AH4248">
        <v>0.74873073705034399</v>
      </c>
      <c r="AI4248">
        <v>99.715383365480704</v>
      </c>
      <c r="AJ4248">
        <v>76.172243783000496</v>
      </c>
      <c r="AK4248">
        <v>0.78229719082775395</v>
      </c>
      <c r="AL4248">
        <v>67.899811421430798</v>
      </c>
      <c r="AM4248">
        <v>87.056433454070003</v>
      </c>
      <c r="AN4248">
        <v>0.99999996641206701</v>
      </c>
    </row>
    <row r="4249" spans="1:40" x14ac:dyDescent="0.25">
      <c r="A4249" t="str">
        <f>"20190304164213766"</f>
        <v>20190304164213766</v>
      </c>
      <c r="B4249" t="str">
        <f>"1551688933755838"</f>
        <v>1551688933755838</v>
      </c>
      <c r="C4249" t="s">
        <v>40</v>
      </c>
      <c r="D4249">
        <v>4.6892060000000004</v>
      </c>
      <c r="E4249">
        <v>0.57955509999999999</v>
      </c>
      <c r="F4249" t="s">
        <v>41</v>
      </c>
      <c r="G4249">
        <v>-192.27979999999999</v>
      </c>
      <c r="H4249">
        <v>0.99032430000000005</v>
      </c>
      <c r="I4249">
        <v>197.15260000000001</v>
      </c>
      <c r="J4249">
        <v>-192.19460000000001</v>
      </c>
      <c r="K4249">
        <v>1.1065830000000001</v>
      </c>
      <c r="L4249">
        <v>197.83349999999999</v>
      </c>
      <c r="M4249">
        <v>0.11934309999999999</v>
      </c>
      <c r="N4249">
        <v>-1.4290489999999999E-2</v>
      </c>
      <c r="O4249">
        <v>-0.99275029999999997</v>
      </c>
      <c r="P4249">
        <v>6.9361510000000001E-2</v>
      </c>
      <c r="Q4249">
        <v>0.3632128</v>
      </c>
      <c r="R4249">
        <v>-0.92912099999999997</v>
      </c>
      <c r="S4249">
        <v>-0.33169559999999998</v>
      </c>
      <c r="T4249">
        <v>-0.50648059999999995</v>
      </c>
      <c r="U4249">
        <v>-3.4535830000000001</v>
      </c>
      <c r="V4249">
        <v>4.6058399999999999E-2</v>
      </c>
      <c r="W4249">
        <v>0.37600549999999999</v>
      </c>
      <c r="X4249">
        <v>0.92547199999999996</v>
      </c>
      <c r="Y4249">
        <v>0.2126873</v>
      </c>
      <c r="Z4249">
        <v>0.12733079999999999</v>
      </c>
      <c r="AA4249">
        <v>0.96878839999999999</v>
      </c>
      <c r="AB4249">
        <v>21</v>
      </c>
      <c r="AC4249">
        <v>-8.5199999999986106E-2</v>
      </c>
      <c r="AD4249">
        <v>-0.11625870000000001</v>
      </c>
      <c r="AE4249">
        <v>-0.68089999999997897</v>
      </c>
      <c r="AF4249">
        <v>0.16123201895426401</v>
      </c>
      <c r="AG4249">
        <v>-0.11625870000000001</v>
      </c>
      <c r="AH4249">
        <v>0.64728417231042701</v>
      </c>
      <c r="AI4249">
        <v>99.886465518265098</v>
      </c>
      <c r="AJ4249">
        <v>76.012838806668796</v>
      </c>
      <c r="AK4249">
        <v>0.67711789888124496</v>
      </c>
      <c r="AL4249">
        <v>67.913526731575502</v>
      </c>
      <c r="AM4249">
        <v>87.150884690724993</v>
      </c>
      <c r="AN4249">
        <v>0.99999996751240405</v>
      </c>
    </row>
    <row r="4250" spans="1:40" x14ac:dyDescent="0.25">
      <c r="A4250" t="str">
        <f>"20190304164213778"</f>
        <v>20190304164213778</v>
      </c>
      <c r="B4250" t="str">
        <f>"1551688933765599"</f>
        <v>1551688933765599</v>
      </c>
      <c r="C4250" t="s">
        <v>40</v>
      </c>
      <c r="D4250">
        <v>4.6017599999999996</v>
      </c>
      <c r="E4250">
        <v>0.57955509999999999</v>
      </c>
      <c r="F4250" t="s">
        <v>41</v>
      </c>
      <c r="G4250">
        <v>-192.2809</v>
      </c>
      <c r="H4250">
        <v>0.97934560000000004</v>
      </c>
      <c r="I4250">
        <v>196.9657</v>
      </c>
      <c r="J4250">
        <v>-192.18530000000001</v>
      </c>
      <c r="K4250">
        <v>1.1067</v>
      </c>
      <c r="L4250">
        <v>197.7158</v>
      </c>
      <c r="M4250">
        <v>0.11515739999999899</v>
      </c>
      <c r="N4250">
        <v>-1.42656E-2</v>
      </c>
      <c r="O4250">
        <v>-0.99324489999999999</v>
      </c>
      <c r="P4250">
        <v>6.6617449999999995E-2</v>
      </c>
      <c r="Q4250">
        <v>0.36330079999999998</v>
      </c>
      <c r="R4250">
        <v>-0.92928750000000004</v>
      </c>
      <c r="S4250">
        <v>-0.34346009999999999</v>
      </c>
      <c r="T4250">
        <v>-0.50622149999999999</v>
      </c>
      <c r="U4250">
        <v>-3.4523929999999998</v>
      </c>
      <c r="V4250">
        <v>4.4767010000000003E-2</v>
      </c>
      <c r="W4250">
        <v>0.3760965</v>
      </c>
      <c r="X4250">
        <v>0.92549840000000005</v>
      </c>
      <c r="Y4250">
        <v>0.21187230000000001</v>
      </c>
      <c r="Z4250">
        <v>0.12742919999999999</v>
      </c>
      <c r="AA4250">
        <v>0.96895399999999998</v>
      </c>
      <c r="AB4250">
        <v>21</v>
      </c>
      <c r="AC4250">
        <v>-9.5599999999990304E-2</v>
      </c>
      <c r="AD4250">
        <v>-0.12735439999999901</v>
      </c>
      <c r="AE4250">
        <v>-0.75010000000000299</v>
      </c>
      <c r="AF4250">
        <v>0.176349946960874</v>
      </c>
      <c r="AG4250">
        <v>-0.12735439999999901</v>
      </c>
      <c r="AH4250">
        <v>0.71384982054222301</v>
      </c>
      <c r="AI4250">
        <v>99.826048787986295</v>
      </c>
      <c r="AJ4250">
        <v>76.123449804870901</v>
      </c>
      <c r="AK4250">
        <v>0.74625733717038001</v>
      </c>
      <c r="AL4250">
        <v>67.907899976870297</v>
      </c>
      <c r="AM4250">
        <v>87.230721194457203</v>
      </c>
      <c r="AN4250">
        <v>0.99999997544957397</v>
      </c>
    </row>
    <row r="4251" spans="1:40" x14ac:dyDescent="0.25">
      <c r="A4251" t="str">
        <f>"20190304164213790"</f>
        <v>20190304164213790</v>
      </c>
      <c r="B4251" t="str">
        <f>"1551688933785118"</f>
        <v>1551688933785118</v>
      </c>
      <c r="C4251" t="s">
        <v>40</v>
      </c>
      <c r="D4251">
        <v>4.647551</v>
      </c>
      <c r="E4251">
        <v>0.57895929999999995</v>
      </c>
      <c r="F4251" t="s">
        <v>41</v>
      </c>
      <c r="G4251">
        <v>-192.2627</v>
      </c>
      <c r="H4251">
        <v>0.99594450000000001</v>
      </c>
      <c r="I4251">
        <v>196.96039999999999</v>
      </c>
      <c r="J4251">
        <v>-192.1763</v>
      </c>
      <c r="K4251">
        <v>1.1068229999999999</v>
      </c>
      <c r="L4251">
        <v>197.5966</v>
      </c>
      <c r="M4251">
        <v>0.1110416</v>
      </c>
      <c r="N4251">
        <v>-1.4240350000000001E-2</v>
      </c>
      <c r="O4251">
        <v>-0.99371370000000003</v>
      </c>
      <c r="P4251">
        <v>6.3246520000000001E-2</v>
      </c>
      <c r="Q4251">
        <v>0.36374840000000003</v>
      </c>
      <c r="R4251">
        <v>-0.92934760000000005</v>
      </c>
      <c r="S4251">
        <v>-0.3536224</v>
      </c>
      <c r="T4251">
        <v>-0.50598809999999905</v>
      </c>
      <c r="U4251">
        <v>-3.4514619999999998</v>
      </c>
      <c r="V4251">
        <v>4.4159579999999997E-2</v>
      </c>
      <c r="W4251">
        <v>0.37653700000000001</v>
      </c>
      <c r="X4251">
        <v>0.92534850000000002</v>
      </c>
      <c r="Y4251">
        <v>0.2106759</v>
      </c>
      <c r="Z4251">
        <v>0.127528</v>
      </c>
      <c r="AA4251">
        <v>0.96920189999999995</v>
      </c>
      <c r="AB4251">
        <v>21</v>
      </c>
      <c r="AC4251">
        <v>-8.6399999999997507E-2</v>
      </c>
      <c r="AD4251">
        <v>-0.11087849999999901</v>
      </c>
      <c r="AE4251">
        <v>-0.63620000000000199</v>
      </c>
      <c r="AF4251">
        <v>0.15198456922766301</v>
      </c>
      <c r="AG4251">
        <v>-0.11087849999999901</v>
      </c>
      <c r="AH4251">
        <v>0.604636935617206</v>
      </c>
      <c r="AI4251">
        <v>100.084484274115</v>
      </c>
      <c r="AJ4251">
        <v>75.890171454777303</v>
      </c>
      <c r="AK4251">
        <v>0.63322916464589196</v>
      </c>
      <c r="AL4251">
        <v>67.880659598359799</v>
      </c>
      <c r="AM4251">
        <v>87.267797534810299</v>
      </c>
      <c r="AN4251">
        <v>1.0000000136635101</v>
      </c>
    </row>
    <row r="4252" spans="1:40" x14ac:dyDescent="0.25">
      <c r="A4252" t="str">
        <f>"20190304164213803"</f>
        <v>20190304164213803</v>
      </c>
      <c r="B4252" t="str">
        <f>"1551688933795098"</f>
        <v>1551688933795098</v>
      </c>
      <c r="C4252" t="s">
        <v>40</v>
      </c>
      <c r="D4252">
        <v>4.6329789999999997</v>
      </c>
      <c r="E4252">
        <v>0.57873790000000003</v>
      </c>
      <c r="F4252" t="s">
        <v>41</v>
      </c>
      <c r="G4252">
        <v>-192.262</v>
      </c>
      <c r="H4252">
        <v>0.98664719999999995</v>
      </c>
      <c r="I4252">
        <v>196.77340000000001</v>
      </c>
      <c r="J4252">
        <v>-192.16759999999999</v>
      </c>
      <c r="K4252">
        <v>1.106948</v>
      </c>
      <c r="L4252">
        <v>197.4769</v>
      </c>
      <c r="M4252">
        <v>0.10697909999999999</v>
      </c>
      <c r="N4252">
        <v>-1.4215459999999999E-2</v>
      </c>
      <c r="O4252">
        <v>-0.99415980000000004</v>
      </c>
      <c r="P4252">
        <v>5.9904619999999999E-2</v>
      </c>
      <c r="Q4252">
        <v>0.36407919999999999</v>
      </c>
      <c r="R4252">
        <v>-0.92943969999999998</v>
      </c>
      <c r="S4252">
        <v>-0.35917660000000001</v>
      </c>
      <c r="T4252">
        <v>-0.5036967</v>
      </c>
      <c r="U4252">
        <v>-3.449646</v>
      </c>
      <c r="V4252">
        <v>4.3579270000000003E-2</v>
      </c>
      <c r="W4252">
        <v>0.3768608</v>
      </c>
      <c r="X4252">
        <v>0.92524419999999996</v>
      </c>
      <c r="Y4252">
        <v>0.208287</v>
      </c>
      <c r="Z4252">
        <v>0.12711900000000001</v>
      </c>
      <c r="AA4252">
        <v>0.96977170000000001</v>
      </c>
      <c r="AB4252">
        <v>21</v>
      </c>
      <c r="AC4252">
        <v>-9.4400000000007298E-2</v>
      </c>
      <c r="AD4252">
        <v>-0.1203008</v>
      </c>
      <c r="AE4252">
        <v>-0.70349999999999102</v>
      </c>
      <c r="AF4252">
        <v>0.16440308257549699</v>
      </c>
      <c r="AG4252">
        <v>-0.1203008</v>
      </c>
      <c r="AH4252">
        <v>0.67011320570009703</v>
      </c>
      <c r="AI4252">
        <v>99.890252307476104</v>
      </c>
      <c r="AJ4252">
        <v>76.215524218871906</v>
      </c>
      <c r="AK4252">
        <v>0.70039443493978903</v>
      </c>
      <c r="AL4252">
        <v>67.860632105709001</v>
      </c>
      <c r="AM4252">
        <v>87.303345119486195</v>
      </c>
      <c r="AN4252">
        <v>1.000000022492</v>
      </c>
    </row>
    <row r="4253" spans="1:40" x14ac:dyDescent="0.25">
      <c r="A4253" t="str">
        <f>"20190304164213818"</f>
        <v>20190304164213818</v>
      </c>
      <c r="B4253" t="str">
        <f>"1551688933815594"</f>
        <v>1551688933815594</v>
      </c>
      <c r="C4253" t="s">
        <v>40</v>
      </c>
      <c r="D4253">
        <v>4.382174</v>
      </c>
      <c r="E4253">
        <v>0.57908169999999903</v>
      </c>
      <c r="F4253" t="s">
        <v>41</v>
      </c>
      <c r="G4253">
        <v>-192.26230000000001</v>
      </c>
      <c r="H4253">
        <v>0.97718989999999994</v>
      </c>
      <c r="I4253">
        <v>196.58680000000001</v>
      </c>
      <c r="J4253">
        <v>-192.15799999999999</v>
      </c>
      <c r="K4253">
        <v>1.1070979999999999</v>
      </c>
      <c r="L4253">
        <v>197.33789999999999</v>
      </c>
      <c r="M4253">
        <v>0.10243919999999999</v>
      </c>
      <c r="N4253">
        <v>-1.4186010000000001E-2</v>
      </c>
      <c r="O4253">
        <v>-0.99463809999999997</v>
      </c>
      <c r="P4253">
        <v>5.8615599999999997E-2</v>
      </c>
      <c r="Q4253">
        <v>0.36387330000000001</v>
      </c>
      <c r="R4253">
        <v>-0.92960240000000005</v>
      </c>
      <c r="S4253">
        <v>-0.36648560000000002</v>
      </c>
      <c r="T4253">
        <v>-0.50241769999999997</v>
      </c>
      <c r="U4253">
        <v>-3.4481809999999999</v>
      </c>
      <c r="V4253">
        <v>4.0497199999999997E-2</v>
      </c>
      <c r="W4253">
        <v>0.37667349999999999</v>
      </c>
      <c r="X4253">
        <v>0.92546050000000002</v>
      </c>
      <c r="Y4253">
        <v>0.20590439999999999</v>
      </c>
      <c r="Z4253">
        <v>0.1269806</v>
      </c>
      <c r="AA4253">
        <v>0.97029849999999995</v>
      </c>
      <c r="AB4253">
        <v>21</v>
      </c>
      <c r="AC4253">
        <v>-0.104300000000023</v>
      </c>
      <c r="AD4253">
        <v>-0.129908099999999</v>
      </c>
      <c r="AE4253">
        <v>-0.75109999999997901</v>
      </c>
      <c r="AF4253">
        <v>0.175548967152832</v>
      </c>
      <c r="AG4253">
        <v>-0.129908099999999</v>
      </c>
      <c r="AH4253">
        <v>0.71546474537622795</v>
      </c>
      <c r="AI4253">
        <v>100.000781805694</v>
      </c>
      <c r="AJ4253">
        <v>76.214050800834201</v>
      </c>
      <c r="AK4253">
        <v>0.74805304370098502</v>
      </c>
      <c r="AL4253">
        <v>67.872217820619298</v>
      </c>
      <c r="AM4253">
        <v>87.494394063872093</v>
      </c>
      <c r="AN4253">
        <v>1.0000000429351601</v>
      </c>
    </row>
    <row r="4254" spans="1:40" x14ac:dyDescent="0.25">
      <c r="A4254" t="str">
        <f>"20190304164213831"</f>
        <v>20190304164213831</v>
      </c>
      <c r="B4254" t="str">
        <f>"1551688933825353"</f>
        <v>1551688933825353</v>
      </c>
      <c r="C4254" t="s">
        <v>40</v>
      </c>
      <c r="D4254">
        <v>4.6104099999999999</v>
      </c>
      <c r="E4254">
        <v>0.57883549999999995</v>
      </c>
      <c r="F4254" t="s">
        <v>41</v>
      </c>
      <c r="G4254">
        <v>-192.24019999999999</v>
      </c>
      <c r="H4254">
        <v>0.99889499999999998</v>
      </c>
      <c r="I4254">
        <v>196.57939999999999</v>
      </c>
      <c r="J4254">
        <v>-192.1498</v>
      </c>
      <c r="K4254">
        <v>1.107226</v>
      </c>
      <c r="L4254">
        <v>197.2122</v>
      </c>
      <c r="M4254">
        <v>9.8464700000000002E-2</v>
      </c>
      <c r="N4254">
        <v>-1.415925E-2</v>
      </c>
      <c r="O4254">
        <v>-0.99504000000000004</v>
      </c>
      <c r="P4254">
        <v>5.7311050000000002E-2</v>
      </c>
      <c r="Q4254">
        <v>0.36366680000000001</v>
      </c>
      <c r="R4254">
        <v>-0.92976479999999995</v>
      </c>
      <c r="S4254">
        <v>-0.37254330000000002</v>
      </c>
      <c r="T4254">
        <v>-0.49080010000000002</v>
      </c>
      <c r="U4254">
        <v>-3.4427949999999998</v>
      </c>
      <c r="V4254">
        <v>3.7974460000000002E-2</v>
      </c>
      <c r="W4254">
        <v>0.37647910000000001</v>
      </c>
      <c r="X4254">
        <v>0.92564650000000004</v>
      </c>
      <c r="Y4254">
        <v>0.20389060000000001</v>
      </c>
      <c r="Z4254">
        <v>0.1241172</v>
      </c>
      <c r="AA4254">
        <v>0.97109400000000001</v>
      </c>
      <c r="AB4254">
        <v>21</v>
      </c>
      <c r="AC4254">
        <v>-9.0399999999988198E-2</v>
      </c>
      <c r="AD4254">
        <v>-0.108330999999999</v>
      </c>
      <c r="AE4254">
        <v>-0.63280000000000303</v>
      </c>
      <c r="AF4254">
        <v>0.14802392791587299</v>
      </c>
      <c r="AG4254">
        <v>-0.108330999999999</v>
      </c>
      <c r="AH4254">
        <v>0.60348943641506603</v>
      </c>
      <c r="AI4254">
        <v>99.889546686261696</v>
      </c>
      <c r="AJ4254">
        <v>76.218562428711294</v>
      </c>
      <c r="AK4254">
        <v>0.63075049636224401</v>
      </c>
      <c r="AL4254">
        <v>67.884240393048799</v>
      </c>
      <c r="AM4254">
        <v>87.650769615310296</v>
      </c>
      <c r="AN4254">
        <v>1.0000000076556701</v>
      </c>
    </row>
    <row r="4255" spans="1:40" x14ac:dyDescent="0.25">
      <c r="A4255" t="str">
        <f>"20190304164213843"</f>
        <v>20190304164213843</v>
      </c>
      <c r="B4255" t="str">
        <f>"1551688933835113"</f>
        <v>1551688933835113</v>
      </c>
      <c r="C4255" t="s">
        <v>40</v>
      </c>
      <c r="D4255">
        <v>4.613162</v>
      </c>
      <c r="E4255">
        <v>0.57859209999999905</v>
      </c>
      <c r="F4255" t="s">
        <v>41</v>
      </c>
      <c r="G4255">
        <v>-192.23990000000001</v>
      </c>
      <c r="H4255">
        <v>0.99051020000000001</v>
      </c>
      <c r="I4255">
        <v>196.39269999999999</v>
      </c>
      <c r="J4255">
        <v>-192.14230000000001</v>
      </c>
      <c r="K4255">
        <v>1.1073470000000001</v>
      </c>
      <c r="L4255">
        <v>197.0943</v>
      </c>
      <c r="M4255">
        <v>9.480645E-2</v>
      </c>
      <c r="N4255">
        <v>-1.413442E-2</v>
      </c>
      <c r="O4255">
        <v>-0.99539540000000004</v>
      </c>
      <c r="P4255">
        <v>5.7342669999999998E-2</v>
      </c>
      <c r="Q4255">
        <v>0.3639193</v>
      </c>
      <c r="R4255">
        <v>-0.92966369999999998</v>
      </c>
      <c r="S4255">
        <v>-0.37823489999999999</v>
      </c>
      <c r="T4255">
        <v>-0.49017050000000001</v>
      </c>
      <c r="U4255">
        <v>-3.4416660000000001</v>
      </c>
      <c r="V4255">
        <v>3.4404469999999999E-2</v>
      </c>
      <c r="W4255">
        <v>0.3767508</v>
      </c>
      <c r="X4255">
        <v>0.92567549999999998</v>
      </c>
      <c r="Y4255">
        <v>0.20191729999999999</v>
      </c>
      <c r="Z4255">
        <v>0.124105199999999</v>
      </c>
      <c r="AA4255">
        <v>0.97150769999999997</v>
      </c>
      <c r="AB4255">
        <v>21</v>
      </c>
      <c r="AC4255">
        <v>-9.7599999999999895E-2</v>
      </c>
      <c r="AD4255">
        <v>-0.11683679999999901</v>
      </c>
      <c r="AE4255">
        <v>-0.70160000000001299</v>
      </c>
      <c r="AF4255">
        <v>0.159348007960881</v>
      </c>
      <c r="AG4255">
        <v>-0.11683679999999901</v>
      </c>
      <c r="AH4255">
        <v>0.67093211694572596</v>
      </c>
      <c r="AI4255">
        <v>99.616193348804202</v>
      </c>
      <c r="AJ4255">
        <v>76.639649775059596</v>
      </c>
      <c r="AK4255">
        <v>0.69942299863860302</v>
      </c>
      <c r="AL4255">
        <v>67.867435210261704</v>
      </c>
      <c r="AM4255">
        <v>87.871474390371901</v>
      </c>
      <c r="AN4255">
        <v>0.99999998207843499</v>
      </c>
    </row>
    <row r="4256" spans="1:40" x14ac:dyDescent="0.25">
      <c r="A4256" t="str">
        <f>"20190304164213855"</f>
        <v>20190304164213855</v>
      </c>
      <c r="B4256" t="str">
        <f>"1551688933845850"</f>
        <v>1551688933845850</v>
      </c>
      <c r="C4256" t="s">
        <v>40</v>
      </c>
      <c r="D4256">
        <v>4.57517</v>
      </c>
      <c r="E4256">
        <v>0.57846469999999905</v>
      </c>
      <c r="F4256" t="s">
        <v>41</v>
      </c>
      <c r="G4256">
        <v>-192.2407</v>
      </c>
      <c r="H4256">
        <v>0.98145269999999996</v>
      </c>
      <c r="I4256">
        <v>196.20670000000001</v>
      </c>
      <c r="J4256">
        <v>-192.13560000000001</v>
      </c>
      <c r="K4256">
        <v>1.1074660000000001</v>
      </c>
      <c r="L4256">
        <v>196.98150000000001</v>
      </c>
      <c r="M4256">
        <v>9.1443849999999993E-2</v>
      </c>
      <c r="N4256">
        <v>-1.4110309999999999E-2</v>
      </c>
      <c r="O4256">
        <v>-0.99571019999999999</v>
      </c>
      <c r="P4256">
        <v>5.7245900000000002E-2</v>
      </c>
      <c r="Q4256">
        <v>0.36453279999999999</v>
      </c>
      <c r="R4256">
        <v>-0.92942919999999996</v>
      </c>
      <c r="S4256">
        <v>-0.38082890000000003</v>
      </c>
      <c r="T4256">
        <v>-0.48788550000000003</v>
      </c>
      <c r="U4256">
        <v>-3.4414370000000001</v>
      </c>
      <c r="V4256">
        <v>3.1233259999999999E-2</v>
      </c>
      <c r="W4256">
        <v>0.37737619999999999</v>
      </c>
      <c r="X4256">
        <v>0.92553319999999994</v>
      </c>
      <c r="Y4256">
        <v>0.1993518</v>
      </c>
      <c r="Z4256">
        <v>0.1236048</v>
      </c>
      <c r="AA4256">
        <v>0.9721012</v>
      </c>
      <c r="AB4256">
        <v>21</v>
      </c>
      <c r="AC4256">
        <v>-0.105099999999993</v>
      </c>
      <c r="AD4256">
        <v>-0.12601329999999999</v>
      </c>
      <c r="AE4256">
        <v>-0.77479999999999805</v>
      </c>
      <c r="AF4256">
        <v>0.17107388721061401</v>
      </c>
      <c r="AG4256">
        <v>-0.12601329999999999</v>
      </c>
      <c r="AH4256">
        <v>0.74265194370121701</v>
      </c>
      <c r="AI4256">
        <v>99.3888967039845</v>
      </c>
      <c r="AJ4256">
        <v>77.027897024806407</v>
      </c>
      <c r="AK4256">
        <v>0.77244905084117699</v>
      </c>
      <c r="AL4256">
        <v>67.828747349863505</v>
      </c>
      <c r="AM4256">
        <v>88.067216680974795</v>
      </c>
      <c r="AN4256">
        <v>1.00000000857945</v>
      </c>
    </row>
    <row r="4257" spans="1:40" x14ac:dyDescent="0.25">
      <c r="A4257" t="str">
        <f>"20190304164213867"</f>
        <v>20190304164213867</v>
      </c>
      <c r="B4257" t="str">
        <f>"1551688933855610"</f>
        <v>1551688933855610</v>
      </c>
      <c r="C4257" t="s">
        <v>40</v>
      </c>
      <c r="D4257">
        <v>4.5669500000000003</v>
      </c>
      <c r="E4257">
        <v>0.57825419999999905</v>
      </c>
      <c r="F4257" t="s">
        <v>41</v>
      </c>
      <c r="G4257">
        <v>-192.22290000000001</v>
      </c>
      <c r="H4257">
        <v>0.9978186</v>
      </c>
      <c r="I4257">
        <v>196.20099999999999</v>
      </c>
      <c r="J4257">
        <v>-192.1292</v>
      </c>
      <c r="K4257">
        <v>1.1075820000000001</v>
      </c>
      <c r="L4257">
        <v>196.8707</v>
      </c>
      <c r="M4257">
        <v>8.8214290000000001E-2</v>
      </c>
      <c r="N4257">
        <v>-1.4087189999999999E-2</v>
      </c>
      <c r="O4257">
        <v>-0.99600200000000005</v>
      </c>
      <c r="P4257">
        <v>5.6842820000000002E-2</v>
      </c>
      <c r="Q4257">
        <v>0.3659713</v>
      </c>
      <c r="R4257">
        <v>-0.92888890000000002</v>
      </c>
      <c r="S4257">
        <v>-0.38400269999999997</v>
      </c>
      <c r="T4257">
        <v>-0.48315979999999997</v>
      </c>
      <c r="U4257">
        <v>-3.4409329999999998</v>
      </c>
      <c r="V4257">
        <v>2.8475509999999999E-2</v>
      </c>
      <c r="W4257">
        <v>0.3788166</v>
      </c>
      <c r="X4257">
        <v>0.92503360000000001</v>
      </c>
      <c r="Y4257">
        <v>0.1970972</v>
      </c>
      <c r="Z4257">
        <v>0.12242450000000001</v>
      </c>
      <c r="AA4257">
        <v>0.97271010000000002</v>
      </c>
      <c r="AB4257">
        <v>21</v>
      </c>
      <c r="AC4257">
        <v>-9.3700000000012496E-2</v>
      </c>
      <c r="AD4257">
        <v>-0.1097634</v>
      </c>
      <c r="AE4257">
        <v>-0.66970000000000596</v>
      </c>
      <c r="AF4257">
        <v>0.14850491346097899</v>
      </c>
      <c r="AG4257">
        <v>-0.1097634</v>
      </c>
      <c r="AH4257">
        <v>0.64190962884566005</v>
      </c>
      <c r="AI4257">
        <v>99.458323832329</v>
      </c>
      <c r="AJ4257">
        <v>76.973868567325596</v>
      </c>
      <c r="AK4257">
        <v>0.66794437261375705</v>
      </c>
      <c r="AL4257">
        <v>67.739600990706805</v>
      </c>
      <c r="AM4257">
        <v>88.236808385190898</v>
      </c>
      <c r="AN4257">
        <v>1.0000000161171301</v>
      </c>
    </row>
    <row r="4258" spans="1:40" x14ac:dyDescent="0.25">
      <c r="A4258" t="str">
        <f>"20190304164213880"</f>
        <v>20190304164213880</v>
      </c>
      <c r="B4258" t="str">
        <f>"1551688933875129"</f>
        <v>1551688933875129</v>
      </c>
      <c r="C4258" t="s">
        <v>40</v>
      </c>
      <c r="D4258">
        <v>4.5782920000000003</v>
      </c>
      <c r="E4258">
        <v>0.57808289999999996</v>
      </c>
      <c r="F4258" t="s">
        <v>41</v>
      </c>
      <c r="G4258">
        <v>-192.22499999999999</v>
      </c>
      <c r="H4258">
        <v>0.98884170000000005</v>
      </c>
      <c r="I4258">
        <v>196.0153</v>
      </c>
      <c r="J4258">
        <v>-192.12190000000001</v>
      </c>
      <c r="K4258">
        <v>1.1077220000000001</v>
      </c>
      <c r="L4258">
        <v>196.74039999999999</v>
      </c>
      <c r="M4258">
        <v>8.4508340000000001E-2</v>
      </c>
      <c r="N4258">
        <v>-1.4060619999999999E-2</v>
      </c>
      <c r="O4258">
        <v>-0.99632359999999998</v>
      </c>
      <c r="P4258">
        <v>5.5045570000000002E-2</v>
      </c>
      <c r="Q4258">
        <v>0.36795040000000001</v>
      </c>
      <c r="R4258">
        <v>-0.92821509999999996</v>
      </c>
      <c r="S4258">
        <v>-0.38522339999999999</v>
      </c>
      <c r="T4258">
        <v>-0.47759200000000002</v>
      </c>
      <c r="U4258">
        <v>-3.4414220000000002</v>
      </c>
      <c r="V4258">
        <v>2.664066E-2</v>
      </c>
      <c r="W4258">
        <v>0.38078390000000001</v>
      </c>
      <c r="X4258">
        <v>0.9242802</v>
      </c>
      <c r="Y4258">
        <v>0.193802</v>
      </c>
      <c r="Z4258">
        <v>0.1209977</v>
      </c>
      <c r="AA4258">
        <v>0.97355040000000004</v>
      </c>
      <c r="AB4258">
        <v>21</v>
      </c>
      <c r="AC4258">
        <v>-0.103099999999983</v>
      </c>
      <c r="AD4258">
        <v>-0.118880299999999</v>
      </c>
      <c r="AE4258">
        <v>-0.72509999999999697</v>
      </c>
      <c r="AF4258">
        <v>0.159803815314324</v>
      </c>
      <c r="AG4258">
        <v>-0.118880299999999</v>
      </c>
      <c r="AH4258">
        <v>0.69546845364731302</v>
      </c>
      <c r="AI4258">
        <v>99.458282459535496</v>
      </c>
      <c r="AJ4258">
        <v>77.059280286272795</v>
      </c>
      <c r="AK4258">
        <v>0.72342667571474695</v>
      </c>
      <c r="AL4258">
        <v>67.617752219364107</v>
      </c>
      <c r="AM4258">
        <v>88.349012674770293</v>
      </c>
      <c r="AN4258">
        <v>0.99999999568824205</v>
      </c>
    </row>
    <row r="4259" spans="1:40" x14ac:dyDescent="0.25">
      <c r="A4259" t="str">
        <f>"20190304164213896"</f>
        <v>20190304164213896</v>
      </c>
      <c r="B4259" t="str">
        <f>"1551688933884890"</f>
        <v>1551688933884890</v>
      </c>
      <c r="C4259" t="s">
        <v>40</v>
      </c>
      <c r="D4259">
        <v>4.5453640000000002</v>
      </c>
      <c r="E4259">
        <v>0.57808289999999996</v>
      </c>
      <c r="F4259" t="s">
        <v>41</v>
      </c>
      <c r="G4259">
        <v>-192.20429999999999</v>
      </c>
      <c r="H4259">
        <v>1.008095</v>
      </c>
      <c r="I4259">
        <v>196.00829999999999</v>
      </c>
      <c r="J4259">
        <v>-192.11439999999999</v>
      </c>
      <c r="K4259">
        <v>1.1078809999999999</v>
      </c>
      <c r="L4259">
        <v>196.59569999999999</v>
      </c>
      <c r="M4259">
        <v>8.0589359999999999E-2</v>
      </c>
      <c r="N4259">
        <v>-1.4031500000000001E-2</v>
      </c>
      <c r="O4259">
        <v>-0.9966486</v>
      </c>
      <c r="P4259">
        <v>5.3613630000000002E-2</v>
      </c>
      <c r="Q4259">
        <v>0.37249670000000001</v>
      </c>
      <c r="R4259">
        <v>-0.92648350000000002</v>
      </c>
      <c r="S4259">
        <v>-0.38699339999999999</v>
      </c>
      <c r="T4259">
        <v>-0.4681284</v>
      </c>
      <c r="U4259">
        <v>-3.4405519999999998</v>
      </c>
      <c r="V4259">
        <v>2.416691E-2</v>
      </c>
      <c r="W4259">
        <v>0.38530530000000002</v>
      </c>
      <c r="X4259">
        <v>0.92247270000000003</v>
      </c>
      <c r="Y4259">
        <v>0.19050729999999999</v>
      </c>
      <c r="Z4259">
        <v>0.11853610000000001</v>
      </c>
      <c r="AA4259">
        <v>0.97450300000000001</v>
      </c>
      <c r="AB4259">
        <v>21</v>
      </c>
      <c r="AC4259">
        <v>-8.9899999999999994E-2</v>
      </c>
      <c r="AD4259">
        <v>-9.9785999999999903E-2</v>
      </c>
      <c r="AE4259">
        <v>-0.58740000000000203</v>
      </c>
      <c r="AF4259">
        <v>0.13319458359807301</v>
      </c>
      <c r="AG4259">
        <v>-9.9785999999999903E-2</v>
      </c>
      <c r="AH4259">
        <v>0.56238528690183798</v>
      </c>
      <c r="AI4259">
        <v>99.795949609467002</v>
      </c>
      <c r="AJ4259">
        <v>76.675655088676294</v>
      </c>
      <c r="AK4259">
        <v>0.58649403562144298</v>
      </c>
      <c r="AL4259">
        <v>67.337306183031004</v>
      </c>
      <c r="AM4259">
        <v>88.499310280626005</v>
      </c>
      <c r="AN4259">
        <v>1.0000000479961599</v>
      </c>
    </row>
    <row r="4260" spans="1:40" x14ac:dyDescent="0.25">
      <c r="A4260" t="str">
        <f>"20190304164213913"</f>
        <v>20190304164213913</v>
      </c>
      <c r="B4260" t="str">
        <f>"1551688933905386"</f>
        <v>1551688933905386</v>
      </c>
      <c r="C4260" t="s">
        <v>40</v>
      </c>
      <c r="D4260">
        <v>4.5298939999999996</v>
      </c>
      <c r="E4260">
        <v>0.56572239999999996</v>
      </c>
      <c r="F4260" t="s">
        <v>41</v>
      </c>
      <c r="G4260">
        <v>-192.20089999999999</v>
      </c>
      <c r="H4260">
        <v>1.005582</v>
      </c>
      <c r="I4260">
        <v>195.8203</v>
      </c>
      <c r="J4260">
        <v>-192.10669999999999</v>
      </c>
      <c r="K4260">
        <v>1.1080540000000001</v>
      </c>
      <c r="L4260">
        <v>196.44130000000001</v>
      </c>
      <c r="M4260">
        <v>7.6585909999999993E-2</v>
      </c>
      <c r="N4260">
        <v>-1.4000820000000001E-2</v>
      </c>
      <c r="O4260">
        <v>-0.99696479999999998</v>
      </c>
      <c r="P4260">
        <v>5.1083009999999998E-2</v>
      </c>
      <c r="Q4260">
        <v>0.37412689999999998</v>
      </c>
      <c r="R4260">
        <v>-0.92596970000000001</v>
      </c>
      <c r="S4260">
        <v>-0.38342290000000001</v>
      </c>
      <c r="T4260">
        <v>-0.45403840000000001</v>
      </c>
      <c r="U4260">
        <v>-3.4427949999999998</v>
      </c>
      <c r="V4260">
        <v>2.2777080000000002E-2</v>
      </c>
      <c r="W4260">
        <v>0.38691740000000002</v>
      </c>
      <c r="X4260">
        <v>0.92183300000000001</v>
      </c>
      <c r="Y4260">
        <v>0.18555659999999999</v>
      </c>
      <c r="Z4260">
        <v>0.1146925</v>
      </c>
      <c r="AA4260">
        <v>0.97591719999999904</v>
      </c>
      <c r="AB4260">
        <v>21</v>
      </c>
      <c r="AC4260">
        <v>-9.42000000000007E-2</v>
      </c>
      <c r="AD4260">
        <v>-0.10247199999999999</v>
      </c>
      <c r="AE4260">
        <v>-0.62100000000000899</v>
      </c>
      <c r="AF4260">
        <v>0.137819542542062</v>
      </c>
      <c r="AG4260">
        <v>-0.10247199999999999</v>
      </c>
      <c r="AH4260">
        <v>0.59609483270826702</v>
      </c>
      <c r="AI4260">
        <v>99.508062324185005</v>
      </c>
      <c r="AJ4260">
        <v>76.981731540490998</v>
      </c>
      <c r="AK4260">
        <v>0.620341669301684</v>
      </c>
      <c r="AL4260">
        <v>67.237172904428107</v>
      </c>
      <c r="AM4260">
        <v>88.584597130357096</v>
      </c>
      <c r="AN4260">
        <v>0.99999997484254299</v>
      </c>
    </row>
    <row r="4261" spans="1:40" x14ac:dyDescent="0.25">
      <c r="A4261" t="str">
        <f>"20190304164213925"</f>
        <v>20190304164213925</v>
      </c>
      <c r="B4261" t="str">
        <f>"1551688933915146"</f>
        <v>1551688933915146</v>
      </c>
      <c r="C4261" t="s">
        <v>40</v>
      </c>
      <c r="D4261">
        <v>4.536041</v>
      </c>
      <c r="E4261">
        <v>0.56523999999999996</v>
      </c>
      <c r="F4261" t="s">
        <v>41</v>
      </c>
      <c r="G4261">
        <v>-192.17670000000001</v>
      </c>
      <c r="H4261">
        <v>1.0155479999999999</v>
      </c>
      <c r="I4261">
        <v>195.62870000000001</v>
      </c>
      <c r="J4261">
        <v>-192.1009</v>
      </c>
      <c r="K4261">
        <v>1.1081989999999999</v>
      </c>
      <c r="L4261">
        <v>196.31950000000001</v>
      </c>
      <c r="M4261">
        <v>7.355449E-2</v>
      </c>
      <c r="N4261">
        <v>-1.397693E-2</v>
      </c>
      <c r="O4261">
        <v>-0.99719329999999995</v>
      </c>
      <c r="P4261">
        <v>5.0380340000000003E-2</v>
      </c>
      <c r="Q4261">
        <v>0.37545650000000003</v>
      </c>
      <c r="R4261">
        <v>-0.92546980000000001</v>
      </c>
      <c r="S4261">
        <v>-0.2937012</v>
      </c>
      <c r="T4261">
        <v>-0.38845249999999998</v>
      </c>
      <c r="U4261">
        <v>-3.4130250000000002</v>
      </c>
      <c r="V4261">
        <v>2.0501019999999998E-2</v>
      </c>
      <c r="W4261">
        <v>0.38823999999999997</v>
      </c>
      <c r="X4261">
        <v>0.92133019999999999</v>
      </c>
      <c r="Y4261">
        <v>0.15823909999999999</v>
      </c>
      <c r="Z4261">
        <v>9.7766259999999994E-2</v>
      </c>
      <c r="AA4261">
        <v>0.9825488</v>
      </c>
      <c r="AB4261">
        <v>21</v>
      </c>
      <c r="AC4261">
        <v>-7.5800000000015105E-2</v>
      </c>
      <c r="AD4261">
        <v>-9.2650999999999997E-2</v>
      </c>
      <c r="AE4261">
        <v>-0.69079999999999497</v>
      </c>
      <c r="AF4261">
        <v>0.12420338084542</v>
      </c>
      <c r="AG4261">
        <v>-9.2650999999999997E-2</v>
      </c>
      <c r="AH4261">
        <v>0.67141828456972197</v>
      </c>
      <c r="AI4261">
        <v>97.727316921171195</v>
      </c>
      <c r="AJ4261">
        <v>79.519524609591102</v>
      </c>
      <c r="AK4261">
        <v>0.68906690565501705</v>
      </c>
      <c r="AL4261">
        <v>67.154967812257894</v>
      </c>
      <c r="AM4261">
        <v>88.725290764066102</v>
      </c>
      <c r="AN4261">
        <v>0.99999996342653896</v>
      </c>
    </row>
    <row r="4262" spans="1:40" x14ac:dyDescent="0.25">
      <c r="A4262" t="str">
        <f>"20190304164213942"</f>
        <v>20190304164213942</v>
      </c>
      <c r="B4262" t="str">
        <f>"1551688933935641"</f>
        <v>1551688933935641</v>
      </c>
      <c r="C4262" t="s">
        <v>40</v>
      </c>
      <c r="D4262">
        <v>4.527069</v>
      </c>
      <c r="E4262">
        <v>0.56525309999999995</v>
      </c>
      <c r="F4262" t="s">
        <v>41</v>
      </c>
      <c r="G4262">
        <v>-192.17599999999999</v>
      </c>
      <c r="H4262">
        <v>1.0096419999999999</v>
      </c>
      <c r="I4262">
        <v>195.44290000000001</v>
      </c>
      <c r="J4262">
        <v>-192.09370000000001</v>
      </c>
      <c r="K4262">
        <v>1.1083989999999999</v>
      </c>
      <c r="L4262">
        <v>196.1627</v>
      </c>
      <c r="M4262">
        <v>6.9835729999999999E-2</v>
      </c>
      <c r="N4262">
        <v>-1.39463E-2</v>
      </c>
      <c r="O4262">
        <v>-0.99746120000000005</v>
      </c>
      <c r="P4262">
        <v>5.2449809999999999E-2</v>
      </c>
      <c r="Q4262">
        <v>0.37706390000000001</v>
      </c>
      <c r="R4262">
        <v>-0.92470110000000005</v>
      </c>
      <c r="S4262">
        <v>-0.29191590000000001</v>
      </c>
      <c r="T4262">
        <v>-0.38356069999999998</v>
      </c>
      <c r="U4262">
        <v>-3.413116</v>
      </c>
      <c r="V4262">
        <v>1.476505E-2</v>
      </c>
      <c r="W4262">
        <v>0.38985609999999998</v>
      </c>
      <c r="X4262">
        <v>0.92075739999999995</v>
      </c>
      <c r="Y4262">
        <v>0.15406049999999999</v>
      </c>
      <c r="Z4262">
        <v>9.648909E-2</v>
      </c>
      <c r="AA4262">
        <v>0.98333879999999996</v>
      </c>
      <c r="AB4262">
        <v>21</v>
      </c>
      <c r="AC4262">
        <v>-8.2299999999975101E-2</v>
      </c>
      <c r="AD4262">
        <v>-9.87569999999999E-2</v>
      </c>
      <c r="AE4262">
        <v>-0.719799999999992</v>
      </c>
      <c r="AF4262">
        <v>0.12995692205322101</v>
      </c>
      <c r="AG4262">
        <v>-9.87569999999999E-2</v>
      </c>
      <c r="AH4262">
        <v>0.69930046222705</v>
      </c>
      <c r="AI4262">
        <v>97.904714291998701</v>
      </c>
      <c r="AJ4262">
        <v>79.472338293984805</v>
      </c>
      <c r="AK4262">
        <v>0.71809670874438103</v>
      </c>
      <c r="AL4262">
        <v>67.054453876589307</v>
      </c>
      <c r="AM4262">
        <v>89.081297041421493</v>
      </c>
      <c r="AN4262">
        <v>0.99999998753173602</v>
      </c>
    </row>
    <row r="4263" spans="1:40" x14ac:dyDescent="0.25">
      <c r="A4263" t="str">
        <f>"20190304164213954"</f>
        <v>20190304164213954</v>
      </c>
      <c r="B4263" t="str">
        <f>"1551688933945402"</f>
        <v>1551688933945402</v>
      </c>
      <c r="C4263" t="s">
        <v>40</v>
      </c>
      <c r="D4263">
        <v>4.4458780000000004</v>
      </c>
      <c r="E4263">
        <v>0.56547159999999996</v>
      </c>
      <c r="F4263" t="s">
        <v>41</v>
      </c>
      <c r="G4263">
        <v>-192.17070000000001</v>
      </c>
      <c r="H4263">
        <v>1.007174</v>
      </c>
      <c r="I4263">
        <v>195.25620000000001</v>
      </c>
      <c r="J4263">
        <v>-192.08869999999999</v>
      </c>
      <c r="K4263">
        <v>1.108536</v>
      </c>
      <c r="L4263">
        <v>196.04820000000001</v>
      </c>
      <c r="M4263">
        <v>6.7302780000000006E-2</v>
      </c>
      <c r="N4263">
        <v>-1.392418E-2</v>
      </c>
      <c r="O4263">
        <v>-0.99763539999999995</v>
      </c>
      <c r="P4263">
        <v>5.24279E-2</v>
      </c>
      <c r="Q4263">
        <v>0.37781920000000002</v>
      </c>
      <c r="R4263">
        <v>-0.92439400000000005</v>
      </c>
      <c r="S4263">
        <v>-0.2897034</v>
      </c>
      <c r="T4263">
        <v>-0.38143719999999998</v>
      </c>
      <c r="U4263">
        <v>-3.4162750000000002</v>
      </c>
      <c r="V4263">
        <v>1.2291450000000001E-2</v>
      </c>
      <c r="W4263">
        <v>0.39060600000000001</v>
      </c>
      <c r="X4263">
        <v>0.92047590000000001</v>
      </c>
      <c r="Y4263">
        <v>0.15085079999999901</v>
      </c>
      <c r="Z4263">
        <v>9.5867740000000007E-2</v>
      </c>
      <c r="AA4263">
        <v>0.98389700000000002</v>
      </c>
      <c r="AB4263">
        <v>21</v>
      </c>
      <c r="AC4263">
        <v>-8.2000000000022E-2</v>
      </c>
      <c r="AD4263">
        <v>-0.10136199999999899</v>
      </c>
      <c r="AE4263">
        <v>-0.79200000000000104</v>
      </c>
      <c r="AF4263">
        <v>0.13296815879456</v>
      </c>
      <c r="AG4263">
        <v>-0.10136199999999899</v>
      </c>
      <c r="AH4263">
        <v>0.77217089182264098</v>
      </c>
      <c r="AI4263">
        <v>97.371122835879206</v>
      </c>
      <c r="AJ4263">
        <v>80.229465345833603</v>
      </c>
      <c r="AK4263">
        <v>0.79006497990696201</v>
      </c>
      <c r="AL4263">
        <v>67.007788371078902</v>
      </c>
      <c r="AM4263">
        <v>89.234954054897997</v>
      </c>
      <c r="AN4263">
        <v>1.00000000472995</v>
      </c>
    </row>
    <row r="4264" spans="1:40" x14ac:dyDescent="0.25">
      <c r="A4264" t="str">
        <f>"20190304164213965"</f>
        <v>20190304164213965</v>
      </c>
      <c r="B4264" t="str">
        <f>"1551688933955162"</f>
        <v>1551688933955162</v>
      </c>
      <c r="C4264" t="s">
        <v>40</v>
      </c>
      <c r="D4264">
        <v>4.460661</v>
      </c>
      <c r="E4264">
        <v>0.5655424</v>
      </c>
      <c r="F4264" t="s">
        <v>41</v>
      </c>
      <c r="G4264">
        <v>-192.15790000000001</v>
      </c>
      <c r="H4264">
        <v>1.0206759999999999</v>
      </c>
      <c r="I4264">
        <v>195.25059999999999</v>
      </c>
      <c r="J4264">
        <v>-192.08430000000001</v>
      </c>
      <c r="K4264">
        <v>1.10866</v>
      </c>
      <c r="L4264">
        <v>195.94380000000001</v>
      </c>
      <c r="M4264">
        <v>6.5044539999999998E-2</v>
      </c>
      <c r="N4264">
        <v>-1.3904720000000001E-2</v>
      </c>
      <c r="O4264">
        <v>-0.9977857</v>
      </c>
      <c r="P4264">
        <v>5.219E-2</v>
      </c>
      <c r="Q4264">
        <v>0.37881039999999999</v>
      </c>
      <c r="R4264">
        <v>-0.92400190000000004</v>
      </c>
      <c r="S4264">
        <v>-0.29589840000000001</v>
      </c>
      <c r="T4264">
        <v>-0.37623580000000001</v>
      </c>
      <c r="U4264">
        <v>-3.4159090000000001</v>
      </c>
      <c r="V4264">
        <v>1.029863E-2</v>
      </c>
      <c r="W4264">
        <v>0.39158860000000001</v>
      </c>
      <c r="X4264">
        <v>0.92008279999999998</v>
      </c>
      <c r="Y4264">
        <v>0.15040789999999901</v>
      </c>
      <c r="Z4264">
        <v>9.4438250000000001E-2</v>
      </c>
      <c r="AA4264">
        <v>0.98410310000000001</v>
      </c>
      <c r="AB4264">
        <v>21</v>
      </c>
      <c r="AC4264">
        <v>-7.3599999999999E-2</v>
      </c>
      <c r="AD4264">
        <v>-8.7984000000000007E-2</v>
      </c>
      <c r="AE4264">
        <v>-0.69320000000001802</v>
      </c>
      <c r="AF4264">
        <v>0.116678619799268</v>
      </c>
      <c r="AG4264">
        <v>-8.7984000000000007E-2</v>
      </c>
      <c r="AH4264">
        <v>0.67617245073371601</v>
      </c>
      <c r="AI4264">
        <v>97.306914988378196</v>
      </c>
      <c r="AJ4264">
        <v>80.209597705685795</v>
      </c>
      <c r="AK4264">
        <v>0.69178339652343701</v>
      </c>
      <c r="AL4264">
        <v>66.946617732970296</v>
      </c>
      <c r="AM4264">
        <v>89.358706202253103</v>
      </c>
      <c r="AN4264">
        <v>1.0000000261428299</v>
      </c>
    </row>
    <row r="4265" spans="1:40" x14ac:dyDescent="0.25">
      <c r="A4265" t="str">
        <f>"20190304164213977"</f>
        <v>20190304164213977</v>
      </c>
      <c r="B4265" t="str">
        <f>"1551688933964922"</f>
        <v>1551688933964922</v>
      </c>
      <c r="C4265" t="s">
        <v>40</v>
      </c>
      <c r="D4265">
        <v>4.5082399999999998</v>
      </c>
      <c r="E4265">
        <v>0.56541239999999904</v>
      </c>
      <c r="F4265" t="s">
        <v>41</v>
      </c>
      <c r="G4265">
        <v>-192.16130000000001</v>
      </c>
      <c r="H4265">
        <v>1.012918</v>
      </c>
      <c r="I4265">
        <v>195.06610000000001</v>
      </c>
      <c r="J4265">
        <v>-192.0795</v>
      </c>
      <c r="K4265">
        <v>1.1087929999999999</v>
      </c>
      <c r="L4265">
        <v>195.82550000000001</v>
      </c>
      <c r="M4265">
        <v>6.2609600000000001E-2</v>
      </c>
      <c r="N4265">
        <v>-1.3883410000000001E-2</v>
      </c>
      <c r="O4265">
        <v>-0.99794170000000004</v>
      </c>
      <c r="P4265">
        <v>5.0441970000000003E-2</v>
      </c>
      <c r="Q4265">
        <v>0.38065290000000002</v>
      </c>
      <c r="R4265">
        <v>-0.92334139999999998</v>
      </c>
      <c r="S4265">
        <v>-0.29907230000000001</v>
      </c>
      <c r="T4265">
        <v>-0.37258550000000001</v>
      </c>
      <c r="U4265">
        <v>-3.4164119999999998</v>
      </c>
      <c r="V4265">
        <v>9.6277499999999992E-3</v>
      </c>
      <c r="W4265">
        <v>0.39340730000000002</v>
      </c>
      <c r="X4265">
        <v>0.91931379999999996</v>
      </c>
      <c r="Y4265">
        <v>0.14890149999999999</v>
      </c>
      <c r="Z4265">
        <v>9.3438389999999996E-2</v>
      </c>
      <c r="AA4265">
        <v>0.98442759999999996</v>
      </c>
      <c r="AB4265">
        <v>21</v>
      </c>
      <c r="AC4265">
        <v>-8.1800000000015402E-2</v>
      </c>
      <c r="AD4265">
        <v>-9.5875000000000099E-2</v>
      </c>
      <c r="AE4265">
        <v>-0.75939999999999896</v>
      </c>
      <c r="AF4265">
        <v>0.12718578827180901</v>
      </c>
      <c r="AG4265">
        <v>-9.5875000000000099E-2</v>
      </c>
      <c r="AH4265">
        <v>0.74111058143035102</v>
      </c>
      <c r="AI4265">
        <v>97.266160384904893</v>
      </c>
      <c r="AJ4265">
        <v>80.262037948789896</v>
      </c>
      <c r="AK4265">
        <v>0.75803240977635999</v>
      </c>
      <c r="AL4265">
        <v>66.833319882989699</v>
      </c>
      <c r="AM4265">
        <v>89.399977162083104</v>
      </c>
      <c r="AN4265">
        <v>0.99999993006689303</v>
      </c>
    </row>
    <row r="4266" spans="1:40" x14ac:dyDescent="0.25">
      <c r="A4266" t="str">
        <f>"20190304164213989"</f>
        <v>20190304164213989</v>
      </c>
      <c r="B4266" t="str">
        <f>"1551688933985418"</f>
        <v>1551688933985418</v>
      </c>
      <c r="C4266" t="s">
        <v>40</v>
      </c>
      <c r="D4266">
        <v>4.5335320000000001</v>
      </c>
      <c r="E4266">
        <v>0.56517259999999903</v>
      </c>
      <c r="F4266" t="s">
        <v>41</v>
      </c>
      <c r="G4266">
        <v>-192.14709999999999</v>
      </c>
      <c r="H4266">
        <v>1.026297</v>
      </c>
      <c r="I4266">
        <v>195.06059999999999</v>
      </c>
      <c r="J4266">
        <v>-192.0753</v>
      </c>
      <c r="K4266">
        <v>1.1089180000000001</v>
      </c>
      <c r="L4266">
        <v>195.71979999999999</v>
      </c>
      <c r="M4266">
        <v>6.0557350000000003E-2</v>
      </c>
      <c r="N4266">
        <v>-1.386485E-2</v>
      </c>
      <c r="O4266">
        <v>-0.99806850000000003</v>
      </c>
      <c r="P4266">
        <v>4.8870280000000002E-2</v>
      </c>
      <c r="Q4266">
        <v>0.3822197</v>
      </c>
      <c r="R4266">
        <v>-0.92277869999999995</v>
      </c>
      <c r="S4266">
        <v>-0.301330599999999</v>
      </c>
      <c r="T4266">
        <v>-0.36853960000000002</v>
      </c>
      <c r="U4266">
        <v>-3.417465</v>
      </c>
      <c r="V4266">
        <v>9.153942E-3</v>
      </c>
      <c r="W4266">
        <v>0.39495249999999998</v>
      </c>
      <c r="X4266">
        <v>0.91865589999999997</v>
      </c>
      <c r="Y4266">
        <v>0.1474993</v>
      </c>
      <c r="Z4266">
        <v>9.2300889999999997E-2</v>
      </c>
      <c r="AA4266">
        <v>0.98474589999999995</v>
      </c>
      <c r="AB4266">
        <v>21</v>
      </c>
      <c r="AC4266">
        <v>-7.1799999999996006E-2</v>
      </c>
      <c r="AD4266">
        <v>-8.2621E-2</v>
      </c>
      <c r="AE4266">
        <v>-0.65919999999999801</v>
      </c>
      <c r="AF4266">
        <v>0.10988549639824401</v>
      </c>
      <c r="AG4266">
        <v>-8.2621E-2</v>
      </c>
      <c r="AH4266">
        <v>0.64364902647116295</v>
      </c>
      <c r="AI4266">
        <v>97.211466340173104</v>
      </c>
      <c r="AJ4266">
        <v>80.311715185701502</v>
      </c>
      <c r="AK4266">
        <v>0.65816800380827101</v>
      </c>
      <c r="AL4266">
        <v>66.736987551914893</v>
      </c>
      <c r="AM4266">
        <v>89.429095393906195</v>
      </c>
      <c r="AN4266">
        <v>0.99999996725759899</v>
      </c>
    </row>
    <row r="4267" spans="1:40" x14ac:dyDescent="0.25">
      <c r="A4267" t="str">
        <f>"20190304164214002"</f>
        <v>20190304164214002</v>
      </c>
      <c r="B4267" t="str">
        <f>"1551688933995178"</f>
        <v>1551688933995178</v>
      </c>
      <c r="C4267" t="s">
        <v>40</v>
      </c>
      <c r="D4267">
        <v>4.4999529999999996</v>
      </c>
      <c r="E4267">
        <v>0.56498559999999998</v>
      </c>
      <c r="F4267" t="s">
        <v>41</v>
      </c>
      <c r="G4267">
        <v>-192.15010000000001</v>
      </c>
      <c r="H4267">
        <v>1.0179100000000001</v>
      </c>
      <c r="I4267">
        <v>194.8768</v>
      </c>
      <c r="J4267">
        <v>-192.07069999999999</v>
      </c>
      <c r="K4267">
        <v>1.1090580000000001</v>
      </c>
      <c r="L4267">
        <v>195.60120000000001</v>
      </c>
      <c r="M4267">
        <v>5.8326900000000001E-2</v>
      </c>
      <c r="N4267">
        <v>-1.384463E-2</v>
      </c>
      <c r="O4267">
        <v>-0.99820169999999997</v>
      </c>
      <c r="P4267">
        <v>4.6890000000000001E-2</v>
      </c>
      <c r="Q4267">
        <v>0.38328060000000003</v>
      </c>
      <c r="R4267">
        <v>-0.92244150000000003</v>
      </c>
      <c r="S4267">
        <v>-0.30268859999999997</v>
      </c>
      <c r="T4267">
        <v>-0.36911640000000001</v>
      </c>
      <c r="U4267">
        <v>-3.4199519999999999</v>
      </c>
      <c r="V4267">
        <v>8.9204160000000005E-3</v>
      </c>
      <c r="W4267">
        <v>0.39599230000000002</v>
      </c>
      <c r="X4267">
        <v>0.91821050000000004</v>
      </c>
      <c r="Y4267">
        <v>0.1456151</v>
      </c>
      <c r="Z4267">
        <v>9.2445020000000003E-2</v>
      </c>
      <c r="AA4267">
        <v>0.98501280000000002</v>
      </c>
      <c r="AB4267">
        <v>21</v>
      </c>
      <c r="AC4267">
        <v>-7.9400000000020995E-2</v>
      </c>
      <c r="AD4267">
        <v>-9.1148000000000007E-2</v>
      </c>
      <c r="AE4267">
        <v>-0.72440000000000204</v>
      </c>
      <c r="AF4267">
        <v>0.119649044633771</v>
      </c>
      <c r="AG4267">
        <v>-9.1148000000000007E-2</v>
      </c>
      <c r="AH4267">
        <v>0.70746720432911203</v>
      </c>
      <c r="AI4267">
        <v>97.239685432225599</v>
      </c>
      <c r="AJ4267">
        <v>80.400793354694201</v>
      </c>
      <c r="AK4267">
        <v>0.72327981928643903</v>
      </c>
      <c r="AL4267">
        <v>66.672124321844706</v>
      </c>
      <c r="AM4267">
        <v>89.443388950873</v>
      </c>
      <c r="AN4267">
        <v>0.999999998895576</v>
      </c>
    </row>
    <row r="4268" spans="1:40" x14ac:dyDescent="0.25">
      <c r="A4268" t="str">
        <f>"20190304164214012"</f>
        <v>20190304164214012</v>
      </c>
      <c r="B4268" t="str">
        <f>"1551688934004938"</f>
        <v>1551688934004938</v>
      </c>
      <c r="C4268" t="s">
        <v>40</v>
      </c>
      <c r="D4268">
        <v>4.4543470000000003</v>
      </c>
      <c r="E4268">
        <v>0.56500099999999998</v>
      </c>
      <c r="F4268" t="s">
        <v>41</v>
      </c>
      <c r="G4268">
        <v>-192.15199999999999</v>
      </c>
      <c r="H4268">
        <v>1.011056</v>
      </c>
      <c r="I4268">
        <v>194.6927</v>
      </c>
      <c r="J4268">
        <v>-192.06659999999999</v>
      </c>
      <c r="K4268">
        <v>1.109191</v>
      </c>
      <c r="L4268">
        <v>195.49170000000001</v>
      </c>
      <c r="M4268">
        <v>5.6489270000000001E-2</v>
      </c>
      <c r="N4268">
        <v>-1.3825850000000001E-2</v>
      </c>
      <c r="O4268">
        <v>-0.99830750000000001</v>
      </c>
      <c r="P4268">
        <v>4.5921869999999997E-2</v>
      </c>
      <c r="Q4268">
        <v>0.38408330000000002</v>
      </c>
      <c r="R4268">
        <v>-0.92215579999999997</v>
      </c>
      <c r="S4268">
        <v>-0.30586239999999998</v>
      </c>
      <c r="T4268">
        <v>-0.36906640000000002</v>
      </c>
      <c r="U4268">
        <v>-3.4211269999999998</v>
      </c>
      <c r="V4268">
        <v>8.041421E-3</v>
      </c>
      <c r="W4268">
        <v>0.3967794</v>
      </c>
      <c r="X4268">
        <v>0.91787870000000005</v>
      </c>
      <c r="Y4268">
        <v>0.1446721</v>
      </c>
      <c r="Z4268">
        <v>9.243432E-2</v>
      </c>
      <c r="AA4268">
        <v>0.98515269999999999</v>
      </c>
      <c r="AB4268">
        <v>21</v>
      </c>
      <c r="AC4268">
        <v>-8.5400000000021195E-2</v>
      </c>
      <c r="AD4268">
        <v>-9.8135E-2</v>
      </c>
      <c r="AE4268">
        <v>-0.79900000000000604</v>
      </c>
      <c r="AF4268">
        <v>0.12848648178300401</v>
      </c>
      <c r="AG4268">
        <v>-9.8135E-2</v>
      </c>
      <c r="AH4268">
        <v>0.78124703430984299</v>
      </c>
      <c r="AI4268">
        <v>97.065670692972802</v>
      </c>
      <c r="AJ4268">
        <v>80.660551957142303</v>
      </c>
      <c r="AK4268">
        <v>0.79780084159137099</v>
      </c>
      <c r="AL4268">
        <v>66.623001340221506</v>
      </c>
      <c r="AM4268">
        <v>89.498051651675198</v>
      </c>
      <c r="AN4268">
        <v>0.99999993231487205</v>
      </c>
    </row>
    <row r="4269" spans="1:40" x14ac:dyDescent="0.25">
      <c r="A4269" t="str">
        <f>"20190304164214025"</f>
        <v>20190304164214025</v>
      </c>
      <c r="B4269" t="str">
        <f>"1551688934015674"</f>
        <v>1551688934015674</v>
      </c>
      <c r="C4269" t="s">
        <v>40</v>
      </c>
      <c r="D4269">
        <v>4.5191049999999997</v>
      </c>
      <c r="E4269">
        <v>0.56502869999999905</v>
      </c>
      <c r="F4269" t="s">
        <v>41</v>
      </c>
      <c r="G4269">
        <v>-192.13939999999999</v>
      </c>
      <c r="H4269">
        <v>1.0227759999999999</v>
      </c>
      <c r="I4269">
        <v>194.68790000000001</v>
      </c>
      <c r="J4269">
        <v>-192.0625</v>
      </c>
      <c r="K4269">
        <v>1.1093329999999999</v>
      </c>
      <c r="L4269">
        <v>195.3801</v>
      </c>
      <c r="M4269">
        <v>5.4682019999999998E-2</v>
      </c>
      <c r="N4269">
        <v>-1.380725E-2</v>
      </c>
      <c r="O4269">
        <v>-0.99840830000000003</v>
      </c>
      <c r="P4269">
        <v>4.6131320000000003E-2</v>
      </c>
      <c r="Q4269">
        <v>0.384519</v>
      </c>
      <c r="R4269">
        <v>-0.92196369999999905</v>
      </c>
      <c r="S4269">
        <v>-0.30938719999999997</v>
      </c>
      <c r="T4269">
        <v>-0.36793720000000002</v>
      </c>
      <c r="U4269">
        <v>-3.4219210000000002</v>
      </c>
      <c r="V4269">
        <v>6.0150330000000004E-3</v>
      </c>
      <c r="W4269">
        <v>0.39720650000000002</v>
      </c>
      <c r="X4269">
        <v>0.91770949999999996</v>
      </c>
      <c r="Y4269">
        <v>0.14387130000000001</v>
      </c>
      <c r="Z4269">
        <v>9.2125180000000001E-2</v>
      </c>
      <c r="AA4269">
        <v>0.98529889999999998</v>
      </c>
      <c r="AB4269">
        <v>21</v>
      </c>
      <c r="AC4269">
        <v>-7.6899999999994806E-2</v>
      </c>
      <c r="AD4269">
        <v>-8.6556999999999704E-2</v>
      </c>
      <c r="AE4269">
        <v>-0.69219999999998505</v>
      </c>
      <c r="AF4269">
        <v>0.11289564875097501</v>
      </c>
      <c r="AG4269">
        <v>-8.6556999999999704E-2</v>
      </c>
      <c r="AH4269">
        <v>0.67650938473830502</v>
      </c>
      <c r="AI4269">
        <v>97.192775513511407</v>
      </c>
      <c r="AJ4269">
        <v>80.525805017254996</v>
      </c>
      <c r="AK4269">
        <v>0.69130491781478198</v>
      </c>
      <c r="AL4269">
        <v>66.596339836074307</v>
      </c>
      <c r="AM4269">
        <v>89.624466054392201</v>
      </c>
      <c r="AN4269">
        <v>0.99999995532724395</v>
      </c>
    </row>
    <row r="4270" spans="1:40" x14ac:dyDescent="0.25">
      <c r="A4270" t="str">
        <f>"20190304164214042"</f>
        <v>20190304164214042</v>
      </c>
      <c r="B4270" t="str">
        <f>"1551688934035194"</f>
        <v>1551688934035194</v>
      </c>
      <c r="C4270" t="s">
        <v>40</v>
      </c>
      <c r="D4270">
        <v>4.473058</v>
      </c>
      <c r="E4270">
        <v>0.56519229999999998</v>
      </c>
      <c r="F4270" t="s">
        <v>41</v>
      </c>
      <c r="G4270">
        <v>-192.1422</v>
      </c>
      <c r="H4270">
        <v>1.0154299999999901</v>
      </c>
      <c r="I4270">
        <v>194.5043</v>
      </c>
      <c r="J4270">
        <v>-192.05680000000001</v>
      </c>
      <c r="K4270">
        <v>1.109531</v>
      </c>
      <c r="L4270">
        <v>195.22460000000001</v>
      </c>
      <c r="M4270">
        <v>5.2375560000000002E-2</v>
      </c>
      <c r="N4270">
        <v>-1.3782050000000001E-2</v>
      </c>
      <c r="O4270">
        <v>-0.99853239999999999</v>
      </c>
      <c r="P4270">
        <v>5.0033979999999999E-2</v>
      </c>
      <c r="Q4270">
        <v>0.3830404</v>
      </c>
      <c r="R4270">
        <v>-0.92237559999999996</v>
      </c>
      <c r="S4270">
        <v>-0.31167600000000001</v>
      </c>
      <c r="T4270">
        <v>-0.3669462</v>
      </c>
      <c r="U4270">
        <v>-3.4225769999999902</v>
      </c>
      <c r="V4270">
        <v>-1.9514749999999999E-4</v>
      </c>
      <c r="W4270">
        <v>0.39573829999999999</v>
      </c>
      <c r="X4270">
        <v>0.91836329999999999</v>
      </c>
      <c r="Y4270">
        <v>0.14222599999999999</v>
      </c>
      <c r="Z4270">
        <v>9.1878409999999994E-2</v>
      </c>
      <c r="AA4270">
        <v>0.98556080000000001</v>
      </c>
      <c r="AB4270">
        <v>21</v>
      </c>
      <c r="AC4270">
        <v>-8.5399999999992801E-2</v>
      </c>
      <c r="AD4270">
        <v>-9.4101000000000198E-2</v>
      </c>
      <c r="AE4270">
        <v>-0.72030000000000804</v>
      </c>
      <c r="AF4270">
        <v>0.12097635672661899</v>
      </c>
      <c r="AG4270">
        <v>-9.4101000000000198E-2</v>
      </c>
      <c r="AH4270">
        <v>0.70300586964940304</v>
      </c>
      <c r="AI4270">
        <v>97.514853447558096</v>
      </c>
      <c r="AJ4270">
        <v>80.235920920512996</v>
      </c>
      <c r="AK4270">
        <v>0.71951895725502502</v>
      </c>
      <c r="AL4270">
        <v>66.687971990899499</v>
      </c>
      <c r="AM4270">
        <v>90.012175059656897</v>
      </c>
      <c r="AN4270">
        <v>0.99999999547816298</v>
      </c>
    </row>
    <row r="4271" spans="1:40" x14ac:dyDescent="0.25">
      <c r="A4271" t="str">
        <f>"20190304164214053"</f>
        <v>20190304164214053</v>
      </c>
      <c r="B4271" t="str">
        <f>"1551688934044953"</f>
        <v>1551688934044953</v>
      </c>
      <c r="C4271" t="s">
        <v>40</v>
      </c>
      <c r="D4271">
        <v>4.487787</v>
      </c>
      <c r="E4271">
        <v>0.5651562</v>
      </c>
      <c r="F4271" t="s">
        <v>41</v>
      </c>
      <c r="G4271">
        <v>-192.1395</v>
      </c>
      <c r="H4271">
        <v>1.012869</v>
      </c>
      <c r="I4271">
        <v>194.3192</v>
      </c>
      <c r="J4271">
        <v>-192.05269999999999</v>
      </c>
      <c r="K4271">
        <v>1.10968</v>
      </c>
      <c r="L4271">
        <v>195.1122</v>
      </c>
      <c r="M4271">
        <v>5.0916309999999999E-2</v>
      </c>
      <c r="N4271">
        <v>-1.3764790000000001E-2</v>
      </c>
      <c r="O4271">
        <v>-0.99860819999999995</v>
      </c>
      <c r="P4271">
        <v>5.1717390000000002E-2</v>
      </c>
      <c r="Q4271">
        <v>0.38263930000000002</v>
      </c>
      <c r="R4271">
        <v>-0.92244959999999998</v>
      </c>
      <c r="S4271">
        <v>-0.31199650000000001</v>
      </c>
      <c r="T4271">
        <v>-0.36523679999999997</v>
      </c>
      <c r="U4271">
        <v>-3.4210509999999998</v>
      </c>
      <c r="V4271">
        <v>-3.3684349999999999E-3</v>
      </c>
      <c r="W4271">
        <v>0.39533360000000001</v>
      </c>
      <c r="X4271">
        <v>0.9185314</v>
      </c>
      <c r="Y4271">
        <v>0.14091589999999901</v>
      </c>
      <c r="Z4271">
        <v>9.1477039999999996E-2</v>
      </c>
      <c r="AA4271">
        <v>0.9857863</v>
      </c>
      <c r="AB4271">
        <v>21</v>
      </c>
      <c r="AC4271">
        <v>-8.6800000000010799E-2</v>
      </c>
      <c r="AD4271">
        <v>-9.6810999999999897E-2</v>
      </c>
      <c r="AE4271">
        <v>-0.79300000000000603</v>
      </c>
      <c r="AF4271">
        <v>0.125223608594007</v>
      </c>
      <c r="AG4271">
        <v>-9.6810999999999897E-2</v>
      </c>
      <c r="AH4271">
        <v>0.77612090572186798</v>
      </c>
      <c r="AI4271">
        <v>97.020312192361004</v>
      </c>
      <c r="AJ4271">
        <v>80.834572209459907</v>
      </c>
      <c r="AK4271">
        <v>0.79209657376410703</v>
      </c>
      <c r="AL4271">
        <v>66.713217730729397</v>
      </c>
      <c r="AM4271">
        <v>90.210113931769996</v>
      </c>
      <c r="AN4271">
        <v>0.99999996721463402</v>
      </c>
    </row>
    <row r="4272" spans="1:40" x14ac:dyDescent="0.25">
      <c r="A4272" t="str">
        <f>"20190304164214066"</f>
        <v>20190304164214066</v>
      </c>
      <c r="B4272" t="str">
        <f>"1551688934055690"</f>
        <v>1551688934055690</v>
      </c>
      <c r="C4272" t="s">
        <v>40</v>
      </c>
      <c r="D4272">
        <v>4.4803689999999996</v>
      </c>
      <c r="E4272">
        <v>0.56507459999999998</v>
      </c>
      <c r="F4272" t="s">
        <v>41</v>
      </c>
      <c r="G4272">
        <v>-192.12569999999999</v>
      </c>
      <c r="H4272">
        <v>1.024259</v>
      </c>
      <c r="I4272">
        <v>194.31450000000001</v>
      </c>
      <c r="J4272">
        <v>-192.0488</v>
      </c>
      <c r="K4272">
        <v>1.109823</v>
      </c>
      <c r="L4272">
        <v>195.00239999999999</v>
      </c>
      <c r="M4272">
        <v>4.95564E-2</v>
      </c>
      <c r="N4272">
        <v>-1.3748720000000001E-2</v>
      </c>
      <c r="O4272">
        <v>-0.99867700000000004</v>
      </c>
      <c r="P4272">
        <v>5.291995E-2</v>
      </c>
      <c r="Q4272">
        <v>0.38263140000000001</v>
      </c>
      <c r="R4272">
        <v>-0.92238469999999995</v>
      </c>
      <c r="S4272">
        <v>-0.31213380000000002</v>
      </c>
      <c r="T4272">
        <v>-0.36641600000000002</v>
      </c>
      <c r="U4272">
        <v>-3.4217070000000001</v>
      </c>
      <c r="V4272">
        <v>-5.9692479999999999E-3</v>
      </c>
      <c r="W4272">
        <v>0.39531690000000003</v>
      </c>
      <c r="X4272">
        <v>0.91852540000000005</v>
      </c>
      <c r="Y4272">
        <v>0.13958779999999901</v>
      </c>
      <c r="Z4272">
        <v>9.1830980000000006E-2</v>
      </c>
      <c r="AA4272">
        <v>0.9859424</v>
      </c>
      <c r="AB4272">
        <v>21</v>
      </c>
      <c r="AC4272">
        <v>-7.6899999999994806E-2</v>
      </c>
      <c r="AD4272">
        <v>-8.5563999999999904E-2</v>
      </c>
      <c r="AE4272">
        <v>-0.68789999999998397</v>
      </c>
      <c r="AF4272">
        <v>0.10922947466763799</v>
      </c>
      <c r="AG4272">
        <v>-8.5563999999999904E-2</v>
      </c>
      <c r="AH4272">
        <v>0.67296021503342696</v>
      </c>
      <c r="AI4272">
        <v>97.153405034215297</v>
      </c>
      <c r="AJ4272">
        <v>80.780612184698398</v>
      </c>
      <c r="AK4272">
        <v>0.68711551230488499</v>
      </c>
      <c r="AL4272">
        <v>66.714260157388296</v>
      </c>
      <c r="AM4272">
        <v>90.372344523725403</v>
      </c>
      <c r="AN4272">
        <v>0.99999999689622698</v>
      </c>
    </row>
    <row r="4273" spans="1:40" x14ac:dyDescent="0.25">
      <c r="A4273" t="str">
        <f>"20190304164214080"</f>
        <v>20190304164214080</v>
      </c>
      <c r="B4273" t="str">
        <f>"1551688934075210"</f>
        <v>1551688934075210</v>
      </c>
      <c r="C4273" t="s">
        <v>40</v>
      </c>
      <c r="D4273">
        <v>4.5620520000000004</v>
      </c>
      <c r="E4273">
        <v>0.56499600000000005</v>
      </c>
      <c r="F4273" t="s">
        <v>41</v>
      </c>
      <c r="G4273">
        <v>-192.12780000000001</v>
      </c>
      <c r="H4273">
        <v>1.0161929999999999</v>
      </c>
      <c r="I4273">
        <v>194.13210000000001</v>
      </c>
      <c r="J4273">
        <v>-192.04409999999999</v>
      </c>
      <c r="K4273">
        <v>1.1099889999999999</v>
      </c>
      <c r="L4273">
        <v>194.86969999999999</v>
      </c>
      <c r="M4273">
        <v>4.806216E-2</v>
      </c>
      <c r="N4273">
        <v>-1.37305E-2</v>
      </c>
      <c r="O4273">
        <v>-0.99875009999999997</v>
      </c>
      <c r="P4273">
        <v>5.3255169999999998E-2</v>
      </c>
      <c r="Q4273">
        <v>0.38282490000000002</v>
      </c>
      <c r="R4273">
        <v>-0.92228480000000002</v>
      </c>
      <c r="S4273">
        <v>-0.31077579999999999</v>
      </c>
      <c r="T4273">
        <v>-0.36828840000000002</v>
      </c>
      <c r="U4273">
        <v>-3.4230649999999998</v>
      </c>
      <c r="V4273">
        <v>-7.8501760000000004E-3</v>
      </c>
      <c r="W4273">
        <v>0.39549390000000001</v>
      </c>
      <c r="X4273">
        <v>0.918435</v>
      </c>
      <c r="Y4273">
        <v>0.13767969999999999</v>
      </c>
      <c r="Z4273">
        <v>9.2370530000000006E-2</v>
      </c>
      <c r="AA4273">
        <v>0.98616020000000004</v>
      </c>
      <c r="AB4273">
        <v>21</v>
      </c>
      <c r="AC4273">
        <v>-8.3700000000021604E-2</v>
      </c>
      <c r="AD4273">
        <v>-9.3795999999999699E-2</v>
      </c>
      <c r="AE4273">
        <v>-0.73759999999998604</v>
      </c>
      <c r="AF4273">
        <v>0.11718635478391</v>
      </c>
      <c r="AG4273">
        <v>-9.3795999999999699E-2</v>
      </c>
      <c r="AH4273">
        <v>0.72121009539664505</v>
      </c>
      <c r="AI4273">
        <v>97.315058307947098</v>
      </c>
      <c r="AJ4273">
        <v>80.770909873721607</v>
      </c>
      <c r="AK4273">
        <v>0.73666432862300202</v>
      </c>
      <c r="AL4273">
        <v>66.703217862112695</v>
      </c>
      <c r="AM4273">
        <v>90.489714569318807</v>
      </c>
      <c r="AN4273">
        <v>0.99999994971271899</v>
      </c>
    </row>
    <row r="4274" spans="1:40" x14ac:dyDescent="0.25">
      <c r="A4274" t="str">
        <f>"20190304164214094"</f>
        <v>20190304164214094</v>
      </c>
      <c r="B4274" t="str">
        <f>"1551688934084969"</f>
        <v>1551688934084969</v>
      </c>
      <c r="C4274" t="s">
        <v>40</v>
      </c>
      <c r="D4274">
        <v>4.5283429999999996</v>
      </c>
      <c r="E4274">
        <v>0.56493590000000005</v>
      </c>
      <c r="F4274" t="s">
        <v>41</v>
      </c>
      <c r="G4274">
        <v>-192.1112</v>
      </c>
      <c r="H4274">
        <v>1.0294620000000001</v>
      </c>
      <c r="I4274">
        <v>194.1266</v>
      </c>
      <c r="J4274">
        <v>-192.0394</v>
      </c>
      <c r="K4274">
        <v>1.110141</v>
      </c>
      <c r="L4274">
        <v>194.7396</v>
      </c>
      <c r="M4274">
        <v>4.6800899999999999E-2</v>
      </c>
      <c r="N4274">
        <v>-1.371384E-2</v>
      </c>
      <c r="O4274">
        <v>-0.99881019999999998</v>
      </c>
      <c r="P4274">
        <v>5.3682170000000001E-2</v>
      </c>
      <c r="Q4274">
        <v>0.38326680000000002</v>
      </c>
      <c r="R4274">
        <v>-0.92207660000000002</v>
      </c>
      <c r="S4274">
        <v>-0.30943300000000001</v>
      </c>
      <c r="T4274">
        <v>-0.37115900000000002</v>
      </c>
      <c r="U4274">
        <v>-3.4246829999999999</v>
      </c>
      <c r="V4274">
        <v>-9.5991459999999994E-3</v>
      </c>
      <c r="W4274">
        <v>0.39591870000000001</v>
      </c>
      <c r="X4274">
        <v>0.91823540000000003</v>
      </c>
      <c r="Y4274">
        <v>0.13599739999999999</v>
      </c>
      <c r="Z4274">
        <v>9.3180620000000006E-2</v>
      </c>
      <c r="AA4274">
        <v>0.98631749999999996</v>
      </c>
      <c r="AB4274">
        <v>21</v>
      </c>
      <c r="AC4274">
        <v>-7.1799999999996006E-2</v>
      </c>
      <c r="AD4274">
        <v>-8.0678999999999904E-2</v>
      </c>
      <c r="AE4274">
        <v>-0.61299999999999899</v>
      </c>
      <c r="AF4274">
        <v>9.8725961378257995E-2</v>
      </c>
      <c r="AG4274">
        <v>-8.0678999999999904E-2</v>
      </c>
      <c r="AH4274">
        <v>0.59873654894397199</v>
      </c>
      <c r="AI4274">
        <v>97.5732563050137</v>
      </c>
      <c r="AJ4274">
        <v>80.636723322078396</v>
      </c>
      <c r="AK4274">
        <v>0.61216123001411804</v>
      </c>
      <c r="AL4274">
        <v>66.676716777299802</v>
      </c>
      <c r="AM4274">
        <v>90.598942840759904</v>
      </c>
      <c r="AN4274">
        <v>1.0000000052133799</v>
      </c>
    </row>
    <row r="4275" spans="1:40" x14ac:dyDescent="0.25">
      <c r="A4275" t="str">
        <f>"20190304164214111"</f>
        <v>20190304164214111</v>
      </c>
      <c r="B4275" t="str">
        <f>"1551688934105466"</f>
        <v>1551688934105466</v>
      </c>
      <c r="C4275" t="s">
        <v>40</v>
      </c>
      <c r="D4275">
        <v>4.5779909999999999</v>
      </c>
      <c r="E4275">
        <v>0.56480589999999997</v>
      </c>
      <c r="F4275" t="s">
        <v>41</v>
      </c>
      <c r="G4275">
        <v>-192.11080000000001</v>
      </c>
      <c r="H4275">
        <v>1.023793</v>
      </c>
      <c r="I4275">
        <v>193.9435</v>
      </c>
      <c r="J4275">
        <v>-192.0342</v>
      </c>
      <c r="K4275">
        <v>1.110303</v>
      </c>
      <c r="L4275">
        <v>194.59299999999999</v>
      </c>
      <c r="M4275">
        <v>4.5548619999999998E-2</v>
      </c>
      <c r="N4275">
        <v>-1.3696099999999999E-2</v>
      </c>
      <c r="O4275">
        <v>-0.99886839999999999</v>
      </c>
      <c r="P4275">
        <v>5.6152489999999999E-2</v>
      </c>
      <c r="Q4275">
        <v>0.383301</v>
      </c>
      <c r="R4275">
        <v>-0.92191540000000005</v>
      </c>
      <c r="S4275">
        <v>-0.30610660000000001</v>
      </c>
      <c r="T4275">
        <v>-0.37161450000000001</v>
      </c>
      <c r="U4275">
        <v>-3.4258120000000001</v>
      </c>
      <c r="V4275">
        <v>-1.3391139999999999E-2</v>
      </c>
      <c r="W4275">
        <v>0.39593800000000001</v>
      </c>
      <c r="X4275">
        <v>0.91817959999999998</v>
      </c>
      <c r="Y4275">
        <v>0.1337767</v>
      </c>
      <c r="Z4275">
        <v>9.3324649999999995E-2</v>
      </c>
      <c r="AA4275">
        <v>0.98660749999999997</v>
      </c>
      <c r="AB4275">
        <v>21</v>
      </c>
      <c r="AC4275">
        <v>-7.6600000000013296E-2</v>
      </c>
      <c r="AD4275">
        <v>-8.6510000000000004E-2</v>
      </c>
      <c r="AE4275">
        <v>-0.64949999999998898</v>
      </c>
      <c r="AF4275">
        <v>0.10428240411142201</v>
      </c>
      <c r="AG4275">
        <v>-8.6510000000000004E-2</v>
      </c>
      <c r="AH4275">
        <v>0.63423884561156696</v>
      </c>
      <c r="AI4275">
        <v>97.665518554293001</v>
      </c>
      <c r="AJ4275">
        <v>80.662893675791494</v>
      </c>
      <c r="AK4275">
        <v>0.648550470811602</v>
      </c>
      <c r="AL4275">
        <v>66.6755124372701</v>
      </c>
      <c r="AM4275">
        <v>90.835567912671095</v>
      </c>
      <c r="AN4275">
        <v>1.00000000016532</v>
      </c>
    </row>
    <row r="4276" spans="1:40" x14ac:dyDescent="0.25">
      <c r="A4276" t="str">
        <f>"20190304164214124"</f>
        <v>20190304164214124</v>
      </c>
      <c r="B4276" t="str">
        <f>"1551688934115226"</f>
        <v>1551688934115226</v>
      </c>
      <c r="C4276" t="s">
        <v>40</v>
      </c>
      <c r="D4276">
        <v>4.4989109999999997</v>
      </c>
      <c r="E4276">
        <v>0.5647008</v>
      </c>
      <c r="F4276" t="s">
        <v>41</v>
      </c>
      <c r="G4276">
        <v>-192.1062</v>
      </c>
      <c r="H4276">
        <v>1.0192920000000001</v>
      </c>
      <c r="I4276">
        <v>193.7603</v>
      </c>
      <c r="J4276">
        <v>-192.02940000000001</v>
      </c>
      <c r="K4276">
        <v>1.1104430000000001</v>
      </c>
      <c r="L4276">
        <v>194.46090000000001</v>
      </c>
      <c r="M4276">
        <v>4.4572609999999999E-2</v>
      </c>
      <c r="N4276">
        <v>-1.368101E-2</v>
      </c>
      <c r="O4276">
        <v>-0.99891280000000005</v>
      </c>
      <c r="P4276">
        <v>5.7572169999999999E-2</v>
      </c>
      <c r="Q4276">
        <v>0.3827816</v>
      </c>
      <c r="R4276">
        <v>-0.92204379999999997</v>
      </c>
      <c r="S4276">
        <v>-0.29614259999999998</v>
      </c>
      <c r="T4276">
        <v>-0.37470710000000002</v>
      </c>
      <c r="U4276">
        <v>-3.4279329999999999</v>
      </c>
      <c r="V4276">
        <v>-1.584466E-2</v>
      </c>
      <c r="W4276">
        <v>0.39540589999999998</v>
      </c>
      <c r="X4276">
        <v>0.91836980000000001</v>
      </c>
      <c r="Y4276">
        <v>0.12990309999999999</v>
      </c>
      <c r="Z4276">
        <v>9.4205159999999996E-2</v>
      </c>
      <c r="AA4276">
        <v>0.98704130000000001</v>
      </c>
      <c r="AB4276">
        <v>21</v>
      </c>
      <c r="AC4276">
        <v>-7.67999999999915E-2</v>
      </c>
      <c r="AD4276">
        <v>-9.1150999999999899E-2</v>
      </c>
      <c r="AE4276">
        <v>-0.70060000000000799</v>
      </c>
      <c r="AF4276">
        <v>0.106178192621217</v>
      </c>
      <c r="AG4276">
        <v>-9.1150999999999899E-2</v>
      </c>
      <c r="AH4276">
        <v>0.68502232200525104</v>
      </c>
      <c r="AI4276">
        <v>97.490996951761105</v>
      </c>
      <c r="AJ4276">
        <v>81.189288845809401</v>
      </c>
      <c r="AK4276">
        <v>0.69916943228002604</v>
      </c>
      <c r="AL4276">
        <v>66.708708205436693</v>
      </c>
      <c r="AM4276">
        <v>90.988427629791801</v>
      </c>
      <c r="AN4276">
        <v>0.99999998427868197</v>
      </c>
    </row>
    <row r="4277" spans="1:40" x14ac:dyDescent="0.25">
      <c r="A4277" t="str">
        <f>"20190304164214134"</f>
        <v>20190304164214134</v>
      </c>
      <c r="B4277" t="str">
        <f>"1551688934124987"</f>
        <v>1551688934124987</v>
      </c>
      <c r="C4277" t="s">
        <v>40</v>
      </c>
      <c r="D4277">
        <v>4.5205199999999897</v>
      </c>
      <c r="E4277">
        <v>0.56460239999999995</v>
      </c>
      <c r="F4277" t="s">
        <v>41</v>
      </c>
      <c r="G4277">
        <v>-192.1045</v>
      </c>
      <c r="H4277">
        <v>1.0131570000000001</v>
      </c>
      <c r="I4277">
        <v>193.57820000000001</v>
      </c>
      <c r="J4277">
        <v>-192.0256</v>
      </c>
      <c r="K4277">
        <v>1.110547</v>
      </c>
      <c r="L4277">
        <v>194.35659999999999</v>
      </c>
      <c r="M4277">
        <v>4.3944619999999997E-2</v>
      </c>
      <c r="N4277">
        <v>-1.3669999999999899E-2</v>
      </c>
      <c r="O4277">
        <v>-0.99894050000000001</v>
      </c>
      <c r="P4277">
        <v>5.9193599999999999E-2</v>
      </c>
      <c r="Q4277">
        <v>0.38250800000000001</v>
      </c>
      <c r="R4277">
        <v>-0.92205420000000005</v>
      </c>
      <c r="S4277">
        <v>-0.29133609999999999</v>
      </c>
      <c r="T4277">
        <v>-0.37795319999999999</v>
      </c>
      <c r="U4277">
        <v>-3.4287570000000001</v>
      </c>
      <c r="V4277">
        <v>-1.8145629999999999E-2</v>
      </c>
      <c r="W4277">
        <v>0.39512160000000002</v>
      </c>
      <c r="X4277">
        <v>0.91844959999999998</v>
      </c>
      <c r="Y4277">
        <v>0.1278791</v>
      </c>
      <c r="Z4277">
        <v>9.5140950000000002E-2</v>
      </c>
      <c r="AA4277">
        <v>0.98721590000000004</v>
      </c>
      <c r="AB4277">
        <v>21</v>
      </c>
      <c r="AC4277">
        <v>-7.8900000000004397E-2</v>
      </c>
      <c r="AD4277">
        <v>-9.7390000000000004E-2</v>
      </c>
      <c r="AE4277">
        <v>-0.778399999999976</v>
      </c>
      <c r="AF4277">
        <v>0.111308754233651</v>
      </c>
      <c r="AG4277">
        <v>-9.7390000000000004E-2</v>
      </c>
      <c r="AH4277">
        <v>0.76236767057250299</v>
      </c>
      <c r="AI4277">
        <v>97.204352077355196</v>
      </c>
      <c r="AJ4277">
        <v>81.693278586324197</v>
      </c>
      <c r="AK4277">
        <v>0.77658155785673399</v>
      </c>
      <c r="AL4277">
        <v>66.726441971589594</v>
      </c>
      <c r="AM4277">
        <v>91.131834316876095</v>
      </c>
      <c r="AN4277">
        <v>1.0000000052074001</v>
      </c>
    </row>
    <row r="4278" spans="1:40" x14ac:dyDescent="0.25">
      <c r="A4278" t="str">
        <f>"20190304164214146"</f>
        <v>20190304164214146</v>
      </c>
      <c r="B4278" t="str">
        <f>"1551688934135722"</f>
        <v>1551688934135722</v>
      </c>
      <c r="C4278" t="s">
        <v>40</v>
      </c>
      <c r="D4278">
        <v>4.5411440000000001</v>
      </c>
      <c r="E4278">
        <v>0.5645599</v>
      </c>
      <c r="F4278" t="s">
        <v>41</v>
      </c>
      <c r="G4278">
        <v>-192.09100000000001</v>
      </c>
      <c r="H4278">
        <v>1.0237670000000001</v>
      </c>
      <c r="I4278">
        <v>193.5737</v>
      </c>
      <c r="J4278">
        <v>-192.02180000000001</v>
      </c>
      <c r="K4278">
        <v>1.110644</v>
      </c>
      <c r="L4278">
        <v>194.25360000000001</v>
      </c>
      <c r="M4278">
        <v>4.338678E-2</v>
      </c>
      <c r="N4278">
        <v>-1.365969E-2</v>
      </c>
      <c r="O4278">
        <v>-0.99896499999999999</v>
      </c>
      <c r="P4278">
        <v>6.078774E-2</v>
      </c>
      <c r="Q4278">
        <v>0.382573</v>
      </c>
      <c r="R4278">
        <v>-0.92192379999999996</v>
      </c>
      <c r="S4278">
        <v>-0.28598020000000002</v>
      </c>
      <c r="T4278">
        <v>-0.38022860000000003</v>
      </c>
      <c r="U4278">
        <v>-3.4297179999999998</v>
      </c>
      <c r="V4278">
        <v>-2.0353659999999999E-2</v>
      </c>
      <c r="W4278">
        <v>0.39517419999999998</v>
      </c>
      <c r="X4278">
        <v>0.91838070000000005</v>
      </c>
      <c r="Y4278">
        <v>0.12576699999999999</v>
      </c>
      <c r="Z4278">
        <v>9.5795569999999997E-2</v>
      </c>
      <c r="AA4278">
        <v>0.98742379999999996</v>
      </c>
      <c r="AB4278">
        <v>21</v>
      </c>
      <c r="AC4278">
        <v>-6.9199999999966594E-2</v>
      </c>
      <c r="AD4278">
        <v>-8.6876999999999802E-2</v>
      </c>
      <c r="AE4278">
        <v>-0.67990000000000295</v>
      </c>
      <c r="AF4278">
        <v>9.7067627128315404E-2</v>
      </c>
      <c r="AG4278">
        <v>-8.6876999999999802E-2</v>
      </c>
      <c r="AH4278">
        <v>0.66550242815427696</v>
      </c>
      <c r="AI4278">
        <v>97.3605169732852</v>
      </c>
      <c r="AJ4278">
        <v>81.701574525965697</v>
      </c>
      <c r="AK4278">
        <v>0.67813215470478905</v>
      </c>
      <c r="AL4278">
        <v>66.723161458492797</v>
      </c>
      <c r="AM4278">
        <v>91.269612849905599</v>
      </c>
      <c r="AN4278">
        <v>1.0000000149767601</v>
      </c>
    </row>
    <row r="4279" spans="1:40" x14ac:dyDescent="0.25">
      <c r="A4279" t="str">
        <f>"20190304164214158"</f>
        <v>20190304164214158</v>
      </c>
      <c r="B4279" t="str">
        <f>"1551688934145482"</f>
        <v>1551688934145482</v>
      </c>
      <c r="C4279" t="s">
        <v>40</v>
      </c>
      <c r="D4279">
        <v>4.5293049999999999</v>
      </c>
      <c r="E4279">
        <v>0.56449850000000001</v>
      </c>
      <c r="F4279" t="s">
        <v>41</v>
      </c>
      <c r="G4279">
        <v>-192.0924</v>
      </c>
      <c r="H4279">
        <v>1.0150300000000001</v>
      </c>
      <c r="I4279">
        <v>193.3931</v>
      </c>
      <c r="J4279">
        <v>-192.018</v>
      </c>
      <c r="K4279">
        <v>1.1107389999999999</v>
      </c>
      <c r="L4279">
        <v>194.14850000000001</v>
      </c>
      <c r="M4279">
        <v>4.2900809999999998E-2</v>
      </c>
      <c r="N4279">
        <v>-1.364985E-2</v>
      </c>
      <c r="O4279">
        <v>-0.99898620000000005</v>
      </c>
      <c r="P4279">
        <v>6.1986649999999997E-2</v>
      </c>
      <c r="Q4279">
        <v>0.3823684</v>
      </c>
      <c r="R4279">
        <v>-0.92192879999999999</v>
      </c>
      <c r="S4279">
        <v>-0.28074650000000001</v>
      </c>
      <c r="T4279">
        <v>-0.38127299999999997</v>
      </c>
      <c r="U4279">
        <v>-3.4307859999999999</v>
      </c>
      <c r="V4279">
        <v>-2.2090459999999999E-2</v>
      </c>
      <c r="W4279">
        <v>0.39495780000000003</v>
      </c>
      <c r="X4279">
        <v>0.91843370000000002</v>
      </c>
      <c r="Y4279">
        <v>0.12376180000000001</v>
      </c>
      <c r="Z4279">
        <v>9.6093910000000005E-2</v>
      </c>
      <c r="AA4279">
        <v>0.98764819999999998</v>
      </c>
      <c r="AB4279">
        <v>21</v>
      </c>
      <c r="AC4279">
        <v>-7.4399999999997093E-2</v>
      </c>
      <c r="AD4279">
        <v>-9.5709000000000002E-2</v>
      </c>
      <c r="AE4279">
        <v>-0.75540000000000795</v>
      </c>
      <c r="AF4279">
        <v>0.105071290502363</v>
      </c>
      <c r="AG4279">
        <v>-9.5709000000000002E-2</v>
      </c>
      <c r="AH4279">
        <v>0.73975126998658602</v>
      </c>
      <c r="AI4279">
        <v>97.299513516898699</v>
      </c>
      <c r="AJ4279">
        <v>81.916011581997793</v>
      </c>
      <c r="AK4279">
        <v>0.753280910560994</v>
      </c>
      <c r="AL4279">
        <v>66.736659215838799</v>
      </c>
      <c r="AM4279">
        <v>91.377830688291994</v>
      </c>
      <c r="AN4279">
        <v>1.00000005674976</v>
      </c>
    </row>
    <row r="4280" spans="1:40" x14ac:dyDescent="0.25">
      <c r="A4280" t="str">
        <f>"20190304164214169"</f>
        <v>20190304164214169</v>
      </c>
      <c r="B4280" t="str">
        <f>"1551688934165002"</f>
        <v>1551688934165002</v>
      </c>
      <c r="C4280" t="s">
        <v>40</v>
      </c>
      <c r="D4280">
        <v>4.5264490000000004</v>
      </c>
      <c r="E4280">
        <v>0.56269409999999997</v>
      </c>
      <c r="F4280" t="s">
        <v>41</v>
      </c>
      <c r="G4280">
        <v>-192.07900000000001</v>
      </c>
      <c r="H4280">
        <v>1.025768</v>
      </c>
      <c r="I4280">
        <v>193.38849999999999</v>
      </c>
      <c r="J4280">
        <v>-192.01410000000001</v>
      </c>
      <c r="K4280">
        <v>1.1108290000000001</v>
      </c>
      <c r="L4280">
        <v>194.04480000000001</v>
      </c>
      <c r="M4280">
        <v>4.2512130000000002E-2</v>
      </c>
      <c r="N4280">
        <v>-1.3640879999999999E-2</v>
      </c>
      <c r="O4280">
        <v>-0.99900290000000003</v>
      </c>
      <c r="P4280">
        <v>6.2838560000000002E-2</v>
      </c>
      <c r="Q4280">
        <v>0.38233869999999998</v>
      </c>
      <c r="R4280">
        <v>-0.92188300000000001</v>
      </c>
      <c r="S4280">
        <v>-0.27500920000000001</v>
      </c>
      <c r="T4280">
        <v>-0.38376389999999999</v>
      </c>
      <c r="U4280">
        <v>-3.4317319999999998</v>
      </c>
      <c r="V4280">
        <v>-2.338633E-2</v>
      </c>
      <c r="W4280">
        <v>0.39491579999999998</v>
      </c>
      <c r="X4280">
        <v>0.91841969999999995</v>
      </c>
      <c r="Y4280">
        <v>0.1217087</v>
      </c>
      <c r="Z4280">
        <v>9.6806610000000001E-2</v>
      </c>
      <c r="AA4280">
        <v>0.98783370000000004</v>
      </c>
      <c r="AB4280">
        <v>21</v>
      </c>
      <c r="AC4280">
        <v>-6.4899999999994407E-2</v>
      </c>
      <c r="AD4280">
        <v>-8.5060999999999998E-2</v>
      </c>
      <c r="AE4280">
        <v>-0.65630000000001498</v>
      </c>
      <c r="AF4280">
        <v>9.1227034697106704E-2</v>
      </c>
      <c r="AG4280">
        <v>-8.5060999999999998E-2</v>
      </c>
      <c r="AH4280">
        <v>0.642263047491622</v>
      </c>
      <c r="AI4280">
        <v>97.470198228385996</v>
      </c>
      <c r="AJ4280">
        <v>81.915786095102206</v>
      </c>
      <c r="AK4280">
        <v>0.65426261375219397</v>
      </c>
      <c r="AL4280">
        <v>66.739279079647503</v>
      </c>
      <c r="AM4280">
        <v>91.458645231014202</v>
      </c>
      <c r="AN4280">
        <v>1.0000000774342901</v>
      </c>
    </row>
    <row r="4281" spans="1:40" x14ac:dyDescent="0.25">
      <c r="A4281" t="str">
        <f>"20190304164214182"</f>
        <v>20190304164214182</v>
      </c>
      <c r="B4281" t="str">
        <f>"1551688934175738"</f>
        <v>1551688934175738</v>
      </c>
      <c r="C4281" t="s">
        <v>40</v>
      </c>
      <c r="D4281">
        <v>4.5724130000000001</v>
      </c>
      <c r="E4281">
        <v>0.56293190000000004</v>
      </c>
      <c r="F4281" t="s">
        <v>41</v>
      </c>
      <c r="G4281">
        <v>-192.07560000000001</v>
      </c>
      <c r="H4281">
        <v>1.0057860000000001</v>
      </c>
      <c r="I4281">
        <v>193.214</v>
      </c>
      <c r="J4281">
        <v>-192.00960000000001</v>
      </c>
      <c r="K4281">
        <v>1.110916</v>
      </c>
      <c r="L4281">
        <v>193.9272</v>
      </c>
      <c r="M4281">
        <v>4.212697E-2</v>
      </c>
      <c r="N4281">
        <v>-1.363121E-2</v>
      </c>
      <c r="O4281">
        <v>-0.99901969999999995</v>
      </c>
      <c r="P4281">
        <v>6.3808779999999996E-2</v>
      </c>
      <c r="Q4281">
        <v>0.38244280000000003</v>
      </c>
      <c r="R4281">
        <v>-0.92177370000000003</v>
      </c>
      <c r="S4281">
        <v>-0.25529479999999999</v>
      </c>
      <c r="T4281">
        <v>-0.4365581</v>
      </c>
      <c r="U4281">
        <v>-3.4526669999999999</v>
      </c>
      <c r="V4281">
        <v>-2.480856E-2</v>
      </c>
      <c r="W4281">
        <v>0.39500469999999999</v>
      </c>
      <c r="X4281">
        <v>0.9183441</v>
      </c>
      <c r="Y4281">
        <v>0.1151228</v>
      </c>
      <c r="Z4281">
        <v>0.11113389999999999</v>
      </c>
      <c r="AA4281">
        <v>0.98711499999999996</v>
      </c>
      <c r="AB4281">
        <v>21</v>
      </c>
      <c r="AC4281">
        <v>-6.6000000000002501E-2</v>
      </c>
      <c r="AD4281">
        <v>-0.105129999999999</v>
      </c>
      <c r="AE4281">
        <v>-0.71319999999997197</v>
      </c>
      <c r="AF4281">
        <v>9.3964751509738001E-2</v>
      </c>
      <c r="AG4281">
        <v>-0.105129999999999</v>
      </c>
      <c r="AH4281">
        <v>0.69481694401684502</v>
      </c>
      <c r="AI4281">
        <v>98.527466131817306</v>
      </c>
      <c r="AJ4281">
        <v>82.2982334065358</v>
      </c>
      <c r="AK4281">
        <v>0.70897974380033901</v>
      </c>
      <c r="AL4281">
        <v>66.733733595571394</v>
      </c>
      <c r="AM4281">
        <v>91.5474375660135</v>
      </c>
      <c r="AN4281">
        <v>1.00000003183808</v>
      </c>
    </row>
    <row r="4282" spans="1:40" x14ac:dyDescent="0.25">
      <c r="A4282" t="str">
        <f>"20190304164214193"</f>
        <v>20190304164214193</v>
      </c>
      <c r="B4282" t="str">
        <f>"1551688934185498"</f>
        <v>1551688934185498</v>
      </c>
      <c r="C4282" t="s">
        <v>40</v>
      </c>
      <c r="D4282">
        <v>4.5099580000000001</v>
      </c>
      <c r="E4282">
        <v>0.56283130000000003</v>
      </c>
      <c r="F4282" t="s">
        <v>41</v>
      </c>
      <c r="G4282">
        <v>-192.0753</v>
      </c>
      <c r="H4282">
        <v>0.99816579999999999</v>
      </c>
      <c r="I4282">
        <v>193.0334</v>
      </c>
      <c r="J4282">
        <v>-192.00540000000001</v>
      </c>
      <c r="K4282">
        <v>1.1109990000000001</v>
      </c>
      <c r="L4282">
        <v>193.8176</v>
      </c>
      <c r="M4282">
        <v>4.1906029999999997E-2</v>
      </c>
      <c r="N4282">
        <v>-1.362321E-2</v>
      </c>
      <c r="O4282">
        <v>-0.9990289</v>
      </c>
      <c r="P4282">
        <v>6.4931879999999997E-2</v>
      </c>
      <c r="Q4282">
        <v>0.3823009</v>
      </c>
      <c r="R4282">
        <v>-0.92175410000000002</v>
      </c>
      <c r="S4282">
        <v>-0.25338749999999999</v>
      </c>
      <c r="T4282">
        <v>-0.4355752</v>
      </c>
      <c r="U4282">
        <v>-3.4528660000000002</v>
      </c>
      <c r="V4282">
        <v>-2.6216960000000001E-2</v>
      </c>
      <c r="W4282">
        <v>0.39485049999999999</v>
      </c>
      <c r="X4282">
        <v>0.9183713</v>
      </c>
      <c r="Y4282">
        <v>0.1143598</v>
      </c>
      <c r="Z4282">
        <v>0.1108681</v>
      </c>
      <c r="AA4282">
        <v>0.98723360000000004</v>
      </c>
      <c r="AB4282">
        <v>21</v>
      </c>
      <c r="AC4282">
        <v>-6.9899999999989804E-2</v>
      </c>
      <c r="AD4282">
        <v>-0.112833199999999</v>
      </c>
      <c r="AE4282">
        <v>-0.78419999999999801</v>
      </c>
      <c r="AF4282">
        <v>0.10063732781818099</v>
      </c>
      <c r="AG4282">
        <v>-0.112833199999999</v>
      </c>
      <c r="AH4282">
        <v>0.76487165249161004</v>
      </c>
      <c r="AI4282">
        <v>98.321000140873196</v>
      </c>
      <c r="AJ4282">
        <v>82.504413267117499</v>
      </c>
      <c r="AK4282">
        <v>0.77967162803187295</v>
      </c>
      <c r="AL4282">
        <v>66.743350663431599</v>
      </c>
      <c r="AM4282">
        <v>91.6351918996032</v>
      </c>
      <c r="AN4282">
        <v>1.00000004550278</v>
      </c>
    </row>
    <row r="4283" spans="1:40" x14ac:dyDescent="0.25">
      <c r="A4283" t="str">
        <f>"20190304164214208"</f>
        <v>20190304164214208</v>
      </c>
      <c r="B4283" t="str">
        <f>"1551688934205018"</f>
        <v>1551688934205018</v>
      </c>
      <c r="C4283" t="s">
        <v>40</v>
      </c>
      <c r="D4283">
        <v>4.5126299999999997</v>
      </c>
      <c r="E4283">
        <v>0.56295260000000003</v>
      </c>
      <c r="F4283" t="s">
        <v>41</v>
      </c>
      <c r="G4283">
        <v>-192.06229999999999</v>
      </c>
      <c r="H4283">
        <v>1.011083</v>
      </c>
      <c r="I4283">
        <v>193.02770000000001</v>
      </c>
      <c r="J4283">
        <v>-192</v>
      </c>
      <c r="K4283">
        <v>1.111094</v>
      </c>
      <c r="L4283">
        <v>193.6807</v>
      </c>
      <c r="M4283">
        <v>4.1701990000000001E-2</v>
      </c>
      <c r="N4283">
        <v>-1.36139E-2</v>
      </c>
      <c r="O4283">
        <v>-0.99903759999999997</v>
      </c>
      <c r="P4283">
        <v>6.7159430000000006E-2</v>
      </c>
      <c r="Q4283">
        <v>0.38205020000000001</v>
      </c>
      <c r="R4283">
        <v>-0.92169820000000002</v>
      </c>
      <c r="S4283">
        <v>-0.24870300000000001</v>
      </c>
      <c r="T4283">
        <v>-0.43684600000000001</v>
      </c>
      <c r="U4283">
        <v>-3.453354</v>
      </c>
      <c r="V4283">
        <v>-2.8730550000000001E-2</v>
      </c>
      <c r="W4283">
        <v>0.39458500000000002</v>
      </c>
      <c r="X4283">
        <v>0.91841019999999896</v>
      </c>
      <c r="Y4283">
        <v>0.1128128</v>
      </c>
      <c r="Z4283">
        <v>0.11123710000000001</v>
      </c>
      <c r="AA4283">
        <v>0.98736999999999997</v>
      </c>
      <c r="AB4283">
        <v>21</v>
      </c>
      <c r="AC4283">
        <v>-6.2299999999993298E-2</v>
      </c>
      <c r="AD4283">
        <v>-0.100011</v>
      </c>
      <c r="AE4283">
        <v>-0.65299999999999103</v>
      </c>
      <c r="AF4283">
        <v>8.7446985089768406E-2</v>
      </c>
      <c r="AG4283">
        <v>-0.100011</v>
      </c>
      <c r="AH4283">
        <v>0.63507119114050403</v>
      </c>
      <c r="AI4283">
        <v>98.867120700392306</v>
      </c>
      <c r="AJ4283">
        <v>82.159882498425702</v>
      </c>
      <c r="AK4283">
        <v>0.64881784280251398</v>
      </c>
      <c r="AL4283">
        <v>66.759906674396404</v>
      </c>
      <c r="AM4283">
        <v>91.791794767828904</v>
      </c>
      <c r="AN4283">
        <v>1.0000000310961701</v>
      </c>
    </row>
    <row r="4284" spans="1:40" x14ac:dyDescent="0.25">
      <c r="A4284" t="str">
        <f>"20190304164214221"</f>
        <v>20190304164214221</v>
      </c>
      <c r="B4284" t="str">
        <f>"1551688934215754"</f>
        <v>1551688934215754</v>
      </c>
      <c r="C4284" t="s">
        <v>40</v>
      </c>
      <c r="D4284">
        <v>4.5204329999999997</v>
      </c>
      <c r="E4284">
        <v>0.56301899999999905</v>
      </c>
      <c r="F4284" t="s">
        <v>41</v>
      </c>
      <c r="G4284">
        <v>-192.05879999999999</v>
      </c>
      <c r="H4284">
        <v>1.004988</v>
      </c>
      <c r="I4284">
        <v>192.84690000000001</v>
      </c>
      <c r="J4284">
        <v>-191.99539999999999</v>
      </c>
      <c r="K4284">
        <v>1.111173</v>
      </c>
      <c r="L4284">
        <v>193.56530000000001</v>
      </c>
      <c r="M4284">
        <v>4.159844E-2</v>
      </c>
      <c r="N4284">
        <v>-1.360667E-2</v>
      </c>
      <c r="O4284">
        <v>-0.99904190000000004</v>
      </c>
      <c r="P4284">
        <v>6.8342689999999998E-2</v>
      </c>
      <c r="Q4284">
        <v>0.3815345</v>
      </c>
      <c r="R4284">
        <v>-0.92182520000000001</v>
      </c>
      <c r="S4284">
        <v>-0.24287410000000001</v>
      </c>
      <c r="T4284">
        <v>-0.43986649999999999</v>
      </c>
      <c r="U4284">
        <v>-3.454895</v>
      </c>
      <c r="V4284">
        <v>-3.008017E-2</v>
      </c>
      <c r="W4284">
        <v>0.39405869999999998</v>
      </c>
      <c r="X4284">
        <v>0.91859290000000005</v>
      </c>
      <c r="Y4284">
        <v>0.1110154</v>
      </c>
      <c r="Z4284">
        <v>0.1120612</v>
      </c>
      <c r="AA4284">
        <v>0.98748060000000004</v>
      </c>
      <c r="AB4284">
        <v>21</v>
      </c>
      <c r="AC4284">
        <v>-6.34000000000014E-2</v>
      </c>
      <c r="AD4284">
        <v>-0.106184999999999</v>
      </c>
      <c r="AE4284">
        <v>-0.71840000000000204</v>
      </c>
      <c r="AF4284">
        <v>9.1253966300378603E-2</v>
      </c>
      <c r="AG4284">
        <v>-0.106184999999999</v>
      </c>
      <c r="AH4284">
        <v>0.69996640879862004</v>
      </c>
      <c r="AI4284">
        <v>98.554701451715502</v>
      </c>
      <c r="AJ4284">
        <v>82.572294408321696</v>
      </c>
      <c r="AK4284">
        <v>0.71383157259747698</v>
      </c>
      <c r="AL4284">
        <v>66.792719380621705</v>
      </c>
      <c r="AM4284">
        <v>91.875532852785895</v>
      </c>
      <c r="AN4284">
        <v>0.99999999580166399</v>
      </c>
    </row>
    <row r="4285" spans="1:40" x14ac:dyDescent="0.25">
      <c r="A4285" t="str">
        <f>"20190304164214232"</f>
        <v>20190304164214232</v>
      </c>
      <c r="B4285" t="str">
        <f>"1551688934225514"</f>
        <v>1551688934225514</v>
      </c>
      <c r="C4285" t="s">
        <v>40</v>
      </c>
      <c r="D4285">
        <v>4.5602679999999998</v>
      </c>
      <c r="E4285">
        <v>0.56318449999999998</v>
      </c>
      <c r="F4285" t="s">
        <v>41</v>
      </c>
      <c r="G4285">
        <v>-192.04570000000001</v>
      </c>
      <c r="H4285">
        <v>1.0183219999999999</v>
      </c>
      <c r="I4285">
        <v>192.8409</v>
      </c>
      <c r="J4285">
        <v>-191.9913</v>
      </c>
      <c r="K4285">
        <v>1.1112299999999999</v>
      </c>
      <c r="L4285">
        <v>193.4648</v>
      </c>
      <c r="M4285">
        <v>4.160026E-2</v>
      </c>
      <c r="N4285">
        <v>-1.3601139999999999E-2</v>
      </c>
      <c r="O4285">
        <v>-0.99904190000000004</v>
      </c>
      <c r="P4285">
        <v>6.9228659999999997E-2</v>
      </c>
      <c r="Q4285">
        <v>0.3810615</v>
      </c>
      <c r="R4285">
        <v>-0.92195479999999996</v>
      </c>
      <c r="S4285">
        <v>-0.23909</v>
      </c>
      <c r="T4285">
        <v>-0.44311080000000003</v>
      </c>
      <c r="U4285">
        <v>-3.4555509999999998</v>
      </c>
      <c r="V4285">
        <v>-3.1016140000000001E-2</v>
      </c>
      <c r="W4285">
        <v>0.39357789999999998</v>
      </c>
      <c r="X4285">
        <v>0.91876789999999997</v>
      </c>
      <c r="Y4285">
        <v>0.10992109999999999</v>
      </c>
      <c r="Z4285">
        <v>0.11296870000000001</v>
      </c>
      <c r="AA4285">
        <v>0.98749960000000003</v>
      </c>
      <c r="AB4285">
        <v>21</v>
      </c>
      <c r="AC4285">
        <v>-5.4400000000015297E-2</v>
      </c>
      <c r="AD4285">
        <v>-9.2908000000000004E-2</v>
      </c>
      <c r="AE4285">
        <v>-0.62389999999999102</v>
      </c>
      <c r="AF4285">
        <v>7.8580278472739296E-2</v>
      </c>
      <c r="AG4285">
        <v>-9.2908000000000004E-2</v>
      </c>
      <c r="AH4285">
        <v>0.60772161539226999</v>
      </c>
      <c r="AI4285">
        <v>98.621352578219401</v>
      </c>
      <c r="AJ4285">
        <v>82.632358158336203</v>
      </c>
      <c r="AK4285">
        <v>0.61978409018289904</v>
      </c>
      <c r="AL4285">
        <v>66.8226894237865</v>
      </c>
      <c r="AM4285">
        <v>91.933479939280502</v>
      </c>
      <c r="AN4285">
        <v>1.0000000091896499</v>
      </c>
    </row>
    <row r="4286" spans="1:40" x14ac:dyDescent="0.25">
      <c r="A4286" t="str">
        <f>"20190304164214245"</f>
        <v>20190304164214245</v>
      </c>
      <c r="B4286" t="str">
        <f>"1551688934235274"</f>
        <v>1551688934235274</v>
      </c>
      <c r="C4286" t="s">
        <v>40</v>
      </c>
      <c r="D4286">
        <v>4.5064960000000003</v>
      </c>
      <c r="E4286">
        <v>0.56320239999999999</v>
      </c>
      <c r="F4286" t="s">
        <v>41</v>
      </c>
      <c r="G4286">
        <v>-192.04650000000001</v>
      </c>
      <c r="H4286">
        <v>1.0080579999999999</v>
      </c>
      <c r="I4286">
        <v>192.66229999999999</v>
      </c>
      <c r="J4286">
        <v>-191.98670000000001</v>
      </c>
      <c r="K4286">
        <v>1.1112930000000001</v>
      </c>
      <c r="L4286">
        <v>193.3519</v>
      </c>
      <c r="M4286">
        <v>4.1630199999999999E-2</v>
      </c>
      <c r="N4286">
        <v>-1.359516E-2</v>
      </c>
      <c r="O4286">
        <v>-0.99904079999999995</v>
      </c>
      <c r="P4286">
        <v>7.0272979999999999E-2</v>
      </c>
      <c r="Q4286">
        <v>0.38039200000000001</v>
      </c>
      <c r="R4286">
        <v>-0.92215199999999997</v>
      </c>
      <c r="S4286">
        <v>-0.23721310000000001</v>
      </c>
      <c r="T4286">
        <v>-0.4443204</v>
      </c>
      <c r="U4286">
        <v>-3.4553989999999999</v>
      </c>
      <c r="V4286">
        <v>-3.2085559999999999E-2</v>
      </c>
      <c r="W4286">
        <v>0.3929009</v>
      </c>
      <c r="X4286">
        <v>0.91902090000000003</v>
      </c>
      <c r="Y4286">
        <v>0.1094176</v>
      </c>
      <c r="Z4286">
        <v>0.1133262</v>
      </c>
      <c r="AA4286">
        <v>0.98751460000000002</v>
      </c>
      <c r="AB4286">
        <v>21</v>
      </c>
      <c r="AC4286">
        <v>-5.97999999999956E-2</v>
      </c>
      <c r="AD4286">
        <v>-0.10323499999999999</v>
      </c>
      <c r="AE4286">
        <v>-0.68960000000001198</v>
      </c>
      <c r="AF4286">
        <v>8.6534148078699705E-2</v>
      </c>
      <c r="AG4286">
        <v>-0.10323499999999999</v>
      </c>
      <c r="AH4286">
        <v>0.67157410014616103</v>
      </c>
      <c r="AI4286">
        <v>98.668589402855005</v>
      </c>
      <c r="AJ4286">
        <v>82.657739298959498</v>
      </c>
      <c r="AK4286">
        <v>0.68495065223403695</v>
      </c>
      <c r="AL4286">
        <v>66.864877461756606</v>
      </c>
      <c r="AM4286">
        <v>91.999541890547803</v>
      </c>
      <c r="AN4286">
        <v>1.00000000750906</v>
      </c>
    </row>
    <row r="4287" spans="1:40" x14ac:dyDescent="0.25">
      <c r="A4287" t="str">
        <f>"20190304164214256"</f>
        <v>20190304164214256</v>
      </c>
      <c r="B4287" t="str">
        <f>"1551688934245034"</f>
        <v>1551688934245034</v>
      </c>
      <c r="C4287" t="s">
        <v>40</v>
      </c>
      <c r="D4287">
        <v>4.6317839999999997</v>
      </c>
      <c r="E4287">
        <v>0.5630714</v>
      </c>
      <c r="F4287" t="s">
        <v>41</v>
      </c>
      <c r="G4287">
        <v>-192.04560000000001</v>
      </c>
      <c r="H4287">
        <v>0.9989886</v>
      </c>
      <c r="I4287">
        <v>192.48339999999999</v>
      </c>
      <c r="J4287">
        <v>-191.9821</v>
      </c>
      <c r="K4287">
        <v>1.111345</v>
      </c>
      <c r="L4287">
        <v>193.244</v>
      </c>
      <c r="M4287">
        <v>4.173429E-2</v>
      </c>
      <c r="N4287">
        <v>-1.359E-2</v>
      </c>
      <c r="O4287">
        <v>-0.99903629999999999</v>
      </c>
      <c r="P4287">
        <v>7.1789240000000004E-2</v>
      </c>
      <c r="Q4287">
        <v>0.3796639</v>
      </c>
      <c r="R4287">
        <v>-0.92233500000000002</v>
      </c>
      <c r="S4287">
        <v>-0.2335663</v>
      </c>
      <c r="T4287">
        <v>-0.44691009999999998</v>
      </c>
      <c r="U4287">
        <v>-3.4554140000000002</v>
      </c>
      <c r="V4287">
        <v>-3.354878E-2</v>
      </c>
      <c r="W4287">
        <v>0.39216640000000003</v>
      </c>
      <c r="X4287">
        <v>0.9192823</v>
      </c>
      <c r="Y4287">
        <v>0.108478</v>
      </c>
      <c r="Z4287">
        <v>0.114069699999999</v>
      </c>
      <c r="AA4287">
        <v>0.98753259999999998</v>
      </c>
      <c r="AB4287">
        <v>21</v>
      </c>
      <c r="AC4287">
        <v>-6.3500000000004705E-2</v>
      </c>
      <c r="AD4287">
        <v>-0.1123564</v>
      </c>
      <c r="AE4287">
        <v>-0.76060000000003902</v>
      </c>
      <c r="AF4287">
        <v>9.3171633936572407E-2</v>
      </c>
      <c r="AG4287">
        <v>-0.1123564</v>
      </c>
      <c r="AH4287">
        <v>0.74122422129804699</v>
      </c>
      <c r="AI4287">
        <v>98.553104287082505</v>
      </c>
      <c r="AJ4287">
        <v>82.835516120999102</v>
      </c>
      <c r="AK4287">
        <v>0.75545897322771005</v>
      </c>
      <c r="AL4287">
        <v>66.910632960938599</v>
      </c>
      <c r="AM4287">
        <v>92.090055274816194</v>
      </c>
      <c r="AN4287">
        <v>0.99999997651086903</v>
      </c>
    </row>
    <row r="4288" spans="1:40" x14ac:dyDescent="0.25">
      <c r="A4288" t="str">
        <f>"20190304164214269"</f>
        <v>20190304164214269</v>
      </c>
      <c r="B4288" t="str">
        <f>"1551688934265530"</f>
        <v>1551688934265530</v>
      </c>
      <c r="C4288" t="s">
        <v>40</v>
      </c>
      <c r="D4288">
        <v>4.7370720000000004</v>
      </c>
      <c r="E4288">
        <v>0.56309219999999904</v>
      </c>
      <c r="F4288" t="s">
        <v>41</v>
      </c>
      <c r="G4288">
        <v>-192.03280000000001</v>
      </c>
      <c r="H4288">
        <v>1.0114350000000001</v>
      </c>
      <c r="I4288">
        <v>192.47790000000001</v>
      </c>
      <c r="J4288">
        <v>-191.97730000000001</v>
      </c>
      <c r="K4288">
        <v>1.111394</v>
      </c>
      <c r="L4288">
        <v>193.131</v>
      </c>
      <c r="M4288">
        <v>4.1891900000000003E-2</v>
      </c>
      <c r="N4288">
        <v>-1.358497E-2</v>
      </c>
      <c r="O4288">
        <v>-0.99902999999999997</v>
      </c>
      <c r="P4288">
        <v>7.2963139999999996E-2</v>
      </c>
      <c r="Q4288">
        <v>0.37881209999999998</v>
      </c>
      <c r="R4288">
        <v>-0.92259340000000001</v>
      </c>
      <c r="S4288">
        <v>-0.2278442</v>
      </c>
      <c r="T4288">
        <v>-0.45083069999999997</v>
      </c>
      <c r="U4288">
        <v>-3.4559169999999999</v>
      </c>
      <c r="V4288">
        <v>-3.4612770000000001E-2</v>
      </c>
      <c r="W4288">
        <v>0.39130860000000001</v>
      </c>
      <c r="X4288">
        <v>0.91960839999999999</v>
      </c>
      <c r="Y4288">
        <v>0.1069895</v>
      </c>
      <c r="Z4288">
        <v>0.11517520000000001</v>
      </c>
      <c r="AA4288">
        <v>0.98756659999999996</v>
      </c>
      <c r="AB4288">
        <v>21</v>
      </c>
      <c r="AC4288">
        <v>-5.5499999999994998E-2</v>
      </c>
      <c r="AD4288">
        <v>-9.9958999999999895E-2</v>
      </c>
      <c r="AE4288">
        <v>-0.65309999999996604</v>
      </c>
      <c r="AF4288">
        <v>8.0931148662311297E-2</v>
      </c>
      <c r="AG4288">
        <v>-9.9958999999999895E-2</v>
      </c>
      <c r="AH4288">
        <v>0.635423123679841</v>
      </c>
      <c r="AI4288">
        <v>98.869489038306497</v>
      </c>
      <c r="AJ4288">
        <v>82.741560068930397</v>
      </c>
      <c r="AK4288">
        <v>0.64830872168423603</v>
      </c>
      <c r="AL4288">
        <v>66.964052048966295</v>
      </c>
      <c r="AM4288">
        <v>92.155515261014102</v>
      </c>
      <c r="AN4288">
        <v>1.00000003681579</v>
      </c>
    </row>
    <row r="4289" spans="1:40" x14ac:dyDescent="0.25">
      <c r="A4289" t="str">
        <f>"20190304164214282"</f>
        <v>20190304164214282</v>
      </c>
      <c r="B4289" t="str">
        <f>"1551688934275290"</f>
        <v>1551688934275290</v>
      </c>
      <c r="C4289" t="s">
        <v>40</v>
      </c>
      <c r="D4289">
        <v>4.7044069999999998</v>
      </c>
      <c r="E4289">
        <v>0.54427139999999996</v>
      </c>
      <c r="F4289" t="s">
        <v>41</v>
      </c>
      <c r="G4289">
        <v>-192.03129999999999</v>
      </c>
      <c r="H4289">
        <v>1.0020899999999999</v>
      </c>
      <c r="I4289">
        <v>192.29949999999999</v>
      </c>
      <c r="J4289">
        <v>-191.97210000000001</v>
      </c>
      <c r="K4289">
        <v>1.11144</v>
      </c>
      <c r="L4289">
        <v>193.01089999999999</v>
      </c>
      <c r="M4289">
        <v>4.2100020000000002E-2</v>
      </c>
      <c r="N4289">
        <v>-1.357993E-2</v>
      </c>
      <c r="O4289">
        <v>-0.99902100000000005</v>
      </c>
      <c r="P4289">
        <v>7.4566080000000007E-2</v>
      </c>
      <c r="Q4289">
        <v>0.3779981</v>
      </c>
      <c r="R4289">
        <v>-0.92279860000000002</v>
      </c>
      <c r="S4289">
        <v>-0.22460939999999999</v>
      </c>
      <c r="T4289">
        <v>-0.4542698</v>
      </c>
      <c r="U4289">
        <v>-3.4559630000000001</v>
      </c>
      <c r="V4289">
        <v>-3.6057659999999998E-2</v>
      </c>
      <c r="W4289">
        <v>0.39048840000000001</v>
      </c>
      <c r="X4289">
        <v>0.91990139999999998</v>
      </c>
      <c r="Y4289">
        <v>0.106267899999999</v>
      </c>
      <c r="Z4289">
        <v>0.11615259999999999</v>
      </c>
      <c r="AA4289">
        <v>0.98753009999999997</v>
      </c>
      <c r="AB4289">
        <v>20</v>
      </c>
      <c r="AC4289">
        <v>-5.9199999999975703E-2</v>
      </c>
      <c r="AD4289">
        <v>-0.10935</v>
      </c>
      <c r="AE4289">
        <v>-0.71139999999999703</v>
      </c>
      <c r="AF4289">
        <v>8.7057456564745297E-2</v>
      </c>
      <c r="AG4289">
        <v>-0.10935</v>
      </c>
      <c r="AH4289">
        <v>0.69203822058595399</v>
      </c>
      <c r="AI4289">
        <v>98.910068364662393</v>
      </c>
      <c r="AJ4289">
        <v>82.829934215922407</v>
      </c>
      <c r="AK4289">
        <v>0.70601226759546898</v>
      </c>
      <c r="AL4289">
        <v>67.015106676748005</v>
      </c>
      <c r="AM4289">
        <v>92.244691277407199</v>
      </c>
      <c r="AN4289">
        <v>0.999999965550597</v>
      </c>
    </row>
    <row r="4290" spans="1:40" x14ac:dyDescent="0.25">
      <c r="A4290" t="str">
        <f>"20190304164214296"</f>
        <v>20190304164214296</v>
      </c>
      <c r="B4290" t="str">
        <f>"1551688934285049"</f>
        <v>1551688934285049</v>
      </c>
      <c r="C4290" t="s">
        <v>40</v>
      </c>
      <c r="D4290">
        <v>4.5755660000000002</v>
      </c>
      <c r="E4290">
        <v>0.53421209999999997</v>
      </c>
      <c r="F4290" t="s">
        <v>41</v>
      </c>
      <c r="G4290">
        <v>-191.99080000000001</v>
      </c>
      <c r="H4290">
        <v>1.0011060000000001</v>
      </c>
      <c r="I4290">
        <v>192.1189</v>
      </c>
      <c r="J4290">
        <v>-191.96610000000001</v>
      </c>
      <c r="K4290">
        <v>1.111478</v>
      </c>
      <c r="L4290">
        <v>192.87540000000001</v>
      </c>
      <c r="M4290">
        <v>4.2415969999999997E-2</v>
      </c>
      <c r="N4290">
        <v>-1.3574930000000001E-2</v>
      </c>
      <c r="O4290">
        <v>-0.99900789999999995</v>
      </c>
      <c r="P4290">
        <v>7.6275529999999994E-2</v>
      </c>
      <c r="Q4290">
        <v>0.3773473</v>
      </c>
      <c r="R4290">
        <v>-0.92292540000000001</v>
      </c>
      <c r="S4290">
        <v>-7.1411130000000003E-2</v>
      </c>
      <c r="T4290">
        <v>-0.42443419999999998</v>
      </c>
      <c r="U4290">
        <v>-3.4306030000000001</v>
      </c>
      <c r="V4290">
        <v>-3.7506390000000001E-2</v>
      </c>
      <c r="W4290">
        <v>0.38983060000000003</v>
      </c>
      <c r="X4290">
        <v>0.92012240000000001</v>
      </c>
      <c r="Y4290">
        <v>6.3020270000000003E-2</v>
      </c>
      <c r="Z4290">
        <v>0.1089938</v>
      </c>
      <c r="AA4290">
        <v>0.99204270000000006</v>
      </c>
      <c r="AB4290">
        <v>20</v>
      </c>
      <c r="AC4290">
        <v>-2.4699999999995701E-2</v>
      </c>
      <c r="AD4290">
        <v>-0.110371999999999</v>
      </c>
      <c r="AE4290">
        <v>-0.75650000000001605</v>
      </c>
      <c r="AF4290">
        <v>5.5586433374590703E-2</v>
      </c>
      <c r="AG4290">
        <v>-0.110371999999999</v>
      </c>
      <c r="AH4290">
        <v>0.73905626963177196</v>
      </c>
      <c r="AI4290">
        <v>98.470304537717993</v>
      </c>
      <c r="AJ4290">
        <v>85.698726994211896</v>
      </c>
      <c r="AK4290">
        <v>0.74931702212170403</v>
      </c>
      <c r="AL4290">
        <v>67.0560390143539</v>
      </c>
      <c r="AM4290">
        <v>92.334220773719906</v>
      </c>
      <c r="AN4290">
        <v>0.99999992848447306</v>
      </c>
    </row>
    <row r="4291" spans="1:40" x14ac:dyDescent="0.25">
      <c r="A4291" t="str">
        <f>"20190304164214311"</f>
        <v>20190304164214311</v>
      </c>
      <c r="B4291" t="str">
        <f>"1551688934305546"</f>
        <v>1551688934305546</v>
      </c>
      <c r="C4291" t="s">
        <v>40</v>
      </c>
      <c r="D4291">
        <v>4.5407000000000002</v>
      </c>
      <c r="E4291">
        <v>0.52194149999999995</v>
      </c>
      <c r="F4291" t="s">
        <v>41</v>
      </c>
      <c r="G4291">
        <v>-191.96340000000001</v>
      </c>
      <c r="H4291">
        <v>1.023698</v>
      </c>
      <c r="I4291">
        <v>192.1087</v>
      </c>
      <c r="J4291">
        <v>-191.96039999999999</v>
      </c>
      <c r="K4291">
        <v>1.111504</v>
      </c>
      <c r="L4291">
        <v>192.74940000000001</v>
      </c>
      <c r="M4291">
        <v>4.2744450000000003E-2</v>
      </c>
      <c r="N4291">
        <v>-1.357059E-2</v>
      </c>
      <c r="O4291">
        <v>-0.99899389999999999</v>
      </c>
      <c r="P4291">
        <v>7.8727259999999993E-2</v>
      </c>
      <c r="Q4291">
        <v>0.37647639999999999</v>
      </c>
      <c r="R4291">
        <v>-0.92307530000000004</v>
      </c>
      <c r="S4291">
        <v>1.242065E-2</v>
      </c>
      <c r="T4291">
        <v>-0.39039220000000002</v>
      </c>
      <c r="U4291">
        <v>-3.409119</v>
      </c>
      <c r="V4291">
        <v>-3.9673439999999997E-2</v>
      </c>
      <c r="W4291">
        <v>0.38895410000000002</v>
      </c>
      <c r="X4291">
        <v>0.92040250000000001</v>
      </c>
      <c r="Y4291">
        <v>3.9092399999999999E-2</v>
      </c>
      <c r="Z4291">
        <v>0.10007919999999999</v>
      </c>
      <c r="AA4291">
        <v>0.99421119999999996</v>
      </c>
      <c r="AB4291">
        <v>20</v>
      </c>
      <c r="AC4291">
        <v>-3.0000000000143202E-3</v>
      </c>
      <c r="AD4291">
        <v>-8.7805999999999995E-2</v>
      </c>
      <c r="AE4291">
        <v>-0.64070000000000904</v>
      </c>
      <c r="AF4291">
        <v>2.9825972587004399E-2</v>
      </c>
      <c r="AG4291">
        <v>-8.7805999999999995E-2</v>
      </c>
      <c r="AH4291">
        <v>0.62818778612429205</v>
      </c>
      <c r="AI4291">
        <v>97.948221255794806</v>
      </c>
      <c r="AJ4291">
        <v>87.281672775193798</v>
      </c>
      <c r="AK4291">
        <v>0.63499557235661097</v>
      </c>
      <c r="AL4291">
        <v>67.110564339815497</v>
      </c>
      <c r="AM4291">
        <v>92.468174981926296</v>
      </c>
      <c r="AN4291">
        <v>1.0000000178772399</v>
      </c>
    </row>
    <row r="4292" spans="1:40" x14ac:dyDescent="0.25">
      <c r="A4292" t="str">
        <f>"20190304164214327"</f>
        <v>20190304164214327</v>
      </c>
      <c r="B4292" t="str">
        <f>"1551688934315306"</f>
        <v>1551688934315306</v>
      </c>
      <c r="C4292" t="s">
        <v>40</v>
      </c>
      <c r="D4292">
        <v>4.521973</v>
      </c>
      <c r="E4292">
        <v>0.5186636</v>
      </c>
      <c r="F4292" t="s">
        <v>41</v>
      </c>
      <c r="G4292">
        <v>-191.93219999999999</v>
      </c>
      <c r="H4292">
        <v>1.024397</v>
      </c>
      <c r="I4292">
        <v>191.92670000000001</v>
      </c>
      <c r="J4292">
        <v>-191.95410000000001</v>
      </c>
      <c r="K4292">
        <v>1.111524</v>
      </c>
      <c r="L4292">
        <v>192.61109999999999</v>
      </c>
      <c r="M4292">
        <v>4.3137059999999998E-2</v>
      </c>
      <c r="N4292">
        <v>-1.3566150000000001E-2</v>
      </c>
      <c r="O4292">
        <v>-0.99897729999999996</v>
      </c>
      <c r="P4292">
        <v>8.0367510000000003E-2</v>
      </c>
      <c r="Q4292">
        <v>0.37632549999999998</v>
      </c>
      <c r="R4292">
        <v>-0.92299540000000002</v>
      </c>
      <c r="S4292">
        <v>0.1163483</v>
      </c>
      <c r="T4292">
        <v>-0.35861120000000002</v>
      </c>
      <c r="U4292">
        <v>-3.3863530000000002</v>
      </c>
      <c r="V4292">
        <v>-4.0975030000000003E-2</v>
      </c>
      <c r="W4292">
        <v>0.388795</v>
      </c>
      <c r="X4292">
        <v>0.92041269999999997</v>
      </c>
      <c r="Y4292">
        <v>8.9473230000000001E-3</v>
      </c>
      <c r="Z4292">
        <v>9.1640289999999999E-2</v>
      </c>
      <c r="AA4292">
        <v>0.99575199999999997</v>
      </c>
      <c r="AB4292">
        <v>20</v>
      </c>
      <c r="AC4292">
        <v>2.1900000000016399E-2</v>
      </c>
      <c r="AD4292">
        <v>-8.7126999999999899E-2</v>
      </c>
      <c r="AE4292">
        <v>-0.68439999999998202</v>
      </c>
      <c r="AF4292">
        <v>7.5242861703183903E-3</v>
      </c>
      <c r="AG4292">
        <v>-8.7126999999999899E-2</v>
      </c>
      <c r="AH4292">
        <v>0.67379894742571</v>
      </c>
      <c r="AI4292">
        <v>97.367414927681907</v>
      </c>
      <c r="AJ4292">
        <v>89.360206891904298</v>
      </c>
      <c r="AK4292">
        <v>0.67945032972496799</v>
      </c>
      <c r="AL4292">
        <v>67.120458984000905</v>
      </c>
      <c r="AM4292">
        <v>92.549016533097401</v>
      </c>
      <c r="AN4292">
        <v>1.0000000217148901</v>
      </c>
    </row>
    <row r="4293" spans="1:40" x14ac:dyDescent="0.25">
      <c r="A4293" t="str">
        <f>"20190304164214339"</f>
        <v>20190304164214339</v>
      </c>
      <c r="B4293" t="str">
        <f>"1551688934335901"</f>
        <v>1551688934335901</v>
      </c>
      <c r="C4293" t="s">
        <v>40</v>
      </c>
      <c r="D4293">
        <v>4.5045469999999996</v>
      </c>
      <c r="E4293">
        <v>0.51507340000000001</v>
      </c>
      <c r="F4293" t="s">
        <v>41</v>
      </c>
      <c r="G4293">
        <v>-191.91650000000001</v>
      </c>
      <c r="H4293">
        <v>1.021584</v>
      </c>
      <c r="I4293">
        <v>191.74639999999999</v>
      </c>
      <c r="J4293">
        <v>-191.94820000000001</v>
      </c>
      <c r="K4293">
        <v>1.111534</v>
      </c>
      <c r="L4293">
        <v>192.48509999999999</v>
      </c>
      <c r="M4293">
        <v>4.3521400000000002E-2</v>
      </c>
      <c r="N4293">
        <v>-1.356244E-2</v>
      </c>
      <c r="O4293">
        <v>-0.99896070000000003</v>
      </c>
      <c r="P4293">
        <v>8.1618280000000001E-2</v>
      </c>
      <c r="Q4293">
        <v>0.37623000000000001</v>
      </c>
      <c r="R4293">
        <v>-0.92292459999999998</v>
      </c>
      <c r="S4293">
        <v>0.1473236</v>
      </c>
      <c r="T4293">
        <v>-0.35175119999999999</v>
      </c>
      <c r="U4293">
        <v>-3.3808750000000001</v>
      </c>
      <c r="V4293">
        <v>-4.1881929999999998E-2</v>
      </c>
      <c r="W4293">
        <v>0.38869389999999998</v>
      </c>
      <c r="X4293">
        <v>0.92041459999999997</v>
      </c>
      <c r="Y4293">
        <v>1.6717049999999999E-4</v>
      </c>
      <c r="Z4293">
        <v>8.9801420000000007E-2</v>
      </c>
      <c r="AA4293">
        <v>0.9959597</v>
      </c>
      <c r="AB4293">
        <v>20</v>
      </c>
      <c r="AC4293">
        <v>3.17000000000007E-2</v>
      </c>
      <c r="AD4293">
        <v>-8.9949999999999905E-2</v>
      </c>
      <c r="AE4293">
        <v>-0.73869999999999403</v>
      </c>
      <c r="AF4293">
        <v>4.75214947594209E-4</v>
      </c>
      <c r="AG4293">
        <v>-8.9949999999999905E-2</v>
      </c>
      <c r="AH4293">
        <v>0.72859634490517</v>
      </c>
      <c r="AI4293">
        <v>97.037926420254905</v>
      </c>
      <c r="AJ4293">
        <v>89.962629778219295</v>
      </c>
      <c r="AK4293">
        <v>0.73412796033009098</v>
      </c>
      <c r="AL4293">
        <v>67.126746536233895</v>
      </c>
      <c r="AM4293">
        <v>92.605351626380994</v>
      </c>
      <c r="AN4293">
        <v>1.0000000399254401</v>
      </c>
    </row>
    <row r="4294" spans="1:40" x14ac:dyDescent="0.25">
      <c r="A4294" t="str">
        <f>"20190304164214369"</f>
        <v>20190304164214369</v>
      </c>
      <c r="B4294" t="str">
        <f>"1551688934355421"</f>
        <v>1551688934355421</v>
      </c>
      <c r="C4294" t="s">
        <v>40</v>
      </c>
      <c r="D4294">
        <v>4.7206950000000001</v>
      </c>
      <c r="E4294">
        <v>0.51337339999999998</v>
      </c>
      <c r="F4294" t="s">
        <v>41</v>
      </c>
      <c r="G4294">
        <v>-191.9085</v>
      </c>
      <c r="H4294">
        <v>1.03593</v>
      </c>
      <c r="I4294">
        <v>191.73679999999999</v>
      </c>
      <c r="J4294">
        <v>-191.93600000000001</v>
      </c>
      <c r="K4294">
        <v>1.1115200000000001</v>
      </c>
      <c r="L4294">
        <v>192.2278</v>
      </c>
      <c r="M4294">
        <v>4.4344849999999998E-2</v>
      </c>
      <c r="N4294">
        <v>-1.3555269999999999E-2</v>
      </c>
      <c r="O4294">
        <v>-0.99892440000000005</v>
      </c>
      <c r="P4294">
        <v>8.6181999999999995E-2</v>
      </c>
      <c r="Q4294">
        <v>0.376498</v>
      </c>
      <c r="R4294">
        <v>-0.92240029999999995</v>
      </c>
      <c r="S4294">
        <v>0.17955019999999999</v>
      </c>
      <c r="T4294">
        <v>-0.34095189999999997</v>
      </c>
      <c r="U4294">
        <v>-3.3736419999999998</v>
      </c>
      <c r="V4294">
        <v>-4.5689750000000001E-2</v>
      </c>
      <c r="W4294">
        <v>0.38894790000000001</v>
      </c>
      <c r="X4294">
        <v>0.92012609999999995</v>
      </c>
      <c r="Y4294">
        <v>-8.5998759999999994E-3</v>
      </c>
      <c r="Z4294">
        <v>8.6851289999999998E-2</v>
      </c>
      <c r="AA4294">
        <v>0.99618419999999996</v>
      </c>
      <c r="AB4294">
        <v>20</v>
      </c>
      <c r="AC4294">
        <v>2.7499999999974899E-2</v>
      </c>
      <c r="AD4294">
        <v>-7.5590000000000004E-2</v>
      </c>
      <c r="AE4294">
        <v>-0.49100000000001298</v>
      </c>
      <c r="AF4294">
        <v>-5.5661130331939503E-3</v>
      </c>
      <c r="AG4294">
        <v>-7.5590000000000004E-2</v>
      </c>
      <c r="AH4294">
        <v>0.48038649073468498</v>
      </c>
      <c r="AI4294">
        <v>98.941719624340607</v>
      </c>
      <c r="AJ4294">
        <v>90.663841554018703</v>
      </c>
      <c r="AK4294">
        <v>0.48632911715697602</v>
      </c>
      <c r="AL4294">
        <v>67.110950254383397</v>
      </c>
      <c r="AM4294">
        <v>92.842742328680202</v>
      </c>
      <c r="AN4294">
        <v>1.0000000310353401</v>
      </c>
    </row>
    <row r="4295" spans="1:40" x14ac:dyDescent="0.25">
      <c r="A4295" t="str">
        <f>"20190304164214382"</f>
        <v>20190304164214382</v>
      </c>
      <c r="B4295" t="str">
        <f>"1551688934375917"</f>
        <v>1551688934375917</v>
      </c>
      <c r="C4295" t="s">
        <v>40</v>
      </c>
      <c r="D4295">
        <v>4.4498579999999999</v>
      </c>
      <c r="E4295">
        <v>0.51242189999999999</v>
      </c>
      <c r="F4295" t="s">
        <v>41</v>
      </c>
      <c r="G4295">
        <v>-191.88419999999999</v>
      </c>
      <c r="H4295">
        <v>1.026475</v>
      </c>
      <c r="I4295">
        <v>191.38069999999999</v>
      </c>
      <c r="J4295">
        <v>-191.9299</v>
      </c>
      <c r="K4295">
        <v>1.1114980000000001</v>
      </c>
      <c r="L4295">
        <v>192.10249999999999</v>
      </c>
      <c r="M4295">
        <v>4.4750039999999998E-2</v>
      </c>
      <c r="N4295">
        <v>-1.355202E-2</v>
      </c>
      <c r="O4295">
        <v>-0.99890639999999997</v>
      </c>
      <c r="P4295">
        <v>8.7704820000000003E-2</v>
      </c>
      <c r="Q4295">
        <v>0.37693409999999999</v>
      </c>
      <c r="R4295">
        <v>-0.92207879999999998</v>
      </c>
      <c r="S4295">
        <v>0.20625309999999999</v>
      </c>
      <c r="T4295">
        <v>-0.33848139999999999</v>
      </c>
      <c r="U4295">
        <v>-3.3712620000000002</v>
      </c>
      <c r="V4295">
        <v>-4.6833510000000002E-2</v>
      </c>
      <c r="W4295">
        <v>0.3893779</v>
      </c>
      <c r="X4295">
        <v>0.9198866</v>
      </c>
      <c r="Y4295">
        <v>-1.6093860000000001E-2</v>
      </c>
      <c r="Z4295">
        <v>8.6176429999999998E-2</v>
      </c>
      <c r="AA4295">
        <v>0.99614990000000003</v>
      </c>
      <c r="AB4295">
        <v>20</v>
      </c>
      <c r="AC4295">
        <v>4.5700000000010697E-2</v>
      </c>
      <c r="AD4295">
        <v>-8.5022999999999793E-2</v>
      </c>
      <c r="AE4295">
        <v>-0.721800000000001</v>
      </c>
      <c r="AF4295">
        <v>-1.31686797044741E-2</v>
      </c>
      <c r="AG4295">
        <v>-8.5022999999999793E-2</v>
      </c>
      <c r="AH4295">
        <v>0.71326486830973401</v>
      </c>
      <c r="AI4295">
        <v>96.796580536530996</v>
      </c>
      <c r="AJ4295">
        <v>91.057705336599199</v>
      </c>
      <c r="AK4295">
        <v>0.71843517245403599</v>
      </c>
      <c r="AL4295">
        <v>67.084202526489705</v>
      </c>
      <c r="AM4295">
        <v>92.914541405687402</v>
      </c>
      <c r="AN4295">
        <v>0.99999994176344298</v>
      </c>
    </row>
    <row r="4296" spans="1:40" x14ac:dyDescent="0.25">
      <c r="A4296" t="str">
        <f>"20190304164214395"</f>
        <v>20190304164214395</v>
      </c>
      <c r="B4296" t="str">
        <f>"1551688934385678"</f>
        <v>1551688934385678</v>
      </c>
      <c r="C4296" t="s">
        <v>40</v>
      </c>
      <c r="D4296">
        <v>4.4578860000000002</v>
      </c>
      <c r="E4296">
        <v>0.51219870000000001</v>
      </c>
      <c r="F4296" t="s">
        <v>41</v>
      </c>
      <c r="G4296">
        <v>-191.8717</v>
      </c>
      <c r="H4296">
        <v>1.022481</v>
      </c>
      <c r="I4296">
        <v>191.2022</v>
      </c>
      <c r="J4296">
        <v>-191.9238</v>
      </c>
      <c r="K4296">
        <v>1.1114729999999999</v>
      </c>
      <c r="L4296">
        <v>191.97669999999999</v>
      </c>
      <c r="M4296">
        <v>4.5145129999999999E-2</v>
      </c>
      <c r="N4296">
        <v>-1.354897E-2</v>
      </c>
      <c r="O4296">
        <v>-0.99888849999999996</v>
      </c>
      <c r="P4296">
        <v>8.9216779999999996E-2</v>
      </c>
      <c r="Q4296">
        <v>0.37715310000000002</v>
      </c>
      <c r="R4296">
        <v>-0.92184379999999999</v>
      </c>
      <c r="S4296">
        <v>0.21774289999999999</v>
      </c>
      <c r="T4296">
        <v>-0.3330535</v>
      </c>
      <c r="U4296">
        <v>-3.3689580000000001</v>
      </c>
      <c r="V4296">
        <v>-4.796214E-2</v>
      </c>
      <c r="W4296">
        <v>0.38959440000000001</v>
      </c>
      <c r="X4296">
        <v>0.91973680000000002</v>
      </c>
      <c r="Y4296">
        <v>-1.9130129999999999E-2</v>
      </c>
      <c r="Z4296">
        <v>8.464692E-2</v>
      </c>
      <c r="AA4296">
        <v>0.99622730000000004</v>
      </c>
      <c r="AB4296">
        <v>20</v>
      </c>
      <c r="AC4296">
        <v>5.2099999999995802E-2</v>
      </c>
      <c r="AD4296">
        <v>-8.8991999999999905E-2</v>
      </c>
      <c r="AE4296">
        <v>-0.77449999999998898</v>
      </c>
      <c r="AF4296">
        <v>-1.6857200160720599E-2</v>
      </c>
      <c r="AG4296">
        <v>-8.8991999999999905E-2</v>
      </c>
      <c r="AH4296">
        <v>0.76599492341560504</v>
      </c>
      <c r="AI4296">
        <v>96.625228918979701</v>
      </c>
      <c r="AJ4296">
        <v>91.260700975838205</v>
      </c>
      <c r="AK4296">
        <v>0.77133129325843997</v>
      </c>
      <c r="AL4296">
        <v>67.070735187151797</v>
      </c>
      <c r="AM4296">
        <v>92.985138005564806</v>
      </c>
      <c r="AN4296">
        <v>0.99999997232948901</v>
      </c>
    </row>
    <row r="4297" spans="1:40" x14ac:dyDescent="0.25">
      <c r="A4297" t="str">
        <f>"20190304164214411"</f>
        <v>20190304164214411</v>
      </c>
      <c r="B4297" t="str">
        <f>"1551688934405198"</f>
        <v>1551688934405198</v>
      </c>
      <c r="C4297" t="s">
        <v>40</v>
      </c>
      <c r="D4297">
        <v>4.4800680000000002</v>
      </c>
      <c r="E4297">
        <v>0.51198569999999999</v>
      </c>
      <c r="F4297" t="s">
        <v>41</v>
      </c>
      <c r="G4297">
        <v>-191.87139999999999</v>
      </c>
      <c r="H4297">
        <v>1.0341400000000001</v>
      </c>
      <c r="I4297">
        <v>191.18870000000001</v>
      </c>
      <c r="J4297">
        <v>-191.91730000000001</v>
      </c>
      <c r="K4297">
        <v>1.11144</v>
      </c>
      <c r="L4297">
        <v>191.84370000000001</v>
      </c>
      <c r="M4297">
        <v>4.5547780000000003E-2</v>
      </c>
      <c r="N4297">
        <v>-1.354587E-2</v>
      </c>
      <c r="O4297">
        <v>-0.99887029999999999</v>
      </c>
      <c r="P4297">
        <v>9.0771299999999999E-2</v>
      </c>
      <c r="Q4297">
        <v>0.37855569999999999</v>
      </c>
      <c r="R4297">
        <v>-0.92111690000000002</v>
      </c>
      <c r="S4297">
        <v>0.2237701</v>
      </c>
      <c r="T4297">
        <v>-0.33050780000000002</v>
      </c>
      <c r="U4297">
        <v>-3.3678889999999999</v>
      </c>
      <c r="V4297">
        <v>-4.9144500000000001E-2</v>
      </c>
      <c r="W4297">
        <v>0.39098830000000001</v>
      </c>
      <c r="X4297">
        <v>0.91908270000000003</v>
      </c>
      <c r="Y4297">
        <v>-2.0525749999999999E-2</v>
      </c>
      <c r="Z4297">
        <v>8.3927909999999994E-2</v>
      </c>
      <c r="AA4297">
        <v>0.99626040000000005</v>
      </c>
      <c r="AB4297">
        <v>20</v>
      </c>
      <c r="AC4297">
        <v>4.5900000000017302E-2</v>
      </c>
      <c r="AD4297">
        <v>-7.7299999999999897E-2</v>
      </c>
      <c r="AE4297">
        <v>-0.65500000000000103</v>
      </c>
      <c r="AF4297">
        <v>-1.5796882993034701E-2</v>
      </c>
      <c r="AG4297">
        <v>-7.7299999999999897E-2</v>
      </c>
      <c r="AH4297">
        <v>0.64743773445431496</v>
      </c>
      <c r="AI4297">
        <v>96.806520130689094</v>
      </c>
      <c r="AJ4297">
        <v>91.397686812892402</v>
      </c>
      <c r="AK4297">
        <v>0.65222730049242095</v>
      </c>
      <c r="AL4297">
        <v>66.983992213631495</v>
      </c>
      <c r="AM4297">
        <v>93.060762035583096</v>
      </c>
      <c r="AN4297">
        <v>1.0000000210282101</v>
      </c>
    </row>
    <row r="4298" spans="1:40" x14ac:dyDescent="0.25">
      <c r="A4298" t="str">
        <f>"20190304164214433"</f>
        <v>20190304164214433</v>
      </c>
      <c r="B4298" t="str">
        <f>"1551688934425694"</f>
        <v>1551688934425694</v>
      </c>
      <c r="C4298" t="s">
        <v>40</v>
      </c>
      <c r="D4298">
        <v>4.4969510000000001</v>
      </c>
      <c r="E4298">
        <v>0.51190100000000005</v>
      </c>
      <c r="F4298" t="s">
        <v>41</v>
      </c>
      <c r="G4298">
        <v>-191.86019999999999</v>
      </c>
      <c r="H4298">
        <v>1.031906</v>
      </c>
      <c r="I4298">
        <v>191.01320000000001</v>
      </c>
      <c r="J4298">
        <v>-191.90719999999999</v>
      </c>
      <c r="K4298">
        <v>1.111383</v>
      </c>
      <c r="L4298">
        <v>191.63730000000001</v>
      </c>
      <c r="M4298">
        <v>4.6126390000000003E-2</v>
      </c>
      <c r="N4298">
        <v>-1.35412999999999E-2</v>
      </c>
      <c r="O4298">
        <v>-0.99884399999999995</v>
      </c>
      <c r="P4298">
        <v>9.1662560000000004E-2</v>
      </c>
      <c r="Q4298">
        <v>0.37919269999999999</v>
      </c>
      <c r="R4298">
        <v>-0.92076690000000005</v>
      </c>
      <c r="S4298">
        <v>0.2317505</v>
      </c>
      <c r="T4298">
        <v>-0.32250849999999998</v>
      </c>
      <c r="U4298">
        <v>-3.3666529999999999</v>
      </c>
      <c r="V4298">
        <v>-4.9457790000000001E-2</v>
      </c>
      <c r="W4298">
        <v>0.39162370000000002</v>
      </c>
      <c r="X4298">
        <v>0.91879529999999998</v>
      </c>
      <c r="Y4298">
        <v>-2.2333760000000001E-2</v>
      </c>
      <c r="Z4298">
        <v>8.1616279999999999E-2</v>
      </c>
      <c r="AA4298">
        <v>0.99641360000000001</v>
      </c>
      <c r="AB4298">
        <v>20</v>
      </c>
      <c r="AC4298">
        <v>4.6999999999997003E-2</v>
      </c>
      <c r="AD4298">
        <v>-7.9477000000000006E-2</v>
      </c>
      <c r="AE4298">
        <v>-0.62409999999999799</v>
      </c>
      <c r="AF4298">
        <v>-1.7871656966214702E-2</v>
      </c>
      <c r="AG4298">
        <v>-7.9477000000000006E-2</v>
      </c>
      <c r="AH4298">
        <v>0.61567553543423503</v>
      </c>
      <c r="AI4298">
        <v>97.352519648073894</v>
      </c>
      <c r="AJ4298">
        <v>91.662698940226306</v>
      </c>
      <c r="AK4298">
        <v>0.62104134691979296</v>
      </c>
      <c r="AL4298">
        <v>66.944431436881899</v>
      </c>
      <c r="AM4298">
        <v>93.081198197857901</v>
      </c>
      <c r="AN4298">
        <v>0.99999999934773198</v>
      </c>
    </row>
    <row r="4299" spans="1:40" x14ac:dyDescent="0.25">
      <c r="A4299" t="str">
        <f>"20190304164214446"</f>
        <v>20190304164214446</v>
      </c>
      <c r="B4299" t="str">
        <f>"1551688934435453"</f>
        <v>1551688934435453</v>
      </c>
      <c r="C4299" t="s">
        <v>40</v>
      </c>
      <c r="D4299">
        <v>4.523085</v>
      </c>
      <c r="E4299">
        <v>0.51187680000000002</v>
      </c>
      <c r="F4299" t="s">
        <v>42</v>
      </c>
      <c r="G4299">
        <v>-191.07830000000001</v>
      </c>
      <c r="H4299" s="1">
        <v>-4.2501999999999998E-7</v>
      </c>
      <c r="I4299">
        <v>179.91099999999901</v>
      </c>
      <c r="J4299">
        <v>-191.9016</v>
      </c>
      <c r="K4299">
        <v>1.1113489999999999</v>
      </c>
      <c r="L4299">
        <v>191.52459999999999</v>
      </c>
      <c r="M4299">
        <v>4.6413889999999999E-2</v>
      </c>
      <c r="N4299">
        <v>-1.3538909999999999E-2</v>
      </c>
      <c r="O4299">
        <v>-0.99883080000000002</v>
      </c>
      <c r="P4299">
        <v>9.2050489999999999E-2</v>
      </c>
      <c r="Q4299">
        <v>0.37881009999999998</v>
      </c>
      <c r="R4299">
        <v>-0.92088579999999998</v>
      </c>
      <c r="S4299">
        <v>0.23789979999999999</v>
      </c>
      <c r="T4299">
        <v>-0.31900810000000002</v>
      </c>
      <c r="U4299">
        <v>-3.3658600000000001</v>
      </c>
      <c r="V4299">
        <v>-4.9540050000000002E-2</v>
      </c>
      <c r="W4299">
        <v>0.39124550000000002</v>
      </c>
      <c r="X4299">
        <v>0.91895199999999999</v>
      </c>
      <c r="Y4299">
        <v>-2.3878489999999999E-2</v>
      </c>
      <c r="Z4299">
        <v>8.0607849999999995E-2</v>
      </c>
      <c r="AA4299">
        <v>0.99645980000000001</v>
      </c>
      <c r="AB4299">
        <v>20</v>
      </c>
      <c r="AC4299">
        <v>0.82329999999998804</v>
      </c>
      <c r="AD4299">
        <v>-1.11134942502</v>
      </c>
      <c r="AE4299">
        <v>-11.6136</v>
      </c>
      <c r="AF4299">
        <v>-0.28077267656454102</v>
      </c>
      <c r="AG4299">
        <v>-1.11134942502</v>
      </c>
      <c r="AH4299">
        <v>11.534203689608701</v>
      </c>
      <c r="AI4299">
        <v>95.501982528253507</v>
      </c>
      <c r="AJ4299">
        <v>91.394453695671103</v>
      </c>
      <c r="AK4299">
        <v>11.5910217665994</v>
      </c>
      <c r="AL4299">
        <v>66.967980169699999</v>
      </c>
      <c r="AM4299">
        <v>93.085787797797295</v>
      </c>
      <c r="AN4299">
        <v>1.00000001806412</v>
      </c>
    </row>
    <row r="4300" spans="1:40" x14ac:dyDescent="0.25">
      <c r="A4300" t="str">
        <f>"20190304164214470"</f>
        <v>20190304164214470</v>
      </c>
      <c r="B4300" t="str">
        <f>"1551688934465709"</f>
        <v>1551688934465709</v>
      </c>
      <c r="C4300" t="s">
        <v>40</v>
      </c>
      <c r="D4300">
        <v>4.5365250000000001</v>
      </c>
      <c r="E4300">
        <v>0.51196549999999996</v>
      </c>
      <c r="F4300" t="s">
        <v>41</v>
      </c>
      <c r="G4300">
        <v>-191.83959999999999</v>
      </c>
      <c r="H4300">
        <v>1.0287869999999999</v>
      </c>
      <c r="I4300">
        <v>190.6541</v>
      </c>
      <c r="J4300">
        <v>-191.89080000000001</v>
      </c>
      <c r="K4300">
        <v>1.1112709999999999</v>
      </c>
      <c r="L4300">
        <v>191.30680000000001</v>
      </c>
      <c r="M4300">
        <v>4.6894989999999998E-2</v>
      </c>
      <c r="N4300">
        <v>-1.353447E-2</v>
      </c>
      <c r="O4300">
        <v>-0.99880809999999998</v>
      </c>
      <c r="P4300">
        <v>9.313681E-2</v>
      </c>
      <c r="Q4300">
        <v>0.37698100000000001</v>
      </c>
      <c r="R4300">
        <v>-0.92152630000000002</v>
      </c>
      <c r="S4300">
        <v>0.24006649999999999</v>
      </c>
      <c r="T4300">
        <v>-0.31925120000000001</v>
      </c>
      <c r="U4300">
        <v>-3.3650509999999998</v>
      </c>
      <c r="V4300">
        <v>-5.0081430000000003E-2</v>
      </c>
      <c r="W4300">
        <v>0.3894301</v>
      </c>
      <c r="X4300">
        <v>0.91969350000000005</v>
      </c>
      <c r="Y4300">
        <v>-2.4051510000000002E-2</v>
      </c>
      <c r="Z4300">
        <v>8.0700720000000004E-2</v>
      </c>
      <c r="AA4300">
        <v>0.99644820000000001</v>
      </c>
      <c r="AB4300">
        <v>20</v>
      </c>
      <c r="AC4300">
        <v>5.12000000000227E-2</v>
      </c>
      <c r="AD4300">
        <v>-8.2483999999999696E-2</v>
      </c>
      <c r="AE4300">
        <v>-0.65270000000000905</v>
      </c>
      <c r="AF4300">
        <v>-2.0211684076571399E-2</v>
      </c>
      <c r="AG4300">
        <v>-8.2483999999999696E-2</v>
      </c>
      <c r="AH4300">
        <v>0.64415855760025298</v>
      </c>
      <c r="AI4300">
        <v>97.293420197922103</v>
      </c>
      <c r="AJ4300">
        <v>91.7971730257281</v>
      </c>
      <c r="AK4300">
        <v>0.64973253709418799</v>
      </c>
      <c r="AL4300">
        <v>67.080957836565005</v>
      </c>
      <c r="AM4300">
        <v>93.116933360189094</v>
      </c>
      <c r="AN4300">
        <v>1.0000000431795499</v>
      </c>
    </row>
    <row r="4301" spans="1:40" x14ac:dyDescent="0.25">
      <c r="A4301" t="str">
        <f>"20190304164214483"</f>
        <v>20190304164214483</v>
      </c>
      <c r="B4301" t="str">
        <f>"1551688934475469"</f>
        <v>1551688934475469</v>
      </c>
      <c r="C4301" t="s">
        <v>40</v>
      </c>
      <c r="D4301">
        <v>4.5417239999999897</v>
      </c>
      <c r="E4301">
        <v>0.51200709999999905</v>
      </c>
      <c r="F4301" t="s">
        <v>41</v>
      </c>
      <c r="G4301">
        <v>-191.82990000000001</v>
      </c>
      <c r="H4301">
        <v>1.03139</v>
      </c>
      <c r="I4301">
        <v>190.46600000000001</v>
      </c>
      <c r="J4301">
        <v>-191.88499999999999</v>
      </c>
      <c r="K4301">
        <v>1.111237</v>
      </c>
      <c r="L4301">
        <v>191.1908</v>
      </c>
      <c r="M4301">
        <v>4.7121650000000001E-2</v>
      </c>
      <c r="N4301">
        <v>-1.353218E-2</v>
      </c>
      <c r="O4301">
        <v>-0.99879770000000001</v>
      </c>
      <c r="P4301">
        <v>9.3765829999999994E-2</v>
      </c>
      <c r="Q4301">
        <v>0.37664969999999998</v>
      </c>
      <c r="R4301">
        <v>-0.92159820000000003</v>
      </c>
      <c r="S4301">
        <v>0.24340819999999999</v>
      </c>
      <c r="T4301">
        <v>-0.31932179999999999</v>
      </c>
      <c r="U4301">
        <v>-3.3614959999999998</v>
      </c>
      <c r="V4301">
        <v>-5.0460890000000001E-2</v>
      </c>
      <c r="W4301">
        <v>0.38910299999999998</v>
      </c>
      <c r="X4301">
        <v>0.91981120000000005</v>
      </c>
      <c r="Y4301">
        <v>-2.488361E-2</v>
      </c>
      <c r="Z4301">
        <v>8.0816890000000002E-2</v>
      </c>
      <c r="AA4301">
        <v>0.99641829999999998</v>
      </c>
      <c r="AB4301">
        <v>20</v>
      </c>
      <c r="AC4301">
        <v>5.5099999999981698E-2</v>
      </c>
      <c r="AD4301">
        <v>-7.9847000000000001E-2</v>
      </c>
      <c r="AE4301">
        <v>-0.72480000000001599</v>
      </c>
      <c r="AF4301">
        <v>-2.0632923663145099E-2</v>
      </c>
      <c r="AG4301">
        <v>-7.9847000000000001E-2</v>
      </c>
      <c r="AH4301">
        <v>0.71792853237444199</v>
      </c>
      <c r="AI4301">
        <v>96.343676828551295</v>
      </c>
      <c r="AJ4301">
        <v>91.646200248497294</v>
      </c>
      <c r="AK4301">
        <v>0.72264973434244695</v>
      </c>
      <c r="AL4301">
        <v>67.101304133159303</v>
      </c>
      <c r="AM4301">
        <v>93.140101774830697</v>
      </c>
      <c r="AN4301">
        <v>1.0000000448370101</v>
      </c>
    </row>
    <row r="4302" spans="1:40" x14ac:dyDescent="0.25">
      <c r="A4302" t="str">
        <f>"20190304164214495"</f>
        <v>20190304164214495</v>
      </c>
      <c r="B4302" t="str">
        <f>"1551688934485229"</f>
        <v>1551688934485229</v>
      </c>
      <c r="C4302" t="s">
        <v>40</v>
      </c>
      <c r="D4302">
        <v>4.5857380000000001</v>
      </c>
      <c r="E4302">
        <v>0.51204669999999997</v>
      </c>
      <c r="F4302" t="s">
        <v>41</v>
      </c>
      <c r="G4302">
        <v>-191.81979999999999</v>
      </c>
      <c r="H4302">
        <v>1.0264610000000001</v>
      </c>
      <c r="I4302">
        <v>190.2954</v>
      </c>
      <c r="J4302">
        <v>-191.87899999999999</v>
      </c>
      <c r="K4302">
        <v>1.1111960000000001</v>
      </c>
      <c r="L4302">
        <v>191.0692</v>
      </c>
      <c r="M4302">
        <v>4.7318800000000001E-2</v>
      </c>
      <c r="N4302">
        <v>-1.352983E-2</v>
      </c>
      <c r="O4302">
        <v>-0.99878809999999996</v>
      </c>
      <c r="P4302">
        <v>9.3912389999999998E-2</v>
      </c>
      <c r="Q4302">
        <v>0.37611889999999998</v>
      </c>
      <c r="R4302">
        <v>-0.92179990000000001</v>
      </c>
      <c r="S4302">
        <v>0.2452087</v>
      </c>
      <c r="T4302">
        <v>-0.31824200000000002</v>
      </c>
      <c r="U4302">
        <v>-3.3602910000000001</v>
      </c>
      <c r="V4302">
        <v>-5.0378720000000002E-2</v>
      </c>
      <c r="W4302">
        <v>0.38857710000000001</v>
      </c>
      <c r="X4302">
        <v>0.92003800000000002</v>
      </c>
      <c r="Y4302">
        <v>-2.5244590000000001E-2</v>
      </c>
      <c r="Z4302">
        <v>8.0532980000000004E-2</v>
      </c>
      <c r="AA4302">
        <v>0.99643219999999999</v>
      </c>
      <c r="AB4302">
        <v>20</v>
      </c>
      <c r="AC4302">
        <v>5.9200000000032497E-2</v>
      </c>
      <c r="AD4302">
        <v>-8.4734999999999699E-2</v>
      </c>
      <c r="AE4302">
        <v>-0.77379999999999405</v>
      </c>
      <c r="AF4302">
        <v>-2.2249778833693199E-2</v>
      </c>
      <c r="AG4302">
        <v>-8.4734999999999699E-2</v>
      </c>
      <c r="AH4302">
        <v>0.76659556254330596</v>
      </c>
      <c r="AI4302">
        <v>96.304902530582098</v>
      </c>
      <c r="AJ4302">
        <v>91.662494144229697</v>
      </c>
      <c r="AK4302">
        <v>0.77158527033260305</v>
      </c>
      <c r="AL4302">
        <v>67.134009860302896</v>
      </c>
      <c r="AM4302">
        <v>93.134227400424393</v>
      </c>
      <c r="AN4302">
        <v>1.0000000497586199</v>
      </c>
    </row>
    <row r="4303" spans="1:40" x14ac:dyDescent="0.25">
      <c r="A4303" t="str">
        <f>"20190304164214512"</f>
        <v>20190304164214512</v>
      </c>
      <c r="B4303" t="str">
        <f>"1551688934505727"</f>
        <v>1551688934505727</v>
      </c>
      <c r="C4303" t="s">
        <v>40</v>
      </c>
      <c r="D4303">
        <v>4.5206790000000003</v>
      </c>
      <c r="E4303">
        <v>0.51210129999999998</v>
      </c>
      <c r="F4303" t="s">
        <v>42</v>
      </c>
      <c r="G4303">
        <v>-191.0264</v>
      </c>
      <c r="H4303" s="1">
        <v>-4.4105070000000004E-6</v>
      </c>
      <c r="I4303">
        <v>179.41220000000001</v>
      </c>
      <c r="J4303">
        <v>-191.87209999999999</v>
      </c>
      <c r="K4303">
        <v>1.1111519999999999</v>
      </c>
      <c r="L4303">
        <v>190.9282</v>
      </c>
      <c r="M4303">
        <v>4.7516820000000001E-2</v>
      </c>
      <c r="N4303">
        <v>-1.35272E-2</v>
      </c>
      <c r="O4303">
        <v>-0.99877910000000003</v>
      </c>
      <c r="P4303">
        <v>9.4472169999999994E-2</v>
      </c>
      <c r="Q4303">
        <v>0.3760232</v>
      </c>
      <c r="R4303">
        <v>-0.92178179999999998</v>
      </c>
      <c r="S4303">
        <v>0.24575810000000001</v>
      </c>
      <c r="T4303">
        <v>-0.32030710000000001</v>
      </c>
      <c r="U4303">
        <v>-3.3601529999999999</v>
      </c>
      <c r="V4303">
        <v>-5.0713830000000001E-2</v>
      </c>
      <c r="W4303">
        <v>0.38848480000000002</v>
      </c>
      <c r="X4303">
        <v>0.9200585</v>
      </c>
      <c r="Y4303">
        <v>-2.52077E-2</v>
      </c>
      <c r="Z4303">
        <v>8.1142900000000004E-2</v>
      </c>
      <c r="AA4303">
        <v>0.99638369999999998</v>
      </c>
      <c r="AB4303">
        <v>20</v>
      </c>
      <c r="AC4303">
        <v>0.84569999999999301</v>
      </c>
      <c r="AD4303">
        <v>-1.111156410507</v>
      </c>
      <c r="AE4303">
        <v>-11.515999999999901</v>
      </c>
      <c r="AF4303">
        <v>-0.29476143486040202</v>
      </c>
      <c r="AG4303">
        <v>-1.111156410507</v>
      </c>
      <c r="AH4303">
        <v>11.437269059053699</v>
      </c>
      <c r="AI4303">
        <v>95.547168965944806</v>
      </c>
      <c r="AJ4303">
        <v>91.476300720836207</v>
      </c>
      <c r="AK4303">
        <v>11.494897842142</v>
      </c>
      <c r="AL4303">
        <v>67.139747670887601</v>
      </c>
      <c r="AM4303">
        <v>93.154963569638795</v>
      </c>
      <c r="AN4303">
        <v>0.99999998790327904</v>
      </c>
    </row>
    <row r="4304" spans="1:40" x14ac:dyDescent="0.25">
      <c r="A4304" t="str">
        <f>"20190304164214528"</f>
        <v>20190304164214528</v>
      </c>
      <c r="B4304" t="str">
        <f>"1551688934515485"</f>
        <v>1551688934515485</v>
      </c>
      <c r="C4304" t="s">
        <v>40</v>
      </c>
      <c r="D4304">
        <v>4.5337820000000004</v>
      </c>
      <c r="E4304">
        <v>0.51220359999999998</v>
      </c>
      <c r="F4304" t="s">
        <v>42</v>
      </c>
      <c r="G4304">
        <v>-191.01259999999999</v>
      </c>
      <c r="H4304" s="1">
        <v>-4.3696980000000002E-6</v>
      </c>
      <c r="I4304">
        <v>179.29949999999999</v>
      </c>
      <c r="J4304">
        <v>-191.86500000000001</v>
      </c>
      <c r="K4304">
        <v>1.111108</v>
      </c>
      <c r="L4304">
        <v>190.78540000000001</v>
      </c>
      <c r="M4304">
        <v>4.7680279999999998E-2</v>
      </c>
      <c r="N4304">
        <v>-1.3524609999999999E-2</v>
      </c>
      <c r="O4304">
        <v>-0.99877119999999997</v>
      </c>
      <c r="P4304">
        <v>9.4668039999999995E-2</v>
      </c>
      <c r="Q4304">
        <v>0.37619239999999998</v>
      </c>
      <c r="R4304">
        <v>-0.92169270000000003</v>
      </c>
      <c r="S4304">
        <v>0.24835209999999999</v>
      </c>
      <c r="T4304">
        <v>-0.32106600000000002</v>
      </c>
      <c r="U4304">
        <v>-3.3600769999999902</v>
      </c>
      <c r="V4304">
        <v>-5.0721710000000003E-2</v>
      </c>
      <c r="W4304">
        <v>0.38865569999999999</v>
      </c>
      <c r="X4304">
        <v>0.91998590000000002</v>
      </c>
      <c r="Y4304">
        <v>-2.5808999999999999E-2</v>
      </c>
      <c r="Z4304">
        <v>8.1365820000000005E-2</v>
      </c>
      <c r="AA4304">
        <v>0.99635010000000002</v>
      </c>
      <c r="AB4304">
        <v>20</v>
      </c>
      <c r="AC4304">
        <v>0.85240000000001703</v>
      </c>
      <c r="AD4304">
        <v>-1.1111123696979901</v>
      </c>
      <c r="AE4304">
        <v>-11.485900000000001</v>
      </c>
      <c r="AF4304">
        <v>-0.300928702375936</v>
      </c>
      <c r="AG4304">
        <v>-1.1111123696979901</v>
      </c>
      <c r="AH4304">
        <v>11.407314846050401</v>
      </c>
      <c r="AI4304">
        <v>95.561337285320207</v>
      </c>
      <c r="AJ4304">
        <v>91.511130954246994</v>
      </c>
      <c r="AK4304">
        <v>11.465250140268701</v>
      </c>
      <c r="AL4304">
        <v>67.129121055872702</v>
      </c>
      <c r="AM4304">
        <v>93.155701309546103</v>
      </c>
      <c r="AN4304">
        <v>1.0000000006033101</v>
      </c>
    </row>
    <row r="4305" spans="1:40" x14ac:dyDescent="0.25">
      <c r="A4305" t="str">
        <f>"20190304164214544"</f>
        <v>20190304164214544</v>
      </c>
      <c r="B4305" t="str">
        <f>"1551688934535982"</f>
        <v>1551688934535982</v>
      </c>
      <c r="C4305" t="s">
        <v>40</v>
      </c>
      <c r="D4305">
        <v>4.5350070000000002</v>
      </c>
      <c r="E4305">
        <v>0.51228779999999996</v>
      </c>
      <c r="F4305" t="s">
        <v>41</v>
      </c>
      <c r="G4305">
        <v>-191.8021</v>
      </c>
      <c r="H4305">
        <v>1.0298560000000001</v>
      </c>
      <c r="I4305">
        <v>189.9332</v>
      </c>
      <c r="J4305">
        <v>-191.8578</v>
      </c>
      <c r="K4305">
        <v>1.1110580000000001</v>
      </c>
      <c r="L4305">
        <v>190.63929999999999</v>
      </c>
      <c r="M4305">
        <v>4.7805159999999999E-2</v>
      </c>
      <c r="N4305">
        <v>-1.3522019999999999E-2</v>
      </c>
      <c r="O4305">
        <v>-0.99876549999999997</v>
      </c>
      <c r="P4305">
        <v>9.457045E-2</v>
      </c>
      <c r="Q4305">
        <v>0.3765927</v>
      </c>
      <c r="R4305">
        <v>-0.92153949999999996</v>
      </c>
      <c r="S4305">
        <v>0.24844359999999999</v>
      </c>
      <c r="T4305">
        <v>-0.3204572</v>
      </c>
      <c r="U4305">
        <v>-3.3601380000000001</v>
      </c>
      <c r="V4305">
        <v>-5.0473339999999998E-2</v>
      </c>
      <c r="W4305">
        <v>0.38905719999999999</v>
      </c>
      <c r="X4305">
        <v>0.91982980000000003</v>
      </c>
      <c r="Y4305">
        <v>-2.571087E-2</v>
      </c>
      <c r="Z4305">
        <v>8.1187570000000001E-2</v>
      </c>
      <c r="AA4305">
        <v>0.99636720000000001</v>
      </c>
      <c r="AB4305">
        <v>20</v>
      </c>
      <c r="AC4305">
        <v>5.5700000000001602E-2</v>
      </c>
      <c r="AD4305">
        <v>-8.1202000000000205E-2</v>
      </c>
      <c r="AE4305">
        <v>-0.70609999999999196</v>
      </c>
      <c r="AF4305">
        <v>-2.1594186911641E-2</v>
      </c>
      <c r="AG4305">
        <v>-8.1202000000000205E-2</v>
      </c>
      <c r="AH4305">
        <v>0.69877133020351401</v>
      </c>
      <c r="AI4305">
        <v>96.625295981696297</v>
      </c>
      <c r="AJ4305">
        <v>91.770052782932495</v>
      </c>
      <c r="AK4305">
        <v>0.70380497698351296</v>
      </c>
      <c r="AL4305">
        <v>67.104150732851707</v>
      </c>
      <c r="AM4305">
        <v>93.140811582860806</v>
      </c>
      <c r="AN4305">
        <v>0.99999996194531704</v>
      </c>
    </row>
    <row r="4306" spans="1:40" x14ac:dyDescent="0.25">
      <c r="A4306" t="str">
        <f>"20190304164214556"</f>
        <v>20190304164214556</v>
      </c>
      <c r="B4306" t="str">
        <f>"1551688934545742"</f>
        <v>1551688934545742</v>
      </c>
      <c r="C4306" t="s">
        <v>40</v>
      </c>
      <c r="D4306">
        <v>4.5165819999999997</v>
      </c>
      <c r="E4306">
        <v>0.51232869999999997</v>
      </c>
      <c r="F4306" t="s">
        <v>41</v>
      </c>
      <c r="G4306">
        <v>-191.79220000000001</v>
      </c>
      <c r="H4306">
        <v>1.0270330000000001</v>
      </c>
      <c r="I4306">
        <v>189.7559</v>
      </c>
      <c r="J4306">
        <v>-191.85239999999999</v>
      </c>
      <c r="K4306">
        <v>1.1110279999999999</v>
      </c>
      <c r="L4306">
        <v>190.52940000000001</v>
      </c>
      <c r="M4306">
        <v>4.7861149999999998E-2</v>
      </c>
      <c r="N4306">
        <v>-1.3520249999999999E-2</v>
      </c>
      <c r="O4306">
        <v>-0.99876259999999994</v>
      </c>
      <c r="P4306">
        <v>9.4330520000000001E-2</v>
      </c>
      <c r="Q4306">
        <v>0.37634089999999998</v>
      </c>
      <c r="R4306">
        <v>-0.92166669999999995</v>
      </c>
      <c r="S4306">
        <v>0.2496033</v>
      </c>
      <c r="T4306">
        <v>-0.31962410000000002</v>
      </c>
      <c r="U4306">
        <v>-3.3604280000000002</v>
      </c>
      <c r="V4306">
        <v>-5.0143050000000002E-2</v>
      </c>
      <c r="W4306">
        <v>0.38880989999999999</v>
      </c>
      <c r="X4306">
        <v>0.91995249999999995</v>
      </c>
      <c r="Y4306">
        <v>-2.599183E-2</v>
      </c>
      <c r="Z4306">
        <v>8.0935370000000006E-2</v>
      </c>
      <c r="AA4306">
        <v>0.99638040000000005</v>
      </c>
      <c r="AB4306">
        <v>20</v>
      </c>
      <c r="AC4306">
        <v>6.0199999999980401E-2</v>
      </c>
      <c r="AD4306">
        <v>-8.3995E-2</v>
      </c>
      <c r="AE4306">
        <v>-0.77350000000001196</v>
      </c>
      <c r="AF4306">
        <v>-2.2839319540723501E-2</v>
      </c>
      <c r="AG4306">
        <v>-8.3995E-2</v>
      </c>
      <c r="AH4306">
        <v>0.76651066164921899</v>
      </c>
      <c r="AI4306">
        <v>96.250824889709605</v>
      </c>
      <c r="AJ4306">
        <v>91.706707574618804</v>
      </c>
      <c r="AK4306">
        <v>0.77143722295725803</v>
      </c>
      <c r="AL4306">
        <v>67.119532645715907</v>
      </c>
      <c r="AM4306">
        <v>93.119883975769</v>
      </c>
      <c r="AN4306">
        <v>1.0000000330287799</v>
      </c>
    </row>
    <row r="4307" spans="1:40" x14ac:dyDescent="0.25">
      <c r="A4307" t="str">
        <f>"20190304164214569"</f>
        <v>20190304164214569</v>
      </c>
      <c r="B4307" t="str">
        <f>"1551688934555501"</f>
        <v>1551688934555501</v>
      </c>
      <c r="C4307" t="s">
        <v>40</v>
      </c>
      <c r="D4307">
        <v>4.5683980000000002</v>
      </c>
      <c r="E4307">
        <v>0.51242529999999997</v>
      </c>
      <c r="F4307" t="s">
        <v>42</v>
      </c>
      <c r="G4307">
        <v>-190.98910000000001</v>
      </c>
      <c r="H4307" s="1">
        <v>-4.2252200000000003E-6</v>
      </c>
      <c r="I4307">
        <v>178.88720000000001</v>
      </c>
      <c r="J4307">
        <v>-191.84729999999999</v>
      </c>
      <c r="K4307">
        <v>1.1109990000000001</v>
      </c>
      <c r="L4307">
        <v>190.42439999999999</v>
      </c>
      <c r="M4307">
        <v>4.7895359999999998E-2</v>
      </c>
      <c r="N4307">
        <v>-1.351863E-2</v>
      </c>
      <c r="O4307">
        <v>-0.99876100000000001</v>
      </c>
      <c r="P4307">
        <v>9.3713229999999995E-2</v>
      </c>
      <c r="Q4307">
        <v>0.37676100000000001</v>
      </c>
      <c r="R4307">
        <v>-0.92155819999999999</v>
      </c>
      <c r="S4307">
        <v>0.2491913</v>
      </c>
      <c r="T4307">
        <v>-0.320689</v>
      </c>
      <c r="U4307">
        <v>-3.3604129999999999</v>
      </c>
      <c r="V4307">
        <v>-4.946892E-2</v>
      </c>
      <c r="W4307">
        <v>0.38923029999999997</v>
      </c>
      <c r="X4307">
        <v>0.91981120000000005</v>
      </c>
      <c r="Y4307">
        <v>-2.5834599999999999E-2</v>
      </c>
      <c r="Z4307">
        <v>8.1249740000000001E-2</v>
      </c>
      <c r="AA4307">
        <v>0.99635890000000005</v>
      </c>
      <c r="AB4307">
        <v>20</v>
      </c>
      <c r="AC4307">
        <v>0.85819999999998198</v>
      </c>
      <c r="AD4307">
        <v>-1.1110032252199999</v>
      </c>
      <c r="AE4307">
        <v>-11.537199999999901</v>
      </c>
      <c r="AF4307">
        <v>-0.301802858532489</v>
      </c>
      <c r="AG4307">
        <v>-1.1110032252199999</v>
      </c>
      <c r="AH4307">
        <v>11.4593841122089</v>
      </c>
      <c r="AI4307">
        <v>95.535690842531594</v>
      </c>
      <c r="AJ4307">
        <v>91.508635497047706</v>
      </c>
      <c r="AK4307">
        <v>11.5170698253946</v>
      </c>
      <c r="AL4307">
        <v>67.0933856370428</v>
      </c>
      <c r="AM4307">
        <v>93.078492963861294</v>
      </c>
      <c r="AN4307">
        <v>1.00000002206474</v>
      </c>
    </row>
    <row r="4308" spans="1:40" x14ac:dyDescent="0.25">
      <c r="A4308" t="str">
        <f>"20190304164214579"</f>
        <v>20190304164214579</v>
      </c>
      <c r="B4308" t="str">
        <f>"1551688934575998"</f>
        <v>1551688934575998</v>
      </c>
      <c r="C4308" t="s">
        <v>40</v>
      </c>
      <c r="D4308">
        <v>4.524616</v>
      </c>
      <c r="E4308">
        <v>0.51258249999999905</v>
      </c>
      <c r="F4308" t="s">
        <v>41</v>
      </c>
      <c r="G4308">
        <v>-191.78460000000001</v>
      </c>
      <c r="H4308">
        <v>1.0301559999999901</v>
      </c>
      <c r="I4308">
        <v>189.57429999999999</v>
      </c>
      <c r="J4308">
        <v>-191.84200000000001</v>
      </c>
      <c r="K4308">
        <v>1.1109709999999999</v>
      </c>
      <c r="L4308">
        <v>190.31530000000001</v>
      </c>
      <c r="M4308">
        <v>4.7913119999999997E-2</v>
      </c>
      <c r="N4308">
        <v>-1.3517009999999999E-2</v>
      </c>
      <c r="O4308">
        <v>-0.99876030000000005</v>
      </c>
      <c r="P4308">
        <v>9.3030950000000001E-2</v>
      </c>
      <c r="Q4308">
        <v>0.37757439999999998</v>
      </c>
      <c r="R4308">
        <v>-0.92129450000000002</v>
      </c>
      <c r="S4308">
        <v>0.2478638</v>
      </c>
      <c r="T4308">
        <v>-0.31961699999999998</v>
      </c>
      <c r="U4308">
        <v>-3.3608250000000002</v>
      </c>
      <c r="V4308">
        <v>-4.8752030000000002E-2</v>
      </c>
      <c r="W4308">
        <v>0.39004230000000001</v>
      </c>
      <c r="X4308">
        <v>0.91950549999999998</v>
      </c>
      <c r="Y4308">
        <v>-2.5418690000000001E-2</v>
      </c>
      <c r="Z4308">
        <v>8.0927479999999996E-2</v>
      </c>
      <c r="AA4308">
        <v>0.99639580000000005</v>
      </c>
      <c r="AB4308">
        <v>20</v>
      </c>
      <c r="AC4308">
        <v>5.74000000000012E-2</v>
      </c>
      <c r="AD4308">
        <v>-8.0814999999999998E-2</v>
      </c>
      <c r="AE4308">
        <v>-0.74100000000001298</v>
      </c>
      <c r="AF4308">
        <v>-2.1572147589085398E-2</v>
      </c>
      <c r="AG4308">
        <v>-8.0814999999999998E-2</v>
      </c>
      <c r="AH4308">
        <v>0.73421818077885603</v>
      </c>
      <c r="AI4308">
        <v>96.278543007584204</v>
      </c>
      <c r="AJ4308">
        <v>91.682929640560602</v>
      </c>
      <c r="AK4308">
        <v>0.73896735974115801</v>
      </c>
      <c r="AL4308">
        <v>67.042870009214994</v>
      </c>
      <c r="AM4308">
        <v>93.034971039466498</v>
      </c>
      <c r="AN4308">
        <v>1.00000006037432</v>
      </c>
    </row>
    <row r="4309" spans="1:40" x14ac:dyDescent="0.25">
      <c r="A4309" t="str">
        <f>"20190304164214592"</f>
        <v>20190304164214592</v>
      </c>
      <c r="B4309" t="str">
        <f>"1551688934585757"</f>
        <v>1551688934585757</v>
      </c>
      <c r="C4309" t="s">
        <v>40</v>
      </c>
      <c r="D4309">
        <v>4.4802619999999997</v>
      </c>
      <c r="E4309">
        <v>0.51262619999999903</v>
      </c>
      <c r="F4309" t="s">
        <v>42</v>
      </c>
      <c r="G4309">
        <v>-190.9803</v>
      </c>
      <c r="H4309" s="1">
        <v>-4.1022000000000003E-6</v>
      </c>
      <c r="I4309">
        <v>178.54339999999999</v>
      </c>
      <c r="J4309">
        <v>-191.83699999999999</v>
      </c>
      <c r="K4309">
        <v>1.11094</v>
      </c>
      <c r="L4309">
        <v>190.21029999999999</v>
      </c>
      <c r="M4309">
        <v>4.7889050000000002E-2</v>
      </c>
      <c r="N4309">
        <v>-1.3515549999999999E-2</v>
      </c>
      <c r="O4309">
        <v>-0.99876129999999996</v>
      </c>
      <c r="P4309">
        <v>9.2513590000000007E-2</v>
      </c>
      <c r="Q4309">
        <v>0.3783184</v>
      </c>
      <c r="R4309">
        <v>-0.921041</v>
      </c>
      <c r="S4309">
        <v>0.24607850000000001</v>
      </c>
      <c r="T4309">
        <v>-0.3172413</v>
      </c>
      <c r="U4309">
        <v>-3.3614809999999999</v>
      </c>
      <c r="V4309">
        <v>-4.8236979999999999E-2</v>
      </c>
      <c r="W4309">
        <v>0.3907851</v>
      </c>
      <c r="X4309">
        <v>0.91921719999999896</v>
      </c>
      <c r="Y4309">
        <v>-2.4906870000000001E-2</v>
      </c>
      <c r="Z4309">
        <v>8.0217150000000001E-2</v>
      </c>
      <c r="AA4309">
        <v>0.99646619999999997</v>
      </c>
      <c r="AB4309">
        <v>20</v>
      </c>
      <c r="AC4309">
        <v>0.856700000000017</v>
      </c>
      <c r="AD4309">
        <v>-1.1109441021999999</v>
      </c>
      <c r="AE4309">
        <v>-11.666899999999901</v>
      </c>
      <c r="AF4309">
        <v>-0.29429502420342102</v>
      </c>
      <c r="AG4309">
        <v>-1.1109441021999999</v>
      </c>
      <c r="AH4309">
        <v>11.590016496436199</v>
      </c>
      <c r="AI4309">
        <v>95.473521832974001</v>
      </c>
      <c r="AJ4309">
        <v>91.454548427644994</v>
      </c>
      <c r="AK4309">
        <v>11.6468574623006</v>
      </c>
      <c r="AL4309">
        <v>66.996641309516306</v>
      </c>
      <c r="AM4309">
        <v>93.003906630248494</v>
      </c>
      <c r="AN4309">
        <v>1.00000003069868</v>
      </c>
    </row>
    <row r="4310" spans="1:40" x14ac:dyDescent="0.25">
      <c r="A4310" t="str">
        <f>"20190304164214604"</f>
        <v>20190304164214604</v>
      </c>
      <c r="B4310" t="str">
        <f>"1551688934595518"</f>
        <v>1551688934595518</v>
      </c>
      <c r="C4310" t="s">
        <v>40</v>
      </c>
      <c r="D4310">
        <v>4.4647110000000003</v>
      </c>
      <c r="E4310">
        <v>0.51265059999999996</v>
      </c>
      <c r="F4310" t="s">
        <v>42</v>
      </c>
      <c r="G4310">
        <v>-190.97069999999999</v>
      </c>
      <c r="H4310" s="1">
        <v>-4.0176530000000003E-6</v>
      </c>
      <c r="I4310">
        <v>178.35230000000001</v>
      </c>
      <c r="J4310">
        <v>-191.83179999999999</v>
      </c>
      <c r="K4310">
        <v>1.1109070000000001</v>
      </c>
      <c r="L4310">
        <v>190.1011</v>
      </c>
      <c r="M4310">
        <v>4.7844530000000003E-2</v>
      </c>
      <c r="N4310">
        <v>-1.351407E-2</v>
      </c>
      <c r="O4310">
        <v>-0.99876350000000003</v>
      </c>
      <c r="P4310">
        <v>9.1567369999999995E-2</v>
      </c>
      <c r="Q4310">
        <v>0.37892740000000003</v>
      </c>
      <c r="R4310">
        <v>-0.92088510000000001</v>
      </c>
      <c r="S4310">
        <v>0.2456055</v>
      </c>
      <c r="T4310">
        <v>-0.31496750000000001</v>
      </c>
      <c r="U4310">
        <v>-3.3619080000000001</v>
      </c>
      <c r="V4310">
        <v>-4.7304520000000003E-2</v>
      </c>
      <c r="W4310">
        <v>0.39139380000000001</v>
      </c>
      <c r="X4310">
        <v>0.91900660000000001</v>
      </c>
      <c r="Y4310">
        <v>-2.4806890000000002E-2</v>
      </c>
      <c r="Z4310">
        <v>7.9541500000000001E-2</v>
      </c>
      <c r="AA4310">
        <v>0.99652280000000004</v>
      </c>
      <c r="AB4310">
        <v>20</v>
      </c>
      <c r="AC4310">
        <v>0.86109999999999298</v>
      </c>
      <c r="AD4310">
        <v>-1.1109110176529999</v>
      </c>
      <c r="AE4310">
        <v>-11.7487999999999</v>
      </c>
      <c r="AF4310">
        <v>-0.29532034274534202</v>
      </c>
      <c r="AG4310">
        <v>-1.1109110176529999</v>
      </c>
      <c r="AH4310">
        <v>11.672740585423799</v>
      </c>
      <c r="AI4310">
        <v>95.4348160889637</v>
      </c>
      <c r="AJ4310">
        <v>91.449274081610895</v>
      </c>
      <c r="AK4310">
        <v>11.729203304938601</v>
      </c>
      <c r="AL4310">
        <v>66.958745909857996</v>
      </c>
      <c r="AM4310">
        <v>92.946615871152602</v>
      </c>
      <c r="AN4310">
        <v>0.99999997756721404</v>
      </c>
    </row>
    <row r="4311" spans="1:40" x14ac:dyDescent="0.25">
      <c r="A4311" t="str">
        <f>"20190304164214616"</f>
        <v>20190304164214616</v>
      </c>
      <c r="B4311" t="str">
        <f>"1551688934605277"</f>
        <v>1551688934605277</v>
      </c>
      <c r="C4311" t="s">
        <v>40</v>
      </c>
      <c r="D4311">
        <v>4.4755159999999998</v>
      </c>
      <c r="E4311">
        <v>0.51266250000000002</v>
      </c>
      <c r="F4311" t="s">
        <v>41</v>
      </c>
      <c r="G4311">
        <v>-191.76750000000001</v>
      </c>
      <c r="H4311">
        <v>1.0286900000000001</v>
      </c>
      <c r="I4311">
        <v>189.21780000000001</v>
      </c>
      <c r="J4311">
        <v>-191.82689999999999</v>
      </c>
      <c r="K4311">
        <v>1.1108659999999999</v>
      </c>
      <c r="L4311">
        <v>189.99799999999999</v>
      </c>
      <c r="M4311">
        <v>4.7751259999999997E-2</v>
      </c>
      <c r="N4311">
        <v>-1.351277E-2</v>
      </c>
      <c r="O4311">
        <v>-0.99876790000000004</v>
      </c>
      <c r="P4311">
        <v>9.0729480000000001E-2</v>
      </c>
      <c r="Q4311">
        <v>0.3797393</v>
      </c>
      <c r="R4311">
        <v>-0.92063340000000005</v>
      </c>
      <c r="S4311">
        <v>0.24487300000000001</v>
      </c>
      <c r="T4311">
        <v>-0.31299199999999999</v>
      </c>
      <c r="U4311">
        <v>-3.3621979999999998</v>
      </c>
      <c r="V4311">
        <v>-4.6525839999999999E-2</v>
      </c>
      <c r="W4311">
        <v>0.39220539999999998</v>
      </c>
      <c r="X4311">
        <v>0.91870030000000003</v>
      </c>
      <c r="Y4311">
        <v>-2.4681640000000001E-2</v>
      </c>
      <c r="Z4311">
        <v>7.8957410000000006E-2</v>
      </c>
      <c r="AA4311">
        <v>0.99657240000000002</v>
      </c>
      <c r="AB4311">
        <v>20</v>
      </c>
      <c r="AC4311">
        <v>5.93999999999823E-2</v>
      </c>
      <c r="AD4311">
        <v>-8.2175999999999999E-2</v>
      </c>
      <c r="AE4311">
        <v>-0.78019999999997902</v>
      </c>
      <c r="AF4311">
        <v>-2.1832486313257501E-2</v>
      </c>
      <c r="AG4311">
        <v>-8.2175999999999999E-2</v>
      </c>
      <c r="AH4311">
        <v>0.77361370243804195</v>
      </c>
      <c r="AI4311">
        <v>96.061029141970494</v>
      </c>
      <c r="AJ4311">
        <v>91.616539858906506</v>
      </c>
      <c r="AK4311">
        <v>0.77827226150911599</v>
      </c>
      <c r="AL4311">
        <v>66.908204034109104</v>
      </c>
      <c r="AM4311">
        <v>92.8991596201558</v>
      </c>
      <c r="AN4311">
        <v>0.99999998539847701</v>
      </c>
    </row>
    <row r="4312" spans="1:40" x14ac:dyDescent="0.25">
      <c r="A4312" t="str">
        <f>"20190304164214627"</f>
        <v>20190304164214627</v>
      </c>
      <c r="B4312" t="str">
        <f>"1551688934615038"</f>
        <v>1551688934615038</v>
      </c>
      <c r="C4312" t="s">
        <v>40</v>
      </c>
      <c r="D4312">
        <v>4.4458840000000004</v>
      </c>
      <c r="E4312">
        <v>0.51271089999999997</v>
      </c>
      <c r="F4312" t="s">
        <v>42</v>
      </c>
      <c r="G4312">
        <v>-190.95259999999999</v>
      </c>
      <c r="H4312" s="1">
        <v>-3.8444239999999998E-6</v>
      </c>
      <c r="I4312">
        <v>177.9597</v>
      </c>
      <c r="J4312">
        <v>-191.8219</v>
      </c>
      <c r="K4312">
        <v>1.110819</v>
      </c>
      <c r="L4312">
        <v>189.89019999999999</v>
      </c>
      <c r="M4312">
        <v>4.7619710000000003E-2</v>
      </c>
      <c r="N4312">
        <v>-1.3511540000000001E-2</v>
      </c>
      <c r="O4312">
        <v>-0.9987743</v>
      </c>
      <c r="P4312">
        <v>8.9540400000000006E-2</v>
      </c>
      <c r="Q4312">
        <v>0.38059539999999997</v>
      </c>
      <c r="R4312">
        <v>-0.9203964</v>
      </c>
      <c r="S4312">
        <v>0.24420169999999999</v>
      </c>
      <c r="T4312">
        <v>-0.31029010000000001</v>
      </c>
      <c r="U4312">
        <v>-3.3625639999999999</v>
      </c>
      <c r="V4312">
        <v>-4.542616E-2</v>
      </c>
      <c r="W4312">
        <v>0.39306140000000001</v>
      </c>
      <c r="X4312">
        <v>0.91838940000000002</v>
      </c>
      <c r="Y4312">
        <v>-2.461228E-2</v>
      </c>
      <c r="Z4312">
        <v>7.8158430000000001E-2</v>
      </c>
      <c r="AA4312">
        <v>0.99663710000000005</v>
      </c>
      <c r="AB4312">
        <v>20</v>
      </c>
      <c r="AC4312">
        <v>0.86930000000000895</v>
      </c>
      <c r="AD4312">
        <v>-1.110822844424</v>
      </c>
      <c r="AE4312">
        <v>-11.930499999999901</v>
      </c>
      <c r="AF4312">
        <v>-0.29756888050730301</v>
      </c>
      <c r="AG4312">
        <v>-1.110822844424</v>
      </c>
      <c r="AH4312">
        <v>11.856123697423399</v>
      </c>
      <c r="AI4312">
        <v>95.350850297929099</v>
      </c>
      <c r="AJ4312">
        <v>91.437726426660504</v>
      </c>
      <c r="AK4312">
        <v>11.9117649304771</v>
      </c>
      <c r="AL4312">
        <v>66.854875381750006</v>
      </c>
      <c r="AM4312">
        <v>92.831704906177293</v>
      </c>
      <c r="AN4312">
        <v>0.99999994510733103</v>
      </c>
    </row>
    <row r="4313" spans="1:40" x14ac:dyDescent="0.25">
      <c r="A4313" t="str">
        <f>"20190304164214641"</f>
        <v>20190304164214641</v>
      </c>
      <c r="B4313" t="str">
        <f>"1551688934635258"</f>
        <v>1551688934635258</v>
      </c>
      <c r="C4313" t="s">
        <v>40</v>
      </c>
      <c r="D4313">
        <v>4.4203109999999999</v>
      </c>
      <c r="E4313">
        <v>0.51289700000000005</v>
      </c>
      <c r="F4313" t="s">
        <v>41</v>
      </c>
      <c r="G4313">
        <v>-191.76</v>
      </c>
      <c r="H4313">
        <v>1.0320499999999999</v>
      </c>
      <c r="I4313">
        <v>189.029</v>
      </c>
      <c r="J4313">
        <v>-191.81620000000001</v>
      </c>
      <c r="K4313">
        <v>1.110762</v>
      </c>
      <c r="L4313">
        <v>189.76849999999999</v>
      </c>
      <c r="M4313">
        <v>4.7430890000000003E-2</v>
      </c>
      <c r="N4313">
        <v>-1.351027E-2</v>
      </c>
      <c r="O4313">
        <v>-0.99878310000000003</v>
      </c>
      <c r="P4313">
        <v>8.8428389999999996E-2</v>
      </c>
      <c r="Q4313">
        <v>0.38112459999999998</v>
      </c>
      <c r="R4313">
        <v>-0.92028500000000002</v>
      </c>
      <c r="S4313">
        <v>0.2415619</v>
      </c>
      <c r="T4313">
        <v>-0.30761349999999998</v>
      </c>
      <c r="U4313">
        <v>-3.3631739999999999</v>
      </c>
      <c r="V4313">
        <v>-4.44412E-2</v>
      </c>
      <c r="W4313">
        <v>0.39359280000000002</v>
      </c>
      <c r="X4313">
        <v>0.91821010000000003</v>
      </c>
      <c r="Y4313">
        <v>-2.401499E-2</v>
      </c>
      <c r="Z4313">
        <v>7.7362979999999998E-2</v>
      </c>
      <c r="AA4313">
        <v>0.99671370000000004</v>
      </c>
      <c r="AB4313">
        <v>20</v>
      </c>
      <c r="AC4313">
        <v>5.6200000000018201E-2</v>
      </c>
      <c r="AD4313">
        <v>-7.8712000000000101E-2</v>
      </c>
      <c r="AE4313">
        <v>-0.73949999999996396</v>
      </c>
      <c r="AF4313">
        <v>-2.0823824166089799E-2</v>
      </c>
      <c r="AG4313">
        <v>-7.8712000000000101E-2</v>
      </c>
      <c r="AH4313">
        <v>0.733075825781345</v>
      </c>
      <c r="AI4313">
        <v>96.126044988351097</v>
      </c>
      <c r="AJ4313">
        <v>91.627112012212095</v>
      </c>
      <c r="AK4313">
        <v>0.73758347116912903</v>
      </c>
      <c r="AL4313">
        <v>66.821761766377506</v>
      </c>
      <c r="AM4313">
        <v>92.770942859336401</v>
      </c>
      <c r="AN4313">
        <v>1.0000000501056401</v>
      </c>
    </row>
    <row r="4314" spans="1:40" x14ac:dyDescent="0.25">
      <c r="A4314" t="str">
        <f>"20190304164214655"</f>
        <v>20190304164214655</v>
      </c>
      <c r="B4314" t="str">
        <f>"1551688934645018"</f>
        <v>1551688934645018</v>
      </c>
      <c r="C4314" t="s">
        <v>40</v>
      </c>
      <c r="D4314">
        <v>4.4179309999999896</v>
      </c>
      <c r="E4314">
        <v>0.51296589999999997</v>
      </c>
      <c r="F4314" t="s">
        <v>42</v>
      </c>
      <c r="G4314">
        <v>-190.95140000000001</v>
      </c>
      <c r="H4314" s="1">
        <v>-3.6694660000000001E-6</v>
      </c>
      <c r="I4314">
        <v>177.55260000000001</v>
      </c>
      <c r="J4314">
        <v>-191.8107</v>
      </c>
      <c r="K4314">
        <v>1.1106879999999999</v>
      </c>
      <c r="L4314">
        <v>189.64580000000001</v>
      </c>
      <c r="M4314">
        <v>4.7156730000000001E-2</v>
      </c>
      <c r="N4314">
        <v>-1.3509210000000001E-2</v>
      </c>
      <c r="O4314">
        <v>-0.99879629999999997</v>
      </c>
      <c r="P4314">
        <v>8.6163799999999999E-2</v>
      </c>
      <c r="Q4314">
        <v>0.38188450000000002</v>
      </c>
      <c r="R4314">
        <v>-0.92018500000000003</v>
      </c>
      <c r="S4314">
        <v>0.2381287</v>
      </c>
      <c r="T4314">
        <v>-0.30584929999999999</v>
      </c>
      <c r="U4314">
        <v>-3.363632</v>
      </c>
      <c r="V4314">
        <v>-4.2376110000000002E-2</v>
      </c>
      <c r="W4314">
        <v>0.39435320000000001</v>
      </c>
      <c r="X4314">
        <v>0.91798139999999995</v>
      </c>
      <c r="Y4314">
        <v>-2.3271E-2</v>
      </c>
      <c r="Z4314">
        <v>7.6840110000000003E-2</v>
      </c>
      <c r="AA4314">
        <v>0.99677179999999999</v>
      </c>
      <c r="AB4314">
        <v>20</v>
      </c>
      <c r="AC4314">
        <v>0.85929999999998996</v>
      </c>
      <c r="AD4314">
        <v>-1.1106916694659901</v>
      </c>
      <c r="AE4314">
        <v>-12.0931999999999</v>
      </c>
      <c r="AF4314">
        <v>-0.28561893175018799</v>
      </c>
      <c r="AG4314">
        <v>-1.1106916694659901</v>
      </c>
      <c r="AH4314">
        <v>12.019390596964699</v>
      </c>
      <c r="AI4314">
        <v>95.278131005505998</v>
      </c>
      <c r="AJ4314">
        <v>91.361273678403194</v>
      </c>
      <c r="AK4314">
        <v>12.0739788173245</v>
      </c>
      <c r="AL4314">
        <v>66.774359481893697</v>
      </c>
      <c r="AM4314">
        <v>92.643027215115893</v>
      </c>
      <c r="AN4314">
        <v>1.00000001589746</v>
      </c>
    </row>
    <row r="4315" spans="1:40" x14ac:dyDescent="0.25">
      <c r="A4315" t="str">
        <f>"20190304164214667"</f>
        <v>20190304164214667</v>
      </c>
      <c r="B4315" t="str">
        <f>"1551688934655754"</f>
        <v>1551688934655754</v>
      </c>
      <c r="C4315" t="s">
        <v>40</v>
      </c>
      <c r="D4315">
        <v>4.3780270000000003</v>
      </c>
      <c r="E4315">
        <v>0.51300519999999905</v>
      </c>
      <c r="F4315" t="s">
        <v>42</v>
      </c>
      <c r="G4315">
        <v>-190.9614</v>
      </c>
      <c r="H4315" s="1">
        <v>-3.5761509999999999E-6</v>
      </c>
      <c r="I4315">
        <v>177.3289</v>
      </c>
      <c r="J4315">
        <v>-191.80600000000001</v>
      </c>
      <c r="K4315">
        <v>1.1106320000000001</v>
      </c>
      <c r="L4315">
        <v>189.54150000000001</v>
      </c>
      <c r="M4315">
        <v>4.6887669999999999E-2</v>
      </c>
      <c r="N4315">
        <v>-1.350845E-2</v>
      </c>
      <c r="O4315">
        <v>-0.99880869999999999</v>
      </c>
      <c r="P4315">
        <v>8.4867970000000001E-2</v>
      </c>
      <c r="Q4315">
        <v>0.3819051</v>
      </c>
      <c r="R4315">
        <v>-0.92029649999999996</v>
      </c>
      <c r="S4315">
        <v>0.23196410000000001</v>
      </c>
      <c r="T4315">
        <v>-0.30338910000000002</v>
      </c>
      <c r="U4315">
        <v>-3.364395</v>
      </c>
      <c r="V4315">
        <v>-4.1272089999999997E-2</v>
      </c>
      <c r="W4315">
        <v>0.39437860000000002</v>
      </c>
      <c r="X4315">
        <v>0.91802079999999997</v>
      </c>
      <c r="Y4315">
        <v>-2.1711919999999999E-2</v>
      </c>
      <c r="Z4315">
        <v>7.6107820000000007E-2</v>
      </c>
      <c r="AA4315">
        <v>0.99686319999999995</v>
      </c>
      <c r="AB4315">
        <v>20</v>
      </c>
      <c r="AC4315">
        <v>0.84459999999998503</v>
      </c>
      <c r="AD4315">
        <v>-1.1106355761510001</v>
      </c>
      <c r="AE4315">
        <v>-12.2126</v>
      </c>
      <c r="AF4315">
        <v>-0.26878584299106001</v>
      </c>
      <c r="AG4315">
        <v>-1.1106355761510001</v>
      </c>
      <c r="AH4315">
        <v>12.138855287523199</v>
      </c>
      <c r="AI4315">
        <v>95.226406039340304</v>
      </c>
      <c r="AJ4315">
        <v>91.268470368645794</v>
      </c>
      <c r="AK4315">
        <v>12.192520859274101</v>
      </c>
      <c r="AL4315">
        <v>66.772776101405995</v>
      </c>
      <c r="AM4315">
        <v>92.574152257517795</v>
      </c>
      <c r="AN4315">
        <v>1.00000002739178</v>
      </c>
    </row>
    <row r="4316" spans="1:40" x14ac:dyDescent="0.25">
      <c r="A4316" t="str">
        <f>"20190304164214679"</f>
        <v>20190304164214679</v>
      </c>
      <c r="B4316" t="str">
        <f>"1551688934675274"</f>
        <v>1551688934675274</v>
      </c>
      <c r="C4316" t="s">
        <v>40</v>
      </c>
      <c r="D4316">
        <v>4.3811970000000002</v>
      </c>
      <c r="E4316">
        <v>0.51294600000000001</v>
      </c>
      <c r="F4316" t="s">
        <v>41</v>
      </c>
      <c r="G4316">
        <v>-191.74780000000001</v>
      </c>
      <c r="H4316">
        <v>1.0328520000000001</v>
      </c>
      <c r="I4316">
        <v>188.67910000000001</v>
      </c>
      <c r="J4316">
        <v>-191.80099999999999</v>
      </c>
      <c r="K4316">
        <v>1.110565</v>
      </c>
      <c r="L4316">
        <v>189.42760000000001</v>
      </c>
      <c r="M4316">
        <v>4.6543580000000001E-2</v>
      </c>
      <c r="N4316">
        <v>-1.350782E-2</v>
      </c>
      <c r="O4316">
        <v>-0.99882510000000002</v>
      </c>
      <c r="P4316">
        <v>8.3115969999999997E-2</v>
      </c>
      <c r="Q4316">
        <v>0.38200830000000002</v>
      </c>
      <c r="R4316">
        <v>-0.92041390000000001</v>
      </c>
      <c r="S4316">
        <v>0.22787479999999999</v>
      </c>
      <c r="T4316">
        <v>-0.30353190000000002</v>
      </c>
      <c r="U4316">
        <v>-3.3647610000000001</v>
      </c>
      <c r="V4316">
        <v>-3.9774249999999997E-2</v>
      </c>
      <c r="W4316">
        <v>0.39448640000000001</v>
      </c>
      <c r="X4316">
        <v>0.91804059999999998</v>
      </c>
      <c r="Y4316">
        <v>-2.084339E-2</v>
      </c>
      <c r="Z4316">
        <v>7.6146800000000001E-2</v>
      </c>
      <c r="AA4316">
        <v>0.99687870000000001</v>
      </c>
      <c r="AB4316">
        <v>20</v>
      </c>
      <c r="AC4316">
        <v>5.3199999999975399E-2</v>
      </c>
      <c r="AD4316">
        <v>-7.7712999999999893E-2</v>
      </c>
      <c r="AE4316">
        <v>-0.74850000000000705</v>
      </c>
      <c r="AF4316">
        <v>-1.8107085679152299E-2</v>
      </c>
      <c r="AG4316">
        <v>-7.7712999999999893E-2</v>
      </c>
      <c r="AH4316">
        <v>0.74220454285683801</v>
      </c>
      <c r="AI4316">
        <v>95.9756454787846</v>
      </c>
      <c r="AJ4316">
        <v>91.397530972212607</v>
      </c>
      <c r="AK4316">
        <v>0.74648158742069504</v>
      </c>
      <c r="AL4316">
        <v>66.766054666804294</v>
      </c>
      <c r="AM4316">
        <v>92.480797014854502</v>
      </c>
      <c r="AN4316">
        <v>1.0000000269981899</v>
      </c>
    </row>
    <row r="4317" spans="1:40" x14ac:dyDescent="0.25">
      <c r="A4317" t="str">
        <f>"20190304164214693"</f>
        <v>20190304164214693</v>
      </c>
      <c r="B4317" t="str">
        <f>"1551688934686010"</f>
        <v>1551688934686010</v>
      </c>
      <c r="C4317" t="s">
        <v>40</v>
      </c>
      <c r="D4317">
        <v>4.3434599999999897</v>
      </c>
      <c r="E4317">
        <v>0.51296589999999997</v>
      </c>
      <c r="F4317" t="s">
        <v>42</v>
      </c>
      <c r="G4317">
        <v>-190.98750000000001</v>
      </c>
      <c r="H4317" s="1">
        <v>-3.484653E-6</v>
      </c>
      <c r="I4317">
        <v>177.0994</v>
      </c>
      <c r="J4317">
        <v>-191.79570000000001</v>
      </c>
      <c r="K4317">
        <v>1.110498</v>
      </c>
      <c r="L4317">
        <v>189.3038</v>
      </c>
      <c r="M4317">
        <v>4.6099370000000001E-2</v>
      </c>
      <c r="N4317">
        <v>-1.350725E-2</v>
      </c>
      <c r="O4317">
        <v>-0.9988456</v>
      </c>
      <c r="P4317">
        <v>8.1316869999999999E-2</v>
      </c>
      <c r="Q4317">
        <v>0.38164379999999998</v>
      </c>
      <c r="R4317">
        <v>-0.92072600000000004</v>
      </c>
      <c r="S4317">
        <v>0.22204589999999999</v>
      </c>
      <c r="T4317">
        <v>-0.30314829999999998</v>
      </c>
      <c r="U4317">
        <v>-3.365173</v>
      </c>
      <c r="V4317">
        <v>-3.8309280000000001E-2</v>
      </c>
      <c r="W4317">
        <v>0.39412920000000001</v>
      </c>
      <c r="X4317">
        <v>0.91825630000000003</v>
      </c>
      <c r="Y4317">
        <v>-1.956225E-2</v>
      </c>
      <c r="Z4317">
        <v>7.6032359999999993E-2</v>
      </c>
      <c r="AA4317">
        <v>0.99691339999999995</v>
      </c>
      <c r="AB4317">
        <v>20</v>
      </c>
      <c r="AC4317">
        <v>0.80819999999999903</v>
      </c>
      <c r="AD4317">
        <v>-1.1105014846529999</v>
      </c>
      <c r="AE4317">
        <v>-12.2043999999999</v>
      </c>
      <c r="AF4317">
        <v>-0.24267371723268</v>
      </c>
      <c r="AG4317">
        <v>-1.1105014846529999</v>
      </c>
      <c r="AH4317">
        <v>12.1287021034211</v>
      </c>
      <c r="AI4317">
        <v>95.230362746654293</v>
      </c>
      <c r="AJ4317">
        <v>91.146233513584093</v>
      </c>
      <c r="AK4317">
        <v>12.181852026435999</v>
      </c>
      <c r="AL4317">
        <v>66.788325174849106</v>
      </c>
      <c r="AM4317">
        <v>92.388971279396301</v>
      </c>
      <c r="AN4317">
        <v>1.0000000298582199</v>
      </c>
    </row>
    <row r="4318" spans="1:40" x14ac:dyDescent="0.25">
      <c r="A4318" t="str">
        <f>"20190304164214724"</f>
        <v>20190304164214724</v>
      </c>
      <c r="B4318" t="str">
        <f>"1551688934715289"</f>
        <v>1551688934715289</v>
      </c>
      <c r="C4318" t="s">
        <v>40</v>
      </c>
      <c r="D4318">
        <v>4.3532400000000004</v>
      </c>
      <c r="E4318">
        <v>0.51302320000000001</v>
      </c>
      <c r="F4318" t="s">
        <v>42</v>
      </c>
      <c r="G4318">
        <v>-191.01089999999999</v>
      </c>
      <c r="H4318" s="1">
        <v>-3.4681299999999999E-6</v>
      </c>
      <c r="I4318">
        <v>177.04640000000001</v>
      </c>
      <c r="J4318">
        <v>-191.78460000000001</v>
      </c>
      <c r="K4318">
        <v>1.1103719999999999</v>
      </c>
      <c r="L4318">
        <v>189.03569999999999</v>
      </c>
      <c r="M4318">
        <v>4.4973199999999998E-2</v>
      </c>
      <c r="N4318">
        <v>-1.3503589999999999E-2</v>
      </c>
      <c r="O4318">
        <v>-0.99889689999999998</v>
      </c>
      <c r="P4318">
        <v>7.5549350000000001E-2</v>
      </c>
      <c r="Q4318">
        <v>0.38045279999999998</v>
      </c>
      <c r="R4318">
        <v>-0.92170940000000001</v>
      </c>
      <c r="S4318">
        <v>0.2154846</v>
      </c>
      <c r="T4318">
        <v>-0.30492419999999998</v>
      </c>
      <c r="U4318">
        <v>-3.3656769999999998</v>
      </c>
      <c r="V4318">
        <v>-3.3426619999999997E-2</v>
      </c>
      <c r="W4318">
        <v>0.39294869999999998</v>
      </c>
      <c r="X4318">
        <v>0.91895260000000001</v>
      </c>
      <c r="Y4318">
        <v>-1.8742330000000001E-2</v>
      </c>
      <c r="Z4318">
        <v>7.655534E-2</v>
      </c>
      <c r="AA4318">
        <v>0.99688920000000003</v>
      </c>
      <c r="AB4318">
        <v>20</v>
      </c>
      <c r="AC4318">
        <v>0.77370000000001904</v>
      </c>
      <c r="AD4318">
        <v>-1.11037546813</v>
      </c>
      <c r="AE4318">
        <v>-11.989299999999901</v>
      </c>
      <c r="AF4318">
        <v>-0.23169160245521001</v>
      </c>
      <c r="AG4318">
        <v>-1.11037546813</v>
      </c>
      <c r="AH4318">
        <v>11.910231570241001</v>
      </c>
      <c r="AI4318">
        <v>95.325214135725403</v>
      </c>
      <c r="AJ4318">
        <v>91.1144432201272</v>
      </c>
      <c r="AK4318">
        <v>11.9641226479688</v>
      </c>
      <c r="AL4318">
        <v>66.861897784104798</v>
      </c>
      <c r="AM4318">
        <v>92.083198022036797</v>
      </c>
      <c r="AN4318">
        <v>0.999999950401536</v>
      </c>
    </row>
    <row r="4319" spans="1:40" x14ac:dyDescent="0.25">
      <c r="A4319" t="str">
        <f>"20190304164214736"</f>
        <v>20190304164214736</v>
      </c>
      <c r="B4319" t="str">
        <f>"1551688934725050"</f>
        <v>1551688934725050</v>
      </c>
      <c r="C4319" t="s">
        <v>40</v>
      </c>
      <c r="D4319">
        <v>4.2707660000000001</v>
      </c>
      <c r="E4319">
        <v>0.51294799999999996</v>
      </c>
      <c r="F4319" t="s">
        <v>41</v>
      </c>
      <c r="G4319">
        <v>-191.7336</v>
      </c>
      <c r="H4319">
        <v>1.0287710000000001</v>
      </c>
      <c r="I4319">
        <v>188.14949999999999</v>
      </c>
      <c r="J4319">
        <v>-191.7799</v>
      </c>
      <c r="K4319">
        <v>1.1103350000000001</v>
      </c>
      <c r="L4319">
        <v>188.91720000000001</v>
      </c>
      <c r="M4319">
        <v>4.4392250000000001E-2</v>
      </c>
      <c r="N4319">
        <v>-1.3497550000000001E-2</v>
      </c>
      <c r="O4319">
        <v>-0.99892309999999995</v>
      </c>
      <c r="P4319">
        <v>7.3319410000000002E-2</v>
      </c>
      <c r="Q4319">
        <v>0.38033339999999999</v>
      </c>
      <c r="R4319">
        <v>-0.92193890000000001</v>
      </c>
      <c r="S4319">
        <v>0.19441220000000001</v>
      </c>
      <c r="T4319">
        <v>-0.31006810000000001</v>
      </c>
      <c r="U4319">
        <v>-3.3668670000000001</v>
      </c>
      <c r="V4319">
        <v>-3.169052E-2</v>
      </c>
      <c r="W4319">
        <v>0.39282509999999998</v>
      </c>
      <c r="X4319">
        <v>0.91906699999999997</v>
      </c>
      <c r="Y4319">
        <v>-1.308196E-2</v>
      </c>
      <c r="Z4319">
        <v>7.8059320000000001E-2</v>
      </c>
      <c r="AA4319">
        <v>0.9968629</v>
      </c>
      <c r="AB4319">
        <v>20</v>
      </c>
      <c r="AC4319">
        <v>4.6300000000002201E-2</v>
      </c>
      <c r="AD4319">
        <v>-8.1564000000000095E-2</v>
      </c>
      <c r="AE4319">
        <v>-0.76770000000001903</v>
      </c>
      <c r="AF4319">
        <v>-1.2035948199348201E-2</v>
      </c>
      <c r="AG4319">
        <v>-8.1564000000000095E-2</v>
      </c>
      <c r="AH4319">
        <v>0.76044585135271403</v>
      </c>
      <c r="AI4319">
        <v>96.121272329381597</v>
      </c>
      <c r="AJ4319">
        <v>90.906772595540204</v>
      </c>
      <c r="AK4319">
        <v>0.76490224407084295</v>
      </c>
      <c r="AL4319">
        <v>66.869600005193902</v>
      </c>
      <c r="AM4319">
        <v>91.974844002560303</v>
      </c>
      <c r="AN4319">
        <v>0.99999999936843997</v>
      </c>
    </row>
    <row r="4320" spans="1:40" x14ac:dyDescent="0.25">
      <c r="A4320" t="str">
        <f>"20190304164214750"</f>
        <v>20190304164214750</v>
      </c>
      <c r="B4320" t="str">
        <f>"1551688934745547"</f>
        <v>1551688934745547</v>
      </c>
      <c r="C4320" t="s">
        <v>40</v>
      </c>
      <c r="D4320">
        <v>4.3812329999999999</v>
      </c>
      <c r="E4320">
        <v>0.51297649999999995</v>
      </c>
      <c r="F4320" t="s">
        <v>42</v>
      </c>
      <c r="G4320">
        <v>-191.11070000000001</v>
      </c>
      <c r="H4320" s="1">
        <v>-3.4151239999999999E-6</v>
      </c>
      <c r="I4320">
        <v>176.86089999999999</v>
      </c>
      <c r="J4320">
        <v>-191.7756</v>
      </c>
      <c r="K4320">
        <v>1.1103080000000001</v>
      </c>
      <c r="L4320">
        <v>188.80350000000001</v>
      </c>
      <c r="M4320">
        <v>4.3807659999999998E-2</v>
      </c>
      <c r="N4320">
        <v>-1.3484070000000001E-2</v>
      </c>
      <c r="O4320">
        <v>-0.99894919999999998</v>
      </c>
      <c r="P4320">
        <v>7.1253739999999996E-2</v>
      </c>
      <c r="Q4320">
        <v>0.38024150000000001</v>
      </c>
      <c r="R4320">
        <v>-0.92213860000000003</v>
      </c>
      <c r="S4320">
        <v>0.18690490000000001</v>
      </c>
      <c r="T4320">
        <v>-0.31009880000000001</v>
      </c>
      <c r="U4320">
        <v>-3.3670960000000001</v>
      </c>
      <c r="V4320">
        <v>-3.0135260000000001E-2</v>
      </c>
      <c r="W4320">
        <v>0.39272200000000002</v>
      </c>
      <c r="X4320">
        <v>0.91916330000000002</v>
      </c>
      <c r="Y4320">
        <v>-1.144877E-2</v>
      </c>
      <c r="Z4320">
        <v>7.8084849999999997E-2</v>
      </c>
      <c r="AA4320">
        <v>0.99688089999999996</v>
      </c>
      <c r="AB4320">
        <v>20</v>
      </c>
      <c r="AC4320">
        <v>0.66489999999998795</v>
      </c>
      <c r="AD4320">
        <v>-1.1103114151239999</v>
      </c>
      <c r="AE4320">
        <v>-11.942600000000001</v>
      </c>
      <c r="AF4320">
        <v>-0.13983184642568799</v>
      </c>
      <c r="AG4320">
        <v>-1.1103114151239999</v>
      </c>
      <c r="AH4320">
        <v>11.8580840354595</v>
      </c>
      <c r="AI4320">
        <v>95.348826493566804</v>
      </c>
      <c r="AJ4320">
        <v>90.6756068933731</v>
      </c>
      <c r="AK4320">
        <v>11.910772492825499</v>
      </c>
      <c r="AL4320">
        <v>66.876021905342995</v>
      </c>
      <c r="AM4320">
        <v>91.877800133162197</v>
      </c>
      <c r="AN4320">
        <v>0.99999993762307604</v>
      </c>
    </row>
    <row r="4321" spans="1:40" x14ac:dyDescent="0.25">
      <c r="A4321" t="str">
        <f>"20190304164214763"</f>
        <v>20190304164214763</v>
      </c>
      <c r="B4321" t="str">
        <f>"1551688934755306"</f>
        <v>1551688934755306</v>
      </c>
      <c r="C4321" t="s">
        <v>40</v>
      </c>
      <c r="D4321">
        <v>4.4743909999999998</v>
      </c>
      <c r="E4321">
        <v>0.53340730000000003</v>
      </c>
      <c r="F4321" t="s">
        <v>41</v>
      </c>
      <c r="G4321">
        <v>-191.73089999999999</v>
      </c>
      <c r="H4321">
        <v>1.0332410000000001</v>
      </c>
      <c r="I4321">
        <v>187.9683</v>
      </c>
      <c r="J4321">
        <v>-191.77109999999999</v>
      </c>
      <c r="K4321">
        <v>1.1102860000000001</v>
      </c>
      <c r="L4321">
        <v>188.6883</v>
      </c>
      <c r="M4321">
        <v>4.3196909999999998E-2</v>
      </c>
      <c r="N4321">
        <v>-1.3464E-2</v>
      </c>
      <c r="O4321">
        <v>-0.99897590000000003</v>
      </c>
      <c r="P4321">
        <v>6.8900530000000001E-2</v>
      </c>
      <c r="Q4321">
        <v>0.38034590000000001</v>
      </c>
      <c r="R4321">
        <v>-0.92227429999999999</v>
      </c>
      <c r="S4321">
        <v>0.1803284</v>
      </c>
      <c r="T4321">
        <v>-0.31073640000000002</v>
      </c>
      <c r="U4321">
        <v>-3.3675079999999999</v>
      </c>
      <c r="V4321">
        <v>-2.8326150000000001E-2</v>
      </c>
      <c r="W4321">
        <v>0.3928063</v>
      </c>
      <c r="X4321">
        <v>0.91918489999999997</v>
      </c>
      <c r="Y4321">
        <v>-1.0112380000000001E-2</v>
      </c>
      <c r="Z4321">
        <v>7.8288839999999998E-2</v>
      </c>
      <c r="AA4321">
        <v>0.99687950000000003</v>
      </c>
      <c r="AB4321">
        <v>20</v>
      </c>
      <c r="AC4321">
        <v>4.0199999999998598E-2</v>
      </c>
      <c r="AD4321">
        <v>-7.7045000000000002E-2</v>
      </c>
      <c r="AE4321">
        <v>-0.71999999999999797</v>
      </c>
      <c r="AF4321">
        <v>-8.9556487114956698E-3</v>
      </c>
      <c r="AG4321">
        <v>-7.7045000000000002E-2</v>
      </c>
      <c r="AH4321">
        <v>0.71292650132373603</v>
      </c>
      <c r="AI4321">
        <v>96.167457218645296</v>
      </c>
      <c r="AJ4321">
        <v>90.719700958745506</v>
      </c>
      <c r="AK4321">
        <v>0.717133412942492</v>
      </c>
      <c r="AL4321">
        <v>66.870771830154496</v>
      </c>
      <c r="AM4321">
        <v>91.765102298552804</v>
      </c>
      <c r="AN4321">
        <v>1.00000002024076</v>
      </c>
    </row>
    <row r="4322" spans="1:40" x14ac:dyDescent="0.25">
      <c r="A4322" t="str">
        <f>"20190304164214774"</f>
        <v>20190304164214774</v>
      </c>
      <c r="B4322" t="str">
        <f>"1551688934765066"</f>
        <v>1551688934765066</v>
      </c>
      <c r="C4322" t="s">
        <v>40</v>
      </c>
      <c r="D4322">
        <v>4.3605519999999904</v>
      </c>
      <c r="E4322">
        <v>0.54065220000000003</v>
      </c>
      <c r="F4322" t="s">
        <v>41</v>
      </c>
      <c r="G4322">
        <v>-191.76750000000001</v>
      </c>
      <c r="H4322">
        <v>1.0054000000000001</v>
      </c>
      <c r="I4322">
        <v>187.8058</v>
      </c>
      <c r="J4322">
        <v>-191.7671</v>
      </c>
      <c r="K4322">
        <v>1.1102669999999999</v>
      </c>
      <c r="L4322">
        <v>188.5771</v>
      </c>
      <c r="M4322">
        <v>4.2584030000000002E-2</v>
      </c>
      <c r="N4322">
        <v>-1.3422430000000001E-2</v>
      </c>
      <c r="O4322">
        <v>-0.99900290000000003</v>
      </c>
      <c r="P4322">
        <v>6.6857100000000003E-2</v>
      </c>
      <c r="Q4322">
        <v>0.38034370000000001</v>
      </c>
      <c r="R4322">
        <v>-0.92242570000000002</v>
      </c>
      <c r="S4322">
        <v>1.498413E-2</v>
      </c>
      <c r="T4322">
        <v>-0.4063948</v>
      </c>
      <c r="U4322">
        <v>-3.419327</v>
      </c>
      <c r="V4322">
        <v>-2.684079E-2</v>
      </c>
      <c r="W4322">
        <v>0.39276420000000001</v>
      </c>
      <c r="X4322">
        <v>0.91924740000000005</v>
      </c>
      <c r="Y4322">
        <v>3.8199370000000003E-2</v>
      </c>
      <c r="Z4322">
        <v>0.1044798</v>
      </c>
      <c r="AA4322">
        <v>0.99379309999999998</v>
      </c>
      <c r="AB4322">
        <v>20</v>
      </c>
      <c r="AC4322">
        <v>-4.0000000001327803E-4</v>
      </c>
      <c r="AD4322">
        <v>-0.104867</v>
      </c>
      <c r="AE4322">
        <v>-0.77129999999999599</v>
      </c>
      <c r="AF4322">
        <v>3.2644208589937801E-2</v>
      </c>
      <c r="AG4322">
        <v>-0.104867</v>
      </c>
      <c r="AH4322">
        <v>0.75659711751582004</v>
      </c>
      <c r="AI4322">
        <v>97.883876836024498</v>
      </c>
      <c r="AJ4322">
        <v>87.529443335094697</v>
      </c>
      <c r="AK4322">
        <v>0.76452725934181798</v>
      </c>
      <c r="AL4322">
        <v>66.873393403223602</v>
      </c>
      <c r="AM4322">
        <v>91.672484652078793</v>
      </c>
      <c r="AN4322">
        <v>0.99999996360811105</v>
      </c>
    </row>
    <row r="4323" spans="1:40" x14ac:dyDescent="0.25">
      <c r="A4323" t="str">
        <f>"20190304164214791"</f>
        <v>20190304164214791</v>
      </c>
      <c r="B4323" t="str">
        <f>"1551688934785563"</f>
        <v>1551688934785563</v>
      </c>
      <c r="C4323" t="s">
        <v>40</v>
      </c>
      <c r="D4323">
        <v>4.3052869999999999</v>
      </c>
      <c r="E4323">
        <v>0.54792540000000001</v>
      </c>
      <c r="F4323" t="s">
        <v>41</v>
      </c>
      <c r="G4323">
        <v>-191.77809999999999</v>
      </c>
      <c r="H4323">
        <v>1.0139039999999999</v>
      </c>
      <c r="I4323">
        <v>187.80119999999999</v>
      </c>
      <c r="J4323">
        <v>-191.7621</v>
      </c>
      <c r="K4323">
        <v>1.110249</v>
      </c>
      <c r="L4323">
        <v>188.43960000000001</v>
      </c>
      <c r="M4323">
        <v>4.1823480000000003E-2</v>
      </c>
      <c r="N4323">
        <v>-1.3356669999999999E-2</v>
      </c>
      <c r="O4323">
        <v>-0.99903580000000003</v>
      </c>
      <c r="P4323">
        <v>6.3780950000000003E-2</v>
      </c>
      <c r="Q4323">
        <v>0.37984269999999998</v>
      </c>
      <c r="R4323">
        <v>-0.92285019999999995</v>
      </c>
      <c r="S4323">
        <v>-4.7836299999999998E-2</v>
      </c>
      <c r="T4323">
        <v>-0.4262087</v>
      </c>
      <c r="U4323">
        <v>-3.4315190000000002</v>
      </c>
      <c r="V4323">
        <v>-2.4454670000000001E-2</v>
      </c>
      <c r="W4323">
        <v>0.39220189999999999</v>
      </c>
      <c r="X4323">
        <v>0.91955410000000004</v>
      </c>
      <c r="Y4323">
        <v>5.561435E-2</v>
      </c>
      <c r="Z4323">
        <v>0.10972460000000001</v>
      </c>
      <c r="AA4323">
        <v>0.99240490000000003</v>
      </c>
      <c r="AB4323">
        <v>20</v>
      </c>
      <c r="AC4323">
        <v>-1.5999999999991101E-2</v>
      </c>
      <c r="AD4323">
        <v>-9.6344999999999903E-2</v>
      </c>
      <c r="AE4323">
        <v>-0.63840000000001795</v>
      </c>
      <c r="AF4323">
        <v>4.1738459773353102E-2</v>
      </c>
      <c r="AG4323">
        <v>-9.6344999999999903E-2</v>
      </c>
      <c r="AH4323">
        <v>0.62299187741572104</v>
      </c>
      <c r="AI4323">
        <v>98.7717292017972</v>
      </c>
      <c r="AJ4323">
        <v>86.167094251465898</v>
      </c>
      <c r="AK4323">
        <v>0.63177791776479197</v>
      </c>
      <c r="AL4323">
        <v>66.908423663909801</v>
      </c>
      <c r="AM4323">
        <v>91.523367904610893</v>
      </c>
      <c r="AN4323">
        <v>1.00000005203761</v>
      </c>
    </row>
    <row r="4324" spans="1:40" x14ac:dyDescent="0.25">
      <c r="A4324" t="str">
        <f>"20190304164214803"</f>
        <v>20190304164214803</v>
      </c>
      <c r="B4324" t="str">
        <f>"1551688934795322"</f>
        <v>1551688934795322</v>
      </c>
      <c r="C4324" t="s">
        <v>40</v>
      </c>
      <c r="D4324">
        <v>4.2995260000000002</v>
      </c>
      <c r="E4324">
        <v>0.54996420000000001</v>
      </c>
      <c r="F4324" t="s">
        <v>41</v>
      </c>
      <c r="G4324">
        <v>-191.78899999999999</v>
      </c>
      <c r="H4324">
        <v>1.0040500000000001</v>
      </c>
      <c r="I4324">
        <v>187.62790000000001</v>
      </c>
      <c r="J4324">
        <v>-191.75819999999999</v>
      </c>
      <c r="K4324">
        <v>1.1102339999999999</v>
      </c>
      <c r="L4324">
        <v>188.33160000000001</v>
      </c>
      <c r="M4324">
        <v>4.122543E-2</v>
      </c>
      <c r="N4324">
        <v>-1.3295120000000001E-2</v>
      </c>
      <c r="O4324">
        <v>-0.9990618</v>
      </c>
      <c r="P4324">
        <v>6.2271569999999998E-2</v>
      </c>
      <c r="Q4324">
        <v>0.37958320000000001</v>
      </c>
      <c r="R4324">
        <v>-0.92305999999999999</v>
      </c>
      <c r="S4324">
        <v>-0.11465450000000001</v>
      </c>
      <c r="T4324">
        <v>-0.45061830000000003</v>
      </c>
      <c r="U4324">
        <v>-3.4442140000000001</v>
      </c>
      <c r="V4324">
        <v>-2.349739E-2</v>
      </c>
      <c r="W4324">
        <v>0.39188600000000001</v>
      </c>
      <c r="X4324">
        <v>0.91971369999999997</v>
      </c>
      <c r="Y4324">
        <v>7.4151720000000004E-2</v>
      </c>
      <c r="Z4324">
        <v>0.1161454</v>
      </c>
      <c r="AA4324">
        <v>0.99046040000000002</v>
      </c>
      <c r="AB4324">
        <v>20</v>
      </c>
      <c r="AC4324">
        <v>-3.08000000000276E-2</v>
      </c>
      <c r="AD4324">
        <v>-0.106183999999999</v>
      </c>
      <c r="AE4324">
        <v>-0.70369999999999699</v>
      </c>
      <c r="AF4324">
        <v>5.8458212194924801E-2</v>
      </c>
      <c r="AG4324">
        <v>-0.106183999999999</v>
      </c>
      <c r="AH4324">
        <v>0.68623678578223002</v>
      </c>
      <c r="AI4324">
        <v>98.764587732180104</v>
      </c>
      <c r="AJ4324">
        <v>85.130919760259204</v>
      </c>
      <c r="AK4324">
        <v>0.69685962043280503</v>
      </c>
      <c r="AL4324">
        <v>66.928097826742302</v>
      </c>
      <c r="AM4324">
        <v>91.463508119156302</v>
      </c>
      <c r="AN4324">
        <v>1.00000002715025</v>
      </c>
    </row>
    <row r="4325" spans="1:40" x14ac:dyDescent="0.25">
      <c r="A4325" t="str">
        <f>"20190304164214814"</f>
        <v>20190304164214814</v>
      </c>
      <c r="B4325" t="str">
        <f>"1551688934805082"</f>
        <v>1551688934805082</v>
      </c>
      <c r="C4325" t="s">
        <v>40</v>
      </c>
      <c r="D4325">
        <v>4.2852300000000003</v>
      </c>
      <c r="E4325">
        <v>0.55125690000000005</v>
      </c>
      <c r="F4325" t="s">
        <v>41</v>
      </c>
      <c r="G4325">
        <v>-191.7928</v>
      </c>
      <c r="H4325">
        <v>0.99485539999999995</v>
      </c>
      <c r="I4325">
        <v>187.4545</v>
      </c>
      <c r="J4325">
        <v>-191.75460000000001</v>
      </c>
      <c r="K4325">
        <v>1.1102299999999901</v>
      </c>
      <c r="L4325">
        <v>188.22829999999999</v>
      </c>
      <c r="M4325">
        <v>4.0662780000000003E-2</v>
      </c>
      <c r="N4325">
        <v>-1.322068E-2</v>
      </c>
      <c r="O4325">
        <v>-0.99908569999999997</v>
      </c>
      <c r="P4325">
        <v>6.114004E-2</v>
      </c>
      <c r="Q4325">
        <v>0.37872420000000001</v>
      </c>
      <c r="R4325">
        <v>-0.92348819999999998</v>
      </c>
      <c r="S4325">
        <v>-0.13597110000000001</v>
      </c>
      <c r="T4325">
        <v>-0.45325260000000001</v>
      </c>
      <c r="U4325">
        <v>-3.4456479999999998</v>
      </c>
      <c r="V4325">
        <v>-2.288573E-2</v>
      </c>
      <c r="W4325">
        <v>0.39096150000000002</v>
      </c>
      <c r="X4325">
        <v>0.92012240000000001</v>
      </c>
      <c r="Y4325">
        <v>7.9685880000000001E-2</v>
      </c>
      <c r="Z4325">
        <v>0.1168714</v>
      </c>
      <c r="AA4325">
        <v>0.98994510000000002</v>
      </c>
      <c r="AB4325">
        <v>20</v>
      </c>
      <c r="AC4325">
        <v>-3.8199999999989097E-2</v>
      </c>
      <c r="AD4325">
        <v>-0.11537459999999899</v>
      </c>
      <c r="AE4325">
        <v>-0.77379999999999405</v>
      </c>
      <c r="AF4325">
        <v>6.8125179323900803E-2</v>
      </c>
      <c r="AG4325">
        <v>-0.11537459999999899</v>
      </c>
      <c r="AH4325">
        <v>0.75486567231083501</v>
      </c>
      <c r="AI4325">
        <v>98.655267358312003</v>
      </c>
      <c r="AJ4325">
        <v>84.843135894498303</v>
      </c>
      <c r="AK4325">
        <v>0.76666454308019405</v>
      </c>
      <c r="AL4325">
        <v>66.985658590316604</v>
      </c>
      <c r="AM4325">
        <v>91.424794616208999</v>
      </c>
      <c r="AN4325">
        <v>0.99999994105081902</v>
      </c>
    </row>
    <row r="4326" spans="1:40" x14ac:dyDescent="0.25">
      <c r="A4326" t="str">
        <f>"20190304164214827"</f>
        <v>20190304164214827</v>
      </c>
      <c r="B4326" t="str">
        <f>"1551688934815818"</f>
        <v>1551688934815818</v>
      </c>
      <c r="C4326" t="s">
        <v>40</v>
      </c>
      <c r="D4326">
        <v>4.2785710000000003</v>
      </c>
      <c r="E4326">
        <v>0.55206860000000002</v>
      </c>
      <c r="F4326" t="s">
        <v>41</v>
      </c>
      <c r="G4326">
        <v>-191.78870000000001</v>
      </c>
      <c r="H4326">
        <v>1.0065999999999999</v>
      </c>
      <c r="I4326">
        <v>187.44880000000001</v>
      </c>
      <c r="J4326">
        <v>-191.75069999999999</v>
      </c>
      <c r="K4326">
        <v>1.110231</v>
      </c>
      <c r="L4326">
        <v>188.11529999999999</v>
      </c>
      <c r="M4326">
        <v>4.0056479999999998E-2</v>
      </c>
      <c r="N4326">
        <v>-1.313255E-2</v>
      </c>
      <c r="O4326">
        <v>-0.99911119999999998</v>
      </c>
      <c r="P4326">
        <v>5.9873790000000003E-2</v>
      </c>
      <c r="Q4326">
        <v>0.37830589999999997</v>
      </c>
      <c r="R4326">
        <v>-0.92374210000000001</v>
      </c>
      <c r="S4326">
        <v>-0.15063480000000001</v>
      </c>
      <c r="T4326">
        <v>-0.45818700000000001</v>
      </c>
      <c r="U4326">
        <v>-3.4464109999999999</v>
      </c>
      <c r="V4326">
        <v>-2.219103E-2</v>
      </c>
      <c r="W4326">
        <v>0.39046239999999999</v>
      </c>
      <c r="X4326">
        <v>0.92035140000000004</v>
      </c>
      <c r="Y4326">
        <v>8.3265430000000001E-2</v>
      </c>
      <c r="Z4326">
        <v>0.1182967</v>
      </c>
      <c r="AA4326">
        <v>0.98948100000000005</v>
      </c>
      <c r="AB4326">
        <v>20</v>
      </c>
      <c r="AC4326">
        <v>-3.80000000000109E-2</v>
      </c>
      <c r="AD4326">
        <v>-0.103631</v>
      </c>
      <c r="AE4326">
        <v>-0.66649999999998499</v>
      </c>
      <c r="AF4326">
        <v>6.3147746107297897E-2</v>
      </c>
      <c r="AG4326">
        <v>-0.103631</v>
      </c>
      <c r="AH4326">
        <v>0.64880813965241002</v>
      </c>
      <c r="AI4326">
        <v>99.032948909419304</v>
      </c>
      <c r="AJ4326">
        <v>84.440977262611398</v>
      </c>
      <c r="AK4326">
        <v>0.66005986401132799</v>
      </c>
      <c r="AL4326">
        <v>67.016725993075696</v>
      </c>
      <c r="AM4326">
        <v>91.381218147840897</v>
      </c>
      <c r="AN4326">
        <v>1.0000000135540901</v>
      </c>
    </row>
    <row r="4327" spans="1:40" x14ac:dyDescent="0.25">
      <c r="A4327" t="str">
        <f>"20190304164214840"</f>
        <v>20190304164214840</v>
      </c>
      <c r="B4327" t="str">
        <f>"1551688934835178"</f>
        <v>1551688934835178</v>
      </c>
      <c r="C4327" t="s">
        <v>40</v>
      </c>
      <c r="D4327">
        <v>4.287992</v>
      </c>
      <c r="E4327">
        <v>0.55319669999999999</v>
      </c>
      <c r="F4327" t="s">
        <v>41</v>
      </c>
      <c r="G4327">
        <v>-191.7901</v>
      </c>
      <c r="H4327">
        <v>0.99783599999999995</v>
      </c>
      <c r="I4327">
        <v>187.27520000000001</v>
      </c>
      <c r="J4327">
        <v>-191.7467</v>
      </c>
      <c r="K4327">
        <v>1.1102379999999901</v>
      </c>
      <c r="L4327">
        <v>187.99680000000001</v>
      </c>
      <c r="M4327">
        <v>3.9433719999999998E-2</v>
      </c>
      <c r="N4327">
        <v>-1.3030409999999999E-2</v>
      </c>
      <c r="O4327">
        <v>-0.99913719999999995</v>
      </c>
      <c r="P4327">
        <v>5.8526549999999997E-2</v>
      </c>
      <c r="Q4327">
        <v>0.3784959</v>
      </c>
      <c r="R4327">
        <v>-0.92375079999999998</v>
      </c>
      <c r="S4327">
        <v>-0.16172790000000001</v>
      </c>
      <c r="T4327">
        <v>-0.4611596</v>
      </c>
      <c r="U4327">
        <v>-3.4470209999999999</v>
      </c>
      <c r="V4327">
        <v>-2.1445369999999998E-2</v>
      </c>
      <c r="W4327">
        <v>0.39055509999999999</v>
      </c>
      <c r="X4327">
        <v>0.92032970000000003</v>
      </c>
      <c r="Y4327">
        <v>8.5806850000000004E-2</v>
      </c>
      <c r="Z4327">
        <v>0.1191943</v>
      </c>
      <c r="AA4327">
        <v>0.98915620000000004</v>
      </c>
      <c r="AB4327">
        <v>20</v>
      </c>
      <c r="AC4327">
        <v>-4.3399999999991203E-2</v>
      </c>
      <c r="AD4327">
        <v>-0.112401999999999</v>
      </c>
      <c r="AE4327">
        <v>-0.72159999999999502</v>
      </c>
      <c r="AF4327">
        <v>7.01285880366775E-2</v>
      </c>
      <c r="AG4327">
        <v>-0.112401999999999</v>
      </c>
      <c r="AH4327">
        <v>0.70234702991728903</v>
      </c>
      <c r="AI4327">
        <v>99.048140304050307</v>
      </c>
      <c r="AJ4327">
        <v>84.297977884232694</v>
      </c>
      <c r="AK4327">
        <v>0.71473322218688995</v>
      </c>
      <c r="AL4327">
        <v>67.010955601469306</v>
      </c>
      <c r="AM4327">
        <v>91.334855186768095</v>
      </c>
      <c r="AN4327">
        <v>0.999999973366268</v>
      </c>
    </row>
    <row r="4328" spans="1:40" x14ac:dyDescent="0.25">
      <c r="A4328" t="str">
        <f>"20190304164214852"</f>
        <v>20190304164214852</v>
      </c>
      <c r="B4328" t="str">
        <f>"1551688934845893"</f>
        <v>1551688934845893</v>
      </c>
      <c r="C4328" t="s">
        <v>40</v>
      </c>
      <c r="D4328">
        <v>4.2285560000000002</v>
      </c>
      <c r="E4328">
        <v>0.55333520000000003</v>
      </c>
      <c r="F4328" t="s">
        <v>41</v>
      </c>
      <c r="G4328">
        <v>-191.78380000000001</v>
      </c>
      <c r="H4328">
        <v>1.012777</v>
      </c>
      <c r="I4328">
        <v>187.268</v>
      </c>
      <c r="J4328">
        <v>-191.7431</v>
      </c>
      <c r="K4328">
        <v>1.110249</v>
      </c>
      <c r="L4328">
        <v>187.88939999999999</v>
      </c>
      <c r="M4328">
        <v>3.8892290000000003E-2</v>
      </c>
      <c r="N4328">
        <v>-1.2929120000000001E-2</v>
      </c>
      <c r="O4328">
        <v>-0.99915980000000004</v>
      </c>
      <c r="P4328">
        <v>5.7164039999999999E-2</v>
      </c>
      <c r="Q4328">
        <v>0.37903540000000002</v>
      </c>
      <c r="R4328">
        <v>-0.92361499999999996</v>
      </c>
      <c r="S4328">
        <v>-0.17527770000000001</v>
      </c>
      <c r="T4328">
        <v>-0.4610553</v>
      </c>
      <c r="U4328">
        <v>-3.447632</v>
      </c>
      <c r="V4328">
        <v>-2.0613940000000001E-2</v>
      </c>
      <c r="W4328">
        <v>0.3909958</v>
      </c>
      <c r="X4328">
        <v>0.92016160000000002</v>
      </c>
      <c r="Y4328">
        <v>8.9133920000000005E-2</v>
      </c>
      <c r="Z4328">
        <v>0.1192141</v>
      </c>
      <c r="AA4328">
        <v>0.9888595</v>
      </c>
      <c r="AB4328">
        <v>20</v>
      </c>
      <c r="AC4328">
        <v>-4.0700000000015203E-2</v>
      </c>
      <c r="AD4328">
        <v>-9.7472000000000003E-2</v>
      </c>
      <c r="AE4328">
        <v>-0.62139999999999396</v>
      </c>
      <c r="AF4328">
        <v>6.3288353470759603E-2</v>
      </c>
      <c r="AG4328">
        <v>-9.7472000000000003E-2</v>
      </c>
      <c r="AH4328">
        <v>0.60453586838530804</v>
      </c>
      <c r="AI4328">
        <v>99.110280335328497</v>
      </c>
      <c r="AJ4328">
        <v>84.023523112713093</v>
      </c>
      <c r="AK4328">
        <v>0.61560524903010605</v>
      </c>
      <c r="AL4328">
        <v>66.983525063130799</v>
      </c>
      <c r="AM4328">
        <v>91.283355265643607</v>
      </c>
      <c r="AN4328">
        <v>1.0000000101272599</v>
      </c>
    </row>
    <row r="4329" spans="1:40" x14ac:dyDescent="0.25">
      <c r="A4329" t="str">
        <f>"20190304164214867"</f>
        <v>20190304164214867</v>
      </c>
      <c r="B4329" t="str">
        <f>"1551688934855653"</f>
        <v>1551688934855653</v>
      </c>
      <c r="C4329" t="s">
        <v>40</v>
      </c>
      <c r="D4329">
        <v>4.2950339999999896</v>
      </c>
      <c r="E4329">
        <v>0.55355900000000002</v>
      </c>
      <c r="F4329" t="s">
        <v>41</v>
      </c>
      <c r="G4329">
        <v>-191.78479999999999</v>
      </c>
      <c r="H4329">
        <v>1.0044219999999999</v>
      </c>
      <c r="I4329">
        <v>187.0941</v>
      </c>
      <c r="J4329">
        <v>-191.73869999999999</v>
      </c>
      <c r="K4329">
        <v>1.110266</v>
      </c>
      <c r="L4329">
        <v>187.75899999999999</v>
      </c>
      <c r="M4329">
        <v>3.8251720000000003E-2</v>
      </c>
      <c r="N4329">
        <v>-1.280245E-2</v>
      </c>
      <c r="O4329">
        <v>-0.99918609999999997</v>
      </c>
      <c r="P4329">
        <v>5.4788129999999997E-2</v>
      </c>
      <c r="Q4329">
        <v>0.38017129999999999</v>
      </c>
      <c r="R4329">
        <v>-0.92329220000000001</v>
      </c>
      <c r="S4329">
        <v>-0.18029790000000001</v>
      </c>
      <c r="T4329">
        <v>-0.45878459999999899</v>
      </c>
      <c r="U4329">
        <v>-3.4475250000000002</v>
      </c>
      <c r="V4329">
        <v>-1.8874149999999999E-2</v>
      </c>
      <c r="W4329">
        <v>0.39200620000000003</v>
      </c>
      <c r="X4329">
        <v>0.9197689</v>
      </c>
      <c r="Y4329">
        <v>8.9936749999999996E-2</v>
      </c>
      <c r="Z4329">
        <v>0.1186991</v>
      </c>
      <c r="AA4329">
        <v>0.98884879999999997</v>
      </c>
      <c r="AB4329">
        <v>20</v>
      </c>
      <c r="AC4329">
        <v>-4.6099999999995499E-2</v>
      </c>
      <c r="AD4329">
        <v>-0.10584399999999999</v>
      </c>
      <c r="AE4329">
        <v>-0.66490000000001703</v>
      </c>
      <c r="AF4329">
        <v>6.9743022521255194E-2</v>
      </c>
      <c r="AG4329">
        <v>-0.10584399999999999</v>
      </c>
      <c r="AH4329">
        <v>0.64634912901225405</v>
      </c>
      <c r="AI4329">
        <v>99.247281077200398</v>
      </c>
      <c r="AJ4329">
        <v>83.841440135918404</v>
      </c>
      <c r="AK4329">
        <v>0.65866094320317803</v>
      </c>
      <c r="AL4329">
        <v>66.920610319421698</v>
      </c>
      <c r="AM4329">
        <v>91.175575064773199</v>
      </c>
      <c r="AN4329">
        <v>0.99999996189193496</v>
      </c>
    </row>
    <row r="4330" spans="1:40" x14ac:dyDescent="0.25">
      <c r="A4330" t="str">
        <f>"20190304164214880"</f>
        <v>20190304164214880</v>
      </c>
      <c r="B4330" t="str">
        <f>"1551688934875173"</f>
        <v>1551688934875173</v>
      </c>
      <c r="C4330" t="s">
        <v>40</v>
      </c>
      <c r="D4330">
        <v>4.2419379999999904</v>
      </c>
      <c r="E4330">
        <v>0.55371740000000003</v>
      </c>
      <c r="F4330" t="s">
        <v>41</v>
      </c>
      <c r="G4330">
        <v>-191.78450000000001</v>
      </c>
      <c r="H4330">
        <v>0.99914619999999998</v>
      </c>
      <c r="I4330">
        <v>186.91849999999999</v>
      </c>
      <c r="J4330">
        <v>-191.73490000000001</v>
      </c>
      <c r="K4330">
        <v>1.1102810000000001</v>
      </c>
      <c r="L4330">
        <v>187.64269999999999</v>
      </c>
      <c r="M4330">
        <v>3.7700249999999998E-2</v>
      </c>
      <c r="N4330">
        <v>-1.2685719999999999E-2</v>
      </c>
      <c r="O4330">
        <v>-0.9992086</v>
      </c>
      <c r="P4330">
        <v>5.3562770000000003E-2</v>
      </c>
      <c r="Q4330">
        <v>0.38021640000000001</v>
      </c>
      <c r="R4330">
        <v>-0.92334559999999999</v>
      </c>
      <c r="S4330">
        <v>-0.18704219999999999</v>
      </c>
      <c r="T4330">
        <v>-0.4559184</v>
      </c>
      <c r="U4330">
        <v>-3.4480900000000001</v>
      </c>
      <c r="V4330">
        <v>-1.8184800000000001E-2</v>
      </c>
      <c r="W4330">
        <v>0.3919414</v>
      </c>
      <c r="X4330">
        <v>0.91981049999999998</v>
      </c>
      <c r="Y4330">
        <v>9.1311920000000005E-2</v>
      </c>
      <c r="Z4330">
        <v>0.11797489999999999</v>
      </c>
      <c r="AA4330">
        <v>0.98880939999999995</v>
      </c>
      <c r="AB4330">
        <v>20</v>
      </c>
      <c r="AC4330">
        <v>-4.9599999999998E-2</v>
      </c>
      <c r="AD4330">
        <v>-0.11113479999999901</v>
      </c>
      <c r="AE4330">
        <v>-0.72419999999999596</v>
      </c>
      <c r="AF4330">
        <v>7.5108925518313496E-2</v>
      </c>
      <c r="AG4330">
        <v>-0.11113479999999901</v>
      </c>
      <c r="AH4330">
        <v>0.70528341577125497</v>
      </c>
      <c r="AI4330">
        <v>98.905191935655395</v>
      </c>
      <c r="AJ4330">
        <v>83.921215770300506</v>
      </c>
      <c r="AK4330">
        <v>0.71792547734811896</v>
      </c>
      <c r="AL4330">
        <v>66.924648237213802</v>
      </c>
      <c r="AM4330">
        <v>91.132599134404202</v>
      </c>
      <c r="AN4330">
        <v>1.00000005194762</v>
      </c>
    </row>
    <row r="4331" spans="1:40" x14ac:dyDescent="0.25">
      <c r="A4331" t="str">
        <f>"20190304164214893"</f>
        <v>20190304164214893</v>
      </c>
      <c r="B4331" t="str">
        <f>"1551688934885910"</f>
        <v>1551688934885910</v>
      </c>
      <c r="C4331" t="s">
        <v>40</v>
      </c>
      <c r="D4331">
        <v>4.3846540000000003</v>
      </c>
      <c r="E4331">
        <v>0.55397280000000004</v>
      </c>
      <c r="F4331" t="s">
        <v>41</v>
      </c>
      <c r="G4331">
        <v>-191.7756</v>
      </c>
      <c r="H4331">
        <v>1.013234</v>
      </c>
      <c r="I4331">
        <v>186.9119</v>
      </c>
      <c r="J4331">
        <v>-191.73140000000001</v>
      </c>
      <c r="K4331">
        <v>1.1102860000000001</v>
      </c>
      <c r="L4331">
        <v>187.5352</v>
      </c>
      <c r="M4331">
        <v>3.7215989999999997E-2</v>
      </c>
      <c r="N4331">
        <v>-1.257669E-2</v>
      </c>
      <c r="O4331">
        <v>-0.99922809999999995</v>
      </c>
      <c r="P4331">
        <v>5.2400769999999999E-2</v>
      </c>
      <c r="Q4331">
        <v>0.38038460000000002</v>
      </c>
      <c r="R4331">
        <v>-0.92334260000000001</v>
      </c>
      <c r="S4331">
        <v>-0.1911011</v>
      </c>
      <c r="T4331">
        <v>-0.45806409999999997</v>
      </c>
      <c r="U4331">
        <v>-3.4487610000000002</v>
      </c>
      <c r="V4331">
        <v>-1.7493910000000001E-2</v>
      </c>
      <c r="W4331">
        <v>0.39200669999999999</v>
      </c>
      <c r="X4331">
        <v>0.91979599999999995</v>
      </c>
      <c r="Y4331">
        <v>9.1974410000000006E-2</v>
      </c>
      <c r="Z4331">
        <v>0.11865829999999999</v>
      </c>
      <c r="AA4331">
        <v>0.98866620000000005</v>
      </c>
      <c r="AB4331">
        <v>20</v>
      </c>
      <c r="AC4331">
        <v>-4.4199999999989303E-2</v>
      </c>
      <c r="AD4331">
        <v>-9.7052000000000097E-2</v>
      </c>
      <c r="AE4331">
        <v>-0.62329999999999997</v>
      </c>
      <c r="AF4331">
        <v>6.5781081537980998E-2</v>
      </c>
      <c r="AG4331">
        <v>-9.7052000000000097E-2</v>
      </c>
      <c r="AH4331">
        <v>0.60659011968675802</v>
      </c>
      <c r="AI4331">
        <v>99.037948003484104</v>
      </c>
      <c r="AJ4331">
        <v>83.810800617978003</v>
      </c>
      <c r="AK4331">
        <v>0.617816975077491</v>
      </c>
      <c r="AL4331">
        <v>66.920579759763896</v>
      </c>
      <c r="AM4331">
        <v>91.089596364197106</v>
      </c>
      <c r="AN4331">
        <v>0.99999998567398796</v>
      </c>
    </row>
    <row r="4332" spans="1:40" x14ac:dyDescent="0.25">
      <c r="A4332" t="str">
        <f>"20190304164214908"</f>
        <v>20190304164214908</v>
      </c>
      <c r="B4332" t="str">
        <f>"1551688934895669"</f>
        <v>1551688934895669</v>
      </c>
      <c r="C4332" t="s">
        <v>40</v>
      </c>
      <c r="D4332">
        <v>4.274292</v>
      </c>
      <c r="E4332">
        <v>0.55402149999999994</v>
      </c>
      <c r="F4332" t="s">
        <v>41</v>
      </c>
      <c r="G4332">
        <v>-191.77699999999999</v>
      </c>
      <c r="H4332">
        <v>1.0046269999999999</v>
      </c>
      <c r="I4332">
        <v>186.73779999999999</v>
      </c>
      <c r="J4332">
        <v>-191.72720000000001</v>
      </c>
      <c r="K4332">
        <v>1.1102959999999999</v>
      </c>
      <c r="L4332">
        <v>187.40129999999999</v>
      </c>
      <c r="M4332">
        <v>3.6629960000000003E-2</v>
      </c>
      <c r="N4332">
        <v>-1.243999E-2</v>
      </c>
      <c r="O4332">
        <v>-0.99925160000000002</v>
      </c>
      <c r="P4332">
        <v>5.1427239999999999E-2</v>
      </c>
      <c r="Q4332">
        <v>0.38014989999999999</v>
      </c>
      <c r="R4332">
        <v>-0.92349400000000004</v>
      </c>
      <c r="S4332">
        <v>-0.19648740000000001</v>
      </c>
      <c r="T4332">
        <v>-0.4570361</v>
      </c>
      <c r="U4332">
        <v>-3.4485019999999902</v>
      </c>
      <c r="V4332">
        <v>-1.7084490000000001E-2</v>
      </c>
      <c r="W4332">
        <v>0.3916461</v>
      </c>
      <c r="X4332">
        <v>0.91995729999999998</v>
      </c>
      <c r="Y4332">
        <v>9.2935149999999994E-2</v>
      </c>
      <c r="Z4332">
        <v>0.1185068</v>
      </c>
      <c r="AA4332">
        <v>0.98859450000000004</v>
      </c>
      <c r="AB4332">
        <v>20</v>
      </c>
      <c r="AC4332">
        <v>-4.9800000000004702E-2</v>
      </c>
      <c r="AD4332">
        <v>-0.105669</v>
      </c>
      <c r="AE4332">
        <v>-0.66349999999999898</v>
      </c>
      <c r="AF4332">
        <v>7.2250161147010605E-2</v>
      </c>
      <c r="AG4332">
        <v>-0.105669</v>
      </c>
      <c r="AH4332">
        <v>0.644963298808096</v>
      </c>
      <c r="AI4332">
        <v>99.247681951438594</v>
      </c>
      <c r="AJ4332">
        <v>83.6082525600916</v>
      </c>
      <c r="AK4332">
        <v>0.65754367167222405</v>
      </c>
      <c r="AL4332">
        <v>66.9430363796845</v>
      </c>
      <c r="AM4332">
        <v>91.063915319151505</v>
      </c>
      <c r="AN4332">
        <v>0.99999999063352996</v>
      </c>
    </row>
    <row r="4333" spans="1:40" x14ac:dyDescent="0.25">
      <c r="A4333" t="str">
        <f>"20190304164214922"</f>
        <v>20190304164214922</v>
      </c>
      <c r="B4333" t="str">
        <f>"1551688934915189"</f>
        <v>1551688934915189</v>
      </c>
      <c r="C4333" t="s">
        <v>40</v>
      </c>
      <c r="D4333">
        <v>4.256729</v>
      </c>
      <c r="E4333">
        <v>0.55400509999999903</v>
      </c>
      <c r="F4333" t="s">
        <v>41</v>
      </c>
      <c r="G4333">
        <v>-191.77600000000001</v>
      </c>
      <c r="H4333">
        <v>0.99873460000000003</v>
      </c>
      <c r="I4333">
        <v>186.56229999999999</v>
      </c>
      <c r="J4333">
        <v>-191.72319999999999</v>
      </c>
      <c r="K4333">
        <v>1.1102989999999999</v>
      </c>
      <c r="L4333">
        <v>187.2758</v>
      </c>
      <c r="M4333">
        <v>3.6100460000000001E-2</v>
      </c>
      <c r="N4333">
        <v>-1.2310639999999999E-2</v>
      </c>
      <c r="O4333">
        <v>-0.99927270000000001</v>
      </c>
      <c r="P4333">
        <v>5.0568099999999998E-2</v>
      </c>
      <c r="Q4333">
        <v>0.38014599999999998</v>
      </c>
      <c r="R4333">
        <v>-0.92354349999999996</v>
      </c>
      <c r="S4333">
        <v>-0.19992070000000001</v>
      </c>
      <c r="T4333">
        <v>-0.45860669999999998</v>
      </c>
      <c r="U4333">
        <v>-3.4484409999999999</v>
      </c>
      <c r="V4333">
        <v>-1.6735389999999999E-2</v>
      </c>
      <c r="W4333">
        <v>0.39152150000000002</v>
      </c>
      <c r="X4333">
        <v>0.92001679999999997</v>
      </c>
      <c r="Y4333">
        <v>9.3385789999999996E-2</v>
      </c>
      <c r="Z4333">
        <v>0.1190775</v>
      </c>
      <c r="AA4333">
        <v>0.98848349999999996</v>
      </c>
      <c r="AB4333">
        <v>20</v>
      </c>
      <c r="AC4333">
        <v>-5.2799999999990598E-2</v>
      </c>
      <c r="AD4333">
        <v>-0.11156439999999999</v>
      </c>
      <c r="AE4333">
        <v>-0.71350000000001002</v>
      </c>
      <c r="AF4333">
        <v>7.6661109995062898E-2</v>
      </c>
      <c r="AG4333">
        <v>-0.11156439999999999</v>
      </c>
      <c r="AH4333">
        <v>0.694247304799123</v>
      </c>
      <c r="AI4333">
        <v>99.075052995825601</v>
      </c>
      <c r="AJ4333">
        <v>83.698736692116398</v>
      </c>
      <c r="AK4333">
        <v>0.70732090408377002</v>
      </c>
      <c r="AL4333">
        <v>66.950796107872705</v>
      </c>
      <c r="AM4333">
        <v>91.042113010857605</v>
      </c>
      <c r="AN4333">
        <v>1.00000003526147</v>
      </c>
    </row>
    <row r="4334" spans="1:40" x14ac:dyDescent="0.25">
      <c r="A4334" t="str">
        <f>"20190304164214936"</f>
        <v>20190304164214936</v>
      </c>
      <c r="B4334" t="str">
        <f>"1551688934925925"</f>
        <v>1551688934925925</v>
      </c>
      <c r="C4334" t="s">
        <v>40</v>
      </c>
      <c r="D4334">
        <v>4.3147019999999996</v>
      </c>
      <c r="E4334">
        <v>0.55403979999999997</v>
      </c>
      <c r="F4334" t="s">
        <v>41</v>
      </c>
      <c r="G4334">
        <v>-191.76560000000001</v>
      </c>
      <c r="H4334">
        <v>1.0144930000000001</v>
      </c>
      <c r="I4334">
        <v>186.5549</v>
      </c>
      <c r="J4334">
        <v>-191.71940000000001</v>
      </c>
      <c r="K4334">
        <v>1.1103019999999999</v>
      </c>
      <c r="L4334">
        <v>187.154</v>
      </c>
      <c r="M4334">
        <v>3.5609750000000003E-2</v>
      </c>
      <c r="N4334">
        <v>-1.218733E-2</v>
      </c>
      <c r="O4334">
        <v>-0.9992917</v>
      </c>
      <c r="P4334">
        <v>4.8772969999999999E-2</v>
      </c>
      <c r="Q4334">
        <v>0.37934079999999998</v>
      </c>
      <c r="R4334">
        <v>-0.92397090000000004</v>
      </c>
      <c r="S4334">
        <v>-0.2021027</v>
      </c>
      <c r="T4334">
        <v>-0.45829180000000003</v>
      </c>
      <c r="U4334">
        <v>-3.4480740000000001</v>
      </c>
      <c r="V4334">
        <v>-1.539771E-2</v>
      </c>
      <c r="W4334">
        <v>0.39060519999999999</v>
      </c>
      <c r="X4334">
        <v>0.92042950000000001</v>
      </c>
      <c r="Y4334">
        <v>9.3526830000000005E-2</v>
      </c>
      <c r="Z4334">
        <v>0.1191253</v>
      </c>
      <c r="AA4334">
        <v>0.98846440000000002</v>
      </c>
      <c r="AB4334">
        <v>20</v>
      </c>
      <c r="AC4334">
        <v>-4.6199999999998902E-2</v>
      </c>
      <c r="AD4334">
        <v>-9.5809000000000005E-2</v>
      </c>
      <c r="AE4334">
        <v>-0.59910000000002095</v>
      </c>
      <c r="AF4334">
        <v>6.5832371666143197E-2</v>
      </c>
      <c r="AG4334">
        <v>-9.5809000000000005E-2</v>
      </c>
      <c r="AH4334">
        <v>0.58227119060757004</v>
      </c>
      <c r="AI4334">
        <v>99.285805720033594</v>
      </c>
      <c r="AJ4334">
        <v>83.549453777665406</v>
      </c>
      <c r="AK4334">
        <v>0.59376174098012302</v>
      </c>
      <c r="AL4334">
        <v>67.007837759119795</v>
      </c>
      <c r="AM4334">
        <v>90.958402042837093</v>
      </c>
      <c r="AN4334">
        <v>0.99999998810526602</v>
      </c>
    </row>
    <row r="4335" spans="1:40" x14ac:dyDescent="0.25">
      <c r="A4335" t="str">
        <f>"20190304164214948"</f>
        <v>20190304164214948</v>
      </c>
      <c r="B4335" t="str">
        <f>"1551688934945953"</f>
        <v>1551688934945953</v>
      </c>
      <c r="C4335" t="s">
        <v>40</v>
      </c>
      <c r="D4335">
        <v>4.3453369999999998</v>
      </c>
      <c r="E4335">
        <v>0.55415159999999997</v>
      </c>
      <c r="F4335" t="s">
        <v>41</v>
      </c>
      <c r="G4335">
        <v>-191.7662</v>
      </c>
      <c r="H4335">
        <v>1.00671</v>
      </c>
      <c r="I4335">
        <v>186.38</v>
      </c>
      <c r="J4335">
        <v>-191.7157</v>
      </c>
      <c r="K4335">
        <v>1.1102989999999999</v>
      </c>
      <c r="L4335">
        <v>187.03399999999999</v>
      </c>
      <c r="M4335">
        <v>3.5135149999999997E-2</v>
      </c>
      <c r="N4335">
        <v>-1.2070030000000001E-2</v>
      </c>
      <c r="O4335">
        <v>-0.99931000000000003</v>
      </c>
      <c r="P4335">
        <v>4.7425710000000003E-2</v>
      </c>
      <c r="Q4335">
        <v>0.37897330000000001</v>
      </c>
      <c r="R4335">
        <v>-0.92419180000000001</v>
      </c>
      <c r="S4335">
        <v>-0.20771790000000001</v>
      </c>
      <c r="T4335">
        <v>-0.46140710000000001</v>
      </c>
      <c r="U4335">
        <v>-3.4472499999999999</v>
      </c>
      <c r="V4335">
        <v>-1.449807E-2</v>
      </c>
      <c r="W4335">
        <v>0.39012999999999998</v>
      </c>
      <c r="X4335">
        <v>0.92064559999999995</v>
      </c>
      <c r="Y4335">
        <v>9.4664079999999998E-2</v>
      </c>
      <c r="Z4335">
        <v>0.12014039999999999</v>
      </c>
      <c r="AA4335">
        <v>0.98823329999999998</v>
      </c>
      <c r="AB4335">
        <v>20</v>
      </c>
      <c r="AC4335">
        <v>-5.0499999999999497E-2</v>
      </c>
      <c r="AD4335">
        <v>-0.103588999999999</v>
      </c>
      <c r="AE4335">
        <v>-0.65400000000002401</v>
      </c>
      <c r="AF4335">
        <v>7.1661654862225393E-2</v>
      </c>
      <c r="AG4335">
        <v>-0.103588999999999</v>
      </c>
      <c r="AH4335">
        <v>0.63596105523925595</v>
      </c>
      <c r="AI4335">
        <v>99.194234737961906</v>
      </c>
      <c r="AJ4335">
        <v>83.570890064600604</v>
      </c>
      <c r="AK4335">
        <v>0.64831515289990005</v>
      </c>
      <c r="AL4335">
        <v>67.037410549847195</v>
      </c>
      <c r="AM4335">
        <v>90.902203372798297</v>
      </c>
      <c r="AN4335">
        <v>0.99999996586654105</v>
      </c>
    </row>
    <row r="4336" spans="1:40" x14ac:dyDescent="0.25">
      <c r="A4336" t="str">
        <f>"20190304164214961"</f>
        <v>20190304164214961</v>
      </c>
      <c r="B4336" t="str">
        <f>"1551688934955714"</f>
        <v>1551688934955714</v>
      </c>
      <c r="C4336" t="s">
        <v>40</v>
      </c>
      <c r="D4336">
        <v>4.252605</v>
      </c>
      <c r="E4336">
        <v>0.55412399999999995</v>
      </c>
      <c r="F4336" t="s">
        <v>41</v>
      </c>
      <c r="G4336">
        <v>-191.7671</v>
      </c>
      <c r="H4336">
        <v>0.9991025</v>
      </c>
      <c r="I4336">
        <v>186.20480000000001</v>
      </c>
      <c r="J4336">
        <v>-191.71209999999999</v>
      </c>
      <c r="K4336">
        <v>1.1102959999999999</v>
      </c>
      <c r="L4336">
        <v>186.91569999999999</v>
      </c>
      <c r="M4336">
        <v>3.4675459999999998E-2</v>
      </c>
      <c r="N4336">
        <v>-1.1958470000000001E-2</v>
      </c>
      <c r="O4336">
        <v>-0.99932699999999997</v>
      </c>
      <c r="P4336">
        <v>4.6297379999999999E-2</v>
      </c>
      <c r="Q4336">
        <v>0.37805620000000001</v>
      </c>
      <c r="R4336">
        <v>-0.92462449999999996</v>
      </c>
      <c r="S4336">
        <v>-0.21281430000000001</v>
      </c>
      <c r="T4336">
        <v>-0.46226640000000002</v>
      </c>
      <c r="U4336">
        <v>-3.446564</v>
      </c>
      <c r="V4336">
        <v>-1.379377E-2</v>
      </c>
      <c r="W4336">
        <v>0.3891135</v>
      </c>
      <c r="X4336">
        <v>0.92108650000000003</v>
      </c>
      <c r="Y4336">
        <v>9.5670829999999998E-2</v>
      </c>
      <c r="Z4336">
        <v>0.1205101</v>
      </c>
      <c r="AA4336">
        <v>0.98809130000000001</v>
      </c>
      <c r="AB4336">
        <v>20</v>
      </c>
      <c r="AC4336">
        <v>-5.50000000000068E-2</v>
      </c>
      <c r="AD4336">
        <v>-0.111193499999999</v>
      </c>
      <c r="AE4336">
        <v>-0.71089999999997999</v>
      </c>
      <c r="AF4336">
        <v>7.7729154863349803E-2</v>
      </c>
      <c r="AG4336">
        <v>-0.111193499999999</v>
      </c>
      <c r="AH4336">
        <v>0.69174248305164598</v>
      </c>
      <c r="AI4336">
        <v>99.075682482639493</v>
      </c>
      <c r="AJ4336">
        <v>83.588728069920194</v>
      </c>
      <c r="AK4336">
        <v>0.70492090252487005</v>
      </c>
      <c r="AL4336">
        <v>67.100649060848198</v>
      </c>
      <c r="AM4336">
        <v>90.857971245153195</v>
      </c>
      <c r="AN4336">
        <v>0.99999996222765497</v>
      </c>
    </row>
    <row r="4337" spans="1:40" x14ac:dyDescent="0.25">
      <c r="A4337" t="str">
        <f>"20190304164214973"</f>
        <v>20190304164214973</v>
      </c>
      <c r="B4337" t="str">
        <f>"1551688934965474"</f>
        <v>1551688934965474</v>
      </c>
      <c r="C4337" t="s">
        <v>40</v>
      </c>
      <c r="D4337">
        <v>4.335763</v>
      </c>
      <c r="E4337">
        <v>0.55415389999999998</v>
      </c>
      <c r="F4337" t="s">
        <v>41</v>
      </c>
      <c r="G4337">
        <v>-191.75739999999999</v>
      </c>
      <c r="H4337">
        <v>1.013522</v>
      </c>
      <c r="I4337">
        <v>186.19800000000001</v>
      </c>
      <c r="J4337">
        <v>-191.70910000000001</v>
      </c>
      <c r="K4337">
        <v>1.1102939999999999</v>
      </c>
      <c r="L4337">
        <v>186.81559999999999</v>
      </c>
      <c r="M4337">
        <v>3.4293579999999997E-2</v>
      </c>
      <c r="N4337">
        <v>-1.187293E-2</v>
      </c>
      <c r="O4337">
        <v>-0.99934129999999999</v>
      </c>
      <c r="P4337">
        <v>4.5082030000000002E-2</v>
      </c>
      <c r="Q4337">
        <v>0.37769469999999999</v>
      </c>
      <c r="R4337">
        <v>-0.92483219999999999</v>
      </c>
      <c r="S4337">
        <v>-0.21662899999999999</v>
      </c>
      <c r="T4337">
        <v>-0.46466600000000002</v>
      </c>
      <c r="U4337">
        <v>-3.4454189999999998</v>
      </c>
      <c r="V4337">
        <v>-1.2932880000000001E-2</v>
      </c>
      <c r="W4337">
        <v>0.38867370000000001</v>
      </c>
      <c r="X4337">
        <v>0.92128469999999996</v>
      </c>
      <c r="Y4337">
        <v>9.6393839999999995E-2</v>
      </c>
      <c r="Z4337">
        <v>0.1213079</v>
      </c>
      <c r="AA4337">
        <v>0.98792340000000001</v>
      </c>
      <c r="AB4337">
        <v>20</v>
      </c>
      <c r="AC4337">
        <v>-4.8299999999983301E-2</v>
      </c>
      <c r="AD4337">
        <v>-9.6771999999999997E-2</v>
      </c>
      <c r="AE4337">
        <v>-0.61760000000001003</v>
      </c>
      <c r="AF4337">
        <v>6.7798335439491805E-2</v>
      </c>
      <c r="AG4337">
        <v>-9.6771999999999997E-2</v>
      </c>
      <c r="AH4337">
        <v>0.60091624131802601</v>
      </c>
      <c r="AI4337">
        <v>99.091698581122699</v>
      </c>
      <c r="AJ4337">
        <v>83.562829251817007</v>
      </c>
      <c r="AK4337">
        <v>0.61242286318535699</v>
      </c>
      <c r="AL4337">
        <v>67.128001750183103</v>
      </c>
      <c r="AM4337">
        <v>90.804258197751693</v>
      </c>
      <c r="AN4337">
        <v>1.00000000145543</v>
      </c>
    </row>
    <row r="4338" spans="1:40" x14ac:dyDescent="0.25">
      <c r="A4338" t="str">
        <f>"20190304164214984"</f>
        <v>20190304164214984</v>
      </c>
      <c r="B4338" t="str">
        <f>"1551688934975232"</f>
        <v>1551688934975232</v>
      </c>
      <c r="C4338" t="s">
        <v>40</v>
      </c>
      <c r="D4338">
        <v>4.3018280000000004</v>
      </c>
      <c r="E4338">
        <v>0.55412539999999999</v>
      </c>
      <c r="F4338" t="s">
        <v>41</v>
      </c>
      <c r="G4338">
        <v>-191.76009999999999</v>
      </c>
      <c r="H4338">
        <v>1.0032719999999999</v>
      </c>
      <c r="I4338">
        <v>186.0239</v>
      </c>
      <c r="J4338">
        <v>-191.70609999999999</v>
      </c>
      <c r="K4338">
        <v>1.110287</v>
      </c>
      <c r="L4338">
        <v>186.7122</v>
      </c>
      <c r="M4338">
        <v>3.3899970000000001E-2</v>
      </c>
      <c r="N4338">
        <v>-1.1786680000000001E-2</v>
      </c>
      <c r="O4338">
        <v>-0.99935589999999996</v>
      </c>
      <c r="P4338">
        <v>4.3679589999999997E-2</v>
      </c>
      <c r="Q4338">
        <v>0.37734430000000002</v>
      </c>
      <c r="R4338">
        <v>-0.9250427</v>
      </c>
      <c r="S4338">
        <v>-0.2209778</v>
      </c>
      <c r="T4338">
        <v>-0.4657695</v>
      </c>
      <c r="U4338">
        <v>-3.4448089999999998</v>
      </c>
      <c r="V4338">
        <v>-1.1895380000000001E-2</v>
      </c>
      <c r="W4338">
        <v>0.3882449</v>
      </c>
      <c r="X4338">
        <v>0.92147950000000001</v>
      </c>
      <c r="Y4338">
        <v>9.7251359999999995E-2</v>
      </c>
      <c r="Z4338">
        <v>0.12171940000000001</v>
      </c>
      <c r="AA4338">
        <v>0.98778869999999996</v>
      </c>
      <c r="AB4338">
        <v>20</v>
      </c>
      <c r="AC4338">
        <v>-5.4000000000001998E-2</v>
      </c>
      <c r="AD4338">
        <v>-0.107015</v>
      </c>
      <c r="AE4338">
        <v>-0.68829999999999802</v>
      </c>
      <c r="AF4338">
        <v>7.5490248386677603E-2</v>
      </c>
      <c r="AG4338">
        <v>-0.107015</v>
      </c>
      <c r="AH4338">
        <v>0.66997720158195095</v>
      </c>
      <c r="AI4338">
        <v>99.019029652976499</v>
      </c>
      <c r="AJ4338">
        <v>83.571264117979396</v>
      </c>
      <c r="AK4338">
        <v>0.68265689659305795</v>
      </c>
      <c r="AL4338">
        <v>67.154664909705801</v>
      </c>
      <c r="AM4338">
        <v>90.739590207759804</v>
      </c>
      <c r="AN4338">
        <v>1.0000000356808001</v>
      </c>
    </row>
    <row r="4339" spans="1:40" x14ac:dyDescent="0.25">
      <c r="A4339" t="str">
        <f>"20190304164214995"</f>
        <v>20190304164214995</v>
      </c>
      <c r="B4339" t="str">
        <f>"1551688934985969"</f>
        <v>1551688934985969</v>
      </c>
      <c r="C4339" t="s">
        <v>40</v>
      </c>
      <c r="D4339">
        <v>4.2624659999999999</v>
      </c>
      <c r="E4339">
        <v>0.55406160000000004</v>
      </c>
      <c r="F4339" t="s">
        <v>41</v>
      </c>
      <c r="G4339">
        <v>-191.76259999999999</v>
      </c>
      <c r="H4339">
        <v>0.9934402</v>
      </c>
      <c r="I4339">
        <v>185.8494</v>
      </c>
      <c r="J4339">
        <v>-191.70310000000001</v>
      </c>
      <c r="K4339">
        <v>1.110282</v>
      </c>
      <c r="L4339">
        <v>186.6113</v>
      </c>
      <c r="M4339">
        <v>3.351751E-2</v>
      </c>
      <c r="N4339">
        <v>-1.1708909999999999E-2</v>
      </c>
      <c r="O4339">
        <v>-0.99936959999999997</v>
      </c>
      <c r="P4339">
        <v>4.205602E-2</v>
      </c>
      <c r="Q4339">
        <v>0.3766507</v>
      </c>
      <c r="R4339">
        <v>-0.92540040000000001</v>
      </c>
      <c r="S4339">
        <v>-0.22590640000000001</v>
      </c>
      <c r="T4339">
        <v>-0.46635349999999998</v>
      </c>
      <c r="U4339">
        <v>-3.444</v>
      </c>
      <c r="V4339">
        <v>-1.061955E-2</v>
      </c>
      <c r="W4339">
        <v>0.38748149999999998</v>
      </c>
      <c r="X4339">
        <v>0.92181630000000003</v>
      </c>
      <c r="Y4339">
        <v>9.8290340000000004E-2</v>
      </c>
      <c r="Z4339">
        <v>0.1219816</v>
      </c>
      <c r="AA4339">
        <v>0.98765360000000002</v>
      </c>
      <c r="AB4339">
        <v>20</v>
      </c>
      <c r="AC4339">
        <v>-5.9499999999985599E-2</v>
      </c>
      <c r="AD4339">
        <v>-0.1168418</v>
      </c>
      <c r="AE4339">
        <v>-0.76189999999999702</v>
      </c>
      <c r="AF4339">
        <v>8.3063654137093504E-2</v>
      </c>
      <c r="AG4339">
        <v>-0.1168418</v>
      </c>
      <c r="AH4339">
        <v>0.74212980790305905</v>
      </c>
      <c r="AI4339">
        <v>98.892638598460294</v>
      </c>
      <c r="AJ4339">
        <v>83.613689545163396</v>
      </c>
      <c r="AK4339">
        <v>0.75584934255715097</v>
      </c>
      <c r="AL4339">
        <v>67.202118272598696</v>
      </c>
      <c r="AM4339">
        <v>90.660032243088907</v>
      </c>
      <c r="AN4339">
        <v>0.99999998931507095</v>
      </c>
    </row>
    <row r="4340" spans="1:40" x14ac:dyDescent="0.25">
      <c r="A4340" t="str">
        <f>"20190304164215007"</f>
        <v>20190304164215007</v>
      </c>
      <c r="B4340" t="str">
        <f>"1551688934995730"</f>
        <v>1551688934995730</v>
      </c>
      <c r="C4340" t="s">
        <v>40</v>
      </c>
      <c r="D4340">
        <v>4.3211659999999998</v>
      </c>
      <c r="E4340">
        <v>0.55403429999999998</v>
      </c>
      <c r="F4340" t="s">
        <v>41</v>
      </c>
      <c r="G4340">
        <v>-191.75450000000001</v>
      </c>
      <c r="H4340">
        <v>1.0057739999999999</v>
      </c>
      <c r="I4340">
        <v>185.84360000000001</v>
      </c>
      <c r="J4340">
        <v>-191.70009999999999</v>
      </c>
      <c r="K4340">
        <v>1.110277</v>
      </c>
      <c r="L4340">
        <v>186.50980000000001</v>
      </c>
      <c r="M4340">
        <v>3.3132149999999999E-2</v>
      </c>
      <c r="N4340">
        <v>-1.1633930000000001E-2</v>
      </c>
      <c r="O4340">
        <v>-0.99938320000000003</v>
      </c>
      <c r="P4340">
        <v>4.0346180000000002E-2</v>
      </c>
      <c r="Q4340">
        <v>0.37632769999999999</v>
      </c>
      <c r="R4340">
        <v>-0.92560770000000003</v>
      </c>
      <c r="S4340">
        <v>-0.23075870000000001</v>
      </c>
      <c r="T4340">
        <v>-0.46867160000000002</v>
      </c>
      <c r="U4340">
        <v>-3.4430689999999999</v>
      </c>
      <c r="V4340">
        <v>-9.2638410000000001E-3</v>
      </c>
      <c r="W4340">
        <v>0.3870902</v>
      </c>
      <c r="X4340">
        <v>0.92199529999999996</v>
      </c>
      <c r="Y4340">
        <v>9.9302879999999996E-2</v>
      </c>
      <c r="Z4340">
        <v>0.1227343</v>
      </c>
      <c r="AA4340">
        <v>0.98745899999999998</v>
      </c>
      <c r="AB4340">
        <v>20</v>
      </c>
      <c r="AC4340">
        <v>-5.4400000000015297E-2</v>
      </c>
      <c r="AD4340">
        <v>-0.104503</v>
      </c>
      <c r="AE4340">
        <v>-0.66620000000000301</v>
      </c>
      <c r="AF4340">
        <v>7.4620287592550197E-2</v>
      </c>
      <c r="AG4340">
        <v>-0.104503</v>
      </c>
      <c r="AH4340">
        <v>0.64818775382351401</v>
      </c>
      <c r="AI4340">
        <v>99.099522988479706</v>
      </c>
      <c r="AJ4340">
        <v>83.4329382594386</v>
      </c>
      <c r="AK4340">
        <v>0.66078470664518796</v>
      </c>
      <c r="AL4340">
        <v>67.2264358192663</v>
      </c>
      <c r="AM4340">
        <v>90.575665766398501</v>
      </c>
      <c r="AN4340">
        <v>0.99999998745410101</v>
      </c>
    </row>
    <row r="4341" spans="1:40" x14ac:dyDescent="0.25">
      <c r="A4341" t="str">
        <f>"20190304164215020"</f>
        <v>20190304164215020</v>
      </c>
      <c r="B4341" t="str">
        <f>"1551688935015249"</f>
        <v>1551688935015249</v>
      </c>
      <c r="C4341" t="s">
        <v>40</v>
      </c>
      <c r="D4341">
        <v>4.2976039999999998</v>
      </c>
      <c r="E4341">
        <v>0.55393059999999905</v>
      </c>
      <c r="F4341" t="s">
        <v>41</v>
      </c>
      <c r="G4341">
        <v>-191.7578</v>
      </c>
      <c r="H4341">
        <v>0.99552850000000004</v>
      </c>
      <c r="I4341">
        <v>185.66900000000001</v>
      </c>
      <c r="J4341">
        <v>-191.697</v>
      </c>
      <c r="K4341">
        <v>1.1102669999999999</v>
      </c>
      <c r="L4341">
        <v>186.4014</v>
      </c>
      <c r="M4341">
        <v>3.272017E-2</v>
      </c>
      <c r="N4341">
        <v>-1.1557899999999999E-2</v>
      </c>
      <c r="O4341">
        <v>-0.99939800000000001</v>
      </c>
      <c r="P4341">
        <v>3.866431E-2</v>
      </c>
      <c r="Q4341">
        <v>0.37625649999999999</v>
      </c>
      <c r="R4341">
        <v>-0.92570889999999995</v>
      </c>
      <c r="S4341">
        <v>-0.23568729999999999</v>
      </c>
      <c r="T4341">
        <v>-0.4698349</v>
      </c>
      <c r="U4341">
        <v>-3.4424130000000002</v>
      </c>
      <c r="V4341">
        <v>-7.9621290000000001E-3</v>
      </c>
      <c r="W4341">
        <v>0.38694780000000001</v>
      </c>
      <c r="X4341">
        <v>0.92206730000000003</v>
      </c>
      <c r="Y4341">
        <v>0.10030849999999999</v>
      </c>
      <c r="Z4341">
        <v>0.1231522</v>
      </c>
      <c r="AA4341">
        <v>0.98730530000000005</v>
      </c>
      <c r="AB4341">
        <v>20</v>
      </c>
      <c r="AC4341">
        <v>-6.0800000000000402E-2</v>
      </c>
      <c r="AD4341">
        <v>-0.11473849999999999</v>
      </c>
      <c r="AE4341">
        <v>-0.73239999999998395</v>
      </c>
      <c r="AF4341">
        <v>8.2717084175018094E-2</v>
      </c>
      <c r="AG4341">
        <v>-0.11473849999999999</v>
      </c>
      <c r="AH4341">
        <v>0.71264770362722896</v>
      </c>
      <c r="AI4341">
        <v>99.086333498514307</v>
      </c>
      <c r="AJ4341">
        <v>83.379299507238102</v>
      </c>
      <c r="AK4341">
        <v>0.72654923362552004</v>
      </c>
      <c r="AL4341">
        <v>67.235285801521101</v>
      </c>
      <c r="AM4341">
        <v>90.494741597964605</v>
      </c>
      <c r="AN4341">
        <v>1.0000000505761699</v>
      </c>
    </row>
    <row r="4342" spans="1:40" x14ac:dyDescent="0.25">
      <c r="A4342" t="str">
        <f>"20190304164215030"</f>
        <v>20190304164215030</v>
      </c>
      <c r="B4342" t="str">
        <f>"1551688935025985"</f>
        <v>1551688935025985</v>
      </c>
      <c r="C4342" t="s">
        <v>40</v>
      </c>
      <c r="D4342">
        <v>4.3486929999999999</v>
      </c>
      <c r="E4342">
        <v>0.55389049999999995</v>
      </c>
      <c r="F4342" t="s">
        <v>41</v>
      </c>
      <c r="G4342">
        <v>-191.74879999999999</v>
      </c>
      <c r="H4342">
        <v>1.009466</v>
      </c>
      <c r="I4342">
        <v>185.66249999999999</v>
      </c>
      <c r="J4342">
        <v>-191.69399999999999</v>
      </c>
      <c r="K4342">
        <v>1.11026</v>
      </c>
      <c r="L4342">
        <v>186.2929</v>
      </c>
      <c r="M4342">
        <v>3.2304769999999997E-2</v>
      </c>
      <c r="N4342">
        <v>-1.148741E-2</v>
      </c>
      <c r="O4342">
        <v>-0.99941210000000003</v>
      </c>
      <c r="P4342">
        <v>3.676604E-2</v>
      </c>
      <c r="Q4342">
        <v>0.37601760000000001</v>
      </c>
      <c r="R4342">
        <v>-0.92588280000000001</v>
      </c>
      <c r="S4342">
        <v>-0.240448</v>
      </c>
      <c r="T4342">
        <v>-0.46952080000000002</v>
      </c>
      <c r="U4342">
        <v>-3.4416199999999999</v>
      </c>
      <c r="V4342">
        <v>-6.4434890000000002E-3</v>
      </c>
      <c r="W4342">
        <v>0.38664389999999998</v>
      </c>
      <c r="X4342">
        <v>0.92220659999999999</v>
      </c>
      <c r="Y4342">
        <v>0.1012694</v>
      </c>
      <c r="Z4342">
        <v>0.1231539</v>
      </c>
      <c r="AA4342">
        <v>0.98720699999999995</v>
      </c>
      <c r="AB4342">
        <v>20</v>
      </c>
      <c r="AC4342">
        <v>-5.4799999999971698E-2</v>
      </c>
      <c r="AD4342">
        <v>-0.10079399999999999</v>
      </c>
      <c r="AE4342">
        <v>-0.63040000000000795</v>
      </c>
      <c r="AF4342">
        <v>7.3278389914E-2</v>
      </c>
      <c r="AG4342">
        <v>-0.10079399999999999</v>
      </c>
      <c r="AH4342">
        <v>0.61275327682912495</v>
      </c>
      <c r="AI4342">
        <v>99.276202731559096</v>
      </c>
      <c r="AJ4342">
        <v>83.180456902030102</v>
      </c>
      <c r="AK4342">
        <v>0.62529651456666402</v>
      </c>
      <c r="AL4342">
        <v>67.254166879642099</v>
      </c>
      <c r="AM4342">
        <v>90.4003210533469</v>
      </c>
      <c r="AN4342">
        <v>1.0000000185206299</v>
      </c>
    </row>
    <row r="4343" spans="1:40" x14ac:dyDescent="0.25">
      <c r="A4343" t="str">
        <f>"20190304164215046"</f>
        <v>20190304164215046</v>
      </c>
      <c r="B4343" t="str">
        <f>"1551688935035745"</f>
        <v>1551688935035745</v>
      </c>
      <c r="C4343" t="s">
        <v>40</v>
      </c>
      <c r="D4343">
        <v>4.3785129999999999</v>
      </c>
      <c r="E4343">
        <v>0.55385879999999998</v>
      </c>
      <c r="F4343" t="s">
        <v>41</v>
      </c>
      <c r="G4343">
        <v>-191.75149999999999</v>
      </c>
      <c r="H4343">
        <v>1.000197</v>
      </c>
      <c r="I4343">
        <v>185.4872</v>
      </c>
      <c r="J4343">
        <v>-191.69030000000001</v>
      </c>
      <c r="K4343">
        <v>1.11025</v>
      </c>
      <c r="L4343">
        <v>186.16</v>
      </c>
      <c r="M4343">
        <v>3.1794290000000003E-2</v>
      </c>
      <c r="N4343">
        <v>-1.140567E-2</v>
      </c>
      <c r="O4343">
        <v>-0.99942949999999997</v>
      </c>
      <c r="P4343">
        <v>3.3464430000000003E-2</v>
      </c>
      <c r="Q4343">
        <v>0.37635619999999997</v>
      </c>
      <c r="R4343">
        <v>-0.92587059999999999</v>
      </c>
      <c r="S4343">
        <v>-0.24557499999999999</v>
      </c>
      <c r="T4343">
        <v>-0.47009970000000001</v>
      </c>
      <c r="U4343">
        <v>-3.4408259999999999</v>
      </c>
      <c r="V4343">
        <v>-3.6150539999999999E-3</v>
      </c>
      <c r="W4343">
        <v>0.38690239999999998</v>
      </c>
      <c r="X4343">
        <v>0.92211359999999998</v>
      </c>
      <c r="Y4343">
        <v>0.1022381</v>
      </c>
      <c r="Z4343">
        <v>0.12341829999999999</v>
      </c>
      <c r="AA4343">
        <v>0.98707409999999995</v>
      </c>
      <c r="AB4343">
        <v>20</v>
      </c>
      <c r="AC4343">
        <v>-6.1199999999985197E-2</v>
      </c>
      <c r="AD4343">
        <v>-0.110052999999999</v>
      </c>
      <c r="AE4343">
        <v>-0.67279999999999496</v>
      </c>
      <c r="AF4343">
        <v>8.0427335511928003E-2</v>
      </c>
      <c r="AG4343">
        <v>-0.110052999999999</v>
      </c>
      <c r="AH4343">
        <v>0.653180375046298</v>
      </c>
      <c r="AI4343">
        <v>99.493444758021894</v>
      </c>
      <c r="AJ4343">
        <v>82.980395775017897</v>
      </c>
      <c r="AK4343">
        <v>0.66725169273083895</v>
      </c>
      <c r="AL4343">
        <v>67.238105859455302</v>
      </c>
      <c r="AM4343">
        <v>90.224621213450703</v>
      </c>
      <c r="AN4343">
        <v>1.00000001352307</v>
      </c>
    </row>
    <row r="4344" spans="1:40" x14ac:dyDescent="0.25">
      <c r="A4344" t="str">
        <f>"20190304164215059"</f>
        <v>20190304164215059</v>
      </c>
      <c r="B4344" t="str">
        <f>"1551688935055265"</f>
        <v>1551688935055265</v>
      </c>
      <c r="C4344" t="s">
        <v>40</v>
      </c>
      <c r="D4344">
        <v>4.376163</v>
      </c>
      <c r="E4344">
        <v>0.55376899999999996</v>
      </c>
      <c r="F4344" t="s">
        <v>41</v>
      </c>
      <c r="G4344">
        <v>-191.7533</v>
      </c>
      <c r="H4344">
        <v>0.99435770000000001</v>
      </c>
      <c r="I4344">
        <v>185.31010000000001</v>
      </c>
      <c r="J4344">
        <v>-191.68709999999999</v>
      </c>
      <c r="K4344">
        <v>1.1102430000000001</v>
      </c>
      <c r="L4344">
        <v>186.0444</v>
      </c>
      <c r="M4344">
        <v>3.134663E-2</v>
      </c>
      <c r="N4344">
        <v>-1.1340039999999999E-2</v>
      </c>
      <c r="O4344">
        <v>-0.99944449999999996</v>
      </c>
      <c r="P4344">
        <v>3.1487510000000003E-2</v>
      </c>
      <c r="Q4344">
        <v>0.37643310000000002</v>
      </c>
      <c r="R4344">
        <v>-0.92590879999999998</v>
      </c>
      <c r="S4344">
        <v>-0.25402829999999998</v>
      </c>
      <c r="T4344">
        <v>-0.46913050000000001</v>
      </c>
      <c r="U4344">
        <v>-3.4400629999999999</v>
      </c>
      <c r="V4344">
        <v>-2.0492710000000001E-3</v>
      </c>
      <c r="W4344">
        <v>0.38691740000000002</v>
      </c>
      <c r="X4344">
        <v>0.92211209999999999</v>
      </c>
      <c r="Y4344">
        <v>0.10422149999999999</v>
      </c>
      <c r="Z4344">
        <v>0.1232166</v>
      </c>
      <c r="AA4344">
        <v>0.98689190000000004</v>
      </c>
      <c r="AB4344">
        <v>20</v>
      </c>
      <c r="AC4344">
        <v>-6.6200000000009099E-2</v>
      </c>
      <c r="AD4344">
        <v>-0.1158853</v>
      </c>
      <c r="AE4344">
        <v>-0.73429999999998996</v>
      </c>
      <c r="AF4344">
        <v>8.7036485956242401E-2</v>
      </c>
      <c r="AG4344">
        <v>-0.1158853</v>
      </c>
      <c r="AH4344">
        <v>0.71421867242884096</v>
      </c>
      <c r="AI4344">
        <v>99.149659162444195</v>
      </c>
      <c r="AJ4344">
        <v>83.052050321377195</v>
      </c>
      <c r="AK4344">
        <v>0.72877504395369996</v>
      </c>
      <c r="AL4344">
        <v>67.237173496030493</v>
      </c>
      <c r="AM4344">
        <v>90.127332008851198</v>
      </c>
      <c r="AN4344">
        <v>0.99999999945039997</v>
      </c>
    </row>
    <row r="4345" spans="1:40" x14ac:dyDescent="0.25">
      <c r="A4345" t="str">
        <f>"20190304164215069"</f>
        <v>20190304164215069</v>
      </c>
      <c r="B4345" t="str">
        <f>"1551688935065025"</f>
        <v>1551688935065025</v>
      </c>
      <c r="C4345" t="s">
        <v>40</v>
      </c>
      <c r="D4345">
        <v>4.3581180000000002</v>
      </c>
      <c r="E4345">
        <v>0.55371059999999905</v>
      </c>
      <c r="F4345" t="s">
        <v>41</v>
      </c>
      <c r="G4345">
        <v>-191.7432</v>
      </c>
      <c r="H4345">
        <v>1.009355</v>
      </c>
      <c r="I4345">
        <v>185.3031</v>
      </c>
      <c r="J4345">
        <v>-191.68469999999999</v>
      </c>
      <c r="K4345">
        <v>1.1102379999999901</v>
      </c>
      <c r="L4345">
        <v>185.9539</v>
      </c>
      <c r="M4345">
        <v>3.099352E-2</v>
      </c>
      <c r="N4345">
        <v>-1.129286E-2</v>
      </c>
      <c r="O4345">
        <v>-0.99945589999999995</v>
      </c>
      <c r="P4345">
        <v>2.971793E-2</v>
      </c>
      <c r="Q4345">
        <v>0.37653429999999999</v>
      </c>
      <c r="R4345">
        <v>-0.92592629999999998</v>
      </c>
      <c r="S4345">
        <v>-0.25929259999999998</v>
      </c>
      <c r="T4345">
        <v>-0.46815600000000002</v>
      </c>
      <c r="U4345">
        <v>-3.4392089999999902</v>
      </c>
      <c r="V4345">
        <v>-6.039687E-4</v>
      </c>
      <c r="W4345">
        <v>0.38697280000000001</v>
      </c>
      <c r="X4345">
        <v>0.92209090000000005</v>
      </c>
      <c r="Y4345">
        <v>0.10539179999999999</v>
      </c>
      <c r="Z4345">
        <v>0.1230077</v>
      </c>
      <c r="AA4345">
        <v>0.98679360000000005</v>
      </c>
      <c r="AB4345">
        <v>20</v>
      </c>
      <c r="AC4345">
        <v>-5.8500000000009302E-2</v>
      </c>
      <c r="AD4345">
        <v>-0.100882999999999</v>
      </c>
      <c r="AE4345">
        <v>-0.65080000000000304</v>
      </c>
      <c r="AF4345">
        <v>7.6812796627278607E-2</v>
      </c>
      <c r="AG4345">
        <v>-0.100882999999999</v>
      </c>
      <c r="AH4345">
        <v>0.63357181853184696</v>
      </c>
      <c r="AI4345">
        <v>98.982508505071905</v>
      </c>
      <c r="AJ4345">
        <v>83.087327964554305</v>
      </c>
      <c r="AK4345">
        <v>0.64613530676821496</v>
      </c>
      <c r="AL4345">
        <v>67.233730460302198</v>
      </c>
      <c r="AM4345">
        <v>90.037528678050293</v>
      </c>
      <c r="AN4345">
        <v>0.99999997029041898</v>
      </c>
    </row>
    <row r="4346" spans="1:40" x14ac:dyDescent="0.25">
      <c r="A4346" t="str">
        <f>"20190304164215081"</f>
        <v>20190304164215081</v>
      </c>
      <c r="B4346" t="str">
        <f>"1551688935075762"</f>
        <v>1551688935075762</v>
      </c>
      <c r="C4346" t="s">
        <v>40</v>
      </c>
      <c r="D4346">
        <v>4.3337909999999997</v>
      </c>
      <c r="E4346">
        <v>0.55360390000000004</v>
      </c>
      <c r="F4346" t="s">
        <v>41</v>
      </c>
      <c r="G4346">
        <v>-191.7484</v>
      </c>
      <c r="H4346">
        <v>0.99799740000000003</v>
      </c>
      <c r="I4346">
        <v>185.1284</v>
      </c>
      <c r="J4346">
        <v>-191.6816</v>
      </c>
      <c r="K4346">
        <v>1.1102350000000001</v>
      </c>
      <c r="L4346">
        <v>185.8382</v>
      </c>
      <c r="M4346">
        <v>3.0540459999999998E-2</v>
      </c>
      <c r="N4346">
        <v>-1.123472E-2</v>
      </c>
      <c r="O4346">
        <v>-0.99947019999999998</v>
      </c>
      <c r="P4346">
        <v>2.7779430000000001E-2</v>
      </c>
      <c r="Q4346">
        <v>0.3765674</v>
      </c>
      <c r="R4346">
        <v>-0.92597260000000003</v>
      </c>
      <c r="S4346">
        <v>-0.26489259999999998</v>
      </c>
      <c r="T4346">
        <v>-0.46759460000000003</v>
      </c>
      <c r="U4346">
        <v>-3.43866</v>
      </c>
      <c r="V4346">
        <v>9.1881820000000003E-4</v>
      </c>
      <c r="W4346">
        <v>0.38695079999999998</v>
      </c>
      <c r="X4346">
        <v>0.92209989999999997</v>
      </c>
      <c r="Y4346">
        <v>0.1065511</v>
      </c>
      <c r="Z4346">
        <v>0.1229145</v>
      </c>
      <c r="AA4346">
        <v>0.98668069999999997</v>
      </c>
      <c r="AB4346">
        <v>20</v>
      </c>
      <c r="AC4346">
        <v>-6.6800000000000595E-2</v>
      </c>
      <c r="AD4346">
        <v>-0.11223760000000001</v>
      </c>
      <c r="AE4346">
        <v>-0.70980000000000099</v>
      </c>
      <c r="AF4346">
        <v>8.6308732477636999E-2</v>
      </c>
      <c r="AG4346">
        <v>-0.11223760000000001</v>
      </c>
      <c r="AH4346">
        <v>0.69031959651957997</v>
      </c>
      <c r="AI4346">
        <v>99.1646641730932</v>
      </c>
      <c r="AJ4346">
        <v>82.873448678832702</v>
      </c>
      <c r="AK4346">
        <v>0.70468973420549497</v>
      </c>
      <c r="AL4346">
        <v>67.235098074075196</v>
      </c>
      <c r="AM4346">
        <v>89.9429081517345</v>
      </c>
      <c r="AN4346">
        <v>0.99999999571376696</v>
      </c>
    </row>
    <row r="4347" spans="1:40" x14ac:dyDescent="0.25">
      <c r="A4347" t="str">
        <f>"20190304164215093"</f>
        <v>20190304164215093</v>
      </c>
      <c r="B4347" t="str">
        <f>"1551688935085521"</f>
        <v>1551688935085521</v>
      </c>
      <c r="C4347" t="s">
        <v>40</v>
      </c>
      <c r="D4347">
        <v>4.326168</v>
      </c>
      <c r="E4347">
        <v>0.55349199999999998</v>
      </c>
      <c r="F4347" t="s">
        <v>41</v>
      </c>
      <c r="G4347">
        <v>-191.73820000000001</v>
      </c>
      <c r="H4347">
        <v>1.01292</v>
      </c>
      <c r="I4347">
        <v>185.1215</v>
      </c>
      <c r="J4347">
        <v>-191.679</v>
      </c>
      <c r="K4347">
        <v>1.110233</v>
      </c>
      <c r="L4347">
        <v>185.73849999999999</v>
      </c>
      <c r="M4347">
        <v>3.0146559999999999E-2</v>
      </c>
      <c r="N4347">
        <v>-1.119057E-2</v>
      </c>
      <c r="O4347">
        <v>-0.99948289999999995</v>
      </c>
      <c r="P4347">
        <v>2.643827E-2</v>
      </c>
      <c r="Q4347">
        <v>0.37655319999999998</v>
      </c>
      <c r="R4347">
        <v>-0.92601789999999995</v>
      </c>
      <c r="S4347">
        <v>-0.27069090000000001</v>
      </c>
      <c r="T4347">
        <v>-0.46685579999999999</v>
      </c>
      <c r="U4347">
        <v>-3.4378359999999999</v>
      </c>
      <c r="V4347">
        <v>1.8989390000000001E-3</v>
      </c>
      <c r="W4347">
        <v>0.38689459999999998</v>
      </c>
      <c r="X4347">
        <v>0.922122</v>
      </c>
      <c r="Y4347">
        <v>0.1078322</v>
      </c>
      <c r="Z4347">
        <v>0.122765899999999</v>
      </c>
      <c r="AA4347">
        <v>0.98655999999999999</v>
      </c>
      <c r="AB4347">
        <v>20</v>
      </c>
      <c r="AC4347">
        <v>-5.9200000000004097E-2</v>
      </c>
      <c r="AD4347">
        <v>-9.73129999999999E-2</v>
      </c>
      <c r="AE4347">
        <v>-0.61699999999999</v>
      </c>
      <c r="AF4347">
        <v>7.5903762401895697E-2</v>
      </c>
      <c r="AG4347">
        <v>-9.73129999999999E-2</v>
      </c>
      <c r="AH4347">
        <v>0.60014210505225896</v>
      </c>
      <c r="AI4347">
        <v>99.138783368163303</v>
      </c>
      <c r="AJ4347">
        <v>82.791713508835201</v>
      </c>
      <c r="AK4347">
        <v>0.61270037324316995</v>
      </c>
      <c r="AL4347">
        <v>67.238590429657904</v>
      </c>
      <c r="AM4347">
        <v>89.882010150009705</v>
      </c>
      <c r="AN4347">
        <v>1.0000000101812401</v>
      </c>
    </row>
    <row r="4348" spans="1:40" x14ac:dyDescent="0.25">
      <c r="A4348" t="str">
        <f>"20190304164215106"</f>
        <v>20190304164215106</v>
      </c>
      <c r="B4348" t="str">
        <f>"1551688935095281"</f>
        <v>1551688935095281</v>
      </c>
      <c r="C4348" t="s">
        <v>40</v>
      </c>
      <c r="D4348">
        <v>4.3713340000000001</v>
      </c>
      <c r="E4348">
        <v>0.55340800000000001</v>
      </c>
      <c r="F4348" t="s">
        <v>41</v>
      </c>
      <c r="G4348">
        <v>-191.74270000000001</v>
      </c>
      <c r="H4348">
        <v>1.0026790000000001</v>
      </c>
      <c r="I4348">
        <v>184.946</v>
      </c>
      <c r="J4348">
        <v>-191.67590000000001</v>
      </c>
      <c r="K4348">
        <v>1.110231</v>
      </c>
      <c r="L4348">
        <v>185.6183</v>
      </c>
      <c r="M4348">
        <v>2.967003E-2</v>
      </c>
      <c r="N4348">
        <v>-1.1139299999999901E-2</v>
      </c>
      <c r="O4348">
        <v>-0.99949770000000004</v>
      </c>
      <c r="P4348">
        <v>2.462232E-2</v>
      </c>
      <c r="Q4348">
        <v>0.37640839999999998</v>
      </c>
      <c r="R4348">
        <v>-0.92612709999999998</v>
      </c>
      <c r="S4348">
        <v>-0.2751923</v>
      </c>
      <c r="T4348">
        <v>-0.46653749999999999</v>
      </c>
      <c r="U4348">
        <v>-3.4372410000000002</v>
      </c>
      <c r="V4348">
        <v>3.2792239999999999E-3</v>
      </c>
      <c r="W4348">
        <v>0.38670149999999998</v>
      </c>
      <c r="X4348">
        <v>0.92219910000000005</v>
      </c>
      <c r="Y4348">
        <v>0.1086556</v>
      </c>
      <c r="Z4348">
        <v>0.1227398</v>
      </c>
      <c r="AA4348">
        <v>0.98647300000000004</v>
      </c>
      <c r="AB4348">
        <v>20</v>
      </c>
      <c r="AC4348">
        <v>-6.6800000000000595E-2</v>
      </c>
      <c r="AD4348">
        <v>-0.107551999999999</v>
      </c>
      <c r="AE4348">
        <v>-0.672300000000007</v>
      </c>
      <c r="AF4348">
        <v>8.4575653235566206E-2</v>
      </c>
      <c r="AG4348">
        <v>-0.107551999999999</v>
      </c>
      <c r="AH4348">
        <v>0.65346174617547803</v>
      </c>
      <c r="AI4348">
        <v>99.270441727200094</v>
      </c>
      <c r="AJ4348">
        <v>82.625369942544594</v>
      </c>
      <c r="AK4348">
        <v>0.66763217982578404</v>
      </c>
      <c r="AL4348">
        <v>67.250587645642099</v>
      </c>
      <c r="AM4348">
        <v>89.796264273741599</v>
      </c>
      <c r="AN4348">
        <v>0.99999999172655096</v>
      </c>
    </row>
    <row r="4349" spans="1:40" x14ac:dyDescent="0.25">
      <c r="A4349" t="str">
        <f>"20190304164215118"</f>
        <v>20190304164215118</v>
      </c>
      <c r="B4349" t="str">
        <f>"1551688935115777"</f>
        <v>1551688935115777</v>
      </c>
      <c r="C4349" t="s">
        <v>40</v>
      </c>
      <c r="D4349">
        <v>4.3291089999999999</v>
      </c>
      <c r="E4349">
        <v>0.55314079999999999</v>
      </c>
      <c r="F4349" t="s">
        <v>41</v>
      </c>
      <c r="G4349">
        <v>-191.7456</v>
      </c>
      <c r="H4349">
        <v>0.99494119999999997</v>
      </c>
      <c r="I4349">
        <v>184.76920000000001</v>
      </c>
      <c r="J4349">
        <v>-191.673</v>
      </c>
      <c r="K4349">
        <v>1.110228</v>
      </c>
      <c r="L4349">
        <v>185.50210000000001</v>
      </c>
      <c r="M4349">
        <v>2.92082E-2</v>
      </c>
      <c r="N4349">
        <v>-1.1093779999999999E-2</v>
      </c>
      <c r="O4349">
        <v>-0.99951179999999995</v>
      </c>
      <c r="P4349">
        <v>2.3089829999999999E-2</v>
      </c>
      <c r="Q4349">
        <v>0.37583050000000001</v>
      </c>
      <c r="R4349">
        <v>-0.92640069999999997</v>
      </c>
      <c r="S4349">
        <v>-0.28199770000000002</v>
      </c>
      <c r="T4349">
        <v>-0.4666054</v>
      </c>
      <c r="U4349">
        <v>-3.4364469999999998</v>
      </c>
      <c r="V4349">
        <v>4.3934459999999996E-3</v>
      </c>
      <c r="W4349">
        <v>0.38608310000000001</v>
      </c>
      <c r="X4349">
        <v>0.92245350000000004</v>
      </c>
      <c r="Y4349">
        <v>0.110153399999999</v>
      </c>
      <c r="Z4349">
        <v>0.12281549999999999</v>
      </c>
      <c r="AA4349">
        <v>0.98629739999999999</v>
      </c>
      <c r="AB4349">
        <v>20</v>
      </c>
      <c r="AC4349">
        <v>-7.2599999999994197E-2</v>
      </c>
      <c r="AD4349">
        <v>-0.115286799999999</v>
      </c>
      <c r="AE4349">
        <v>-0.7329</v>
      </c>
      <c r="AF4349">
        <v>9.1729334238574406E-2</v>
      </c>
      <c r="AG4349">
        <v>-0.115286799999999</v>
      </c>
      <c r="AH4349">
        <v>0.71299570038543802</v>
      </c>
      <c r="AI4349">
        <v>99.111045193989995</v>
      </c>
      <c r="AJ4349">
        <v>82.668972102903894</v>
      </c>
      <c r="AK4349">
        <v>0.728057817609435</v>
      </c>
      <c r="AL4349">
        <v>67.289002160161004</v>
      </c>
      <c r="AM4349">
        <v>89.727114689301601</v>
      </c>
      <c r="AN4349">
        <v>0.99999996106780598</v>
      </c>
    </row>
    <row r="4350" spans="1:40" x14ac:dyDescent="0.25">
      <c r="A4350" t="str">
        <f>"20190304164215132"</f>
        <v>20190304164215132</v>
      </c>
      <c r="B4350" t="str">
        <f>"1551688935125537"</f>
        <v>1551688935125537</v>
      </c>
      <c r="C4350" t="s">
        <v>40</v>
      </c>
      <c r="D4350">
        <v>4.4198629999999897</v>
      </c>
      <c r="E4350">
        <v>0.55304580000000003</v>
      </c>
      <c r="F4350" t="s">
        <v>41</v>
      </c>
      <c r="G4350">
        <v>-191.73480000000001</v>
      </c>
      <c r="H4350">
        <v>1.009436</v>
      </c>
      <c r="I4350">
        <v>184.76249999999999</v>
      </c>
      <c r="J4350">
        <v>-191.67</v>
      </c>
      <c r="K4350">
        <v>1.110222</v>
      </c>
      <c r="L4350">
        <v>185.3811</v>
      </c>
      <c r="M4350">
        <v>2.8726910000000001E-2</v>
      </c>
      <c r="N4350">
        <v>-1.105072E-2</v>
      </c>
      <c r="O4350">
        <v>-0.99952629999999998</v>
      </c>
      <c r="P4350">
        <v>2.1739709999999999E-2</v>
      </c>
      <c r="Q4350">
        <v>0.37532290000000001</v>
      </c>
      <c r="R4350">
        <v>-0.92663930000000005</v>
      </c>
      <c r="S4350">
        <v>-0.2870026</v>
      </c>
      <c r="T4350">
        <v>-0.46812819999999999</v>
      </c>
      <c r="U4350">
        <v>-3.4353940000000001</v>
      </c>
      <c r="V4350">
        <v>5.3051729999999998E-3</v>
      </c>
      <c r="W4350">
        <v>0.38553720000000002</v>
      </c>
      <c r="X4350">
        <v>0.92267699999999997</v>
      </c>
      <c r="Y4350">
        <v>0.1111207</v>
      </c>
      <c r="Z4350">
        <v>0.1233157</v>
      </c>
      <c r="AA4350">
        <v>0.98612650000000002</v>
      </c>
      <c r="AB4350">
        <v>20</v>
      </c>
      <c r="AC4350">
        <v>-6.4800000000019495E-2</v>
      </c>
      <c r="AD4350">
        <v>-0.100786</v>
      </c>
      <c r="AE4350">
        <v>-0.61860000000001403</v>
      </c>
      <c r="AF4350">
        <v>8.0432897170586104E-2</v>
      </c>
      <c r="AG4350">
        <v>-0.100786</v>
      </c>
      <c r="AH4350">
        <v>0.60071035175652299</v>
      </c>
      <c r="AI4350">
        <v>99.441544446503499</v>
      </c>
      <c r="AJ4350">
        <v>82.373666428065903</v>
      </c>
      <c r="AK4350">
        <v>0.61439416944718805</v>
      </c>
      <c r="AL4350">
        <v>67.322904745738199</v>
      </c>
      <c r="AM4350">
        <v>89.670566543986794</v>
      </c>
      <c r="AN4350">
        <v>0.99999996188669904</v>
      </c>
    </row>
    <row r="4351" spans="1:40" x14ac:dyDescent="0.25">
      <c r="A4351" t="str">
        <f>"20190304164215147"</f>
        <v>20190304164215147</v>
      </c>
      <c r="B4351" t="str">
        <f>"1551688935135820"</f>
        <v>1551688935135820</v>
      </c>
      <c r="C4351" t="s">
        <v>40</v>
      </c>
      <c r="D4351">
        <v>4.4067860000000003</v>
      </c>
      <c r="E4351">
        <v>0.55296099999999904</v>
      </c>
      <c r="F4351" t="s">
        <v>41</v>
      </c>
      <c r="G4351">
        <v>-191.7379</v>
      </c>
      <c r="H4351">
        <v>1.001501</v>
      </c>
      <c r="I4351">
        <v>184.5855</v>
      </c>
      <c r="J4351">
        <v>-191.66679999999999</v>
      </c>
      <c r="K4351">
        <v>1.110212</v>
      </c>
      <c r="L4351">
        <v>185.25239999999999</v>
      </c>
      <c r="M4351">
        <v>2.821779E-2</v>
      </c>
      <c r="N4351">
        <v>-1.100571E-2</v>
      </c>
      <c r="O4351">
        <v>-0.99954129999999997</v>
      </c>
      <c r="P4351">
        <v>1.9129509999999999E-2</v>
      </c>
      <c r="Q4351">
        <v>0.37419720000000001</v>
      </c>
      <c r="R4351">
        <v>-0.92715199999999998</v>
      </c>
      <c r="S4351">
        <v>-0.29243469999999999</v>
      </c>
      <c r="T4351">
        <v>-0.46938380000000002</v>
      </c>
      <c r="U4351">
        <v>-3.4344790000000001</v>
      </c>
      <c r="V4351">
        <v>7.4562559999999996E-3</v>
      </c>
      <c r="W4351">
        <v>0.38437280000000001</v>
      </c>
      <c r="X4351">
        <v>0.92314790000000002</v>
      </c>
      <c r="Y4351">
        <v>0.1121798</v>
      </c>
      <c r="Z4351">
        <v>0.12373580000000001</v>
      </c>
      <c r="AA4351">
        <v>0.98595390000000005</v>
      </c>
      <c r="AB4351">
        <v>20</v>
      </c>
      <c r="AC4351">
        <v>-7.1100000000001204E-2</v>
      </c>
      <c r="AD4351">
        <v>-0.108710999999999</v>
      </c>
      <c r="AE4351">
        <v>-0.66689999999999805</v>
      </c>
      <c r="AF4351">
        <v>8.7589975992254196E-2</v>
      </c>
      <c r="AG4351">
        <v>-0.108710999999999</v>
      </c>
      <c r="AH4351">
        <v>0.64761297503785997</v>
      </c>
      <c r="AI4351">
        <v>99.444643015591893</v>
      </c>
      <c r="AJ4351">
        <v>82.297457233405495</v>
      </c>
      <c r="AK4351">
        <v>0.66248973641310904</v>
      </c>
      <c r="AL4351">
        <v>67.395192637054905</v>
      </c>
      <c r="AM4351">
        <v>89.537232647103906</v>
      </c>
      <c r="AN4351">
        <v>1.00000004520389</v>
      </c>
    </row>
    <row r="4352" spans="1:40" x14ac:dyDescent="0.25">
      <c r="A4352" t="str">
        <f>"20190304164215159"</f>
        <v>20190304164215159</v>
      </c>
      <c r="B4352" t="str">
        <f>"1551688935155324"</f>
        <v>1551688935155324</v>
      </c>
      <c r="C4352" t="s">
        <v>40</v>
      </c>
      <c r="D4352">
        <v>4.4057069999999996</v>
      </c>
      <c r="E4352">
        <v>0.55272670000000002</v>
      </c>
      <c r="F4352" t="s">
        <v>41</v>
      </c>
      <c r="G4352">
        <v>-191.74170000000001</v>
      </c>
      <c r="H4352">
        <v>0.99393279999999995</v>
      </c>
      <c r="I4352">
        <v>184.40809999999999</v>
      </c>
      <c r="J4352">
        <v>-191.66419999999999</v>
      </c>
      <c r="K4352">
        <v>1.1102030000000001</v>
      </c>
      <c r="L4352">
        <v>185.14340000000001</v>
      </c>
      <c r="M4352">
        <v>2.7789959999999999E-2</v>
      </c>
      <c r="N4352">
        <v>-1.096683E-2</v>
      </c>
      <c r="O4352">
        <v>-0.99955369999999999</v>
      </c>
      <c r="P4352">
        <v>1.8024209999999999E-2</v>
      </c>
      <c r="Q4352">
        <v>0.37346079999999998</v>
      </c>
      <c r="R4352">
        <v>-0.92747089999999999</v>
      </c>
      <c r="S4352">
        <v>-0.30430600000000002</v>
      </c>
      <c r="T4352">
        <v>-0.47278439999999999</v>
      </c>
      <c r="U4352">
        <v>-3.4328159999999999</v>
      </c>
      <c r="V4352">
        <v>8.1711800000000001E-3</v>
      </c>
      <c r="W4352">
        <v>0.38360309999999997</v>
      </c>
      <c r="X4352">
        <v>0.92346189999999995</v>
      </c>
      <c r="Y4352">
        <v>0.1151644</v>
      </c>
      <c r="Z4352">
        <v>0.1247567</v>
      </c>
      <c r="AA4352">
        <v>0.9854811</v>
      </c>
      <c r="AB4352">
        <v>20</v>
      </c>
      <c r="AC4352">
        <v>-7.7500000000014696E-2</v>
      </c>
      <c r="AD4352">
        <v>-0.116270199999999</v>
      </c>
      <c r="AE4352">
        <v>-0.73530000000002305</v>
      </c>
      <c r="AF4352">
        <v>9.5542560355015294E-2</v>
      </c>
      <c r="AG4352">
        <v>-0.116270199999999</v>
      </c>
      <c r="AH4352">
        <v>0.71517640340100297</v>
      </c>
      <c r="AI4352">
        <v>99.154172306754106</v>
      </c>
      <c r="AJ4352">
        <v>82.390739270395997</v>
      </c>
      <c r="AK4352">
        <v>0.73083816828955095</v>
      </c>
      <c r="AL4352">
        <v>67.4429535034228</v>
      </c>
      <c r="AM4352">
        <v>89.493036031351295</v>
      </c>
      <c r="AN4352">
        <v>0.99999999363190595</v>
      </c>
    </row>
    <row r="4353" spans="1:40" x14ac:dyDescent="0.25">
      <c r="A4353" t="str">
        <f>"20190304164215170"</f>
        <v>20190304164215170</v>
      </c>
      <c r="B4353" t="str">
        <f>"1551688935165084"</f>
        <v>1551688935165084</v>
      </c>
      <c r="C4353" t="s">
        <v>40</v>
      </c>
      <c r="D4353">
        <v>4.3792019999999896</v>
      </c>
      <c r="E4353">
        <v>0.55261800000000005</v>
      </c>
      <c r="F4353" t="s">
        <v>41</v>
      </c>
      <c r="G4353">
        <v>-191.73099999999999</v>
      </c>
      <c r="H4353">
        <v>1.0076670000000001</v>
      </c>
      <c r="I4353">
        <v>184.40180000000001</v>
      </c>
      <c r="J4353">
        <v>-191.6618</v>
      </c>
      <c r="K4353">
        <v>1.1101920000000001</v>
      </c>
      <c r="L4353">
        <v>185.03960000000001</v>
      </c>
      <c r="M4353">
        <v>2.7389739999999999E-2</v>
      </c>
      <c r="N4353">
        <v>-1.092883E-2</v>
      </c>
      <c r="O4353">
        <v>-0.99956540000000005</v>
      </c>
      <c r="P4353">
        <v>1.658366E-2</v>
      </c>
      <c r="Q4353">
        <v>0.37300270000000002</v>
      </c>
      <c r="R4353">
        <v>-0.92768220000000001</v>
      </c>
      <c r="S4353">
        <v>-0.3085175</v>
      </c>
      <c r="T4353">
        <v>-0.47445419999999999</v>
      </c>
      <c r="U4353">
        <v>-3.4316409999999999</v>
      </c>
      <c r="V4353">
        <v>9.2414669999999997E-3</v>
      </c>
      <c r="W4353">
        <v>0.38311070000000003</v>
      </c>
      <c r="X4353">
        <v>0.92365620000000004</v>
      </c>
      <c r="Y4353">
        <v>0.1159893</v>
      </c>
      <c r="Z4353">
        <v>0.1252993</v>
      </c>
      <c r="AA4353">
        <v>0.98531539999999995</v>
      </c>
      <c r="AB4353">
        <v>20</v>
      </c>
      <c r="AC4353">
        <v>-6.9199999999995002E-2</v>
      </c>
      <c r="AD4353">
        <v>-0.10252499999999901</v>
      </c>
      <c r="AE4353">
        <v>-0.63779999999999804</v>
      </c>
      <c r="AF4353">
        <v>8.4486527627403205E-2</v>
      </c>
      <c r="AG4353">
        <v>-0.10252499999999901</v>
      </c>
      <c r="AH4353">
        <v>0.61983508947807098</v>
      </c>
      <c r="AI4353">
        <v>99.307541411027699</v>
      </c>
      <c r="AJ4353">
        <v>82.238140844624496</v>
      </c>
      <c r="AK4353">
        <v>0.63391236549212704</v>
      </c>
      <c r="AL4353">
        <v>67.473499684131795</v>
      </c>
      <c r="AM4353">
        <v>89.426757068248804</v>
      </c>
      <c r="AN4353">
        <v>0.999999994482621</v>
      </c>
    </row>
    <row r="4354" spans="1:40" x14ac:dyDescent="0.25">
      <c r="A4354" t="str">
        <f>"20190304164215183"</f>
        <v>20190304164215183</v>
      </c>
      <c r="B4354" t="str">
        <f>"1551688935175820"</f>
        <v>1551688935175820</v>
      </c>
      <c r="C4354" t="s">
        <v>40</v>
      </c>
      <c r="D4354">
        <v>4.3510780000000002</v>
      </c>
      <c r="E4354">
        <v>0.5524751</v>
      </c>
      <c r="F4354" t="s">
        <v>41</v>
      </c>
      <c r="G4354">
        <v>-191.7364</v>
      </c>
      <c r="H4354">
        <v>0.99734990000000001</v>
      </c>
      <c r="I4354">
        <v>184.22550000000001</v>
      </c>
      <c r="J4354">
        <v>-191.65899999999999</v>
      </c>
      <c r="K4354">
        <v>1.1101859999999999</v>
      </c>
      <c r="L4354">
        <v>184.92060000000001</v>
      </c>
      <c r="M4354">
        <v>2.6936310000000002E-2</v>
      </c>
      <c r="N4354">
        <v>-1.088447E-2</v>
      </c>
      <c r="O4354">
        <v>-0.99957799999999997</v>
      </c>
      <c r="P4354">
        <v>1.5518530000000001E-2</v>
      </c>
      <c r="Q4354">
        <v>0.37243700000000002</v>
      </c>
      <c r="R4354">
        <v>-0.92792799999999998</v>
      </c>
      <c r="S4354">
        <v>-0.31387330000000002</v>
      </c>
      <c r="T4354">
        <v>-0.47556809999999999</v>
      </c>
      <c r="U4354">
        <v>-3.4306950000000001</v>
      </c>
      <c r="V4354">
        <v>9.8854370000000004E-3</v>
      </c>
      <c r="W4354">
        <v>0.38250590000000001</v>
      </c>
      <c r="X4354">
        <v>0.92390019999999995</v>
      </c>
      <c r="Y4354">
        <v>0.11708349999999999</v>
      </c>
      <c r="Z4354">
        <v>0.1256786</v>
      </c>
      <c r="AA4354">
        <v>0.98513770000000001</v>
      </c>
      <c r="AB4354">
        <v>20</v>
      </c>
      <c r="AC4354">
        <v>-7.7399999999982996E-2</v>
      </c>
      <c r="AD4354">
        <v>-0.11283609999999999</v>
      </c>
      <c r="AE4354">
        <v>-0.69509999999999605</v>
      </c>
      <c r="AF4354">
        <v>9.3658650380821107E-2</v>
      </c>
      <c r="AG4354">
        <v>-0.11283609999999999</v>
      </c>
      <c r="AH4354">
        <v>0.67518858622383904</v>
      </c>
      <c r="AI4354">
        <v>99.399107074218506</v>
      </c>
      <c r="AJ4354">
        <v>82.102623261934298</v>
      </c>
      <c r="AK4354">
        <v>0.69092948643209195</v>
      </c>
      <c r="AL4354">
        <v>67.511010269128505</v>
      </c>
      <c r="AM4354">
        <v>89.386976855247397</v>
      </c>
      <c r="AN4354">
        <v>1.00000003247976</v>
      </c>
    </row>
    <row r="4355" spans="1:40" x14ac:dyDescent="0.25">
      <c r="A4355" t="str">
        <f>"20190304164215195"</f>
        <v>20190304164215195</v>
      </c>
      <c r="B4355" t="str">
        <f>"1551688935185579"</f>
        <v>1551688935185579</v>
      </c>
      <c r="C4355" t="s">
        <v>40</v>
      </c>
      <c r="D4355">
        <v>4.3693379999999999</v>
      </c>
      <c r="E4355">
        <v>0.55235829999999997</v>
      </c>
      <c r="F4355" t="s">
        <v>41</v>
      </c>
      <c r="G4355">
        <v>-191.7398</v>
      </c>
      <c r="H4355">
        <v>0.98886600000000002</v>
      </c>
      <c r="I4355">
        <v>184.04810000000001</v>
      </c>
      <c r="J4355">
        <v>-191.6566</v>
      </c>
      <c r="K4355">
        <v>1.1101799999999999</v>
      </c>
      <c r="L4355">
        <v>184.8134</v>
      </c>
      <c r="M4355">
        <v>2.654463E-2</v>
      </c>
      <c r="N4355">
        <v>-1.0841999999999999E-2</v>
      </c>
      <c r="O4355">
        <v>-0.9995889</v>
      </c>
      <c r="P4355">
        <v>1.475696E-2</v>
      </c>
      <c r="Q4355">
        <v>0.37242419999999998</v>
      </c>
      <c r="R4355">
        <v>-0.92794540000000003</v>
      </c>
      <c r="S4355">
        <v>-0.31724550000000001</v>
      </c>
      <c r="T4355">
        <v>-0.47690890000000002</v>
      </c>
      <c r="U4355">
        <v>-3.4297330000000001</v>
      </c>
      <c r="V4355">
        <v>1.02732E-2</v>
      </c>
      <c r="W4355">
        <v>0.3824535</v>
      </c>
      <c r="X4355">
        <v>0.92391769999999995</v>
      </c>
      <c r="Y4355">
        <v>0.1176743</v>
      </c>
      <c r="Z4355">
        <v>0.12612770000000001</v>
      </c>
      <c r="AA4355">
        <v>0.98500989999999999</v>
      </c>
      <c r="AB4355">
        <v>20</v>
      </c>
      <c r="AC4355">
        <v>-8.3200000000005006E-2</v>
      </c>
      <c r="AD4355">
        <v>-0.12131399999999901</v>
      </c>
      <c r="AE4355">
        <v>-0.76529999999999598</v>
      </c>
      <c r="AF4355">
        <v>0.10097872052343</v>
      </c>
      <c r="AG4355">
        <v>-0.12131399999999901</v>
      </c>
      <c r="AH4355">
        <v>0.74433642719614002</v>
      </c>
      <c r="AI4355">
        <v>99.174242432395005</v>
      </c>
      <c r="AJ4355">
        <v>82.274262863300294</v>
      </c>
      <c r="AK4355">
        <v>0.76088797167892197</v>
      </c>
      <c r="AL4355">
        <v>67.514260463820705</v>
      </c>
      <c r="AM4355">
        <v>89.362944615025299</v>
      </c>
      <c r="AN4355">
        <v>1.0000000673368801</v>
      </c>
    </row>
    <row r="4356" spans="1:40" x14ac:dyDescent="0.25">
      <c r="A4356" t="str">
        <f>"20190304164215207"</f>
        <v>20190304164215207</v>
      </c>
      <c r="B4356" t="str">
        <f>"1551688935195340"</f>
        <v>1551688935195340</v>
      </c>
      <c r="C4356" t="s">
        <v>40</v>
      </c>
      <c r="D4356">
        <v>4.4180429999999999</v>
      </c>
      <c r="E4356">
        <v>0.5522397</v>
      </c>
      <c r="F4356" t="s">
        <v>41</v>
      </c>
      <c r="G4356">
        <v>-191.72880000000001</v>
      </c>
      <c r="H4356">
        <v>1.0030490000000001</v>
      </c>
      <c r="I4356">
        <v>184.04159999999999</v>
      </c>
      <c r="J4356">
        <v>-191.6542</v>
      </c>
      <c r="K4356">
        <v>1.110185</v>
      </c>
      <c r="L4356">
        <v>184.70689999999999</v>
      </c>
      <c r="M4356">
        <v>2.6165790000000001E-2</v>
      </c>
      <c r="N4356">
        <v>-1.0798540000000001E-2</v>
      </c>
      <c r="O4356">
        <v>-0.99959960000000003</v>
      </c>
      <c r="P4356">
        <v>1.4172580000000001E-2</v>
      </c>
      <c r="Q4356">
        <v>0.37167099999999997</v>
      </c>
      <c r="R4356">
        <v>-0.92825659999999999</v>
      </c>
      <c r="S4356">
        <v>-0.32040410000000002</v>
      </c>
      <c r="T4356">
        <v>-0.47598449999999998</v>
      </c>
      <c r="U4356">
        <v>-3.4290919999999998</v>
      </c>
      <c r="V4356">
        <v>1.050074E-2</v>
      </c>
      <c r="W4356">
        <v>0.3816638</v>
      </c>
      <c r="X4356">
        <v>0.9242416</v>
      </c>
      <c r="Y4356">
        <v>0.1182169</v>
      </c>
      <c r="Z4356">
        <v>0.12592709999999999</v>
      </c>
      <c r="AA4356">
        <v>0.98497060000000003</v>
      </c>
      <c r="AB4356">
        <v>20</v>
      </c>
      <c r="AC4356">
        <v>-7.4600000000003705E-2</v>
      </c>
      <c r="AD4356">
        <v>-0.107135999999999</v>
      </c>
      <c r="AE4356">
        <v>-0.665300000000002</v>
      </c>
      <c r="AF4356">
        <v>8.9686689754906596E-2</v>
      </c>
      <c r="AG4356">
        <v>-0.107135999999999</v>
      </c>
      <c r="AH4356">
        <v>0.64656166684691296</v>
      </c>
      <c r="AI4356">
        <v>99.320830681291696</v>
      </c>
      <c r="AJ4356">
        <v>82.102708744567195</v>
      </c>
      <c r="AK4356">
        <v>0.66148606474441396</v>
      </c>
      <c r="AL4356">
        <v>67.563220275011702</v>
      </c>
      <c r="AM4356">
        <v>89.349063926281204</v>
      </c>
      <c r="AN4356">
        <v>1.00000002847077</v>
      </c>
    </row>
    <row r="4357" spans="1:40" x14ac:dyDescent="0.25">
      <c r="A4357" t="str">
        <f>"20190304164215218"</f>
        <v>20190304164215218</v>
      </c>
      <c r="B4357" t="str">
        <f>"1551688935215836"</f>
        <v>1551688935215836</v>
      </c>
      <c r="C4357" t="s">
        <v>40</v>
      </c>
      <c r="D4357">
        <v>4.438294</v>
      </c>
      <c r="E4357">
        <v>0.55199419999999899</v>
      </c>
      <c r="F4357" t="s">
        <v>41</v>
      </c>
      <c r="G4357">
        <v>-191.73339999999999</v>
      </c>
      <c r="H4357">
        <v>0.99266739999999998</v>
      </c>
      <c r="I4357">
        <v>183.8647</v>
      </c>
      <c r="J4357">
        <v>-191.65170000000001</v>
      </c>
      <c r="K4357">
        <v>1.110188</v>
      </c>
      <c r="L4357">
        <v>184.59649999999999</v>
      </c>
      <c r="M4357">
        <v>2.5786300000000002E-2</v>
      </c>
      <c r="N4357">
        <v>-1.0751699999999999E-2</v>
      </c>
      <c r="O4357">
        <v>-0.99960959999999999</v>
      </c>
      <c r="P4357">
        <v>1.373079E-2</v>
      </c>
      <c r="Q4357">
        <v>0.37104989999999999</v>
      </c>
      <c r="R4357">
        <v>-0.92851130000000004</v>
      </c>
      <c r="S4357">
        <v>-0.32185360000000002</v>
      </c>
      <c r="T4357">
        <v>-0.47846949999999999</v>
      </c>
      <c r="U4357">
        <v>-3.4283600000000001</v>
      </c>
      <c r="V4357">
        <v>1.058048E-2</v>
      </c>
      <c r="W4357">
        <v>0.38100260000000002</v>
      </c>
      <c r="X4357">
        <v>0.92451349999999999</v>
      </c>
      <c r="Y4357">
        <v>0.11826299999999999</v>
      </c>
      <c r="Z4357">
        <v>0.12670239999999999</v>
      </c>
      <c r="AA4357">
        <v>0.98486569999999996</v>
      </c>
      <c r="AB4357">
        <v>20</v>
      </c>
      <c r="AC4357">
        <v>-8.1699999999983605E-2</v>
      </c>
      <c r="AD4357">
        <v>-0.117520599999999</v>
      </c>
      <c r="AE4357">
        <v>-0.73179999999999201</v>
      </c>
      <c r="AF4357">
        <v>9.8046882787085496E-2</v>
      </c>
      <c r="AG4357">
        <v>-0.117520599999999</v>
      </c>
      <c r="AH4357">
        <v>0.71133073115262202</v>
      </c>
      <c r="AI4357">
        <v>99.294902203632603</v>
      </c>
      <c r="AJ4357">
        <v>82.152038077615799</v>
      </c>
      <c r="AK4357">
        <v>0.72760957369371404</v>
      </c>
      <c r="AL4357">
        <v>67.604201805009495</v>
      </c>
      <c r="AM4357">
        <v>89.344314187797494</v>
      </c>
      <c r="AN4357">
        <v>1.00000006972301</v>
      </c>
    </row>
    <row r="4358" spans="1:40" x14ac:dyDescent="0.25">
      <c r="A4358" t="str">
        <f>"20190304164215231"</f>
        <v>20190304164215231</v>
      </c>
      <c r="B4358" t="str">
        <f>"1551688935225596"</f>
        <v>1551688935225596</v>
      </c>
      <c r="C4358" t="s">
        <v>40</v>
      </c>
      <c r="D4358">
        <v>4.4012729999999998</v>
      </c>
      <c r="E4358">
        <v>0.55186199999999996</v>
      </c>
      <c r="F4358" t="s">
        <v>41</v>
      </c>
      <c r="G4358">
        <v>-191.72120000000001</v>
      </c>
      <c r="H4358">
        <v>1.0068250000000001</v>
      </c>
      <c r="I4358">
        <v>183.85820000000001</v>
      </c>
      <c r="J4358">
        <v>-191.64940000000001</v>
      </c>
      <c r="K4358">
        <v>1.1101920000000001</v>
      </c>
      <c r="L4358">
        <v>184.48949999999999</v>
      </c>
      <c r="M4358">
        <v>2.5442360000000001E-2</v>
      </c>
      <c r="N4358">
        <v>-1.070483E-2</v>
      </c>
      <c r="O4358">
        <v>-0.99961909999999998</v>
      </c>
      <c r="P4358">
        <v>1.3345889999999999E-2</v>
      </c>
      <c r="Q4358">
        <v>0.37062319999999999</v>
      </c>
      <c r="R4358">
        <v>-0.92868779999999995</v>
      </c>
      <c r="S4358">
        <v>-0.3217468</v>
      </c>
      <c r="T4358">
        <v>-0.47999779999999997</v>
      </c>
      <c r="U4358">
        <v>-3.4275359999999999</v>
      </c>
      <c r="V4358">
        <v>1.063095E-2</v>
      </c>
      <c r="W4358">
        <v>0.38053439999999999</v>
      </c>
      <c r="X4358">
        <v>0.92470569999999996</v>
      </c>
      <c r="Y4358">
        <v>0.1179072</v>
      </c>
      <c r="Z4358">
        <v>0.12721749999999901</v>
      </c>
      <c r="AA4358">
        <v>0.98484190000000005</v>
      </c>
      <c r="AB4358">
        <v>20</v>
      </c>
      <c r="AC4358">
        <v>-7.1799999999996006E-2</v>
      </c>
      <c r="AD4358">
        <v>-0.103367</v>
      </c>
      <c r="AE4358">
        <v>-0.63129999999998099</v>
      </c>
      <c r="AF4358">
        <v>8.5574504507477694E-2</v>
      </c>
      <c r="AG4358">
        <v>-0.103367</v>
      </c>
      <c r="AH4358">
        <v>0.61304312361853597</v>
      </c>
      <c r="AI4358">
        <v>99.480559280202698</v>
      </c>
      <c r="AJ4358">
        <v>82.053447563930803</v>
      </c>
      <c r="AK4358">
        <v>0.62755844662204396</v>
      </c>
      <c r="AL4358">
        <v>67.633212375282099</v>
      </c>
      <c r="AM4358">
        <v>89.341323694889695</v>
      </c>
      <c r="AN4358">
        <v>1.00000003914687</v>
      </c>
    </row>
    <row r="4359" spans="1:40" x14ac:dyDescent="0.25">
      <c r="A4359" t="str">
        <f>"20190304164215243"</f>
        <v>20190304164215243</v>
      </c>
      <c r="B4359" t="str">
        <f>"1551688935235356"</f>
        <v>1551688935235356</v>
      </c>
      <c r="C4359" t="s">
        <v>40</v>
      </c>
      <c r="D4359">
        <v>4.4139569999999999</v>
      </c>
      <c r="E4359">
        <v>0.55175669999999899</v>
      </c>
      <c r="F4359" t="s">
        <v>41</v>
      </c>
      <c r="G4359">
        <v>-191.72550000000001</v>
      </c>
      <c r="H4359">
        <v>0.99675320000000001</v>
      </c>
      <c r="I4359">
        <v>183.68109999999999</v>
      </c>
      <c r="J4359">
        <v>-191.64699999999999</v>
      </c>
      <c r="K4359">
        <v>1.1102099999999999</v>
      </c>
      <c r="L4359">
        <v>184.37909999999999</v>
      </c>
      <c r="M4359">
        <v>2.5097689999999999E-2</v>
      </c>
      <c r="N4359">
        <v>-1.065581E-2</v>
      </c>
      <c r="O4359">
        <v>-0.99962830000000003</v>
      </c>
      <c r="P4359">
        <v>1.356883E-2</v>
      </c>
      <c r="Q4359">
        <v>0.37042239999999999</v>
      </c>
      <c r="R4359">
        <v>-0.92876440000000005</v>
      </c>
      <c r="S4359">
        <v>-0.32315060000000001</v>
      </c>
      <c r="T4359">
        <v>-0.48084779999999999</v>
      </c>
      <c r="U4359">
        <v>-3.4269259999999999</v>
      </c>
      <c r="V4359">
        <v>1.0068509999999999E-2</v>
      </c>
      <c r="W4359">
        <v>0.38029000000000002</v>
      </c>
      <c r="X4359">
        <v>0.92481250000000004</v>
      </c>
      <c r="Y4359">
        <v>0.1179776</v>
      </c>
      <c r="Z4359">
        <v>0.12752869999999999</v>
      </c>
      <c r="AA4359">
        <v>0.98479320000000004</v>
      </c>
      <c r="AB4359">
        <v>20</v>
      </c>
      <c r="AC4359">
        <v>-7.8499999999991105E-2</v>
      </c>
      <c r="AD4359">
        <v>-0.1134568</v>
      </c>
      <c r="AE4359">
        <v>-0.69800000000000695</v>
      </c>
      <c r="AF4359">
        <v>9.3553540195537396E-2</v>
      </c>
      <c r="AG4359">
        <v>-0.1134568</v>
      </c>
      <c r="AH4359">
        <v>0.67811703879448404</v>
      </c>
      <c r="AI4359">
        <v>99.4107485237802</v>
      </c>
      <c r="AJ4359">
        <v>82.145015508454406</v>
      </c>
      <c r="AK4359">
        <v>0.69387854027398599</v>
      </c>
      <c r="AL4359">
        <v>67.648353146931598</v>
      </c>
      <c r="AM4359">
        <v>89.376240764231198</v>
      </c>
      <c r="AN4359">
        <v>1.00000000957493</v>
      </c>
    </row>
    <row r="4360" spans="1:40" x14ac:dyDescent="0.25">
      <c r="A4360" t="str">
        <f>"20190304164215258"</f>
        <v>20190304164215258</v>
      </c>
      <c r="B4360" t="str">
        <f>"1551688935255852"</f>
        <v>1551688935255852</v>
      </c>
      <c r="C4360" t="s">
        <v>40</v>
      </c>
      <c r="D4360">
        <v>4.5845949999999904</v>
      </c>
      <c r="E4360">
        <v>0.55160699999999996</v>
      </c>
      <c r="F4360" t="s">
        <v>41</v>
      </c>
      <c r="G4360">
        <v>-191.72919999999999</v>
      </c>
      <c r="H4360">
        <v>0.98730340000000005</v>
      </c>
      <c r="I4360">
        <v>183.5033</v>
      </c>
      <c r="J4360">
        <v>-191.6438</v>
      </c>
      <c r="K4360">
        <v>1.1102299999999901</v>
      </c>
      <c r="L4360">
        <v>184.2336</v>
      </c>
      <c r="M4360">
        <v>2.4687500000000001E-2</v>
      </c>
      <c r="N4360">
        <v>-1.0589680000000001E-2</v>
      </c>
      <c r="O4360">
        <v>-0.99963919999999995</v>
      </c>
      <c r="P4360">
        <v>1.313535E-2</v>
      </c>
      <c r="Q4360">
        <v>0.36875950000000002</v>
      </c>
      <c r="R4360">
        <v>-0.92943229999999999</v>
      </c>
      <c r="S4360">
        <v>-0.32128909999999899</v>
      </c>
      <c r="T4360">
        <v>-0.48088589999999998</v>
      </c>
      <c r="U4360">
        <v>-3.4265590000000001</v>
      </c>
      <c r="V4360">
        <v>1.010399E-2</v>
      </c>
      <c r="W4360">
        <v>0.37857420000000003</v>
      </c>
      <c r="X4360">
        <v>0.9255158</v>
      </c>
      <c r="Y4360">
        <v>0.11704970000000001</v>
      </c>
      <c r="Z4360">
        <v>0.127633</v>
      </c>
      <c r="AA4360">
        <v>0.9848905</v>
      </c>
      <c r="AB4360">
        <v>20</v>
      </c>
      <c r="AC4360">
        <v>-8.5399999999992801E-2</v>
      </c>
      <c r="AD4360">
        <v>-0.122926599999999</v>
      </c>
      <c r="AE4360">
        <v>-0.73029999999999895</v>
      </c>
      <c r="AF4360">
        <v>0.10059263848629001</v>
      </c>
      <c r="AG4360">
        <v>-0.122926599999999</v>
      </c>
      <c r="AH4360">
        <v>0.70817506823378595</v>
      </c>
      <c r="AI4360">
        <v>99.751429820190197</v>
      </c>
      <c r="AJ4360">
        <v>81.915511597294994</v>
      </c>
      <c r="AK4360">
        <v>0.72576976733198395</v>
      </c>
      <c r="AL4360">
        <v>67.754606881650204</v>
      </c>
      <c r="AM4360">
        <v>89.374518527179106</v>
      </c>
      <c r="AN4360">
        <v>1.0000000057845999</v>
      </c>
    </row>
    <row r="4361" spans="1:40" x14ac:dyDescent="0.25">
      <c r="A4361" t="str">
        <f>"20190304164215271"</f>
        <v>20190304164215271</v>
      </c>
      <c r="B4361" t="str">
        <f>"1551688935265613"</f>
        <v>1551688935265613</v>
      </c>
      <c r="C4361" t="s">
        <v>40</v>
      </c>
      <c r="D4361">
        <v>4.5917320000000004</v>
      </c>
      <c r="E4361">
        <v>0.55160699999999996</v>
      </c>
      <c r="F4361" t="s">
        <v>41</v>
      </c>
      <c r="G4361">
        <v>-191.71350000000001</v>
      </c>
      <c r="H4361">
        <v>1.0054970000000001</v>
      </c>
      <c r="I4361">
        <v>183.4949</v>
      </c>
      <c r="J4361">
        <v>-191.6414</v>
      </c>
      <c r="K4361">
        <v>1.1102449999999999</v>
      </c>
      <c r="L4361">
        <v>184.12119999999999</v>
      </c>
      <c r="M4361">
        <v>2.4398090000000001E-2</v>
      </c>
      <c r="N4361">
        <v>-1.0537400000000001E-2</v>
      </c>
      <c r="O4361">
        <v>-0.99964699999999995</v>
      </c>
      <c r="P4361">
        <v>1.27215E-2</v>
      </c>
      <c r="Q4361">
        <v>0.36813879999999999</v>
      </c>
      <c r="R4361">
        <v>-0.92968399999999995</v>
      </c>
      <c r="S4361">
        <v>-0.32299800000000001</v>
      </c>
      <c r="T4361">
        <v>-0.48566399999999998</v>
      </c>
      <c r="U4361">
        <v>-3.4250180000000001</v>
      </c>
      <c r="V4361">
        <v>1.022961E-2</v>
      </c>
      <c r="W4361">
        <v>0.37790820000000003</v>
      </c>
      <c r="X4361">
        <v>0.92578660000000002</v>
      </c>
      <c r="Y4361">
        <v>0.11727219999999999</v>
      </c>
      <c r="Z4361">
        <v>0.1290905</v>
      </c>
      <c r="AA4361">
        <v>0.98467400000000005</v>
      </c>
      <c r="AB4361">
        <v>20</v>
      </c>
      <c r="AC4361">
        <v>-7.2100000000006007E-2</v>
      </c>
      <c r="AD4361">
        <v>-0.10474799999999999</v>
      </c>
      <c r="AE4361">
        <v>-0.62629999999998598</v>
      </c>
      <c r="AF4361">
        <v>8.5013005840370595E-2</v>
      </c>
      <c r="AG4361">
        <v>-0.10474799999999999</v>
      </c>
      <c r="AH4361">
        <v>0.60758124833356597</v>
      </c>
      <c r="AI4361">
        <v>99.689159226335207</v>
      </c>
      <c r="AJ4361">
        <v>82.034863231303902</v>
      </c>
      <c r="AK4361">
        <v>0.62237796232883202</v>
      </c>
      <c r="AL4361">
        <v>67.795829149159104</v>
      </c>
      <c r="AM4361">
        <v>89.3669279431641</v>
      </c>
      <c r="AN4361">
        <v>1.0000000406437699</v>
      </c>
    </row>
    <row r="4362" spans="1:40" x14ac:dyDescent="0.25">
      <c r="A4362" t="str">
        <f>"20190304164215284"</f>
        <v>20190304164215284</v>
      </c>
      <c r="B4362" t="str">
        <f>"1551688935275371"</f>
        <v>1551688935275371</v>
      </c>
      <c r="C4362" t="s">
        <v>40</v>
      </c>
      <c r="D4362">
        <v>4.5645379999999998</v>
      </c>
      <c r="E4362">
        <v>0.56133809999999995</v>
      </c>
      <c r="F4362" t="s">
        <v>41</v>
      </c>
      <c r="G4362">
        <v>-191.71770000000001</v>
      </c>
      <c r="H4362">
        <v>0.99568069999999997</v>
      </c>
      <c r="I4362">
        <v>183.31700000000001</v>
      </c>
      <c r="J4362">
        <v>-191.63890000000001</v>
      </c>
      <c r="K4362">
        <v>1.1102650000000001</v>
      </c>
      <c r="L4362">
        <v>184.0069</v>
      </c>
      <c r="M4362">
        <v>2.411787E-2</v>
      </c>
      <c r="N4362">
        <v>-1.048321E-2</v>
      </c>
      <c r="O4362">
        <v>-0.99965409999999999</v>
      </c>
      <c r="P4362">
        <v>1.230179E-2</v>
      </c>
      <c r="Q4362">
        <v>0.3672223</v>
      </c>
      <c r="R4362">
        <v>-0.93005170000000004</v>
      </c>
      <c r="S4362">
        <v>-0.32466129999999999</v>
      </c>
      <c r="T4362">
        <v>-0.48788599999999999</v>
      </c>
      <c r="U4362">
        <v>-3.4245450000000002</v>
      </c>
      <c r="V4362">
        <v>1.037222E-2</v>
      </c>
      <c r="W4362">
        <v>0.376946</v>
      </c>
      <c r="X4362">
        <v>0.92617709999999998</v>
      </c>
      <c r="Y4362">
        <v>0.1174719</v>
      </c>
      <c r="Z4362">
        <v>0.1297867</v>
      </c>
      <c r="AA4362">
        <v>0.98455859999999995</v>
      </c>
      <c r="AB4362">
        <v>20</v>
      </c>
      <c r="AC4362">
        <v>-7.8800000000000994E-2</v>
      </c>
      <c r="AD4362">
        <v>-0.1145843</v>
      </c>
      <c r="AE4362">
        <v>-0.68989999999999396</v>
      </c>
      <c r="AF4362">
        <v>9.2887575014594201E-2</v>
      </c>
      <c r="AG4362">
        <v>-0.1145843</v>
      </c>
      <c r="AH4362">
        <v>0.66956637000507302</v>
      </c>
      <c r="AI4362">
        <v>99.620686532254396</v>
      </c>
      <c r="AJ4362">
        <v>82.101883674828898</v>
      </c>
      <c r="AK4362">
        <v>0.68562146060370099</v>
      </c>
      <c r="AL4362">
        <v>67.855360034708198</v>
      </c>
      <c r="AM4362">
        <v>89.3583736980178</v>
      </c>
      <c r="AN4362">
        <v>0.99999994521406699</v>
      </c>
    </row>
    <row r="4363" spans="1:40" x14ac:dyDescent="0.25">
      <c r="A4363" t="str">
        <f>"20190304164215296"</f>
        <v>20190304164215296</v>
      </c>
      <c r="B4363" t="str">
        <f>"1551688935285132"</f>
        <v>1551688935285132</v>
      </c>
      <c r="C4363" t="s">
        <v>40</v>
      </c>
      <c r="D4363">
        <v>4.2693329999999996</v>
      </c>
      <c r="E4363">
        <v>0.56133809999999995</v>
      </c>
      <c r="F4363" t="s">
        <v>41</v>
      </c>
      <c r="G4363">
        <v>-191.74250000000001</v>
      </c>
      <c r="H4363">
        <v>0.99183500000000002</v>
      </c>
      <c r="I4363">
        <v>183.13489999999999</v>
      </c>
      <c r="J4363">
        <v>-191.63630000000001</v>
      </c>
      <c r="K4363">
        <v>1.1102860000000001</v>
      </c>
      <c r="L4363">
        <v>183.88730000000001</v>
      </c>
      <c r="M4363">
        <v>2.385433E-2</v>
      </c>
      <c r="N4363">
        <v>-1.042235E-2</v>
      </c>
      <c r="O4363">
        <v>-0.99966120000000003</v>
      </c>
      <c r="P4363">
        <v>1.2048110000000001E-2</v>
      </c>
      <c r="Q4363">
        <v>0.36656169999999999</v>
      </c>
      <c r="R4363">
        <v>-0.93031600000000003</v>
      </c>
      <c r="S4363">
        <v>-0.40527340000000001</v>
      </c>
      <c r="T4363">
        <v>-0.46370210000000001</v>
      </c>
      <c r="U4363">
        <v>-3.4140779999999999</v>
      </c>
      <c r="V4363">
        <v>1.0363280000000001E-2</v>
      </c>
      <c r="W4363">
        <v>0.37623220000000002</v>
      </c>
      <c r="X4363">
        <v>0.9264675</v>
      </c>
      <c r="Y4363">
        <v>0.1405312</v>
      </c>
      <c r="Z4363">
        <v>0.1230496</v>
      </c>
      <c r="AA4363">
        <v>0.98240000000000005</v>
      </c>
      <c r="AB4363">
        <v>20</v>
      </c>
      <c r="AC4363">
        <v>-0.106200000000001</v>
      </c>
      <c r="AD4363">
        <v>-0.118451</v>
      </c>
      <c r="AE4363">
        <v>-0.75240000000002205</v>
      </c>
      <c r="AF4363">
        <v>0.121174173153304</v>
      </c>
      <c r="AG4363">
        <v>-0.118451</v>
      </c>
      <c r="AH4363">
        <v>0.73186776588774904</v>
      </c>
      <c r="AI4363">
        <v>99.072051497361798</v>
      </c>
      <c r="AJ4363">
        <v>80.598914156982204</v>
      </c>
      <c r="AK4363">
        <v>0.75122849146309201</v>
      </c>
      <c r="AL4363">
        <v>67.899510288800798</v>
      </c>
      <c r="AM4363">
        <v>89.359127607722101</v>
      </c>
      <c r="AN4363">
        <v>1.00000004722272</v>
      </c>
    </row>
    <row r="4364" spans="1:40" x14ac:dyDescent="0.25">
      <c r="A4364" t="str">
        <f>"20190304164215315"</f>
        <v>20190304164215315</v>
      </c>
      <c r="B4364" t="str">
        <f>"1551688935305628"</f>
        <v>1551688935305628</v>
      </c>
      <c r="C4364" t="s">
        <v>40</v>
      </c>
      <c r="D4364">
        <v>4.503895</v>
      </c>
      <c r="E4364">
        <v>0.5657449</v>
      </c>
      <c r="F4364" t="s">
        <v>41</v>
      </c>
      <c r="G4364">
        <v>-191.7269</v>
      </c>
      <c r="H4364">
        <v>1.006686</v>
      </c>
      <c r="I4364">
        <v>183.1283</v>
      </c>
      <c r="J4364">
        <v>-191.6328</v>
      </c>
      <c r="K4364">
        <v>1.1103080000000001</v>
      </c>
      <c r="L4364">
        <v>183.72110000000001</v>
      </c>
      <c r="M4364">
        <v>2.3518250000000001E-2</v>
      </c>
      <c r="N4364">
        <v>-1.033325E-2</v>
      </c>
      <c r="O4364">
        <v>-0.99966999999999995</v>
      </c>
      <c r="P4364">
        <v>1.105192E-2</v>
      </c>
      <c r="Q4364">
        <v>0.36637130000000001</v>
      </c>
      <c r="R4364">
        <v>-0.93040339999999999</v>
      </c>
      <c r="S4364">
        <v>-0.40678409999999998</v>
      </c>
      <c r="T4364">
        <v>-0.46604630000000002</v>
      </c>
      <c r="U4364">
        <v>-3.4136199999999999</v>
      </c>
      <c r="V4364">
        <v>1.1021889999999999E-2</v>
      </c>
      <c r="W4364">
        <v>0.37596049999999998</v>
      </c>
      <c r="X4364">
        <v>0.92657020000000001</v>
      </c>
      <c r="Y4364">
        <v>0.1406316</v>
      </c>
      <c r="Z4364">
        <v>0.1238161</v>
      </c>
      <c r="AA4364">
        <v>0.98228930000000003</v>
      </c>
      <c r="AB4364">
        <v>20</v>
      </c>
      <c r="AC4364">
        <v>-9.4099999999997394E-2</v>
      </c>
      <c r="AD4364">
        <v>-0.10362200000000001</v>
      </c>
      <c r="AE4364">
        <v>-0.59280000000001098</v>
      </c>
      <c r="AF4364">
        <v>0.104890148591693</v>
      </c>
      <c r="AG4364">
        <v>-0.10362200000000001</v>
      </c>
      <c r="AH4364">
        <v>0.57333494876326896</v>
      </c>
      <c r="AI4364">
        <v>100.080988929783</v>
      </c>
      <c r="AJ4364">
        <v>79.632535942387307</v>
      </c>
      <c r="AK4364">
        <v>0.59199022426807701</v>
      </c>
      <c r="AL4364">
        <v>67.916311294712003</v>
      </c>
      <c r="AM4364">
        <v>89.318477978533707</v>
      </c>
      <c r="AN4364">
        <v>1.00000005757372</v>
      </c>
    </row>
    <row r="4365" spans="1:40" x14ac:dyDescent="0.25">
      <c r="A4365" t="str">
        <f>"20190304164215331"</f>
        <v>20190304164215331</v>
      </c>
      <c r="B4365" t="str">
        <f>"1551688935325147"</f>
        <v>1551688935325147</v>
      </c>
      <c r="C4365" t="s">
        <v>40</v>
      </c>
      <c r="D4365">
        <v>4.5167789999999997</v>
      </c>
      <c r="E4365">
        <v>0.56740029999999997</v>
      </c>
      <c r="F4365" t="s">
        <v>41</v>
      </c>
      <c r="G4365">
        <v>-191.73390000000001</v>
      </c>
      <c r="H4365">
        <v>1.002704</v>
      </c>
      <c r="I4365">
        <v>182.94669999999999</v>
      </c>
      <c r="J4365">
        <v>-191.62979999999999</v>
      </c>
      <c r="K4365">
        <v>1.110312</v>
      </c>
      <c r="L4365">
        <v>183.57939999999999</v>
      </c>
      <c r="M4365">
        <v>2.3255100000000001E-2</v>
      </c>
      <c r="N4365">
        <v>-1.0252600000000001E-2</v>
      </c>
      <c r="O4365">
        <v>-0.99967740000000005</v>
      </c>
      <c r="P4365">
        <v>1.056254E-2</v>
      </c>
      <c r="Q4365">
        <v>0.36662600000000001</v>
      </c>
      <c r="R4365">
        <v>-0.93030869999999999</v>
      </c>
      <c r="S4365">
        <v>-0.4464417</v>
      </c>
      <c r="T4365">
        <v>-0.47466639999999999</v>
      </c>
      <c r="U4365">
        <v>-3.4166259999999999</v>
      </c>
      <c r="V4365">
        <v>1.124788E-2</v>
      </c>
      <c r="W4365">
        <v>0.37613940000000001</v>
      </c>
      <c r="X4365">
        <v>0.92649479999999995</v>
      </c>
      <c r="Y4365">
        <v>0.1514422</v>
      </c>
      <c r="Z4365">
        <v>0.12601080000000001</v>
      </c>
      <c r="AA4365">
        <v>0.98040119999999997</v>
      </c>
      <c r="AB4365">
        <v>20</v>
      </c>
      <c r="AC4365">
        <v>-0.104100000000016</v>
      </c>
      <c r="AD4365">
        <v>-0.107608</v>
      </c>
      <c r="AE4365">
        <v>-0.63269999999999904</v>
      </c>
      <c r="AF4365">
        <v>0.115532273225816</v>
      </c>
      <c r="AG4365">
        <v>-0.107608</v>
      </c>
      <c r="AH4365">
        <v>0.61284770733889204</v>
      </c>
      <c r="AI4365">
        <v>99.789850003899701</v>
      </c>
      <c r="AJ4365">
        <v>79.324058680444594</v>
      </c>
      <c r="AK4365">
        <v>0.63285819913410402</v>
      </c>
      <c r="AL4365">
        <v>67.905247508085495</v>
      </c>
      <c r="AM4365">
        <v>89.304448989821594</v>
      </c>
      <c r="AN4365">
        <v>0.99999998873194695</v>
      </c>
    </row>
    <row r="4366" spans="1:40" x14ac:dyDescent="0.25">
      <c r="A4366" t="str">
        <f>"20190304164215345"</f>
        <v>20190304164215345</v>
      </c>
      <c r="B4366" t="str">
        <f>"1551688935335884"</f>
        <v>1551688935335884</v>
      </c>
      <c r="C4366" t="s">
        <v>40</v>
      </c>
      <c r="D4366">
        <v>4.5128690000000002</v>
      </c>
      <c r="E4366">
        <v>0.56778409999999901</v>
      </c>
      <c r="F4366" t="s">
        <v>41</v>
      </c>
      <c r="G4366">
        <v>-191.7397</v>
      </c>
      <c r="H4366">
        <v>0.9970639</v>
      </c>
      <c r="I4366">
        <v>182.7654</v>
      </c>
      <c r="J4366">
        <v>-191.62690000000001</v>
      </c>
      <c r="K4366">
        <v>1.1103080000000001</v>
      </c>
      <c r="L4366">
        <v>183.446</v>
      </c>
      <c r="M4366">
        <v>2.3021030000000001E-2</v>
      </c>
      <c r="N4366">
        <v>-1.0173659999999999E-2</v>
      </c>
      <c r="O4366">
        <v>-0.99968360000000001</v>
      </c>
      <c r="P4366">
        <v>9.9192299999999994E-3</v>
      </c>
      <c r="Q4366">
        <v>0.36729990000000001</v>
      </c>
      <c r="R4366">
        <v>-0.93005020000000005</v>
      </c>
      <c r="S4366">
        <v>-0.46124270000000001</v>
      </c>
      <c r="T4366">
        <v>-0.47545559999999998</v>
      </c>
      <c r="U4366">
        <v>-3.4173429999999998</v>
      </c>
      <c r="V4366">
        <v>1.1657280000000001E-2</v>
      </c>
      <c r="W4366">
        <v>0.3767375</v>
      </c>
      <c r="X4366">
        <v>0.92624669999999998</v>
      </c>
      <c r="Y4366">
        <v>0.15535019999999999</v>
      </c>
      <c r="Z4366">
        <v>0.12620490000000001</v>
      </c>
      <c r="AA4366">
        <v>0.97976459999999999</v>
      </c>
      <c r="AB4366">
        <v>20</v>
      </c>
      <c r="AC4366">
        <v>-0.112799999999992</v>
      </c>
      <c r="AD4366">
        <v>-0.113244099999999</v>
      </c>
      <c r="AE4366">
        <v>-0.68059999999999798</v>
      </c>
      <c r="AF4366">
        <v>0.125069031031839</v>
      </c>
      <c r="AG4366">
        <v>-0.113244099999999</v>
      </c>
      <c r="AH4366">
        <v>0.66003795692196898</v>
      </c>
      <c r="AI4366">
        <v>99.568531253532498</v>
      </c>
      <c r="AJ4366">
        <v>79.270369120469496</v>
      </c>
      <c r="AK4366">
        <v>0.68126103168006102</v>
      </c>
      <c r="AL4366">
        <v>67.868258105941806</v>
      </c>
      <c r="AM4366">
        <v>89.278941902527393</v>
      </c>
      <c r="AN4366">
        <v>0.99999999267206896</v>
      </c>
    </row>
    <row r="4367" spans="1:40" x14ac:dyDescent="0.25">
      <c r="A4367" t="str">
        <f>"20190304164215360"</f>
        <v>20190304164215360</v>
      </c>
      <c r="B4367" t="str">
        <f>"1551688935355404"</f>
        <v>1551688935355404</v>
      </c>
      <c r="C4367" t="s">
        <v>40</v>
      </c>
      <c r="D4367">
        <v>4.5352290000000002</v>
      </c>
      <c r="E4367">
        <v>0.56797880000000001</v>
      </c>
      <c r="F4367" t="s">
        <v>41</v>
      </c>
      <c r="G4367">
        <v>-191.74469999999999</v>
      </c>
      <c r="H4367">
        <v>0.9906585</v>
      </c>
      <c r="I4367">
        <v>182.584</v>
      </c>
      <c r="J4367">
        <v>-191.624</v>
      </c>
      <c r="K4367">
        <v>1.1103019999999999</v>
      </c>
      <c r="L4367">
        <v>183.3083</v>
      </c>
      <c r="M4367">
        <v>2.2790810000000002E-2</v>
      </c>
      <c r="N4367">
        <v>-1.008939E-2</v>
      </c>
      <c r="O4367">
        <v>-0.99968919999999994</v>
      </c>
      <c r="P4367">
        <v>8.819126E-3</v>
      </c>
      <c r="Q4367">
        <v>0.36896410000000002</v>
      </c>
      <c r="R4367">
        <v>-0.92940199999999995</v>
      </c>
      <c r="S4367">
        <v>-0.46646120000000002</v>
      </c>
      <c r="T4367">
        <v>-0.47447850000000003</v>
      </c>
      <c r="U4367">
        <v>-3.418015</v>
      </c>
      <c r="V4367">
        <v>1.2524479999999999E-2</v>
      </c>
      <c r="W4367">
        <v>0.37831700000000001</v>
      </c>
      <c r="X4367">
        <v>0.92559139999999995</v>
      </c>
      <c r="Y4367">
        <v>0.1565705</v>
      </c>
      <c r="Z4367">
        <v>0.12596160000000001</v>
      </c>
      <c r="AA4367">
        <v>0.97960159999999996</v>
      </c>
      <c r="AB4367">
        <v>21</v>
      </c>
      <c r="AC4367">
        <v>-0.12069999999997</v>
      </c>
      <c r="AD4367">
        <v>-0.1196435</v>
      </c>
      <c r="AE4367">
        <v>-0.72429999999999894</v>
      </c>
      <c r="AF4367">
        <v>0.13362917471823299</v>
      </c>
      <c r="AG4367">
        <v>-0.1196435</v>
      </c>
      <c r="AH4367">
        <v>0.70270486991539005</v>
      </c>
      <c r="AI4367">
        <v>99.495613592289502</v>
      </c>
      <c r="AJ4367">
        <v>79.232963612349906</v>
      </c>
      <c r="AK4367">
        <v>0.72523476035759005</v>
      </c>
      <c r="AL4367">
        <v>67.770527980106607</v>
      </c>
      <c r="AM4367">
        <v>89.2247593779949</v>
      </c>
      <c r="AN4367">
        <v>1.00000002742111</v>
      </c>
    </row>
    <row r="4368" spans="1:40" x14ac:dyDescent="0.25">
      <c r="A4368" t="str">
        <f>"20190304164215372"</f>
        <v>20190304164215372</v>
      </c>
      <c r="B4368" t="str">
        <f>"1551688935365164"</f>
        <v>1551688935365164</v>
      </c>
      <c r="C4368" t="s">
        <v>40</v>
      </c>
      <c r="D4368">
        <v>4.5737940000000004</v>
      </c>
      <c r="E4368">
        <v>0.57300850000000003</v>
      </c>
      <c r="F4368" t="s">
        <v>41</v>
      </c>
      <c r="G4368">
        <v>-191.72550000000001</v>
      </c>
      <c r="H4368">
        <v>1.0098830000000001</v>
      </c>
      <c r="I4368">
        <v>182.57560000000001</v>
      </c>
      <c r="J4368">
        <v>-191.6217</v>
      </c>
      <c r="K4368">
        <v>1.1102939999999999</v>
      </c>
      <c r="L4368">
        <v>183.19399999999999</v>
      </c>
      <c r="M4368">
        <v>2.2603950000000001E-2</v>
      </c>
      <c r="N4368">
        <v>-1.001903E-2</v>
      </c>
      <c r="O4368">
        <v>-0.99969450000000004</v>
      </c>
      <c r="P4368">
        <v>8.6166709999999994E-3</v>
      </c>
      <c r="Q4368">
        <v>0.36959170000000002</v>
      </c>
      <c r="R4368">
        <v>-0.92915429999999999</v>
      </c>
      <c r="S4368">
        <v>-0.47285460000000001</v>
      </c>
      <c r="T4368">
        <v>-0.46856249999999999</v>
      </c>
      <c r="U4368">
        <v>-3.4184109999999999</v>
      </c>
      <c r="V4368">
        <v>1.2548470000000001E-2</v>
      </c>
      <c r="W4368">
        <v>0.37887700000000002</v>
      </c>
      <c r="X4368">
        <v>0.92536189999999996</v>
      </c>
      <c r="Y4368">
        <v>0.15819820000000001</v>
      </c>
      <c r="Z4368">
        <v>0.1243163</v>
      </c>
      <c r="AA4368">
        <v>0.97955029999999998</v>
      </c>
      <c r="AB4368">
        <v>21</v>
      </c>
      <c r="AC4368">
        <v>-0.103800000000006</v>
      </c>
      <c r="AD4368">
        <v>-0.100411</v>
      </c>
      <c r="AE4368">
        <v>-0.61840000000000805</v>
      </c>
      <c r="AF4368">
        <v>0.114808504703798</v>
      </c>
      <c r="AG4368">
        <v>-0.100411</v>
      </c>
      <c r="AH4368">
        <v>0.60049744490910895</v>
      </c>
      <c r="AI4368">
        <v>99.326891891206799</v>
      </c>
      <c r="AJ4368">
        <v>79.176296324165605</v>
      </c>
      <c r="AK4368">
        <v>0.61956480130466596</v>
      </c>
      <c r="AL4368">
        <v>67.735859934289806</v>
      </c>
      <c r="AM4368">
        <v>89.223082013151199</v>
      </c>
      <c r="AN4368">
        <v>0.99999994559997396</v>
      </c>
    </row>
    <row r="4369" spans="1:40" x14ac:dyDescent="0.25">
      <c r="A4369" t="str">
        <f>"20190304164215386"</f>
        <v>20190304164215386</v>
      </c>
      <c r="B4369" t="str">
        <f>"1551688935375900"</f>
        <v>1551688935375900</v>
      </c>
      <c r="C4369" t="s">
        <v>40</v>
      </c>
      <c r="D4369">
        <v>4.5554790000000001</v>
      </c>
      <c r="E4369">
        <v>0.5719263</v>
      </c>
      <c r="F4369" t="s">
        <v>41</v>
      </c>
      <c r="G4369">
        <v>-191.74440000000001</v>
      </c>
      <c r="H4369">
        <v>1.0148649999999999</v>
      </c>
      <c r="I4369">
        <v>182.3877</v>
      </c>
      <c r="J4369">
        <v>-191.6191</v>
      </c>
      <c r="K4369">
        <v>1.110279</v>
      </c>
      <c r="L4369">
        <v>183.06950000000001</v>
      </c>
      <c r="M4369">
        <v>2.240087E-2</v>
      </c>
      <c r="N4369">
        <v>-9.9424319999999993E-3</v>
      </c>
      <c r="O4369">
        <v>-0.99969969999999997</v>
      </c>
      <c r="P4369">
        <v>8.3437040000000004E-3</v>
      </c>
      <c r="Q4369">
        <v>0.37017129999999998</v>
      </c>
      <c r="R4369">
        <v>-0.92892629999999998</v>
      </c>
      <c r="S4369">
        <v>-0.51632690000000003</v>
      </c>
      <c r="T4369">
        <v>-0.40166990000000002</v>
      </c>
      <c r="U4369">
        <v>-3.3933260000000001</v>
      </c>
      <c r="V4369">
        <v>1.2630219999999999E-2</v>
      </c>
      <c r="W4369">
        <v>0.37938309999999997</v>
      </c>
      <c r="X4369">
        <v>0.92515340000000001</v>
      </c>
      <c r="Y4369">
        <v>0.17157939999999999</v>
      </c>
      <c r="Z4369">
        <v>0.1060789</v>
      </c>
      <c r="AA4369">
        <v>0.97944260000000005</v>
      </c>
      <c r="AB4369">
        <v>21</v>
      </c>
      <c r="AC4369">
        <v>-0.12530000000000899</v>
      </c>
      <c r="AD4369">
        <v>-9.5414000000000096E-2</v>
      </c>
      <c r="AE4369">
        <v>-0.68180000000000895</v>
      </c>
      <c r="AF4369">
        <v>0.13792921459136601</v>
      </c>
      <c r="AG4369">
        <v>-9.5414000000000096E-2</v>
      </c>
      <c r="AH4369">
        <v>0.66620104801497304</v>
      </c>
      <c r="AI4369">
        <v>97.983475129958904</v>
      </c>
      <c r="AJ4369">
        <v>78.302836073595302</v>
      </c>
      <c r="AK4369">
        <v>0.68698772624410098</v>
      </c>
      <c r="AL4369">
        <v>67.704522812183797</v>
      </c>
      <c r="AM4369">
        <v>89.217845011015896</v>
      </c>
      <c r="AN4369">
        <v>0.99999993627720696</v>
      </c>
    </row>
    <row r="4370" spans="1:40" x14ac:dyDescent="0.25">
      <c r="A4370" t="str">
        <f>"20190304164215400"</f>
        <v>20190304164215400</v>
      </c>
      <c r="B4370" t="str">
        <f>"1551688935395419"</f>
        <v>1551688935395419</v>
      </c>
      <c r="C4370" t="s">
        <v>40</v>
      </c>
      <c r="D4370">
        <v>4.5702860000000003</v>
      </c>
      <c r="E4370">
        <v>0.57086110000000001</v>
      </c>
      <c r="F4370" t="s">
        <v>41</v>
      </c>
      <c r="G4370">
        <v>-191.74799999999999</v>
      </c>
      <c r="H4370">
        <v>1.0039169999999999</v>
      </c>
      <c r="I4370">
        <v>182.20769999999999</v>
      </c>
      <c r="J4370">
        <v>-191.6164</v>
      </c>
      <c r="K4370">
        <v>1.11026</v>
      </c>
      <c r="L4370">
        <v>182.93989999999999</v>
      </c>
      <c r="M4370">
        <v>2.2188079999999999E-2</v>
      </c>
      <c r="N4370">
        <v>-9.8628139999999993E-3</v>
      </c>
      <c r="O4370">
        <v>-0.99970530000000002</v>
      </c>
      <c r="P4370">
        <v>8.3683009999999999E-3</v>
      </c>
      <c r="Q4370">
        <v>0.37068839999999997</v>
      </c>
      <c r="R4370">
        <v>-0.92871939999999997</v>
      </c>
      <c r="S4370">
        <v>-0.50866699999999998</v>
      </c>
      <c r="T4370">
        <v>-0.41981669999999999</v>
      </c>
      <c r="U4370">
        <v>-3.4013979999999999</v>
      </c>
      <c r="V4370">
        <v>1.240845E-2</v>
      </c>
      <c r="W4370">
        <v>0.37982480000000002</v>
      </c>
      <c r="X4370">
        <v>0.9249752</v>
      </c>
      <c r="Y4370">
        <v>0.16878399999999999</v>
      </c>
      <c r="Z4370">
        <v>0.1110975</v>
      </c>
      <c r="AA4370">
        <v>0.97937189999999996</v>
      </c>
      <c r="AB4370">
        <v>21</v>
      </c>
      <c r="AC4370">
        <v>-0.131599999999991</v>
      </c>
      <c r="AD4370">
        <v>-0.10634299999999999</v>
      </c>
      <c r="AE4370">
        <v>-0.73220000000000596</v>
      </c>
      <c r="AF4370">
        <v>0.144854558055866</v>
      </c>
      <c r="AG4370">
        <v>-0.10634299999999999</v>
      </c>
      <c r="AH4370">
        <v>0.71449963120370397</v>
      </c>
      <c r="AI4370">
        <v>98.299095170414702</v>
      </c>
      <c r="AJ4370">
        <v>78.539433588209207</v>
      </c>
      <c r="AK4370">
        <v>0.73675056812247497</v>
      </c>
      <c r="AL4370">
        <v>67.677168843632202</v>
      </c>
      <c r="AM4370">
        <v>89.231428937358402</v>
      </c>
      <c r="AN4370">
        <v>0.99999998447074101</v>
      </c>
    </row>
    <row r="4371" spans="1:40" x14ac:dyDescent="0.25">
      <c r="A4371" t="str">
        <f>"20190304164215415"</f>
        <v>20190304164215415</v>
      </c>
      <c r="B4371" t="str">
        <f>"1551688935405179"</f>
        <v>1551688935405179</v>
      </c>
      <c r="C4371" t="s">
        <v>40</v>
      </c>
      <c r="D4371">
        <v>4.5034429999999999</v>
      </c>
      <c r="E4371">
        <v>0.5706753</v>
      </c>
      <c r="F4371" t="s">
        <v>41</v>
      </c>
      <c r="G4371">
        <v>-191.72479999999999</v>
      </c>
      <c r="H4371">
        <v>1.016035</v>
      </c>
      <c r="I4371">
        <v>182.2029</v>
      </c>
      <c r="J4371">
        <v>-191.61359999999999</v>
      </c>
      <c r="K4371">
        <v>1.110249</v>
      </c>
      <c r="L4371">
        <v>182.79900000000001</v>
      </c>
      <c r="M4371">
        <v>2.1950799999999999E-2</v>
      </c>
      <c r="N4371">
        <v>-9.7793080000000004E-3</v>
      </c>
      <c r="O4371">
        <v>-0.99971120000000002</v>
      </c>
      <c r="P4371">
        <v>8.8098740000000005E-3</v>
      </c>
      <c r="Q4371">
        <v>0.37082150000000003</v>
      </c>
      <c r="R4371">
        <v>-0.92866249999999995</v>
      </c>
      <c r="S4371">
        <v>-0.50096130000000005</v>
      </c>
      <c r="T4371">
        <v>-0.43587989999999999</v>
      </c>
      <c r="U4371">
        <v>-3.4087830000000001</v>
      </c>
      <c r="V4371">
        <v>1.1751930000000001E-2</v>
      </c>
      <c r="W4371">
        <v>0.37987989999999999</v>
      </c>
      <c r="X4371">
        <v>0.92496120000000004</v>
      </c>
      <c r="Y4371">
        <v>0.16599839999999999</v>
      </c>
      <c r="Z4371">
        <v>0.1155264</v>
      </c>
      <c r="AA4371">
        <v>0.97933559999999997</v>
      </c>
      <c r="AB4371">
        <v>21</v>
      </c>
      <c r="AC4371">
        <v>-0.111199999999996</v>
      </c>
      <c r="AD4371">
        <v>-9.4214000000000006E-2</v>
      </c>
      <c r="AE4371">
        <v>-0.59610000000000696</v>
      </c>
      <c r="AF4371">
        <v>0.12132980567071</v>
      </c>
      <c r="AG4371">
        <v>-9.4214000000000006E-2</v>
      </c>
      <c r="AH4371">
        <v>0.57952558884429795</v>
      </c>
      <c r="AI4371">
        <v>99.041165444846698</v>
      </c>
      <c r="AJ4371">
        <v>78.175314777998693</v>
      </c>
      <c r="AK4371">
        <v>0.59953907934797901</v>
      </c>
      <c r="AL4371">
        <v>67.673757210138007</v>
      </c>
      <c r="AM4371">
        <v>89.272077831472998</v>
      </c>
      <c r="AN4371">
        <v>1.00000003389408</v>
      </c>
    </row>
    <row r="4372" spans="1:40" x14ac:dyDescent="0.25">
      <c r="A4372" t="str">
        <f>"20190304164215438"</f>
        <v>20190304164215438</v>
      </c>
      <c r="B4372" t="str">
        <f>"1551688935425676"</f>
        <v>1551688935425676</v>
      </c>
      <c r="C4372" t="s">
        <v>40</v>
      </c>
      <c r="D4372">
        <v>4.564781</v>
      </c>
      <c r="E4372">
        <v>0.57020539999999997</v>
      </c>
      <c r="F4372" t="s">
        <v>41</v>
      </c>
      <c r="G4372">
        <v>-191.72749999999999</v>
      </c>
      <c r="H4372">
        <v>1.0098560000000001</v>
      </c>
      <c r="I4372">
        <v>182.02029999999999</v>
      </c>
      <c r="J4372">
        <v>-191.6095</v>
      </c>
      <c r="K4372">
        <v>1.1102190000000001</v>
      </c>
      <c r="L4372">
        <v>182.59460000000001</v>
      </c>
      <c r="M4372">
        <v>2.1593589999999999E-2</v>
      </c>
      <c r="N4372">
        <v>-9.6618980000000004E-3</v>
      </c>
      <c r="O4372">
        <v>-0.99972030000000001</v>
      </c>
      <c r="P4372">
        <v>8.8925940000000002E-3</v>
      </c>
      <c r="Q4372">
        <v>0.37047140000000001</v>
      </c>
      <c r="R4372">
        <v>-0.92880149999999995</v>
      </c>
      <c r="S4372">
        <v>-0.49859619999999999</v>
      </c>
      <c r="T4372">
        <v>-0.4397452</v>
      </c>
      <c r="U4372">
        <v>-3.4107669999999999</v>
      </c>
      <c r="V4372">
        <v>1.1351389999999999E-2</v>
      </c>
      <c r="W4372">
        <v>0.37942239999999999</v>
      </c>
      <c r="X4372">
        <v>0.92515389999999997</v>
      </c>
      <c r="Y4372">
        <v>0.1648809</v>
      </c>
      <c r="Z4372">
        <v>0.1166856</v>
      </c>
      <c r="AA4372">
        <v>0.97938689999999995</v>
      </c>
      <c r="AB4372">
        <v>21</v>
      </c>
      <c r="AC4372">
        <v>-0.117999999999994</v>
      </c>
      <c r="AD4372">
        <v>-0.10036299999999999</v>
      </c>
      <c r="AE4372">
        <v>-0.57430000000002202</v>
      </c>
      <c r="AF4372">
        <v>0.12666266784223501</v>
      </c>
      <c r="AG4372">
        <v>-0.10036299999999999</v>
      </c>
      <c r="AH4372">
        <v>0.55534467265921295</v>
      </c>
      <c r="AI4372">
        <v>99.992787761816103</v>
      </c>
      <c r="AJ4372">
        <v>77.151793912630794</v>
      </c>
      <c r="AK4372">
        <v>0.57838038404226799</v>
      </c>
      <c r="AL4372">
        <v>67.702090039132202</v>
      </c>
      <c r="AM4372">
        <v>89.297031441169096</v>
      </c>
      <c r="AN4372">
        <v>0.99999997518094996</v>
      </c>
    </row>
    <row r="4373" spans="1:40" x14ac:dyDescent="0.25">
      <c r="A4373" t="str">
        <f>"20190304164215450"</f>
        <v>20190304164215450</v>
      </c>
      <c r="B4373" t="str">
        <f>"1551688935445196"</f>
        <v>1551688935445196</v>
      </c>
      <c r="C4373" t="s">
        <v>40</v>
      </c>
      <c r="D4373">
        <v>4.5540859999999999</v>
      </c>
      <c r="E4373">
        <v>0.56982709999999903</v>
      </c>
      <c r="F4373" t="s">
        <v>41</v>
      </c>
      <c r="G4373">
        <v>-191.71969999999999</v>
      </c>
      <c r="H4373">
        <v>1.00989</v>
      </c>
      <c r="I4373">
        <v>181.83449999999999</v>
      </c>
      <c r="J4373">
        <v>-191.60720000000001</v>
      </c>
      <c r="K4373">
        <v>1.110204</v>
      </c>
      <c r="L4373">
        <v>182.47720000000001</v>
      </c>
      <c r="M4373">
        <v>2.137739E-2</v>
      </c>
      <c r="N4373">
        <v>-9.5972420000000006E-3</v>
      </c>
      <c r="O4373">
        <v>-0.99972550000000004</v>
      </c>
      <c r="P4373">
        <v>8.9331940000000002E-3</v>
      </c>
      <c r="Q4373">
        <v>0.36995739999999999</v>
      </c>
      <c r="R4373">
        <v>-0.92900590000000005</v>
      </c>
      <c r="S4373">
        <v>-0.49432369999999998</v>
      </c>
      <c r="T4373">
        <v>-0.45074730000000002</v>
      </c>
      <c r="U4373">
        <v>-3.4144899999999998</v>
      </c>
      <c r="V4373">
        <v>1.112134E-2</v>
      </c>
      <c r="W4373">
        <v>0.37885099999999999</v>
      </c>
      <c r="X4373">
        <v>0.92539079999999996</v>
      </c>
      <c r="Y4373">
        <v>0.16326160000000001</v>
      </c>
      <c r="Z4373">
        <v>0.119753</v>
      </c>
      <c r="AA4373">
        <v>0.97928789999999999</v>
      </c>
      <c r="AB4373">
        <v>21</v>
      </c>
      <c r="AC4373">
        <v>-0.112499999999982</v>
      </c>
      <c r="AD4373">
        <v>-0.100314</v>
      </c>
      <c r="AE4373">
        <v>-0.64270000000001903</v>
      </c>
      <c r="AF4373">
        <v>0.123299686274181</v>
      </c>
      <c r="AG4373">
        <v>-0.100314</v>
      </c>
      <c r="AH4373">
        <v>0.62536602775278605</v>
      </c>
      <c r="AI4373">
        <v>98.943775628415295</v>
      </c>
      <c r="AJ4373">
        <v>78.846391923387301</v>
      </c>
      <c r="AK4373">
        <v>0.64525063339652</v>
      </c>
      <c r="AL4373">
        <v>67.737469692692301</v>
      </c>
      <c r="AM4373">
        <v>89.311452880752796</v>
      </c>
      <c r="AN4373">
        <v>0.99999994856451602</v>
      </c>
    </row>
    <row r="4374" spans="1:40" x14ac:dyDescent="0.25">
      <c r="A4374" t="str">
        <f>"20190304164215462"</f>
        <v>20190304164215462</v>
      </c>
      <c r="B4374" t="str">
        <f>"1551688935455932"</f>
        <v>1551688935455932</v>
      </c>
      <c r="C4374" t="s">
        <v>40</v>
      </c>
      <c r="D4374">
        <v>4.5505870000000002</v>
      </c>
      <c r="E4374">
        <v>0.56972149999999999</v>
      </c>
      <c r="F4374" t="s">
        <v>41</v>
      </c>
      <c r="G4374">
        <v>-191.72550000000001</v>
      </c>
      <c r="H4374">
        <v>0.99957910000000005</v>
      </c>
      <c r="I4374">
        <v>181.65270000000001</v>
      </c>
      <c r="J4374">
        <v>-191.60489999999999</v>
      </c>
      <c r="K4374">
        <v>1.1101840000000001</v>
      </c>
      <c r="L4374">
        <v>182.3603</v>
      </c>
      <c r="M4374">
        <v>2.115682E-2</v>
      </c>
      <c r="N4374">
        <v>-9.5342329999999996E-3</v>
      </c>
      <c r="O4374">
        <v>-0.99973080000000003</v>
      </c>
      <c r="P4374">
        <v>9.0483300000000003E-3</v>
      </c>
      <c r="Q4374">
        <v>0.36976779999999998</v>
      </c>
      <c r="R4374">
        <v>-0.92908020000000002</v>
      </c>
      <c r="S4374">
        <v>-0.48994450000000001</v>
      </c>
      <c r="T4374">
        <v>-0.45841379999999998</v>
      </c>
      <c r="U4374">
        <v>-3.4165040000000002</v>
      </c>
      <c r="V4374">
        <v>1.08104E-2</v>
      </c>
      <c r="W4374">
        <v>0.37860339999999998</v>
      </c>
      <c r="X4374">
        <v>0.92549590000000004</v>
      </c>
      <c r="Y4374">
        <v>0.16169459999999999</v>
      </c>
      <c r="Z4374">
        <v>0.12193370000000001</v>
      </c>
      <c r="AA4374">
        <v>0.9792788</v>
      </c>
      <c r="AB4374">
        <v>21</v>
      </c>
      <c r="AC4374">
        <v>-0.12060000000002399</v>
      </c>
      <c r="AD4374">
        <v>-0.11060490000000001</v>
      </c>
      <c r="AE4374">
        <v>-0.70759999999998502</v>
      </c>
      <c r="AF4374">
        <v>0.13240064702660301</v>
      </c>
      <c r="AG4374">
        <v>-0.11060490000000001</v>
      </c>
      <c r="AH4374">
        <v>0.68854185839469795</v>
      </c>
      <c r="AI4374">
        <v>98.964338511007099</v>
      </c>
      <c r="AJ4374">
        <v>79.115375615716104</v>
      </c>
      <c r="AK4374">
        <v>0.70982622239439497</v>
      </c>
      <c r="AL4374">
        <v>67.752799866683802</v>
      </c>
      <c r="AM4374">
        <v>89.330778096640699</v>
      </c>
      <c r="AN4374">
        <v>1.0000000300782601</v>
      </c>
    </row>
    <row r="4375" spans="1:40" x14ac:dyDescent="0.25">
      <c r="A4375" t="str">
        <f>"20190304164215473"</f>
        <v>20190304164215473</v>
      </c>
      <c r="B4375" t="str">
        <f>"1551688935465692"</f>
        <v>1551688935465692</v>
      </c>
      <c r="C4375" t="s">
        <v>40</v>
      </c>
      <c r="D4375">
        <v>4.5434679999999998</v>
      </c>
      <c r="E4375">
        <v>0.569658199999999</v>
      </c>
      <c r="F4375" t="s">
        <v>41</v>
      </c>
      <c r="G4375">
        <v>-191.73220000000001</v>
      </c>
      <c r="H4375">
        <v>0.99001360000000005</v>
      </c>
      <c r="I4375">
        <v>181.4699</v>
      </c>
      <c r="J4375">
        <v>-191.60290000000001</v>
      </c>
      <c r="K4375">
        <v>1.1101669999999999</v>
      </c>
      <c r="L4375">
        <v>182.25059999999999</v>
      </c>
      <c r="M4375">
        <v>2.093569E-2</v>
      </c>
      <c r="N4375">
        <v>-9.4796099999999994E-3</v>
      </c>
      <c r="O4375">
        <v>-0.99973610000000002</v>
      </c>
      <c r="P4375">
        <v>9.2555280000000007E-3</v>
      </c>
      <c r="Q4375">
        <v>0.36971369999999998</v>
      </c>
      <c r="R4375">
        <v>-0.92909989999999998</v>
      </c>
      <c r="S4375">
        <v>-0.48802190000000001</v>
      </c>
      <c r="T4375">
        <v>-0.46124409999999999</v>
      </c>
      <c r="U4375">
        <v>-3.4173279999999999</v>
      </c>
      <c r="V4375">
        <v>1.040724E-2</v>
      </c>
      <c r="W4375">
        <v>0.37849890000000003</v>
      </c>
      <c r="X4375">
        <v>0.92554320000000001</v>
      </c>
      <c r="Y4375">
        <v>0.16088930000000001</v>
      </c>
      <c r="Z4375">
        <v>0.12277</v>
      </c>
      <c r="AA4375">
        <v>0.97930700000000004</v>
      </c>
      <c r="AB4375">
        <v>21</v>
      </c>
      <c r="AC4375">
        <v>-0.1293</v>
      </c>
      <c r="AD4375">
        <v>-0.12015339999999899</v>
      </c>
      <c r="AE4375">
        <v>-0.78069999999999595</v>
      </c>
      <c r="AF4375">
        <v>0.14233544183673799</v>
      </c>
      <c r="AG4375">
        <v>-0.12015339999999899</v>
      </c>
      <c r="AH4375">
        <v>0.76029374814725503</v>
      </c>
      <c r="AI4375">
        <v>98.829577410519505</v>
      </c>
      <c r="AJ4375">
        <v>79.396335201156006</v>
      </c>
      <c r="AK4375">
        <v>0.78277889662804601</v>
      </c>
      <c r="AL4375">
        <v>67.759267309960904</v>
      </c>
      <c r="AM4375">
        <v>89.355766647088004</v>
      </c>
      <c r="AN4375">
        <v>0.99999997150593301</v>
      </c>
    </row>
    <row r="4376" spans="1:40" x14ac:dyDescent="0.25">
      <c r="A4376" t="str">
        <f>"20190304164215485"</f>
        <v>20190304164215485</v>
      </c>
      <c r="B4376" t="str">
        <f>"1551688935475451"</f>
        <v>1551688935475451</v>
      </c>
      <c r="C4376" t="s">
        <v>40</v>
      </c>
      <c r="D4376">
        <v>4.4818290000000003</v>
      </c>
      <c r="E4376">
        <v>0.56968809999999903</v>
      </c>
      <c r="F4376" t="s">
        <v>41</v>
      </c>
      <c r="G4376">
        <v>-191.7148</v>
      </c>
      <c r="H4376">
        <v>1.0036750000000001</v>
      </c>
      <c r="I4376">
        <v>181.46420000000001</v>
      </c>
      <c r="J4376">
        <v>-191.6009</v>
      </c>
      <c r="K4376">
        <v>1.11015</v>
      </c>
      <c r="L4376">
        <v>182.1481</v>
      </c>
      <c r="M4376">
        <v>2.072514E-2</v>
      </c>
      <c r="N4376">
        <v>-9.4300709999999999E-3</v>
      </c>
      <c r="O4376">
        <v>-0.99974079999999999</v>
      </c>
      <c r="P4376">
        <v>9.43657E-3</v>
      </c>
      <c r="Q4376">
        <v>0.36978850000000002</v>
      </c>
      <c r="R4376">
        <v>-0.92906809999999995</v>
      </c>
      <c r="S4376">
        <v>-0.4859772</v>
      </c>
      <c r="T4376">
        <v>-0.46288790000000002</v>
      </c>
      <c r="U4376">
        <v>-3.4179529999999998</v>
      </c>
      <c r="V4376">
        <v>1.0039019999999999E-2</v>
      </c>
      <c r="W4376">
        <v>0.37852750000000002</v>
      </c>
      <c r="X4376">
        <v>0.92553560000000001</v>
      </c>
      <c r="Y4376">
        <v>0.1600741</v>
      </c>
      <c r="Z4376">
        <v>0.1232742</v>
      </c>
      <c r="AA4376">
        <v>0.97937719999999995</v>
      </c>
      <c r="AB4376">
        <v>21</v>
      </c>
      <c r="AC4376">
        <v>-0.1139</v>
      </c>
      <c r="AD4376">
        <v>-0.106474999999999</v>
      </c>
      <c r="AE4376">
        <v>-0.68389999999999396</v>
      </c>
      <c r="AF4376">
        <v>0.12509966381111201</v>
      </c>
      <c r="AG4376">
        <v>-0.106474999999999</v>
      </c>
      <c r="AH4376">
        <v>0.66569232518714405</v>
      </c>
      <c r="AI4376">
        <v>98.933485725392799</v>
      </c>
      <c r="AJ4376">
        <v>79.356869921548395</v>
      </c>
      <c r="AK4376">
        <v>0.68566254332850896</v>
      </c>
      <c r="AL4376">
        <v>67.757497559891405</v>
      </c>
      <c r="AM4376">
        <v>89.378553433668401</v>
      </c>
      <c r="AN4376">
        <v>0.99999999852308497</v>
      </c>
    </row>
    <row r="4377" spans="1:40" x14ac:dyDescent="0.25">
      <c r="A4377" t="str">
        <f>"20190304164215497"</f>
        <v>20190304164215497</v>
      </c>
      <c r="B4377" t="str">
        <f>"1551688935485211"</f>
        <v>1551688935485211</v>
      </c>
      <c r="C4377" t="s">
        <v>40</v>
      </c>
      <c r="D4377">
        <v>4.5411650000000003</v>
      </c>
      <c r="E4377">
        <v>0.56962939999999995</v>
      </c>
      <c r="F4377" t="s">
        <v>41</v>
      </c>
      <c r="G4377">
        <v>-191.72409999999999</v>
      </c>
      <c r="H4377">
        <v>0.99265210000000004</v>
      </c>
      <c r="I4377">
        <v>181.28149999999999</v>
      </c>
      <c r="J4377">
        <v>-191.59870000000001</v>
      </c>
      <c r="K4377">
        <v>1.1101319999999999</v>
      </c>
      <c r="L4377">
        <v>182.0301</v>
      </c>
      <c r="M4377">
        <v>2.0470349999999998E-2</v>
      </c>
      <c r="N4377">
        <v>-9.3772000000000005E-3</v>
      </c>
      <c r="O4377">
        <v>-0.99974660000000004</v>
      </c>
      <c r="P4377">
        <v>9.6445019999999992E-3</v>
      </c>
      <c r="Q4377">
        <v>0.36968620000000002</v>
      </c>
      <c r="R4377">
        <v>-0.92910680000000001</v>
      </c>
      <c r="S4377">
        <v>-0.48503109999999999</v>
      </c>
      <c r="T4377">
        <v>-0.46354329999999999</v>
      </c>
      <c r="U4377">
        <v>-3.4184570000000001</v>
      </c>
      <c r="V4377">
        <v>9.60716E-3</v>
      </c>
      <c r="W4377">
        <v>0.37837660000000001</v>
      </c>
      <c r="X4377">
        <v>0.92560189999999998</v>
      </c>
      <c r="Y4377">
        <v>0.1595337</v>
      </c>
      <c r="Z4377">
        <v>0.123502</v>
      </c>
      <c r="AA4377">
        <v>0.97943670000000005</v>
      </c>
      <c r="AB4377">
        <v>21</v>
      </c>
      <c r="AC4377">
        <v>-0.125399999999984</v>
      </c>
      <c r="AD4377">
        <v>-0.117479899999999</v>
      </c>
      <c r="AE4377">
        <v>-0.74860000000001004</v>
      </c>
      <c r="AF4377">
        <v>0.137406821234654</v>
      </c>
      <c r="AG4377">
        <v>-0.117479899999999</v>
      </c>
      <c r="AH4377">
        <v>0.728426075866908</v>
      </c>
      <c r="AI4377">
        <v>99.005567757116097</v>
      </c>
      <c r="AJ4377">
        <v>79.317522750301194</v>
      </c>
      <c r="AK4377">
        <v>0.75052428969933005</v>
      </c>
      <c r="AL4377">
        <v>67.766838586614796</v>
      </c>
      <c r="AM4377">
        <v>89.405327543610795</v>
      </c>
      <c r="AN4377">
        <v>1.00000001311721</v>
      </c>
    </row>
    <row r="4378" spans="1:40" x14ac:dyDescent="0.25">
      <c r="A4378" t="str">
        <f>"20190304164215511"</f>
        <v>20190304164215511</v>
      </c>
      <c r="B4378" t="str">
        <f>"1551688935505707"</f>
        <v>1551688935505707</v>
      </c>
      <c r="C4378" t="s">
        <v>40</v>
      </c>
      <c r="D4378">
        <v>4.6016170000000001</v>
      </c>
      <c r="E4378">
        <v>0.56953350000000003</v>
      </c>
      <c r="F4378" t="s">
        <v>41</v>
      </c>
      <c r="G4378">
        <v>-191.70580000000001</v>
      </c>
      <c r="H4378">
        <v>1.0075000000000001</v>
      </c>
      <c r="I4378">
        <v>181.27520000000001</v>
      </c>
      <c r="J4378">
        <v>-191.59649999999999</v>
      </c>
      <c r="K4378">
        <v>1.1101080000000001</v>
      </c>
      <c r="L4378">
        <v>181.90379999999999</v>
      </c>
      <c r="M4378">
        <v>2.01812E-2</v>
      </c>
      <c r="N4378">
        <v>-9.3247079999999993E-3</v>
      </c>
      <c r="O4378">
        <v>-0.99975309999999995</v>
      </c>
      <c r="P4378">
        <v>9.9301770000000001E-3</v>
      </c>
      <c r="Q4378">
        <v>0.3699693</v>
      </c>
      <c r="R4378">
        <v>-0.92899129999999996</v>
      </c>
      <c r="S4378">
        <v>-0.48410029999999998</v>
      </c>
      <c r="T4378">
        <v>-0.46492519999999998</v>
      </c>
      <c r="U4378">
        <v>-3.4189449999999999</v>
      </c>
      <c r="V4378">
        <v>9.0667749999999991E-3</v>
      </c>
      <c r="W4378">
        <v>0.37861</v>
      </c>
      <c r="X4378">
        <v>0.92551190000000005</v>
      </c>
      <c r="Y4378">
        <v>0.15896060000000001</v>
      </c>
      <c r="Z4378">
        <v>0.12393510000000001</v>
      </c>
      <c r="AA4378">
        <v>0.97947519999999999</v>
      </c>
      <c r="AB4378">
        <v>21</v>
      </c>
      <c r="AC4378">
        <v>-0.10930000000001799</v>
      </c>
      <c r="AD4378">
        <v>-0.102608</v>
      </c>
      <c r="AE4378">
        <v>-0.62859999999997695</v>
      </c>
      <c r="AF4378">
        <v>0.118889360002147</v>
      </c>
      <c r="AG4378">
        <v>-0.102608</v>
      </c>
      <c r="AH4378">
        <v>0.61047732708626701</v>
      </c>
      <c r="AI4378">
        <v>99.368206163120902</v>
      </c>
      <c r="AJ4378">
        <v>78.979690290816293</v>
      </c>
      <c r="AK4378">
        <v>0.63035359003666602</v>
      </c>
      <c r="AL4378">
        <v>67.752390777152499</v>
      </c>
      <c r="AM4378">
        <v>89.438719995284302</v>
      </c>
      <c r="AN4378">
        <v>1.00000000777525</v>
      </c>
    </row>
    <row r="4379" spans="1:40" x14ac:dyDescent="0.25">
      <c r="A4379" t="str">
        <f>"20190304164215529"</f>
        <v>20190304164215529</v>
      </c>
      <c r="B4379" t="str">
        <f>"1551688935515468"</f>
        <v>1551688935515468</v>
      </c>
      <c r="C4379" t="s">
        <v>40</v>
      </c>
      <c r="D4379">
        <v>4.9744760000000001</v>
      </c>
      <c r="E4379">
        <v>0.56953350000000003</v>
      </c>
      <c r="F4379" t="s">
        <v>41</v>
      </c>
      <c r="G4379">
        <v>-191.71119999999999</v>
      </c>
      <c r="H4379">
        <v>0.99969140000000001</v>
      </c>
      <c r="I4379">
        <v>181.0907</v>
      </c>
      <c r="J4379">
        <v>-191.59370000000001</v>
      </c>
      <c r="K4379">
        <v>1.11007099999999</v>
      </c>
      <c r="L4379">
        <v>181.74850000000001</v>
      </c>
      <c r="M4379">
        <v>1.9801530000000001E-2</v>
      </c>
      <c r="N4379">
        <v>-9.2635140000000005E-3</v>
      </c>
      <c r="O4379">
        <v>-0.99976120000000002</v>
      </c>
      <c r="P4379">
        <v>1.051172E-2</v>
      </c>
      <c r="Q4379">
        <v>0.3700775</v>
      </c>
      <c r="R4379">
        <v>-0.92894160000000003</v>
      </c>
      <c r="S4379">
        <v>-0.4824524</v>
      </c>
      <c r="T4379">
        <v>-0.46440480000000001</v>
      </c>
      <c r="U4379">
        <v>-3.4194179999999998</v>
      </c>
      <c r="V4379">
        <v>8.1562509999999998E-3</v>
      </c>
      <c r="W4379">
        <v>0.37866159999999999</v>
      </c>
      <c r="X4379">
        <v>0.92549930000000002</v>
      </c>
      <c r="Y4379">
        <v>0.158107</v>
      </c>
      <c r="Z4379">
        <v>0.12384680000000001</v>
      </c>
      <c r="AA4379">
        <v>0.97962450000000001</v>
      </c>
      <c r="AB4379">
        <v>21</v>
      </c>
      <c r="AC4379">
        <v>-0.117499999999978</v>
      </c>
      <c r="AD4379">
        <v>-0.110379599999999</v>
      </c>
      <c r="AE4379">
        <v>-0.65780000000000804</v>
      </c>
      <c r="AF4379">
        <v>0.12703656799270899</v>
      </c>
      <c r="AG4379">
        <v>-0.110379599999999</v>
      </c>
      <c r="AH4379">
        <v>0.63793710670883597</v>
      </c>
      <c r="AI4379">
        <v>99.630999365629506</v>
      </c>
      <c r="AJ4379">
        <v>78.737646979142497</v>
      </c>
      <c r="AK4379">
        <v>0.65976184932107695</v>
      </c>
      <c r="AL4379">
        <v>67.749197312672905</v>
      </c>
      <c r="AM4379">
        <v>89.495076159097906</v>
      </c>
      <c r="AN4379">
        <v>1.0000000430227101</v>
      </c>
    </row>
    <row r="4380" spans="1:40" x14ac:dyDescent="0.25">
      <c r="A4380" t="str">
        <f>"20190304164215543"</f>
        <v>20190304164215543</v>
      </c>
      <c r="B4380" t="str">
        <f>"1551688935535964"</f>
        <v>1551688935535964</v>
      </c>
      <c r="C4380" t="s">
        <v>40</v>
      </c>
      <c r="D4380">
        <v>4.4528619999999997</v>
      </c>
      <c r="E4380">
        <v>0.53028039999999999</v>
      </c>
      <c r="F4380" t="s">
        <v>41</v>
      </c>
      <c r="G4380">
        <v>-191.71270000000001</v>
      </c>
      <c r="H4380">
        <v>0.99557660000000003</v>
      </c>
      <c r="I4380">
        <v>180.9041</v>
      </c>
      <c r="J4380">
        <v>-191.59119999999999</v>
      </c>
      <c r="K4380">
        <v>1.110031</v>
      </c>
      <c r="L4380">
        <v>181.59950000000001</v>
      </c>
      <c r="M4380">
        <v>1.9405490000000001E-2</v>
      </c>
      <c r="N4380">
        <v>-9.2067820000000002E-3</v>
      </c>
      <c r="O4380">
        <v>-0.99976940000000003</v>
      </c>
      <c r="P4380">
        <v>1.0571250000000001E-2</v>
      </c>
      <c r="Q4380">
        <v>0.37032039999999999</v>
      </c>
      <c r="R4380">
        <v>-0.92884429999999996</v>
      </c>
      <c r="S4380">
        <v>-0.48115540000000001</v>
      </c>
      <c r="T4380">
        <v>-0.46374880000000002</v>
      </c>
      <c r="U4380">
        <v>-3.4196930000000001</v>
      </c>
      <c r="V4380">
        <v>7.7568189999999999E-3</v>
      </c>
      <c r="W4380">
        <v>0.37885099999999999</v>
      </c>
      <c r="X4380">
        <v>0.92542519999999995</v>
      </c>
      <c r="Y4380">
        <v>0.15734429999999999</v>
      </c>
      <c r="Z4380">
        <v>0.1237214</v>
      </c>
      <c r="AA4380">
        <v>0.97976319999999995</v>
      </c>
      <c r="AB4380">
        <v>21</v>
      </c>
      <c r="AC4380">
        <v>-0.121500000000025</v>
      </c>
      <c r="AD4380">
        <v>-0.1144544</v>
      </c>
      <c r="AE4380">
        <v>-0.69540000000000601</v>
      </c>
      <c r="AF4380">
        <v>0.13151516623024301</v>
      </c>
      <c r="AG4380">
        <v>-0.1144544</v>
      </c>
      <c r="AH4380">
        <v>0.67516335086872004</v>
      </c>
      <c r="AI4380">
        <v>99.447103541874796</v>
      </c>
      <c r="AJ4380">
        <v>78.977374866334699</v>
      </c>
      <c r="AK4380">
        <v>0.69731026020287901</v>
      </c>
      <c r="AL4380">
        <v>67.737471476535205</v>
      </c>
      <c r="AM4380">
        <v>89.519763905794306</v>
      </c>
      <c r="AN4380">
        <v>1.0000000246185099</v>
      </c>
    </row>
    <row r="4381" spans="1:40" x14ac:dyDescent="0.25">
      <c r="A4381" t="str">
        <f>"20190304164215555"</f>
        <v>20190304164215555</v>
      </c>
      <c r="B4381" t="str">
        <f>"1551688935545725"</f>
        <v>1551688935545725</v>
      </c>
      <c r="C4381" t="s">
        <v>40</v>
      </c>
      <c r="D4381">
        <v>4.4880449999999996</v>
      </c>
      <c r="E4381">
        <v>0.52388679999999999</v>
      </c>
      <c r="F4381" t="s">
        <v>41</v>
      </c>
      <c r="G4381">
        <v>-191.636</v>
      </c>
      <c r="H4381">
        <v>1.0110399999999999</v>
      </c>
      <c r="I4381">
        <v>180.71</v>
      </c>
      <c r="J4381">
        <v>-191.58920000000001</v>
      </c>
      <c r="K4381">
        <v>1.109996</v>
      </c>
      <c r="L4381">
        <v>181.4828</v>
      </c>
      <c r="M4381">
        <v>1.9061640000000001E-2</v>
      </c>
      <c r="N4381">
        <v>-9.1639930000000005E-3</v>
      </c>
      <c r="O4381">
        <v>-0.99977660000000002</v>
      </c>
      <c r="P4381">
        <v>1.096302E-2</v>
      </c>
      <c r="Q4381">
        <v>0.37050919999999998</v>
      </c>
      <c r="R4381">
        <v>-0.92876449999999999</v>
      </c>
      <c r="S4381">
        <v>-0.1701965</v>
      </c>
      <c r="T4381">
        <v>-0.3764518</v>
      </c>
      <c r="U4381">
        <v>-3.3818510000000002</v>
      </c>
      <c r="V4381">
        <v>7.0726369999999997E-3</v>
      </c>
      <c r="W4381">
        <v>0.37899929999999998</v>
      </c>
      <c r="X4381">
        <v>0.92537000000000003</v>
      </c>
      <c r="Y4381">
        <v>6.8995299999999996E-2</v>
      </c>
      <c r="Z4381">
        <v>0.1012842</v>
      </c>
      <c r="AA4381">
        <v>0.99246219999999996</v>
      </c>
      <c r="AB4381">
        <v>21</v>
      </c>
      <c r="AC4381">
        <v>-4.6799999999990398E-2</v>
      </c>
      <c r="AD4381">
        <v>-9.8956000000000002E-2</v>
      </c>
      <c r="AE4381">
        <v>-0.77279999999998905</v>
      </c>
      <c r="AF4381">
        <v>6.0534029045759802E-2</v>
      </c>
      <c r="AG4381">
        <v>-9.8956000000000002E-2</v>
      </c>
      <c r="AH4381">
        <v>0.75936210322303599</v>
      </c>
      <c r="AI4381">
        <v>97.401420986129096</v>
      </c>
      <c r="AJ4381">
        <v>85.442193672860299</v>
      </c>
      <c r="AK4381">
        <v>0.76817150586299798</v>
      </c>
      <c r="AL4381">
        <v>67.728290741227696</v>
      </c>
      <c r="AM4381">
        <v>89.562094773203498</v>
      </c>
      <c r="AN4381">
        <v>1.0000000642472999</v>
      </c>
    </row>
    <row r="4382" spans="1:40" x14ac:dyDescent="0.25">
      <c r="A4382" t="str">
        <f>"20190304164215573"</f>
        <v>20190304164215573</v>
      </c>
      <c r="B4382" t="str">
        <f>"1551688935565243"</f>
        <v>1551688935565243</v>
      </c>
      <c r="C4382" t="s">
        <v>40</v>
      </c>
      <c r="D4382">
        <v>4.3986689999999999</v>
      </c>
      <c r="E4382">
        <v>0.51670769999999999</v>
      </c>
      <c r="F4382" t="s">
        <v>41</v>
      </c>
      <c r="G4382">
        <v>-191.61670000000001</v>
      </c>
      <c r="H4382">
        <v>1.0266459999999999</v>
      </c>
      <c r="I4382">
        <v>180.70269999999999</v>
      </c>
      <c r="J4382">
        <v>-191.58670000000001</v>
      </c>
      <c r="K4382">
        <v>1.1099460000000001</v>
      </c>
      <c r="L4382">
        <v>181.3237</v>
      </c>
      <c r="M4382">
        <v>1.855648E-2</v>
      </c>
      <c r="N4382">
        <v>-9.1089659999999996E-3</v>
      </c>
      <c r="O4382">
        <v>-0.99978650000000002</v>
      </c>
      <c r="P4382">
        <v>1.129965E-2</v>
      </c>
      <c r="Q4382">
        <v>0.37054759999999998</v>
      </c>
      <c r="R4382">
        <v>-0.92874489999999998</v>
      </c>
      <c r="S4382">
        <v>-0.1181793</v>
      </c>
      <c r="T4382">
        <v>-0.36069069999999998</v>
      </c>
      <c r="U4382">
        <v>-3.3753660000000001</v>
      </c>
      <c r="V4382">
        <v>6.3088149999999997E-3</v>
      </c>
      <c r="W4382">
        <v>0.37898690000000002</v>
      </c>
      <c r="X4382">
        <v>0.92538050000000005</v>
      </c>
      <c r="Y4382">
        <v>5.3337250000000003E-2</v>
      </c>
      <c r="Z4382">
        <v>9.7054790000000002E-2</v>
      </c>
      <c r="AA4382">
        <v>0.99384890000000004</v>
      </c>
      <c r="AB4382">
        <v>21</v>
      </c>
      <c r="AC4382">
        <v>-3.0000000000001099E-2</v>
      </c>
      <c r="AD4382">
        <v>-8.3299999999999902E-2</v>
      </c>
      <c r="AE4382">
        <v>-0.62100000000000899</v>
      </c>
      <c r="AF4382">
        <v>4.0786712054028999E-2</v>
      </c>
      <c r="AG4382">
        <v>-8.3299999999999902E-2</v>
      </c>
      <c r="AH4382">
        <v>0.60939691619068104</v>
      </c>
      <c r="AI4382">
        <v>97.766501717410193</v>
      </c>
      <c r="AJ4382">
        <v>86.170925224774194</v>
      </c>
      <c r="AK4382">
        <v>0.61641467158309204</v>
      </c>
      <c r="AL4382">
        <v>67.729056286486596</v>
      </c>
      <c r="AM4382">
        <v>89.609390004243394</v>
      </c>
      <c r="AN4382">
        <v>0.99999997064928103</v>
      </c>
    </row>
    <row r="4383" spans="1:40" x14ac:dyDescent="0.25">
      <c r="A4383" t="str">
        <f>"20190304164215583"</f>
        <v>20190304164215583</v>
      </c>
      <c r="B4383" t="str">
        <f>"1551688935575980"</f>
        <v>1551688935575980</v>
      </c>
      <c r="C4383" t="s">
        <v>40</v>
      </c>
      <c r="D4383">
        <v>4.4050500000000001</v>
      </c>
      <c r="E4383">
        <v>0.51513949999999997</v>
      </c>
      <c r="F4383" t="s">
        <v>41</v>
      </c>
      <c r="G4383">
        <v>-191.60159999999999</v>
      </c>
      <c r="H4383">
        <v>1.0272349999999999</v>
      </c>
      <c r="I4383">
        <v>180.51300000000001</v>
      </c>
      <c r="J4383">
        <v>-191.58510000000001</v>
      </c>
      <c r="K4383">
        <v>1.109909</v>
      </c>
      <c r="L4383">
        <v>181.21770000000001</v>
      </c>
      <c r="M4383">
        <v>1.8197979999999999E-2</v>
      </c>
      <c r="N4383">
        <v>-9.0743089999999992E-3</v>
      </c>
      <c r="O4383">
        <v>-0.99979320000000005</v>
      </c>
      <c r="P4383">
        <v>1.139984E-2</v>
      </c>
      <c r="Q4383">
        <v>0.37067489999999997</v>
      </c>
      <c r="R4383">
        <v>-0.92869259999999998</v>
      </c>
      <c r="S4383">
        <v>-6.0791020000000001E-2</v>
      </c>
      <c r="T4383">
        <v>-0.34369499999999997</v>
      </c>
      <c r="U4383">
        <v>-3.3680270000000001</v>
      </c>
      <c r="V4383">
        <v>5.9052690000000003E-3</v>
      </c>
      <c r="W4383">
        <v>0.37908130000000001</v>
      </c>
      <c r="X4383">
        <v>0.92534450000000001</v>
      </c>
      <c r="Y4383">
        <v>3.614378E-2</v>
      </c>
      <c r="Z4383">
        <v>9.2419559999999998E-2</v>
      </c>
      <c r="AA4383">
        <v>0.99506399999999995</v>
      </c>
      <c r="AB4383">
        <v>21</v>
      </c>
      <c r="AC4383">
        <v>-1.6499999999979299E-2</v>
      </c>
      <c r="AD4383">
        <v>-8.26739999999999E-2</v>
      </c>
      <c r="AE4383">
        <v>-0.70470000000000199</v>
      </c>
      <c r="AF4383">
        <v>2.89240340114814E-2</v>
      </c>
      <c r="AG4383">
        <v>-8.26739999999999E-2</v>
      </c>
      <c r="AH4383">
        <v>0.69472637750361999</v>
      </c>
      <c r="AI4383">
        <v>96.780591948398495</v>
      </c>
      <c r="AJ4383">
        <v>87.615941184899199</v>
      </c>
      <c r="AK4383">
        <v>0.700225913272852</v>
      </c>
      <c r="AL4383">
        <v>67.723211515301301</v>
      </c>
      <c r="AM4383">
        <v>89.634360611079501</v>
      </c>
      <c r="AN4383">
        <v>0.99999997394594997</v>
      </c>
    </row>
    <row r="4384" spans="1:40" x14ac:dyDescent="0.25">
      <c r="A4384" t="str">
        <f>"20190304164215605"</f>
        <v>20190304164215605</v>
      </c>
      <c r="B4384" t="str">
        <f>"1551688935595499"</f>
        <v>1551688935595499</v>
      </c>
      <c r="C4384" t="s">
        <v>40</v>
      </c>
      <c r="D4384">
        <v>4.3624010000000002</v>
      </c>
      <c r="E4384">
        <v>0.51306529999999995</v>
      </c>
      <c r="F4384" t="s">
        <v>41</v>
      </c>
      <c r="G4384">
        <v>-191.59790000000001</v>
      </c>
      <c r="H4384">
        <v>1.019698</v>
      </c>
      <c r="I4384">
        <v>180.32669999999999</v>
      </c>
      <c r="J4384">
        <v>-191.5823</v>
      </c>
      <c r="K4384">
        <v>1.1098300000000001</v>
      </c>
      <c r="L4384">
        <v>181.01779999999999</v>
      </c>
      <c r="M4384">
        <v>1.7430359999999999E-2</v>
      </c>
      <c r="N4384">
        <v>-9.0169880000000001E-3</v>
      </c>
      <c r="O4384">
        <v>-0.99980749999999996</v>
      </c>
      <c r="P4384">
        <v>1.130662E-2</v>
      </c>
      <c r="Q4384">
        <v>0.37039729999999998</v>
      </c>
      <c r="R4384">
        <v>-0.92880479999999999</v>
      </c>
      <c r="S4384">
        <v>-4.8065190000000001E-2</v>
      </c>
      <c r="T4384">
        <v>-0.34089269999999999</v>
      </c>
      <c r="U4384">
        <v>-3.3670200000000001</v>
      </c>
      <c r="V4384">
        <v>5.3533979999999997E-3</v>
      </c>
      <c r="W4384">
        <v>0.37875120000000001</v>
      </c>
      <c r="X4384">
        <v>0.92548299999999994</v>
      </c>
      <c r="Y4384">
        <v>3.1625069999999998E-2</v>
      </c>
      <c r="Z4384">
        <v>9.1700139999999999E-2</v>
      </c>
      <c r="AA4384">
        <v>0.99528439999999996</v>
      </c>
      <c r="AB4384">
        <v>21</v>
      </c>
      <c r="AC4384">
        <v>-1.5600000000006199E-2</v>
      </c>
      <c r="AD4384">
        <v>-9.0131999999999796E-2</v>
      </c>
      <c r="AE4384">
        <v>-0.69110000000000504</v>
      </c>
      <c r="AF4384">
        <v>2.7182137612616099E-2</v>
      </c>
      <c r="AG4384">
        <v>-9.0131999999999796E-2</v>
      </c>
      <c r="AH4384">
        <v>0.67917690569042</v>
      </c>
      <c r="AI4384">
        <v>97.553442919680506</v>
      </c>
      <c r="AJ4384">
        <v>87.708121400519701</v>
      </c>
      <c r="AK4384">
        <v>0.68567041299184295</v>
      </c>
      <c r="AL4384">
        <v>67.743648443404794</v>
      </c>
      <c r="AM4384">
        <v>89.668579876105298</v>
      </c>
      <c r="AN4384">
        <v>0.99999995683029197</v>
      </c>
    </row>
    <row r="4385" spans="1:40" x14ac:dyDescent="0.25">
      <c r="A4385" t="str">
        <f>"20190304164215616"</f>
        <v>20190304164215616</v>
      </c>
      <c r="B4385" t="str">
        <f>"1551688935605260"</f>
        <v>1551688935605260</v>
      </c>
      <c r="C4385" t="s">
        <v>40</v>
      </c>
      <c r="D4385">
        <v>4.3903160000000003</v>
      </c>
      <c r="E4385">
        <v>0.51245750000000001</v>
      </c>
      <c r="F4385" t="s">
        <v>41</v>
      </c>
      <c r="G4385">
        <v>-191.5907</v>
      </c>
      <c r="H4385">
        <v>1.021612</v>
      </c>
      <c r="I4385">
        <v>180.1352</v>
      </c>
      <c r="J4385">
        <v>-191.58070000000001</v>
      </c>
      <c r="K4385">
        <v>1.10978</v>
      </c>
      <c r="L4385">
        <v>180.89709999999999</v>
      </c>
      <c r="M4385">
        <v>1.6913859999999999E-2</v>
      </c>
      <c r="N4385">
        <v>-8.9863659999999904E-3</v>
      </c>
      <c r="O4385">
        <v>-0.9998167</v>
      </c>
      <c r="P4385">
        <v>1.0725190000000001E-2</v>
      </c>
      <c r="Q4385">
        <v>0.3701333</v>
      </c>
      <c r="R4385">
        <v>-0.9289172</v>
      </c>
      <c r="S4385">
        <v>-3.1875609999999999E-2</v>
      </c>
      <c r="T4385">
        <v>-0.33627410000000002</v>
      </c>
      <c r="U4385">
        <v>-3.3644409999999998</v>
      </c>
      <c r="V4385">
        <v>5.4996510000000004E-3</v>
      </c>
      <c r="W4385">
        <v>0.3784595</v>
      </c>
      <c r="X4385">
        <v>0.92560149999999997</v>
      </c>
      <c r="Y4385">
        <v>2.6334509999999998E-2</v>
      </c>
      <c r="Z4385">
        <v>9.0466630000000006E-2</v>
      </c>
      <c r="AA4385">
        <v>0.99555119999999997</v>
      </c>
      <c r="AB4385">
        <v>21</v>
      </c>
      <c r="AC4385">
        <v>-9.9999999999908998E-3</v>
      </c>
      <c r="AD4385">
        <v>-8.8167999999999802E-2</v>
      </c>
      <c r="AE4385">
        <v>-0.76189999999999702</v>
      </c>
      <c r="AF4385">
        <v>2.2583386851962699E-2</v>
      </c>
      <c r="AG4385">
        <v>-8.8167999999999802E-2</v>
      </c>
      <c r="AH4385">
        <v>0.75155915937321305</v>
      </c>
      <c r="AI4385">
        <v>96.687991475790199</v>
      </c>
      <c r="AJ4385">
        <v>88.278853358490494</v>
      </c>
      <c r="AK4385">
        <v>0.75705004829500999</v>
      </c>
      <c r="AL4385">
        <v>67.761706580349795</v>
      </c>
      <c r="AM4385">
        <v>89.659569390270306</v>
      </c>
      <c r="AN4385">
        <v>0.99999998805181001</v>
      </c>
    </row>
    <row r="4386" spans="1:40" x14ac:dyDescent="0.25">
      <c r="A4386" t="str">
        <f>"20190304164215628"</f>
        <v>20190304164215628</v>
      </c>
      <c r="B4386" t="str">
        <f>"1551688935625756"</f>
        <v>1551688935625756</v>
      </c>
      <c r="C4386" t="s">
        <v>40</v>
      </c>
      <c r="D4386">
        <v>4.3956160000000004</v>
      </c>
      <c r="E4386">
        <v>0.51184049999999903</v>
      </c>
      <c r="F4386" t="s">
        <v>41</v>
      </c>
      <c r="G4386">
        <v>-191.5873</v>
      </c>
      <c r="H4386">
        <v>1.0329980000000001</v>
      </c>
      <c r="I4386">
        <v>180.12960000000001</v>
      </c>
      <c r="J4386">
        <v>-191.57939999999999</v>
      </c>
      <c r="K4386">
        <v>1.109731</v>
      </c>
      <c r="L4386">
        <v>180.78870000000001</v>
      </c>
      <c r="M4386">
        <v>1.6417459999999998E-2</v>
      </c>
      <c r="N4386">
        <v>-8.9607409999999995E-3</v>
      </c>
      <c r="O4386">
        <v>-0.99982519999999997</v>
      </c>
      <c r="P4386">
        <v>1.038303E-2</v>
      </c>
      <c r="Q4386">
        <v>0.37017410000000001</v>
      </c>
      <c r="R4386">
        <v>-0.92890450000000002</v>
      </c>
      <c r="S4386">
        <v>-2.8594970000000001E-2</v>
      </c>
      <c r="T4386">
        <v>-0.33657779999999998</v>
      </c>
      <c r="U4386">
        <v>-3.3640140000000001</v>
      </c>
      <c r="V4386">
        <v>5.4189629999999997E-3</v>
      </c>
      <c r="W4386">
        <v>0.37847639999999999</v>
      </c>
      <c r="X4386">
        <v>0.9255951</v>
      </c>
      <c r="Y4386">
        <v>2.4869209999999999E-2</v>
      </c>
      <c r="Z4386">
        <v>9.0597259999999999E-2</v>
      </c>
      <c r="AA4386">
        <v>0.99557700000000005</v>
      </c>
      <c r="AB4386">
        <v>21</v>
      </c>
      <c r="AC4386">
        <v>-7.9000000000064505E-3</v>
      </c>
      <c r="AD4386">
        <v>-7.6733000000000107E-2</v>
      </c>
      <c r="AE4386">
        <v>-0.65909999999999502</v>
      </c>
      <c r="AF4386">
        <v>1.8469815520415201E-2</v>
      </c>
      <c r="AG4386">
        <v>-7.6733000000000107E-2</v>
      </c>
      <c r="AH4386">
        <v>0.65007176870264505</v>
      </c>
      <c r="AI4386">
        <v>96.729223806695103</v>
      </c>
      <c r="AJ4386">
        <v>88.372552209303805</v>
      </c>
      <c r="AK4386">
        <v>0.65484531901705101</v>
      </c>
      <c r="AL4386">
        <v>67.760661210307205</v>
      </c>
      <c r="AM4386">
        <v>89.664561575650595</v>
      </c>
      <c r="AN4386">
        <v>1.0000000198304799</v>
      </c>
    </row>
    <row r="4387" spans="1:40" x14ac:dyDescent="0.25">
      <c r="A4387" t="str">
        <f>"20190304164215640"</f>
        <v>20190304164215640</v>
      </c>
      <c r="B4387" t="str">
        <f>"1551688935625756"</f>
        <v>1551688935625756</v>
      </c>
      <c r="C4387" t="s">
        <v>40</v>
      </c>
      <c r="D4387">
        <v>4.3956160000000004</v>
      </c>
      <c r="E4387">
        <v>0.51184049999999903</v>
      </c>
      <c r="F4387" t="s">
        <v>41</v>
      </c>
      <c r="G4387">
        <v>-191.5856</v>
      </c>
      <c r="H4387">
        <v>1.02478799999999</v>
      </c>
      <c r="I4387">
        <v>179.9425</v>
      </c>
      <c r="J4387">
        <v>-191.57810000000001</v>
      </c>
      <c r="K4387">
        <v>1.1096790000000001</v>
      </c>
      <c r="L4387">
        <v>180.6788</v>
      </c>
      <c r="M4387">
        <v>1.5893170000000002E-2</v>
      </c>
      <c r="N4387">
        <v>-8.9360120000000001E-3</v>
      </c>
      <c r="O4387">
        <v>-0.99983370000000005</v>
      </c>
      <c r="P4387">
        <v>9.7316620000000003E-3</v>
      </c>
      <c r="Q4387">
        <v>0.36978640000000002</v>
      </c>
      <c r="R4387">
        <v>-0.92906580000000005</v>
      </c>
      <c r="S4387">
        <v>-2.3971559999999999E-2</v>
      </c>
      <c r="T4387">
        <v>-0.3377848</v>
      </c>
      <c r="U4387">
        <v>-3.3645019999999999</v>
      </c>
      <c r="V4387">
        <v>5.6239929999999999E-3</v>
      </c>
      <c r="W4387">
        <v>0.37806580000000001</v>
      </c>
      <c r="X4387">
        <v>0.92576159999999996</v>
      </c>
      <c r="Y4387">
        <v>2.2976400000000001E-2</v>
      </c>
      <c r="Z4387">
        <v>9.0965329999999997E-2</v>
      </c>
      <c r="AA4387">
        <v>0.99558899999999995</v>
      </c>
      <c r="AB4387">
        <v>21</v>
      </c>
      <c r="AC4387">
        <v>-7.4999999999931797E-3</v>
      </c>
      <c r="AD4387">
        <v>-8.4891000000000202E-2</v>
      </c>
      <c r="AE4387">
        <v>-0.73629999999999995</v>
      </c>
      <c r="AF4387">
        <v>1.89497936299984E-2</v>
      </c>
      <c r="AG4387">
        <v>-8.4891000000000202E-2</v>
      </c>
      <c r="AH4387">
        <v>0.72643253215766002</v>
      </c>
      <c r="AI4387">
        <v>96.663114278906704</v>
      </c>
      <c r="AJ4387">
        <v>88.505715296516499</v>
      </c>
      <c r="AK4387">
        <v>0.73162135038325005</v>
      </c>
      <c r="AL4387">
        <v>67.786073833027402</v>
      </c>
      <c r="AM4387">
        <v>89.651932960964302</v>
      </c>
      <c r="AN4387">
        <v>0.99999995923073104</v>
      </c>
    </row>
    <row r="4388" spans="1:40" x14ac:dyDescent="0.25">
      <c r="A4388" t="str">
        <f>"20190304164215653"</f>
        <v>20190304164215653</v>
      </c>
      <c r="B4388" t="str">
        <f>"1551688935645276"</f>
        <v>1551688935645276</v>
      </c>
      <c r="C4388" t="s">
        <v>40</v>
      </c>
      <c r="D4388">
        <v>4.3769879999999999</v>
      </c>
      <c r="E4388">
        <v>0.51133790000000001</v>
      </c>
      <c r="F4388" t="s">
        <v>41</v>
      </c>
      <c r="G4388">
        <v>-191.5838</v>
      </c>
      <c r="H4388">
        <v>1.0349269999999999</v>
      </c>
      <c r="I4388">
        <v>179.9376</v>
      </c>
      <c r="J4388">
        <v>-191.57689999999999</v>
      </c>
      <c r="K4388">
        <v>1.109626</v>
      </c>
      <c r="L4388">
        <v>180.55879999999999</v>
      </c>
      <c r="M4388">
        <v>1.526224E-2</v>
      </c>
      <c r="N4388">
        <v>-8.9092479999999998E-3</v>
      </c>
      <c r="O4388">
        <v>-0.99984390000000001</v>
      </c>
      <c r="P4388">
        <v>8.8820679999999999E-3</v>
      </c>
      <c r="Q4388">
        <v>0.36976750000000003</v>
      </c>
      <c r="R4388">
        <v>-0.92908170000000001</v>
      </c>
      <c r="S4388">
        <v>-2.502441E-2</v>
      </c>
      <c r="T4388">
        <v>-0.33931529999999999</v>
      </c>
      <c r="U4388">
        <v>-3.3643339999999902</v>
      </c>
      <c r="V4388">
        <v>5.9307450000000003E-3</v>
      </c>
      <c r="W4388">
        <v>0.3780212</v>
      </c>
      <c r="X4388">
        <v>0.92577790000000004</v>
      </c>
      <c r="Y4388">
        <v>2.265725E-2</v>
      </c>
      <c r="Z4388">
        <v>9.1447000000000001E-2</v>
      </c>
      <c r="AA4388">
        <v>0.9955522</v>
      </c>
      <c r="AB4388">
        <v>21</v>
      </c>
      <c r="AC4388">
        <v>-6.90000000000168E-3</v>
      </c>
      <c r="AD4388">
        <v>-7.4698999999999793E-2</v>
      </c>
      <c r="AE4388">
        <v>-0.62119999999998698</v>
      </c>
      <c r="AF4388">
        <v>1.6147019174690198E-2</v>
      </c>
      <c r="AG4388">
        <v>-7.4698999999999793E-2</v>
      </c>
      <c r="AH4388">
        <v>0.61217145215080504</v>
      </c>
      <c r="AI4388">
        <v>96.954615016790797</v>
      </c>
      <c r="AJ4388">
        <v>88.489080820709901</v>
      </c>
      <c r="AK4388">
        <v>0.616923458508147</v>
      </c>
      <c r="AL4388">
        <v>67.788834103636702</v>
      </c>
      <c r="AM4388">
        <v>89.632955151063598</v>
      </c>
      <c r="AN4388">
        <v>0.999999960757051</v>
      </c>
    </row>
    <row r="4389" spans="1:40" x14ac:dyDescent="0.25">
      <c r="A4389" t="str">
        <f>"20190304164215665"</f>
        <v>20190304164215665</v>
      </c>
      <c r="B4389" t="str">
        <f>"1551688935656013"</f>
        <v>1551688935656013</v>
      </c>
      <c r="C4389" t="s">
        <v>40</v>
      </c>
      <c r="D4389">
        <v>4.365062</v>
      </c>
      <c r="E4389">
        <v>0.51114789999999999</v>
      </c>
      <c r="F4389" t="s">
        <v>41</v>
      </c>
      <c r="G4389">
        <v>-191.58260000000001</v>
      </c>
      <c r="H4389">
        <v>1.0279689999999999</v>
      </c>
      <c r="I4389">
        <v>179.74940000000001</v>
      </c>
      <c r="J4389">
        <v>-191.57570000000001</v>
      </c>
      <c r="K4389">
        <v>1.1095710000000001</v>
      </c>
      <c r="L4389">
        <v>180.43270000000001</v>
      </c>
      <c r="M4389">
        <v>1.456844E-2</v>
      </c>
      <c r="N4389">
        <v>-8.8812479999999996E-3</v>
      </c>
      <c r="O4389">
        <v>-0.99985440000000003</v>
      </c>
      <c r="P4389">
        <v>7.8028739999999996E-3</v>
      </c>
      <c r="Q4389">
        <v>0.36961070000000001</v>
      </c>
      <c r="R4389">
        <v>-0.92915400000000004</v>
      </c>
      <c r="S4389">
        <v>-2.2583010000000001E-2</v>
      </c>
      <c r="T4389">
        <v>-0.33944930000000001</v>
      </c>
      <c r="U4389">
        <v>-3.3643339999999902</v>
      </c>
      <c r="V4389">
        <v>6.4115309999999998E-3</v>
      </c>
      <c r="W4389">
        <v>0.3778376</v>
      </c>
      <c r="X4389">
        <v>0.9258497</v>
      </c>
      <c r="Y4389">
        <v>2.124177E-2</v>
      </c>
      <c r="Z4389">
        <v>9.1517570000000006E-2</v>
      </c>
      <c r="AA4389">
        <v>0.99557689999999999</v>
      </c>
      <c r="AB4389">
        <v>21</v>
      </c>
      <c r="AC4389">
        <v>-6.90000000000168E-3</v>
      </c>
      <c r="AD4389">
        <v>-8.1601999999999703E-2</v>
      </c>
      <c r="AE4389">
        <v>-0.68330000000000202</v>
      </c>
      <c r="AF4389">
        <v>1.6617304731855999E-2</v>
      </c>
      <c r="AG4389">
        <v>-8.1601999999999703E-2</v>
      </c>
      <c r="AH4389">
        <v>0.67352219534969504</v>
      </c>
      <c r="AI4389">
        <v>96.906039303582006</v>
      </c>
      <c r="AJ4389">
        <v>88.586671207731399</v>
      </c>
      <c r="AK4389">
        <v>0.67865099193121603</v>
      </c>
      <c r="AL4389">
        <v>67.800197522268107</v>
      </c>
      <c r="AM4389">
        <v>89.603231718472898</v>
      </c>
      <c r="AN4389">
        <v>1.0000000133468001</v>
      </c>
    </row>
    <row r="4390" spans="1:40" x14ac:dyDescent="0.25">
      <c r="A4390" t="str">
        <f>"20190304164215678"</f>
        <v>20190304164215678</v>
      </c>
      <c r="B4390" t="str">
        <f>"1551688935665771"</f>
        <v>1551688935665771</v>
      </c>
      <c r="C4390" t="s">
        <v>40</v>
      </c>
      <c r="D4390">
        <v>4.3992079999999998</v>
      </c>
      <c r="E4390">
        <v>0.51100210000000001</v>
      </c>
      <c r="F4390" t="s">
        <v>41</v>
      </c>
      <c r="G4390">
        <v>-191.58179999999999</v>
      </c>
      <c r="H4390">
        <v>1.021568</v>
      </c>
      <c r="I4390">
        <v>179.56020000000001</v>
      </c>
      <c r="J4390">
        <v>-191.57470000000001</v>
      </c>
      <c r="K4390">
        <v>1.1095219999999999</v>
      </c>
      <c r="L4390">
        <v>180.31290000000001</v>
      </c>
      <c r="M4390">
        <v>1.386341E-2</v>
      </c>
      <c r="N4390">
        <v>-8.8548949999999998E-3</v>
      </c>
      <c r="O4390">
        <v>-0.9998648</v>
      </c>
      <c r="P4390">
        <v>6.7127250000000001E-3</v>
      </c>
      <c r="Q4390">
        <v>0.3694752</v>
      </c>
      <c r="R4390">
        <v>-0.92921659999999995</v>
      </c>
      <c r="S4390">
        <v>-2.3284909999999999E-2</v>
      </c>
      <c r="T4390">
        <v>-0.33935920000000003</v>
      </c>
      <c r="U4390">
        <v>-3.363937</v>
      </c>
      <c r="V4390">
        <v>6.890256E-3</v>
      </c>
      <c r="W4390">
        <v>0.37767640000000002</v>
      </c>
      <c r="X4390">
        <v>0.92591199999999996</v>
      </c>
      <c r="Y4390">
        <v>2.074558E-2</v>
      </c>
      <c r="Z4390">
        <v>9.1531109999999999E-2</v>
      </c>
      <c r="AA4390">
        <v>0.99558610000000003</v>
      </c>
      <c r="AB4390">
        <v>21</v>
      </c>
      <c r="AC4390">
        <v>-7.0999999999799002E-3</v>
      </c>
      <c r="AD4390">
        <v>-8.7953999999999796E-2</v>
      </c>
      <c r="AE4390">
        <v>-0.75270000000000403</v>
      </c>
      <c r="AF4390">
        <v>1.7298537031200899E-2</v>
      </c>
      <c r="AG4390">
        <v>-8.7953999999999796E-2</v>
      </c>
      <c r="AH4390">
        <v>0.74239331397061004</v>
      </c>
      <c r="AI4390">
        <v>96.754725970062694</v>
      </c>
      <c r="AJ4390">
        <v>88.665190231897796</v>
      </c>
      <c r="AK4390">
        <v>0.74778538239770698</v>
      </c>
      <c r="AL4390">
        <v>67.810172059287595</v>
      </c>
      <c r="AM4390">
        <v>89.573636261886904</v>
      </c>
      <c r="AN4390">
        <v>0.99999998524435196</v>
      </c>
    </row>
    <row r="4391" spans="1:40" x14ac:dyDescent="0.25">
      <c r="A4391" t="str">
        <f>"20190304164215694"</f>
        <v>20190304164215694</v>
      </c>
      <c r="B4391" t="str">
        <f>"1551688935685292"</f>
        <v>1551688935685292</v>
      </c>
      <c r="C4391" t="s">
        <v>40</v>
      </c>
      <c r="D4391">
        <v>4.4346209999999999</v>
      </c>
      <c r="E4391">
        <v>0.51076509999999997</v>
      </c>
      <c r="F4391" t="s">
        <v>41</v>
      </c>
      <c r="G4391">
        <v>-191.58029999999999</v>
      </c>
      <c r="H4391">
        <v>1.0329330000000001</v>
      </c>
      <c r="I4391">
        <v>179.5547</v>
      </c>
      <c r="J4391">
        <v>-191.5736</v>
      </c>
      <c r="K4391">
        <v>1.109456</v>
      </c>
      <c r="L4391">
        <v>180.16290000000001</v>
      </c>
      <c r="M4391">
        <v>1.2921739999999999E-2</v>
      </c>
      <c r="N4391">
        <v>-8.8241450000000003E-3</v>
      </c>
      <c r="O4391">
        <v>-0.99987749999999997</v>
      </c>
      <c r="P4391">
        <v>5.6270230000000001E-3</v>
      </c>
      <c r="Q4391">
        <v>0.36897190000000002</v>
      </c>
      <c r="R4391">
        <v>-0.92942360000000002</v>
      </c>
      <c r="S4391">
        <v>-2.4505619999999999E-2</v>
      </c>
      <c r="T4391">
        <v>-0.33982849999999998</v>
      </c>
      <c r="U4391">
        <v>-3.3638150000000002</v>
      </c>
      <c r="V4391">
        <v>7.153614E-3</v>
      </c>
      <c r="W4391">
        <v>0.37714520000000001</v>
      </c>
      <c r="X4391">
        <v>0.92612649999999996</v>
      </c>
      <c r="Y4391">
        <v>2.016569E-2</v>
      </c>
      <c r="Z4391">
        <v>9.1705190000000006E-2</v>
      </c>
      <c r="AA4391">
        <v>0.99558199999999997</v>
      </c>
      <c r="AB4391">
        <v>21</v>
      </c>
      <c r="AC4391">
        <v>-6.6999999999950398E-3</v>
      </c>
      <c r="AD4391">
        <v>-7.6522999999999897E-2</v>
      </c>
      <c r="AE4391">
        <v>-0.60820000000000995</v>
      </c>
      <c r="AF4391">
        <v>1.43318976653615E-2</v>
      </c>
      <c r="AG4391">
        <v>-7.6522999999999897E-2</v>
      </c>
      <c r="AH4391">
        <v>0.59858791875626405</v>
      </c>
      <c r="AI4391">
        <v>97.283066591304802</v>
      </c>
      <c r="AJ4391">
        <v>88.628438087856395</v>
      </c>
      <c r="AK4391">
        <v>0.60362957954414898</v>
      </c>
      <c r="AL4391">
        <v>67.843038155224093</v>
      </c>
      <c r="AM4391">
        <v>89.557443028287594</v>
      </c>
      <c r="AN4391">
        <v>0.99999998503927501</v>
      </c>
    </row>
    <row r="4392" spans="1:40" x14ac:dyDescent="0.25">
      <c r="A4392" t="str">
        <f>"20190304164215709"</f>
        <v>20190304164215709</v>
      </c>
      <c r="B4392" t="str">
        <f>"1551688935705788"</f>
        <v>1551688935705788</v>
      </c>
      <c r="C4392" t="s">
        <v>40</v>
      </c>
      <c r="D4392">
        <v>4.4244479999999999</v>
      </c>
      <c r="E4392">
        <v>0.51056049999999997</v>
      </c>
      <c r="F4392" t="s">
        <v>41</v>
      </c>
      <c r="G4392">
        <v>-191.5796</v>
      </c>
      <c r="H4392">
        <v>1.028599</v>
      </c>
      <c r="I4392">
        <v>179.36410000000001</v>
      </c>
      <c r="J4392">
        <v>-191.5728</v>
      </c>
      <c r="K4392">
        <v>1.1094010000000001</v>
      </c>
      <c r="L4392">
        <v>180.0213</v>
      </c>
      <c r="M4392">
        <v>1.1989440000000001E-2</v>
      </c>
      <c r="N4392">
        <v>-8.7959790000000006E-3</v>
      </c>
      <c r="O4392">
        <v>-0.99988940000000004</v>
      </c>
      <c r="P4392">
        <v>4.562483E-3</v>
      </c>
      <c r="Q4392">
        <v>0.36869259999999998</v>
      </c>
      <c r="R4392">
        <v>-0.92954020000000004</v>
      </c>
      <c r="S4392">
        <v>-2.4368290000000001E-2</v>
      </c>
      <c r="T4392">
        <v>-0.34039469999999999</v>
      </c>
      <c r="U4392">
        <v>-3.363083</v>
      </c>
      <c r="V4392">
        <v>7.3972150000000004E-3</v>
      </c>
      <c r="W4392">
        <v>0.37683919999999999</v>
      </c>
      <c r="X4392">
        <v>0.92624919999999999</v>
      </c>
      <c r="Y4392">
        <v>1.9194719999999998E-2</v>
      </c>
      <c r="Z4392">
        <v>9.1923619999999998E-2</v>
      </c>
      <c r="AA4392">
        <v>0.99558100000000005</v>
      </c>
      <c r="AB4392">
        <v>21</v>
      </c>
      <c r="AC4392">
        <v>-6.7999999999983603E-3</v>
      </c>
      <c r="AD4392">
        <v>-8.0801999999999999E-2</v>
      </c>
      <c r="AE4392">
        <v>-0.65719999999998802</v>
      </c>
      <c r="AF4392">
        <v>1.4460705509317299E-2</v>
      </c>
      <c r="AG4392">
        <v>-8.0801999999999999E-2</v>
      </c>
      <c r="AH4392">
        <v>0.64728760069191804</v>
      </c>
      <c r="AI4392">
        <v>97.1137638018605</v>
      </c>
      <c r="AJ4392">
        <v>88.720198571936393</v>
      </c>
      <c r="AK4392">
        <v>0.65247169533806404</v>
      </c>
      <c r="AL4392">
        <v>67.861968629721304</v>
      </c>
      <c r="AM4392">
        <v>89.542433948159797</v>
      </c>
      <c r="AN4392">
        <v>1.0000000409735099</v>
      </c>
    </row>
    <row r="4393" spans="1:40" x14ac:dyDescent="0.25">
      <c r="A4393" t="str">
        <f>"20190304164215724"</f>
        <v>20190304164215724</v>
      </c>
      <c r="B4393" t="str">
        <f>"1551688935715549"</f>
        <v>1551688935715549</v>
      </c>
      <c r="C4393" t="s">
        <v>40</v>
      </c>
      <c r="D4393">
        <v>4.4366009999999996</v>
      </c>
      <c r="E4393">
        <v>0.51041499999999995</v>
      </c>
      <c r="F4393" t="s">
        <v>41</v>
      </c>
      <c r="G4393">
        <v>-191.57939999999999</v>
      </c>
      <c r="H4393">
        <v>1.023433</v>
      </c>
      <c r="I4393">
        <v>179.17330000000001</v>
      </c>
      <c r="J4393">
        <v>-191.57210000000001</v>
      </c>
      <c r="K4393">
        <v>1.1093459999999999</v>
      </c>
      <c r="L4393">
        <v>179.87309999999999</v>
      </c>
      <c r="M4393">
        <v>1.0971440000000001E-2</v>
      </c>
      <c r="N4393">
        <v>-8.7663120000000001E-3</v>
      </c>
      <c r="O4393">
        <v>-0.99990159999999995</v>
      </c>
      <c r="P4393">
        <v>3.4616669999999999E-3</v>
      </c>
      <c r="Q4393">
        <v>0.36836560000000002</v>
      </c>
      <c r="R4393">
        <v>-0.92967469999999996</v>
      </c>
      <c r="S4393">
        <v>-2.5894170000000001E-2</v>
      </c>
      <c r="T4393">
        <v>-0.34089259999999999</v>
      </c>
      <c r="U4393">
        <v>-3.3627319999999998</v>
      </c>
      <c r="V4393">
        <v>7.5951909999999899E-3</v>
      </c>
      <c r="W4393">
        <v>0.37648480000000001</v>
      </c>
      <c r="X4393">
        <v>0.92639170000000004</v>
      </c>
      <c r="Y4393">
        <v>1.8629449999999999E-2</v>
      </c>
      <c r="Z4393">
        <v>9.2111600000000002E-2</v>
      </c>
      <c r="AA4393">
        <v>0.99557439999999997</v>
      </c>
      <c r="AB4393">
        <v>22</v>
      </c>
      <c r="AC4393">
        <v>-7.2999999999865299E-3</v>
      </c>
      <c r="AD4393">
        <v>-8.5912999999999906E-2</v>
      </c>
      <c r="AE4393">
        <v>-0.69979999999998199</v>
      </c>
      <c r="AF4393">
        <v>1.4755300499956299E-2</v>
      </c>
      <c r="AG4393">
        <v>-8.5912999999999906E-2</v>
      </c>
      <c r="AH4393">
        <v>0.68928995847564101</v>
      </c>
      <c r="AI4393">
        <v>97.103087437382598</v>
      </c>
      <c r="AJ4393">
        <v>88.773683941158694</v>
      </c>
      <c r="AK4393">
        <v>0.69478011580441401</v>
      </c>
      <c r="AL4393">
        <v>67.883888545957802</v>
      </c>
      <c r="AM4393">
        <v>89.530260645944594</v>
      </c>
      <c r="AN4393">
        <v>1.0000000366931201</v>
      </c>
    </row>
    <row r="4394" spans="1:40" x14ac:dyDescent="0.25">
      <c r="A4394" t="str">
        <f>"20190304164215739"</f>
        <v>20190304164215739</v>
      </c>
      <c r="B4394" t="str">
        <f>"1551688935735068"</f>
        <v>1551688935735068</v>
      </c>
      <c r="C4394" t="s">
        <v>40</v>
      </c>
      <c r="D4394">
        <v>4.445913</v>
      </c>
      <c r="E4394">
        <v>0.51020129999999997</v>
      </c>
      <c r="F4394" t="s">
        <v>41</v>
      </c>
      <c r="G4394">
        <v>-191.5796</v>
      </c>
      <c r="H4394">
        <v>1.01888</v>
      </c>
      <c r="I4394">
        <v>178.98159999999999</v>
      </c>
      <c r="J4394">
        <v>-191.57159999999999</v>
      </c>
      <c r="K4394">
        <v>1.1093</v>
      </c>
      <c r="L4394">
        <v>179.72049999999999</v>
      </c>
      <c r="M4394">
        <v>9.8761290000000009E-3</v>
      </c>
      <c r="N4394">
        <v>-8.7328930000000003E-3</v>
      </c>
      <c r="O4394">
        <v>-0.9999133</v>
      </c>
      <c r="P4394">
        <v>1.1853980000000001E-3</v>
      </c>
      <c r="Q4394">
        <v>0.36784600000000001</v>
      </c>
      <c r="R4394">
        <v>-0.92988630000000005</v>
      </c>
      <c r="S4394">
        <v>-2.793884E-2</v>
      </c>
      <c r="T4394">
        <v>-0.34115250000000003</v>
      </c>
      <c r="U4394">
        <v>-3.362228</v>
      </c>
      <c r="V4394">
        <v>8.8907239999999992E-3</v>
      </c>
      <c r="W4394">
        <v>0.37593209999999999</v>
      </c>
      <c r="X4394">
        <v>0.9266046</v>
      </c>
      <c r="Y4394">
        <v>1.8140940000000001E-2</v>
      </c>
      <c r="Z4394">
        <v>9.2237990000000006E-2</v>
      </c>
      <c r="AA4394">
        <v>0.99557169999999895</v>
      </c>
      <c r="AB4394">
        <v>22</v>
      </c>
      <c r="AC4394">
        <v>-8.0000000000097701E-3</v>
      </c>
      <c r="AD4394">
        <v>-9.0419999999999903E-2</v>
      </c>
      <c r="AE4394">
        <v>-0.738900000000001</v>
      </c>
      <c r="AF4394">
        <v>1.50716909570445E-2</v>
      </c>
      <c r="AG4394">
        <v>-9.0419999999999903E-2</v>
      </c>
      <c r="AH4394">
        <v>0.72788635818048497</v>
      </c>
      <c r="AI4394">
        <v>97.079658537430106</v>
      </c>
      <c r="AJ4394">
        <v>88.813797111030496</v>
      </c>
      <c r="AK4394">
        <v>0.73363579703661796</v>
      </c>
      <c r="AL4394">
        <v>67.918066830003099</v>
      </c>
      <c r="AM4394">
        <v>89.450266779871399</v>
      </c>
      <c r="AN4394">
        <v>1.0000000367624</v>
      </c>
    </row>
    <row r="4395" spans="1:40" x14ac:dyDescent="0.25">
      <c r="A4395" t="str">
        <f>"20190304164215754"</f>
        <v>20190304164215754</v>
      </c>
      <c r="B4395" t="str">
        <f>"1551688935745804"</f>
        <v>1551688935745804</v>
      </c>
      <c r="C4395" t="s">
        <v>40</v>
      </c>
      <c r="D4395">
        <v>4.4543400000000002</v>
      </c>
      <c r="E4395">
        <v>0.51010200000000006</v>
      </c>
      <c r="F4395" t="s">
        <v>41</v>
      </c>
      <c r="G4395">
        <v>-191.5787</v>
      </c>
      <c r="H4395">
        <v>1.03346</v>
      </c>
      <c r="I4395">
        <v>178.97450000000001</v>
      </c>
      <c r="J4395">
        <v>-191.57130000000001</v>
      </c>
      <c r="K4395">
        <v>1.1092630000000001</v>
      </c>
      <c r="L4395">
        <v>179.58009999999999</v>
      </c>
      <c r="M4395">
        <v>8.8359400000000005E-3</v>
      </c>
      <c r="N4395">
        <v>-8.698084E-3</v>
      </c>
      <c r="O4395">
        <v>-0.99992320000000001</v>
      </c>
      <c r="P4395">
        <v>-3.9382650000000001E-4</v>
      </c>
      <c r="Q4395">
        <v>0.36791279999999998</v>
      </c>
      <c r="R4395">
        <v>-0.92986020000000003</v>
      </c>
      <c r="S4395">
        <v>-3.1631470000000002E-2</v>
      </c>
      <c r="T4395">
        <v>-0.34176790000000001</v>
      </c>
      <c r="U4395">
        <v>-3.3614350000000002</v>
      </c>
      <c r="V4395">
        <v>9.5289309999999992E-3</v>
      </c>
      <c r="W4395">
        <v>0.37596439999999998</v>
      </c>
      <c r="X4395">
        <v>0.92658510000000005</v>
      </c>
      <c r="Y4395">
        <v>1.819614E-2</v>
      </c>
      <c r="Z4395">
        <v>9.2477569999999995E-2</v>
      </c>
      <c r="AA4395">
        <v>0.99554849999999995</v>
      </c>
      <c r="AB4395">
        <v>22</v>
      </c>
      <c r="AC4395">
        <v>-7.3999999999898496E-3</v>
      </c>
      <c r="AD4395">
        <v>-7.5802999999999801E-2</v>
      </c>
      <c r="AE4395">
        <v>-0.60559999999998104</v>
      </c>
      <c r="AF4395">
        <v>1.2554292800922301E-2</v>
      </c>
      <c r="AG4395">
        <v>-7.5802999999999801E-2</v>
      </c>
      <c r="AH4395">
        <v>0.59617181208443604</v>
      </c>
      <c r="AI4395">
        <v>97.244662518194502</v>
      </c>
      <c r="AJ4395">
        <v>88.793633511349299</v>
      </c>
      <c r="AK4395">
        <v>0.60110276542432495</v>
      </c>
      <c r="AL4395">
        <v>67.916068557009098</v>
      </c>
      <c r="AM4395">
        <v>89.410795313046293</v>
      </c>
      <c r="AN4395">
        <v>0.99999998906768595</v>
      </c>
    </row>
    <row r="4396" spans="1:40" x14ac:dyDescent="0.25">
      <c r="A4396" t="str">
        <f>"20190304164215767"</f>
        <v>20190304164215767</v>
      </c>
      <c r="B4396" t="str">
        <f>"1551688935755564"</f>
        <v>1551688935755564</v>
      </c>
      <c r="C4396" t="s">
        <v>40</v>
      </c>
      <c r="D4396">
        <v>4.4468170000000002</v>
      </c>
      <c r="E4396">
        <v>0.50999059999999996</v>
      </c>
      <c r="F4396" t="s">
        <v>41</v>
      </c>
      <c r="G4396">
        <v>-191.5797</v>
      </c>
      <c r="H4396">
        <v>1.028381</v>
      </c>
      <c r="I4396">
        <v>178.7825</v>
      </c>
      <c r="J4396">
        <v>-191.5712</v>
      </c>
      <c r="K4396">
        <v>1.1092379999999999</v>
      </c>
      <c r="L4396">
        <v>179.45939999999999</v>
      </c>
      <c r="M4396">
        <v>7.9269100000000006E-3</v>
      </c>
      <c r="N4396">
        <v>-8.66723199999999E-3</v>
      </c>
      <c r="O4396">
        <v>-0.99993120000000002</v>
      </c>
      <c r="P4396">
        <v>-1.89682E-3</v>
      </c>
      <c r="Q4396">
        <v>0.36759370000000002</v>
      </c>
      <c r="R4396">
        <v>-0.92998460000000005</v>
      </c>
      <c r="S4396">
        <v>-3.5095210000000002E-2</v>
      </c>
      <c r="T4396">
        <v>-0.34083950000000002</v>
      </c>
      <c r="U4396">
        <v>-3.3611149999999999</v>
      </c>
      <c r="V4396">
        <v>1.020589E-2</v>
      </c>
      <c r="W4396">
        <v>0.3756157</v>
      </c>
      <c r="X4396">
        <v>0.92671930000000002</v>
      </c>
      <c r="Y4396">
        <v>1.8314159999999999E-2</v>
      </c>
      <c r="Z4396">
        <v>9.22462E-2</v>
      </c>
      <c r="AA4396">
        <v>0.9955678</v>
      </c>
      <c r="AB4396">
        <v>22</v>
      </c>
      <c r="AC4396">
        <v>-8.4999999999979502E-3</v>
      </c>
      <c r="AD4396">
        <v>-8.0856999999999901E-2</v>
      </c>
      <c r="AE4396">
        <v>-0.67689999999998895</v>
      </c>
      <c r="AF4396">
        <v>1.3670626750126799E-2</v>
      </c>
      <c r="AG4396">
        <v>-8.0856999999999901E-2</v>
      </c>
      <c r="AH4396">
        <v>0.66729143018626103</v>
      </c>
      <c r="AI4396">
        <v>96.907523065018296</v>
      </c>
      <c r="AJ4396">
        <v>88.826360376944706</v>
      </c>
      <c r="AK4396">
        <v>0.67231138119532596</v>
      </c>
      <c r="AL4396">
        <v>67.937627749653402</v>
      </c>
      <c r="AM4396">
        <v>89.369031394573199</v>
      </c>
      <c r="AN4396">
        <v>0.999999987634836</v>
      </c>
    </row>
    <row r="4397" spans="1:40" x14ac:dyDescent="0.25">
      <c r="A4397" t="str">
        <f>"20190304164215778"</f>
        <v>20190304164215778</v>
      </c>
      <c r="B4397" t="str">
        <f>"1551688935775083"</f>
        <v>1551688935775083</v>
      </c>
      <c r="C4397" t="s">
        <v>40</v>
      </c>
      <c r="D4397">
        <v>4.5134339999999904</v>
      </c>
      <c r="E4397">
        <v>0.50989799999999996</v>
      </c>
      <c r="F4397" t="s">
        <v>41</v>
      </c>
      <c r="G4397">
        <v>-191.58090000000001</v>
      </c>
      <c r="H4397">
        <v>1.0208950000000001</v>
      </c>
      <c r="I4397">
        <v>178.59110000000001</v>
      </c>
      <c r="J4397">
        <v>-191.5712</v>
      </c>
      <c r="K4397">
        <v>1.1092169999999999</v>
      </c>
      <c r="L4397">
        <v>179.33369999999999</v>
      </c>
      <c r="M4397">
        <v>6.9637850000000001E-3</v>
      </c>
      <c r="N4397">
        <v>-8.6345999999999992E-3</v>
      </c>
      <c r="O4397">
        <v>-0.99993840000000001</v>
      </c>
      <c r="P4397">
        <v>-3.5795559999999998E-3</v>
      </c>
      <c r="Q4397">
        <v>0.3676683</v>
      </c>
      <c r="R4397">
        <v>-0.9299501</v>
      </c>
      <c r="S4397">
        <v>-3.7231449999999999E-2</v>
      </c>
      <c r="T4397">
        <v>-0.34196670000000001</v>
      </c>
      <c r="U4397">
        <v>-3.3609309999999999</v>
      </c>
      <c r="V4397">
        <v>1.1008489999999999E-2</v>
      </c>
      <c r="W4397">
        <v>0.37565730000000003</v>
      </c>
      <c r="X4397">
        <v>0.92669330000000005</v>
      </c>
      <c r="Y4397">
        <v>1.7984199999999999E-2</v>
      </c>
      <c r="Z4397">
        <v>9.2615680000000006E-2</v>
      </c>
      <c r="AA4397">
        <v>0.99553950000000002</v>
      </c>
      <c r="AB4397">
        <v>22</v>
      </c>
      <c r="AC4397">
        <v>-9.7000000000093695E-3</v>
      </c>
      <c r="AD4397">
        <v>-8.8321999999999706E-2</v>
      </c>
      <c r="AE4397">
        <v>-0.74259999999998105</v>
      </c>
      <c r="AF4397">
        <v>1.46638677486957E-2</v>
      </c>
      <c r="AG4397">
        <v>-8.8321999999999706E-2</v>
      </c>
      <c r="AH4397">
        <v>0.732159220965098</v>
      </c>
      <c r="AI4397">
        <v>96.877114700396902</v>
      </c>
      <c r="AJ4397">
        <v>88.852619217339793</v>
      </c>
      <c r="AK4397">
        <v>0.73761299442564798</v>
      </c>
      <c r="AL4397">
        <v>67.935056956667196</v>
      </c>
      <c r="AM4397">
        <v>89.319396882806203</v>
      </c>
      <c r="AN4397">
        <v>1.00000003308012</v>
      </c>
    </row>
    <row r="4398" spans="1:40" x14ac:dyDescent="0.25">
      <c r="A4398" t="str">
        <f>"20190304164215794"</f>
        <v>20190304164215794</v>
      </c>
      <c r="B4398" t="str">
        <f>"1551688935785820"</f>
        <v>1551688935785820</v>
      </c>
      <c r="C4398" t="s">
        <v>40</v>
      </c>
      <c r="D4398">
        <v>4.5931600000000001</v>
      </c>
      <c r="E4398">
        <v>0.50989799999999996</v>
      </c>
      <c r="F4398" t="s">
        <v>41</v>
      </c>
      <c r="G4398">
        <v>-191.5805</v>
      </c>
      <c r="H4398">
        <v>1.033372</v>
      </c>
      <c r="I4398">
        <v>178.58500000000001</v>
      </c>
      <c r="J4398">
        <v>-191.57149999999999</v>
      </c>
      <c r="K4398">
        <v>1.1091979999999999</v>
      </c>
      <c r="L4398">
        <v>179.1848</v>
      </c>
      <c r="M4398">
        <v>5.807268E-3</v>
      </c>
      <c r="N4398">
        <v>-8.5957840000000004E-3</v>
      </c>
      <c r="O4398">
        <v>-0.99994640000000001</v>
      </c>
      <c r="P4398">
        <v>-6.5539700000000001E-3</v>
      </c>
      <c r="Q4398">
        <v>0.36767450000000002</v>
      </c>
      <c r="R4398">
        <v>-0.92993159999999997</v>
      </c>
      <c r="S4398">
        <v>-4.118347E-2</v>
      </c>
      <c r="T4398">
        <v>-0.34050639999999999</v>
      </c>
      <c r="U4398">
        <v>-3.3604430000000001</v>
      </c>
      <c r="V4398">
        <v>1.2919480000000001E-2</v>
      </c>
      <c r="W4398">
        <v>0.37562240000000002</v>
      </c>
      <c r="X4398">
        <v>0.92668269999999997</v>
      </c>
      <c r="Y4398">
        <v>1.8000530000000001E-2</v>
      </c>
      <c r="Z4398">
        <v>9.2241149999999994E-2</v>
      </c>
      <c r="AA4398">
        <v>0.99557399999999996</v>
      </c>
      <c r="AB4398">
        <v>22</v>
      </c>
      <c r="AC4398">
        <v>-9.0000000000145502E-3</v>
      </c>
      <c r="AD4398">
        <v>-7.5825999999999893E-2</v>
      </c>
      <c r="AE4398">
        <v>-0.59979999999998701</v>
      </c>
      <c r="AF4398">
        <v>1.22868547377114E-2</v>
      </c>
      <c r="AG4398">
        <v>-7.5825999999999893E-2</v>
      </c>
      <c r="AH4398">
        <v>0.59030564517746098</v>
      </c>
      <c r="AI4398">
        <v>97.318112853817297</v>
      </c>
      <c r="AJ4398">
        <v>88.807595205044706</v>
      </c>
      <c r="AK4398">
        <v>0.59528254115480705</v>
      </c>
      <c r="AL4398">
        <v>67.937212974342501</v>
      </c>
      <c r="AM4398">
        <v>89.201254406036995</v>
      </c>
      <c r="AN4398">
        <v>0.99999996341225905</v>
      </c>
    </row>
    <row r="4399" spans="1:40" x14ac:dyDescent="0.25">
      <c r="A4399" t="str">
        <f>"20190304164215807"</f>
        <v>20190304164215807</v>
      </c>
      <c r="B4399" t="str">
        <f>"1551688935795580"</f>
        <v>1551688935795580</v>
      </c>
      <c r="C4399" t="s">
        <v>40</v>
      </c>
      <c r="D4399">
        <v>4.671252</v>
      </c>
      <c r="E4399">
        <v>0.53257519999999903</v>
      </c>
      <c r="F4399" t="s">
        <v>41</v>
      </c>
      <c r="G4399">
        <v>-191.5831</v>
      </c>
      <c r="H4399">
        <v>1.0288079999999999</v>
      </c>
      <c r="I4399">
        <v>178.39160000000001</v>
      </c>
      <c r="J4399">
        <v>-191.5718</v>
      </c>
      <c r="K4399">
        <v>1.1091819999999999</v>
      </c>
      <c r="L4399">
        <v>179.0651</v>
      </c>
      <c r="M4399">
        <v>4.8725510000000001E-3</v>
      </c>
      <c r="N4399">
        <v>-8.5647910000000004E-3</v>
      </c>
      <c r="O4399">
        <v>-0.9999517</v>
      </c>
      <c r="P4399">
        <v>-8.4368949999999998E-3</v>
      </c>
      <c r="Q4399">
        <v>0.36781390000000003</v>
      </c>
      <c r="R4399">
        <v>-0.92986159999999995</v>
      </c>
      <c r="S4399">
        <v>-4.9148560000000001E-2</v>
      </c>
      <c r="T4399">
        <v>-0.34058060000000001</v>
      </c>
      <c r="U4399">
        <v>-3.3603519999999998</v>
      </c>
      <c r="V4399">
        <v>1.3939999999999999E-2</v>
      </c>
      <c r="W4399">
        <v>0.37572929999999999</v>
      </c>
      <c r="X4399">
        <v>0.92662460000000002</v>
      </c>
      <c r="Y4399">
        <v>1.942491E-2</v>
      </c>
      <c r="Z4399">
        <v>9.2294290000000001E-2</v>
      </c>
      <c r="AA4399">
        <v>0.99554229999999999</v>
      </c>
      <c r="AB4399">
        <v>22</v>
      </c>
      <c r="AC4399">
        <v>-1.1300000000005601E-2</v>
      </c>
      <c r="AD4399">
        <v>-8.0373999999999904E-2</v>
      </c>
      <c r="AE4399">
        <v>-0.67349999999999</v>
      </c>
      <c r="AF4399">
        <v>1.4376956583079199E-2</v>
      </c>
      <c r="AG4399">
        <v>-8.0373999999999904E-2</v>
      </c>
      <c r="AH4399">
        <v>0.66398347794702195</v>
      </c>
      <c r="AI4399">
        <v>96.900368749928404</v>
      </c>
      <c r="AJ4399">
        <v>88.759592270511405</v>
      </c>
      <c r="AK4399">
        <v>0.66898485464412005</v>
      </c>
      <c r="AL4399">
        <v>67.930604567156195</v>
      </c>
      <c r="AM4399">
        <v>89.138115995274603</v>
      </c>
      <c r="AN4399">
        <v>0.99999998990182504</v>
      </c>
    </row>
    <row r="4400" spans="1:40" x14ac:dyDescent="0.25">
      <c r="A4400" t="str">
        <f>"20190304164215819"</f>
        <v>20190304164215819</v>
      </c>
      <c r="B4400" t="str">
        <f>"1551688935815100"</f>
        <v>1551688935815100</v>
      </c>
      <c r="C4400" t="s">
        <v>40</v>
      </c>
      <c r="D4400">
        <v>4.5576699999999999</v>
      </c>
      <c r="E4400">
        <v>0.55055559999999903</v>
      </c>
      <c r="F4400" t="s">
        <v>41</v>
      </c>
      <c r="G4400">
        <v>-191.63290000000001</v>
      </c>
      <c r="H4400">
        <v>1.023061</v>
      </c>
      <c r="I4400">
        <v>178.1986</v>
      </c>
      <c r="J4400">
        <v>-191.57220000000001</v>
      </c>
      <c r="K4400">
        <v>1.1091690000000001</v>
      </c>
      <c r="L4400">
        <v>178.9392</v>
      </c>
      <c r="M4400">
        <v>3.8862829999999999E-3</v>
      </c>
      <c r="N4400">
        <v>-8.5325999999999996E-3</v>
      </c>
      <c r="O4400">
        <v>-0.99995619999999996</v>
      </c>
      <c r="P4400">
        <v>-1.06502E-2</v>
      </c>
      <c r="Q4400">
        <v>0.36816320000000002</v>
      </c>
      <c r="R4400">
        <v>-0.92970050000000004</v>
      </c>
      <c r="S4400">
        <v>-0.23576349999999999</v>
      </c>
      <c r="T4400">
        <v>-0.33357300000000001</v>
      </c>
      <c r="U4400">
        <v>-3.3561100000000001</v>
      </c>
      <c r="V4400">
        <v>1.524057E-2</v>
      </c>
      <c r="W4400">
        <v>0.37604399999999999</v>
      </c>
      <c r="X4400">
        <v>0.92647650000000004</v>
      </c>
      <c r="Y4400">
        <v>7.3633459999999998E-2</v>
      </c>
      <c r="Z4400">
        <v>9.0154090000000006E-2</v>
      </c>
      <c r="AA4400">
        <v>0.99320209999999998</v>
      </c>
      <c r="AB4400">
        <v>22</v>
      </c>
      <c r="AC4400">
        <v>-6.0699999999996999E-2</v>
      </c>
      <c r="AD4400">
        <v>-8.6108000000000004E-2</v>
      </c>
      <c r="AE4400">
        <v>-0.74060000000000004</v>
      </c>
      <c r="AF4400">
        <v>6.2735414747785906E-2</v>
      </c>
      <c r="AG4400">
        <v>-8.6108000000000004E-2</v>
      </c>
      <c r="AH4400">
        <v>0.73054867919708399</v>
      </c>
      <c r="AI4400">
        <v>96.697872681587</v>
      </c>
      <c r="AJ4400">
        <v>85.091801854137103</v>
      </c>
      <c r="AK4400">
        <v>0.73827616283080699</v>
      </c>
      <c r="AL4400">
        <v>67.911147699593201</v>
      </c>
      <c r="AM4400">
        <v>89.057567476745206</v>
      </c>
      <c r="AN4400">
        <v>1.00000003498108</v>
      </c>
    </row>
    <row r="4401" spans="1:40" x14ac:dyDescent="0.25">
      <c r="A4401" t="str">
        <f>"20190304164215833"</f>
        <v>20190304164215833</v>
      </c>
      <c r="B4401" t="str">
        <f>"1551688935825836"</f>
        <v>1551688935825836</v>
      </c>
      <c r="C4401" t="s">
        <v>40</v>
      </c>
      <c r="D4401">
        <v>4.554805</v>
      </c>
      <c r="E4401">
        <v>0.55443330000000002</v>
      </c>
      <c r="F4401" t="s">
        <v>41</v>
      </c>
      <c r="G4401">
        <v>-191.65729999999999</v>
      </c>
      <c r="H4401">
        <v>1.0279100000000001</v>
      </c>
      <c r="I4401">
        <v>178.196</v>
      </c>
      <c r="J4401">
        <v>-191.5728</v>
      </c>
      <c r="K4401">
        <v>1.109164</v>
      </c>
      <c r="L4401">
        <v>178.80449999999999</v>
      </c>
      <c r="M4401">
        <v>2.8317120000000001E-3</v>
      </c>
      <c r="N4401">
        <v>-8.4998480000000008E-3</v>
      </c>
      <c r="O4401">
        <v>-0.99995999999999996</v>
      </c>
      <c r="P4401">
        <v>-1.3016460000000001E-2</v>
      </c>
      <c r="Q4401">
        <v>0.36794339999999998</v>
      </c>
      <c r="R4401">
        <v>-0.92975739999999996</v>
      </c>
      <c r="S4401">
        <v>-0.38476559999999999</v>
      </c>
      <c r="T4401">
        <v>-0.36830659999999998</v>
      </c>
      <c r="U4401">
        <v>-3.3682859999999999</v>
      </c>
      <c r="V4401">
        <v>1.6626780000000001E-2</v>
      </c>
      <c r="W4401">
        <v>0.37579079999999998</v>
      </c>
      <c r="X4401">
        <v>0.92655540000000003</v>
      </c>
      <c r="Y4401">
        <v>0.1156857</v>
      </c>
      <c r="Z4401">
        <v>9.9530030000000005E-2</v>
      </c>
      <c r="AA4401">
        <v>0.98828669999999996</v>
      </c>
      <c r="AB4401">
        <v>22</v>
      </c>
      <c r="AC4401">
        <v>-8.4499999999991304E-2</v>
      </c>
      <c r="AD4401">
        <v>-8.1253999999999896E-2</v>
      </c>
      <c r="AE4401">
        <v>-0.60849999999999205</v>
      </c>
      <c r="AF4401">
        <v>8.4740425241776995E-2</v>
      </c>
      <c r="AG4401">
        <v>-8.1253999999999896E-2</v>
      </c>
      <c r="AH4401">
        <v>0.59780072886867597</v>
      </c>
      <c r="AI4401">
        <v>97.664597915885693</v>
      </c>
      <c r="AJ4401">
        <v>81.931869113289906</v>
      </c>
      <c r="AK4401">
        <v>0.60921988117762305</v>
      </c>
      <c r="AL4401">
        <v>67.926803445621701</v>
      </c>
      <c r="AM4401">
        <v>88.971953446065598</v>
      </c>
      <c r="AN4401">
        <v>1.00000004222348</v>
      </c>
    </row>
    <row r="4402" spans="1:40" x14ac:dyDescent="0.25">
      <c r="A4402" t="str">
        <f>"20190304164215845"</f>
        <v>20190304164215845</v>
      </c>
      <c r="B4402" t="str">
        <f>"1551688935835597"</f>
        <v>1551688935835597</v>
      </c>
      <c r="C4402" t="s">
        <v>40</v>
      </c>
      <c r="D4402">
        <v>4.5229150000000002</v>
      </c>
      <c r="E4402">
        <v>0.55724580000000001</v>
      </c>
      <c r="F4402" t="s">
        <v>41</v>
      </c>
      <c r="G4402">
        <v>-191.67310000000001</v>
      </c>
      <c r="H4402">
        <v>1.0177069999999999</v>
      </c>
      <c r="I4402">
        <v>178.0042</v>
      </c>
      <c r="J4402">
        <v>-191.5735</v>
      </c>
      <c r="K4402">
        <v>1.109162</v>
      </c>
      <c r="L4402">
        <v>178.68469999999999</v>
      </c>
      <c r="M4402">
        <v>1.8959669999999999E-3</v>
      </c>
      <c r="N4402">
        <v>-8.4709319999999901E-3</v>
      </c>
      <c r="O4402">
        <v>-0.99996240000000003</v>
      </c>
      <c r="P4402">
        <v>-1.5093229999999999E-2</v>
      </c>
      <c r="Q4402">
        <v>0.36809710000000001</v>
      </c>
      <c r="R4402">
        <v>-0.92966479999999996</v>
      </c>
      <c r="S4402">
        <v>-0.42253109999999999</v>
      </c>
      <c r="T4402">
        <v>-0.38548399999999999</v>
      </c>
      <c r="U4402">
        <v>-3.373291</v>
      </c>
      <c r="V4402">
        <v>1.7833140000000001E-2</v>
      </c>
      <c r="W4402">
        <v>0.37591409999999997</v>
      </c>
      <c r="X4402">
        <v>0.9264829</v>
      </c>
      <c r="Y4402">
        <v>0.12542609999999901</v>
      </c>
      <c r="Z4402">
        <v>0.1042318</v>
      </c>
      <c r="AA4402">
        <v>0.98661239999999994</v>
      </c>
      <c r="AB4402">
        <v>22</v>
      </c>
      <c r="AC4402">
        <v>-9.9600000000009403E-2</v>
      </c>
      <c r="AD4402">
        <v>-9.1454999999999995E-2</v>
      </c>
      <c r="AE4402">
        <v>-0.680499999999994</v>
      </c>
      <c r="AF4402">
        <v>9.9137042700372005E-2</v>
      </c>
      <c r="AG4402">
        <v>-9.1454999999999995E-2</v>
      </c>
      <c r="AH4402">
        <v>0.66848910840889497</v>
      </c>
      <c r="AI4402">
        <v>97.706930039687904</v>
      </c>
      <c r="AJ4402">
        <v>81.564508500522294</v>
      </c>
      <c r="AK4402">
        <v>0.68196030553229003</v>
      </c>
      <c r="AL4402">
        <v>67.919178881229101</v>
      </c>
      <c r="AM4402">
        <v>88.897294812624494</v>
      </c>
      <c r="AN4402">
        <v>0.99999999772673898</v>
      </c>
    </row>
    <row r="4403" spans="1:40" x14ac:dyDescent="0.25">
      <c r="A4403" t="str">
        <f>"20190304164215858"</f>
        <v>20190304164215858</v>
      </c>
      <c r="B4403" t="str">
        <f>"1551688935845356"</f>
        <v>1551688935845356</v>
      </c>
      <c r="C4403" t="s">
        <v>40</v>
      </c>
      <c r="D4403">
        <v>4.5167669999999998</v>
      </c>
      <c r="E4403">
        <v>0.55938480000000002</v>
      </c>
      <c r="F4403" t="s">
        <v>41</v>
      </c>
      <c r="G4403">
        <v>-191.69030000000001</v>
      </c>
      <c r="H4403">
        <v>1.007539</v>
      </c>
      <c r="I4403">
        <v>177.8117</v>
      </c>
      <c r="J4403">
        <v>-191.57429999999999</v>
      </c>
      <c r="K4403">
        <v>1.1091569999999999</v>
      </c>
      <c r="L4403">
        <v>178.56319999999999</v>
      </c>
      <c r="M4403">
        <v>9.4959899999999997E-4</v>
      </c>
      <c r="N4403">
        <v>-8.4413979999999993E-3</v>
      </c>
      <c r="O4403">
        <v>-0.99996410000000002</v>
      </c>
      <c r="P4403">
        <v>-1.7435510000000001E-2</v>
      </c>
      <c r="Q4403">
        <v>0.36799310000000002</v>
      </c>
      <c r="R4403">
        <v>-0.92966530000000003</v>
      </c>
      <c r="S4403">
        <v>-0.45109559999999999</v>
      </c>
      <c r="T4403">
        <v>-0.39287640000000001</v>
      </c>
      <c r="U4403">
        <v>-3.3752140000000002</v>
      </c>
      <c r="V4403">
        <v>1.9293080000000001E-2</v>
      </c>
      <c r="W4403">
        <v>0.37577880000000002</v>
      </c>
      <c r="X4403">
        <v>0.92650849999999996</v>
      </c>
      <c r="Y4403">
        <v>0.1325942</v>
      </c>
      <c r="Z4403">
        <v>0.1062169</v>
      </c>
      <c r="AA4403">
        <v>0.98546270000000002</v>
      </c>
      <c r="AB4403">
        <v>22</v>
      </c>
      <c r="AC4403">
        <v>-0.116000000000013</v>
      </c>
      <c r="AD4403">
        <v>-0.101618</v>
      </c>
      <c r="AE4403">
        <v>-0.75149999999999195</v>
      </c>
      <c r="AF4403">
        <v>0.114665781094754</v>
      </c>
      <c r="AG4403">
        <v>-0.101618</v>
      </c>
      <c r="AH4403">
        <v>0.73820588889081695</v>
      </c>
      <c r="AI4403">
        <v>97.746070852120496</v>
      </c>
      <c r="AJ4403">
        <v>81.170784194720298</v>
      </c>
      <c r="AK4403">
        <v>0.75393792428233197</v>
      </c>
      <c r="AL4403">
        <v>67.927543579340195</v>
      </c>
      <c r="AM4403">
        <v>88.8070780516951</v>
      </c>
      <c r="AN4403">
        <v>0.99999996501878696</v>
      </c>
    </row>
    <row r="4404" spans="1:40" x14ac:dyDescent="0.25">
      <c r="A4404" t="str">
        <f>"20190304164215873"</f>
        <v>20190304164215873</v>
      </c>
      <c r="B4404" t="str">
        <f>"1551688935865852"</f>
        <v>1551688935865852</v>
      </c>
      <c r="C4404" t="s">
        <v>40</v>
      </c>
      <c r="D4404">
        <v>4.4771999999999998</v>
      </c>
      <c r="E4404">
        <v>0.56203829999999999</v>
      </c>
      <c r="F4404" t="s">
        <v>41</v>
      </c>
      <c r="G4404">
        <v>-191.68119999999999</v>
      </c>
      <c r="H4404">
        <v>1.019992</v>
      </c>
      <c r="I4404">
        <v>177.8058</v>
      </c>
      <c r="J4404">
        <v>-191.57550000000001</v>
      </c>
      <c r="K4404">
        <v>1.1091489999999999</v>
      </c>
      <c r="L4404">
        <v>178.40969999999999</v>
      </c>
      <c r="M4404">
        <v>-2.3986529999999999E-4</v>
      </c>
      <c r="N4404">
        <v>-8.4040569999999995E-3</v>
      </c>
      <c r="O4404">
        <v>-0.99996470000000004</v>
      </c>
      <c r="P4404">
        <v>-2.0754109999999999E-2</v>
      </c>
      <c r="Q4404">
        <v>0.36773479999999997</v>
      </c>
      <c r="R4404">
        <v>-0.92969930000000001</v>
      </c>
      <c r="S4404">
        <v>-0.47567749999999998</v>
      </c>
      <c r="T4404">
        <v>-0.39736559999999999</v>
      </c>
      <c r="U4404">
        <v>-3.3753359999999999</v>
      </c>
      <c r="V4404">
        <v>2.150115E-2</v>
      </c>
      <c r="W4404">
        <v>0.37548090000000001</v>
      </c>
      <c r="X4404">
        <v>0.92658070000000003</v>
      </c>
      <c r="Y4404">
        <v>0.13843069999999999</v>
      </c>
      <c r="Z4404">
        <v>0.10744099999999999</v>
      </c>
      <c r="AA4404">
        <v>0.98452700000000004</v>
      </c>
      <c r="AB4404">
        <v>22</v>
      </c>
      <c r="AC4404">
        <v>-0.105699999999984</v>
      </c>
      <c r="AD4404">
        <v>-8.9156999999999903E-2</v>
      </c>
      <c r="AE4404">
        <v>-0.60389999999998101</v>
      </c>
      <c r="AF4404">
        <v>0.10336905526686101</v>
      </c>
      <c r="AG4404">
        <v>-8.9156999999999903E-2</v>
      </c>
      <c r="AH4404">
        <v>0.59141784308703704</v>
      </c>
      <c r="AI4404">
        <v>98.4467007641625</v>
      </c>
      <c r="AJ4404">
        <v>80.085887257593697</v>
      </c>
      <c r="AK4404">
        <v>0.60696721275328103</v>
      </c>
      <c r="AL4404">
        <v>67.945961485577399</v>
      </c>
      <c r="AM4404">
        <v>88.670699589142799</v>
      </c>
      <c r="AN4404">
        <v>0.99999999966431097</v>
      </c>
    </row>
    <row r="4405" spans="1:40" x14ac:dyDescent="0.25">
      <c r="A4405" t="str">
        <f>"20190304164215885"</f>
        <v>20190304164215885</v>
      </c>
      <c r="B4405" t="str">
        <f>"1551688935875611"</f>
        <v>1551688935875611</v>
      </c>
      <c r="C4405" t="s">
        <v>40</v>
      </c>
      <c r="D4405">
        <v>4.4713379999999896</v>
      </c>
      <c r="E4405">
        <v>0.56281169999999903</v>
      </c>
      <c r="F4405" t="s">
        <v>41</v>
      </c>
      <c r="G4405">
        <v>-191.69569999999999</v>
      </c>
      <c r="H4405">
        <v>1.013487</v>
      </c>
      <c r="I4405">
        <v>177.61099999999999</v>
      </c>
      <c r="J4405">
        <v>-191.57650000000001</v>
      </c>
      <c r="K4405">
        <v>1.1091470000000001</v>
      </c>
      <c r="L4405">
        <v>178.29</v>
      </c>
      <c r="M4405">
        <v>-1.1631059999999999E-3</v>
      </c>
      <c r="N4405">
        <v>-8.3746830000000008E-3</v>
      </c>
      <c r="O4405">
        <v>-0.99996439999999998</v>
      </c>
      <c r="P4405">
        <v>-2.288043E-2</v>
      </c>
      <c r="Q4405">
        <v>0.36738169999999998</v>
      </c>
      <c r="R4405">
        <v>-0.92978910000000003</v>
      </c>
      <c r="S4405">
        <v>-0.50810239999999995</v>
      </c>
      <c r="T4405">
        <v>-0.40430709999999997</v>
      </c>
      <c r="U4405">
        <v>-3.3754270000000002</v>
      </c>
      <c r="V4405">
        <v>2.2764630000000001E-2</v>
      </c>
      <c r="W4405">
        <v>0.37509870000000001</v>
      </c>
      <c r="X4405">
        <v>0.92670529999999995</v>
      </c>
      <c r="Y4405">
        <v>0.1467328</v>
      </c>
      <c r="Z4405">
        <v>0.10931340000000001</v>
      </c>
      <c r="AA4405">
        <v>0.98311749999999998</v>
      </c>
      <c r="AB4405">
        <v>22</v>
      </c>
      <c r="AC4405">
        <v>-0.119199999999978</v>
      </c>
      <c r="AD4405">
        <v>-9.5659999999999801E-2</v>
      </c>
      <c r="AE4405">
        <v>-0.67900000000000205</v>
      </c>
      <c r="AF4405">
        <v>0.116173250394578</v>
      </c>
      <c r="AG4405">
        <v>-9.5659999999999801E-2</v>
      </c>
      <c r="AH4405">
        <v>0.66630855150455903</v>
      </c>
      <c r="AI4405">
        <v>98.050148271722506</v>
      </c>
      <c r="AJ4405">
        <v>80.1096975960088</v>
      </c>
      <c r="AK4405">
        <v>0.68309160843575401</v>
      </c>
      <c r="AL4405">
        <v>67.969586494169704</v>
      </c>
      <c r="AM4405">
        <v>88.5928051185535</v>
      </c>
      <c r="AN4405">
        <v>0.99999998808440804</v>
      </c>
    </row>
    <row r="4406" spans="1:40" x14ac:dyDescent="0.25">
      <c r="A4406" t="str">
        <f>"20190304164215897"</f>
        <v>20190304164215897</v>
      </c>
      <c r="B4406" t="str">
        <f>"1551688935885372"</f>
        <v>1551688935885372</v>
      </c>
      <c r="C4406" t="s">
        <v>40</v>
      </c>
      <c r="D4406">
        <v>4.4761870000000004</v>
      </c>
      <c r="E4406">
        <v>0.56354649999999995</v>
      </c>
      <c r="F4406" t="s">
        <v>41</v>
      </c>
      <c r="G4406">
        <v>-191.71170000000001</v>
      </c>
      <c r="H4406">
        <v>1.0035369999999999</v>
      </c>
      <c r="I4406">
        <v>177.41720000000001</v>
      </c>
      <c r="J4406">
        <v>-191.57759999999999</v>
      </c>
      <c r="K4406">
        <v>1.1091439999999999</v>
      </c>
      <c r="L4406">
        <v>178.172</v>
      </c>
      <c r="M4406">
        <v>-2.0686300000000001E-3</v>
      </c>
      <c r="N4406">
        <v>-8.3451180000000003E-3</v>
      </c>
      <c r="O4406">
        <v>-0.99996300000000005</v>
      </c>
      <c r="P4406">
        <v>-2.438798E-2</v>
      </c>
      <c r="Q4406">
        <v>0.36738100000000001</v>
      </c>
      <c r="R4406">
        <v>-0.92975070000000004</v>
      </c>
      <c r="S4406">
        <v>-0.52197269999999996</v>
      </c>
      <c r="T4406">
        <v>-0.40838679999999999</v>
      </c>
      <c r="U4406">
        <v>-3.3750460000000002</v>
      </c>
      <c r="V4406">
        <v>2.3426900000000001E-2</v>
      </c>
      <c r="W4406">
        <v>0.37506909999999999</v>
      </c>
      <c r="X4406">
        <v>0.92670079999999999</v>
      </c>
      <c r="Y4406">
        <v>0.14977969999999999</v>
      </c>
      <c r="Z4406">
        <v>0.1104641</v>
      </c>
      <c r="AA4406">
        <v>0.98252930000000005</v>
      </c>
      <c r="AB4406">
        <v>22</v>
      </c>
      <c r="AC4406">
        <v>-0.13410000000001701</v>
      </c>
      <c r="AD4406">
        <v>-0.10560699999999899</v>
      </c>
      <c r="AE4406">
        <v>-0.75479999999998804</v>
      </c>
      <c r="AF4406">
        <v>0.13006993187894</v>
      </c>
      <c r="AG4406">
        <v>-0.10560699999999899</v>
      </c>
      <c r="AH4406">
        <v>0.74101365172447098</v>
      </c>
      <c r="AI4406">
        <v>97.990451016885004</v>
      </c>
      <c r="AJ4406">
        <v>80.044307314412293</v>
      </c>
      <c r="AK4406">
        <v>0.75971853845356996</v>
      </c>
      <c r="AL4406">
        <v>67.971416554315297</v>
      </c>
      <c r="AM4406">
        <v>88.551877076156401</v>
      </c>
      <c r="AN4406">
        <v>1.00000001106953</v>
      </c>
    </row>
    <row r="4407" spans="1:40" x14ac:dyDescent="0.25">
      <c r="A4407" t="str">
        <f>"20190304164215909"</f>
        <v>20190304164215909</v>
      </c>
      <c r="B4407" t="str">
        <f>"1551688935905867"</f>
        <v>1551688935905867</v>
      </c>
      <c r="C4407" t="s">
        <v>40</v>
      </c>
      <c r="D4407">
        <v>4.4834969999999998</v>
      </c>
      <c r="E4407">
        <v>0.56493389999999999</v>
      </c>
      <c r="F4407" t="s">
        <v>41</v>
      </c>
      <c r="G4407">
        <v>-191.69800000000001</v>
      </c>
      <c r="H4407">
        <v>1.016974</v>
      </c>
      <c r="I4407">
        <v>177.4109</v>
      </c>
      <c r="J4407">
        <v>-191.5788</v>
      </c>
      <c r="K4407">
        <v>1.1091390000000001</v>
      </c>
      <c r="L4407">
        <v>178.05930000000001</v>
      </c>
      <c r="M4407">
        <v>-2.9295020000000001E-3</v>
      </c>
      <c r="N4407">
        <v>-8.3170620000000001E-3</v>
      </c>
      <c r="O4407">
        <v>-0.99996130000000005</v>
      </c>
      <c r="P4407">
        <v>-2.58672E-2</v>
      </c>
      <c r="Q4407">
        <v>0.36724430000000002</v>
      </c>
      <c r="R4407">
        <v>-0.92976499999999995</v>
      </c>
      <c r="S4407">
        <v>-0.53308109999999997</v>
      </c>
      <c r="T4407">
        <v>-0.40868330000000003</v>
      </c>
      <c r="U4407">
        <v>-3.3741759999999998</v>
      </c>
      <c r="V4407">
        <v>2.4102330000000002E-2</v>
      </c>
      <c r="W4407">
        <v>0.37490499999999999</v>
      </c>
      <c r="X4407">
        <v>0.92674990000000002</v>
      </c>
      <c r="Y4407">
        <v>0.15212139999999999</v>
      </c>
      <c r="Z4407">
        <v>0.1105561</v>
      </c>
      <c r="AA4407">
        <v>0.98215909999999995</v>
      </c>
      <c r="AB4407">
        <v>22</v>
      </c>
      <c r="AC4407">
        <v>-0.119199999999978</v>
      </c>
      <c r="AD4407">
        <v>-9.2164999999999803E-2</v>
      </c>
      <c r="AE4407">
        <v>-0.64840000000000897</v>
      </c>
      <c r="AF4407">
        <v>0.11505138171321</v>
      </c>
      <c r="AG4407">
        <v>-9.2164999999999803E-2</v>
      </c>
      <c r="AH4407">
        <v>0.63631044072931098</v>
      </c>
      <c r="AI4407">
        <v>98.111828724064907</v>
      </c>
      <c r="AJ4407">
        <v>79.751071606090704</v>
      </c>
      <c r="AK4407">
        <v>0.65316321439610303</v>
      </c>
      <c r="AL4407">
        <v>67.981559297463306</v>
      </c>
      <c r="AM4407">
        <v>88.510223137328495</v>
      </c>
      <c r="AN4407">
        <v>1.0000000292432101</v>
      </c>
    </row>
    <row r="4408" spans="1:40" x14ac:dyDescent="0.25">
      <c r="A4408" t="str">
        <f>"20190304164215924"</f>
        <v>20190304164215924</v>
      </c>
      <c r="B4408" t="str">
        <f>"1551688935915628"</f>
        <v>1551688935915628</v>
      </c>
      <c r="C4408" t="s">
        <v>40</v>
      </c>
      <c r="D4408">
        <v>4.4489970000000003</v>
      </c>
      <c r="E4408">
        <v>0.56526739999999998</v>
      </c>
      <c r="F4408" t="s">
        <v>41</v>
      </c>
      <c r="G4408">
        <v>-191.71629999999999</v>
      </c>
      <c r="H4408">
        <v>1.0073019999999999</v>
      </c>
      <c r="I4408">
        <v>177.21639999999999</v>
      </c>
      <c r="J4408">
        <v>-191.5805</v>
      </c>
      <c r="K4408">
        <v>1.1091359999999999</v>
      </c>
      <c r="L4408">
        <v>177.9091</v>
      </c>
      <c r="M4408">
        <v>-4.0736710000000001E-3</v>
      </c>
      <c r="N4408">
        <v>-8.2797389999999995E-3</v>
      </c>
      <c r="O4408">
        <v>-0.9999574</v>
      </c>
      <c r="P4408">
        <v>-2.7412539999999999E-2</v>
      </c>
      <c r="Q4408">
        <v>0.36737779999999998</v>
      </c>
      <c r="R4408">
        <v>-0.9296681</v>
      </c>
      <c r="S4408">
        <v>-0.54969789999999996</v>
      </c>
      <c r="T4408">
        <v>-0.40746830000000001</v>
      </c>
      <c r="U4408">
        <v>-3.3722690000000002</v>
      </c>
      <c r="V4408">
        <v>2.458086E-2</v>
      </c>
      <c r="W4408">
        <v>0.37500230000000001</v>
      </c>
      <c r="X4408">
        <v>0.92669789999999996</v>
      </c>
      <c r="Y4408">
        <v>0.15579770000000001</v>
      </c>
      <c r="Z4408">
        <v>0.1102306</v>
      </c>
      <c r="AA4408">
        <v>0.98161920000000003</v>
      </c>
      <c r="AB4408">
        <v>22</v>
      </c>
      <c r="AC4408">
        <v>-0.13579999999998901</v>
      </c>
      <c r="AD4408">
        <v>-0.10183399999999899</v>
      </c>
      <c r="AE4408">
        <v>-0.69270000000000198</v>
      </c>
      <c r="AF4408">
        <v>0.13026583469978101</v>
      </c>
      <c r="AG4408">
        <v>-0.10183399999999899</v>
      </c>
      <c r="AH4408">
        <v>0.67911367216596197</v>
      </c>
      <c r="AI4408">
        <v>98.377535579593498</v>
      </c>
      <c r="AJ4408">
        <v>79.141563957799505</v>
      </c>
      <c r="AK4408">
        <v>0.69895259565207202</v>
      </c>
      <c r="AL4408">
        <v>67.975544331494206</v>
      </c>
      <c r="AM4408">
        <v>88.480573476706098</v>
      </c>
      <c r="AN4408">
        <v>0.99999997077401903</v>
      </c>
    </row>
    <row r="4409" spans="1:40" x14ac:dyDescent="0.25">
      <c r="A4409" t="str">
        <f>"20190304164215938"</f>
        <v>20190304164215938</v>
      </c>
      <c r="B4409" t="str">
        <f>"1551688935925388"</f>
        <v>1551688935925388</v>
      </c>
      <c r="C4409" t="s">
        <v>40</v>
      </c>
      <c r="D4409">
        <v>4.4537800000000001</v>
      </c>
      <c r="E4409">
        <v>0.56554839999999995</v>
      </c>
      <c r="F4409" t="s">
        <v>41</v>
      </c>
      <c r="G4409">
        <v>-191.72790000000001</v>
      </c>
      <c r="H4409">
        <v>1.001428</v>
      </c>
      <c r="I4409">
        <v>177.01949999999999</v>
      </c>
      <c r="J4409">
        <v>-191.5822</v>
      </c>
      <c r="K4409">
        <v>1.1091329999999999</v>
      </c>
      <c r="L4409">
        <v>177.7697</v>
      </c>
      <c r="M4409">
        <v>-5.1292020000000002E-3</v>
      </c>
      <c r="N4409">
        <v>-8.2448169999999998E-3</v>
      </c>
      <c r="O4409">
        <v>-0.99995290000000003</v>
      </c>
      <c r="P4409">
        <v>-2.8843710000000002E-2</v>
      </c>
      <c r="Q4409">
        <v>0.36740089999999997</v>
      </c>
      <c r="R4409">
        <v>-0.92961530000000003</v>
      </c>
      <c r="S4409">
        <v>-0.55807499999999999</v>
      </c>
      <c r="T4409">
        <v>-0.4082732</v>
      </c>
      <c r="U4409">
        <v>-3.3718409999999999</v>
      </c>
      <c r="V4409">
        <v>2.5028069999999999E-2</v>
      </c>
      <c r="W4409">
        <v>0.37499169999999998</v>
      </c>
      <c r="X4409">
        <v>0.92669020000000002</v>
      </c>
      <c r="Y4409">
        <v>0.1571446</v>
      </c>
      <c r="Z4409">
        <v>0.11047460000000001</v>
      </c>
      <c r="AA4409">
        <v>0.9813771</v>
      </c>
      <c r="AB4409">
        <v>22</v>
      </c>
      <c r="AC4409">
        <v>-0.14570000000000499</v>
      </c>
      <c r="AD4409">
        <v>-0.107704999999999</v>
      </c>
      <c r="AE4409">
        <v>-0.75020000000000597</v>
      </c>
      <c r="AF4409">
        <v>0.139087378353799</v>
      </c>
      <c r="AG4409">
        <v>-0.107704999999999</v>
      </c>
      <c r="AH4409">
        <v>0.73631235039405796</v>
      </c>
      <c r="AI4409">
        <v>98.179350623032605</v>
      </c>
      <c r="AJ4409">
        <v>79.303026695201495</v>
      </c>
      <c r="AK4409">
        <v>0.75703470408241902</v>
      </c>
      <c r="AL4409">
        <v>67.976199064816598</v>
      </c>
      <c r="AM4409">
        <v>88.452930371889707</v>
      </c>
      <c r="AN4409">
        <v>0.99999995306642597</v>
      </c>
    </row>
    <row r="4410" spans="1:40" x14ac:dyDescent="0.25">
      <c r="A4410" t="str">
        <f>"20190304164215953"</f>
        <v>20190304164215953</v>
      </c>
      <c r="B4410" t="str">
        <f>"1551688935945884"</f>
        <v>1551688935945884</v>
      </c>
      <c r="C4410" t="s">
        <v>40</v>
      </c>
      <c r="D4410">
        <v>4.4631210000000001</v>
      </c>
      <c r="E4410">
        <v>0.56589780000000001</v>
      </c>
      <c r="F4410" t="s">
        <v>41</v>
      </c>
      <c r="G4410">
        <v>-191.70949999999999</v>
      </c>
      <c r="H4410">
        <v>1.0173160000000001</v>
      </c>
      <c r="I4410">
        <v>177.01220000000001</v>
      </c>
      <c r="J4410">
        <v>-191.58430000000001</v>
      </c>
      <c r="K4410">
        <v>1.1091340000000001</v>
      </c>
      <c r="L4410">
        <v>177.61940000000001</v>
      </c>
      <c r="M4410">
        <v>-6.2615759999999996E-3</v>
      </c>
      <c r="N4410">
        <v>-8.2052319999999998E-3</v>
      </c>
      <c r="O4410">
        <v>-0.99994689999999997</v>
      </c>
      <c r="P4410">
        <v>-3.0375949999999999E-2</v>
      </c>
      <c r="Q4410">
        <v>0.36782280000000001</v>
      </c>
      <c r="R4410">
        <v>-0.9294</v>
      </c>
      <c r="S4410">
        <v>-0.5655365</v>
      </c>
      <c r="T4410">
        <v>-0.40861249999999999</v>
      </c>
      <c r="U4410">
        <v>-3.3710939999999998</v>
      </c>
      <c r="V4410">
        <v>2.5507019999999998E-2</v>
      </c>
      <c r="W4410">
        <v>0.3753745</v>
      </c>
      <c r="X4410">
        <v>0.92652219999999996</v>
      </c>
      <c r="Y4410">
        <v>0.15817239999999999</v>
      </c>
      <c r="Z4410">
        <v>0.1106056</v>
      </c>
      <c r="AA4410">
        <v>0.98119719999999999</v>
      </c>
      <c r="AB4410">
        <v>22</v>
      </c>
      <c r="AC4410">
        <v>-0.125199999999978</v>
      </c>
      <c r="AD4410">
        <v>-9.1818000000000094E-2</v>
      </c>
      <c r="AE4410">
        <v>-0.60720000000000596</v>
      </c>
      <c r="AF4410">
        <v>0.118789900294273</v>
      </c>
      <c r="AG4410">
        <v>-9.1818000000000094E-2</v>
      </c>
      <c r="AH4410">
        <v>0.59492326892001701</v>
      </c>
      <c r="AI4410">
        <v>98.606302136873694</v>
      </c>
      <c r="AJ4410">
        <v>78.708103554478797</v>
      </c>
      <c r="AK4410">
        <v>0.61357581555860097</v>
      </c>
      <c r="AL4410">
        <v>67.952539010599494</v>
      </c>
      <c r="AM4410">
        <v>88.423053915340105</v>
      </c>
      <c r="AN4410">
        <v>1.0000000052061799</v>
      </c>
    </row>
    <row r="4411" spans="1:40" x14ac:dyDescent="0.25">
      <c r="A4411" t="str">
        <f>"20190304164215967"</f>
        <v>20190304164215967</v>
      </c>
      <c r="B4411" t="str">
        <f>"1551688935955643"</f>
        <v>1551688935955643</v>
      </c>
      <c r="C4411" t="s">
        <v>40</v>
      </c>
      <c r="D4411">
        <v>4.4468180000000004</v>
      </c>
      <c r="E4411">
        <v>0.56609299999999996</v>
      </c>
      <c r="F4411" t="s">
        <v>41</v>
      </c>
      <c r="G4411">
        <v>-191.72120000000001</v>
      </c>
      <c r="H4411">
        <v>1.011617</v>
      </c>
      <c r="I4411">
        <v>176.81460000000001</v>
      </c>
      <c r="J4411">
        <v>-191.58619999999999</v>
      </c>
      <c r="K4411">
        <v>1.1091310000000001</v>
      </c>
      <c r="L4411">
        <v>177.48310000000001</v>
      </c>
      <c r="M4411">
        <v>-7.2840200000000004E-3</v>
      </c>
      <c r="N4411">
        <v>-8.168425E-3</v>
      </c>
      <c r="O4411">
        <v>-0.99994039999999995</v>
      </c>
      <c r="P4411">
        <v>-3.1458369999999999E-2</v>
      </c>
      <c r="Q4411">
        <v>0.36783739999999998</v>
      </c>
      <c r="R4411">
        <v>-0.92935809999999996</v>
      </c>
      <c r="S4411">
        <v>-0.57284550000000001</v>
      </c>
      <c r="T4411">
        <v>-0.40845359999999997</v>
      </c>
      <c r="U4411">
        <v>-3.3708040000000001</v>
      </c>
      <c r="V4411">
        <v>2.563642E-2</v>
      </c>
      <c r="W4411">
        <v>0.37535459999999998</v>
      </c>
      <c r="X4411">
        <v>0.92652670000000004</v>
      </c>
      <c r="Y4411">
        <v>0.15924559999999999</v>
      </c>
      <c r="Z4411">
        <v>0.1105748</v>
      </c>
      <c r="AA4411">
        <v>0.98102710000000004</v>
      </c>
      <c r="AB4411">
        <v>22</v>
      </c>
      <c r="AC4411">
        <v>-0.13500000000001899</v>
      </c>
      <c r="AD4411">
        <v>-9.7513999999999795E-2</v>
      </c>
      <c r="AE4411">
        <v>-0.66849999999999399</v>
      </c>
      <c r="AF4411">
        <v>0.12751984058391599</v>
      </c>
      <c r="AG4411">
        <v>-9.7513999999999795E-2</v>
      </c>
      <c r="AH4411">
        <v>0.65605311593918103</v>
      </c>
      <c r="AI4411">
        <v>98.301257261257305</v>
      </c>
      <c r="AJ4411">
        <v>79.000333832693997</v>
      </c>
      <c r="AK4411">
        <v>0.67540801066618705</v>
      </c>
      <c r="AL4411">
        <v>67.953769346813004</v>
      </c>
      <c r="AM4411">
        <v>88.415065653457802</v>
      </c>
      <c r="AN4411">
        <v>1.00000001379223</v>
      </c>
    </row>
    <row r="4412" spans="1:40" x14ac:dyDescent="0.25">
      <c r="A4412" t="str">
        <f>"20190304164215980"</f>
        <v>20190304164215980</v>
      </c>
      <c r="B4412" t="str">
        <f>"1551688935975362"</f>
        <v>1551688935975362</v>
      </c>
      <c r="C4412" t="s">
        <v>40</v>
      </c>
      <c r="D4412">
        <v>4.4115039999999999</v>
      </c>
      <c r="E4412">
        <v>0.56638259999999996</v>
      </c>
      <c r="F4412" t="s">
        <v>41</v>
      </c>
      <c r="G4412">
        <v>-191.73500000000001</v>
      </c>
      <c r="H4412">
        <v>1.0041869999999999</v>
      </c>
      <c r="I4412">
        <v>176.6172</v>
      </c>
      <c r="J4412">
        <v>-191.58840000000001</v>
      </c>
      <c r="K4412">
        <v>1.1091310000000001</v>
      </c>
      <c r="L4412">
        <v>177.34540000000001</v>
      </c>
      <c r="M4412">
        <v>-8.311611E-3</v>
      </c>
      <c r="N4412">
        <v>-8.1307580000000001E-3</v>
      </c>
      <c r="O4412">
        <v>-0.9999325</v>
      </c>
      <c r="P4412">
        <v>-3.2408109999999997E-2</v>
      </c>
      <c r="Q4412">
        <v>0.3680756</v>
      </c>
      <c r="R4412">
        <v>-0.92923120000000003</v>
      </c>
      <c r="S4412">
        <v>-0.57821659999999997</v>
      </c>
      <c r="T4412">
        <v>-0.40843269999999998</v>
      </c>
      <c r="U4412">
        <v>-3.370117</v>
      </c>
      <c r="V4412">
        <v>2.5628789999999999E-2</v>
      </c>
      <c r="W4412">
        <v>0.37555749999999999</v>
      </c>
      <c r="X4412">
        <v>0.92644470000000001</v>
      </c>
      <c r="Y4412">
        <v>0.15978290000000001</v>
      </c>
      <c r="Z4412">
        <v>0.11060830000000001</v>
      </c>
      <c r="AA4412">
        <v>0.98093589999999997</v>
      </c>
      <c r="AB4412">
        <v>22</v>
      </c>
      <c r="AC4412">
        <v>-0.146600000000006</v>
      </c>
      <c r="AD4412">
        <v>-0.104943999999999</v>
      </c>
      <c r="AE4412">
        <v>-0.72820000000001495</v>
      </c>
      <c r="AF4412">
        <v>0.13779190040525599</v>
      </c>
      <c r="AG4412">
        <v>-0.104943999999999</v>
      </c>
      <c r="AH4412">
        <v>0.71511960853867995</v>
      </c>
      <c r="AI4412">
        <v>98.199857316094096</v>
      </c>
      <c r="AJ4412">
        <v>79.093698419217702</v>
      </c>
      <c r="AK4412">
        <v>0.73579610319014799</v>
      </c>
      <c r="AL4412">
        <v>67.941226686518405</v>
      </c>
      <c r="AM4412">
        <v>88.415396956646603</v>
      </c>
      <c r="AN4412">
        <v>1.0000000264205999</v>
      </c>
    </row>
    <row r="4413" spans="1:40" x14ac:dyDescent="0.25">
      <c r="A4413" t="str">
        <f>"20190304164215995"</f>
        <v>20190304164215995</v>
      </c>
      <c r="B4413" t="str">
        <f>"1551688935985123"</f>
        <v>1551688935985123</v>
      </c>
      <c r="C4413" t="s">
        <v>40</v>
      </c>
      <c r="D4413">
        <v>4.4016840000000004</v>
      </c>
      <c r="E4413">
        <v>0.56651960000000001</v>
      </c>
      <c r="F4413" t="s">
        <v>41</v>
      </c>
      <c r="G4413">
        <v>-191.7157</v>
      </c>
      <c r="H4413">
        <v>1.0198320000000001</v>
      </c>
      <c r="I4413">
        <v>176.60990000000001</v>
      </c>
      <c r="J4413">
        <v>-191.59100000000001</v>
      </c>
      <c r="K4413">
        <v>1.1091340000000001</v>
      </c>
      <c r="L4413">
        <v>177.1859</v>
      </c>
      <c r="M4413">
        <v>-9.4896679999999997E-3</v>
      </c>
      <c r="N4413">
        <v>-8.0898089999999999E-3</v>
      </c>
      <c r="O4413">
        <v>-0.99992250000000005</v>
      </c>
      <c r="P4413">
        <v>-3.3414409999999999E-2</v>
      </c>
      <c r="Q4413">
        <v>0.3683728</v>
      </c>
      <c r="R4413">
        <v>-0.92907790000000001</v>
      </c>
      <c r="S4413">
        <v>-0.58287049999999996</v>
      </c>
      <c r="T4413">
        <v>-0.4091997</v>
      </c>
      <c r="U4413">
        <v>-3.3702390000000002</v>
      </c>
      <c r="V4413">
        <v>2.5536079999999999E-2</v>
      </c>
      <c r="W4413">
        <v>0.37581639999999999</v>
      </c>
      <c r="X4413">
        <v>0.9263422</v>
      </c>
      <c r="Y4413">
        <v>0.1599255</v>
      </c>
      <c r="Z4413">
        <v>0.11084869999999999</v>
      </c>
      <c r="AA4413">
        <v>0.98088549999999997</v>
      </c>
      <c r="AB4413">
        <v>22</v>
      </c>
      <c r="AC4413">
        <v>-0.124700000000018</v>
      </c>
      <c r="AD4413">
        <v>-8.9301999999999895E-2</v>
      </c>
      <c r="AE4413">
        <v>-0.57599999999999296</v>
      </c>
      <c r="AF4413">
        <v>0.116552042893683</v>
      </c>
      <c r="AG4413">
        <v>-8.9301999999999895E-2</v>
      </c>
      <c r="AH4413">
        <v>0.564202971879602</v>
      </c>
      <c r="AI4413">
        <v>98.811126972468202</v>
      </c>
      <c r="AJ4413">
        <v>78.328122565527494</v>
      </c>
      <c r="AK4413">
        <v>0.58299589997226098</v>
      </c>
      <c r="AL4413">
        <v>67.925218852625505</v>
      </c>
      <c r="AM4413">
        <v>88.420951604328394</v>
      </c>
      <c r="AN4413">
        <v>0.99999996469578201</v>
      </c>
    </row>
    <row r="4414" spans="1:40" x14ac:dyDescent="0.25">
      <c r="A4414" t="str">
        <f>"20190304164216007"</f>
        <v>20190304164216007</v>
      </c>
      <c r="B4414" t="str">
        <f>"1551688935995858"</f>
        <v>1551688935995858</v>
      </c>
      <c r="C4414" t="s">
        <v>40</v>
      </c>
      <c r="D4414">
        <v>4.4151959999999999</v>
      </c>
      <c r="E4414">
        <v>0.56665100000000002</v>
      </c>
      <c r="F4414" t="s">
        <v>41</v>
      </c>
      <c r="G4414">
        <v>-191.72579999999999</v>
      </c>
      <c r="H4414">
        <v>1.0151319999999999</v>
      </c>
      <c r="I4414">
        <v>176.41059999999999</v>
      </c>
      <c r="J4414">
        <v>-191.59299999999999</v>
      </c>
      <c r="K4414">
        <v>1.1091340000000001</v>
      </c>
      <c r="L4414">
        <v>177.06880000000001</v>
      </c>
      <c r="M4414">
        <v>-1.034684E-2</v>
      </c>
      <c r="N4414">
        <v>-8.0615019999999999E-3</v>
      </c>
      <c r="O4414">
        <v>-0.99991410000000003</v>
      </c>
      <c r="P4414">
        <v>-3.3825710000000002E-2</v>
      </c>
      <c r="Q4414">
        <v>0.36837910000000001</v>
      </c>
      <c r="R4414">
        <v>-0.92906040000000001</v>
      </c>
      <c r="S4414">
        <v>-0.58619690000000002</v>
      </c>
      <c r="T4414">
        <v>-0.4086149</v>
      </c>
      <c r="U4414">
        <v>-3.3699189999999999</v>
      </c>
      <c r="V4414">
        <v>2.5144819999999998E-2</v>
      </c>
      <c r="W4414">
        <v>0.37579780000000002</v>
      </c>
      <c r="X4414">
        <v>0.92636050000000003</v>
      </c>
      <c r="Y4414">
        <v>0.16003809999999999</v>
      </c>
      <c r="Z4414">
        <v>0.110708399999999</v>
      </c>
      <c r="AA4414">
        <v>0.98088299999999995</v>
      </c>
      <c r="AB4414">
        <v>22</v>
      </c>
      <c r="AC4414">
        <v>-0.132800000000003</v>
      </c>
      <c r="AD4414">
        <v>-9.4002000000000099E-2</v>
      </c>
      <c r="AE4414">
        <v>-0.65820000000002199</v>
      </c>
      <c r="AF4414">
        <v>0.123560737852543</v>
      </c>
      <c r="AG4414">
        <v>-9.4002000000000099E-2</v>
      </c>
      <c r="AH4414">
        <v>0.64686116553953599</v>
      </c>
      <c r="AI4414">
        <v>98.123494810123105</v>
      </c>
      <c r="AJ4414">
        <v>79.185867214844194</v>
      </c>
      <c r="AK4414">
        <v>0.66523153820743697</v>
      </c>
      <c r="AL4414">
        <v>67.926369955437707</v>
      </c>
      <c r="AM4414">
        <v>88.445164279724295</v>
      </c>
      <c r="AN4414">
        <v>1.0000000122089601</v>
      </c>
    </row>
    <row r="4415" spans="1:40" x14ac:dyDescent="0.25">
      <c r="A4415" t="str">
        <f>"20190304164216019"</f>
        <v>20190304164216019</v>
      </c>
      <c r="B4415" t="str">
        <f>"1551688936005618"</f>
        <v>1551688936005618</v>
      </c>
      <c r="C4415" t="s">
        <v>40</v>
      </c>
      <c r="D4415">
        <v>4.425872</v>
      </c>
      <c r="E4415">
        <v>0.56672919999999904</v>
      </c>
      <c r="F4415" t="s">
        <v>41</v>
      </c>
      <c r="G4415">
        <v>-191.74270000000001</v>
      </c>
      <c r="H4415">
        <v>1.005309</v>
      </c>
      <c r="I4415">
        <v>176.2132</v>
      </c>
      <c r="J4415">
        <v>-191.59520000000001</v>
      </c>
      <c r="K4415">
        <v>1.1091390000000001</v>
      </c>
      <c r="L4415">
        <v>176.95</v>
      </c>
      <c r="M4415">
        <v>-1.120905E-2</v>
      </c>
      <c r="N4415">
        <v>-8.0344240000000001E-3</v>
      </c>
      <c r="O4415">
        <v>-0.99990489999999999</v>
      </c>
      <c r="P4415">
        <v>-3.4238350000000001E-2</v>
      </c>
      <c r="Q4415">
        <v>0.3685022</v>
      </c>
      <c r="R4415">
        <v>-0.9289963</v>
      </c>
      <c r="S4415">
        <v>-0.58839419999999898</v>
      </c>
      <c r="T4415">
        <v>-0.40891270000000002</v>
      </c>
      <c r="U4415">
        <v>-3.3698269999999901</v>
      </c>
      <c r="V4415">
        <v>2.4749360000000001E-2</v>
      </c>
      <c r="W4415">
        <v>0.37589719999999999</v>
      </c>
      <c r="X4415">
        <v>0.92633080000000001</v>
      </c>
      <c r="Y4415">
        <v>0.1598106</v>
      </c>
      <c r="Z4415">
        <v>0.1108184</v>
      </c>
      <c r="AA4415">
        <v>0.98090770000000005</v>
      </c>
      <c r="AB4415">
        <v>22</v>
      </c>
      <c r="AC4415">
        <v>-0.14750000000000699</v>
      </c>
      <c r="AD4415">
        <v>-0.10382999999999901</v>
      </c>
      <c r="AE4415">
        <v>-0.73679999999998802</v>
      </c>
      <c r="AF4415">
        <v>0.136623051138345</v>
      </c>
      <c r="AG4415">
        <v>-0.10382999999999901</v>
      </c>
      <c r="AH4415">
        <v>0.72457260263832401</v>
      </c>
      <c r="AI4415">
        <v>98.0155079587351</v>
      </c>
      <c r="AJ4415">
        <v>79.321865248695204</v>
      </c>
      <c r="AK4415">
        <v>0.74461532585384305</v>
      </c>
      <c r="AL4415">
        <v>67.920223717330799</v>
      </c>
      <c r="AM4415">
        <v>88.469556873579194</v>
      </c>
      <c r="AN4415">
        <v>0.99999999340844403</v>
      </c>
    </row>
    <row r="4416" spans="1:40" x14ac:dyDescent="0.25">
      <c r="A4416" t="str">
        <f>"20190304164216033"</f>
        <v>20190304164216033</v>
      </c>
      <c r="B4416" t="str">
        <f>"1551688936025138"</f>
        <v>1551688936025138</v>
      </c>
      <c r="C4416" t="s">
        <v>40</v>
      </c>
      <c r="D4416">
        <v>4.4192499999999999</v>
      </c>
      <c r="E4416">
        <v>0.56689299999999998</v>
      </c>
      <c r="F4416" t="s">
        <v>41</v>
      </c>
      <c r="G4416">
        <v>-191.72569999999999</v>
      </c>
      <c r="H4416">
        <v>1.018804</v>
      </c>
      <c r="I4416">
        <v>176.20679999999999</v>
      </c>
      <c r="J4416">
        <v>-191.59800000000001</v>
      </c>
      <c r="K4416">
        <v>1.1091470000000001</v>
      </c>
      <c r="L4416">
        <v>176.80549999999999</v>
      </c>
      <c r="M4416">
        <v>-1.224126E-2</v>
      </c>
      <c r="N4416">
        <v>-8.0015999999999993E-3</v>
      </c>
      <c r="O4416">
        <v>-0.99989320000000004</v>
      </c>
      <c r="P4416">
        <v>-3.4933310000000002E-2</v>
      </c>
      <c r="Q4416">
        <v>0.36851119999999998</v>
      </c>
      <c r="R4416">
        <v>-0.92896690000000004</v>
      </c>
      <c r="S4416">
        <v>-0.59034730000000002</v>
      </c>
      <c r="T4416">
        <v>-0.40964440000000002</v>
      </c>
      <c r="U4416">
        <v>-3.3700410000000001</v>
      </c>
      <c r="V4416">
        <v>2.447301E-2</v>
      </c>
      <c r="W4416">
        <v>0.37587690000000001</v>
      </c>
      <c r="X4416">
        <v>0.92634640000000001</v>
      </c>
      <c r="Y4416">
        <v>0.15932879999999899</v>
      </c>
      <c r="Z4416">
        <v>0.11105080000000001</v>
      </c>
      <c r="AA4416">
        <v>0.98095980000000005</v>
      </c>
      <c r="AB4416">
        <v>22</v>
      </c>
      <c r="AC4416">
        <v>-0.127700000000004</v>
      </c>
      <c r="AD4416">
        <v>-9.0342999999999798E-2</v>
      </c>
      <c r="AE4416">
        <v>-0.598700000000007</v>
      </c>
      <c r="AF4416">
        <v>0.11779581741192501</v>
      </c>
      <c r="AG4416">
        <v>-9.0342999999999798E-2</v>
      </c>
      <c r="AH4416">
        <v>0.587424564562536</v>
      </c>
      <c r="AI4416">
        <v>98.5752019349422</v>
      </c>
      <c r="AJ4416">
        <v>78.6609120619419</v>
      </c>
      <c r="AK4416">
        <v>0.605892177949368</v>
      </c>
      <c r="AL4416">
        <v>67.921479310777698</v>
      </c>
      <c r="AM4416">
        <v>88.486663199716901</v>
      </c>
      <c r="AN4416">
        <v>1.0000000124825099</v>
      </c>
    </row>
    <row r="4417" spans="1:40" x14ac:dyDescent="0.25">
      <c r="A4417" t="str">
        <f>"20190304164216044"</f>
        <v>20190304164216044</v>
      </c>
      <c r="B4417" t="str">
        <f>"1551688936035875"</f>
        <v>1551688936035875</v>
      </c>
      <c r="C4417" t="s">
        <v>40</v>
      </c>
      <c r="D4417">
        <v>4.3997719999999996</v>
      </c>
      <c r="E4417">
        <v>0.56696809999999997</v>
      </c>
      <c r="F4417" t="s">
        <v>41</v>
      </c>
      <c r="G4417">
        <v>-191.7389</v>
      </c>
      <c r="H4417">
        <v>1.0119499999999999</v>
      </c>
      <c r="I4417">
        <v>176.00729999999999</v>
      </c>
      <c r="J4417">
        <v>-191.6003</v>
      </c>
      <c r="K4417">
        <v>1.1091599999999999</v>
      </c>
      <c r="L4417">
        <v>176.6893</v>
      </c>
      <c r="M4417">
        <v>-1.306246E-2</v>
      </c>
      <c r="N4417">
        <v>-7.9751539999999999E-3</v>
      </c>
      <c r="O4417">
        <v>-0.99988279999999996</v>
      </c>
      <c r="P4417">
        <v>-3.5291309999999999E-2</v>
      </c>
      <c r="Q4417">
        <v>0.36842079999999999</v>
      </c>
      <c r="R4417">
        <v>-0.92898899999999995</v>
      </c>
      <c r="S4417">
        <v>-0.59434509999999996</v>
      </c>
      <c r="T4417">
        <v>-0.41033510000000001</v>
      </c>
      <c r="U4417">
        <v>-3.369812</v>
      </c>
      <c r="V4417">
        <v>2.4056020000000001E-2</v>
      </c>
      <c r="W4417">
        <v>0.3757643</v>
      </c>
      <c r="X4417">
        <v>0.92640299999999998</v>
      </c>
      <c r="Y4417">
        <v>0.1596542</v>
      </c>
      <c r="Z4417">
        <v>0.1112665</v>
      </c>
      <c r="AA4417">
        <v>0.98088240000000004</v>
      </c>
      <c r="AB4417">
        <v>23</v>
      </c>
      <c r="AC4417">
        <v>-0.138599999999996</v>
      </c>
      <c r="AD4417">
        <v>-9.7210000000000199E-2</v>
      </c>
      <c r="AE4417">
        <v>-0.68200000000001604</v>
      </c>
      <c r="AF4417">
        <v>0.12719755564274701</v>
      </c>
      <c r="AG4417">
        <v>-9.7210000000000199E-2</v>
      </c>
      <c r="AH4417">
        <v>0.67066701746232604</v>
      </c>
      <c r="AI4417">
        <v>98.104807104773002</v>
      </c>
      <c r="AJ4417">
        <v>79.260930810409107</v>
      </c>
      <c r="AK4417">
        <v>0.68950942747238897</v>
      </c>
      <c r="AL4417">
        <v>67.928441110966801</v>
      </c>
      <c r="AM4417">
        <v>88.512527755954395</v>
      </c>
      <c r="AN4417">
        <v>1.0000000098308599</v>
      </c>
    </row>
    <row r="4418" spans="1:40" x14ac:dyDescent="0.25">
      <c r="A4418" t="str">
        <f>"20190304164216057"</f>
        <v>20190304164216057</v>
      </c>
      <c r="B4418" t="str">
        <f>"1551688936045635"</f>
        <v>1551688936045635</v>
      </c>
      <c r="C4418" t="s">
        <v>40</v>
      </c>
      <c r="D4418">
        <v>4.4110950000000004</v>
      </c>
      <c r="E4418">
        <v>0.56706099999999904</v>
      </c>
      <c r="F4418" t="s">
        <v>41</v>
      </c>
      <c r="G4418">
        <v>-191.75630000000001</v>
      </c>
      <c r="H4418">
        <v>1.0018180000000001</v>
      </c>
      <c r="I4418">
        <v>175.80869999999999</v>
      </c>
      <c r="J4418">
        <v>-191.60290000000001</v>
      </c>
      <c r="K4418">
        <v>1.10917</v>
      </c>
      <c r="L4418">
        <v>176.56209999999999</v>
      </c>
      <c r="M4418">
        <v>-1.394365E-2</v>
      </c>
      <c r="N4418">
        <v>-7.9459609999999996E-3</v>
      </c>
      <c r="O4418">
        <v>-0.99987130000000002</v>
      </c>
      <c r="P4418">
        <v>-3.5635279999999998E-2</v>
      </c>
      <c r="Q4418">
        <v>0.36821720000000002</v>
      </c>
      <c r="R4418">
        <v>-0.92905660000000001</v>
      </c>
      <c r="S4418">
        <v>-0.59628300000000001</v>
      </c>
      <c r="T4418">
        <v>-0.41071010000000002</v>
      </c>
      <c r="U4418">
        <v>-3.3695219999999999</v>
      </c>
      <c r="V4418">
        <v>2.3564749999999999E-2</v>
      </c>
      <c r="W4418">
        <v>0.37553619999999999</v>
      </c>
      <c r="X4418">
        <v>0.92650809999999995</v>
      </c>
      <c r="Y4418">
        <v>0.1593435</v>
      </c>
      <c r="Z4418">
        <v>0.1114086</v>
      </c>
      <c r="AA4418">
        <v>0.98091680000000003</v>
      </c>
      <c r="AB4418">
        <v>23</v>
      </c>
      <c r="AC4418">
        <v>-0.15340000000000401</v>
      </c>
      <c r="AD4418">
        <v>-0.107351999999999</v>
      </c>
      <c r="AE4418">
        <v>-0.75339999999999896</v>
      </c>
      <c r="AF4418">
        <v>0.14014740788961899</v>
      </c>
      <c r="AG4418">
        <v>-0.107351999999999</v>
      </c>
      <c r="AH4418">
        <v>0.74101945438378802</v>
      </c>
      <c r="AI4418">
        <v>98.101468481587204</v>
      </c>
      <c r="AJ4418">
        <v>79.290270668182998</v>
      </c>
      <c r="AK4418">
        <v>0.76175821598288396</v>
      </c>
      <c r="AL4418">
        <v>67.942542791367899</v>
      </c>
      <c r="AM4418">
        <v>88.543056773902904</v>
      </c>
      <c r="AN4418">
        <v>0.99999999715930599</v>
      </c>
    </row>
    <row r="4419" spans="1:40" x14ac:dyDescent="0.25">
      <c r="A4419" t="str">
        <f>"20190304164216069"</f>
        <v>20190304164216069</v>
      </c>
      <c r="B4419" t="str">
        <f>"1551688936065154"</f>
        <v>1551688936065154</v>
      </c>
      <c r="C4419" t="s">
        <v>40</v>
      </c>
      <c r="D4419">
        <v>4.3962490000000001</v>
      </c>
      <c r="E4419">
        <v>0.56718630000000003</v>
      </c>
      <c r="F4419" t="s">
        <v>41</v>
      </c>
      <c r="G4419">
        <v>-191.7381</v>
      </c>
      <c r="H4419">
        <v>1.016284</v>
      </c>
      <c r="I4419">
        <v>175.80189999999999</v>
      </c>
      <c r="J4419">
        <v>-191.6053</v>
      </c>
      <c r="K4419">
        <v>1.109181</v>
      </c>
      <c r="L4419">
        <v>176.4478</v>
      </c>
      <c r="M4419">
        <v>-1.4719670000000001E-2</v>
      </c>
      <c r="N4419">
        <v>-7.9206539999999992E-3</v>
      </c>
      <c r="O4419">
        <v>-0.99986050000000004</v>
      </c>
      <c r="P4419">
        <v>-3.619795E-2</v>
      </c>
      <c r="Q4419">
        <v>0.36771120000000002</v>
      </c>
      <c r="R4419">
        <v>-0.92923560000000005</v>
      </c>
      <c r="S4419">
        <v>-0.59855649999999905</v>
      </c>
      <c r="T4419">
        <v>-0.41171089999999999</v>
      </c>
      <c r="U4419">
        <v>-3.3693080000000002</v>
      </c>
      <c r="V4419">
        <v>2.3387660000000001E-2</v>
      </c>
      <c r="W4419">
        <v>0.3750098</v>
      </c>
      <c r="X4419">
        <v>0.92672569999999999</v>
      </c>
      <c r="Y4419">
        <v>0.1592239</v>
      </c>
      <c r="Z4419">
        <v>0.11172070000000001</v>
      </c>
      <c r="AA4419">
        <v>0.98090069999999996</v>
      </c>
      <c r="AB4419">
        <v>23</v>
      </c>
      <c r="AC4419">
        <v>-0.132800000000003</v>
      </c>
      <c r="AD4419">
        <v>-9.2896999999999993E-2</v>
      </c>
      <c r="AE4419">
        <v>-0.64590000000001102</v>
      </c>
      <c r="AF4419">
        <v>0.120878818690766</v>
      </c>
      <c r="AG4419">
        <v>-9.2896999999999993E-2</v>
      </c>
      <c r="AH4419">
        <v>0.63517856866945999</v>
      </c>
      <c r="AI4419">
        <v>98.176007690572206</v>
      </c>
      <c r="AJ4419">
        <v>79.225066434947195</v>
      </c>
      <c r="AK4419">
        <v>0.65321769381582095</v>
      </c>
      <c r="AL4419">
        <v>67.975079790572195</v>
      </c>
      <c r="AM4419">
        <v>88.5543404759228</v>
      </c>
      <c r="AN4419">
        <v>0.99999992788839998</v>
      </c>
    </row>
    <row r="4420" spans="1:40" x14ac:dyDescent="0.25">
      <c r="A4420" t="str">
        <f>"20190304164216080"</f>
        <v>20190304164216080</v>
      </c>
      <c r="B4420" t="str">
        <f>"1551688936075890"</f>
        <v>1551688936075890</v>
      </c>
      <c r="C4420" t="s">
        <v>40</v>
      </c>
      <c r="D4420">
        <v>4.4338810000000004</v>
      </c>
      <c r="E4420">
        <v>0.56726580000000004</v>
      </c>
      <c r="F4420" t="s">
        <v>41</v>
      </c>
      <c r="G4420">
        <v>-191.75630000000001</v>
      </c>
      <c r="H4420">
        <v>1.005417</v>
      </c>
      <c r="I4420">
        <v>175.60299999999901</v>
      </c>
      <c r="J4420">
        <v>-191.60820000000001</v>
      </c>
      <c r="K4420">
        <v>1.1091959999999901</v>
      </c>
      <c r="L4420">
        <v>176.3168</v>
      </c>
      <c r="M4420">
        <v>-1.559784E-2</v>
      </c>
      <c r="N4420">
        <v>-7.8923429999999996E-3</v>
      </c>
      <c r="O4420">
        <v>-0.9998475</v>
      </c>
      <c r="P4420">
        <v>-3.6796049999999997E-2</v>
      </c>
      <c r="Q4420">
        <v>0.36730210000000002</v>
      </c>
      <c r="R4420">
        <v>-0.92937389999999998</v>
      </c>
      <c r="S4420">
        <v>-0.60179139999999998</v>
      </c>
      <c r="T4420">
        <v>-0.4138116</v>
      </c>
      <c r="U4420">
        <v>-3.3687589999999998</v>
      </c>
      <c r="V4420">
        <v>2.3148439999999999E-2</v>
      </c>
      <c r="W4420">
        <v>0.3745774</v>
      </c>
      <c r="X4420">
        <v>0.92690660000000002</v>
      </c>
      <c r="Y4420">
        <v>0.1592848</v>
      </c>
      <c r="Z4420">
        <v>0.112357399999999</v>
      </c>
      <c r="AA4420">
        <v>0.98081810000000003</v>
      </c>
      <c r="AB4420">
        <v>23</v>
      </c>
      <c r="AC4420">
        <v>-0.14809999999999901</v>
      </c>
      <c r="AD4420">
        <v>-0.103778999999999</v>
      </c>
      <c r="AE4420">
        <v>-0.71380000000001997</v>
      </c>
      <c r="AF4420">
        <v>0.134227683634254</v>
      </c>
      <c r="AG4420">
        <v>-0.103778999999999</v>
      </c>
      <c r="AH4420">
        <v>0.70180079167294496</v>
      </c>
      <c r="AI4420">
        <v>98.2640000176808</v>
      </c>
      <c r="AJ4420">
        <v>79.172272141355293</v>
      </c>
      <c r="AK4420">
        <v>0.72201904620833202</v>
      </c>
      <c r="AL4420">
        <v>68.001803130219798</v>
      </c>
      <c r="AM4420">
        <v>88.569400324989601</v>
      </c>
      <c r="AN4420">
        <v>0.99999996199437602</v>
      </c>
    </row>
    <row r="4421" spans="1:40" x14ac:dyDescent="0.25">
      <c r="A4421" t="str">
        <f>"20190304164216097"</f>
        <v>20190304164216097</v>
      </c>
      <c r="B4421" t="str">
        <f>"1551688936085650"</f>
        <v>1551688936085650</v>
      </c>
      <c r="C4421" t="s">
        <v>40</v>
      </c>
      <c r="D4421">
        <v>4.3685419999999997</v>
      </c>
      <c r="E4421">
        <v>0.56724759999999996</v>
      </c>
      <c r="F4421" t="s">
        <v>41</v>
      </c>
      <c r="G4421">
        <v>-191.73759999999999</v>
      </c>
      <c r="H4421">
        <v>1.020141</v>
      </c>
      <c r="I4421">
        <v>175.59610000000001</v>
      </c>
      <c r="J4421">
        <v>-191.61170000000001</v>
      </c>
      <c r="K4421">
        <v>1.1092109999999999</v>
      </c>
      <c r="L4421">
        <v>176.16489999999999</v>
      </c>
      <c r="M4421">
        <v>-1.6576469999999999E-2</v>
      </c>
      <c r="N4421">
        <v>-7.8598829999999998E-3</v>
      </c>
      <c r="O4421">
        <v>-0.9998321</v>
      </c>
      <c r="P4421">
        <v>-3.750962E-2</v>
      </c>
      <c r="Q4421">
        <v>0.36673879999999998</v>
      </c>
      <c r="R4421">
        <v>-0.9295679</v>
      </c>
      <c r="S4421">
        <v>-0.60452269999999997</v>
      </c>
      <c r="T4421">
        <v>-0.41625630000000002</v>
      </c>
      <c r="U4421">
        <v>-3.3685610000000001</v>
      </c>
      <c r="V4421">
        <v>2.2923760000000001E-2</v>
      </c>
      <c r="W4421">
        <v>0.37398759999999998</v>
      </c>
      <c r="X4421">
        <v>0.92715040000000004</v>
      </c>
      <c r="Y4421">
        <v>0.15908459999999999</v>
      </c>
      <c r="Z4421">
        <v>0.1130882</v>
      </c>
      <c r="AA4421">
        <v>0.98076660000000004</v>
      </c>
      <c r="AB4421">
        <v>23</v>
      </c>
      <c r="AC4421">
        <v>-0.12589999999997301</v>
      </c>
      <c r="AD4421">
        <v>-8.9070000000000205E-2</v>
      </c>
      <c r="AE4421">
        <v>-0.56879999999998099</v>
      </c>
      <c r="AF4421">
        <v>0.113793669625208</v>
      </c>
      <c r="AG4421">
        <v>-8.9070000000000205E-2</v>
      </c>
      <c r="AH4421">
        <v>0.55777041199726196</v>
      </c>
      <c r="AI4421">
        <v>98.892757454630896</v>
      </c>
      <c r="AJ4421">
        <v>78.469030804209694</v>
      </c>
      <c r="AK4421">
        <v>0.57618599136595305</v>
      </c>
      <c r="AL4421">
        <v>68.038246862192807</v>
      </c>
      <c r="AM4421">
        <v>88.583652499039303</v>
      </c>
      <c r="AN4421">
        <v>1.00000004397322</v>
      </c>
    </row>
    <row r="4422" spans="1:40" x14ac:dyDescent="0.25">
      <c r="A4422" t="str">
        <f>"20190304164216113"</f>
        <v>20190304164216113</v>
      </c>
      <c r="B4422" t="str">
        <f>"1551688936105170"</f>
        <v>1551688936105170</v>
      </c>
      <c r="C4422" t="s">
        <v>40</v>
      </c>
      <c r="D4422">
        <v>4.1762370000000004</v>
      </c>
      <c r="E4422">
        <v>0.56709719999999997</v>
      </c>
      <c r="F4422" t="s">
        <v>41</v>
      </c>
      <c r="G4422">
        <v>-191.7509</v>
      </c>
      <c r="H4422">
        <v>1.0136259999999999</v>
      </c>
      <c r="I4422">
        <v>175.39449999999999</v>
      </c>
      <c r="J4422">
        <v>-191.6156</v>
      </c>
      <c r="K4422">
        <v>1.109232</v>
      </c>
      <c r="L4422">
        <v>175.9967</v>
      </c>
      <c r="M4422">
        <v>-1.7622869999999999E-2</v>
      </c>
      <c r="N4422">
        <v>-7.821939E-3</v>
      </c>
      <c r="O4422">
        <v>-0.99981430000000004</v>
      </c>
      <c r="P4422">
        <v>-3.8492579999999998E-2</v>
      </c>
      <c r="Q4422">
        <v>0.3663247</v>
      </c>
      <c r="R4422">
        <v>-0.92969109999999999</v>
      </c>
      <c r="S4422">
        <v>-0.6074524</v>
      </c>
      <c r="T4422">
        <v>-0.41791420000000001</v>
      </c>
      <c r="U4422">
        <v>-3.3676910000000002</v>
      </c>
      <c r="V4422">
        <v>2.290116E-2</v>
      </c>
      <c r="W4422">
        <v>0.37354179999999998</v>
      </c>
      <c r="X4422">
        <v>0.9273306</v>
      </c>
      <c r="Y4422">
        <v>0.15891150000000001</v>
      </c>
      <c r="Z4422">
        <v>0.1136211</v>
      </c>
      <c r="AA4422">
        <v>0.98073310000000002</v>
      </c>
      <c r="AB4422">
        <v>23</v>
      </c>
      <c r="AC4422">
        <v>-0.1353</v>
      </c>
      <c r="AD4422">
        <v>-9.5605999999999997E-2</v>
      </c>
      <c r="AE4422">
        <v>-0.60220000000000995</v>
      </c>
      <c r="AF4422">
        <v>0.121745031486605</v>
      </c>
      <c r="AG4422">
        <v>-9.5605999999999997E-2</v>
      </c>
      <c r="AH4422">
        <v>0.59032666997077399</v>
      </c>
      <c r="AI4422">
        <v>99.012962970795598</v>
      </c>
      <c r="AJ4422">
        <v>78.347075886852394</v>
      </c>
      <c r="AK4422">
        <v>0.61028512779393296</v>
      </c>
      <c r="AL4422">
        <v>68.065783968801298</v>
      </c>
      <c r="AM4422">
        <v>88.585323118428803</v>
      </c>
      <c r="AN4422">
        <v>0.99999999058647204</v>
      </c>
    </row>
    <row r="4423" spans="1:40" x14ac:dyDescent="0.25">
      <c r="A4423" t="str">
        <f>"20190304164216127"</f>
        <v>20190304164216127</v>
      </c>
      <c r="B4423" t="str">
        <f>"1551688936115906"</f>
        <v>1551688936115906</v>
      </c>
      <c r="C4423" t="s">
        <v>40</v>
      </c>
      <c r="D4423">
        <v>4.2698830000000001</v>
      </c>
      <c r="E4423">
        <v>0.56108840000000004</v>
      </c>
      <c r="F4423" t="s">
        <v>41</v>
      </c>
      <c r="G4423">
        <v>-191.76159999999999</v>
      </c>
      <c r="H4423">
        <v>1.0091270000000001</v>
      </c>
      <c r="I4423">
        <v>175.19130000000001</v>
      </c>
      <c r="J4423">
        <v>-191.61930000000001</v>
      </c>
      <c r="K4423">
        <v>1.109254</v>
      </c>
      <c r="L4423">
        <v>175.84649999999999</v>
      </c>
      <c r="M4423">
        <v>-1.8523789999999998E-2</v>
      </c>
      <c r="N4423">
        <v>-7.786734E-3</v>
      </c>
      <c r="O4423">
        <v>-0.99979810000000002</v>
      </c>
      <c r="P4423">
        <v>-3.9179400000000003E-2</v>
      </c>
      <c r="Q4423">
        <v>0.365892</v>
      </c>
      <c r="R4423">
        <v>-0.92983229999999994</v>
      </c>
      <c r="S4423">
        <v>-0.6098633</v>
      </c>
      <c r="T4423">
        <v>-0.41848160000000001</v>
      </c>
      <c r="U4423">
        <v>-3.3665470000000002</v>
      </c>
      <c r="V4423">
        <v>2.2718370000000002E-2</v>
      </c>
      <c r="W4423">
        <v>0.37307950000000001</v>
      </c>
      <c r="X4423">
        <v>0.92752120000000005</v>
      </c>
      <c r="Y4423">
        <v>0.15875600000000001</v>
      </c>
      <c r="Z4423">
        <v>0.1138503</v>
      </c>
      <c r="AA4423">
        <v>0.98073169999999998</v>
      </c>
      <c r="AB4423">
        <v>23</v>
      </c>
      <c r="AC4423">
        <v>-0.142299999999977</v>
      </c>
      <c r="AD4423">
        <v>-0.10012699999999999</v>
      </c>
      <c r="AE4423">
        <v>-0.65519999999997902</v>
      </c>
      <c r="AF4423">
        <v>0.127299436028153</v>
      </c>
      <c r="AG4423">
        <v>-0.10012699999999999</v>
      </c>
      <c r="AH4423">
        <v>0.64337523933737095</v>
      </c>
      <c r="AI4423">
        <v>98.680205485505795</v>
      </c>
      <c r="AJ4423">
        <v>78.807909185872802</v>
      </c>
      <c r="AK4423">
        <v>0.663447255729124</v>
      </c>
      <c r="AL4423">
        <v>68.094336312086199</v>
      </c>
      <c r="AM4423">
        <v>88.596898372275106</v>
      </c>
      <c r="AN4423">
        <v>1.0000000070525701</v>
      </c>
    </row>
    <row r="4424" spans="1:40" x14ac:dyDescent="0.25">
      <c r="A4424" t="str">
        <f>"20190304164216143"</f>
        <v>20190304164216143</v>
      </c>
      <c r="B4424" t="str">
        <f>"1551688936135426"</f>
        <v>1551688936135426</v>
      </c>
      <c r="C4424" t="s">
        <v>40</v>
      </c>
      <c r="D4424">
        <v>4.1920060000000001</v>
      </c>
      <c r="E4424">
        <v>0.56129619999999902</v>
      </c>
      <c r="F4424" t="s">
        <v>41</v>
      </c>
      <c r="G4424">
        <v>-191.76589999999999</v>
      </c>
      <c r="H4424">
        <v>1.015895</v>
      </c>
      <c r="I4424">
        <v>174.9821</v>
      </c>
      <c r="J4424">
        <v>-191.6233</v>
      </c>
      <c r="K4424">
        <v>1.1092759999999999</v>
      </c>
      <c r="L4424">
        <v>175.68450000000001</v>
      </c>
      <c r="M4424">
        <v>-1.9458949999999999E-2</v>
      </c>
      <c r="N4424">
        <v>-7.7483029999999998E-3</v>
      </c>
      <c r="O4424">
        <v>-0.99978080000000003</v>
      </c>
      <c r="P4424">
        <v>-4.0053360000000003E-2</v>
      </c>
      <c r="Q4424">
        <v>0.36519449999999998</v>
      </c>
      <c r="R4424">
        <v>-0.93006929999999999</v>
      </c>
      <c r="S4424">
        <v>-0.56646730000000001</v>
      </c>
      <c r="T4424">
        <v>-0.36123369999999999</v>
      </c>
      <c r="U4424">
        <v>-3.3446660000000001</v>
      </c>
      <c r="V4424">
        <v>2.2684840000000001E-2</v>
      </c>
      <c r="W4424">
        <v>0.37235069999999998</v>
      </c>
      <c r="X4424">
        <v>0.92781480000000005</v>
      </c>
      <c r="Y4424">
        <v>0.146895</v>
      </c>
      <c r="Z4424">
        <v>9.8325360000000001E-2</v>
      </c>
      <c r="AA4424">
        <v>0.98425300000000004</v>
      </c>
      <c r="AB4424">
        <v>23</v>
      </c>
      <c r="AC4424">
        <v>-0.14259999999998699</v>
      </c>
      <c r="AD4424">
        <v>-9.3380999999999895E-2</v>
      </c>
      <c r="AE4424">
        <v>-0.70240000000001102</v>
      </c>
      <c r="AF4424">
        <v>0.1267530048927</v>
      </c>
      <c r="AG4424">
        <v>-9.3380999999999895E-2</v>
      </c>
      <c r="AH4424">
        <v>0.69327368016387303</v>
      </c>
      <c r="AI4424">
        <v>97.5476891916596</v>
      </c>
      <c r="AJ4424">
        <v>79.6389035764591</v>
      </c>
      <c r="AK4424">
        <v>0.71092526401745604</v>
      </c>
      <c r="AL4424">
        <v>68.139335134559005</v>
      </c>
      <c r="AM4424">
        <v>88.599411550642102</v>
      </c>
      <c r="AN4424">
        <v>0.99999997442767696</v>
      </c>
    </row>
    <row r="4425" spans="1:40" x14ac:dyDescent="0.25">
      <c r="A4425" t="str">
        <f>"20190304164216157"</f>
        <v>20190304164216157</v>
      </c>
      <c r="B4425" t="str">
        <f>"1551688936145187"</f>
        <v>1551688936145187</v>
      </c>
      <c r="C4425" t="s">
        <v>40</v>
      </c>
      <c r="D4425">
        <v>4.2492400000000004</v>
      </c>
      <c r="E4425">
        <v>0.56182739999999998</v>
      </c>
      <c r="F4425" t="s">
        <v>41</v>
      </c>
      <c r="G4425">
        <v>-191.77879999999999</v>
      </c>
      <c r="H4425">
        <v>1.011997</v>
      </c>
      <c r="I4425">
        <v>174.7773</v>
      </c>
      <c r="J4425">
        <v>-191.62719999999999</v>
      </c>
      <c r="K4425">
        <v>1.109302</v>
      </c>
      <c r="L4425">
        <v>175.53110000000001</v>
      </c>
      <c r="M4425">
        <v>-2.0297880000000001E-2</v>
      </c>
      <c r="N4425">
        <v>-7.7142340000000004E-3</v>
      </c>
      <c r="O4425">
        <v>-0.99976419999999999</v>
      </c>
      <c r="P4425">
        <v>-4.1047779999999999E-2</v>
      </c>
      <c r="Q4425">
        <v>0.36480240000000003</v>
      </c>
      <c r="R4425">
        <v>-0.93017989999999995</v>
      </c>
      <c r="S4425">
        <v>-0.5723724</v>
      </c>
      <c r="T4425">
        <v>-0.35838019999999998</v>
      </c>
      <c r="U4425">
        <v>-3.3416290000000002</v>
      </c>
      <c r="V4425">
        <v>2.2865670000000001E-2</v>
      </c>
      <c r="W4425">
        <v>0.37192940000000002</v>
      </c>
      <c r="X4425">
        <v>0.92797940000000001</v>
      </c>
      <c r="Y4425">
        <v>0.14791489999999999</v>
      </c>
      <c r="Z4425">
        <v>9.7598370000000004E-2</v>
      </c>
      <c r="AA4425">
        <v>0.98417259999999995</v>
      </c>
      <c r="AB4425">
        <v>23</v>
      </c>
      <c r="AC4425">
        <v>-0.15160000000000101</v>
      </c>
      <c r="AD4425">
        <v>-9.7304999999999905E-2</v>
      </c>
      <c r="AE4425">
        <v>-0.75380000000001202</v>
      </c>
      <c r="AF4425">
        <v>0.13411978407441499</v>
      </c>
      <c r="AG4425">
        <v>-9.7304999999999905E-2</v>
      </c>
      <c r="AH4425">
        <v>0.74479376236635297</v>
      </c>
      <c r="AI4425">
        <v>97.326821699527201</v>
      </c>
      <c r="AJ4425">
        <v>79.791785970745394</v>
      </c>
      <c r="AK4425">
        <v>0.76300336038905903</v>
      </c>
      <c r="AL4425">
        <v>68.16534328422</v>
      </c>
      <c r="AM4425">
        <v>88.588501703247204</v>
      </c>
      <c r="AN4425">
        <v>1.00000004213663</v>
      </c>
    </row>
    <row r="4426" spans="1:40" x14ac:dyDescent="0.25">
      <c r="A4426" t="str">
        <f>"20190304164216171"</f>
        <v>20190304164216171</v>
      </c>
      <c r="B4426" t="str">
        <f>"1551688936165682"</f>
        <v>1551688936165682</v>
      </c>
      <c r="C4426" t="s">
        <v>40</v>
      </c>
      <c r="D4426">
        <v>4.2571640000000004</v>
      </c>
      <c r="E4426">
        <v>0.56184480000000003</v>
      </c>
      <c r="F4426" t="s">
        <v>41</v>
      </c>
      <c r="G4426">
        <v>-191.7594</v>
      </c>
      <c r="H4426">
        <v>1.0267900000000001</v>
      </c>
      <c r="I4426">
        <v>174.77010000000001</v>
      </c>
      <c r="J4426">
        <v>-191.631</v>
      </c>
      <c r="K4426">
        <v>1.109324</v>
      </c>
      <c r="L4426">
        <v>175.38910000000001</v>
      </c>
      <c r="M4426">
        <v>-2.104528E-2</v>
      </c>
      <c r="N4426">
        <v>-7.6831319999999996E-3</v>
      </c>
      <c r="O4426">
        <v>-0.99974929999999995</v>
      </c>
      <c r="P4426">
        <v>-4.214267E-2</v>
      </c>
      <c r="Q4426">
        <v>0.36440669999999997</v>
      </c>
      <c r="R4426">
        <v>-0.9302861</v>
      </c>
      <c r="S4426">
        <v>-0.57995609999999997</v>
      </c>
      <c r="T4426">
        <v>-0.3623981</v>
      </c>
      <c r="U4426">
        <v>-3.341736</v>
      </c>
      <c r="V4426">
        <v>2.3235519999999999E-2</v>
      </c>
      <c r="W4426">
        <v>0.37150670000000002</v>
      </c>
      <c r="X4426">
        <v>0.92813950000000001</v>
      </c>
      <c r="Y4426">
        <v>0.1493187</v>
      </c>
      <c r="Z4426">
        <v>9.8760340000000002E-2</v>
      </c>
      <c r="AA4426">
        <v>0.98384470000000002</v>
      </c>
      <c r="AB4426">
        <v>23</v>
      </c>
      <c r="AC4426">
        <v>-0.12840000000002699</v>
      </c>
      <c r="AD4426">
        <v>-8.2534000000000093E-2</v>
      </c>
      <c r="AE4426">
        <v>-0.618999999999999</v>
      </c>
      <c r="AF4426">
        <v>0.113411096990992</v>
      </c>
      <c r="AG4426">
        <v>-8.2534000000000093E-2</v>
      </c>
      <c r="AH4426">
        <v>0.61114836814571305</v>
      </c>
      <c r="AI4426">
        <v>97.563520058108693</v>
      </c>
      <c r="AJ4426">
        <v>79.487180562059294</v>
      </c>
      <c r="AK4426">
        <v>0.62703769102332996</v>
      </c>
      <c r="AL4426">
        <v>68.191431141751707</v>
      </c>
      <c r="AM4426">
        <v>88.565927626790398</v>
      </c>
      <c r="AN4426">
        <v>1.0000000244974001</v>
      </c>
    </row>
    <row r="4427" spans="1:40" x14ac:dyDescent="0.25">
      <c r="A4427" t="str">
        <f>"20190304164216185"</f>
        <v>20190304164216185</v>
      </c>
      <c r="B4427" t="str">
        <f>"1551688936175442"</f>
        <v>1551688936175442</v>
      </c>
      <c r="C4427" t="s">
        <v>40</v>
      </c>
      <c r="D4427">
        <v>4.2723209999999998</v>
      </c>
      <c r="E4427">
        <v>0.56194519999999903</v>
      </c>
      <c r="F4427" t="s">
        <v>41</v>
      </c>
      <c r="G4427">
        <v>-191.7747</v>
      </c>
      <c r="H4427">
        <v>1.018027</v>
      </c>
      <c r="I4427">
        <v>174.56710000000001</v>
      </c>
      <c r="J4427">
        <v>-191.63470000000001</v>
      </c>
      <c r="K4427">
        <v>1.1093519999999999</v>
      </c>
      <c r="L4427">
        <v>175.24760000000001</v>
      </c>
      <c r="M4427">
        <v>-2.1766580000000001E-2</v>
      </c>
      <c r="N4427">
        <v>-7.6523800000000003E-3</v>
      </c>
      <c r="O4427">
        <v>-0.99973389999999995</v>
      </c>
      <c r="P4427">
        <v>-4.304616E-2</v>
      </c>
      <c r="Q4427">
        <v>0.36379860000000003</v>
      </c>
      <c r="R4427">
        <v>-0.93048240000000004</v>
      </c>
      <c r="S4427">
        <v>-0.58404540000000005</v>
      </c>
      <c r="T4427">
        <v>-0.37144909999999998</v>
      </c>
      <c r="U4427">
        <v>-3.3438720000000002</v>
      </c>
      <c r="V4427">
        <v>2.3436499999999999E-2</v>
      </c>
      <c r="W4427">
        <v>0.37087300000000001</v>
      </c>
      <c r="X4427">
        <v>0.92838779999999999</v>
      </c>
      <c r="Y4427">
        <v>0.14962139999999999</v>
      </c>
      <c r="Z4427">
        <v>0.1013351</v>
      </c>
      <c r="AA4427">
        <v>0.98353679999999999</v>
      </c>
      <c r="AB4427">
        <v>23</v>
      </c>
      <c r="AC4427">
        <v>-0.139999999999986</v>
      </c>
      <c r="AD4427">
        <v>-9.1325000000000101E-2</v>
      </c>
      <c r="AE4427">
        <v>-0.680499999999994</v>
      </c>
      <c r="AF4427">
        <v>0.123028425265219</v>
      </c>
      <c r="AG4427">
        <v>-9.1325000000000101E-2</v>
      </c>
      <c r="AH4427">
        <v>0.67177848334859702</v>
      </c>
      <c r="AI4427">
        <v>97.616472894088801</v>
      </c>
      <c r="AJ4427">
        <v>79.621949159792706</v>
      </c>
      <c r="AK4427">
        <v>0.68903017331491401</v>
      </c>
      <c r="AL4427">
        <v>68.230532002552707</v>
      </c>
      <c r="AM4427">
        <v>88.553915294051095</v>
      </c>
      <c r="AN4427">
        <v>0.99999997942504404</v>
      </c>
    </row>
    <row r="4428" spans="1:40" x14ac:dyDescent="0.25">
      <c r="A4428" t="str">
        <f>"20190304164216199"</f>
        <v>20190304164216199</v>
      </c>
      <c r="B4428" t="str">
        <f>"1551688936195938"</f>
        <v>1551688936195938</v>
      </c>
      <c r="C4428" t="s">
        <v>40</v>
      </c>
      <c r="D4428">
        <v>4.260554</v>
      </c>
      <c r="E4428">
        <v>0.56197519999999901</v>
      </c>
      <c r="F4428" t="s">
        <v>41</v>
      </c>
      <c r="G4428">
        <v>-191.79060000000001</v>
      </c>
      <c r="H4428">
        <v>1.010176</v>
      </c>
      <c r="I4428">
        <v>174.3629</v>
      </c>
      <c r="J4428">
        <v>-191.63900000000001</v>
      </c>
      <c r="K4428">
        <v>1.109378</v>
      </c>
      <c r="L4428">
        <v>175.0891</v>
      </c>
      <c r="M4428">
        <v>-2.2534269999999999E-2</v>
      </c>
      <c r="N4428">
        <v>-7.6181299999999999E-3</v>
      </c>
      <c r="O4428">
        <v>-0.99971710000000003</v>
      </c>
      <c r="P4428">
        <v>-4.4037989999999999E-2</v>
      </c>
      <c r="Q4428">
        <v>0.36369509999999999</v>
      </c>
      <c r="R4428">
        <v>-0.93047690000000005</v>
      </c>
      <c r="S4428">
        <v>-0.58906559999999997</v>
      </c>
      <c r="T4428">
        <v>-0.3748243</v>
      </c>
      <c r="U4428">
        <v>-3.3434300000000001</v>
      </c>
      <c r="V4428">
        <v>2.368489E-2</v>
      </c>
      <c r="W4428">
        <v>0.37073980000000001</v>
      </c>
      <c r="X4428">
        <v>0.92843469999999995</v>
      </c>
      <c r="Y4428">
        <v>0.1502986</v>
      </c>
      <c r="Z4428">
        <v>0.10234</v>
      </c>
      <c r="AA4428">
        <v>0.98332949999999997</v>
      </c>
      <c r="AB4428">
        <v>23</v>
      </c>
      <c r="AC4428">
        <v>-0.15160000000000101</v>
      </c>
      <c r="AD4428">
        <v>-9.9201999999999999E-2</v>
      </c>
      <c r="AE4428">
        <v>-0.72620000000000495</v>
      </c>
      <c r="AF4428">
        <v>0.132821598827223</v>
      </c>
      <c r="AG4428">
        <v>-9.9201999999999999E-2</v>
      </c>
      <c r="AH4428">
        <v>0.71661771825151999</v>
      </c>
      <c r="AI4428">
        <v>97.751048428637802</v>
      </c>
      <c r="AJ4428">
        <v>79.499663341586398</v>
      </c>
      <c r="AK4428">
        <v>0.735543042949245</v>
      </c>
      <c r="AL4428">
        <v>68.238749709819402</v>
      </c>
      <c r="AM4428">
        <v>88.538669475516102</v>
      </c>
      <c r="AN4428">
        <v>0.99999998274122004</v>
      </c>
    </row>
    <row r="4429" spans="1:40" x14ac:dyDescent="0.25">
      <c r="A4429" t="str">
        <f>"20190304164216211"</f>
        <v>20190304164216211</v>
      </c>
      <c r="B4429" t="str">
        <f>"1551688936205699"</f>
        <v>1551688936205699</v>
      </c>
      <c r="C4429" t="s">
        <v>40</v>
      </c>
      <c r="D4429">
        <v>4.2041019999999998</v>
      </c>
      <c r="E4429">
        <v>0.56191269999999904</v>
      </c>
      <c r="F4429" t="s">
        <v>41</v>
      </c>
      <c r="G4429">
        <v>-191.76949999999999</v>
      </c>
      <c r="H4429">
        <v>1.027037</v>
      </c>
      <c r="I4429">
        <v>174.35470000000001</v>
      </c>
      <c r="J4429">
        <v>-191.64230000000001</v>
      </c>
      <c r="K4429">
        <v>1.1093959999999901</v>
      </c>
      <c r="L4429">
        <v>174.97290000000001</v>
      </c>
      <c r="M4429">
        <v>-2.3066650000000001E-2</v>
      </c>
      <c r="N4429">
        <v>-7.5921230000000001E-3</v>
      </c>
      <c r="O4429">
        <v>-0.99970510000000001</v>
      </c>
      <c r="P4429">
        <v>-4.4460960000000001E-2</v>
      </c>
      <c r="Q4429">
        <v>0.36365690000000001</v>
      </c>
      <c r="R4429">
        <v>-0.93047150000000001</v>
      </c>
      <c r="S4429">
        <v>-0.59387209999999901</v>
      </c>
      <c r="T4429">
        <v>-0.37476280000000001</v>
      </c>
      <c r="U4429">
        <v>-3.3425289999999999</v>
      </c>
      <c r="V4429">
        <v>2.3591979999999999E-2</v>
      </c>
      <c r="W4429">
        <v>0.37067860000000002</v>
      </c>
      <c r="X4429">
        <v>0.92846150000000005</v>
      </c>
      <c r="Y4429">
        <v>0.15118809999999999</v>
      </c>
      <c r="Z4429">
        <v>0.10235420000000001</v>
      </c>
      <c r="AA4429">
        <v>0.98319160000000005</v>
      </c>
      <c r="AB4429">
        <v>23</v>
      </c>
      <c r="AC4429">
        <v>-0.12719999999998699</v>
      </c>
      <c r="AD4429">
        <v>-8.2358999999999793E-2</v>
      </c>
      <c r="AE4429">
        <v>-0.61820000000000097</v>
      </c>
      <c r="AF4429">
        <v>0.11101559891240401</v>
      </c>
      <c r="AG4429">
        <v>-8.2358999999999793E-2</v>
      </c>
      <c r="AH4429">
        <v>0.61057301071883996</v>
      </c>
      <c r="AI4429">
        <v>97.559673850382296</v>
      </c>
      <c r="AJ4429">
        <v>79.694942405891794</v>
      </c>
      <c r="AK4429">
        <v>0.626024655665533</v>
      </c>
      <c r="AL4429">
        <v>68.242525192166397</v>
      </c>
      <c r="AM4429">
        <v>88.544441442561904</v>
      </c>
      <c r="AN4429">
        <v>0.99999998150026503</v>
      </c>
    </row>
    <row r="4430" spans="1:40" x14ac:dyDescent="0.25">
      <c r="A4430" t="str">
        <f>"20190304164216223"</f>
        <v>20190304164216223</v>
      </c>
      <c r="B4430" t="str">
        <f>"1551688936215459"</f>
        <v>1551688936215459</v>
      </c>
      <c r="C4430" t="s">
        <v>40</v>
      </c>
      <c r="D4430">
        <v>4.2180169999999997</v>
      </c>
      <c r="E4430">
        <v>0.56187849999999995</v>
      </c>
      <c r="F4430" t="s">
        <v>41</v>
      </c>
      <c r="G4430">
        <v>-191.78899999999999</v>
      </c>
      <c r="H4430">
        <v>1.0173680000000001</v>
      </c>
      <c r="I4430">
        <v>174.1507</v>
      </c>
      <c r="J4430">
        <v>-191.6456</v>
      </c>
      <c r="K4430">
        <v>1.109415</v>
      </c>
      <c r="L4430">
        <v>174.85210000000001</v>
      </c>
      <c r="M4430">
        <v>-2.3610949999999999E-2</v>
      </c>
      <c r="N4430">
        <v>-7.56499199999999E-3</v>
      </c>
      <c r="O4430">
        <v>-0.9996929</v>
      </c>
      <c r="P4430">
        <v>-4.5121460000000002E-2</v>
      </c>
      <c r="Q4430">
        <v>0.36354350000000002</v>
      </c>
      <c r="R4430">
        <v>-0.93048419999999998</v>
      </c>
      <c r="S4430">
        <v>-0.59564209999999995</v>
      </c>
      <c r="T4430">
        <v>-0.3740908</v>
      </c>
      <c r="U4430">
        <v>-3.341904</v>
      </c>
      <c r="V4430">
        <v>2.3724229999999999E-2</v>
      </c>
      <c r="W4430">
        <v>0.37054130000000002</v>
      </c>
      <c r="X4430">
        <v>0.92851289999999997</v>
      </c>
      <c r="Y4430">
        <v>0.15118960000000001</v>
      </c>
      <c r="Z4430">
        <v>0.1021997</v>
      </c>
      <c r="AA4430">
        <v>0.98320750000000001</v>
      </c>
      <c r="AB4430">
        <v>23</v>
      </c>
      <c r="AC4430">
        <v>-0.14340000000001299</v>
      </c>
      <c r="AD4430">
        <v>-9.2047000000000004E-2</v>
      </c>
      <c r="AE4430">
        <v>-0.70140000000000602</v>
      </c>
      <c r="AF4430">
        <v>0.124736785893791</v>
      </c>
      <c r="AG4430">
        <v>-9.2047000000000004E-2</v>
      </c>
      <c r="AH4430">
        <v>0.69313207147952804</v>
      </c>
      <c r="AI4430">
        <v>97.446298345455304</v>
      </c>
      <c r="AJ4430">
        <v>79.798187084168603</v>
      </c>
      <c r="AK4430">
        <v>0.71025628084348202</v>
      </c>
      <c r="AL4430">
        <v>68.250994328519496</v>
      </c>
      <c r="AM4430">
        <v>88.536366522759195</v>
      </c>
      <c r="AN4430">
        <v>0.99999994978059503</v>
      </c>
    </row>
    <row r="4431" spans="1:40" x14ac:dyDescent="0.25">
      <c r="A4431" t="str">
        <f>"20190304164216234"</f>
        <v>20190304164216234</v>
      </c>
      <c r="B4431" t="str">
        <f>"1551688936225218"</f>
        <v>1551688936225218</v>
      </c>
      <c r="C4431" t="s">
        <v>40</v>
      </c>
      <c r="D4431">
        <v>4.2586170000000001</v>
      </c>
      <c r="E4431">
        <v>0.56186320000000001</v>
      </c>
      <c r="F4431" t="s">
        <v>41</v>
      </c>
      <c r="G4431">
        <v>-191.80779999999999</v>
      </c>
      <c r="H4431">
        <v>1.007911</v>
      </c>
      <c r="I4431">
        <v>173.94579999999999</v>
      </c>
      <c r="J4431">
        <v>-191.6489</v>
      </c>
      <c r="K4431">
        <v>1.1094299999999999</v>
      </c>
      <c r="L4431">
        <v>174.7364</v>
      </c>
      <c r="M4431">
        <v>-2.4100759999999999E-2</v>
      </c>
      <c r="N4431">
        <v>-7.53914199999999E-3</v>
      </c>
      <c r="O4431">
        <v>-0.99968129999999999</v>
      </c>
      <c r="P4431">
        <v>-4.5951369999999998E-2</v>
      </c>
      <c r="Q4431">
        <v>0.36365199999999998</v>
      </c>
      <c r="R4431">
        <v>-0.93040100000000003</v>
      </c>
      <c r="S4431">
        <v>-0.59783940000000002</v>
      </c>
      <c r="T4431">
        <v>-0.374274</v>
      </c>
      <c r="U4431">
        <v>-3.3413539999999999</v>
      </c>
      <c r="V4431">
        <v>2.4080290000000001E-2</v>
      </c>
      <c r="W4431">
        <v>0.37062640000000002</v>
      </c>
      <c r="X4431">
        <v>0.92846980000000001</v>
      </c>
      <c r="Y4431">
        <v>0.151358399999999</v>
      </c>
      <c r="Z4431">
        <v>0.1022869</v>
      </c>
      <c r="AA4431">
        <v>0.98317239999999995</v>
      </c>
      <c r="AB4431">
        <v>23</v>
      </c>
      <c r="AC4431">
        <v>-0.158899999999988</v>
      </c>
      <c r="AD4431">
        <v>-0.101518999999999</v>
      </c>
      <c r="AE4431">
        <v>-0.79060000000001196</v>
      </c>
      <c r="AF4431">
        <v>0.13761822950786001</v>
      </c>
      <c r="AG4431">
        <v>-0.101518999999999</v>
      </c>
      <c r="AH4431">
        <v>0.78180971334037896</v>
      </c>
      <c r="AI4431">
        <v>97.287721938831993</v>
      </c>
      <c r="AJ4431">
        <v>80.016768940935805</v>
      </c>
      <c r="AK4431">
        <v>0.800294515992233</v>
      </c>
      <c r="AL4431">
        <v>68.245745348022197</v>
      </c>
      <c r="AM4431">
        <v>88.514340734992899</v>
      </c>
      <c r="AN4431">
        <v>0.99999997912774097</v>
      </c>
    </row>
    <row r="4432" spans="1:40" x14ac:dyDescent="0.25">
      <c r="A4432" t="str">
        <f>"20190304164216245"</f>
        <v>20190304164216245</v>
      </c>
      <c r="B4432" t="str">
        <f>"1551688936235955"</f>
        <v>1551688936235955</v>
      </c>
      <c r="C4432" t="s">
        <v>40</v>
      </c>
      <c r="D4432">
        <v>4.2442710000000003</v>
      </c>
      <c r="E4432">
        <v>0.56181559999999997</v>
      </c>
      <c r="F4432" t="s">
        <v>41</v>
      </c>
      <c r="G4432">
        <v>-191.79220000000001</v>
      </c>
      <c r="H4432">
        <v>1.0202929999999999</v>
      </c>
      <c r="I4432">
        <v>173.93979999999999</v>
      </c>
      <c r="J4432">
        <v>-191.6525</v>
      </c>
      <c r="K4432">
        <v>1.1094409999999999</v>
      </c>
      <c r="L4432">
        <v>174.6122</v>
      </c>
      <c r="M4432">
        <v>-2.4615740000000001E-2</v>
      </c>
      <c r="N4432">
        <v>-7.512108E-3</v>
      </c>
      <c r="O4432">
        <v>-0.99966880000000002</v>
      </c>
      <c r="P4432">
        <v>-4.6567499999999998E-2</v>
      </c>
      <c r="Q4432">
        <v>0.363506</v>
      </c>
      <c r="R4432">
        <v>-0.93042740000000002</v>
      </c>
      <c r="S4432">
        <v>-0.60070800000000002</v>
      </c>
      <c r="T4432">
        <v>-0.37387589999999998</v>
      </c>
      <c r="U4432">
        <v>-3.3408809999999902</v>
      </c>
      <c r="V4432">
        <v>2.4195230000000002E-2</v>
      </c>
      <c r="W4432">
        <v>0.37045670000000003</v>
      </c>
      <c r="X4432">
        <v>0.92853459999999999</v>
      </c>
      <c r="Y4432">
        <v>0.15169299999999999</v>
      </c>
      <c r="Z4432">
        <v>0.10220070000000001</v>
      </c>
      <c r="AA4432">
        <v>0.98312980000000005</v>
      </c>
      <c r="AB4432">
        <v>23</v>
      </c>
      <c r="AC4432">
        <v>-0.13970000000000399</v>
      </c>
      <c r="AD4432">
        <v>-8.91479999999997E-2</v>
      </c>
      <c r="AE4432">
        <v>-0.67240000000000999</v>
      </c>
      <c r="AF4432">
        <v>0.121065553280401</v>
      </c>
      <c r="AG4432">
        <v>-8.91479999999997E-2</v>
      </c>
      <c r="AH4432">
        <v>0.66443898358127795</v>
      </c>
      <c r="AI4432">
        <v>97.519407439489896</v>
      </c>
      <c r="AJ4432">
        <v>79.6735802864048</v>
      </c>
      <c r="AK4432">
        <v>0.68123666739071798</v>
      </c>
      <c r="AL4432">
        <v>68.256214997462493</v>
      </c>
      <c r="AM4432">
        <v>88.507356717389598</v>
      </c>
      <c r="AN4432">
        <v>1.0000000395633999</v>
      </c>
    </row>
    <row r="4433" spans="1:40" x14ac:dyDescent="0.25">
      <c r="A4433" t="str">
        <f>"20190304164216258"</f>
        <v>20190304164216258</v>
      </c>
      <c r="B4433" t="str">
        <f>"1551688936245715"</f>
        <v>1551688936245715</v>
      </c>
      <c r="C4433" t="s">
        <v>40</v>
      </c>
      <c r="D4433">
        <v>4.3008810000000004</v>
      </c>
      <c r="E4433">
        <v>0.56177769999999905</v>
      </c>
      <c r="F4433" t="s">
        <v>41</v>
      </c>
      <c r="G4433">
        <v>-191.8109</v>
      </c>
      <c r="H4433">
        <v>1.0109349999999999</v>
      </c>
      <c r="I4433">
        <v>173.73429999999999</v>
      </c>
      <c r="J4433">
        <v>-191.65620000000001</v>
      </c>
      <c r="K4433">
        <v>1.1094569999999999</v>
      </c>
      <c r="L4433">
        <v>174.48310000000001</v>
      </c>
      <c r="M4433">
        <v>-2.5128950000000001E-2</v>
      </c>
      <c r="N4433">
        <v>-7.4854279999999997E-3</v>
      </c>
      <c r="O4433">
        <v>-0.9996564</v>
      </c>
      <c r="P4433">
        <v>-4.6973939999999999E-2</v>
      </c>
      <c r="Q4433">
        <v>0.36339159999999998</v>
      </c>
      <c r="R4433">
        <v>-0.93045180000000005</v>
      </c>
      <c r="S4433">
        <v>-0.60246279999999997</v>
      </c>
      <c r="T4433">
        <v>-0.37486829999999999</v>
      </c>
      <c r="U4433">
        <v>-3.3406220000000002</v>
      </c>
      <c r="V4433">
        <v>2.4102459999999999E-2</v>
      </c>
      <c r="W4433">
        <v>0.37031900000000001</v>
      </c>
      <c r="X4433">
        <v>0.92859190000000003</v>
      </c>
      <c r="Y4433">
        <v>0.15169349999999901</v>
      </c>
      <c r="Z4433">
        <v>0.1025165</v>
      </c>
      <c r="AA4433">
        <v>0.98309679999999999</v>
      </c>
      <c r="AB4433">
        <v>23</v>
      </c>
      <c r="AC4433">
        <v>-0.15469999999999101</v>
      </c>
      <c r="AD4433">
        <v>-9.8521999999999693E-2</v>
      </c>
      <c r="AE4433">
        <v>-0.74880000000001701</v>
      </c>
      <c r="AF4433">
        <v>0.133615663565298</v>
      </c>
      <c r="AG4433">
        <v>-9.8521999999999693E-2</v>
      </c>
      <c r="AH4433">
        <v>0.74016228056965505</v>
      </c>
      <c r="AI4433">
        <v>97.462762352436997</v>
      </c>
      <c r="AJ4433">
        <v>79.767052517430699</v>
      </c>
      <c r="AK4433">
        <v>0.75855120566252399</v>
      </c>
      <c r="AL4433">
        <v>68.264707900809597</v>
      </c>
      <c r="AM4433">
        <v>88.513168987424393</v>
      </c>
      <c r="AN4433">
        <v>1.00000000354233</v>
      </c>
    </row>
    <row r="4434" spans="1:40" x14ac:dyDescent="0.25">
      <c r="A4434" t="str">
        <f>"20190304164216270"</f>
        <v>20190304164216270</v>
      </c>
      <c r="B4434" t="str">
        <f>"1551688936265234"</f>
        <v>1551688936265234</v>
      </c>
      <c r="C4434" t="s">
        <v>40</v>
      </c>
      <c r="D4434">
        <v>4.2878970000000001</v>
      </c>
      <c r="E4434">
        <v>0.56173439999999997</v>
      </c>
      <c r="F4434" t="s">
        <v>41</v>
      </c>
      <c r="G4434">
        <v>-191.7929</v>
      </c>
      <c r="H4434">
        <v>1.02433</v>
      </c>
      <c r="I4434">
        <v>173.7277</v>
      </c>
      <c r="J4434">
        <v>-191.65969999999999</v>
      </c>
      <c r="K4434">
        <v>1.1094710000000001</v>
      </c>
      <c r="L4434">
        <v>174.36349999999999</v>
      </c>
      <c r="M4434">
        <v>-2.5586169999999998E-2</v>
      </c>
      <c r="N4434">
        <v>-7.4626110000000001E-3</v>
      </c>
      <c r="O4434">
        <v>-0.99964489999999995</v>
      </c>
      <c r="P4434">
        <v>-4.7697660000000003E-2</v>
      </c>
      <c r="Q4434">
        <v>0.36339369999999999</v>
      </c>
      <c r="R4434">
        <v>-0.93041399999999996</v>
      </c>
      <c r="S4434">
        <v>-0.60398859999999999</v>
      </c>
      <c r="T4434">
        <v>-0.37650410000000001</v>
      </c>
      <c r="U4434">
        <v>-3.3408359999999999</v>
      </c>
      <c r="V4434">
        <v>2.4383780000000001E-2</v>
      </c>
      <c r="W4434">
        <v>0.37030079999999999</v>
      </c>
      <c r="X4434">
        <v>0.92859179999999997</v>
      </c>
      <c r="Y4434">
        <v>0.1516564</v>
      </c>
      <c r="Z4434">
        <v>0.10300090000000001</v>
      </c>
      <c r="AA4434">
        <v>0.98305200000000004</v>
      </c>
      <c r="AB4434">
        <v>23</v>
      </c>
      <c r="AC4434">
        <v>-0.133200000000016</v>
      </c>
      <c r="AD4434">
        <v>-8.5140999999999897E-2</v>
      </c>
      <c r="AE4434">
        <v>-0.63579999999998904</v>
      </c>
      <c r="AF4434">
        <v>0.114914215461815</v>
      </c>
      <c r="AG4434">
        <v>-8.5140999999999897E-2</v>
      </c>
      <c r="AH4434">
        <v>0.62820842398833299</v>
      </c>
      <c r="AI4434">
        <v>97.593765270905394</v>
      </c>
      <c r="AJ4434">
        <v>79.633850340268793</v>
      </c>
      <c r="AK4434">
        <v>0.64428261715345803</v>
      </c>
      <c r="AL4434">
        <v>68.265830207071005</v>
      </c>
      <c r="AM4434">
        <v>88.495822702015104</v>
      </c>
      <c r="AN4434">
        <v>0.99999999111748406</v>
      </c>
    </row>
    <row r="4435" spans="1:40" x14ac:dyDescent="0.25">
      <c r="A4435" t="str">
        <f>"20190304164216281"</f>
        <v>20190304164216281</v>
      </c>
      <c r="B4435" t="str">
        <f>"1551688936275971"</f>
        <v>1551688936275971</v>
      </c>
      <c r="C4435" t="s">
        <v>40</v>
      </c>
      <c r="D4435">
        <v>4.3080100000000003</v>
      </c>
      <c r="E4435">
        <v>0.56168509999999905</v>
      </c>
      <c r="F4435" t="s">
        <v>41</v>
      </c>
      <c r="G4435">
        <v>-191.8124</v>
      </c>
      <c r="H4435">
        <v>1.014391</v>
      </c>
      <c r="I4435">
        <v>173.52180000000001</v>
      </c>
      <c r="J4435">
        <v>-191.6636</v>
      </c>
      <c r="K4435">
        <v>1.1094900000000001</v>
      </c>
      <c r="L4435">
        <v>174.23500000000001</v>
      </c>
      <c r="M4435">
        <v>-2.6067940000000001E-2</v>
      </c>
      <c r="N4435">
        <v>-7.4390849999999998E-3</v>
      </c>
      <c r="O4435">
        <v>-0.99963270000000004</v>
      </c>
      <c r="P4435">
        <v>-4.8290659999999999E-2</v>
      </c>
      <c r="Q4435">
        <v>0.36348979999999997</v>
      </c>
      <c r="R4435">
        <v>-0.93034600000000001</v>
      </c>
      <c r="S4435">
        <v>-0.6057129</v>
      </c>
      <c r="T4435">
        <v>-0.37740299999999999</v>
      </c>
      <c r="U4435">
        <v>-3.3407140000000002</v>
      </c>
      <c r="V4435">
        <v>2.4511970000000001E-2</v>
      </c>
      <c r="W4435">
        <v>0.37037530000000002</v>
      </c>
      <c r="X4435">
        <v>0.92855880000000002</v>
      </c>
      <c r="Y4435">
        <v>0.15167249999999999</v>
      </c>
      <c r="Z4435">
        <v>0.1032819</v>
      </c>
      <c r="AA4435">
        <v>0.98302</v>
      </c>
      <c r="AB4435">
        <v>23</v>
      </c>
      <c r="AC4435">
        <v>-0.14879999999999399</v>
      </c>
      <c r="AD4435">
        <v>-9.5098999999999795E-2</v>
      </c>
      <c r="AE4435">
        <v>-0.71319999999999995</v>
      </c>
      <c r="AF4435">
        <v>0.12797676778730699</v>
      </c>
      <c r="AG4435">
        <v>-9.5098999999999795E-2</v>
      </c>
      <c r="AH4435">
        <v>0.70482762207874805</v>
      </c>
      <c r="AI4435">
        <v>97.562060445946699</v>
      </c>
      <c r="AJ4435">
        <v>79.708823140793996</v>
      </c>
      <c r="AK4435">
        <v>0.72263673428595399</v>
      </c>
      <c r="AL4435">
        <v>68.2612367884267</v>
      </c>
      <c r="AM4435">
        <v>88.487864915064307</v>
      </c>
      <c r="AN4435">
        <v>1.0000000722904001</v>
      </c>
    </row>
    <row r="4436" spans="1:40" x14ac:dyDescent="0.25">
      <c r="A4436" t="str">
        <f>"20190304164216298"</f>
        <v>20190304164216298</v>
      </c>
      <c r="B4436" t="str">
        <f>"1551688936285730"</f>
        <v>1551688936285730</v>
      </c>
      <c r="C4436" t="s">
        <v>40</v>
      </c>
      <c r="D4436">
        <v>4.3111179999999996</v>
      </c>
      <c r="E4436">
        <v>0.56168689999999999</v>
      </c>
      <c r="F4436" t="s">
        <v>41</v>
      </c>
      <c r="G4436">
        <v>-191.7946</v>
      </c>
      <c r="H4436">
        <v>1.028106</v>
      </c>
      <c r="I4436">
        <v>173.51499999999999</v>
      </c>
      <c r="J4436">
        <v>-191.66849999999999</v>
      </c>
      <c r="K4436">
        <v>1.1095090000000001</v>
      </c>
      <c r="L4436">
        <v>174.07069999999999</v>
      </c>
      <c r="M4436">
        <v>-2.6651419999999999E-2</v>
      </c>
      <c r="N4436">
        <v>-7.412264E-3</v>
      </c>
      <c r="O4436">
        <v>-0.99961730000000004</v>
      </c>
      <c r="P4436">
        <v>-4.9183690000000002E-2</v>
      </c>
      <c r="Q4436">
        <v>0.36361929999999998</v>
      </c>
      <c r="R4436">
        <v>-0.93024850000000003</v>
      </c>
      <c r="S4436">
        <v>-0.60760499999999995</v>
      </c>
      <c r="T4436">
        <v>-0.3776429</v>
      </c>
      <c r="U4436">
        <v>-3.3406220000000002</v>
      </c>
      <c r="V4436">
        <v>2.4844439999999999E-2</v>
      </c>
      <c r="W4436">
        <v>0.37048019999999998</v>
      </c>
      <c r="X4436">
        <v>0.928508</v>
      </c>
      <c r="Y4436">
        <v>0.15163789999999999</v>
      </c>
      <c r="Z4436">
        <v>0.1033737</v>
      </c>
      <c r="AA4436">
        <v>0.98301570000000005</v>
      </c>
      <c r="AB4436">
        <v>23</v>
      </c>
      <c r="AC4436">
        <v>-0.12610000000000801</v>
      </c>
      <c r="AD4436">
        <v>-8.14030000000001E-2</v>
      </c>
      <c r="AE4436">
        <v>-0.55570000000000097</v>
      </c>
      <c r="AF4436">
        <v>0.109019764030291</v>
      </c>
      <c r="AG4436">
        <v>-8.14030000000001E-2</v>
      </c>
      <c r="AH4436">
        <v>0.54768642616762697</v>
      </c>
      <c r="AI4436">
        <v>98.293636130288405</v>
      </c>
      <c r="AJ4436">
        <v>78.742134731478401</v>
      </c>
      <c r="AK4436">
        <v>0.56433339327607501</v>
      </c>
      <c r="AL4436">
        <v>68.254763706481299</v>
      </c>
      <c r="AM4436">
        <v>88.467280858230595</v>
      </c>
      <c r="AN4436">
        <v>0.99999996542747605</v>
      </c>
    </row>
    <row r="4437" spans="1:40" x14ac:dyDescent="0.25">
      <c r="A4437" t="str">
        <f>"20190304164216311"</f>
        <v>20190304164216311</v>
      </c>
      <c r="B4437" t="str">
        <f>"1551688936305250"</f>
        <v>1551688936305250</v>
      </c>
      <c r="C4437" t="s">
        <v>40</v>
      </c>
      <c r="D4437">
        <v>4.3268269999999998</v>
      </c>
      <c r="E4437">
        <v>0.561558</v>
      </c>
      <c r="F4437" t="s">
        <v>41</v>
      </c>
      <c r="G4437">
        <v>-191.80850000000001</v>
      </c>
      <c r="H4437">
        <v>1.023029</v>
      </c>
      <c r="I4437">
        <v>173.30599999999899</v>
      </c>
      <c r="J4437">
        <v>-191.6728</v>
      </c>
      <c r="K4437">
        <v>1.109526</v>
      </c>
      <c r="L4437">
        <v>173.92959999999999</v>
      </c>
      <c r="M4437">
        <v>-2.71355E-2</v>
      </c>
      <c r="N4437">
        <v>-7.3889949999999998E-3</v>
      </c>
      <c r="O4437">
        <v>-0.99960459999999995</v>
      </c>
      <c r="P4437">
        <v>-4.9815570000000003E-2</v>
      </c>
      <c r="Q4437">
        <v>0.36351709999999998</v>
      </c>
      <c r="R4437">
        <v>-0.9302549</v>
      </c>
      <c r="S4437">
        <v>-0.61106870000000002</v>
      </c>
      <c r="T4437">
        <v>-0.37782510000000002</v>
      </c>
      <c r="U4437">
        <v>-3.340347</v>
      </c>
      <c r="V4437">
        <v>2.5010270000000001E-2</v>
      </c>
      <c r="W4437">
        <v>0.37035760000000001</v>
      </c>
      <c r="X4437">
        <v>0.9285525</v>
      </c>
      <c r="Y4437">
        <v>0.15215879999999901</v>
      </c>
      <c r="Z4437">
        <v>0.1034421</v>
      </c>
      <c r="AA4437">
        <v>0.98292800000000002</v>
      </c>
      <c r="AB4437">
        <v>24</v>
      </c>
      <c r="AC4437">
        <v>-0.135700000000014</v>
      </c>
      <c r="AD4437">
        <v>-8.6496999999999796E-2</v>
      </c>
      <c r="AE4437">
        <v>-0.62360000000001004</v>
      </c>
      <c r="AF4437">
        <v>0.11658624210072301</v>
      </c>
      <c r="AG4437">
        <v>-8.6496999999999796E-2</v>
      </c>
      <c r="AH4437">
        <v>0.61574188666997398</v>
      </c>
      <c r="AI4437">
        <v>97.858525367791401</v>
      </c>
      <c r="AJ4437">
        <v>79.278384661325006</v>
      </c>
      <c r="AK4437">
        <v>0.63262323215012195</v>
      </c>
      <c r="AL4437">
        <v>68.262327035738707</v>
      </c>
      <c r="AM4437">
        <v>88.457129204811693</v>
      </c>
      <c r="AN4437">
        <v>1.00000000536974</v>
      </c>
    </row>
    <row r="4438" spans="1:40" x14ac:dyDescent="0.25">
      <c r="A4438" t="str">
        <f>"20190304164216323"</f>
        <v>20190304164216323</v>
      </c>
      <c r="B4438" t="str">
        <f>"1551688936315987"</f>
        <v>1551688936315987</v>
      </c>
      <c r="C4438" t="s">
        <v>40</v>
      </c>
      <c r="D4438">
        <v>4.3465009999999999</v>
      </c>
      <c r="E4438">
        <v>0.56154289999999996</v>
      </c>
      <c r="F4438" t="s">
        <v>41</v>
      </c>
      <c r="G4438">
        <v>-191.8253</v>
      </c>
      <c r="H4438">
        <v>1.0153760000000001</v>
      </c>
      <c r="I4438">
        <v>173.0976</v>
      </c>
      <c r="J4438">
        <v>-191.67689999999999</v>
      </c>
      <c r="K4438">
        <v>1.109537</v>
      </c>
      <c r="L4438">
        <v>173.79519999999999</v>
      </c>
      <c r="M4438">
        <v>-2.758615E-2</v>
      </c>
      <c r="N4438">
        <v>-7.366666E-3</v>
      </c>
      <c r="O4438">
        <v>-0.99959240000000005</v>
      </c>
      <c r="P4438">
        <v>-5.0629420000000001E-2</v>
      </c>
      <c r="Q4438">
        <v>0.3636547</v>
      </c>
      <c r="R4438">
        <v>-0.93015729999999996</v>
      </c>
      <c r="S4438">
        <v>-0.61175539999999995</v>
      </c>
      <c r="T4438">
        <v>-0.37797360000000002</v>
      </c>
      <c r="U4438">
        <v>-3.3398590000000001</v>
      </c>
      <c r="V4438">
        <v>2.5394369999999999E-2</v>
      </c>
      <c r="W4438">
        <v>0.37047449999999998</v>
      </c>
      <c r="X4438">
        <v>0.92849550000000003</v>
      </c>
      <c r="Y4438">
        <v>0.15193299999999901</v>
      </c>
      <c r="Z4438">
        <v>0.1035213</v>
      </c>
      <c r="AA4438">
        <v>0.98295460000000001</v>
      </c>
      <c r="AB4438">
        <v>24</v>
      </c>
      <c r="AC4438">
        <v>-0.148400000000009</v>
      </c>
      <c r="AD4438">
        <v>-9.4160999999999898E-2</v>
      </c>
      <c r="AE4438">
        <v>-0.697599999999994</v>
      </c>
      <c r="AF4438">
        <v>0.12688720692299199</v>
      </c>
      <c r="AG4438">
        <v>-9.4160999999999898E-2</v>
      </c>
      <c r="AH4438">
        <v>0.68941167169686601</v>
      </c>
      <c r="AI4438">
        <v>97.650489437947897</v>
      </c>
      <c r="AJ4438">
        <v>79.571341043282104</v>
      </c>
      <c r="AK4438">
        <v>0.70728714838712203</v>
      </c>
      <c r="AL4438">
        <v>68.255117504245305</v>
      </c>
      <c r="AM4438">
        <v>88.433349867457594</v>
      </c>
      <c r="AN4438">
        <v>1.00000006134909</v>
      </c>
    </row>
    <row r="4439" spans="1:40" x14ac:dyDescent="0.25">
      <c r="A4439" t="str">
        <f>"20190304164216344"</f>
        <v>20190304164216344</v>
      </c>
      <c r="B4439" t="str">
        <f>"1551688936335506"</f>
        <v>1551688936335506</v>
      </c>
      <c r="C4439" t="s">
        <v>40</v>
      </c>
      <c r="D4439">
        <v>4.364528</v>
      </c>
      <c r="E4439">
        <v>0.56147250000000004</v>
      </c>
      <c r="F4439" t="s">
        <v>41</v>
      </c>
      <c r="G4439">
        <v>-191.84399999999999</v>
      </c>
      <c r="H4439">
        <v>1.0069129999999999</v>
      </c>
      <c r="I4439">
        <v>172.8887</v>
      </c>
      <c r="J4439">
        <v>-191.68379999999999</v>
      </c>
      <c r="K4439">
        <v>1.109542</v>
      </c>
      <c r="L4439">
        <v>173.57490000000001</v>
      </c>
      <c r="M4439">
        <v>-2.829539E-2</v>
      </c>
      <c r="N4439">
        <v>-7.3298909999999998E-3</v>
      </c>
      <c r="O4439">
        <v>-0.99957280000000004</v>
      </c>
      <c r="P4439">
        <v>-5.1586319999999998E-2</v>
      </c>
      <c r="Q4439">
        <v>0.36351359999999999</v>
      </c>
      <c r="R4439">
        <v>-0.93015979999999998</v>
      </c>
      <c r="S4439">
        <v>-0.61477660000000001</v>
      </c>
      <c r="T4439">
        <v>-0.37812630000000003</v>
      </c>
      <c r="U4439">
        <v>-3.3396300000000001</v>
      </c>
      <c r="V4439">
        <v>2.5674570000000001E-2</v>
      </c>
      <c r="W4439">
        <v>0.37030039999999997</v>
      </c>
      <c r="X4439">
        <v>0.92855719999999997</v>
      </c>
      <c r="Y4439">
        <v>0.15210290000000001</v>
      </c>
      <c r="Z4439">
        <v>0.1035963</v>
      </c>
      <c r="AA4439">
        <v>0.98292040000000003</v>
      </c>
      <c r="AB4439">
        <v>24</v>
      </c>
      <c r="AC4439">
        <v>-0.16020000000003101</v>
      </c>
      <c r="AD4439">
        <v>-0.102629</v>
      </c>
      <c r="AE4439">
        <v>-0.68620000000001302</v>
      </c>
      <c r="AF4439">
        <v>0.13779604506088799</v>
      </c>
      <c r="AG4439">
        <v>-0.102629</v>
      </c>
      <c r="AH4439">
        <v>0.67611619794112698</v>
      </c>
      <c r="AI4439">
        <v>98.459835843868802</v>
      </c>
      <c r="AJ4439">
        <v>78.480581395338604</v>
      </c>
      <c r="AK4439">
        <v>0.69760560117718895</v>
      </c>
      <c r="AL4439">
        <v>68.265855578443507</v>
      </c>
      <c r="AM4439">
        <v>88.416177492842195</v>
      </c>
      <c r="AN4439">
        <v>1.00000002172834</v>
      </c>
    </row>
    <row r="4440" spans="1:40" x14ac:dyDescent="0.25">
      <c r="A4440" t="str">
        <f>"20190304164216361"</f>
        <v>20190304164216361</v>
      </c>
      <c r="B4440" t="str">
        <f>"1551688936356002"</f>
        <v>1551688936356002</v>
      </c>
      <c r="C4440" t="s">
        <v>40</v>
      </c>
      <c r="D4440">
        <v>4.3485909999999999</v>
      </c>
      <c r="E4440">
        <v>0.56142230000000004</v>
      </c>
      <c r="F4440" t="s">
        <v>41</v>
      </c>
      <c r="G4440">
        <v>-191.85059999999999</v>
      </c>
      <c r="H4440">
        <v>1.0078849999999999</v>
      </c>
      <c r="I4440">
        <v>172.6746</v>
      </c>
      <c r="J4440">
        <v>-191.68989999999999</v>
      </c>
      <c r="K4440">
        <v>1.1095459999999999</v>
      </c>
      <c r="L4440">
        <v>173.38550000000001</v>
      </c>
      <c r="M4440">
        <v>-2.8888750000000001E-2</v>
      </c>
      <c r="N4440">
        <v>-7.3003419999999996E-3</v>
      </c>
      <c r="O4440">
        <v>-0.99955609999999995</v>
      </c>
      <c r="P4440">
        <v>-5.2460880000000001E-2</v>
      </c>
      <c r="Q4440">
        <v>0.36341459999999998</v>
      </c>
      <c r="R4440">
        <v>-0.93014960000000002</v>
      </c>
      <c r="S4440">
        <v>-0.61819460000000004</v>
      </c>
      <c r="T4440">
        <v>-0.37692399999999998</v>
      </c>
      <c r="U4440">
        <v>-3.3382719999999999</v>
      </c>
      <c r="V4440">
        <v>2.598754E-2</v>
      </c>
      <c r="W4440">
        <v>0.37017460000000002</v>
      </c>
      <c r="X4440">
        <v>0.92859860000000005</v>
      </c>
      <c r="Y4440">
        <v>0.15256639999999999</v>
      </c>
      <c r="Z4440">
        <v>0.1033046</v>
      </c>
      <c r="AA4440">
        <v>0.98287930000000001</v>
      </c>
      <c r="AB4440">
        <v>24</v>
      </c>
      <c r="AC4440">
        <v>-0.16069999999999099</v>
      </c>
      <c r="AD4440">
        <v>-0.101660999999999</v>
      </c>
      <c r="AE4440">
        <v>-0.71090000000000897</v>
      </c>
      <c r="AF4440">
        <v>0.13742172566774399</v>
      </c>
      <c r="AG4440">
        <v>-0.101660999999999</v>
      </c>
      <c r="AH4440">
        <v>0.70159575132830598</v>
      </c>
      <c r="AI4440">
        <v>98.093067697337204</v>
      </c>
      <c r="AJ4440">
        <v>78.9177644934055</v>
      </c>
      <c r="AK4440">
        <v>0.72211930308532202</v>
      </c>
      <c r="AL4440">
        <v>68.273613673137703</v>
      </c>
      <c r="AM4440">
        <v>88.396952331227894</v>
      </c>
      <c r="AN4440">
        <v>0.99999997332118495</v>
      </c>
    </row>
    <row r="4441" spans="1:40" x14ac:dyDescent="0.25">
      <c r="A4441" t="str">
        <f>"20190304164216376"</f>
        <v>20190304164216376</v>
      </c>
      <c r="B4441" t="str">
        <f>"1551688936365762"</f>
        <v>1551688936365762</v>
      </c>
      <c r="C4441" t="s">
        <v>40</v>
      </c>
      <c r="D4441">
        <v>4.3362400000000001</v>
      </c>
      <c r="E4441">
        <v>0.56134459999999997</v>
      </c>
      <c r="F4441" t="s">
        <v>41</v>
      </c>
      <c r="G4441">
        <v>-191.82390000000001</v>
      </c>
      <c r="H4441">
        <v>1.0275719999999999</v>
      </c>
      <c r="I4441">
        <v>172.66489999999999</v>
      </c>
      <c r="J4441">
        <v>-191.69479999999999</v>
      </c>
      <c r="K4441">
        <v>1.1095489999999999</v>
      </c>
      <c r="L4441">
        <v>173.23220000000001</v>
      </c>
      <c r="M4441">
        <v>-2.9359690000000001E-2</v>
      </c>
      <c r="N4441">
        <v>-7.2764290000000001E-3</v>
      </c>
      <c r="O4441">
        <v>-0.99954279999999995</v>
      </c>
      <c r="P4441">
        <v>-5.3665919999999999E-2</v>
      </c>
      <c r="Q4441">
        <v>0.3631897</v>
      </c>
      <c r="R4441">
        <v>-0.93016889999999997</v>
      </c>
      <c r="S4441">
        <v>-0.62071229999999999</v>
      </c>
      <c r="T4441">
        <v>-0.37980340000000001</v>
      </c>
      <c r="U4441">
        <v>-3.3386689999999999</v>
      </c>
      <c r="V4441">
        <v>2.6749289999999998E-2</v>
      </c>
      <c r="W4441">
        <v>0.36992700000000001</v>
      </c>
      <c r="X4441">
        <v>0.92867569999999999</v>
      </c>
      <c r="Y4441">
        <v>0.15278029999999901</v>
      </c>
      <c r="Z4441">
        <v>0.1041388</v>
      </c>
      <c r="AA4441">
        <v>0.98275800000000002</v>
      </c>
      <c r="AB4441">
        <v>24</v>
      </c>
      <c r="AC4441">
        <v>-0.129100000000022</v>
      </c>
      <c r="AD4441">
        <v>-8.1976999999999897E-2</v>
      </c>
      <c r="AE4441">
        <v>-0.56730000000001701</v>
      </c>
      <c r="AF4441">
        <v>0.110200328261456</v>
      </c>
      <c r="AG4441">
        <v>-8.1976999999999897E-2</v>
      </c>
      <c r="AH4441">
        <v>0.55973337072240703</v>
      </c>
      <c r="AI4441">
        <v>98.177350229968596</v>
      </c>
      <c r="AJ4441">
        <v>78.862055351283203</v>
      </c>
      <c r="AK4441">
        <v>0.57633825760416102</v>
      </c>
      <c r="AL4441">
        <v>68.288885492651204</v>
      </c>
      <c r="AM4441">
        <v>88.350126115093005</v>
      </c>
      <c r="AN4441">
        <v>1.0000000328074901</v>
      </c>
    </row>
    <row r="4442" spans="1:40" x14ac:dyDescent="0.25">
      <c r="A4442" t="str">
        <f>"20190304164216390"</f>
        <v>20190304164216390</v>
      </c>
      <c r="B4442" t="str">
        <f>"1551688936385282"</f>
        <v>1551688936385282</v>
      </c>
      <c r="C4442" t="s">
        <v>40</v>
      </c>
      <c r="D4442">
        <v>4.3857109999999997</v>
      </c>
      <c r="E4442">
        <v>0.56122229999999995</v>
      </c>
      <c r="F4442" t="s">
        <v>41</v>
      </c>
      <c r="G4442">
        <v>-191.84030000000001</v>
      </c>
      <c r="H4442">
        <v>1.020465</v>
      </c>
      <c r="I4442">
        <v>172.45400000000001</v>
      </c>
      <c r="J4442">
        <v>-191.69970000000001</v>
      </c>
      <c r="K4442">
        <v>1.1095469999999901</v>
      </c>
      <c r="L4442">
        <v>173.0831</v>
      </c>
      <c r="M4442">
        <v>-2.9815129999999999E-2</v>
      </c>
      <c r="N4442">
        <v>-7.2531679999999999E-3</v>
      </c>
      <c r="O4442">
        <v>-0.99952920000000001</v>
      </c>
      <c r="P4442">
        <v>-5.4605029999999999E-2</v>
      </c>
      <c r="Q4442">
        <v>0.36325629999999998</v>
      </c>
      <c r="R4442">
        <v>-0.93008769999999996</v>
      </c>
      <c r="S4442">
        <v>-0.62338260000000001</v>
      </c>
      <c r="T4442">
        <v>-0.38222440000000002</v>
      </c>
      <c r="U4442">
        <v>-3.3384860000000001</v>
      </c>
      <c r="V4442">
        <v>2.726491E-2</v>
      </c>
      <c r="W4442">
        <v>0.3699713</v>
      </c>
      <c r="X4442">
        <v>0.928643</v>
      </c>
      <c r="Y4442">
        <v>0.15308529999999901</v>
      </c>
      <c r="Z4442">
        <v>0.10485659999999999</v>
      </c>
      <c r="AA4442">
        <v>0.98263420000000001</v>
      </c>
      <c r="AB4442">
        <v>24</v>
      </c>
      <c r="AC4442">
        <v>-0.140600000000006</v>
      </c>
      <c r="AD4442">
        <v>-8.90819999999998E-2</v>
      </c>
      <c r="AE4442">
        <v>-0.629099999999994</v>
      </c>
      <c r="AF4442">
        <v>0.11949820620370701</v>
      </c>
      <c r="AG4442">
        <v>-8.90819999999998E-2</v>
      </c>
      <c r="AH4442">
        <v>0.62115012892756405</v>
      </c>
      <c r="AI4442">
        <v>98.016365541565904</v>
      </c>
      <c r="AJ4442">
        <v>79.110358240283801</v>
      </c>
      <c r="AK4442">
        <v>0.63878236252782805</v>
      </c>
      <c r="AL4442">
        <v>68.286152247705104</v>
      </c>
      <c r="AM4442">
        <v>88.318282010906202</v>
      </c>
      <c r="AN4442">
        <v>0.999999979794998</v>
      </c>
    </row>
    <row r="4443" spans="1:40" x14ac:dyDescent="0.25">
      <c r="A4443" t="str">
        <f>"20190304164216403"</f>
        <v>20190304164216403</v>
      </c>
      <c r="B4443" t="str">
        <f>"1551688936395043"</f>
        <v>1551688936395043</v>
      </c>
      <c r="C4443" t="s">
        <v>40</v>
      </c>
      <c r="D4443">
        <v>4.3891289999999996</v>
      </c>
      <c r="E4443">
        <v>0.56116199999999905</v>
      </c>
      <c r="F4443" t="s">
        <v>41</v>
      </c>
      <c r="G4443">
        <v>-191.85720000000001</v>
      </c>
      <c r="H4443">
        <v>1.012894</v>
      </c>
      <c r="I4443">
        <v>172.24260000000001</v>
      </c>
      <c r="J4443">
        <v>-191.7045</v>
      </c>
      <c r="K4443">
        <v>1.109542</v>
      </c>
      <c r="L4443">
        <v>172.9366</v>
      </c>
      <c r="M4443">
        <v>-3.026042E-2</v>
      </c>
      <c r="N4443">
        <v>-7.2304839999999997E-3</v>
      </c>
      <c r="O4443">
        <v>-0.99951610000000002</v>
      </c>
      <c r="P4443">
        <v>-5.537678E-2</v>
      </c>
      <c r="Q4443">
        <v>0.36317379999999999</v>
      </c>
      <c r="R4443">
        <v>-0.93007479999999998</v>
      </c>
      <c r="S4443">
        <v>-0.62528989999999995</v>
      </c>
      <c r="T4443">
        <v>-0.38395620000000003</v>
      </c>
      <c r="U4443">
        <v>-3.3387760000000002</v>
      </c>
      <c r="V4443">
        <v>2.7622130000000002E-2</v>
      </c>
      <c r="W4443">
        <v>0.36986720000000001</v>
      </c>
      <c r="X4443">
        <v>0.92867390000000005</v>
      </c>
      <c r="Y4443">
        <v>0.1531621</v>
      </c>
      <c r="Z4443">
        <v>0.10536280000000001</v>
      </c>
      <c r="AA4443">
        <v>0.98256810000000006</v>
      </c>
      <c r="AB4443">
        <v>24</v>
      </c>
      <c r="AC4443">
        <v>-0.15270000000000999</v>
      </c>
      <c r="AD4443">
        <v>-9.6647999999999998E-2</v>
      </c>
      <c r="AE4443">
        <v>-0.69399999999998796</v>
      </c>
      <c r="AF4443">
        <v>0.12923809107048401</v>
      </c>
      <c r="AG4443">
        <v>-9.6647999999999998E-2</v>
      </c>
      <c r="AH4443">
        <v>0.68562016438129803</v>
      </c>
      <c r="AI4443">
        <v>97.886697412596604</v>
      </c>
      <c r="AJ4443">
        <v>79.325110590430995</v>
      </c>
      <c r="AK4443">
        <v>0.70435667803590896</v>
      </c>
      <c r="AL4443">
        <v>68.292571919949197</v>
      </c>
      <c r="AM4443">
        <v>88.296317998700403</v>
      </c>
      <c r="AN4443">
        <v>0.99999997012139297</v>
      </c>
    </row>
    <row r="4444" spans="1:40" x14ac:dyDescent="0.25">
      <c r="A4444" t="str">
        <f>"20190304164216416"</f>
        <v>20190304164216416</v>
      </c>
      <c r="B4444" t="str">
        <f>"1551688936405779"</f>
        <v>1551688936405779</v>
      </c>
      <c r="C4444" t="s">
        <v>40</v>
      </c>
      <c r="D4444">
        <v>4.3829840000000004</v>
      </c>
      <c r="E4444">
        <v>0.56110479999999996</v>
      </c>
      <c r="F4444" t="s">
        <v>41</v>
      </c>
      <c r="G4444">
        <v>-191.8749</v>
      </c>
      <c r="H4444">
        <v>1.0048760000000001</v>
      </c>
      <c r="I4444">
        <v>172.03059999999999</v>
      </c>
      <c r="J4444">
        <v>-191.70939999999999</v>
      </c>
      <c r="K4444">
        <v>1.1095299999999999</v>
      </c>
      <c r="L4444">
        <v>172.79349999999999</v>
      </c>
      <c r="M4444">
        <v>-3.069411E-2</v>
      </c>
      <c r="N4444">
        <v>-7.2095880000000003E-3</v>
      </c>
      <c r="O4444">
        <v>-0.99950320000000004</v>
      </c>
      <c r="P4444">
        <v>-5.6189120000000002E-2</v>
      </c>
      <c r="Q4444">
        <v>0.36285840000000003</v>
      </c>
      <c r="R4444">
        <v>-0.93014920000000001</v>
      </c>
      <c r="S4444">
        <v>-0.62715149999999997</v>
      </c>
      <c r="T4444">
        <v>-0.38576270000000001</v>
      </c>
      <c r="U4444">
        <v>-3.3388369999999998</v>
      </c>
      <c r="V4444">
        <v>2.8029789999999999E-2</v>
      </c>
      <c r="W4444">
        <v>0.36953259999999899</v>
      </c>
      <c r="X4444">
        <v>0.92879489999999998</v>
      </c>
      <c r="Y4444">
        <v>0.15324879999999999</v>
      </c>
      <c r="Z4444">
        <v>0.1058962</v>
      </c>
      <c r="AA4444">
        <v>0.98249719999999996</v>
      </c>
      <c r="AB4444">
        <v>24</v>
      </c>
      <c r="AC4444">
        <v>-0.165500000000008</v>
      </c>
      <c r="AD4444">
        <v>-0.104653999999999</v>
      </c>
      <c r="AE4444">
        <v>-0.76290000000000102</v>
      </c>
      <c r="AF4444">
        <v>0.13949777959933901</v>
      </c>
      <c r="AG4444">
        <v>-0.104653999999999</v>
      </c>
      <c r="AH4444">
        <v>0.75406816285474898</v>
      </c>
      <c r="AI4444">
        <v>97.771166851861395</v>
      </c>
      <c r="AJ4444">
        <v>79.519136744566595</v>
      </c>
      <c r="AK4444">
        <v>0.77397085504577101</v>
      </c>
      <c r="AL4444">
        <v>68.313205339409294</v>
      </c>
      <c r="AM4444">
        <v>88.2714145162454</v>
      </c>
      <c r="AN4444">
        <v>0.99999998892810604</v>
      </c>
    </row>
    <row r="4445" spans="1:40" x14ac:dyDescent="0.25">
      <c r="A4445" t="str">
        <f>"20190304164216432"</f>
        <v>20190304164216432</v>
      </c>
      <c r="B4445" t="str">
        <f>"1551688936425298"</f>
        <v>1551688936425298</v>
      </c>
      <c r="C4445" t="s">
        <v>40</v>
      </c>
      <c r="D4445">
        <v>4.382263</v>
      </c>
      <c r="E4445">
        <v>0.561011699999999</v>
      </c>
      <c r="F4445" t="s">
        <v>41</v>
      </c>
      <c r="G4445">
        <v>-191.85470000000001</v>
      </c>
      <c r="H4445">
        <v>1.019987</v>
      </c>
      <c r="I4445">
        <v>172.0231</v>
      </c>
      <c r="J4445">
        <v>-191.71510000000001</v>
      </c>
      <c r="K4445">
        <v>1.1095170000000001</v>
      </c>
      <c r="L4445">
        <v>172.62389999999999</v>
      </c>
      <c r="M4445">
        <v>-3.1208779999999998E-2</v>
      </c>
      <c r="N4445">
        <v>-7.1867060000000002E-3</v>
      </c>
      <c r="O4445">
        <v>-0.99948720000000002</v>
      </c>
      <c r="P4445">
        <v>-5.7600999999999999E-2</v>
      </c>
      <c r="Q4445">
        <v>0.36259360000000002</v>
      </c>
      <c r="R4445">
        <v>-0.93016569999999998</v>
      </c>
      <c r="S4445">
        <v>-0.62918090000000004</v>
      </c>
      <c r="T4445">
        <v>-0.38811370000000001</v>
      </c>
      <c r="U4445">
        <v>-3.3386689999999999</v>
      </c>
      <c r="V4445">
        <v>2.8964589999999998E-2</v>
      </c>
      <c r="W4445">
        <v>0.36924590000000002</v>
      </c>
      <c r="X4445">
        <v>0.92888020000000004</v>
      </c>
      <c r="Y4445">
        <v>0.1533118</v>
      </c>
      <c r="Z4445">
        <v>0.10659589999999899</v>
      </c>
      <c r="AA4445">
        <v>0.9824117</v>
      </c>
      <c r="AB4445">
        <v>24</v>
      </c>
      <c r="AC4445">
        <v>-0.139600000000001</v>
      </c>
      <c r="AD4445">
        <v>-8.9530000000000096E-2</v>
      </c>
      <c r="AE4445">
        <v>-0.60079999999999201</v>
      </c>
      <c r="AF4445">
        <v>0.118289063911762</v>
      </c>
      <c r="AG4445">
        <v>-8.9530000000000096E-2</v>
      </c>
      <c r="AH4445">
        <v>0.59238334597464604</v>
      </c>
      <c r="AI4445">
        <v>98.430398420219603</v>
      </c>
      <c r="AJ4445">
        <v>78.707516020215394</v>
      </c>
      <c r="AK4445">
        <v>0.61067663466783895</v>
      </c>
      <c r="AL4445">
        <v>68.330881448840003</v>
      </c>
      <c r="AM4445">
        <v>88.213966453924996</v>
      </c>
      <c r="AN4445">
        <v>0.999999954046358</v>
      </c>
    </row>
    <row r="4446" spans="1:40" x14ac:dyDescent="0.25">
      <c r="A4446" t="str">
        <f>"20190304164216444"</f>
        <v>20190304164216444</v>
      </c>
      <c r="B4446" t="str">
        <f>"1551688936435058"</f>
        <v>1551688936435058</v>
      </c>
      <c r="C4446" t="s">
        <v>40</v>
      </c>
      <c r="D4446">
        <v>4.4134140000000004</v>
      </c>
      <c r="E4446">
        <v>0.56096459999999904</v>
      </c>
      <c r="F4446" t="s">
        <v>41</v>
      </c>
      <c r="G4446">
        <v>-191.86969999999999</v>
      </c>
      <c r="H4446">
        <v>1.01403</v>
      </c>
      <c r="I4446">
        <v>171.80950000000001</v>
      </c>
      <c r="J4446">
        <v>-191.71979999999999</v>
      </c>
      <c r="K4446">
        <v>1.1095159999999999</v>
      </c>
      <c r="L4446">
        <v>172.4889</v>
      </c>
      <c r="M4446">
        <v>-3.1619370000000001E-2</v>
      </c>
      <c r="N4446">
        <v>-7.1697499999999999E-3</v>
      </c>
      <c r="O4446">
        <v>-0.99947430000000004</v>
      </c>
      <c r="P4446">
        <v>-5.8440819999999997E-2</v>
      </c>
      <c r="Q4446">
        <v>0.36252780000000001</v>
      </c>
      <c r="R4446">
        <v>-0.9301391</v>
      </c>
      <c r="S4446">
        <v>-0.63302609999999904</v>
      </c>
      <c r="T4446">
        <v>-0.39144420000000002</v>
      </c>
      <c r="U4446">
        <v>-3.3386230000000001</v>
      </c>
      <c r="V4446">
        <v>2.9425900000000001E-2</v>
      </c>
      <c r="W4446">
        <v>0.36916349999999998</v>
      </c>
      <c r="X4446">
        <v>0.92889849999999996</v>
      </c>
      <c r="Y4446">
        <v>0.1539809</v>
      </c>
      <c r="Z4446">
        <v>0.1075581</v>
      </c>
      <c r="AA4446">
        <v>0.98220220000000003</v>
      </c>
      <c r="AB4446">
        <v>24</v>
      </c>
      <c r="AC4446">
        <v>-0.149900000000002</v>
      </c>
      <c r="AD4446">
        <v>-9.5485999999999904E-2</v>
      </c>
      <c r="AE4446">
        <v>-0.67939999999998602</v>
      </c>
      <c r="AF4446">
        <v>0.12596954842345501</v>
      </c>
      <c r="AG4446">
        <v>-9.5485999999999904E-2</v>
      </c>
      <c r="AH4446">
        <v>0.671158298057005</v>
      </c>
      <c r="AI4446">
        <v>97.959993605470203</v>
      </c>
      <c r="AJ4446">
        <v>79.369841186596005</v>
      </c>
      <c r="AK4446">
        <v>0.68952111235029301</v>
      </c>
      <c r="AL4446">
        <v>68.335962546839795</v>
      </c>
      <c r="AM4446">
        <v>88.185575442153905</v>
      </c>
      <c r="AN4446">
        <v>0.99999999831265396</v>
      </c>
    </row>
    <row r="4447" spans="1:40" x14ac:dyDescent="0.25">
      <c r="A4447" t="str">
        <f>"20190304164216456"</f>
        <v>20190304164216456</v>
      </c>
      <c r="B4447" t="str">
        <f>"1551688936445794"</f>
        <v>1551688936445794</v>
      </c>
      <c r="C4447" t="s">
        <v>40</v>
      </c>
      <c r="D4447">
        <v>4.6214839999999997</v>
      </c>
      <c r="E4447">
        <v>0.56103249999999905</v>
      </c>
      <c r="F4447" t="s">
        <v>41</v>
      </c>
      <c r="G4447">
        <v>-191.8896</v>
      </c>
      <c r="H4447">
        <v>1.0045599999999999</v>
      </c>
      <c r="I4447">
        <v>171.5967</v>
      </c>
      <c r="J4447">
        <v>-191.7243</v>
      </c>
      <c r="K4447">
        <v>1.109507</v>
      </c>
      <c r="L4447">
        <v>172.358</v>
      </c>
      <c r="M4447">
        <v>-3.2018749999999999E-2</v>
      </c>
      <c r="N4447">
        <v>-7.1549630000000003E-3</v>
      </c>
      <c r="O4447">
        <v>-0.99946170000000001</v>
      </c>
      <c r="P4447">
        <v>-5.9251159999999997E-2</v>
      </c>
      <c r="Q4447">
        <v>0.36253180000000002</v>
      </c>
      <c r="R4447">
        <v>-0.93008610000000003</v>
      </c>
      <c r="S4447">
        <v>-0.6350403</v>
      </c>
      <c r="T4447">
        <v>-0.39278750000000001</v>
      </c>
      <c r="U4447">
        <v>-3.3385159999999998</v>
      </c>
      <c r="V4447">
        <v>2.9869449999999999E-2</v>
      </c>
      <c r="W4447">
        <v>0.36915290000000001</v>
      </c>
      <c r="X4447">
        <v>0.92888859999999995</v>
      </c>
      <c r="Y4447">
        <v>0.1541556</v>
      </c>
      <c r="Z4447">
        <v>0.1079551</v>
      </c>
      <c r="AA4447">
        <v>0.98213119999999998</v>
      </c>
      <c r="AB4447">
        <v>24</v>
      </c>
      <c r="AC4447">
        <v>-0.165300000000001</v>
      </c>
      <c r="AD4447">
        <v>-0.104946999999999</v>
      </c>
      <c r="AE4447">
        <v>-0.76130000000000497</v>
      </c>
      <c r="AF4447">
        <v>0.13832840116723699</v>
      </c>
      <c r="AG4447">
        <v>-0.104946999999999</v>
      </c>
      <c r="AH4447">
        <v>0.752545500409877</v>
      </c>
      <c r="AI4447">
        <v>97.809852314210801</v>
      </c>
      <c r="AJ4447">
        <v>79.584499653528596</v>
      </c>
      <c r="AK4447">
        <v>0.77231687121649495</v>
      </c>
      <c r="AL4447">
        <v>68.336616976050294</v>
      </c>
      <c r="AM4447">
        <v>88.158224874572099</v>
      </c>
      <c r="AN4447">
        <v>1.0000000394158299</v>
      </c>
    </row>
    <row r="4448" spans="1:40" x14ac:dyDescent="0.25">
      <c r="A4448" t="str">
        <f>"20190304164216468"</f>
        <v>20190304164216468</v>
      </c>
      <c r="B4448" t="str">
        <f>"1551688936465315"</f>
        <v>1551688936465315</v>
      </c>
      <c r="C4448" t="s">
        <v>40</v>
      </c>
      <c r="D4448">
        <v>4.4264549999999998</v>
      </c>
      <c r="E4448">
        <v>0.55922399999999906</v>
      </c>
      <c r="F4448" t="s">
        <v>41</v>
      </c>
      <c r="G4448">
        <v>-191.87129999999999</v>
      </c>
      <c r="H4448">
        <v>1.018869</v>
      </c>
      <c r="I4448">
        <v>171.58959999999999</v>
      </c>
      <c r="J4448">
        <v>-191.72880000000001</v>
      </c>
      <c r="K4448">
        <v>1.109499</v>
      </c>
      <c r="L4448">
        <v>172.23230000000001</v>
      </c>
      <c r="M4448">
        <v>-3.2403359999999999E-2</v>
      </c>
      <c r="N4448">
        <v>-7.141751E-3</v>
      </c>
      <c r="O4448">
        <v>-0.99944929999999998</v>
      </c>
      <c r="P4448">
        <v>-6.0076940000000002E-2</v>
      </c>
      <c r="Q4448">
        <v>0.36243219999999998</v>
      </c>
      <c r="R4448">
        <v>-0.93007209999999996</v>
      </c>
      <c r="S4448">
        <v>-0.63789370000000001</v>
      </c>
      <c r="T4448">
        <v>-0.39385779999999998</v>
      </c>
      <c r="U4448">
        <v>-3.3384089999999902</v>
      </c>
      <c r="V4448">
        <v>3.0340740000000001E-2</v>
      </c>
      <c r="W4448">
        <v>0.36904029999999999</v>
      </c>
      <c r="X4448">
        <v>0.92891800000000002</v>
      </c>
      <c r="Y4448">
        <v>0.15458469999999999</v>
      </c>
      <c r="Z4448">
        <v>0.1082665</v>
      </c>
      <c r="AA4448">
        <v>0.9820295</v>
      </c>
      <c r="AB4448">
        <v>24</v>
      </c>
      <c r="AC4448">
        <v>-0.142499999999984</v>
      </c>
      <c r="AD4448">
        <v>-9.0630000000000002E-2</v>
      </c>
      <c r="AE4448">
        <v>-0.64270000000001903</v>
      </c>
      <c r="AF4448">
        <v>0.119337157033683</v>
      </c>
      <c r="AG4448">
        <v>-9.0630000000000002E-2</v>
      </c>
      <c r="AH4448">
        <v>0.63494574294747497</v>
      </c>
      <c r="AI4448">
        <v>97.985368264482005</v>
      </c>
      <c r="AJ4448">
        <v>79.355517344715693</v>
      </c>
      <c r="AK4448">
        <v>0.65238887976114601</v>
      </c>
      <c r="AL4448">
        <v>68.343557205913299</v>
      </c>
      <c r="AM4448">
        <v>88.129244400234199</v>
      </c>
      <c r="AN4448">
        <v>0.99999997712591804</v>
      </c>
    </row>
    <row r="4449" spans="1:40" x14ac:dyDescent="0.25">
      <c r="A4449" t="str">
        <f>"20190304164216479"</f>
        <v>20190304164216479</v>
      </c>
      <c r="B4449" t="str">
        <f>"1551688936475075"</f>
        <v>1551688936475075</v>
      </c>
      <c r="C4449" t="s">
        <v>40</v>
      </c>
      <c r="D4449">
        <v>4.436553</v>
      </c>
      <c r="E4449">
        <v>0.55933669999999902</v>
      </c>
      <c r="F4449" t="s">
        <v>41</v>
      </c>
      <c r="G4449">
        <v>-191.88740000000001</v>
      </c>
      <c r="H4449">
        <v>0.99802919999999995</v>
      </c>
      <c r="I4449">
        <v>171.38159999999999</v>
      </c>
      <c r="J4449">
        <v>-191.73339999999999</v>
      </c>
      <c r="K4449">
        <v>1.109488</v>
      </c>
      <c r="L4449">
        <v>172.10120000000001</v>
      </c>
      <c r="M4449">
        <v>-3.280599E-2</v>
      </c>
      <c r="N4449">
        <v>-7.1287640000000001E-3</v>
      </c>
      <c r="O4449">
        <v>-0.99943649999999995</v>
      </c>
      <c r="P4449">
        <v>-6.0825829999999997E-2</v>
      </c>
      <c r="Q4449">
        <v>0.36231999999999998</v>
      </c>
      <c r="R4449">
        <v>-0.93006710000000004</v>
      </c>
      <c r="S4449">
        <v>-0.62524409999999997</v>
      </c>
      <c r="T4449">
        <v>-0.43986540000000002</v>
      </c>
      <c r="U4449">
        <v>-3.356598</v>
      </c>
      <c r="V4449">
        <v>3.07183E-2</v>
      </c>
      <c r="W4449">
        <v>0.3689153</v>
      </c>
      <c r="X4449">
        <v>0.92895530000000004</v>
      </c>
      <c r="Y4449">
        <v>0.1493565</v>
      </c>
      <c r="Z4449">
        <v>0.1209689</v>
      </c>
      <c r="AA4449">
        <v>0.9813558</v>
      </c>
      <c r="AB4449">
        <v>24</v>
      </c>
      <c r="AC4449">
        <v>-0.15400000000002401</v>
      </c>
      <c r="AD4449">
        <v>-0.1114588</v>
      </c>
      <c r="AE4449">
        <v>-0.71960000000001401</v>
      </c>
      <c r="AF4449">
        <v>0.12738702798953599</v>
      </c>
      <c r="AG4449">
        <v>-0.1114588</v>
      </c>
      <c r="AH4449">
        <v>0.70802268346700903</v>
      </c>
      <c r="AI4449">
        <v>98.807091255862701</v>
      </c>
      <c r="AJ4449">
        <v>79.800498543359595</v>
      </c>
      <c r="AK4449">
        <v>0.72797433972721204</v>
      </c>
      <c r="AL4449">
        <v>68.351264130939001</v>
      </c>
      <c r="AM4449">
        <v>88.106057573925099</v>
      </c>
      <c r="AN4449">
        <v>1.00000003096353</v>
      </c>
    </row>
    <row r="4450" spans="1:40" x14ac:dyDescent="0.25">
      <c r="A4450" t="str">
        <f>"20190304164216491"</f>
        <v>20190304164216491</v>
      </c>
      <c r="B4450" t="str">
        <f>"1551688936485811"</f>
        <v>1551688936485811</v>
      </c>
      <c r="C4450" t="s">
        <v>40</v>
      </c>
      <c r="D4450">
        <v>4.7254909999999999</v>
      </c>
      <c r="E4450">
        <v>0.55821699999999996</v>
      </c>
      <c r="F4450" t="s">
        <v>41</v>
      </c>
      <c r="G4450">
        <v>-191.8698</v>
      </c>
      <c r="H4450">
        <v>1.0146189999999999</v>
      </c>
      <c r="I4450">
        <v>171.3734</v>
      </c>
      <c r="J4450">
        <v>-191.73750000000001</v>
      </c>
      <c r="K4450">
        <v>1.1094850000000001</v>
      </c>
      <c r="L4450">
        <v>171.98929999999999</v>
      </c>
      <c r="M4450">
        <v>-3.3151140000000003E-2</v>
      </c>
      <c r="N4450">
        <v>-7.1188359999999999E-3</v>
      </c>
      <c r="O4450">
        <v>-0.99942529999999996</v>
      </c>
      <c r="P4450">
        <v>-6.1803879999999999E-2</v>
      </c>
      <c r="Q4450">
        <v>0.36190040000000001</v>
      </c>
      <c r="R4450">
        <v>-0.93016620000000005</v>
      </c>
      <c r="S4450">
        <v>-0.62800599999999995</v>
      </c>
      <c r="T4450">
        <v>-0.43740329999999999</v>
      </c>
      <c r="U4450">
        <v>-3.3549190000000002</v>
      </c>
      <c r="V4450">
        <v>3.1373720000000001E-2</v>
      </c>
      <c r="W4450">
        <v>0.3684868</v>
      </c>
      <c r="X4450">
        <v>0.92910340000000002</v>
      </c>
      <c r="Y4450">
        <v>0.1498989</v>
      </c>
      <c r="Z4450">
        <v>0.12031849999999999</v>
      </c>
      <c r="AA4450">
        <v>0.98135300000000003</v>
      </c>
      <c r="AB4450">
        <v>24</v>
      </c>
      <c r="AC4450">
        <v>-0.13229999999998601</v>
      </c>
      <c r="AD4450">
        <v>-9.4865999999999895E-2</v>
      </c>
      <c r="AE4450">
        <v>-0.61589999999998202</v>
      </c>
      <c r="AF4450">
        <v>0.109329573268895</v>
      </c>
      <c r="AG4450">
        <v>-9.4865999999999895E-2</v>
      </c>
      <c r="AH4450">
        <v>0.60619989171051902</v>
      </c>
      <c r="AI4450">
        <v>98.755235653607699</v>
      </c>
      <c r="AJ4450">
        <v>79.776473043437093</v>
      </c>
      <c r="AK4450">
        <v>0.62324218587721103</v>
      </c>
      <c r="AL4450">
        <v>68.377674993055393</v>
      </c>
      <c r="AM4450">
        <v>88.065986009993097</v>
      </c>
      <c r="AN4450">
        <v>0.99999997998621803</v>
      </c>
    </row>
    <row r="4451" spans="1:40" x14ac:dyDescent="0.25">
      <c r="A4451" t="str">
        <f>"20190304164216503"</f>
        <v>20190304164216503</v>
      </c>
      <c r="B4451" t="str">
        <f>"1551688936495570"</f>
        <v>1551688936495570</v>
      </c>
      <c r="C4451" t="s">
        <v>40</v>
      </c>
      <c r="D4451">
        <v>4.4500590000000004</v>
      </c>
      <c r="E4451">
        <v>0.558423</v>
      </c>
      <c r="F4451" t="s">
        <v>41</v>
      </c>
      <c r="G4451">
        <v>-191.89109999999999</v>
      </c>
      <c r="H4451">
        <v>1.0011239999999999</v>
      </c>
      <c r="I4451">
        <v>171.16120000000001</v>
      </c>
      <c r="J4451">
        <v>-191.74250000000001</v>
      </c>
      <c r="K4451">
        <v>1.109477</v>
      </c>
      <c r="L4451">
        <v>171.85079999999999</v>
      </c>
      <c r="M4451">
        <v>-3.3579459999999998E-2</v>
      </c>
      <c r="N4451">
        <v>-7.1069590000000004E-3</v>
      </c>
      <c r="O4451">
        <v>-0.99941100000000005</v>
      </c>
      <c r="P4451">
        <v>-6.2745850000000006E-2</v>
      </c>
      <c r="Q4451">
        <v>0.3618537</v>
      </c>
      <c r="R4451">
        <v>-0.93012110000000003</v>
      </c>
      <c r="S4451">
        <v>-0.62200929999999999</v>
      </c>
      <c r="T4451">
        <v>-0.43904149999999997</v>
      </c>
      <c r="U4451">
        <v>-3.3547210000000001</v>
      </c>
      <c r="V4451">
        <v>3.1921459999999999E-2</v>
      </c>
      <c r="W4451">
        <v>0.36842780000000003</v>
      </c>
      <c r="X4451">
        <v>0.92910809999999999</v>
      </c>
      <c r="Y4451">
        <v>0.1477792</v>
      </c>
      <c r="Z4451">
        <v>0.12084540000000001</v>
      </c>
      <c r="AA4451">
        <v>0.98160979999999998</v>
      </c>
      <c r="AB4451">
        <v>24</v>
      </c>
      <c r="AC4451">
        <v>-0.14859999999998699</v>
      </c>
      <c r="AD4451">
        <v>-0.108353</v>
      </c>
      <c r="AE4451">
        <v>-0.689599999999984</v>
      </c>
      <c r="AF4451">
        <v>0.122469839518719</v>
      </c>
      <c r="AG4451">
        <v>-0.108353</v>
      </c>
      <c r="AH4451">
        <v>0.67820061946475096</v>
      </c>
      <c r="AI4451">
        <v>98.935044029611802</v>
      </c>
      <c r="AJ4451">
        <v>79.763810489476796</v>
      </c>
      <c r="AK4451">
        <v>0.69763551690199499</v>
      </c>
      <c r="AL4451">
        <v>68.3813104237598</v>
      </c>
      <c r="AM4451">
        <v>88.032257172100302</v>
      </c>
      <c r="AN4451">
        <v>0.999999942453489</v>
      </c>
    </row>
    <row r="4452" spans="1:40" x14ac:dyDescent="0.25">
      <c r="A4452" t="str">
        <f>"20190304164216514"</f>
        <v>20190304164216514</v>
      </c>
      <c r="B4452" t="str">
        <f>"1551688936505332"</f>
        <v>1551688936505332</v>
      </c>
      <c r="C4452" t="s">
        <v>40</v>
      </c>
      <c r="D4452">
        <v>4.4608019999999904</v>
      </c>
      <c r="E4452">
        <v>0.55859199999999998</v>
      </c>
      <c r="F4452" t="s">
        <v>41</v>
      </c>
      <c r="G4452">
        <v>-191.91149999999999</v>
      </c>
      <c r="H4452">
        <v>0.99122319999999997</v>
      </c>
      <c r="I4452">
        <v>170.94649999999999</v>
      </c>
      <c r="J4452">
        <v>-191.7473</v>
      </c>
      <c r="K4452">
        <v>1.1094710000000001</v>
      </c>
      <c r="L4452">
        <v>171.72229999999999</v>
      </c>
      <c r="M4452">
        <v>-3.3978059999999997E-2</v>
      </c>
      <c r="N4452">
        <v>-7.0973210000000002E-3</v>
      </c>
      <c r="O4452">
        <v>-0.99939739999999999</v>
      </c>
      <c r="P4452">
        <v>-6.3574019999999995E-2</v>
      </c>
      <c r="Q4452">
        <v>0.36158839999999998</v>
      </c>
      <c r="R4452">
        <v>-0.93016829999999995</v>
      </c>
      <c r="S4452">
        <v>-0.62676999999999905</v>
      </c>
      <c r="T4452">
        <v>-0.43856230000000002</v>
      </c>
      <c r="U4452">
        <v>-3.353729</v>
      </c>
      <c r="V4452">
        <v>3.2379230000000002E-2</v>
      </c>
      <c r="W4452">
        <v>0.36815340000000002</v>
      </c>
      <c r="X4452">
        <v>0.9292011</v>
      </c>
      <c r="Y4452">
        <v>0.1487859</v>
      </c>
      <c r="Z4452">
        <v>0.120726</v>
      </c>
      <c r="AA4452">
        <v>0.98147240000000002</v>
      </c>
      <c r="AB4452">
        <v>24</v>
      </c>
      <c r="AC4452">
        <v>-0.16419999999999299</v>
      </c>
      <c r="AD4452">
        <v>-0.118247799999999</v>
      </c>
      <c r="AE4452">
        <v>-0.77580000000000304</v>
      </c>
      <c r="AF4452">
        <v>0.13474809487089701</v>
      </c>
      <c r="AG4452">
        <v>-0.118247799999999</v>
      </c>
      <c r="AH4452">
        <v>0.76394435965815299</v>
      </c>
      <c r="AI4452">
        <v>98.667040323257595</v>
      </c>
      <c r="AJ4452">
        <v>79.996792812956002</v>
      </c>
      <c r="AK4452">
        <v>0.78469776087974297</v>
      </c>
      <c r="AL4452">
        <v>68.398222606185698</v>
      </c>
      <c r="AM4452">
        <v>88.004261003852505</v>
      </c>
      <c r="AN4452">
        <v>1.00000001235408</v>
      </c>
    </row>
    <row r="4453" spans="1:40" x14ac:dyDescent="0.25">
      <c r="A4453" t="str">
        <f>"20190304164216526"</f>
        <v>20190304164216526</v>
      </c>
      <c r="B4453" t="str">
        <f>"1551688936515091"</f>
        <v>1551688936515091</v>
      </c>
      <c r="C4453" t="s">
        <v>40</v>
      </c>
      <c r="D4453">
        <v>4.4478479999999996</v>
      </c>
      <c r="E4453">
        <v>0.5587029</v>
      </c>
      <c r="F4453" t="s">
        <v>41</v>
      </c>
      <c r="G4453">
        <v>-191.8948</v>
      </c>
      <c r="H4453">
        <v>1.007085</v>
      </c>
      <c r="I4453">
        <v>170.93870000000001</v>
      </c>
      <c r="J4453">
        <v>-191.75200000000001</v>
      </c>
      <c r="K4453">
        <v>1.1094649999999999</v>
      </c>
      <c r="L4453">
        <v>171.59569999999999</v>
      </c>
      <c r="M4453">
        <v>-3.437146E-2</v>
      </c>
      <c r="N4453">
        <v>-7.0884090000000004E-3</v>
      </c>
      <c r="O4453">
        <v>-0.99938400000000005</v>
      </c>
      <c r="P4453">
        <v>-6.4471580000000001E-2</v>
      </c>
      <c r="Q4453">
        <v>0.36162480000000002</v>
      </c>
      <c r="R4453">
        <v>-0.93009229999999998</v>
      </c>
      <c r="S4453">
        <v>-0.631378199999999</v>
      </c>
      <c r="T4453">
        <v>-0.43799100000000002</v>
      </c>
      <c r="U4453">
        <v>-3.352325</v>
      </c>
      <c r="V4453">
        <v>3.2915550000000002E-2</v>
      </c>
      <c r="W4453">
        <v>0.36818000000000001</v>
      </c>
      <c r="X4453">
        <v>0.92917169999999905</v>
      </c>
      <c r="Y4453">
        <v>0.14977679999999999</v>
      </c>
      <c r="Z4453">
        <v>0.1205952</v>
      </c>
      <c r="AA4453">
        <v>0.98133769999999998</v>
      </c>
      <c r="AB4453">
        <v>24</v>
      </c>
      <c r="AC4453">
        <v>-0.14279999999999399</v>
      </c>
      <c r="AD4453">
        <v>-0.102379999999999</v>
      </c>
      <c r="AE4453">
        <v>-0.65699999999998204</v>
      </c>
      <c r="AF4453">
        <v>0.11741055399540699</v>
      </c>
      <c r="AG4453">
        <v>-0.102379999999999</v>
      </c>
      <c r="AH4453">
        <v>0.64652880449238403</v>
      </c>
      <c r="AI4453">
        <v>98.855770351391499</v>
      </c>
      <c r="AJ4453">
        <v>79.707175670448393</v>
      </c>
      <c r="AK4453">
        <v>0.66503112530757502</v>
      </c>
      <c r="AL4453">
        <v>68.396583050961794</v>
      </c>
      <c r="AM4453">
        <v>87.971167432807206</v>
      </c>
      <c r="AN4453">
        <v>0.999999996956346</v>
      </c>
    </row>
    <row r="4454" spans="1:40" x14ac:dyDescent="0.25">
      <c r="A4454" t="str">
        <f>"20190304164216540"</f>
        <v>20190304164216540</v>
      </c>
      <c r="B4454" t="str">
        <f>"1551688936535587"</f>
        <v>1551688936535587</v>
      </c>
      <c r="C4454" t="s">
        <v>40</v>
      </c>
      <c r="D4454">
        <v>4.4884409999999999</v>
      </c>
      <c r="E4454">
        <v>0.55875330000000001</v>
      </c>
      <c r="F4454" t="s">
        <v>41</v>
      </c>
      <c r="G4454">
        <v>-191.91749999999999</v>
      </c>
      <c r="H4454">
        <v>0.99555579999999999</v>
      </c>
      <c r="I4454">
        <v>170.72399999999999</v>
      </c>
      <c r="J4454">
        <v>-191.7578</v>
      </c>
      <c r="K4454">
        <v>1.109459</v>
      </c>
      <c r="L4454">
        <v>171.4392</v>
      </c>
      <c r="M4454">
        <v>-3.4858930000000003E-2</v>
      </c>
      <c r="N4454">
        <v>-7.0784949999999998E-3</v>
      </c>
      <c r="O4454">
        <v>-0.99936740000000002</v>
      </c>
      <c r="P4454">
        <v>-6.5475900000000004E-2</v>
      </c>
      <c r="Q4454">
        <v>0.36148849999999999</v>
      </c>
      <c r="R4454">
        <v>-0.93007510000000004</v>
      </c>
      <c r="S4454">
        <v>-0.635849</v>
      </c>
      <c r="T4454">
        <v>-0.4380193</v>
      </c>
      <c r="U4454">
        <v>-3.351715</v>
      </c>
      <c r="V4454">
        <v>3.3469190000000003E-2</v>
      </c>
      <c r="W4454">
        <v>0.36803409999999998</v>
      </c>
      <c r="X4454">
        <v>0.92920970000000003</v>
      </c>
      <c r="Y4454">
        <v>0.15059029999999901</v>
      </c>
      <c r="Z4454">
        <v>0.1206096</v>
      </c>
      <c r="AA4454">
        <v>0.98121139999999996</v>
      </c>
      <c r="AB4454">
        <v>25</v>
      </c>
      <c r="AC4454">
        <v>-0.15969999999998599</v>
      </c>
      <c r="AD4454">
        <v>-0.113903199999999</v>
      </c>
      <c r="AE4454">
        <v>-0.71519999999998096</v>
      </c>
      <c r="AF4454">
        <v>0.131494390997935</v>
      </c>
      <c r="AG4454">
        <v>-0.113903199999999</v>
      </c>
      <c r="AH4454">
        <v>0.703340175090719</v>
      </c>
      <c r="AI4454">
        <v>99.044905723670695</v>
      </c>
      <c r="AJ4454">
        <v>79.410400942568302</v>
      </c>
      <c r="AK4454">
        <v>0.72453579327097495</v>
      </c>
      <c r="AL4454">
        <v>68.405573330219795</v>
      </c>
      <c r="AM4454">
        <v>87.937155972680202</v>
      </c>
      <c r="AN4454">
        <v>0.999999976008077</v>
      </c>
    </row>
    <row r="4455" spans="1:40" x14ac:dyDescent="0.25">
      <c r="A4455" t="str">
        <f>"20190304164216555"</f>
        <v>20190304164216555</v>
      </c>
      <c r="B4455" t="str">
        <f>"1551688936545347"</f>
        <v>1551688936545347</v>
      </c>
      <c r="C4455" t="s">
        <v>40</v>
      </c>
      <c r="D4455">
        <v>4.4682620000000002</v>
      </c>
      <c r="E4455">
        <v>0.55878119999999998</v>
      </c>
      <c r="F4455" t="s">
        <v>41</v>
      </c>
      <c r="G4455">
        <v>-191.8965</v>
      </c>
      <c r="H4455">
        <v>1.0146489999999999</v>
      </c>
      <c r="I4455">
        <v>170.71459999999999</v>
      </c>
      <c r="J4455">
        <v>-191.76390000000001</v>
      </c>
      <c r="K4455">
        <v>1.10945</v>
      </c>
      <c r="L4455">
        <v>171.28149999999999</v>
      </c>
      <c r="M4455">
        <v>-3.5353210000000003E-2</v>
      </c>
      <c r="N4455">
        <v>-7.0700579999999997E-3</v>
      </c>
      <c r="O4455">
        <v>-0.99934979999999995</v>
      </c>
      <c r="P4455">
        <v>-6.6743049999999998E-2</v>
      </c>
      <c r="Q4455">
        <v>0.36136400000000002</v>
      </c>
      <c r="R4455">
        <v>-0.930033</v>
      </c>
      <c r="S4455">
        <v>-0.64068599999999998</v>
      </c>
      <c r="T4455">
        <v>-0.43847370000000002</v>
      </c>
      <c r="U4455">
        <v>-3.350876</v>
      </c>
      <c r="V4455">
        <v>3.4280749999999999E-2</v>
      </c>
      <c r="W4455">
        <v>0.36790020000000001</v>
      </c>
      <c r="X4455">
        <v>0.92923310000000003</v>
      </c>
      <c r="Y4455">
        <v>0.15150959999999999</v>
      </c>
      <c r="Z4455">
        <v>0.1207505</v>
      </c>
      <c r="AA4455">
        <v>0.98105260000000005</v>
      </c>
      <c r="AB4455">
        <v>25</v>
      </c>
      <c r="AC4455">
        <v>-0.132599999999996</v>
      </c>
      <c r="AD4455">
        <v>-9.4801000000000094E-2</v>
      </c>
      <c r="AE4455">
        <v>-0.56690000000000396</v>
      </c>
      <c r="AF4455">
        <v>0.109569708331909</v>
      </c>
      <c r="AG4455">
        <v>-9.4801000000000094E-2</v>
      </c>
      <c r="AH4455">
        <v>0.55647892900489904</v>
      </c>
      <c r="AI4455">
        <v>99.489229031549698</v>
      </c>
      <c r="AJ4455">
        <v>78.861052794851503</v>
      </c>
      <c r="AK4455">
        <v>0.57503178087074402</v>
      </c>
      <c r="AL4455">
        <v>68.413823317146097</v>
      </c>
      <c r="AM4455">
        <v>87.887234141142201</v>
      </c>
      <c r="AN4455">
        <v>0.99999994055810404</v>
      </c>
    </row>
    <row r="4456" spans="1:40" x14ac:dyDescent="0.25">
      <c r="A4456" t="str">
        <f>"20190304164216569"</f>
        <v>20190304164216569</v>
      </c>
      <c r="B4456" t="str">
        <f>"1551688936565842"</f>
        <v>1551688936565842</v>
      </c>
      <c r="C4456" t="s">
        <v>40</v>
      </c>
      <c r="D4456">
        <v>4.4592280000000004</v>
      </c>
      <c r="E4456">
        <v>0.55878319999999904</v>
      </c>
      <c r="F4456" t="s">
        <v>41</v>
      </c>
      <c r="G4456">
        <v>-191.9151</v>
      </c>
      <c r="H4456">
        <v>1.0065309999999901</v>
      </c>
      <c r="I4456">
        <v>170.49760000000001</v>
      </c>
      <c r="J4456">
        <v>-191.7697</v>
      </c>
      <c r="K4456">
        <v>1.1094409999999999</v>
      </c>
      <c r="L4456">
        <v>171.12950000000001</v>
      </c>
      <c r="M4456">
        <v>-3.5835310000000002E-2</v>
      </c>
      <c r="N4456">
        <v>-7.06282E-3</v>
      </c>
      <c r="O4456">
        <v>-0.99933280000000002</v>
      </c>
      <c r="P4456">
        <v>-6.764117E-2</v>
      </c>
      <c r="Q4456">
        <v>0.36163919999999999</v>
      </c>
      <c r="R4456">
        <v>-0.92986120000000005</v>
      </c>
      <c r="S4456">
        <v>-0.645401</v>
      </c>
      <c r="T4456">
        <v>-0.43990249999999997</v>
      </c>
      <c r="U4456">
        <v>-3.350311</v>
      </c>
      <c r="V4456">
        <v>3.4741649999999999E-2</v>
      </c>
      <c r="W4456">
        <v>0.36816670000000001</v>
      </c>
      <c r="X4456">
        <v>0.92911049999999995</v>
      </c>
      <c r="Y4456">
        <v>0.15238489999999999</v>
      </c>
      <c r="Z4456">
        <v>0.121160199999999</v>
      </c>
      <c r="AA4456">
        <v>0.98086649999999997</v>
      </c>
      <c r="AB4456">
        <v>25</v>
      </c>
      <c r="AC4456">
        <v>-0.14539999999999501</v>
      </c>
      <c r="AD4456">
        <v>-0.10291</v>
      </c>
      <c r="AE4456">
        <v>-0.63190000000000102</v>
      </c>
      <c r="AF4456">
        <v>0.11964788924526799</v>
      </c>
      <c r="AG4456">
        <v>-0.10291</v>
      </c>
      <c r="AH4456">
        <v>0.62106074765442298</v>
      </c>
      <c r="AI4456">
        <v>99.241523275078706</v>
      </c>
      <c r="AJ4456">
        <v>79.095513120332598</v>
      </c>
      <c r="AK4456">
        <v>0.64079835968728804</v>
      </c>
      <c r="AL4456">
        <v>68.397402979888099</v>
      </c>
      <c r="AM4456">
        <v>87.858572286512199</v>
      </c>
      <c r="AN4456">
        <v>1.0000000112219301</v>
      </c>
    </row>
    <row r="4457" spans="1:40" x14ac:dyDescent="0.25">
      <c r="A4457" t="str">
        <f>"20190304164216582"</f>
        <v>20190304164216582</v>
      </c>
      <c r="B4457" t="str">
        <f>"1551688936575603"</f>
        <v>1551688936575603</v>
      </c>
      <c r="C4457" t="s">
        <v>40</v>
      </c>
      <c r="D4457">
        <v>4.4863910000000002</v>
      </c>
      <c r="E4457">
        <v>0.55874399999999902</v>
      </c>
      <c r="F4457" t="s">
        <v>41</v>
      </c>
      <c r="G4457">
        <v>-191.93440000000001</v>
      </c>
      <c r="H4457">
        <v>0.99775930000000002</v>
      </c>
      <c r="I4457">
        <v>170.2801</v>
      </c>
      <c r="J4457">
        <v>-191.77549999999999</v>
      </c>
      <c r="K4457">
        <v>1.1094329999999999</v>
      </c>
      <c r="L4457">
        <v>170.98159999999999</v>
      </c>
      <c r="M4457">
        <v>-3.6309559999999998E-2</v>
      </c>
      <c r="N4457">
        <v>-7.0565469999999998E-3</v>
      </c>
      <c r="O4457">
        <v>-0.99931570000000003</v>
      </c>
      <c r="P4457">
        <v>-6.8822910000000001E-2</v>
      </c>
      <c r="Q4457">
        <v>0.36183460000000001</v>
      </c>
      <c r="R4457">
        <v>-0.92969880000000005</v>
      </c>
      <c r="S4457">
        <v>-0.64874270000000001</v>
      </c>
      <c r="T4457">
        <v>-0.4406041</v>
      </c>
      <c r="U4457">
        <v>-3.3504489999999998</v>
      </c>
      <c r="V4457">
        <v>3.5494619999999998E-2</v>
      </c>
      <c r="W4457">
        <v>0.36835420000000002</v>
      </c>
      <c r="X4457">
        <v>0.92900769999999999</v>
      </c>
      <c r="Y4457">
        <v>0.15284710000000001</v>
      </c>
      <c r="Z4457">
        <v>0.1213432</v>
      </c>
      <c r="AA4457">
        <v>0.98077199999999998</v>
      </c>
      <c r="AB4457">
        <v>25</v>
      </c>
      <c r="AC4457">
        <v>-0.158900000000016</v>
      </c>
      <c r="AD4457">
        <v>-0.111673699999999</v>
      </c>
      <c r="AE4457">
        <v>-0.70149999999998103</v>
      </c>
      <c r="AF4457">
        <v>0.13018524436978601</v>
      </c>
      <c r="AG4457">
        <v>-0.111673699999999</v>
      </c>
      <c r="AH4457">
        <v>0.690170235674338</v>
      </c>
      <c r="AI4457">
        <v>99.034517992680307</v>
      </c>
      <c r="AJ4457">
        <v>79.317937810341704</v>
      </c>
      <c r="AK4457">
        <v>0.71116395249905795</v>
      </c>
      <c r="AL4457">
        <v>68.385847613033206</v>
      </c>
      <c r="AM4457">
        <v>87.811963013282295</v>
      </c>
      <c r="AN4457">
        <v>0.99999999568293696</v>
      </c>
    </row>
    <row r="4458" spans="1:40" x14ac:dyDescent="0.25">
      <c r="A4458" t="str">
        <f>"20190304164216593"</f>
        <v>20190304164216593</v>
      </c>
      <c r="B4458" t="str">
        <f>"1551688936585363"</f>
        <v>1551688936585363</v>
      </c>
      <c r="C4458" t="s">
        <v>40</v>
      </c>
      <c r="D4458">
        <v>4.4863400000000002</v>
      </c>
      <c r="E4458">
        <v>0.55871949999999904</v>
      </c>
      <c r="F4458" t="s">
        <v>41</v>
      </c>
      <c r="G4458">
        <v>-191.9547</v>
      </c>
      <c r="H4458">
        <v>0.98853670000000005</v>
      </c>
      <c r="I4458">
        <v>170.06209999999999</v>
      </c>
      <c r="J4458">
        <v>-191.7807</v>
      </c>
      <c r="K4458">
        <v>1.1094219999999999</v>
      </c>
      <c r="L4458">
        <v>170.8503</v>
      </c>
      <c r="M4458">
        <v>-3.6744640000000002E-2</v>
      </c>
      <c r="N4458">
        <v>-7.0545119999999998E-3</v>
      </c>
      <c r="O4458">
        <v>-0.99929990000000002</v>
      </c>
      <c r="P4458">
        <v>-6.9729760000000002E-2</v>
      </c>
      <c r="Q4458">
        <v>0.36188310000000001</v>
      </c>
      <c r="R4458">
        <v>-0.92961190000000005</v>
      </c>
      <c r="S4458">
        <v>-0.65242</v>
      </c>
      <c r="T4458">
        <v>-0.44047839999999999</v>
      </c>
      <c r="U4458">
        <v>-3.3499759999999998</v>
      </c>
      <c r="V4458">
        <v>3.6009590000000001E-2</v>
      </c>
      <c r="W4458">
        <v>0.36839850000000002</v>
      </c>
      <c r="X4458">
        <v>0.92897030000000003</v>
      </c>
      <c r="Y4458">
        <v>0.1534809</v>
      </c>
      <c r="Z4458">
        <v>0.1213047</v>
      </c>
      <c r="AA4458">
        <v>0.98067769999999999</v>
      </c>
      <c r="AB4458">
        <v>25</v>
      </c>
      <c r="AC4458">
        <v>-0.17400000000000601</v>
      </c>
      <c r="AD4458">
        <v>-0.120885299999999</v>
      </c>
      <c r="AE4458">
        <v>-0.788200000000017</v>
      </c>
      <c r="AF4458">
        <v>0.141740554377776</v>
      </c>
      <c r="AG4458">
        <v>-0.120885299999999</v>
      </c>
      <c r="AH4458">
        <v>0.77664214507146001</v>
      </c>
      <c r="AI4458">
        <v>98.705627908598899</v>
      </c>
      <c r="AJ4458">
        <v>79.657102762636995</v>
      </c>
      <c r="AK4458">
        <v>0.79867181120445796</v>
      </c>
      <c r="AL4458">
        <v>68.383117098924103</v>
      </c>
      <c r="AM4458">
        <v>87.780160358000899</v>
      </c>
      <c r="AN4458">
        <v>0.99999998182815397</v>
      </c>
    </row>
    <row r="4459" spans="1:40" x14ac:dyDescent="0.25">
      <c r="A4459" t="str">
        <f>"20190304164216604"</f>
        <v>20190304164216604</v>
      </c>
      <c r="B4459" t="str">
        <f>"1551688936595123"</f>
        <v>1551688936595123</v>
      </c>
      <c r="C4459" t="s">
        <v>40</v>
      </c>
      <c r="D4459">
        <v>4.4794830000000001</v>
      </c>
      <c r="E4459">
        <v>0.55867709999999904</v>
      </c>
      <c r="F4459" t="s">
        <v>41</v>
      </c>
      <c r="G4459">
        <v>-191.9367</v>
      </c>
      <c r="H4459">
        <v>1.0047109999999999</v>
      </c>
      <c r="I4459">
        <v>170.05420000000001</v>
      </c>
      <c r="J4459">
        <v>-191.78579999999999</v>
      </c>
      <c r="K4459">
        <v>1.10941</v>
      </c>
      <c r="L4459">
        <v>170.7252</v>
      </c>
      <c r="M4459">
        <v>-3.7163939999999999E-2</v>
      </c>
      <c r="N4459">
        <v>-7.0534700000000001E-3</v>
      </c>
      <c r="O4459">
        <v>-0.99928459999999997</v>
      </c>
      <c r="P4459">
        <v>-7.0396100000000003E-2</v>
      </c>
      <c r="Q4459">
        <v>0.36237449999999999</v>
      </c>
      <c r="R4459">
        <v>-0.92937049999999999</v>
      </c>
      <c r="S4459">
        <v>-0.65571590000000002</v>
      </c>
      <c r="T4459">
        <v>-0.44057350000000001</v>
      </c>
      <c r="U4459">
        <v>-3.3494570000000001</v>
      </c>
      <c r="V4459">
        <v>3.630589E-2</v>
      </c>
      <c r="W4459">
        <v>0.36888559999999998</v>
      </c>
      <c r="X4459">
        <v>0.92876550000000002</v>
      </c>
      <c r="Y4459">
        <v>0.15402349999999901</v>
      </c>
      <c r="Z4459">
        <v>0.1213323</v>
      </c>
      <c r="AA4459">
        <v>0.98058920000000005</v>
      </c>
      <c r="AB4459">
        <v>25</v>
      </c>
      <c r="AC4459">
        <v>-0.150900000000007</v>
      </c>
      <c r="AD4459">
        <v>-0.104698999999999</v>
      </c>
      <c r="AE4459">
        <v>-0.67099999999999205</v>
      </c>
      <c r="AF4459">
        <v>0.123007479504408</v>
      </c>
      <c r="AG4459">
        <v>-0.104698999999999</v>
      </c>
      <c r="AH4459">
        <v>0.66083011176473305</v>
      </c>
      <c r="AI4459">
        <v>98.853258731064898</v>
      </c>
      <c r="AJ4459">
        <v>79.455591935133597</v>
      </c>
      <c r="AK4459">
        <v>0.68028608484226505</v>
      </c>
      <c r="AL4459">
        <v>68.353094894790203</v>
      </c>
      <c r="AM4459">
        <v>87.761420195736505</v>
      </c>
      <c r="AN4459">
        <v>1.0000000287631501</v>
      </c>
    </row>
    <row r="4460" spans="1:40" x14ac:dyDescent="0.25">
      <c r="A4460" t="str">
        <f>"20190304164216616"</f>
        <v>20190304164216616</v>
      </c>
      <c r="B4460" t="str">
        <f>"1551688936605859"</f>
        <v>1551688936605859</v>
      </c>
      <c r="C4460" t="s">
        <v>40</v>
      </c>
      <c r="D4460">
        <v>4.4915279999999997</v>
      </c>
      <c r="E4460">
        <v>0.55863229999999997</v>
      </c>
      <c r="F4460" t="s">
        <v>41</v>
      </c>
      <c r="G4460">
        <v>-191.96080000000001</v>
      </c>
      <c r="H4460">
        <v>0.99303569999999997</v>
      </c>
      <c r="I4460">
        <v>169.83670000000001</v>
      </c>
      <c r="J4460">
        <v>-191.791</v>
      </c>
      <c r="K4460">
        <v>1.109389</v>
      </c>
      <c r="L4460">
        <v>170.59719999999999</v>
      </c>
      <c r="M4460">
        <v>-3.7605699999999999E-2</v>
      </c>
      <c r="N4460">
        <v>-7.0548449999999997E-3</v>
      </c>
      <c r="O4460">
        <v>-0.99926780000000004</v>
      </c>
      <c r="P4460">
        <v>-7.0975789999999997E-2</v>
      </c>
      <c r="Q4460">
        <v>0.36251650000000002</v>
      </c>
      <c r="R4460">
        <v>-0.92927090000000001</v>
      </c>
      <c r="S4460">
        <v>-0.65945430000000005</v>
      </c>
      <c r="T4460">
        <v>-0.43865700000000002</v>
      </c>
      <c r="U4460">
        <v>-3.3490600000000001</v>
      </c>
      <c r="V4460">
        <v>3.6492330000000003E-2</v>
      </c>
      <c r="W4460">
        <v>0.36902750000000001</v>
      </c>
      <c r="X4460">
        <v>0.92870180000000002</v>
      </c>
      <c r="Y4460">
        <v>0.1546757</v>
      </c>
      <c r="Z4460">
        <v>0.12077359999999999</v>
      </c>
      <c r="AA4460">
        <v>0.98055550000000002</v>
      </c>
      <c r="AB4460">
        <v>25</v>
      </c>
      <c r="AC4460">
        <v>-0.169800000000009</v>
      </c>
      <c r="AD4460">
        <v>-0.11635330000000001</v>
      </c>
      <c r="AE4460">
        <v>-0.76049999999997897</v>
      </c>
      <c r="AF4460">
        <v>0.138003094917895</v>
      </c>
      <c r="AG4460">
        <v>-0.11635330000000001</v>
      </c>
      <c r="AH4460">
        <v>0.749633650482318</v>
      </c>
      <c r="AI4460">
        <v>98.679112246634702</v>
      </c>
      <c r="AJ4460">
        <v>79.568979344051499</v>
      </c>
      <c r="AK4460">
        <v>0.77106002007836805</v>
      </c>
      <c r="AL4460">
        <v>68.344347027660206</v>
      </c>
      <c r="AM4460">
        <v>87.749782129150901</v>
      </c>
      <c r="AN4460">
        <v>1.0000000096141499</v>
      </c>
    </row>
    <row r="4461" spans="1:40" x14ac:dyDescent="0.25">
      <c r="A4461" t="str">
        <f>"20190304164216629"</f>
        <v>20190304164216629</v>
      </c>
      <c r="B4461" t="str">
        <f>"1551688936625378"</f>
        <v>1551688936625378</v>
      </c>
      <c r="C4461" t="s">
        <v>40</v>
      </c>
      <c r="D4461">
        <v>4.500515</v>
      </c>
      <c r="E4461">
        <v>0.55857939999999995</v>
      </c>
      <c r="F4461" t="s">
        <v>41</v>
      </c>
      <c r="G4461">
        <v>-191.94300000000001</v>
      </c>
      <c r="H4461">
        <v>1.0088379999999999</v>
      </c>
      <c r="I4461">
        <v>169.8289</v>
      </c>
      <c r="J4461">
        <v>-191.79650000000001</v>
      </c>
      <c r="K4461">
        <v>1.109372</v>
      </c>
      <c r="L4461">
        <v>170.4631</v>
      </c>
      <c r="M4461">
        <v>-3.8084460000000001E-2</v>
      </c>
      <c r="N4461">
        <v>-7.0585780000000002E-3</v>
      </c>
      <c r="O4461">
        <v>-0.99924950000000001</v>
      </c>
      <c r="P4461">
        <v>-7.1584159999999994E-2</v>
      </c>
      <c r="Q4461">
        <v>0.36238049999999999</v>
      </c>
      <c r="R4461">
        <v>-0.92927709999999997</v>
      </c>
      <c r="S4461">
        <v>-0.66204830000000003</v>
      </c>
      <c r="T4461">
        <v>-0.43825940000000002</v>
      </c>
      <c r="U4461">
        <v>-3.3487550000000001</v>
      </c>
      <c r="V4461">
        <v>3.6672789999999997E-2</v>
      </c>
      <c r="W4461">
        <v>0.36889270000000002</v>
      </c>
      <c r="X4461">
        <v>0.92874820000000002</v>
      </c>
      <c r="Y4461">
        <v>0.15495329999999999</v>
      </c>
      <c r="Z4461">
        <v>0.120652</v>
      </c>
      <c r="AA4461">
        <v>0.98052669999999997</v>
      </c>
      <c r="AB4461">
        <v>25</v>
      </c>
      <c r="AC4461">
        <v>-0.14649999999997401</v>
      </c>
      <c r="AD4461">
        <v>-0.100534</v>
      </c>
      <c r="AE4461">
        <v>-0.63419999999999199</v>
      </c>
      <c r="AF4461">
        <v>0.119391743340179</v>
      </c>
      <c r="AG4461">
        <v>-0.100534</v>
      </c>
      <c r="AH4461">
        <v>0.624423199391266</v>
      </c>
      <c r="AI4461">
        <v>98.986240161653896</v>
      </c>
      <c r="AJ4461">
        <v>79.175508690233798</v>
      </c>
      <c r="AK4461">
        <v>0.64363483860946502</v>
      </c>
      <c r="AL4461">
        <v>68.352655853156804</v>
      </c>
      <c r="AM4461">
        <v>87.738778849142307</v>
      </c>
      <c r="AN4461">
        <v>0.99999996832145599</v>
      </c>
    </row>
    <row r="4462" spans="1:40" x14ac:dyDescent="0.25">
      <c r="A4462" t="str">
        <f>"20190304164216643"</f>
        <v>20190304164216643</v>
      </c>
      <c r="B4462" t="str">
        <f>"1551688936635139"</f>
        <v>1551688936635139</v>
      </c>
      <c r="C4462" t="s">
        <v>40</v>
      </c>
      <c r="D4462">
        <v>4.502586</v>
      </c>
      <c r="E4462">
        <v>0.55856269999999997</v>
      </c>
      <c r="F4462" t="s">
        <v>41</v>
      </c>
      <c r="G4462">
        <v>-191.96559999999999</v>
      </c>
      <c r="H4462">
        <v>0.99745039999999996</v>
      </c>
      <c r="I4462">
        <v>169.61060000000001</v>
      </c>
      <c r="J4462">
        <v>-191.80369999999999</v>
      </c>
      <c r="K4462">
        <v>1.1093390000000001</v>
      </c>
      <c r="L4462">
        <v>170.291</v>
      </c>
      <c r="M4462">
        <v>-3.8722470000000002E-2</v>
      </c>
      <c r="N4462">
        <v>-7.0675010000000003E-3</v>
      </c>
      <c r="O4462">
        <v>-0.99922500000000003</v>
      </c>
      <c r="P4462">
        <v>-7.3446090000000006E-2</v>
      </c>
      <c r="Q4462">
        <v>0.36199730000000002</v>
      </c>
      <c r="R4462">
        <v>-0.92928120000000003</v>
      </c>
      <c r="S4462">
        <v>-0.66403199999999996</v>
      </c>
      <c r="T4462">
        <v>-0.43967319999999999</v>
      </c>
      <c r="U4462">
        <v>-3.3486180000000001</v>
      </c>
      <c r="V4462">
        <v>3.7967479999999998E-2</v>
      </c>
      <c r="W4462">
        <v>0.3685138</v>
      </c>
      <c r="X4462">
        <v>0.92884659999999997</v>
      </c>
      <c r="Y4462">
        <v>0.15487970000000001</v>
      </c>
      <c r="Z4462">
        <v>0.121042899999999</v>
      </c>
      <c r="AA4462">
        <v>0.98049010000000003</v>
      </c>
      <c r="AB4462">
        <v>25</v>
      </c>
      <c r="AC4462">
        <v>-0.16190000000000199</v>
      </c>
      <c r="AD4462">
        <v>-0.11188859999999901</v>
      </c>
      <c r="AE4462">
        <v>-0.68039999999999101</v>
      </c>
      <c r="AF4462">
        <v>0.13205152237161</v>
      </c>
      <c r="AG4462">
        <v>-0.11188859999999901</v>
      </c>
      <c r="AH4462">
        <v>0.66903622732565304</v>
      </c>
      <c r="AI4462">
        <v>99.3176774016503</v>
      </c>
      <c r="AJ4462">
        <v>78.834716043061903</v>
      </c>
      <c r="AK4462">
        <v>0.69106160133866701</v>
      </c>
      <c r="AL4462">
        <v>68.376010863237198</v>
      </c>
      <c r="AM4462">
        <v>87.659284099908803</v>
      </c>
      <c r="AN4462">
        <v>0.99999997832977405</v>
      </c>
    </row>
    <row r="4463" spans="1:40" x14ac:dyDescent="0.25">
      <c r="A4463" t="str">
        <f>"20190304164216656"</f>
        <v>20190304164216656</v>
      </c>
      <c r="B4463" t="str">
        <f>"1551688936645524"</f>
        <v>1551688936645524</v>
      </c>
      <c r="C4463" t="s">
        <v>40</v>
      </c>
      <c r="D4463">
        <v>4.754162</v>
      </c>
      <c r="E4463">
        <v>0.55856269999999997</v>
      </c>
      <c r="F4463" t="s">
        <v>41</v>
      </c>
      <c r="G4463">
        <v>-191.98429999999999</v>
      </c>
      <c r="H4463">
        <v>0.99032410000000004</v>
      </c>
      <c r="I4463">
        <v>169.3895</v>
      </c>
      <c r="J4463">
        <v>-191.80969999999999</v>
      </c>
      <c r="K4463">
        <v>1.1093059999999999</v>
      </c>
      <c r="L4463">
        <v>170.1508</v>
      </c>
      <c r="M4463">
        <v>-3.9279929999999998E-2</v>
      </c>
      <c r="N4463">
        <v>-7.0845480000000004E-3</v>
      </c>
      <c r="O4463">
        <v>-0.99920319999999996</v>
      </c>
      <c r="P4463">
        <v>-7.4331240000000007E-2</v>
      </c>
      <c r="Q4463">
        <v>0.36191760000000001</v>
      </c>
      <c r="R4463">
        <v>-0.92924229999999997</v>
      </c>
      <c r="S4463">
        <v>-0.67001339999999998</v>
      </c>
      <c r="T4463">
        <v>-0.44193909999999997</v>
      </c>
      <c r="U4463">
        <v>-3.3475190000000001</v>
      </c>
      <c r="V4463">
        <v>3.8364820000000001E-2</v>
      </c>
      <c r="W4463">
        <v>0.368446</v>
      </c>
      <c r="X4463">
        <v>0.92885720000000005</v>
      </c>
      <c r="Y4463">
        <v>0.15605859999999999</v>
      </c>
      <c r="Z4463">
        <v>0.1216787</v>
      </c>
      <c r="AA4463">
        <v>0.9802244</v>
      </c>
      <c r="AB4463">
        <v>25</v>
      </c>
      <c r="AC4463">
        <v>-0.17459999999999801</v>
      </c>
      <c r="AD4463">
        <v>-0.118981899999999</v>
      </c>
      <c r="AE4463">
        <v>-0.76130000000000497</v>
      </c>
      <c r="AF4463">
        <v>0.14128218999476899</v>
      </c>
      <c r="AG4463">
        <v>-0.118981899999999</v>
      </c>
      <c r="AH4463">
        <v>0.75016311991952001</v>
      </c>
      <c r="AI4463">
        <v>98.859281073331502</v>
      </c>
      <c r="AJ4463">
        <v>79.334118429512898</v>
      </c>
      <c r="AK4463">
        <v>0.77256847995806599</v>
      </c>
      <c r="AL4463">
        <v>68.380190179284995</v>
      </c>
      <c r="AM4463">
        <v>87.634842507605001</v>
      </c>
      <c r="AN4463">
        <v>1.0000000061607299</v>
      </c>
    </row>
    <row r="4464" spans="1:40" x14ac:dyDescent="0.25">
      <c r="A4464" t="str">
        <f>"20190304164216667"</f>
        <v>20190304164216667</v>
      </c>
      <c r="B4464" t="str">
        <f>"1551688936655284"</f>
        <v>1551688936655284</v>
      </c>
      <c r="C4464" t="s">
        <v>40</v>
      </c>
      <c r="D4464">
        <v>4.5517019999999997</v>
      </c>
      <c r="E4464">
        <v>0.558917</v>
      </c>
      <c r="F4464" t="s">
        <v>41</v>
      </c>
      <c r="G4464">
        <v>-191.96469999999999</v>
      </c>
      <c r="H4464">
        <v>1.0075909999999999</v>
      </c>
      <c r="I4464">
        <v>169.3809</v>
      </c>
      <c r="J4464">
        <v>-191.81530000000001</v>
      </c>
      <c r="K4464">
        <v>1.109275</v>
      </c>
      <c r="L4464">
        <v>170.02090000000001</v>
      </c>
      <c r="M4464">
        <v>-3.9819640000000003E-2</v>
      </c>
      <c r="N4464">
        <v>-7.1069030000000004E-3</v>
      </c>
      <c r="O4464">
        <v>-0.9991816</v>
      </c>
      <c r="P4464">
        <v>-7.5106859999999998E-2</v>
      </c>
      <c r="Q4464">
        <v>0.36187200000000003</v>
      </c>
      <c r="R4464">
        <v>-0.9291973</v>
      </c>
      <c r="S4464">
        <v>-0.6734772</v>
      </c>
      <c r="T4464">
        <v>-0.4421716</v>
      </c>
      <c r="U4464">
        <v>-3.3467709999999999</v>
      </c>
      <c r="V4464">
        <v>3.8669969999999998E-2</v>
      </c>
      <c r="W4464">
        <v>0.36841800000000002</v>
      </c>
      <c r="X4464">
        <v>0.92885569999999895</v>
      </c>
      <c r="Y4464">
        <v>0.15654079999999901</v>
      </c>
      <c r="Z4464">
        <v>0.1217297</v>
      </c>
      <c r="AA4464">
        <v>0.98014120000000005</v>
      </c>
      <c r="AB4464">
        <v>25</v>
      </c>
      <c r="AC4464">
        <v>-0.14939999999998499</v>
      </c>
      <c r="AD4464">
        <v>-0.101684</v>
      </c>
      <c r="AE4464">
        <v>-0.640000000000014</v>
      </c>
      <c r="AF4464">
        <v>0.120902044503262</v>
      </c>
      <c r="AG4464">
        <v>-0.101684</v>
      </c>
      <c r="AH4464">
        <v>0.63035174805058602</v>
      </c>
      <c r="AI4464">
        <v>99.002288402672093</v>
      </c>
      <c r="AJ4464">
        <v>79.142476032683106</v>
      </c>
      <c r="AK4464">
        <v>0.64984634067716196</v>
      </c>
      <c r="AL4464">
        <v>68.381916857877499</v>
      </c>
      <c r="AM4464">
        <v>87.616048051345501</v>
      </c>
      <c r="AN4464">
        <v>1.0000000503631401</v>
      </c>
    </row>
    <row r="4465" spans="1:40" x14ac:dyDescent="0.25">
      <c r="A4465" t="str">
        <f>"20190304164216680"</f>
        <v>20190304164216680</v>
      </c>
      <c r="B4465" t="str">
        <f>"1551688936675781"</f>
        <v>1551688936675781</v>
      </c>
      <c r="C4465" t="s">
        <v>40</v>
      </c>
      <c r="D4465">
        <v>4.6908529999999997</v>
      </c>
      <c r="E4465">
        <v>0.57669099999999995</v>
      </c>
      <c r="F4465" t="s">
        <v>41</v>
      </c>
      <c r="G4465">
        <v>-191.9948</v>
      </c>
      <c r="H4465">
        <v>1.019047</v>
      </c>
      <c r="I4465">
        <v>169.1506</v>
      </c>
      <c r="J4465">
        <v>-191.82159999999999</v>
      </c>
      <c r="K4465">
        <v>1.109243</v>
      </c>
      <c r="L4465">
        <v>169.8792</v>
      </c>
      <c r="M4465">
        <v>-4.0431349999999998E-2</v>
      </c>
      <c r="N4465">
        <v>-7.1380369999999999E-3</v>
      </c>
      <c r="O4465">
        <v>-0.99915699999999996</v>
      </c>
      <c r="P4465">
        <v>-7.5851840000000004E-2</v>
      </c>
      <c r="Q4465">
        <v>0.36224129999999999</v>
      </c>
      <c r="R4465">
        <v>-0.92899299999999996</v>
      </c>
      <c r="S4465">
        <v>-0.68168640000000003</v>
      </c>
      <c r="T4465">
        <v>-0.34285739999999998</v>
      </c>
      <c r="U4465">
        <v>-3.3070219999999999</v>
      </c>
      <c r="V4465">
        <v>3.8890279999999999E-2</v>
      </c>
      <c r="W4465">
        <v>0.36881029999999998</v>
      </c>
      <c r="X4465">
        <v>0.92869069999999998</v>
      </c>
      <c r="Y4465">
        <v>0.16116440000000001</v>
      </c>
      <c r="Z4465">
        <v>9.4196479999999999E-2</v>
      </c>
      <c r="AA4465">
        <v>0.98242209999999996</v>
      </c>
      <c r="AB4465">
        <v>25</v>
      </c>
      <c r="AC4465">
        <v>-0.17320000000000799</v>
      </c>
      <c r="AD4465">
        <v>-9.0195999999999901E-2</v>
      </c>
      <c r="AE4465">
        <v>-0.72860000000000003</v>
      </c>
      <c r="AF4465">
        <v>0.14154619101590599</v>
      </c>
      <c r="AG4465">
        <v>-9.0195999999999901E-2</v>
      </c>
      <c r="AH4465">
        <v>0.72449812077231102</v>
      </c>
      <c r="AI4465">
        <v>96.966121929011805</v>
      </c>
      <c r="AJ4465">
        <v>78.945293903044899</v>
      </c>
      <c r="AK4465">
        <v>0.74368553139732496</v>
      </c>
      <c r="AL4465">
        <v>68.357734846225398</v>
      </c>
      <c r="AM4465">
        <v>87.602056569677401</v>
      </c>
      <c r="AN4465">
        <v>0.99999995376552797</v>
      </c>
    </row>
    <row r="4466" spans="1:40" x14ac:dyDescent="0.25">
      <c r="A4466" t="str">
        <f>"20190304164216693"</f>
        <v>20190304164216693</v>
      </c>
      <c r="B4466" t="str">
        <f>"1551688936685540"</f>
        <v>1551688936685540</v>
      </c>
      <c r="C4466" t="s">
        <v>40</v>
      </c>
      <c r="D4466">
        <v>4.5742770000000004</v>
      </c>
      <c r="E4466">
        <v>0.57742459999999995</v>
      </c>
      <c r="F4466" t="s">
        <v>41</v>
      </c>
      <c r="G4466">
        <v>-192.0034</v>
      </c>
      <c r="H4466">
        <v>1.022022</v>
      </c>
      <c r="I4466">
        <v>169.14930000000001</v>
      </c>
      <c r="J4466">
        <v>-191.82810000000001</v>
      </c>
      <c r="K4466">
        <v>1.109205</v>
      </c>
      <c r="L4466">
        <v>169.73609999999999</v>
      </c>
      <c r="M4466">
        <v>-4.1105370000000002E-2</v>
      </c>
      <c r="N4466">
        <v>-7.1879459999999997E-3</v>
      </c>
      <c r="O4466">
        <v>-0.99912909999999999</v>
      </c>
      <c r="P4466">
        <v>-7.6790440000000001E-2</v>
      </c>
      <c r="Q4466">
        <v>0.36206129999999997</v>
      </c>
      <c r="R4466">
        <v>-0.92898610000000004</v>
      </c>
      <c r="S4466">
        <v>-0.82600399999999996</v>
      </c>
      <c r="T4466">
        <v>-0.39631919999999998</v>
      </c>
      <c r="U4466">
        <v>-3.3163909999999999</v>
      </c>
      <c r="V4466">
        <v>3.9244540000000001E-2</v>
      </c>
      <c r="W4466">
        <v>0.368672</v>
      </c>
      <c r="X4466">
        <v>0.92873070000000002</v>
      </c>
      <c r="Y4466">
        <v>0.20007949999999999</v>
      </c>
      <c r="Z4466">
        <v>0.10846509999999999</v>
      </c>
      <c r="AA4466">
        <v>0.9737574</v>
      </c>
      <c r="AB4466">
        <v>25</v>
      </c>
      <c r="AC4466">
        <v>-0.17529999999999199</v>
      </c>
      <c r="AD4466">
        <v>-8.7182999999999997E-2</v>
      </c>
      <c r="AE4466">
        <v>-0.586799999999982</v>
      </c>
      <c r="AF4466">
        <v>0.148030661849505</v>
      </c>
      <c r="AG4466">
        <v>-8.7182999999999997E-2</v>
      </c>
      <c r="AH4466">
        <v>0.58172109442477404</v>
      </c>
      <c r="AI4466">
        <v>98.263965299265493</v>
      </c>
      <c r="AJ4466">
        <v>75.722955709690694</v>
      </c>
      <c r="AK4466">
        <v>0.60655864022809802</v>
      </c>
      <c r="AL4466">
        <v>68.366259380260999</v>
      </c>
      <c r="AM4466">
        <v>87.580343123853496</v>
      </c>
      <c r="AN4466">
        <v>0.99999994531314895</v>
      </c>
    </row>
    <row r="4467" spans="1:40" x14ac:dyDescent="0.25">
      <c r="A4467" t="str">
        <f>"20190304164216705"</f>
        <v>20190304164216705</v>
      </c>
      <c r="B4467" t="str">
        <f>"1551688936695301"</f>
        <v>1551688936695301</v>
      </c>
      <c r="C4467" t="s">
        <v>40</v>
      </c>
      <c r="D4467">
        <v>4.5817170000000003</v>
      </c>
      <c r="E4467">
        <v>0.57790369999999902</v>
      </c>
      <c r="F4467" t="s">
        <v>41</v>
      </c>
      <c r="G4467">
        <v>-192.02979999999999</v>
      </c>
      <c r="H4467">
        <v>1.0037320000000001</v>
      </c>
      <c r="I4467">
        <v>168.9324</v>
      </c>
      <c r="J4467">
        <v>-191.83439999999999</v>
      </c>
      <c r="K4467">
        <v>1.109165</v>
      </c>
      <c r="L4467">
        <v>169.59829999999999</v>
      </c>
      <c r="M4467">
        <v>-4.1781369999999998E-2</v>
      </c>
      <c r="N4467">
        <v>-7.2453589999999998E-3</v>
      </c>
      <c r="O4467">
        <v>-0.9991004</v>
      </c>
      <c r="P4467">
        <v>-7.7842850000000005E-2</v>
      </c>
      <c r="Q4467">
        <v>0.36199720000000002</v>
      </c>
      <c r="R4467">
        <v>-0.92892330000000001</v>
      </c>
      <c r="S4467">
        <v>-0.83518979999999998</v>
      </c>
      <c r="T4467">
        <v>-0.43712830000000003</v>
      </c>
      <c r="U4467">
        <v>-3.3306429999999998</v>
      </c>
      <c r="V4467">
        <v>3.9714560000000003E-2</v>
      </c>
      <c r="W4467">
        <v>0.36865560000000003</v>
      </c>
      <c r="X4467">
        <v>0.92871729999999997</v>
      </c>
      <c r="Y4467">
        <v>0.2006491</v>
      </c>
      <c r="Z4467">
        <v>0.1195581</v>
      </c>
      <c r="AA4467">
        <v>0.97234030000000005</v>
      </c>
      <c r="AB4467">
        <v>25</v>
      </c>
      <c r="AC4467">
        <v>-0.19540000000000601</v>
      </c>
      <c r="AD4467">
        <v>-0.105432999999999</v>
      </c>
      <c r="AE4467">
        <v>-0.66589999999999305</v>
      </c>
      <c r="AF4467">
        <v>0.16362960730865</v>
      </c>
      <c r="AG4467">
        <v>-0.105432999999999</v>
      </c>
      <c r="AH4467">
        <v>0.65828853200132698</v>
      </c>
      <c r="AI4467">
        <v>98.834928693262995</v>
      </c>
      <c r="AJ4467">
        <v>76.040991980526599</v>
      </c>
      <c r="AK4467">
        <v>0.68646526295322896</v>
      </c>
      <c r="AL4467">
        <v>68.367271714027396</v>
      </c>
      <c r="AM4467">
        <v>87.551363401590393</v>
      </c>
      <c r="AN4467">
        <v>1.00000001050332</v>
      </c>
    </row>
    <row r="4468" spans="1:40" x14ac:dyDescent="0.25">
      <c r="A4468" t="str">
        <f>"20190304164216717"</f>
        <v>20190304164216717</v>
      </c>
      <c r="B4468" t="str">
        <f>"1551688936706038"</f>
        <v>1551688936706038</v>
      </c>
      <c r="C4468" t="s">
        <v>40</v>
      </c>
      <c r="D4468">
        <v>4.568873</v>
      </c>
      <c r="E4468">
        <v>0.57846430000000004</v>
      </c>
      <c r="F4468" t="s">
        <v>41</v>
      </c>
      <c r="G4468">
        <v>-192.05770000000001</v>
      </c>
      <c r="H4468">
        <v>0.98782170000000002</v>
      </c>
      <c r="I4468">
        <v>168.7139</v>
      </c>
      <c r="J4468">
        <v>-191.8409</v>
      </c>
      <c r="K4468">
        <v>1.109121</v>
      </c>
      <c r="L4468">
        <v>169.46109999999999</v>
      </c>
      <c r="M4468">
        <v>-4.2507299999999998E-2</v>
      </c>
      <c r="N4468">
        <v>-7.3209379999999999E-3</v>
      </c>
      <c r="O4468">
        <v>-0.99906950000000005</v>
      </c>
      <c r="P4468">
        <v>-7.9527329999999993E-2</v>
      </c>
      <c r="Q4468">
        <v>0.36186010000000002</v>
      </c>
      <c r="R4468">
        <v>-0.9288343</v>
      </c>
      <c r="S4468">
        <v>-0.84268189999999998</v>
      </c>
      <c r="T4468">
        <v>-0.45790579999999997</v>
      </c>
      <c r="U4468">
        <v>-3.3373719999999998</v>
      </c>
      <c r="V4468">
        <v>4.0776140000000002E-2</v>
      </c>
      <c r="W4468">
        <v>0.36858069999999998</v>
      </c>
      <c r="X4468">
        <v>0.928701</v>
      </c>
      <c r="Y4468">
        <v>0.20135520000000001</v>
      </c>
      <c r="Z4468">
        <v>0.1251012</v>
      </c>
      <c r="AA4468">
        <v>0.97149660000000004</v>
      </c>
      <c r="AB4468">
        <v>25</v>
      </c>
      <c r="AC4468">
        <v>-0.21680000000000599</v>
      </c>
      <c r="AD4468">
        <v>-0.1212993</v>
      </c>
      <c r="AE4468">
        <v>-0.74719999999999198</v>
      </c>
      <c r="AF4468">
        <v>0.18045533401771399</v>
      </c>
      <c r="AG4468">
        <v>-0.1212993</v>
      </c>
      <c r="AH4468">
        <v>0.73780628041929297</v>
      </c>
      <c r="AI4468">
        <v>99.073408381584699</v>
      </c>
      <c r="AJ4468">
        <v>76.256207152787397</v>
      </c>
      <c r="AK4468">
        <v>0.76917862371628998</v>
      </c>
      <c r="AL4468">
        <v>68.3718877202394</v>
      </c>
      <c r="AM4468">
        <v>87.485949557955493</v>
      </c>
      <c r="AN4468">
        <v>0.99999998670339396</v>
      </c>
    </row>
    <row r="4469" spans="1:40" x14ac:dyDescent="0.25">
      <c r="A4469" t="str">
        <f>"20190304164216733"</f>
        <v>20190304164216733</v>
      </c>
      <c r="B4469" t="str">
        <f>"1551688936725556"</f>
        <v>1551688936725556</v>
      </c>
      <c r="C4469" t="s">
        <v>40</v>
      </c>
      <c r="D4469">
        <v>4.8424709999999997</v>
      </c>
      <c r="E4469">
        <v>0.57951339999999996</v>
      </c>
      <c r="F4469" t="s">
        <v>41</v>
      </c>
      <c r="G4469">
        <v>-192.0333</v>
      </c>
      <c r="H4469">
        <v>1.002991</v>
      </c>
      <c r="I4469">
        <v>168.70650000000001</v>
      </c>
      <c r="J4469">
        <v>-191.84960000000001</v>
      </c>
      <c r="K4469">
        <v>1.1090629999999999</v>
      </c>
      <c r="L4469">
        <v>169.2807</v>
      </c>
      <c r="M4469">
        <v>-4.3531220000000002E-2</v>
      </c>
      <c r="N4469">
        <v>-7.4372090000000002E-3</v>
      </c>
      <c r="O4469">
        <v>-0.99902460000000004</v>
      </c>
      <c r="P4469">
        <v>-8.232457E-2</v>
      </c>
      <c r="Q4469">
        <v>0.36099809999999999</v>
      </c>
      <c r="R4469">
        <v>-0.92892609999999998</v>
      </c>
      <c r="S4469">
        <v>-0.85176090000000004</v>
      </c>
      <c r="T4469">
        <v>-0.46976220000000002</v>
      </c>
      <c r="U4469">
        <v>-3.3399510000000001</v>
      </c>
      <c r="V4469">
        <v>4.2681910000000003E-2</v>
      </c>
      <c r="W4469">
        <v>0.3678169</v>
      </c>
      <c r="X4469">
        <v>0.92891820000000003</v>
      </c>
      <c r="Y4469">
        <v>0.2025527</v>
      </c>
      <c r="Z4469">
        <v>0.1281843</v>
      </c>
      <c r="AA4469">
        <v>0.97084559999999998</v>
      </c>
      <c r="AB4469">
        <v>25</v>
      </c>
      <c r="AC4469">
        <v>-0.18369999999998701</v>
      </c>
      <c r="AD4469">
        <v>-0.106071999999999</v>
      </c>
      <c r="AE4469">
        <v>-0.57419999999999005</v>
      </c>
      <c r="AF4469">
        <v>0.15376934473547399</v>
      </c>
      <c r="AG4469">
        <v>-0.106071999999999</v>
      </c>
      <c r="AH4469">
        <v>0.56418717462122503</v>
      </c>
      <c r="AI4469">
        <v>100.281206284048</v>
      </c>
      <c r="AJ4469">
        <v>74.754323209062903</v>
      </c>
      <c r="AK4469">
        <v>0.59430921965880501</v>
      </c>
      <c r="AL4469">
        <v>68.418957743397797</v>
      </c>
      <c r="AM4469">
        <v>87.369225306606893</v>
      </c>
      <c r="AN4469">
        <v>1.00000001982904</v>
      </c>
    </row>
    <row r="4470" spans="1:40" x14ac:dyDescent="0.25">
      <c r="A4470" t="str">
        <f>"20190304164216756"</f>
        <v>20190304164216756</v>
      </c>
      <c r="B4470" t="str">
        <f>"1551688936745618"</f>
        <v>1551688936745618</v>
      </c>
      <c r="C4470" t="s">
        <v>40</v>
      </c>
      <c r="D4470">
        <v>4.5686280000000004</v>
      </c>
      <c r="E4470">
        <v>0.58057799999999904</v>
      </c>
      <c r="F4470" t="s">
        <v>41</v>
      </c>
      <c r="G4470">
        <v>-192.05670000000001</v>
      </c>
      <c r="H4470">
        <v>0.99451860000000003</v>
      </c>
      <c r="I4470">
        <v>168.48410000000001</v>
      </c>
      <c r="J4470">
        <v>-191.86269999999999</v>
      </c>
      <c r="K4470">
        <v>1.108975</v>
      </c>
      <c r="L4470">
        <v>169.0205</v>
      </c>
      <c r="M4470">
        <v>-4.5139760000000001E-2</v>
      </c>
      <c r="N4470">
        <v>-7.6280999999999996E-3</v>
      </c>
      <c r="O4470">
        <v>-0.99895160000000005</v>
      </c>
      <c r="P4470">
        <v>-8.5546659999999997E-2</v>
      </c>
      <c r="Q4470">
        <v>0.36048469999999999</v>
      </c>
      <c r="R4470">
        <v>-0.92883419999999906</v>
      </c>
      <c r="S4470">
        <v>-0.86772159999999998</v>
      </c>
      <c r="T4470">
        <v>-0.48013640000000002</v>
      </c>
      <c r="U4470">
        <v>-3.3392330000000001</v>
      </c>
      <c r="V4470">
        <v>4.4511229999999999E-2</v>
      </c>
      <c r="W4470">
        <v>0.36746430000000002</v>
      </c>
      <c r="X4470">
        <v>0.92897189999999996</v>
      </c>
      <c r="Y4470">
        <v>0.2052842</v>
      </c>
      <c r="Z4470">
        <v>0.13083030000000001</v>
      </c>
      <c r="AA4470">
        <v>0.96991850000000002</v>
      </c>
      <c r="AB4470">
        <v>25</v>
      </c>
      <c r="AC4470">
        <v>-0.19400000000001599</v>
      </c>
      <c r="AD4470">
        <v>-0.1144564</v>
      </c>
      <c r="AE4470">
        <v>-0.536399999999986</v>
      </c>
      <c r="AF4470">
        <v>0.163024581423346</v>
      </c>
      <c r="AG4470">
        <v>-0.1144564</v>
      </c>
      <c r="AH4470">
        <v>0.52353121914459499</v>
      </c>
      <c r="AI4470">
        <v>101.79049062767599</v>
      </c>
      <c r="AJ4470">
        <v>72.703714763702905</v>
      </c>
      <c r="AK4470">
        <v>0.56014481972811603</v>
      </c>
      <c r="AL4470">
        <v>68.440681745029096</v>
      </c>
      <c r="AM4470">
        <v>87.256799005328702</v>
      </c>
      <c r="AN4470">
        <v>1.0000000261801001</v>
      </c>
    </row>
    <row r="4471" spans="1:40" x14ac:dyDescent="0.25">
      <c r="A4471" t="str">
        <f>"20190304164216770"</f>
        <v>20190304164216770</v>
      </c>
      <c r="B4471" t="str">
        <f>"1551688936765138"</f>
        <v>1551688936765138</v>
      </c>
      <c r="C4471" t="s">
        <v>40</v>
      </c>
      <c r="D4471">
        <v>4.5780570000000003</v>
      </c>
      <c r="E4471">
        <v>0.5815129</v>
      </c>
      <c r="F4471" t="s">
        <v>41</v>
      </c>
      <c r="G4471">
        <v>-192.066</v>
      </c>
      <c r="H4471">
        <v>0.99891509999999994</v>
      </c>
      <c r="I4471">
        <v>168.255</v>
      </c>
      <c r="J4471">
        <v>-191.8708</v>
      </c>
      <c r="K4471">
        <v>1.1089230000000001</v>
      </c>
      <c r="L4471">
        <v>168.86519999999999</v>
      </c>
      <c r="M4471">
        <v>-4.6182359999999999E-2</v>
      </c>
      <c r="N4471">
        <v>-7.7519519999999899E-3</v>
      </c>
      <c r="O4471">
        <v>-0.99890310000000004</v>
      </c>
      <c r="P4471">
        <v>-8.7161409999999995E-2</v>
      </c>
      <c r="Q4471">
        <v>0.36027550000000003</v>
      </c>
      <c r="R4471">
        <v>-0.92876519999999996</v>
      </c>
      <c r="S4471">
        <v>-0.88557430000000004</v>
      </c>
      <c r="T4471">
        <v>-0.47936810000000002</v>
      </c>
      <c r="U4471">
        <v>-3.3343349999999998</v>
      </c>
      <c r="V4471">
        <v>4.5218479999999998E-2</v>
      </c>
      <c r="W4471">
        <v>0.36736099999999999</v>
      </c>
      <c r="X4471">
        <v>0.92897859999999999</v>
      </c>
      <c r="Y4471">
        <v>0.20947180000000001</v>
      </c>
      <c r="Z4471">
        <v>0.130523</v>
      </c>
      <c r="AA4471">
        <v>0.96906420000000004</v>
      </c>
      <c r="AB4471">
        <v>25</v>
      </c>
      <c r="AC4471">
        <v>-0.19519999999997101</v>
      </c>
      <c r="AD4471">
        <v>-0.11000789999999901</v>
      </c>
      <c r="AE4471">
        <v>-0.61019999999999097</v>
      </c>
      <c r="AF4471">
        <v>0.162032969611966</v>
      </c>
      <c r="AG4471">
        <v>-0.11000789999999901</v>
      </c>
      <c r="AH4471">
        <v>0.60084837559765003</v>
      </c>
      <c r="AI4471">
        <v>100.024761693907</v>
      </c>
      <c r="AJ4471">
        <v>74.907854725023398</v>
      </c>
      <c r="AK4471">
        <v>0.63196138470797203</v>
      </c>
      <c r="AL4471">
        <v>68.447045516202095</v>
      </c>
      <c r="AM4471">
        <v>87.213299841229002</v>
      </c>
      <c r="AN4471">
        <v>1.0000000272562299</v>
      </c>
    </row>
    <row r="4472" spans="1:40" x14ac:dyDescent="0.25">
      <c r="A4472" t="str">
        <f>"20190304164216783"</f>
        <v>20190304164216783</v>
      </c>
      <c r="B4472" t="str">
        <f>"1551688936775874"</f>
        <v>1551688936775874</v>
      </c>
      <c r="C4472" t="s">
        <v>40</v>
      </c>
      <c r="D4472">
        <v>4.5792820000000001</v>
      </c>
      <c r="E4472">
        <v>0.58174150000000002</v>
      </c>
      <c r="F4472" t="s">
        <v>41</v>
      </c>
      <c r="G4472">
        <v>-192.09540000000001</v>
      </c>
      <c r="H4472">
        <v>0.9902301</v>
      </c>
      <c r="I4472">
        <v>168.03210000000001</v>
      </c>
      <c r="J4472">
        <v>-191.87889999999999</v>
      </c>
      <c r="K4472">
        <v>1.1088739999999999</v>
      </c>
      <c r="L4472">
        <v>168.7122</v>
      </c>
      <c r="M4472">
        <v>-4.7252490000000001E-2</v>
      </c>
      <c r="N4472">
        <v>-7.8784619999999993E-3</v>
      </c>
      <c r="O4472">
        <v>-0.99885210000000002</v>
      </c>
      <c r="P4472">
        <v>-8.9035729999999993E-2</v>
      </c>
      <c r="Q4472">
        <v>0.35997889999999999</v>
      </c>
      <c r="R4472">
        <v>-0.92870240000000004</v>
      </c>
      <c r="S4472">
        <v>-0.89778139999999995</v>
      </c>
      <c r="T4472">
        <v>-0.47440120000000002</v>
      </c>
      <c r="U4472">
        <v>-3.3298649999999999</v>
      </c>
      <c r="V4472">
        <v>4.6156519999999999E-2</v>
      </c>
      <c r="W4472">
        <v>0.3671721</v>
      </c>
      <c r="X4472">
        <v>0.92900709999999997</v>
      </c>
      <c r="Y4472">
        <v>0.2121093</v>
      </c>
      <c r="Z4472">
        <v>0.12905659999999999</v>
      </c>
      <c r="AA4472">
        <v>0.96868679999999996</v>
      </c>
      <c r="AB4472">
        <v>25</v>
      </c>
      <c r="AC4472">
        <v>-0.21650000000002401</v>
      </c>
      <c r="AD4472">
        <v>-0.118643899999999</v>
      </c>
      <c r="AE4472">
        <v>-0.68009999999998105</v>
      </c>
      <c r="AF4472">
        <v>0.17916977789771199</v>
      </c>
      <c r="AG4472">
        <v>-0.118643899999999</v>
      </c>
      <c r="AH4472">
        <v>0.67102835526058102</v>
      </c>
      <c r="AI4472">
        <v>99.693957360692707</v>
      </c>
      <c r="AJ4472">
        <v>75.050338648675293</v>
      </c>
      <c r="AK4472">
        <v>0.70459721677199805</v>
      </c>
      <c r="AL4472">
        <v>68.458680900621601</v>
      </c>
      <c r="AM4472">
        <v>87.155671907996805</v>
      </c>
      <c r="AN4472">
        <v>0.99999998360366504</v>
      </c>
    </row>
    <row r="4473" spans="1:40" x14ac:dyDescent="0.25">
      <c r="A4473" t="str">
        <f>"20190304164216794"</f>
        <v>20190304164216794</v>
      </c>
      <c r="B4473" t="str">
        <f>"1551688936785634"</f>
        <v>1551688936785634</v>
      </c>
      <c r="C4473" t="s">
        <v>40</v>
      </c>
      <c r="D4473">
        <v>4.5642019999999999</v>
      </c>
      <c r="E4473">
        <v>0.58194919999999895</v>
      </c>
      <c r="F4473" t="s">
        <v>41</v>
      </c>
      <c r="G4473">
        <v>-192.12450000000001</v>
      </c>
      <c r="H4473">
        <v>0.97999879999999995</v>
      </c>
      <c r="I4473">
        <v>167.80950000000001</v>
      </c>
      <c r="J4473">
        <v>-191.88630000000001</v>
      </c>
      <c r="K4473">
        <v>1.108832</v>
      </c>
      <c r="L4473">
        <v>168.57810000000001</v>
      </c>
      <c r="M4473">
        <v>-4.825434E-2</v>
      </c>
      <c r="N4473">
        <v>-7.9970969999999999E-3</v>
      </c>
      <c r="O4473">
        <v>-0.9988032</v>
      </c>
      <c r="P4473">
        <v>-9.097732E-2</v>
      </c>
      <c r="Q4473">
        <v>0.3596838</v>
      </c>
      <c r="R4473">
        <v>-0.92862860000000003</v>
      </c>
      <c r="S4473">
        <v>-0.90521240000000003</v>
      </c>
      <c r="T4473">
        <v>-0.47510059999999898</v>
      </c>
      <c r="U4473">
        <v>-3.3276819999999998</v>
      </c>
      <c r="V4473">
        <v>4.7215510000000002E-2</v>
      </c>
      <c r="W4473">
        <v>0.36697859999999899</v>
      </c>
      <c r="X4473">
        <v>0.92903040000000003</v>
      </c>
      <c r="Y4473">
        <v>0.21329809999999999</v>
      </c>
      <c r="Z4473">
        <v>0.1291581</v>
      </c>
      <c r="AA4473">
        <v>0.96841219999999995</v>
      </c>
      <c r="AB4473">
        <v>25</v>
      </c>
      <c r="AC4473">
        <v>-0.23820000000000599</v>
      </c>
      <c r="AD4473">
        <v>-0.12883319999999901</v>
      </c>
      <c r="AE4473">
        <v>-0.76859999999999196</v>
      </c>
      <c r="AF4473">
        <v>0.19581344180306001</v>
      </c>
      <c r="AG4473">
        <v>-0.12883319999999901</v>
      </c>
      <c r="AH4473">
        <v>0.75972395225246003</v>
      </c>
      <c r="AI4473">
        <v>99.325440234777403</v>
      </c>
      <c r="AJ4473">
        <v>75.546984820140395</v>
      </c>
      <c r="AK4473">
        <v>0.79506061469494205</v>
      </c>
      <c r="AL4473">
        <v>68.470600959186797</v>
      </c>
      <c r="AM4473">
        <v>87.090596913135201</v>
      </c>
      <c r="AN4473">
        <v>1.00000004068333</v>
      </c>
    </row>
    <row r="4474" spans="1:40" x14ac:dyDescent="0.25">
      <c r="A4474" t="str">
        <f>"20190304164216812"</f>
        <v>20190304164216812</v>
      </c>
      <c r="B4474" t="str">
        <f>"1551688936805154"</f>
        <v>1551688936805154</v>
      </c>
      <c r="C4474" t="s">
        <v>40</v>
      </c>
      <c r="D4474">
        <v>4.5762929999999997</v>
      </c>
      <c r="E4474">
        <v>0.58232680000000003</v>
      </c>
      <c r="F4474" t="s">
        <v>41</v>
      </c>
      <c r="G4474">
        <v>-192.09950000000001</v>
      </c>
      <c r="H4474">
        <v>0.9975425</v>
      </c>
      <c r="I4474">
        <v>167.80099999999999</v>
      </c>
      <c r="J4474">
        <v>-191.8974</v>
      </c>
      <c r="K4474">
        <v>1.108781</v>
      </c>
      <c r="L4474">
        <v>168.3817</v>
      </c>
      <c r="M4474">
        <v>-4.9778570000000001E-2</v>
      </c>
      <c r="N4474">
        <v>-8.1794399999999996E-3</v>
      </c>
      <c r="O4474">
        <v>-0.99872700000000003</v>
      </c>
      <c r="P4474">
        <v>-9.4256699999999999E-2</v>
      </c>
      <c r="Q4474">
        <v>0.35956549999999998</v>
      </c>
      <c r="R4474">
        <v>-0.92834749999999999</v>
      </c>
      <c r="S4474">
        <v>-0.91238399999999997</v>
      </c>
      <c r="T4474">
        <v>-0.47628900000000002</v>
      </c>
      <c r="U4474">
        <v>-3.3256990000000002</v>
      </c>
      <c r="V4474">
        <v>4.9153530000000001E-2</v>
      </c>
      <c r="W4474">
        <v>0.3670137</v>
      </c>
      <c r="X4474">
        <v>0.92891599999999996</v>
      </c>
      <c r="Y4474">
        <v>0.21388760000000001</v>
      </c>
      <c r="Z4474">
        <v>0.12933269999999999</v>
      </c>
      <c r="AA4474">
        <v>0.96825879999999998</v>
      </c>
      <c r="AB4474">
        <v>25</v>
      </c>
      <c r="AC4474">
        <v>-0.202100000000001</v>
      </c>
      <c r="AD4474">
        <v>-0.1112385</v>
      </c>
      <c r="AE4474">
        <v>-0.58070000000000699</v>
      </c>
      <c r="AF4474">
        <v>0.16746097232430501</v>
      </c>
      <c r="AG4474">
        <v>-0.1112385</v>
      </c>
      <c r="AH4474">
        <v>0.571340354837933</v>
      </c>
      <c r="AI4474">
        <v>100.58296989435399</v>
      </c>
      <c r="AJ4474">
        <v>73.664036144572506</v>
      </c>
      <c r="AK4474">
        <v>0.60567894317070903</v>
      </c>
      <c r="AL4474">
        <v>68.468438787588497</v>
      </c>
      <c r="AM4474">
        <v>86.971022464739903</v>
      </c>
      <c r="AN4474">
        <v>1.00000003027757</v>
      </c>
    </row>
    <row r="4475" spans="1:40" x14ac:dyDescent="0.25">
      <c r="A4475" t="str">
        <f>"20190304164216826"</f>
        <v>20190304164216826</v>
      </c>
      <c r="B4475" t="str">
        <f>"1551688936815890"</f>
        <v>1551688936815890</v>
      </c>
      <c r="C4475" t="s">
        <v>40</v>
      </c>
      <c r="D4475">
        <v>4.8845580000000002</v>
      </c>
      <c r="E4475">
        <v>0.5825169</v>
      </c>
      <c r="F4475" t="s">
        <v>41</v>
      </c>
      <c r="G4475">
        <v>-192.12190000000001</v>
      </c>
      <c r="H4475">
        <v>0.99315050000000005</v>
      </c>
      <c r="I4475">
        <v>167.57550000000001</v>
      </c>
      <c r="J4475">
        <v>-191.90629999999999</v>
      </c>
      <c r="K4475">
        <v>1.108749</v>
      </c>
      <c r="L4475">
        <v>168.22839999999999</v>
      </c>
      <c r="M4475">
        <v>-5.1018059999999997E-2</v>
      </c>
      <c r="N4475">
        <v>-8.3301520000000004E-3</v>
      </c>
      <c r="O4475">
        <v>-0.99866310000000003</v>
      </c>
      <c r="P4475">
        <v>-9.6660430000000006E-2</v>
      </c>
      <c r="Q4475">
        <v>0.35927320000000001</v>
      </c>
      <c r="R4475">
        <v>-0.92821319999999996</v>
      </c>
      <c r="S4475">
        <v>-0.92425539999999995</v>
      </c>
      <c r="T4475">
        <v>-0.47644530000000002</v>
      </c>
      <c r="U4475">
        <v>-3.322235</v>
      </c>
      <c r="V4475">
        <v>5.045583E-2</v>
      </c>
      <c r="W4475">
        <v>0.36685000000000001</v>
      </c>
      <c r="X4475">
        <v>0.92891080000000004</v>
      </c>
      <c r="Y4475">
        <v>0.216146</v>
      </c>
      <c r="Z4475">
        <v>0.1292558</v>
      </c>
      <c r="AA4475">
        <v>0.9677675</v>
      </c>
      <c r="AB4475">
        <v>25</v>
      </c>
      <c r="AC4475">
        <v>-0.215600000000023</v>
      </c>
      <c r="AD4475">
        <v>-0.11559850000000001</v>
      </c>
      <c r="AE4475">
        <v>-0.65289999999998805</v>
      </c>
      <c r="AF4475">
        <v>0.17700516642175401</v>
      </c>
      <c r="AG4475">
        <v>-0.11559850000000001</v>
      </c>
      <c r="AH4475">
        <v>0.64482309110691505</v>
      </c>
      <c r="AI4475">
        <v>99.808161371064401</v>
      </c>
      <c r="AJ4475">
        <v>74.650284408327906</v>
      </c>
      <c r="AK4475">
        <v>0.67859462197023102</v>
      </c>
      <c r="AL4475">
        <v>68.478520566053305</v>
      </c>
      <c r="AM4475">
        <v>86.890909155135006</v>
      </c>
      <c r="AN4475">
        <v>0.99999999381881399</v>
      </c>
    </row>
    <row r="4476" spans="1:40" x14ac:dyDescent="0.25">
      <c r="A4476" t="str">
        <f>"20190304164216839"</f>
        <v>20190304164216839</v>
      </c>
      <c r="B4476" t="str">
        <f>"1551688936825650"</f>
        <v>1551688936825650</v>
      </c>
      <c r="C4476" t="s">
        <v>40</v>
      </c>
      <c r="D4476">
        <v>4.569407</v>
      </c>
      <c r="E4476">
        <v>0.5825979</v>
      </c>
      <c r="F4476" t="s">
        <v>41</v>
      </c>
      <c r="G4476">
        <v>-192.1524</v>
      </c>
      <c r="H4476">
        <v>0.98291439999999997</v>
      </c>
      <c r="I4476">
        <v>167.3527</v>
      </c>
      <c r="J4476">
        <v>-191.9151</v>
      </c>
      <c r="K4476">
        <v>1.108719</v>
      </c>
      <c r="L4476">
        <v>168.08</v>
      </c>
      <c r="M4476">
        <v>-5.2265029999999997E-2</v>
      </c>
      <c r="N4476">
        <v>-8.4853410000000004E-3</v>
      </c>
      <c r="O4476">
        <v>-0.99859710000000002</v>
      </c>
      <c r="P4476">
        <v>-9.9010269999999997E-2</v>
      </c>
      <c r="Q4476">
        <v>0.35925079999999998</v>
      </c>
      <c r="R4476">
        <v>-0.92797430000000003</v>
      </c>
      <c r="S4476">
        <v>-0.93267820000000001</v>
      </c>
      <c r="T4476">
        <v>-0.47698489999999999</v>
      </c>
      <c r="U4476">
        <v>-3.3195190000000001</v>
      </c>
      <c r="V4476">
        <v>5.1699210000000002E-2</v>
      </c>
      <c r="W4476">
        <v>0.36696050000000002</v>
      </c>
      <c r="X4476">
        <v>0.92879880000000004</v>
      </c>
      <c r="Y4476">
        <v>0.2174045</v>
      </c>
      <c r="Z4476">
        <v>0.12928619999999999</v>
      </c>
      <c r="AA4476">
        <v>0.96748140000000005</v>
      </c>
      <c r="AB4476">
        <v>25</v>
      </c>
      <c r="AC4476">
        <v>-0.23730000000000401</v>
      </c>
      <c r="AD4476">
        <v>-0.12580459999999899</v>
      </c>
      <c r="AE4476">
        <v>-0.72730000000001305</v>
      </c>
      <c r="AF4476">
        <v>0.19372333496941499</v>
      </c>
      <c r="AG4476">
        <v>-0.12580459999999899</v>
      </c>
      <c r="AH4476">
        <v>0.71925893909737104</v>
      </c>
      <c r="AI4476">
        <v>99.586222800628605</v>
      </c>
      <c r="AJ4476">
        <v>74.925815240201302</v>
      </c>
      <c r="AK4476">
        <v>0.75543957360222203</v>
      </c>
      <c r="AL4476">
        <v>68.471715185436395</v>
      </c>
      <c r="AM4476">
        <v>86.814064576745494</v>
      </c>
      <c r="AN4476">
        <v>1.00000001387815</v>
      </c>
    </row>
    <row r="4477" spans="1:40" x14ac:dyDescent="0.25">
      <c r="A4477" t="str">
        <f>"20190304164216850"</f>
        <v>20190304164216850</v>
      </c>
      <c r="B4477" t="str">
        <f>"1551688936845979"</f>
        <v>1551688936845979</v>
      </c>
      <c r="C4477" t="s">
        <v>40</v>
      </c>
      <c r="D4477">
        <v>4.5735489999999999</v>
      </c>
      <c r="E4477">
        <v>0.58278569999999996</v>
      </c>
      <c r="F4477" t="s">
        <v>41</v>
      </c>
      <c r="G4477">
        <v>-192.1242</v>
      </c>
      <c r="H4477">
        <v>1.0025850000000001</v>
      </c>
      <c r="I4477">
        <v>167.34289999999999</v>
      </c>
      <c r="J4477">
        <v>-191.92330000000001</v>
      </c>
      <c r="K4477">
        <v>1.1086929999999999</v>
      </c>
      <c r="L4477">
        <v>167.94669999999999</v>
      </c>
      <c r="M4477">
        <v>-5.3425460000000001E-2</v>
      </c>
      <c r="N4477">
        <v>-8.6323010000000002E-3</v>
      </c>
      <c r="O4477">
        <v>-0.99853479999999994</v>
      </c>
      <c r="P4477">
        <v>-0.1014882</v>
      </c>
      <c r="Q4477">
        <v>0.35918509999999998</v>
      </c>
      <c r="R4477">
        <v>-0.92773209999999995</v>
      </c>
      <c r="S4477">
        <v>-0.94071959999999999</v>
      </c>
      <c r="T4477">
        <v>-0.47762260000000001</v>
      </c>
      <c r="U4477">
        <v>-3.317383</v>
      </c>
      <c r="V4477">
        <v>5.3143900000000001E-2</v>
      </c>
      <c r="W4477">
        <v>0.36701980000000001</v>
      </c>
      <c r="X4477">
        <v>0.92869380000000001</v>
      </c>
      <c r="Y4477">
        <v>0.21859990000000001</v>
      </c>
      <c r="Z4477">
        <v>0.129333</v>
      </c>
      <c r="AA4477">
        <v>0.9672058</v>
      </c>
      <c r="AB4477">
        <v>25</v>
      </c>
      <c r="AC4477">
        <v>-0.20089999999999</v>
      </c>
      <c r="AD4477">
        <v>-0.10610799999999899</v>
      </c>
      <c r="AE4477">
        <v>-0.603800000000006</v>
      </c>
      <c r="AF4477">
        <v>0.16379926517672</v>
      </c>
      <c r="AG4477">
        <v>-0.10610799999999899</v>
      </c>
      <c r="AH4477">
        <v>0.59707011797485599</v>
      </c>
      <c r="AI4477">
        <v>99.724997901228207</v>
      </c>
      <c r="AJ4477">
        <v>74.658996054704701</v>
      </c>
      <c r="AK4477">
        <v>0.628157490375576</v>
      </c>
      <c r="AL4477">
        <v>68.468062173636696</v>
      </c>
      <c r="AM4477">
        <v>86.724858040217399</v>
      </c>
      <c r="AN4477">
        <v>0.99999999092884495</v>
      </c>
    </row>
    <row r="4478" spans="1:40" x14ac:dyDescent="0.25">
      <c r="A4478" t="str">
        <f>"20190304164216860"</f>
        <v>20190304164216860</v>
      </c>
      <c r="B4478" t="str">
        <f>"1551688936855738"</f>
        <v>1551688936855738</v>
      </c>
      <c r="C4478" t="s">
        <v>40</v>
      </c>
      <c r="D4478">
        <v>4.9023789999999998</v>
      </c>
      <c r="E4478">
        <v>0.58289990000000003</v>
      </c>
      <c r="F4478" t="s">
        <v>41</v>
      </c>
      <c r="G4478">
        <v>-192.16</v>
      </c>
      <c r="H4478">
        <v>0.98990829999999996</v>
      </c>
      <c r="I4478">
        <v>167.1215</v>
      </c>
      <c r="J4478">
        <v>-191.9308</v>
      </c>
      <c r="K4478">
        <v>1.1086720000000001</v>
      </c>
      <c r="L4478">
        <v>167.827</v>
      </c>
      <c r="M4478">
        <v>-5.4479970000000003E-2</v>
      </c>
      <c r="N4478">
        <v>-8.7665929999999996E-3</v>
      </c>
      <c r="O4478">
        <v>-0.99847640000000004</v>
      </c>
      <c r="P4478">
        <v>-0.10379629999999999</v>
      </c>
      <c r="Q4478">
        <v>0.3588905</v>
      </c>
      <c r="R4478">
        <v>-0.92759080000000005</v>
      </c>
      <c r="S4478">
        <v>-0.94989009999999996</v>
      </c>
      <c r="T4478">
        <v>-0.4770336</v>
      </c>
      <c r="U4478">
        <v>-3.3144680000000002</v>
      </c>
      <c r="V4478">
        <v>5.4506609999999997E-2</v>
      </c>
      <c r="W4478">
        <v>0.36684020000000001</v>
      </c>
      <c r="X4478">
        <v>0.92868580000000001</v>
      </c>
      <c r="Y4478">
        <v>0.2202741</v>
      </c>
      <c r="Z4478">
        <v>0.12906199999999901</v>
      </c>
      <c r="AA4478">
        <v>0.96686209999999995</v>
      </c>
      <c r="AB4478">
        <v>25</v>
      </c>
      <c r="AC4478">
        <v>-0.22919999999999099</v>
      </c>
      <c r="AD4478">
        <v>-0.118763699999999</v>
      </c>
      <c r="AE4478">
        <v>-0.70550000000000002</v>
      </c>
      <c r="AF4478">
        <v>0.18566339994242101</v>
      </c>
      <c r="AG4478">
        <v>-0.118763699999999</v>
      </c>
      <c r="AH4478">
        <v>0.69902151763860798</v>
      </c>
      <c r="AI4478">
        <v>99.325124289046499</v>
      </c>
      <c r="AJ4478">
        <v>75.125404493637703</v>
      </c>
      <c r="AK4478">
        <v>0.73294392462019398</v>
      </c>
      <c r="AL4478">
        <v>68.4791244878881</v>
      </c>
      <c r="AM4478">
        <v>86.641038234975994</v>
      </c>
      <c r="AN4478">
        <v>1.00000000899568</v>
      </c>
    </row>
    <row r="4479" spans="1:40" x14ac:dyDescent="0.25">
      <c r="A4479" t="str">
        <f>"20190304164216879"</f>
        <v>20190304164216879</v>
      </c>
      <c r="B4479" t="str">
        <f>"1551688936865498"</f>
        <v>1551688936865498</v>
      </c>
      <c r="C4479" t="s">
        <v>40</v>
      </c>
      <c r="D4479">
        <v>4.5555050000000001</v>
      </c>
      <c r="E4479">
        <v>0.58306289999999905</v>
      </c>
      <c r="F4479" t="s">
        <v>41</v>
      </c>
      <c r="G4479">
        <v>-192.13730000000001</v>
      </c>
      <c r="H4479">
        <v>1.0056719999999999</v>
      </c>
      <c r="I4479">
        <v>167.11349999999999</v>
      </c>
      <c r="J4479">
        <v>-191.94399999999999</v>
      </c>
      <c r="K4479">
        <v>1.108633</v>
      </c>
      <c r="L4479">
        <v>167.62270000000001</v>
      </c>
      <c r="M4479">
        <v>-5.6351810000000002E-2</v>
      </c>
      <c r="N4479">
        <v>-9.0018630000000006E-3</v>
      </c>
      <c r="O4479">
        <v>-0.99837050000000005</v>
      </c>
      <c r="P4479">
        <v>-0.1086765</v>
      </c>
      <c r="Q4479">
        <v>0.35812769999999999</v>
      </c>
      <c r="R4479">
        <v>-0.92732650000000005</v>
      </c>
      <c r="S4479">
        <v>-0.95799259999999997</v>
      </c>
      <c r="T4479">
        <v>-0.47807470000000002</v>
      </c>
      <c r="U4479">
        <v>-3.3119350000000001</v>
      </c>
      <c r="V4479">
        <v>5.7701099999999998E-2</v>
      </c>
      <c r="W4479">
        <v>0.3662763</v>
      </c>
      <c r="X4479">
        <v>0.92871530000000002</v>
      </c>
      <c r="Y4479">
        <v>0.2208183</v>
      </c>
      <c r="Z4479">
        <v>0.12915299999999999</v>
      </c>
      <c r="AA4479">
        <v>0.96672579999999997</v>
      </c>
      <c r="AB4479">
        <v>25</v>
      </c>
      <c r="AC4479">
        <v>-0.19329999999999301</v>
      </c>
      <c r="AD4479">
        <v>-0.102961</v>
      </c>
      <c r="AE4479">
        <v>-0.50920000000002097</v>
      </c>
      <c r="AF4479">
        <v>0.15862861651990201</v>
      </c>
      <c r="AG4479">
        <v>-0.102961</v>
      </c>
      <c r="AH4479">
        <v>0.50136735312731795</v>
      </c>
      <c r="AI4479">
        <v>101.078040525592</v>
      </c>
      <c r="AJ4479">
        <v>72.443045641780699</v>
      </c>
      <c r="AK4479">
        <v>0.53584813919795504</v>
      </c>
      <c r="AL4479">
        <v>68.513848835427794</v>
      </c>
      <c r="AM4479">
        <v>86.444781929346505</v>
      </c>
      <c r="AN4479">
        <v>0.99999992666849202</v>
      </c>
    </row>
    <row r="4480" spans="1:40" x14ac:dyDescent="0.25">
      <c r="A4480" t="str">
        <f>"20190304164216890"</f>
        <v>20190304164216890</v>
      </c>
      <c r="B4480" t="str">
        <f>"1551688936885994"</f>
        <v>1551688936885994</v>
      </c>
      <c r="C4480" t="s">
        <v>40</v>
      </c>
      <c r="D4480">
        <v>4.5392580000000002</v>
      </c>
      <c r="E4480">
        <v>0.58329359999999997</v>
      </c>
      <c r="F4480" t="s">
        <v>41</v>
      </c>
      <c r="G4480">
        <v>-192.1611</v>
      </c>
      <c r="H4480">
        <v>1.0019640000000001</v>
      </c>
      <c r="I4480">
        <v>166.88749999999999</v>
      </c>
      <c r="J4480">
        <v>-191.95320000000001</v>
      </c>
      <c r="K4480">
        <v>1.1086069999999999</v>
      </c>
      <c r="L4480">
        <v>167.48410000000001</v>
      </c>
      <c r="M4480">
        <v>-5.766044E-2</v>
      </c>
      <c r="N4480">
        <v>-9.1640920000000004E-3</v>
      </c>
      <c r="O4480">
        <v>-0.99829440000000003</v>
      </c>
      <c r="P4480">
        <v>-0.1113218</v>
      </c>
      <c r="Q4480">
        <v>0.35776580000000002</v>
      </c>
      <c r="R4480">
        <v>-0.92715250000000005</v>
      </c>
      <c r="S4480">
        <v>-0.97587590000000002</v>
      </c>
      <c r="T4480">
        <v>-0.47960940000000002</v>
      </c>
      <c r="U4480">
        <v>-3.305939</v>
      </c>
      <c r="V4480">
        <v>5.9166150000000001E-2</v>
      </c>
      <c r="W4480">
        <v>0.36605409999999999</v>
      </c>
      <c r="X4480">
        <v>0.92871079999999995</v>
      </c>
      <c r="Y4480">
        <v>0.2248058</v>
      </c>
      <c r="Z4480">
        <v>0.12948750000000001</v>
      </c>
      <c r="AA4480">
        <v>0.96576150000000005</v>
      </c>
      <c r="AB4480">
        <v>25</v>
      </c>
      <c r="AC4480">
        <v>-0.20789999999999501</v>
      </c>
      <c r="AD4480">
        <v>-0.106643</v>
      </c>
      <c r="AE4480">
        <v>-0.596600000000023</v>
      </c>
      <c r="AF4480">
        <v>0.16835561924252701</v>
      </c>
      <c r="AG4480">
        <v>-0.106643</v>
      </c>
      <c r="AH4480">
        <v>0.59076335125892698</v>
      </c>
      <c r="AI4480">
        <v>99.848693570414596</v>
      </c>
      <c r="AJ4480">
        <v>74.093518723772902</v>
      </c>
      <c r="AK4480">
        <v>0.62347227778804504</v>
      </c>
      <c r="AL4480">
        <v>68.527531637802596</v>
      </c>
      <c r="AM4480">
        <v>86.354736540208407</v>
      </c>
      <c r="AN4480">
        <v>0.99999999373463599</v>
      </c>
    </row>
    <row r="4481" spans="1:40" x14ac:dyDescent="0.25">
      <c r="A4481" t="str">
        <f>"20190304164216902"</f>
        <v>20190304164216902</v>
      </c>
      <c r="B4481" t="str">
        <f>"1551688936895755"</f>
        <v>1551688936895755</v>
      </c>
      <c r="C4481" t="s">
        <v>40</v>
      </c>
      <c r="D4481">
        <v>4.5317049999999997</v>
      </c>
      <c r="E4481">
        <v>0.58338420000000002</v>
      </c>
      <c r="F4481" t="s">
        <v>41</v>
      </c>
      <c r="G4481">
        <v>-192.1977</v>
      </c>
      <c r="H4481">
        <v>0.98982380000000003</v>
      </c>
      <c r="I4481">
        <v>166.66579999999999</v>
      </c>
      <c r="J4481">
        <v>-191.96190000000001</v>
      </c>
      <c r="K4481">
        <v>1.10859</v>
      </c>
      <c r="L4481">
        <v>167.35470000000001</v>
      </c>
      <c r="M4481">
        <v>-5.8894780000000001E-2</v>
      </c>
      <c r="N4481">
        <v>-9.3163789999999996E-3</v>
      </c>
      <c r="O4481">
        <v>-0.99822100000000002</v>
      </c>
      <c r="P4481">
        <v>-0.1139416</v>
      </c>
      <c r="Q4481">
        <v>0.35718499999999997</v>
      </c>
      <c r="R4481">
        <v>-0.92705820000000005</v>
      </c>
      <c r="S4481">
        <v>-0.98620609999999997</v>
      </c>
      <c r="T4481">
        <v>-0.47933189999999998</v>
      </c>
      <c r="U4481">
        <v>-3.3022610000000001</v>
      </c>
      <c r="V4481">
        <v>6.0666390000000001E-2</v>
      </c>
      <c r="W4481">
        <v>0.36560409999999999</v>
      </c>
      <c r="X4481">
        <v>0.92879129999999999</v>
      </c>
      <c r="Y4481">
        <v>0.2266724</v>
      </c>
      <c r="Z4481">
        <v>0.1293021</v>
      </c>
      <c r="AA4481">
        <v>0.96535000000000004</v>
      </c>
      <c r="AB4481">
        <v>25</v>
      </c>
      <c r="AC4481">
        <v>-0.235799999999983</v>
      </c>
      <c r="AD4481">
        <v>-0.118766199999999</v>
      </c>
      <c r="AE4481">
        <v>-0.68890000000001705</v>
      </c>
      <c r="AF4481">
        <v>0.189767588271614</v>
      </c>
      <c r="AG4481">
        <v>-0.118766199999999</v>
      </c>
      <c r="AH4481">
        <v>0.68341016513991504</v>
      </c>
      <c r="AI4481">
        <v>99.505927347093404</v>
      </c>
      <c r="AJ4481">
        <v>74.481226013127795</v>
      </c>
      <c r="AK4481">
        <v>0.719142963281593</v>
      </c>
      <c r="AL4481">
        <v>68.555235763997203</v>
      </c>
      <c r="AM4481">
        <v>86.262887577657395</v>
      </c>
      <c r="AN4481">
        <v>1.0000000238840601</v>
      </c>
    </row>
    <row r="4482" spans="1:40" x14ac:dyDescent="0.25">
      <c r="A4482" t="str">
        <f>"20190304164216913"</f>
        <v>20190304164216913</v>
      </c>
      <c r="B4482" t="str">
        <f>"1551688936905514"</f>
        <v>1551688936905514</v>
      </c>
      <c r="C4482" t="s">
        <v>40</v>
      </c>
      <c r="D4482">
        <v>4.5220159999999998</v>
      </c>
      <c r="E4482">
        <v>0.58348869999999997</v>
      </c>
      <c r="F4482" t="s">
        <v>41</v>
      </c>
      <c r="G4482">
        <v>-192.2373</v>
      </c>
      <c r="H4482">
        <v>0.9756359</v>
      </c>
      <c r="I4482">
        <v>166.4426</v>
      </c>
      <c r="J4482">
        <v>-191.9709</v>
      </c>
      <c r="K4482">
        <v>1.1085719999999999</v>
      </c>
      <c r="L4482">
        <v>167.2251</v>
      </c>
      <c r="M4482">
        <v>-6.0169350000000003E-2</v>
      </c>
      <c r="N4482">
        <v>-9.4733419999999992E-3</v>
      </c>
      <c r="O4482">
        <v>-0.99814340000000001</v>
      </c>
      <c r="P4482">
        <v>-0.1167222</v>
      </c>
      <c r="Q4482">
        <v>0.356751599999999</v>
      </c>
      <c r="R4482">
        <v>-0.92687889999999995</v>
      </c>
      <c r="S4482">
        <v>-0.99598690000000001</v>
      </c>
      <c r="T4482">
        <v>-0.48090369999999999</v>
      </c>
      <c r="U4482">
        <v>-3.2989039999999998</v>
      </c>
      <c r="V4482">
        <v>6.2291880000000001E-2</v>
      </c>
      <c r="W4482">
        <v>0.36530580000000001</v>
      </c>
      <c r="X4482">
        <v>0.92880110000000005</v>
      </c>
      <c r="Y4482">
        <v>0.22830690000000001</v>
      </c>
      <c r="Z4482">
        <v>0.1296293</v>
      </c>
      <c r="AA4482">
        <v>0.96492080000000002</v>
      </c>
      <c r="AB4482">
        <v>25</v>
      </c>
      <c r="AC4482">
        <v>-0.26640000000000402</v>
      </c>
      <c r="AD4482">
        <v>-0.132936099999999</v>
      </c>
      <c r="AE4482">
        <v>-0.78249999999999797</v>
      </c>
      <c r="AF4482">
        <v>0.21331554417557799</v>
      </c>
      <c r="AG4482">
        <v>-0.132936099999999</v>
      </c>
      <c r="AH4482">
        <v>0.777015483504926</v>
      </c>
      <c r="AI4482">
        <v>99.368342721917799</v>
      </c>
      <c r="AJ4482">
        <v>74.648685727141199</v>
      </c>
      <c r="AK4482">
        <v>0.81665695960821005</v>
      </c>
      <c r="AL4482">
        <v>68.573597636692099</v>
      </c>
      <c r="AM4482">
        <v>86.163091291656798</v>
      </c>
      <c r="AN4482">
        <v>1.00000004459439</v>
      </c>
    </row>
    <row r="4483" spans="1:40" x14ac:dyDescent="0.25">
      <c r="A4483" t="str">
        <f>"20190304164216926"</f>
        <v>20190304164216926</v>
      </c>
      <c r="B4483" t="str">
        <f>"1551688936915274"</f>
        <v>1551688936915274</v>
      </c>
      <c r="C4483" t="s">
        <v>40</v>
      </c>
      <c r="D4483">
        <v>4.5191780000000001</v>
      </c>
      <c r="E4483">
        <v>0.58364519999999998</v>
      </c>
      <c r="F4483" t="s">
        <v>41</v>
      </c>
      <c r="G4483">
        <v>-192.21170000000001</v>
      </c>
      <c r="H4483">
        <v>0.99332319999999996</v>
      </c>
      <c r="I4483">
        <v>166.43629999999999</v>
      </c>
      <c r="J4483">
        <v>-191.9802</v>
      </c>
      <c r="K4483">
        <v>1.1085590000000001</v>
      </c>
      <c r="L4483">
        <v>167.09270000000001</v>
      </c>
      <c r="M4483">
        <v>-6.1480529999999999E-2</v>
      </c>
      <c r="N4483">
        <v>-9.6342579999999997E-3</v>
      </c>
      <c r="O4483">
        <v>-0.998062</v>
      </c>
      <c r="P4483">
        <v>-0.1197411</v>
      </c>
      <c r="Q4483">
        <v>0.35608040000000002</v>
      </c>
      <c r="R4483">
        <v>-0.92675200000000002</v>
      </c>
      <c r="S4483">
        <v>-1.005951</v>
      </c>
      <c r="T4483">
        <v>-0.48149900000000001</v>
      </c>
      <c r="U4483">
        <v>-3.2953030000000001</v>
      </c>
      <c r="V4483">
        <v>6.4115989999999998E-2</v>
      </c>
      <c r="W4483">
        <v>0.36477219999999999</v>
      </c>
      <c r="X4483">
        <v>0.92888669999999995</v>
      </c>
      <c r="Y4483">
        <v>0.22998499999999999</v>
      </c>
      <c r="Z4483">
        <v>0.1296823</v>
      </c>
      <c r="AA4483">
        <v>0.96451509999999996</v>
      </c>
      <c r="AB4483">
        <v>25</v>
      </c>
      <c r="AC4483">
        <v>-0.231500000000011</v>
      </c>
      <c r="AD4483">
        <v>-0.1152358</v>
      </c>
      <c r="AE4483">
        <v>-0.65640000000001897</v>
      </c>
      <c r="AF4483">
        <v>0.18561643269595099</v>
      </c>
      <c r="AG4483">
        <v>-0.1152358</v>
      </c>
      <c r="AH4483">
        <v>0.65153248251375695</v>
      </c>
      <c r="AI4483">
        <v>99.653643306667803</v>
      </c>
      <c r="AJ4483">
        <v>74.098168009405995</v>
      </c>
      <c r="AK4483">
        <v>0.68718798407637305</v>
      </c>
      <c r="AL4483">
        <v>68.606437162973904</v>
      </c>
      <c r="AM4483">
        <v>86.051447250905397</v>
      </c>
      <c r="AN4483">
        <v>1.0000000597517</v>
      </c>
    </row>
    <row r="4484" spans="1:40" x14ac:dyDescent="0.25">
      <c r="A4484" t="str">
        <f>"20190304164216938"</f>
        <v>20190304164216938</v>
      </c>
      <c r="B4484" t="str">
        <f>"1551688936926010"</f>
        <v>1551688936926010</v>
      </c>
      <c r="C4484" t="s">
        <v>40</v>
      </c>
      <c r="D4484">
        <v>4.4511570000000003</v>
      </c>
      <c r="E4484">
        <v>0.58375410000000005</v>
      </c>
      <c r="F4484" t="s">
        <v>41</v>
      </c>
      <c r="G4484">
        <v>-192.25219999999999</v>
      </c>
      <c r="H4484">
        <v>0.97972870000000001</v>
      </c>
      <c r="I4484">
        <v>166.21299999999999</v>
      </c>
      <c r="J4484">
        <v>-191.9907</v>
      </c>
      <c r="K4484">
        <v>1.10854599999999</v>
      </c>
      <c r="L4484">
        <v>166.94749999999999</v>
      </c>
      <c r="M4484">
        <v>-6.2945749999999995E-2</v>
      </c>
      <c r="N4484">
        <v>-9.8127619999999992E-3</v>
      </c>
      <c r="O4484">
        <v>-0.99796899999999999</v>
      </c>
      <c r="P4484">
        <v>-0.1228243</v>
      </c>
      <c r="Q4484">
        <v>0.35565400000000003</v>
      </c>
      <c r="R4484">
        <v>-0.92651229999999996</v>
      </c>
      <c r="S4484">
        <v>-1.0166930000000001</v>
      </c>
      <c r="T4484">
        <v>-0.48188789999999998</v>
      </c>
      <c r="U4484">
        <v>-3.2908940000000002</v>
      </c>
      <c r="V4484">
        <v>6.5867190000000006E-2</v>
      </c>
      <c r="W4484">
        <v>0.36449910000000002</v>
      </c>
      <c r="X4484">
        <v>0.92887129999999996</v>
      </c>
      <c r="Y4484">
        <v>0.23178960000000001</v>
      </c>
      <c r="Z4484">
        <v>0.12968209999999999</v>
      </c>
      <c r="AA4484">
        <v>0.96408309999999997</v>
      </c>
      <c r="AB4484">
        <v>25</v>
      </c>
      <c r="AC4484">
        <v>-0.26149999999998302</v>
      </c>
      <c r="AD4484">
        <v>-0.128817299999999</v>
      </c>
      <c r="AE4484">
        <v>-0.73449999999999704</v>
      </c>
      <c r="AF4484">
        <v>0.20903910091818201</v>
      </c>
      <c r="AG4484">
        <v>-0.128817299999999</v>
      </c>
      <c r="AH4484">
        <v>0.72958788943613195</v>
      </c>
      <c r="AI4484">
        <v>99.633137933346902</v>
      </c>
      <c r="AJ4484">
        <v>74.012108951411406</v>
      </c>
      <c r="AK4484">
        <v>0.76979850019589002</v>
      </c>
      <c r="AL4484">
        <v>68.623239974143601</v>
      </c>
      <c r="AM4484">
        <v>85.943888598906199</v>
      </c>
      <c r="AN4484">
        <v>0.999999986291498</v>
      </c>
    </row>
    <row r="4485" spans="1:40" x14ac:dyDescent="0.25">
      <c r="A4485" t="str">
        <f>"20190304164216951"</f>
        <v>20190304164216951</v>
      </c>
      <c r="B4485" t="str">
        <f>"1551688936945530"</f>
        <v>1551688936945530</v>
      </c>
      <c r="C4485" t="s">
        <v>40</v>
      </c>
      <c r="D4485">
        <v>4.4820289999999998</v>
      </c>
      <c r="E4485">
        <v>0.58374919999999997</v>
      </c>
      <c r="F4485" t="s">
        <v>41</v>
      </c>
      <c r="G4485">
        <v>-192.22319999999999</v>
      </c>
      <c r="H4485">
        <v>1.0002409999999999</v>
      </c>
      <c r="I4485">
        <v>166.20519999999999</v>
      </c>
      <c r="J4485">
        <v>-192.00149999999999</v>
      </c>
      <c r="K4485">
        <v>1.108541</v>
      </c>
      <c r="L4485">
        <v>166.8021</v>
      </c>
      <c r="M4485">
        <v>-6.4437690000000006E-2</v>
      </c>
      <c r="N4485">
        <v>-9.9952909999999999E-3</v>
      </c>
      <c r="O4485">
        <v>-0.99787179999999998</v>
      </c>
      <c r="P4485">
        <v>-0.1260704</v>
      </c>
      <c r="Q4485">
        <v>0.35507939999999999</v>
      </c>
      <c r="R4485">
        <v>-0.92629680000000003</v>
      </c>
      <c r="S4485">
        <v>-1.0278929999999999</v>
      </c>
      <c r="T4485">
        <v>-0.47932059999999999</v>
      </c>
      <c r="U4485">
        <v>-3.28566</v>
      </c>
      <c r="V4485">
        <v>6.7750439999999995E-2</v>
      </c>
      <c r="W4485">
        <v>0.36408210000000002</v>
      </c>
      <c r="X4485">
        <v>0.92889940000000004</v>
      </c>
      <c r="Y4485">
        <v>0.23379269999999999</v>
      </c>
      <c r="Z4485">
        <v>0.1288638</v>
      </c>
      <c r="AA4485">
        <v>0.96370900000000004</v>
      </c>
      <c r="AB4485">
        <v>25</v>
      </c>
      <c r="AC4485">
        <v>-0.22169999999999801</v>
      </c>
      <c r="AD4485">
        <v>-0.10829999999999999</v>
      </c>
      <c r="AE4485">
        <v>-0.59690000000000498</v>
      </c>
      <c r="AF4485">
        <v>0.177635649633894</v>
      </c>
      <c r="AG4485">
        <v>-0.10829999999999999</v>
      </c>
      <c r="AH4485">
        <v>0.59279702458141303</v>
      </c>
      <c r="AI4485">
        <v>99.926517667867998</v>
      </c>
      <c r="AJ4485">
        <v>73.318798624746606</v>
      </c>
      <c r="AK4485">
        <v>0.62824487771364401</v>
      </c>
      <c r="AL4485">
        <v>68.648895434173099</v>
      </c>
      <c r="AM4485">
        <v>85.828447298818205</v>
      </c>
      <c r="AN4485">
        <v>0.99999999649048099</v>
      </c>
    </row>
    <row r="4486" spans="1:40" x14ac:dyDescent="0.25">
      <c r="A4486" t="str">
        <f>"20190304164216968"</f>
        <v>20190304164216968</v>
      </c>
      <c r="B4486" t="str">
        <f>"1551688936955290"</f>
        <v>1551688936955290</v>
      </c>
      <c r="C4486" t="s">
        <v>40</v>
      </c>
      <c r="D4486">
        <v>4.4854649999999996</v>
      </c>
      <c r="E4486">
        <v>0.58368240000000005</v>
      </c>
      <c r="F4486" t="s">
        <v>41</v>
      </c>
      <c r="G4486">
        <v>-192.26089999999999</v>
      </c>
      <c r="H4486">
        <v>0.98869819999999997</v>
      </c>
      <c r="I4486">
        <v>165.9821</v>
      </c>
      <c r="J4486">
        <v>-192.0164</v>
      </c>
      <c r="K4486">
        <v>1.1085370000000001</v>
      </c>
      <c r="L4486">
        <v>166.6069</v>
      </c>
      <c r="M4486">
        <v>-6.6471569999999994E-2</v>
      </c>
      <c r="N4486">
        <v>-1.024537E-2</v>
      </c>
      <c r="O4486">
        <v>-0.9977357</v>
      </c>
      <c r="P4486">
        <v>-0.13219620000000001</v>
      </c>
      <c r="Q4486">
        <v>0.35470659999999998</v>
      </c>
      <c r="R4486">
        <v>-0.92558499999999999</v>
      </c>
      <c r="S4486">
        <v>-1.038208</v>
      </c>
      <c r="T4486">
        <v>-0.47954940000000001</v>
      </c>
      <c r="U4486">
        <v>-3.28125</v>
      </c>
      <c r="V4486">
        <v>7.2039859999999997E-2</v>
      </c>
      <c r="W4486">
        <v>0.36391430000000002</v>
      </c>
      <c r="X4486">
        <v>0.92864239999999998</v>
      </c>
      <c r="Y4486">
        <v>0.2349359</v>
      </c>
      <c r="Z4486">
        <v>0.12875210000000001</v>
      </c>
      <c r="AA4486">
        <v>0.96344589999999997</v>
      </c>
      <c r="AB4486">
        <v>25</v>
      </c>
      <c r="AC4486">
        <v>-0.24449999999998701</v>
      </c>
      <c r="AD4486">
        <v>-0.1198388</v>
      </c>
      <c r="AE4486">
        <v>-0.62479999999999303</v>
      </c>
      <c r="AF4486">
        <v>0.196167231761702</v>
      </c>
      <c r="AG4486">
        <v>-0.1198388</v>
      </c>
      <c r="AH4486">
        <v>0.61989460482671399</v>
      </c>
      <c r="AI4486">
        <v>100.443135309383</v>
      </c>
      <c r="AJ4486">
        <v>72.439891523319801</v>
      </c>
      <c r="AK4486">
        <v>0.66114464521446203</v>
      </c>
      <c r="AL4486">
        <v>68.659218602845598</v>
      </c>
      <c r="AM4486">
        <v>85.564137665384493</v>
      </c>
      <c r="AN4486">
        <v>1.0000000331255301</v>
      </c>
    </row>
    <row r="4487" spans="1:40" x14ac:dyDescent="0.25">
      <c r="A4487" t="str">
        <f>"20190304164216981"</f>
        <v>20190304164216981</v>
      </c>
      <c r="B4487" t="str">
        <f>"1551688936975786"</f>
        <v>1551688936975786</v>
      </c>
      <c r="C4487" t="s">
        <v>40</v>
      </c>
      <c r="D4487">
        <v>4.4347019999999997</v>
      </c>
      <c r="E4487">
        <v>0.58326129999999998</v>
      </c>
      <c r="F4487" t="s">
        <v>41</v>
      </c>
      <c r="G4487">
        <v>-192.2911</v>
      </c>
      <c r="H4487">
        <v>0.98317060000000001</v>
      </c>
      <c r="I4487">
        <v>165.75579999999999</v>
      </c>
      <c r="J4487">
        <v>-192.02850000000001</v>
      </c>
      <c r="K4487">
        <v>1.1085290000000001</v>
      </c>
      <c r="L4487">
        <v>166.4504</v>
      </c>
      <c r="M4487">
        <v>-6.8127060000000003E-2</v>
      </c>
      <c r="N4487">
        <v>-1.045013E-2</v>
      </c>
      <c r="O4487">
        <v>-0.99762209999999996</v>
      </c>
      <c r="P4487">
        <v>-0.1355971</v>
      </c>
      <c r="Q4487">
        <v>0.35464299999999999</v>
      </c>
      <c r="R4487">
        <v>-0.92511739999999998</v>
      </c>
      <c r="S4487">
        <v>-1.0564880000000001</v>
      </c>
      <c r="T4487">
        <v>-0.48232049999999999</v>
      </c>
      <c r="U4487">
        <v>-3.2751160000000001</v>
      </c>
      <c r="V4487">
        <v>7.3941400000000004E-2</v>
      </c>
      <c r="W4487">
        <v>0.36402659999999998</v>
      </c>
      <c r="X4487">
        <v>0.92844890000000002</v>
      </c>
      <c r="Y4487">
        <v>0.23868690000000001</v>
      </c>
      <c r="Z4487">
        <v>0.12938549999999999</v>
      </c>
      <c r="AA4487">
        <v>0.96243849999999997</v>
      </c>
      <c r="AB4487">
        <v>25</v>
      </c>
      <c r="AC4487">
        <v>-0.26259999999999101</v>
      </c>
      <c r="AD4487">
        <v>-0.12535840000000001</v>
      </c>
      <c r="AE4487">
        <v>-0.69460000000000799</v>
      </c>
      <c r="AF4487">
        <v>0.208718091540082</v>
      </c>
      <c r="AG4487">
        <v>-0.12535840000000001</v>
      </c>
      <c r="AH4487">
        <v>0.69117975626251205</v>
      </c>
      <c r="AI4487">
        <v>99.849795032242994</v>
      </c>
      <c r="AJ4487">
        <v>73.197066071492301</v>
      </c>
      <c r="AK4487">
        <v>0.73280790501590498</v>
      </c>
      <c r="AL4487">
        <v>68.652310346834199</v>
      </c>
      <c r="AM4487">
        <v>85.446591217708402</v>
      </c>
      <c r="AN4487">
        <v>1.0000000280263599</v>
      </c>
    </row>
    <row r="4488" spans="1:40" x14ac:dyDescent="0.25">
      <c r="A4488" t="str">
        <f>"20190304164216994"</f>
        <v>20190304164216994</v>
      </c>
      <c r="B4488" t="str">
        <f>"1551688936985548"</f>
        <v>1551688936985548</v>
      </c>
      <c r="C4488" t="s">
        <v>40</v>
      </c>
      <c r="D4488">
        <v>4.4358719999999998</v>
      </c>
      <c r="E4488">
        <v>0.58301729999999996</v>
      </c>
      <c r="F4488" t="s">
        <v>41</v>
      </c>
      <c r="G4488">
        <v>-192.25739999999999</v>
      </c>
      <c r="H4488">
        <v>1.0052810000000001</v>
      </c>
      <c r="I4488">
        <v>165.74789999999999</v>
      </c>
      <c r="J4488">
        <v>-192.03980000000001</v>
      </c>
      <c r="K4488">
        <v>1.108528</v>
      </c>
      <c r="L4488">
        <v>166.30969999999999</v>
      </c>
      <c r="M4488">
        <v>-6.9649749999999996E-2</v>
      </c>
      <c r="N4488">
        <v>-1.063885E-2</v>
      </c>
      <c r="O4488">
        <v>-0.99751480000000003</v>
      </c>
      <c r="P4488">
        <v>-0.1387784</v>
      </c>
      <c r="Q4488">
        <v>0.35434919999999998</v>
      </c>
      <c r="R4488">
        <v>-0.92475810000000003</v>
      </c>
      <c r="S4488">
        <v>-1.0647740000000001</v>
      </c>
      <c r="T4488">
        <v>-0.48058220000000001</v>
      </c>
      <c r="U4488">
        <v>-3.2709809999999999</v>
      </c>
      <c r="V4488">
        <v>7.5735460000000004E-2</v>
      </c>
      <c r="W4488">
        <v>0.36389519999999997</v>
      </c>
      <c r="X4488">
        <v>0.92835579999999995</v>
      </c>
      <c r="Y4488">
        <v>0.23978720000000001</v>
      </c>
      <c r="Z4488">
        <v>0.12878110000000001</v>
      </c>
      <c r="AA4488">
        <v>0.96224609999999999</v>
      </c>
      <c r="AB4488">
        <v>25</v>
      </c>
      <c r="AC4488">
        <v>-0.21759999999997601</v>
      </c>
      <c r="AD4488">
        <v>-0.10324700000000001</v>
      </c>
      <c r="AE4488">
        <v>-0.56180000000000496</v>
      </c>
      <c r="AF4488">
        <v>0.172863279826001</v>
      </c>
      <c r="AG4488">
        <v>-0.10324700000000001</v>
      </c>
      <c r="AH4488">
        <v>0.55917004049072705</v>
      </c>
      <c r="AI4488">
        <v>100.004397615001</v>
      </c>
      <c r="AJ4488">
        <v>72.821393058797099</v>
      </c>
      <c r="AK4488">
        <v>0.59431707926291699</v>
      </c>
      <c r="AL4488">
        <v>68.660393526417707</v>
      </c>
      <c r="AM4488">
        <v>85.336126585033</v>
      </c>
      <c r="AN4488">
        <v>1.00000003393904</v>
      </c>
    </row>
    <row r="4489" spans="1:40" x14ac:dyDescent="0.25">
      <c r="A4489" t="str">
        <f>"20190304164217006"</f>
        <v>20190304164217006</v>
      </c>
      <c r="B4489" t="str">
        <f>"1551688936995306"</f>
        <v>1551688936995306</v>
      </c>
      <c r="C4489" t="s">
        <v>40</v>
      </c>
      <c r="D4489">
        <v>4.4148949999999996</v>
      </c>
      <c r="E4489">
        <v>0.58275369999999904</v>
      </c>
      <c r="F4489" t="s">
        <v>41</v>
      </c>
      <c r="G4489">
        <v>-192.2979</v>
      </c>
      <c r="H4489">
        <v>0.99334800000000001</v>
      </c>
      <c r="I4489">
        <v>165.52529999999999</v>
      </c>
      <c r="J4489">
        <v>-192.05109999999999</v>
      </c>
      <c r="K4489">
        <v>1.10853</v>
      </c>
      <c r="L4489">
        <v>166.1703</v>
      </c>
      <c r="M4489">
        <v>-7.1171310000000002E-2</v>
      </c>
      <c r="N4489">
        <v>-1.082577E-2</v>
      </c>
      <c r="O4489">
        <v>-0.9974056</v>
      </c>
      <c r="P4489">
        <v>-0.14195720000000001</v>
      </c>
      <c r="Q4489">
        <v>0.35408889999999998</v>
      </c>
      <c r="R4489">
        <v>-0.92437550000000002</v>
      </c>
      <c r="S4489">
        <v>-1.074738</v>
      </c>
      <c r="T4489">
        <v>-0.47966720000000002</v>
      </c>
      <c r="U4489">
        <v>-3.2666170000000001</v>
      </c>
      <c r="V4489">
        <v>7.7530630000000003E-2</v>
      </c>
      <c r="W4489">
        <v>0.36379519999999999</v>
      </c>
      <c r="X4489">
        <v>0.92824680000000004</v>
      </c>
      <c r="Y4489">
        <v>0.2413469</v>
      </c>
      <c r="Z4489">
        <v>0.12840180000000001</v>
      </c>
      <c r="AA4489">
        <v>0.96190679999999995</v>
      </c>
      <c r="AB4489">
        <v>25</v>
      </c>
      <c r="AC4489">
        <v>-0.24680000000000701</v>
      </c>
      <c r="AD4489">
        <v>-0.11518199999999899</v>
      </c>
      <c r="AE4489">
        <v>-0.64500000000001001</v>
      </c>
      <c r="AF4489">
        <v>0.19484587262335201</v>
      </c>
      <c r="AG4489">
        <v>-0.11518199999999899</v>
      </c>
      <c r="AH4489">
        <v>0.64304276123813398</v>
      </c>
      <c r="AI4489">
        <v>99.727303626949407</v>
      </c>
      <c r="AJ4489">
        <v>73.142871880229805</v>
      </c>
      <c r="AK4489">
        <v>0.68171533647345794</v>
      </c>
      <c r="AL4489">
        <v>68.666544709349296</v>
      </c>
      <c r="AM4489">
        <v>85.225525101046102</v>
      </c>
      <c r="AN4489">
        <v>1.00000003392073</v>
      </c>
    </row>
    <row r="4490" spans="1:40" x14ac:dyDescent="0.25">
      <c r="A4490" t="str">
        <f>"20190304164217017"</f>
        <v>20190304164217017</v>
      </c>
      <c r="B4490" t="str">
        <f>"1551688937006043"</f>
        <v>1551688937006043</v>
      </c>
      <c r="C4490" t="s">
        <v>40</v>
      </c>
      <c r="D4490">
        <v>4.421392</v>
      </c>
      <c r="E4490">
        <v>0.58250669999999904</v>
      </c>
      <c r="F4490" t="s">
        <v>53</v>
      </c>
      <c r="G4490">
        <v>-194.5591</v>
      </c>
      <c r="H4490" s="1">
        <v>-1.472662E-5</v>
      </c>
      <c r="I4490">
        <v>158.61930000000001</v>
      </c>
      <c r="J4490">
        <v>-192.06190000000001</v>
      </c>
      <c r="K4490">
        <v>1.1085290000000001</v>
      </c>
      <c r="L4490">
        <v>166.04089999999999</v>
      </c>
      <c r="M4490">
        <v>-7.2608199999999998E-2</v>
      </c>
      <c r="N4490">
        <v>-1.099954E-2</v>
      </c>
      <c r="O4490">
        <v>-0.99729999999999996</v>
      </c>
      <c r="P4490">
        <v>-0.1452059</v>
      </c>
      <c r="Q4490">
        <v>0.35361090000000001</v>
      </c>
      <c r="R4490">
        <v>-0.92405349999999997</v>
      </c>
      <c r="S4490">
        <v>-1.083572</v>
      </c>
      <c r="T4490">
        <v>-0.47895169999999998</v>
      </c>
      <c r="U4490">
        <v>-3.2624819999999999</v>
      </c>
      <c r="V4490">
        <v>7.9469070000000003E-2</v>
      </c>
      <c r="W4490">
        <v>0.36346610000000001</v>
      </c>
      <c r="X4490">
        <v>0.92821169999999997</v>
      </c>
      <c r="Y4490">
        <v>0.24266760000000001</v>
      </c>
      <c r="Z4490">
        <v>0.12809419999999999</v>
      </c>
      <c r="AA4490">
        <v>0.96161540000000001</v>
      </c>
      <c r="AB4490">
        <v>25</v>
      </c>
      <c r="AC4490">
        <v>-2.4971999999999901</v>
      </c>
      <c r="AD4490">
        <v>-1.10854372662</v>
      </c>
      <c r="AE4490">
        <v>-7.4215999999999802</v>
      </c>
      <c r="AF4490">
        <v>1.9133597441155401</v>
      </c>
      <c r="AG4490">
        <v>-1.10854372662</v>
      </c>
      <c r="AH4490">
        <v>7.4343412399939002</v>
      </c>
      <c r="AI4490">
        <v>98.217013988391798</v>
      </c>
      <c r="AJ4490">
        <v>75.567140808161099</v>
      </c>
      <c r="AK4490">
        <v>7.7562390613559904</v>
      </c>
      <c r="AL4490">
        <v>68.686784545592005</v>
      </c>
      <c r="AM4490">
        <v>85.106540950750002</v>
      </c>
      <c r="AN4490">
        <v>0.99999994947638104</v>
      </c>
    </row>
    <row r="4491" spans="1:40" x14ac:dyDescent="0.25">
      <c r="A4491" t="str">
        <f>"20190304164217030"</f>
        <v>20190304164217030</v>
      </c>
      <c r="B4491" t="str">
        <f>"1551688937025562"</f>
        <v>1551688937025562</v>
      </c>
      <c r="C4491" t="s">
        <v>40</v>
      </c>
      <c r="D4491">
        <v>4.4092510000000003</v>
      </c>
      <c r="E4491">
        <v>0.58204400000000001</v>
      </c>
      <c r="F4491" t="s">
        <v>41</v>
      </c>
      <c r="G4491">
        <v>-192.31200000000001</v>
      </c>
      <c r="H4491">
        <v>0.99895919999999905</v>
      </c>
      <c r="I4491">
        <v>165.29589999999999</v>
      </c>
      <c r="J4491">
        <v>-192.07400000000001</v>
      </c>
      <c r="K4491">
        <v>1.1085240000000001</v>
      </c>
      <c r="L4491">
        <v>165.89920000000001</v>
      </c>
      <c r="M4491">
        <v>-7.4206300000000003E-2</v>
      </c>
      <c r="N4491">
        <v>-1.118591E-2</v>
      </c>
      <c r="O4491">
        <v>-0.99718030000000002</v>
      </c>
      <c r="P4491">
        <v>-0.14852750000000001</v>
      </c>
      <c r="Q4491">
        <v>0.35375699999999999</v>
      </c>
      <c r="R4491">
        <v>-0.9234694</v>
      </c>
      <c r="S4491">
        <v>-1.092819</v>
      </c>
      <c r="T4491">
        <v>-0.479022</v>
      </c>
      <c r="U4491">
        <v>-3.2581479999999998</v>
      </c>
      <c r="V4491">
        <v>8.1355549999999999E-2</v>
      </c>
      <c r="W4491">
        <v>0.3637686</v>
      </c>
      <c r="X4491">
        <v>0.92792980000000003</v>
      </c>
      <c r="Y4491">
        <v>0.24395059999999999</v>
      </c>
      <c r="Z4491">
        <v>0.1280007</v>
      </c>
      <c r="AA4491">
        <v>0.96130320000000002</v>
      </c>
      <c r="AB4491">
        <v>25</v>
      </c>
      <c r="AC4491">
        <v>-0.23799999999999899</v>
      </c>
      <c r="AD4491">
        <v>-0.1095648</v>
      </c>
      <c r="AE4491">
        <v>-0.60330000000001804</v>
      </c>
      <c r="AF4491">
        <v>0.18722872394340101</v>
      </c>
      <c r="AG4491">
        <v>-0.1095648</v>
      </c>
      <c r="AH4491">
        <v>0.60211416648543903</v>
      </c>
      <c r="AI4491">
        <v>99.857299945448005</v>
      </c>
      <c r="AJ4491">
        <v>72.726803508413298</v>
      </c>
      <c r="AK4491">
        <v>0.64000039839907097</v>
      </c>
      <c r="AL4491">
        <v>68.668180497491605</v>
      </c>
      <c r="AM4491">
        <v>84.989447575604601</v>
      </c>
      <c r="AN4491">
        <v>1.0000000167948999</v>
      </c>
    </row>
    <row r="4492" spans="1:40" x14ac:dyDescent="0.25">
      <c r="A4492" t="str">
        <f>"20190304164217046"</f>
        <v>20190304164217046</v>
      </c>
      <c r="B4492" t="str">
        <f>"1551688937035322"</f>
        <v>1551688937035322</v>
      </c>
      <c r="C4492" t="s">
        <v>40</v>
      </c>
      <c r="D4492">
        <v>4.4186649999999998</v>
      </c>
      <c r="E4492">
        <v>0.581816</v>
      </c>
      <c r="F4492" t="s">
        <v>53</v>
      </c>
      <c r="G4492">
        <v>-194.64169999999999</v>
      </c>
      <c r="H4492" s="1">
        <v>-1.4648579999999999E-5</v>
      </c>
      <c r="I4492">
        <v>158.3091</v>
      </c>
      <c r="J4492">
        <v>-192.08920000000001</v>
      </c>
      <c r="K4492">
        <v>1.1085179999999999</v>
      </c>
      <c r="L4492">
        <v>165.72409999999999</v>
      </c>
      <c r="M4492">
        <v>-7.6211260000000003E-2</v>
      </c>
      <c r="N4492">
        <v>-1.1410699999999999E-2</v>
      </c>
      <c r="O4492">
        <v>-0.99702619999999997</v>
      </c>
      <c r="P4492">
        <v>-0.15465100000000001</v>
      </c>
      <c r="Q4492">
        <v>0.353601</v>
      </c>
      <c r="R4492">
        <v>-0.92252330000000005</v>
      </c>
      <c r="S4492">
        <v>-1.1006929999999999</v>
      </c>
      <c r="T4492">
        <v>-0.47518559999999999</v>
      </c>
      <c r="U4492">
        <v>-3.2536010000000002</v>
      </c>
      <c r="V4492">
        <v>8.5690249999999996E-2</v>
      </c>
      <c r="W4492">
        <v>0.36378899999999997</v>
      </c>
      <c r="X4492">
        <v>0.92753149999999995</v>
      </c>
      <c r="Y4492">
        <v>0.24454239999999999</v>
      </c>
      <c r="Z4492">
        <v>0.12677930000000001</v>
      </c>
      <c r="AA4492">
        <v>0.96131469999999997</v>
      </c>
      <c r="AB4492">
        <v>25</v>
      </c>
      <c r="AC4492">
        <v>-2.5524999999999798</v>
      </c>
      <c r="AD4492">
        <v>-1.10853264858</v>
      </c>
      <c r="AE4492">
        <v>-7.4149999999999903</v>
      </c>
      <c r="AF4492">
        <v>1.9411441719581199</v>
      </c>
      <c r="AG4492">
        <v>-1.10853264858</v>
      </c>
      <c r="AH4492">
        <v>7.4393212713467998</v>
      </c>
      <c r="AI4492">
        <v>98.204503288258806</v>
      </c>
      <c r="AJ4492">
        <v>75.375869085485505</v>
      </c>
      <c r="AK4492">
        <v>7.7679074600311599</v>
      </c>
      <c r="AL4492">
        <v>68.666924632228103</v>
      </c>
      <c r="AM4492">
        <v>84.721696634337803</v>
      </c>
      <c r="AN4492">
        <v>0.99999996947915504</v>
      </c>
    </row>
    <row r="4493" spans="1:40" x14ac:dyDescent="0.25">
      <c r="A4493" t="str">
        <f>"20190304164217057"</f>
        <v>20190304164217057</v>
      </c>
      <c r="B4493" t="str">
        <f>"1551688937046059"</f>
        <v>1551688937046059</v>
      </c>
      <c r="C4493" t="s">
        <v>40</v>
      </c>
      <c r="D4493">
        <v>4.4028830000000001</v>
      </c>
      <c r="E4493">
        <v>0.58158369999999904</v>
      </c>
      <c r="F4493" t="s">
        <v>53</v>
      </c>
      <c r="G4493">
        <v>-194.69909999999999</v>
      </c>
      <c r="H4493" s="1">
        <v>-1.46079E-5</v>
      </c>
      <c r="I4493">
        <v>158.1474</v>
      </c>
      <c r="J4493">
        <v>-192.10149999999999</v>
      </c>
      <c r="K4493">
        <v>1.1085039999999999</v>
      </c>
      <c r="L4493">
        <v>165.5848</v>
      </c>
      <c r="M4493">
        <v>-7.7838959999999999E-2</v>
      </c>
      <c r="N4493">
        <v>-1.158146E-2</v>
      </c>
      <c r="O4493">
        <v>-0.99689879999999997</v>
      </c>
      <c r="P4493">
        <v>-0.15874530000000001</v>
      </c>
      <c r="Q4493">
        <v>0.35342879999999999</v>
      </c>
      <c r="R4493">
        <v>-0.92189390000000004</v>
      </c>
      <c r="S4493">
        <v>-1.118347</v>
      </c>
      <c r="T4493">
        <v>-0.47499200000000003</v>
      </c>
      <c r="U4493">
        <v>-3.246521</v>
      </c>
      <c r="V4493">
        <v>8.8327390000000006E-2</v>
      </c>
      <c r="W4493">
        <v>0.36375390000000002</v>
      </c>
      <c r="X4493">
        <v>0.92729790000000001</v>
      </c>
      <c r="Y4493">
        <v>0.24827540000000001</v>
      </c>
      <c r="Z4493">
        <v>0.1266333</v>
      </c>
      <c r="AA4493">
        <v>0.96037669999999997</v>
      </c>
      <c r="AB4493">
        <v>25</v>
      </c>
      <c r="AC4493">
        <v>-2.5975999999999999</v>
      </c>
      <c r="AD4493">
        <v>-1.1085186079</v>
      </c>
      <c r="AE4493">
        <v>-7.4373999999999896</v>
      </c>
      <c r="AF4493">
        <v>1.97172011455901</v>
      </c>
      <c r="AG4493">
        <v>-1.1085186079</v>
      </c>
      <c r="AH4493">
        <v>7.4691530404661197</v>
      </c>
      <c r="AI4493">
        <v>98.166037739918295</v>
      </c>
      <c r="AJ4493">
        <v>75.212299737533002</v>
      </c>
      <c r="AK4493">
        <v>7.8041489514309896</v>
      </c>
      <c r="AL4493">
        <v>68.669084570421703</v>
      </c>
      <c r="AM4493">
        <v>84.558853315528694</v>
      </c>
      <c r="AN4493">
        <v>1.0000000114669101</v>
      </c>
    </row>
    <row r="4494" spans="1:40" x14ac:dyDescent="0.25">
      <c r="A4494" t="str">
        <f>"20190304164217070"</f>
        <v>20190304164217070</v>
      </c>
      <c r="B4494" t="str">
        <f>"1551688937065578"</f>
        <v>1551688937065578</v>
      </c>
      <c r="C4494" t="s">
        <v>40</v>
      </c>
      <c r="D4494">
        <v>4.4133849999999999</v>
      </c>
      <c r="E4494">
        <v>0.58117059999999998</v>
      </c>
      <c r="F4494" t="s">
        <v>41</v>
      </c>
      <c r="G4494">
        <v>-192.36080000000001</v>
      </c>
      <c r="H4494">
        <v>0.99965510000000002</v>
      </c>
      <c r="I4494">
        <v>164.84190000000001</v>
      </c>
      <c r="J4494">
        <v>-192.11369999999999</v>
      </c>
      <c r="K4494">
        <v>1.10849</v>
      </c>
      <c r="L4494">
        <v>165.4513</v>
      </c>
      <c r="M4494">
        <v>-7.9427280000000003E-2</v>
      </c>
      <c r="N4494">
        <v>-1.173684E-2</v>
      </c>
      <c r="O4494">
        <v>-0.99677170000000004</v>
      </c>
      <c r="P4494">
        <v>-0.16202730000000001</v>
      </c>
      <c r="Q4494">
        <v>0.35342839999999998</v>
      </c>
      <c r="R4494">
        <v>-0.92132289999999994</v>
      </c>
      <c r="S4494">
        <v>-1.130341</v>
      </c>
      <c r="T4494">
        <v>-0.474771</v>
      </c>
      <c r="U4494">
        <v>-3.2415470000000002</v>
      </c>
      <c r="V4494">
        <v>9.0188619999999997E-2</v>
      </c>
      <c r="W4494">
        <v>0.36387920000000001</v>
      </c>
      <c r="X4494">
        <v>0.92706949999999999</v>
      </c>
      <c r="Y4494">
        <v>0.25035970000000002</v>
      </c>
      <c r="Z4494">
        <v>0.12647600000000001</v>
      </c>
      <c r="AA4494">
        <v>0.95985620000000005</v>
      </c>
      <c r="AB4494">
        <v>25</v>
      </c>
      <c r="AC4494">
        <v>-0.247100000000017</v>
      </c>
      <c r="AD4494">
        <v>-0.1088349</v>
      </c>
      <c r="AE4494">
        <v>-0.60939999999999295</v>
      </c>
      <c r="AF4494">
        <v>0.192636216311213</v>
      </c>
      <c r="AG4494">
        <v>-0.1088349</v>
      </c>
      <c r="AH4494">
        <v>0.610382661216474</v>
      </c>
      <c r="AI4494">
        <v>99.650206945936603</v>
      </c>
      <c r="AJ4494">
        <v>72.484350863883506</v>
      </c>
      <c r="AK4494">
        <v>0.649246286401713</v>
      </c>
      <c r="AL4494">
        <v>68.661376046763493</v>
      </c>
      <c r="AM4494">
        <v>84.443547580597894</v>
      </c>
      <c r="AN4494">
        <v>0.99999995860019597</v>
      </c>
    </row>
    <row r="4495" spans="1:40" x14ac:dyDescent="0.25">
      <c r="A4495" t="str">
        <f>"20190304164217082"</f>
        <v>20190304164217082</v>
      </c>
      <c r="B4495" t="str">
        <f>"1551688937075338"</f>
        <v>1551688937075338</v>
      </c>
      <c r="C4495" t="s">
        <v>40</v>
      </c>
      <c r="D4495">
        <v>4.4136189999999997</v>
      </c>
      <c r="E4495">
        <v>0.58095759999999996</v>
      </c>
      <c r="F4495" t="s">
        <v>53</v>
      </c>
      <c r="G4495">
        <v>-194.78210000000001</v>
      </c>
      <c r="H4495" s="1">
        <v>-1.453591E-5</v>
      </c>
      <c r="I4495">
        <v>157.8613</v>
      </c>
      <c r="J4495">
        <v>-192.12710000000001</v>
      </c>
      <c r="K4495">
        <v>1.1084700000000001</v>
      </c>
      <c r="L4495">
        <v>165.3065</v>
      </c>
      <c r="M4495">
        <v>-8.1168069999999995E-2</v>
      </c>
      <c r="N4495">
        <v>-1.1900000000000001E-2</v>
      </c>
      <c r="O4495">
        <v>-0.99662949999999995</v>
      </c>
      <c r="P4495">
        <v>-0.16592270000000001</v>
      </c>
      <c r="Q4495">
        <v>0.35327429999999999</v>
      </c>
      <c r="R4495">
        <v>-0.92068870000000003</v>
      </c>
      <c r="S4495">
        <v>-1.1381380000000001</v>
      </c>
      <c r="T4495">
        <v>-0.47280729999999999</v>
      </c>
      <c r="U4495">
        <v>-3.2373660000000002</v>
      </c>
      <c r="V4495">
        <v>9.2527250000000005E-2</v>
      </c>
      <c r="W4495">
        <v>0.36385479999999998</v>
      </c>
      <c r="X4495">
        <v>0.92684860000000002</v>
      </c>
      <c r="Y4495">
        <v>0.25113829999999998</v>
      </c>
      <c r="Z4495">
        <v>0.12582979999999999</v>
      </c>
      <c r="AA4495">
        <v>0.95973770000000003</v>
      </c>
      <c r="AB4495">
        <v>25</v>
      </c>
      <c r="AC4495">
        <v>-2.6549999999999998</v>
      </c>
      <c r="AD4495">
        <v>-1.10848453591</v>
      </c>
      <c r="AE4495">
        <v>-7.4451999999999998</v>
      </c>
      <c r="AF4495">
        <v>2.0025017740928202</v>
      </c>
      <c r="AG4495">
        <v>-1.10848453591</v>
      </c>
      <c r="AH4495">
        <v>7.48887020454828</v>
      </c>
      <c r="AI4495">
        <v>98.137771805047606</v>
      </c>
      <c r="AJ4495">
        <v>75.029520519953493</v>
      </c>
      <c r="AK4495">
        <v>7.8308319010286196</v>
      </c>
      <c r="AL4495">
        <v>68.662877146275207</v>
      </c>
      <c r="AM4495">
        <v>84.299053668334807</v>
      </c>
      <c r="AN4495">
        <v>0.99999996739878005</v>
      </c>
    </row>
    <row r="4496" spans="1:40" x14ac:dyDescent="0.25">
      <c r="A4496" t="str">
        <f>"20190304164217093"</f>
        <v>20190304164217093</v>
      </c>
      <c r="B4496" t="str">
        <f>"1551688937086075"</f>
        <v>1551688937086075</v>
      </c>
      <c r="C4496" t="s">
        <v>40</v>
      </c>
      <c r="D4496">
        <v>4.4210440000000002</v>
      </c>
      <c r="E4496">
        <v>0.58074650000000005</v>
      </c>
      <c r="F4496" t="s">
        <v>53</v>
      </c>
      <c r="G4496">
        <v>-194.82470000000001</v>
      </c>
      <c r="H4496" s="1">
        <v>-1.450107E-5</v>
      </c>
      <c r="I4496">
        <v>157.72290000000001</v>
      </c>
      <c r="J4496">
        <v>-192.1396</v>
      </c>
      <c r="K4496">
        <v>1.108444</v>
      </c>
      <c r="L4496">
        <v>165.1747</v>
      </c>
      <c r="M4496">
        <v>-8.2802749999999994E-2</v>
      </c>
      <c r="N4496">
        <v>-1.2036379999999999E-2</v>
      </c>
      <c r="O4496">
        <v>-0.99649339999999997</v>
      </c>
      <c r="P4496">
        <v>-0.16931489999999999</v>
      </c>
      <c r="Q4496">
        <v>0.35313620000000001</v>
      </c>
      <c r="R4496">
        <v>-0.92012380000000005</v>
      </c>
      <c r="S4496">
        <v>-1.1498409999999999</v>
      </c>
      <c r="T4496">
        <v>-0.47248380000000001</v>
      </c>
      <c r="U4496">
        <v>-3.2324980000000001</v>
      </c>
      <c r="V4496">
        <v>9.4458710000000001E-2</v>
      </c>
      <c r="W4496">
        <v>0.36382320000000001</v>
      </c>
      <c r="X4496">
        <v>0.9266662</v>
      </c>
      <c r="Y4496">
        <v>0.25309419999999999</v>
      </c>
      <c r="Z4496">
        <v>0.1256582</v>
      </c>
      <c r="AA4496">
        <v>0.95924620000000005</v>
      </c>
      <c r="AB4496">
        <v>25</v>
      </c>
      <c r="AC4496">
        <v>-2.6850999999999998</v>
      </c>
      <c r="AD4496">
        <v>-1.1084585010700001</v>
      </c>
      <c r="AE4496">
        <v>-7.4517999999999898</v>
      </c>
      <c r="AF4496">
        <v>2.0192586639746199</v>
      </c>
      <c r="AG4496">
        <v>-1.1084585010700001</v>
      </c>
      <c r="AH4496">
        <v>7.5016442622235804</v>
      </c>
      <c r="AI4496">
        <v>98.120344556390705</v>
      </c>
      <c r="AJ4496">
        <v>74.934465840293697</v>
      </c>
      <c r="AK4496">
        <v>7.8473404690750401</v>
      </c>
      <c r="AL4496">
        <v>68.664821812465703</v>
      </c>
      <c r="AM4496">
        <v>84.179720136677702</v>
      </c>
      <c r="AN4496">
        <v>1.00000000748777</v>
      </c>
    </row>
    <row r="4497" spans="1:40" x14ac:dyDescent="0.25">
      <c r="A4497" t="str">
        <f>"20190304164217105"</f>
        <v>20190304164217105</v>
      </c>
      <c r="B4497" t="str">
        <f>"1551688937095834"</f>
        <v>1551688937095834</v>
      </c>
      <c r="C4497" t="s">
        <v>40</v>
      </c>
      <c r="D4497">
        <v>4.4081340000000004</v>
      </c>
      <c r="E4497">
        <v>0.58074650000000005</v>
      </c>
      <c r="F4497" t="s">
        <v>53</v>
      </c>
      <c r="G4497">
        <v>-194.86510000000001</v>
      </c>
      <c r="H4497" s="1">
        <v>-1.4468430000000001E-5</v>
      </c>
      <c r="I4497">
        <v>157.59309999999999</v>
      </c>
      <c r="J4497">
        <v>-192.15180000000001</v>
      </c>
      <c r="K4497">
        <v>1.10842</v>
      </c>
      <c r="L4497">
        <v>165.04830000000001</v>
      </c>
      <c r="M4497">
        <v>-8.438495E-2</v>
      </c>
      <c r="N4497">
        <v>-1.216339E-2</v>
      </c>
      <c r="O4497">
        <v>-0.99635910000000005</v>
      </c>
      <c r="P4497">
        <v>-0.17254920000000001</v>
      </c>
      <c r="Q4497">
        <v>0.3528075</v>
      </c>
      <c r="R4497">
        <v>-0.91964889999999999</v>
      </c>
      <c r="S4497">
        <v>-1.1604460000000001</v>
      </c>
      <c r="T4497">
        <v>-0.47195199999999998</v>
      </c>
      <c r="U4497">
        <v>-3.228027</v>
      </c>
      <c r="V4497">
        <v>9.6272869999999997E-2</v>
      </c>
      <c r="W4497">
        <v>0.36359399999999997</v>
      </c>
      <c r="X4497">
        <v>0.92656950000000005</v>
      </c>
      <c r="Y4497">
        <v>0.25477759999999999</v>
      </c>
      <c r="Z4497">
        <v>0.12543219999999999</v>
      </c>
      <c r="AA4497">
        <v>0.95883010000000002</v>
      </c>
      <c r="AB4497">
        <v>25</v>
      </c>
      <c r="AC4497">
        <v>-2.7132999999999998</v>
      </c>
      <c r="AD4497">
        <v>-1.10843446843</v>
      </c>
      <c r="AE4497">
        <v>-7.4552000000000103</v>
      </c>
      <c r="AF4497">
        <v>2.0347494187695201</v>
      </c>
      <c r="AG4497">
        <v>-1.10843446843</v>
      </c>
      <c r="AH4497">
        <v>7.5109696578776699</v>
      </c>
      <c r="AI4497">
        <v>98.106743265838205</v>
      </c>
      <c r="AJ4497">
        <v>74.842176193300403</v>
      </c>
      <c r="AK4497">
        <v>7.8602479203613997</v>
      </c>
      <c r="AL4497">
        <v>68.678920475873795</v>
      </c>
      <c r="AM4497">
        <v>84.068111588111094</v>
      </c>
      <c r="AN4497">
        <v>1.00000005033214</v>
      </c>
    </row>
    <row r="4498" spans="1:40" x14ac:dyDescent="0.25">
      <c r="A4498" t="str">
        <f>"20190304164217117"</f>
        <v>20190304164217117</v>
      </c>
      <c r="B4498" t="str">
        <f>"1551688937105595"</f>
        <v>1551688937105595</v>
      </c>
      <c r="C4498" t="s">
        <v>40</v>
      </c>
      <c r="D4498">
        <v>4.5012780000000001</v>
      </c>
      <c r="E4498">
        <v>0.57194209999999901</v>
      </c>
      <c r="F4498" t="s">
        <v>53</v>
      </c>
      <c r="G4498">
        <v>-194.90049999999999</v>
      </c>
      <c r="H4498" s="1">
        <v>-1.44429E-5</v>
      </c>
      <c r="I4498">
        <v>157.49160000000001</v>
      </c>
      <c r="J4498">
        <v>-192.1653</v>
      </c>
      <c r="K4498">
        <v>1.1083879999999999</v>
      </c>
      <c r="L4498">
        <v>164.9118</v>
      </c>
      <c r="M4498">
        <v>-8.6132509999999995E-2</v>
      </c>
      <c r="N4498">
        <v>-1.229177E-2</v>
      </c>
      <c r="O4498">
        <v>-0.99620799999999998</v>
      </c>
      <c r="P4498">
        <v>-0.1758509</v>
      </c>
      <c r="Q4498">
        <v>0.35248420000000003</v>
      </c>
      <c r="R4498">
        <v>-0.91914739999999995</v>
      </c>
      <c r="S4498">
        <v>-1.1725460000000001</v>
      </c>
      <c r="T4498">
        <v>-0.47283510000000001</v>
      </c>
      <c r="U4498">
        <v>-3.2235109999999998</v>
      </c>
      <c r="V4498">
        <v>9.8005770000000006E-2</v>
      </c>
      <c r="W4498">
        <v>0.36337049999999999</v>
      </c>
      <c r="X4498">
        <v>0.92647539999999995</v>
      </c>
      <c r="Y4498">
        <v>0.25668059999999998</v>
      </c>
      <c r="Z4498">
        <v>0.1255928</v>
      </c>
      <c r="AA4498">
        <v>0.95830139999999997</v>
      </c>
      <c r="AB4498">
        <v>25</v>
      </c>
      <c r="AC4498">
        <v>-2.7351999999999901</v>
      </c>
      <c r="AD4498">
        <v>-1.1084024428999999</v>
      </c>
      <c r="AE4498">
        <v>-7.4201999999999897</v>
      </c>
      <c r="AF4498">
        <v>2.0456794167757102</v>
      </c>
      <c r="AG4498">
        <v>-1.1084024428999999</v>
      </c>
      <c r="AH4498">
        <v>7.4812647090720503</v>
      </c>
      <c r="AI4498">
        <v>98.133109881410604</v>
      </c>
      <c r="AJ4498">
        <v>74.706861975053201</v>
      </c>
      <c r="AK4498">
        <v>7.8347100711419699</v>
      </c>
      <c r="AL4498">
        <v>68.692664238719303</v>
      </c>
      <c r="AM4498">
        <v>83.9615114335611</v>
      </c>
      <c r="AN4498">
        <v>0.99999995901435001</v>
      </c>
    </row>
    <row r="4499" spans="1:40" x14ac:dyDescent="0.25">
      <c r="A4499" t="str">
        <f>"20190304164217129"</f>
        <v>20190304164217129</v>
      </c>
      <c r="B4499" t="str">
        <f>"1551688937126091"</f>
        <v>1551688937126091</v>
      </c>
      <c r="C4499" t="s">
        <v>40</v>
      </c>
      <c r="D4499">
        <v>4.4353249999999997</v>
      </c>
      <c r="E4499">
        <v>0.57119790000000004</v>
      </c>
      <c r="F4499" t="s">
        <v>41</v>
      </c>
      <c r="G4499">
        <v>-192.4247</v>
      </c>
      <c r="H4499">
        <v>1.005288</v>
      </c>
      <c r="I4499">
        <v>164.1634</v>
      </c>
      <c r="J4499">
        <v>-192.17859999999999</v>
      </c>
      <c r="K4499">
        <v>1.1083529999999999</v>
      </c>
      <c r="L4499">
        <v>164.77879999999999</v>
      </c>
      <c r="M4499">
        <v>-8.7874430000000003E-2</v>
      </c>
      <c r="N4499">
        <v>-1.24096E-2</v>
      </c>
      <c r="O4499">
        <v>-0.99605429999999995</v>
      </c>
      <c r="P4499">
        <v>-0.1785794</v>
      </c>
      <c r="Q4499">
        <v>0.35170829999999997</v>
      </c>
      <c r="R4499">
        <v>-0.91891820000000002</v>
      </c>
      <c r="S4499">
        <v>-1.1159059999999901</v>
      </c>
      <c r="T4499">
        <v>-0.44359490000000001</v>
      </c>
      <c r="U4499">
        <v>-3.22052</v>
      </c>
      <c r="V4499">
        <v>9.9147280000000004E-2</v>
      </c>
      <c r="W4499">
        <v>0.36269079999999998</v>
      </c>
      <c r="X4499">
        <v>0.92662029999999995</v>
      </c>
      <c r="Y4499">
        <v>0.24061009999999999</v>
      </c>
      <c r="Z4499">
        <v>0.1178211</v>
      </c>
      <c r="AA4499">
        <v>0.96344439999999998</v>
      </c>
      <c r="AB4499">
        <v>25</v>
      </c>
      <c r="AC4499">
        <v>-0.246100000000012</v>
      </c>
      <c r="AD4499">
        <v>-0.103065</v>
      </c>
      <c r="AE4499">
        <v>-0.61539999999999395</v>
      </c>
      <c r="AF4499">
        <v>0.18655462078544699</v>
      </c>
      <c r="AG4499">
        <v>-0.103065</v>
      </c>
      <c r="AH4499">
        <v>0.61966234990066904</v>
      </c>
      <c r="AI4499">
        <v>99.049124781498506</v>
      </c>
      <c r="AJ4499">
        <v>73.245131731514107</v>
      </c>
      <c r="AK4499">
        <v>0.65529111747819502</v>
      </c>
      <c r="AL4499">
        <v>68.734460268242103</v>
      </c>
      <c r="AM4499">
        <v>83.892655535669803</v>
      </c>
      <c r="AN4499">
        <v>0.99999998995406403</v>
      </c>
    </row>
    <row r="4500" spans="1:40" x14ac:dyDescent="0.25">
      <c r="A4500" t="str">
        <f>"20190304164217141"</f>
        <v>20190304164217141</v>
      </c>
      <c r="B4500" t="str">
        <f>"1551688937135850"</f>
        <v>1551688937135850</v>
      </c>
      <c r="C4500" t="s">
        <v>40</v>
      </c>
      <c r="D4500">
        <v>4.4772660000000002</v>
      </c>
      <c r="E4500">
        <v>0.57111259999999997</v>
      </c>
      <c r="F4500" t="s">
        <v>53</v>
      </c>
      <c r="G4500">
        <v>-195.0128</v>
      </c>
      <c r="H4500" s="1">
        <v>-1.4155849999999999E-5</v>
      </c>
      <c r="I4500">
        <v>156.65600000000001</v>
      </c>
      <c r="J4500">
        <v>-192.19300000000001</v>
      </c>
      <c r="K4500">
        <v>1.1083080000000001</v>
      </c>
      <c r="L4500">
        <v>164.6377</v>
      </c>
      <c r="M4500">
        <v>-8.9746010000000001E-2</v>
      </c>
      <c r="N4500">
        <v>-1.2529729999999999E-2</v>
      </c>
      <c r="O4500">
        <v>-0.99588589999999999</v>
      </c>
      <c r="P4500">
        <v>-0.18155160000000001</v>
      </c>
      <c r="Q4500">
        <v>0.35119549999999999</v>
      </c>
      <c r="R4500">
        <v>-0.91853180000000001</v>
      </c>
      <c r="S4500">
        <v>-1.121613</v>
      </c>
      <c r="T4500">
        <v>-0.43863990000000003</v>
      </c>
      <c r="U4500">
        <v>-3.2146300000000001</v>
      </c>
      <c r="V4500">
        <v>0.1004283</v>
      </c>
      <c r="W4500">
        <v>0.36227209999999899</v>
      </c>
      <c r="X4500">
        <v>0.92664610000000003</v>
      </c>
      <c r="Y4500">
        <v>0.24091219999999999</v>
      </c>
      <c r="Z4500">
        <v>0.1164256</v>
      </c>
      <c r="AA4500">
        <v>0.96353849999999996</v>
      </c>
      <c r="AB4500">
        <v>25</v>
      </c>
      <c r="AC4500">
        <v>-2.8198000000000101</v>
      </c>
      <c r="AD4500">
        <v>-1.1083221558499901</v>
      </c>
      <c r="AE4500">
        <v>-7.9816999999999796</v>
      </c>
      <c r="AF4500">
        <v>2.0567800860653001</v>
      </c>
      <c r="AG4500">
        <v>-1.1083221558499901</v>
      </c>
      <c r="AH4500">
        <v>8.0643328176522093</v>
      </c>
      <c r="AI4500">
        <v>97.585559371316805</v>
      </c>
      <c r="AJ4500">
        <v>75.691945085031193</v>
      </c>
      <c r="AK4500">
        <v>8.3959624890446793</v>
      </c>
      <c r="AL4500">
        <v>68.760199834974998</v>
      </c>
      <c r="AM4500">
        <v>83.814525105759202</v>
      </c>
      <c r="AN4500">
        <v>0.99999995626225402</v>
      </c>
    </row>
    <row r="4501" spans="1:40" x14ac:dyDescent="0.25">
      <c r="A4501" t="str">
        <f>"20190304164217159"</f>
        <v>20190304164217159</v>
      </c>
      <c r="B4501" t="str">
        <f>"1551688937155370"</f>
        <v>1551688937155370</v>
      </c>
      <c r="C4501" t="s">
        <v>40</v>
      </c>
      <c r="D4501">
        <v>4.4104900000000002</v>
      </c>
      <c r="E4501">
        <v>0.57058450000000005</v>
      </c>
      <c r="F4501" t="s">
        <v>41</v>
      </c>
      <c r="G4501">
        <v>-192.4409</v>
      </c>
      <c r="H4501">
        <v>1.0120960000000001</v>
      </c>
      <c r="I4501">
        <v>163.93549999999999</v>
      </c>
      <c r="J4501">
        <v>-192.21299999999999</v>
      </c>
      <c r="K4501">
        <v>1.108244</v>
      </c>
      <c r="L4501">
        <v>164.4486</v>
      </c>
      <c r="M4501">
        <v>-9.2355240000000005E-2</v>
      </c>
      <c r="N4501">
        <v>-1.267505E-2</v>
      </c>
      <c r="O4501">
        <v>-0.99564560000000002</v>
      </c>
      <c r="P4501">
        <v>-0.1859546</v>
      </c>
      <c r="Q4501">
        <v>0.3501959</v>
      </c>
      <c r="R4501">
        <v>-0.91803259999999998</v>
      </c>
      <c r="S4501">
        <v>-1.1327510000000001</v>
      </c>
      <c r="T4501">
        <v>-0.4398243</v>
      </c>
      <c r="U4501">
        <v>-3.2103579999999998</v>
      </c>
      <c r="V4501">
        <v>0.102470699999999</v>
      </c>
      <c r="W4501">
        <v>0.3613827</v>
      </c>
      <c r="X4501">
        <v>0.92676990000000004</v>
      </c>
      <c r="Y4501">
        <v>0.24173210000000001</v>
      </c>
      <c r="Z4501">
        <v>0.1166619</v>
      </c>
      <c r="AA4501">
        <v>0.96330450000000001</v>
      </c>
      <c r="AB4501">
        <v>25</v>
      </c>
      <c r="AC4501">
        <v>-0.22790000000000499</v>
      </c>
      <c r="AD4501">
        <v>-9.6148000000000095E-2</v>
      </c>
      <c r="AE4501">
        <v>-0.51310000000000799</v>
      </c>
      <c r="AF4501">
        <v>0.17441920966937299</v>
      </c>
      <c r="AG4501">
        <v>-9.6148000000000095E-2</v>
      </c>
      <c r="AH4501">
        <v>0.51679953881358198</v>
      </c>
      <c r="AI4501">
        <v>99.997184927059493</v>
      </c>
      <c r="AJ4501">
        <v>71.350524415383603</v>
      </c>
      <c r="AK4501">
        <v>0.55384859115431495</v>
      </c>
      <c r="AL4501">
        <v>68.814864972326106</v>
      </c>
      <c r="AM4501">
        <v>83.690572653169895</v>
      </c>
      <c r="AN4501">
        <v>1.0000000738818899</v>
      </c>
    </row>
    <row r="4502" spans="1:40" x14ac:dyDescent="0.25">
      <c r="A4502" t="str">
        <f>"20190304164217173"</f>
        <v>20190304164217173</v>
      </c>
      <c r="B4502" t="str">
        <f>"1551688937166107"</f>
        <v>1551688937166107</v>
      </c>
      <c r="C4502" t="s">
        <v>40</v>
      </c>
      <c r="D4502">
        <v>4.4123199999999896</v>
      </c>
      <c r="E4502">
        <v>0.57038129999999998</v>
      </c>
      <c r="F4502" t="s">
        <v>41</v>
      </c>
      <c r="G4502">
        <v>-192.4778</v>
      </c>
      <c r="H4502">
        <v>1.0063139999999999</v>
      </c>
      <c r="I4502">
        <v>163.70849999999999</v>
      </c>
      <c r="J4502">
        <v>-192.23169999999999</v>
      </c>
      <c r="K4502">
        <v>1.1081810000000001</v>
      </c>
      <c r="L4502">
        <v>164.27680000000001</v>
      </c>
      <c r="M4502">
        <v>-9.4804020000000003E-2</v>
      </c>
      <c r="N4502">
        <v>-1.2796490000000001E-2</v>
      </c>
      <c r="O4502">
        <v>-0.99541380000000002</v>
      </c>
      <c r="P4502">
        <v>-0.18940119999999999</v>
      </c>
      <c r="Q4502">
        <v>0.34973789999999999</v>
      </c>
      <c r="R4502">
        <v>-0.9175027</v>
      </c>
      <c r="S4502">
        <v>-1.14627099999999</v>
      </c>
      <c r="T4502">
        <v>-0.44128820000000002</v>
      </c>
      <c r="U4502">
        <v>-3.2039789999999999</v>
      </c>
      <c r="V4502">
        <v>0.1037168</v>
      </c>
      <c r="W4502">
        <v>0.3610141</v>
      </c>
      <c r="X4502">
        <v>0.92677489999999996</v>
      </c>
      <c r="Y4502">
        <v>0.243536</v>
      </c>
      <c r="Z4502">
        <v>0.1170508</v>
      </c>
      <c r="AA4502">
        <v>0.96280279999999996</v>
      </c>
      <c r="AB4502">
        <v>25</v>
      </c>
      <c r="AC4502">
        <v>-0.246100000000012</v>
      </c>
      <c r="AD4502">
        <v>-0.101866999999999</v>
      </c>
      <c r="AE4502">
        <v>-0.56830000000002201</v>
      </c>
      <c r="AF4502">
        <v>0.186075340988239</v>
      </c>
      <c r="AG4502">
        <v>-0.101866999999999</v>
      </c>
      <c r="AH4502">
        <v>0.573554866581656</v>
      </c>
      <c r="AI4502">
        <v>99.588910479760898</v>
      </c>
      <c r="AJ4502">
        <v>72.025658890236599</v>
      </c>
      <c r="AK4502">
        <v>0.61152767982519896</v>
      </c>
      <c r="AL4502">
        <v>68.837512340366501</v>
      </c>
      <c r="AM4502">
        <v>83.614510712996307</v>
      </c>
      <c r="AN4502">
        <v>1.00000003513552</v>
      </c>
    </row>
    <row r="4503" spans="1:40" x14ac:dyDescent="0.25">
      <c r="A4503" t="str">
        <f>"20190304164217188"</f>
        <v>20190304164217188</v>
      </c>
      <c r="B4503" t="str">
        <f>"1551688937175866"</f>
        <v>1551688937175866</v>
      </c>
      <c r="C4503" t="s">
        <v>40</v>
      </c>
      <c r="D4503">
        <v>4.3623440000000002</v>
      </c>
      <c r="E4503">
        <v>0.57016149999999999</v>
      </c>
      <c r="F4503" t="s">
        <v>53</v>
      </c>
      <c r="G4503">
        <v>-195.14080000000001</v>
      </c>
      <c r="H4503" s="1">
        <v>-1.398516E-5</v>
      </c>
      <c r="I4503">
        <v>156.23159999999999</v>
      </c>
      <c r="J4503">
        <v>-192.2492</v>
      </c>
      <c r="K4503">
        <v>1.10812</v>
      </c>
      <c r="L4503">
        <v>164.11859999999999</v>
      </c>
      <c r="M4503">
        <v>-9.7119419999999998E-2</v>
      </c>
      <c r="N4503">
        <v>-1.290084E-2</v>
      </c>
      <c r="O4503">
        <v>-0.9951892</v>
      </c>
      <c r="P4503">
        <v>-0.19248670000000001</v>
      </c>
      <c r="Q4503">
        <v>0.3498212</v>
      </c>
      <c r="R4503">
        <v>-0.91682850000000005</v>
      </c>
      <c r="S4503">
        <v>-1.1567229999999999</v>
      </c>
      <c r="T4503">
        <v>-0.44063950000000002</v>
      </c>
      <c r="U4503">
        <v>-3.1989290000000001</v>
      </c>
      <c r="V4503">
        <v>0.1047438</v>
      </c>
      <c r="W4503">
        <v>0.36117009999999999</v>
      </c>
      <c r="X4503">
        <v>0.92659849999999999</v>
      </c>
      <c r="Y4503">
        <v>0.2445541</v>
      </c>
      <c r="Z4503">
        <v>0.11682910000000001</v>
      </c>
      <c r="AA4503">
        <v>0.96257170000000003</v>
      </c>
      <c r="AB4503">
        <v>25</v>
      </c>
      <c r="AC4503">
        <v>-2.8916000000000102</v>
      </c>
      <c r="AD4503">
        <v>-1.1081339851600001</v>
      </c>
      <c r="AE4503">
        <v>-7.8869999999999996</v>
      </c>
      <c r="AF4503">
        <v>2.0757622957621802</v>
      </c>
      <c r="AG4503">
        <v>-1.1081339851600001</v>
      </c>
      <c r="AH4503">
        <v>7.9914991230469203</v>
      </c>
      <c r="AI4503">
        <v>97.644018864869395</v>
      </c>
      <c r="AJ4503">
        <v>75.439400393454704</v>
      </c>
      <c r="AK4503">
        <v>8.3307147515224695</v>
      </c>
      <c r="AL4503">
        <v>68.827925456272695</v>
      </c>
      <c r="AM4503">
        <v>83.550594572085004</v>
      </c>
      <c r="AN4503">
        <v>0.99999994248734803</v>
      </c>
    </row>
    <row r="4504" spans="1:40" x14ac:dyDescent="0.25">
      <c r="A4504" t="str">
        <f>"20190304164217203"</f>
        <v>20190304164217203</v>
      </c>
      <c r="B4504" t="str">
        <f>"1551688937195386"</f>
        <v>1551688937195386</v>
      </c>
      <c r="C4504" t="s">
        <v>40</v>
      </c>
      <c r="D4504">
        <v>4.491466</v>
      </c>
      <c r="E4504">
        <v>0.56973149999999995</v>
      </c>
      <c r="F4504" t="s">
        <v>53</v>
      </c>
      <c r="G4504">
        <v>-195.1908</v>
      </c>
      <c r="H4504" s="1">
        <v>-1.3914430000000001E-5</v>
      </c>
      <c r="I4504">
        <v>156.0564</v>
      </c>
      <c r="J4504">
        <v>-192.26859999999999</v>
      </c>
      <c r="K4504">
        <v>1.1080669999999999</v>
      </c>
      <c r="L4504">
        <v>163.94839999999999</v>
      </c>
      <c r="M4504">
        <v>-9.9674170000000006E-2</v>
      </c>
      <c r="N4504">
        <v>-1.300522E-2</v>
      </c>
      <c r="O4504">
        <v>-0.99493520000000002</v>
      </c>
      <c r="P4504">
        <v>-0.19734850000000001</v>
      </c>
      <c r="Q4504">
        <v>0.35008319999999998</v>
      </c>
      <c r="R4504">
        <v>-0.91569420000000001</v>
      </c>
      <c r="S4504">
        <v>-1.16571</v>
      </c>
      <c r="T4504">
        <v>-0.43913839999999998</v>
      </c>
      <c r="U4504">
        <v>-3.1949459999999998</v>
      </c>
      <c r="V4504">
        <v>0.1073684</v>
      </c>
      <c r="W4504">
        <v>0.36148940000000002</v>
      </c>
      <c r="X4504">
        <v>0.92617360000000004</v>
      </c>
      <c r="Y4504">
        <v>0.24485950000000001</v>
      </c>
      <c r="Z4504">
        <v>0.1163362</v>
      </c>
      <c r="AA4504">
        <v>0.96255369999999996</v>
      </c>
      <c r="AB4504">
        <v>25</v>
      </c>
      <c r="AC4504">
        <v>-2.9222000000000001</v>
      </c>
      <c r="AD4504">
        <v>-1.1080809144299999</v>
      </c>
      <c r="AE4504">
        <v>-7.8919999999999897</v>
      </c>
      <c r="AF4504">
        <v>2.0848064387782301</v>
      </c>
      <c r="AG4504">
        <v>-1.1080809144299999</v>
      </c>
      <c r="AH4504">
        <v>8.0052000680822193</v>
      </c>
      <c r="AI4504">
        <v>97.629470550293505</v>
      </c>
      <c r="AJ4504">
        <v>75.402627378133701</v>
      </c>
      <c r="AK4504">
        <v>8.3461062376487103</v>
      </c>
      <c r="AL4504">
        <v>68.808307694841105</v>
      </c>
      <c r="AM4504">
        <v>83.3873969427341</v>
      </c>
      <c r="AN4504">
        <v>1.00000004848393</v>
      </c>
    </row>
    <row r="4505" spans="1:40" x14ac:dyDescent="0.25">
      <c r="A4505" t="str">
        <f>"20190304164217214"</f>
        <v>20190304164217214</v>
      </c>
      <c r="B4505" t="str">
        <f>"1551688937205147"</f>
        <v>1551688937205147</v>
      </c>
      <c r="C4505" t="s">
        <v>40</v>
      </c>
      <c r="D4505">
        <v>4.4049740000000002</v>
      </c>
      <c r="E4505">
        <v>0.56964799999999904</v>
      </c>
      <c r="F4505" t="s">
        <v>53</v>
      </c>
      <c r="G4505">
        <v>-195.2456</v>
      </c>
      <c r="H4505" s="1">
        <v>-1.384606E-5</v>
      </c>
      <c r="I4505">
        <v>155.88570000000001</v>
      </c>
      <c r="J4505">
        <v>-192.28440000000001</v>
      </c>
      <c r="K4505">
        <v>1.1080190000000001</v>
      </c>
      <c r="L4505">
        <v>163.81309999999999</v>
      </c>
      <c r="M4505">
        <v>-0.1017719</v>
      </c>
      <c r="N4505">
        <v>-1.3080110000000001E-2</v>
      </c>
      <c r="O4505">
        <v>-0.99472190000000005</v>
      </c>
      <c r="P4505">
        <v>-0.2002157</v>
      </c>
      <c r="Q4505">
        <v>0.35033429999999999</v>
      </c>
      <c r="R4505">
        <v>-0.91497550000000005</v>
      </c>
      <c r="S4505">
        <v>-1.177856</v>
      </c>
      <c r="T4505">
        <v>-0.43840180000000001</v>
      </c>
      <c r="U4505">
        <v>-3.1899259999999998</v>
      </c>
      <c r="V4505">
        <v>0.10838250000000001</v>
      </c>
      <c r="W4505">
        <v>0.36178589999999999</v>
      </c>
      <c r="X4505">
        <v>0.92593959999999997</v>
      </c>
      <c r="Y4505">
        <v>0.24654000000000001</v>
      </c>
      <c r="Z4505">
        <v>0.1160949</v>
      </c>
      <c r="AA4505">
        <v>0.96215390000000001</v>
      </c>
      <c r="AB4505">
        <v>25</v>
      </c>
      <c r="AC4505">
        <v>-2.9611999999999901</v>
      </c>
      <c r="AD4505">
        <v>-1.10803284606</v>
      </c>
      <c r="AE4505">
        <v>-7.9273999999999702</v>
      </c>
      <c r="AF4505">
        <v>2.1029138568809902</v>
      </c>
      <c r="AG4505">
        <v>-1.10803284606</v>
      </c>
      <c r="AH4505">
        <v>8.04962039418362</v>
      </c>
      <c r="AI4505">
        <v>97.586047693642499</v>
      </c>
      <c r="AJ4505">
        <v>75.359049085356205</v>
      </c>
      <c r="AK4505">
        <v>8.3932337014923402</v>
      </c>
      <c r="AL4505">
        <v>68.790084574446794</v>
      </c>
      <c r="AM4505">
        <v>83.3238299479696</v>
      </c>
      <c r="AN4505">
        <v>0.99999997329660895</v>
      </c>
    </row>
    <row r="4506" spans="1:40" x14ac:dyDescent="0.25">
      <c r="A4506" t="str">
        <f>"20190304164217228"</f>
        <v>20190304164217228</v>
      </c>
      <c r="B4506" t="str">
        <f>"1551688937215883"</f>
        <v>1551688937215883</v>
      </c>
      <c r="C4506" t="s">
        <v>40</v>
      </c>
      <c r="D4506">
        <v>4.395499</v>
      </c>
      <c r="E4506">
        <v>0.56959209999999905</v>
      </c>
      <c r="F4506" t="s">
        <v>53</v>
      </c>
      <c r="G4506">
        <v>-195.29429999999999</v>
      </c>
      <c r="H4506" s="1">
        <v>-1.378382E-5</v>
      </c>
      <c r="I4506">
        <v>155.73050000000001</v>
      </c>
      <c r="J4506">
        <v>-192.30080000000001</v>
      </c>
      <c r="K4506">
        <v>1.1079760000000001</v>
      </c>
      <c r="L4506">
        <v>163.6756</v>
      </c>
      <c r="M4506">
        <v>-0.1039373</v>
      </c>
      <c r="N4506">
        <v>-1.3152250000000001E-2</v>
      </c>
      <c r="O4506">
        <v>-0.99449690000000002</v>
      </c>
      <c r="P4506">
        <v>-0.20331460000000001</v>
      </c>
      <c r="Q4506">
        <v>0.35014390000000001</v>
      </c>
      <c r="R4506">
        <v>-0.91436459999999997</v>
      </c>
      <c r="S4506">
        <v>-1.186569</v>
      </c>
      <c r="T4506">
        <v>-0.43681940000000002</v>
      </c>
      <c r="U4506">
        <v>-3.1863860000000002</v>
      </c>
      <c r="V4506">
        <v>0.10954949999999999</v>
      </c>
      <c r="W4506">
        <v>0.36163960000000001</v>
      </c>
      <c r="X4506">
        <v>0.92585949999999995</v>
      </c>
      <c r="Y4506">
        <v>0.2471102</v>
      </c>
      <c r="Z4506">
        <v>0.1155943</v>
      </c>
      <c r="AA4506">
        <v>0.96206780000000003</v>
      </c>
      <c r="AB4506">
        <v>25</v>
      </c>
      <c r="AC4506">
        <v>-2.9934999999999801</v>
      </c>
      <c r="AD4506">
        <v>-1.1079897838199999</v>
      </c>
      <c r="AE4506">
        <v>-7.9450999999999903</v>
      </c>
      <c r="AF4506">
        <v>2.1153944521080899</v>
      </c>
      <c r="AG4506">
        <v>-1.1079897838199999</v>
      </c>
      <c r="AH4506">
        <v>8.0756923353627101</v>
      </c>
      <c r="AI4506">
        <v>97.560265333521698</v>
      </c>
      <c r="AJ4506">
        <v>75.321401443668407</v>
      </c>
      <c r="AK4506">
        <v>8.4213622261778607</v>
      </c>
      <c r="AL4506">
        <v>68.799077525184401</v>
      </c>
      <c r="AM4506">
        <v>83.252025754510001</v>
      </c>
      <c r="AN4506">
        <v>1.0000000534893201</v>
      </c>
    </row>
    <row r="4507" spans="1:40" x14ac:dyDescent="0.25">
      <c r="A4507" t="str">
        <f>"20190304164217240"</f>
        <v>20190304164217240</v>
      </c>
      <c r="B4507" t="str">
        <f>"1551688937235402"</f>
        <v>1551688937235402</v>
      </c>
      <c r="C4507" t="s">
        <v>40</v>
      </c>
      <c r="D4507">
        <v>4.4523799999999998</v>
      </c>
      <c r="E4507">
        <v>0.56932689999999997</v>
      </c>
      <c r="F4507" t="s">
        <v>53</v>
      </c>
      <c r="G4507">
        <v>-195.33500000000001</v>
      </c>
      <c r="H4507" s="1">
        <v>-1.373236E-5</v>
      </c>
      <c r="I4507">
        <v>155.60220000000001</v>
      </c>
      <c r="J4507">
        <v>-192.31729999999999</v>
      </c>
      <c r="K4507">
        <v>1.107934</v>
      </c>
      <c r="L4507">
        <v>163.5403</v>
      </c>
      <c r="M4507">
        <v>-0.10610459999999999</v>
      </c>
      <c r="N4507">
        <v>-1.321867E-2</v>
      </c>
      <c r="O4507">
        <v>-0.99426720000000002</v>
      </c>
      <c r="P4507">
        <v>-0.2060447</v>
      </c>
      <c r="Q4507">
        <v>0.35021140000000001</v>
      </c>
      <c r="R4507">
        <v>-0.91372730000000002</v>
      </c>
      <c r="S4507">
        <v>-1.195953</v>
      </c>
      <c r="T4507">
        <v>-0.4367318</v>
      </c>
      <c r="U4507">
        <v>-3.1822509999999999</v>
      </c>
      <c r="V4507">
        <v>0.1103497</v>
      </c>
      <c r="W4507">
        <v>0.36174849999999997</v>
      </c>
      <c r="X4507">
        <v>0.92572180000000004</v>
      </c>
      <c r="Y4507">
        <v>0.24789639999999999</v>
      </c>
      <c r="Z4507">
        <v>0.11554449999999999</v>
      </c>
      <c r="AA4507">
        <v>0.96187160000000005</v>
      </c>
      <c r="AB4507">
        <v>25</v>
      </c>
      <c r="AC4507">
        <v>-3.0177000000000098</v>
      </c>
      <c r="AD4507">
        <v>-1.10794773236</v>
      </c>
      <c r="AE4507">
        <v>-7.9380999999999897</v>
      </c>
      <c r="AF4507">
        <v>2.12219780864632</v>
      </c>
      <c r="AG4507">
        <v>-1.10794773236</v>
      </c>
      <c r="AH4507">
        <v>8.0760395083957501</v>
      </c>
      <c r="AI4507">
        <v>97.558136162016893</v>
      </c>
      <c r="AJ4507">
        <v>75.276846800551297</v>
      </c>
      <c r="AK4507">
        <v>8.4234010861310704</v>
      </c>
      <c r="AL4507">
        <v>68.792382430911303</v>
      </c>
      <c r="AM4507">
        <v>83.202193357766006</v>
      </c>
      <c r="AN4507">
        <v>0.99999994226878797</v>
      </c>
    </row>
    <row r="4508" spans="1:40" x14ac:dyDescent="0.25">
      <c r="A4508" t="str">
        <f>"20190304164217251"</f>
        <v>20190304164217251</v>
      </c>
      <c r="B4508" t="str">
        <f>"1551688937245162"</f>
        <v>1551688937245162</v>
      </c>
      <c r="C4508" t="s">
        <v>40</v>
      </c>
      <c r="D4508">
        <v>4.4401359999999999</v>
      </c>
      <c r="E4508">
        <v>0.56917180000000001</v>
      </c>
      <c r="F4508" t="s">
        <v>53</v>
      </c>
      <c r="G4508">
        <v>-195.38339999999999</v>
      </c>
      <c r="H4508" s="1">
        <v>-1.3665469999999999E-5</v>
      </c>
      <c r="I4508">
        <v>155.43620000000001</v>
      </c>
      <c r="J4508">
        <v>-192.3323</v>
      </c>
      <c r="K4508">
        <v>1.107898</v>
      </c>
      <c r="L4508">
        <v>163.42019999999999</v>
      </c>
      <c r="M4508">
        <v>-0.10807899999999999</v>
      </c>
      <c r="N4508">
        <v>-1.327236E-2</v>
      </c>
      <c r="O4508">
        <v>-0.99405379999999999</v>
      </c>
      <c r="P4508">
        <v>-0.2086488</v>
      </c>
      <c r="Q4508">
        <v>0.35047279999999997</v>
      </c>
      <c r="R4508">
        <v>-0.91303599999999996</v>
      </c>
      <c r="S4508">
        <v>-1.2026059999999901</v>
      </c>
      <c r="T4508">
        <v>-0.43457010000000001</v>
      </c>
      <c r="U4508">
        <v>-3.1786349999999999</v>
      </c>
      <c r="V4508">
        <v>0.111205399999999</v>
      </c>
      <c r="W4508">
        <v>0.36203930000000001</v>
      </c>
      <c r="X4508">
        <v>0.92550580000000005</v>
      </c>
      <c r="Y4508">
        <v>0.2481216</v>
      </c>
      <c r="Z4508">
        <v>0.1149168</v>
      </c>
      <c r="AA4508">
        <v>0.96188870000000004</v>
      </c>
      <c r="AB4508">
        <v>25</v>
      </c>
      <c r="AC4508">
        <v>-3.0510999999999902</v>
      </c>
      <c r="AD4508">
        <v>-1.1079116654700001</v>
      </c>
      <c r="AE4508">
        <v>-7.9839999999999796</v>
      </c>
      <c r="AF4508">
        <v>2.1343831689743702</v>
      </c>
      <c r="AG4508">
        <v>-1.1079116654700001</v>
      </c>
      <c r="AH4508">
        <v>8.1304030983586895</v>
      </c>
      <c r="AI4508">
        <v>97.508406935749093</v>
      </c>
      <c r="AJ4508">
        <v>75.290691652178097</v>
      </c>
      <c r="AK4508">
        <v>8.4785915288027702</v>
      </c>
      <c r="AL4508">
        <v>68.774511560385406</v>
      </c>
      <c r="AM4508">
        <v>83.148395651163298</v>
      </c>
      <c r="AN4508">
        <v>1.00000004078364</v>
      </c>
    </row>
    <row r="4509" spans="1:40" x14ac:dyDescent="0.25">
      <c r="A4509" t="str">
        <f>"20190304164217263"</f>
        <v>20190304164217263</v>
      </c>
      <c r="B4509" t="str">
        <f>"1551688937255899"</f>
        <v>1551688937255899</v>
      </c>
      <c r="C4509" t="s">
        <v>40</v>
      </c>
      <c r="D4509">
        <v>4.7001049999999998</v>
      </c>
      <c r="E4509">
        <v>0.56923069999999998</v>
      </c>
      <c r="F4509" t="s">
        <v>53</v>
      </c>
      <c r="G4509">
        <v>-195.43219999999999</v>
      </c>
      <c r="H4509" s="1">
        <v>-1.3605550000000001E-5</v>
      </c>
      <c r="I4509">
        <v>155.28649999999999</v>
      </c>
      <c r="J4509">
        <v>-192.351</v>
      </c>
      <c r="K4509">
        <v>1.107853</v>
      </c>
      <c r="L4509">
        <v>163.27189999999999</v>
      </c>
      <c r="M4509">
        <v>-0.11054369999999999</v>
      </c>
      <c r="N4509">
        <v>-1.333585E-2</v>
      </c>
      <c r="O4509">
        <v>-0.99378169999999999</v>
      </c>
      <c r="P4509">
        <v>-0.2118736</v>
      </c>
      <c r="Q4509">
        <v>0.35065750000000001</v>
      </c>
      <c r="R4509">
        <v>-0.91222210000000004</v>
      </c>
      <c r="S4509">
        <v>-1.210129</v>
      </c>
      <c r="T4509">
        <v>-0.43250559999999899</v>
      </c>
      <c r="U4509">
        <v>-3.1752319999999998</v>
      </c>
      <c r="V4509">
        <v>0.1122411</v>
      </c>
      <c r="W4509">
        <v>0.36225930000000001</v>
      </c>
      <c r="X4509">
        <v>0.92529459999999997</v>
      </c>
      <c r="Y4509">
        <v>0.24807870000000001</v>
      </c>
      <c r="Z4509">
        <v>0.114288</v>
      </c>
      <c r="AA4509">
        <v>0.96197460000000001</v>
      </c>
      <c r="AB4509">
        <v>25</v>
      </c>
      <c r="AC4509">
        <v>-3.0811999999999902</v>
      </c>
      <c r="AD4509">
        <v>-1.1078666055499999</v>
      </c>
      <c r="AE4509">
        <v>-7.9853999999999896</v>
      </c>
      <c r="AF4509">
        <v>2.1435859484200499</v>
      </c>
      <c r="AG4509">
        <v>-1.1078666055499999</v>
      </c>
      <c r="AH4509">
        <v>8.1407031335554496</v>
      </c>
      <c r="AI4509">
        <v>97.497258324706905</v>
      </c>
      <c r="AJ4509">
        <v>75.247909082154493</v>
      </c>
      <c r="AK4509">
        <v>8.4907818628578795</v>
      </c>
      <c r="AL4509">
        <v>68.760987214774701</v>
      </c>
      <c r="AM4509">
        <v>83.083635921336096</v>
      </c>
      <c r="AN4509">
        <v>0.99999998087742903</v>
      </c>
    </row>
    <row r="4510" spans="1:40" x14ac:dyDescent="0.25">
      <c r="A4510" t="str">
        <f>"20190304164217275"</f>
        <v>20190304164217275</v>
      </c>
      <c r="B4510" t="str">
        <f>"1551688937265659"</f>
        <v>1551688937265659</v>
      </c>
      <c r="C4510" t="s">
        <v>40</v>
      </c>
      <c r="D4510">
        <v>4.4568079999999997</v>
      </c>
      <c r="E4510">
        <v>0.56898850000000001</v>
      </c>
      <c r="F4510" t="s">
        <v>53</v>
      </c>
      <c r="G4510">
        <v>-195.48249999999999</v>
      </c>
      <c r="H4510" s="1">
        <v>-1.354839E-5</v>
      </c>
      <c r="I4510">
        <v>155.1429</v>
      </c>
      <c r="J4510">
        <v>-192.3683</v>
      </c>
      <c r="K4510">
        <v>1.1078110000000001</v>
      </c>
      <c r="L4510">
        <v>163.13890000000001</v>
      </c>
      <c r="M4510">
        <v>-0.112816</v>
      </c>
      <c r="N4510">
        <v>-1.3387370000000001E-2</v>
      </c>
      <c r="O4510">
        <v>-0.99352569999999996</v>
      </c>
      <c r="P4510">
        <v>-0.2149857</v>
      </c>
      <c r="Q4510">
        <v>0.35076950000000001</v>
      </c>
      <c r="R4510">
        <v>-0.9114506</v>
      </c>
      <c r="S4510">
        <v>-1.2215579999999999</v>
      </c>
      <c r="T4510">
        <v>-0.43216470000000001</v>
      </c>
      <c r="U4510">
        <v>-3.1710509999999998</v>
      </c>
      <c r="V4510">
        <v>0.1133343</v>
      </c>
      <c r="W4510">
        <v>0.36239749999999998</v>
      </c>
      <c r="X4510">
        <v>0.92510720000000002</v>
      </c>
      <c r="Y4510">
        <v>0.2493126</v>
      </c>
      <c r="Z4510">
        <v>0.1141538</v>
      </c>
      <c r="AA4510">
        <v>0.96167150000000001</v>
      </c>
      <c r="AB4510">
        <v>25</v>
      </c>
      <c r="AC4510">
        <v>-3.1141999999999799</v>
      </c>
      <c r="AD4510">
        <v>-1.10782454839</v>
      </c>
      <c r="AE4510">
        <v>-7.9960000000000004</v>
      </c>
      <c r="AF4510">
        <v>2.1562193712289202</v>
      </c>
      <c r="AG4510">
        <v>-1.10782454839</v>
      </c>
      <c r="AH4510">
        <v>8.1602974808789597</v>
      </c>
      <c r="AI4510">
        <v>97.477509363846295</v>
      </c>
      <c r="AJ4510">
        <v>75.198846367391795</v>
      </c>
      <c r="AK4510">
        <v>8.5127558512691905</v>
      </c>
      <c r="AL4510">
        <v>68.752491461505699</v>
      </c>
      <c r="AM4510">
        <v>83.015533631755801</v>
      </c>
      <c r="AN4510">
        <v>0.99999997152728903</v>
      </c>
    </row>
    <row r="4511" spans="1:40" x14ac:dyDescent="0.25">
      <c r="A4511" t="str">
        <f>"20190304164217289"</f>
        <v>20190304164217289</v>
      </c>
      <c r="B4511" t="str">
        <f>"1551688937275418"</f>
        <v>1551688937275418</v>
      </c>
      <c r="C4511" t="s">
        <v>40</v>
      </c>
      <c r="D4511">
        <v>4.4322339999999896</v>
      </c>
      <c r="E4511">
        <v>0.56879299999999999</v>
      </c>
      <c r="F4511" t="s">
        <v>53</v>
      </c>
      <c r="G4511">
        <v>-195.51990000000001</v>
      </c>
      <c r="H4511" s="1">
        <v>-1.3497500000000001E-5</v>
      </c>
      <c r="I4511">
        <v>155.01650000000001</v>
      </c>
      <c r="J4511">
        <v>-192.3878</v>
      </c>
      <c r="K4511">
        <v>1.1077680000000001</v>
      </c>
      <c r="L4511">
        <v>162.99170000000001</v>
      </c>
      <c r="M4511">
        <v>-0.1153663</v>
      </c>
      <c r="N4511">
        <v>-1.3441079999999999E-2</v>
      </c>
      <c r="O4511">
        <v>-0.99323209999999995</v>
      </c>
      <c r="P4511">
        <v>-0.21850420000000001</v>
      </c>
      <c r="Q4511">
        <v>0.35084019999999999</v>
      </c>
      <c r="R4511">
        <v>-0.91058620000000001</v>
      </c>
      <c r="S4511">
        <v>-1.229141</v>
      </c>
      <c r="T4511">
        <v>-0.43205270000000001</v>
      </c>
      <c r="U4511">
        <v>-3.16777</v>
      </c>
      <c r="V4511">
        <v>0.1145849</v>
      </c>
      <c r="W4511">
        <v>0.36249300000000001</v>
      </c>
      <c r="X4511">
        <v>0.92491570000000001</v>
      </c>
      <c r="Y4511">
        <v>0.2491659</v>
      </c>
      <c r="Z4511">
        <v>0.1140922</v>
      </c>
      <c r="AA4511">
        <v>0.96171689999999999</v>
      </c>
      <c r="AB4511">
        <v>25</v>
      </c>
      <c r="AC4511">
        <v>-3.1320999999999999</v>
      </c>
      <c r="AD4511">
        <v>-1.1077814975</v>
      </c>
      <c r="AE4511">
        <v>-7.9752000000000001</v>
      </c>
      <c r="AF4511">
        <v>2.1550078910675001</v>
      </c>
      <c r="AG4511">
        <v>-1.1077814975</v>
      </c>
      <c r="AH4511">
        <v>8.1471248632340796</v>
      </c>
      <c r="AI4511">
        <v>97.488664874724407</v>
      </c>
      <c r="AJ4511">
        <v>75.183930688214403</v>
      </c>
      <c r="AK4511">
        <v>8.4998166094271408</v>
      </c>
      <c r="AL4511">
        <v>68.746620335232507</v>
      </c>
      <c r="AM4511">
        <v>82.9377893631098</v>
      </c>
      <c r="AN4511">
        <v>0.999999963231749</v>
      </c>
    </row>
    <row r="4512" spans="1:40" x14ac:dyDescent="0.25">
      <c r="A4512" t="str">
        <f>"20190304164217303"</f>
        <v>20190304164217303</v>
      </c>
      <c r="B4512" t="str">
        <f>"1551688937295914"</f>
        <v>1551688937295914</v>
      </c>
      <c r="C4512" t="s">
        <v>40</v>
      </c>
      <c r="D4512">
        <v>4.3900860000000002</v>
      </c>
      <c r="E4512">
        <v>0.56857069999999998</v>
      </c>
      <c r="F4512" t="s">
        <v>53</v>
      </c>
      <c r="G4512">
        <v>-195.56960000000001</v>
      </c>
      <c r="H4512" s="1">
        <v>-1.3436740000000001E-5</v>
      </c>
      <c r="I4512">
        <v>154.8646</v>
      </c>
      <c r="J4512">
        <v>-192.40940000000001</v>
      </c>
      <c r="K4512">
        <v>1.107723</v>
      </c>
      <c r="L4512">
        <v>162.83160000000001</v>
      </c>
      <c r="M4512">
        <v>-0.11818149999999999</v>
      </c>
      <c r="N4512">
        <v>-1.3495699999999999E-2</v>
      </c>
      <c r="O4512">
        <v>-0.99290029999999996</v>
      </c>
      <c r="P4512">
        <v>-0.2234582</v>
      </c>
      <c r="Q4512">
        <v>0.3509198</v>
      </c>
      <c r="R4512">
        <v>-0.90935250000000001</v>
      </c>
      <c r="S4512">
        <v>-1.2385409999999999</v>
      </c>
      <c r="T4512">
        <v>-0.43120999999999998</v>
      </c>
      <c r="U4512">
        <v>-3.1635439999999999</v>
      </c>
      <c r="V4512">
        <v>0.117059</v>
      </c>
      <c r="W4512">
        <v>0.36258679999999999</v>
      </c>
      <c r="X4512">
        <v>0.92456910000000003</v>
      </c>
      <c r="Y4512">
        <v>0.24934539999999999</v>
      </c>
      <c r="Z4512">
        <v>0.113828399999999</v>
      </c>
      <c r="AA4512">
        <v>0.96170160000000005</v>
      </c>
      <c r="AB4512">
        <v>25</v>
      </c>
      <c r="AC4512">
        <v>-3.1602000000000001</v>
      </c>
      <c r="AD4512">
        <v>-1.10773643674</v>
      </c>
      <c r="AE4512">
        <v>-7.9670000000000103</v>
      </c>
      <c r="AF4512">
        <v>2.1603253199966002</v>
      </c>
      <c r="AG4512">
        <v>-1.10773643674</v>
      </c>
      <c r="AH4512">
        <v>8.1485543314777793</v>
      </c>
      <c r="AI4512">
        <v>97.485954726845705</v>
      </c>
      <c r="AJ4512">
        <v>75.151476268659593</v>
      </c>
      <c r="AK4512">
        <v>8.5025303995072701</v>
      </c>
      <c r="AL4512">
        <v>68.740854691689606</v>
      </c>
      <c r="AM4512">
        <v>82.784217002299698</v>
      </c>
      <c r="AN4512">
        <v>1.00000000884502</v>
      </c>
    </row>
    <row r="4513" spans="1:40" x14ac:dyDescent="0.25">
      <c r="A4513" t="str">
        <f>"20190304164217315"</f>
        <v>20190304164217315</v>
      </c>
      <c r="B4513" t="str">
        <f>"1551688937305674"</f>
        <v>1551688937305674</v>
      </c>
      <c r="C4513" t="s">
        <v>40</v>
      </c>
      <c r="D4513">
        <v>4.6547859999999996</v>
      </c>
      <c r="E4513">
        <v>0.56857069999999998</v>
      </c>
      <c r="F4513" t="s">
        <v>53</v>
      </c>
      <c r="G4513">
        <v>-195.64279999999999</v>
      </c>
      <c r="H4513" s="1">
        <v>-1.3364260000000001E-5</v>
      </c>
      <c r="I4513">
        <v>154.68049999999999</v>
      </c>
      <c r="J4513">
        <v>-192.42859999999999</v>
      </c>
      <c r="K4513">
        <v>1.107685</v>
      </c>
      <c r="L4513">
        <v>162.69290000000001</v>
      </c>
      <c r="M4513">
        <v>-0.120671</v>
      </c>
      <c r="N4513">
        <v>-1.353822E-2</v>
      </c>
      <c r="O4513">
        <v>-0.99260040000000005</v>
      </c>
      <c r="P4513">
        <v>-0.22695070000000001</v>
      </c>
      <c r="Q4513">
        <v>0.35095949999999998</v>
      </c>
      <c r="R4513">
        <v>-0.9084721</v>
      </c>
      <c r="S4513">
        <v>-1.2522740000000001</v>
      </c>
      <c r="T4513">
        <v>-0.42901899999999998</v>
      </c>
      <c r="U4513">
        <v>-3.156876</v>
      </c>
      <c r="V4513">
        <v>0.1183375</v>
      </c>
      <c r="W4513">
        <v>0.3626433</v>
      </c>
      <c r="X4513">
        <v>0.92438419999999999</v>
      </c>
      <c r="Y4513">
        <v>0.25125150000000002</v>
      </c>
      <c r="Z4513">
        <v>0.1132214</v>
      </c>
      <c r="AA4513">
        <v>0.9612771</v>
      </c>
      <c r="AB4513">
        <v>25</v>
      </c>
      <c r="AC4513">
        <v>-3.2141999999999999</v>
      </c>
      <c r="AD4513">
        <v>-1.10769836426</v>
      </c>
      <c r="AE4513">
        <v>-8.0124000000000102</v>
      </c>
      <c r="AF4513">
        <v>2.18773816635164</v>
      </c>
      <c r="AG4513">
        <v>-1.10769836426</v>
      </c>
      <c r="AH4513">
        <v>8.2066280029266494</v>
      </c>
      <c r="AI4513">
        <v>97.430650895441602</v>
      </c>
      <c r="AJ4513">
        <v>75.073119329557898</v>
      </c>
      <c r="AK4513">
        <v>8.5651583248131402</v>
      </c>
      <c r="AL4513">
        <v>68.737381713191397</v>
      </c>
      <c r="AM4513">
        <v>82.704808296700193</v>
      </c>
      <c r="AN4513">
        <v>1.00000003807538</v>
      </c>
    </row>
    <row r="4514" spans="1:40" x14ac:dyDescent="0.25">
      <c r="A4514" t="str">
        <f>"20190304164217328"</f>
        <v>20190304164217328</v>
      </c>
      <c r="B4514" t="str">
        <f>"1551688937315436"</f>
        <v>1551688937315436</v>
      </c>
      <c r="C4514" t="s">
        <v>40</v>
      </c>
      <c r="D4514">
        <v>4.3759360000000003</v>
      </c>
      <c r="E4514">
        <v>0.56759839999999995</v>
      </c>
      <c r="F4514" t="s">
        <v>53</v>
      </c>
      <c r="G4514">
        <v>-195.69300000000001</v>
      </c>
      <c r="H4514" s="1">
        <v>-1.3325030000000001E-5</v>
      </c>
      <c r="I4514">
        <v>154.5521</v>
      </c>
      <c r="J4514">
        <v>-192.4469</v>
      </c>
      <c r="K4514">
        <v>1.107648</v>
      </c>
      <c r="L4514">
        <v>162.56319999999999</v>
      </c>
      <c r="M4514">
        <v>-0.1230214</v>
      </c>
      <c r="N4514">
        <v>-1.3575729999999999E-2</v>
      </c>
      <c r="O4514">
        <v>-0.99231119999999995</v>
      </c>
      <c r="P4514">
        <v>-0.2300247</v>
      </c>
      <c r="Q4514">
        <v>0.35095720000000002</v>
      </c>
      <c r="R4514">
        <v>-0.90769929999999999</v>
      </c>
      <c r="S4514">
        <v>-1.2639769999999999</v>
      </c>
      <c r="T4514">
        <v>-0.42890859999999897</v>
      </c>
      <c r="U4514">
        <v>-3.1521759999999999</v>
      </c>
      <c r="V4514">
        <v>0.1193142</v>
      </c>
      <c r="W4514">
        <v>0.3626566</v>
      </c>
      <c r="X4514">
        <v>0.9242534</v>
      </c>
      <c r="Y4514">
        <v>0.25252999999999998</v>
      </c>
      <c r="Z4514">
        <v>0.1131754</v>
      </c>
      <c r="AA4514">
        <v>0.96094740000000001</v>
      </c>
      <c r="AB4514">
        <v>25</v>
      </c>
      <c r="AC4514">
        <v>-3.2460999999999798</v>
      </c>
      <c r="AD4514">
        <v>-1.10766132502999</v>
      </c>
      <c r="AE4514">
        <v>-8.0110999999999901</v>
      </c>
      <c r="AF4514">
        <v>2.1996889030737901</v>
      </c>
      <c r="AG4514">
        <v>-1.10766132502999</v>
      </c>
      <c r="AH4514">
        <v>8.2147170145677801</v>
      </c>
      <c r="AI4514">
        <v>97.420987944480103</v>
      </c>
      <c r="AJ4514">
        <v>75.009357532598798</v>
      </c>
      <c r="AK4514">
        <v>8.5759617834213007</v>
      </c>
      <c r="AL4514">
        <v>68.736563559002306</v>
      </c>
      <c r="AM4514">
        <v>82.644224488103006</v>
      </c>
      <c r="AN4514">
        <v>1.0000000176283701</v>
      </c>
    </row>
    <row r="4515" spans="1:40" x14ac:dyDescent="0.25">
      <c r="A4515" t="str">
        <f>"20190304164217348"</f>
        <v>20190304164217348</v>
      </c>
      <c r="B4515" t="str">
        <f>"1551688937335930"</f>
        <v>1551688937335930</v>
      </c>
      <c r="C4515" t="s">
        <v>40</v>
      </c>
      <c r="D4515">
        <v>4.3348750000000003</v>
      </c>
      <c r="E4515">
        <v>0.56667179999999995</v>
      </c>
      <c r="F4515" t="s">
        <v>53</v>
      </c>
      <c r="G4515">
        <v>-196.989</v>
      </c>
      <c r="H4515" s="1">
        <v>-1.2645909999999999E-5</v>
      </c>
      <c r="I4515">
        <v>151.39619999999999</v>
      </c>
      <c r="J4515">
        <v>-192.47980000000001</v>
      </c>
      <c r="K4515">
        <v>1.1075950000000001</v>
      </c>
      <c r="L4515">
        <v>162.33629999999999</v>
      </c>
      <c r="M4515">
        <v>-0.1272008</v>
      </c>
      <c r="N4515">
        <v>-1.363498E-2</v>
      </c>
      <c r="O4515">
        <v>-0.99178330000000003</v>
      </c>
      <c r="P4515">
        <v>-0.23605509999999999</v>
      </c>
      <c r="Q4515">
        <v>0.35040149999999998</v>
      </c>
      <c r="R4515">
        <v>-0.90636459999999996</v>
      </c>
      <c r="S4515">
        <v>-1.2625580000000001</v>
      </c>
      <c r="T4515">
        <v>-0.3078998</v>
      </c>
      <c r="U4515">
        <v>-3.1041259999999999</v>
      </c>
      <c r="V4515">
        <v>0.12159739999999999</v>
      </c>
      <c r="W4515">
        <v>0.36212100000000003</v>
      </c>
      <c r="X4515">
        <v>0.92416580000000004</v>
      </c>
      <c r="Y4515">
        <v>0.25450709999999999</v>
      </c>
      <c r="Z4515">
        <v>7.9012910000000006E-2</v>
      </c>
      <c r="AA4515">
        <v>0.96383770000000002</v>
      </c>
      <c r="AB4515">
        <v>25</v>
      </c>
      <c r="AC4515">
        <v>-4.5091999999999901</v>
      </c>
      <c r="AD4515">
        <v>-1.1076076459099999</v>
      </c>
      <c r="AE4515">
        <v>-10.940099999999999</v>
      </c>
      <c r="AF4515">
        <v>3.05408722796103</v>
      </c>
      <c r="AG4515">
        <v>-1.1076076459099999</v>
      </c>
      <c r="AH4515">
        <v>11.3256129227044</v>
      </c>
      <c r="AI4515">
        <v>95.394092878942999</v>
      </c>
      <c r="AJ4515">
        <v>74.908477494341099</v>
      </c>
      <c r="AK4515">
        <v>11.7823491532122</v>
      </c>
      <c r="AL4515">
        <v>68.769488533375593</v>
      </c>
      <c r="AM4515">
        <v>82.504347318611806</v>
      </c>
      <c r="AN4515">
        <v>0.9999999861087</v>
      </c>
    </row>
    <row r="4516" spans="1:40" x14ac:dyDescent="0.25">
      <c r="A4516" t="str">
        <f>"20190304164217364"</f>
        <v>20190304164217364</v>
      </c>
      <c r="B4516" t="str">
        <f>"1551688937355451"</f>
        <v>1551688937355451</v>
      </c>
      <c r="C4516" t="s">
        <v>40</v>
      </c>
      <c r="D4516">
        <v>4.5617140000000003</v>
      </c>
      <c r="E4516">
        <v>0.56780240000000004</v>
      </c>
      <c r="F4516" t="s">
        <v>53</v>
      </c>
      <c r="G4516">
        <v>-196.316</v>
      </c>
      <c r="H4516" s="1">
        <v>-1.297984E-5</v>
      </c>
      <c r="I4516">
        <v>152.9606</v>
      </c>
      <c r="J4516">
        <v>-192.5052</v>
      </c>
      <c r="K4516">
        <v>1.107559</v>
      </c>
      <c r="L4516">
        <v>162.16560000000001</v>
      </c>
      <c r="M4516">
        <v>-0.13039429999999999</v>
      </c>
      <c r="N4516">
        <v>-1.367522E-2</v>
      </c>
      <c r="O4516">
        <v>-0.99136820000000003</v>
      </c>
      <c r="P4516">
        <v>-0.24004220000000001</v>
      </c>
      <c r="Q4516">
        <v>0.34989399999999998</v>
      </c>
      <c r="R4516">
        <v>-0.90551360000000003</v>
      </c>
      <c r="S4516">
        <v>-1.276581</v>
      </c>
      <c r="T4516">
        <v>-0.3685795</v>
      </c>
      <c r="U4516">
        <v>-3.1199650000000001</v>
      </c>
      <c r="V4516">
        <v>0.1227012</v>
      </c>
      <c r="W4516">
        <v>0.36163079999999997</v>
      </c>
      <c r="X4516">
        <v>0.92421189999999998</v>
      </c>
      <c r="Y4516">
        <v>0.2527932</v>
      </c>
      <c r="Z4516">
        <v>9.6334039999999996E-2</v>
      </c>
      <c r="AA4516">
        <v>0.96271249999999997</v>
      </c>
      <c r="AB4516">
        <v>25</v>
      </c>
      <c r="AC4516">
        <v>-3.8107999999999702</v>
      </c>
      <c r="AD4516">
        <v>-1.1075719798400001</v>
      </c>
      <c r="AE4516">
        <v>-9.2050000000000107</v>
      </c>
      <c r="AF4516">
        <v>2.5463949614225698</v>
      </c>
      <c r="AG4516">
        <v>-1.1075719798400001</v>
      </c>
      <c r="AH4516">
        <v>9.5058618222729603</v>
      </c>
      <c r="AI4516">
        <v>96.4214200500831</v>
      </c>
      <c r="AJ4516">
        <v>75.003897473439494</v>
      </c>
      <c r="AK4516">
        <v>9.9031435400195793</v>
      </c>
      <c r="AL4516">
        <v>68.799617764390604</v>
      </c>
      <c r="AM4516">
        <v>82.4374625483306</v>
      </c>
      <c r="AN4516">
        <v>1.0000000280458401</v>
      </c>
    </row>
    <row r="4517" spans="1:40" x14ac:dyDescent="0.25">
      <c r="A4517" t="str">
        <f>"20190304164217382"</f>
        <v>20190304164217382</v>
      </c>
      <c r="B4517" t="str">
        <f>"1551688937375947"</f>
        <v>1551688937375947</v>
      </c>
      <c r="C4517" t="s">
        <v>40</v>
      </c>
      <c r="D4517">
        <v>4.4695960000000001</v>
      </c>
      <c r="E4517">
        <v>0.57067939999999995</v>
      </c>
      <c r="F4517" t="s">
        <v>53</v>
      </c>
      <c r="G4517">
        <v>-196.42609999999999</v>
      </c>
      <c r="H4517" s="1">
        <v>-1.294083E-5</v>
      </c>
      <c r="I4517">
        <v>152.76679999999999</v>
      </c>
      <c r="J4517">
        <v>-192.5367</v>
      </c>
      <c r="K4517">
        <v>1.1075140000000001</v>
      </c>
      <c r="L4517">
        <v>161.959</v>
      </c>
      <c r="M4517">
        <v>-0.13432049999999901</v>
      </c>
      <c r="N4517">
        <v>-1.371873E-2</v>
      </c>
      <c r="O4517">
        <v>-0.99084309999999998</v>
      </c>
      <c r="P4517">
        <v>-0.24530160000000001</v>
      </c>
      <c r="Q4517">
        <v>0.34935460000000002</v>
      </c>
      <c r="R4517">
        <v>-0.90431130000000004</v>
      </c>
      <c r="S4517">
        <v>-1.2976840000000001</v>
      </c>
      <c r="T4517">
        <v>-0.36656840000000002</v>
      </c>
      <c r="U4517">
        <v>-3.1106720000000001</v>
      </c>
      <c r="V4517">
        <v>0.1244295</v>
      </c>
      <c r="W4517">
        <v>0.36110429999999999</v>
      </c>
      <c r="X4517">
        <v>0.92418659999999997</v>
      </c>
      <c r="Y4517">
        <v>0.25556449999999997</v>
      </c>
      <c r="Z4517">
        <v>9.5753199999999997E-2</v>
      </c>
      <c r="AA4517">
        <v>0.96203850000000002</v>
      </c>
      <c r="AB4517">
        <v>25</v>
      </c>
      <c r="AC4517">
        <v>-3.88939999999999</v>
      </c>
      <c r="AD4517">
        <v>-1.1075269408299999</v>
      </c>
      <c r="AE4517">
        <v>-9.1922000000000104</v>
      </c>
      <c r="AF4517">
        <v>2.5874722798445502</v>
      </c>
      <c r="AG4517">
        <v>-1.1075269408299999</v>
      </c>
      <c r="AH4517">
        <v>9.5142158898240297</v>
      </c>
      <c r="AI4517">
        <v>96.409039106699197</v>
      </c>
      <c r="AJ4517">
        <v>74.785885056829102</v>
      </c>
      <c r="AK4517">
        <v>9.9217908021590695</v>
      </c>
      <c r="AL4517">
        <v>68.8319683925249</v>
      </c>
      <c r="AM4517">
        <v>82.331992178914803</v>
      </c>
      <c r="AN4517">
        <v>0.99999994378414803</v>
      </c>
    </row>
    <row r="4518" spans="1:40" x14ac:dyDescent="0.25">
      <c r="A4518" t="str">
        <f>"20190304164217397"</f>
        <v>20190304164217397</v>
      </c>
      <c r="B4518" t="str">
        <f>"1551688937385708"</f>
        <v>1551688937385708</v>
      </c>
      <c r="C4518" t="s">
        <v>40</v>
      </c>
      <c r="D4518">
        <v>4.1616770000000001</v>
      </c>
      <c r="E4518">
        <v>0.57067939999999995</v>
      </c>
      <c r="F4518" t="s">
        <v>53</v>
      </c>
      <c r="G4518">
        <v>-196.60499999999999</v>
      </c>
      <c r="H4518" s="1">
        <v>-1.2897179999999999E-5</v>
      </c>
      <c r="I4518">
        <v>152.53020000000001</v>
      </c>
      <c r="J4518">
        <v>-192.5626</v>
      </c>
      <c r="K4518">
        <v>1.107486</v>
      </c>
      <c r="L4518">
        <v>161.7945</v>
      </c>
      <c r="M4518">
        <v>-0.13750519999999999</v>
      </c>
      <c r="N4518">
        <v>-1.374975E-2</v>
      </c>
      <c r="O4518">
        <v>-0.99040569999999895</v>
      </c>
      <c r="P4518">
        <v>-0.24916389999999999</v>
      </c>
      <c r="Q4518">
        <v>0.34913470000000002</v>
      </c>
      <c r="R4518">
        <v>-0.90333989999999997</v>
      </c>
      <c r="S4518">
        <v>-1.3356779999999999</v>
      </c>
      <c r="T4518">
        <v>-0.36361320000000003</v>
      </c>
      <c r="U4518">
        <v>-3.095596</v>
      </c>
      <c r="V4518">
        <v>0.12543109999999999</v>
      </c>
      <c r="W4518">
        <v>0.3608944</v>
      </c>
      <c r="X4518">
        <v>0.92413319999999999</v>
      </c>
      <c r="Y4518">
        <v>0.2641367</v>
      </c>
      <c r="Z4518">
        <v>9.4907249999999999E-2</v>
      </c>
      <c r="AA4518">
        <v>0.9598044</v>
      </c>
      <c r="AB4518">
        <v>25</v>
      </c>
      <c r="AC4518">
        <v>-4.0423999999999802</v>
      </c>
      <c r="AD4518">
        <v>-1.1074988971799999</v>
      </c>
      <c r="AE4518">
        <v>-9.2642999999999898</v>
      </c>
      <c r="AF4518">
        <v>2.6975990856285699</v>
      </c>
      <c r="AG4518">
        <v>-1.1074988971799999</v>
      </c>
      <c r="AH4518">
        <v>9.61673449541642</v>
      </c>
      <c r="AI4518">
        <v>96.327325973031506</v>
      </c>
      <c r="AJ4518">
        <v>74.330611534052196</v>
      </c>
      <c r="AK4518">
        <v>10.049138121718199</v>
      </c>
      <c r="AL4518">
        <v>68.844864545772893</v>
      </c>
      <c r="AM4518">
        <v>82.270570197374795</v>
      </c>
      <c r="AN4518">
        <v>0.99999995007040299</v>
      </c>
    </row>
    <row r="4519" spans="1:40" x14ac:dyDescent="0.25">
      <c r="A4519" t="str">
        <f>"20190304164217414"</f>
        <v>20190304164217414</v>
      </c>
      <c r="B4519" t="str">
        <f>"1551688937405227"</f>
        <v>1551688937405227</v>
      </c>
      <c r="C4519" t="s">
        <v>40</v>
      </c>
      <c r="D4519">
        <v>4.6424629999999896</v>
      </c>
      <c r="E4519">
        <v>0.57311540000000005</v>
      </c>
      <c r="F4519" t="s">
        <v>53</v>
      </c>
      <c r="G4519">
        <v>-196.6541</v>
      </c>
      <c r="H4519" s="1">
        <v>-1.287184E-5</v>
      </c>
      <c r="I4519">
        <v>152.41220000000001</v>
      </c>
      <c r="J4519">
        <v>-192.5942</v>
      </c>
      <c r="K4519">
        <v>1.107461</v>
      </c>
      <c r="L4519">
        <v>161.5984</v>
      </c>
      <c r="M4519">
        <v>-0.1413488</v>
      </c>
      <c r="N4519">
        <v>-1.378384E-2</v>
      </c>
      <c r="O4519">
        <v>-0.98986390000000002</v>
      </c>
      <c r="P4519">
        <v>-0.25460450000000001</v>
      </c>
      <c r="Q4519">
        <v>0.35022150000000002</v>
      </c>
      <c r="R4519">
        <v>-0.90139959999999997</v>
      </c>
      <c r="S4519">
        <v>-1.3476410000000001</v>
      </c>
      <c r="T4519">
        <v>-0.3647822</v>
      </c>
      <c r="U4519">
        <v>-3.0902859999999999</v>
      </c>
      <c r="V4519">
        <v>0.12753129999999999</v>
      </c>
      <c r="W4519">
        <v>0.36197299999999999</v>
      </c>
      <c r="X4519">
        <v>0.92342369999999996</v>
      </c>
      <c r="Y4519">
        <v>0.26410630000000002</v>
      </c>
      <c r="Z4519">
        <v>9.5234230000000003E-2</v>
      </c>
      <c r="AA4519">
        <v>0.95978030000000003</v>
      </c>
      <c r="AB4519">
        <v>25</v>
      </c>
      <c r="AC4519">
        <v>-4.0598999999999901</v>
      </c>
      <c r="AD4519">
        <v>-1.1074738718399999</v>
      </c>
      <c r="AE4519">
        <v>-9.1861999999999799</v>
      </c>
      <c r="AF4519">
        <v>2.6878659319619702</v>
      </c>
      <c r="AG4519">
        <v>-1.1074738718399999</v>
      </c>
      <c r="AH4519">
        <v>9.5517257120768893</v>
      </c>
      <c r="AI4519">
        <v>96.368429798889395</v>
      </c>
      <c r="AJ4519">
        <v>74.283340766798602</v>
      </c>
      <c r="AK4519">
        <v>9.9843169883453093</v>
      </c>
      <c r="AL4519">
        <v>68.778585919950601</v>
      </c>
      <c r="AM4519">
        <v>82.136791678237699</v>
      </c>
      <c r="AN4519">
        <v>1.00000000746518</v>
      </c>
    </row>
    <row r="4520" spans="1:40" x14ac:dyDescent="0.25">
      <c r="A4520" t="str">
        <f>"20190304164217428"</f>
        <v>20190304164217428</v>
      </c>
      <c r="B4520" t="str">
        <f>"1551688937425722"</f>
        <v>1551688937425722</v>
      </c>
      <c r="C4520" t="s">
        <v>40</v>
      </c>
      <c r="D4520">
        <v>4.6827920000000001</v>
      </c>
      <c r="E4520">
        <v>0.57436589999999998</v>
      </c>
      <c r="F4520" t="s">
        <v>53</v>
      </c>
      <c r="G4520">
        <v>-196.27539999999999</v>
      </c>
      <c r="H4520" s="1">
        <v>-1.3077129999999999E-5</v>
      </c>
      <c r="I4520">
        <v>153.36160000000001</v>
      </c>
      <c r="J4520">
        <v>-192.61850000000001</v>
      </c>
      <c r="K4520">
        <v>1.107432</v>
      </c>
      <c r="L4520">
        <v>161.4511</v>
      </c>
      <c r="M4520">
        <v>-0.1442851</v>
      </c>
      <c r="N4520">
        <v>-1.380763E-2</v>
      </c>
      <c r="O4520">
        <v>-0.98943979999999998</v>
      </c>
      <c r="P4520">
        <v>-0.25863399999999998</v>
      </c>
      <c r="Q4520">
        <v>0.35059380000000001</v>
      </c>
      <c r="R4520">
        <v>-0.90010709999999905</v>
      </c>
      <c r="S4520">
        <v>-1.384949</v>
      </c>
      <c r="T4520">
        <v>-0.41665469999999999</v>
      </c>
      <c r="U4520">
        <v>-3.0988769999999999</v>
      </c>
      <c r="V4520">
        <v>0.1289863</v>
      </c>
      <c r="W4520">
        <v>0.36233969999999999</v>
      </c>
      <c r="X4520">
        <v>0.9230777</v>
      </c>
      <c r="Y4520">
        <v>0.26929950000000002</v>
      </c>
      <c r="Z4520">
        <v>0.10969279999999999</v>
      </c>
      <c r="AA4520">
        <v>0.95678909999999995</v>
      </c>
      <c r="AB4520">
        <v>25</v>
      </c>
      <c r="AC4520">
        <v>-3.6568999999999701</v>
      </c>
      <c r="AD4520">
        <v>-1.10744507713</v>
      </c>
      <c r="AE4520">
        <v>-8.0894999999999797</v>
      </c>
      <c r="AF4520">
        <v>2.4137604807832198</v>
      </c>
      <c r="AG4520">
        <v>-1.10744507713</v>
      </c>
      <c r="AH4520">
        <v>8.4017800867889498</v>
      </c>
      <c r="AI4520">
        <v>97.220127519136298</v>
      </c>
      <c r="AJ4520">
        <v>73.971088430230296</v>
      </c>
      <c r="AK4520">
        <v>8.8115028731887506</v>
      </c>
      <c r="AL4520">
        <v>68.756044884139499</v>
      </c>
      <c r="AM4520">
        <v>82.045279366661305</v>
      </c>
      <c r="AN4520">
        <v>0.99999998201053397</v>
      </c>
    </row>
    <row r="4521" spans="1:40" x14ac:dyDescent="0.25">
      <c r="A4521" t="str">
        <f>"20190304164217441"</f>
        <v>20190304164217441</v>
      </c>
      <c r="B4521" t="str">
        <f>"1551688937435483"</f>
        <v>1551688937435483</v>
      </c>
      <c r="C4521" t="s">
        <v>40</v>
      </c>
      <c r="D4521">
        <v>4.66798</v>
      </c>
      <c r="E4521">
        <v>0.5747911</v>
      </c>
      <c r="F4521" t="s">
        <v>53</v>
      </c>
      <c r="G4521">
        <v>-196.05779999999999</v>
      </c>
      <c r="H4521" s="1">
        <v>-1.3185159999999999E-5</v>
      </c>
      <c r="I4521">
        <v>153.86770000000001</v>
      </c>
      <c r="J4521">
        <v>-192.64160000000001</v>
      </c>
      <c r="K4521">
        <v>1.1073959999999901</v>
      </c>
      <c r="L4521">
        <v>161.31280000000001</v>
      </c>
      <c r="M4521">
        <v>-0.14707479999999901</v>
      </c>
      <c r="N4521">
        <v>-1.382881E-2</v>
      </c>
      <c r="O4521">
        <v>-0.98902880000000004</v>
      </c>
      <c r="P4521">
        <v>-0.26235720000000001</v>
      </c>
      <c r="Q4521">
        <v>0.35084729999999997</v>
      </c>
      <c r="R4521">
        <v>-0.89892999999999901</v>
      </c>
      <c r="S4521">
        <v>-1.4081729999999999</v>
      </c>
      <c r="T4521">
        <v>-0.45343020000000001</v>
      </c>
      <c r="U4521">
        <v>-3.1049349999999998</v>
      </c>
      <c r="V4521">
        <v>0.13026170000000001</v>
      </c>
      <c r="W4521">
        <v>0.36258639999999998</v>
      </c>
      <c r="X4521">
        <v>0.92280169999999995</v>
      </c>
      <c r="Y4521">
        <v>0.271335099999999</v>
      </c>
      <c r="Z4521">
        <v>0.1198164</v>
      </c>
      <c r="AA4521">
        <v>0.95499809999999996</v>
      </c>
      <c r="AB4521">
        <v>25</v>
      </c>
      <c r="AC4521">
        <v>-3.4161999999999701</v>
      </c>
      <c r="AD4521">
        <v>-1.1074091851600001</v>
      </c>
      <c r="AE4521">
        <v>-7.4450999999999903</v>
      </c>
      <c r="AF4521">
        <v>2.24295823173372</v>
      </c>
      <c r="AG4521">
        <v>-1.1074091851600001</v>
      </c>
      <c r="AH4521">
        <v>7.7254128228918502</v>
      </c>
      <c r="AI4521">
        <v>97.838163414913495</v>
      </c>
      <c r="AJ4521">
        <v>73.810134064426705</v>
      </c>
      <c r="AK4521">
        <v>8.1202967936388095</v>
      </c>
      <c r="AL4521">
        <v>68.7408789244042</v>
      </c>
      <c r="AM4521">
        <v>81.965274689426195</v>
      </c>
      <c r="AN4521">
        <v>0.99999999273736995</v>
      </c>
    </row>
    <row r="4522" spans="1:40" x14ac:dyDescent="0.25">
      <c r="A4522" t="str">
        <f>"20190304164217452"</f>
        <v>20190304164217452</v>
      </c>
      <c r="B4522" t="str">
        <f>"1551688937445242"</f>
        <v>1551688937445242</v>
      </c>
      <c r="C4522" t="s">
        <v>40</v>
      </c>
      <c r="D4522">
        <v>4.6800290000000002</v>
      </c>
      <c r="E4522">
        <v>0.57512940000000001</v>
      </c>
      <c r="F4522" t="s">
        <v>53</v>
      </c>
      <c r="G4522">
        <v>-196.00989999999999</v>
      </c>
      <c r="H4522" s="1">
        <v>-1.320466E-5</v>
      </c>
      <c r="I4522">
        <v>153.96199999999999</v>
      </c>
      <c r="J4522">
        <v>-192.6635</v>
      </c>
      <c r="K4522">
        <v>1.1073580000000001</v>
      </c>
      <c r="L4522">
        <v>161.18510000000001</v>
      </c>
      <c r="M4522">
        <v>-0.14971609999999999</v>
      </c>
      <c r="N4522">
        <v>-1.3847379999999999E-2</v>
      </c>
      <c r="O4522">
        <v>-0.98863219999999996</v>
      </c>
      <c r="P4522">
        <v>-0.2657948</v>
      </c>
      <c r="Q4522">
        <v>0.351045</v>
      </c>
      <c r="R4522">
        <v>-0.89784219999999904</v>
      </c>
      <c r="S4522">
        <v>-1.4226379999999901</v>
      </c>
      <c r="T4522">
        <v>-0.46772049999999998</v>
      </c>
      <c r="U4522">
        <v>-3.1046450000000001</v>
      </c>
      <c r="V4522">
        <v>0.131386999999999</v>
      </c>
      <c r="W4522">
        <v>0.36277480000000001</v>
      </c>
      <c r="X4522">
        <v>0.9225681</v>
      </c>
      <c r="Y4522">
        <v>0.27227430000000002</v>
      </c>
      <c r="Z4522">
        <v>0.1237173</v>
      </c>
      <c r="AA4522">
        <v>0.95423309999999995</v>
      </c>
      <c r="AB4522">
        <v>25</v>
      </c>
      <c r="AC4522">
        <v>-3.3463999999999801</v>
      </c>
      <c r="AD4522">
        <v>-1.1073712046599999</v>
      </c>
      <c r="AE4522">
        <v>-7.2230999999999801</v>
      </c>
      <c r="AF4522">
        <v>2.1848791644388101</v>
      </c>
      <c r="AG4522">
        <v>-1.1073712046599999</v>
      </c>
      <c r="AH4522">
        <v>7.4976477129010597</v>
      </c>
      <c r="AI4522">
        <v>98.070612487488006</v>
      </c>
      <c r="AJ4522">
        <v>73.753422140877404</v>
      </c>
      <c r="AK4522">
        <v>7.8876288689871501</v>
      </c>
      <c r="AL4522">
        <v>68.729295885473604</v>
      </c>
      <c r="AM4522">
        <v>81.894758066422298</v>
      </c>
      <c r="AN4522">
        <v>0.99999999921082405</v>
      </c>
    </row>
    <row r="4523" spans="1:40" x14ac:dyDescent="0.25">
      <c r="A4523" t="str">
        <f>"20190304164217463"</f>
        <v>20190304164217463</v>
      </c>
      <c r="B4523" t="str">
        <f>"1551688937455979"</f>
        <v>1551688937455979</v>
      </c>
      <c r="C4523" t="s">
        <v>40</v>
      </c>
      <c r="D4523">
        <v>4.6766569999999996</v>
      </c>
      <c r="E4523">
        <v>0.57551909999999995</v>
      </c>
      <c r="F4523" t="s">
        <v>53</v>
      </c>
      <c r="G4523">
        <v>-195.97829999999999</v>
      </c>
      <c r="H4523" s="1">
        <v>-1.3217120000000001E-5</v>
      </c>
      <c r="I4523">
        <v>154.02269999999999</v>
      </c>
      <c r="J4523">
        <v>-192.68510000000001</v>
      </c>
      <c r="K4523">
        <v>1.1073139999999999</v>
      </c>
      <c r="L4523">
        <v>161.06110000000001</v>
      </c>
      <c r="M4523">
        <v>-0.1523013</v>
      </c>
      <c r="N4523">
        <v>-1.386506E-2</v>
      </c>
      <c r="O4523">
        <v>-0.98823700000000003</v>
      </c>
      <c r="P4523">
        <v>-0.26908110000000002</v>
      </c>
      <c r="Q4523">
        <v>0.3514079</v>
      </c>
      <c r="R4523">
        <v>-0.89672079999999998</v>
      </c>
      <c r="S4523">
        <v>-1.436401</v>
      </c>
      <c r="T4523">
        <v>-0.4798617</v>
      </c>
      <c r="U4523">
        <v>-3.103745</v>
      </c>
      <c r="V4523">
        <v>0.1324246</v>
      </c>
      <c r="W4523">
        <v>0.36312620000000001</v>
      </c>
      <c r="X4523">
        <v>0.92228140000000003</v>
      </c>
      <c r="Y4523">
        <v>0.27317180000000002</v>
      </c>
      <c r="Z4523">
        <v>0.1270143</v>
      </c>
      <c r="AA4523">
        <v>0.95354309999999998</v>
      </c>
      <c r="AB4523">
        <v>25</v>
      </c>
      <c r="AC4523">
        <v>-3.2931999999999801</v>
      </c>
      <c r="AD4523">
        <v>-1.1073272171199999</v>
      </c>
      <c r="AE4523">
        <v>-7.0384000000000198</v>
      </c>
      <c r="AF4523">
        <v>2.1392736239802601</v>
      </c>
      <c r="AG4523">
        <v>-1.1073272171199999</v>
      </c>
      <c r="AH4523">
        <v>7.3094545936812203</v>
      </c>
      <c r="AI4523">
        <v>98.272461934391004</v>
      </c>
      <c r="AJ4523">
        <v>73.686717529336605</v>
      </c>
      <c r="AK4523">
        <v>7.6961543423400602</v>
      </c>
      <c r="AL4523">
        <v>68.707687540245104</v>
      </c>
      <c r="AM4523">
        <v>81.829104247512106</v>
      </c>
      <c r="AN4523">
        <v>0.99999994629877798</v>
      </c>
    </row>
    <row r="4524" spans="1:40" x14ac:dyDescent="0.25">
      <c r="A4524" t="str">
        <f>"20190304164217475"</f>
        <v>20190304164217475</v>
      </c>
      <c r="B4524" t="str">
        <f>"1551688937465739"</f>
        <v>1551688937465739</v>
      </c>
      <c r="C4524" t="s">
        <v>40</v>
      </c>
      <c r="D4524">
        <v>4.6516199999999897</v>
      </c>
      <c r="E4524">
        <v>0.57585189999999997</v>
      </c>
      <c r="F4524" t="s">
        <v>53</v>
      </c>
      <c r="G4524">
        <v>-195.97819999999999</v>
      </c>
      <c r="H4524" s="1">
        <v>-1.321697E-5</v>
      </c>
      <c r="I4524">
        <v>154.02209999999999</v>
      </c>
      <c r="J4524">
        <v>-192.70779999999999</v>
      </c>
      <c r="K4524">
        <v>1.1072599999999999</v>
      </c>
      <c r="L4524">
        <v>160.9331</v>
      </c>
      <c r="M4524">
        <v>-0.15504109999999999</v>
      </c>
      <c r="N4524">
        <v>-1.388292E-2</v>
      </c>
      <c r="O4524">
        <v>-0.98781059999999998</v>
      </c>
      <c r="P4524">
        <v>-0.2722157</v>
      </c>
      <c r="Q4524">
        <v>0.35176289999999999</v>
      </c>
      <c r="R4524">
        <v>-0.89563479999999995</v>
      </c>
      <c r="S4524">
        <v>-1.450928</v>
      </c>
      <c r="T4524">
        <v>-0.4878786</v>
      </c>
      <c r="U4524">
        <v>-3.101334</v>
      </c>
      <c r="V4524">
        <v>0.13317379999999901</v>
      </c>
      <c r="W4524">
        <v>0.36346970000000001</v>
      </c>
      <c r="X4524">
        <v>0.92203829999999998</v>
      </c>
      <c r="Y4524">
        <v>0.27433590000000002</v>
      </c>
      <c r="Z4524">
        <v>0.1291593</v>
      </c>
      <c r="AA4524">
        <v>0.95292060000000001</v>
      </c>
      <c r="AB4524">
        <v>25</v>
      </c>
      <c r="AC4524">
        <v>-3.2703999999999902</v>
      </c>
      <c r="AD4524">
        <v>-1.1072732169699999</v>
      </c>
      <c r="AE4524">
        <v>-6.9109999999999996</v>
      </c>
      <c r="AF4524">
        <v>2.1148978575650799</v>
      </c>
      <c r="AG4524">
        <v>-1.1072732169699999</v>
      </c>
      <c r="AH4524">
        <v>7.1838414422865204</v>
      </c>
      <c r="AI4524">
        <v>98.410787569681105</v>
      </c>
      <c r="AJ4524">
        <v>73.595755151317505</v>
      </c>
      <c r="AK4524">
        <v>7.5701007122009702</v>
      </c>
      <c r="AL4524">
        <v>68.686565502367202</v>
      </c>
      <c r="AM4524">
        <v>81.781369628839698</v>
      </c>
      <c r="AN4524">
        <v>1.0000000552457</v>
      </c>
    </row>
    <row r="4525" spans="1:40" x14ac:dyDescent="0.25">
      <c r="A4525" t="str">
        <f>"20190304164217487"</f>
        <v>20190304164217487</v>
      </c>
      <c r="B4525" t="str">
        <f>"1551688937475498"</f>
        <v>1551688937475498</v>
      </c>
      <c r="C4525" t="s">
        <v>40</v>
      </c>
      <c r="D4525">
        <v>4.5919660000000002</v>
      </c>
      <c r="E4525">
        <v>0.57621669999999903</v>
      </c>
      <c r="F4525" t="s">
        <v>53</v>
      </c>
      <c r="G4525">
        <v>-195.98679999999999</v>
      </c>
      <c r="H4525" s="1">
        <v>-1.3211459999999999E-5</v>
      </c>
      <c r="I4525">
        <v>153.99719999999999</v>
      </c>
      <c r="J4525">
        <v>-192.73009999999999</v>
      </c>
      <c r="K4525">
        <v>1.107205</v>
      </c>
      <c r="L4525">
        <v>160.8098</v>
      </c>
      <c r="M4525">
        <v>-0.15771679999999999</v>
      </c>
      <c r="N4525">
        <v>-1.3899730000000001E-2</v>
      </c>
      <c r="O4525">
        <v>-0.98738649999999994</v>
      </c>
      <c r="P4525">
        <v>-0.27495259999999999</v>
      </c>
      <c r="Q4525">
        <v>0.35219210000000001</v>
      </c>
      <c r="R4525">
        <v>-0.89462940000000002</v>
      </c>
      <c r="S4525">
        <v>-1.464874</v>
      </c>
      <c r="T4525">
        <v>-0.494674</v>
      </c>
      <c r="U4525">
        <v>-3.098633</v>
      </c>
      <c r="V4525">
        <v>0.13358030000000001</v>
      </c>
      <c r="W4525">
        <v>0.36388809999999999</v>
      </c>
      <c r="X4525">
        <v>0.92181440000000003</v>
      </c>
      <c r="Y4525">
        <v>0.27545589999999998</v>
      </c>
      <c r="Z4525">
        <v>0.13096659999999999</v>
      </c>
      <c r="AA4525">
        <v>0.95235069999999999</v>
      </c>
      <c r="AB4525">
        <v>25</v>
      </c>
      <c r="AC4525">
        <v>-3.2566999999999902</v>
      </c>
      <c r="AD4525">
        <v>-1.10721821146</v>
      </c>
      <c r="AE4525">
        <v>-6.8125999999999998</v>
      </c>
      <c r="AF4525">
        <v>2.0962948226622502</v>
      </c>
      <c r="AG4525">
        <v>-1.10721821146</v>
      </c>
      <c r="AH4525">
        <v>7.0885940673715</v>
      </c>
      <c r="AI4525">
        <v>98.518701238506793</v>
      </c>
      <c r="AJ4525">
        <v>73.525583222391006</v>
      </c>
      <c r="AK4525">
        <v>7.4745267410909504</v>
      </c>
      <c r="AL4525">
        <v>68.660829888853797</v>
      </c>
      <c r="AM4525">
        <v>81.754652598888796</v>
      </c>
      <c r="AN4525">
        <v>1.0000000169585299</v>
      </c>
    </row>
    <row r="4526" spans="1:40" x14ac:dyDescent="0.25">
      <c r="A4526" t="str">
        <f>"20190304164217504"</f>
        <v>20190304164217504</v>
      </c>
      <c r="B4526" t="str">
        <f>"1551688937495994"</f>
        <v>1551688937495994</v>
      </c>
      <c r="C4526" t="s">
        <v>40</v>
      </c>
      <c r="D4526">
        <v>4.6138339999999998</v>
      </c>
      <c r="E4526">
        <v>0.57779480000000005</v>
      </c>
      <c r="F4526" t="s">
        <v>53</v>
      </c>
      <c r="G4526">
        <v>-196.00800000000001</v>
      </c>
      <c r="H4526" s="1">
        <v>-1.320079E-5</v>
      </c>
      <c r="I4526">
        <v>153.94730000000001</v>
      </c>
      <c r="J4526">
        <v>-192.76429999999999</v>
      </c>
      <c r="K4526">
        <v>1.1071120000000001</v>
      </c>
      <c r="L4526">
        <v>160.6242</v>
      </c>
      <c r="M4526">
        <v>-0.16183359999999999</v>
      </c>
      <c r="N4526">
        <v>-1.3924270000000001E-2</v>
      </c>
      <c r="O4526">
        <v>-0.98671980000000004</v>
      </c>
      <c r="P4526">
        <v>-0.27953119999999998</v>
      </c>
      <c r="Q4526">
        <v>0.35370659999999998</v>
      </c>
      <c r="R4526">
        <v>-0.89261089999999998</v>
      </c>
      <c r="S4526">
        <v>-1.478577</v>
      </c>
      <c r="T4526">
        <v>-0.49943949999999998</v>
      </c>
      <c r="U4526">
        <v>-3.09552</v>
      </c>
      <c r="V4526">
        <v>0.13465849999999999</v>
      </c>
      <c r="W4526">
        <v>0.36537459999999999</v>
      </c>
      <c r="X4526">
        <v>0.92106920000000003</v>
      </c>
      <c r="Y4526">
        <v>0.27518510000000002</v>
      </c>
      <c r="Z4526">
        <v>0.13218160000000001</v>
      </c>
      <c r="AA4526">
        <v>0.95226109999999997</v>
      </c>
      <c r="AB4526">
        <v>25</v>
      </c>
      <c r="AC4526">
        <v>-3.2436999999999898</v>
      </c>
      <c r="AD4526">
        <v>-1.1071252007899901</v>
      </c>
      <c r="AE4526">
        <v>-6.6768999999999803</v>
      </c>
      <c r="AF4526">
        <v>2.0741436778089399</v>
      </c>
      <c r="AG4526">
        <v>-1.1071252007899901</v>
      </c>
      <c r="AH4526">
        <v>6.9590585095870399</v>
      </c>
      <c r="AI4526">
        <v>98.668750386010501</v>
      </c>
      <c r="AJ4526">
        <v>73.403340382956003</v>
      </c>
      <c r="AK4526">
        <v>7.3454947788610498</v>
      </c>
      <c r="AL4526">
        <v>68.569361746388694</v>
      </c>
      <c r="AM4526">
        <v>81.682395810582705</v>
      </c>
      <c r="AN4526">
        <v>0.99999999056802402</v>
      </c>
    </row>
    <row r="4527" spans="1:40" x14ac:dyDescent="0.25">
      <c r="A4527" t="str">
        <f>"20190304164217515"</f>
        <v>20190304164217515</v>
      </c>
      <c r="B4527" t="str">
        <f>"1551688937505756"</f>
        <v>1551688937505756</v>
      </c>
      <c r="C4527" t="s">
        <v>40</v>
      </c>
      <c r="D4527">
        <v>4.1606160000000001</v>
      </c>
      <c r="E4527">
        <v>0.58086729999999998</v>
      </c>
      <c r="F4527" t="s">
        <v>53</v>
      </c>
      <c r="G4527">
        <v>-196.16210000000001</v>
      </c>
      <c r="H4527" s="1">
        <v>-1.314953E-5</v>
      </c>
      <c r="I4527">
        <v>153.6892</v>
      </c>
      <c r="J4527">
        <v>-192.7895</v>
      </c>
      <c r="K4527">
        <v>1.107038</v>
      </c>
      <c r="L4527">
        <v>160.49119999999999</v>
      </c>
      <c r="M4527">
        <v>-0.1648753</v>
      </c>
      <c r="N4527">
        <v>-1.394133E-2</v>
      </c>
      <c r="O4527">
        <v>-0.98621590000000003</v>
      </c>
      <c r="P4527">
        <v>-0.28262399999999999</v>
      </c>
      <c r="Q4527">
        <v>0.35411379999999998</v>
      </c>
      <c r="R4527">
        <v>-0.89147459999999901</v>
      </c>
      <c r="S4527">
        <v>-1.510483</v>
      </c>
      <c r="T4527">
        <v>-0.49216749999999998</v>
      </c>
      <c r="U4527">
        <v>-3.082916</v>
      </c>
      <c r="V4527">
        <v>0.13511110000000001</v>
      </c>
      <c r="W4527">
        <v>0.36576690000000001</v>
      </c>
      <c r="X4527">
        <v>0.92084719999999998</v>
      </c>
      <c r="Y4527">
        <v>0.28183079999999999</v>
      </c>
      <c r="Z4527">
        <v>0.13007489999999999</v>
      </c>
      <c r="AA4527">
        <v>0.95060610000000001</v>
      </c>
      <c r="AB4527">
        <v>25</v>
      </c>
      <c r="AC4527">
        <v>-3.3725999999999998</v>
      </c>
      <c r="AD4527">
        <v>-1.1070511495299999</v>
      </c>
      <c r="AE4527">
        <v>-6.8019999999999898</v>
      </c>
      <c r="AF4527">
        <v>2.1589413233716002</v>
      </c>
      <c r="AG4527">
        <v>-1.1070511495299999</v>
      </c>
      <c r="AH4527">
        <v>7.1137540543556703</v>
      </c>
      <c r="AI4527">
        <v>98.469922713128398</v>
      </c>
      <c r="AJ4527">
        <v>73.117568534204906</v>
      </c>
      <c r="AK4527">
        <v>7.5161217812977803</v>
      </c>
      <c r="AL4527">
        <v>68.545213345176094</v>
      </c>
      <c r="AM4527">
        <v>81.652849083194795</v>
      </c>
      <c r="AN4527">
        <v>1.00000000011333</v>
      </c>
    </row>
    <row r="4528" spans="1:40" x14ac:dyDescent="0.25">
      <c r="A4528" t="str">
        <f>"20190304164217527"</f>
        <v>20190304164217527</v>
      </c>
      <c r="B4528" t="str">
        <f>"1551688937515515"</f>
        <v>1551688937515515</v>
      </c>
      <c r="C4528" t="s">
        <v>40</v>
      </c>
      <c r="D4528">
        <v>4.1702669999999999</v>
      </c>
      <c r="E4528">
        <v>0.58358100000000002</v>
      </c>
      <c r="F4528" t="s">
        <v>53</v>
      </c>
      <c r="G4528">
        <v>-196.4649</v>
      </c>
      <c r="H4528" s="1">
        <v>-1.305532E-5</v>
      </c>
      <c r="I4528">
        <v>153.2081</v>
      </c>
      <c r="J4528">
        <v>-192.81270000000001</v>
      </c>
      <c r="K4528">
        <v>1.1069659999999999</v>
      </c>
      <c r="L4528">
        <v>160.3707</v>
      </c>
      <c r="M4528">
        <v>-0.1676771</v>
      </c>
      <c r="N4528">
        <v>-1.395654E-2</v>
      </c>
      <c r="O4528">
        <v>-0.98574320000000004</v>
      </c>
      <c r="P4528">
        <v>-0.28585680000000002</v>
      </c>
      <c r="Q4528">
        <v>0.35439389999999998</v>
      </c>
      <c r="R4528">
        <v>-0.89033189999999995</v>
      </c>
      <c r="S4528">
        <v>-1.544403</v>
      </c>
      <c r="T4528">
        <v>-0.46518110000000001</v>
      </c>
      <c r="U4528">
        <v>-3.0603639999999999</v>
      </c>
      <c r="V4528">
        <v>0.1359224</v>
      </c>
      <c r="W4528">
        <v>0.36602790000000002</v>
      </c>
      <c r="X4528">
        <v>0.92062409999999995</v>
      </c>
      <c r="Y4528">
        <v>0.29073019999999999</v>
      </c>
      <c r="Z4528">
        <v>0.1226478</v>
      </c>
      <c r="AA4528">
        <v>0.94891170000000002</v>
      </c>
      <c r="AB4528">
        <v>25</v>
      </c>
      <c r="AC4528">
        <v>-3.6521999999999899</v>
      </c>
      <c r="AD4528">
        <v>-1.1069790553199901</v>
      </c>
      <c r="AE4528">
        <v>-7.1625999999999896</v>
      </c>
      <c r="AF4528">
        <v>2.3547226337459999</v>
      </c>
      <c r="AG4528">
        <v>-1.1069790553199901</v>
      </c>
      <c r="AH4528">
        <v>7.5308597531941404</v>
      </c>
      <c r="AI4528">
        <v>97.986144391180005</v>
      </c>
      <c r="AJ4528">
        <v>72.636764463248895</v>
      </c>
      <c r="AK4528">
        <v>7.9676828459140001</v>
      </c>
      <c r="AL4528">
        <v>68.529145509560905</v>
      </c>
      <c r="AM4528">
        <v>81.601433739629897</v>
      </c>
      <c r="AN4528">
        <v>1.0000000279504799</v>
      </c>
    </row>
    <row r="4529" spans="1:40" x14ac:dyDescent="0.25">
      <c r="A4529" t="str">
        <f>"20190304164217537"</f>
        <v>20190304164217537</v>
      </c>
      <c r="B4529" t="str">
        <f>"1551688937536011"</f>
        <v>1551688937536011</v>
      </c>
      <c r="C4529" t="s">
        <v>40</v>
      </c>
      <c r="D4529">
        <v>4.2007469999999998</v>
      </c>
      <c r="E4529">
        <v>0.58811089999999999</v>
      </c>
      <c r="F4529" t="s">
        <v>53</v>
      </c>
      <c r="G4529">
        <v>-196.75839999999999</v>
      </c>
      <c r="H4529" s="1">
        <v>-1.296836E-5</v>
      </c>
      <c r="I4529">
        <v>152.75909999999999</v>
      </c>
      <c r="J4529">
        <v>-192.83670000000001</v>
      </c>
      <c r="K4529">
        <v>1.106897</v>
      </c>
      <c r="L4529">
        <v>160.24799999999999</v>
      </c>
      <c r="M4529">
        <v>-0.17058099999999901</v>
      </c>
      <c r="N4529">
        <v>-1.3971799999999999E-2</v>
      </c>
      <c r="O4529">
        <v>-0.98524480000000003</v>
      </c>
      <c r="P4529">
        <v>-0.28886820000000002</v>
      </c>
      <c r="Q4529">
        <v>0.3543712</v>
      </c>
      <c r="R4529">
        <v>-0.88936859999999995</v>
      </c>
      <c r="S4529">
        <v>-1.5756380000000001</v>
      </c>
      <c r="T4529">
        <v>-0.4420539</v>
      </c>
      <c r="U4529">
        <v>-3.0395970000000001</v>
      </c>
      <c r="V4529">
        <v>0.13638889999999901</v>
      </c>
      <c r="W4529">
        <v>0.36599150000000003</v>
      </c>
      <c r="X4529">
        <v>0.92056950000000004</v>
      </c>
      <c r="Y4529">
        <v>0.2985894</v>
      </c>
      <c r="Z4529">
        <v>0.1162398</v>
      </c>
      <c r="AA4529">
        <v>0.94727640000000002</v>
      </c>
      <c r="AB4529">
        <v>25</v>
      </c>
      <c r="AC4529">
        <v>-3.92169999999998</v>
      </c>
      <c r="AD4529">
        <v>-1.1069099683600001</v>
      </c>
      <c r="AE4529">
        <v>-7.4889000000000001</v>
      </c>
      <c r="AF4529">
        <v>2.5430219549155901</v>
      </c>
      <c r="AG4529">
        <v>-1.1069099683600001</v>
      </c>
      <c r="AH4529">
        <v>7.9124904367289304</v>
      </c>
      <c r="AI4529">
        <v>97.586261997201902</v>
      </c>
      <c r="AJ4529">
        <v>72.182939208741203</v>
      </c>
      <c r="AK4529">
        <v>8.3844925459185795</v>
      </c>
      <c r="AL4529">
        <v>68.531384987814207</v>
      </c>
      <c r="AM4529">
        <v>81.572529546062597</v>
      </c>
      <c r="AN4529">
        <v>0.99999995722285395</v>
      </c>
    </row>
    <row r="4530" spans="1:40" x14ac:dyDescent="0.25">
      <c r="A4530" t="str">
        <f>"20190304164217548"</f>
        <v>20190304164217548</v>
      </c>
      <c r="B4530" t="str">
        <f>"1551688937545771"</f>
        <v>1551688937545771</v>
      </c>
      <c r="C4530" t="s">
        <v>40</v>
      </c>
      <c r="D4530">
        <v>4.6076370000000004</v>
      </c>
      <c r="E4530">
        <v>0.5881092</v>
      </c>
      <c r="F4530" t="s">
        <v>53</v>
      </c>
      <c r="G4530">
        <v>-197.2586</v>
      </c>
      <c r="H4530" s="1">
        <v>-1.2828599999999999E-5</v>
      </c>
      <c r="I4530">
        <v>152.0273</v>
      </c>
      <c r="J4530">
        <v>-192.8586</v>
      </c>
      <c r="K4530">
        <v>1.10683</v>
      </c>
      <c r="L4530">
        <v>160.1386</v>
      </c>
      <c r="M4530">
        <v>-0.17323740000000001</v>
      </c>
      <c r="N4530">
        <v>-1.39855E-2</v>
      </c>
      <c r="O4530">
        <v>-0.98478089999999996</v>
      </c>
      <c r="P4530">
        <v>-0.29200710000000002</v>
      </c>
      <c r="Q4530">
        <v>0.35408450000000002</v>
      </c>
      <c r="R4530">
        <v>-0.88845730000000001</v>
      </c>
      <c r="S4530">
        <v>-1.6184689999999999</v>
      </c>
      <c r="T4530">
        <v>-0.40514489999999997</v>
      </c>
      <c r="U4530">
        <v>-3.0089109999999999</v>
      </c>
      <c r="V4530">
        <v>0.1371976</v>
      </c>
      <c r="W4530">
        <v>0.36568800000000001</v>
      </c>
      <c r="X4530">
        <v>0.92057</v>
      </c>
      <c r="Y4530">
        <v>0.31101299999999998</v>
      </c>
      <c r="Z4530">
        <v>0.1059499</v>
      </c>
      <c r="AA4530">
        <v>0.94448160000000003</v>
      </c>
      <c r="AB4530">
        <v>25</v>
      </c>
      <c r="AC4530">
        <v>-4.4000000000000004</v>
      </c>
      <c r="AD4530">
        <v>-1.1068428286000001</v>
      </c>
      <c r="AE4530">
        <v>-8.1113</v>
      </c>
      <c r="AF4530">
        <v>2.8866117491310601</v>
      </c>
      <c r="AG4530">
        <v>-1.1068428286000001</v>
      </c>
      <c r="AH4530">
        <v>8.6268382677486599</v>
      </c>
      <c r="AI4530">
        <v>96.9371701700084</v>
      </c>
      <c r="AJ4530">
        <v>71.499330784819705</v>
      </c>
      <c r="AK4530">
        <v>9.1640584314667901</v>
      </c>
      <c r="AL4530">
        <v>68.550070693475703</v>
      </c>
      <c r="AM4530">
        <v>81.523288395254099</v>
      </c>
      <c r="AN4530">
        <v>1.00000000984488</v>
      </c>
    </row>
    <row r="4531" spans="1:40" x14ac:dyDescent="0.25">
      <c r="A4531" t="str">
        <f>"20190304164217561"</f>
        <v>20190304164217561</v>
      </c>
      <c r="B4531" t="str">
        <f>"1551688937555531"</f>
        <v>1551688937555531</v>
      </c>
      <c r="C4531" t="s">
        <v>40</v>
      </c>
      <c r="D4531">
        <v>4.2277809999999896</v>
      </c>
      <c r="E4531">
        <v>0.58991000000000005</v>
      </c>
      <c r="F4531" t="s">
        <v>53</v>
      </c>
      <c r="G4531">
        <v>-197.249</v>
      </c>
      <c r="H4531" s="1">
        <v>-1.283137E-5</v>
      </c>
      <c r="I4531">
        <v>152.04169999999999</v>
      </c>
      <c r="J4531">
        <v>-192.88650000000001</v>
      </c>
      <c r="K4531">
        <v>1.106746</v>
      </c>
      <c r="L4531">
        <v>160.00069999999999</v>
      </c>
      <c r="M4531">
        <v>-0.17663139999999999</v>
      </c>
      <c r="N4531">
        <v>-1.4002509999999999E-2</v>
      </c>
      <c r="O4531">
        <v>-0.98417750000000004</v>
      </c>
      <c r="P4531">
        <v>-0.29557840000000002</v>
      </c>
      <c r="Q4531">
        <v>0.35400330000000002</v>
      </c>
      <c r="R4531">
        <v>-0.88730789999999904</v>
      </c>
      <c r="S4531">
        <v>-1.6293029999999999</v>
      </c>
      <c r="T4531">
        <v>-0.41075339999999999</v>
      </c>
      <c r="U4531">
        <v>-3.0048219999999999</v>
      </c>
      <c r="V4531">
        <v>0.1377987</v>
      </c>
      <c r="W4531">
        <v>0.36558810000000003</v>
      </c>
      <c r="X4531">
        <v>0.92051989999999995</v>
      </c>
      <c r="Y4531">
        <v>0.3108262</v>
      </c>
      <c r="Z4531">
        <v>0.107517</v>
      </c>
      <c r="AA4531">
        <v>0.94436600000000004</v>
      </c>
      <c r="AB4531">
        <v>25</v>
      </c>
      <c r="AC4531">
        <v>-4.3625000000000096</v>
      </c>
      <c r="AD4531">
        <v>-1.1067588313700001</v>
      </c>
      <c r="AE4531">
        <v>-7.9589999999999996</v>
      </c>
      <c r="AF4531">
        <v>2.8456345848683098</v>
      </c>
      <c r="AG4531">
        <v>-1.1067588313700001</v>
      </c>
      <c r="AH4531">
        <v>8.4783960338964093</v>
      </c>
      <c r="AI4531">
        <v>97.054725963059298</v>
      </c>
      <c r="AJ4531">
        <v>71.446517118851503</v>
      </c>
      <c r="AK4531">
        <v>9.0114233397951402</v>
      </c>
      <c r="AL4531">
        <v>68.556220443487106</v>
      </c>
      <c r="AM4531">
        <v>81.486236117999596</v>
      </c>
      <c r="AN4531">
        <v>1.0000000134396501</v>
      </c>
    </row>
    <row r="4532" spans="1:40" x14ac:dyDescent="0.25">
      <c r="A4532" t="str">
        <f>"20190304164217576"</f>
        <v>20190304164217576</v>
      </c>
      <c r="B4532" t="str">
        <f>"1551688937565291"</f>
        <v>1551688937565291</v>
      </c>
      <c r="C4532" t="s">
        <v>40</v>
      </c>
      <c r="D4532">
        <v>4.2051569999999998</v>
      </c>
      <c r="E4532">
        <v>0.5916013</v>
      </c>
      <c r="F4532" t="s">
        <v>53</v>
      </c>
      <c r="G4532">
        <v>-197.50790000000001</v>
      </c>
      <c r="H4532" s="1">
        <v>-1.275632E-5</v>
      </c>
      <c r="I4532">
        <v>151.65209999999999</v>
      </c>
      <c r="J4532">
        <v>-192.9194</v>
      </c>
      <c r="K4532">
        <v>1.1066469999999999</v>
      </c>
      <c r="L4532">
        <v>159.84280000000001</v>
      </c>
      <c r="M4532">
        <v>-0.18066450000000001</v>
      </c>
      <c r="N4532">
        <v>-1.4022720000000001E-2</v>
      </c>
      <c r="O4532">
        <v>-0.98344480000000001</v>
      </c>
      <c r="P4532">
        <v>-0.29943799999999998</v>
      </c>
      <c r="Q4532">
        <v>0.35368959999999999</v>
      </c>
      <c r="R4532">
        <v>-0.88613779999999998</v>
      </c>
      <c r="S4532">
        <v>-1.65405299999999</v>
      </c>
      <c r="T4532">
        <v>-0.39612209999999998</v>
      </c>
      <c r="U4532">
        <v>-2.9880520000000002</v>
      </c>
      <c r="V4532">
        <v>0.13810029999999901</v>
      </c>
      <c r="W4532">
        <v>0.36525740000000001</v>
      </c>
      <c r="X4532">
        <v>0.92060600000000004</v>
      </c>
      <c r="Y4532">
        <v>0.31537300000000001</v>
      </c>
      <c r="Z4532">
        <v>0.10340630000000001</v>
      </c>
      <c r="AA4532">
        <v>0.94331699999999996</v>
      </c>
      <c r="AB4532">
        <v>25</v>
      </c>
      <c r="AC4532">
        <v>-4.5885000000000096</v>
      </c>
      <c r="AD4532">
        <v>-1.10665975632</v>
      </c>
      <c r="AE4532">
        <v>-8.1907000000000192</v>
      </c>
      <c r="AF4532">
        <v>2.9915003267100202</v>
      </c>
      <c r="AG4532">
        <v>-1.10665975632</v>
      </c>
      <c r="AH4532">
        <v>8.7631930967966394</v>
      </c>
      <c r="AI4532">
        <v>96.815273825816504</v>
      </c>
      <c r="AJ4532">
        <v>71.151581459226094</v>
      </c>
      <c r="AK4532">
        <v>9.3256272321334297</v>
      </c>
      <c r="AL4532">
        <v>68.576576373693499</v>
      </c>
      <c r="AM4532">
        <v>81.468662236342695</v>
      </c>
      <c r="AN4532">
        <v>1.00000003417542</v>
      </c>
    </row>
    <row r="4533" spans="1:40" x14ac:dyDescent="0.25">
      <c r="A4533" t="str">
        <f>"20190304164217589"</f>
        <v>20190304164217589</v>
      </c>
      <c r="B4533" t="str">
        <f>"1551688937585787"</f>
        <v>1551688937585787</v>
      </c>
      <c r="C4533" t="s">
        <v>40</v>
      </c>
      <c r="D4533">
        <v>4.1920590000000004</v>
      </c>
      <c r="E4533">
        <v>0.59471549999999995</v>
      </c>
      <c r="F4533" t="s">
        <v>53</v>
      </c>
      <c r="G4533">
        <v>-197.7664</v>
      </c>
      <c r="H4533" s="1">
        <v>-1.268219E-5</v>
      </c>
      <c r="I4533">
        <v>151.2664</v>
      </c>
      <c r="J4533">
        <v>-192.9487</v>
      </c>
      <c r="K4533">
        <v>1.1065579999999999</v>
      </c>
      <c r="L4533">
        <v>159.70500000000001</v>
      </c>
      <c r="M4533">
        <v>-0.18426519999999999</v>
      </c>
      <c r="N4533">
        <v>-1.4040550000000001E-2</v>
      </c>
      <c r="O4533">
        <v>-0.98277630000000005</v>
      </c>
      <c r="P4533">
        <v>-0.30305779999999999</v>
      </c>
      <c r="Q4533">
        <v>0.35381180000000001</v>
      </c>
      <c r="R4533">
        <v>-0.88485769999999997</v>
      </c>
      <c r="S4533">
        <v>-1.679108</v>
      </c>
      <c r="T4533">
        <v>-0.38337060000000001</v>
      </c>
      <c r="U4533">
        <v>-2.971085</v>
      </c>
      <c r="V4533">
        <v>0.13858799999999999</v>
      </c>
      <c r="W4533">
        <v>0.36535869999999998</v>
      </c>
      <c r="X4533">
        <v>0.92049250000000005</v>
      </c>
      <c r="Y4533">
        <v>0.3204111</v>
      </c>
      <c r="Z4533">
        <v>9.9829550000000003E-2</v>
      </c>
      <c r="AA4533">
        <v>0.94200360000000005</v>
      </c>
      <c r="AB4533">
        <v>24</v>
      </c>
      <c r="AC4533">
        <v>-4.8177000000000003</v>
      </c>
      <c r="AD4533">
        <v>-1.1065706821900001</v>
      </c>
      <c r="AE4533">
        <v>-8.4385999999999992</v>
      </c>
      <c r="AF4533">
        <v>3.1393810416319101</v>
      </c>
      <c r="AG4533">
        <v>-1.1065706821900001</v>
      </c>
      <c r="AH4533">
        <v>9.0643434450406506</v>
      </c>
      <c r="AI4533">
        <v>96.580364091607393</v>
      </c>
      <c r="AJ4533">
        <v>70.8967789132397</v>
      </c>
      <c r="AK4533">
        <v>9.6562173799522402</v>
      </c>
      <c r="AL4533">
        <v>68.570341251913106</v>
      </c>
      <c r="AM4533">
        <v>81.437939591685307</v>
      </c>
      <c r="AN4533">
        <v>1.0000000279829599</v>
      </c>
    </row>
    <row r="4534" spans="1:40" x14ac:dyDescent="0.25">
      <c r="A4534" t="str">
        <f>"20190304164217605"</f>
        <v>20190304164217605</v>
      </c>
      <c r="B4534" t="str">
        <f>"1551688937595547"</f>
        <v>1551688937595547</v>
      </c>
      <c r="C4534" t="s">
        <v>40</v>
      </c>
      <c r="D4534">
        <v>4.6202639999999997</v>
      </c>
      <c r="E4534">
        <v>0.59449169999999996</v>
      </c>
      <c r="F4534" t="s">
        <v>53</v>
      </c>
      <c r="G4534">
        <v>-198.2518</v>
      </c>
      <c r="H4534" s="1">
        <v>-1.255436E-5</v>
      </c>
      <c r="I4534">
        <v>150.5872</v>
      </c>
      <c r="J4534">
        <v>-192.9871</v>
      </c>
      <c r="K4534">
        <v>1.106447</v>
      </c>
      <c r="L4534">
        <v>159.5283</v>
      </c>
      <c r="M4534">
        <v>-0.18899630000000001</v>
      </c>
      <c r="N4534">
        <v>-1.4063640000000001E-2</v>
      </c>
      <c r="O4534">
        <v>-0.98187729999999995</v>
      </c>
      <c r="P4534">
        <v>-0.30817220000000001</v>
      </c>
      <c r="Q4534">
        <v>0.35369339999999999</v>
      </c>
      <c r="R4534">
        <v>-0.88313719999999996</v>
      </c>
      <c r="S4534">
        <v>-1.7136990000000001</v>
      </c>
      <c r="T4534">
        <v>-0.35759229999999997</v>
      </c>
      <c r="U4534">
        <v>-2.9464419999999998</v>
      </c>
      <c r="V4534">
        <v>0.1395855</v>
      </c>
      <c r="W4534">
        <v>0.36520900000000001</v>
      </c>
      <c r="X4534">
        <v>0.92040120000000003</v>
      </c>
      <c r="Y4534">
        <v>0.32788539999999999</v>
      </c>
      <c r="Z4534">
        <v>9.2504080000000002E-2</v>
      </c>
      <c r="AA4534">
        <v>0.94017770000000001</v>
      </c>
      <c r="AB4534">
        <v>24</v>
      </c>
      <c r="AC4534">
        <v>-5.2647000000000004</v>
      </c>
      <c r="AD4534">
        <v>-1.10645955436</v>
      </c>
      <c r="AE4534">
        <v>-8.9411000000000005</v>
      </c>
      <c r="AF4534">
        <v>3.4406726250117798</v>
      </c>
      <c r="AG4534">
        <v>-1.10645955436</v>
      </c>
      <c r="AH4534">
        <v>9.6651302053121793</v>
      </c>
      <c r="AI4534">
        <v>96.155531910839301</v>
      </c>
      <c r="AJ4534">
        <v>70.4048688613629</v>
      </c>
      <c r="AK4534">
        <v>10.3187800995843</v>
      </c>
      <c r="AL4534">
        <v>68.579555577541598</v>
      </c>
      <c r="AM4534">
        <v>81.376393957860898</v>
      </c>
      <c r="AN4534">
        <v>1.0000000472263399</v>
      </c>
    </row>
    <row r="4535" spans="1:40" x14ac:dyDescent="0.25">
      <c r="A4535" t="str">
        <f>"20190304164217616"</f>
        <v>20190304164217616</v>
      </c>
      <c r="B4535" t="str">
        <f>"1551688937605307"</f>
        <v>1551688937605307</v>
      </c>
      <c r="C4535" t="s">
        <v>40</v>
      </c>
      <c r="D4535">
        <v>4.6100320000000004</v>
      </c>
      <c r="E4535">
        <v>0.59421449999999998</v>
      </c>
      <c r="F4535" t="s">
        <v>53</v>
      </c>
      <c r="G4535">
        <v>-198.2535</v>
      </c>
      <c r="H4535" s="1">
        <v>-1.2552749999999999E-5</v>
      </c>
      <c r="I4535">
        <v>150.58019999999999</v>
      </c>
      <c r="J4535">
        <v>-193.01419999999999</v>
      </c>
      <c r="K4535">
        <v>1.106368</v>
      </c>
      <c r="L4535">
        <v>159.40700000000001</v>
      </c>
      <c r="M4535">
        <v>-0.1923376</v>
      </c>
      <c r="N4535">
        <v>-1.407975E-2</v>
      </c>
      <c r="O4535">
        <v>-0.98122790000000004</v>
      </c>
      <c r="P4535">
        <v>-0.31181619999999999</v>
      </c>
      <c r="Q4535">
        <v>0.35380099999999998</v>
      </c>
      <c r="R4535">
        <v>-0.88181399999999999</v>
      </c>
      <c r="S4535">
        <v>-1.729706</v>
      </c>
      <c r="T4535">
        <v>-0.36340810000000001</v>
      </c>
      <c r="U4535">
        <v>-2.9389340000000002</v>
      </c>
      <c r="V4535">
        <v>0.14034070000000001</v>
      </c>
      <c r="W4535">
        <v>0.3652938</v>
      </c>
      <c r="X4535">
        <v>0.92025259999999998</v>
      </c>
      <c r="Y4535">
        <v>0.32944119999999999</v>
      </c>
      <c r="Z4535">
        <v>9.4171290000000005E-2</v>
      </c>
      <c r="AA4535">
        <v>0.93946810000000003</v>
      </c>
      <c r="AB4535">
        <v>24</v>
      </c>
      <c r="AC4535">
        <v>-5.2393000000000098</v>
      </c>
      <c r="AD4535">
        <v>-1.1063805527499999</v>
      </c>
      <c r="AE4535">
        <v>-8.8268000000000093</v>
      </c>
      <c r="AF4535">
        <v>3.4040158024896998</v>
      </c>
      <c r="AG4535">
        <v>-1.1063805527499999</v>
      </c>
      <c r="AH4535">
        <v>9.5587235033707696</v>
      </c>
      <c r="AI4535">
        <v>96.222829423270198</v>
      </c>
      <c r="AJ4535">
        <v>70.398364417595701</v>
      </c>
      <c r="AK4535">
        <v>10.206889659685499</v>
      </c>
      <c r="AL4535">
        <v>68.574334330549206</v>
      </c>
      <c r="AM4535">
        <v>81.329065993707204</v>
      </c>
      <c r="AN4535">
        <v>0.99999996010084402</v>
      </c>
    </row>
    <row r="4536" spans="1:40" x14ac:dyDescent="0.25">
      <c r="A4536" t="str">
        <f>"20190304164217627"</f>
        <v>20190304164217627</v>
      </c>
      <c r="B4536" t="str">
        <f>"1551688937616043"</f>
        <v>1551688937616043</v>
      </c>
      <c r="C4536" t="s">
        <v>40</v>
      </c>
      <c r="D4536">
        <v>4.6333529999999996</v>
      </c>
      <c r="E4536">
        <v>0.59394999999999998</v>
      </c>
      <c r="F4536" t="s">
        <v>53</v>
      </c>
      <c r="G4536">
        <v>-198.2218</v>
      </c>
      <c r="H4536" s="1">
        <v>-1.255964E-5</v>
      </c>
      <c r="I4536">
        <v>150.61879999999999</v>
      </c>
      <c r="J4536">
        <v>-193.04069999999999</v>
      </c>
      <c r="K4536">
        <v>1.1062940000000001</v>
      </c>
      <c r="L4536">
        <v>159.2902</v>
      </c>
      <c r="M4536">
        <v>-0.1955982</v>
      </c>
      <c r="N4536">
        <v>-1.4094779999999999E-2</v>
      </c>
      <c r="O4536">
        <v>-0.98058290000000004</v>
      </c>
      <c r="P4536">
        <v>-0.31565969999999999</v>
      </c>
      <c r="Q4536">
        <v>0.35365079999999999</v>
      </c>
      <c r="R4536">
        <v>-0.88050569999999895</v>
      </c>
      <c r="S4536">
        <v>-1.739349</v>
      </c>
      <c r="T4536">
        <v>-0.36953409999999998</v>
      </c>
      <c r="U4536">
        <v>-2.9352719999999999</v>
      </c>
      <c r="V4536">
        <v>0.1413566</v>
      </c>
      <c r="W4536">
        <v>0.36511939999999998</v>
      </c>
      <c r="X4536">
        <v>0.92016640000000005</v>
      </c>
      <c r="Y4536">
        <v>0.32901580000000002</v>
      </c>
      <c r="Z4536">
        <v>9.5897270000000007E-2</v>
      </c>
      <c r="AA4536">
        <v>0.93944260000000002</v>
      </c>
      <c r="AB4536">
        <v>24</v>
      </c>
      <c r="AC4536">
        <v>-5.1811000000000096</v>
      </c>
      <c r="AD4536">
        <v>-1.1063065596399999</v>
      </c>
      <c r="AE4536">
        <v>-8.6714000000000002</v>
      </c>
      <c r="AF4536">
        <v>3.3446059019852701</v>
      </c>
      <c r="AG4536">
        <v>-1.1063065596399999</v>
      </c>
      <c r="AH4536">
        <v>9.4045789925040797</v>
      </c>
      <c r="AI4536">
        <v>96.324536168733999</v>
      </c>
      <c r="AJ4536">
        <v>70.422787587404102</v>
      </c>
      <c r="AK4536">
        <v>10.0427291544552</v>
      </c>
      <c r="AL4536">
        <v>68.585069800653898</v>
      </c>
      <c r="AM4536">
        <v>81.266457441376403</v>
      </c>
      <c r="AN4536">
        <v>1.00000003415443</v>
      </c>
    </row>
    <row r="4537" spans="1:40" x14ac:dyDescent="0.25">
      <c r="A4537" t="str">
        <f>"20190304164217638"</f>
        <v>20190304164217638</v>
      </c>
      <c r="B4537" t="str">
        <f>"1551688937635563"</f>
        <v>1551688937635563</v>
      </c>
      <c r="C4537" t="s">
        <v>40</v>
      </c>
      <c r="D4537">
        <v>4.6252899999999997</v>
      </c>
      <c r="E4537">
        <v>0.59350449999999999</v>
      </c>
      <c r="F4537" t="s">
        <v>53</v>
      </c>
      <c r="G4537">
        <v>-198.1825</v>
      </c>
      <c r="H4537" s="1">
        <v>-1.2569819999999999E-5</v>
      </c>
      <c r="I4537">
        <v>150.67310000000001</v>
      </c>
      <c r="J4537">
        <v>-193.0694</v>
      </c>
      <c r="K4537">
        <v>1.1062160000000001</v>
      </c>
      <c r="L4537">
        <v>159.16550000000001</v>
      </c>
      <c r="M4537">
        <v>-0.19913210000000001</v>
      </c>
      <c r="N4537">
        <v>-1.4110370000000001E-2</v>
      </c>
      <c r="O4537">
        <v>-0.9798713</v>
      </c>
      <c r="P4537">
        <v>-0.31998339999999997</v>
      </c>
      <c r="Q4537">
        <v>0.3536029</v>
      </c>
      <c r="R4537">
        <v>-0.87896319999999994</v>
      </c>
      <c r="S4537">
        <v>-1.74906899999999</v>
      </c>
      <c r="T4537">
        <v>-0.37632739999999998</v>
      </c>
      <c r="U4537">
        <v>-2.9312290000000001</v>
      </c>
      <c r="V4537">
        <v>0.1426335</v>
      </c>
      <c r="W4537">
        <v>0.36504300000000001</v>
      </c>
      <c r="X4537">
        <v>0.91999960000000003</v>
      </c>
      <c r="Y4537">
        <v>0.32838119999999998</v>
      </c>
      <c r="Z4537">
        <v>9.7819370000000003E-2</v>
      </c>
      <c r="AA4537">
        <v>0.93946640000000003</v>
      </c>
      <c r="AB4537">
        <v>24</v>
      </c>
      <c r="AC4537">
        <v>-5.1131000000000002</v>
      </c>
      <c r="AD4537">
        <v>-1.1062285698200001</v>
      </c>
      <c r="AE4537">
        <v>-8.4923999999999999</v>
      </c>
      <c r="AF4537">
        <v>3.2785704292977602</v>
      </c>
      <c r="AG4537">
        <v>-1.1062285698200001</v>
      </c>
      <c r="AH4537">
        <v>9.2256768965829394</v>
      </c>
      <c r="AI4537">
        <v>96.446234121564501</v>
      </c>
      <c r="AJ4537">
        <v>70.436083523032096</v>
      </c>
      <c r="AK4537">
        <v>9.8532167290025701</v>
      </c>
      <c r="AL4537">
        <v>68.589770655528199</v>
      </c>
      <c r="AM4537">
        <v>81.187225887759098</v>
      </c>
      <c r="AN4537">
        <v>0.99999998558570402</v>
      </c>
    </row>
    <row r="4538" spans="1:40" x14ac:dyDescent="0.25">
      <c r="A4538" t="str">
        <f>"20190304164217650"</f>
        <v>20190304164217650</v>
      </c>
      <c r="B4538" t="str">
        <f>"1551688937645323"</f>
        <v>1551688937645323</v>
      </c>
      <c r="C4538" t="s">
        <v>40</v>
      </c>
      <c r="D4538">
        <v>4.9801140000000004</v>
      </c>
      <c r="E4538">
        <v>0.59329209999999999</v>
      </c>
      <c r="F4538" t="s">
        <v>53</v>
      </c>
      <c r="G4538">
        <v>-198.09700000000001</v>
      </c>
      <c r="H4538" s="1">
        <v>-1.2593040000000001E-5</v>
      </c>
      <c r="I4538">
        <v>150.7955</v>
      </c>
      <c r="J4538">
        <v>-193.09700000000001</v>
      </c>
      <c r="K4538">
        <v>1.10615</v>
      </c>
      <c r="L4538">
        <v>159.04839999999999</v>
      </c>
      <c r="M4538">
        <v>-0.2025178</v>
      </c>
      <c r="N4538">
        <v>-1.412419E-2</v>
      </c>
      <c r="O4538">
        <v>-0.97917690000000002</v>
      </c>
      <c r="P4538">
        <v>-0.32365820000000001</v>
      </c>
      <c r="Q4538">
        <v>0.35316510000000001</v>
      </c>
      <c r="R4538">
        <v>-0.87779289999999999</v>
      </c>
      <c r="S4538">
        <v>-1.7590330000000001</v>
      </c>
      <c r="T4538">
        <v>-0.38704110000000003</v>
      </c>
      <c r="U4538">
        <v>-2.928436</v>
      </c>
      <c r="V4538">
        <v>0.1433256</v>
      </c>
      <c r="W4538">
        <v>0.36458800000000002</v>
      </c>
      <c r="X4538">
        <v>0.92007249999999996</v>
      </c>
      <c r="Y4538">
        <v>0.32770159999999998</v>
      </c>
      <c r="Z4538">
        <v>0.10084070000000001</v>
      </c>
      <c r="AA4538">
        <v>0.93938429999999995</v>
      </c>
      <c r="AB4538">
        <v>24</v>
      </c>
      <c r="AC4538">
        <v>-5</v>
      </c>
      <c r="AD4538">
        <v>-1.1061625930400001</v>
      </c>
      <c r="AE4538">
        <v>-8.2528999999999808</v>
      </c>
      <c r="AF4538">
        <v>3.1830173206715702</v>
      </c>
      <c r="AG4538">
        <v>-1.1061625930400001</v>
      </c>
      <c r="AH4538">
        <v>8.9765792653624707</v>
      </c>
      <c r="AI4538">
        <v>96.624776455783106</v>
      </c>
      <c r="AJ4538">
        <v>70.475934003667405</v>
      </c>
      <c r="AK4538">
        <v>9.5882308197744006</v>
      </c>
      <c r="AL4538">
        <v>68.617770753665795</v>
      </c>
      <c r="AM4538">
        <v>81.145830241137702</v>
      </c>
      <c r="AN4538">
        <v>1.0000000213078</v>
      </c>
    </row>
    <row r="4539" spans="1:40" x14ac:dyDescent="0.25">
      <c r="A4539" t="str">
        <f>"20190304164217661"</f>
        <v>20190304164217661</v>
      </c>
      <c r="B4539" t="str">
        <f>"1551688937656059"</f>
        <v>1551688937656059</v>
      </c>
      <c r="C4539" t="s">
        <v>40</v>
      </c>
      <c r="D4539">
        <v>4.6811499999999997</v>
      </c>
      <c r="E4539">
        <v>0.59305980000000003</v>
      </c>
      <c r="F4539" t="s">
        <v>53</v>
      </c>
      <c r="G4539">
        <v>-198.06610000000001</v>
      </c>
      <c r="H4539" s="1">
        <v>-1.2599899999999999E-5</v>
      </c>
      <c r="I4539">
        <v>150.83359999999999</v>
      </c>
      <c r="J4539">
        <v>-193.1276</v>
      </c>
      <c r="K4539">
        <v>1.10608</v>
      </c>
      <c r="L4539">
        <v>158.91990000000001</v>
      </c>
      <c r="M4539">
        <v>-0.20625750000000001</v>
      </c>
      <c r="N4539">
        <v>-1.4138619999999999E-2</v>
      </c>
      <c r="O4539">
        <v>-0.97839549999999997</v>
      </c>
      <c r="P4539">
        <v>-0.32775389999999999</v>
      </c>
      <c r="Q4539">
        <v>0.35281400000000002</v>
      </c>
      <c r="R4539">
        <v>-0.87641259999999999</v>
      </c>
      <c r="S4539">
        <v>-1.768707</v>
      </c>
      <c r="T4539">
        <v>-0.39372489999999999</v>
      </c>
      <c r="U4539">
        <v>-2.9239199999999999</v>
      </c>
      <c r="V4539">
        <v>0.14414080000000001</v>
      </c>
      <c r="W4539">
        <v>0.36421759999999997</v>
      </c>
      <c r="X4539">
        <v>0.92009180000000002</v>
      </c>
      <c r="Y4539">
        <v>0.32690780000000003</v>
      </c>
      <c r="Z4539">
        <v>0.1027299</v>
      </c>
      <c r="AA4539">
        <v>0.93945619999999996</v>
      </c>
      <c r="AB4539">
        <v>24</v>
      </c>
      <c r="AC4539">
        <v>-4.9385000000000003</v>
      </c>
      <c r="AD4539">
        <v>-1.1060925999</v>
      </c>
      <c r="AE4539">
        <v>-8.0863000000000191</v>
      </c>
      <c r="AF4539">
        <v>3.1217213287000098</v>
      </c>
      <c r="AG4539">
        <v>-1.1060925999</v>
      </c>
      <c r="AH4539">
        <v>8.8110231026954402</v>
      </c>
      <c r="AI4539">
        <v>96.748312358742794</v>
      </c>
      <c r="AJ4539">
        <v>70.490903350835197</v>
      </c>
      <c r="AK4539">
        <v>9.4129014129463293</v>
      </c>
      <c r="AL4539">
        <v>68.640559042321996</v>
      </c>
      <c r="AM4539">
        <v>81.096458357042707</v>
      </c>
      <c r="AN4539">
        <v>0.99999997540081897</v>
      </c>
    </row>
    <row r="4540" spans="1:40" x14ac:dyDescent="0.25">
      <c r="A4540" t="str">
        <f>"20190304164217673"</f>
        <v>20190304164217673</v>
      </c>
      <c r="B4540" t="str">
        <f>"1551688937665819"</f>
        <v>1551688937665819</v>
      </c>
      <c r="C4540" t="s">
        <v>40</v>
      </c>
      <c r="D4540">
        <v>4.6958580000000003</v>
      </c>
      <c r="E4540">
        <v>0.59276779999999996</v>
      </c>
      <c r="F4540" t="s">
        <v>53</v>
      </c>
      <c r="G4540">
        <v>-198.04949999999999</v>
      </c>
      <c r="H4540" s="1">
        <v>-1.2602050000000001E-5</v>
      </c>
      <c r="I4540">
        <v>150.84809999999999</v>
      </c>
      <c r="J4540">
        <v>-193.15819999999999</v>
      </c>
      <c r="K4540">
        <v>1.1060219999999901</v>
      </c>
      <c r="L4540">
        <v>158.79499999999999</v>
      </c>
      <c r="M4540">
        <v>-0.20998140000000001</v>
      </c>
      <c r="N4540">
        <v>-1.415186E-2</v>
      </c>
      <c r="O4540">
        <v>-0.977603</v>
      </c>
      <c r="P4540">
        <v>-0.33164189999999999</v>
      </c>
      <c r="Q4540">
        <v>0.35213050000000001</v>
      </c>
      <c r="R4540">
        <v>-0.87522459999999902</v>
      </c>
      <c r="S4540">
        <v>-1.779633</v>
      </c>
      <c r="T4540">
        <v>-0.39992739999999999</v>
      </c>
      <c r="U4540">
        <v>-2.9185029999999998</v>
      </c>
      <c r="V4540">
        <v>0.1447116</v>
      </c>
      <c r="W4540">
        <v>0.36352210000000001</v>
      </c>
      <c r="X4540">
        <v>0.92027729999999996</v>
      </c>
      <c r="Y4540">
        <v>0.32655129999999999</v>
      </c>
      <c r="Z4540">
        <v>0.1044846</v>
      </c>
      <c r="AA4540">
        <v>0.93938659999999996</v>
      </c>
      <c r="AB4540">
        <v>24</v>
      </c>
      <c r="AC4540">
        <v>-4.8913000000000002</v>
      </c>
      <c r="AD4540">
        <v>-1.10603460204999</v>
      </c>
      <c r="AE4540">
        <v>-7.9468999999999896</v>
      </c>
      <c r="AF4540">
        <v>3.0702280232321399</v>
      </c>
      <c r="AG4540">
        <v>-1.10603460204999</v>
      </c>
      <c r="AH4540">
        <v>8.6750053622305892</v>
      </c>
      <c r="AI4540">
        <v>96.853579532988505</v>
      </c>
      <c r="AJ4540">
        <v>70.510285601974005</v>
      </c>
      <c r="AK4540">
        <v>9.2685128629301303</v>
      </c>
      <c r="AL4540">
        <v>68.683342337966707</v>
      </c>
      <c r="AM4540">
        <v>81.063540946366402</v>
      </c>
      <c r="AN4540">
        <v>1.00000003662912</v>
      </c>
    </row>
    <row r="4541" spans="1:40" x14ac:dyDescent="0.25">
      <c r="A4541" t="str">
        <f>"20190304164217685"</f>
        <v>20190304164217685</v>
      </c>
      <c r="B4541" t="str">
        <f>"1551688937675579"</f>
        <v>1551688937675579</v>
      </c>
      <c r="C4541" t="s">
        <v>40</v>
      </c>
      <c r="D4541">
        <v>4.6766300000000003</v>
      </c>
      <c r="E4541">
        <v>0.5925802</v>
      </c>
      <c r="F4541" t="s">
        <v>53</v>
      </c>
      <c r="G4541">
        <v>-198.01310000000001</v>
      </c>
      <c r="H4541" s="1">
        <v>-1.260988E-5</v>
      </c>
      <c r="I4541">
        <v>150.892</v>
      </c>
      <c r="J4541">
        <v>-193.1892</v>
      </c>
      <c r="K4541">
        <v>1.1059669999999999</v>
      </c>
      <c r="L4541">
        <v>158.66990000000001</v>
      </c>
      <c r="M4541">
        <v>-0.2137366</v>
      </c>
      <c r="N4541">
        <v>-1.4164609999999999E-2</v>
      </c>
      <c r="O4541">
        <v>-0.97678869999999896</v>
      </c>
      <c r="P4541">
        <v>-0.33553339999999998</v>
      </c>
      <c r="Q4541">
        <v>0.35158800000000001</v>
      </c>
      <c r="R4541">
        <v>-0.87395849999999897</v>
      </c>
      <c r="S4541">
        <v>-1.789825</v>
      </c>
      <c r="T4541">
        <v>-0.4077556</v>
      </c>
      <c r="U4541">
        <v>-2.9135589999999998</v>
      </c>
      <c r="V4541">
        <v>0.1452695</v>
      </c>
      <c r="W4541">
        <v>0.3629676</v>
      </c>
      <c r="X4541">
        <v>0.92040820000000001</v>
      </c>
      <c r="Y4541">
        <v>0.32588979999999901</v>
      </c>
      <c r="Z4541">
        <v>0.1067009</v>
      </c>
      <c r="AA4541">
        <v>0.93936719999999896</v>
      </c>
      <c r="AB4541">
        <v>24</v>
      </c>
      <c r="AC4541">
        <v>-4.8239000000000001</v>
      </c>
      <c r="AD4541">
        <v>-1.1059796098800001</v>
      </c>
      <c r="AE4541">
        <v>-7.7779000000000096</v>
      </c>
      <c r="AF4541">
        <v>3.0059208504780099</v>
      </c>
      <c r="AG4541">
        <v>-1.1059796098800001</v>
      </c>
      <c r="AH4541">
        <v>8.5050783705167401</v>
      </c>
      <c r="AI4541">
        <v>96.989890975978099</v>
      </c>
      <c r="AJ4541">
        <v>70.535237498250794</v>
      </c>
      <c r="AK4541">
        <v>9.0881851403589096</v>
      </c>
      <c r="AL4541">
        <v>68.717440819521997</v>
      </c>
      <c r="AM4541">
        <v>81.030902832094199</v>
      </c>
      <c r="AN4541">
        <v>0.99999998045362404</v>
      </c>
    </row>
    <row r="4542" spans="1:40" x14ac:dyDescent="0.25">
      <c r="A4542" t="str">
        <f>"20190304164217697"</f>
        <v>20190304164217697</v>
      </c>
      <c r="B4542" t="str">
        <f>"1551688937685339"</f>
        <v>1551688937685339</v>
      </c>
      <c r="C4542" t="s">
        <v>40</v>
      </c>
      <c r="D4542">
        <v>4.6713060000000004</v>
      </c>
      <c r="E4542">
        <v>0.59240340000000002</v>
      </c>
      <c r="F4542" t="s">
        <v>53</v>
      </c>
      <c r="G4542">
        <v>-198.00020000000001</v>
      </c>
      <c r="H4542" s="1">
        <v>-1.261081E-5</v>
      </c>
      <c r="I4542">
        <v>150.90029999999999</v>
      </c>
      <c r="J4542">
        <v>-193.2225</v>
      </c>
      <c r="K4542">
        <v>1.1059190000000001</v>
      </c>
      <c r="L4542">
        <v>158.53809999999999</v>
      </c>
      <c r="M4542">
        <v>-0.21774669999999999</v>
      </c>
      <c r="N4542">
        <v>-1.4177530000000001E-2</v>
      </c>
      <c r="O4542">
        <v>-0.97590239999999995</v>
      </c>
      <c r="P4542">
        <v>-0.34017720000000001</v>
      </c>
      <c r="Q4542">
        <v>0.35074809999999901</v>
      </c>
      <c r="R4542">
        <v>-0.87249989999999999</v>
      </c>
      <c r="S4542">
        <v>-1.8005979999999999</v>
      </c>
      <c r="T4542">
        <v>-0.41392659999999998</v>
      </c>
      <c r="U4542">
        <v>-2.907867</v>
      </c>
      <c r="V4542">
        <v>0.1463517</v>
      </c>
      <c r="W4542">
        <v>0.36211120000000002</v>
      </c>
      <c r="X4542">
        <v>0.92057409999999995</v>
      </c>
      <c r="Y4542">
        <v>0.32524459999999999</v>
      </c>
      <c r="Z4542">
        <v>0.1084402</v>
      </c>
      <c r="AA4542">
        <v>0.93939170000000005</v>
      </c>
      <c r="AB4542">
        <v>24</v>
      </c>
      <c r="AC4542">
        <v>-4.7777000000000003</v>
      </c>
      <c r="AD4542">
        <v>-1.1059316108099999</v>
      </c>
      <c r="AE4542">
        <v>-7.6377999999999897</v>
      </c>
      <c r="AF4542">
        <v>2.95523033387073</v>
      </c>
      <c r="AG4542">
        <v>-1.1059316108099999</v>
      </c>
      <c r="AH4542">
        <v>8.36881437663234</v>
      </c>
      <c r="AI4542">
        <v>97.1029123584552</v>
      </c>
      <c r="AJ4542">
        <v>70.550644145349096</v>
      </c>
      <c r="AK4542">
        <v>8.9439099461335498</v>
      </c>
      <c r="AL4542">
        <v>68.770091388222497</v>
      </c>
      <c r="AM4542">
        <v>80.966786111462298</v>
      </c>
      <c r="AN4542">
        <v>1.0000000074245601</v>
      </c>
    </row>
    <row r="4543" spans="1:40" x14ac:dyDescent="0.25">
      <c r="A4543" t="str">
        <f>"20190304164217708"</f>
        <v>20190304164217708</v>
      </c>
      <c r="B4543" t="str">
        <f>"1551688937705835"</f>
        <v>1551688937705835</v>
      </c>
      <c r="C4543" t="s">
        <v>40</v>
      </c>
      <c r="D4543">
        <v>4.6319900000000001</v>
      </c>
      <c r="E4543">
        <v>0.59207339999999997</v>
      </c>
      <c r="F4543" t="s">
        <v>53</v>
      </c>
      <c r="G4543">
        <v>-197.9847</v>
      </c>
      <c r="H4543" s="1">
        <v>-1.2614329999999999E-5</v>
      </c>
      <c r="I4543">
        <v>150.91970000000001</v>
      </c>
      <c r="J4543">
        <v>-193.25360000000001</v>
      </c>
      <c r="K4543">
        <v>1.105872</v>
      </c>
      <c r="L4543">
        <v>158.41759999999999</v>
      </c>
      <c r="M4543">
        <v>-0.22145229999999999</v>
      </c>
      <c r="N4543">
        <v>-1.418868E-2</v>
      </c>
      <c r="O4543">
        <v>-0.97506820000000005</v>
      </c>
      <c r="P4543">
        <v>-0.34456360000000003</v>
      </c>
      <c r="Q4543">
        <v>0.35001139999999997</v>
      </c>
      <c r="R4543">
        <v>-0.87107330000000005</v>
      </c>
      <c r="S4543">
        <v>-1.8132170000000001</v>
      </c>
      <c r="T4543">
        <v>-0.42108459999999998</v>
      </c>
      <c r="U4543">
        <v>-2.9007260000000001</v>
      </c>
      <c r="V4543">
        <v>0.14745359999999999</v>
      </c>
      <c r="W4543">
        <v>0.3613595</v>
      </c>
      <c r="X4543">
        <v>0.9206936</v>
      </c>
      <c r="Y4543">
        <v>0.3255074</v>
      </c>
      <c r="Z4543">
        <v>0.1104854</v>
      </c>
      <c r="AA4543">
        <v>0.93906219999999996</v>
      </c>
      <c r="AB4543">
        <v>24</v>
      </c>
      <c r="AC4543">
        <v>-4.7310999999999899</v>
      </c>
      <c r="AD4543">
        <v>-1.1058846143300001</v>
      </c>
      <c r="AE4543">
        <v>-7.49789999999998</v>
      </c>
      <c r="AF4543">
        <v>2.9077719961527899</v>
      </c>
      <c r="AG4543">
        <v>-1.1058846143300001</v>
      </c>
      <c r="AH4543">
        <v>8.2314419267437096</v>
      </c>
      <c r="AI4543">
        <v>97.219620148468294</v>
      </c>
      <c r="AJ4543">
        <v>70.544138730198497</v>
      </c>
      <c r="AK4543">
        <v>8.7997019810432509</v>
      </c>
      <c r="AL4543">
        <v>68.816288460788698</v>
      </c>
      <c r="AM4543">
        <v>80.901069184412606</v>
      </c>
      <c r="AN4543">
        <v>0.99999997873708402</v>
      </c>
    </row>
    <row r="4544" spans="1:40" x14ac:dyDescent="0.25">
      <c r="A4544" t="str">
        <f>"20190304164217721"</f>
        <v>20190304164217721</v>
      </c>
      <c r="B4544" t="str">
        <f>"1551688937715595"</f>
        <v>1551688937715595</v>
      </c>
      <c r="C4544" t="s">
        <v>40</v>
      </c>
      <c r="D4544">
        <v>4.6683949999999896</v>
      </c>
      <c r="E4544">
        <v>0.59192480000000003</v>
      </c>
      <c r="F4544" t="s">
        <v>53</v>
      </c>
      <c r="G4544">
        <v>-197.92920000000001</v>
      </c>
      <c r="H4544" s="1">
        <v>-1.262827E-5</v>
      </c>
      <c r="I4544">
        <v>150.99469999999999</v>
      </c>
      <c r="J4544">
        <v>-193.28890000000001</v>
      </c>
      <c r="K4544">
        <v>1.1058330000000001</v>
      </c>
      <c r="L4544">
        <v>158.28219999999999</v>
      </c>
      <c r="M4544">
        <v>-0.22563569999999999</v>
      </c>
      <c r="N4544">
        <v>-1.4200610000000001E-2</v>
      </c>
      <c r="O4544">
        <v>-0.97410819999999998</v>
      </c>
      <c r="P4544">
        <v>-0.34935100000000002</v>
      </c>
      <c r="Q4544">
        <v>0.34882210000000002</v>
      </c>
      <c r="R4544">
        <v>-0.86964180000000002</v>
      </c>
      <c r="S4544">
        <v>-1.8240810000000001</v>
      </c>
      <c r="T4544">
        <v>-0.43143359999999897</v>
      </c>
      <c r="U4544">
        <v>-2.8958590000000002</v>
      </c>
      <c r="V4544">
        <v>0.1484858</v>
      </c>
      <c r="W4544">
        <v>0.36015970000000003</v>
      </c>
      <c r="X4544">
        <v>0.92099779999999998</v>
      </c>
      <c r="Y4544">
        <v>0.32450410000000002</v>
      </c>
      <c r="Z4544">
        <v>0.1133889</v>
      </c>
      <c r="AA4544">
        <v>0.93906339999999999</v>
      </c>
      <c r="AB4544">
        <v>24</v>
      </c>
      <c r="AC4544">
        <v>-4.6402999999999901</v>
      </c>
      <c r="AD4544">
        <v>-1.10584562827</v>
      </c>
      <c r="AE4544">
        <v>-7.2874999999999899</v>
      </c>
      <c r="AF4544">
        <v>2.8297617360054002</v>
      </c>
      <c r="AG4544">
        <v>-1.10584562827</v>
      </c>
      <c r="AH4544">
        <v>8.0153303358637498</v>
      </c>
      <c r="AI4544">
        <v>97.412361613011697</v>
      </c>
      <c r="AJ4544">
        <v>70.554742756844405</v>
      </c>
      <c r="AK4544">
        <v>8.5718123188239499</v>
      </c>
      <c r="AL4544">
        <v>68.889995819237299</v>
      </c>
      <c r="AM4544">
        <v>80.841426335503797</v>
      </c>
      <c r="AN4544">
        <v>0.99999999495528402</v>
      </c>
    </row>
    <row r="4545" spans="1:40" x14ac:dyDescent="0.25">
      <c r="A4545" t="str">
        <f>"20190304164217734"</f>
        <v>20190304164217734</v>
      </c>
      <c r="B4545" t="str">
        <f>"1551688937725355"</f>
        <v>1551688937725355</v>
      </c>
      <c r="C4545" t="s">
        <v>40</v>
      </c>
      <c r="D4545">
        <v>5.0393780000000001</v>
      </c>
      <c r="E4545">
        <v>0.59176319999999905</v>
      </c>
      <c r="F4545" t="s">
        <v>53</v>
      </c>
      <c r="G4545">
        <v>-197.90860000000001</v>
      </c>
      <c r="H4545" s="1">
        <v>-1.2632009999999999E-5</v>
      </c>
      <c r="I4545">
        <v>151.01679999999999</v>
      </c>
      <c r="J4545">
        <v>-193.3236</v>
      </c>
      <c r="K4545">
        <v>1.105802</v>
      </c>
      <c r="L4545">
        <v>158.15309999999999</v>
      </c>
      <c r="M4545">
        <v>-0.22967380000000001</v>
      </c>
      <c r="N4545">
        <v>-1.4210779999999999E-2</v>
      </c>
      <c r="O4545">
        <v>-0.97316400000000003</v>
      </c>
      <c r="P4545">
        <v>-0.35403889999999999</v>
      </c>
      <c r="Q4545">
        <v>0.34735890000000003</v>
      </c>
      <c r="R4545">
        <v>-0.86833099999999996</v>
      </c>
      <c r="S4545">
        <v>-1.8365020000000001</v>
      </c>
      <c r="T4545">
        <v>-0.43961830000000002</v>
      </c>
      <c r="U4545">
        <v>-2.8882750000000001</v>
      </c>
      <c r="V4545">
        <v>0.14951429999999999</v>
      </c>
      <c r="W4545">
        <v>0.35868860000000002</v>
      </c>
      <c r="X4545">
        <v>0.92140540000000004</v>
      </c>
      <c r="Y4545">
        <v>0.32442389999999999</v>
      </c>
      <c r="Z4545">
        <v>0.1157275</v>
      </c>
      <c r="AA4545">
        <v>0.93880580000000002</v>
      </c>
      <c r="AB4545">
        <v>24</v>
      </c>
      <c r="AC4545">
        <v>-4.585</v>
      </c>
      <c r="AD4545">
        <v>-1.10581463201</v>
      </c>
      <c r="AE4545">
        <v>-7.1363000000000003</v>
      </c>
      <c r="AF4545">
        <v>2.7760398127239401</v>
      </c>
      <c r="AG4545">
        <v>-1.10581463201</v>
      </c>
      <c r="AH4545">
        <v>7.8649805248757501</v>
      </c>
      <c r="AI4545">
        <v>97.552420397361104</v>
      </c>
      <c r="AJ4545">
        <v>70.558900630954696</v>
      </c>
      <c r="AK4545">
        <v>8.4135094757699491</v>
      </c>
      <c r="AL4545">
        <v>68.980319151087897</v>
      </c>
      <c r="AM4545">
        <v>80.783083744550396</v>
      </c>
      <c r="AN4545">
        <v>0.99999997441180399</v>
      </c>
    </row>
    <row r="4546" spans="1:40" x14ac:dyDescent="0.25">
      <c r="A4546" t="str">
        <f>"20190304164217746"</f>
        <v>20190304164217746</v>
      </c>
      <c r="B4546" t="str">
        <f>"1551688937736090"</f>
        <v>1551688937736090</v>
      </c>
      <c r="C4546" t="s">
        <v>40</v>
      </c>
      <c r="D4546">
        <v>5.0069839999999903</v>
      </c>
      <c r="E4546">
        <v>0.59164289999999997</v>
      </c>
      <c r="F4546" t="s">
        <v>53</v>
      </c>
      <c r="G4546">
        <v>-197.88050000000001</v>
      </c>
      <c r="H4546" s="1">
        <v>-1.2638569999999999E-5</v>
      </c>
      <c r="I4546">
        <v>151.05279999999999</v>
      </c>
      <c r="J4546">
        <v>-193.35890000000001</v>
      </c>
      <c r="K4546">
        <v>1.1057729999999999</v>
      </c>
      <c r="L4546">
        <v>158.02279999999999</v>
      </c>
      <c r="M4546">
        <v>-0.23376130000000001</v>
      </c>
      <c r="N4546">
        <v>-1.422036E-2</v>
      </c>
      <c r="O4546">
        <v>-0.9721902</v>
      </c>
      <c r="P4546">
        <v>-0.35881039999999997</v>
      </c>
      <c r="Q4546">
        <v>0.34604109999999899</v>
      </c>
      <c r="R4546">
        <v>-0.86689740000000004</v>
      </c>
      <c r="S4546">
        <v>-1.84877</v>
      </c>
      <c r="T4546">
        <v>-0.4486327</v>
      </c>
      <c r="U4546">
        <v>-2.8806150000000001</v>
      </c>
      <c r="V4546">
        <v>0.1506005</v>
      </c>
      <c r="W4546">
        <v>0.35736220000000002</v>
      </c>
      <c r="X4546">
        <v>0.92174389999999995</v>
      </c>
      <c r="Y4546">
        <v>0.32424629999999999</v>
      </c>
      <c r="Z4546">
        <v>0.118302</v>
      </c>
      <c r="AA4546">
        <v>0.9385462</v>
      </c>
      <c r="AB4546">
        <v>24</v>
      </c>
      <c r="AC4546">
        <v>-4.5216000000000003</v>
      </c>
      <c r="AD4546">
        <v>-1.10578563856999</v>
      </c>
      <c r="AE4546">
        <v>-6.96999999999999</v>
      </c>
      <c r="AF4546">
        <v>2.7186583617359199</v>
      </c>
      <c r="AG4546">
        <v>-1.10578563856999</v>
      </c>
      <c r="AH4546">
        <v>7.6975723485830096</v>
      </c>
      <c r="AI4546">
        <v>97.713983877564004</v>
      </c>
      <c r="AJ4546">
        <v>70.547601278008599</v>
      </c>
      <c r="AK4546">
        <v>8.2381117513647606</v>
      </c>
      <c r="AL4546">
        <v>69.061712968226203</v>
      </c>
      <c r="AM4546">
        <v>80.720635331634298</v>
      </c>
      <c r="AN4546">
        <v>1.0000000348881399</v>
      </c>
    </row>
    <row r="4547" spans="1:40" x14ac:dyDescent="0.25">
      <c r="A4547" t="str">
        <f>"20190304164217761"</f>
        <v>20190304164217761</v>
      </c>
      <c r="B4547" t="str">
        <f>"1551688937755610"</f>
        <v>1551688937755610</v>
      </c>
      <c r="C4547" t="s">
        <v>40</v>
      </c>
      <c r="D4547">
        <v>4.5922809999999998</v>
      </c>
      <c r="E4547">
        <v>0.59149280000000004</v>
      </c>
      <c r="F4547" t="s">
        <v>53</v>
      </c>
      <c r="G4547">
        <v>-197.86969999999999</v>
      </c>
      <c r="H4547" s="1">
        <v>-1.264078E-5</v>
      </c>
      <c r="I4547">
        <v>151.06540000000001</v>
      </c>
      <c r="J4547">
        <v>-193.40479999999999</v>
      </c>
      <c r="K4547">
        <v>1.1057399999999999</v>
      </c>
      <c r="L4547">
        <v>157.85679999999999</v>
      </c>
      <c r="M4547">
        <v>-0.23900080000000001</v>
      </c>
      <c r="N4547">
        <v>-1.4231290000000001E-2</v>
      </c>
      <c r="O4547">
        <v>-0.97091499999999997</v>
      </c>
      <c r="P4547">
        <v>-0.36505219999999999</v>
      </c>
      <c r="Q4547">
        <v>0.34392149999999999</v>
      </c>
      <c r="R4547">
        <v>-0.86513289999999998</v>
      </c>
      <c r="S4547">
        <v>-1.862106</v>
      </c>
      <c r="T4547">
        <v>-0.45648090000000002</v>
      </c>
      <c r="U4547">
        <v>-2.8721009999999998</v>
      </c>
      <c r="V4547">
        <v>0.15207989999999999</v>
      </c>
      <c r="W4547">
        <v>0.35523300000000002</v>
      </c>
      <c r="X4547">
        <v>0.92232380000000003</v>
      </c>
      <c r="Y4547">
        <v>0.32333460000000003</v>
      </c>
      <c r="Z4547">
        <v>0.1205164</v>
      </c>
      <c r="AA4547">
        <v>0.93857900000000005</v>
      </c>
      <c r="AB4547">
        <v>24</v>
      </c>
      <c r="AC4547">
        <v>-4.4649000000000001</v>
      </c>
      <c r="AD4547">
        <v>-1.10575264078</v>
      </c>
      <c r="AE4547">
        <v>-6.7913999999999799</v>
      </c>
      <c r="AF4547">
        <v>2.6628755232499599</v>
      </c>
      <c r="AG4547">
        <v>-1.10575264078</v>
      </c>
      <c r="AH4547">
        <v>7.5225273336116496</v>
      </c>
      <c r="AI4547">
        <v>97.889049235781698</v>
      </c>
      <c r="AJ4547">
        <v>70.506708034797995</v>
      </c>
      <c r="AK4547">
        <v>8.0561785258179395</v>
      </c>
      <c r="AL4547">
        <v>69.192274614486095</v>
      </c>
      <c r="AM4547">
        <v>80.636875779394302</v>
      </c>
      <c r="AN4547">
        <v>0.99999998615972496</v>
      </c>
    </row>
    <row r="4548" spans="1:40" x14ac:dyDescent="0.25">
      <c r="A4548" t="str">
        <f>"20190304164217774"</f>
        <v>20190304164217774</v>
      </c>
      <c r="B4548" t="str">
        <f>"1551688937765371"</f>
        <v>1551688937765371</v>
      </c>
      <c r="C4548" t="s">
        <v>40</v>
      </c>
      <c r="D4548">
        <v>4.466647</v>
      </c>
      <c r="E4548">
        <v>0.59133089999999999</v>
      </c>
      <c r="F4548" t="s">
        <v>53</v>
      </c>
      <c r="G4548">
        <v>-197.83840000000001</v>
      </c>
      <c r="H4548" s="1">
        <v>-1.2648760000000001E-5</v>
      </c>
      <c r="I4548">
        <v>151.10820000000001</v>
      </c>
      <c r="J4548">
        <v>-193.43809999999999</v>
      </c>
      <c r="K4548">
        <v>1.1057220000000001</v>
      </c>
      <c r="L4548">
        <v>157.73929999999999</v>
      </c>
      <c r="M4548">
        <v>-0.24273819999999999</v>
      </c>
      <c r="N4548">
        <v>-1.423813E-2</v>
      </c>
      <c r="O4548">
        <v>-0.9699873</v>
      </c>
      <c r="P4548">
        <v>-0.36957760000000001</v>
      </c>
      <c r="Q4548">
        <v>0.34296409999999899</v>
      </c>
      <c r="R4548">
        <v>-0.86359019999999997</v>
      </c>
      <c r="S4548">
        <v>-1.879532</v>
      </c>
      <c r="T4548">
        <v>-0.46876000000000001</v>
      </c>
      <c r="U4548">
        <v>-2.860916</v>
      </c>
      <c r="V4548">
        <v>0.15327180000000001</v>
      </c>
      <c r="W4548">
        <v>0.35426459999999999</v>
      </c>
      <c r="X4548">
        <v>0.92249890000000001</v>
      </c>
      <c r="Y4548">
        <v>0.32511640000000003</v>
      </c>
      <c r="Z4548">
        <v>0.12406059999999999</v>
      </c>
      <c r="AA4548">
        <v>0.93750109999999998</v>
      </c>
      <c r="AB4548">
        <v>24</v>
      </c>
      <c r="AC4548">
        <v>-4.4003000000000103</v>
      </c>
      <c r="AD4548">
        <v>-1.1057346487599999</v>
      </c>
      <c r="AE4548">
        <v>-6.6310999999999698</v>
      </c>
      <c r="AF4548">
        <v>2.6085265311944501</v>
      </c>
      <c r="AG4548">
        <v>-1.1057346487599999</v>
      </c>
      <c r="AH4548">
        <v>7.3589026073219497</v>
      </c>
      <c r="AI4548">
        <v>98.0608352031294</v>
      </c>
      <c r="AJ4548">
        <v>70.481997375734906</v>
      </c>
      <c r="AK4548">
        <v>7.8854617722403297</v>
      </c>
      <c r="AL4548">
        <v>69.251618459453496</v>
      </c>
      <c r="AM4548">
        <v>80.5665670939878</v>
      </c>
      <c r="AN4548">
        <v>0.99999993599480297</v>
      </c>
    </row>
    <row r="4549" spans="1:40" x14ac:dyDescent="0.25">
      <c r="A4549" t="str">
        <f>"20190304164217786"</f>
        <v>20190304164217786</v>
      </c>
      <c r="B4549" t="str">
        <f>"1551688937776107"</f>
        <v>1551688937776107</v>
      </c>
      <c r="C4549" t="s">
        <v>40</v>
      </c>
      <c r="D4549">
        <v>4.5197830000000003</v>
      </c>
      <c r="E4549">
        <v>0.59123210000000004</v>
      </c>
      <c r="F4549" t="s">
        <v>53</v>
      </c>
      <c r="G4549">
        <v>-197.83760000000001</v>
      </c>
      <c r="H4549" s="1">
        <v>-1.2648180000000001E-5</v>
      </c>
      <c r="I4549">
        <v>151.1061</v>
      </c>
      <c r="J4549">
        <v>-193.47890000000001</v>
      </c>
      <c r="K4549">
        <v>1.105704</v>
      </c>
      <c r="L4549">
        <v>157.59700000000001</v>
      </c>
      <c r="M4549">
        <v>-0.24727560000000001</v>
      </c>
      <c r="N4549">
        <v>-1.424568E-2</v>
      </c>
      <c r="O4549">
        <v>-0.96884040000000005</v>
      </c>
      <c r="P4549">
        <v>-0.37430720000000001</v>
      </c>
      <c r="Q4549">
        <v>0.34184209999999998</v>
      </c>
      <c r="R4549">
        <v>-0.86199669999999895</v>
      </c>
      <c r="S4549">
        <v>-1.8922730000000001</v>
      </c>
      <c r="T4549">
        <v>-0.47558099999999998</v>
      </c>
      <c r="U4549">
        <v>-2.852951</v>
      </c>
      <c r="V4549">
        <v>0.15390599999999999</v>
      </c>
      <c r="W4549">
        <v>0.35314030000000002</v>
      </c>
      <c r="X4549">
        <v>0.92282439999999999</v>
      </c>
      <c r="Y4549">
        <v>0.3246675</v>
      </c>
      <c r="Z4549">
        <v>0.12596879999999999</v>
      </c>
      <c r="AA4549">
        <v>0.93740219999999996</v>
      </c>
      <c r="AB4549">
        <v>24</v>
      </c>
      <c r="AC4549">
        <v>-4.35869999999999</v>
      </c>
      <c r="AD4549">
        <v>-1.10571664817999</v>
      </c>
      <c r="AE4549">
        <v>-6.4909000000000097</v>
      </c>
      <c r="AF4549">
        <v>2.5667734662617598</v>
      </c>
      <c r="AG4549">
        <v>-1.10571664817999</v>
      </c>
      <c r="AH4549">
        <v>7.2227385717708303</v>
      </c>
      <c r="AI4549">
        <v>98.208312321836402</v>
      </c>
      <c r="AJ4549">
        <v>70.436109810765501</v>
      </c>
      <c r="AK4549">
        <v>7.74460378646409</v>
      </c>
      <c r="AL4549">
        <v>69.320489379530301</v>
      </c>
      <c r="AM4549">
        <v>80.5315201733696</v>
      </c>
      <c r="AN4549">
        <v>1.0000000007777201</v>
      </c>
    </row>
    <row r="4550" spans="1:40" x14ac:dyDescent="0.25">
      <c r="A4550" t="str">
        <f>"20190304164217800"</f>
        <v>20190304164217800</v>
      </c>
      <c r="B4550" t="str">
        <f>"1551688937795627"</f>
        <v>1551688937795627</v>
      </c>
      <c r="C4550" t="s">
        <v>40</v>
      </c>
      <c r="D4550">
        <v>4.511101</v>
      </c>
      <c r="E4550">
        <v>0.59109140000000004</v>
      </c>
      <c r="F4550" t="s">
        <v>53</v>
      </c>
      <c r="G4550">
        <v>-197.86420000000001</v>
      </c>
      <c r="H4550" s="1">
        <v>-1.2637790000000001E-5</v>
      </c>
      <c r="I4550">
        <v>151.05539999999999</v>
      </c>
      <c r="J4550">
        <v>-193.52029999999999</v>
      </c>
      <c r="K4550">
        <v>1.1056839999999999</v>
      </c>
      <c r="L4550">
        <v>157.45500000000001</v>
      </c>
      <c r="M4550">
        <v>-0.25182670000000001</v>
      </c>
      <c r="N4550">
        <v>-1.4252000000000001E-2</v>
      </c>
      <c r="O4550">
        <v>-0.96766750000000001</v>
      </c>
      <c r="P4550">
        <v>-0.37932510000000003</v>
      </c>
      <c r="Q4550">
        <v>0.3411285</v>
      </c>
      <c r="R4550">
        <v>-0.86008379999999995</v>
      </c>
      <c r="S4550">
        <v>-1.9060360000000001</v>
      </c>
      <c r="T4550">
        <v>-0.4805874</v>
      </c>
      <c r="U4550">
        <v>-2.843216</v>
      </c>
      <c r="V4550">
        <v>0.1548861</v>
      </c>
      <c r="W4550">
        <v>0.35241620000000001</v>
      </c>
      <c r="X4550">
        <v>0.92293720000000001</v>
      </c>
      <c r="Y4550">
        <v>0.324733099999999</v>
      </c>
      <c r="Z4550">
        <v>0.1273947</v>
      </c>
      <c r="AA4550">
        <v>0.93718670000000004</v>
      </c>
      <c r="AB4550">
        <v>24</v>
      </c>
      <c r="AC4550">
        <v>-4.3439000000000103</v>
      </c>
      <c r="AD4550">
        <v>-1.1056966377899999</v>
      </c>
      <c r="AE4550">
        <v>-6.3996000000000199</v>
      </c>
      <c r="AF4550">
        <v>2.5402121670688702</v>
      </c>
      <c r="AG4550">
        <v>-1.1056966377899999</v>
      </c>
      <c r="AH4550">
        <v>7.1413934717455803</v>
      </c>
      <c r="AI4550">
        <v>98.299517786784804</v>
      </c>
      <c r="AJ4550">
        <v>70.4193954601363</v>
      </c>
      <c r="AK4550">
        <v>7.6599441007643998</v>
      </c>
      <c r="AL4550">
        <v>69.364827435146793</v>
      </c>
      <c r="AM4550">
        <v>80.473468403188406</v>
      </c>
      <c r="AN4550">
        <v>0.99999997856974399</v>
      </c>
    </row>
    <row r="4551" spans="1:40" x14ac:dyDescent="0.25">
      <c r="A4551" t="str">
        <f>"20190304164217814"</f>
        <v>20190304164217814</v>
      </c>
      <c r="B4551" t="str">
        <f>"1551688937805387"</f>
        <v>1551688937805387</v>
      </c>
      <c r="C4551" t="s">
        <v>40</v>
      </c>
      <c r="D4551">
        <v>4.526173</v>
      </c>
      <c r="E4551">
        <v>0.59102790000000005</v>
      </c>
      <c r="F4551" t="s">
        <v>53</v>
      </c>
      <c r="G4551">
        <v>-197.9288</v>
      </c>
      <c r="H4551" s="1">
        <v>-1.261889E-5</v>
      </c>
      <c r="I4551">
        <v>150.95760000000001</v>
      </c>
      <c r="J4551">
        <v>-193.5625</v>
      </c>
      <c r="K4551">
        <v>1.1056629999999901</v>
      </c>
      <c r="L4551">
        <v>157.3134</v>
      </c>
      <c r="M4551">
        <v>-0.25640160000000001</v>
      </c>
      <c r="N4551">
        <v>-1.425443E-2</v>
      </c>
      <c r="O4551">
        <v>-0.96646520000000002</v>
      </c>
      <c r="P4551">
        <v>-0.38388060000000002</v>
      </c>
      <c r="Q4551">
        <v>0.34011340000000001</v>
      </c>
      <c r="R4551">
        <v>-0.85846319999999998</v>
      </c>
      <c r="S4551">
        <v>-1.9213560000000001</v>
      </c>
      <c r="T4551">
        <v>-0.4818944</v>
      </c>
      <c r="U4551">
        <v>-2.8317869999999998</v>
      </c>
      <c r="V4551">
        <v>0.1553166</v>
      </c>
      <c r="W4551">
        <v>0.35139530000000002</v>
      </c>
      <c r="X4551">
        <v>0.92325409999999997</v>
      </c>
      <c r="Y4551">
        <v>0.32545940000000001</v>
      </c>
      <c r="Z4551">
        <v>0.12778929999999999</v>
      </c>
      <c r="AA4551">
        <v>0.93688110000000002</v>
      </c>
      <c r="AB4551">
        <v>24</v>
      </c>
      <c r="AC4551">
        <v>-4.3662999999999901</v>
      </c>
      <c r="AD4551">
        <v>-1.1056756188900001</v>
      </c>
      <c r="AE4551">
        <v>-6.3557999999999799</v>
      </c>
      <c r="AF4551">
        <v>2.5383149931065399</v>
      </c>
      <c r="AG4551">
        <v>-1.1056756188900001</v>
      </c>
      <c r="AH4551">
        <v>7.1166058741445104</v>
      </c>
      <c r="AI4551">
        <v>98.325341421761195</v>
      </c>
      <c r="AJ4551">
        <v>70.369956231126096</v>
      </c>
      <c r="AK4551">
        <v>7.6362059130398903</v>
      </c>
      <c r="AL4551">
        <v>69.427318726386503</v>
      </c>
      <c r="AM4551">
        <v>80.450695510320202</v>
      </c>
      <c r="AN4551">
        <v>1.0000000181322199</v>
      </c>
    </row>
    <row r="4552" spans="1:40" x14ac:dyDescent="0.25">
      <c r="A4552" t="str">
        <f>"20190304164217828"</f>
        <v>20190304164217828</v>
      </c>
      <c r="B4552" t="str">
        <f>"1551688937816123"</f>
        <v>1551688937816123</v>
      </c>
      <c r="C4552" t="s">
        <v>40</v>
      </c>
      <c r="D4552">
        <v>4.542745</v>
      </c>
      <c r="E4552">
        <v>0.59095279999999994</v>
      </c>
      <c r="F4552" t="s">
        <v>53</v>
      </c>
      <c r="G4552">
        <v>-197.9828</v>
      </c>
      <c r="H4552" s="1">
        <v>-1.26027E-5</v>
      </c>
      <c r="I4552">
        <v>150.8742</v>
      </c>
      <c r="J4552">
        <v>-193.6079</v>
      </c>
      <c r="K4552">
        <v>1.1056360000000001</v>
      </c>
      <c r="L4552">
        <v>157.1636</v>
      </c>
      <c r="M4552">
        <v>-0.26127250000000002</v>
      </c>
      <c r="N4552">
        <v>-1.425362E-2</v>
      </c>
      <c r="O4552">
        <v>-0.96516000000000002</v>
      </c>
      <c r="P4552">
        <v>-0.38913589999999998</v>
      </c>
      <c r="Q4552">
        <v>0.34029949999999998</v>
      </c>
      <c r="R4552">
        <v>-0.85601970000000005</v>
      </c>
      <c r="S4552">
        <v>-1.936234</v>
      </c>
      <c r="T4552">
        <v>-0.48432550000000002</v>
      </c>
      <c r="U4552">
        <v>-2.8206329999999999</v>
      </c>
      <c r="V4552">
        <v>0.15636710000000001</v>
      </c>
      <c r="W4552">
        <v>0.35155560000000002</v>
      </c>
      <c r="X4552">
        <v>0.92301569999999999</v>
      </c>
      <c r="Y4552">
        <v>0.32572620000000002</v>
      </c>
      <c r="Z4552">
        <v>0.12849160000000001</v>
      </c>
      <c r="AA4552">
        <v>0.93669219999999997</v>
      </c>
      <c r="AB4552">
        <v>24</v>
      </c>
      <c r="AC4552">
        <v>-4.3748999999999896</v>
      </c>
      <c r="AD4552">
        <v>-1.1056486026999901</v>
      </c>
      <c r="AE4552">
        <v>-6.2893999999999997</v>
      </c>
      <c r="AF4552">
        <v>2.5268662147082401</v>
      </c>
      <c r="AG4552">
        <v>-1.1056486026999901</v>
      </c>
      <c r="AH4552">
        <v>7.0668695041969602</v>
      </c>
      <c r="AI4552">
        <v>98.380573480224697</v>
      </c>
      <c r="AJ4552">
        <v>70.324720557627302</v>
      </c>
      <c r="AK4552">
        <v>7.5860501111603096</v>
      </c>
      <c r="AL4552">
        <v>69.4175078050705</v>
      </c>
      <c r="AM4552">
        <v>80.384872607245796</v>
      </c>
      <c r="AN4552">
        <v>0.99999999615013002</v>
      </c>
    </row>
    <row r="4553" spans="1:40" x14ac:dyDescent="0.25">
      <c r="A4553" t="str">
        <f>"20190304164217840"</f>
        <v>20190304164217840</v>
      </c>
      <c r="B4553" t="str">
        <f>"1551688937835643"</f>
        <v>1551688937835643</v>
      </c>
      <c r="C4553" t="s">
        <v>40</v>
      </c>
      <c r="D4553">
        <v>4.3597000000000001</v>
      </c>
      <c r="E4553">
        <v>0.59088390000000002</v>
      </c>
      <c r="F4553" t="s">
        <v>53</v>
      </c>
      <c r="G4553">
        <v>-198.10059999999999</v>
      </c>
      <c r="H4553" s="1">
        <v>-1.2573860000000001E-5</v>
      </c>
      <c r="I4553">
        <v>150.71799999999999</v>
      </c>
      <c r="J4553">
        <v>-193.64699999999999</v>
      </c>
      <c r="K4553">
        <v>1.105613</v>
      </c>
      <c r="L4553">
        <v>157.0367</v>
      </c>
      <c r="M4553">
        <v>-0.26542379999999999</v>
      </c>
      <c r="N4553">
        <v>-1.424976E-2</v>
      </c>
      <c r="O4553">
        <v>-0.96402659999999996</v>
      </c>
      <c r="P4553">
        <v>-0.39347959999999998</v>
      </c>
      <c r="Q4553">
        <v>0.34024169999999998</v>
      </c>
      <c r="R4553">
        <v>-0.85405469999999895</v>
      </c>
      <c r="S4553">
        <v>-1.9563140000000001</v>
      </c>
      <c r="T4553">
        <v>-0.4814464</v>
      </c>
      <c r="U4553">
        <v>-2.8066710000000001</v>
      </c>
      <c r="V4553">
        <v>0.15710199999999999</v>
      </c>
      <c r="W4553">
        <v>0.35147440000000002</v>
      </c>
      <c r="X4553">
        <v>0.92292180000000001</v>
      </c>
      <c r="Y4553">
        <v>0.32841559999999997</v>
      </c>
      <c r="Z4553">
        <v>0.127697</v>
      </c>
      <c r="AA4553">
        <v>0.93586150000000001</v>
      </c>
      <c r="AB4553">
        <v>24</v>
      </c>
      <c r="AC4553">
        <v>-4.4535999999999598</v>
      </c>
      <c r="AD4553">
        <v>-1.10562557386</v>
      </c>
      <c r="AE4553">
        <v>-6.3186999999999998</v>
      </c>
      <c r="AF4553">
        <v>2.5640726069694901</v>
      </c>
      <c r="AG4553">
        <v>-1.10562557386</v>
      </c>
      <c r="AH4553">
        <v>7.1284119641975501</v>
      </c>
      <c r="AI4553">
        <v>98.303514578087501</v>
      </c>
      <c r="AJ4553">
        <v>70.216463998573403</v>
      </c>
      <c r="AK4553">
        <v>7.6557908392731902</v>
      </c>
      <c r="AL4553">
        <v>69.422476818896797</v>
      </c>
      <c r="AM4553">
        <v>80.3395682910663</v>
      </c>
      <c r="AN4553">
        <v>0.99999997058729895</v>
      </c>
    </row>
    <row r="4554" spans="1:40" x14ac:dyDescent="0.25">
      <c r="A4554" t="str">
        <f>"20190304164217852"</f>
        <v>20190304164217852</v>
      </c>
      <c r="B4554" t="str">
        <f>"1551688937845404"</f>
        <v>1551688937845404</v>
      </c>
      <c r="C4554" t="s">
        <v>40</v>
      </c>
      <c r="D4554">
        <v>4.5224289999999998</v>
      </c>
      <c r="E4554">
        <v>0.59082129999999999</v>
      </c>
      <c r="F4554" t="s">
        <v>53</v>
      </c>
      <c r="G4554">
        <v>-198.18119999999999</v>
      </c>
      <c r="H4554" s="1">
        <v>-1.25523499999999E-5</v>
      </c>
      <c r="I4554">
        <v>150.60409999999999</v>
      </c>
      <c r="J4554">
        <v>-193.68350000000001</v>
      </c>
      <c r="K4554">
        <v>1.1055820000000001</v>
      </c>
      <c r="L4554">
        <v>156.9205</v>
      </c>
      <c r="M4554">
        <v>-0.26927060000000003</v>
      </c>
      <c r="N4554">
        <v>-1.4240259999999999E-2</v>
      </c>
      <c r="O4554">
        <v>-0.96295929999999996</v>
      </c>
      <c r="P4554">
        <v>-0.39758389999999999</v>
      </c>
      <c r="Q4554">
        <v>0.34054869999999998</v>
      </c>
      <c r="R4554">
        <v>-0.85202909999999898</v>
      </c>
      <c r="S4554">
        <v>-1.9709319999999999</v>
      </c>
      <c r="T4554">
        <v>-0.48058699999999999</v>
      </c>
      <c r="U4554">
        <v>-2.7960660000000002</v>
      </c>
      <c r="V4554">
        <v>0.1579246</v>
      </c>
      <c r="W4554">
        <v>0.35174709999999998</v>
      </c>
      <c r="X4554">
        <v>0.92267750000000004</v>
      </c>
      <c r="Y4554">
        <v>0.32960440000000002</v>
      </c>
      <c r="Z4554">
        <v>0.12746540000000001</v>
      </c>
      <c r="AA4554">
        <v>0.93547499999999995</v>
      </c>
      <c r="AB4554">
        <v>24</v>
      </c>
      <c r="AC4554">
        <v>-4.4976999999999796</v>
      </c>
      <c r="AD4554">
        <v>-1.1055945523499999</v>
      </c>
      <c r="AE4554">
        <v>-6.3164000000000096</v>
      </c>
      <c r="AF4554">
        <v>2.57813553159433</v>
      </c>
      <c r="AG4554">
        <v>-1.1055945523499999</v>
      </c>
      <c r="AH4554">
        <v>7.1489391558180504</v>
      </c>
      <c r="AI4554">
        <v>98.277342381618197</v>
      </c>
      <c r="AJ4554">
        <v>70.169078605979607</v>
      </c>
      <c r="AK4554">
        <v>7.6796128279389002</v>
      </c>
      <c r="AL4554">
        <v>69.405786839164904</v>
      </c>
      <c r="AM4554">
        <v>80.287423962100704</v>
      </c>
      <c r="AN4554">
        <v>0.99999998532490997</v>
      </c>
    </row>
    <row r="4555" spans="1:40" x14ac:dyDescent="0.25">
      <c r="A4555" t="str">
        <f>"20190304164217862"</f>
        <v>20190304164217862</v>
      </c>
      <c r="B4555" t="str">
        <f>"1551688937856140"</f>
        <v>1551688937856140</v>
      </c>
      <c r="C4555" t="s">
        <v>40</v>
      </c>
      <c r="D4555">
        <v>4.516394</v>
      </c>
      <c r="E4555">
        <v>0.59076770000000001</v>
      </c>
      <c r="F4555" t="s">
        <v>53</v>
      </c>
      <c r="G4555">
        <v>-198.27279999999999</v>
      </c>
      <c r="H4555" s="1">
        <v>-1.252942E-5</v>
      </c>
      <c r="I4555">
        <v>150.48070000000001</v>
      </c>
      <c r="J4555">
        <v>-193.72139999999999</v>
      </c>
      <c r="K4555">
        <v>1.1055459999999999</v>
      </c>
      <c r="L4555">
        <v>156.80080000000001</v>
      </c>
      <c r="M4555">
        <v>-0.27324920000000003</v>
      </c>
      <c r="N4555">
        <v>-1.4228360000000001E-2</v>
      </c>
      <c r="O4555">
        <v>-0.96183819999999998</v>
      </c>
      <c r="P4555">
        <v>-0.4017481</v>
      </c>
      <c r="Q4555">
        <v>0.34093889999999999</v>
      </c>
      <c r="R4555">
        <v>-0.84991749999999899</v>
      </c>
      <c r="S4555">
        <v>-1.98526</v>
      </c>
      <c r="T4555">
        <v>-0.47826809999999997</v>
      </c>
      <c r="U4555">
        <v>-2.7857820000000002</v>
      </c>
      <c r="V4555">
        <v>0.15870580000000001</v>
      </c>
      <c r="W4555">
        <v>0.35209970000000002</v>
      </c>
      <c r="X4555">
        <v>0.92240889999999998</v>
      </c>
      <c r="Y4555">
        <v>0.33057910000000001</v>
      </c>
      <c r="Z4555">
        <v>0.12680159999999999</v>
      </c>
      <c r="AA4555">
        <v>0.93522130000000003</v>
      </c>
      <c r="AB4555">
        <v>24</v>
      </c>
      <c r="AC4555">
        <v>-4.5514000000000001</v>
      </c>
      <c r="AD4555">
        <v>-1.1055585294200001</v>
      </c>
      <c r="AE4555">
        <v>-6.3200999999999903</v>
      </c>
      <c r="AF4555">
        <v>2.5986539456816602</v>
      </c>
      <c r="AG4555">
        <v>-1.1055585294200001</v>
      </c>
      <c r="AH4555">
        <v>7.1786720693851302</v>
      </c>
      <c r="AI4555">
        <v>98.239721392921695</v>
      </c>
      <c r="AJ4555">
        <v>70.099922841408898</v>
      </c>
      <c r="AK4555">
        <v>7.7141813999380604</v>
      </c>
      <c r="AL4555">
        <v>69.384202974106501</v>
      </c>
      <c r="AM4555">
        <v>80.2375135955741</v>
      </c>
      <c r="AN4555">
        <v>0.99999995424646904</v>
      </c>
    </row>
    <row r="4556" spans="1:40" x14ac:dyDescent="0.25">
      <c r="A4556" t="str">
        <f>"20190304164217874"</f>
        <v>20190304164217874</v>
      </c>
      <c r="B4556" t="str">
        <f>"1551688937865899"</f>
        <v>1551688937865899</v>
      </c>
      <c r="C4556" t="s">
        <v>40</v>
      </c>
      <c r="D4556">
        <v>4.5276069999999997</v>
      </c>
      <c r="E4556">
        <v>0.59071309999999999</v>
      </c>
      <c r="F4556" t="s">
        <v>53</v>
      </c>
      <c r="G4556">
        <v>-198.37139999999999</v>
      </c>
      <c r="H4556" s="1">
        <v>-1.2494049999999999E-5</v>
      </c>
      <c r="I4556">
        <v>150.3484</v>
      </c>
      <c r="J4556">
        <v>-193.761</v>
      </c>
      <c r="K4556">
        <v>1.105494</v>
      </c>
      <c r="L4556">
        <v>156.67859999999999</v>
      </c>
      <c r="M4556">
        <v>-0.27738249999999998</v>
      </c>
      <c r="N4556">
        <v>-1.420837E-2</v>
      </c>
      <c r="O4556">
        <v>-0.96065469999999997</v>
      </c>
      <c r="P4556">
        <v>-0.40576250000000003</v>
      </c>
      <c r="Q4556">
        <v>0.34188079999999998</v>
      </c>
      <c r="R4556">
        <v>-0.84762899999999997</v>
      </c>
      <c r="S4556">
        <v>-1.999954</v>
      </c>
      <c r="T4556">
        <v>-0.47549960000000002</v>
      </c>
      <c r="U4556">
        <v>-2.775131</v>
      </c>
      <c r="V4556">
        <v>0.1592626</v>
      </c>
      <c r="W4556">
        <v>0.35299130000000001</v>
      </c>
      <c r="X4556">
        <v>0.92197220000000002</v>
      </c>
      <c r="Y4556">
        <v>0.33154739999999999</v>
      </c>
      <c r="Z4556">
        <v>0.1260126</v>
      </c>
      <c r="AA4556">
        <v>0.93498510000000001</v>
      </c>
      <c r="AB4556">
        <v>24</v>
      </c>
      <c r="AC4556">
        <v>-4.6103999999999896</v>
      </c>
      <c r="AD4556">
        <v>-1.1055064940499999</v>
      </c>
      <c r="AE4556">
        <v>-6.3301999999999898</v>
      </c>
      <c r="AF4556">
        <v>2.62115012575532</v>
      </c>
      <c r="AG4556">
        <v>-1.1055064940499999</v>
      </c>
      <c r="AH4556">
        <v>7.2169019974555102</v>
      </c>
      <c r="AI4556">
        <v>98.193180017367496</v>
      </c>
      <c r="AJ4556">
        <v>70.039179605554807</v>
      </c>
      <c r="AK4556">
        <v>7.7573350469740001</v>
      </c>
      <c r="AL4556">
        <v>69.329615929816399</v>
      </c>
      <c r="AM4556">
        <v>80.1993755228483</v>
      </c>
      <c r="AN4556">
        <v>1.00000008560364</v>
      </c>
    </row>
    <row r="4557" spans="1:40" x14ac:dyDescent="0.25">
      <c r="A4557" t="str">
        <f>"20190304164217887"</f>
        <v>20190304164217887</v>
      </c>
      <c r="B4557" t="str">
        <f>"1551688937875659"</f>
        <v>1551688937875659</v>
      </c>
      <c r="C4557" t="s">
        <v>40</v>
      </c>
      <c r="D4557">
        <v>4.5342289999999998</v>
      </c>
      <c r="E4557">
        <v>0.5906498</v>
      </c>
      <c r="F4557" t="s">
        <v>53</v>
      </c>
      <c r="G4557">
        <v>-198.49180000000001</v>
      </c>
      <c r="H4557" s="1">
        <v>-1.244654E-5</v>
      </c>
      <c r="I4557">
        <v>150.18790000000001</v>
      </c>
      <c r="J4557">
        <v>-193.8005</v>
      </c>
      <c r="K4557">
        <v>1.10544</v>
      </c>
      <c r="L4557">
        <v>156.5581</v>
      </c>
      <c r="M4557">
        <v>-0.28148709999999999</v>
      </c>
      <c r="N4557">
        <v>-1.4186320000000001E-2</v>
      </c>
      <c r="O4557">
        <v>-0.95946030000000004</v>
      </c>
      <c r="P4557">
        <v>-0.40956779999999998</v>
      </c>
      <c r="Q4557">
        <v>0.34277370000000001</v>
      </c>
      <c r="R4557">
        <v>-0.84543509999999999</v>
      </c>
      <c r="S4557">
        <v>-2.014999</v>
      </c>
      <c r="T4557">
        <v>-0.47087410000000002</v>
      </c>
      <c r="U4557">
        <v>-2.7646030000000001</v>
      </c>
      <c r="V4557">
        <v>0.15962390000000001</v>
      </c>
      <c r="W4557">
        <v>0.35383389999999998</v>
      </c>
      <c r="X4557">
        <v>0.92158660000000003</v>
      </c>
      <c r="Y4557">
        <v>0.33264009999999999</v>
      </c>
      <c r="Z4557">
        <v>0.1246775</v>
      </c>
      <c r="AA4557">
        <v>0.93477600000000005</v>
      </c>
      <c r="AB4557">
        <v>24</v>
      </c>
      <c r="AC4557">
        <v>-4.6913000000000098</v>
      </c>
      <c r="AD4557">
        <v>-1.10545244654</v>
      </c>
      <c r="AE4557">
        <v>-6.3701999999999801</v>
      </c>
      <c r="AF4557">
        <v>2.6563930510495002</v>
      </c>
      <c r="AG4557">
        <v>-1.10545244654</v>
      </c>
      <c r="AH4557">
        <v>7.2908868131988402</v>
      </c>
      <c r="AI4557">
        <v>98.107808101448498</v>
      </c>
      <c r="AJ4557">
        <v>69.981077009874298</v>
      </c>
      <c r="AK4557">
        <v>7.8380788255861598</v>
      </c>
      <c r="AL4557">
        <v>69.278007137122898</v>
      </c>
      <c r="AM4557">
        <v>80.173544922147997</v>
      </c>
      <c r="AN4557">
        <v>1.00000003976998</v>
      </c>
    </row>
    <row r="4558" spans="1:40" x14ac:dyDescent="0.25">
      <c r="A4558" t="str">
        <f>"20190304164217899"</f>
        <v>20190304164217899</v>
      </c>
      <c r="B4558" t="str">
        <f>"1551688937885419"</f>
        <v>1551688937885419</v>
      </c>
      <c r="C4558" t="s">
        <v>40</v>
      </c>
      <c r="D4558">
        <v>4.5386230000000003</v>
      </c>
      <c r="E4558">
        <v>0.59057019999999905</v>
      </c>
      <c r="F4558" t="s">
        <v>53</v>
      </c>
      <c r="G4558">
        <v>-198.61510000000001</v>
      </c>
      <c r="H4558" s="1">
        <v>-1.23992E-5</v>
      </c>
      <c r="I4558">
        <v>150.0266</v>
      </c>
      <c r="J4558">
        <v>-193.84219999999999</v>
      </c>
      <c r="K4558">
        <v>1.1053789999999999</v>
      </c>
      <c r="L4558">
        <v>156.43299999999999</v>
      </c>
      <c r="M4558">
        <v>-0.28580499999999998</v>
      </c>
      <c r="N4558">
        <v>-1.415976E-2</v>
      </c>
      <c r="O4558">
        <v>-0.95818340000000002</v>
      </c>
      <c r="P4558">
        <v>-0.413271</v>
      </c>
      <c r="Q4558">
        <v>0.34398289999999998</v>
      </c>
      <c r="R4558">
        <v>-0.84313909999999903</v>
      </c>
      <c r="S4558">
        <v>-2.0300449999999999</v>
      </c>
      <c r="T4558">
        <v>-0.46610960000000001</v>
      </c>
      <c r="U4558">
        <v>-2.754013</v>
      </c>
      <c r="V4558">
        <v>0.1597239</v>
      </c>
      <c r="W4558">
        <v>0.35498740000000001</v>
      </c>
      <c r="X4558">
        <v>0.92112550000000004</v>
      </c>
      <c r="Y4558">
        <v>0.33353070000000001</v>
      </c>
      <c r="Z4558">
        <v>0.1232964</v>
      </c>
      <c r="AA4558">
        <v>0.93464179999999997</v>
      </c>
      <c r="AB4558">
        <v>24</v>
      </c>
      <c r="AC4558">
        <v>-4.7729000000000203</v>
      </c>
      <c r="AD4558">
        <v>-1.1053913992</v>
      </c>
      <c r="AE4558">
        <v>-6.4063999999999899</v>
      </c>
      <c r="AF4558">
        <v>2.6910856146482298</v>
      </c>
      <c r="AG4558">
        <v>-1.1053913992</v>
      </c>
      <c r="AH4558">
        <v>7.36242103119144</v>
      </c>
      <c r="AI4558">
        <v>98.026635565143295</v>
      </c>
      <c r="AJ4558">
        <v>69.921813158044401</v>
      </c>
      <c r="AK4558">
        <v>7.9163801937073499</v>
      </c>
      <c r="AL4558">
        <v>69.207327462937698</v>
      </c>
      <c r="AM4558">
        <v>80.162683189550805</v>
      </c>
      <c r="AN4558">
        <v>0.99999998257010903</v>
      </c>
    </row>
    <row r="4559" spans="1:40" x14ac:dyDescent="0.25">
      <c r="A4559" t="str">
        <f>"20190304164217910"</f>
        <v>20190304164217910</v>
      </c>
      <c r="B4559" t="str">
        <f>"1551688937905915"</f>
        <v>1551688937905915</v>
      </c>
      <c r="C4559" t="s">
        <v>40</v>
      </c>
      <c r="D4559">
        <v>4.544149</v>
      </c>
      <c r="E4559">
        <v>0.59041690000000002</v>
      </c>
      <c r="F4559" t="s">
        <v>53</v>
      </c>
      <c r="G4559">
        <v>-198.75729999999999</v>
      </c>
      <c r="H4559" s="1">
        <v>-1.2345090000000001E-5</v>
      </c>
      <c r="I4559">
        <v>149.8416</v>
      </c>
      <c r="J4559">
        <v>-193.88480000000001</v>
      </c>
      <c r="K4559">
        <v>1.1053040000000001</v>
      </c>
      <c r="L4559">
        <v>156.30799999999999</v>
      </c>
      <c r="M4559">
        <v>-0.2902033</v>
      </c>
      <c r="N4559">
        <v>-1.412947E-2</v>
      </c>
      <c r="O4559">
        <v>-0.95686079999999996</v>
      </c>
      <c r="P4559">
        <v>-0.41680420000000001</v>
      </c>
      <c r="Q4559">
        <v>0.34548570000000001</v>
      </c>
      <c r="R4559">
        <v>-0.84078199999999903</v>
      </c>
      <c r="S4559">
        <v>-2.0455169999999998</v>
      </c>
      <c r="T4559">
        <v>-0.46003129999999998</v>
      </c>
      <c r="U4559">
        <v>-2.7431489999999998</v>
      </c>
      <c r="V4559">
        <v>0.159614899999999</v>
      </c>
      <c r="W4559">
        <v>0.35642950000000001</v>
      </c>
      <c r="X4559">
        <v>0.92058739999999994</v>
      </c>
      <c r="Y4559">
        <v>0.33450350000000001</v>
      </c>
      <c r="Z4559">
        <v>0.1215354</v>
      </c>
      <c r="AA4559">
        <v>0.93452480000000004</v>
      </c>
      <c r="AB4559">
        <v>24</v>
      </c>
      <c r="AC4559">
        <v>-4.8724999999999703</v>
      </c>
      <c r="AD4559">
        <v>-1.1053163450900001</v>
      </c>
      <c r="AE4559">
        <v>-6.4663999999999904</v>
      </c>
      <c r="AF4559">
        <v>2.7350400120887799</v>
      </c>
      <c r="AG4559">
        <v>-1.1053163450900001</v>
      </c>
      <c r="AH4559">
        <v>7.4631320582626799</v>
      </c>
      <c r="AI4559">
        <v>97.916758131481899</v>
      </c>
      <c r="AJ4559">
        <v>69.873453949532703</v>
      </c>
      <c r="AK4559">
        <v>8.0249927233311507</v>
      </c>
      <c r="AL4559">
        <v>69.118920126576</v>
      </c>
      <c r="AM4559">
        <v>80.163631389207893</v>
      </c>
      <c r="AN4559">
        <v>1.0000000329055001</v>
      </c>
    </row>
    <row r="4560" spans="1:40" x14ac:dyDescent="0.25">
      <c r="A4560" t="str">
        <f>"20190304164217922"</f>
        <v>20190304164217922</v>
      </c>
      <c r="B4560" t="str">
        <f>"1551688937915675"</f>
        <v>1551688937915675</v>
      </c>
      <c r="C4560" t="s">
        <v>40</v>
      </c>
      <c r="D4560">
        <v>4.549499</v>
      </c>
      <c r="E4560">
        <v>0.59032410000000002</v>
      </c>
      <c r="F4560" t="s">
        <v>53</v>
      </c>
      <c r="G4560">
        <v>-198.91659999999999</v>
      </c>
      <c r="H4560" s="1">
        <v>-1.2283650000000001E-5</v>
      </c>
      <c r="I4560">
        <v>149.63249999999999</v>
      </c>
      <c r="J4560">
        <v>-193.92740000000001</v>
      </c>
      <c r="K4560">
        <v>1.105227</v>
      </c>
      <c r="L4560">
        <v>156.18369999999999</v>
      </c>
      <c r="M4560">
        <v>-0.2946126</v>
      </c>
      <c r="N4560">
        <v>-1.4097449999999999E-2</v>
      </c>
      <c r="O4560">
        <v>-0.9555129</v>
      </c>
      <c r="P4560">
        <v>-0.42020999999999997</v>
      </c>
      <c r="Q4560">
        <v>0.34735680000000002</v>
      </c>
      <c r="R4560">
        <v>-0.83831209999999901</v>
      </c>
      <c r="S4560">
        <v>-2.0599669999999999</v>
      </c>
      <c r="T4560">
        <v>-0.45249990000000001</v>
      </c>
      <c r="U4560">
        <v>-2.7328190000000001</v>
      </c>
      <c r="V4560">
        <v>0.15941810000000001</v>
      </c>
      <c r="W4560">
        <v>0.35823630000000001</v>
      </c>
      <c r="X4560">
        <v>0.91991990000000001</v>
      </c>
      <c r="Y4560">
        <v>0.33517989999999998</v>
      </c>
      <c r="Z4560">
        <v>0.119353</v>
      </c>
      <c r="AA4560">
        <v>0.9345637</v>
      </c>
      <c r="AB4560">
        <v>24</v>
      </c>
      <c r="AC4560">
        <v>-4.9891999999999799</v>
      </c>
      <c r="AD4560">
        <v>-1.10523928365</v>
      </c>
      <c r="AE4560">
        <v>-6.5511999999999899</v>
      </c>
      <c r="AF4560">
        <v>2.7872502628068898</v>
      </c>
      <c r="AG4560">
        <v>-1.10523928365</v>
      </c>
      <c r="AH4560">
        <v>7.5936112502225699</v>
      </c>
      <c r="AI4560">
        <v>97.780434277446503</v>
      </c>
      <c r="AJ4560">
        <v>69.844237070747795</v>
      </c>
      <c r="AK4560">
        <v>8.1641441511739092</v>
      </c>
      <c r="AL4560">
        <v>69.008079385035501</v>
      </c>
      <c r="AM4560">
        <v>80.168533197367097</v>
      </c>
      <c r="AN4560">
        <v>0.99999999983065502</v>
      </c>
    </row>
    <row r="4561" spans="1:40" x14ac:dyDescent="0.25">
      <c r="A4561" t="str">
        <f>"20190304164217934"</f>
        <v>20190304164217934</v>
      </c>
      <c r="B4561" t="str">
        <f>"1551688937925435"</f>
        <v>1551688937925435</v>
      </c>
      <c r="C4561" t="s">
        <v>40</v>
      </c>
      <c r="D4561">
        <v>4.5564859999999996</v>
      </c>
      <c r="E4561">
        <v>0.59023549999999902</v>
      </c>
      <c r="F4561" t="s">
        <v>53</v>
      </c>
      <c r="G4561">
        <v>-199.08879999999999</v>
      </c>
      <c r="H4561" s="1">
        <v>-1.225299E-5</v>
      </c>
      <c r="I4561">
        <v>149.41059999999999</v>
      </c>
      <c r="J4561">
        <v>-193.9701</v>
      </c>
      <c r="K4561">
        <v>1.1051390000000001</v>
      </c>
      <c r="L4561">
        <v>156.0625</v>
      </c>
      <c r="M4561">
        <v>-0.2990275</v>
      </c>
      <c r="N4561">
        <v>-1.4065970000000001E-2</v>
      </c>
      <c r="O4561">
        <v>-0.95414089999999996</v>
      </c>
      <c r="P4561">
        <v>-0.4236974</v>
      </c>
      <c r="Q4561">
        <v>0.34956369999999998</v>
      </c>
      <c r="R4561">
        <v>-0.83563500000000002</v>
      </c>
      <c r="S4561">
        <v>-2.0748139999999999</v>
      </c>
      <c r="T4561">
        <v>-0.44429540000000001</v>
      </c>
      <c r="U4561">
        <v>-2.7226870000000001</v>
      </c>
      <c r="V4561">
        <v>0.15937290000000001</v>
      </c>
      <c r="W4561">
        <v>0.360371</v>
      </c>
      <c r="X4561">
        <v>0.91909359999999996</v>
      </c>
      <c r="Y4561">
        <v>0.33591209999999999</v>
      </c>
      <c r="Z4561">
        <v>0.11695800000000001</v>
      </c>
      <c r="AA4561">
        <v>0.93460359999999998</v>
      </c>
      <c r="AB4561">
        <v>24</v>
      </c>
      <c r="AC4561">
        <v>-5.1186999999999898</v>
      </c>
      <c r="AD4561">
        <v>-1.1051512529899901</v>
      </c>
      <c r="AE4561">
        <v>-6.6519000000000101</v>
      </c>
      <c r="AF4561">
        <v>2.8458089147494099</v>
      </c>
      <c r="AG4561">
        <v>-1.1051512529899901</v>
      </c>
      <c r="AH4561">
        <v>7.7440042985853204</v>
      </c>
      <c r="AI4561">
        <v>97.629473338217494</v>
      </c>
      <c r="AJ4561">
        <v>69.822354322086795</v>
      </c>
      <c r="AK4561">
        <v>8.3240368961075895</v>
      </c>
      <c r="AL4561">
        <v>68.877018123615898</v>
      </c>
      <c r="AM4561">
        <v>80.162602511392805</v>
      </c>
      <c r="AN4561">
        <v>1.00000001222818</v>
      </c>
    </row>
    <row r="4562" spans="1:40" x14ac:dyDescent="0.25">
      <c r="A4562" t="str">
        <f>"20190304164217945"</f>
        <v>20190304164217945</v>
      </c>
      <c r="B4562" t="str">
        <f>"1551688937935196"</f>
        <v>1551688937935196</v>
      </c>
      <c r="C4562" t="s">
        <v>40</v>
      </c>
      <c r="D4562">
        <v>4.553045</v>
      </c>
      <c r="E4562">
        <v>0.59013499999999997</v>
      </c>
      <c r="F4562" t="s">
        <v>53</v>
      </c>
      <c r="G4562">
        <v>-199.27369999999999</v>
      </c>
      <c r="H4562" s="1">
        <v>-1.2224349999999999E-5</v>
      </c>
      <c r="I4562">
        <v>149.17769999999999</v>
      </c>
      <c r="J4562">
        <v>-194.0093</v>
      </c>
      <c r="K4562">
        <v>1.105062</v>
      </c>
      <c r="L4562">
        <v>155.95230000000001</v>
      </c>
      <c r="M4562">
        <v>-0.30308279999999999</v>
      </c>
      <c r="N4562">
        <v>-1.4037259999999999E-2</v>
      </c>
      <c r="O4562">
        <v>-0.95286099999999996</v>
      </c>
      <c r="P4562">
        <v>-0.42712420000000001</v>
      </c>
      <c r="Q4562">
        <v>0.35129850000000001</v>
      </c>
      <c r="R4562">
        <v>-0.83315939999999999</v>
      </c>
      <c r="S4562">
        <v>-2.0896759999999999</v>
      </c>
      <c r="T4562">
        <v>-0.43544549999999999</v>
      </c>
      <c r="U4562">
        <v>-2.712723</v>
      </c>
      <c r="V4562">
        <v>0.15955150000000001</v>
      </c>
      <c r="W4562">
        <v>0.36203750000000001</v>
      </c>
      <c r="X4562">
        <v>0.91840739999999998</v>
      </c>
      <c r="Y4562">
        <v>0.33697860000000002</v>
      </c>
      <c r="Z4562">
        <v>0.1143773</v>
      </c>
      <c r="AA4562">
        <v>0.93453909999999996</v>
      </c>
      <c r="AB4562">
        <v>24</v>
      </c>
      <c r="AC4562">
        <v>-5.2643999999999904</v>
      </c>
      <c r="AD4562">
        <v>-1.10507422435</v>
      </c>
      <c r="AE4562">
        <v>-6.7746000000000199</v>
      </c>
      <c r="AF4562">
        <v>2.9149093146834799</v>
      </c>
      <c r="AG4562">
        <v>-1.10507422435</v>
      </c>
      <c r="AH4562">
        <v>7.9201957221311297</v>
      </c>
      <c r="AI4562">
        <v>97.459855725825506</v>
      </c>
      <c r="AJ4562">
        <v>69.794618158288003</v>
      </c>
      <c r="AK4562">
        <v>8.5116030000826299</v>
      </c>
      <c r="AL4562">
        <v>68.774621122906495</v>
      </c>
      <c r="AM4562">
        <v>80.144580060834897</v>
      </c>
      <c r="AN4562">
        <v>0.99999999246662996</v>
      </c>
    </row>
    <row r="4563" spans="1:40" x14ac:dyDescent="0.25">
      <c r="A4563" t="str">
        <f>"20190304164217957"</f>
        <v>20190304164217957</v>
      </c>
      <c r="B4563" t="str">
        <f>"1551688937945931"</f>
        <v>1551688937945931</v>
      </c>
      <c r="C4563" t="s">
        <v>40</v>
      </c>
      <c r="D4563">
        <v>4.565175</v>
      </c>
      <c r="E4563">
        <v>0.5900396</v>
      </c>
      <c r="F4563" t="s">
        <v>53</v>
      </c>
      <c r="G4563">
        <v>-199.4342</v>
      </c>
      <c r="H4563" s="1">
        <v>-1.2196719999999999E-5</v>
      </c>
      <c r="I4563">
        <v>148.9794</v>
      </c>
      <c r="J4563">
        <v>-194.0549</v>
      </c>
      <c r="K4563">
        <v>1.1049639999999901</v>
      </c>
      <c r="L4563">
        <v>155.82640000000001</v>
      </c>
      <c r="M4563">
        <v>-0.30780449999999998</v>
      </c>
      <c r="N4563">
        <v>-1.400525E-2</v>
      </c>
      <c r="O4563">
        <v>-0.95134660000000004</v>
      </c>
      <c r="P4563">
        <v>-0.43115399999999998</v>
      </c>
      <c r="Q4563">
        <v>0.35321570000000002</v>
      </c>
      <c r="R4563">
        <v>-0.83026829999999996</v>
      </c>
      <c r="S4563">
        <v>-2.1031040000000001</v>
      </c>
      <c r="T4563">
        <v>-0.42841220000000002</v>
      </c>
      <c r="U4563">
        <v>-2.703201</v>
      </c>
      <c r="V4563">
        <v>0.15980649999999999</v>
      </c>
      <c r="W4563">
        <v>0.36387429999999998</v>
      </c>
      <c r="X4563">
        <v>0.91763680000000003</v>
      </c>
      <c r="Y4563">
        <v>0.33695540000000002</v>
      </c>
      <c r="Z4563">
        <v>0.11230469999999999</v>
      </c>
      <c r="AA4563">
        <v>0.93479869999999998</v>
      </c>
      <c r="AB4563">
        <v>24</v>
      </c>
      <c r="AC4563">
        <v>-5.3792999999999997</v>
      </c>
      <c r="AD4563">
        <v>-1.10497619671999</v>
      </c>
      <c r="AE4563">
        <v>-6.8470000000000004</v>
      </c>
      <c r="AF4563">
        <v>2.9626265000742502</v>
      </c>
      <c r="AG4563">
        <v>-1.10497619671999</v>
      </c>
      <c r="AH4563">
        <v>8.0409528497000302</v>
      </c>
      <c r="AI4563">
        <v>97.347454824063107</v>
      </c>
      <c r="AJ4563">
        <v>69.774072837636098</v>
      </c>
      <c r="AK4563">
        <v>8.6403154401537297</v>
      </c>
      <c r="AL4563">
        <v>68.661677494087996</v>
      </c>
      <c r="AM4563">
        <v>80.121012447366397</v>
      </c>
      <c r="AN4563">
        <v>0.99999996017848902</v>
      </c>
    </row>
    <row r="4564" spans="1:40" x14ac:dyDescent="0.25">
      <c r="A4564" t="str">
        <f>"20190304164217974"</f>
        <v>20190304164217974</v>
      </c>
      <c r="B4564" t="str">
        <f>"1551688937965451"</f>
        <v>1551688937965451</v>
      </c>
      <c r="C4564" t="s">
        <v>40</v>
      </c>
      <c r="D4564">
        <v>4.5592969999999999</v>
      </c>
      <c r="E4564">
        <v>0.58982279999999998</v>
      </c>
      <c r="F4564" t="s">
        <v>53</v>
      </c>
      <c r="G4564">
        <v>-199.61529999999999</v>
      </c>
      <c r="H4564" s="1">
        <v>-1.2157050000000001E-5</v>
      </c>
      <c r="I4564">
        <v>148.7587</v>
      </c>
      <c r="J4564">
        <v>-194.1146</v>
      </c>
      <c r="K4564">
        <v>1.104833</v>
      </c>
      <c r="L4564">
        <v>155.6652</v>
      </c>
      <c r="M4564">
        <v>-0.313994</v>
      </c>
      <c r="N4564">
        <v>-1.396682E-2</v>
      </c>
      <c r="O4564">
        <v>-0.94932260000000002</v>
      </c>
      <c r="P4564">
        <v>-0.43620530000000002</v>
      </c>
      <c r="Q4564">
        <v>0.357269</v>
      </c>
      <c r="R4564">
        <v>-0.82588399999999995</v>
      </c>
      <c r="S4564">
        <v>-2.118179</v>
      </c>
      <c r="T4564">
        <v>-0.42092869999999999</v>
      </c>
      <c r="U4564">
        <v>-2.692383</v>
      </c>
      <c r="V4564">
        <v>0.16014110000000001</v>
      </c>
      <c r="W4564">
        <v>0.36781550000000002</v>
      </c>
      <c r="X4564">
        <v>0.91600579999999998</v>
      </c>
      <c r="Y4564">
        <v>0.33605269999999998</v>
      </c>
      <c r="Z4564">
        <v>0.110066899999999</v>
      </c>
      <c r="AA4564">
        <v>0.93538969999999999</v>
      </c>
      <c r="AB4564">
        <v>24</v>
      </c>
      <c r="AC4564">
        <v>-5.5006999999999904</v>
      </c>
      <c r="AD4564">
        <v>-1.10484515705</v>
      </c>
      <c r="AE4564">
        <v>-6.9064999999999896</v>
      </c>
      <c r="AF4564">
        <v>3.0065583831037799</v>
      </c>
      <c r="AG4564">
        <v>-1.10484515705</v>
      </c>
      <c r="AH4564">
        <v>8.1567672003767608</v>
      </c>
      <c r="AI4564">
        <v>97.243038222640706</v>
      </c>
      <c r="AJ4564">
        <v>69.766274344136704</v>
      </c>
      <c r="AK4564">
        <v>8.7631573815155601</v>
      </c>
      <c r="AL4564">
        <v>68.419044003670507</v>
      </c>
      <c r="AM4564">
        <v>80.083460169770802</v>
      </c>
      <c r="AN4564">
        <v>1.00000001979154</v>
      </c>
    </row>
    <row r="4565" spans="1:40" x14ac:dyDescent="0.25">
      <c r="A4565" t="str">
        <f>"20190304164217987"</f>
        <v>20190304164217987</v>
      </c>
      <c r="B4565" t="str">
        <f>"1551688937975211"</f>
        <v>1551688937975211</v>
      </c>
      <c r="C4565" t="s">
        <v>40</v>
      </c>
      <c r="D4565">
        <v>4.5553670000000004</v>
      </c>
      <c r="E4565">
        <v>0.58969950000000004</v>
      </c>
      <c r="F4565" t="s">
        <v>53</v>
      </c>
      <c r="G4565">
        <v>-199.9171</v>
      </c>
      <c r="H4565" s="1">
        <v>-1.208962E-5</v>
      </c>
      <c r="I4565">
        <v>148.38630000000001</v>
      </c>
      <c r="J4565">
        <v>-194.16669999999999</v>
      </c>
      <c r="K4565">
        <v>1.1047180000000001</v>
      </c>
      <c r="L4565">
        <v>155.52680000000001</v>
      </c>
      <c r="M4565">
        <v>-0.319415</v>
      </c>
      <c r="N4565">
        <v>-1.393614E-2</v>
      </c>
      <c r="O4565">
        <v>-0.94751260000000004</v>
      </c>
      <c r="P4565">
        <v>-0.44049919999999998</v>
      </c>
      <c r="Q4565">
        <v>0.35944209999999999</v>
      </c>
      <c r="R4565">
        <v>-0.82265569999999899</v>
      </c>
      <c r="S4565">
        <v>-2.1364589999999999</v>
      </c>
      <c r="T4565">
        <v>-0.40679749999999998</v>
      </c>
      <c r="U4565">
        <v>-2.6800380000000001</v>
      </c>
      <c r="V4565">
        <v>0.1601108</v>
      </c>
      <c r="W4565">
        <v>0.3699057</v>
      </c>
      <c r="X4565">
        <v>0.91516900000000001</v>
      </c>
      <c r="Y4565">
        <v>0.33697579999999999</v>
      </c>
      <c r="Z4565">
        <v>0.1059312</v>
      </c>
      <c r="AA4565">
        <v>0.93553509999999995</v>
      </c>
      <c r="AB4565">
        <v>24</v>
      </c>
      <c r="AC4565">
        <v>-5.7504000000000097</v>
      </c>
      <c r="AD4565">
        <v>-1.1047300896200001</v>
      </c>
      <c r="AE4565">
        <v>-7.1405000000000003</v>
      </c>
      <c r="AF4565">
        <v>3.1227596217431701</v>
      </c>
      <c r="AG4565">
        <v>-1.1047300896200001</v>
      </c>
      <c r="AH4565">
        <v>8.4801830898055393</v>
      </c>
      <c r="AI4565">
        <v>96.969649726251703</v>
      </c>
      <c r="AJ4565">
        <v>69.784173742414694</v>
      </c>
      <c r="AK4565">
        <v>9.1041507820732601</v>
      </c>
      <c r="AL4565">
        <v>68.290198251404306</v>
      </c>
      <c r="AM4565">
        <v>80.076413689297794</v>
      </c>
      <c r="AN4565">
        <v>0.99999999686506502</v>
      </c>
    </row>
    <row r="4566" spans="1:40" x14ac:dyDescent="0.25">
      <c r="A4566" t="str">
        <f>"20190304164218007"</f>
        <v>20190304164218007</v>
      </c>
      <c r="B4566" t="str">
        <f>"1551688937995707"</f>
        <v>1551688937995707</v>
      </c>
      <c r="C4566" t="s">
        <v>40</v>
      </c>
      <c r="D4566">
        <v>4.4984799999999998</v>
      </c>
      <c r="E4566">
        <v>0.58944929999999995</v>
      </c>
      <c r="F4566" t="s">
        <v>53</v>
      </c>
      <c r="G4566">
        <v>-200.12260000000001</v>
      </c>
      <c r="H4566" s="1">
        <v>-1.194965E-5</v>
      </c>
      <c r="I4566">
        <v>148.14179999999999</v>
      </c>
      <c r="J4566">
        <v>-194.24510000000001</v>
      </c>
      <c r="K4566">
        <v>1.1045510000000001</v>
      </c>
      <c r="L4566">
        <v>155.32399999999899</v>
      </c>
      <c r="M4566">
        <v>-0.32757449999999999</v>
      </c>
      <c r="N4566">
        <v>-1.3896159999999999E-2</v>
      </c>
      <c r="O4566">
        <v>-0.94472350000000005</v>
      </c>
      <c r="P4566">
        <v>-0.44660470000000002</v>
      </c>
      <c r="Q4566">
        <v>0.36296390000000001</v>
      </c>
      <c r="R4566">
        <v>-0.81780310000000001</v>
      </c>
      <c r="S4566">
        <v>-2.152237</v>
      </c>
      <c r="T4566">
        <v>-0.3992134</v>
      </c>
      <c r="U4566">
        <v>-2.6686860000000001</v>
      </c>
      <c r="V4566">
        <v>0.15973960000000001</v>
      </c>
      <c r="W4566">
        <v>0.37331180000000003</v>
      </c>
      <c r="X4566">
        <v>0.91384989999999999</v>
      </c>
      <c r="Y4566">
        <v>0.33432339999999999</v>
      </c>
      <c r="Z4566">
        <v>0.10359160000000001</v>
      </c>
      <c r="AA4566">
        <v>0.93674789999999997</v>
      </c>
      <c r="AB4566">
        <v>24</v>
      </c>
      <c r="AC4566">
        <v>-5.8774999999999897</v>
      </c>
      <c r="AD4566">
        <v>-1.10456294965</v>
      </c>
      <c r="AE4566">
        <v>-7.1821999999999901</v>
      </c>
      <c r="AF4566">
        <v>3.15551534865615</v>
      </c>
      <c r="AG4566">
        <v>-1.10456294965</v>
      </c>
      <c r="AH4566">
        <v>8.5896736454753793</v>
      </c>
      <c r="AI4566">
        <v>96.8825796557405</v>
      </c>
      <c r="AJ4566">
        <v>69.828611763874306</v>
      </c>
      <c r="AK4566">
        <v>9.2173656627649603</v>
      </c>
      <c r="AL4566">
        <v>68.079990775813897</v>
      </c>
      <c r="AM4566">
        <v>80.0849564114651</v>
      </c>
      <c r="AN4566">
        <v>1.0000000397786999</v>
      </c>
    </row>
    <row r="4567" spans="1:40" x14ac:dyDescent="0.25">
      <c r="A4567" t="str">
        <f>"20190304164218021"</f>
        <v>20190304164218021</v>
      </c>
      <c r="B4567" t="str">
        <f>"1551688938015227"</f>
        <v>1551688938015227</v>
      </c>
      <c r="C4567" t="s">
        <v>40</v>
      </c>
      <c r="D4567">
        <v>4.5452949999999896</v>
      </c>
      <c r="E4567">
        <v>0.58916579999999996</v>
      </c>
      <c r="F4567" t="s">
        <v>53</v>
      </c>
      <c r="G4567">
        <v>-200.4607</v>
      </c>
      <c r="H4567" s="1">
        <v>-1.1683139999999899E-5</v>
      </c>
      <c r="I4567">
        <v>147.75</v>
      </c>
      <c r="J4567">
        <v>-194.30099999999999</v>
      </c>
      <c r="K4567">
        <v>1.1044320000000001</v>
      </c>
      <c r="L4567">
        <v>155.18260000000001</v>
      </c>
      <c r="M4567">
        <v>-0.33338709999999899</v>
      </c>
      <c r="N4567">
        <v>-1.386949E-2</v>
      </c>
      <c r="O4567">
        <v>-0.94268799999999997</v>
      </c>
      <c r="P4567">
        <v>-0.45163629999999999</v>
      </c>
      <c r="Q4567">
        <v>0.36381370000000002</v>
      </c>
      <c r="R4567">
        <v>-0.81465600000000005</v>
      </c>
      <c r="S4567">
        <v>-2.1760250000000001</v>
      </c>
      <c r="T4567">
        <v>-0.38670280000000001</v>
      </c>
      <c r="U4567">
        <v>-2.6516419999999998</v>
      </c>
      <c r="V4567">
        <v>0.15999459999999999</v>
      </c>
      <c r="W4567">
        <v>0.37408229999999998</v>
      </c>
      <c r="X4567">
        <v>0.91349009999999997</v>
      </c>
      <c r="Y4567">
        <v>0.33675260000000001</v>
      </c>
      <c r="Z4567">
        <v>9.9947339999999996E-2</v>
      </c>
      <c r="AA4567">
        <v>0.93627360000000004</v>
      </c>
      <c r="AB4567">
        <v>24</v>
      </c>
      <c r="AC4567">
        <v>-6.1597000000000097</v>
      </c>
      <c r="AD4567">
        <v>-1.10444368314</v>
      </c>
      <c r="AE4567">
        <v>-7.4325999999999999</v>
      </c>
      <c r="AF4567">
        <v>3.2860482325807201</v>
      </c>
      <c r="AG4567">
        <v>-1.10444368314</v>
      </c>
      <c r="AH4567">
        <v>8.9439823856233307</v>
      </c>
      <c r="AI4567">
        <v>96.611599062726597</v>
      </c>
      <c r="AJ4567">
        <v>69.826503655833307</v>
      </c>
      <c r="AK4567">
        <v>9.5923266077847398</v>
      </c>
      <c r="AL4567">
        <v>68.032395292603994</v>
      </c>
      <c r="AM4567">
        <v>80.065609909505397</v>
      </c>
      <c r="AN4567">
        <v>1.0000000010002299</v>
      </c>
    </row>
    <row r="4568" spans="1:40" x14ac:dyDescent="0.25">
      <c r="A4568" t="str">
        <f>"20190304164218033"</f>
        <v>20190304164218033</v>
      </c>
      <c r="B4568" t="str">
        <f>"1551688938025964"</f>
        <v>1551688938025964</v>
      </c>
      <c r="C4568" t="s">
        <v>40</v>
      </c>
      <c r="D4568">
        <v>4.4863019999999896</v>
      </c>
      <c r="E4568">
        <v>0.58904389999999995</v>
      </c>
      <c r="F4568" t="s">
        <v>53</v>
      </c>
      <c r="G4568">
        <v>-200.58619999999999</v>
      </c>
      <c r="H4568" s="1">
        <v>-1.1587260000000001E-5</v>
      </c>
      <c r="I4568">
        <v>147.61490000000001</v>
      </c>
      <c r="J4568">
        <v>-194.35400000000001</v>
      </c>
      <c r="K4568">
        <v>1.104325</v>
      </c>
      <c r="L4568">
        <v>155.0522</v>
      </c>
      <c r="M4568">
        <v>-0.33888400000000002</v>
      </c>
      <c r="N4568">
        <v>-1.384666E-2</v>
      </c>
      <c r="O4568">
        <v>-0.94072650000000002</v>
      </c>
      <c r="P4568">
        <v>-0.45677709999999999</v>
      </c>
      <c r="Q4568">
        <v>0.36417179999999999</v>
      </c>
      <c r="R4568">
        <v>-0.81162440000000002</v>
      </c>
      <c r="S4568">
        <v>-2.1920320000000002</v>
      </c>
      <c r="T4568">
        <v>-0.38518770000000002</v>
      </c>
      <c r="U4568">
        <v>-2.6393279999999999</v>
      </c>
      <c r="V4568">
        <v>0.16059670000000001</v>
      </c>
      <c r="W4568">
        <v>0.37436659999999999</v>
      </c>
      <c r="X4568">
        <v>0.91326799999999997</v>
      </c>
      <c r="Y4568">
        <v>0.33680189999999999</v>
      </c>
      <c r="Z4568">
        <v>9.944037E-2</v>
      </c>
      <c r="AA4568">
        <v>0.93630979999999997</v>
      </c>
      <c r="AB4568">
        <v>24</v>
      </c>
      <c r="AC4568">
        <v>-6.2321999999999704</v>
      </c>
      <c r="AD4568">
        <v>-1.1043365872599999</v>
      </c>
      <c r="AE4568">
        <v>-7.4372999999999898</v>
      </c>
      <c r="AF4568">
        <v>3.29998918354068</v>
      </c>
      <c r="AG4568">
        <v>-1.1043365872599999</v>
      </c>
      <c r="AH4568">
        <v>8.99284636928782</v>
      </c>
      <c r="AI4568">
        <v>96.576298239155506</v>
      </c>
      <c r="AJ4568">
        <v>69.849027427185902</v>
      </c>
      <c r="AK4568">
        <v>9.6426538738596097</v>
      </c>
      <c r="AL4568">
        <v>68.014830788526893</v>
      </c>
      <c r="AM4568">
        <v>80.026597004046906</v>
      </c>
      <c r="AN4568">
        <v>1.00000004553522</v>
      </c>
    </row>
    <row r="4569" spans="1:40" x14ac:dyDescent="0.25">
      <c r="A4569" t="str">
        <f>"20190304164218046"</f>
        <v>20190304164218046</v>
      </c>
      <c r="B4569" t="str">
        <f>"1551688938035724"</f>
        <v>1551688938035724</v>
      </c>
      <c r="C4569" t="s">
        <v>40</v>
      </c>
      <c r="D4569">
        <v>4.4844920000000004</v>
      </c>
      <c r="E4569">
        <v>0.58891789999999999</v>
      </c>
      <c r="F4569" t="s">
        <v>53</v>
      </c>
      <c r="G4569">
        <v>-200.68600000000001</v>
      </c>
      <c r="H4569" s="1">
        <v>-1.151422E-5</v>
      </c>
      <c r="I4569">
        <v>147.5181</v>
      </c>
      <c r="J4569">
        <v>-194.404</v>
      </c>
      <c r="K4569">
        <v>1.1042299999999901</v>
      </c>
      <c r="L4569">
        <v>154.93020000000001</v>
      </c>
      <c r="M4569">
        <v>-0.34407090000000001</v>
      </c>
      <c r="N4569">
        <v>-1.382458E-2</v>
      </c>
      <c r="O4569">
        <v>-0.93884210000000001</v>
      </c>
      <c r="P4569">
        <v>-0.46223760000000003</v>
      </c>
      <c r="Q4569">
        <v>0.36383569999999998</v>
      </c>
      <c r="R4569">
        <v>-0.80867809999999996</v>
      </c>
      <c r="S4569">
        <v>-2.2075650000000002</v>
      </c>
      <c r="T4569">
        <v>-0.38501020000000002</v>
      </c>
      <c r="U4569">
        <v>-2.6266479999999999</v>
      </c>
      <c r="V4569">
        <v>0.16174839999999999</v>
      </c>
      <c r="W4569">
        <v>0.37395529999999999</v>
      </c>
      <c r="X4569">
        <v>0.91323319999999997</v>
      </c>
      <c r="Y4569">
        <v>0.33708569999999999</v>
      </c>
      <c r="Z4569">
        <v>9.9338109999999993E-2</v>
      </c>
      <c r="AA4569">
        <v>0.93621860000000001</v>
      </c>
      <c r="AB4569">
        <v>24</v>
      </c>
      <c r="AC4569">
        <v>-6.2819999999999503</v>
      </c>
      <c r="AD4569">
        <v>-1.10424151421999</v>
      </c>
      <c r="AE4569">
        <v>-7.4120999999999997</v>
      </c>
      <c r="AF4569">
        <v>3.3051466377315801</v>
      </c>
      <c r="AG4569">
        <v>-1.10424151421999</v>
      </c>
      <c r="AH4569">
        <v>9.0048045906564393</v>
      </c>
      <c r="AI4569">
        <v>96.566901033107399</v>
      </c>
      <c r="AJ4569">
        <v>69.84471355798</v>
      </c>
      <c r="AK4569">
        <v>9.6555605396342692</v>
      </c>
      <c r="AL4569">
        <v>68.0402411603568</v>
      </c>
      <c r="AM4569">
        <v>79.956150150849396</v>
      </c>
      <c r="AN4569">
        <v>0.99999999444144405</v>
      </c>
    </row>
    <row r="4570" spans="1:40" x14ac:dyDescent="0.25">
      <c r="A4570" t="str">
        <f>"20190304164218063"</f>
        <v>20190304164218063</v>
      </c>
      <c r="B4570" t="str">
        <f>"1551688938055243"</f>
        <v>1551688938055243</v>
      </c>
      <c r="C4570" t="s">
        <v>40</v>
      </c>
      <c r="D4570">
        <v>4.419702</v>
      </c>
      <c r="E4570">
        <v>0.58864349999999999</v>
      </c>
      <c r="F4570" t="s">
        <v>53</v>
      </c>
      <c r="G4570">
        <v>-200.72839999999999</v>
      </c>
      <c r="H4570" s="1">
        <v>-1.148753E-5</v>
      </c>
      <c r="I4570">
        <v>147.4915</v>
      </c>
      <c r="J4570">
        <v>-194.47460000000001</v>
      </c>
      <c r="K4570">
        <v>1.104096</v>
      </c>
      <c r="L4570">
        <v>154.76179999999999</v>
      </c>
      <c r="M4570">
        <v>-0.35135339999999998</v>
      </c>
      <c r="N4570">
        <v>-1.379299E-2</v>
      </c>
      <c r="O4570">
        <v>-0.93614129999999995</v>
      </c>
      <c r="P4570">
        <v>-0.4714411</v>
      </c>
      <c r="Q4570">
        <v>0.36209039999999998</v>
      </c>
      <c r="R4570">
        <v>-0.80413570000000001</v>
      </c>
      <c r="S4570">
        <v>-2.2224270000000002</v>
      </c>
      <c r="T4570">
        <v>-0.38803949999999998</v>
      </c>
      <c r="U4570">
        <v>-2.6140140000000001</v>
      </c>
      <c r="V4570">
        <v>0.164907</v>
      </c>
      <c r="W4570">
        <v>0.37208429999999998</v>
      </c>
      <c r="X4570">
        <v>0.91343249999999998</v>
      </c>
      <c r="Y4570">
        <v>0.33504489999999998</v>
      </c>
      <c r="Z4570">
        <v>0.10008060000000001</v>
      </c>
      <c r="AA4570">
        <v>0.93687180000000003</v>
      </c>
      <c r="AB4570">
        <v>24</v>
      </c>
      <c r="AC4570">
        <v>-6.2537999999999796</v>
      </c>
      <c r="AD4570">
        <v>-1.1041074875300001</v>
      </c>
      <c r="AE4570">
        <v>-7.27029999999999</v>
      </c>
      <c r="AF4570">
        <v>3.25713551188614</v>
      </c>
      <c r="AG4570">
        <v>-1.1041074875300001</v>
      </c>
      <c r="AH4570">
        <v>8.8863868946693501</v>
      </c>
      <c r="AI4570">
        <v>96.653920686154095</v>
      </c>
      <c r="AJ4570">
        <v>69.870553133348693</v>
      </c>
      <c r="AK4570">
        <v>9.5286860126966495</v>
      </c>
      <c r="AL4570">
        <v>68.155780719592798</v>
      </c>
      <c r="AM4570">
        <v>79.766309641960802</v>
      </c>
      <c r="AN4570">
        <v>0.99999998850586902</v>
      </c>
    </row>
    <row r="4571" spans="1:40" x14ac:dyDescent="0.25">
      <c r="A4571" t="str">
        <f>"20190304164218074"</f>
        <v>20190304164218074</v>
      </c>
      <c r="B4571" t="str">
        <f>"1551688938065979"</f>
        <v>1551688938065979</v>
      </c>
      <c r="C4571" t="s">
        <v>40</v>
      </c>
      <c r="D4571">
        <v>4.415813</v>
      </c>
      <c r="E4571">
        <v>0.58849229999999997</v>
      </c>
      <c r="F4571" t="s">
        <v>53</v>
      </c>
      <c r="G4571">
        <v>-200.6994</v>
      </c>
      <c r="H4571" s="1">
        <v>-1.1522070000000001E-5</v>
      </c>
      <c r="I4571">
        <v>147.56440000000001</v>
      </c>
      <c r="J4571">
        <v>-194.52420000000001</v>
      </c>
      <c r="K4571">
        <v>1.104007</v>
      </c>
      <c r="L4571">
        <v>154.64660000000001</v>
      </c>
      <c r="M4571">
        <v>-0.35643079999999999</v>
      </c>
      <c r="N4571">
        <v>-1.376928E-2</v>
      </c>
      <c r="O4571">
        <v>-0.93422039999999995</v>
      </c>
      <c r="P4571">
        <v>-0.47760130000000001</v>
      </c>
      <c r="Q4571">
        <v>0.3611528</v>
      </c>
      <c r="R4571">
        <v>-0.80091579999999996</v>
      </c>
      <c r="S4571">
        <v>-2.243805</v>
      </c>
      <c r="T4571">
        <v>-0.39799279999999998</v>
      </c>
      <c r="U4571">
        <v>-2.5944210000000001</v>
      </c>
      <c r="V4571">
        <v>0.16687199999999999</v>
      </c>
      <c r="W4571">
        <v>0.37106430000000001</v>
      </c>
      <c r="X4571">
        <v>0.91349049999999998</v>
      </c>
      <c r="Y4571">
        <v>0.33763480000000001</v>
      </c>
      <c r="Z4571">
        <v>0.1029626</v>
      </c>
      <c r="AA4571">
        <v>0.93562889999999999</v>
      </c>
      <c r="AB4571">
        <v>24</v>
      </c>
      <c r="AC4571">
        <v>-6.1751999999999896</v>
      </c>
      <c r="AD4571">
        <v>-1.1040185220700001</v>
      </c>
      <c r="AE4571">
        <v>-7.0822000000000003</v>
      </c>
      <c r="AF4571">
        <v>3.2008035481195098</v>
      </c>
      <c r="AG4571">
        <v>-1.1040185220700001</v>
      </c>
      <c r="AH4571">
        <v>8.6981239638821606</v>
      </c>
      <c r="AI4571">
        <v>96.792889597985095</v>
      </c>
      <c r="AJ4571">
        <v>69.797000200749693</v>
      </c>
      <c r="AK4571">
        <v>9.3338824045404198</v>
      </c>
      <c r="AL4571">
        <v>68.218728144196007</v>
      </c>
      <c r="AM4571">
        <v>79.647632127360097</v>
      </c>
      <c r="AN4571">
        <v>0.99999993635436801</v>
      </c>
    </row>
    <row r="4572" spans="1:40" x14ac:dyDescent="0.25">
      <c r="A4572" t="str">
        <f>"20190304164218087"</f>
        <v>20190304164218087</v>
      </c>
      <c r="B4572" t="str">
        <f>"1551688938075739"</f>
        <v>1551688938075739</v>
      </c>
      <c r="C4572" t="s">
        <v>40</v>
      </c>
      <c r="D4572">
        <v>4.5379160000000001</v>
      </c>
      <c r="E4572">
        <v>0.58849229999999997</v>
      </c>
      <c r="F4572" t="s">
        <v>53</v>
      </c>
      <c r="G4572">
        <v>-200.72319999999999</v>
      </c>
      <c r="H4572" s="1">
        <v>-1.151327E-5</v>
      </c>
      <c r="I4572">
        <v>147.5703</v>
      </c>
      <c r="J4572">
        <v>-194.57490000000001</v>
      </c>
      <c r="K4572">
        <v>1.1039330000000001</v>
      </c>
      <c r="L4572">
        <v>154.5301</v>
      </c>
      <c r="M4572">
        <v>-0.36159479999999999</v>
      </c>
      <c r="N4572">
        <v>-1.374242E-2</v>
      </c>
      <c r="O4572">
        <v>-0.93223420000000001</v>
      </c>
      <c r="P4572">
        <v>-0.48363319999999999</v>
      </c>
      <c r="Q4572">
        <v>0.36008649999999998</v>
      </c>
      <c r="R4572">
        <v>-0.79776979999999997</v>
      </c>
      <c r="S4572">
        <v>-2.2597960000000001</v>
      </c>
      <c r="T4572">
        <v>-0.40246330000000002</v>
      </c>
      <c r="U4572">
        <v>-2.5796359999999998</v>
      </c>
      <c r="V4572">
        <v>0.16859170000000001</v>
      </c>
      <c r="W4572">
        <v>0.36991990000000002</v>
      </c>
      <c r="X4572">
        <v>0.91363890000000003</v>
      </c>
      <c r="Y4572">
        <v>0.33827289999999999</v>
      </c>
      <c r="Z4572">
        <v>0.10421519999999999</v>
      </c>
      <c r="AA4572">
        <v>0.93525970000000003</v>
      </c>
      <c r="AB4572">
        <v>24</v>
      </c>
      <c r="AC4572">
        <v>-6.1482999999999697</v>
      </c>
      <c r="AD4572">
        <v>-1.1039445132700001</v>
      </c>
      <c r="AE4572">
        <v>-6.9598000000000004</v>
      </c>
      <c r="AF4572">
        <v>3.1705274221371802</v>
      </c>
      <c r="AG4572">
        <v>-1.1039445132700001</v>
      </c>
      <c r="AH4572">
        <v>8.5907791622946394</v>
      </c>
      <c r="AI4572">
        <v>96.874132005491802</v>
      </c>
      <c r="AJ4572">
        <v>69.742828579175793</v>
      </c>
      <c r="AK4572">
        <v>9.2234713767766703</v>
      </c>
      <c r="AL4572">
        <v>68.289321844489194</v>
      </c>
      <c r="AM4572">
        <v>79.544948435466694</v>
      </c>
      <c r="AN4572">
        <v>0.999999966659054</v>
      </c>
    </row>
    <row r="4573" spans="1:40" x14ac:dyDescent="0.25">
      <c r="A4573" t="str">
        <f>"20190304164218098"</f>
        <v>20190304164218098</v>
      </c>
      <c r="B4573" t="str">
        <f>"1551688938085499"</f>
        <v>1551688938085499</v>
      </c>
      <c r="C4573" t="s">
        <v>40</v>
      </c>
      <c r="D4573">
        <v>4.5749570000000004</v>
      </c>
      <c r="E4573">
        <v>0.58036109999999996</v>
      </c>
      <c r="F4573" t="s">
        <v>53</v>
      </c>
      <c r="G4573">
        <v>-200.7516</v>
      </c>
      <c r="H4573" s="1">
        <v>-1.150203E-5</v>
      </c>
      <c r="I4573">
        <v>147.57480000000001</v>
      </c>
      <c r="J4573">
        <v>-194.6267</v>
      </c>
      <c r="K4573">
        <v>1.1038650000000001</v>
      </c>
      <c r="L4573">
        <v>154.41290000000001</v>
      </c>
      <c r="M4573">
        <v>-0.36684020000000001</v>
      </c>
      <c r="N4573">
        <v>-1.371148E-2</v>
      </c>
      <c r="O4573">
        <v>-0.93018310000000004</v>
      </c>
      <c r="P4573">
        <v>-0.49003089999999999</v>
      </c>
      <c r="Q4573">
        <v>0.35947639999999997</v>
      </c>
      <c r="R4573">
        <v>-0.79413279999999997</v>
      </c>
      <c r="S4573">
        <v>-2.2768709999999999</v>
      </c>
      <c r="T4573">
        <v>-0.40693950000000001</v>
      </c>
      <c r="U4573">
        <v>-2.5638730000000001</v>
      </c>
      <c r="V4573">
        <v>0.1707428</v>
      </c>
      <c r="W4573">
        <v>0.36921989999999999</v>
      </c>
      <c r="X4573">
        <v>0.91352270000000002</v>
      </c>
      <c r="Y4573">
        <v>0.33921400000000002</v>
      </c>
      <c r="Z4573">
        <v>0.1054698</v>
      </c>
      <c r="AA4573">
        <v>0.934778</v>
      </c>
      <c r="AB4573">
        <v>24</v>
      </c>
      <c r="AC4573">
        <v>-6.1248999999999896</v>
      </c>
      <c r="AD4573">
        <v>-1.1038765020300001</v>
      </c>
      <c r="AE4573">
        <v>-6.8380999999999901</v>
      </c>
      <c r="AF4573">
        <v>3.1436330194647502</v>
      </c>
      <c r="AG4573">
        <v>-1.1038765020300001</v>
      </c>
      <c r="AH4573">
        <v>8.4856557380797497</v>
      </c>
      <c r="AI4573">
        <v>96.9548939570047</v>
      </c>
      <c r="AJ4573">
        <v>69.672127725409098</v>
      </c>
      <c r="AK4573">
        <v>9.1163219117146603</v>
      </c>
      <c r="AL4573">
        <v>68.332487296064798</v>
      </c>
      <c r="AM4573">
        <v>79.413230560198102</v>
      </c>
      <c r="AN4573">
        <v>1.0000000808615599</v>
      </c>
    </row>
    <row r="4574" spans="1:40" x14ac:dyDescent="0.25">
      <c r="A4574" t="str">
        <f>"20190304164218108"</f>
        <v>20190304164218108</v>
      </c>
      <c r="B4574" t="str">
        <f>"1551688938105996"</f>
        <v>1551688938105996</v>
      </c>
      <c r="C4574" t="s">
        <v>40</v>
      </c>
      <c r="D4574">
        <v>4.6962769999999896</v>
      </c>
      <c r="E4574">
        <v>0.58200940000000001</v>
      </c>
      <c r="F4574" t="s">
        <v>53</v>
      </c>
      <c r="G4574">
        <v>-199.43299999999999</v>
      </c>
      <c r="H4574" s="1">
        <v>-1.21545E-5</v>
      </c>
      <c r="I4574">
        <v>148.8381</v>
      </c>
      <c r="J4574">
        <v>-194.67439999999999</v>
      </c>
      <c r="K4574">
        <v>1.103807</v>
      </c>
      <c r="L4574">
        <v>154.30709999999999</v>
      </c>
      <c r="M4574">
        <v>-0.37161470000000002</v>
      </c>
      <c r="N4574">
        <v>-1.367642E-2</v>
      </c>
      <c r="O4574">
        <v>-0.92828650000000001</v>
      </c>
      <c r="P4574">
        <v>-0.49586999999999998</v>
      </c>
      <c r="Q4574">
        <v>0.3589098</v>
      </c>
      <c r="R4574">
        <v>-0.79075719999999905</v>
      </c>
      <c r="S4574">
        <v>-2.258057</v>
      </c>
      <c r="T4574">
        <v>-0.5186132</v>
      </c>
      <c r="U4574">
        <v>-2.6190950000000002</v>
      </c>
      <c r="V4574">
        <v>0.1727262</v>
      </c>
      <c r="W4574">
        <v>0.36856830000000002</v>
      </c>
      <c r="X4574">
        <v>0.91341289999999997</v>
      </c>
      <c r="Y4574">
        <v>0.3180597</v>
      </c>
      <c r="Z4574">
        <v>0.13510359999999999</v>
      </c>
      <c r="AA4574">
        <v>0.93839490000000003</v>
      </c>
      <c r="AB4574">
        <v>24</v>
      </c>
      <c r="AC4574">
        <v>-4.7586000000000004</v>
      </c>
      <c r="AD4574">
        <v>-1.1038191545</v>
      </c>
      <c r="AE4574">
        <v>-5.4689999999999896</v>
      </c>
      <c r="AF4574">
        <v>2.33116040674398</v>
      </c>
      <c r="AG4574">
        <v>-1.1038191545</v>
      </c>
      <c r="AH4574">
        <v>6.6906868270109801</v>
      </c>
      <c r="AI4574">
        <v>98.8550944475504</v>
      </c>
      <c r="AJ4574">
        <v>70.7907078536211</v>
      </c>
      <c r="AK4574">
        <v>7.1706356611495803</v>
      </c>
      <c r="AL4574">
        <v>68.372652952933194</v>
      </c>
      <c r="AM4574">
        <v>79.291821500460202</v>
      </c>
      <c r="AN4574">
        <v>1.00000002890886</v>
      </c>
    </row>
    <row r="4575" spans="1:40" x14ac:dyDescent="0.25">
      <c r="A4575" t="str">
        <f>"20190304164218120"</f>
        <v>20190304164218120</v>
      </c>
      <c r="B4575" t="str">
        <f>"1551688938115755"</f>
        <v>1551688938115755</v>
      </c>
      <c r="C4575" t="s">
        <v>40</v>
      </c>
      <c r="D4575">
        <v>4.6982419999999996</v>
      </c>
      <c r="E4575">
        <v>0.58267990000000003</v>
      </c>
      <c r="F4575" t="s">
        <v>53</v>
      </c>
      <c r="G4575">
        <v>-199.28790000000001</v>
      </c>
      <c r="H4575" s="1">
        <v>-1.2197009999999999E-5</v>
      </c>
      <c r="I4575">
        <v>149.06450000000001</v>
      </c>
      <c r="J4575">
        <v>-194.72640000000001</v>
      </c>
      <c r="K4575">
        <v>1.1037509999999999</v>
      </c>
      <c r="L4575">
        <v>154.1927</v>
      </c>
      <c r="M4575">
        <v>-0.37679190000000001</v>
      </c>
      <c r="N4575">
        <v>-1.363427E-2</v>
      </c>
      <c r="O4575">
        <v>-0.92619790000000002</v>
      </c>
      <c r="P4575">
        <v>-0.50230900000000001</v>
      </c>
      <c r="Q4575">
        <v>0.35881020000000002</v>
      </c>
      <c r="R4575">
        <v>-0.7867286</v>
      </c>
      <c r="S4575">
        <v>-2.2925420000000001</v>
      </c>
      <c r="T4575">
        <v>-0.54851130000000003</v>
      </c>
      <c r="U4575">
        <v>-2.6051639999999998</v>
      </c>
      <c r="V4575">
        <v>0.175114299999999</v>
      </c>
      <c r="W4575">
        <v>0.36836619999999998</v>
      </c>
      <c r="X4575">
        <v>0.91303959999999995</v>
      </c>
      <c r="Y4575">
        <v>0.3215037</v>
      </c>
      <c r="Z4575">
        <v>0.14287710000000001</v>
      </c>
      <c r="AA4575">
        <v>0.93606699999999998</v>
      </c>
      <c r="AB4575">
        <v>24</v>
      </c>
      <c r="AC4575">
        <v>-4.5614999999999899</v>
      </c>
      <c r="AD4575">
        <v>-1.1037631970099999</v>
      </c>
      <c r="AE4575">
        <v>-5.1281999999999899</v>
      </c>
      <c r="AF4575">
        <v>2.2349963367418799</v>
      </c>
      <c r="AG4575">
        <v>-1.1037631970099999</v>
      </c>
      <c r="AH4575">
        <v>6.30597264882016</v>
      </c>
      <c r="AI4575">
        <v>99.368209094928602</v>
      </c>
      <c r="AJ4575">
        <v>70.484384839974297</v>
      </c>
      <c r="AK4575">
        <v>6.7807663923771404</v>
      </c>
      <c r="AL4575">
        <v>68.385108005850796</v>
      </c>
      <c r="AM4575">
        <v>79.142932053779703</v>
      </c>
      <c r="AN4575">
        <v>0.99999999326754496</v>
      </c>
    </row>
    <row r="4576" spans="1:40" x14ac:dyDescent="0.25">
      <c r="A4576" t="str">
        <f>"20190304164218131"</f>
        <v>20190304164218131</v>
      </c>
      <c r="B4576" t="str">
        <f>"1551688938125515"</f>
        <v>1551688938125515</v>
      </c>
      <c r="C4576" t="s">
        <v>40</v>
      </c>
      <c r="D4576">
        <v>4.6622379999999897</v>
      </c>
      <c r="E4576">
        <v>0.5835534</v>
      </c>
      <c r="F4576" t="s">
        <v>53</v>
      </c>
      <c r="G4576">
        <v>-199.35740000000001</v>
      </c>
      <c r="H4576" s="1">
        <v>-1.2200859999999999E-5</v>
      </c>
      <c r="I4576">
        <v>149.03229999999999</v>
      </c>
      <c r="J4576">
        <v>-194.77420000000001</v>
      </c>
      <c r="K4576">
        <v>1.1037110000000001</v>
      </c>
      <c r="L4576">
        <v>154.0899</v>
      </c>
      <c r="M4576">
        <v>-0.38148589999999999</v>
      </c>
      <c r="N4576">
        <v>-1.358705E-2</v>
      </c>
      <c r="O4576">
        <v>-0.92427490000000001</v>
      </c>
      <c r="P4576">
        <v>-0.50863329999999995</v>
      </c>
      <c r="Q4576">
        <v>0.35860649999999999</v>
      </c>
      <c r="R4576">
        <v>-0.78274759999999999</v>
      </c>
      <c r="S4576">
        <v>-2.319366</v>
      </c>
      <c r="T4576">
        <v>-0.55280010000000002</v>
      </c>
      <c r="U4576">
        <v>-2.5845180000000001</v>
      </c>
      <c r="V4576">
        <v>0.17783940000000001</v>
      </c>
      <c r="W4576">
        <v>0.3680562</v>
      </c>
      <c r="X4576">
        <v>0.91263780000000005</v>
      </c>
      <c r="Y4576">
        <v>0.325683099999999</v>
      </c>
      <c r="Z4576">
        <v>0.14400539999999901</v>
      </c>
      <c r="AA4576">
        <v>0.9344479</v>
      </c>
      <c r="AB4576">
        <v>24</v>
      </c>
      <c r="AC4576">
        <v>-4.5831999999999997</v>
      </c>
      <c r="AD4576">
        <v>-1.10372320086</v>
      </c>
      <c r="AE4576">
        <v>-5.0575999999999999</v>
      </c>
      <c r="AF4576">
        <v>2.2481567697911902</v>
      </c>
      <c r="AG4576">
        <v>-1.10372320086</v>
      </c>
      <c r="AH4576">
        <v>6.2599331794666604</v>
      </c>
      <c r="AI4576">
        <v>99.421738631374097</v>
      </c>
      <c r="AJ4576">
        <v>70.2450455499242</v>
      </c>
      <c r="AK4576">
        <v>6.74234211361766</v>
      </c>
      <c r="AL4576">
        <v>68.404211736782798</v>
      </c>
      <c r="AM4576">
        <v>78.973349516999804</v>
      </c>
      <c r="AN4576">
        <v>0.99999998626981901</v>
      </c>
    </row>
    <row r="4577" spans="1:40" x14ac:dyDescent="0.25">
      <c r="A4577" t="str">
        <f>"20190304164218142"</f>
        <v>20190304164218142</v>
      </c>
      <c r="B4577" t="str">
        <f>"1551688938135275"</f>
        <v>1551688938135275</v>
      </c>
      <c r="C4577" t="s">
        <v>40</v>
      </c>
      <c r="D4577">
        <v>4.690347</v>
      </c>
      <c r="E4577">
        <v>0.58427320000000005</v>
      </c>
      <c r="F4577" t="s">
        <v>53</v>
      </c>
      <c r="G4577">
        <v>-199.46010000000001</v>
      </c>
      <c r="H4577" s="1">
        <v>-1.2198099999999999E-5</v>
      </c>
      <c r="I4577">
        <v>148.9716</v>
      </c>
      <c r="J4577">
        <v>-194.827</v>
      </c>
      <c r="K4577">
        <v>1.103672</v>
      </c>
      <c r="L4577">
        <v>153.977</v>
      </c>
      <c r="M4577">
        <v>-0.38663960000000003</v>
      </c>
      <c r="N4577">
        <v>-1.353291E-2</v>
      </c>
      <c r="O4577">
        <v>-0.9221317</v>
      </c>
      <c r="P4577">
        <v>-0.51534429999999998</v>
      </c>
      <c r="Q4577">
        <v>0.35863630000000002</v>
      </c>
      <c r="R4577">
        <v>-0.77833219999999903</v>
      </c>
      <c r="S4577">
        <v>-2.345291</v>
      </c>
      <c r="T4577">
        <v>-0.55241779999999996</v>
      </c>
      <c r="U4577">
        <v>-2.5617369999999999</v>
      </c>
      <c r="V4577">
        <v>0.18063470000000001</v>
      </c>
      <c r="W4577">
        <v>0.36797029999999997</v>
      </c>
      <c r="X4577">
        <v>0.91212340000000003</v>
      </c>
      <c r="Y4577">
        <v>0.3296982</v>
      </c>
      <c r="Z4577">
        <v>0.1439117</v>
      </c>
      <c r="AA4577">
        <v>0.93305329999999997</v>
      </c>
      <c r="AB4577">
        <v>24</v>
      </c>
      <c r="AC4577">
        <v>-4.6331000000000104</v>
      </c>
      <c r="AD4577">
        <v>-1.1036841981000001</v>
      </c>
      <c r="AE4577">
        <v>-5.0053999999999998</v>
      </c>
      <c r="AF4577">
        <v>2.2776168423179501</v>
      </c>
      <c r="AG4577">
        <v>-1.1036841981000001</v>
      </c>
      <c r="AH4577">
        <v>6.2440630455525001</v>
      </c>
      <c r="AI4577">
        <v>99.428227610035705</v>
      </c>
      <c r="AJ4577">
        <v>69.959790736431998</v>
      </c>
      <c r="AK4577">
        <v>6.7375055180964702</v>
      </c>
      <c r="AL4577">
        <v>68.409506739957706</v>
      </c>
      <c r="AM4577">
        <v>78.798222696900496</v>
      </c>
      <c r="AN4577">
        <v>1.00000006667686</v>
      </c>
    </row>
    <row r="4578" spans="1:40" x14ac:dyDescent="0.25">
      <c r="A4578" t="str">
        <f>"20190304164218154"</f>
        <v>20190304164218154</v>
      </c>
      <c r="B4578" t="str">
        <f>"1551688938146011"</f>
        <v>1551688938146011</v>
      </c>
      <c r="C4578" t="s">
        <v>40</v>
      </c>
      <c r="D4578">
        <v>4.7311019999999999</v>
      </c>
      <c r="E4578">
        <v>0.58444609999999997</v>
      </c>
      <c r="F4578" t="s">
        <v>53</v>
      </c>
      <c r="G4578">
        <v>-199.58420000000001</v>
      </c>
      <c r="H4578" s="1">
        <v>-1.219056E-5</v>
      </c>
      <c r="I4578">
        <v>148.88630000000001</v>
      </c>
      <c r="J4578">
        <v>-194.886</v>
      </c>
      <c r="K4578">
        <v>1.103639</v>
      </c>
      <c r="L4578">
        <v>153.8537</v>
      </c>
      <c r="M4578">
        <v>-0.39230090000000001</v>
      </c>
      <c r="N4578">
        <v>-1.346398E-2</v>
      </c>
      <c r="O4578">
        <v>-0.91973859999999996</v>
      </c>
      <c r="P4578">
        <v>-0.52254999999999996</v>
      </c>
      <c r="Q4578">
        <v>0.35842659999999998</v>
      </c>
      <c r="R4578">
        <v>-0.77360989999999996</v>
      </c>
      <c r="S4578">
        <v>-2.3714599999999999</v>
      </c>
      <c r="T4578">
        <v>-0.55018690000000003</v>
      </c>
      <c r="U4578">
        <v>-2.5377040000000002</v>
      </c>
      <c r="V4578">
        <v>0.18348429999999999</v>
      </c>
      <c r="W4578">
        <v>0.3676355</v>
      </c>
      <c r="X4578">
        <v>0.91168950000000004</v>
      </c>
      <c r="Y4578">
        <v>0.33350279999999999</v>
      </c>
      <c r="Z4578">
        <v>0.14331459999999999</v>
      </c>
      <c r="AA4578">
        <v>0.93179230000000002</v>
      </c>
      <c r="AB4578">
        <v>24</v>
      </c>
      <c r="AC4578">
        <v>-4.6982000000000097</v>
      </c>
      <c r="AD4578">
        <v>-1.1036511905599999</v>
      </c>
      <c r="AE4578">
        <v>-4.9673999999999898</v>
      </c>
      <c r="AF4578">
        <v>2.3123652126623302</v>
      </c>
      <c r="AG4578">
        <v>-1.1036511905599999</v>
      </c>
      <c r="AH4578">
        <v>6.2495622544241902</v>
      </c>
      <c r="AI4578">
        <v>99.404127492253295</v>
      </c>
      <c r="AJ4578">
        <v>69.695307122595693</v>
      </c>
      <c r="AK4578">
        <v>6.7544139049275698</v>
      </c>
      <c r="AL4578">
        <v>68.430134903577795</v>
      </c>
      <c r="AM4578">
        <v>78.620808991259807</v>
      </c>
      <c r="AN4578">
        <v>1.00000004680849</v>
      </c>
    </row>
    <row r="4579" spans="1:40" x14ac:dyDescent="0.25">
      <c r="A4579" t="str">
        <f>"20190304164218166"</f>
        <v>20190304164218166</v>
      </c>
      <c r="B4579" t="str">
        <f>"1551688938155377"</f>
        <v>1551688938155377</v>
      </c>
      <c r="C4579" t="s">
        <v>40</v>
      </c>
      <c r="D4579">
        <v>4.7198929999999999</v>
      </c>
      <c r="E4579">
        <v>0.58471119999999899</v>
      </c>
      <c r="F4579" t="s">
        <v>53</v>
      </c>
      <c r="G4579">
        <v>-199.67019999999999</v>
      </c>
      <c r="H4579" s="1">
        <v>-1.2185799999999999E-5</v>
      </c>
      <c r="I4579">
        <v>148.8288</v>
      </c>
      <c r="J4579">
        <v>-194.93690000000001</v>
      </c>
      <c r="K4579">
        <v>1.103612</v>
      </c>
      <c r="L4579">
        <v>153.7483</v>
      </c>
      <c r="M4579">
        <v>-0.3971402</v>
      </c>
      <c r="N4579">
        <v>-1.340324E-2</v>
      </c>
      <c r="O4579">
        <v>-0.91766020000000004</v>
      </c>
      <c r="P4579">
        <v>-0.52954299999999999</v>
      </c>
      <c r="Q4579">
        <v>0.35823080000000002</v>
      </c>
      <c r="R4579">
        <v>-0.76893120000000004</v>
      </c>
      <c r="S4579">
        <v>-2.395416</v>
      </c>
      <c r="T4579">
        <v>-0.5525892</v>
      </c>
      <c r="U4579">
        <v>-2.5159150000000001</v>
      </c>
      <c r="V4579">
        <v>0.18693409999999999</v>
      </c>
      <c r="W4579">
        <v>0.36731219999999998</v>
      </c>
      <c r="X4579">
        <v>0.91111869999999995</v>
      </c>
      <c r="Y4579">
        <v>0.3371479</v>
      </c>
      <c r="Z4579">
        <v>0.1439848</v>
      </c>
      <c r="AA4579">
        <v>0.93037610000000004</v>
      </c>
      <c r="AB4579">
        <v>24</v>
      </c>
      <c r="AC4579">
        <v>-4.7332999999999803</v>
      </c>
      <c r="AD4579">
        <v>-1.1036241858</v>
      </c>
      <c r="AE4579">
        <v>-4.9194999999999904</v>
      </c>
      <c r="AF4579">
        <v>2.3291738331312102</v>
      </c>
      <c r="AG4579">
        <v>-1.1036241858</v>
      </c>
      <c r="AH4579">
        <v>6.2319223242279103</v>
      </c>
      <c r="AI4579">
        <v>99.418720345987097</v>
      </c>
      <c r="AJ4579">
        <v>69.506828028063197</v>
      </c>
      <c r="AK4579">
        <v>6.7438781827399596</v>
      </c>
      <c r="AL4579">
        <v>68.450049920648794</v>
      </c>
      <c r="AM4579">
        <v>78.405534095541896</v>
      </c>
      <c r="AN4579">
        <v>0.99999994775066803</v>
      </c>
    </row>
    <row r="4580" spans="1:40" x14ac:dyDescent="0.25">
      <c r="A4580" t="str">
        <f>"20190304164218179"</f>
        <v>20190304164218179</v>
      </c>
      <c r="B4580" t="str">
        <f>"1551688938175872"</f>
        <v>1551688938175872</v>
      </c>
      <c r="C4580" t="s">
        <v>40</v>
      </c>
      <c r="D4580">
        <v>4.5568799999999996</v>
      </c>
      <c r="E4580">
        <v>0.58511000000000002</v>
      </c>
      <c r="F4580" t="s">
        <v>53</v>
      </c>
      <c r="G4580">
        <v>-199.75829999999999</v>
      </c>
      <c r="H4580" s="1">
        <v>-1.2182239999999999E-5</v>
      </c>
      <c r="I4580">
        <v>148.77440000000001</v>
      </c>
      <c r="J4580">
        <v>-195.00200000000001</v>
      </c>
      <c r="K4580">
        <v>1.1035919999999999</v>
      </c>
      <c r="L4580">
        <v>153.61580000000001</v>
      </c>
      <c r="M4580">
        <v>-0.40322950000000002</v>
      </c>
      <c r="N4580">
        <v>-1.3323089999999999E-2</v>
      </c>
      <c r="O4580">
        <v>-0.91500210000000004</v>
      </c>
      <c r="P4580">
        <v>-0.53739059999999905</v>
      </c>
      <c r="Q4580">
        <v>0.35768100000000003</v>
      </c>
      <c r="R4580">
        <v>-0.76372519999999999</v>
      </c>
      <c r="S4580">
        <v>-2.4178009999999999</v>
      </c>
      <c r="T4580">
        <v>-0.55344340000000003</v>
      </c>
      <c r="U4580">
        <v>-2.4943240000000002</v>
      </c>
      <c r="V4580">
        <v>0.19011719999999999</v>
      </c>
      <c r="W4580">
        <v>0.36662729999999999</v>
      </c>
      <c r="X4580">
        <v>0.91073590000000004</v>
      </c>
      <c r="Y4580">
        <v>0.33920169999999999</v>
      </c>
      <c r="Z4580">
        <v>0.14417060000000001</v>
      </c>
      <c r="AA4580">
        <v>0.92960050000000005</v>
      </c>
      <c r="AB4580">
        <v>24</v>
      </c>
      <c r="AC4580">
        <v>-4.75629999999998</v>
      </c>
      <c r="AD4580">
        <v>-1.10360418224</v>
      </c>
      <c r="AE4580">
        <v>-4.8413999999999904</v>
      </c>
      <c r="AF4580">
        <v>2.3382155282210002</v>
      </c>
      <c r="AG4580">
        <v>-1.10360418224</v>
      </c>
      <c r="AH4580">
        <v>6.1847977739069204</v>
      </c>
      <c r="AI4580">
        <v>99.4758009936414</v>
      </c>
      <c r="AJ4580">
        <v>69.290473872055799</v>
      </c>
      <c r="AK4580">
        <v>6.7035003954348698</v>
      </c>
      <c r="AL4580">
        <v>68.492236182388595</v>
      </c>
      <c r="AM4580">
        <v>78.208767634348007</v>
      </c>
      <c r="AN4580">
        <v>1.0000000031949701</v>
      </c>
    </row>
    <row r="4581" spans="1:40" x14ac:dyDescent="0.25">
      <c r="A4581" t="str">
        <f>"20190304164218193"</f>
        <v>20190304164218193</v>
      </c>
      <c r="B4581" t="str">
        <f>"1551688938185631"</f>
        <v>1551688938185631</v>
      </c>
      <c r="C4581" t="s">
        <v>40</v>
      </c>
      <c r="D4581">
        <v>4.7002569999999997</v>
      </c>
      <c r="E4581">
        <v>0.5852233</v>
      </c>
      <c r="F4581" t="s">
        <v>53</v>
      </c>
      <c r="G4581">
        <v>-199.86160000000001</v>
      </c>
      <c r="H4581" s="1">
        <v>-1.217707E-5</v>
      </c>
      <c r="I4581">
        <v>148.7071</v>
      </c>
      <c r="J4581">
        <v>-195.06880000000001</v>
      </c>
      <c r="K4581">
        <v>1.1035759999999999</v>
      </c>
      <c r="L4581">
        <v>153.48249999999999</v>
      </c>
      <c r="M4581">
        <v>-0.40936479999999997</v>
      </c>
      <c r="N4581">
        <v>-1.3240210000000001E-2</v>
      </c>
      <c r="O4581">
        <v>-0.91227480000000005</v>
      </c>
      <c r="P4581">
        <v>-0.54556749999999998</v>
      </c>
      <c r="Q4581">
        <v>0.35695549999999998</v>
      </c>
      <c r="R4581">
        <v>-0.75824720000000001</v>
      </c>
      <c r="S4581">
        <v>-2.443756</v>
      </c>
      <c r="T4581">
        <v>-0.55497259999999904</v>
      </c>
      <c r="U4581">
        <v>-2.4684750000000002</v>
      </c>
      <c r="V4581">
        <v>0.1936515</v>
      </c>
      <c r="W4581">
        <v>0.36576029999999998</v>
      </c>
      <c r="X4581">
        <v>0.91033980000000003</v>
      </c>
      <c r="Y4581">
        <v>0.34263840000000001</v>
      </c>
      <c r="Z4581">
        <v>0.14460100000000001</v>
      </c>
      <c r="AA4581">
        <v>0.92827230000000005</v>
      </c>
      <c r="AB4581">
        <v>24</v>
      </c>
      <c r="AC4581">
        <v>-4.7927999999999997</v>
      </c>
      <c r="AD4581">
        <v>-1.10358817707</v>
      </c>
      <c r="AE4581">
        <v>-4.7753999999999897</v>
      </c>
      <c r="AF4581">
        <v>2.3550236053865699</v>
      </c>
      <c r="AG4581">
        <v>-1.10358817707</v>
      </c>
      <c r="AH4581">
        <v>6.1552661297214204</v>
      </c>
      <c r="AI4581">
        <v>99.506195641237099</v>
      </c>
      <c r="AJ4581">
        <v>69.0629968061764</v>
      </c>
      <c r="AK4581">
        <v>6.6821661288980501</v>
      </c>
      <c r="AL4581">
        <v>68.545620233732905</v>
      </c>
      <c r="AM4581">
        <v>77.990798840552102</v>
      </c>
      <c r="AN4581">
        <v>1.0000000259861801</v>
      </c>
    </row>
    <row r="4582" spans="1:40" x14ac:dyDescent="0.25">
      <c r="A4582" t="str">
        <f>"20190304164218210"</f>
        <v>20190304164218210</v>
      </c>
      <c r="B4582" t="str">
        <f>"1551688938205151"</f>
        <v>1551688938205151</v>
      </c>
      <c r="C4582" t="s">
        <v>40</v>
      </c>
      <c r="D4582">
        <v>4.3598379999999999</v>
      </c>
      <c r="E4582">
        <v>0.58514860000000002</v>
      </c>
      <c r="F4582" t="s">
        <v>53</v>
      </c>
      <c r="G4582">
        <v>-199.9522</v>
      </c>
      <c r="H4582" s="1">
        <v>-1.2172309999999999E-5</v>
      </c>
      <c r="I4582">
        <v>148.6473</v>
      </c>
      <c r="J4582">
        <v>-195.15029999999999</v>
      </c>
      <c r="K4582">
        <v>1.103556</v>
      </c>
      <c r="L4582">
        <v>153.32230000000001</v>
      </c>
      <c r="M4582">
        <v>-0.4167323</v>
      </c>
      <c r="N4582">
        <v>-1.3137360000000001E-2</v>
      </c>
      <c r="O4582">
        <v>-0.90893440000000003</v>
      </c>
      <c r="P4582">
        <v>-0.55779869999999898</v>
      </c>
      <c r="Q4582">
        <v>0.35520390000000002</v>
      </c>
      <c r="R4582">
        <v>-0.7501274</v>
      </c>
      <c r="S4582">
        <v>-2.467819</v>
      </c>
      <c r="T4582">
        <v>-0.5576892</v>
      </c>
      <c r="U4582">
        <v>-2.4434360000000002</v>
      </c>
      <c r="V4582">
        <v>0.20070560000000001</v>
      </c>
      <c r="W4582">
        <v>0.3637859</v>
      </c>
      <c r="X4582">
        <v>0.90960269999999999</v>
      </c>
      <c r="Y4582">
        <v>0.3442423</v>
      </c>
      <c r="Z4582">
        <v>0.1452706</v>
      </c>
      <c r="AA4582">
        <v>0.92757409999999996</v>
      </c>
      <c r="AB4582">
        <v>24</v>
      </c>
      <c r="AC4582">
        <v>-4.8019000000000096</v>
      </c>
      <c r="AD4582">
        <v>-1.1035681723099999</v>
      </c>
      <c r="AE4582">
        <v>-4.6750000000000096</v>
      </c>
      <c r="AF4582">
        <v>2.3527995944296101</v>
      </c>
      <c r="AG4582">
        <v>-1.1035681723099999</v>
      </c>
      <c r="AH4582">
        <v>6.0858920475909803</v>
      </c>
      <c r="AI4582">
        <v>99.599755490479396</v>
      </c>
      <c r="AJ4582">
        <v>68.863549536308895</v>
      </c>
      <c r="AK4582">
        <v>6.6175230001424898</v>
      </c>
      <c r="AL4582">
        <v>68.667115893852099</v>
      </c>
      <c r="AM4582">
        <v>77.556957405414394</v>
      </c>
      <c r="AN4582">
        <v>0.99999999537872997</v>
      </c>
    </row>
    <row r="4583" spans="1:40" x14ac:dyDescent="0.25">
      <c r="A4583" t="str">
        <f>"20190304164218223"</f>
        <v>20190304164218223</v>
      </c>
      <c r="B4583" t="str">
        <f>"1551688938215889"</f>
        <v>1551688938215889</v>
      </c>
      <c r="C4583" t="s">
        <v>40</v>
      </c>
      <c r="D4583">
        <v>4.8117400000000004</v>
      </c>
      <c r="E4583">
        <v>0.58491719999999903</v>
      </c>
      <c r="F4583" t="s">
        <v>53</v>
      </c>
      <c r="G4583">
        <v>-200.02430000000001</v>
      </c>
      <c r="H4583" s="1">
        <v>-1.213808E-5</v>
      </c>
      <c r="I4583">
        <v>148.62880000000001</v>
      </c>
      <c r="J4583">
        <v>-195.2193</v>
      </c>
      <c r="K4583">
        <v>1.103548</v>
      </c>
      <c r="L4583">
        <v>153.18879999999999</v>
      </c>
      <c r="M4583">
        <v>-0.4228711</v>
      </c>
      <c r="N4583">
        <v>-1.3048580000000001E-2</v>
      </c>
      <c r="O4583">
        <v>-0.90609600000000001</v>
      </c>
      <c r="P4583">
        <v>-0.56608480000000005</v>
      </c>
      <c r="Q4583">
        <v>0.35387099999999999</v>
      </c>
      <c r="R4583">
        <v>-0.744529</v>
      </c>
      <c r="S4583">
        <v>-2.5005649999999999</v>
      </c>
      <c r="T4583">
        <v>-0.56617649999999997</v>
      </c>
      <c r="U4583">
        <v>-2.4079899999999999</v>
      </c>
      <c r="V4583">
        <v>0.2043614</v>
      </c>
      <c r="W4583">
        <v>0.36230950000000001</v>
      </c>
      <c r="X4583">
        <v>0.90937789999999996</v>
      </c>
      <c r="Y4583">
        <v>0.35047889999999998</v>
      </c>
      <c r="Z4583">
        <v>0.1477609</v>
      </c>
      <c r="AA4583">
        <v>0.92484120000000003</v>
      </c>
      <c r="AB4583">
        <v>24</v>
      </c>
      <c r="AC4583">
        <v>-4.8049999999999997</v>
      </c>
      <c r="AD4583">
        <v>-1.10356013808</v>
      </c>
      <c r="AE4583">
        <v>-4.5599999999999703</v>
      </c>
      <c r="AF4583">
        <v>2.36020273276241</v>
      </c>
      <c r="AG4583">
        <v>-1.10356013808</v>
      </c>
      <c r="AH4583">
        <v>5.9977619500613404</v>
      </c>
      <c r="AI4583">
        <v>99.715725404130595</v>
      </c>
      <c r="AJ4583">
        <v>68.519672361248794</v>
      </c>
      <c r="AK4583">
        <v>6.5392316312929202</v>
      </c>
      <c r="AL4583">
        <v>68.757900877186103</v>
      </c>
      <c r="AM4583">
        <v>77.334527450447297</v>
      </c>
      <c r="AN4583">
        <v>0.99999996030430904</v>
      </c>
    </row>
    <row r="4584" spans="1:40" x14ac:dyDescent="0.25">
      <c r="A4584" t="str">
        <f>"20190304164218234"</f>
        <v>20190304164218234</v>
      </c>
      <c r="B4584" t="str">
        <f>"1551688938225648"</f>
        <v>1551688938225648</v>
      </c>
      <c r="C4584" t="s">
        <v>40</v>
      </c>
      <c r="D4584">
        <v>4.8205559999999998</v>
      </c>
      <c r="E4584">
        <v>0.58466130000000005</v>
      </c>
      <c r="F4584" t="s">
        <v>53</v>
      </c>
      <c r="G4584">
        <v>-200.07480000000001</v>
      </c>
      <c r="H4584" s="1">
        <v>-1.2106319999999999E-5</v>
      </c>
      <c r="I4584">
        <v>148.59729999999999</v>
      </c>
      <c r="J4584">
        <v>-195.27709999999999</v>
      </c>
      <c r="K4584">
        <v>1.103539</v>
      </c>
      <c r="L4584">
        <v>153.07929999999999</v>
      </c>
      <c r="M4584">
        <v>-0.42790539999999999</v>
      </c>
      <c r="N4584">
        <v>-1.297266E-2</v>
      </c>
      <c r="O4584">
        <v>-0.90373049999999999</v>
      </c>
      <c r="P4584">
        <v>-0.57320419999999905</v>
      </c>
      <c r="Q4584">
        <v>0.35287590000000002</v>
      </c>
      <c r="R4584">
        <v>-0.73953749999999996</v>
      </c>
      <c r="S4584">
        <v>-2.5216219999999998</v>
      </c>
      <c r="T4584">
        <v>-0.57312059999999998</v>
      </c>
      <c r="U4584">
        <v>-2.3845209999999999</v>
      </c>
      <c r="V4584">
        <v>0.20782049999999999</v>
      </c>
      <c r="W4584">
        <v>0.3611839</v>
      </c>
      <c r="X4584">
        <v>0.90904169999999995</v>
      </c>
      <c r="Y4584">
        <v>0.353431099999999</v>
      </c>
      <c r="Z4584">
        <v>0.14970349999999999</v>
      </c>
      <c r="AA4584">
        <v>0.92340420000000001</v>
      </c>
      <c r="AB4584">
        <v>24</v>
      </c>
      <c r="AC4584">
        <v>-4.7977000000000096</v>
      </c>
      <c r="AD4584">
        <v>-1.1035511063200001</v>
      </c>
      <c r="AE4584">
        <v>-4.4819999999999904</v>
      </c>
      <c r="AF4584">
        <v>2.3517190612981498</v>
      </c>
      <c r="AG4584">
        <v>-1.1035511063200001</v>
      </c>
      <c r="AH4584">
        <v>5.9362848894351004</v>
      </c>
      <c r="AI4584">
        <v>99.805622361868402</v>
      </c>
      <c r="AJ4584">
        <v>68.388506419533201</v>
      </c>
      <c r="AK4584">
        <v>6.4798060060520797</v>
      </c>
      <c r="AL4584">
        <v>68.827078616240797</v>
      </c>
      <c r="AM4584">
        <v>77.122630043076796</v>
      </c>
      <c r="AN4584">
        <v>0.99999999108917403</v>
      </c>
    </row>
    <row r="4585" spans="1:40" x14ac:dyDescent="0.25">
      <c r="A4585" t="str">
        <f>"20190304164218246"</f>
        <v>20190304164218246</v>
      </c>
      <c r="B4585" t="str">
        <f>"1551688938235407"</f>
        <v>1551688938235407</v>
      </c>
      <c r="C4585" t="s">
        <v>40</v>
      </c>
      <c r="D4585">
        <v>4.8485509999999996</v>
      </c>
      <c r="E4585">
        <v>0.58438769999999995</v>
      </c>
      <c r="F4585" t="s">
        <v>53</v>
      </c>
      <c r="G4585">
        <v>-200.1234</v>
      </c>
      <c r="H4585" s="1">
        <v>-1.207577E-5</v>
      </c>
      <c r="I4585">
        <v>148.56700000000001</v>
      </c>
      <c r="J4585">
        <v>-195.3364</v>
      </c>
      <c r="K4585">
        <v>1.103529</v>
      </c>
      <c r="L4585">
        <v>152.96789999999999</v>
      </c>
      <c r="M4585">
        <v>-0.4330157</v>
      </c>
      <c r="N4585">
        <v>-1.2894040000000001E-2</v>
      </c>
      <c r="O4585">
        <v>-0.90129420000000005</v>
      </c>
      <c r="P4585">
        <v>-0.58048149999999998</v>
      </c>
      <c r="Q4585">
        <v>0.35149390000000003</v>
      </c>
      <c r="R4585">
        <v>-0.73450209999999905</v>
      </c>
      <c r="S4585">
        <v>-2.5393219999999999</v>
      </c>
      <c r="T4585">
        <v>-0.57823669999999905</v>
      </c>
      <c r="U4585">
        <v>-2.3643190000000001</v>
      </c>
      <c r="V4585">
        <v>0.21135429999999999</v>
      </c>
      <c r="W4585">
        <v>0.3596685</v>
      </c>
      <c r="X4585">
        <v>0.90882779999999996</v>
      </c>
      <c r="Y4585">
        <v>0.35510890000000001</v>
      </c>
      <c r="Z4585">
        <v>0.15108279999999999</v>
      </c>
      <c r="AA4585">
        <v>0.92253549999999995</v>
      </c>
      <c r="AB4585">
        <v>24</v>
      </c>
      <c r="AC4585">
        <v>-4.7869999999999999</v>
      </c>
      <c r="AD4585">
        <v>-1.1035410757699999</v>
      </c>
      <c r="AE4585">
        <v>-4.4008999999999698</v>
      </c>
      <c r="AF4585">
        <v>2.3415962842354401</v>
      </c>
      <c r="AG4585">
        <v>-1.1035410757699999</v>
      </c>
      <c r="AH4585">
        <v>5.8707693500061602</v>
      </c>
      <c r="AI4585">
        <v>99.903811676542404</v>
      </c>
      <c r="AJ4585">
        <v>68.2550786766828</v>
      </c>
      <c r="AK4585">
        <v>6.4161365965219703</v>
      </c>
      <c r="AL4585">
        <v>68.920161567797095</v>
      </c>
      <c r="AM4585">
        <v>76.908166883697703</v>
      </c>
      <c r="AN4585">
        <v>1.00000002003678</v>
      </c>
    </row>
    <row r="4586" spans="1:40" x14ac:dyDescent="0.25">
      <c r="A4586" t="str">
        <f>"20190304164218257"</f>
        <v>20190304164218257</v>
      </c>
      <c r="B4586" t="str">
        <f>"1551688938245167"</f>
        <v>1551688938245167</v>
      </c>
      <c r="C4586" t="s">
        <v>40</v>
      </c>
      <c r="D4586">
        <v>4.8303260000000003</v>
      </c>
      <c r="E4586">
        <v>0.584194199999999</v>
      </c>
      <c r="F4586" t="s">
        <v>53</v>
      </c>
      <c r="G4586">
        <v>-200.15899999999999</v>
      </c>
      <c r="H4586" s="1">
        <v>-1.20541899999999E-5</v>
      </c>
      <c r="I4586">
        <v>148.54750000000001</v>
      </c>
      <c r="J4586">
        <v>-195.3965</v>
      </c>
      <c r="K4586">
        <v>1.103515</v>
      </c>
      <c r="L4586">
        <v>152.85679999999999</v>
      </c>
      <c r="M4586">
        <v>-0.4381138</v>
      </c>
      <c r="N4586">
        <v>-1.2813110000000001E-2</v>
      </c>
      <c r="O4586">
        <v>-0.89882830000000002</v>
      </c>
      <c r="P4586">
        <v>-0.58752139999999997</v>
      </c>
      <c r="Q4586">
        <v>0.35026200000000002</v>
      </c>
      <c r="R4586">
        <v>-0.72947600000000001</v>
      </c>
      <c r="S4586">
        <v>-2.556915</v>
      </c>
      <c r="T4586">
        <v>-0.58509549999999999</v>
      </c>
      <c r="U4586">
        <v>-2.343674</v>
      </c>
      <c r="V4586">
        <v>0.21468219999999999</v>
      </c>
      <c r="W4586">
        <v>0.35830400000000001</v>
      </c>
      <c r="X4586">
        <v>0.90858669999999997</v>
      </c>
      <c r="Y4586">
        <v>0.35678870000000001</v>
      </c>
      <c r="Z4586">
        <v>0.15294070000000001</v>
      </c>
      <c r="AA4586">
        <v>0.92158070000000003</v>
      </c>
      <c r="AB4586">
        <v>24</v>
      </c>
      <c r="AC4586">
        <v>-4.7625000000000099</v>
      </c>
      <c r="AD4586">
        <v>-1.10352705419</v>
      </c>
      <c r="AE4586">
        <v>-4.3092999999999702</v>
      </c>
      <c r="AF4586">
        <v>2.3242876136577202</v>
      </c>
      <c r="AG4586">
        <v>-1.10352705419</v>
      </c>
      <c r="AH4586">
        <v>5.7894188469529198</v>
      </c>
      <c r="AI4586">
        <v>100.031170953292</v>
      </c>
      <c r="AJ4586">
        <v>68.125937686998398</v>
      </c>
      <c r="AK4586">
        <v>6.3354128086325696</v>
      </c>
      <c r="AL4586">
        <v>69.003924608642293</v>
      </c>
      <c r="AM4586">
        <v>76.705888505972098</v>
      </c>
      <c r="AN4586">
        <v>0.99999999741486501</v>
      </c>
    </row>
    <row r="4587" spans="1:40" x14ac:dyDescent="0.25">
      <c r="A4587" t="str">
        <f>"20190304164218270"</f>
        <v>20190304164218270</v>
      </c>
      <c r="B4587" t="str">
        <f>"1551688938265258"</f>
        <v>1551688938265258</v>
      </c>
      <c r="C4587" t="s">
        <v>40</v>
      </c>
      <c r="D4587">
        <v>4.2646629999999996</v>
      </c>
      <c r="E4587">
        <v>0.58402290000000001</v>
      </c>
      <c r="F4587" t="s">
        <v>53</v>
      </c>
      <c r="G4587">
        <v>-200.2122</v>
      </c>
      <c r="H4587" s="1">
        <v>-1.2020030000000001E-5</v>
      </c>
      <c r="I4587">
        <v>148.5121</v>
      </c>
      <c r="J4587">
        <v>-195.45779999999999</v>
      </c>
      <c r="K4587">
        <v>1.1034980000000001</v>
      </c>
      <c r="L4587">
        <v>152.7449</v>
      </c>
      <c r="M4587">
        <v>-0.44324039999999998</v>
      </c>
      <c r="N4587">
        <v>-1.272855E-2</v>
      </c>
      <c r="O4587">
        <v>-0.89631249999999996</v>
      </c>
      <c r="P4587">
        <v>-0.59466399999999997</v>
      </c>
      <c r="Q4587">
        <v>0.34870449999999997</v>
      </c>
      <c r="R4587">
        <v>-0.72441690000000003</v>
      </c>
      <c r="S4587">
        <v>-2.5742950000000002</v>
      </c>
      <c r="T4587">
        <v>-0.58989740000000002</v>
      </c>
      <c r="U4587">
        <v>-2.322479</v>
      </c>
      <c r="V4587">
        <v>0.218079</v>
      </c>
      <c r="W4587">
        <v>0.35660950000000002</v>
      </c>
      <c r="X4587">
        <v>0.90844440000000004</v>
      </c>
      <c r="Y4587">
        <v>0.3585604</v>
      </c>
      <c r="Z4587">
        <v>0.15424979999999999</v>
      </c>
      <c r="AA4587">
        <v>0.9206744</v>
      </c>
      <c r="AB4587">
        <v>24</v>
      </c>
      <c r="AC4587">
        <v>-4.7544000000000004</v>
      </c>
      <c r="AD4587">
        <v>-1.1035100200300001</v>
      </c>
      <c r="AE4587">
        <v>-4.2327999999999903</v>
      </c>
      <c r="AF4587">
        <v>2.3158765261761398</v>
      </c>
      <c r="AG4587">
        <v>-1.1035100200300001</v>
      </c>
      <c r="AH4587">
        <v>5.7295470039293503</v>
      </c>
      <c r="AI4587">
        <v>100.124302558026</v>
      </c>
      <c r="AJ4587">
        <v>67.991495969583298</v>
      </c>
      <c r="AK4587">
        <v>6.2776370808637898</v>
      </c>
      <c r="AL4587">
        <v>69.107880945474307</v>
      </c>
      <c r="AM4587">
        <v>76.501145213977594</v>
      </c>
      <c r="AN4587">
        <v>1.0000000068113</v>
      </c>
    </row>
    <row r="4588" spans="1:40" x14ac:dyDescent="0.25">
      <c r="A4588" t="str">
        <f>"20190304164218281"</f>
        <v>20190304164218281</v>
      </c>
      <c r="B4588" t="str">
        <f>"1551688938275994"</f>
        <v>1551688938275994</v>
      </c>
      <c r="C4588" t="s">
        <v>40</v>
      </c>
      <c r="D4588">
        <v>4.4568079999999997</v>
      </c>
      <c r="E4588">
        <v>0.58422220000000002</v>
      </c>
      <c r="F4588" t="s">
        <v>53</v>
      </c>
      <c r="G4588">
        <v>-200.26060000000001</v>
      </c>
      <c r="H4588" s="1">
        <v>-1.1989159999999999E-5</v>
      </c>
      <c r="I4588">
        <v>148.4804</v>
      </c>
      <c r="J4588">
        <v>-195.5256</v>
      </c>
      <c r="K4588">
        <v>1.103477</v>
      </c>
      <c r="L4588">
        <v>152.6224</v>
      </c>
      <c r="M4588">
        <v>-0.44885190000000003</v>
      </c>
      <c r="N4588">
        <v>-1.263383E-2</v>
      </c>
      <c r="O4588">
        <v>-0.8935168</v>
      </c>
      <c r="P4588">
        <v>-0.60175590000000001</v>
      </c>
      <c r="Q4588">
        <v>0.34735080000000002</v>
      </c>
      <c r="R4588">
        <v>-0.71919219999999995</v>
      </c>
      <c r="S4588">
        <v>-2.5911249999999999</v>
      </c>
      <c r="T4588">
        <v>-0.59535229999999995</v>
      </c>
      <c r="U4588">
        <v>-2.3007810000000002</v>
      </c>
      <c r="V4588">
        <v>0.22100800000000001</v>
      </c>
      <c r="W4588">
        <v>0.35511710000000002</v>
      </c>
      <c r="X4588">
        <v>0.90832109999999999</v>
      </c>
      <c r="Y4588">
        <v>0.3597921</v>
      </c>
      <c r="Z4588">
        <v>0.15571670000000001</v>
      </c>
      <c r="AA4588">
        <v>0.91994670000000001</v>
      </c>
      <c r="AB4588">
        <v>24</v>
      </c>
      <c r="AC4588">
        <v>-4.7350000000000101</v>
      </c>
      <c r="AD4588">
        <v>-1.1034889891599999</v>
      </c>
      <c r="AE4588">
        <v>-4.1419999999999897</v>
      </c>
      <c r="AF4588">
        <v>2.3010481349496401</v>
      </c>
      <c r="AG4588">
        <v>-1.1034889891599999</v>
      </c>
      <c r="AH4588">
        <v>5.6528000329477397</v>
      </c>
      <c r="AI4588">
        <v>100.248652972518</v>
      </c>
      <c r="AJ4588">
        <v>67.850559415819006</v>
      </c>
      <c r="AK4588">
        <v>6.2021495210166098</v>
      </c>
      <c r="AL4588">
        <v>69.199377698995605</v>
      </c>
      <c r="AM4588">
        <v>76.324820081949696</v>
      </c>
      <c r="AN4588">
        <v>0.99999995574080902</v>
      </c>
    </row>
    <row r="4589" spans="1:40" x14ac:dyDescent="0.25">
      <c r="A4589" t="str">
        <f>"20190304164218297"</f>
        <v>20190304164218297</v>
      </c>
      <c r="B4589" t="str">
        <f>"1551688938295514"</f>
        <v>1551688938295514</v>
      </c>
      <c r="C4589" t="s">
        <v>40</v>
      </c>
      <c r="D4589">
        <v>4.4672609999999997</v>
      </c>
      <c r="E4589">
        <v>0.58459220000000001</v>
      </c>
      <c r="F4589" t="s">
        <v>53</v>
      </c>
      <c r="G4589">
        <v>-200.33959999999999</v>
      </c>
      <c r="H4589" s="1">
        <v>-1.1937650000000001E-5</v>
      </c>
      <c r="I4589">
        <v>148.42509999999999</v>
      </c>
      <c r="J4589">
        <v>-195.6105</v>
      </c>
      <c r="K4589">
        <v>1.103451</v>
      </c>
      <c r="L4589">
        <v>152.47219999999999</v>
      </c>
      <c r="M4589">
        <v>-0.45572839999999998</v>
      </c>
      <c r="N4589">
        <v>-1.251158E-2</v>
      </c>
      <c r="O4589">
        <v>-0.89003099999999902</v>
      </c>
      <c r="P4589">
        <v>-0.61143630000000004</v>
      </c>
      <c r="Q4589">
        <v>0.34489370000000003</v>
      </c>
      <c r="R4589">
        <v>-0.71217549999999996</v>
      </c>
      <c r="S4589">
        <v>-2.6105040000000002</v>
      </c>
      <c r="T4589">
        <v>-0.59839509999999996</v>
      </c>
      <c r="U4589">
        <v>-2.2760929999999999</v>
      </c>
      <c r="V4589">
        <v>0.2257373</v>
      </c>
      <c r="W4589">
        <v>0.35246300000000003</v>
      </c>
      <c r="X4589">
        <v>0.90819190000000005</v>
      </c>
      <c r="Y4589">
        <v>0.36082019999999998</v>
      </c>
      <c r="Z4589">
        <v>0.1564651</v>
      </c>
      <c r="AA4589">
        <v>0.91941689999999998</v>
      </c>
      <c r="AB4589">
        <v>24</v>
      </c>
      <c r="AC4589">
        <v>-4.7290999999999803</v>
      </c>
      <c r="AD4589">
        <v>-1.10346293765</v>
      </c>
      <c r="AE4589">
        <v>-4.0471000000000004</v>
      </c>
      <c r="AF4589">
        <v>2.29279409228814</v>
      </c>
      <c r="AG4589">
        <v>-1.10346293765</v>
      </c>
      <c r="AH4589">
        <v>5.5822409722310002</v>
      </c>
      <c r="AI4589">
        <v>100.36212933741901</v>
      </c>
      <c r="AJ4589">
        <v>67.670570957000393</v>
      </c>
      <c r="AK4589">
        <v>6.1348145429550698</v>
      </c>
      <c r="AL4589">
        <v>69.361962841711104</v>
      </c>
      <c r="AM4589">
        <v>76.041606478149703</v>
      </c>
      <c r="AN4589">
        <v>1.0000000111029499</v>
      </c>
    </row>
    <row r="4590" spans="1:40" x14ac:dyDescent="0.25">
      <c r="A4590" t="str">
        <f>"20190304164218310"</f>
        <v>20190304164218310</v>
      </c>
      <c r="B4590" t="str">
        <f>"1551688938305274"</f>
        <v>1551688938305274</v>
      </c>
      <c r="C4590" t="s">
        <v>40</v>
      </c>
      <c r="D4590">
        <v>4.4909129999999999</v>
      </c>
      <c r="E4590">
        <v>0.58470509999999998</v>
      </c>
      <c r="F4590" t="s">
        <v>53</v>
      </c>
      <c r="G4590">
        <v>-200.45179999999999</v>
      </c>
      <c r="H4590" s="1">
        <v>-1.18695E-5</v>
      </c>
      <c r="I4590">
        <v>148.36320000000001</v>
      </c>
      <c r="J4590">
        <v>-195.6746</v>
      </c>
      <c r="K4590">
        <v>1.1034379999999999</v>
      </c>
      <c r="L4590">
        <v>152.36060000000001</v>
      </c>
      <c r="M4590">
        <v>-0.46084029999999998</v>
      </c>
      <c r="N4590">
        <v>-1.2419690000000001E-2</v>
      </c>
      <c r="O4590">
        <v>-0.88739639999999997</v>
      </c>
      <c r="P4590">
        <v>-0.61676160000000002</v>
      </c>
      <c r="Q4590">
        <v>0.34434550000000003</v>
      </c>
      <c r="R4590">
        <v>-0.70783609999999997</v>
      </c>
      <c r="S4590">
        <v>-2.6378629999999998</v>
      </c>
      <c r="T4590">
        <v>-0.60124440000000001</v>
      </c>
      <c r="U4590">
        <v>-2.2388759999999999</v>
      </c>
      <c r="V4590">
        <v>0.22720499999999999</v>
      </c>
      <c r="W4590">
        <v>0.35180109999999998</v>
      </c>
      <c r="X4590">
        <v>0.90808250000000001</v>
      </c>
      <c r="Y4590">
        <v>0.3675329</v>
      </c>
      <c r="Z4590">
        <v>0.1575618</v>
      </c>
      <c r="AA4590">
        <v>0.91656629999999994</v>
      </c>
      <c r="AB4590">
        <v>24</v>
      </c>
      <c r="AC4590">
        <v>-4.7771999999999899</v>
      </c>
      <c r="AD4590">
        <v>-1.1034498694999999</v>
      </c>
      <c r="AE4590">
        <v>-3.9973999999999901</v>
      </c>
      <c r="AF4590">
        <v>2.3243514730444002</v>
      </c>
      <c r="AG4590">
        <v>-1.1034498694999999</v>
      </c>
      <c r="AH4590">
        <v>5.5743202889907204</v>
      </c>
      <c r="AI4590">
        <v>100.35403815412501</v>
      </c>
      <c r="AJ4590">
        <v>67.365090231453607</v>
      </c>
      <c r="AK4590">
        <v>6.1394835343859997</v>
      </c>
      <c r="AL4590">
        <v>69.402481420985595</v>
      </c>
      <c r="AM4590">
        <v>75.952808156977397</v>
      </c>
      <c r="AN4590">
        <v>0.99999997639622895</v>
      </c>
    </row>
    <row r="4591" spans="1:40" x14ac:dyDescent="0.25">
      <c r="A4591" t="str">
        <f>"20190304164218322"</f>
        <v>20190304164218322</v>
      </c>
      <c r="B4591" t="str">
        <f>"1551688938316010"</f>
        <v>1551688938316010</v>
      </c>
      <c r="C4591" t="s">
        <v>40</v>
      </c>
      <c r="D4591">
        <v>4.4863</v>
      </c>
      <c r="E4591">
        <v>0.58470509999999998</v>
      </c>
      <c r="F4591" t="s">
        <v>53</v>
      </c>
      <c r="G4591">
        <v>-200.5565</v>
      </c>
      <c r="H4591" s="1">
        <v>-1.1799229999999999E-5</v>
      </c>
      <c r="I4591">
        <v>148.28299999999999</v>
      </c>
      <c r="J4591">
        <v>-195.7433</v>
      </c>
      <c r="K4591">
        <v>1.1034189999999999</v>
      </c>
      <c r="L4591">
        <v>152.24180000000001</v>
      </c>
      <c r="M4591">
        <v>-0.46627590000000002</v>
      </c>
      <c r="N4591">
        <v>-1.2321260000000001E-2</v>
      </c>
      <c r="O4591">
        <v>-0.88455360000000005</v>
      </c>
      <c r="P4591">
        <v>-0.62208730000000001</v>
      </c>
      <c r="Q4591">
        <v>0.34432649999999998</v>
      </c>
      <c r="R4591">
        <v>-0.7031693</v>
      </c>
      <c r="S4591">
        <v>-2.6545100000000001</v>
      </c>
      <c r="T4591">
        <v>-0.59999809999999998</v>
      </c>
      <c r="U4591">
        <v>-2.2171630000000002</v>
      </c>
      <c r="V4591">
        <v>0.22849549999999999</v>
      </c>
      <c r="W4591">
        <v>0.35166229999999998</v>
      </c>
      <c r="X4591">
        <v>0.90781239999999996</v>
      </c>
      <c r="Y4591">
        <v>0.3691219</v>
      </c>
      <c r="Z4591">
        <v>0.1571813</v>
      </c>
      <c r="AA4591">
        <v>0.91599299999999995</v>
      </c>
      <c r="AB4591">
        <v>24</v>
      </c>
      <c r="AC4591">
        <v>-4.8131999999999904</v>
      </c>
      <c r="AD4591">
        <v>-1.1034307992299901</v>
      </c>
      <c r="AE4591">
        <v>-3.9588000000000201</v>
      </c>
      <c r="AF4591">
        <v>2.3385134974899402</v>
      </c>
      <c r="AG4591">
        <v>-1.1034307992299901</v>
      </c>
      <c r="AH4591">
        <v>5.5718156100769001</v>
      </c>
      <c r="AI4591">
        <v>100.348574106755</v>
      </c>
      <c r="AJ4591">
        <v>67.232010538946994</v>
      </c>
      <c r="AK4591">
        <v>6.1425836664492097</v>
      </c>
      <c r="AL4591">
        <v>69.410976582165105</v>
      </c>
      <c r="AM4591">
        <v>75.872172313151097</v>
      </c>
      <c r="AN4591">
        <v>0.99999996017764903</v>
      </c>
    </row>
    <row r="4592" spans="1:40" x14ac:dyDescent="0.25">
      <c r="A4592" t="str">
        <f>"20190304164218334"</f>
        <v>20190304164218334</v>
      </c>
      <c r="B4592" t="str">
        <f>"1551688938325769"</f>
        <v>1551688938325769</v>
      </c>
      <c r="C4592" t="s">
        <v>40</v>
      </c>
      <c r="D4592">
        <v>4.4916330000000002</v>
      </c>
      <c r="E4592">
        <v>0.58741779999999999</v>
      </c>
      <c r="F4592" t="s">
        <v>53</v>
      </c>
      <c r="G4592">
        <v>-200.66409999999999</v>
      </c>
      <c r="H4592" s="1">
        <v>-1.1726870000000001E-5</v>
      </c>
      <c r="I4592">
        <v>148.2002</v>
      </c>
      <c r="J4592">
        <v>-195.81379999999999</v>
      </c>
      <c r="K4592">
        <v>1.1033949999999999</v>
      </c>
      <c r="L4592">
        <v>152.12270000000001</v>
      </c>
      <c r="M4592">
        <v>-0.47175329999999899</v>
      </c>
      <c r="N4592">
        <v>-1.222201E-2</v>
      </c>
      <c r="O4592">
        <v>-0.88164619999999905</v>
      </c>
      <c r="P4592">
        <v>-0.627359</v>
      </c>
      <c r="Q4592">
        <v>0.34474729999999998</v>
      </c>
      <c r="R4592">
        <v>-0.69826259999999996</v>
      </c>
      <c r="S4592">
        <v>-2.6728209999999999</v>
      </c>
      <c r="T4592">
        <v>-0.59935269999999996</v>
      </c>
      <c r="U4592">
        <v>-2.1952669999999999</v>
      </c>
      <c r="V4592">
        <v>0.22981699999999999</v>
      </c>
      <c r="W4592">
        <v>0.35195559999999998</v>
      </c>
      <c r="X4592">
        <v>0.90736510000000004</v>
      </c>
      <c r="Y4592">
        <v>0.3709556</v>
      </c>
      <c r="Z4592">
        <v>0.15690419999999999</v>
      </c>
      <c r="AA4592">
        <v>0.91529939999999999</v>
      </c>
      <c r="AB4592">
        <v>24</v>
      </c>
      <c r="AC4592">
        <v>-4.8502999999999998</v>
      </c>
      <c r="AD4592">
        <v>-1.1034067268700001</v>
      </c>
      <c r="AE4592">
        <v>-3.9225000000000101</v>
      </c>
      <c r="AF4592">
        <v>2.3523729208870301</v>
      </c>
      <c r="AG4592">
        <v>-1.1034067268700001</v>
      </c>
      <c r="AH4592">
        <v>5.5724717509199797</v>
      </c>
      <c r="AI4592">
        <v>100.338340381008</v>
      </c>
      <c r="AJ4592">
        <v>67.113362064611593</v>
      </c>
      <c r="AK4592">
        <v>6.1484637250800898</v>
      </c>
      <c r="AL4592">
        <v>69.393025157946596</v>
      </c>
      <c r="AM4592">
        <v>75.787043717513896</v>
      </c>
      <c r="AN4592">
        <v>1.00000001127918</v>
      </c>
    </row>
    <row r="4593" spans="1:40" x14ac:dyDescent="0.25">
      <c r="A4593" t="str">
        <f>"20190304164218350"</f>
        <v>20190304164218350</v>
      </c>
      <c r="B4593" t="str">
        <f>"1551688938345290"</f>
        <v>1551688938345290</v>
      </c>
      <c r="C4593" t="s">
        <v>40</v>
      </c>
      <c r="D4593">
        <v>4.5092780000000001</v>
      </c>
      <c r="E4593">
        <v>0.58689950000000002</v>
      </c>
      <c r="F4593" t="s">
        <v>53</v>
      </c>
      <c r="G4593">
        <v>-201.6317</v>
      </c>
      <c r="H4593" s="1">
        <v>-1.109425E-5</v>
      </c>
      <c r="I4593">
        <v>147.51609999999999</v>
      </c>
      <c r="J4593">
        <v>-195.89609999999999</v>
      </c>
      <c r="K4593">
        <v>1.103359</v>
      </c>
      <c r="L4593">
        <v>151.98509999999999</v>
      </c>
      <c r="M4593">
        <v>-0.47808970000000001</v>
      </c>
      <c r="N4593">
        <v>-1.2109780000000001E-2</v>
      </c>
      <c r="O4593">
        <v>-0.87822770000000006</v>
      </c>
      <c r="P4593">
        <v>-0.63324380000000002</v>
      </c>
      <c r="Q4593">
        <v>0.34553779999999901</v>
      </c>
      <c r="R4593">
        <v>-0.69253609999999999</v>
      </c>
      <c r="S4593">
        <v>-2.6909329999999998</v>
      </c>
      <c r="T4593">
        <v>-0.51035339999999996</v>
      </c>
      <c r="U4593">
        <v>-2.130646</v>
      </c>
      <c r="V4593">
        <v>0.2311868</v>
      </c>
      <c r="W4593">
        <v>0.3525991</v>
      </c>
      <c r="X4593">
        <v>0.90676710000000005</v>
      </c>
      <c r="Y4593">
        <v>0.3836117</v>
      </c>
      <c r="Z4593">
        <v>0.13407729999999901</v>
      </c>
      <c r="AA4593">
        <v>0.91370960000000001</v>
      </c>
      <c r="AB4593">
        <v>24</v>
      </c>
      <c r="AC4593">
        <v>-5.7355999999999998</v>
      </c>
      <c r="AD4593">
        <v>-1.10337009425</v>
      </c>
      <c r="AE4593">
        <v>-4.4689999999999896</v>
      </c>
      <c r="AF4593">
        <v>2.8354986552953099</v>
      </c>
      <c r="AG4593">
        <v>-1.10337009425</v>
      </c>
      <c r="AH4593">
        <v>6.5173427407176803</v>
      </c>
      <c r="AI4593">
        <v>98.824239227942996</v>
      </c>
      <c r="AJ4593">
        <v>66.487599529418006</v>
      </c>
      <c r="AK4593">
        <v>7.1925819139619298</v>
      </c>
      <c r="AL4593">
        <v>69.3536300562142</v>
      </c>
      <c r="AM4593">
        <v>75.696750765379505</v>
      </c>
      <c r="AN4593">
        <v>1.00000001772872</v>
      </c>
    </row>
    <row r="4594" spans="1:40" x14ac:dyDescent="0.25">
      <c r="A4594" t="str">
        <f>"20190304164218367"</f>
        <v>20190304164218367</v>
      </c>
      <c r="B4594" t="str">
        <f>"1551688938355708"</f>
        <v>1551688938355708</v>
      </c>
      <c r="C4594" t="s">
        <v>40</v>
      </c>
      <c r="D4594">
        <v>4.5342260000000003</v>
      </c>
      <c r="E4594">
        <v>0.58669859999999996</v>
      </c>
      <c r="F4594" t="s">
        <v>53</v>
      </c>
      <c r="G4594">
        <v>-201.8561</v>
      </c>
      <c r="H4594" s="1">
        <v>-1.09439E-5</v>
      </c>
      <c r="I4594">
        <v>147.34520000000001</v>
      </c>
      <c r="J4594">
        <v>-195.9924</v>
      </c>
      <c r="K4594">
        <v>1.1033170000000001</v>
      </c>
      <c r="L4594">
        <v>151.827</v>
      </c>
      <c r="M4594">
        <v>-0.48540339999999998</v>
      </c>
      <c r="N4594">
        <v>-1.1984430000000001E-2</v>
      </c>
      <c r="O4594">
        <v>-0.87420830000000005</v>
      </c>
      <c r="P4594">
        <v>-0.63998469999999996</v>
      </c>
      <c r="Q4594">
        <v>0.34914250000000002</v>
      </c>
      <c r="R4594">
        <v>-0.68448469999999995</v>
      </c>
      <c r="S4594">
        <v>-2.7065730000000001</v>
      </c>
      <c r="T4594">
        <v>-0.50106600000000001</v>
      </c>
      <c r="U4594">
        <v>-2.107056</v>
      </c>
      <c r="V4594">
        <v>0.2334725</v>
      </c>
      <c r="W4594">
        <v>0.35600530000000002</v>
      </c>
      <c r="X4594">
        <v>0.90484849999999994</v>
      </c>
      <c r="Y4594">
        <v>0.38373810000000003</v>
      </c>
      <c r="Z4594">
        <v>0.1314033</v>
      </c>
      <c r="AA4594">
        <v>0.914045</v>
      </c>
      <c r="AB4594">
        <v>24</v>
      </c>
      <c r="AC4594">
        <v>-5.8636999999999899</v>
      </c>
      <c r="AD4594">
        <v>-1.1033279439000001</v>
      </c>
      <c r="AE4594">
        <v>-4.48179999999999</v>
      </c>
      <c r="AF4594">
        <v>2.8863197973675998</v>
      </c>
      <c r="AG4594">
        <v>-1.1033279439000001</v>
      </c>
      <c r="AH4594">
        <v>6.6168915651103104</v>
      </c>
      <c r="AI4594">
        <v>98.689640965145898</v>
      </c>
      <c r="AJ4594">
        <v>66.432939664886206</v>
      </c>
      <c r="AK4594">
        <v>7.3028370178236104</v>
      </c>
      <c r="AL4594">
        <v>69.144930414987897</v>
      </c>
      <c r="AM4594">
        <v>75.531890058438194</v>
      </c>
      <c r="AN4594">
        <v>0.99999999491829406</v>
      </c>
    </row>
    <row r="4595" spans="1:40" x14ac:dyDescent="0.25">
      <c r="A4595" t="str">
        <f>"20190304164218383"</f>
        <v>20190304164218383</v>
      </c>
      <c r="B4595" t="str">
        <f>"1551688938376205"</f>
        <v>1551688938376205</v>
      </c>
      <c r="C4595" t="s">
        <v>40</v>
      </c>
      <c r="D4595">
        <v>4.5388380000000002</v>
      </c>
      <c r="E4595">
        <v>0.58632550000000005</v>
      </c>
      <c r="F4595" t="s">
        <v>53</v>
      </c>
      <c r="G4595">
        <v>-202.22909999999999</v>
      </c>
      <c r="H4595" s="1">
        <v>-1.070313E-5</v>
      </c>
      <c r="I4595">
        <v>147.09190000000001</v>
      </c>
      <c r="J4595">
        <v>-196.08369999999999</v>
      </c>
      <c r="K4595">
        <v>1.1032580000000001</v>
      </c>
      <c r="L4595">
        <v>151.67939999999999</v>
      </c>
      <c r="M4595">
        <v>-0.49227090000000001</v>
      </c>
      <c r="N4595">
        <v>-1.187043E-2</v>
      </c>
      <c r="O4595">
        <v>-0.87036119999999995</v>
      </c>
      <c r="P4595">
        <v>-0.64465309999999998</v>
      </c>
      <c r="Q4595">
        <v>0.35008929999999999</v>
      </c>
      <c r="R4595">
        <v>-0.67960319999999996</v>
      </c>
      <c r="S4595">
        <v>-2.7324980000000001</v>
      </c>
      <c r="T4595">
        <v>-0.4834019</v>
      </c>
      <c r="U4595">
        <v>-2.0745849999999999</v>
      </c>
      <c r="V4595">
        <v>0.23283609999999999</v>
      </c>
      <c r="W4595">
        <v>0.35682909999999901</v>
      </c>
      <c r="X4595">
        <v>0.90468800000000005</v>
      </c>
      <c r="Y4595">
        <v>0.38811669999999998</v>
      </c>
      <c r="Z4595">
        <v>0.1264845</v>
      </c>
      <c r="AA4595">
        <v>0.91288939999999996</v>
      </c>
      <c r="AB4595">
        <v>24</v>
      </c>
      <c r="AC4595">
        <v>-6.1453999999999898</v>
      </c>
      <c r="AD4595">
        <v>-1.1032687031299999</v>
      </c>
      <c r="AE4595">
        <v>-4.5874999999999702</v>
      </c>
      <c r="AF4595">
        <v>3.0279730952889401</v>
      </c>
      <c r="AG4595">
        <v>-1.1032687031299999</v>
      </c>
      <c r="AH4595">
        <v>6.8761629057199096</v>
      </c>
      <c r="AI4595">
        <v>98.3536900226201</v>
      </c>
      <c r="AJ4595">
        <v>66.233324623229294</v>
      </c>
      <c r="AK4595">
        <v>7.5939080323044701</v>
      </c>
      <c r="AL4595">
        <v>69.094412957491798</v>
      </c>
      <c r="AM4595">
        <v>75.567225336923002</v>
      </c>
      <c r="AN4595">
        <v>1.00000001670701</v>
      </c>
    </row>
    <row r="4596" spans="1:40" x14ac:dyDescent="0.25">
      <c r="A4596" t="str">
        <f>"20190304164218400"</f>
        <v>20190304164218400</v>
      </c>
      <c r="B4596" t="str">
        <f>"1551688938395724"</f>
        <v>1551688938395724</v>
      </c>
      <c r="C4596" t="s">
        <v>40</v>
      </c>
      <c r="D4596">
        <v>4.4969780000000004</v>
      </c>
      <c r="E4596">
        <v>0.5859434</v>
      </c>
      <c r="F4596" t="s">
        <v>53</v>
      </c>
      <c r="G4596">
        <v>-202.50700000000001</v>
      </c>
      <c r="H4596" s="1">
        <v>-1.0514989999999999E-5</v>
      </c>
      <c r="I4596">
        <v>146.87379999999999</v>
      </c>
      <c r="J4596">
        <v>-196.1883</v>
      </c>
      <c r="K4596">
        <v>1.1031759999999999</v>
      </c>
      <c r="L4596">
        <v>151.51419999999999</v>
      </c>
      <c r="M4596">
        <v>-0.50004570000000004</v>
      </c>
      <c r="N4596">
        <v>-1.174675E-2</v>
      </c>
      <c r="O4596">
        <v>-0.86591949999999995</v>
      </c>
      <c r="P4596">
        <v>-0.65069309999999903</v>
      </c>
      <c r="Q4596">
        <v>0.35368620000000001</v>
      </c>
      <c r="R4596">
        <v>-0.67194109999999996</v>
      </c>
      <c r="S4596">
        <v>-2.7448579999999998</v>
      </c>
      <c r="T4596">
        <v>-0.4714565</v>
      </c>
      <c r="U4596">
        <v>-2.0535739999999998</v>
      </c>
      <c r="V4596">
        <v>0.2338816</v>
      </c>
      <c r="W4596">
        <v>0.3602322</v>
      </c>
      <c r="X4596">
        <v>0.90306819999999999</v>
      </c>
      <c r="Y4596">
        <v>0.38670939999999998</v>
      </c>
      <c r="Z4596">
        <v>0.1230068</v>
      </c>
      <c r="AA4596">
        <v>0.91396129999999998</v>
      </c>
      <c r="AB4596">
        <v>24</v>
      </c>
      <c r="AC4596">
        <v>-6.3186999999999998</v>
      </c>
      <c r="AD4596">
        <v>-1.10318651499</v>
      </c>
      <c r="AE4596">
        <v>-4.6403999999999996</v>
      </c>
      <c r="AF4596">
        <v>3.0901001265121102</v>
      </c>
      <c r="AG4596">
        <v>-1.10318651499</v>
      </c>
      <c r="AH4596">
        <v>7.0389600013405502</v>
      </c>
      <c r="AI4596">
        <v>98.166551390216696</v>
      </c>
      <c r="AJ4596">
        <v>66.298548311095104</v>
      </c>
      <c r="AK4596">
        <v>7.7661249783401098</v>
      </c>
      <c r="AL4596">
        <v>68.885543259188594</v>
      </c>
      <c r="AM4596">
        <v>75.4802414336053</v>
      </c>
      <c r="AN4596">
        <v>1.0000000072933199</v>
      </c>
    </row>
    <row r="4597" spans="1:40" x14ac:dyDescent="0.25">
      <c r="A4597" t="str">
        <f>"20190304164218424"</f>
        <v>20190304164218424</v>
      </c>
      <c r="B4597" t="str">
        <f>"1551688938415244"</f>
        <v>1551688938415244</v>
      </c>
      <c r="C4597" t="s">
        <v>40</v>
      </c>
      <c r="D4597">
        <v>4.5821160000000001</v>
      </c>
      <c r="E4597">
        <v>0.59734759999999998</v>
      </c>
      <c r="F4597" t="s">
        <v>53</v>
      </c>
      <c r="G4597">
        <v>-202.94730000000001</v>
      </c>
      <c r="H4597" s="1">
        <v>-1.023126E-5</v>
      </c>
      <c r="I4597">
        <v>146.57640000000001</v>
      </c>
      <c r="J4597">
        <v>-196.32669999999999</v>
      </c>
      <c r="K4597">
        <v>1.10304</v>
      </c>
      <c r="L4597">
        <v>151.3005</v>
      </c>
      <c r="M4597">
        <v>-0.51022619999999996</v>
      </c>
      <c r="N4597">
        <v>-1.159337E-2</v>
      </c>
      <c r="O4597">
        <v>-0.85996229999999996</v>
      </c>
      <c r="P4597">
        <v>-0.65797059999999996</v>
      </c>
      <c r="Q4597">
        <v>0.35822850000000001</v>
      </c>
      <c r="R4597">
        <v>-0.66238019999999997</v>
      </c>
      <c r="S4597">
        <v>-2.7679140000000002</v>
      </c>
      <c r="T4597">
        <v>-0.45176909999999998</v>
      </c>
      <c r="U4597">
        <v>-2.0220950000000002</v>
      </c>
      <c r="V4597">
        <v>0.23449400000000001</v>
      </c>
      <c r="W4597">
        <v>0.3645311</v>
      </c>
      <c r="X4597">
        <v>0.90118240000000005</v>
      </c>
      <c r="Y4597">
        <v>0.3868761</v>
      </c>
      <c r="Z4597">
        <v>0.1172865</v>
      </c>
      <c r="AA4597">
        <v>0.91464250000000002</v>
      </c>
      <c r="AB4597">
        <v>24</v>
      </c>
      <c r="AC4597">
        <v>-6.62060000000002</v>
      </c>
      <c r="AD4597">
        <v>-1.1030502312599999</v>
      </c>
      <c r="AE4597">
        <v>-4.7240999999999902</v>
      </c>
      <c r="AF4597">
        <v>3.2240258124015</v>
      </c>
      <c r="AG4597">
        <v>-1.1030502312599999</v>
      </c>
      <c r="AH4597">
        <v>7.30665537482425</v>
      </c>
      <c r="AI4597">
        <v>97.863779899262397</v>
      </c>
      <c r="AJ4597">
        <v>66.190765494411096</v>
      </c>
      <c r="AK4597">
        <v>8.0621507687565597</v>
      </c>
      <c r="AL4597">
        <v>68.621272212351499</v>
      </c>
      <c r="AM4597">
        <v>75.414673260058606</v>
      </c>
      <c r="AN4597">
        <v>1.00000003848648</v>
      </c>
    </row>
    <row r="4598" spans="1:40" x14ac:dyDescent="0.25">
      <c r="A4598" t="str">
        <f>"20190304164218444"</f>
        <v>20190304164218444</v>
      </c>
      <c r="B4598" t="str">
        <f>"1551688938435740"</f>
        <v>1551688938435740</v>
      </c>
      <c r="C4598" t="s">
        <v>40</v>
      </c>
      <c r="D4598">
        <v>4.7627300000000004</v>
      </c>
      <c r="E4598">
        <v>0.59139560000000002</v>
      </c>
      <c r="F4598" t="s">
        <v>53</v>
      </c>
      <c r="G4598">
        <v>-203.9983</v>
      </c>
      <c r="H4598" s="1">
        <v>-9.6943430000000006E-6</v>
      </c>
      <c r="I4598">
        <v>146.16569999999999</v>
      </c>
      <c r="J4598">
        <v>-196.45750000000001</v>
      </c>
      <c r="K4598">
        <v>1.102878</v>
      </c>
      <c r="L4598">
        <v>151.10399999999899</v>
      </c>
      <c r="M4598">
        <v>-0.5197735</v>
      </c>
      <c r="N4598">
        <v>-1.14632E-2</v>
      </c>
      <c r="O4598">
        <v>-0.85422739999999997</v>
      </c>
      <c r="P4598">
        <v>-0.66464140000000005</v>
      </c>
      <c r="Q4598">
        <v>0.3628924</v>
      </c>
      <c r="R4598">
        <v>-0.65311649999999999</v>
      </c>
      <c r="S4598">
        <v>-2.8576969999999999</v>
      </c>
      <c r="T4598">
        <v>-0.41088770000000002</v>
      </c>
      <c r="U4598">
        <v>-1.912704</v>
      </c>
      <c r="V4598">
        <v>0.2351307</v>
      </c>
      <c r="W4598">
        <v>0.36895790000000001</v>
      </c>
      <c r="X4598">
        <v>0.89921280000000003</v>
      </c>
      <c r="Y4598">
        <v>0.41519980000000001</v>
      </c>
      <c r="Z4598">
        <v>0.1064865</v>
      </c>
      <c r="AA4598">
        <v>0.90347650000000002</v>
      </c>
      <c r="AB4598">
        <v>24</v>
      </c>
      <c r="AC4598">
        <v>-7.5407999999999902</v>
      </c>
      <c r="AD4598">
        <v>-1.1028876943429999</v>
      </c>
      <c r="AE4598">
        <v>-4.9382999999999901</v>
      </c>
      <c r="AF4598">
        <v>3.8178591257016201</v>
      </c>
      <c r="AG4598">
        <v>-1.1028876943429999</v>
      </c>
      <c r="AH4598">
        <v>8.0184324509757907</v>
      </c>
      <c r="AI4598">
        <v>97.079076517789105</v>
      </c>
      <c r="AJ4598">
        <v>64.539229757393997</v>
      </c>
      <c r="AK4598">
        <v>8.9491713885084305</v>
      </c>
      <c r="AL4598">
        <v>68.348637799447104</v>
      </c>
      <c r="AM4598">
        <v>75.346113487235201</v>
      </c>
      <c r="AN4598">
        <v>1.0000000188693601</v>
      </c>
    </row>
    <row r="4599" spans="1:40" x14ac:dyDescent="0.25">
      <c r="A4599" t="str">
        <f>"20190304164218457"</f>
        <v>20190304164218457</v>
      </c>
      <c r="B4599" t="str">
        <f>"1551688938445501"</f>
        <v>1551688938445501</v>
      </c>
      <c r="C4599" t="s">
        <v>40</v>
      </c>
      <c r="D4599">
        <v>4.7432869999999996</v>
      </c>
      <c r="E4599">
        <v>0.59119560000000004</v>
      </c>
      <c r="F4599" t="s">
        <v>53</v>
      </c>
      <c r="G4599">
        <v>-202.7381</v>
      </c>
      <c r="H4599" s="1">
        <v>-1.040729E-5</v>
      </c>
      <c r="I4599">
        <v>146.8562</v>
      </c>
      <c r="J4599">
        <v>-196.53970000000001</v>
      </c>
      <c r="K4599">
        <v>1.1027739999999999</v>
      </c>
      <c r="L4599">
        <v>150.98310000000001</v>
      </c>
      <c r="M4599">
        <v>-0.52573599999999998</v>
      </c>
      <c r="N4599">
        <v>-1.1390050000000001E-2</v>
      </c>
      <c r="O4599">
        <v>-0.85057159999999998</v>
      </c>
      <c r="P4599">
        <v>-0.66900630000000005</v>
      </c>
      <c r="Q4599">
        <v>0.3648382</v>
      </c>
      <c r="R4599">
        <v>-0.64755260000000003</v>
      </c>
      <c r="S4599">
        <v>-2.8773040000000001</v>
      </c>
      <c r="T4599">
        <v>-0.50526009999999999</v>
      </c>
      <c r="U4599">
        <v>-1.9460139999999999</v>
      </c>
      <c r="V4599">
        <v>0.2355719</v>
      </c>
      <c r="W4599">
        <v>0.3707628</v>
      </c>
      <c r="X4599">
        <v>0.89835449999999994</v>
      </c>
      <c r="Y4599">
        <v>0.40171030000000002</v>
      </c>
      <c r="Z4599">
        <v>0.13025519999999999</v>
      </c>
      <c r="AA4599">
        <v>0.90645589999999998</v>
      </c>
      <c r="AB4599">
        <v>24</v>
      </c>
      <c r="AC4599">
        <v>-6.1983999999999897</v>
      </c>
      <c r="AD4599">
        <v>-1.1027844072899999</v>
      </c>
      <c r="AE4599">
        <v>-4.1269</v>
      </c>
      <c r="AF4599">
        <v>3.0361371666533601</v>
      </c>
      <c r="AG4599">
        <v>-1.1027844072899999</v>
      </c>
      <c r="AH4599">
        <v>6.6241080870128197</v>
      </c>
      <c r="AI4599">
        <v>98.605879732952602</v>
      </c>
      <c r="AJ4599">
        <v>65.375808860251794</v>
      </c>
      <c r="AK4599">
        <v>7.3697401780608596</v>
      </c>
      <c r="AL4599">
        <v>68.2373309674296</v>
      </c>
      <c r="AM4599">
        <v>75.306384529401299</v>
      </c>
      <c r="AN4599">
        <v>0.99999999080184998</v>
      </c>
    </row>
    <row r="4600" spans="1:40" x14ac:dyDescent="0.25">
      <c r="A4600" t="str">
        <f>"20190304164218469"</f>
        <v>20190304164218469</v>
      </c>
      <c r="B4600" t="str">
        <f>"1551688938465949"</f>
        <v>1551688938465949</v>
      </c>
      <c r="C4600" t="s">
        <v>40</v>
      </c>
      <c r="D4600">
        <v>4.7226049999999997</v>
      </c>
      <c r="E4600">
        <v>0.59103539999999999</v>
      </c>
      <c r="F4600" t="s">
        <v>53</v>
      </c>
      <c r="G4600">
        <v>-202.8716</v>
      </c>
      <c r="H4600" s="1">
        <v>-1.0320210000000001E-5</v>
      </c>
      <c r="I4600">
        <v>146.76249999999999</v>
      </c>
      <c r="J4600">
        <v>-196.61539999999999</v>
      </c>
      <c r="K4600">
        <v>1.1026739999999999</v>
      </c>
      <c r="L4600">
        <v>150.87350000000001</v>
      </c>
      <c r="M4600">
        <v>-0.53120199999999995</v>
      </c>
      <c r="N4600">
        <v>-1.1329199999999999E-2</v>
      </c>
      <c r="O4600">
        <v>-0.84716950000000002</v>
      </c>
      <c r="P4600">
        <v>-0.67353200000000002</v>
      </c>
      <c r="Q4600">
        <v>0.36624230000000002</v>
      </c>
      <c r="R4600">
        <v>-0.64204479999999997</v>
      </c>
      <c r="S4600">
        <v>-2.8927149999999999</v>
      </c>
      <c r="T4600">
        <v>-0.50380209999999903</v>
      </c>
      <c r="U4600">
        <v>-1.928131</v>
      </c>
      <c r="V4600">
        <v>0.2366287</v>
      </c>
      <c r="W4600">
        <v>0.37202940000000001</v>
      </c>
      <c r="X4600">
        <v>0.89755280000000004</v>
      </c>
      <c r="Y4600">
        <v>0.40201559999999997</v>
      </c>
      <c r="Z4600">
        <v>0.12954160000000001</v>
      </c>
      <c r="AA4600">
        <v>0.90642290000000003</v>
      </c>
      <c r="AB4600">
        <v>24</v>
      </c>
      <c r="AC4600">
        <v>-6.2561999999999998</v>
      </c>
      <c r="AD4600">
        <v>-1.1026843202099901</v>
      </c>
      <c r="AE4600">
        <v>-4.1110000000000104</v>
      </c>
      <c r="AF4600">
        <v>3.0503074962155998</v>
      </c>
      <c r="AG4600">
        <v>-1.1026843202099901</v>
      </c>
      <c r="AH4600">
        <v>6.6619122172905501</v>
      </c>
      <c r="AI4600">
        <v>98.558516991292393</v>
      </c>
      <c r="AJ4600">
        <v>65.398251314450505</v>
      </c>
      <c r="AK4600">
        <v>7.4095453924239703</v>
      </c>
      <c r="AL4600">
        <v>68.159170321333207</v>
      </c>
      <c r="AM4600">
        <v>75.230733209441894</v>
      </c>
      <c r="AN4600">
        <v>1.00000002245794</v>
      </c>
    </row>
    <row r="4601" spans="1:40" x14ac:dyDescent="0.25">
      <c r="A4601" t="str">
        <f>"20190304164218489"</f>
        <v>20190304164218489</v>
      </c>
      <c r="B4601" t="str">
        <f>"1551688938485469"</f>
        <v>1551688938485469</v>
      </c>
      <c r="C4601" t="s">
        <v>40</v>
      </c>
      <c r="D4601">
        <v>4.6664909999999997</v>
      </c>
      <c r="E4601">
        <v>0.5912231</v>
      </c>
      <c r="F4601" t="s">
        <v>53</v>
      </c>
      <c r="G4601">
        <v>-202.97219999999999</v>
      </c>
      <c r="H4601" s="1">
        <v>-1.025523E-5</v>
      </c>
      <c r="I4601">
        <v>146.69409999999999</v>
      </c>
      <c r="J4601">
        <v>-196.73570000000001</v>
      </c>
      <c r="K4601">
        <v>1.102519</v>
      </c>
      <c r="L4601">
        <v>150.70240000000001</v>
      </c>
      <c r="M4601">
        <v>-0.53984709999999902</v>
      </c>
      <c r="N4601">
        <v>-1.124342E-2</v>
      </c>
      <c r="O4601">
        <v>-0.84168809999999905</v>
      </c>
      <c r="P4601">
        <v>-0.68087580000000003</v>
      </c>
      <c r="Q4601">
        <v>0.36815940000000003</v>
      </c>
      <c r="R4601">
        <v>-0.63314040000000005</v>
      </c>
      <c r="S4601">
        <v>-2.9066619999999999</v>
      </c>
      <c r="T4601">
        <v>-0.50420120000000002</v>
      </c>
      <c r="U4601">
        <v>-1.911011</v>
      </c>
      <c r="V4601">
        <v>0.2385525</v>
      </c>
      <c r="W4601">
        <v>0.37373020000000001</v>
      </c>
      <c r="X4601">
        <v>0.89633609999999897</v>
      </c>
      <c r="Y4601">
        <v>0.39842490000000003</v>
      </c>
      <c r="Z4601">
        <v>0.12901609999999999</v>
      </c>
      <c r="AA4601">
        <v>0.90808180000000005</v>
      </c>
      <c r="AB4601">
        <v>24</v>
      </c>
      <c r="AC4601">
        <v>-6.2364999999999702</v>
      </c>
      <c r="AD4601">
        <v>-1.1025292552299999</v>
      </c>
      <c r="AE4601">
        <v>-4.0083000000000197</v>
      </c>
      <c r="AF4601">
        <v>3.0187472178332801</v>
      </c>
      <c r="AG4601">
        <v>-1.1025292552299999</v>
      </c>
      <c r="AH4601">
        <v>6.5950561429118402</v>
      </c>
      <c r="AI4601">
        <v>98.643239447344101</v>
      </c>
      <c r="AJ4601">
        <v>65.405065316109102</v>
      </c>
      <c r="AK4601">
        <v>7.3364276764630798</v>
      </c>
      <c r="AL4601">
        <v>68.054146389577198</v>
      </c>
      <c r="AM4601">
        <v>75.096662792135504</v>
      </c>
      <c r="AN4601">
        <v>0.99999998090574904</v>
      </c>
    </row>
    <row r="4602" spans="1:40" x14ac:dyDescent="0.25">
      <c r="A4602" t="str">
        <f>"20190304164218501"</f>
        <v>20190304164218501</v>
      </c>
      <c r="B4602" t="str">
        <f>"1551688938496206"</f>
        <v>1551688938496206</v>
      </c>
      <c r="C4602" t="s">
        <v>40</v>
      </c>
      <c r="D4602">
        <v>4.6788080000000001</v>
      </c>
      <c r="E4602">
        <v>0.59074979999999999</v>
      </c>
      <c r="F4602" t="s">
        <v>53</v>
      </c>
      <c r="G4602">
        <v>-203.20240000000001</v>
      </c>
      <c r="H4602" s="1">
        <v>-1.0108759999999999E-5</v>
      </c>
      <c r="I4602">
        <v>146.54480000000001</v>
      </c>
      <c r="J4602">
        <v>-196.82130000000001</v>
      </c>
      <c r="K4602">
        <v>1.1024020000000001</v>
      </c>
      <c r="L4602">
        <v>150.58260000000001</v>
      </c>
      <c r="M4602">
        <v>-0.54597369999999901</v>
      </c>
      <c r="N4602">
        <v>-1.118922E-2</v>
      </c>
      <c r="O4602">
        <v>-0.83772769999999996</v>
      </c>
      <c r="P4602">
        <v>-0.6857415</v>
      </c>
      <c r="Q4602">
        <v>0.36859170000000002</v>
      </c>
      <c r="R4602">
        <v>-0.62761369999999905</v>
      </c>
      <c r="S4602">
        <v>-2.9263919999999999</v>
      </c>
      <c r="T4602">
        <v>-0.49892579999999997</v>
      </c>
      <c r="U4602">
        <v>-1.8813930000000001</v>
      </c>
      <c r="V4602">
        <v>0.23918320000000001</v>
      </c>
      <c r="W4602">
        <v>0.3740327</v>
      </c>
      <c r="X4602">
        <v>0.8960418</v>
      </c>
      <c r="Y4602">
        <v>0.40121839999999998</v>
      </c>
      <c r="Z4602">
        <v>0.1274419</v>
      </c>
      <c r="AA4602">
        <v>0.90707349999999998</v>
      </c>
      <c r="AB4602">
        <v>24</v>
      </c>
      <c r="AC4602">
        <v>-6.3811</v>
      </c>
      <c r="AD4602">
        <v>-1.1024121087600001</v>
      </c>
      <c r="AE4602">
        <v>-4.0377999999999998</v>
      </c>
      <c r="AF4602">
        <v>3.0757350147468299</v>
      </c>
      <c r="AG4602">
        <v>-1.1024121087600001</v>
      </c>
      <c r="AH4602">
        <v>6.7236188245203596</v>
      </c>
      <c r="AI4602">
        <v>98.480383894167701</v>
      </c>
      <c r="AJ4602">
        <v>65.418164486343201</v>
      </c>
      <c r="AK4602">
        <v>7.4754604163171798</v>
      </c>
      <c r="AL4602">
        <v>68.035459260157396</v>
      </c>
      <c r="AM4602">
        <v>75.054332658922803</v>
      </c>
      <c r="AN4602">
        <v>0.99999998558938397</v>
      </c>
    </row>
    <row r="4603" spans="1:40" x14ac:dyDescent="0.25">
      <c r="A4603" t="str">
        <f>"20190304164218514"</f>
        <v>20190304164218514</v>
      </c>
      <c r="B4603" t="str">
        <f>"1551688938505965"</f>
        <v>1551688938505965</v>
      </c>
      <c r="C4603" t="s">
        <v>40</v>
      </c>
      <c r="D4603">
        <v>4.6865969999999999</v>
      </c>
      <c r="E4603">
        <v>0.59034209999999998</v>
      </c>
      <c r="F4603" t="s">
        <v>53</v>
      </c>
      <c r="G4603">
        <v>-203.25890000000001</v>
      </c>
      <c r="H4603" s="1">
        <v>-1.0069089999999999E-5</v>
      </c>
      <c r="I4603">
        <v>146.4957</v>
      </c>
      <c r="J4603">
        <v>-196.90600000000001</v>
      </c>
      <c r="K4603">
        <v>1.1022879999999999</v>
      </c>
      <c r="L4603">
        <v>150.46680000000001</v>
      </c>
      <c r="M4603">
        <v>-0.5520214</v>
      </c>
      <c r="N4603">
        <v>-1.114652E-2</v>
      </c>
      <c r="O4603">
        <v>-0.83375560000000004</v>
      </c>
      <c r="P4603">
        <v>-0.69028829999999997</v>
      </c>
      <c r="Q4603">
        <v>0.3689307</v>
      </c>
      <c r="R4603">
        <v>-0.62240869999999904</v>
      </c>
      <c r="S4603">
        <v>-2.93811</v>
      </c>
      <c r="T4603">
        <v>-0.50313759999999996</v>
      </c>
      <c r="U4603">
        <v>-1.8652500000000001</v>
      </c>
      <c r="V4603">
        <v>0.23943680000000001</v>
      </c>
      <c r="W4603">
        <v>0.37426310000000002</v>
      </c>
      <c r="X4603">
        <v>0.8958779</v>
      </c>
      <c r="Y4603">
        <v>0.39968219999999999</v>
      </c>
      <c r="Z4603">
        <v>0.12815360000000001</v>
      </c>
      <c r="AA4603">
        <v>0.90765119999999999</v>
      </c>
      <c r="AB4603">
        <v>24</v>
      </c>
      <c r="AC4603">
        <v>-6.3529000000000302</v>
      </c>
      <c r="AD4603">
        <v>-1.1022980690899999</v>
      </c>
      <c r="AE4603">
        <v>-3.9710999999999999</v>
      </c>
      <c r="AF4603">
        <v>3.0390381635229802</v>
      </c>
      <c r="AG4603">
        <v>-1.1022980690899999</v>
      </c>
      <c r="AH4603">
        <v>6.6738138077878304</v>
      </c>
      <c r="AI4603">
        <v>98.548499601659302</v>
      </c>
      <c r="AJ4603">
        <v>65.517020788961503</v>
      </c>
      <c r="AK4603">
        <v>7.4155650313032897</v>
      </c>
      <c r="AL4603">
        <v>68.021225460105896</v>
      </c>
      <c r="AM4603">
        <v>75.0365820136266</v>
      </c>
      <c r="AN4603">
        <v>1.0000000304621199</v>
      </c>
    </row>
    <row r="4604" spans="1:40" x14ac:dyDescent="0.25">
      <c r="A4604" t="str">
        <f>"20190304164218528"</f>
        <v>20190304164218528</v>
      </c>
      <c r="B4604" t="str">
        <f>"1551688938525485"</f>
        <v>1551688938525485</v>
      </c>
      <c r="C4604" t="s">
        <v>40</v>
      </c>
      <c r="D4604">
        <v>4.7176010000000002</v>
      </c>
      <c r="E4604">
        <v>0.58962700000000001</v>
      </c>
      <c r="F4604" t="s">
        <v>53</v>
      </c>
      <c r="G4604">
        <v>-203.32599999999999</v>
      </c>
      <c r="H4604" s="1">
        <v>-1.002331E-5</v>
      </c>
      <c r="I4604">
        <v>146.4418</v>
      </c>
      <c r="J4604">
        <v>-196.9931</v>
      </c>
      <c r="K4604">
        <v>1.1021700000000001</v>
      </c>
      <c r="L4604">
        <v>150.3492</v>
      </c>
      <c r="M4604">
        <v>-0.55820369999999997</v>
      </c>
      <c r="N4604">
        <v>-1.1103790000000001E-2</v>
      </c>
      <c r="O4604">
        <v>-0.82962979999999997</v>
      </c>
      <c r="P4604">
        <v>-0.69499</v>
      </c>
      <c r="Q4604">
        <v>0.36911100000000002</v>
      </c>
      <c r="R4604">
        <v>-0.61704619999999999</v>
      </c>
      <c r="S4604">
        <v>-2.9494020000000001</v>
      </c>
      <c r="T4604">
        <v>-0.50640699999999905</v>
      </c>
      <c r="U4604">
        <v>-1.849091</v>
      </c>
      <c r="V4604">
        <v>0.23974119999999999</v>
      </c>
      <c r="W4604">
        <v>0.37433300000000003</v>
      </c>
      <c r="X4604">
        <v>0.89576730000000004</v>
      </c>
      <c r="Y4604">
        <v>0.39793770000000001</v>
      </c>
      <c r="Z4604">
        <v>0.1285886</v>
      </c>
      <c r="AA4604">
        <v>0.90835600000000005</v>
      </c>
      <c r="AB4604">
        <v>24</v>
      </c>
      <c r="AC4604">
        <v>-6.3328999999999898</v>
      </c>
      <c r="AD4604">
        <v>-1.1021800233100001</v>
      </c>
      <c r="AE4604">
        <v>-3.9073999999999902</v>
      </c>
      <c r="AF4604">
        <v>3.00705660587212</v>
      </c>
      <c r="AG4604">
        <v>-1.1021800233100001</v>
      </c>
      <c r="AH4604">
        <v>6.6316726466844198</v>
      </c>
      <c r="AI4604">
        <v>98.607261085424597</v>
      </c>
      <c r="AJ4604">
        <v>65.608624202618799</v>
      </c>
      <c r="AK4604">
        <v>7.3645279772355599</v>
      </c>
      <c r="AL4604">
        <v>68.016906914055397</v>
      </c>
      <c r="AM4604">
        <v>75.016646987907805</v>
      </c>
      <c r="AN4604">
        <v>1.00000004680786</v>
      </c>
    </row>
    <row r="4605" spans="1:40" x14ac:dyDescent="0.25">
      <c r="A4605" t="str">
        <f>"20190304164218545"</f>
        <v>20190304164218545</v>
      </c>
      <c r="B4605" t="str">
        <f>"1551688938535244"</f>
        <v>1551688938535244</v>
      </c>
      <c r="C4605" t="s">
        <v>40</v>
      </c>
      <c r="D4605">
        <v>4.709994</v>
      </c>
      <c r="E4605">
        <v>0.5893003</v>
      </c>
      <c r="F4605" t="s">
        <v>53</v>
      </c>
      <c r="G4605">
        <v>-203.3621</v>
      </c>
      <c r="H4605" s="1">
        <v>-9.9967720000000007E-6</v>
      </c>
      <c r="I4605">
        <v>146.4041</v>
      </c>
      <c r="J4605">
        <v>-197.1095</v>
      </c>
      <c r="K4605">
        <v>1.1020129999999999</v>
      </c>
      <c r="L4605">
        <v>150.19479999999999</v>
      </c>
      <c r="M4605">
        <v>-0.56642409999999999</v>
      </c>
      <c r="N4605">
        <v>-1.1049440000000001E-2</v>
      </c>
      <c r="O4605">
        <v>-0.82404009999999905</v>
      </c>
      <c r="P4605">
        <v>-0.70184489999999999</v>
      </c>
      <c r="Q4605">
        <v>0.3677996</v>
      </c>
      <c r="R4605">
        <v>-0.61003059999999998</v>
      </c>
      <c r="S4605">
        <v>-2.960556</v>
      </c>
      <c r="T4605">
        <v>-0.51233169999999995</v>
      </c>
      <c r="U4605">
        <v>-1.833801</v>
      </c>
      <c r="V4605">
        <v>0.24051059999999999</v>
      </c>
      <c r="W4605">
        <v>0.37287910000000002</v>
      </c>
      <c r="X4605">
        <v>0.8961673</v>
      </c>
      <c r="Y4605">
        <v>0.39360899999999999</v>
      </c>
      <c r="Z4605">
        <v>0.12944629999999999</v>
      </c>
      <c r="AA4605">
        <v>0.91011850000000005</v>
      </c>
      <c r="AB4605">
        <v>24</v>
      </c>
      <c r="AC4605">
        <v>-6.2526000000000002</v>
      </c>
      <c r="AD4605">
        <v>-1.1020229967720001</v>
      </c>
      <c r="AE4605">
        <v>-3.7906999999999802</v>
      </c>
      <c r="AF4605">
        <v>2.9386794257586999</v>
      </c>
      <c r="AG4605">
        <v>-1.1020229967720001</v>
      </c>
      <c r="AH4605">
        <v>6.5176674958954601</v>
      </c>
      <c r="AI4605">
        <v>98.762560924783898</v>
      </c>
      <c r="AJ4605">
        <v>65.730386389933201</v>
      </c>
      <c r="AK4605">
        <v>7.2339671716039797</v>
      </c>
      <c r="AL4605">
        <v>68.106711230030996</v>
      </c>
      <c r="AM4605">
        <v>74.977138297758501</v>
      </c>
      <c r="AN4605">
        <v>1.00000000075923</v>
      </c>
    </row>
    <row r="4606" spans="1:40" x14ac:dyDescent="0.25">
      <c r="A4606" t="str">
        <f>"20190304164218559"</f>
        <v>20190304164218559</v>
      </c>
      <c r="B4606" t="str">
        <f>"1551688938555742"</f>
        <v>1551688938555742</v>
      </c>
      <c r="C4606" t="s">
        <v>40</v>
      </c>
      <c r="D4606">
        <v>5.0664119999999997</v>
      </c>
      <c r="E4606">
        <v>0.58891669999999996</v>
      </c>
      <c r="F4606" t="s">
        <v>53</v>
      </c>
      <c r="G4606">
        <v>-203.4033</v>
      </c>
      <c r="H4606" s="1">
        <v>-9.9729689999999994E-6</v>
      </c>
      <c r="I4606">
        <v>146.37270000000001</v>
      </c>
      <c r="J4606">
        <v>-197.20769999999999</v>
      </c>
      <c r="K4606">
        <v>1.1018889999999999</v>
      </c>
      <c r="L4606">
        <v>150.06739999999999</v>
      </c>
      <c r="M4606">
        <v>-0.57329609999999998</v>
      </c>
      <c r="N4606">
        <v>-1.100489E-2</v>
      </c>
      <c r="O4606">
        <v>-0.81927450000000002</v>
      </c>
      <c r="P4606">
        <v>-0.70742240000000001</v>
      </c>
      <c r="Q4606">
        <v>0.36638969999999998</v>
      </c>
      <c r="R4606">
        <v>-0.60441080000000003</v>
      </c>
      <c r="S4606">
        <v>-2.9764710000000001</v>
      </c>
      <c r="T4606">
        <v>-0.52117049999999998</v>
      </c>
      <c r="U4606">
        <v>-1.8075559999999999</v>
      </c>
      <c r="V4606">
        <v>0.2408361</v>
      </c>
      <c r="W4606">
        <v>0.37136449999999999</v>
      </c>
      <c r="X4606">
        <v>0.89670859999999997</v>
      </c>
      <c r="Y4606">
        <v>0.39366839999999997</v>
      </c>
      <c r="Z4606">
        <v>0.13139339999999999</v>
      </c>
      <c r="AA4606">
        <v>0.90981369999999895</v>
      </c>
      <c r="AB4606">
        <v>24</v>
      </c>
      <c r="AC4606">
        <v>-6.1956000000000104</v>
      </c>
      <c r="AD4606">
        <v>-1.1018989729690001</v>
      </c>
      <c r="AE4606">
        <v>-3.6946999999999801</v>
      </c>
      <c r="AF4606">
        <v>2.8904742686265799</v>
      </c>
      <c r="AG4606">
        <v>-1.1018989729690001</v>
      </c>
      <c r="AH4606">
        <v>6.4292679889525797</v>
      </c>
      <c r="AI4606">
        <v>98.884399060771003</v>
      </c>
      <c r="AJ4606">
        <v>65.792240256211102</v>
      </c>
      <c r="AK4606">
        <v>7.1347396391173801</v>
      </c>
      <c r="AL4606">
        <v>68.200205056335605</v>
      </c>
      <c r="AM4606">
        <v>74.966396788146</v>
      </c>
      <c r="AN4606">
        <v>0.999999966118709</v>
      </c>
    </row>
    <row r="4607" spans="1:40" x14ac:dyDescent="0.25">
      <c r="A4607" t="str">
        <f>"20190304164218577"</f>
        <v>20190304164218577</v>
      </c>
      <c r="B4607" t="str">
        <f>"1551688938565503"</f>
        <v>1551688938565503</v>
      </c>
      <c r="C4607" t="s">
        <v>40</v>
      </c>
      <c r="D4607">
        <v>4.8123750000000003</v>
      </c>
      <c r="E4607">
        <v>0.58881090000000003</v>
      </c>
      <c r="F4607" t="s">
        <v>53</v>
      </c>
      <c r="G4607">
        <v>-203.43010000000001</v>
      </c>
      <c r="H4607" s="1">
        <v>-9.9574719999999992E-6</v>
      </c>
      <c r="I4607">
        <v>146.35220000000001</v>
      </c>
      <c r="J4607">
        <v>-197.3329</v>
      </c>
      <c r="K4607">
        <v>1.101742</v>
      </c>
      <c r="L4607">
        <v>149.9083</v>
      </c>
      <c r="M4607">
        <v>-0.58196910000000002</v>
      </c>
      <c r="N4607">
        <v>-1.094852E-2</v>
      </c>
      <c r="O4607">
        <v>-0.81313729999999995</v>
      </c>
      <c r="P4607">
        <v>-0.7150069</v>
      </c>
      <c r="Q4607">
        <v>0.36443219999999998</v>
      </c>
      <c r="R4607">
        <v>-0.59661969999999998</v>
      </c>
      <c r="S4607">
        <v>-2.9898069999999999</v>
      </c>
      <c r="T4607">
        <v>-0.52945450000000005</v>
      </c>
      <c r="U4607">
        <v>-1.78512599999999</v>
      </c>
      <c r="V4607">
        <v>0.24202209999999999</v>
      </c>
      <c r="W4607">
        <v>0.36926720000000002</v>
      </c>
      <c r="X4607">
        <v>0.89725529999999998</v>
      </c>
      <c r="Y4607">
        <v>0.39049159999999999</v>
      </c>
      <c r="Z4607">
        <v>0.13288079999999999</v>
      </c>
      <c r="AA4607">
        <v>0.91096600000000005</v>
      </c>
      <c r="AB4607">
        <v>24</v>
      </c>
      <c r="AC4607">
        <v>-6.0972000000000097</v>
      </c>
      <c r="AD4607">
        <v>-1.1017519574720001</v>
      </c>
      <c r="AE4607">
        <v>-3.5560999999999798</v>
      </c>
      <c r="AF4607">
        <v>2.8197918095818202</v>
      </c>
      <c r="AG4607">
        <v>-1.1017519574720001</v>
      </c>
      <c r="AH4607">
        <v>6.2871838607803996</v>
      </c>
      <c r="AI4607">
        <v>99.084287908948994</v>
      </c>
      <c r="AJ4607">
        <v>65.843842635849398</v>
      </c>
      <c r="AK4607">
        <v>6.9780917251377304</v>
      </c>
      <c r="AL4607">
        <v>68.329569688592699</v>
      </c>
      <c r="AM4607">
        <v>74.904521489568594</v>
      </c>
      <c r="AN4607">
        <v>1.0000000176311601</v>
      </c>
    </row>
    <row r="4608" spans="1:40" x14ac:dyDescent="0.25">
      <c r="A4608" t="str">
        <f>"20190304164218590"</f>
        <v>20190304164218590</v>
      </c>
      <c r="B4608" t="str">
        <f>"1551688938585997"</f>
        <v>1551688938585997</v>
      </c>
      <c r="C4608" t="s">
        <v>40</v>
      </c>
      <c r="D4608">
        <v>4.744548</v>
      </c>
      <c r="E4608">
        <v>0.58952969999999905</v>
      </c>
      <c r="F4608" t="s">
        <v>53</v>
      </c>
      <c r="G4608">
        <v>-203.50909999999999</v>
      </c>
      <c r="H4608" s="1">
        <v>-9.9188170000000005E-6</v>
      </c>
      <c r="I4608">
        <v>146.3184</v>
      </c>
      <c r="J4608">
        <v>-197.4264</v>
      </c>
      <c r="K4608">
        <v>1.1016509999999999</v>
      </c>
      <c r="L4608">
        <v>149.7919</v>
      </c>
      <c r="M4608">
        <v>-0.58836730000000004</v>
      </c>
      <c r="N4608">
        <v>-1.0904240000000001E-2</v>
      </c>
      <c r="O4608">
        <v>-0.80852040000000003</v>
      </c>
      <c r="P4608">
        <v>-0.7202151</v>
      </c>
      <c r="Q4608">
        <v>0.36365619999999999</v>
      </c>
      <c r="R4608">
        <v>-0.59080010000000005</v>
      </c>
      <c r="S4608">
        <v>-3.0097049999999999</v>
      </c>
      <c r="T4608">
        <v>-0.53689290000000001</v>
      </c>
      <c r="U4608">
        <v>-1.7493590000000001</v>
      </c>
      <c r="V4608">
        <v>0.24259120000000001</v>
      </c>
      <c r="W4608">
        <v>0.36839719999999998</v>
      </c>
      <c r="X4608">
        <v>0.89745919999999901</v>
      </c>
      <c r="Y4608">
        <v>0.39367150000000001</v>
      </c>
      <c r="Z4608">
        <v>0.1346321</v>
      </c>
      <c r="AA4608">
        <v>0.90933869999999895</v>
      </c>
      <c r="AB4608">
        <v>24</v>
      </c>
      <c r="AC4608">
        <v>-6.0826999999999796</v>
      </c>
      <c r="AD4608">
        <v>-1.1016609188169999</v>
      </c>
      <c r="AE4608">
        <v>-3.4735</v>
      </c>
      <c r="AF4608">
        <v>2.80507747548734</v>
      </c>
      <c r="AG4608">
        <v>-1.1016609188169999</v>
      </c>
      <c r="AH4608">
        <v>6.2334460844633499</v>
      </c>
      <c r="AI4608">
        <v>99.155467958371702</v>
      </c>
      <c r="AJ4608">
        <v>65.772050306421505</v>
      </c>
      <c r="AK4608">
        <v>6.9237249014852296</v>
      </c>
      <c r="AL4608">
        <v>68.383197664451899</v>
      </c>
      <c r="AM4608">
        <v>74.8739306039908</v>
      </c>
      <c r="AN4608">
        <v>1.0000000014749599</v>
      </c>
    </row>
    <row r="4609" spans="1:40" x14ac:dyDescent="0.25">
      <c r="A4609" t="str">
        <f>"20190304164218605"</f>
        <v>20190304164218605</v>
      </c>
      <c r="B4609" t="str">
        <f>"1551688938595757"</f>
        <v>1551688938595757</v>
      </c>
      <c r="C4609" t="s">
        <v>40</v>
      </c>
      <c r="D4609">
        <v>4.7091269999999996</v>
      </c>
      <c r="E4609">
        <v>0.58980049999999995</v>
      </c>
      <c r="F4609" t="s">
        <v>53</v>
      </c>
      <c r="G4609">
        <v>-203.70050000000001</v>
      </c>
      <c r="H4609" s="1">
        <v>-9.8246299999999995E-6</v>
      </c>
      <c r="I4609">
        <v>146.2346</v>
      </c>
      <c r="J4609">
        <v>-197.5274</v>
      </c>
      <c r="K4609">
        <v>1.1015619999999999</v>
      </c>
      <c r="L4609">
        <v>149.6678</v>
      </c>
      <c r="M4609">
        <v>-0.59522050000000004</v>
      </c>
      <c r="N4609">
        <v>-1.0853979999999999E-2</v>
      </c>
      <c r="O4609">
        <v>-0.80348920000000001</v>
      </c>
      <c r="P4609">
        <v>-0.72584040000000005</v>
      </c>
      <c r="Q4609">
        <v>0.36284549999999999</v>
      </c>
      <c r="R4609">
        <v>-0.58437930000000005</v>
      </c>
      <c r="S4609">
        <v>-3.02623</v>
      </c>
      <c r="T4609">
        <v>-0.53136779999999995</v>
      </c>
      <c r="U4609">
        <v>-1.7158359999999999</v>
      </c>
      <c r="V4609">
        <v>0.24330940000000001</v>
      </c>
      <c r="W4609">
        <v>0.36748429999999999</v>
      </c>
      <c r="X4609">
        <v>0.89763899999999996</v>
      </c>
      <c r="Y4609">
        <v>0.3958274</v>
      </c>
      <c r="Z4609">
        <v>0.132969</v>
      </c>
      <c r="AA4609">
        <v>0.90864730000000005</v>
      </c>
      <c r="AB4609">
        <v>25</v>
      </c>
      <c r="AC4609">
        <v>-6.1730999999999998</v>
      </c>
      <c r="AD4609">
        <v>-1.1015718246299999</v>
      </c>
      <c r="AE4609">
        <v>-3.4331999999999998</v>
      </c>
      <c r="AF4609">
        <v>2.8474281475400498</v>
      </c>
      <c r="AG4609">
        <v>-1.1015718246299999</v>
      </c>
      <c r="AH4609">
        <v>6.2805261260382403</v>
      </c>
      <c r="AI4609">
        <v>99.075974008994606</v>
      </c>
      <c r="AJ4609">
        <v>65.611689336228494</v>
      </c>
      <c r="AK4609">
        <v>6.9832883343071996</v>
      </c>
      <c r="AL4609">
        <v>68.439448454592593</v>
      </c>
      <c r="AM4609">
        <v>74.834108252676501</v>
      </c>
      <c r="AN4609">
        <v>0.999999974597924</v>
      </c>
    </row>
    <row r="4610" spans="1:40" x14ac:dyDescent="0.25">
      <c r="A4610" t="str">
        <f>"20190304164218625"</f>
        <v>20190304164218625</v>
      </c>
      <c r="B4610" t="str">
        <f>"1551688938616252"</f>
        <v>1551688938616252</v>
      </c>
      <c r="C4610" t="s">
        <v>40</v>
      </c>
      <c r="D4610">
        <v>4.2593209999999999</v>
      </c>
      <c r="E4610">
        <v>0.590001</v>
      </c>
      <c r="F4610" t="s">
        <v>53</v>
      </c>
      <c r="G4610">
        <v>-203.84129999999999</v>
      </c>
      <c r="H4610" s="1">
        <v>-9.7552309999999992E-6</v>
      </c>
      <c r="I4610">
        <v>146.17250000000001</v>
      </c>
      <c r="J4610">
        <v>-197.66820000000001</v>
      </c>
      <c r="K4610">
        <v>1.1014429999999999</v>
      </c>
      <c r="L4610">
        <v>149.49889999999999</v>
      </c>
      <c r="M4610">
        <v>-0.60462740000000004</v>
      </c>
      <c r="N4610">
        <v>-1.077959E-2</v>
      </c>
      <c r="O4610">
        <v>-0.79643560000000002</v>
      </c>
      <c r="P4610">
        <v>-0.73435309999999998</v>
      </c>
      <c r="Q4610">
        <v>0.3610777</v>
      </c>
      <c r="R4610">
        <v>-0.57475959999999904</v>
      </c>
      <c r="S4610">
        <v>-3.0424799999999999</v>
      </c>
      <c r="T4610">
        <v>-0.53081420000000001</v>
      </c>
      <c r="U4610">
        <v>-1.684296</v>
      </c>
      <c r="V4610">
        <v>0.24532499999999999</v>
      </c>
      <c r="W4610">
        <v>0.36555880000000002</v>
      </c>
      <c r="X4610">
        <v>0.89787659999999903</v>
      </c>
      <c r="Y4610">
        <v>0.39438220000000002</v>
      </c>
      <c r="Z4610">
        <v>0.1321763</v>
      </c>
      <c r="AA4610">
        <v>0.90939099999999995</v>
      </c>
      <c r="AB4610">
        <v>25</v>
      </c>
      <c r="AC4610">
        <v>-6.1730999999999696</v>
      </c>
      <c r="AD4610">
        <v>-1.1014527552310001</v>
      </c>
      <c r="AE4610">
        <v>-3.3263999999999698</v>
      </c>
      <c r="AF4610">
        <v>2.8354548666000201</v>
      </c>
      <c r="AG4610">
        <v>-1.1014527552310001</v>
      </c>
      <c r="AH4610">
        <v>6.2283892154741096</v>
      </c>
      <c r="AI4610">
        <v>99.143353564911394</v>
      </c>
      <c r="AJ4610">
        <v>65.522746104291699</v>
      </c>
      <c r="AK4610">
        <v>6.9315102749664801</v>
      </c>
      <c r="AL4610">
        <v>68.558023531553999</v>
      </c>
      <c r="AM4610">
        <v>74.718182976224298</v>
      </c>
      <c r="AN4610">
        <v>0.99999999035499898</v>
      </c>
    </row>
    <row r="4611" spans="1:40" x14ac:dyDescent="0.25">
      <c r="A4611" t="str">
        <f>"20190304164218645"</f>
        <v>20190304164218645</v>
      </c>
      <c r="B4611" t="str">
        <f>"1551688938635773"</f>
        <v>1551688938635773</v>
      </c>
      <c r="C4611" t="s">
        <v>40</v>
      </c>
      <c r="D4611">
        <v>4.7388180000000002</v>
      </c>
      <c r="E4611">
        <v>0.59028950000000002</v>
      </c>
      <c r="F4611" t="s">
        <v>53</v>
      </c>
      <c r="G4611">
        <v>-203.98949999999999</v>
      </c>
      <c r="H4611" s="1">
        <v>-9.6857939999999999E-6</v>
      </c>
      <c r="I4611">
        <v>146.1208</v>
      </c>
      <c r="J4611">
        <v>-197.8203</v>
      </c>
      <c r="K4611">
        <v>1.101345</v>
      </c>
      <c r="L4611">
        <v>149.32089999999999</v>
      </c>
      <c r="M4611">
        <v>-0.61459989999999998</v>
      </c>
      <c r="N4611">
        <v>-1.069727E-2</v>
      </c>
      <c r="O4611">
        <v>-0.78876669999999904</v>
      </c>
      <c r="P4611">
        <v>-0.74259410000000003</v>
      </c>
      <c r="Q4611">
        <v>0.35999740000000002</v>
      </c>
      <c r="R4611">
        <v>-0.56476190000000004</v>
      </c>
      <c r="S4611">
        <v>-3.065674</v>
      </c>
      <c r="T4611">
        <v>-0.53417369999999897</v>
      </c>
      <c r="U4611">
        <v>-1.63826</v>
      </c>
      <c r="V4611">
        <v>0.2466477</v>
      </c>
      <c r="W4611">
        <v>0.36433300000000002</v>
      </c>
      <c r="X4611">
        <v>0.89801249999999999</v>
      </c>
      <c r="Y4611">
        <v>0.39622089999999999</v>
      </c>
      <c r="Z4611">
        <v>0.1325276</v>
      </c>
      <c r="AA4611">
        <v>0.90854029999999997</v>
      </c>
      <c r="AB4611">
        <v>25</v>
      </c>
      <c r="AC4611">
        <v>-6.1691999999999796</v>
      </c>
      <c r="AD4611">
        <v>-1.101354685794</v>
      </c>
      <c r="AE4611">
        <v>-3.2000999999999902</v>
      </c>
      <c r="AF4611">
        <v>2.8284119240346799</v>
      </c>
      <c r="AG4611">
        <v>-1.101354685794</v>
      </c>
      <c r="AH4611">
        <v>6.1613481333716198</v>
      </c>
      <c r="AI4611">
        <v>99.227250472351301</v>
      </c>
      <c r="AJ4611">
        <v>65.342164739775697</v>
      </c>
      <c r="AK4611">
        <v>6.8684137161752199</v>
      </c>
      <c r="AL4611">
        <v>68.633460663948597</v>
      </c>
      <c r="AM4611">
        <v>74.641885768282407</v>
      </c>
      <c r="AN4611">
        <v>1.0000000364802599</v>
      </c>
    </row>
    <row r="4612" spans="1:40" x14ac:dyDescent="0.25">
      <c r="A4612" t="str">
        <f>"20190304164218657"</f>
        <v>20190304164218657</v>
      </c>
      <c r="B4612" t="str">
        <f>"1551688938645534"</f>
        <v>1551688938645534</v>
      </c>
      <c r="C4612" t="s">
        <v>40</v>
      </c>
      <c r="D4612">
        <v>4.7579459999999996</v>
      </c>
      <c r="E4612">
        <v>0.59043939999999995</v>
      </c>
      <c r="F4612" t="s">
        <v>53</v>
      </c>
      <c r="G4612">
        <v>-204.20609999999999</v>
      </c>
      <c r="H4612" s="1">
        <v>-9.5808940000000003E-6</v>
      </c>
      <c r="I4612">
        <v>146.03219999999999</v>
      </c>
      <c r="J4612">
        <v>-197.91640000000001</v>
      </c>
      <c r="K4612">
        <v>1.101294</v>
      </c>
      <c r="L4612">
        <v>149.21090000000001</v>
      </c>
      <c r="M4612">
        <v>-0.62079359999999995</v>
      </c>
      <c r="N4612">
        <v>-1.064705E-2</v>
      </c>
      <c r="O4612">
        <v>-0.78390179999999998</v>
      </c>
      <c r="P4612">
        <v>-0.74735799999999997</v>
      </c>
      <c r="Q4612">
        <v>0.35968519999999998</v>
      </c>
      <c r="R4612">
        <v>-0.55864389999999997</v>
      </c>
      <c r="S4612">
        <v>-3.08847</v>
      </c>
      <c r="T4612">
        <v>-0.53266239999999998</v>
      </c>
      <c r="U4612">
        <v>-1.590546</v>
      </c>
      <c r="V4612">
        <v>0.24709819999999999</v>
      </c>
      <c r="W4612">
        <v>0.3639423</v>
      </c>
      <c r="X4612">
        <v>0.89804709999999999</v>
      </c>
      <c r="Y4612">
        <v>0.40283980000000003</v>
      </c>
      <c r="Z4612">
        <v>0.13216120000000001</v>
      </c>
      <c r="AA4612">
        <v>0.90567850000000005</v>
      </c>
      <c r="AB4612">
        <v>25</v>
      </c>
      <c r="AC4612">
        <v>-6.2896999999999803</v>
      </c>
      <c r="AD4612">
        <v>-1.1013035808939999</v>
      </c>
      <c r="AE4612">
        <v>-3.1787000000000201</v>
      </c>
      <c r="AF4612">
        <v>2.88685729163541</v>
      </c>
      <c r="AG4612">
        <v>-1.1013035808939999</v>
      </c>
      <c r="AH4612">
        <v>6.2442635652186498</v>
      </c>
      <c r="AI4612">
        <v>99.095275499916397</v>
      </c>
      <c r="AJ4612">
        <v>65.187884397018493</v>
      </c>
      <c r="AK4612">
        <v>6.9668961576498099</v>
      </c>
      <c r="AL4612">
        <v>68.657496723482595</v>
      </c>
      <c r="AM4612">
        <v>74.615726889819101</v>
      </c>
      <c r="AN4612">
        <v>1.00000005599546</v>
      </c>
    </row>
    <row r="4613" spans="1:40" x14ac:dyDescent="0.25">
      <c r="A4613" t="str">
        <f>"20190304164218673"</f>
        <v>20190304164218673</v>
      </c>
      <c r="B4613" t="str">
        <f>"1551688938665560"</f>
        <v>1551688938665560</v>
      </c>
      <c r="C4613" t="s">
        <v>40</v>
      </c>
      <c r="D4613">
        <v>4.7288139999999999</v>
      </c>
      <c r="E4613">
        <v>0.5905243</v>
      </c>
      <c r="F4613" t="s">
        <v>53</v>
      </c>
      <c r="G4613">
        <v>-204.34909999999999</v>
      </c>
      <c r="H4613" s="1">
        <v>-9.5109010000000001E-6</v>
      </c>
      <c r="I4613">
        <v>145.971</v>
      </c>
      <c r="J4613">
        <v>-198.02940000000001</v>
      </c>
      <c r="K4613">
        <v>1.101237</v>
      </c>
      <c r="L4613">
        <v>149.08359999999999</v>
      </c>
      <c r="M4613">
        <v>-0.62797979999999998</v>
      </c>
      <c r="N4613">
        <v>-1.0589909999999999E-2</v>
      </c>
      <c r="O4613">
        <v>-0.77815780000000001</v>
      </c>
      <c r="P4613">
        <v>-0.75282209999999905</v>
      </c>
      <c r="Q4613">
        <v>0.35946719999999999</v>
      </c>
      <c r="R4613">
        <v>-0.55140040000000001</v>
      </c>
      <c r="S4613">
        <v>-3.101944</v>
      </c>
      <c r="T4613">
        <v>-0.53105909999999901</v>
      </c>
      <c r="U4613">
        <v>-1.5622860000000001</v>
      </c>
      <c r="V4613">
        <v>0.24762600000000001</v>
      </c>
      <c r="W4613">
        <v>0.36363400000000001</v>
      </c>
      <c r="X4613">
        <v>0.89802649999999995</v>
      </c>
      <c r="Y4613">
        <v>0.40269329999999998</v>
      </c>
      <c r="Z4613">
        <v>0.13125249999999999</v>
      </c>
      <c r="AA4613">
        <v>0.90587569999999995</v>
      </c>
      <c r="AB4613">
        <v>25</v>
      </c>
      <c r="AC4613">
        <v>-6.3196999999999797</v>
      </c>
      <c r="AD4613">
        <v>-1.1012465109009999</v>
      </c>
      <c r="AE4613">
        <v>-3.11259999999998</v>
      </c>
      <c r="AF4613">
        <v>2.8925535759655898</v>
      </c>
      <c r="AG4613">
        <v>-1.1012465109009999</v>
      </c>
      <c r="AH4613">
        <v>6.2386400997292402</v>
      </c>
      <c r="AI4613">
        <v>99.098336066873202</v>
      </c>
      <c r="AJ4613">
        <v>65.125141836299207</v>
      </c>
      <c r="AK4613">
        <v>6.9642113955244502</v>
      </c>
      <c r="AL4613">
        <v>68.676458181924303</v>
      </c>
      <c r="AM4613">
        <v>74.584090889740594</v>
      </c>
      <c r="AN4613">
        <v>0.99999995826712396</v>
      </c>
    </row>
    <row r="4614" spans="1:40" x14ac:dyDescent="0.25">
      <c r="A4614" t="str">
        <f>"20190304164218690"</f>
        <v>20190304164218690</v>
      </c>
      <c r="B4614" t="str">
        <f>"1551688938686056"</f>
        <v>1551688938686056</v>
      </c>
      <c r="C4614" t="s">
        <v>40</v>
      </c>
      <c r="D4614">
        <v>4.7059199999999999</v>
      </c>
      <c r="E4614">
        <v>0.59370019999999901</v>
      </c>
      <c r="F4614" t="s">
        <v>53</v>
      </c>
      <c r="G4614">
        <v>-204.5111</v>
      </c>
      <c r="H4614" s="1">
        <v>-9.4317639999999999E-6</v>
      </c>
      <c r="I4614">
        <v>145.90219999999999</v>
      </c>
      <c r="J4614">
        <v>-198.16050000000001</v>
      </c>
      <c r="K4614">
        <v>1.1011709999999999</v>
      </c>
      <c r="L4614">
        <v>148.93889999999999</v>
      </c>
      <c r="M4614">
        <v>-0.63617360000000001</v>
      </c>
      <c r="N4614">
        <v>-1.0526840000000001E-2</v>
      </c>
      <c r="O4614">
        <v>-0.77147390000000005</v>
      </c>
      <c r="P4614">
        <v>-0.75884339999999995</v>
      </c>
      <c r="Q4614">
        <v>0.35954979999999997</v>
      </c>
      <c r="R4614">
        <v>-0.54302930000000005</v>
      </c>
      <c r="S4614">
        <v>-3.1172330000000001</v>
      </c>
      <c r="T4614">
        <v>-0.52962589999999998</v>
      </c>
      <c r="U4614">
        <v>-1.5300450000000001</v>
      </c>
      <c r="V4614">
        <v>0.2480946</v>
      </c>
      <c r="W4614">
        <v>0.36361660000000001</v>
      </c>
      <c r="X4614">
        <v>0.89790429999999999</v>
      </c>
      <c r="Y4614">
        <v>0.4024392</v>
      </c>
      <c r="Z4614">
        <v>0.1302837</v>
      </c>
      <c r="AA4614">
        <v>0.9061285</v>
      </c>
      <c r="AB4614">
        <v>25</v>
      </c>
      <c r="AC4614">
        <v>-6.3505999999999796</v>
      </c>
      <c r="AD4614">
        <v>-1.1011804317639999</v>
      </c>
      <c r="AE4614">
        <v>-3.03669999999999</v>
      </c>
      <c r="AF4614">
        <v>2.8967316807219499</v>
      </c>
      <c r="AG4614">
        <v>-1.1011804317639999</v>
      </c>
      <c r="AH4614">
        <v>6.2306997767006003</v>
      </c>
      <c r="AI4614">
        <v>99.104884816057606</v>
      </c>
      <c r="AJ4614">
        <v>65.065683444523202</v>
      </c>
      <c r="AK4614">
        <v>6.9588269471783102</v>
      </c>
      <c r="AL4614">
        <v>68.677530377124796</v>
      </c>
      <c r="AM4614">
        <v>74.554308224343799</v>
      </c>
      <c r="AN4614">
        <v>1.0000000471516</v>
      </c>
    </row>
    <row r="4615" spans="1:40" x14ac:dyDescent="0.25">
      <c r="A4615" t="str">
        <f>"20190304164218705"</f>
        <v>20190304164218705</v>
      </c>
      <c r="B4615" t="str">
        <f>"1551688938695817"</f>
        <v>1551688938695817</v>
      </c>
      <c r="C4615" t="s">
        <v>40</v>
      </c>
      <c r="D4615">
        <v>4.7634889999999999</v>
      </c>
      <c r="E4615">
        <v>0.59314319999999998</v>
      </c>
      <c r="F4615" t="s">
        <v>53</v>
      </c>
      <c r="G4615">
        <v>-205.54660000000001</v>
      </c>
      <c r="H4615" s="1">
        <v>-8.8975919999999906E-6</v>
      </c>
      <c r="I4615">
        <v>145.50489999999999</v>
      </c>
      <c r="J4615">
        <v>-198.27760000000001</v>
      </c>
      <c r="K4615">
        <v>1.1011089999999999</v>
      </c>
      <c r="L4615">
        <v>148.81190000000001</v>
      </c>
      <c r="M4615">
        <v>-0.64338339999999905</v>
      </c>
      <c r="N4615">
        <v>-1.047345E-2</v>
      </c>
      <c r="O4615">
        <v>-0.7654725</v>
      </c>
      <c r="P4615">
        <v>-0.76403209999999999</v>
      </c>
      <c r="Q4615">
        <v>0.35976639999999999</v>
      </c>
      <c r="R4615">
        <v>-0.53555889999999995</v>
      </c>
      <c r="S4615">
        <v>-3.1324770000000002</v>
      </c>
      <c r="T4615">
        <v>-0.46701169999999997</v>
      </c>
      <c r="U4615">
        <v>-1.4563900000000001</v>
      </c>
      <c r="V4615">
        <v>0.24845110000000001</v>
      </c>
      <c r="W4615">
        <v>0.36374679999999998</v>
      </c>
      <c r="X4615">
        <v>0.89775289999999996</v>
      </c>
      <c r="Y4615">
        <v>0.4150915</v>
      </c>
      <c r="Z4615">
        <v>0.1151163</v>
      </c>
      <c r="AA4615">
        <v>0.90246729999999997</v>
      </c>
      <c r="AB4615">
        <v>25</v>
      </c>
      <c r="AC4615">
        <v>-7.2690000000000001</v>
      </c>
      <c r="AD4615">
        <v>-1.101117897592</v>
      </c>
      <c r="AE4615">
        <v>-3.3070000000000102</v>
      </c>
      <c r="AF4615">
        <v>3.3726200519298599</v>
      </c>
      <c r="AG4615">
        <v>-1.101117897592</v>
      </c>
      <c r="AH4615">
        <v>7.0740768414102204</v>
      </c>
      <c r="AI4615">
        <v>97.997937252090907</v>
      </c>
      <c r="AJ4615">
        <v>64.510172195186897</v>
      </c>
      <c r="AK4615">
        <v>7.9138858847757696</v>
      </c>
      <c r="AL4615">
        <v>68.669520505408101</v>
      </c>
      <c r="AM4615">
        <v>74.530691974688196</v>
      </c>
      <c r="AN4615">
        <v>0.999999976529929</v>
      </c>
    </row>
    <row r="4616" spans="1:40" x14ac:dyDescent="0.25">
      <c r="A4616" t="str">
        <f>"20190304164218717"</f>
        <v>20190304164218717</v>
      </c>
      <c r="B4616" t="str">
        <f>"1551688938705577"</f>
        <v>1551688938705577</v>
      </c>
      <c r="C4616" t="s">
        <v>40</v>
      </c>
      <c r="D4616">
        <v>4.7857099999999999</v>
      </c>
      <c r="E4616">
        <v>0.59261140000000001</v>
      </c>
      <c r="F4616" t="s">
        <v>53</v>
      </c>
      <c r="G4616">
        <v>-205.64359999999999</v>
      </c>
      <c r="H4616" s="1">
        <v>-8.8432399999999997E-6</v>
      </c>
      <c r="I4616">
        <v>145.46199999999999</v>
      </c>
      <c r="J4616">
        <v>-198.37280000000001</v>
      </c>
      <c r="K4616">
        <v>1.1010549999999999</v>
      </c>
      <c r="L4616">
        <v>148.7107</v>
      </c>
      <c r="M4616">
        <v>-0.64915649999999903</v>
      </c>
      <c r="N4616">
        <v>-1.043234E-2</v>
      </c>
      <c r="O4616">
        <v>-0.76058329999999996</v>
      </c>
      <c r="P4616">
        <v>-0.76815159999999905</v>
      </c>
      <c r="Q4616">
        <v>0.36004700000000001</v>
      </c>
      <c r="R4616">
        <v>-0.52944239999999998</v>
      </c>
      <c r="S4616">
        <v>-3.1452640000000001</v>
      </c>
      <c r="T4616">
        <v>-0.4701707</v>
      </c>
      <c r="U4616">
        <v>-1.4304049999999999</v>
      </c>
      <c r="V4616">
        <v>0.2487711</v>
      </c>
      <c r="W4616">
        <v>0.363956</v>
      </c>
      <c r="X4616">
        <v>0.89757949999999997</v>
      </c>
      <c r="Y4616">
        <v>0.4156995</v>
      </c>
      <c r="Z4616">
        <v>0.11553869999999999</v>
      </c>
      <c r="AA4616">
        <v>0.90213350000000003</v>
      </c>
      <c r="AB4616">
        <v>25</v>
      </c>
      <c r="AC4616">
        <v>-7.2707999999999799</v>
      </c>
      <c r="AD4616">
        <v>-1.10106384324</v>
      </c>
      <c r="AE4616">
        <v>-3.2486999999999799</v>
      </c>
      <c r="AF4616">
        <v>3.3571437515860501</v>
      </c>
      <c r="AG4616">
        <v>-1.10106384324</v>
      </c>
      <c r="AH4616">
        <v>7.0562938873415204</v>
      </c>
      <c r="AI4616">
        <v>98.0204902279187</v>
      </c>
      <c r="AJ4616">
        <v>64.556489787530396</v>
      </c>
      <c r="AK4616">
        <v>7.8913901931305501</v>
      </c>
      <c r="AL4616">
        <v>68.656652597299896</v>
      </c>
      <c r="AM4616">
        <v>74.508875349017302</v>
      </c>
      <c r="AN4616">
        <v>0.99999999447572996</v>
      </c>
    </row>
    <row r="4617" spans="1:40" x14ac:dyDescent="0.25">
      <c r="A4617" t="str">
        <f>"20190304164218734"</f>
        <v>20190304164218734</v>
      </c>
      <c r="B4617" t="str">
        <f>"1551688938726073"</f>
        <v>1551688938726073</v>
      </c>
      <c r="C4617" t="s">
        <v>40</v>
      </c>
      <c r="D4617">
        <v>4.7195489999999998</v>
      </c>
      <c r="E4617">
        <v>0.59166649999999998</v>
      </c>
      <c r="F4617" t="s">
        <v>53</v>
      </c>
      <c r="G4617">
        <v>-205.73820000000001</v>
      </c>
      <c r="H4617" s="1">
        <v>-8.7903859999999998E-6</v>
      </c>
      <c r="I4617">
        <v>145.4205</v>
      </c>
      <c r="J4617">
        <v>-198.51089999999999</v>
      </c>
      <c r="K4617">
        <v>1.100978</v>
      </c>
      <c r="L4617">
        <v>148.56659999999999</v>
      </c>
      <c r="M4617">
        <v>-0.65740169999999998</v>
      </c>
      <c r="N4617">
        <v>-1.037653E-2</v>
      </c>
      <c r="O4617">
        <v>-0.75346899999999895</v>
      </c>
      <c r="P4617">
        <v>-0.77392910000000004</v>
      </c>
      <c r="Q4617">
        <v>0.36093049999999999</v>
      </c>
      <c r="R4617">
        <v>-0.52034939999999996</v>
      </c>
      <c r="S4617">
        <v>-3.1551209999999998</v>
      </c>
      <c r="T4617">
        <v>-0.47166590000000003</v>
      </c>
      <c r="U4617">
        <v>-1.4094089999999999</v>
      </c>
      <c r="V4617">
        <v>0.24934890000000001</v>
      </c>
      <c r="W4617">
        <v>0.36473220000000001</v>
      </c>
      <c r="X4617">
        <v>0.89710400000000001</v>
      </c>
      <c r="Y4617">
        <v>0.41187679999999999</v>
      </c>
      <c r="Z4617">
        <v>0.1151085</v>
      </c>
      <c r="AA4617">
        <v>0.90393999999999997</v>
      </c>
      <c r="AB4617">
        <v>25</v>
      </c>
      <c r="AC4617">
        <v>-7.2273000000000103</v>
      </c>
      <c r="AD4617">
        <v>-1.100986790386</v>
      </c>
      <c r="AE4617">
        <v>-3.1460999999999899</v>
      </c>
      <c r="AF4617">
        <v>3.3128439753697401</v>
      </c>
      <c r="AG4617">
        <v>-1.100986790386</v>
      </c>
      <c r="AH4617">
        <v>6.9858197207195198</v>
      </c>
      <c r="AI4617">
        <v>98.1045513268717</v>
      </c>
      <c r="AJ4617">
        <v>64.628565368167003</v>
      </c>
      <c r="AK4617">
        <v>7.8095316305231597</v>
      </c>
      <c r="AL4617">
        <v>68.608897664394206</v>
      </c>
      <c r="AM4617">
        <v>74.466797235727597</v>
      </c>
      <c r="AN4617">
        <v>1.00000001923202</v>
      </c>
    </row>
    <row r="4618" spans="1:40" x14ac:dyDescent="0.25">
      <c r="A4618" t="str">
        <f>"20190304164218748"</f>
        <v>20190304164218748</v>
      </c>
      <c r="B4618" t="str">
        <f>"1551688938745592"</f>
        <v>1551688938745592</v>
      </c>
      <c r="C4618" t="s">
        <v>40</v>
      </c>
      <c r="D4618">
        <v>4.7149229999999998</v>
      </c>
      <c r="E4618">
        <v>0.59195399999999998</v>
      </c>
      <c r="F4618" t="s">
        <v>53</v>
      </c>
      <c r="G4618">
        <v>-205.84790000000001</v>
      </c>
      <c r="H4618" s="1">
        <v>-8.7270749999999998E-6</v>
      </c>
      <c r="I4618">
        <v>145.36510000000001</v>
      </c>
      <c r="J4618">
        <v>-198.61519999999999</v>
      </c>
      <c r="K4618">
        <v>1.100919</v>
      </c>
      <c r="L4618">
        <v>148.45959999999999</v>
      </c>
      <c r="M4618">
        <v>-0.66354009999999997</v>
      </c>
      <c r="N4618">
        <v>-1.0336619999999999E-2</v>
      </c>
      <c r="O4618">
        <v>-0.74806949999999905</v>
      </c>
      <c r="P4618">
        <v>-0.77833299999999905</v>
      </c>
      <c r="Q4618">
        <v>0.36116569999999998</v>
      </c>
      <c r="R4618">
        <v>-0.51357330000000001</v>
      </c>
      <c r="S4618">
        <v>-3.168488</v>
      </c>
      <c r="T4618">
        <v>-0.47545850000000001</v>
      </c>
      <c r="U4618">
        <v>-1.3825529999999999</v>
      </c>
      <c r="V4618">
        <v>0.24981800000000001</v>
      </c>
      <c r="W4618">
        <v>0.36488809999999999</v>
      </c>
      <c r="X4618">
        <v>0.89691010000000004</v>
      </c>
      <c r="Y4618">
        <v>0.41217959999999898</v>
      </c>
      <c r="Z4618">
        <v>0.1155834</v>
      </c>
      <c r="AA4618">
        <v>0.90374140000000003</v>
      </c>
      <c r="AB4618">
        <v>25</v>
      </c>
      <c r="AC4618">
        <v>-7.2327000000000199</v>
      </c>
      <c r="AD4618">
        <v>-1.100927727075</v>
      </c>
      <c r="AE4618">
        <v>-3.09449999999998</v>
      </c>
      <c r="AF4618">
        <v>3.2929260784665999</v>
      </c>
      <c r="AG4618">
        <v>-1.100927727075</v>
      </c>
      <c r="AH4618">
        <v>6.9778098453803103</v>
      </c>
      <c r="AI4618">
        <v>98.120453004945801</v>
      </c>
      <c r="AJ4618">
        <v>64.736719837102498</v>
      </c>
      <c r="AK4618">
        <v>7.7939229054933801</v>
      </c>
      <c r="AL4618">
        <v>68.599304616425798</v>
      </c>
      <c r="AM4618">
        <v>74.435788322597503</v>
      </c>
      <c r="AN4618">
        <v>1.0000000430638001</v>
      </c>
    </row>
    <row r="4619" spans="1:40" x14ac:dyDescent="0.25">
      <c r="A4619" t="str">
        <f>"20190304164218767"</f>
        <v>20190304164218767</v>
      </c>
      <c r="B4619" t="str">
        <f>"1551688938755352"</f>
        <v>1551688938755352</v>
      </c>
      <c r="C4619" t="s">
        <v>40</v>
      </c>
      <c r="D4619">
        <v>4.6889789999999998</v>
      </c>
      <c r="E4619">
        <v>0.59225309999999998</v>
      </c>
      <c r="F4619" t="s">
        <v>53</v>
      </c>
      <c r="G4619">
        <v>-206.0309</v>
      </c>
      <c r="H4619" s="1">
        <v>-8.6300280000000003E-6</v>
      </c>
      <c r="I4619">
        <v>145.3047</v>
      </c>
      <c r="J4619">
        <v>-198.7714</v>
      </c>
      <c r="K4619">
        <v>1.1008249999999999</v>
      </c>
      <c r="L4619">
        <v>148.30279999999999</v>
      </c>
      <c r="M4619">
        <v>-0.67258269999999998</v>
      </c>
      <c r="N4619">
        <v>-1.0280829999999999E-2</v>
      </c>
      <c r="O4619">
        <v>-0.73995069999999996</v>
      </c>
      <c r="P4619">
        <v>-0.78444650000000005</v>
      </c>
      <c r="Q4619">
        <v>0.36167319999999997</v>
      </c>
      <c r="R4619">
        <v>-0.50382170000000004</v>
      </c>
      <c r="S4619">
        <v>-3.1806179999999999</v>
      </c>
      <c r="T4619">
        <v>-0.47219610000000001</v>
      </c>
      <c r="U4619">
        <v>-1.3531489999999999</v>
      </c>
      <c r="V4619">
        <v>0.25002289999999999</v>
      </c>
      <c r="W4619">
        <v>0.36528890000000003</v>
      </c>
      <c r="X4619">
        <v>0.89668979999999998</v>
      </c>
      <c r="Y4619">
        <v>0.4096168</v>
      </c>
      <c r="Z4619">
        <v>0.1139358</v>
      </c>
      <c r="AA4619">
        <v>0.90511470000000005</v>
      </c>
      <c r="AB4619">
        <v>25</v>
      </c>
      <c r="AC4619">
        <v>-7.2595000000000001</v>
      </c>
      <c r="AD4619">
        <v>-1.1008336300279999</v>
      </c>
      <c r="AE4619">
        <v>-2.9980999999999902</v>
      </c>
      <c r="AF4619">
        <v>3.29073476556986</v>
      </c>
      <c r="AG4619">
        <v>-1.1008336300279999</v>
      </c>
      <c r="AH4619">
        <v>6.9646198995838198</v>
      </c>
      <c r="AI4619">
        <v>98.133145781324103</v>
      </c>
      <c r="AJ4619">
        <v>64.709589341469595</v>
      </c>
      <c r="AK4619">
        <v>7.7811760244843198</v>
      </c>
      <c r="AL4619">
        <v>68.574637138335703</v>
      </c>
      <c r="AM4619">
        <v>74.420001148850801</v>
      </c>
      <c r="AN4619">
        <v>1.0000000142058301</v>
      </c>
    </row>
    <row r="4620" spans="1:40" x14ac:dyDescent="0.25">
      <c r="A4620" t="str">
        <f>"20190304164218778"</f>
        <v>20190304164218778</v>
      </c>
      <c r="B4620" t="str">
        <f>"1551688938775850"</f>
        <v>1551688938775850</v>
      </c>
      <c r="C4620" t="s">
        <v>40</v>
      </c>
      <c r="D4620">
        <v>4.3287279999999999</v>
      </c>
      <c r="E4620">
        <v>0.5923098</v>
      </c>
      <c r="F4620" t="s">
        <v>53</v>
      </c>
      <c r="G4620">
        <v>-206.29949999999999</v>
      </c>
      <c r="H4620" s="1">
        <v>-8.4872849999999998E-6</v>
      </c>
      <c r="I4620">
        <v>145.21520000000001</v>
      </c>
      <c r="J4620">
        <v>-198.87139999999999</v>
      </c>
      <c r="K4620">
        <v>1.1007640000000001</v>
      </c>
      <c r="L4620">
        <v>148.20429999999999</v>
      </c>
      <c r="M4620">
        <v>-0.6782899</v>
      </c>
      <c r="N4620">
        <v>-1.02477E-2</v>
      </c>
      <c r="O4620">
        <v>-0.73472309999999996</v>
      </c>
      <c r="P4620">
        <v>-0.78814839999999997</v>
      </c>
      <c r="Q4620">
        <v>0.36202849999999998</v>
      </c>
      <c r="R4620">
        <v>-0.49775249999999999</v>
      </c>
      <c r="S4620">
        <v>-3.1976010000000001</v>
      </c>
      <c r="T4620">
        <v>-0.46758620000000001</v>
      </c>
      <c r="U4620">
        <v>-1.3114779999999999</v>
      </c>
      <c r="V4620">
        <v>0.24994150000000001</v>
      </c>
      <c r="W4620">
        <v>0.3655814</v>
      </c>
      <c r="X4620">
        <v>0.89659330000000004</v>
      </c>
      <c r="Y4620">
        <v>0.41450389999999998</v>
      </c>
      <c r="Z4620">
        <v>0.1126201</v>
      </c>
      <c r="AA4620">
        <v>0.90305219999999997</v>
      </c>
      <c r="AB4620">
        <v>25</v>
      </c>
      <c r="AC4620">
        <v>-7.4280999999999997</v>
      </c>
      <c r="AD4620">
        <v>-1.10077248728499</v>
      </c>
      <c r="AE4620">
        <v>-2.9890999999999699</v>
      </c>
      <c r="AF4620">
        <v>3.3666702376423698</v>
      </c>
      <c r="AG4620">
        <v>-1.10077248728499</v>
      </c>
      <c r="AH4620">
        <v>7.1007416216713803</v>
      </c>
      <c r="AI4620">
        <v>97.973840730605701</v>
      </c>
      <c r="AJ4620">
        <v>64.632995452543199</v>
      </c>
      <c r="AK4620">
        <v>7.9351559616384897</v>
      </c>
      <c r="AL4620">
        <v>68.556633236498399</v>
      </c>
      <c r="AM4620">
        <v>74.423232310477601</v>
      </c>
      <c r="AN4620">
        <v>1.0000000295265401</v>
      </c>
    </row>
    <row r="4621" spans="1:40" x14ac:dyDescent="0.25">
      <c r="A4621" t="str">
        <f>"20190304164218792"</f>
        <v>20190304164218792</v>
      </c>
      <c r="B4621" t="str">
        <f>"1551688938785611"</f>
        <v>1551688938785611</v>
      </c>
      <c r="C4621" t="s">
        <v>40</v>
      </c>
      <c r="D4621">
        <v>4.7598919999999998</v>
      </c>
      <c r="E4621">
        <v>0.59226199999999996</v>
      </c>
      <c r="F4621" t="s">
        <v>53</v>
      </c>
      <c r="G4621">
        <v>-206.45609999999999</v>
      </c>
      <c r="H4621" s="1">
        <v>-8.4038969999999994E-6</v>
      </c>
      <c r="I4621">
        <v>145.16239999999999</v>
      </c>
      <c r="J4621">
        <v>-198.9778</v>
      </c>
      <c r="K4621">
        <v>1.100698</v>
      </c>
      <c r="L4621">
        <v>148.10159999999999</v>
      </c>
      <c r="M4621">
        <v>-0.68427530000000003</v>
      </c>
      <c r="N4621">
        <v>-1.0216879999999999E-2</v>
      </c>
      <c r="O4621">
        <v>-0.72915240000000003</v>
      </c>
      <c r="P4621">
        <v>-0.79186219999999996</v>
      </c>
      <c r="Q4621">
        <v>0.36250929999999998</v>
      </c>
      <c r="R4621">
        <v>-0.49146840000000003</v>
      </c>
      <c r="S4621">
        <v>-3.207748</v>
      </c>
      <c r="T4621">
        <v>-0.46554609999999902</v>
      </c>
      <c r="U4621">
        <v>-1.2864690000000001</v>
      </c>
      <c r="V4621">
        <v>0.2496449</v>
      </c>
      <c r="W4621">
        <v>0.36600470000000002</v>
      </c>
      <c r="X4621">
        <v>0.89650319999999994</v>
      </c>
      <c r="Y4621">
        <v>0.41423310000000002</v>
      </c>
      <c r="Z4621">
        <v>0.11161359999999999</v>
      </c>
      <c r="AA4621">
        <v>0.90330140000000003</v>
      </c>
      <c r="AB4621">
        <v>25</v>
      </c>
      <c r="AC4621">
        <v>-7.4782999999999902</v>
      </c>
      <c r="AD4621">
        <v>-1.100706403897</v>
      </c>
      <c r="AE4621">
        <v>-2.9392</v>
      </c>
      <c r="AF4621">
        <v>3.3783815238850101</v>
      </c>
      <c r="AG4621">
        <v>-1.100706403897</v>
      </c>
      <c r="AH4621">
        <v>7.1269793389995897</v>
      </c>
      <c r="AI4621">
        <v>97.944700425369007</v>
      </c>
      <c r="AJ4621">
        <v>64.637779218387195</v>
      </c>
      <c r="AK4621">
        <v>7.9635953442546601</v>
      </c>
      <c r="AL4621">
        <v>68.530573305761806</v>
      </c>
      <c r="AM4621">
        <v>74.439333015507202</v>
      </c>
      <c r="AN4621">
        <v>1.0000000020641699</v>
      </c>
    </row>
    <row r="4622" spans="1:40" x14ac:dyDescent="0.25">
      <c r="A4622" t="str">
        <f>"20190304164218815"</f>
        <v>20190304164218815</v>
      </c>
      <c r="B4622" t="str">
        <f>"1551688938806105"</f>
        <v>1551688938806105</v>
      </c>
      <c r="C4622" t="s">
        <v>40</v>
      </c>
      <c r="D4622">
        <v>4.7497170000000004</v>
      </c>
      <c r="E4622">
        <v>0.59202940000000004</v>
      </c>
      <c r="F4622" t="s">
        <v>53</v>
      </c>
      <c r="G4622">
        <v>-206.62950000000001</v>
      </c>
      <c r="H4622" s="1">
        <v>-8.3115399999999994E-6</v>
      </c>
      <c r="I4622">
        <v>145.10390000000001</v>
      </c>
      <c r="J4622">
        <v>-199.16929999999999</v>
      </c>
      <c r="K4622">
        <v>1.1005780000000001</v>
      </c>
      <c r="L4622">
        <v>147.9205</v>
      </c>
      <c r="M4622">
        <v>-0.69488570000000005</v>
      </c>
      <c r="N4622">
        <v>-1.016892E-2</v>
      </c>
      <c r="O4622">
        <v>-0.71904840000000003</v>
      </c>
      <c r="P4622">
        <v>-0.79819879999999999</v>
      </c>
      <c r="Q4622">
        <v>0.36411569999999999</v>
      </c>
      <c r="R4622">
        <v>-0.4798946</v>
      </c>
      <c r="S4622">
        <v>-3.2179869999999999</v>
      </c>
      <c r="T4622">
        <v>-0.46291080000000001</v>
      </c>
      <c r="U4622">
        <v>-1.2607269999999999</v>
      </c>
      <c r="V4622">
        <v>0.249167</v>
      </c>
      <c r="W4622">
        <v>0.36750680000000002</v>
      </c>
      <c r="X4622">
        <v>0.89602150000000003</v>
      </c>
      <c r="Y4622">
        <v>0.40834219999999999</v>
      </c>
      <c r="Z4622">
        <v>0.10973810000000001</v>
      </c>
      <c r="AA4622">
        <v>0.90620869999999998</v>
      </c>
      <c r="AB4622">
        <v>25</v>
      </c>
      <c r="AC4622">
        <v>-7.4602000000000102</v>
      </c>
      <c r="AD4622">
        <v>-1.1005863115400001</v>
      </c>
      <c r="AE4622">
        <v>-2.81659999999999</v>
      </c>
      <c r="AF4622">
        <v>3.3435148122636398</v>
      </c>
      <c r="AG4622">
        <v>-1.1005863115400001</v>
      </c>
      <c r="AH4622">
        <v>7.0748606031208503</v>
      </c>
      <c r="AI4622">
        <v>98.005997187557099</v>
      </c>
      <c r="AJ4622">
        <v>64.705007636338493</v>
      </c>
      <c r="AK4622">
        <v>7.9021537622705802</v>
      </c>
      <c r="AL4622">
        <v>68.438062544029705</v>
      </c>
      <c r="AM4622">
        <v>74.459734992521703</v>
      </c>
      <c r="AN4622">
        <v>0.999999985198744</v>
      </c>
    </row>
    <row r="4623" spans="1:40" x14ac:dyDescent="0.25">
      <c r="A4623" t="str">
        <f>"20190304164218839"</f>
        <v>20190304164218839</v>
      </c>
      <c r="B4623" t="str">
        <f>"1551688938835384"</f>
        <v>1551688938835384</v>
      </c>
      <c r="C4623" t="s">
        <v>40</v>
      </c>
      <c r="D4623">
        <v>4.8551549999999999</v>
      </c>
      <c r="E4623">
        <v>0.59128709999999995</v>
      </c>
      <c r="F4623" t="s">
        <v>53</v>
      </c>
      <c r="G4623">
        <v>-206.96709999999999</v>
      </c>
      <c r="H4623" s="1">
        <v>-8.1327090000000005E-6</v>
      </c>
      <c r="I4623">
        <v>144.99369999999999</v>
      </c>
      <c r="J4623">
        <v>-199.3596</v>
      </c>
      <c r="K4623">
        <v>1.100454</v>
      </c>
      <c r="L4623">
        <v>147.7457</v>
      </c>
      <c r="M4623">
        <v>-0.70521230000000001</v>
      </c>
      <c r="N4623">
        <v>-1.0132749999999999E-2</v>
      </c>
      <c r="O4623">
        <v>-0.70892359999999999</v>
      </c>
      <c r="P4623">
        <v>-0.80386230000000003</v>
      </c>
      <c r="Q4623">
        <v>0.36616460000000001</v>
      </c>
      <c r="R4623">
        <v>-0.46875250000000002</v>
      </c>
      <c r="S4623">
        <v>-3.2364809999999999</v>
      </c>
      <c r="T4623">
        <v>-0.45679639999999999</v>
      </c>
      <c r="U4623">
        <v>-1.2147669999999999</v>
      </c>
      <c r="V4623">
        <v>0.2481565</v>
      </c>
      <c r="W4623">
        <v>0.3694733</v>
      </c>
      <c r="X4623">
        <v>0.89549310000000004</v>
      </c>
      <c r="Y4623">
        <v>0.4084217</v>
      </c>
      <c r="Z4623">
        <v>0.1073192</v>
      </c>
      <c r="AA4623">
        <v>0.90646260000000001</v>
      </c>
      <c r="AB4623">
        <v>25</v>
      </c>
      <c r="AC4623">
        <v>-7.6074999999999804</v>
      </c>
      <c r="AD4623">
        <v>-1.1004621327090001</v>
      </c>
      <c r="AE4623">
        <v>-2.7519999999999998</v>
      </c>
      <c r="AF4623">
        <v>3.3898453318359598</v>
      </c>
      <c r="AG4623">
        <v>-1.1004621327090001</v>
      </c>
      <c r="AH4623">
        <v>7.1833194734536301</v>
      </c>
      <c r="AI4623">
        <v>97.887832968563899</v>
      </c>
      <c r="AJ4623">
        <v>64.737134826952399</v>
      </c>
      <c r="AK4623">
        <v>8.0188619477451208</v>
      </c>
      <c r="AL4623">
        <v>68.316862680861902</v>
      </c>
      <c r="AM4623">
        <v>74.511034512510903</v>
      </c>
      <c r="AN4623">
        <v>1.0000000300263701</v>
      </c>
    </row>
    <row r="4624" spans="1:40" x14ac:dyDescent="0.25">
      <c r="A4624" t="str">
        <f>"20190304164218857"</f>
        <v>20190304164218857</v>
      </c>
      <c r="B4624" t="str">
        <f>"1551688938845144"</f>
        <v>1551688938845144</v>
      </c>
      <c r="C4624" t="s">
        <v>40</v>
      </c>
      <c r="D4624">
        <v>4.7269110000000003</v>
      </c>
      <c r="E4624">
        <v>0.59118660000000001</v>
      </c>
      <c r="F4624" t="s">
        <v>53</v>
      </c>
      <c r="G4624">
        <v>-207.29409999999999</v>
      </c>
      <c r="H4624" s="1">
        <v>-7.9576630000000005E-6</v>
      </c>
      <c r="I4624">
        <v>144.87989999999999</v>
      </c>
      <c r="J4624">
        <v>-199.5318</v>
      </c>
      <c r="K4624">
        <v>1.100339</v>
      </c>
      <c r="L4624">
        <v>147.59200000000001</v>
      </c>
      <c r="M4624">
        <v>-0.71438369999999995</v>
      </c>
      <c r="N4624">
        <v>-1.0109440000000001E-2</v>
      </c>
      <c r="O4624">
        <v>-0.69968129999999995</v>
      </c>
      <c r="P4624">
        <v>-0.80844169999999904</v>
      </c>
      <c r="Q4624">
        <v>0.36799330000000002</v>
      </c>
      <c r="R4624">
        <v>-0.4593506</v>
      </c>
      <c r="S4624">
        <v>-3.2524410000000001</v>
      </c>
      <c r="T4624">
        <v>-0.45108939999999997</v>
      </c>
      <c r="U4624">
        <v>-1.174728</v>
      </c>
      <c r="V4624">
        <v>0.24649190000000001</v>
      </c>
      <c r="W4624">
        <v>0.37125380000000002</v>
      </c>
      <c r="X4624">
        <v>0.89521629999999996</v>
      </c>
      <c r="Y4624">
        <v>0.40810639999999998</v>
      </c>
      <c r="Z4624">
        <v>0.1050555</v>
      </c>
      <c r="AA4624">
        <v>0.90686960000000005</v>
      </c>
      <c r="AB4624">
        <v>25</v>
      </c>
      <c r="AC4624">
        <v>-7.7622999999999802</v>
      </c>
      <c r="AD4624">
        <v>-1.1003469576629901</v>
      </c>
      <c r="AE4624">
        <v>-2.7121000000000199</v>
      </c>
      <c r="AF4624">
        <v>3.4323662289183701</v>
      </c>
      <c r="AG4624">
        <v>-1.1003469576629901</v>
      </c>
      <c r="AH4624">
        <v>7.3122945885647797</v>
      </c>
      <c r="AI4624">
        <v>97.757013718345704</v>
      </c>
      <c r="AJ4624">
        <v>64.854799022055204</v>
      </c>
      <c r="AK4624">
        <v>8.1523955685805198</v>
      </c>
      <c r="AL4624">
        <v>68.207035276938697</v>
      </c>
      <c r="AM4624">
        <v>74.605458308870098</v>
      </c>
      <c r="AN4624">
        <v>0.99999993228286699</v>
      </c>
    </row>
    <row r="4625" spans="1:40" x14ac:dyDescent="0.25">
      <c r="A4625" t="str">
        <f>"20190304164218871"</f>
        <v>20190304164218871</v>
      </c>
      <c r="B4625" t="str">
        <f>"1551688938865641"</f>
        <v>1551688938865641</v>
      </c>
      <c r="C4625" t="s">
        <v>40</v>
      </c>
      <c r="D4625">
        <v>4.800656</v>
      </c>
      <c r="E4625">
        <v>0.59048109999999998</v>
      </c>
      <c r="F4625" t="s">
        <v>53</v>
      </c>
      <c r="G4625">
        <v>-207.6473</v>
      </c>
      <c r="H4625" s="1">
        <v>-7.7722139999999999E-6</v>
      </c>
      <c r="I4625">
        <v>144.7706</v>
      </c>
      <c r="J4625">
        <v>-199.65</v>
      </c>
      <c r="K4625">
        <v>1.1002620000000001</v>
      </c>
      <c r="L4625">
        <v>147.489</v>
      </c>
      <c r="M4625">
        <v>-0.72058639999999996</v>
      </c>
      <c r="N4625">
        <v>-1.0098620000000001E-2</v>
      </c>
      <c r="O4625">
        <v>-0.69329169999999996</v>
      </c>
      <c r="P4625">
        <v>-0.81166450000000001</v>
      </c>
      <c r="Q4625">
        <v>0.36876330000000002</v>
      </c>
      <c r="R4625">
        <v>-0.45300600000000002</v>
      </c>
      <c r="S4625">
        <v>-3.26709</v>
      </c>
      <c r="T4625">
        <v>-0.44297120000000001</v>
      </c>
      <c r="U4625">
        <v>-1.1358029999999999</v>
      </c>
      <c r="V4625">
        <v>0.24537349999999999</v>
      </c>
      <c r="W4625">
        <v>0.37199579999999999</v>
      </c>
      <c r="X4625">
        <v>0.895215599999999</v>
      </c>
      <c r="Y4625">
        <v>0.41118100000000002</v>
      </c>
      <c r="Z4625">
        <v>0.10267859999999999</v>
      </c>
      <c r="AA4625">
        <v>0.90575229999999995</v>
      </c>
      <c r="AB4625">
        <v>25</v>
      </c>
      <c r="AC4625">
        <v>-7.9972999999999903</v>
      </c>
      <c r="AD4625">
        <v>-1.100269772214</v>
      </c>
      <c r="AE4625">
        <v>-2.7183999999999999</v>
      </c>
      <c r="AF4625">
        <v>3.5259742283367399</v>
      </c>
      <c r="AG4625">
        <v>-1.100269772214</v>
      </c>
      <c r="AH4625">
        <v>7.5201783637155497</v>
      </c>
      <c r="AI4625">
        <v>97.546079406209003</v>
      </c>
      <c r="AJ4625">
        <v>64.879602167732102</v>
      </c>
      <c r="AK4625">
        <v>8.3783154901590002</v>
      </c>
      <c r="AL4625">
        <v>68.161243801460103</v>
      </c>
      <c r="AM4625">
        <v>74.672003822113297</v>
      </c>
      <c r="AN4625">
        <v>1.00000000010162</v>
      </c>
    </row>
    <row r="4626" spans="1:40" x14ac:dyDescent="0.25">
      <c r="A4626" t="str">
        <f>"20190304164218885"</f>
        <v>20190304164218885</v>
      </c>
      <c r="B4626" t="str">
        <f>"1551688938875400"</f>
        <v>1551688938875400</v>
      </c>
      <c r="C4626" t="s">
        <v>40</v>
      </c>
      <c r="D4626">
        <v>4.3184399999999998</v>
      </c>
      <c r="E4626">
        <v>0.59048109999999998</v>
      </c>
      <c r="F4626" t="s">
        <v>53</v>
      </c>
      <c r="G4626">
        <v>-207.76669999999999</v>
      </c>
      <c r="H4626" s="1">
        <v>-7.7073839999999997E-6</v>
      </c>
      <c r="I4626">
        <v>144.72569999999999</v>
      </c>
      <c r="J4626">
        <v>-199.7723</v>
      </c>
      <c r="K4626">
        <v>1.100176</v>
      </c>
      <c r="L4626">
        <v>147.38399999999999</v>
      </c>
      <c r="M4626">
        <v>-0.7269272</v>
      </c>
      <c r="N4626">
        <v>-1.009005E-2</v>
      </c>
      <c r="O4626">
        <v>-0.68664060000000005</v>
      </c>
      <c r="P4626">
        <v>-0.81474740000000001</v>
      </c>
      <c r="Q4626">
        <v>0.36979849999999997</v>
      </c>
      <c r="R4626">
        <v>-0.4465826</v>
      </c>
      <c r="S4626">
        <v>-3.2754819999999998</v>
      </c>
      <c r="T4626">
        <v>-0.44400970000000001</v>
      </c>
      <c r="U4626">
        <v>-1.115097</v>
      </c>
      <c r="V4626">
        <v>0.24399000000000001</v>
      </c>
      <c r="W4626">
        <v>0.37300909999999998</v>
      </c>
      <c r="X4626">
        <v>0.89517209999999903</v>
      </c>
      <c r="Y4626">
        <v>0.4086823</v>
      </c>
      <c r="Z4626">
        <v>0.1021625</v>
      </c>
      <c r="AA4626">
        <v>0.90694079999999999</v>
      </c>
      <c r="AB4626">
        <v>25</v>
      </c>
      <c r="AC4626">
        <v>-7.9943999999999802</v>
      </c>
      <c r="AD4626">
        <v>-1.100183707384</v>
      </c>
      <c r="AE4626">
        <v>-2.6582999999999899</v>
      </c>
      <c r="AF4626">
        <v>3.4974263541946802</v>
      </c>
      <c r="AG4626">
        <v>-1.100183707384</v>
      </c>
      <c r="AH4626">
        <v>7.5089770889197602</v>
      </c>
      <c r="AI4626">
        <v>97.565514859473396</v>
      </c>
      <c r="AJ4626">
        <v>65.025496196093002</v>
      </c>
      <c r="AK4626">
        <v>8.3562630532391999</v>
      </c>
      <c r="AL4626">
        <v>68.098683569603594</v>
      </c>
      <c r="AM4626">
        <v>74.753689438668502</v>
      </c>
      <c r="AN4626">
        <v>0.99999999870060896</v>
      </c>
    </row>
    <row r="4627" spans="1:40" x14ac:dyDescent="0.25">
      <c r="A4627" t="str">
        <f>"20190304164218902"</f>
        <v>20190304164218902</v>
      </c>
      <c r="B4627" t="str">
        <f>"1551688938895897"</f>
        <v>1551688938895897</v>
      </c>
      <c r="C4627" t="s">
        <v>40</v>
      </c>
      <c r="D4627">
        <v>4.8418530000000004</v>
      </c>
      <c r="E4627">
        <v>0.60635609999999995</v>
      </c>
      <c r="F4627" t="s">
        <v>53</v>
      </c>
      <c r="G4627">
        <v>-207.99979999999999</v>
      </c>
      <c r="H4627" s="1">
        <v>-7.586634E-6</v>
      </c>
      <c r="I4627">
        <v>144.65969999999999</v>
      </c>
      <c r="J4627">
        <v>-199.9366</v>
      </c>
      <c r="K4627">
        <v>1.10006</v>
      </c>
      <c r="L4627">
        <v>147.24629999999999</v>
      </c>
      <c r="M4627">
        <v>-0.73532779999999998</v>
      </c>
      <c r="N4627">
        <v>-1.008471E-2</v>
      </c>
      <c r="O4627">
        <v>-0.67763669999999998</v>
      </c>
      <c r="P4627">
        <v>-0.81825689999999995</v>
      </c>
      <c r="Q4627">
        <v>0.37137320000000001</v>
      </c>
      <c r="R4627">
        <v>-0.43879099999999999</v>
      </c>
      <c r="S4627">
        <v>-3.2852779999999999</v>
      </c>
      <c r="T4627">
        <v>-0.4393088</v>
      </c>
      <c r="U4627">
        <v>-1.0878139999999901</v>
      </c>
      <c r="V4627">
        <v>0.24115420000000001</v>
      </c>
      <c r="W4627">
        <v>0.37458459999999899</v>
      </c>
      <c r="X4627">
        <v>0.89528269999999999</v>
      </c>
      <c r="Y4627">
        <v>0.40528370000000002</v>
      </c>
      <c r="Z4627">
        <v>0.10002709999999999</v>
      </c>
      <c r="AA4627">
        <v>0.90870229999999996</v>
      </c>
      <c r="AB4627">
        <v>25</v>
      </c>
      <c r="AC4627">
        <v>-8.0631999999999895</v>
      </c>
      <c r="AD4627">
        <v>-1.1000675866339999</v>
      </c>
      <c r="AE4627">
        <v>-2.5865999999999998</v>
      </c>
      <c r="AF4627">
        <v>3.5029837118968601</v>
      </c>
      <c r="AG4627">
        <v>-1.1000675866339999</v>
      </c>
      <c r="AH4627">
        <v>7.5547614746866998</v>
      </c>
      <c r="AI4627">
        <v>97.525338492766707</v>
      </c>
      <c r="AJ4627">
        <v>65.1238387791186</v>
      </c>
      <c r="AK4627">
        <v>8.3997300266370303</v>
      </c>
      <c r="AL4627">
        <v>68.0013600555625</v>
      </c>
      <c r="AM4627">
        <v>74.924557287648597</v>
      </c>
      <c r="AN4627">
        <v>1.0000000418270401</v>
      </c>
    </row>
    <row r="4628" spans="1:40" x14ac:dyDescent="0.25">
      <c r="A4628" t="str">
        <f>"20190304164218915"</f>
        <v>20190304164218915</v>
      </c>
      <c r="B4628" t="str">
        <f>"1551688938905657"</f>
        <v>1551688938905657</v>
      </c>
      <c r="C4628" t="s">
        <v>40</v>
      </c>
      <c r="D4628">
        <v>4.4254749999999996</v>
      </c>
      <c r="E4628">
        <v>0.60211569999999903</v>
      </c>
      <c r="F4628" t="s">
        <v>42</v>
      </c>
      <c r="G4628">
        <v>-216.68940000000001</v>
      </c>
      <c r="H4628" s="1">
        <v>-2.3691100000000002E-6</v>
      </c>
      <c r="I4628">
        <v>142.71199999999999</v>
      </c>
      <c r="J4628">
        <v>-200.05070000000001</v>
      </c>
      <c r="K4628">
        <v>1.0999810000000001</v>
      </c>
      <c r="L4628">
        <v>147.15309999999999</v>
      </c>
      <c r="M4628">
        <v>-0.74107709999999904</v>
      </c>
      <c r="N4628">
        <v>-1.008508E-2</v>
      </c>
      <c r="O4628">
        <v>-0.67134439999999995</v>
      </c>
      <c r="P4628">
        <v>-0.82110729999999998</v>
      </c>
      <c r="Q4628">
        <v>0.37214940000000002</v>
      </c>
      <c r="R4628">
        <v>-0.43276799999999999</v>
      </c>
      <c r="S4628">
        <v>-3.2871860000000002</v>
      </c>
      <c r="T4628">
        <v>-0.21585119999999999</v>
      </c>
      <c r="U4628">
        <v>-0.88970949999999904</v>
      </c>
      <c r="V4628">
        <v>0.23995230000000001</v>
      </c>
      <c r="W4628">
        <v>0.37534620000000002</v>
      </c>
      <c r="X4628">
        <v>0.89528660000000004</v>
      </c>
      <c r="Y4628">
        <v>0.45272059999999997</v>
      </c>
      <c r="Z4628">
        <v>4.8756750000000001E-2</v>
      </c>
      <c r="AA4628">
        <v>0.89031839999999995</v>
      </c>
      <c r="AB4628">
        <v>25</v>
      </c>
      <c r="AC4628">
        <v>-16.6387</v>
      </c>
      <c r="AD4628">
        <v>-1.0999833691099901</v>
      </c>
      <c r="AE4628">
        <v>-4.4410999999999703</v>
      </c>
      <c r="AF4628">
        <v>7.8474835242246996</v>
      </c>
      <c r="AG4628">
        <v>-1.0999833691099901</v>
      </c>
      <c r="AH4628">
        <v>15.250623322047799</v>
      </c>
      <c r="AI4628">
        <v>93.669604192187805</v>
      </c>
      <c r="AJ4628">
        <v>62.771096830756399</v>
      </c>
      <c r="AK4628">
        <v>17.186461904251399</v>
      </c>
      <c r="AL4628">
        <v>67.954287955687306</v>
      </c>
      <c r="AM4628">
        <v>74.996359024980507</v>
      </c>
      <c r="AN4628">
        <v>0.99999998613464502</v>
      </c>
    </row>
    <row r="4629" spans="1:40" x14ac:dyDescent="0.25">
      <c r="A4629" t="str">
        <f>"20190304164218949"</f>
        <v>20190304164218949</v>
      </c>
      <c r="B4629" t="str">
        <f>"1551688938945673"</f>
        <v>1551688938945673</v>
      </c>
      <c r="C4629" t="s">
        <v>40</v>
      </c>
      <c r="D4629">
        <v>4.4815670000000001</v>
      </c>
      <c r="E4629">
        <v>0.59711159999999996</v>
      </c>
      <c r="F4629" t="s">
        <v>42</v>
      </c>
      <c r="G4629">
        <v>-213.41380000000001</v>
      </c>
      <c r="H4629" s="1">
        <v>-4.0840220000000004E-6</v>
      </c>
      <c r="I4629">
        <v>143.47059999999999</v>
      </c>
      <c r="J4629">
        <v>-200.35550000000001</v>
      </c>
      <c r="K4629">
        <v>1.0997790000000001</v>
      </c>
      <c r="L4629">
        <v>146.91139999999999</v>
      </c>
      <c r="M4629">
        <v>-0.7561099</v>
      </c>
      <c r="N4629">
        <v>-1.0092429999999999E-2</v>
      </c>
      <c r="O4629">
        <v>-0.65436689999999997</v>
      </c>
      <c r="P4629">
        <v>-0.82820070000000001</v>
      </c>
      <c r="Q4629">
        <v>0.37419039999999998</v>
      </c>
      <c r="R4629">
        <v>-0.41721130000000001</v>
      </c>
      <c r="S4629">
        <v>-3.2976839999999998</v>
      </c>
      <c r="T4629">
        <v>-0.27144829999999998</v>
      </c>
      <c r="U4629">
        <v>-0.90873720000000002</v>
      </c>
      <c r="V4629">
        <v>0.23615220000000001</v>
      </c>
      <c r="W4629">
        <v>0.37737710000000002</v>
      </c>
      <c r="X4629">
        <v>0.89544330000000005</v>
      </c>
      <c r="Y4629">
        <v>0.42733789999999999</v>
      </c>
      <c r="Z4629">
        <v>6.0394259999999998E-2</v>
      </c>
      <c r="AA4629">
        <v>0.90207250000000005</v>
      </c>
      <c r="AB4629">
        <v>25</v>
      </c>
      <c r="AC4629">
        <v>-13.058299999999999</v>
      </c>
      <c r="AD4629">
        <v>-1.099783084022</v>
      </c>
      <c r="AE4629">
        <v>-3.4407999999999901</v>
      </c>
      <c r="AF4629">
        <v>5.9044366296338504</v>
      </c>
      <c r="AG4629">
        <v>-1.099783084022</v>
      </c>
      <c r="AH4629">
        <v>12.0457769350748</v>
      </c>
      <c r="AI4629">
        <v>94.686706782895598</v>
      </c>
      <c r="AJ4629">
        <v>63.8874525855122</v>
      </c>
      <c r="AK4629">
        <v>13.4600385108974</v>
      </c>
      <c r="AL4629">
        <v>67.828691941060498</v>
      </c>
      <c r="AM4629">
        <v>75.225968426244407</v>
      </c>
      <c r="AN4629">
        <v>1.00000002034206</v>
      </c>
    </row>
    <row r="4630" spans="1:40" x14ac:dyDescent="0.25">
      <c r="A4630" t="str">
        <f>"20190304164218969"</f>
        <v>20190304164218969</v>
      </c>
      <c r="B4630" t="str">
        <f>"1551688938966168"</f>
        <v>1551688938966168</v>
      </c>
      <c r="C4630" t="s">
        <v>40</v>
      </c>
      <c r="D4630">
        <v>4.4745549999999996</v>
      </c>
      <c r="E4630">
        <v>0.59396890000000002</v>
      </c>
      <c r="F4630" t="s">
        <v>42</v>
      </c>
      <c r="G4630">
        <v>-211.5154</v>
      </c>
      <c r="H4630" s="1">
        <v>-4.8887960000000004E-6</v>
      </c>
      <c r="I4630">
        <v>143.89760000000001</v>
      </c>
      <c r="J4630">
        <v>-200.53980000000001</v>
      </c>
      <c r="K4630">
        <v>1.0996600000000001</v>
      </c>
      <c r="L4630">
        <v>146.7706</v>
      </c>
      <c r="M4630">
        <v>-0.76497169999999903</v>
      </c>
      <c r="N4630">
        <v>-1.0101529999999999E-2</v>
      </c>
      <c r="O4630">
        <v>-0.64398469999999997</v>
      </c>
      <c r="P4630">
        <v>-0.83214089999999996</v>
      </c>
      <c r="Q4630">
        <v>0.37537999999999999</v>
      </c>
      <c r="R4630">
        <v>-0.40820519999999999</v>
      </c>
      <c r="S4630">
        <v>-3.318619</v>
      </c>
      <c r="T4630">
        <v>-0.3270419</v>
      </c>
      <c r="U4630">
        <v>-0.89619450000000001</v>
      </c>
      <c r="V4630">
        <v>0.2334242</v>
      </c>
      <c r="W4630">
        <v>0.37858180000000002</v>
      </c>
      <c r="X4630">
        <v>0.89564999999999995</v>
      </c>
      <c r="Y4630">
        <v>0.41845450000000001</v>
      </c>
      <c r="Z4630">
        <v>7.2229329999999994E-2</v>
      </c>
      <c r="AA4630">
        <v>0.90536110000000003</v>
      </c>
      <c r="AB4630">
        <v>26</v>
      </c>
      <c r="AC4630">
        <v>-10.975599999999901</v>
      </c>
      <c r="AD4630">
        <v>-1.0996648887960001</v>
      </c>
      <c r="AE4630">
        <v>-2.87299999999999</v>
      </c>
      <c r="AF4630">
        <v>4.8252713482812801</v>
      </c>
      <c r="AG4630">
        <v>-1.0996648887960001</v>
      </c>
      <c r="AH4630">
        <v>10.1513454758155</v>
      </c>
      <c r="AI4630">
        <v>95.587847019739002</v>
      </c>
      <c r="AJ4630">
        <v>64.576708231315607</v>
      </c>
      <c r="AK4630">
        <v>11.2934636591949</v>
      </c>
      <c r="AL4630">
        <v>67.754135800006907</v>
      </c>
      <c r="AM4630">
        <v>75.392520941995997</v>
      </c>
      <c r="AN4630">
        <v>0.99999997946843899</v>
      </c>
    </row>
    <row r="4631" spans="1:40" x14ac:dyDescent="0.25">
      <c r="A4631" t="str">
        <f>"20190304164218982"</f>
        <v>20190304164218982</v>
      </c>
      <c r="B4631" t="str">
        <f>"1551688938975929"</f>
        <v>1551688938975929</v>
      </c>
      <c r="C4631" t="s">
        <v>40</v>
      </c>
      <c r="D4631">
        <v>4.4755949999999904</v>
      </c>
      <c r="E4631">
        <v>0.5927268</v>
      </c>
      <c r="F4631" t="s">
        <v>42</v>
      </c>
      <c r="G4631">
        <v>-210.78020000000001</v>
      </c>
      <c r="H4631" s="1">
        <v>-5.1953799999999997E-6</v>
      </c>
      <c r="I4631">
        <v>144.03450000000001</v>
      </c>
      <c r="J4631">
        <v>-200.672</v>
      </c>
      <c r="K4631">
        <v>1.0995779999999999</v>
      </c>
      <c r="L4631">
        <v>146.67189999999999</v>
      </c>
      <c r="M4631">
        <v>-0.77121790000000001</v>
      </c>
      <c r="N4631">
        <v>-1.0109109999999999E-2</v>
      </c>
      <c r="O4631">
        <v>-0.63649109999999998</v>
      </c>
      <c r="P4631">
        <v>-0.83522280000000004</v>
      </c>
      <c r="Q4631">
        <v>0.376052</v>
      </c>
      <c r="R4631">
        <v>-0.40123300000000001</v>
      </c>
      <c r="S4631">
        <v>-3.3300019999999901</v>
      </c>
      <c r="T4631">
        <v>-0.35759229999999997</v>
      </c>
      <c r="U4631">
        <v>-0.88975519999999997</v>
      </c>
      <c r="V4631">
        <v>0.23207059999999999</v>
      </c>
      <c r="W4631">
        <v>0.37925209999999998</v>
      </c>
      <c r="X4631">
        <v>0.89571819999999902</v>
      </c>
      <c r="Y4631">
        <v>0.41130549999999999</v>
      </c>
      <c r="Z4631">
        <v>7.8250550000000002E-2</v>
      </c>
      <c r="AA4631">
        <v>0.90813250000000001</v>
      </c>
      <c r="AB4631">
        <v>26</v>
      </c>
      <c r="AC4631">
        <v>-10.1082</v>
      </c>
      <c r="AD4631">
        <v>-1.0995831953799999</v>
      </c>
      <c r="AE4631">
        <v>-2.63739999999998</v>
      </c>
      <c r="AF4631">
        <v>4.3517797788285</v>
      </c>
      <c r="AG4631">
        <v>-1.0995831953799999</v>
      </c>
      <c r="AH4631">
        <v>9.3709675910547894</v>
      </c>
      <c r="AI4631">
        <v>96.074758635103507</v>
      </c>
      <c r="AJ4631">
        <v>65.090335272612194</v>
      </c>
      <c r="AK4631">
        <v>10.3904814151983</v>
      </c>
      <c r="AL4631">
        <v>67.712636440405802</v>
      </c>
      <c r="AM4631">
        <v>75.474693991921995</v>
      </c>
      <c r="AN4631">
        <v>1.0000000062750001</v>
      </c>
    </row>
    <row r="4632" spans="1:40" x14ac:dyDescent="0.25">
      <c r="A4632" t="str">
        <f>"20190304164218995"</f>
        <v>20190304164218995</v>
      </c>
      <c r="B4632" t="str">
        <f>"1551688938985689"</f>
        <v>1551688938985689</v>
      </c>
      <c r="C4632" t="s">
        <v>40</v>
      </c>
      <c r="D4632">
        <v>4.5337389999999997</v>
      </c>
      <c r="E4632">
        <v>0.59218359999999903</v>
      </c>
      <c r="F4632" t="s">
        <v>42</v>
      </c>
      <c r="G4632">
        <v>-210.59440000000001</v>
      </c>
      <c r="H4632" s="1">
        <v>-5.2737089999999996E-6</v>
      </c>
      <c r="I4632">
        <v>144.07380000000001</v>
      </c>
      <c r="J4632">
        <v>-200.79589999999999</v>
      </c>
      <c r="K4632">
        <v>1.099505</v>
      </c>
      <c r="L4632">
        <v>146.58189999999999</v>
      </c>
      <c r="M4632">
        <v>-0.77698120000000004</v>
      </c>
      <c r="N4632">
        <v>-1.011804E-2</v>
      </c>
      <c r="O4632">
        <v>-0.62944270000000002</v>
      </c>
      <c r="P4632">
        <v>-0.83804500000000004</v>
      </c>
      <c r="Q4632">
        <v>0.3767472</v>
      </c>
      <c r="R4632">
        <v>-0.3946421</v>
      </c>
      <c r="S4632">
        <v>-3.3384860000000001</v>
      </c>
      <c r="T4632">
        <v>-0.36996390000000001</v>
      </c>
      <c r="U4632">
        <v>-0.87414550000000002</v>
      </c>
      <c r="V4632">
        <v>0.23085229999999901</v>
      </c>
      <c r="W4632">
        <v>0.37994909999999998</v>
      </c>
      <c r="X4632">
        <v>0.89573760000000002</v>
      </c>
      <c r="Y4632">
        <v>0.40728419999999999</v>
      </c>
      <c r="Z4632">
        <v>8.0250779999999994E-2</v>
      </c>
      <c r="AA4632">
        <v>0.90976880000000004</v>
      </c>
      <c r="AB4632">
        <v>26</v>
      </c>
      <c r="AC4632">
        <v>-9.7985000000000095</v>
      </c>
      <c r="AD4632">
        <v>-1.0995102737089999</v>
      </c>
      <c r="AE4632">
        <v>-2.5080999999999798</v>
      </c>
      <c r="AF4632">
        <v>4.1697875418848698</v>
      </c>
      <c r="AG4632">
        <v>-1.0995102737089999</v>
      </c>
      <c r="AH4632">
        <v>9.0850639599182692</v>
      </c>
      <c r="AI4632">
        <v>96.276845524010099</v>
      </c>
      <c r="AJ4632">
        <v>65.346214874782305</v>
      </c>
      <c r="AK4632">
        <v>10.056561944434799</v>
      </c>
      <c r="AL4632">
        <v>67.669469593140605</v>
      </c>
      <c r="AM4632">
        <v>75.5480459681024</v>
      </c>
      <c r="AN4632">
        <v>0.99999997552992903</v>
      </c>
    </row>
    <row r="4633" spans="1:40" x14ac:dyDescent="0.25">
      <c r="A4633" t="str">
        <f>"20190304164219015"</f>
        <v>20190304164219015</v>
      </c>
      <c r="B4633" t="str">
        <f>"1551688939006184"</f>
        <v>1551688939006184</v>
      </c>
      <c r="C4633" t="s">
        <v>40</v>
      </c>
      <c r="D4633">
        <v>4.5436639999999997</v>
      </c>
      <c r="E4633">
        <v>0.59056070000000005</v>
      </c>
      <c r="F4633" t="s">
        <v>42</v>
      </c>
      <c r="G4633">
        <v>-210.64240000000001</v>
      </c>
      <c r="H4633" s="1">
        <v>-5.2547480000000003E-6</v>
      </c>
      <c r="I4633">
        <v>144.07089999999999</v>
      </c>
      <c r="J4633">
        <v>-200.98759999999999</v>
      </c>
      <c r="K4633">
        <v>1.099394</v>
      </c>
      <c r="L4633">
        <v>146.4453</v>
      </c>
      <c r="M4633">
        <v>-0.78573859999999995</v>
      </c>
      <c r="N4633">
        <v>-1.013119E-2</v>
      </c>
      <c r="O4633">
        <v>-0.61847559999999902</v>
      </c>
      <c r="P4633">
        <v>-0.84265369999999995</v>
      </c>
      <c r="Q4633">
        <v>0.3769342</v>
      </c>
      <c r="R4633">
        <v>-0.38451980000000002</v>
      </c>
      <c r="S4633">
        <v>-3.3459319999999999</v>
      </c>
      <c r="T4633">
        <v>-0.37362220000000002</v>
      </c>
      <c r="U4633">
        <v>-0.85325620000000002</v>
      </c>
      <c r="V4633">
        <v>0.22910710000000001</v>
      </c>
      <c r="W4633">
        <v>0.3801445</v>
      </c>
      <c r="X4633">
        <v>0.89610270000000003</v>
      </c>
      <c r="Y4633">
        <v>0.40027839999999998</v>
      </c>
      <c r="Z4633">
        <v>7.9809619999999998E-2</v>
      </c>
      <c r="AA4633">
        <v>0.91291169999999999</v>
      </c>
      <c r="AB4633">
        <v>26</v>
      </c>
      <c r="AC4633">
        <v>-9.6548000000000194</v>
      </c>
      <c r="AD4633">
        <v>-1.099399254748</v>
      </c>
      <c r="AE4633">
        <v>-2.3744000000000001</v>
      </c>
      <c r="AF4633">
        <v>4.0562159930544803</v>
      </c>
      <c r="AG4633">
        <v>-1.099399254748</v>
      </c>
      <c r="AH4633">
        <v>8.9457429291914998</v>
      </c>
      <c r="AI4633">
        <v>96.386418717826302</v>
      </c>
      <c r="AJ4633">
        <v>65.609312111948299</v>
      </c>
      <c r="AK4633">
        <v>9.8837180989155602</v>
      </c>
      <c r="AL4633">
        <v>67.657365842044797</v>
      </c>
      <c r="AM4633">
        <v>75.658378183619504</v>
      </c>
      <c r="AN4633">
        <v>0.99999997654897399</v>
      </c>
    </row>
    <row r="4634" spans="1:40" x14ac:dyDescent="0.25">
      <c r="A4634" t="str">
        <f>"20190304164219037"</f>
        <v>20190304164219037</v>
      </c>
      <c r="B4634" t="str">
        <f>"1551688939025704"</f>
        <v>1551688939025704</v>
      </c>
      <c r="C4634" t="s">
        <v>40</v>
      </c>
      <c r="D4634">
        <v>4.5416699999999999</v>
      </c>
      <c r="E4634">
        <v>0.58918149999999903</v>
      </c>
      <c r="F4634" t="s">
        <v>42</v>
      </c>
      <c r="G4634">
        <v>-210.43700000000001</v>
      </c>
      <c r="H4634" s="1">
        <v>-5.3406369999999997E-6</v>
      </c>
      <c r="I4634">
        <v>144.1103</v>
      </c>
      <c r="J4634">
        <v>-201.19929999999999</v>
      </c>
      <c r="K4634">
        <v>1.099283</v>
      </c>
      <c r="L4634">
        <v>146.29929999999999</v>
      </c>
      <c r="M4634">
        <v>-0.79516540000000002</v>
      </c>
      <c r="N4634">
        <v>-1.0144749999999999E-2</v>
      </c>
      <c r="O4634">
        <v>-0.60630769999999901</v>
      </c>
      <c r="P4634">
        <v>-0.84812469999999995</v>
      </c>
      <c r="Q4634">
        <v>0.37538569999999999</v>
      </c>
      <c r="R4634">
        <v>-0.37385810000000003</v>
      </c>
      <c r="S4634">
        <v>-3.3563839999999998</v>
      </c>
      <c r="T4634">
        <v>-0.39050299999999999</v>
      </c>
      <c r="U4634">
        <v>-0.82939149999999995</v>
      </c>
      <c r="V4634">
        <v>0.2270711</v>
      </c>
      <c r="W4634">
        <v>0.37862279999999998</v>
      </c>
      <c r="X4634">
        <v>0.89726450000000002</v>
      </c>
      <c r="Y4634">
        <v>0.39260840000000002</v>
      </c>
      <c r="Z4634">
        <v>8.2053940000000006E-2</v>
      </c>
      <c r="AA4634">
        <v>0.91603809999999997</v>
      </c>
      <c r="AB4634">
        <v>26</v>
      </c>
      <c r="AC4634">
        <v>-9.2377000000000091</v>
      </c>
      <c r="AD4634">
        <v>-1.099288340637</v>
      </c>
      <c r="AE4634">
        <v>-2.1889999999999898</v>
      </c>
      <c r="AF4634">
        <v>3.80939336513531</v>
      </c>
      <c r="AG4634">
        <v>-1.099288340637</v>
      </c>
      <c r="AH4634">
        <v>8.5584010634003391</v>
      </c>
      <c r="AI4634">
        <v>96.692832974099005</v>
      </c>
      <c r="AJ4634">
        <v>66.0058795631018</v>
      </c>
      <c r="AK4634">
        <v>9.4321864606362293</v>
      </c>
      <c r="AL4634">
        <v>67.751599298797601</v>
      </c>
      <c r="AM4634">
        <v>75.798303008601195</v>
      </c>
      <c r="AN4634">
        <v>1.0000000460476399</v>
      </c>
    </row>
    <row r="4635" spans="1:40" x14ac:dyDescent="0.25">
      <c r="A4635" t="str">
        <f>"20190304164219058"</f>
        <v>20190304164219058</v>
      </c>
      <c r="B4635" t="str">
        <f>"1551688939055961"</f>
        <v>1551688939055961</v>
      </c>
      <c r="C4635" t="s">
        <v>40</v>
      </c>
      <c r="D4635">
        <v>4.5544719999999996</v>
      </c>
      <c r="E4635">
        <v>0.59006349999999996</v>
      </c>
      <c r="F4635" t="s">
        <v>42</v>
      </c>
      <c r="G4635">
        <v>-210.2328</v>
      </c>
      <c r="H4635" s="1">
        <v>-5.427404E-6</v>
      </c>
      <c r="I4635">
        <v>144.1574</v>
      </c>
      <c r="J4635">
        <v>-201.4102</v>
      </c>
      <c r="K4635">
        <v>1.0991899999999999</v>
      </c>
      <c r="L4635">
        <v>146.1584</v>
      </c>
      <c r="M4635">
        <v>-0.80430330000000005</v>
      </c>
      <c r="N4635">
        <v>-1.015695E-2</v>
      </c>
      <c r="O4635">
        <v>-0.5941324</v>
      </c>
      <c r="P4635">
        <v>-0.85310419999999998</v>
      </c>
      <c r="Q4635">
        <v>0.37382490000000002</v>
      </c>
      <c r="R4635">
        <v>-0.36396230000000002</v>
      </c>
      <c r="S4635">
        <v>-3.3666529999999999</v>
      </c>
      <c r="T4635">
        <v>-0.40968739999999998</v>
      </c>
      <c r="U4635">
        <v>-0.79823299999999997</v>
      </c>
      <c r="V4635">
        <v>0.22427800000000001</v>
      </c>
      <c r="W4635">
        <v>0.3771195</v>
      </c>
      <c r="X4635">
        <v>0.89859899999999904</v>
      </c>
      <c r="Y4635">
        <v>0.38683600000000001</v>
      </c>
      <c r="Z4635">
        <v>8.4793220000000002E-2</v>
      </c>
      <c r="AA4635">
        <v>0.9182418</v>
      </c>
      <c r="AB4635">
        <v>26</v>
      </c>
      <c r="AC4635">
        <v>-8.8225999999999907</v>
      </c>
      <c r="AD4635">
        <v>-1.0991954274039999</v>
      </c>
      <c r="AE4635">
        <v>-2.0009999999999999</v>
      </c>
      <c r="AF4635">
        <v>3.5797213703774502</v>
      </c>
      <c r="AG4635">
        <v>-1.0991954274039999</v>
      </c>
      <c r="AH4635">
        <v>8.1647953011266594</v>
      </c>
      <c r="AI4635">
        <v>97.028893144041305</v>
      </c>
      <c r="AJ4635">
        <v>66.325735465121795</v>
      </c>
      <c r="AK4635">
        <v>8.9825674495916097</v>
      </c>
      <c r="AL4635">
        <v>67.844627254513497</v>
      </c>
      <c r="AM4635">
        <v>75.986067632688403</v>
      </c>
      <c r="AN4635">
        <v>0.99999995068262304</v>
      </c>
    </row>
    <row r="4636" spans="1:40" x14ac:dyDescent="0.25">
      <c r="A4636" t="str">
        <f>"20190304164219081"</f>
        <v>20190304164219081</v>
      </c>
      <c r="B4636" t="str">
        <f>"1551688939075481"</f>
        <v>1551688939075481</v>
      </c>
      <c r="C4636" t="s">
        <v>40</v>
      </c>
      <c r="D4636">
        <v>4.366657</v>
      </c>
      <c r="E4636">
        <v>0.58949200000000002</v>
      </c>
      <c r="F4636" t="s">
        <v>42</v>
      </c>
      <c r="G4636">
        <v>-210.66739999999999</v>
      </c>
      <c r="H4636" s="1">
        <v>-5.25297E-6</v>
      </c>
      <c r="I4636">
        <v>144.11490000000001</v>
      </c>
      <c r="J4636">
        <v>-201.63910000000001</v>
      </c>
      <c r="K4636">
        <v>1.099113</v>
      </c>
      <c r="L4636">
        <v>146.01050000000001</v>
      </c>
      <c r="M4636">
        <v>-0.81392749999999903</v>
      </c>
      <c r="N4636">
        <v>-1.016886E-2</v>
      </c>
      <c r="O4636">
        <v>-0.58087730000000004</v>
      </c>
      <c r="P4636">
        <v>-0.85815819999999998</v>
      </c>
      <c r="Q4636">
        <v>0.37310310000000002</v>
      </c>
      <c r="R4636">
        <v>-0.3526455</v>
      </c>
      <c r="S4636">
        <v>-3.374374</v>
      </c>
      <c r="T4636">
        <v>-0.40067340000000001</v>
      </c>
      <c r="U4636">
        <v>-0.74488829999999995</v>
      </c>
      <c r="V4636">
        <v>0.22165969999999999</v>
      </c>
      <c r="W4636">
        <v>0.3764517</v>
      </c>
      <c r="X4636">
        <v>0.89952829999999995</v>
      </c>
      <c r="Y4636">
        <v>0.3863297</v>
      </c>
      <c r="Z4636">
        <v>8.1772209999999998E-2</v>
      </c>
      <c r="AA4636">
        <v>0.91872880000000001</v>
      </c>
      <c r="AB4636">
        <v>26</v>
      </c>
      <c r="AC4636">
        <v>-9.0282999999999696</v>
      </c>
      <c r="AD4636">
        <v>-1.0991182529700001</v>
      </c>
      <c r="AE4636">
        <v>-1.8956</v>
      </c>
      <c r="AF4636">
        <v>3.64983515656637</v>
      </c>
      <c r="AG4636">
        <v>-1.0991182529700001</v>
      </c>
      <c r="AH4636">
        <v>8.3316607572242596</v>
      </c>
      <c r="AI4636">
        <v>96.889923905332907</v>
      </c>
      <c r="AJ4636">
        <v>66.343305468382994</v>
      </c>
      <c r="AK4636">
        <v>9.1622010771206295</v>
      </c>
      <c r="AL4636">
        <v>67.885935573936706</v>
      </c>
      <c r="AM4636">
        <v>76.157095551516093</v>
      </c>
      <c r="AN4636">
        <v>1.0000000337689301</v>
      </c>
    </row>
    <row r="4637" spans="1:40" x14ac:dyDescent="0.25">
      <c r="A4637" t="str">
        <f>"20190304164219094"</f>
        <v>20190304164219094</v>
      </c>
      <c r="B4637" t="str">
        <f>"1551688939086217"</f>
        <v>1551688939086217</v>
      </c>
      <c r="C4637" t="s">
        <v>40</v>
      </c>
      <c r="D4637">
        <v>4.4863580000000001</v>
      </c>
      <c r="E4637">
        <v>0.58904269999999903</v>
      </c>
      <c r="F4637" t="s">
        <v>42</v>
      </c>
      <c r="G4637">
        <v>-210.88730000000001</v>
      </c>
      <c r="H4637" s="1">
        <v>-5.1645420000000002E-6</v>
      </c>
      <c r="I4637">
        <v>144.0924</v>
      </c>
      <c r="J4637">
        <v>-201.76929999999999</v>
      </c>
      <c r="K4637">
        <v>1.0990759999999999</v>
      </c>
      <c r="L4637">
        <v>145.92939999999999</v>
      </c>
      <c r="M4637">
        <v>-0.81925139999999996</v>
      </c>
      <c r="N4637">
        <v>-1.017533E-2</v>
      </c>
      <c r="O4637">
        <v>-0.57334419999999897</v>
      </c>
      <c r="P4637">
        <v>-0.8611683</v>
      </c>
      <c r="Q4637">
        <v>0.37248209999999998</v>
      </c>
      <c r="R4637">
        <v>-0.34589910000000001</v>
      </c>
      <c r="S4637">
        <v>-3.382355</v>
      </c>
      <c r="T4637">
        <v>-0.40198460000000003</v>
      </c>
      <c r="U4637">
        <v>-0.7015228</v>
      </c>
      <c r="V4637">
        <v>0.22058410000000001</v>
      </c>
      <c r="W4637">
        <v>0.37585400000000002</v>
      </c>
      <c r="X4637">
        <v>0.90004249999999997</v>
      </c>
      <c r="Y4637">
        <v>0.38952540000000002</v>
      </c>
      <c r="Z4637">
        <v>8.1608440000000004E-2</v>
      </c>
      <c r="AA4637">
        <v>0.91739300000000001</v>
      </c>
      <c r="AB4637">
        <v>26</v>
      </c>
      <c r="AC4637">
        <v>-9.1180000000000199</v>
      </c>
      <c r="AD4637">
        <v>-1.099081164542</v>
      </c>
      <c r="AE4637">
        <v>-1.83699999999998</v>
      </c>
      <c r="AF4637">
        <v>3.6717120495608602</v>
      </c>
      <c r="AG4637">
        <v>-1.099081164542</v>
      </c>
      <c r="AH4637">
        <v>8.4062322236164597</v>
      </c>
      <c r="AI4637">
        <v>96.8323441038347</v>
      </c>
      <c r="AJ4637">
        <v>66.405039700902293</v>
      </c>
      <c r="AK4637">
        <v>9.2387330829778396</v>
      </c>
      <c r="AL4637">
        <v>67.922895802088206</v>
      </c>
      <c r="AM4637">
        <v>76.229274153180697</v>
      </c>
      <c r="AN4637">
        <v>1.00000003814752</v>
      </c>
    </row>
    <row r="4638" spans="1:40" x14ac:dyDescent="0.25">
      <c r="A4638" t="str">
        <f>"20190304164219115"</f>
        <v>20190304164219115</v>
      </c>
      <c r="B4638" t="str">
        <f>"1551688939105736"</f>
        <v>1551688939105736</v>
      </c>
      <c r="C4638" t="s">
        <v>40</v>
      </c>
      <c r="D4638">
        <v>4.456677</v>
      </c>
      <c r="E4638">
        <v>0.58825280000000002</v>
      </c>
      <c r="F4638" t="s">
        <v>42</v>
      </c>
      <c r="G4638">
        <v>-210.8972</v>
      </c>
      <c r="H4638" s="1">
        <v>-5.1624010000000001E-6</v>
      </c>
      <c r="I4638">
        <v>144.1018</v>
      </c>
      <c r="J4638">
        <v>-201.98269999999999</v>
      </c>
      <c r="K4638">
        <v>1.099016</v>
      </c>
      <c r="L4638">
        <v>145.79910000000001</v>
      </c>
      <c r="M4638">
        <v>-0.8277774</v>
      </c>
      <c r="N4638">
        <v>-1.01848999999999E-2</v>
      </c>
      <c r="O4638">
        <v>-0.56096449999999998</v>
      </c>
      <c r="P4638">
        <v>-0.86595519999999904</v>
      </c>
      <c r="Q4638">
        <v>0.371228</v>
      </c>
      <c r="R4638">
        <v>-0.33512950000000002</v>
      </c>
      <c r="S4638">
        <v>-3.3876339999999998</v>
      </c>
      <c r="T4638">
        <v>-0.40790090000000001</v>
      </c>
      <c r="U4638">
        <v>-0.678253199999999</v>
      </c>
      <c r="V4638">
        <v>0.218584</v>
      </c>
      <c r="W4638">
        <v>0.37464819999999999</v>
      </c>
      <c r="X4638">
        <v>0.90103259999999996</v>
      </c>
      <c r="Y4638">
        <v>0.3819671</v>
      </c>
      <c r="Z4638">
        <v>8.128618E-2</v>
      </c>
      <c r="AA4638">
        <v>0.92059420000000003</v>
      </c>
      <c r="AB4638">
        <v>26</v>
      </c>
      <c r="AC4638">
        <v>-8.9145000000000003</v>
      </c>
      <c r="AD4638">
        <v>-1.099021162401</v>
      </c>
      <c r="AE4638">
        <v>-1.69730000000001</v>
      </c>
      <c r="AF4638">
        <v>3.5439370458111901</v>
      </c>
      <c r="AG4638">
        <v>-1.099021162401</v>
      </c>
      <c r="AH4638">
        <v>8.2113385023394798</v>
      </c>
      <c r="AI4638">
        <v>97.0056909158004</v>
      </c>
      <c r="AJ4638">
        <v>66.655423078974195</v>
      </c>
      <c r="AK4638">
        <v>9.0107389985550608</v>
      </c>
      <c r="AL4638">
        <v>67.997428704799006</v>
      </c>
      <c r="AM4638">
        <v>76.363885205288994</v>
      </c>
      <c r="AN4638">
        <v>0.99999999254099903</v>
      </c>
    </row>
    <row r="4639" spans="1:40" x14ac:dyDescent="0.25">
      <c r="A4639" t="str">
        <f>"20190304164219135"</f>
        <v>20190304164219135</v>
      </c>
      <c r="B4639" t="str">
        <f>"1551688939126234"</f>
        <v>1551688939126234</v>
      </c>
      <c r="C4639" t="s">
        <v>40</v>
      </c>
      <c r="D4639">
        <v>4.4647810000000003</v>
      </c>
      <c r="E4639">
        <v>0.58754280000000003</v>
      </c>
      <c r="F4639" t="s">
        <v>42</v>
      </c>
      <c r="G4639">
        <v>-210.8982</v>
      </c>
      <c r="H4639" s="1">
        <v>-5.1640610000000002E-6</v>
      </c>
      <c r="I4639">
        <v>144.11330000000001</v>
      </c>
      <c r="J4639">
        <v>-202.1969</v>
      </c>
      <c r="K4639">
        <v>1.098959</v>
      </c>
      <c r="L4639">
        <v>145.67259999999999</v>
      </c>
      <c r="M4639">
        <v>-0.83606740000000002</v>
      </c>
      <c r="N4639">
        <v>-1.019311E-2</v>
      </c>
      <c r="O4639">
        <v>-0.54853219999999903</v>
      </c>
      <c r="P4639">
        <v>-0.87040119999999899</v>
      </c>
      <c r="Q4639">
        <v>0.37014409999999998</v>
      </c>
      <c r="R4639">
        <v>-0.32464660000000001</v>
      </c>
      <c r="S4639">
        <v>-3.39534</v>
      </c>
      <c r="T4639">
        <v>-0.41854449999999999</v>
      </c>
      <c r="U4639">
        <v>-0.64199830000000002</v>
      </c>
      <c r="V4639">
        <v>0.21625</v>
      </c>
      <c r="W4639">
        <v>0.3736254</v>
      </c>
      <c r="X4639">
        <v>0.90202000000000004</v>
      </c>
      <c r="Y4639">
        <v>0.37783860000000002</v>
      </c>
      <c r="Z4639">
        <v>8.2067680000000004E-2</v>
      </c>
      <c r="AA4639">
        <v>0.92222709999999997</v>
      </c>
      <c r="AB4639">
        <v>26</v>
      </c>
      <c r="AC4639">
        <v>-8.7012999999999998</v>
      </c>
      <c r="AD4639">
        <v>-1.0989641640609999</v>
      </c>
      <c r="AE4639">
        <v>-1.5592999999999699</v>
      </c>
      <c r="AF4639">
        <v>3.4166388579971199</v>
      </c>
      <c r="AG4639">
        <v>-1.0989641640609999</v>
      </c>
      <c r="AH4639">
        <v>8.0068743548321297</v>
      </c>
      <c r="AI4639">
        <v>97.194948490197703</v>
      </c>
      <c r="AJ4639">
        <v>66.891418352989007</v>
      </c>
      <c r="AK4639">
        <v>8.7744618213275398</v>
      </c>
      <c r="AL4639">
        <v>68.060621332497405</v>
      </c>
      <c r="AM4639">
        <v>76.518369630096004</v>
      </c>
      <c r="AN4639">
        <v>1.00000004121257</v>
      </c>
    </row>
    <row r="4640" spans="1:40" x14ac:dyDescent="0.25">
      <c r="A4640" t="str">
        <f>"20190304164219149"</f>
        <v>20190304164219149</v>
      </c>
      <c r="B4640" t="str">
        <f>"1551688939145752"</f>
        <v>1551688939145752</v>
      </c>
      <c r="C4640" t="s">
        <v>40</v>
      </c>
      <c r="D4640">
        <v>4.4715170000000004</v>
      </c>
      <c r="E4640">
        <v>0.58697500000000002</v>
      </c>
      <c r="F4640" t="s">
        <v>42</v>
      </c>
      <c r="G4640">
        <v>-210.95140000000001</v>
      </c>
      <c r="H4640" s="1">
        <v>-5.1438249999999998E-6</v>
      </c>
      <c r="I4640">
        <v>144.11449999999999</v>
      </c>
      <c r="J4640">
        <v>-202.3356</v>
      </c>
      <c r="K4640">
        <v>1.0989329999999999</v>
      </c>
      <c r="L4640">
        <v>145.59309999999999</v>
      </c>
      <c r="M4640">
        <v>-0.84128769999999997</v>
      </c>
      <c r="N4640">
        <v>-1.0196169999999999E-2</v>
      </c>
      <c r="O4640">
        <v>-0.54049169999999902</v>
      </c>
      <c r="P4640">
        <v>-0.87318580000000001</v>
      </c>
      <c r="Q4640">
        <v>0.36994250000000001</v>
      </c>
      <c r="R4640">
        <v>-0.31731579999999998</v>
      </c>
      <c r="S4640">
        <v>-3.402466</v>
      </c>
      <c r="T4640">
        <v>-0.42711450000000001</v>
      </c>
      <c r="U4640">
        <v>-0.60557559999999999</v>
      </c>
      <c r="V4640">
        <v>0.21524289999999999</v>
      </c>
      <c r="W4640">
        <v>0.37344670000000002</v>
      </c>
      <c r="X4640">
        <v>0.90233479999999999</v>
      </c>
      <c r="Y4640">
        <v>0.37867020000000001</v>
      </c>
      <c r="Z4640">
        <v>8.3086300000000002E-2</v>
      </c>
      <c r="AA4640">
        <v>0.92179480000000003</v>
      </c>
      <c r="AB4640">
        <v>26</v>
      </c>
      <c r="AC4640">
        <v>-8.6158000000000001</v>
      </c>
      <c r="AD4640">
        <v>-1.0989381438250001</v>
      </c>
      <c r="AE4640">
        <v>-1.4785999999999999</v>
      </c>
      <c r="AF4640">
        <v>3.3599194123896301</v>
      </c>
      <c r="AG4640">
        <v>-1.0989381438250001</v>
      </c>
      <c r="AH4640">
        <v>7.92274898531441</v>
      </c>
      <c r="AI4640">
        <v>97.277174604406895</v>
      </c>
      <c r="AJ4640">
        <v>67.018925094289401</v>
      </c>
      <c r="AK4640">
        <v>8.6756368634243</v>
      </c>
      <c r="AL4640">
        <v>68.071658498775903</v>
      </c>
      <c r="AM4640">
        <v>76.583391391742694</v>
      </c>
      <c r="AN4640">
        <v>1.0000000175161601</v>
      </c>
    </row>
    <row r="4641" spans="1:40" x14ac:dyDescent="0.25">
      <c r="A4641" t="str">
        <f>"20190304164219171"</f>
        <v>20190304164219171</v>
      </c>
      <c r="B4641" t="str">
        <f>"1551688939166249"</f>
        <v>1551688939166249</v>
      </c>
      <c r="C4641" t="s">
        <v>40</v>
      </c>
      <c r="D4641">
        <v>4.7246829999999997</v>
      </c>
      <c r="E4641">
        <v>0.58664320000000003</v>
      </c>
      <c r="F4641" t="s">
        <v>42</v>
      </c>
      <c r="G4641">
        <v>-211.0196</v>
      </c>
      <c r="H4641" s="1">
        <v>-5.1168639999999999E-6</v>
      </c>
      <c r="I4641">
        <v>144.11019999999999</v>
      </c>
      <c r="J4641">
        <v>-202.56030000000001</v>
      </c>
      <c r="K4641">
        <v>1.0989</v>
      </c>
      <c r="L4641">
        <v>145.46780000000001</v>
      </c>
      <c r="M4641">
        <v>-0.84951390000000004</v>
      </c>
      <c r="N4641">
        <v>-1.019629E-2</v>
      </c>
      <c r="O4641">
        <v>-0.52746800000000005</v>
      </c>
      <c r="P4641">
        <v>-0.87762770000000001</v>
      </c>
      <c r="Q4641">
        <v>0.3695311</v>
      </c>
      <c r="R4641">
        <v>-0.30531390000000003</v>
      </c>
      <c r="S4641">
        <v>-3.4069370000000001</v>
      </c>
      <c r="T4641">
        <v>-0.4311352</v>
      </c>
      <c r="U4641">
        <v>-0.5817871</v>
      </c>
      <c r="V4641">
        <v>0.213813</v>
      </c>
      <c r="W4641">
        <v>0.3730658</v>
      </c>
      <c r="X4641">
        <v>0.90283219999999997</v>
      </c>
      <c r="Y4641">
        <v>0.37089319999999998</v>
      </c>
      <c r="Z4641">
        <v>8.2127019999999995E-2</v>
      </c>
      <c r="AA4641">
        <v>0.925037</v>
      </c>
      <c r="AB4641">
        <v>26</v>
      </c>
      <c r="AC4641">
        <v>-8.4592999999999794</v>
      </c>
      <c r="AD4641">
        <v>-1.0989051168640001</v>
      </c>
      <c r="AE4641">
        <v>-1.3576000000000099</v>
      </c>
      <c r="AF4641">
        <v>3.255326203798</v>
      </c>
      <c r="AG4641">
        <v>-1.0989051168640001</v>
      </c>
      <c r="AH4641">
        <v>7.7748839253832998</v>
      </c>
      <c r="AI4641">
        <v>97.427974907784005</v>
      </c>
      <c r="AJ4641">
        <v>67.281050233973204</v>
      </c>
      <c r="AK4641">
        <v>8.5002094799003292</v>
      </c>
      <c r="AL4641">
        <v>68.095183006739703</v>
      </c>
      <c r="AM4641">
        <v>76.676410913020703</v>
      </c>
      <c r="AN4641">
        <v>1.0000000357277301</v>
      </c>
    </row>
    <row r="4642" spans="1:40" x14ac:dyDescent="0.25">
      <c r="A4642" t="str">
        <f>"20190304164219193"</f>
        <v>20190304164219193</v>
      </c>
      <c r="B4642" t="str">
        <f>"1551688939185769"</f>
        <v>1551688939185769</v>
      </c>
      <c r="C4642" t="s">
        <v>40</v>
      </c>
      <c r="D4642">
        <v>4.4195379999999904</v>
      </c>
      <c r="E4642">
        <v>0.586314</v>
      </c>
      <c r="F4642" t="s">
        <v>42</v>
      </c>
      <c r="G4642">
        <v>-211.22470000000001</v>
      </c>
      <c r="H4642" s="1">
        <v>-5.0361669999999999E-6</v>
      </c>
      <c r="I4642">
        <v>144.0992</v>
      </c>
      <c r="J4642">
        <v>-202.8031</v>
      </c>
      <c r="K4642">
        <v>1.098867</v>
      </c>
      <c r="L4642">
        <v>145.3373</v>
      </c>
      <c r="M4642">
        <v>-0.85807009999999995</v>
      </c>
      <c r="N4642">
        <v>-1.0190950000000001E-2</v>
      </c>
      <c r="O4642">
        <v>-0.51343139999999998</v>
      </c>
      <c r="P4642">
        <v>-0.88253719999999902</v>
      </c>
      <c r="Q4642">
        <v>0.36891309999999999</v>
      </c>
      <c r="R4642">
        <v>-0.2916009</v>
      </c>
      <c r="S4642">
        <v>-3.4130099999999999</v>
      </c>
      <c r="T4642">
        <v>-0.43287160000000002</v>
      </c>
      <c r="U4642">
        <v>-0.53909300000000004</v>
      </c>
      <c r="V4642">
        <v>0.21317059999999999</v>
      </c>
      <c r="W4642">
        <v>0.37245430000000002</v>
      </c>
      <c r="X4642">
        <v>0.90323640000000005</v>
      </c>
      <c r="Y4642">
        <v>0.36724329999999999</v>
      </c>
      <c r="Z4642">
        <v>8.0876450000000003E-2</v>
      </c>
      <c r="AA4642">
        <v>0.92660209999999998</v>
      </c>
      <c r="AB4642">
        <v>26</v>
      </c>
      <c r="AC4642">
        <v>-8.4216000000000104</v>
      </c>
      <c r="AD4642">
        <v>-1.0988720361669999</v>
      </c>
      <c r="AE4642">
        <v>-1.2381</v>
      </c>
      <c r="AF4642">
        <v>3.2082398046977798</v>
      </c>
      <c r="AG4642">
        <v>-1.0988720361669999</v>
      </c>
      <c r="AH4642">
        <v>7.7335278945069499</v>
      </c>
      <c r="AI4642">
        <v>97.477126153081301</v>
      </c>
      <c r="AJ4642">
        <v>67.468972043250503</v>
      </c>
      <c r="AK4642">
        <v>8.4443931748488694</v>
      </c>
      <c r="AL4642">
        <v>68.132938734569507</v>
      </c>
      <c r="AM4642">
        <v>76.7207545281818</v>
      </c>
      <c r="AN4642">
        <v>0.99999995228890304</v>
      </c>
    </row>
    <row r="4643" spans="1:40" x14ac:dyDescent="0.25">
      <c r="A4643" t="str">
        <f>"20190304164219208"</f>
        <v>20190304164219208</v>
      </c>
      <c r="B4643" t="str">
        <f>"1551688939195528"</f>
        <v>1551688939195528</v>
      </c>
      <c r="C4643" t="s">
        <v>40</v>
      </c>
      <c r="D4643">
        <v>4.427346</v>
      </c>
      <c r="E4643">
        <v>0.58607600000000004</v>
      </c>
      <c r="F4643" t="s">
        <v>42</v>
      </c>
      <c r="G4643">
        <v>-211.42019999999999</v>
      </c>
      <c r="H4643" s="1">
        <v>-4.9605680000000004E-6</v>
      </c>
      <c r="I4643">
        <v>144.09630000000001</v>
      </c>
      <c r="J4643">
        <v>-202.95009999999999</v>
      </c>
      <c r="K4643">
        <v>1.098851</v>
      </c>
      <c r="L4643">
        <v>145.26060000000001</v>
      </c>
      <c r="M4643">
        <v>-0.86308960000000001</v>
      </c>
      <c r="N4643">
        <v>-1.0185090000000001E-2</v>
      </c>
      <c r="O4643">
        <v>-0.50494810000000001</v>
      </c>
      <c r="P4643">
        <v>-0.88556389999999996</v>
      </c>
      <c r="Q4643">
        <v>0.36832359999999997</v>
      </c>
      <c r="R4643">
        <v>-0.28304430000000003</v>
      </c>
      <c r="S4643">
        <v>-3.4188839999999998</v>
      </c>
      <c r="T4643">
        <v>-0.43597979999999997</v>
      </c>
      <c r="U4643">
        <v>-0.4923553</v>
      </c>
      <c r="V4643">
        <v>0.21312400000000001</v>
      </c>
      <c r="W4643">
        <v>0.37185990000000002</v>
      </c>
      <c r="X4643">
        <v>0.90349230000000003</v>
      </c>
      <c r="Y4643">
        <v>0.37064530000000001</v>
      </c>
      <c r="Z4643">
        <v>8.088447E-2</v>
      </c>
      <c r="AA4643">
        <v>0.92524580000000001</v>
      </c>
      <c r="AB4643">
        <v>26</v>
      </c>
      <c r="AC4643">
        <v>-8.4701000000000004</v>
      </c>
      <c r="AD4643">
        <v>-1.0988559605679999</v>
      </c>
      <c r="AE4643">
        <v>-1.1642999999999899</v>
      </c>
      <c r="AF4643">
        <v>3.2190608612647398</v>
      </c>
      <c r="AG4643">
        <v>-1.0988559605679999</v>
      </c>
      <c r="AH4643">
        <v>7.7704191439560999</v>
      </c>
      <c r="AI4643">
        <v>97.443420620395599</v>
      </c>
      <c r="AJ4643">
        <v>67.497181301520001</v>
      </c>
      <c r="AK4643">
        <v>8.4822904290858698</v>
      </c>
      <c r="AL4643">
        <v>68.169631605026197</v>
      </c>
      <c r="AM4643">
        <v>76.727181850703303</v>
      </c>
      <c r="AN4643">
        <v>0.99999998038164895</v>
      </c>
    </row>
    <row r="4644" spans="1:40" x14ac:dyDescent="0.25">
      <c r="A4644" t="str">
        <f>"20190304164219223"</f>
        <v>20190304164219223</v>
      </c>
      <c r="B4644" t="str">
        <f>"1551688939216025"</f>
        <v>1551688939216025</v>
      </c>
      <c r="C4644" t="s">
        <v>40</v>
      </c>
      <c r="D4644">
        <v>4.4144639999999997</v>
      </c>
      <c r="E4644">
        <v>0.58562440000000004</v>
      </c>
      <c r="F4644" t="s">
        <v>42</v>
      </c>
      <c r="G4644">
        <v>-211.50200000000001</v>
      </c>
      <c r="H4644" s="1">
        <v>-4.9300960000000003E-6</v>
      </c>
      <c r="I4644">
        <v>144.10140000000001</v>
      </c>
      <c r="J4644">
        <v>-203.12379999999999</v>
      </c>
      <c r="K4644">
        <v>1.0988370000000001</v>
      </c>
      <c r="L4644">
        <v>145.1721</v>
      </c>
      <c r="M4644">
        <v>-0.86886529999999995</v>
      </c>
      <c r="N4644">
        <v>-1.0175099999999999E-2</v>
      </c>
      <c r="O4644">
        <v>-0.494944</v>
      </c>
      <c r="P4644">
        <v>-0.88900049999999997</v>
      </c>
      <c r="Q4644">
        <v>0.36768020000000001</v>
      </c>
      <c r="R4644">
        <v>-0.272928</v>
      </c>
      <c r="S4644">
        <v>-3.4222869999999999</v>
      </c>
      <c r="T4644">
        <v>-0.43974069999999998</v>
      </c>
      <c r="U4644">
        <v>-0.46388239999999997</v>
      </c>
      <c r="V4644">
        <v>0.21310660000000001</v>
      </c>
      <c r="W4644">
        <v>0.37120829999999999</v>
      </c>
      <c r="X4644">
        <v>0.90376440000000002</v>
      </c>
      <c r="Y4644">
        <v>0.3675852</v>
      </c>
      <c r="Z4644">
        <v>8.0407690000000004E-2</v>
      </c>
      <c r="AA4644">
        <v>0.92650730000000003</v>
      </c>
      <c r="AB4644">
        <v>26</v>
      </c>
      <c r="AC4644">
        <v>-8.3782000000000192</v>
      </c>
      <c r="AD4644">
        <v>-1.098841930096</v>
      </c>
      <c r="AE4644">
        <v>-1.07069999999998</v>
      </c>
      <c r="AF4644">
        <v>3.1630765883489702</v>
      </c>
      <c r="AG4644">
        <v>-1.098841930096</v>
      </c>
      <c r="AH4644">
        <v>7.6798845900199</v>
      </c>
      <c r="AI4644">
        <v>97.536393729174407</v>
      </c>
      <c r="AJ4644">
        <v>67.614945875239698</v>
      </c>
      <c r="AK4644">
        <v>8.3781343034785305</v>
      </c>
      <c r="AL4644">
        <v>68.209845739480201</v>
      </c>
      <c r="AM4644">
        <v>76.732081572374895</v>
      </c>
      <c r="AN4644">
        <v>1.0000000578299</v>
      </c>
    </row>
    <row r="4645" spans="1:40" x14ac:dyDescent="0.25">
      <c r="A4645" t="str">
        <f>"20190304164219237"</f>
        <v>20190304164219237</v>
      </c>
      <c r="B4645" t="str">
        <f>"1551688939225785"</f>
        <v>1551688939225785</v>
      </c>
      <c r="C4645" t="s">
        <v>40</v>
      </c>
      <c r="D4645">
        <v>4.4236449999999996</v>
      </c>
      <c r="E4645">
        <v>0.58542569999999905</v>
      </c>
      <c r="F4645" t="s">
        <v>42</v>
      </c>
      <c r="G4645">
        <v>-211.59710000000001</v>
      </c>
      <c r="H4645" s="1">
        <v>-4.8948239999999999E-6</v>
      </c>
      <c r="I4645">
        <v>144.10849999999999</v>
      </c>
      <c r="J4645">
        <v>-203.27709999999999</v>
      </c>
      <c r="K4645">
        <v>1.09883</v>
      </c>
      <c r="L4645">
        <v>145.09649999999999</v>
      </c>
      <c r="M4645">
        <v>-0.87381010000000003</v>
      </c>
      <c r="N4645">
        <v>-1.0162890000000001E-2</v>
      </c>
      <c r="O4645">
        <v>-0.48616140000000002</v>
      </c>
      <c r="P4645">
        <v>-0.89203330000000003</v>
      </c>
      <c r="Q4645">
        <v>0.36581150000000001</v>
      </c>
      <c r="R4645">
        <v>-0.26544060000000003</v>
      </c>
      <c r="S4645">
        <v>-3.4263150000000002</v>
      </c>
      <c r="T4645">
        <v>-0.44433679999999898</v>
      </c>
      <c r="U4645">
        <v>-0.43011470000000002</v>
      </c>
      <c r="V4645">
        <v>0.2119134</v>
      </c>
      <c r="W4645">
        <v>0.36937179999999997</v>
      </c>
      <c r="X4645">
        <v>0.90479679999999996</v>
      </c>
      <c r="Y4645">
        <v>0.36727149999999997</v>
      </c>
      <c r="Z4645">
        <v>8.0364649999999996E-2</v>
      </c>
      <c r="AA4645">
        <v>0.9266354</v>
      </c>
      <c r="AB4645">
        <v>26</v>
      </c>
      <c r="AC4645">
        <v>-8.3200000000000198</v>
      </c>
      <c r="AD4645">
        <v>-1.0988348948240001</v>
      </c>
      <c r="AE4645">
        <v>-0.98799999999999899</v>
      </c>
      <c r="AF4645">
        <v>3.1279013983039201</v>
      </c>
      <c r="AG4645">
        <v>-1.0988348948240001</v>
      </c>
      <c r="AH4645">
        <v>7.6197642223653697</v>
      </c>
      <c r="AI4645">
        <v>97.598725799300695</v>
      </c>
      <c r="AJ4645">
        <v>67.681925971497705</v>
      </c>
      <c r="AK4645">
        <v>8.3097540329442907</v>
      </c>
      <c r="AL4645">
        <v>68.323120955726495</v>
      </c>
      <c r="AM4645">
        <v>76.818294630262301</v>
      </c>
      <c r="AN4645">
        <v>1.00000003251251</v>
      </c>
    </row>
    <row r="4646" spans="1:40" x14ac:dyDescent="0.25">
      <c r="A4646" t="str">
        <f>"20190304164219272"</f>
        <v>20190304164219272</v>
      </c>
      <c r="B4646" t="str">
        <f>"1551688939265801"</f>
        <v>1551688939265801</v>
      </c>
      <c r="C4646" t="s">
        <v>40</v>
      </c>
      <c r="D4646">
        <v>4.4463869999999996</v>
      </c>
      <c r="E4646">
        <v>0.58459349999999999</v>
      </c>
      <c r="F4646" t="s">
        <v>42</v>
      </c>
      <c r="G4646">
        <v>-211.59960000000001</v>
      </c>
      <c r="H4646" s="1">
        <v>-4.8945959999999996E-6</v>
      </c>
      <c r="I4646">
        <v>144.11259999999999</v>
      </c>
      <c r="J4646">
        <v>-203.65180000000001</v>
      </c>
      <c r="K4646">
        <v>1.098843</v>
      </c>
      <c r="L4646">
        <v>144.91899999999899</v>
      </c>
      <c r="M4646">
        <v>-0.88536630000000005</v>
      </c>
      <c r="N4646">
        <v>-1.0124630000000001E-2</v>
      </c>
      <c r="O4646">
        <v>-0.46478380000000002</v>
      </c>
      <c r="P4646">
        <v>-0.89726729999999999</v>
      </c>
      <c r="Q4646">
        <v>0.3652164</v>
      </c>
      <c r="R4646">
        <v>-0.24804950000000001</v>
      </c>
      <c r="S4646">
        <v>-3.428131</v>
      </c>
      <c r="T4646">
        <v>-0.45262219999999997</v>
      </c>
      <c r="U4646">
        <v>-0.405304</v>
      </c>
      <c r="V4646">
        <v>0.20757510000000001</v>
      </c>
      <c r="W4646">
        <v>0.36888120000000002</v>
      </c>
      <c r="X4646">
        <v>0.90600170000000002</v>
      </c>
      <c r="Y4646">
        <v>0.3513502</v>
      </c>
      <c r="Z4646">
        <v>7.8589210000000007E-2</v>
      </c>
      <c r="AA4646">
        <v>0.93293979999999999</v>
      </c>
      <c r="AB4646">
        <v>26</v>
      </c>
      <c r="AC4646">
        <v>-7.9478</v>
      </c>
      <c r="AD4646">
        <v>-1.0988478945960001</v>
      </c>
      <c r="AE4646">
        <v>-0.80639999999999601</v>
      </c>
      <c r="AF4646">
        <v>2.9248621499537699</v>
      </c>
      <c r="AG4646">
        <v>-1.0988478945960001</v>
      </c>
      <c r="AH4646">
        <v>7.2742630210192001</v>
      </c>
      <c r="AI4646">
        <v>97.978290657108104</v>
      </c>
      <c r="AJ4646">
        <v>68.095747492667499</v>
      </c>
      <c r="AK4646">
        <v>7.9168925589941903</v>
      </c>
      <c r="AL4646">
        <v>68.353363676994704</v>
      </c>
      <c r="AM4646">
        <v>77.095613002940496</v>
      </c>
      <c r="AN4646">
        <v>0.99999992112816605</v>
      </c>
    </row>
    <row r="4647" spans="1:40" x14ac:dyDescent="0.25">
      <c r="A4647" t="str">
        <f>"20190304164219294"</f>
        <v>20190304164219294</v>
      </c>
      <c r="B4647" t="str">
        <f>"1551688939285320"</f>
        <v>1551688939285320</v>
      </c>
      <c r="C4647" t="s">
        <v>40</v>
      </c>
      <c r="D4647">
        <v>4.4385110000000001</v>
      </c>
      <c r="E4647">
        <v>0.58416279999999998</v>
      </c>
      <c r="F4647" t="s">
        <v>42</v>
      </c>
      <c r="G4647">
        <v>-211.99959999999999</v>
      </c>
      <c r="H4647" s="1">
        <v>-4.7374149999999999E-6</v>
      </c>
      <c r="I4647">
        <v>144.0924</v>
      </c>
      <c r="J4647">
        <v>-203.8999</v>
      </c>
      <c r="K4647">
        <v>1.098851</v>
      </c>
      <c r="L4647">
        <v>144.8073</v>
      </c>
      <c r="M4647">
        <v>-0.89260890000000004</v>
      </c>
      <c r="N4647">
        <v>-1.0088450000000001E-2</v>
      </c>
      <c r="O4647">
        <v>-0.45071919999999999</v>
      </c>
      <c r="P4647">
        <v>-0.89928909999999995</v>
      </c>
      <c r="Q4647">
        <v>0.36702509999999999</v>
      </c>
      <c r="R4647">
        <v>-0.23784920000000001</v>
      </c>
      <c r="S4647">
        <v>-3.4334560000000001</v>
      </c>
      <c r="T4647">
        <v>-0.45195770000000002</v>
      </c>
      <c r="U4647">
        <v>-0.33998109999999998</v>
      </c>
      <c r="V4647">
        <v>0.20320959999999999</v>
      </c>
      <c r="W4647">
        <v>0.37078709999999998</v>
      </c>
      <c r="X4647">
        <v>0.90621339999999995</v>
      </c>
      <c r="Y4647">
        <v>0.35434829999999901</v>
      </c>
      <c r="Z4647">
        <v>7.7227009999999999E-2</v>
      </c>
      <c r="AA4647">
        <v>0.9319191</v>
      </c>
      <c r="AB4647">
        <v>26</v>
      </c>
      <c r="AC4647">
        <v>-8.0996999999999808</v>
      </c>
      <c r="AD4647">
        <v>-1.0988557374150001</v>
      </c>
      <c r="AE4647">
        <v>-0.71489999999999998</v>
      </c>
      <c r="AF4647">
        <v>2.9586826116173102</v>
      </c>
      <c r="AG4647">
        <v>-1.0988557374150001</v>
      </c>
      <c r="AH4647">
        <v>7.4170097396045902</v>
      </c>
      <c r="AI4647">
        <v>97.835202415736205</v>
      </c>
      <c r="AJ4647">
        <v>68.252693891756294</v>
      </c>
      <c r="AK4647">
        <v>8.0606029678508495</v>
      </c>
      <c r="AL4647">
        <v>68.235831365377507</v>
      </c>
      <c r="AM4647">
        <v>77.361051316201696</v>
      </c>
      <c r="AN4647">
        <v>0.99999997069906399</v>
      </c>
    </row>
    <row r="4648" spans="1:40" x14ac:dyDescent="0.25">
      <c r="A4648" t="str">
        <f>"20190304164219315"</f>
        <v>20190304164219315</v>
      </c>
      <c r="B4648" t="str">
        <f>"1551688939305816"</f>
        <v>1551688939305816</v>
      </c>
      <c r="C4648" t="s">
        <v>40</v>
      </c>
      <c r="D4648">
        <v>4.3965120000000004</v>
      </c>
      <c r="E4648">
        <v>0.58367639999999998</v>
      </c>
      <c r="F4648" t="s">
        <v>42</v>
      </c>
      <c r="G4648">
        <v>-212.41550000000001</v>
      </c>
      <c r="H4648" s="1">
        <v>-4.5730750000000003E-6</v>
      </c>
      <c r="I4648">
        <v>144.06630000000001</v>
      </c>
      <c r="J4648">
        <v>-204.14259999999999</v>
      </c>
      <c r="K4648">
        <v>1.0988610000000001</v>
      </c>
      <c r="L4648">
        <v>144.70230000000001</v>
      </c>
      <c r="M4648">
        <v>-0.8993913</v>
      </c>
      <c r="N4648">
        <v>-1.004388E-2</v>
      </c>
      <c r="O4648">
        <v>-0.43702950000000002</v>
      </c>
      <c r="P4648">
        <v>-0.90098270000000003</v>
      </c>
      <c r="Q4648">
        <v>0.36864740000000001</v>
      </c>
      <c r="R4648">
        <v>-0.22875670000000001</v>
      </c>
      <c r="S4648">
        <v>-3.4379119999999999</v>
      </c>
      <c r="T4648">
        <v>-0.44363049999999998</v>
      </c>
      <c r="U4648">
        <v>-0.29913329999999999</v>
      </c>
      <c r="V4648">
        <v>0.19823289999999999</v>
      </c>
      <c r="W4648">
        <v>0.37251620000000002</v>
      </c>
      <c r="X4648">
        <v>0.90660649999999998</v>
      </c>
      <c r="Y4648">
        <v>0.35152410000000001</v>
      </c>
      <c r="Z4648">
        <v>7.4125899999999995E-2</v>
      </c>
      <c r="AA4648">
        <v>0.93323959999999995</v>
      </c>
      <c r="AB4648">
        <v>27</v>
      </c>
      <c r="AC4648">
        <v>-8.2729000000000195</v>
      </c>
      <c r="AD4648">
        <v>-1.0988655730750001</v>
      </c>
      <c r="AE4648">
        <v>-0.63599999999999501</v>
      </c>
      <c r="AF4648">
        <v>2.99117801241947</v>
      </c>
      <c r="AG4648">
        <v>-1.0988655730750001</v>
      </c>
      <c r="AH4648">
        <v>7.5858615974625101</v>
      </c>
      <c r="AI4648">
        <v>97.674897485141599</v>
      </c>
      <c r="AJ4648">
        <v>68.480206532632806</v>
      </c>
      <c r="AK4648">
        <v>8.2279977895918002</v>
      </c>
      <c r="AL4648">
        <v>68.129117611061105</v>
      </c>
      <c r="AM4648">
        <v>77.666176372497802</v>
      </c>
      <c r="AN4648">
        <v>0.999999973873549</v>
      </c>
    </row>
    <row r="4649" spans="1:40" x14ac:dyDescent="0.25">
      <c r="A4649" t="str">
        <f>"20190304164219339"</f>
        <v>20190304164219339</v>
      </c>
      <c r="B4649" t="str">
        <f>"1551688939325337"</f>
        <v>1551688939325337</v>
      </c>
      <c r="C4649" t="s">
        <v>40</v>
      </c>
      <c r="D4649">
        <v>4.4200210000000002</v>
      </c>
      <c r="E4649">
        <v>0.58320909999999904</v>
      </c>
      <c r="F4649" t="s">
        <v>42</v>
      </c>
      <c r="G4649">
        <v>-212.7841</v>
      </c>
      <c r="H4649" s="1">
        <v>-4.4260319999999997E-6</v>
      </c>
      <c r="I4649">
        <v>144.03550000000001</v>
      </c>
      <c r="J4649">
        <v>-204.40039999999999</v>
      </c>
      <c r="K4649">
        <v>1.098875</v>
      </c>
      <c r="L4649">
        <v>144.59520000000001</v>
      </c>
      <c r="M4649">
        <v>-0.90627530000000001</v>
      </c>
      <c r="N4649">
        <v>-9.9848449999999991E-3</v>
      </c>
      <c r="O4649">
        <v>-0.42257040000000001</v>
      </c>
      <c r="P4649">
        <v>-0.90289870000000005</v>
      </c>
      <c r="Q4649">
        <v>0.36934450000000002</v>
      </c>
      <c r="R4649">
        <v>-0.21990699999999999</v>
      </c>
      <c r="S4649">
        <v>-3.4413299999999998</v>
      </c>
      <c r="T4649">
        <v>-0.43760250000000001</v>
      </c>
      <c r="U4649">
        <v>-0.26551819999999998</v>
      </c>
      <c r="V4649">
        <v>0.19246369999999999</v>
      </c>
      <c r="W4649">
        <v>0.37333430000000001</v>
      </c>
      <c r="X4649">
        <v>0.90751269999999995</v>
      </c>
      <c r="Y4649">
        <v>0.34598269999999998</v>
      </c>
      <c r="Z4649">
        <v>7.1204770000000001E-2</v>
      </c>
      <c r="AA4649">
        <v>0.93553509999999995</v>
      </c>
      <c r="AB4649">
        <v>27</v>
      </c>
      <c r="AC4649">
        <v>-8.3836999999999993</v>
      </c>
      <c r="AD4649">
        <v>-1.0988794260320001</v>
      </c>
      <c r="AE4649">
        <v>-0.55969999999999198</v>
      </c>
      <c r="AF4649">
        <v>2.9845640196530701</v>
      </c>
      <c r="AG4649">
        <v>-1.0988794260320001</v>
      </c>
      <c r="AH4649">
        <v>7.7030885363754296</v>
      </c>
      <c r="AI4649">
        <v>97.576952820725396</v>
      </c>
      <c r="AJ4649">
        <v>68.8211260212355</v>
      </c>
      <c r="AK4649">
        <v>8.3338305346102892</v>
      </c>
      <c r="AL4649">
        <v>68.078601112461001</v>
      </c>
      <c r="AM4649">
        <v>78.026223453553797</v>
      </c>
      <c r="AN4649">
        <v>1.0000000380177301</v>
      </c>
    </row>
    <row r="4650" spans="1:40" x14ac:dyDescent="0.25">
      <c r="A4650" t="str">
        <f>"20190304164219361"</f>
        <v>20190304164219361</v>
      </c>
      <c r="B4650" t="str">
        <f>"1551688939355593"</f>
        <v>1551688939355593</v>
      </c>
      <c r="C4650" t="s">
        <v>40</v>
      </c>
      <c r="D4650">
        <v>4.4791689999999997</v>
      </c>
      <c r="E4650">
        <v>0.58242419999999995</v>
      </c>
      <c r="F4650" t="s">
        <v>42</v>
      </c>
      <c r="G4650">
        <v>-213.1028</v>
      </c>
      <c r="H4650" s="1">
        <v>-4.2985810000000003E-6</v>
      </c>
      <c r="I4650">
        <v>144.0069</v>
      </c>
      <c r="J4650">
        <v>-204.6669</v>
      </c>
      <c r="K4650">
        <v>1.098895</v>
      </c>
      <c r="L4650">
        <v>144.48929999999999</v>
      </c>
      <c r="M4650">
        <v>-0.91305259999999999</v>
      </c>
      <c r="N4650">
        <v>-9.9121529999999999E-3</v>
      </c>
      <c r="O4650">
        <v>-0.40772160000000002</v>
      </c>
      <c r="P4650">
        <v>-0.90455560000000002</v>
      </c>
      <c r="Q4650">
        <v>0.36982100000000001</v>
      </c>
      <c r="R4650">
        <v>-0.21215990000000001</v>
      </c>
      <c r="S4650">
        <v>-3.4438019999999998</v>
      </c>
      <c r="T4650">
        <v>-0.43485869999999999</v>
      </c>
      <c r="U4650">
        <v>-0.23280329999999999</v>
      </c>
      <c r="V4650">
        <v>0.1853099</v>
      </c>
      <c r="W4650">
        <v>0.37396020000000002</v>
      </c>
      <c r="X4650">
        <v>0.90874310000000003</v>
      </c>
      <c r="Y4650">
        <v>0.33978779999999997</v>
      </c>
      <c r="Z4650">
        <v>6.8790630000000005E-2</v>
      </c>
      <c r="AA4650">
        <v>0.93798300000000001</v>
      </c>
      <c r="AB4650">
        <v>27</v>
      </c>
      <c r="AC4650">
        <v>-8.4359000000000002</v>
      </c>
      <c r="AD4650">
        <v>-1.098899298581</v>
      </c>
      <c r="AE4650">
        <v>-0.48239999999998401</v>
      </c>
      <c r="AF4650">
        <v>2.9493058345761098</v>
      </c>
      <c r="AG4650">
        <v>-1.098899298581</v>
      </c>
      <c r="AH4650">
        <v>7.7681062416742597</v>
      </c>
      <c r="AI4650">
        <v>97.533749897389399</v>
      </c>
      <c r="AJ4650">
        <v>69.209803961916904</v>
      </c>
      <c r="AK4650">
        <v>8.3814950430233601</v>
      </c>
      <c r="AL4650">
        <v>68.039938715220899</v>
      </c>
      <c r="AM4650">
        <v>78.474330315768299</v>
      </c>
      <c r="AN4650">
        <v>1.00000000600983</v>
      </c>
    </row>
    <row r="4651" spans="1:40" x14ac:dyDescent="0.25">
      <c r="A4651" t="str">
        <f>"20190304164219384"</f>
        <v>20190304164219384</v>
      </c>
      <c r="B4651" t="str">
        <f>"1551688939376089"</f>
        <v>1551688939376089</v>
      </c>
      <c r="C4651" t="s">
        <v>40</v>
      </c>
      <c r="D4651">
        <v>4.4823000000000004</v>
      </c>
      <c r="E4651">
        <v>0.58186260000000001</v>
      </c>
      <c r="F4651" t="s">
        <v>42</v>
      </c>
      <c r="G4651">
        <v>-213.40899999999999</v>
      </c>
      <c r="H4651" s="1">
        <v>-4.1748999999999996E-6</v>
      </c>
      <c r="I4651">
        <v>143.9726</v>
      </c>
      <c r="J4651">
        <v>-204.92410000000001</v>
      </c>
      <c r="K4651">
        <v>1.0989120000000001</v>
      </c>
      <c r="L4651">
        <v>144.3921</v>
      </c>
      <c r="M4651">
        <v>-0.91926609999999997</v>
      </c>
      <c r="N4651">
        <v>-9.8359580000000005E-3</v>
      </c>
      <c r="O4651">
        <v>-0.39351390000000003</v>
      </c>
      <c r="P4651">
        <v>-0.90537299999999998</v>
      </c>
      <c r="Q4651">
        <v>0.3712626</v>
      </c>
      <c r="R4651">
        <v>-0.20606740000000001</v>
      </c>
      <c r="S4651">
        <v>-3.445862</v>
      </c>
      <c r="T4651">
        <v>-0.43314789999999997</v>
      </c>
      <c r="U4651">
        <v>-0.2036743</v>
      </c>
      <c r="V4651">
        <v>0.17707779999999901</v>
      </c>
      <c r="W4651">
        <v>0.37557689999999999</v>
      </c>
      <c r="X4651">
        <v>0.90971729999999995</v>
      </c>
      <c r="Y4651">
        <v>0.33333299999999999</v>
      </c>
      <c r="Z4651">
        <v>6.6600699999999999E-2</v>
      </c>
      <c r="AA4651">
        <v>0.94045389999999995</v>
      </c>
      <c r="AB4651">
        <v>27</v>
      </c>
      <c r="AC4651">
        <v>-8.4849000000000103</v>
      </c>
      <c r="AD4651">
        <v>-1.0989161749</v>
      </c>
      <c r="AE4651">
        <v>-0.41949999999999898</v>
      </c>
      <c r="AF4651">
        <v>2.9048299899061201</v>
      </c>
      <c r="AG4651">
        <v>-1.0989161749</v>
      </c>
      <c r="AH4651">
        <v>7.8342538935417902</v>
      </c>
      <c r="AI4651">
        <v>97.492586064190107</v>
      </c>
      <c r="AJ4651">
        <v>69.655935543136096</v>
      </c>
      <c r="AK4651">
        <v>8.4274069617047491</v>
      </c>
      <c r="AL4651">
        <v>67.940028142409702</v>
      </c>
      <c r="AM4651">
        <v>78.985030627482701</v>
      </c>
      <c r="AN4651">
        <v>1.0000000604928601</v>
      </c>
    </row>
    <row r="4652" spans="1:40" x14ac:dyDescent="0.25">
      <c r="A4652" t="str">
        <f>"20190304164219405"</f>
        <v>20190304164219405</v>
      </c>
      <c r="B4652" t="str">
        <f>"1551688939395609"</f>
        <v>1551688939395609</v>
      </c>
      <c r="C4652" t="s">
        <v>40</v>
      </c>
      <c r="D4652">
        <v>4.4692020000000001</v>
      </c>
      <c r="E4652">
        <v>0.5813123</v>
      </c>
      <c r="F4652" t="s">
        <v>42</v>
      </c>
      <c r="G4652">
        <v>-213.79830000000001</v>
      </c>
      <c r="H4652" s="1">
        <v>-4.0185779999999998E-6</v>
      </c>
      <c r="I4652">
        <v>143.934</v>
      </c>
      <c r="J4652">
        <v>-205.1696</v>
      </c>
      <c r="K4652">
        <v>1.0989370000000001</v>
      </c>
      <c r="L4652">
        <v>144.3032</v>
      </c>
      <c r="M4652">
        <v>-0.92491040000000002</v>
      </c>
      <c r="N4652">
        <v>-9.7632220000000002E-3</v>
      </c>
      <c r="O4652">
        <v>-0.38005990000000001</v>
      </c>
      <c r="P4652">
        <v>-0.90635730000000003</v>
      </c>
      <c r="Q4652">
        <v>0.3724151</v>
      </c>
      <c r="R4652">
        <v>-0.1995586</v>
      </c>
      <c r="S4652">
        <v>-3.4481510000000002</v>
      </c>
      <c r="T4652">
        <v>-0.42699520000000002</v>
      </c>
      <c r="U4652">
        <v>-0.17799379999999901</v>
      </c>
      <c r="V4652">
        <v>0.17012910000000001</v>
      </c>
      <c r="W4652">
        <v>0.37687179999999998</v>
      </c>
      <c r="X4652">
        <v>0.91050739999999997</v>
      </c>
      <c r="Y4652">
        <v>0.32689159999999901</v>
      </c>
      <c r="Z4652">
        <v>6.3800449999999995E-2</v>
      </c>
      <c r="AA4652">
        <v>0.94290580000000002</v>
      </c>
      <c r="AB4652">
        <v>27</v>
      </c>
      <c r="AC4652">
        <v>-8.6287000000000091</v>
      </c>
      <c r="AD4652">
        <v>-1.098941018578</v>
      </c>
      <c r="AE4652">
        <v>-0.36920000000000602</v>
      </c>
      <c r="AF4652">
        <v>2.8912742883223199</v>
      </c>
      <c r="AG4652">
        <v>-1.098941018578</v>
      </c>
      <c r="AH4652">
        <v>7.9920823509776397</v>
      </c>
      <c r="AI4652">
        <v>97.367610580147996</v>
      </c>
      <c r="AJ4652">
        <v>70.111531373815794</v>
      </c>
      <c r="AK4652">
        <v>8.5697443764347696</v>
      </c>
      <c r="AL4652">
        <v>67.859951039267102</v>
      </c>
      <c r="AM4652">
        <v>79.416278204806801</v>
      </c>
      <c r="AN4652">
        <v>0.99999999487840496</v>
      </c>
    </row>
    <row r="4653" spans="1:40" x14ac:dyDescent="0.25">
      <c r="A4653" t="str">
        <f>"20190304164219428"</f>
        <v>20190304164219428</v>
      </c>
      <c r="B4653" t="str">
        <f>"1551688939416105"</f>
        <v>1551688939416105</v>
      </c>
      <c r="C4653" t="s">
        <v>40</v>
      </c>
      <c r="D4653">
        <v>4.4443630000000001</v>
      </c>
      <c r="E4653">
        <v>0.58080080000000001</v>
      </c>
      <c r="F4653" t="s">
        <v>42</v>
      </c>
      <c r="G4653">
        <v>-214.1259</v>
      </c>
      <c r="H4653" s="1">
        <v>-3.886631E-6</v>
      </c>
      <c r="I4653">
        <v>143.89949999999999</v>
      </c>
      <c r="J4653">
        <v>-205.441</v>
      </c>
      <c r="K4653">
        <v>1.0989549999999999</v>
      </c>
      <c r="L4653">
        <v>144.20949999999999</v>
      </c>
      <c r="M4653">
        <v>-0.93083510000000003</v>
      </c>
      <c r="N4653">
        <v>-9.6855050000000005E-3</v>
      </c>
      <c r="O4653">
        <v>-0.36531160000000001</v>
      </c>
      <c r="P4653">
        <v>-0.9079893</v>
      </c>
      <c r="Q4653">
        <v>0.37235810000000003</v>
      </c>
      <c r="R4653">
        <v>-0.19210730000000001</v>
      </c>
      <c r="S4653">
        <v>-3.4496150000000001</v>
      </c>
      <c r="T4653">
        <v>-0.42326970000000003</v>
      </c>
      <c r="U4653">
        <v>-0.15548709999999999</v>
      </c>
      <c r="V4653">
        <v>0.16307539999999901</v>
      </c>
      <c r="W4653">
        <v>0.37696059999999998</v>
      </c>
      <c r="X4653">
        <v>0.91176040000000003</v>
      </c>
      <c r="Y4653">
        <v>0.31827680000000003</v>
      </c>
      <c r="Z4653">
        <v>6.1138530000000003E-2</v>
      </c>
      <c r="AA4653">
        <v>0.94602430000000004</v>
      </c>
      <c r="AB4653">
        <v>27</v>
      </c>
      <c r="AC4653">
        <v>-8.6849000000000203</v>
      </c>
      <c r="AD4653">
        <v>-1.0989588866309901</v>
      </c>
      <c r="AE4653">
        <v>-0.310000000000002</v>
      </c>
      <c r="AF4653">
        <v>2.83887369116654</v>
      </c>
      <c r="AG4653">
        <v>-1.0989588866309901</v>
      </c>
      <c r="AH4653">
        <v>8.0688096969835694</v>
      </c>
      <c r="AI4653">
        <v>97.321162341172297</v>
      </c>
      <c r="AJ4653">
        <v>70.616444400532899</v>
      </c>
      <c r="AK4653">
        <v>8.6239552639748194</v>
      </c>
      <c r="AL4653">
        <v>67.854457087348294</v>
      </c>
      <c r="AM4653">
        <v>79.859431909783098</v>
      </c>
      <c r="AN4653">
        <v>0.99999995352283799</v>
      </c>
    </row>
    <row r="4654" spans="1:40" x14ac:dyDescent="0.25">
      <c r="A4654" t="str">
        <f>"20190304164219451"</f>
        <v>20190304164219451</v>
      </c>
      <c r="B4654" t="str">
        <f>"1551688939445385"</f>
        <v>1551688939445385</v>
      </c>
      <c r="C4654" t="s">
        <v>40</v>
      </c>
      <c r="D4654">
        <v>4.4224639999999997</v>
      </c>
      <c r="E4654">
        <v>0.58015030000000001</v>
      </c>
      <c r="F4654" t="s">
        <v>42</v>
      </c>
      <c r="G4654">
        <v>-214.41489999999999</v>
      </c>
      <c r="H4654" s="1">
        <v>-3.7534579999999998E-6</v>
      </c>
      <c r="I4654">
        <v>143.8741</v>
      </c>
      <c r="J4654">
        <v>-205.70179999999999</v>
      </c>
      <c r="K4654">
        <v>1.0989869999999999</v>
      </c>
      <c r="L4654">
        <v>144.12360000000001</v>
      </c>
      <c r="M4654">
        <v>-0.93622629999999996</v>
      </c>
      <c r="N4654">
        <v>-9.6098060000000003E-3</v>
      </c>
      <c r="O4654">
        <v>-0.35126659999999998</v>
      </c>
      <c r="P4654">
        <v>-0.90979620000000005</v>
      </c>
      <c r="Q4654">
        <v>0.37131950000000002</v>
      </c>
      <c r="R4654">
        <v>-0.18545400000000001</v>
      </c>
      <c r="S4654">
        <v>-3.4499819999999999</v>
      </c>
      <c r="T4654">
        <v>-0.422489</v>
      </c>
      <c r="U4654">
        <v>-0.12893679999999999</v>
      </c>
      <c r="V4654">
        <v>0.1560812</v>
      </c>
      <c r="W4654">
        <v>0.37607180000000001</v>
      </c>
      <c r="X4654">
        <v>0.9133502</v>
      </c>
      <c r="Y4654">
        <v>0.31144660000000002</v>
      </c>
      <c r="Z4654">
        <v>5.9136040000000001E-2</v>
      </c>
      <c r="AA4654">
        <v>0.94842179999999998</v>
      </c>
      <c r="AB4654">
        <v>27</v>
      </c>
      <c r="AC4654">
        <v>-8.7130999999999901</v>
      </c>
      <c r="AD4654">
        <v>-1.0989907534579999</v>
      </c>
      <c r="AE4654">
        <v>-0.24950000000001099</v>
      </c>
      <c r="AF4654">
        <v>2.7829254640216399</v>
      </c>
      <c r="AG4654">
        <v>-1.0989907534579999</v>
      </c>
      <c r="AH4654">
        <v>8.1164355433954096</v>
      </c>
      <c r="AI4654">
        <v>97.298893454710694</v>
      </c>
      <c r="AJ4654">
        <v>71.074423475928398</v>
      </c>
      <c r="AK4654">
        <v>8.6503746014018699</v>
      </c>
      <c r="AL4654">
        <v>67.909427040091003</v>
      </c>
      <c r="AM4654">
        <v>80.302475147687105</v>
      </c>
      <c r="AN4654">
        <v>0.99999996379435896</v>
      </c>
    </row>
    <row r="4655" spans="1:40" x14ac:dyDescent="0.25">
      <c r="A4655" t="str">
        <f>"20190304164219472"</f>
        <v>20190304164219472</v>
      </c>
      <c r="B4655" t="str">
        <f>"1551688939465881"</f>
        <v>1551688939465881</v>
      </c>
      <c r="C4655" t="s">
        <v>40</v>
      </c>
      <c r="D4655">
        <v>4.4148839999999998</v>
      </c>
      <c r="E4655">
        <v>0.57964349999999998</v>
      </c>
      <c r="F4655" t="s">
        <v>42</v>
      </c>
      <c r="G4655">
        <v>-214.62360000000001</v>
      </c>
      <c r="H4655" s="1">
        <v>-3.6494210000000001E-6</v>
      </c>
      <c r="I4655">
        <v>143.85390000000001</v>
      </c>
      <c r="J4655">
        <v>-205.96950000000001</v>
      </c>
      <c r="K4655">
        <v>1.0990390000000001</v>
      </c>
      <c r="L4655">
        <v>144.03980000000001</v>
      </c>
      <c r="M4655">
        <v>-0.94144539999999999</v>
      </c>
      <c r="N4655">
        <v>-9.5271680000000008E-3</v>
      </c>
      <c r="O4655">
        <v>-0.33703100000000003</v>
      </c>
      <c r="P4655">
        <v>-0.91142719999999999</v>
      </c>
      <c r="Q4655">
        <v>0.3709865</v>
      </c>
      <c r="R4655">
        <v>-0.17796020000000001</v>
      </c>
      <c r="S4655">
        <v>-3.44957</v>
      </c>
      <c r="T4655">
        <v>-0.42491869999999998</v>
      </c>
      <c r="U4655">
        <v>-0.1043091</v>
      </c>
      <c r="V4655">
        <v>0.14969479999999999</v>
      </c>
      <c r="W4655">
        <v>0.37586809999999998</v>
      </c>
      <c r="X4655">
        <v>0.91450240000000005</v>
      </c>
      <c r="Y4655">
        <v>0.30389070000000001</v>
      </c>
      <c r="Z4655">
        <v>5.751655E-2</v>
      </c>
      <c r="AA4655">
        <v>0.95096919999999996</v>
      </c>
      <c r="AB4655">
        <v>27</v>
      </c>
      <c r="AC4655">
        <v>-8.6540999999999997</v>
      </c>
      <c r="AD4655">
        <v>-1.0990426494209999</v>
      </c>
      <c r="AE4655">
        <v>-0.18590000000000301</v>
      </c>
      <c r="AF4655">
        <v>2.69831081004246</v>
      </c>
      <c r="AG4655">
        <v>-1.0990426494209999</v>
      </c>
      <c r="AH4655">
        <v>8.0801312220452992</v>
      </c>
      <c r="AI4655">
        <v>97.351366015307093</v>
      </c>
      <c r="AJ4655">
        <v>71.533570573761907</v>
      </c>
      <c r="AK4655">
        <v>8.5893711375344406</v>
      </c>
      <c r="AL4655">
        <v>67.922023137403301</v>
      </c>
      <c r="AM4655">
        <v>80.703704402838696</v>
      </c>
      <c r="AN4655">
        <v>1.0000000006751999</v>
      </c>
    </row>
    <row r="4656" spans="1:40" x14ac:dyDescent="0.25">
      <c r="A4656" t="str">
        <f>"20190304164219496"</f>
        <v>20190304164219496</v>
      </c>
      <c r="B4656" t="str">
        <f>"1551688939485401"</f>
        <v>1551688939485401</v>
      </c>
      <c r="C4656" t="s">
        <v>40</v>
      </c>
      <c r="D4656">
        <v>4.4376680000000004</v>
      </c>
      <c r="E4656">
        <v>0.57915629999999996</v>
      </c>
      <c r="F4656" t="s">
        <v>42</v>
      </c>
      <c r="G4656">
        <v>-214.83850000000001</v>
      </c>
      <c r="H4656" s="1">
        <v>-3.5444720000000002E-6</v>
      </c>
      <c r="I4656">
        <v>143.84110000000001</v>
      </c>
      <c r="J4656">
        <v>-206.24119999999999</v>
      </c>
      <c r="K4656">
        <v>1.0991230000000001</v>
      </c>
      <c r="L4656">
        <v>143.9588</v>
      </c>
      <c r="M4656">
        <v>-0.94641830000000005</v>
      </c>
      <c r="N4656">
        <v>-9.4321149999999996E-3</v>
      </c>
      <c r="O4656">
        <v>-0.32280560000000003</v>
      </c>
      <c r="P4656">
        <v>-0.91318270000000001</v>
      </c>
      <c r="Q4656">
        <v>0.37061169999999999</v>
      </c>
      <c r="R4656">
        <v>-0.16954259999999999</v>
      </c>
      <c r="S4656">
        <v>-3.450485</v>
      </c>
      <c r="T4656">
        <v>-0.42758239999999997</v>
      </c>
      <c r="U4656">
        <v>-7.7301030000000007E-2</v>
      </c>
      <c r="V4656">
        <v>0.1442716</v>
      </c>
      <c r="W4656">
        <v>0.37559369999999997</v>
      </c>
      <c r="X4656">
        <v>0.91548629999999998</v>
      </c>
      <c r="Y4656">
        <v>0.29707050000000002</v>
      </c>
      <c r="Z4656">
        <v>5.5921470000000001E-2</v>
      </c>
      <c r="AA4656">
        <v>0.95321659999999997</v>
      </c>
      <c r="AB4656">
        <v>27</v>
      </c>
      <c r="AC4656">
        <v>-8.5973000000000095</v>
      </c>
      <c r="AD4656">
        <v>-1.09912654447199</v>
      </c>
      <c r="AE4656">
        <v>-0.117699999999985</v>
      </c>
      <c r="AF4656">
        <v>2.62114833836094</v>
      </c>
      <c r="AG4656">
        <v>-1.09912654447199</v>
      </c>
      <c r="AH4656">
        <v>8.0435566921870993</v>
      </c>
      <c r="AI4656">
        <v>97.4025484402476</v>
      </c>
      <c r="AJ4656">
        <v>71.9508000206378</v>
      </c>
      <c r="AK4656">
        <v>8.5309613779974001</v>
      </c>
      <c r="AL4656">
        <v>67.938989146279198</v>
      </c>
      <c r="AM4656">
        <v>81.044402652547106</v>
      </c>
      <c r="AN4656">
        <v>1.0000000437669601</v>
      </c>
    </row>
    <row r="4657" spans="1:40" x14ac:dyDescent="0.25">
      <c r="A4657" t="str">
        <f>"20190304164219516"</f>
        <v>20190304164219516</v>
      </c>
      <c r="B4657" t="str">
        <f>"1551688939505897"</f>
        <v>1551688939505897</v>
      </c>
      <c r="C4657" t="s">
        <v>40</v>
      </c>
      <c r="D4657">
        <v>4.3991280000000001</v>
      </c>
      <c r="E4657">
        <v>0.57869399999999904</v>
      </c>
      <c r="F4657" t="s">
        <v>42</v>
      </c>
      <c r="G4657">
        <v>-215.0146</v>
      </c>
      <c r="H4657" s="1">
        <v>-3.457019E-6</v>
      </c>
      <c r="I4657">
        <v>143.8252</v>
      </c>
      <c r="J4657">
        <v>-206.48949999999999</v>
      </c>
      <c r="K4657">
        <v>1.0992599999999999</v>
      </c>
      <c r="L4657">
        <v>143.88839999999999</v>
      </c>
      <c r="M4657">
        <v>-0.95066919999999999</v>
      </c>
      <c r="N4657">
        <v>-9.3342349999999998E-3</v>
      </c>
      <c r="O4657">
        <v>-0.31006630000000002</v>
      </c>
      <c r="P4657">
        <v>-0.91492329999999999</v>
      </c>
      <c r="Q4657">
        <v>0.36894880000000002</v>
      </c>
      <c r="R4657">
        <v>-0.16368289999999999</v>
      </c>
      <c r="S4657">
        <v>-3.4509280000000002</v>
      </c>
      <c r="T4657">
        <v>-0.43233280000000002</v>
      </c>
      <c r="U4657">
        <v>-5.2536010000000001E-2</v>
      </c>
      <c r="V4657">
        <v>0.13785829999999999</v>
      </c>
      <c r="W4657">
        <v>0.37406719999999999</v>
      </c>
      <c r="X4657">
        <v>0.91709799999999997</v>
      </c>
      <c r="Y4657">
        <v>0.29112189999999999</v>
      </c>
      <c r="Z4657">
        <v>5.4784770000000003E-2</v>
      </c>
      <c r="AA4657">
        <v>0.95511599999999997</v>
      </c>
      <c r="AB4657">
        <v>27</v>
      </c>
      <c r="AC4657">
        <v>-8.5251000000000001</v>
      </c>
      <c r="AD4657">
        <v>-1.0992634570190001</v>
      </c>
      <c r="AE4657">
        <v>-6.3199999999994802E-2</v>
      </c>
      <c r="AF4657">
        <v>2.5411281376932502</v>
      </c>
      <c r="AG4657">
        <v>-1.0992634570190001</v>
      </c>
      <c r="AH4657">
        <v>7.9916327191253904</v>
      </c>
      <c r="AI4657">
        <v>97.468010464800699</v>
      </c>
      <c r="AJ4657">
        <v>72.360710270643693</v>
      </c>
      <c r="AK4657">
        <v>8.4576536863074097</v>
      </c>
      <c r="AL4657">
        <v>68.033327270963596</v>
      </c>
      <c r="AM4657">
        <v>81.4512961756473</v>
      </c>
      <c r="AN4657">
        <v>0.99999996129936397</v>
      </c>
    </row>
    <row r="4658" spans="1:40" x14ac:dyDescent="0.25">
      <c r="A4658" t="str">
        <f>"20190304164219540"</f>
        <v>20190304164219540</v>
      </c>
      <c r="B4658" t="str">
        <f>"1551688939536153"</f>
        <v>1551688939536153</v>
      </c>
      <c r="C4658" t="s">
        <v>40</v>
      </c>
      <c r="D4658">
        <v>4.468318</v>
      </c>
      <c r="E4658">
        <v>0.56421140000000003</v>
      </c>
      <c r="F4658" t="s">
        <v>42</v>
      </c>
      <c r="G4658">
        <v>-215.09710000000001</v>
      </c>
      <c r="H4658" s="1">
        <v>-3.4121989999999999E-6</v>
      </c>
      <c r="I4658">
        <v>143.80350000000001</v>
      </c>
      <c r="J4658">
        <v>-206.76730000000001</v>
      </c>
      <c r="K4658">
        <v>1.099461</v>
      </c>
      <c r="L4658">
        <v>143.8134</v>
      </c>
      <c r="M4658">
        <v>-0.95509500000000003</v>
      </c>
      <c r="N4658">
        <v>-9.2138770000000005E-3</v>
      </c>
      <c r="O4658">
        <v>-0.2961568</v>
      </c>
      <c r="P4658">
        <v>-0.91596639999999996</v>
      </c>
      <c r="Q4658">
        <v>0.36881580000000003</v>
      </c>
      <c r="R4658">
        <v>-0.15805359999999999</v>
      </c>
      <c r="S4658">
        <v>-3.450577</v>
      </c>
      <c r="T4658">
        <v>-0.44066640000000001</v>
      </c>
      <c r="U4658">
        <v>-3.4027099999999998E-2</v>
      </c>
      <c r="V4658">
        <v>0.12990160000000001</v>
      </c>
      <c r="W4658">
        <v>0.37410130000000003</v>
      </c>
      <c r="X4658">
        <v>0.91824499999999998</v>
      </c>
      <c r="Y4658">
        <v>0.28226970000000001</v>
      </c>
      <c r="Z4658">
        <v>5.3726219999999998E-2</v>
      </c>
      <c r="AA4658">
        <v>0.9578295</v>
      </c>
      <c r="AB4658">
        <v>27</v>
      </c>
      <c r="AC4658">
        <v>-8.3298000000000005</v>
      </c>
      <c r="AD4658">
        <v>-1.099464412199</v>
      </c>
      <c r="AE4658">
        <v>-9.8999999999875802E-3</v>
      </c>
      <c r="AF4658">
        <v>2.4154933413377999</v>
      </c>
      <c r="AG4658">
        <v>-1.099464412199</v>
      </c>
      <c r="AH4658">
        <v>7.8227333578940401</v>
      </c>
      <c r="AI4658">
        <v>97.648555715244498</v>
      </c>
      <c r="AJ4658">
        <v>72.840426762910099</v>
      </c>
      <c r="AK4658">
        <v>8.2606650618728992</v>
      </c>
      <c r="AL4658">
        <v>68.031222439538396</v>
      </c>
      <c r="AM4658">
        <v>81.947954773846305</v>
      </c>
      <c r="AN4658">
        <v>1.00000004418462</v>
      </c>
    </row>
    <row r="4659" spans="1:40" x14ac:dyDescent="0.25">
      <c r="A4659" t="str">
        <f>"20190304164219562"</f>
        <v>20190304164219562</v>
      </c>
      <c r="B4659" t="str">
        <f>"1551688939555673"</f>
        <v>1551688939555673</v>
      </c>
      <c r="C4659" t="s">
        <v>40</v>
      </c>
      <c r="D4659">
        <v>4.323455</v>
      </c>
      <c r="E4659">
        <v>0.55621679999999996</v>
      </c>
      <c r="F4659" t="s">
        <v>41</v>
      </c>
      <c r="G4659">
        <v>-207.53970000000001</v>
      </c>
      <c r="H4659">
        <v>0.98914599999999997</v>
      </c>
      <c r="I4659">
        <v>143.785</v>
      </c>
      <c r="J4659">
        <v>-207.0478</v>
      </c>
      <c r="K4659">
        <v>1.099707</v>
      </c>
      <c r="L4659">
        <v>143.7415</v>
      </c>
      <c r="M4659">
        <v>-0.95921489999999998</v>
      </c>
      <c r="N4659">
        <v>-9.080556E-3</v>
      </c>
      <c r="O4659">
        <v>-0.28253240000000002</v>
      </c>
      <c r="P4659">
        <v>-0.91658910000000005</v>
      </c>
      <c r="Q4659">
        <v>0.36982910000000002</v>
      </c>
      <c r="R4659">
        <v>-0.15195739999999999</v>
      </c>
      <c r="S4659">
        <v>-3.4514469999999999</v>
      </c>
      <c r="T4659">
        <v>-0.49233500000000002</v>
      </c>
      <c r="U4659">
        <v>-0.12745670000000001</v>
      </c>
      <c r="V4659">
        <v>0.1225827</v>
      </c>
      <c r="W4659">
        <v>0.37525510000000001</v>
      </c>
      <c r="X4659">
        <v>0.91878020000000005</v>
      </c>
      <c r="Y4659">
        <v>0.24192159999999999</v>
      </c>
      <c r="Z4659">
        <v>5.5298979999999998E-2</v>
      </c>
      <c r="AA4659">
        <v>0.96871870000000004</v>
      </c>
      <c r="AB4659">
        <v>27</v>
      </c>
      <c r="AC4659">
        <v>-0.49190000000001499</v>
      </c>
      <c r="AD4659">
        <v>-0.11056100000000001</v>
      </c>
      <c r="AE4659">
        <v>4.3499999999994501E-2</v>
      </c>
      <c r="AF4659">
        <v>0.17208495281821501</v>
      </c>
      <c r="AG4659">
        <v>-0.11056100000000001</v>
      </c>
      <c r="AH4659">
        <v>0.43762970847122601</v>
      </c>
      <c r="AI4659">
        <v>103.230643807281</v>
      </c>
      <c r="AJ4659">
        <v>68.534232848393003</v>
      </c>
      <c r="AK4659">
        <v>0.48307010613787499</v>
      </c>
      <c r="AL4659">
        <v>67.959919137659</v>
      </c>
      <c r="AM4659">
        <v>82.400536257586296</v>
      </c>
      <c r="AN4659">
        <v>0.99999998216366903</v>
      </c>
    </row>
    <row r="4660" spans="1:40" x14ac:dyDescent="0.25">
      <c r="A4660" t="str">
        <f>"20190304164219584"</f>
        <v>20190304164219584</v>
      </c>
      <c r="B4660" t="str">
        <f>"1551688939576169"</f>
        <v>1551688939576169</v>
      </c>
      <c r="C4660" t="s">
        <v>40</v>
      </c>
      <c r="D4660">
        <v>4.6796009999999999</v>
      </c>
      <c r="E4660">
        <v>0.55567829999999996</v>
      </c>
      <c r="F4660" t="s">
        <v>42</v>
      </c>
      <c r="G4660">
        <v>-216.51400000000001</v>
      </c>
      <c r="H4660" s="1">
        <v>-2.6094960000000001E-6</v>
      </c>
      <c r="I4660">
        <v>143.3039</v>
      </c>
      <c r="J4660">
        <v>-207.32409999999999</v>
      </c>
      <c r="K4660">
        <v>1.0999890000000001</v>
      </c>
      <c r="L4660">
        <v>143.67439999999999</v>
      </c>
      <c r="M4660">
        <v>-0.96292239999999996</v>
      </c>
      <c r="N4660">
        <v>-8.9373419999999992E-3</v>
      </c>
      <c r="O4660">
        <v>-0.2696307</v>
      </c>
      <c r="P4660">
        <v>-0.91783729999999997</v>
      </c>
      <c r="Q4660">
        <v>0.36933129999999997</v>
      </c>
      <c r="R4660">
        <v>-0.14549709999999999</v>
      </c>
      <c r="S4660">
        <v>-3.406555</v>
      </c>
      <c r="T4660">
        <v>-0.39574599999999999</v>
      </c>
      <c r="U4660">
        <v>-0.15747069999999999</v>
      </c>
      <c r="V4660">
        <v>0.11646339999999999</v>
      </c>
      <c r="W4660">
        <v>0.37486390000000003</v>
      </c>
      <c r="X4660">
        <v>0.91973539999999998</v>
      </c>
      <c r="Y4660">
        <v>0.2217885</v>
      </c>
      <c r="Z4660">
        <v>4.2258950000000003E-2</v>
      </c>
      <c r="AA4660">
        <v>0.97417869999999995</v>
      </c>
      <c r="AB4660">
        <v>28</v>
      </c>
      <c r="AC4660">
        <v>-9.1899000000000193</v>
      </c>
      <c r="AD4660">
        <v>-1.0999916094959901</v>
      </c>
      <c r="AE4660">
        <v>-0.370499999999992</v>
      </c>
      <c r="AF4660">
        <v>2.0912876028937899</v>
      </c>
      <c r="AG4660">
        <v>-1.0999916094959901</v>
      </c>
      <c r="AH4660">
        <v>8.8232099915273707</v>
      </c>
      <c r="AI4660">
        <v>96.916712608599099</v>
      </c>
      <c r="AJ4660">
        <v>76.665754121275498</v>
      </c>
      <c r="AK4660">
        <v>9.1341392552099396</v>
      </c>
      <c r="AL4660">
        <v>67.984097251901304</v>
      </c>
      <c r="AM4660">
        <v>82.783212013616506</v>
      </c>
      <c r="AN4660">
        <v>0.99999993653796304</v>
      </c>
    </row>
    <row r="4661" spans="1:40" x14ac:dyDescent="0.25">
      <c r="A4661" t="str">
        <f>"20190304164219605"</f>
        <v>20190304164219605</v>
      </c>
      <c r="B4661" t="str">
        <f>"1551688939595690"</f>
        <v>1551688939595690</v>
      </c>
      <c r="C4661" t="s">
        <v>40</v>
      </c>
      <c r="D4661">
        <v>4.3033080000000004</v>
      </c>
      <c r="E4661">
        <v>0.55240269999999903</v>
      </c>
      <c r="F4661" t="s">
        <v>41</v>
      </c>
      <c r="G4661">
        <v>-208.2808</v>
      </c>
      <c r="H4661">
        <v>0.99145910000000004</v>
      </c>
      <c r="I4661">
        <v>143.63509999999999</v>
      </c>
      <c r="J4661">
        <v>-207.5855</v>
      </c>
      <c r="K4661">
        <v>1.100231</v>
      </c>
      <c r="L4661">
        <v>143.61410000000001</v>
      </c>
      <c r="M4661">
        <v>-0.96615399999999996</v>
      </c>
      <c r="N4661">
        <v>-8.8042420000000003E-3</v>
      </c>
      <c r="O4661">
        <v>-0.25781569999999998</v>
      </c>
      <c r="P4661">
        <v>-0.91871740000000002</v>
      </c>
      <c r="Q4661">
        <v>0.36913180000000001</v>
      </c>
      <c r="R4661">
        <v>-0.14035739999999999</v>
      </c>
      <c r="S4661">
        <v>-3.4014129999999998</v>
      </c>
      <c r="T4661">
        <v>-0.385515</v>
      </c>
      <c r="U4661">
        <v>-0.14031979999999999</v>
      </c>
      <c r="V4661">
        <v>0.1100869</v>
      </c>
      <c r="W4661">
        <v>0.37476979999999999</v>
      </c>
      <c r="X4661">
        <v>0.92055880000000001</v>
      </c>
      <c r="Y4661">
        <v>0.21493689999999999</v>
      </c>
      <c r="Z4661">
        <v>3.9627219999999998E-2</v>
      </c>
      <c r="AA4661">
        <v>0.97582360000000001</v>
      </c>
      <c r="AB4661">
        <v>28</v>
      </c>
      <c r="AC4661">
        <v>-0.69530000000000303</v>
      </c>
      <c r="AD4661">
        <v>-0.10877189999999901</v>
      </c>
      <c r="AE4661">
        <v>2.0999999999986502E-2</v>
      </c>
      <c r="AF4661">
        <v>0.19479337167736299</v>
      </c>
      <c r="AG4661">
        <v>-0.10877189999999901</v>
      </c>
      <c r="AH4661">
        <v>0.65047396790933298</v>
      </c>
      <c r="AI4661">
        <v>99.100936291362601</v>
      </c>
      <c r="AJ4661">
        <v>73.328948035330697</v>
      </c>
      <c r="AK4661">
        <v>0.68767155445514605</v>
      </c>
      <c r="AL4661">
        <v>67.989914590500305</v>
      </c>
      <c r="AM4661">
        <v>83.180552835975206</v>
      </c>
      <c r="AN4661">
        <v>1.00000001640054</v>
      </c>
    </row>
    <row r="4662" spans="1:40" x14ac:dyDescent="0.25">
      <c r="A4662" t="str">
        <f>"20190304164219629"</f>
        <v>20190304164219629</v>
      </c>
      <c r="B4662" t="str">
        <f>"1551688939625945"</f>
        <v>1551688939625945</v>
      </c>
      <c r="C4662" t="s">
        <v>40</v>
      </c>
      <c r="D4662">
        <v>4.2933409999999999</v>
      </c>
      <c r="E4662">
        <v>0.55298819999999904</v>
      </c>
      <c r="F4662" t="s">
        <v>42</v>
      </c>
      <c r="G4662">
        <v>-220.9684</v>
      </c>
      <c r="H4662" s="1">
        <v>-4.5586139999999998E-6</v>
      </c>
      <c r="I4662">
        <v>143.06720000000001</v>
      </c>
      <c r="J4662">
        <v>-207.87639999999999</v>
      </c>
      <c r="K4662">
        <v>1.1005049999999901</v>
      </c>
      <c r="L4662">
        <v>143.55029999999999</v>
      </c>
      <c r="M4662">
        <v>-0.96944560000000002</v>
      </c>
      <c r="N4662">
        <v>-8.6587130000000002E-3</v>
      </c>
      <c r="O4662">
        <v>-0.24515390000000001</v>
      </c>
      <c r="P4662">
        <v>-0.91951130000000003</v>
      </c>
      <c r="Q4662">
        <v>0.3690253</v>
      </c>
      <c r="R4662">
        <v>-0.1353491</v>
      </c>
      <c r="S4662">
        <v>-3.3553310000000001</v>
      </c>
      <c r="T4662">
        <v>-0.2758487</v>
      </c>
      <c r="U4662">
        <v>-0.13708499999999901</v>
      </c>
      <c r="V4662">
        <v>0.1027692</v>
      </c>
      <c r="W4662">
        <v>0.37477549999999998</v>
      </c>
      <c r="X4662">
        <v>0.9214021</v>
      </c>
      <c r="Y4662">
        <v>0.20397979999999999</v>
      </c>
      <c r="Z4662">
        <v>2.704575E-2</v>
      </c>
      <c r="AA4662">
        <v>0.97860150000000001</v>
      </c>
      <c r="AB4662">
        <v>28</v>
      </c>
      <c r="AC4662">
        <v>-13.092000000000001</v>
      </c>
      <c r="AD4662">
        <v>-1.1005095586139999</v>
      </c>
      <c r="AE4662">
        <v>-0.48309999999997899</v>
      </c>
      <c r="AF4662">
        <v>2.72210984596745</v>
      </c>
      <c r="AG4662">
        <v>-1.1005095586139999</v>
      </c>
      <c r="AH4662">
        <v>12.7211290562038</v>
      </c>
      <c r="AI4662">
        <v>94.835439938095902</v>
      </c>
      <c r="AJ4662">
        <v>77.921807421983203</v>
      </c>
      <c r="AK4662">
        <v>13.055578415631601</v>
      </c>
      <c r="AL4662">
        <v>67.989562110140398</v>
      </c>
      <c r="AM4662">
        <v>83.635780628838702</v>
      </c>
      <c r="AN4662">
        <v>1.0000000068766499</v>
      </c>
    </row>
    <row r="4663" spans="1:40" x14ac:dyDescent="0.25">
      <c r="A4663" t="str">
        <f>"20190304164219653"</f>
        <v>20190304164219653</v>
      </c>
      <c r="B4663" t="str">
        <f>"1551688939645466"</f>
        <v>1551688939645466</v>
      </c>
      <c r="C4663" t="s">
        <v>40</v>
      </c>
      <c r="D4663">
        <v>4.3117369999999999</v>
      </c>
      <c r="E4663">
        <v>0.55281429999999998</v>
      </c>
      <c r="F4663" t="s">
        <v>41</v>
      </c>
      <c r="G4663">
        <v>-208.77590000000001</v>
      </c>
      <c r="H4663">
        <v>1.005668</v>
      </c>
      <c r="I4663">
        <v>143.51939999999999</v>
      </c>
      <c r="J4663">
        <v>-208.1705</v>
      </c>
      <c r="K4663">
        <v>1.1007979999999999</v>
      </c>
      <c r="L4663">
        <v>143.48910000000001</v>
      </c>
      <c r="M4663">
        <v>-0.97245959999999998</v>
      </c>
      <c r="N4663">
        <v>-8.5061470000000004E-3</v>
      </c>
      <c r="O4663">
        <v>-0.2329166</v>
      </c>
      <c r="P4663">
        <v>-0.92037860000000005</v>
      </c>
      <c r="Q4663">
        <v>0.3690483</v>
      </c>
      <c r="R4663">
        <v>-0.1292546</v>
      </c>
      <c r="S4663">
        <v>-3.3887330000000002</v>
      </c>
      <c r="T4663">
        <v>-0.35708279999999998</v>
      </c>
      <c r="U4663">
        <v>-0.1166229</v>
      </c>
      <c r="V4663">
        <v>9.6954020000000002E-2</v>
      </c>
      <c r="W4663">
        <v>0.37486140000000001</v>
      </c>
      <c r="X4663">
        <v>0.92199719999999996</v>
      </c>
      <c r="Y4663">
        <v>0.19709579999999999</v>
      </c>
      <c r="Z4663">
        <v>3.3475100000000001E-2</v>
      </c>
      <c r="AA4663">
        <v>0.97981260000000003</v>
      </c>
      <c r="AB4663">
        <v>28</v>
      </c>
      <c r="AC4663">
        <v>-0.60540000000000205</v>
      </c>
      <c r="AD4663">
        <v>-9.5129999999999895E-2</v>
      </c>
      <c r="AE4663">
        <v>3.0299999999982601E-2</v>
      </c>
      <c r="AF4663">
        <v>0.16638142151166399</v>
      </c>
      <c r="AG4663">
        <v>-9.5129999999999895E-2</v>
      </c>
      <c r="AH4663">
        <v>0.56770803968111505</v>
      </c>
      <c r="AI4663">
        <v>99.135228939232903</v>
      </c>
      <c r="AJ4663">
        <v>73.665422095223093</v>
      </c>
      <c r="AK4663">
        <v>0.59918687622712197</v>
      </c>
      <c r="AL4663">
        <v>67.984253089260903</v>
      </c>
      <c r="AM4663">
        <v>83.997036868771602</v>
      </c>
      <c r="AN4663">
        <v>0.99999999400598005</v>
      </c>
    </row>
    <row r="4664" spans="1:40" x14ac:dyDescent="0.25">
      <c r="A4664" t="str">
        <f>"20190304164219674"</f>
        <v>20190304164219674</v>
      </c>
      <c r="B4664" t="str">
        <f>"1551688939665961"</f>
        <v>1551688939665961</v>
      </c>
      <c r="C4664" t="s">
        <v>40</v>
      </c>
      <c r="D4664">
        <v>4.2820650000000002</v>
      </c>
      <c r="E4664">
        <v>0.55244040000000005</v>
      </c>
      <c r="F4664" t="s">
        <v>41</v>
      </c>
      <c r="G4664">
        <v>-209.02520000000001</v>
      </c>
      <c r="H4664">
        <v>1.0102519999999999</v>
      </c>
      <c r="I4664">
        <v>143.4649</v>
      </c>
      <c r="J4664">
        <v>-208.44649999999999</v>
      </c>
      <c r="K4664">
        <v>1.101105</v>
      </c>
      <c r="L4664">
        <v>143.43469999999999</v>
      </c>
      <c r="M4664">
        <v>-0.97501380000000004</v>
      </c>
      <c r="N4664">
        <v>-8.3558680000000007E-3</v>
      </c>
      <c r="O4664">
        <v>-0.2219872</v>
      </c>
      <c r="P4664">
        <v>-0.92132700000000001</v>
      </c>
      <c r="Q4664">
        <v>0.36868869999999998</v>
      </c>
      <c r="R4664">
        <v>-0.1233921</v>
      </c>
      <c r="S4664">
        <v>-3.3898160000000002</v>
      </c>
      <c r="T4664">
        <v>-0.35879850000000002</v>
      </c>
      <c r="U4664">
        <v>-9.6755980000000005E-2</v>
      </c>
      <c r="V4664">
        <v>9.2191380000000003E-2</v>
      </c>
      <c r="W4664">
        <v>0.37453769999999997</v>
      </c>
      <c r="X4664">
        <v>0.92261709999999997</v>
      </c>
      <c r="Y4664">
        <v>0.19189809999999999</v>
      </c>
      <c r="Z4664">
        <v>3.2326279999999999E-2</v>
      </c>
      <c r="AA4664">
        <v>0.98088229999999998</v>
      </c>
      <c r="AB4664">
        <v>28</v>
      </c>
      <c r="AC4664">
        <v>-0.57870000000002597</v>
      </c>
      <c r="AD4664">
        <v>-9.0852999999999795E-2</v>
      </c>
      <c r="AE4664">
        <v>3.02000000000077E-2</v>
      </c>
      <c r="AF4664">
        <v>0.15412641655840101</v>
      </c>
      <c r="AG4664">
        <v>-9.0852999999999795E-2</v>
      </c>
      <c r="AH4664">
        <v>0.54417972274125903</v>
      </c>
      <c r="AI4664">
        <v>99.1257712748682</v>
      </c>
      <c r="AJ4664">
        <v>74.186443361573396</v>
      </c>
      <c r="AK4664">
        <v>0.57283574481075095</v>
      </c>
      <c r="AL4664">
        <v>68.004257845714207</v>
      </c>
      <c r="AM4664">
        <v>84.293731240541405</v>
      </c>
      <c r="AN4664">
        <v>1.00000002624</v>
      </c>
    </row>
    <row r="4665" spans="1:40" x14ac:dyDescent="0.25">
      <c r="A4665" t="str">
        <f>"20190304164219696"</f>
        <v>20190304164219696</v>
      </c>
      <c r="B4665" t="str">
        <f>"1551688939685481"</f>
        <v>1551688939685481</v>
      </c>
      <c r="C4665" t="s">
        <v>40</v>
      </c>
      <c r="D4665">
        <v>4.2831809999999999</v>
      </c>
      <c r="E4665">
        <v>0.55212220000000001</v>
      </c>
      <c r="F4665" t="s">
        <v>41</v>
      </c>
      <c r="G4665">
        <v>-209.2758</v>
      </c>
      <c r="H4665">
        <v>1.01279599999999</v>
      </c>
      <c r="I4665">
        <v>143.41480000000001</v>
      </c>
      <c r="J4665">
        <v>-208.71440000000001</v>
      </c>
      <c r="K4665">
        <v>1.101437</v>
      </c>
      <c r="L4665">
        <v>143.3843</v>
      </c>
      <c r="M4665">
        <v>-0.97725229999999996</v>
      </c>
      <c r="N4665">
        <v>-8.206662E-3</v>
      </c>
      <c r="O4665">
        <v>-0.21192140000000001</v>
      </c>
      <c r="P4665">
        <v>-0.9221163</v>
      </c>
      <c r="Q4665">
        <v>0.3679907</v>
      </c>
      <c r="R4665">
        <v>-0.1195177</v>
      </c>
      <c r="S4665">
        <v>-3.3897089999999999</v>
      </c>
      <c r="T4665">
        <v>-0.3608615</v>
      </c>
      <c r="U4665">
        <v>-8.1237790000000004E-2</v>
      </c>
      <c r="V4665">
        <v>8.6267769999999994E-2</v>
      </c>
      <c r="W4665">
        <v>0.37389909999999998</v>
      </c>
      <c r="X4665">
        <v>0.92344859999999895</v>
      </c>
      <c r="Y4665">
        <v>0.18631710000000001</v>
      </c>
      <c r="Z4665">
        <v>3.1259750000000003E-2</v>
      </c>
      <c r="AA4665">
        <v>0.98199219999999998</v>
      </c>
      <c r="AB4665">
        <v>28</v>
      </c>
      <c r="AC4665">
        <v>-0.56139999999999102</v>
      </c>
      <c r="AD4665">
        <v>-8.8641000000000095E-2</v>
      </c>
      <c r="AE4665">
        <v>3.05000000000177E-2</v>
      </c>
      <c r="AF4665">
        <v>0.14517528581478001</v>
      </c>
      <c r="AG4665">
        <v>-8.8641000000000095E-2</v>
      </c>
      <c r="AH4665">
        <v>0.52903400218714902</v>
      </c>
      <c r="AI4665">
        <v>99.178477505694502</v>
      </c>
      <c r="AJ4665">
        <v>74.654872543879605</v>
      </c>
      <c r="AK4665">
        <v>0.55570681655217802</v>
      </c>
      <c r="AL4665">
        <v>68.043712960173195</v>
      </c>
      <c r="AM4665">
        <v>84.662967503178805</v>
      </c>
      <c r="AN4665">
        <v>0.99999999098177095</v>
      </c>
    </row>
    <row r="4666" spans="1:40" x14ac:dyDescent="0.25">
      <c r="A4666" t="str">
        <f>"20190304164219717"</f>
        <v>20190304164219717</v>
      </c>
      <c r="B4666" t="str">
        <f>"1551688939705977"</f>
        <v>1551688939705977</v>
      </c>
      <c r="C4666" t="s">
        <v>40</v>
      </c>
      <c r="D4666">
        <v>4.272138</v>
      </c>
      <c r="E4666">
        <v>0.55173739999999905</v>
      </c>
      <c r="F4666" t="s">
        <v>41</v>
      </c>
      <c r="G4666">
        <v>-209.52719999999999</v>
      </c>
      <c r="H4666">
        <v>1.0137</v>
      </c>
      <c r="I4666">
        <v>143.36799999999999</v>
      </c>
      <c r="J4666">
        <v>-208.99010000000001</v>
      </c>
      <c r="K4666">
        <v>1.101815</v>
      </c>
      <c r="L4666">
        <v>143.3349</v>
      </c>
      <c r="M4666">
        <v>-0.97932759999999996</v>
      </c>
      <c r="N4666">
        <v>-8.054584E-3</v>
      </c>
      <c r="O4666">
        <v>-0.202121</v>
      </c>
      <c r="P4666">
        <v>-0.92251609999999995</v>
      </c>
      <c r="Q4666">
        <v>0.36822949999999999</v>
      </c>
      <c r="R4666">
        <v>-0.115634</v>
      </c>
      <c r="S4666">
        <v>-3.39032</v>
      </c>
      <c r="T4666">
        <v>-0.36549399999999999</v>
      </c>
      <c r="U4666">
        <v>-6.8847660000000005E-2</v>
      </c>
      <c r="V4666">
        <v>8.0524029999999996E-2</v>
      </c>
      <c r="W4666">
        <v>0.3741853</v>
      </c>
      <c r="X4666">
        <v>0.92385130000000004</v>
      </c>
      <c r="Y4666">
        <v>0.18009359999999999</v>
      </c>
      <c r="Z4666">
        <v>3.037312E-2</v>
      </c>
      <c r="AA4666">
        <v>0.98318050000000001</v>
      </c>
      <c r="AB4666">
        <v>28</v>
      </c>
      <c r="AC4666">
        <v>-0.53709999999998104</v>
      </c>
      <c r="AD4666">
        <v>-8.8114999999999902E-2</v>
      </c>
      <c r="AE4666">
        <v>3.3099999999990297E-2</v>
      </c>
      <c r="AF4666">
        <v>0.137298127973531</v>
      </c>
      <c r="AG4666">
        <v>-8.8114999999999902E-2</v>
      </c>
      <c r="AH4666">
        <v>0.50576247413183695</v>
      </c>
      <c r="AI4666">
        <v>99.544259971495805</v>
      </c>
      <c r="AJ4666">
        <v>74.812079716552603</v>
      </c>
      <c r="AK4666">
        <v>0.53142328647697901</v>
      </c>
      <c r="AL4666">
        <v>68.026031443729295</v>
      </c>
      <c r="AM4666">
        <v>85.018617696681602</v>
      </c>
      <c r="AN4666">
        <v>0.99999999132760997</v>
      </c>
    </row>
    <row r="4667" spans="1:40" x14ac:dyDescent="0.25">
      <c r="A4667" t="str">
        <f>"20190304164219741"</f>
        <v>20190304164219741</v>
      </c>
      <c r="B4667" t="str">
        <f>"1551688939736234"</f>
        <v>1551688939736234</v>
      </c>
      <c r="C4667" t="s">
        <v>40</v>
      </c>
      <c r="D4667">
        <v>4.3045489999999997</v>
      </c>
      <c r="E4667">
        <v>0.55118420000000001</v>
      </c>
      <c r="F4667" t="s">
        <v>41</v>
      </c>
      <c r="G4667">
        <v>-209.78059999999999</v>
      </c>
      <c r="H4667">
        <v>1.0168900000000001</v>
      </c>
      <c r="I4667">
        <v>143.32159999999999</v>
      </c>
      <c r="J4667">
        <v>-209.28020000000001</v>
      </c>
      <c r="K4667">
        <v>1.1022259999999999</v>
      </c>
      <c r="L4667">
        <v>143.2852</v>
      </c>
      <c r="M4667">
        <v>-0.98128190000000004</v>
      </c>
      <c r="N4667">
        <v>-7.898347E-3</v>
      </c>
      <c r="O4667">
        <v>-0.19241510000000001</v>
      </c>
      <c r="P4667">
        <v>-0.92313590000000001</v>
      </c>
      <c r="Q4667">
        <v>0.36822650000000001</v>
      </c>
      <c r="R4667">
        <v>-0.11058709999999999</v>
      </c>
      <c r="S4667">
        <v>-3.3901370000000002</v>
      </c>
      <c r="T4667">
        <v>-0.36407889999999998</v>
      </c>
      <c r="U4667">
        <v>-5.732727E-2</v>
      </c>
      <c r="V4667">
        <v>7.6032329999999995E-2</v>
      </c>
      <c r="W4667">
        <v>0.37419799999999998</v>
      </c>
      <c r="X4667">
        <v>0.92422660000000001</v>
      </c>
      <c r="Y4667">
        <v>0.17379249999999999</v>
      </c>
      <c r="Z4667">
        <v>2.8967429999999999E-2</v>
      </c>
      <c r="AA4667">
        <v>0.98435620000000001</v>
      </c>
      <c r="AB4667">
        <v>28</v>
      </c>
      <c r="AC4667">
        <v>-0.50039999999998397</v>
      </c>
      <c r="AD4667">
        <v>-8.5335999999999801E-2</v>
      </c>
      <c r="AE4667">
        <v>3.63999999999862E-2</v>
      </c>
      <c r="AF4667">
        <v>0.12829577900061301</v>
      </c>
      <c r="AG4667">
        <v>-8.5335999999999801E-2</v>
      </c>
      <c r="AH4667">
        <v>0.47043525689361398</v>
      </c>
      <c r="AI4667">
        <v>99.9266149551175</v>
      </c>
      <c r="AJ4667">
        <v>74.745419266431696</v>
      </c>
      <c r="AK4667">
        <v>0.49502663638832001</v>
      </c>
      <c r="AL4667">
        <v>68.025245440723097</v>
      </c>
      <c r="AM4667">
        <v>85.297101476274904</v>
      </c>
      <c r="AN4667">
        <v>0.99999993327839198</v>
      </c>
    </row>
    <row r="4668" spans="1:40" x14ac:dyDescent="0.25">
      <c r="A4668" t="str">
        <f>"20190304164219763"</f>
        <v>20190304164219763</v>
      </c>
      <c r="B4668" t="str">
        <f>"1551688939755753"</f>
        <v>1551688939755753</v>
      </c>
      <c r="C4668" t="s">
        <v>40</v>
      </c>
      <c r="D4668">
        <v>4.2939210000000001</v>
      </c>
      <c r="E4668">
        <v>0.55088669999999995</v>
      </c>
      <c r="F4668" t="s">
        <v>41</v>
      </c>
      <c r="G4668">
        <v>-210.035</v>
      </c>
      <c r="H4668">
        <v>1.020543</v>
      </c>
      <c r="I4668">
        <v>143.2749</v>
      </c>
      <c r="J4668">
        <v>-209.57679999999999</v>
      </c>
      <c r="K4668">
        <v>1.102652</v>
      </c>
      <c r="L4668">
        <v>143.23679999999999</v>
      </c>
      <c r="M4668">
        <v>-0.98304939999999996</v>
      </c>
      <c r="N4668">
        <v>-7.7449140000000003E-3</v>
      </c>
      <c r="O4668">
        <v>-0.1831777</v>
      </c>
      <c r="P4668">
        <v>-0.92370050000000004</v>
      </c>
      <c r="Q4668">
        <v>0.36776310000000001</v>
      </c>
      <c r="R4668">
        <v>-0.1073691</v>
      </c>
      <c r="S4668">
        <v>-3.390228</v>
      </c>
      <c r="T4668">
        <v>-0.36636609999999997</v>
      </c>
      <c r="U4668">
        <v>-4.7683719999999999E-2</v>
      </c>
      <c r="V4668">
        <v>7.0170670000000004E-2</v>
      </c>
      <c r="W4668">
        <v>0.3737722</v>
      </c>
      <c r="X4668">
        <v>0.92486239999999997</v>
      </c>
      <c r="Y4668">
        <v>0.16738690000000001</v>
      </c>
      <c r="Z4668">
        <v>2.7892549999999999E-2</v>
      </c>
      <c r="AA4668">
        <v>0.98549659999999994</v>
      </c>
      <c r="AB4668">
        <v>28</v>
      </c>
      <c r="AC4668">
        <v>-0.45820000000000499</v>
      </c>
      <c r="AD4668">
        <v>-8.2108999999999904E-2</v>
      </c>
      <c r="AE4668">
        <v>3.8100000000014199E-2</v>
      </c>
      <c r="AF4668">
        <v>0.117638143292745</v>
      </c>
      <c r="AG4668">
        <v>-8.2108999999999904E-2</v>
      </c>
      <c r="AH4668">
        <v>0.42976156047832498</v>
      </c>
      <c r="AI4668">
        <v>100.441217204362</v>
      </c>
      <c r="AJ4668">
        <v>74.691480935171697</v>
      </c>
      <c r="AK4668">
        <v>0.45307352549352298</v>
      </c>
      <c r="AL4668">
        <v>68.051552839967798</v>
      </c>
      <c r="AM4668">
        <v>85.661197641395802</v>
      </c>
      <c r="AN4668">
        <v>1.0000000196774199</v>
      </c>
    </row>
    <row r="4669" spans="1:40" x14ac:dyDescent="0.25">
      <c r="A4669" t="str">
        <f>"20190304164219785"</f>
        <v>20190304164219785</v>
      </c>
      <c r="B4669" t="str">
        <f>"1551688939776250"</f>
        <v>1551688939776250</v>
      </c>
      <c r="C4669" t="s">
        <v>40</v>
      </c>
      <c r="D4669">
        <v>4.2337379999999998</v>
      </c>
      <c r="E4669">
        <v>0.55050529999999998</v>
      </c>
      <c r="F4669" t="s">
        <v>41</v>
      </c>
      <c r="G4669">
        <v>-210.54079999999999</v>
      </c>
      <c r="H4669">
        <v>0.99841449999999998</v>
      </c>
      <c r="I4669">
        <v>143.22649999999999</v>
      </c>
      <c r="J4669">
        <v>-209.8519</v>
      </c>
      <c r="K4669">
        <v>1.103035</v>
      </c>
      <c r="L4669">
        <v>143.19399999999999</v>
      </c>
      <c r="M4669">
        <v>-0.98450320000000002</v>
      </c>
      <c r="N4669">
        <v>-7.6123450000000004E-3</v>
      </c>
      <c r="O4669">
        <v>-0.17520189999999999</v>
      </c>
      <c r="P4669">
        <v>-0.92417179999999999</v>
      </c>
      <c r="Q4669">
        <v>0.3677202</v>
      </c>
      <c r="R4669">
        <v>-0.1033866</v>
      </c>
      <c r="S4669">
        <v>-3.3892669999999998</v>
      </c>
      <c r="T4669">
        <v>-0.36616470000000001</v>
      </c>
      <c r="U4669">
        <v>-3.7155149999999998E-2</v>
      </c>
      <c r="V4669">
        <v>6.6291530000000001E-2</v>
      </c>
      <c r="W4669">
        <v>0.3737337</v>
      </c>
      <c r="X4669">
        <v>0.92516399999999999</v>
      </c>
      <c r="Y4669">
        <v>0.1625201</v>
      </c>
      <c r="Z4669">
        <v>2.6832720000000001E-2</v>
      </c>
      <c r="AA4669">
        <v>0.98634029999999995</v>
      </c>
      <c r="AB4669">
        <v>29</v>
      </c>
      <c r="AC4669">
        <v>-0.68889999999998897</v>
      </c>
      <c r="AD4669">
        <v>-0.10462049999999901</v>
      </c>
      <c r="AE4669">
        <v>3.2499999999998801E-2</v>
      </c>
      <c r="AF4669">
        <v>0.149262512083218</v>
      </c>
      <c r="AG4669">
        <v>-0.10462049999999901</v>
      </c>
      <c r="AH4669">
        <v>0.65742099212705296</v>
      </c>
      <c r="AI4669">
        <v>98.821261065221904</v>
      </c>
      <c r="AJ4669">
        <v>77.208277182239897</v>
      </c>
      <c r="AK4669">
        <v>0.68222218332663498</v>
      </c>
      <c r="AL4669">
        <v>68.053929155115895</v>
      </c>
      <c r="AM4669">
        <v>85.901543436148103</v>
      </c>
      <c r="AN4669">
        <v>0.99999993618071303</v>
      </c>
    </row>
    <row r="4670" spans="1:40" x14ac:dyDescent="0.25">
      <c r="A4670" t="str">
        <f>"20190304164219807"</f>
        <v>20190304164219807</v>
      </c>
      <c r="B4670" t="str">
        <f>"1551688939795770"</f>
        <v>1551688939795770</v>
      </c>
      <c r="C4670" t="s">
        <v>40</v>
      </c>
      <c r="D4670">
        <v>4.2380250000000004</v>
      </c>
      <c r="E4670">
        <v>0.54601619999999995</v>
      </c>
      <c r="F4670" t="s">
        <v>41</v>
      </c>
      <c r="G4670">
        <v>-210.79830000000001</v>
      </c>
      <c r="H4670">
        <v>1.001104</v>
      </c>
      <c r="I4670">
        <v>143.1874</v>
      </c>
      <c r="J4670">
        <v>-210.136</v>
      </c>
      <c r="K4670">
        <v>1.1033770000000001</v>
      </c>
      <c r="L4670">
        <v>143.1516</v>
      </c>
      <c r="M4670">
        <v>-0.98585299999999998</v>
      </c>
      <c r="N4670">
        <v>-7.4890390000000003E-3</v>
      </c>
      <c r="O4670">
        <v>-0.16744519999999999</v>
      </c>
      <c r="P4670">
        <v>-0.92416659999999995</v>
      </c>
      <c r="Q4670">
        <v>0.36817179999999999</v>
      </c>
      <c r="R4670">
        <v>-0.10181279999999999</v>
      </c>
      <c r="S4670">
        <v>-3.3886259999999999</v>
      </c>
      <c r="T4670">
        <v>-0.3648034</v>
      </c>
      <c r="U4670">
        <v>-2.3986819999999999E-2</v>
      </c>
      <c r="V4670">
        <v>6.0222159999999997E-2</v>
      </c>
      <c r="W4670">
        <v>0.37421840000000001</v>
      </c>
      <c r="X4670">
        <v>0.92538310000000001</v>
      </c>
      <c r="Y4670">
        <v>0.15865670000000001</v>
      </c>
      <c r="Z4670">
        <v>2.5763520000000002E-2</v>
      </c>
      <c r="AA4670">
        <v>0.98699760000000003</v>
      </c>
      <c r="AB4670">
        <v>29</v>
      </c>
      <c r="AC4670">
        <v>-0.66230000000001599</v>
      </c>
      <c r="AD4670">
        <v>-0.102273</v>
      </c>
      <c r="AE4670">
        <v>3.5799999999994697E-2</v>
      </c>
      <c r="AF4670">
        <v>0.142801289484457</v>
      </c>
      <c r="AG4670">
        <v>-0.102273</v>
      </c>
      <c r="AH4670">
        <v>0.63192903510014298</v>
      </c>
      <c r="AI4670">
        <v>98.970800463115495</v>
      </c>
      <c r="AJ4670">
        <v>77.266358936487293</v>
      </c>
      <c r="AK4670">
        <v>0.65588587437908896</v>
      </c>
      <c r="AL4670">
        <v>68.023986588100399</v>
      </c>
      <c r="AM4670">
        <v>86.276550933725204</v>
      </c>
      <c r="AN4670">
        <v>1.0000000006096099</v>
      </c>
    </row>
    <row r="4671" spans="1:40" x14ac:dyDescent="0.25">
      <c r="A4671" t="str">
        <f>"20190304164219824"</f>
        <v>20190304164219824</v>
      </c>
      <c r="B4671" t="str">
        <f>"1551688939816266"</f>
        <v>1551688939816266</v>
      </c>
      <c r="C4671" t="s">
        <v>40</v>
      </c>
      <c r="D4671">
        <v>4.2766149999999996</v>
      </c>
      <c r="E4671">
        <v>0.54465569999999996</v>
      </c>
      <c r="F4671" t="s">
        <v>41</v>
      </c>
      <c r="G4671">
        <v>-211.05449999999999</v>
      </c>
      <c r="H4671">
        <v>1.0042150000000001</v>
      </c>
      <c r="I4671">
        <v>143.1361</v>
      </c>
      <c r="J4671">
        <v>-210.34899999999999</v>
      </c>
      <c r="K4671">
        <v>1.103615</v>
      </c>
      <c r="L4671">
        <v>143.12090000000001</v>
      </c>
      <c r="M4671">
        <v>-0.9867785</v>
      </c>
      <c r="N4671">
        <v>-7.4047749999999997E-3</v>
      </c>
      <c r="O4671">
        <v>-0.16190489999999999</v>
      </c>
      <c r="P4671">
        <v>-0.92452769999999995</v>
      </c>
      <c r="Q4671">
        <v>0.36777369999999998</v>
      </c>
      <c r="R4671">
        <v>-9.9955740000000001E-2</v>
      </c>
      <c r="S4671">
        <v>-3.3853149999999999</v>
      </c>
      <c r="T4671">
        <v>-0.36524180000000001</v>
      </c>
      <c r="U4671">
        <v>-5.7754519999999997E-2</v>
      </c>
      <c r="V4671">
        <v>5.6675499999999997E-2</v>
      </c>
      <c r="W4671">
        <v>0.37382979999999999</v>
      </c>
      <c r="X4671">
        <v>0.92576409999999998</v>
      </c>
      <c r="Y4671">
        <v>0.14335699999999901</v>
      </c>
      <c r="Z4671">
        <v>2.4395099999999999E-2</v>
      </c>
      <c r="AA4671">
        <v>0.98937030000000004</v>
      </c>
      <c r="AB4671">
        <v>29</v>
      </c>
      <c r="AC4671">
        <v>-0.70549999999997204</v>
      </c>
      <c r="AD4671">
        <v>-9.9400000000000099E-2</v>
      </c>
      <c r="AE4671">
        <v>1.51999999999929E-2</v>
      </c>
      <c r="AF4671">
        <v>0.12671231567330399</v>
      </c>
      <c r="AG4671">
        <v>-9.9400000000000099E-2</v>
      </c>
      <c r="AH4671">
        <v>0.68023341869126897</v>
      </c>
      <c r="AI4671">
        <v>98.174907663589593</v>
      </c>
      <c r="AJ4671">
        <v>79.448013922082197</v>
      </c>
      <c r="AK4671">
        <v>0.69903782075628895</v>
      </c>
      <c r="AL4671">
        <v>68.047994218956703</v>
      </c>
      <c r="AM4671">
        <v>86.496710965091907</v>
      </c>
      <c r="AN4671">
        <v>1.0000000002585401</v>
      </c>
    </row>
    <row r="4672" spans="1:40" x14ac:dyDescent="0.25">
      <c r="A4672" t="str">
        <f>"20190304164219841"</f>
        <v>20190304164219841</v>
      </c>
      <c r="B4672" t="str">
        <f>"1551688939835786"</f>
        <v>1551688939835786</v>
      </c>
      <c r="C4672" t="s">
        <v>40</v>
      </c>
      <c r="D4672">
        <v>4.2558020000000001</v>
      </c>
      <c r="E4672">
        <v>0.53131379999999995</v>
      </c>
      <c r="F4672" t="s">
        <v>41</v>
      </c>
      <c r="G4672">
        <v>-211.31219999999999</v>
      </c>
      <c r="H4672">
        <v>1.001342</v>
      </c>
      <c r="I4672">
        <v>143.1035</v>
      </c>
      <c r="J4672">
        <v>-210.58160000000001</v>
      </c>
      <c r="K4672">
        <v>1.1038619999999999</v>
      </c>
      <c r="L4672">
        <v>143.08850000000001</v>
      </c>
      <c r="M4672">
        <v>-0.98770150000000001</v>
      </c>
      <c r="N4672">
        <v>-7.3163809999999899E-3</v>
      </c>
      <c r="O4672">
        <v>-0.15617979999999901</v>
      </c>
      <c r="P4672">
        <v>-0.92443969999999998</v>
      </c>
      <c r="Q4672">
        <v>0.36689539999999998</v>
      </c>
      <c r="R4672">
        <v>-0.10391980000000001</v>
      </c>
      <c r="S4672">
        <v>-3.3810880000000001</v>
      </c>
      <c r="T4672">
        <v>-0.35899439999999999</v>
      </c>
      <c r="U4672">
        <v>-6.1172490000000003E-2</v>
      </c>
      <c r="V4672">
        <v>4.7122120000000003E-2</v>
      </c>
      <c r="W4672">
        <v>0.37304409999999999</v>
      </c>
      <c r="X4672">
        <v>0.9266162</v>
      </c>
      <c r="Y4672">
        <v>0.13671539999999999</v>
      </c>
      <c r="Z4672">
        <v>2.3073139999999999E-2</v>
      </c>
      <c r="AA4672">
        <v>0.99034160000000004</v>
      </c>
      <c r="AB4672">
        <v>29</v>
      </c>
      <c r="AC4672">
        <v>-0.73059999999998104</v>
      </c>
      <c r="AD4672">
        <v>-0.10252</v>
      </c>
      <c r="AE4672">
        <v>1.49999999999863E-2</v>
      </c>
      <c r="AF4672">
        <v>0.126435406889742</v>
      </c>
      <c r="AG4672">
        <v>-0.10252</v>
      </c>
      <c r="AH4672">
        <v>0.70540729668671298</v>
      </c>
      <c r="AI4672">
        <v>98.141197557265002</v>
      </c>
      <c r="AJ4672">
        <v>79.838351491724296</v>
      </c>
      <c r="AK4672">
        <v>0.72394455363254895</v>
      </c>
      <c r="AL4672">
        <v>68.096521975095399</v>
      </c>
      <c r="AM4672">
        <v>87.088789538222997</v>
      </c>
      <c r="AN4672">
        <v>0.99999998842027205</v>
      </c>
    </row>
    <row r="4673" spans="1:40" x14ac:dyDescent="0.25">
      <c r="A4673" t="str">
        <f>"20190304164219865"</f>
        <v>20190304164219865</v>
      </c>
      <c r="B4673" t="str">
        <f>"1551688939856282"</f>
        <v>1551688939856282</v>
      </c>
      <c r="C4673" t="s">
        <v>40</v>
      </c>
      <c r="D4673">
        <v>4.2592619999999997</v>
      </c>
      <c r="E4673">
        <v>0.53058859999999997</v>
      </c>
      <c r="F4673" t="s">
        <v>41</v>
      </c>
      <c r="G4673">
        <v>-211.3184</v>
      </c>
      <c r="H4673">
        <v>1.0318750000000001</v>
      </c>
      <c r="I4673">
        <v>143.05090000000001</v>
      </c>
      <c r="J4673">
        <v>-210.8879</v>
      </c>
      <c r="K4673">
        <v>1.104209</v>
      </c>
      <c r="L4673">
        <v>143.04759999999999</v>
      </c>
      <c r="M4673">
        <v>-0.98878619999999995</v>
      </c>
      <c r="N4673">
        <v>-7.2019959999999996E-3</v>
      </c>
      <c r="O4673">
        <v>-0.14916479999999999</v>
      </c>
      <c r="P4673">
        <v>-0.9240389</v>
      </c>
      <c r="Q4673">
        <v>0.36703789999999997</v>
      </c>
      <c r="R4673">
        <v>-0.1069354</v>
      </c>
      <c r="S4673">
        <v>-3.3561100000000001</v>
      </c>
      <c r="T4673">
        <v>-0.32791199999999998</v>
      </c>
      <c r="U4673">
        <v>-0.17121889999999901</v>
      </c>
      <c r="V4673">
        <v>3.7174069999999997E-2</v>
      </c>
      <c r="W4673">
        <v>0.3732529</v>
      </c>
      <c r="X4673">
        <v>0.92698449999999999</v>
      </c>
      <c r="Y4673">
        <v>9.7495239999999997E-2</v>
      </c>
      <c r="Z4673">
        <v>1.8501050000000002E-2</v>
      </c>
      <c r="AA4673">
        <v>0.99506399999999995</v>
      </c>
      <c r="AB4673">
        <v>29</v>
      </c>
      <c r="AC4673">
        <v>-0.430499999999995</v>
      </c>
      <c r="AD4673">
        <v>-7.2333999999999898E-2</v>
      </c>
      <c r="AE4673">
        <v>3.30000000002428E-3</v>
      </c>
      <c r="AF4673">
        <v>6.5627511419065199E-2</v>
      </c>
      <c r="AG4673">
        <v>-7.2333999999999898E-2</v>
      </c>
      <c r="AH4673">
        <v>0.41351754836805599</v>
      </c>
      <c r="AI4673">
        <v>99.801751450488695</v>
      </c>
      <c r="AJ4673">
        <v>80.982055402861405</v>
      </c>
      <c r="AK4673">
        <v>0.42489521133967501</v>
      </c>
      <c r="AL4673">
        <v>68.083626389553004</v>
      </c>
      <c r="AM4673">
        <v>87.703546657313296</v>
      </c>
      <c r="AN4673">
        <v>0.999999951039511</v>
      </c>
    </row>
    <row r="4674" spans="1:40" x14ac:dyDescent="0.25">
      <c r="A4674" t="str">
        <f>"20190304164219886"</f>
        <v>20190304164219886</v>
      </c>
      <c r="B4674" t="str">
        <f>"1551688939875801"</f>
        <v>1551688939875801</v>
      </c>
      <c r="C4674" t="s">
        <v>40</v>
      </c>
      <c r="D4674">
        <v>4.2403579999999996</v>
      </c>
      <c r="E4674">
        <v>0.53023549999999997</v>
      </c>
      <c r="F4674" t="s">
        <v>41</v>
      </c>
      <c r="G4674">
        <v>-211.83179999999999</v>
      </c>
      <c r="H4674">
        <v>1.0128189999999999</v>
      </c>
      <c r="I4674">
        <v>142.9975</v>
      </c>
      <c r="J4674">
        <v>-211.1669</v>
      </c>
      <c r="K4674">
        <v>1.1045609999999999</v>
      </c>
      <c r="L4674">
        <v>143.01179999999999</v>
      </c>
      <c r="M4674">
        <v>-0.98965760000000003</v>
      </c>
      <c r="N4674">
        <v>-7.0983959999999999E-3</v>
      </c>
      <c r="O4674">
        <v>-0.1432746</v>
      </c>
      <c r="P4674">
        <v>-0.92309969999999997</v>
      </c>
      <c r="Q4674">
        <v>0.36882150000000002</v>
      </c>
      <c r="R4674">
        <v>-0.108894699999999</v>
      </c>
      <c r="S4674">
        <v>-3.3548740000000001</v>
      </c>
      <c r="T4674">
        <v>-0.32466879999999998</v>
      </c>
      <c r="U4674">
        <v>-0.1787415</v>
      </c>
      <c r="V4674">
        <v>2.9271789999999999E-2</v>
      </c>
      <c r="W4674">
        <v>0.3750655</v>
      </c>
      <c r="X4674">
        <v>0.92653600000000003</v>
      </c>
      <c r="Y4674">
        <v>8.9406799999999995E-2</v>
      </c>
      <c r="Z4674">
        <v>1.7388029999999999E-2</v>
      </c>
      <c r="AA4674">
        <v>0.99584340000000005</v>
      </c>
      <c r="AB4674">
        <v>29</v>
      </c>
      <c r="AC4674">
        <v>-0.66489999999998795</v>
      </c>
      <c r="AD4674">
        <v>-9.1742000000000004E-2</v>
      </c>
      <c r="AE4674">
        <v>-1.42999999999915E-2</v>
      </c>
      <c r="AF4674">
        <v>7.9598510534546002E-2</v>
      </c>
      <c r="AG4674">
        <v>-9.1742000000000004E-2</v>
      </c>
      <c r="AH4674">
        <v>0.64776227601559899</v>
      </c>
      <c r="AI4674">
        <v>98.001738344055894</v>
      </c>
      <c r="AJ4674">
        <v>82.994483879278405</v>
      </c>
      <c r="AK4674">
        <v>0.65905119958333103</v>
      </c>
      <c r="AL4674">
        <v>67.971637951625993</v>
      </c>
      <c r="AM4674">
        <v>88.190472499703901</v>
      </c>
      <c r="AN4674">
        <v>0.99999996313802597</v>
      </c>
    </row>
    <row r="4675" spans="1:40" x14ac:dyDescent="0.25">
      <c r="A4675" t="str">
        <f>"20190304164219908"</f>
        <v>20190304164219908</v>
      </c>
      <c r="B4675" t="str">
        <f>"1551688939895321"</f>
        <v>1551688939895321</v>
      </c>
      <c r="C4675" t="s">
        <v>40</v>
      </c>
      <c r="D4675">
        <v>4.2265259999999998</v>
      </c>
      <c r="E4675">
        <v>0.52998230000000002</v>
      </c>
      <c r="F4675" t="s">
        <v>41</v>
      </c>
      <c r="G4675">
        <v>-212.09479999999999</v>
      </c>
      <c r="H4675">
        <v>1.016929</v>
      </c>
      <c r="I4675">
        <v>142.9597</v>
      </c>
      <c r="J4675">
        <v>-211.45269999999999</v>
      </c>
      <c r="K4675">
        <v>1.1049230000000001</v>
      </c>
      <c r="L4675">
        <v>142.97630000000001</v>
      </c>
      <c r="M4675">
        <v>-0.99045519999999998</v>
      </c>
      <c r="N4675">
        <v>-6.9980679999999996E-3</v>
      </c>
      <c r="O4675">
        <v>-0.13765759999999999</v>
      </c>
      <c r="P4675">
        <v>-0.92245829999999995</v>
      </c>
      <c r="Q4675">
        <v>0.3699152</v>
      </c>
      <c r="R4675">
        <v>-0.1106052</v>
      </c>
      <c r="S4675">
        <v>-3.354187</v>
      </c>
      <c r="T4675">
        <v>-0.31668249999999998</v>
      </c>
      <c r="U4675">
        <v>-0.1887054</v>
      </c>
      <c r="V4675">
        <v>2.1909910000000001E-2</v>
      </c>
      <c r="W4675">
        <v>0.37617250000000002</v>
      </c>
      <c r="X4675">
        <v>0.92629059999999996</v>
      </c>
      <c r="Y4675">
        <v>8.0903870000000003E-2</v>
      </c>
      <c r="Z4675">
        <v>1.6042170000000001E-2</v>
      </c>
      <c r="AA4675">
        <v>0.99659279999999995</v>
      </c>
      <c r="AB4675">
        <v>29</v>
      </c>
      <c r="AC4675">
        <v>-0.642099999999999</v>
      </c>
      <c r="AD4675">
        <v>-8.79939999999996E-2</v>
      </c>
      <c r="AE4675">
        <v>-1.6600000000010998E-2</v>
      </c>
      <c r="AF4675">
        <v>7.0624685625570296E-2</v>
      </c>
      <c r="AG4675">
        <v>-8.79939999999996E-2</v>
      </c>
      <c r="AH4675">
        <v>0.62651378934572299</v>
      </c>
      <c r="AI4675">
        <v>97.945235639268503</v>
      </c>
      <c r="AJ4675">
        <v>83.568400192845203</v>
      </c>
      <c r="AK4675">
        <v>0.63659274147295097</v>
      </c>
      <c r="AL4675">
        <v>67.903201763325299</v>
      </c>
      <c r="AM4675">
        <v>88.645013415454102</v>
      </c>
      <c r="AN4675">
        <v>1.0000000347803999</v>
      </c>
    </row>
    <row r="4676" spans="1:40" x14ac:dyDescent="0.25">
      <c r="A4676" t="str">
        <f>"20190304164219930"</f>
        <v>20190304164219930</v>
      </c>
      <c r="B4676" t="str">
        <f>"1551688939925577"</f>
        <v>1551688939925577</v>
      </c>
      <c r="C4676" t="s">
        <v>40</v>
      </c>
      <c r="D4676">
        <v>4.2161210000000002</v>
      </c>
      <c r="E4676">
        <v>0.52985380000000004</v>
      </c>
      <c r="F4676" t="s">
        <v>41</v>
      </c>
      <c r="G4676">
        <v>-212.35820000000001</v>
      </c>
      <c r="H4676">
        <v>1.020006</v>
      </c>
      <c r="I4676">
        <v>142.92349999999999</v>
      </c>
      <c r="J4676">
        <v>-211.73869999999999</v>
      </c>
      <c r="K4676">
        <v>1.1052660000000001</v>
      </c>
      <c r="L4676">
        <v>142.94210000000001</v>
      </c>
      <c r="M4676">
        <v>-0.99116530000000003</v>
      </c>
      <c r="N4676">
        <v>-6.9076490000000001E-3</v>
      </c>
      <c r="O4676">
        <v>-0.1324523</v>
      </c>
      <c r="P4676">
        <v>-0.92148470000000005</v>
      </c>
      <c r="Q4676">
        <v>0.37145070000000002</v>
      </c>
      <c r="R4676">
        <v>-0.1135357</v>
      </c>
      <c r="S4676">
        <v>-3.3547359999999999</v>
      </c>
      <c r="T4676">
        <v>-0.31448809999999999</v>
      </c>
      <c r="U4676">
        <v>-0.1964264</v>
      </c>
      <c r="V4676">
        <v>1.3700489999999999E-2</v>
      </c>
      <c r="W4676">
        <v>0.37772670000000003</v>
      </c>
      <c r="X4676">
        <v>0.92581579999999997</v>
      </c>
      <c r="Y4676">
        <v>7.345525E-2</v>
      </c>
      <c r="Z4676">
        <v>1.511145E-2</v>
      </c>
      <c r="AA4676">
        <v>0.99718399999999996</v>
      </c>
      <c r="AB4676">
        <v>29</v>
      </c>
      <c r="AC4676">
        <v>-0.61950000000001604</v>
      </c>
      <c r="AD4676">
        <v>-8.52600000000001E-2</v>
      </c>
      <c r="AE4676">
        <v>-1.86000000000206E-2</v>
      </c>
      <c r="AF4676">
        <v>6.2438448311750001E-2</v>
      </c>
      <c r="AG4676">
        <v>-8.52600000000001E-2</v>
      </c>
      <c r="AH4676">
        <v>0.60505506945837595</v>
      </c>
      <c r="AI4676">
        <v>97.979075187475502</v>
      </c>
      <c r="AJ4676">
        <v>84.108236880644995</v>
      </c>
      <c r="AK4676">
        <v>0.61421451017120998</v>
      </c>
      <c r="AL4676">
        <v>67.807060560894996</v>
      </c>
      <c r="AM4676">
        <v>89.152182366067606</v>
      </c>
      <c r="AN4676">
        <v>1.00000002942438</v>
      </c>
    </row>
    <row r="4677" spans="1:40" x14ac:dyDescent="0.25">
      <c r="A4677" t="str">
        <f>"20190304164219944"</f>
        <v>20190304164219944</v>
      </c>
      <c r="B4677" t="str">
        <f>"1551688939935338"</f>
        <v>1551688939935338</v>
      </c>
      <c r="C4677" t="s">
        <v>40</v>
      </c>
      <c r="D4677">
        <v>4.1780249999999999</v>
      </c>
      <c r="E4677">
        <v>0.5298214</v>
      </c>
      <c r="F4677" t="s">
        <v>41</v>
      </c>
      <c r="G4677">
        <v>-212.62370000000001</v>
      </c>
      <c r="H4677">
        <v>1.0250570000000001</v>
      </c>
      <c r="I4677">
        <v>142.88849999999999</v>
      </c>
      <c r="J4677">
        <v>-211.92760000000001</v>
      </c>
      <c r="K4677">
        <v>1.105486</v>
      </c>
      <c r="L4677">
        <v>142.91999999999999</v>
      </c>
      <c r="M4677">
        <v>-0.99159209999999998</v>
      </c>
      <c r="N4677">
        <v>-6.8527680000000004E-3</v>
      </c>
      <c r="O4677">
        <v>-0.1292218</v>
      </c>
      <c r="P4677">
        <v>-0.92096069999999997</v>
      </c>
      <c r="Q4677">
        <v>0.37260349999999998</v>
      </c>
      <c r="R4677">
        <v>-0.1140105</v>
      </c>
      <c r="S4677">
        <v>-3.3529819999999999</v>
      </c>
      <c r="T4677">
        <v>-0.30380010000000002</v>
      </c>
      <c r="U4677">
        <v>-0.20372009999999999</v>
      </c>
      <c r="V4677">
        <v>9.9456040000000002E-3</v>
      </c>
      <c r="W4677">
        <v>0.3788704</v>
      </c>
      <c r="X4677">
        <v>0.92539629999999995</v>
      </c>
      <c r="Y4677">
        <v>6.8103540000000004E-2</v>
      </c>
      <c r="Z4677">
        <v>1.4062079999999999E-2</v>
      </c>
      <c r="AA4677">
        <v>0.9975792</v>
      </c>
      <c r="AB4677">
        <v>29</v>
      </c>
      <c r="AC4677">
        <v>-0.69610000000000105</v>
      </c>
      <c r="AD4677">
        <v>-8.0429E-2</v>
      </c>
      <c r="AE4677">
        <v>-3.1499999999993998E-2</v>
      </c>
      <c r="AF4677">
        <v>5.7945525477180897E-2</v>
      </c>
      <c r="AG4677">
        <v>-8.0429E-2</v>
      </c>
      <c r="AH4677">
        <v>0.68520519406179503</v>
      </c>
      <c r="AI4677">
        <v>96.671116016203996</v>
      </c>
      <c r="AJ4677">
        <v>85.166187537777503</v>
      </c>
      <c r="AK4677">
        <v>0.69233854864010702</v>
      </c>
      <c r="AL4677">
        <v>67.736269908536102</v>
      </c>
      <c r="AM4677">
        <v>89.384243058578093</v>
      </c>
      <c r="AN4677">
        <v>1.0000000035443799</v>
      </c>
    </row>
    <row r="4678" spans="1:40" x14ac:dyDescent="0.25">
      <c r="A4678" t="str">
        <f>"20190304164219964"</f>
        <v>20190304164219964</v>
      </c>
      <c r="B4678" t="str">
        <f>"1551688939955833"</f>
        <v>1551688939955833</v>
      </c>
      <c r="C4678" t="s">
        <v>40</v>
      </c>
      <c r="D4678">
        <v>4.2068580000000004</v>
      </c>
      <c r="E4678">
        <v>0.52978349999999996</v>
      </c>
      <c r="F4678" t="s">
        <v>41</v>
      </c>
      <c r="G4678">
        <v>-212.88589999999999</v>
      </c>
      <c r="H4678">
        <v>1.0199240000000001</v>
      </c>
      <c r="I4678">
        <v>142.8612</v>
      </c>
      <c r="J4678">
        <v>-212.20140000000001</v>
      </c>
      <c r="K4678">
        <v>1.105802</v>
      </c>
      <c r="L4678">
        <v>142.8888</v>
      </c>
      <c r="M4678">
        <v>-0.99214190000000002</v>
      </c>
      <c r="N4678">
        <v>-6.7792579999999998E-3</v>
      </c>
      <c r="O4678">
        <v>-0.1249345</v>
      </c>
      <c r="P4678">
        <v>-0.92029459999999996</v>
      </c>
      <c r="Q4678">
        <v>0.37356929999999999</v>
      </c>
      <c r="R4678">
        <v>-0.11620759999999999</v>
      </c>
      <c r="S4678">
        <v>-3.3531040000000001</v>
      </c>
      <c r="T4678">
        <v>-0.29936580000000002</v>
      </c>
      <c r="U4678">
        <v>-0.20588680000000001</v>
      </c>
      <c r="V4678">
        <v>3.3862079999999999E-3</v>
      </c>
      <c r="W4678">
        <v>0.379834</v>
      </c>
      <c r="X4678">
        <v>0.92504850000000005</v>
      </c>
      <c r="Y4678">
        <v>6.3207360000000004E-2</v>
      </c>
      <c r="Z4678">
        <v>1.3270260000000001E-2</v>
      </c>
      <c r="AA4678">
        <v>0.99791220000000003</v>
      </c>
      <c r="AB4678">
        <v>30</v>
      </c>
      <c r="AC4678">
        <v>-0.68449999999998501</v>
      </c>
      <c r="AD4678">
        <v>-8.5877999999999899E-2</v>
      </c>
      <c r="AE4678">
        <v>-2.7600000000006699E-2</v>
      </c>
      <c r="AF4678">
        <v>5.7236416582807502E-2</v>
      </c>
      <c r="AG4678">
        <v>-8.5877999999999899E-2</v>
      </c>
      <c r="AH4678">
        <v>0.672024173288991</v>
      </c>
      <c r="AI4678">
        <v>97.256370801639093</v>
      </c>
      <c r="AJ4678">
        <v>85.131856839648805</v>
      </c>
      <c r="AK4678">
        <v>0.67990258695786099</v>
      </c>
      <c r="AL4678">
        <v>67.6766001043014</v>
      </c>
      <c r="AM4678">
        <v>89.790265526216999</v>
      </c>
      <c r="AN4678">
        <v>1.0000000306564301</v>
      </c>
    </row>
    <row r="4679" spans="1:40" x14ac:dyDescent="0.25">
      <c r="A4679" t="str">
        <f>"20190304164219986"</f>
        <v>20190304164219986</v>
      </c>
      <c r="B4679" t="str">
        <f>"1551688939975353"</f>
        <v>1551688939975353</v>
      </c>
      <c r="C4679" t="s">
        <v>40</v>
      </c>
      <c r="D4679">
        <v>4.1828919999999998</v>
      </c>
      <c r="E4679">
        <v>0.52986549999999999</v>
      </c>
      <c r="F4679" t="s">
        <v>41</v>
      </c>
      <c r="G4679">
        <v>-213.1514</v>
      </c>
      <c r="H4679">
        <v>1.021385</v>
      </c>
      <c r="I4679">
        <v>142.8278</v>
      </c>
      <c r="J4679">
        <v>-212.482</v>
      </c>
      <c r="K4679">
        <v>1.1061259999999999</v>
      </c>
      <c r="L4679">
        <v>142.85759999999999</v>
      </c>
      <c r="M4679">
        <v>-0.99263239999999997</v>
      </c>
      <c r="N4679">
        <v>-6.7102419999999999E-3</v>
      </c>
      <c r="O4679">
        <v>-0.1209799</v>
      </c>
      <c r="P4679">
        <v>-0.92038120000000001</v>
      </c>
      <c r="Q4679">
        <v>0.37245859999999997</v>
      </c>
      <c r="R4679">
        <v>-0.1190532</v>
      </c>
      <c r="S4679">
        <v>-3.3535159999999999</v>
      </c>
      <c r="T4679">
        <v>-0.29791810000000002</v>
      </c>
      <c r="U4679">
        <v>-0.21585080000000001</v>
      </c>
      <c r="V4679">
        <v>-3.4412240000000001E-3</v>
      </c>
      <c r="W4679">
        <v>0.37872349999999999</v>
      </c>
      <c r="X4679">
        <v>0.92550350000000003</v>
      </c>
      <c r="Y4679">
        <v>5.6331890000000003E-2</v>
      </c>
      <c r="Z4679">
        <v>1.2557769999999999E-2</v>
      </c>
      <c r="AA4679">
        <v>0.99833309999999997</v>
      </c>
      <c r="AB4679">
        <v>30</v>
      </c>
      <c r="AC4679">
        <v>-0.669399999999996</v>
      </c>
      <c r="AD4679">
        <v>-8.47409999999999E-2</v>
      </c>
      <c r="AE4679">
        <v>-2.97999999999944E-2</v>
      </c>
      <c r="AF4679">
        <v>5.0595429450217097E-2</v>
      </c>
      <c r="AG4679">
        <v>-8.47409999999999E-2</v>
      </c>
      <c r="AH4679">
        <v>0.65757112486145297</v>
      </c>
      <c r="AI4679">
        <v>97.321812873980605</v>
      </c>
      <c r="AJ4679">
        <v>85.600165536379293</v>
      </c>
      <c r="AK4679">
        <v>0.66493662766748596</v>
      </c>
      <c r="AL4679">
        <v>67.745365000450903</v>
      </c>
      <c r="AM4679">
        <v>90.213037231023904</v>
      </c>
      <c r="AN4679">
        <v>1.0000000299935501</v>
      </c>
    </row>
    <row r="4680" spans="1:40" x14ac:dyDescent="0.25">
      <c r="A4680" t="str">
        <f>"20190304164220008"</f>
        <v>20190304164220008</v>
      </c>
      <c r="B4680" t="str">
        <f>"1551688939995850"</f>
        <v>1551688939995850</v>
      </c>
      <c r="C4680" t="s">
        <v>40</v>
      </c>
      <c r="D4680">
        <v>4.1551130000000001</v>
      </c>
      <c r="E4680">
        <v>0.53000649999999905</v>
      </c>
      <c r="F4680" t="s">
        <v>41</v>
      </c>
      <c r="G4680">
        <v>-213.4169</v>
      </c>
      <c r="H4680">
        <v>1.0212559999999999</v>
      </c>
      <c r="I4680">
        <v>142.79470000000001</v>
      </c>
      <c r="J4680">
        <v>-212.77459999999999</v>
      </c>
      <c r="K4680">
        <v>1.106463</v>
      </c>
      <c r="L4680">
        <v>142.82589999999999</v>
      </c>
      <c r="M4680">
        <v>-0.99307529999999999</v>
      </c>
      <c r="N4680">
        <v>-6.6456859999999996E-3</v>
      </c>
      <c r="O4680">
        <v>-0.11729150000000001</v>
      </c>
      <c r="P4680">
        <v>-0.92060419999999998</v>
      </c>
      <c r="Q4680">
        <v>0.37067499999999998</v>
      </c>
      <c r="R4680">
        <v>-0.1228335</v>
      </c>
      <c r="S4680">
        <v>-3.3534549999999999</v>
      </c>
      <c r="T4680">
        <v>-0.30441309999999999</v>
      </c>
      <c r="U4680">
        <v>-0.2261658</v>
      </c>
      <c r="V4680">
        <v>-1.0947129999999999E-2</v>
      </c>
      <c r="W4680">
        <v>0.37693939999999998</v>
      </c>
      <c r="X4680">
        <v>0.92617329999999998</v>
      </c>
      <c r="Y4680">
        <v>4.9575760000000003E-2</v>
      </c>
      <c r="Z4680">
        <v>1.22136E-2</v>
      </c>
      <c r="AA4680">
        <v>0.99869569999999996</v>
      </c>
      <c r="AB4680">
        <v>30</v>
      </c>
      <c r="AC4680">
        <v>-0.64230000000000498</v>
      </c>
      <c r="AD4680">
        <v>-8.5207000000000005E-2</v>
      </c>
      <c r="AE4680">
        <v>-3.1199999999984102E-2</v>
      </c>
      <c r="AF4680">
        <v>4.3588082783504303E-2</v>
      </c>
      <c r="AG4680">
        <v>-8.5207000000000005E-2</v>
      </c>
      <c r="AH4680">
        <v>0.63045696789726702</v>
      </c>
      <c r="AI4680">
        <v>97.678843317780405</v>
      </c>
      <c r="AJ4680">
        <v>86.045018932106103</v>
      </c>
      <c r="AK4680">
        <v>0.63768028210064398</v>
      </c>
      <c r="AL4680">
        <v>67.855771124967603</v>
      </c>
      <c r="AM4680">
        <v>90.677189830630894</v>
      </c>
      <c r="AN4680">
        <v>1.00000006628024</v>
      </c>
    </row>
    <row r="4681" spans="1:40" x14ac:dyDescent="0.25">
      <c r="A4681" t="str">
        <f>"20190304164220023"</f>
        <v>20190304164220023</v>
      </c>
      <c r="B4681" t="str">
        <f>"1551688940016346"</f>
        <v>1551688940016346</v>
      </c>
      <c r="C4681" t="s">
        <v>40</v>
      </c>
      <c r="D4681">
        <v>4.1530969999999998</v>
      </c>
      <c r="E4681">
        <v>0.53017969999999903</v>
      </c>
      <c r="F4681" t="s">
        <v>41</v>
      </c>
      <c r="G4681">
        <v>-213.68360000000001</v>
      </c>
      <c r="H4681">
        <v>1.0217639999999999</v>
      </c>
      <c r="I4681">
        <v>142.7619</v>
      </c>
      <c r="J4681">
        <v>-212.97229999999999</v>
      </c>
      <c r="K4681">
        <v>1.106687</v>
      </c>
      <c r="L4681">
        <v>142.8048</v>
      </c>
      <c r="M4681">
        <v>-0.99334259999999996</v>
      </c>
      <c r="N4681">
        <v>-6.6060019999999997E-3</v>
      </c>
      <c r="O4681">
        <v>-0.1150089</v>
      </c>
      <c r="P4681">
        <v>-0.92083269999999995</v>
      </c>
      <c r="Q4681">
        <v>0.36978810000000001</v>
      </c>
      <c r="R4681">
        <v>-0.12379220000000001</v>
      </c>
      <c r="S4681">
        <v>-3.3529659999999999</v>
      </c>
      <c r="T4681">
        <v>-0.31238969999999999</v>
      </c>
      <c r="U4681">
        <v>-0.2365265</v>
      </c>
      <c r="V4681">
        <v>-1.422432E-2</v>
      </c>
      <c r="W4681">
        <v>0.37603510000000001</v>
      </c>
      <c r="X4681">
        <v>0.92649630000000005</v>
      </c>
      <c r="Y4681">
        <v>4.4196829999999999E-2</v>
      </c>
      <c r="Z4681">
        <v>1.2089310000000001E-2</v>
      </c>
      <c r="AA4681">
        <v>0.99894970000000005</v>
      </c>
      <c r="AB4681">
        <v>30</v>
      </c>
      <c r="AC4681">
        <v>-0.71130000000002203</v>
      </c>
      <c r="AD4681">
        <v>-8.4922999999999998E-2</v>
      </c>
      <c r="AE4681">
        <v>-4.2900000000002998E-2</v>
      </c>
      <c r="AF4681">
        <v>3.8643446371757699E-2</v>
      </c>
      <c r="AG4681">
        <v>-8.4922999999999998E-2</v>
      </c>
      <c r="AH4681">
        <v>0.70155008292909105</v>
      </c>
      <c r="AI4681">
        <v>96.891755133157105</v>
      </c>
      <c r="AJ4681">
        <v>86.847165714617603</v>
      </c>
      <c r="AK4681">
        <v>0.70772717252787598</v>
      </c>
      <c r="AL4681">
        <v>67.911698624447695</v>
      </c>
      <c r="AM4681">
        <v>90.879582009994195</v>
      </c>
      <c r="AN4681">
        <v>1.0000000608125701</v>
      </c>
    </row>
    <row r="4682" spans="1:40" x14ac:dyDescent="0.25">
      <c r="A4682" t="str">
        <f>"20190304164220044"</f>
        <v>20190304164220044</v>
      </c>
      <c r="B4682" t="str">
        <f>"1551688940035865"</f>
        <v>1551688940035865</v>
      </c>
      <c r="C4682" t="s">
        <v>40</v>
      </c>
      <c r="D4682">
        <v>4.1598240000000004</v>
      </c>
      <c r="E4682">
        <v>0.53032950000000001</v>
      </c>
      <c r="F4682" t="s">
        <v>41</v>
      </c>
      <c r="G4682">
        <v>-213.9479</v>
      </c>
      <c r="H4682">
        <v>1.014184</v>
      </c>
      <c r="I4682">
        <v>142.73570000000001</v>
      </c>
      <c r="J4682">
        <v>-213.2585</v>
      </c>
      <c r="K4682">
        <v>1.1070040000000001</v>
      </c>
      <c r="L4682">
        <v>142.7747</v>
      </c>
      <c r="M4682">
        <v>-0.99367539999999999</v>
      </c>
      <c r="N4682">
        <v>-6.5508700000000003E-3</v>
      </c>
      <c r="O4682">
        <v>-0.1121013</v>
      </c>
      <c r="P4682">
        <v>-0.92098860000000005</v>
      </c>
      <c r="Q4682">
        <v>0.36860159999999997</v>
      </c>
      <c r="R4682">
        <v>-0.12614790000000001</v>
      </c>
      <c r="S4682">
        <v>-3.3536220000000001</v>
      </c>
      <c r="T4682">
        <v>-0.31799729999999998</v>
      </c>
      <c r="U4682">
        <v>-0.23806759999999999</v>
      </c>
      <c r="V4682">
        <v>-1.957033E-2</v>
      </c>
      <c r="W4682">
        <v>0.3748224</v>
      </c>
      <c r="X4682">
        <v>0.92689010000000005</v>
      </c>
      <c r="Y4682">
        <v>4.0833109999999999E-2</v>
      </c>
      <c r="Z4682">
        <v>1.1895009999999999E-2</v>
      </c>
      <c r="AA4682">
        <v>0.99909519999999996</v>
      </c>
      <c r="AB4682">
        <v>30</v>
      </c>
      <c r="AC4682">
        <v>-0.68940000000000601</v>
      </c>
      <c r="AD4682">
        <v>-9.2820000000000097E-2</v>
      </c>
      <c r="AE4682">
        <v>-3.8999999999987198E-2</v>
      </c>
      <c r="AF4682">
        <v>3.7846241004270899E-2</v>
      </c>
      <c r="AG4682">
        <v>-9.2820000000000097E-2</v>
      </c>
      <c r="AH4682">
        <v>0.67718974961753198</v>
      </c>
      <c r="AI4682">
        <v>97.792685330654294</v>
      </c>
      <c r="AJ4682">
        <v>86.801226697792401</v>
      </c>
      <c r="AK4682">
        <v>0.68456836572047997</v>
      </c>
      <c r="AL4682">
        <v>67.986664505178595</v>
      </c>
      <c r="AM4682">
        <v>91.2095616649151</v>
      </c>
      <c r="AN4682">
        <v>1.0000000434180301</v>
      </c>
    </row>
    <row r="4683" spans="1:40" x14ac:dyDescent="0.25">
      <c r="A4683" t="str">
        <f>"20190304164220066"</f>
        <v>20190304164220066</v>
      </c>
      <c r="B4683" t="str">
        <f>"1551688940055386"</f>
        <v>1551688940055386</v>
      </c>
      <c r="C4683" t="s">
        <v>40</v>
      </c>
      <c r="D4683">
        <v>4.1611820000000002</v>
      </c>
      <c r="E4683">
        <v>0.53048260000000003</v>
      </c>
      <c r="F4683" t="s">
        <v>41</v>
      </c>
      <c r="G4683">
        <v>-214.21619999999999</v>
      </c>
      <c r="H4683">
        <v>1.0144759999999999</v>
      </c>
      <c r="I4683">
        <v>142.7046</v>
      </c>
      <c r="J4683">
        <v>-213.54859999999999</v>
      </c>
      <c r="K4683">
        <v>1.107316</v>
      </c>
      <c r="L4683">
        <v>142.7448</v>
      </c>
      <c r="M4683">
        <v>-0.99396070000000003</v>
      </c>
      <c r="N4683">
        <v>-6.4981279999999997E-3</v>
      </c>
      <c r="O4683">
        <v>-0.10954369999999999</v>
      </c>
      <c r="P4683">
        <v>-0.92125360000000001</v>
      </c>
      <c r="Q4683">
        <v>0.3668399</v>
      </c>
      <c r="R4683">
        <v>-0.12930800000000001</v>
      </c>
      <c r="S4683">
        <v>-3.3532709999999999</v>
      </c>
      <c r="T4683">
        <v>-0.32394230000000002</v>
      </c>
      <c r="U4683">
        <v>-0.2462463</v>
      </c>
      <c r="V4683">
        <v>-2.537068E-2</v>
      </c>
      <c r="W4683">
        <v>0.37303350000000002</v>
      </c>
      <c r="X4683">
        <v>0.92747089999999999</v>
      </c>
      <c r="Y4683">
        <v>3.5839530000000001E-2</v>
      </c>
      <c r="Z4683">
        <v>1.1647859999999999E-2</v>
      </c>
      <c r="AA4683">
        <v>0.99928969999999995</v>
      </c>
      <c r="AB4683">
        <v>30</v>
      </c>
      <c r="AC4683">
        <v>-0.66759999999999298</v>
      </c>
      <c r="AD4683">
        <v>-9.2840000000000006E-2</v>
      </c>
      <c r="AE4683">
        <v>-4.0199999999998598E-2</v>
      </c>
      <c r="AF4683">
        <v>3.25476849028195E-2</v>
      </c>
      <c r="AG4683">
        <v>-9.2840000000000006E-2</v>
      </c>
      <c r="AH4683">
        <v>0.65535767201123896</v>
      </c>
      <c r="AI4683">
        <v>98.053250720608702</v>
      </c>
      <c r="AJ4683">
        <v>87.1567983393915</v>
      </c>
      <c r="AK4683">
        <v>0.66270075875656198</v>
      </c>
      <c r="AL4683">
        <v>68.097176066271899</v>
      </c>
      <c r="AM4683">
        <v>91.566917598914998</v>
      </c>
      <c r="AN4683">
        <v>0.99999996693635995</v>
      </c>
    </row>
    <row r="4684" spans="1:40" x14ac:dyDescent="0.25">
      <c r="A4684" t="str">
        <f>"20190304164220086"</f>
        <v>20190304164220086</v>
      </c>
      <c r="B4684" t="str">
        <f>"1551688940075881"</f>
        <v>1551688940075881</v>
      </c>
      <c r="C4684" t="s">
        <v>40</v>
      </c>
      <c r="D4684">
        <v>4.1789389999999997</v>
      </c>
      <c r="E4684">
        <v>0.53057010000000004</v>
      </c>
      <c r="F4684" t="s">
        <v>41</v>
      </c>
      <c r="G4684">
        <v>-214.48560000000001</v>
      </c>
      <c r="H4684">
        <v>1.0148889999999999</v>
      </c>
      <c r="I4684">
        <v>142.67420000000001</v>
      </c>
      <c r="J4684">
        <v>-213.8253</v>
      </c>
      <c r="K4684">
        <v>1.107588</v>
      </c>
      <c r="L4684">
        <v>142.7165</v>
      </c>
      <c r="M4684">
        <v>-0.99419310000000005</v>
      </c>
      <c r="N4684">
        <v>-6.4526770000000004E-3</v>
      </c>
      <c r="O4684">
        <v>-0.1074172</v>
      </c>
      <c r="P4684">
        <v>-0.92116869999999995</v>
      </c>
      <c r="Q4684">
        <v>0.36551400000000001</v>
      </c>
      <c r="R4684">
        <v>-0.13359670000000001</v>
      </c>
      <c r="S4684">
        <v>-3.3526760000000002</v>
      </c>
      <c r="T4684">
        <v>-0.33074690000000001</v>
      </c>
      <c r="U4684">
        <v>-0.25268550000000001</v>
      </c>
      <c r="V4684">
        <v>-3.1888380000000001E-2</v>
      </c>
      <c r="W4684">
        <v>0.37168420000000002</v>
      </c>
      <c r="X4684">
        <v>0.92781139999999995</v>
      </c>
      <c r="Y4684">
        <v>3.1781789999999997E-2</v>
      </c>
      <c r="Z4684">
        <v>1.1502699999999999E-2</v>
      </c>
      <c r="AA4684">
        <v>0.9994286</v>
      </c>
      <c r="AB4684">
        <v>30</v>
      </c>
      <c r="AC4684">
        <v>-0.66030000000000599</v>
      </c>
      <c r="AD4684">
        <v>-9.2699000000000004E-2</v>
      </c>
      <c r="AE4684">
        <v>-4.2299999999983101E-2</v>
      </c>
      <c r="AF4684">
        <v>2.8317968511607901E-2</v>
      </c>
      <c r="AG4684">
        <v>-9.2699000000000004E-2</v>
      </c>
      <c r="AH4684">
        <v>0.64829804036360705</v>
      </c>
      <c r="AI4684">
        <v>98.129815364999203</v>
      </c>
      <c r="AJ4684">
        <v>87.498882832664194</v>
      </c>
      <c r="AK4684">
        <v>0.65550389860085401</v>
      </c>
      <c r="AL4684">
        <v>68.180476270723204</v>
      </c>
      <c r="AM4684">
        <v>91.968450359865301</v>
      </c>
      <c r="AN4684">
        <v>1.00000000363931</v>
      </c>
    </row>
    <row r="4685" spans="1:40" x14ac:dyDescent="0.25">
      <c r="A4685" t="str">
        <f>"20190304164220109"</f>
        <v>20190304164220109</v>
      </c>
      <c r="B4685" t="str">
        <f>"1551688940106138"</f>
        <v>1551688940106138</v>
      </c>
      <c r="C4685" t="s">
        <v>40</v>
      </c>
      <c r="D4685">
        <v>4.1545009999999998</v>
      </c>
      <c r="E4685">
        <v>0.53219689999999997</v>
      </c>
      <c r="F4685" t="s">
        <v>41</v>
      </c>
      <c r="G4685">
        <v>-214.75540000000001</v>
      </c>
      <c r="H4685">
        <v>1.0145900000000001</v>
      </c>
      <c r="I4685">
        <v>142.64449999999999</v>
      </c>
      <c r="J4685">
        <v>-214.13310000000001</v>
      </c>
      <c r="K4685">
        <v>1.1078570000000001</v>
      </c>
      <c r="L4685">
        <v>142.68549999999999</v>
      </c>
      <c r="M4685">
        <v>-0.99441179999999996</v>
      </c>
      <c r="N4685">
        <v>-6.4071589999999999E-3</v>
      </c>
      <c r="O4685">
        <v>-0.105377399999999</v>
      </c>
      <c r="P4685">
        <v>-0.92087640000000004</v>
      </c>
      <c r="Q4685">
        <v>0.36506810000000001</v>
      </c>
      <c r="R4685">
        <v>-0.1367929</v>
      </c>
      <c r="S4685">
        <v>-3.3519899999999998</v>
      </c>
      <c r="T4685">
        <v>-0.33519179999999998</v>
      </c>
      <c r="U4685">
        <v>-0.26026919999999998</v>
      </c>
      <c r="V4685">
        <v>-3.7250600000000002E-2</v>
      </c>
      <c r="W4685">
        <v>0.371199</v>
      </c>
      <c r="X4685">
        <v>0.92780589999999996</v>
      </c>
      <c r="Y4685">
        <v>2.748134E-2</v>
      </c>
      <c r="Z4685">
        <v>1.1253020000000001E-2</v>
      </c>
      <c r="AA4685">
        <v>0.99955899999999998</v>
      </c>
      <c r="AB4685">
        <v>30</v>
      </c>
      <c r="AC4685">
        <v>-0.62229999999999497</v>
      </c>
      <c r="AD4685">
        <v>-9.3267000000000003E-2</v>
      </c>
      <c r="AE4685">
        <v>-4.0999999999996803E-2</v>
      </c>
      <c r="AF4685">
        <v>2.42633207829356E-2</v>
      </c>
      <c r="AG4685">
        <v>-9.3267000000000003E-2</v>
      </c>
      <c r="AH4685">
        <v>0.60952344824535498</v>
      </c>
      <c r="AI4685">
        <v>98.692927226017005</v>
      </c>
      <c r="AJ4685">
        <v>87.720428503587996</v>
      </c>
      <c r="AK4685">
        <v>0.61709502994702803</v>
      </c>
      <c r="AL4685">
        <v>68.210419330113794</v>
      </c>
      <c r="AM4685">
        <v>92.299140880849706</v>
      </c>
      <c r="AN4685">
        <v>1.00000004643808</v>
      </c>
    </row>
    <row r="4686" spans="1:40" x14ac:dyDescent="0.25">
      <c r="A4686" t="str">
        <f>"20190304164220123"</f>
        <v>20190304164220123</v>
      </c>
      <c r="B4686" t="str">
        <f>"1551688940115898"</f>
        <v>1551688940115898</v>
      </c>
      <c r="C4686" t="s">
        <v>40</v>
      </c>
      <c r="D4686">
        <v>4.1610430000000003</v>
      </c>
      <c r="E4686">
        <v>0.53267869999999995</v>
      </c>
      <c r="F4686" t="s">
        <v>41</v>
      </c>
      <c r="G4686">
        <v>-215.0284</v>
      </c>
      <c r="H4686">
        <v>1.018435</v>
      </c>
      <c r="I4686">
        <v>142.6181</v>
      </c>
      <c r="J4686">
        <v>-214.32849999999999</v>
      </c>
      <c r="K4686">
        <v>1.108007</v>
      </c>
      <c r="L4686">
        <v>142.66589999999999</v>
      </c>
      <c r="M4686">
        <v>-0.9945349</v>
      </c>
      <c r="N4686">
        <v>-6.3788710000000004E-3</v>
      </c>
      <c r="O4686">
        <v>-0.1042106</v>
      </c>
      <c r="P4686">
        <v>-0.92061199999999999</v>
      </c>
      <c r="Q4686">
        <v>0.36537350000000002</v>
      </c>
      <c r="R4686">
        <v>-0.13775229999999999</v>
      </c>
      <c r="S4686">
        <v>-3.3530120000000001</v>
      </c>
      <c r="T4686">
        <v>-0.3348738</v>
      </c>
      <c r="U4686">
        <v>-0.25263980000000003</v>
      </c>
      <c r="V4686">
        <v>-3.9460120000000001E-2</v>
      </c>
      <c r="W4686">
        <v>0.37147210000000003</v>
      </c>
      <c r="X4686">
        <v>0.92760520000000002</v>
      </c>
      <c r="Y4686">
        <v>2.8593489999999999E-2</v>
      </c>
      <c r="Z4686">
        <v>1.1193109999999999E-2</v>
      </c>
      <c r="AA4686">
        <v>0.99952850000000004</v>
      </c>
      <c r="AB4686">
        <v>30</v>
      </c>
      <c r="AC4686">
        <v>-0.69990000000001296</v>
      </c>
      <c r="AD4686">
        <v>-8.9571999999999902E-2</v>
      </c>
      <c r="AE4686">
        <v>-4.7799999999995103E-2</v>
      </c>
      <c r="AF4686">
        <v>2.4991326194639899E-2</v>
      </c>
      <c r="AG4686">
        <v>-8.9571999999999902E-2</v>
      </c>
      <c r="AH4686">
        <v>0.68982463571959096</v>
      </c>
      <c r="AI4686">
        <v>97.393522496791604</v>
      </c>
      <c r="AJ4686">
        <v>87.925166083875894</v>
      </c>
      <c r="AK4686">
        <v>0.69606446369185804</v>
      </c>
      <c r="AL4686">
        <v>68.193566152542999</v>
      </c>
      <c r="AM4686">
        <v>92.435881143588404</v>
      </c>
      <c r="AN4686">
        <v>1.00000001460793</v>
      </c>
    </row>
    <row r="4687" spans="1:40" x14ac:dyDescent="0.25">
      <c r="A4687" t="str">
        <f>"20190304164220143"</f>
        <v>20190304164220143</v>
      </c>
      <c r="B4687" t="str">
        <f>"1551688940135417"</f>
        <v>1551688940135417</v>
      </c>
      <c r="C4687" t="s">
        <v>40</v>
      </c>
      <c r="D4687">
        <v>4.1462180000000002</v>
      </c>
      <c r="E4687">
        <v>0.53360450000000004</v>
      </c>
      <c r="F4687" t="s">
        <v>41</v>
      </c>
      <c r="G4687">
        <v>-215.29740000000001</v>
      </c>
      <c r="H4687">
        <v>1.011819</v>
      </c>
      <c r="I4687">
        <v>142.59360000000001</v>
      </c>
      <c r="J4687">
        <v>-214.6011</v>
      </c>
      <c r="K4687">
        <v>1.1081840000000001</v>
      </c>
      <c r="L4687">
        <v>142.63890000000001</v>
      </c>
      <c r="M4687">
        <v>-0.99468570000000001</v>
      </c>
      <c r="N4687">
        <v>-6.3407539999999997E-3</v>
      </c>
      <c r="O4687">
        <v>-0.1027627</v>
      </c>
      <c r="P4687">
        <v>-0.92005530000000002</v>
      </c>
      <c r="Q4687">
        <v>0.36605300000000002</v>
      </c>
      <c r="R4687">
        <v>-0.13965540000000001</v>
      </c>
      <c r="S4687">
        <v>-3.3532709999999999</v>
      </c>
      <c r="T4687">
        <v>-0.3329163</v>
      </c>
      <c r="U4687">
        <v>-0.25086979999999998</v>
      </c>
      <c r="V4687">
        <v>-4.2923320000000001E-2</v>
      </c>
      <c r="W4687">
        <v>0.37210910000000003</v>
      </c>
      <c r="X4687">
        <v>0.92719600000000002</v>
      </c>
      <c r="Y4687">
        <v>2.768661E-2</v>
      </c>
      <c r="Z4687">
        <v>1.0946579999999999E-2</v>
      </c>
      <c r="AA4687">
        <v>0.99955669999999996</v>
      </c>
      <c r="AB4687">
        <v>30</v>
      </c>
      <c r="AC4687">
        <v>-0.69630000000000702</v>
      </c>
      <c r="AD4687">
        <v>-9.6365000000000006E-2</v>
      </c>
      <c r="AE4687">
        <v>-4.5299999999997398E-2</v>
      </c>
      <c r="AF4687">
        <v>2.59990664734902E-2</v>
      </c>
      <c r="AG4687">
        <v>-9.6365000000000006E-2</v>
      </c>
      <c r="AH4687">
        <v>0.684218929638159</v>
      </c>
      <c r="AI4687">
        <v>98.0110696405212</v>
      </c>
      <c r="AJ4687">
        <v>87.823912210789899</v>
      </c>
      <c r="AK4687">
        <v>0.69146056167917602</v>
      </c>
      <c r="AL4687">
        <v>68.154250308375197</v>
      </c>
      <c r="AM4687">
        <v>92.650540414441096</v>
      </c>
      <c r="AN4687">
        <v>1.0000000080593101</v>
      </c>
    </row>
    <row r="4688" spans="1:40" x14ac:dyDescent="0.25">
      <c r="A4688" t="str">
        <f>"20190304164220156"</f>
        <v>20190304164220156</v>
      </c>
      <c r="B4688" t="str">
        <f>"1551688940146155"</f>
        <v>1551688940146155</v>
      </c>
      <c r="C4688" t="s">
        <v>40</v>
      </c>
      <c r="D4688">
        <v>4.1641760000000003</v>
      </c>
      <c r="E4688">
        <v>0.5340123</v>
      </c>
      <c r="F4688" t="s">
        <v>41</v>
      </c>
      <c r="G4688">
        <v>-215.57089999999999</v>
      </c>
      <c r="H4688">
        <v>1.013198</v>
      </c>
      <c r="I4688">
        <v>142.5669</v>
      </c>
      <c r="J4688">
        <v>-214.7963</v>
      </c>
      <c r="K4688">
        <v>1.1082860000000001</v>
      </c>
      <c r="L4688">
        <v>142.61969999999999</v>
      </c>
      <c r="M4688">
        <v>-0.99478299999999997</v>
      </c>
      <c r="N4688">
        <v>-6.3157700000000001E-3</v>
      </c>
      <c r="O4688">
        <v>-0.1018187</v>
      </c>
      <c r="P4688">
        <v>-0.91989960000000004</v>
      </c>
      <c r="Q4688">
        <v>0.36614000000000002</v>
      </c>
      <c r="R4688">
        <v>-0.14045170000000001</v>
      </c>
      <c r="S4688">
        <v>-3.3535460000000001</v>
      </c>
      <c r="T4688">
        <v>-0.32845800000000003</v>
      </c>
      <c r="U4688">
        <v>-0.2492065</v>
      </c>
      <c r="V4688">
        <v>-4.4706530000000001E-2</v>
      </c>
      <c r="W4688">
        <v>0.37216709999999997</v>
      </c>
      <c r="X4688">
        <v>0.92708840000000003</v>
      </c>
      <c r="Y4688">
        <v>2.725907E-2</v>
      </c>
      <c r="Z4688">
        <v>1.0686889999999999E-2</v>
      </c>
      <c r="AA4688">
        <v>0.99957130000000005</v>
      </c>
      <c r="AB4688">
        <v>31</v>
      </c>
      <c r="AC4688">
        <v>-0.77459999999999196</v>
      </c>
      <c r="AD4688">
        <v>-9.5088000000000006E-2</v>
      </c>
      <c r="AE4688">
        <v>-5.2799999999990598E-2</v>
      </c>
      <c r="AF4688">
        <v>2.59554219058497E-2</v>
      </c>
      <c r="AG4688">
        <v>-9.5088000000000006E-2</v>
      </c>
      <c r="AH4688">
        <v>0.764483317951133</v>
      </c>
      <c r="AI4688">
        <v>97.0861109156982</v>
      </c>
      <c r="AJ4688">
        <v>88.055464287710507</v>
      </c>
      <c r="AK4688">
        <v>0.77081136155085594</v>
      </c>
      <c r="AL4688">
        <v>68.150668966280804</v>
      </c>
      <c r="AM4688">
        <v>92.760807644503302</v>
      </c>
      <c r="AN4688">
        <v>0.99999996278080405</v>
      </c>
    </row>
    <row r="4689" spans="1:40" x14ac:dyDescent="0.25">
      <c r="A4689" t="str">
        <f>"20190304164220176"</f>
        <v>20190304164220176</v>
      </c>
      <c r="B4689" t="str">
        <f>"1551688940165578"</f>
        <v>1551688940165578</v>
      </c>
      <c r="C4689" t="s">
        <v>40</v>
      </c>
      <c r="D4689">
        <v>4.1836219999999997</v>
      </c>
      <c r="E4689">
        <v>0.53479180000000004</v>
      </c>
      <c r="F4689" t="s">
        <v>41</v>
      </c>
      <c r="G4689">
        <v>-215.5795</v>
      </c>
      <c r="H4689">
        <v>1.0318609999999999</v>
      </c>
      <c r="I4689">
        <v>142.56180000000001</v>
      </c>
      <c r="J4689">
        <v>-215.04490000000001</v>
      </c>
      <c r="K4689">
        <v>1.1083879999999999</v>
      </c>
      <c r="L4689">
        <v>142.59549999999999</v>
      </c>
      <c r="M4689">
        <v>-0.99489899999999998</v>
      </c>
      <c r="N4689">
        <v>-6.2869839999999998E-3</v>
      </c>
      <c r="O4689">
        <v>-0.1006806</v>
      </c>
      <c r="P4689">
        <v>-0.91952869999999998</v>
      </c>
      <c r="Q4689">
        <v>0.3662184</v>
      </c>
      <c r="R4689">
        <v>-0.14265849999999999</v>
      </c>
      <c r="S4689">
        <v>-3.3535159999999999</v>
      </c>
      <c r="T4689">
        <v>-0.3272407</v>
      </c>
      <c r="U4689">
        <v>-0.2484741</v>
      </c>
      <c r="V4689">
        <v>-4.8098519999999999E-2</v>
      </c>
      <c r="W4689">
        <v>0.37221710000000002</v>
      </c>
      <c r="X4689">
        <v>0.92689860000000002</v>
      </c>
      <c r="Y4689">
        <v>2.634529E-2</v>
      </c>
      <c r="Z4689">
        <v>1.049803E-2</v>
      </c>
      <c r="AA4689">
        <v>0.99959779999999998</v>
      </c>
      <c r="AB4689">
        <v>31</v>
      </c>
      <c r="AC4689">
        <v>-0.53459999999998298</v>
      </c>
      <c r="AD4689">
        <v>-7.6526999999999706E-2</v>
      </c>
      <c r="AE4689">
        <v>-3.36999999999818E-2</v>
      </c>
      <c r="AF4689">
        <v>1.9890187827613801E-2</v>
      </c>
      <c r="AG4689">
        <v>-7.6526999999999706E-2</v>
      </c>
      <c r="AH4689">
        <v>0.52456986443445297</v>
      </c>
      <c r="AI4689">
        <v>98.294179824991303</v>
      </c>
      <c r="AJ4689">
        <v>87.828548273842401</v>
      </c>
      <c r="AK4689">
        <v>0.53049556451830804</v>
      </c>
      <c r="AL4689">
        <v>68.147583877775205</v>
      </c>
      <c r="AM4689">
        <v>92.970521878994504</v>
      </c>
      <c r="AN4689">
        <v>1.0000000259202699</v>
      </c>
    </row>
    <row r="4690" spans="1:40" x14ac:dyDescent="0.25">
      <c r="A4690" t="str">
        <f>"20190304164220189"</f>
        <v>20190304164220189</v>
      </c>
      <c r="B4690" t="str">
        <f>"1551688940186075"</f>
        <v>1551688940186075</v>
      </c>
      <c r="C4690" t="s">
        <v>40</v>
      </c>
      <c r="D4690">
        <v>4.1781430000000004</v>
      </c>
      <c r="E4690">
        <v>0.53547719999999999</v>
      </c>
      <c r="F4690" t="s">
        <v>41</v>
      </c>
      <c r="G4690">
        <v>-215.85239999999999</v>
      </c>
      <c r="H4690">
        <v>1.030084</v>
      </c>
      <c r="I4690">
        <v>142.536</v>
      </c>
      <c r="J4690">
        <v>-215.2338</v>
      </c>
      <c r="K4690">
        <v>1.1084499999999999</v>
      </c>
      <c r="L4690">
        <v>142.5772</v>
      </c>
      <c r="M4690">
        <v>-0.99498260000000005</v>
      </c>
      <c r="N4690">
        <v>-6.2659559999999996E-3</v>
      </c>
      <c r="O4690">
        <v>-9.9853020000000001E-2</v>
      </c>
      <c r="P4690">
        <v>-0.91951819999999895</v>
      </c>
      <c r="Q4690">
        <v>0.36571690000000001</v>
      </c>
      <c r="R4690">
        <v>-0.1440061</v>
      </c>
      <c r="S4690">
        <v>-3.3536220000000001</v>
      </c>
      <c r="T4690">
        <v>-0.32521030000000001</v>
      </c>
      <c r="U4690">
        <v>-0.24771119999999999</v>
      </c>
      <c r="V4690">
        <v>-5.0271389999999999E-2</v>
      </c>
      <c r="W4690">
        <v>0.37169659999999999</v>
      </c>
      <c r="X4690">
        <v>0.92699219999999904</v>
      </c>
      <c r="Y4690">
        <v>2.5755420000000001E-2</v>
      </c>
      <c r="Z4690">
        <v>1.0326729999999999E-2</v>
      </c>
      <c r="AA4690">
        <v>0.99961500000000003</v>
      </c>
      <c r="AB4690">
        <v>31</v>
      </c>
      <c r="AC4690">
        <v>-0.61859999999998605</v>
      </c>
      <c r="AD4690">
        <v>-7.8365999999999894E-2</v>
      </c>
      <c r="AE4690">
        <v>-4.1200000000003401E-2</v>
      </c>
      <c r="AF4690">
        <v>2.0449465467529401E-2</v>
      </c>
      <c r="AG4690">
        <v>-7.8365999999999894E-2</v>
      </c>
      <c r="AH4690">
        <v>0.60987783926252104</v>
      </c>
      <c r="AI4690">
        <v>97.318007410469306</v>
      </c>
      <c r="AJ4690">
        <v>88.079567436200506</v>
      </c>
      <c r="AK4690">
        <v>0.61523198016474101</v>
      </c>
      <c r="AL4690">
        <v>68.179712198470398</v>
      </c>
      <c r="AM4690">
        <v>93.104146715199605</v>
      </c>
      <c r="AN4690">
        <v>1.0000000569824601</v>
      </c>
    </row>
    <row r="4691" spans="1:40" x14ac:dyDescent="0.25">
      <c r="A4691" t="str">
        <f>"20190304164220203"</f>
        <v>20190304164220203</v>
      </c>
      <c r="B4691" t="str">
        <f>"1551688940195835"</f>
        <v>1551688940195835</v>
      </c>
      <c r="C4691" t="s">
        <v>40</v>
      </c>
      <c r="D4691">
        <v>4.1741900000000003</v>
      </c>
      <c r="E4691">
        <v>0.53580209999999995</v>
      </c>
      <c r="F4691" t="s">
        <v>41</v>
      </c>
      <c r="G4691">
        <v>-216.12350000000001</v>
      </c>
      <c r="H4691">
        <v>1.0220530000000001</v>
      </c>
      <c r="I4691">
        <v>142.51230000000001</v>
      </c>
      <c r="J4691">
        <v>-215.42840000000001</v>
      </c>
      <c r="K4691">
        <v>1.1084989999999999</v>
      </c>
      <c r="L4691">
        <v>142.55850000000001</v>
      </c>
      <c r="M4691">
        <v>-0.99506570000000005</v>
      </c>
      <c r="N4691">
        <v>-6.2444800000000002E-3</v>
      </c>
      <c r="O4691">
        <v>-9.9021810000000002E-2</v>
      </c>
      <c r="P4691">
        <v>-0.91951890000000003</v>
      </c>
      <c r="Q4691">
        <v>0.36535630000000002</v>
      </c>
      <c r="R4691">
        <v>-0.144914299999999</v>
      </c>
      <c r="S4691">
        <v>-3.3537140000000001</v>
      </c>
      <c r="T4691">
        <v>-0.3256619</v>
      </c>
      <c r="U4691">
        <v>-0.2449799</v>
      </c>
      <c r="V4691">
        <v>-5.1999770000000001E-2</v>
      </c>
      <c r="W4691">
        <v>0.37131540000000002</v>
      </c>
      <c r="X4691">
        <v>0.92704960000000003</v>
      </c>
      <c r="Y4691">
        <v>2.5733829999999999E-2</v>
      </c>
      <c r="Z4691">
        <v>1.026785E-2</v>
      </c>
      <c r="AA4691">
        <v>0.99961610000000001</v>
      </c>
      <c r="AB4691">
        <v>31</v>
      </c>
      <c r="AC4691">
        <v>-0.69509999999999605</v>
      </c>
      <c r="AD4691">
        <v>-8.6445999999999801E-2</v>
      </c>
      <c r="AE4691">
        <v>-4.6199999999998902E-2</v>
      </c>
      <c r="AF4691">
        <v>2.2511819543640999E-2</v>
      </c>
      <c r="AG4691">
        <v>-8.6445999999999801E-2</v>
      </c>
      <c r="AH4691">
        <v>0.68569972227503195</v>
      </c>
      <c r="AI4691">
        <v>97.181529409239602</v>
      </c>
      <c r="AJ4691">
        <v>88.119630070176001</v>
      </c>
      <c r="AK4691">
        <v>0.69149389155886298</v>
      </c>
      <c r="AL4691">
        <v>68.203236424469296</v>
      </c>
      <c r="AM4691">
        <v>93.210452390093707</v>
      </c>
      <c r="AN4691">
        <v>1.0000000316086799</v>
      </c>
    </row>
    <row r="4692" spans="1:40" x14ac:dyDescent="0.25">
      <c r="A4692" t="str">
        <f>"20190304164220220"</f>
        <v>20190304164220220</v>
      </c>
      <c r="B4692" t="str">
        <f>"1551688940215355"</f>
        <v>1551688940215355</v>
      </c>
      <c r="C4692" t="s">
        <v>40</v>
      </c>
      <c r="D4692">
        <v>4.1834089999999904</v>
      </c>
      <c r="E4692">
        <v>0.53641850000000002</v>
      </c>
      <c r="F4692" t="s">
        <v>41</v>
      </c>
      <c r="G4692">
        <v>-216.3956</v>
      </c>
      <c r="H4692">
        <v>1.0144040000000001</v>
      </c>
      <c r="I4692">
        <v>142.48840000000001</v>
      </c>
      <c r="J4692">
        <v>-215.65950000000001</v>
      </c>
      <c r="K4692">
        <v>1.108525</v>
      </c>
      <c r="L4692">
        <v>142.53649999999999</v>
      </c>
      <c r="M4692">
        <v>-0.99516139999999997</v>
      </c>
      <c r="N4692">
        <v>-6.219624E-3</v>
      </c>
      <c r="O4692">
        <v>-9.8057759999999994E-2</v>
      </c>
      <c r="P4692">
        <v>-0.9194483</v>
      </c>
      <c r="Q4692">
        <v>0.36448900000000001</v>
      </c>
      <c r="R4692">
        <v>-0.1475236</v>
      </c>
      <c r="S4692">
        <v>-3.3537599999999999</v>
      </c>
      <c r="T4692">
        <v>-0.32631589999999999</v>
      </c>
      <c r="U4692">
        <v>-0.24406430000000001</v>
      </c>
      <c r="V4692">
        <v>-5.5544969999999999E-2</v>
      </c>
      <c r="W4692">
        <v>0.37043110000000001</v>
      </c>
      <c r="X4692">
        <v>0.92719770000000001</v>
      </c>
      <c r="Y4692">
        <v>2.5042720000000001E-2</v>
      </c>
      <c r="Z4692">
        <v>1.0168979999999999E-2</v>
      </c>
      <c r="AA4692">
        <v>0.99963469999999999</v>
      </c>
      <c r="AB4692">
        <v>31</v>
      </c>
      <c r="AC4692">
        <v>-0.73609999999999298</v>
      </c>
      <c r="AD4692">
        <v>-9.4120999999999899E-2</v>
      </c>
      <c r="AE4692">
        <v>-4.8099999999976703E-2</v>
      </c>
      <c r="AF4692">
        <v>2.3924042829955201E-2</v>
      </c>
      <c r="AG4692">
        <v>-9.4120999999999899E-2</v>
      </c>
      <c r="AH4692">
        <v>0.72545874279842804</v>
      </c>
      <c r="AI4692">
        <v>97.388288957423597</v>
      </c>
      <c r="AJ4692">
        <v>88.111195008055006</v>
      </c>
      <c r="AK4692">
        <v>0.73192998980025803</v>
      </c>
      <c r="AL4692">
        <v>68.257793422478201</v>
      </c>
      <c r="AM4692">
        <v>93.428280139750996</v>
      </c>
      <c r="AN4692">
        <v>1.0000000092124</v>
      </c>
    </row>
    <row r="4693" spans="1:40" x14ac:dyDescent="0.25">
      <c r="A4693" t="str">
        <f>"20190304164220244"</f>
        <v>20190304164220244</v>
      </c>
      <c r="B4693" t="str">
        <f>"1551688940235851"</f>
        <v>1551688940235851</v>
      </c>
      <c r="C4693" t="s">
        <v>40</v>
      </c>
      <c r="D4693">
        <v>4.1857839999999999</v>
      </c>
      <c r="E4693">
        <v>0.53698310000000005</v>
      </c>
      <c r="F4693" t="s">
        <v>41</v>
      </c>
      <c r="G4693">
        <v>-216.40520000000001</v>
      </c>
      <c r="H4693">
        <v>1.035417</v>
      </c>
      <c r="I4693">
        <v>142.48169999999999</v>
      </c>
      <c r="J4693">
        <v>-215.98949999999999</v>
      </c>
      <c r="K4693">
        <v>1.108552</v>
      </c>
      <c r="L4693">
        <v>142.50540000000001</v>
      </c>
      <c r="M4693">
        <v>-0.99529500000000004</v>
      </c>
      <c r="N4693">
        <v>-6.1829469999999899E-3</v>
      </c>
      <c r="O4693">
        <v>-9.6694589999999997E-2</v>
      </c>
      <c r="P4693">
        <v>-0.91918449999999996</v>
      </c>
      <c r="Q4693">
        <v>0.36385810000000002</v>
      </c>
      <c r="R4693">
        <v>-0.15068960000000001</v>
      </c>
      <c r="S4693">
        <v>-3.3534999999999999</v>
      </c>
      <c r="T4693">
        <v>-0.32883190000000001</v>
      </c>
      <c r="U4693">
        <v>-0.24739069999999999</v>
      </c>
      <c r="V4693">
        <v>-6.0032429999999998E-2</v>
      </c>
      <c r="W4693">
        <v>0.36977320000000002</v>
      </c>
      <c r="X4693">
        <v>0.92718060000000002</v>
      </c>
      <c r="Y4693">
        <v>2.2690229999999999E-2</v>
      </c>
      <c r="Z4693">
        <v>1.0008370000000001E-2</v>
      </c>
      <c r="AA4693">
        <v>0.99969240000000004</v>
      </c>
      <c r="AB4693">
        <v>31</v>
      </c>
      <c r="AC4693">
        <v>-0.415700000000015</v>
      </c>
      <c r="AD4693">
        <v>-7.3134999999999895E-2</v>
      </c>
      <c r="AE4693">
        <v>-2.3700000000019299E-2</v>
      </c>
      <c r="AF4693">
        <v>1.61107198411925E-2</v>
      </c>
      <c r="AG4693">
        <v>-7.3134999999999895E-2</v>
      </c>
      <c r="AH4693">
        <v>0.40359214002558602</v>
      </c>
      <c r="AI4693">
        <v>100.263121259557</v>
      </c>
      <c r="AJ4693">
        <v>87.714062466105702</v>
      </c>
      <c r="AK4693">
        <v>0.41048130165603602</v>
      </c>
      <c r="AL4693">
        <v>68.298369115715801</v>
      </c>
      <c r="AM4693">
        <v>93.704575365225693</v>
      </c>
      <c r="AN4693">
        <v>0.99999998855315197</v>
      </c>
    </row>
    <row r="4694" spans="1:40" x14ac:dyDescent="0.25">
      <c r="A4694" t="str">
        <f>"20190304164220266"</f>
        <v>20190304164220266</v>
      </c>
      <c r="B4694" t="str">
        <f>"1551688940255370"</f>
        <v>1551688940255370</v>
      </c>
      <c r="C4694" t="s">
        <v>40</v>
      </c>
      <c r="D4694">
        <v>4.206645</v>
      </c>
      <c r="E4694">
        <v>0.53753890000000004</v>
      </c>
      <c r="F4694" t="s">
        <v>41</v>
      </c>
      <c r="G4694">
        <v>-216.94909999999999</v>
      </c>
      <c r="H4694">
        <v>1.0139899999999999</v>
      </c>
      <c r="I4694">
        <v>142.43270000000001</v>
      </c>
      <c r="J4694">
        <v>-216.2911</v>
      </c>
      <c r="K4694">
        <v>1.108562</v>
      </c>
      <c r="L4694">
        <v>142.47739999999999</v>
      </c>
      <c r="M4694">
        <v>-0.9954153</v>
      </c>
      <c r="N4694">
        <v>-6.1504749999999999E-3</v>
      </c>
      <c r="O4694">
        <v>-9.5449489999999998E-2</v>
      </c>
      <c r="P4694">
        <v>-0.91921450000000005</v>
      </c>
      <c r="Q4694">
        <v>0.36393389999999998</v>
      </c>
      <c r="R4694">
        <v>-0.15032200000000001</v>
      </c>
      <c r="S4694">
        <v>-3.3528289999999998</v>
      </c>
      <c r="T4694">
        <v>-0.33044089999999998</v>
      </c>
      <c r="U4694">
        <v>-0.25471500000000002</v>
      </c>
      <c r="V4694">
        <v>-6.0844740000000001E-2</v>
      </c>
      <c r="W4694">
        <v>0.36981799999999998</v>
      </c>
      <c r="X4694">
        <v>0.92710979999999998</v>
      </c>
      <c r="Y4694">
        <v>1.9270220000000001E-2</v>
      </c>
      <c r="Z4694">
        <v>9.7711229999999996E-3</v>
      </c>
      <c r="AA4694">
        <v>0.99976659999999995</v>
      </c>
      <c r="AB4694">
        <v>31</v>
      </c>
      <c r="AC4694">
        <v>-0.65799999999998704</v>
      </c>
      <c r="AD4694">
        <v>-9.45720000000001E-2</v>
      </c>
      <c r="AE4694">
        <v>-4.4699999999977501E-2</v>
      </c>
      <c r="AF4694">
        <v>1.7942113505389701E-2</v>
      </c>
      <c r="AG4694">
        <v>-9.45720000000001E-2</v>
      </c>
      <c r="AH4694">
        <v>0.64597942623416105</v>
      </c>
      <c r="AI4694">
        <v>98.325821186491694</v>
      </c>
      <c r="AJ4694">
        <v>88.409015664248102</v>
      </c>
      <c r="AK4694">
        <v>0.65311193660723699</v>
      </c>
      <c r="AL4694">
        <v>68.295606878600495</v>
      </c>
      <c r="AM4694">
        <v>93.754846141524496</v>
      </c>
      <c r="AN4694">
        <v>1.00000000838285</v>
      </c>
    </row>
    <row r="4695" spans="1:40" x14ac:dyDescent="0.25">
      <c r="A4695" t="str">
        <f>"20190304164220287"</f>
        <v>20190304164220287</v>
      </c>
      <c r="B4695" t="str">
        <f>"1551688940276068"</f>
        <v>1551688940276068</v>
      </c>
      <c r="C4695" t="s">
        <v>40</v>
      </c>
      <c r="D4695">
        <v>4.157578</v>
      </c>
      <c r="E4695">
        <v>0.53803679999999998</v>
      </c>
      <c r="F4695" t="s">
        <v>41</v>
      </c>
      <c r="G4695">
        <v>-217.22880000000001</v>
      </c>
      <c r="H4695">
        <v>1.016373</v>
      </c>
      <c r="I4695">
        <v>142.4075</v>
      </c>
      <c r="J4695">
        <v>-216.5864</v>
      </c>
      <c r="K4695">
        <v>1.108562</v>
      </c>
      <c r="L4695">
        <v>142.4504</v>
      </c>
      <c r="M4695">
        <v>-0.99553230000000004</v>
      </c>
      <c r="N4695">
        <v>-6.1206339999999998E-3</v>
      </c>
      <c r="O4695">
        <v>-9.4223799999999996E-2</v>
      </c>
      <c r="P4695">
        <v>-0.91939439999999995</v>
      </c>
      <c r="Q4695">
        <v>0.36383769999999999</v>
      </c>
      <c r="R4695">
        <v>-0.149453</v>
      </c>
      <c r="S4695">
        <v>-3.3532099999999998</v>
      </c>
      <c r="T4695">
        <v>-0.3296692</v>
      </c>
      <c r="U4695">
        <v>-0.25045780000000001</v>
      </c>
      <c r="V4695">
        <v>-6.111946E-2</v>
      </c>
      <c r="W4695">
        <v>0.36969259999999998</v>
      </c>
      <c r="X4695">
        <v>0.92714169999999996</v>
      </c>
      <c r="Y4695">
        <v>1.9317029999999999E-2</v>
      </c>
      <c r="Z4695">
        <v>9.6397059999999996E-3</v>
      </c>
      <c r="AA4695">
        <v>0.99976690000000001</v>
      </c>
      <c r="AB4695">
        <v>31</v>
      </c>
      <c r="AC4695">
        <v>-0.64240000000000896</v>
      </c>
      <c r="AD4695">
        <v>-9.2188999999999993E-2</v>
      </c>
      <c r="AE4695">
        <v>-4.2900000000002998E-2</v>
      </c>
      <c r="AF4695">
        <v>1.7463317839484599E-2</v>
      </c>
      <c r="AG4695">
        <v>-9.2188999999999993E-2</v>
      </c>
      <c r="AH4695">
        <v>0.63065394322135504</v>
      </c>
      <c r="AI4695">
        <v>98.313451378257597</v>
      </c>
      <c r="AJ4695">
        <v>88.413838847127394</v>
      </c>
      <c r="AK4695">
        <v>0.63759562050849095</v>
      </c>
      <c r="AL4695">
        <v>68.3033389193358</v>
      </c>
      <c r="AM4695">
        <v>93.771621415698206</v>
      </c>
      <c r="AN4695">
        <v>0.99999996938216995</v>
      </c>
    </row>
    <row r="4696" spans="1:40" x14ac:dyDescent="0.25">
      <c r="A4696" t="str">
        <f>"20190304164220310"</f>
        <v>20190304164220310</v>
      </c>
      <c r="B4696" t="str">
        <f>"1551688940305349"</f>
        <v>1551688940305349</v>
      </c>
      <c r="C4696" t="s">
        <v>40</v>
      </c>
      <c r="D4696">
        <v>4.2108480000000004</v>
      </c>
      <c r="E4696">
        <v>0.53870680000000004</v>
      </c>
      <c r="F4696" t="s">
        <v>41</v>
      </c>
      <c r="G4696">
        <v>-217.50899999999999</v>
      </c>
      <c r="H4696">
        <v>1.017863</v>
      </c>
      <c r="I4696">
        <v>142.38310000000001</v>
      </c>
      <c r="J4696">
        <v>-216.89949999999999</v>
      </c>
      <c r="K4696">
        <v>1.108554</v>
      </c>
      <c r="L4696">
        <v>142.4221</v>
      </c>
      <c r="M4696">
        <v>-0.99565539999999997</v>
      </c>
      <c r="N4696">
        <v>-6.0871049999999998E-3</v>
      </c>
      <c r="O4696">
        <v>-9.2915940000000002E-2</v>
      </c>
      <c r="P4696">
        <v>-0.9204175</v>
      </c>
      <c r="Q4696">
        <v>0.36199540000000002</v>
      </c>
      <c r="R4696">
        <v>-0.14761779999999999</v>
      </c>
      <c r="S4696">
        <v>-3.3536679999999999</v>
      </c>
      <c r="T4696">
        <v>-0.32971240000000002</v>
      </c>
      <c r="U4696">
        <v>-0.2449799</v>
      </c>
      <c r="V4696">
        <v>-6.0431159999999998E-2</v>
      </c>
      <c r="W4696">
        <v>0.3678208</v>
      </c>
      <c r="X4696">
        <v>0.92793099999999995</v>
      </c>
      <c r="Y4696">
        <v>1.9641410000000002E-2</v>
      </c>
      <c r="Z4696">
        <v>9.5406280000000006E-3</v>
      </c>
      <c r="AA4696">
        <v>0.99976160000000003</v>
      </c>
      <c r="AB4696">
        <v>31</v>
      </c>
      <c r="AC4696">
        <v>-0.60950000000002502</v>
      </c>
      <c r="AD4696">
        <v>-9.0690999999999994E-2</v>
      </c>
      <c r="AE4696">
        <v>-3.8999999999987198E-2</v>
      </c>
      <c r="AF4696">
        <v>1.7417969417596001E-2</v>
      </c>
      <c r="AG4696">
        <v>-9.0690999999999994E-2</v>
      </c>
      <c r="AH4696">
        <v>0.59731621013876801</v>
      </c>
      <c r="AI4696">
        <v>98.629713999541195</v>
      </c>
      <c r="AJ4696">
        <v>88.329706454273094</v>
      </c>
      <c r="AK4696">
        <v>0.60441285396173705</v>
      </c>
      <c r="AL4696">
        <v>68.418717071637701</v>
      </c>
      <c r="AM4696">
        <v>93.726104458979506</v>
      </c>
      <c r="AN4696">
        <v>1.0000000033862899</v>
      </c>
    </row>
    <row r="4697" spans="1:40" x14ac:dyDescent="0.25">
      <c r="A4697" t="str">
        <f>"20190304164220333"</f>
        <v>20190304164220333</v>
      </c>
      <c r="B4697" t="str">
        <f>"1551688940325845"</f>
        <v>1551688940325845</v>
      </c>
      <c r="C4697" t="s">
        <v>40</v>
      </c>
      <c r="D4697">
        <v>4.1961180000000002</v>
      </c>
      <c r="E4697">
        <v>0.53912550000000004</v>
      </c>
      <c r="F4697" t="s">
        <v>41</v>
      </c>
      <c r="G4697">
        <v>-217.79079999999999</v>
      </c>
      <c r="H4697">
        <v>1.020292</v>
      </c>
      <c r="I4697">
        <v>142.36019999999999</v>
      </c>
      <c r="J4697">
        <v>-217.23140000000001</v>
      </c>
      <c r="K4697">
        <v>1.10854599999999</v>
      </c>
      <c r="L4697">
        <v>142.39250000000001</v>
      </c>
      <c r="M4697">
        <v>-0.99578460000000002</v>
      </c>
      <c r="N4697">
        <v>-6.0482189999999996E-3</v>
      </c>
      <c r="O4697">
        <v>-9.1522950000000006E-2</v>
      </c>
      <c r="P4697">
        <v>-0.92151989999999995</v>
      </c>
      <c r="Q4697">
        <v>0.3606663</v>
      </c>
      <c r="R4697">
        <v>-0.1439474</v>
      </c>
      <c r="S4697">
        <v>-3.3525700000000001</v>
      </c>
      <c r="T4697">
        <v>-0.33200449999999998</v>
      </c>
      <c r="U4697">
        <v>-0.2332458</v>
      </c>
      <c r="V4697">
        <v>-5.7984109999999998E-2</v>
      </c>
      <c r="W4697">
        <v>0.366452</v>
      </c>
      <c r="X4697">
        <v>0.92862840000000002</v>
      </c>
      <c r="Y4697">
        <v>2.1687709999999999E-2</v>
      </c>
      <c r="Z4697">
        <v>9.5970420000000001E-3</v>
      </c>
      <c r="AA4697">
        <v>0.99971869999999996</v>
      </c>
      <c r="AB4697">
        <v>31</v>
      </c>
      <c r="AC4697">
        <v>-0.55939999999998202</v>
      </c>
      <c r="AD4697">
        <v>-8.8253999999999805E-2</v>
      </c>
      <c r="AE4697">
        <v>-3.2300000000020597E-2</v>
      </c>
      <c r="AF4697">
        <v>1.85736820961553E-2</v>
      </c>
      <c r="AG4697">
        <v>-8.8253999999999805E-2</v>
      </c>
      <c r="AH4697">
        <v>0.54645236687771304</v>
      </c>
      <c r="AI4697">
        <v>99.169049289758505</v>
      </c>
      <c r="AJ4697">
        <v>88.053290415259397</v>
      </c>
      <c r="AK4697">
        <v>0.55384468892358596</v>
      </c>
      <c r="AL4697">
        <v>68.503030602312407</v>
      </c>
      <c r="AM4697">
        <v>93.572943960931497</v>
      </c>
      <c r="AN4697">
        <v>0.99999996530152502</v>
      </c>
    </row>
    <row r="4698" spans="1:40" x14ac:dyDescent="0.25">
      <c r="A4698" t="str">
        <f>"20190304164220355"</f>
        <v>20190304164220355</v>
      </c>
      <c r="B4698" t="str">
        <f>"1551688940345364"</f>
        <v>1551688940345364</v>
      </c>
      <c r="C4698" t="s">
        <v>40</v>
      </c>
      <c r="D4698">
        <v>4.1973459999999996</v>
      </c>
      <c r="E4698">
        <v>0.53951859999999996</v>
      </c>
      <c r="F4698" t="s">
        <v>41</v>
      </c>
      <c r="G4698">
        <v>-218.0744</v>
      </c>
      <c r="H4698">
        <v>1.024497</v>
      </c>
      <c r="I4698">
        <v>142.33760000000001</v>
      </c>
      <c r="J4698">
        <v>-217.53659999999999</v>
      </c>
      <c r="K4698">
        <v>1.108544</v>
      </c>
      <c r="L4698">
        <v>142.36580000000001</v>
      </c>
      <c r="M4698">
        <v>-0.99590219999999896</v>
      </c>
      <c r="N4698">
        <v>-6.01097E-3</v>
      </c>
      <c r="O4698">
        <v>-9.0238200000000005E-2</v>
      </c>
      <c r="P4698">
        <v>-0.92248050000000004</v>
      </c>
      <c r="Q4698">
        <v>0.35968539999999999</v>
      </c>
      <c r="R4698">
        <v>-0.1402012</v>
      </c>
      <c r="S4698">
        <v>-3.352112</v>
      </c>
      <c r="T4698">
        <v>-0.33426050000000002</v>
      </c>
      <c r="U4698">
        <v>-0.21894839999999999</v>
      </c>
      <c r="V4698">
        <v>-5.5371259999999999E-2</v>
      </c>
      <c r="W4698">
        <v>0.3654327</v>
      </c>
      <c r="X4698">
        <v>0.92918940000000005</v>
      </c>
      <c r="Y4698">
        <v>2.461549E-2</v>
      </c>
      <c r="Z4698">
        <v>9.706391E-3</v>
      </c>
      <c r="AA4698">
        <v>0.99964989999999998</v>
      </c>
      <c r="AB4698">
        <v>31</v>
      </c>
      <c r="AC4698">
        <v>-0.53780000000000405</v>
      </c>
      <c r="AD4698">
        <v>-8.40469999999999E-2</v>
      </c>
      <c r="AE4698">
        <v>-2.8199999999998199E-2</v>
      </c>
      <c r="AF4698">
        <v>1.9959880882545199E-2</v>
      </c>
      <c r="AG4698">
        <v>-8.40469999999999E-2</v>
      </c>
      <c r="AH4698">
        <v>0.52535489979412597</v>
      </c>
      <c r="AI4698">
        <v>99.082792809238001</v>
      </c>
      <c r="AJ4698">
        <v>87.824200081624696</v>
      </c>
      <c r="AK4698">
        <v>0.53240967852917698</v>
      </c>
      <c r="AL4698">
        <v>68.565785504952302</v>
      </c>
      <c r="AM4698">
        <v>93.410275851896102</v>
      </c>
      <c r="AN4698">
        <v>0.99999998786781796</v>
      </c>
    </row>
    <row r="4699" spans="1:40" x14ac:dyDescent="0.25">
      <c r="A4699" t="str">
        <f>"20190304164220377"</f>
        <v>20190304164220377</v>
      </c>
      <c r="B4699" t="str">
        <f>"1551688940366162"</f>
        <v>1551688940366162</v>
      </c>
      <c r="C4699" t="s">
        <v>40</v>
      </c>
      <c r="D4699">
        <v>4.2054660000000004</v>
      </c>
      <c r="E4699">
        <v>0.53987189999999996</v>
      </c>
      <c r="F4699" t="s">
        <v>41</v>
      </c>
      <c r="G4699">
        <v>-218.3579</v>
      </c>
      <c r="H4699">
        <v>1.0264719999999901</v>
      </c>
      <c r="I4699">
        <v>142.31559999999999</v>
      </c>
      <c r="J4699">
        <v>-217.85830000000001</v>
      </c>
      <c r="K4699">
        <v>1.1085309999999999</v>
      </c>
      <c r="L4699">
        <v>142.33799999999999</v>
      </c>
      <c r="M4699">
        <v>-0.99602420000000003</v>
      </c>
      <c r="N4699">
        <v>-5.9712019999999897E-3</v>
      </c>
      <c r="O4699">
        <v>-8.8883089999999998E-2</v>
      </c>
      <c r="P4699">
        <v>-0.92345520000000003</v>
      </c>
      <c r="Q4699">
        <v>0.35897400000000002</v>
      </c>
      <c r="R4699">
        <v>-0.13553009999999999</v>
      </c>
      <c r="S4699">
        <v>-3.3515320000000002</v>
      </c>
      <c r="T4699">
        <v>-0.33491120000000002</v>
      </c>
      <c r="U4699">
        <v>-0.2049561</v>
      </c>
      <c r="V4699">
        <v>-5.1899979999999998E-2</v>
      </c>
      <c r="W4699">
        <v>0.36467719999999998</v>
      </c>
      <c r="X4699">
        <v>0.92968649999999997</v>
      </c>
      <c r="Y4699">
        <v>2.7389320000000002E-2</v>
      </c>
      <c r="Z4699">
        <v>9.7528200000000006E-3</v>
      </c>
      <c r="AA4699">
        <v>0.9995773</v>
      </c>
      <c r="AB4699">
        <v>32</v>
      </c>
      <c r="AC4699">
        <v>-0.499599999999986</v>
      </c>
      <c r="AD4699">
        <v>-8.2059000000000104E-2</v>
      </c>
      <c r="AE4699">
        <v>-2.24000000000046E-2</v>
      </c>
      <c r="AF4699">
        <v>2.1516147667294601E-2</v>
      </c>
      <c r="AG4699">
        <v>-8.2059000000000104E-2</v>
      </c>
      <c r="AH4699">
        <v>0.48651476424719597</v>
      </c>
      <c r="AI4699">
        <v>99.564624631383197</v>
      </c>
      <c r="AJ4699">
        <v>87.467740408676804</v>
      </c>
      <c r="AK4699">
        <v>0.493855484855585</v>
      </c>
      <c r="AL4699">
        <v>68.612282238124607</v>
      </c>
      <c r="AM4699">
        <v>93.195234618224305</v>
      </c>
      <c r="AN4699">
        <v>1.0000000282030399</v>
      </c>
    </row>
    <row r="4700" spans="1:40" x14ac:dyDescent="0.25">
      <c r="A4700" t="str">
        <f>"20190304164220403"</f>
        <v>20190304164220403</v>
      </c>
      <c r="B4700" t="str">
        <f>"1551688940395443"</f>
        <v>1551688940395443</v>
      </c>
      <c r="C4700" t="s">
        <v>40</v>
      </c>
      <c r="D4700">
        <v>4.2011190000000003</v>
      </c>
      <c r="E4700">
        <v>0.54033219999999904</v>
      </c>
      <c r="F4700" t="s">
        <v>41</v>
      </c>
      <c r="G4700">
        <v>-218.6431</v>
      </c>
      <c r="H4700">
        <v>1.029728</v>
      </c>
      <c r="I4700">
        <v>142.29419999999999</v>
      </c>
      <c r="J4700">
        <v>-218.2148</v>
      </c>
      <c r="K4700">
        <v>1.108514</v>
      </c>
      <c r="L4700">
        <v>142.30760000000001</v>
      </c>
      <c r="M4700">
        <v>-0.99615730000000002</v>
      </c>
      <c r="N4700">
        <v>-5.9299009999999996E-3</v>
      </c>
      <c r="O4700">
        <v>-8.7383139999999998E-2</v>
      </c>
      <c r="P4700">
        <v>-0.92454340000000002</v>
      </c>
      <c r="Q4700">
        <v>0.35811110000000002</v>
      </c>
      <c r="R4700">
        <v>-0.1302924</v>
      </c>
      <c r="S4700">
        <v>-3.3518219999999999</v>
      </c>
      <c r="T4700">
        <v>-0.33662999999999998</v>
      </c>
      <c r="U4700">
        <v>-0.18864439999999999</v>
      </c>
      <c r="V4700">
        <v>-4.7988330000000003E-2</v>
      </c>
      <c r="W4700">
        <v>0.36376900000000001</v>
      </c>
      <c r="X4700">
        <v>0.93025230000000003</v>
      </c>
      <c r="Y4700">
        <v>3.0719710000000001E-2</v>
      </c>
      <c r="Z4700">
        <v>9.8449939999999993E-3</v>
      </c>
      <c r="AA4700">
        <v>0.99947949999999997</v>
      </c>
      <c r="AB4700">
        <v>32</v>
      </c>
      <c r="AC4700">
        <v>-0.42830000000000701</v>
      </c>
      <c r="AD4700">
        <v>-7.8785999999999995E-2</v>
      </c>
      <c r="AE4700">
        <v>-1.34000000000185E-2</v>
      </c>
      <c r="AF4700">
        <v>2.3290772721494199E-2</v>
      </c>
      <c r="AG4700">
        <v>-7.8785999999999995E-2</v>
      </c>
      <c r="AH4700">
        <v>0.413842726166818</v>
      </c>
      <c r="AI4700">
        <v>100.76216362525</v>
      </c>
      <c r="AJ4700">
        <v>86.778832492576797</v>
      </c>
      <c r="AK4700">
        <v>0.42191882618715598</v>
      </c>
      <c r="AL4700">
        <v>68.6681567129624</v>
      </c>
      <c r="AM4700">
        <v>92.953063045323901</v>
      </c>
      <c r="AN4700">
        <v>1.0000000534162301</v>
      </c>
    </row>
    <row r="4701" spans="1:40" x14ac:dyDescent="0.25">
      <c r="A4701" t="str">
        <f>"20190304164220420"</f>
        <v>20190304164220420</v>
      </c>
      <c r="B4701" t="str">
        <f>"1551688940415939"</f>
        <v>1551688940415939</v>
      </c>
      <c r="C4701" t="s">
        <v>40</v>
      </c>
      <c r="D4701">
        <v>4.1798489999999999</v>
      </c>
      <c r="E4701">
        <v>0.54058899999999999</v>
      </c>
      <c r="F4701" t="s">
        <v>41</v>
      </c>
      <c r="G4701">
        <v>-219.20330000000001</v>
      </c>
      <c r="H4701">
        <v>1.008276</v>
      </c>
      <c r="I4701">
        <v>142.25790000000001</v>
      </c>
      <c r="J4701">
        <v>-218.4845</v>
      </c>
      <c r="K4701">
        <v>1.108492</v>
      </c>
      <c r="L4701">
        <v>142.2851</v>
      </c>
      <c r="M4701">
        <v>-0.99625629999999998</v>
      </c>
      <c r="N4701">
        <v>-5.9022399999999996E-3</v>
      </c>
      <c r="O4701">
        <v>-8.6248939999999996E-2</v>
      </c>
      <c r="P4701">
        <v>-0.92568510000000004</v>
      </c>
      <c r="Q4701">
        <v>0.35695690000000002</v>
      </c>
      <c r="R4701">
        <v>-0.1252569</v>
      </c>
      <c r="S4701">
        <v>-3.352646</v>
      </c>
      <c r="T4701">
        <v>-0.3400048</v>
      </c>
      <c r="U4701">
        <v>-0.1694031</v>
      </c>
      <c r="V4701">
        <v>-4.3934099999999997E-2</v>
      </c>
      <c r="W4701">
        <v>0.36258190000000001</v>
      </c>
      <c r="X4701">
        <v>0.93091579999999996</v>
      </c>
      <c r="Y4701">
        <v>3.528382E-2</v>
      </c>
      <c r="Z4701">
        <v>1.008569E-2</v>
      </c>
      <c r="AA4701">
        <v>0.99932650000000001</v>
      </c>
      <c r="AB4701">
        <v>32</v>
      </c>
      <c r="AC4701">
        <v>-0.71880000000001498</v>
      </c>
      <c r="AD4701">
        <v>-0.100216</v>
      </c>
      <c r="AE4701">
        <v>-2.71999999999934E-2</v>
      </c>
      <c r="AF4701">
        <v>3.4233676277940099E-2</v>
      </c>
      <c r="AG4701">
        <v>-0.100216</v>
      </c>
      <c r="AH4701">
        <v>0.70478712971083401</v>
      </c>
      <c r="AI4701">
        <v>98.083419603354798</v>
      </c>
      <c r="AJ4701">
        <v>87.219153569761204</v>
      </c>
      <c r="AK4701">
        <v>0.71269915774717896</v>
      </c>
      <c r="AL4701">
        <v>68.741156479605706</v>
      </c>
      <c r="AM4701">
        <v>92.702040401026593</v>
      </c>
      <c r="AN4701">
        <v>1.0000000330200201</v>
      </c>
    </row>
    <row r="4702" spans="1:40" x14ac:dyDescent="0.25">
      <c r="A4702" t="str">
        <f>"20190304164220446"</f>
        <v>20190304164220446</v>
      </c>
      <c r="B4702" t="str">
        <f>"1551688940435458"</f>
        <v>1551688940435458</v>
      </c>
      <c r="C4702" t="s">
        <v>40</v>
      </c>
      <c r="D4702">
        <v>4.176234</v>
      </c>
      <c r="E4702">
        <v>0.5407904</v>
      </c>
      <c r="F4702" t="s">
        <v>41</v>
      </c>
      <c r="G4702">
        <v>-219.21510000000001</v>
      </c>
      <c r="H4702">
        <v>1.0334970000000001</v>
      </c>
      <c r="I4702">
        <v>142.2518</v>
      </c>
      <c r="J4702">
        <v>-218.82759999999999</v>
      </c>
      <c r="K4702">
        <v>1.108473</v>
      </c>
      <c r="L4702">
        <v>142.2569</v>
      </c>
      <c r="M4702">
        <v>-0.99638009999999999</v>
      </c>
      <c r="N4702">
        <v>-5.8720140000000001E-3</v>
      </c>
      <c r="O4702">
        <v>-8.4808239999999993E-2</v>
      </c>
      <c r="P4702">
        <v>-0.92678859999999996</v>
      </c>
      <c r="Q4702">
        <v>0.35610320000000001</v>
      </c>
      <c r="R4702">
        <v>-0.1193897</v>
      </c>
      <c r="S4702">
        <v>-3.3527680000000002</v>
      </c>
      <c r="T4702">
        <v>-0.34421810000000003</v>
      </c>
      <c r="U4702">
        <v>-0.15390009999999901</v>
      </c>
      <c r="V4702">
        <v>-3.9339659999999999E-2</v>
      </c>
      <c r="W4702">
        <v>0.36169119999999999</v>
      </c>
      <c r="X4702">
        <v>0.93146759999999995</v>
      </c>
      <c r="Y4702">
        <v>3.8424420000000001E-2</v>
      </c>
      <c r="Z4702">
        <v>1.024982E-2</v>
      </c>
      <c r="AA4702">
        <v>0.99920889999999996</v>
      </c>
      <c r="AB4702">
        <v>32</v>
      </c>
      <c r="AC4702">
        <v>-0.387500000000017</v>
      </c>
      <c r="AD4702">
        <v>-7.4976000000000098E-2</v>
      </c>
      <c r="AE4702">
        <v>-5.0999999999987696E-3</v>
      </c>
      <c r="AF4702">
        <v>2.6779750317511002E-2</v>
      </c>
      <c r="AG4702">
        <v>-7.4976000000000098E-2</v>
      </c>
      <c r="AH4702">
        <v>0.372590186323419</v>
      </c>
      <c r="AI4702">
        <v>101.349117857097</v>
      </c>
      <c r="AJ4702">
        <v>85.888961300400695</v>
      </c>
      <c r="AK4702">
        <v>0.38100131567697798</v>
      </c>
      <c r="AL4702">
        <v>68.795905468504799</v>
      </c>
      <c r="AM4702">
        <v>92.418396254221904</v>
      </c>
      <c r="AN4702">
        <v>1.0000000114280501</v>
      </c>
    </row>
    <row r="4703" spans="1:40" x14ac:dyDescent="0.25">
      <c r="A4703" t="str">
        <f>"20190304164220467"</f>
        <v>20190304164220467</v>
      </c>
      <c r="B4703" t="str">
        <f>"1551688940455954"</f>
        <v>1551688940455954</v>
      </c>
      <c r="C4703" t="s">
        <v>40</v>
      </c>
      <c r="D4703">
        <v>4.169613</v>
      </c>
      <c r="E4703">
        <v>0.5409659</v>
      </c>
      <c r="F4703" t="s">
        <v>41</v>
      </c>
      <c r="G4703">
        <v>-219.7784</v>
      </c>
      <c r="H4703">
        <v>1.01007</v>
      </c>
      <c r="I4703">
        <v>142.21850000000001</v>
      </c>
      <c r="J4703">
        <v>-219.137</v>
      </c>
      <c r="K4703">
        <v>1.1084560000000001</v>
      </c>
      <c r="L4703">
        <v>142.23179999999999</v>
      </c>
      <c r="M4703">
        <v>-0.99648990000000004</v>
      </c>
      <c r="N4703">
        <v>-5.8491769999999997E-3</v>
      </c>
      <c r="O4703">
        <v>-8.3510239999999999E-2</v>
      </c>
      <c r="P4703">
        <v>-0.92763890000000004</v>
      </c>
      <c r="Q4703">
        <v>0.355603</v>
      </c>
      <c r="R4703">
        <v>-0.1141635</v>
      </c>
      <c r="S4703">
        <v>-3.3528289999999998</v>
      </c>
      <c r="T4703">
        <v>-0.3470203</v>
      </c>
      <c r="U4703">
        <v>-0.13572690000000001</v>
      </c>
      <c r="V4703">
        <v>-3.5271909999999997E-2</v>
      </c>
      <c r="W4703">
        <v>0.3611608</v>
      </c>
      <c r="X4703">
        <v>0.9318362</v>
      </c>
      <c r="Y4703">
        <v>4.2501770000000001E-2</v>
      </c>
      <c r="Z4703">
        <v>1.0435420000000001E-2</v>
      </c>
      <c r="AA4703">
        <v>0.99904190000000004</v>
      </c>
      <c r="AB4703">
        <v>32</v>
      </c>
      <c r="AC4703">
        <v>-0.64140000000000397</v>
      </c>
      <c r="AD4703">
        <v>-9.8385999999999793E-2</v>
      </c>
      <c r="AE4703">
        <v>-1.3299999999986699E-2</v>
      </c>
      <c r="AF4703">
        <v>3.93845441153894E-2</v>
      </c>
      <c r="AG4703">
        <v>-9.8385999999999793E-2</v>
      </c>
      <c r="AH4703">
        <v>0.62555757162255399</v>
      </c>
      <c r="AI4703">
        <v>98.920728964202198</v>
      </c>
      <c r="AJ4703">
        <v>86.397464015788103</v>
      </c>
      <c r="AK4703">
        <v>0.63447082101975705</v>
      </c>
      <c r="AL4703">
        <v>68.828497428919505</v>
      </c>
      <c r="AM4703">
        <v>92.167727788835705</v>
      </c>
      <c r="AN4703">
        <v>0.999999967361063</v>
      </c>
    </row>
    <row r="4704" spans="1:40" x14ac:dyDescent="0.25">
      <c r="A4704" t="str">
        <f>"20190304164220488"</f>
        <v>20190304164220488</v>
      </c>
      <c r="B4704" t="str">
        <f>"1551688940475475"</f>
        <v>1551688940475475</v>
      </c>
      <c r="C4704" t="s">
        <v>40</v>
      </c>
      <c r="D4704">
        <v>4.1473899999999997</v>
      </c>
      <c r="E4704">
        <v>0.54107850000000002</v>
      </c>
      <c r="F4704" t="s">
        <v>41</v>
      </c>
      <c r="G4704">
        <v>-220.0677</v>
      </c>
      <c r="H4704">
        <v>1.0116419999999999</v>
      </c>
      <c r="I4704">
        <v>142.1985</v>
      </c>
      <c r="J4704">
        <v>-219.4383</v>
      </c>
      <c r="K4704">
        <v>1.108444</v>
      </c>
      <c r="L4704">
        <v>142.20779999999999</v>
      </c>
      <c r="M4704">
        <v>-0.99659509999999996</v>
      </c>
      <c r="N4704">
        <v>-5.8308819999999999E-3</v>
      </c>
      <c r="O4704">
        <v>-8.2247059999999997E-2</v>
      </c>
      <c r="P4704">
        <v>-0.92863329999999999</v>
      </c>
      <c r="Q4704">
        <v>0.3546955</v>
      </c>
      <c r="R4704">
        <v>-0.10877390000000001</v>
      </c>
      <c r="S4704">
        <v>-3.352951</v>
      </c>
      <c r="T4704">
        <v>-0.34879829999999901</v>
      </c>
      <c r="U4704">
        <v>-0.1200562</v>
      </c>
      <c r="V4704">
        <v>-3.0999280000000001E-2</v>
      </c>
      <c r="W4704">
        <v>0.3602282</v>
      </c>
      <c r="X4704">
        <v>0.93234899999999998</v>
      </c>
      <c r="Y4704">
        <v>4.5878950000000002E-2</v>
      </c>
      <c r="Z4704">
        <v>1.055436E-2</v>
      </c>
      <c r="AA4704">
        <v>0.99889119999999998</v>
      </c>
      <c r="AB4704">
        <v>32</v>
      </c>
      <c r="AC4704">
        <v>-0.62940000000000396</v>
      </c>
      <c r="AD4704">
        <v>-9.6801999999999999E-2</v>
      </c>
      <c r="AE4704">
        <v>-9.2999999999960892E-3</v>
      </c>
      <c r="AF4704">
        <v>4.1516831005379298E-2</v>
      </c>
      <c r="AG4704">
        <v>-9.6801999999999999E-2</v>
      </c>
      <c r="AH4704">
        <v>0.61352295530618295</v>
      </c>
      <c r="AI4704">
        <v>98.946116715893695</v>
      </c>
      <c r="AJ4704">
        <v>86.128721452855601</v>
      </c>
      <c r="AK4704">
        <v>0.622498747909072</v>
      </c>
      <c r="AL4704">
        <v>68.885788434532898</v>
      </c>
      <c r="AM4704">
        <v>91.904301781295501</v>
      </c>
      <c r="AN4704">
        <v>0.99999998461837902</v>
      </c>
    </row>
    <row r="4705" spans="1:40" x14ac:dyDescent="0.25">
      <c r="A4705" t="str">
        <f>"20190304164220511"</f>
        <v>20190304164220511</v>
      </c>
      <c r="B4705" t="str">
        <f>"1551688940505731"</f>
        <v>1551688940505731</v>
      </c>
      <c r="C4705" t="s">
        <v>40</v>
      </c>
      <c r="D4705">
        <v>4.1522199999999998</v>
      </c>
      <c r="E4705">
        <v>0.54119869999999903</v>
      </c>
      <c r="F4705" t="s">
        <v>41</v>
      </c>
      <c r="G4705">
        <v>-220.35740000000001</v>
      </c>
      <c r="H4705">
        <v>1.0120579999999999</v>
      </c>
      <c r="I4705">
        <v>142.17959999999999</v>
      </c>
      <c r="J4705">
        <v>-219.77600000000001</v>
      </c>
      <c r="K4705">
        <v>1.108425</v>
      </c>
      <c r="L4705">
        <v>142.18129999999999</v>
      </c>
      <c r="M4705">
        <v>-0.99671080000000001</v>
      </c>
      <c r="N4705">
        <v>-5.8148719999999996E-3</v>
      </c>
      <c r="O4705">
        <v>-8.0832490000000007E-2</v>
      </c>
      <c r="P4705">
        <v>-0.92961780000000005</v>
      </c>
      <c r="Q4705">
        <v>0.35361599999999999</v>
      </c>
      <c r="R4705">
        <v>-0.1037618</v>
      </c>
      <c r="S4705">
        <v>-3.3527529999999999</v>
      </c>
      <c r="T4705">
        <v>-0.35165229999999997</v>
      </c>
      <c r="U4705">
        <v>-0.103607199999999</v>
      </c>
      <c r="V4705">
        <v>-2.7246289999999999E-2</v>
      </c>
      <c r="W4705">
        <v>0.35912660000000002</v>
      </c>
      <c r="X4705">
        <v>0.93289109999999997</v>
      </c>
      <c r="Y4705">
        <v>4.9329560000000001E-2</v>
      </c>
      <c r="Z4705">
        <v>1.069722E-2</v>
      </c>
      <c r="AA4705">
        <v>0.99872530000000004</v>
      </c>
      <c r="AB4705">
        <v>32</v>
      </c>
      <c r="AC4705">
        <v>-0.58140000000003</v>
      </c>
      <c r="AD4705">
        <v>-9.6366999999999994E-2</v>
      </c>
      <c r="AE4705">
        <v>-1.6999999999995901E-3</v>
      </c>
      <c r="AF4705">
        <v>4.40910596210429E-2</v>
      </c>
      <c r="AG4705">
        <v>-9.6366999999999994E-2</v>
      </c>
      <c r="AH4705">
        <v>0.56413643145284897</v>
      </c>
      <c r="AI4705">
        <v>99.664906330845497</v>
      </c>
      <c r="AJ4705">
        <v>85.531033889525105</v>
      </c>
      <c r="AK4705">
        <v>0.57400394904552798</v>
      </c>
      <c r="AL4705">
        <v>68.953433646252407</v>
      </c>
      <c r="AM4705">
        <v>91.672921711324605</v>
      </c>
      <c r="AN4705">
        <v>1.00000003980276</v>
      </c>
    </row>
    <row r="4706" spans="1:40" x14ac:dyDescent="0.25">
      <c r="A4706" t="str">
        <f>"20190304164220534"</f>
        <v>20190304164220534</v>
      </c>
      <c r="B4706" t="str">
        <f>"1551688940526227"</f>
        <v>1551688940526227</v>
      </c>
      <c r="C4706" t="s">
        <v>40</v>
      </c>
      <c r="D4706">
        <v>4.1326169999999998</v>
      </c>
      <c r="E4706">
        <v>0.54121919999999901</v>
      </c>
      <c r="F4706" t="s">
        <v>41</v>
      </c>
      <c r="G4706">
        <v>-220.6497</v>
      </c>
      <c r="H4706">
        <v>1.016</v>
      </c>
      <c r="I4706">
        <v>142.1585</v>
      </c>
      <c r="J4706">
        <v>-220.1061</v>
      </c>
      <c r="K4706">
        <v>1.108401</v>
      </c>
      <c r="L4706">
        <v>142.1559</v>
      </c>
      <c r="M4706">
        <v>-0.99682199999999999</v>
      </c>
      <c r="N4706">
        <v>-5.8031790000000003E-3</v>
      </c>
      <c r="O4706">
        <v>-7.9450580000000007E-2</v>
      </c>
      <c r="P4706">
        <v>-0.93055650000000001</v>
      </c>
      <c r="Q4706">
        <v>0.3522921</v>
      </c>
      <c r="R4706">
        <v>-9.9776329999999996E-2</v>
      </c>
      <c r="S4706">
        <v>-3.3522340000000002</v>
      </c>
      <c r="T4706">
        <v>-0.35458060000000002</v>
      </c>
      <c r="U4706">
        <v>-8.7738040000000003E-2</v>
      </c>
      <c r="V4706">
        <v>-2.449233E-2</v>
      </c>
      <c r="W4706">
        <v>0.35778749999999998</v>
      </c>
      <c r="X4706">
        <v>0.93348180000000003</v>
      </c>
      <c r="Y4706">
        <v>5.2639199999999997E-2</v>
      </c>
      <c r="Z4706">
        <v>1.08389E-2</v>
      </c>
      <c r="AA4706">
        <v>0.99855479999999996</v>
      </c>
      <c r="AB4706">
        <v>32</v>
      </c>
      <c r="AC4706">
        <v>-0.54359999999999697</v>
      </c>
      <c r="AD4706">
        <v>-9.24009999999999E-2</v>
      </c>
      <c r="AE4706">
        <v>2.6000000000010398E-3</v>
      </c>
      <c r="AF4706">
        <v>4.4496233840197102E-2</v>
      </c>
      <c r="AG4706">
        <v>-9.24009999999999E-2</v>
      </c>
      <c r="AH4706">
        <v>0.52646409973015695</v>
      </c>
      <c r="AI4706">
        <v>99.920068846701895</v>
      </c>
      <c r="AJ4706">
        <v>85.168898194958402</v>
      </c>
      <c r="AK4706">
        <v>0.53636024081921496</v>
      </c>
      <c r="AL4706">
        <v>69.035619595010402</v>
      </c>
      <c r="AM4706">
        <v>91.502959409078599</v>
      </c>
      <c r="AN4706">
        <v>1.00000002015815</v>
      </c>
    </row>
    <row r="4707" spans="1:40" x14ac:dyDescent="0.25">
      <c r="A4707" t="str">
        <f>"20190304164220555"</f>
        <v>20190304164220555</v>
      </c>
      <c r="B4707" t="str">
        <f>"1551688940545746"</f>
        <v>1551688940545746</v>
      </c>
      <c r="C4707" t="s">
        <v>40</v>
      </c>
      <c r="D4707">
        <v>4.1669609999999997</v>
      </c>
      <c r="E4707">
        <v>0.54125080000000003</v>
      </c>
      <c r="F4707" t="s">
        <v>41</v>
      </c>
      <c r="G4707">
        <v>-220.94239999999999</v>
      </c>
      <c r="H4707">
        <v>1.018948</v>
      </c>
      <c r="I4707">
        <v>142.13720000000001</v>
      </c>
      <c r="J4707">
        <v>-220.41470000000001</v>
      </c>
      <c r="K4707">
        <v>1.108384</v>
      </c>
      <c r="L4707">
        <v>142.13249999999999</v>
      </c>
      <c r="M4707">
        <v>-0.99692400000000003</v>
      </c>
      <c r="N4707">
        <v>-5.7955899999999998E-3</v>
      </c>
      <c r="O4707">
        <v>-7.8159880000000001E-2</v>
      </c>
      <c r="P4707">
        <v>-0.9315833</v>
      </c>
      <c r="Q4707">
        <v>0.350664799999999</v>
      </c>
      <c r="R4707">
        <v>-9.5847290000000002E-2</v>
      </c>
      <c r="S4707">
        <v>-3.351486</v>
      </c>
      <c r="T4707">
        <v>-0.35852050000000002</v>
      </c>
      <c r="U4707">
        <v>-7.5698849999999998E-2</v>
      </c>
      <c r="V4707">
        <v>-2.170474E-2</v>
      </c>
      <c r="W4707">
        <v>0.35614970000000001</v>
      </c>
      <c r="X4707">
        <v>0.93417680000000003</v>
      </c>
      <c r="Y4707">
        <v>5.4901619999999998E-2</v>
      </c>
      <c r="Z4707">
        <v>1.0963189999999999E-2</v>
      </c>
      <c r="AA4707">
        <v>0.99843159999999997</v>
      </c>
      <c r="AB4707">
        <v>33</v>
      </c>
      <c r="AC4707">
        <v>-0.52769999999998096</v>
      </c>
      <c r="AD4707">
        <v>-8.9436000000000002E-2</v>
      </c>
      <c r="AE4707">
        <v>4.7000000000139101E-3</v>
      </c>
      <c r="AF4707">
        <v>4.46488733423882E-2</v>
      </c>
      <c r="AG4707">
        <v>-8.9436000000000002E-2</v>
      </c>
      <c r="AH4707">
        <v>0.51104012555824396</v>
      </c>
      <c r="AI4707">
        <v>99.889752408238706</v>
      </c>
      <c r="AJ4707">
        <v>85.006825500054902</v>
      </c>
      <c r="AK4707">
        <v>0.520724812081517</v>
      </c>
      <c r="AL4707">
        <v>69.136076684648799</v>
      </c>
      <c r="AM4707">
        <v>91.330975354171798</v>
      </c>
      <c r="AN4707">
        <v>0.99999999910339799</v>
      </c>
    </row>
    <row r="4708" spans="1:40" x14ac:dyDescent="0.25">
      <c r="A4708" t="str">
        <f>"20190304164220577"</f>
        <v>20190304164220577</v>
      </c>
      <c r="B4708" t="str">
        <f>"1551688940565266"</f>
        <v>1551688940565266</v>
      </c>
      <c r="C4708" t="s">
        <v>40</v>
      </c>
      <c r="D4708">
        <v>4.1430490000000004</v>
      </c>
      <c r="E4708">
        <v>0.54122289999999995</v>
      </c>
      <c r="F4708" t="s">
        <v>41</v>
      </c>
      <c r="G4708">
        <v>-221.23490000000001</v>
      </c>
      <c r="H4708">
        <v>1.0194289999999999</v>
      </c>
      <c r="I4708">
        <v>142.11680000000001</v>
      </c>
      <c r="J4708">
        <v>-220.74029999999999</v>
      </c>
      <c r="K4708">
        <v>1.108371</v>
      </c>
      <c r="L4708">
        <v>142.10830000000001</v>
      </c>
      <c r="M4708">
        <v>-0.99702979999999997</v>
      </c>
      <c r="N4708">
        <v>-5.7906329999999999E-3</v>
      </c>
      <c r="O4708">
        <v>-7.6799320000000004E-2</v>
      </c>
      <c r="P4708">
        <v>-0.93259159999999997</v>
      </c>
      <c r="Q4708">
        <v>0.3487712</v>
      </c>
      <c r="R4708">
        <v>-9.2908080000000004E-2</v>
      </c>
      <c r="S4708">
        <v>-3.3504939999999999</v>
      </c>
      <c r="T4708">
        <v>-0.36338700000000002</v>
      </c>
      <c r="U4708">
        <v>-6.4407350000000002E-2</v>
      </c>
      <c r="V4708">
        <v>-1.9973049999999999E-2</v>
      </c>
      <c r="W4708">
        <v>0.35425129999999999</v>
      </c>
      <c r="X4708">
        <v>0.93493689999999996</v>
      </c>
      <c r="Y4708">
        <v>5.6869780000000002E-2</v>
      </c>
      <c r="Z4708">
        <v>1.1092690000000001E-2</v>
      </c>
      <c r="AA4708">
        <v>0.99831999999999999</v>
      </c>
      <c r="AB4708">
        <v>33</v>
      </c>
      <c r="AC4708">
        <v>-0.49460000000001902</v>
      </c>
      <c r="AD4708">
        <v>-8.8941999999999799E-2</v>
      </c>
      <c r="AE4708">
        <v>8.4999999999979502E-3</v>
      </c>
      <c r="AF4708">
        <v>4.5005539875708697E-2</v>
      </c>
      <c r="AG4708">
        <v>-8.8941999999999799E-2</v>
      </c>
      <c r="AH4708">
        <v>0.47706391197021097</v>
      </c>
      <c r="AI4708">
        <v>100.515125306052</v>
      </c>
      <c r="AJ4708">
        <v>84.610746517388705</v>
      </c>
      <c r="AK4708">
        <v>0.487366550029673</v>
      </c>
      <c r="AL4708">
        <v>69.252433788108306</v>
      </c>
      <c r="AM4708">
        <v>91.223823156636797</v>
      </c>
      <c r="AN4708">
        <v>0.99999995662980001</v>
      </c>
    </row>
    <row r="4709" spans="1:40" x14ac:dyDescent="0.25">
      <c r="A4709" t="str">
        <f>"20190304164220600"</f>
        <v>20190304164220600</v>
      </c>
      <c r="B4709" t="str">
        <f>"1551688940595523"</f>
        <v>1551688940595523</v>
      </c>
      <c r="C4709" t="s">
        <v>40</v>
      </c>
      <c r="D4709">
        <v>4.228224</v>
      </c>
      <c r="E4709">
        <v>0.54120029999999997</v>
      </c>
      <c r="F4709" t="s">
        <v>41</v>
      </c>
      <c r="G4709">
        <v>-221.529</v>
      </c>
      <c r="H4709">
        <v>1.021377</v>
      </c>
      <c r="I4709">
        <v>142.09479999999999</v>
      </c>
      <c r="J4709">
        <v>-221.08160000000001</v>
      </c>
      <c r="K4709">
        <v>1.1083540000000001</v>
      </c>
      <c r="L4709">
        <v>142.08330000000001</v>
      </c>
      <c r="M4709">
        <v>-0.99713870000000004</v>
      </c>
      <c r="N4709">
        <v>-5.7849819999999897E-3</v>
      </c>
      <c r="O4709">
        <v>-7.5373430000000005E-2</v>
      </c>
      <c r="P4709">
        <v>-0.93343920000000002</v>
      </c>
      <c r="Q4709">
        <v>0.34715279999999998</v>
      </c>
      <c r="R4709">
        <v>-9.0423429999999999E-2</v>
      </c>
      <c r="S4709">
        <v>-3.3492280000000001</v>
      </c>
      <c r="T4709">
        <v>-0.36936340000000001</v>
      </c>
      <c r="U4709">
        <v>-5.7678220000000002E-2</v>
      </c>
      <c r="V4709">
        <v>-1.8769609999999999E-2</v>
      </c>
      <c r="W4709">
        <v>0.3526281</v>
      </c>
      <c r="X4709">
        <v>0.9355753</v>
      </c>
      <c r="Y4709">
        <v>5.7418089999999998E-2</v>
      </c>
      <c r="Z4709">
        <v>1.116724E-2</v>
      </c>
      <c r="AA4709">
        <v>0.9982877</v>
      </c>
      <c r="AB4709">
        <v>33</v>
      </c>
      <c r="AC4709">
        <v>-0.44740000000001601</v>
      </c>
      <c r="AD4709">
        <v>-8.6976999999999999E-2</v>
      </c>
      <c r="AE4709">
        <v>1.1499999999983799E-2</v>
      </c>
      <c r="AF4709">
        <v>4.3545278120185403E-2</v>
      </c>
      <c r="AG4709">
        <v>-8.6976999999999999E-2</v>
      </c>
      <c r="AH4709">
        <v>0.42905566410589302</v>
      </c>
      <c r="AI4709">
        <v>101.402525877804</v>
      </c>
      <c r="AJ4709">
        <v>84.204838582539097</v>
      </c>
      <c r="AK4709">
        <v>0.43994312436599498</v>
      </c>
      <c r="AL4709">
        <v>69.351854230557905</v>
      </c>
      <c r="AM4709">
        <v>91.149319771244606</v>
      </c>
      <c r="AN4709">
        <v>1.0000000085696199</v>
      </c>
    </row>
    <row r="4710" spans="1:40" x14ac:dyDescent="0.25">
      <c r="A4710" t="str">
        <f>"20190304164220623"</f>
        <v>20190304164220623</v>
      </c>
      <c r="B4710" t="str">
        <f>"1551688940616019"</f>
        <v>1551688940616019</v>
      </c>
      <c r="C4710" t="s">
        <v>40</v>
      </c>
      <c r="D4710">
        <v>4.1619609999999998</v>
      </c>
      <c r="E4710">
        <v>0.52023079999999999</v>
      </c>
      <c r="F4710" t="s">
        <v>41</v>
      </c>
      <c r="G4710">
        <v>-221.82499999999999</v>
      </c>
      <c r="H4710">
        <v>1.0253369999999999</v>
      </c>
      <c r="I4710">
        <v>142.07230000000001</v>
      </c>
      <c r="J4710">
        <v>-221.4145</v>
      </c>
      <c r="K4710">
        <v>1.1083289999999999</v>
      </c>
      <c r="L4710">
        <v>142.05950000000001</v>
      </c>
      <c r="M4710">
        <v>-0.99724360000000001</v>
      </c>
      <c r="N4710">
        <v>-5.7740869999999998E-3</v>
      </c>
      <c r="O4710">
        <v>-7.3972919999999998E-2</v>
      </c>
      <c r="P4710">
        <v>-0.93402490000000005</v>
      </c>
      <c r="Q4710">
        <v>0.34559770000000001</v>
      </c>
      <c r="R4710">
        <v>-9.0331869999999995E-2</v>
      </c>
      <c r="S4710">
        <v>-3.3481749999999999</v>
      </c>
      <c r="T4710">
        <v>-0.37397999999999998</v>
      </c>
      <c r="U4710">
        <v>-5.0079350000000002E-2</v>
      </c>
      <c r="V4710">
        <v>-1.9945540000000001E-2</v>
      </c>
      <c r="W4710">
        <v>0.35106989999999999</v>
      </c>
      <c r="X4710">
        <v>0.93613679999999999</v>
      </c>
      <c r="Y4710">
        <v>5.8257570000000002E-2</v>
      </c>
      <c r="Z4710">
        <v>1.121553E-2</v>
      </c>
      <c r="AA4710">
        <v>0.99823859999999998</v>
      </c>
      <c r="AB4710">
        <v>33</v>
      </c>
      <c r="AC4710">
        <v>-0.41049999999998399</v>
      </c>
      <c r="AD4710">
        <v>-8.2991999999999899E-2</v>
      </c>
      <c r="AE4710">
        <v>1.27999999999985E-2</v>
      </c>
      <c r="AF4710">
        <v>4.1439181951933503E-2</v>
      </c>
      <c r="AG4710">
        <v>-8.2991999999999899E-2</v>
      </c>
      <c r="AH4710">
        <v>0.392404885478288</v>
      </c>
      <c r="AI4710">
        <v>101.87768433343599</v>
      </c>
      <c r="AJ4710">
        <v>83.971729541507301</v>
      </c>
      <c r="AK4710">
        <v>0.40322012848080202</v>
      </c>
      <c r="AL4710">
        <v>69.447231139118401</v>
      </c>
      <c r="AM4710">
        <v>91.2205720181678</v>
      </c>
      <c r="AN4710">
        <v>1.0000000037830701</v>
      </c>
    </row>
    <row r="4711" spans="1:40" x14ac:dyDescent="0.25">
      <c r="A4711" t="str">
        <f>"20190304164220646"</f>
        <v>20190304164220646</v>
      </c>
      <c r="B4711" t="str">
        <f>"1551688940635538"</f>
        <v>1551688940635538</v>
      </c>
      <c r="C4711" t="s">
        <v>40</v>
      </c>
      <c r="D4711">
        <v>4.6671959999999997</v>
      </c>
      <c r="E4711">
        <v>0.43472709999999998</v>
      </c>
      <c r="F4711" t="s">
        <v>41</v>
      </c>
      <c r="G4711">
        <v>-222.4188</v>
      </c>
      <c r="H4711">
        <v>1.0346010000000001</v>
      </c>
      <c r="I4711">
        <v>141.9965</v>
      </c>
      <c r="J4711">
        <v>-221.75239999999999</v>
      </c>
      <c r="K4711">
        <v>1.1082989999999999</v>
      </c>
      <c r="L4711">
        <v>142.03579999999999</v>
      </c>
      <c r="M4711">
        <v>-0.99735010000000002</v>
      </c>
      <c r="N4711">
        <v>-5.7603709999999898E-3</v>
      </c>
      <c r="O4711">
        <v>-7.2523489999999996E-2</v>
      </c>
      <c r="P4711">
        <v>-0.93412660000000003</v>
      </c>
      <c r="Q4711">
        <v>0.34527839999999999</v>
      </c>
      <c r="R4711">
        <v>-9.0500910000000004E-2</v>
      </c>
      <c r="S4711">
        <v>-3.2811279999999998</v>
      </c>
      <c r="T4711">
        <v>-0.24090139999999999</v>
      </c>
      <c r="U4711">
        <v>-0.2059174</v>
      </c>
      <c r="V4711">
        <v>-2.1451729999999999E-2</v>
      </c>
      <c r="W4711">
        <v>0.35074440000000001</v>
      </c>
      <c r="X4711">
        <v>0.93622550000000004</v>
      </c>
      <c r="Y4711">
        <v>9.7196230000000002E-3</v>
      </c>
      <c r="Z4711">
        <v>5.2725059999999997E-3</v>
      </c>
      <c r="AA4711">
        <v>0.99993880000000002</v>
      </c>
      <c r="AB4711">
        <v>33</v>
      </c>
      <c r="AC4711">
        <v>-0.66640000000000998</v>
      </c>
      <c r="AD4711">
        <v>-7.3697999999999805E-2</v>
      </c>
      <c r="AE4711">
        <v>-3.9299999999997198E-2</v>
      </c>
      <c r="AF4711">
        <v>9.0239617283968693E-3</v>
      </c>
      <c r="AG4711">
        <v>-7.3697999999999805E-2</v>
      </c>
      <c r="AH4711">
        <v>0.65945784015595599</v>
      </c>
      <c r="AI4711">
        <v>96.376064171139703</v>
      </c>
      <c r="AJ4711">
        <v>89.2160186411068</v>
      </c>
      <c r="AK4711">
        <v>0.66362449475018104</v>
      </c>
      <c r="AL4711">
        <v>69.467147278442397</v>
      </c>
      <c r="AM4711">
        <v>91.312588224120702</v>
      </c>
      <c r="AN4711">
        <v>0.99999999885080104</v>
      </c>
    </row>
    <row r="4712" spans="1:40" x14ac:dyDescent="0.25">
      <c r="A4712" t="str">
        <f>"20190304164220667"</f>
        <v>20190304164220667</v>
      </c>
      <c r="B4712" t="str">
        <f>"1551688940656034"</f>
        <v>1551688940656034</v>
      </c>
      <c r="C4712" t="s">
        <v>40</v>
      </c>
      <c r="D4712">
        <v>4.0427</v>
      </c>
      <c r="E4712">
        <v>0.31331799999999999</v>
      </c>
      <c r="F4712" t="s">
        <v>42</v>
      </c>
      <c r="G4712">
        <v>-242.30350000000001</v>
      </c>
      <c r="H4712" s="1">
        <v>-3.859305E-6</v>
      </c>
      <c r="I4712">
        <v>136.37350000000001</v>
      </c>
      <c r="J4712">
        <v>-222.07169999999999</v>
      </c>
      <c r="K4712">
        <v>1.108266</v>
      </c>
      <c r="L4712">
        <v>142.0138</v>
      </c>
      <c r="M4712">
        <v>-0.99745079999999997</v>
      </c>
      <c r="N4712">
        <v>-5.7475690000000001E-3</v>
      </c>
      <c r="O4712">
        <v>-7.112686E-2</v>
      </c>
      <c r="P4712">
        <v>-0.93408829999999998</v>
      </c>
      <c r="Q4712">
        <v>0.34514470000000003</v>
      </c>
      <c r="R4712">
        <v>-9.1401469999999999E-2</v>
      </c>
      <c r="S4712">
        <v>-3.1899869999999999</v>
      </c>
      <c r="T4712">
        <v>-0.172033399999999</v>
      </c>
      <c r="U4712">
        <v>-0.87890630000000003</v>
      </c>
      <c r="V4712">
        <v>-2.3642699999999999E-2</v>
      </c>
      <c r="W4712">
        <v>0.35060639999999998</v>
      </c>
      <c r="X4712">
        <v>0.93622450000000002</v>
      </c>
      <c r="Y4712">
        <v>-0.19615969999999999</v>
      </c>
      <c r="Z4712">
        <v>-2.4141810000000001E-3</v>
      </c>
      <c r="AA4712">
        <v>0.98056900000000002</v>
      </c>
      <c r="AB4712">
        <v>33</v>
      </c>
      <c r="AC4712">
        <v>-20.2318</v>
      </c>
      <c r="AD4712">
        <v>-1.108269859305</v>
      </c>
      <c r="AE4712">
        <v>-5.6402999999999901</v>
      </c>
      <c r="AF4712">
        <v>-4.1753407602299797</v>
      </c>
      <c r="AG4712">
        <v>-1.108269859305</v>
      </c>
      <c r="AH4712">
        <v>20.524593596344101</v>
      </c>
      <c r="AI4712">
        <v>93.028888370347005</v>
      </c>
      <c r="AJ4712">
        <v>101.49883392572301</v>
      </c>
      <c r="AK4712">
        <v>20.974286038866101</v>
      </c>
      <c r="AL4712">
        <v>69.475591768960797</v>
      </c>
      <c r="AM4712">
        <v>91.446596490635301</v>
      </c>
      <c r="AN4712">
        <v>1.00000006969224</v>
      </c>
    </row>
    <row r="4713" spans="1:40" x14ac:dyDescent="0.25">
      <c r="A4713" t="str">
        <f>"20190304164220689"</f>
        <v>20190304164220689</v>
      </c>
      <c r="B4713" t="str">
        <f>"1551688940686291"</f>
        <v>1551688940686291</v>
      </c>
      <c r="C4713" t="s">
        <v>40</v>
      </c>
      <c r="D4713">
        <v>4.1573510000000002</v>
      </c>
      <c r="E4713">
        <v>0.23323269999999999</v>
      </c>
      <c r="F4713" t="s">
        <v>41</v>
      </c>
      <c r="G4713">
        <v>-222.976</v>
      </c>
      <c r="H4713">
        <v>1.050303</v>
      </c>
      <c r="I4713">
        <v>141.47559999999999</v>
      </c>
      <c r="J4713">
        <v>-222.39750000000001</v>
      </c>
      <c r="K4713">
        <v>1.108217</v>
      </c>
      <c r="L4713">
        <v>141.99189999999999</v>
      </c>
      <c r="M4713">
        <v>-0.99755450000000001</v>
      </c>
      <c r="N4713">
        <v>-5.7328229999999997E-3</v>
      </c>
      <c r="O4713">
        <v>-6.9659040000000005E-2</v>
      </c>
      <c r="P4713">
        <v>-0.93380359999999996</v>
      </c>
      <c r="Q4713">
        <v>0.34568710000000002</v>
      </c>
      <c r="R4713">
        <v>-9.2259519999999998E-2</v>
      </c>
      <c r="S4713">
        <v>-3.1044160000000001</v>
      </c>
      <c r="T4713">
        <v>-0.1989892</v>
      </c>
      <c r="U4713">
        <v>-1.8477330000000001</v>
      </c>
      <c r="V4713">
        <v>-2.586341E-2</v>
      </c>
      <c r="W4713">
        <v>0.35114309999999999</v>
      </c>
      <c r="X4713">
        <v>0.93596449999999998</v>
      </c>
      <c r="Y4713">
        <v>-0.44968930000000001</v>
      </c>
      <c r="Z4713">
        <v>-1.0967869999999999E-2</v>
      </c>
      <c r="AA4713">
        <v>0.89311770000000001</v>
      </c>
      <c r="AB4713">
        <v>33</v>
      </c>
      <c r="AC4713">
        <v>-0.57849999999999102</v>
      </c>
      <c r="AD4713">
        <v>-5.7914E-2</v>
      </c>
      <c r="AE4713">
        <v>-0.51630000000000098</v>
      </c>
      <c r="AF4713">
        <v>-0.47211363133996698</v>
      </c>
      <c r="AG4713">
        <v>-5.7914E-2</v>
      </c>
      <c r="AH4713">
        <v>0.60965917891162902</v>
      </c>
      <c r="AI4713">
        <v>94.295245762290804</v>
      </c>
      <c r="AJ4713">
        <v>127.753822381942</v>
      </c>
      <c r="AK4713">
        <v>0.77325909417491601</v>
      </c>
      <c r="AL4713">
        <v>69.442751172720804</v>
      </c>
      <c r="AM4713">
        <v>91.582845542816401</v>
      </c>
      <c r="AN4713">
        <v>0.999999968957343</v>
      </c>
    </row>
    <row r="4714" spans="1:40" x14ac:dyDescent="0.25">
      <c r="A4714" t="str">
        <f>"20190304164220712"</f>
        <v>20190304164220712</v>
      </c>
      <c r="B4714" t="str">
        <f>"1551688940705811"</f>
        <v>1551688940705811</v>
      </c>
      <c r="C4714" t="s">
        <v>40</v>
      </c>
      <c r="D4714">
        <v>4.0920139999999998</v>
      </c>
      <c r="E4714">
        <v>0.22718150000000001</v>
      </c>
      <c r="F4714" t="s">
        <v>42</v>
      </c>
      <c r="G4714">
        <v>-235.53299999999999</v>
      </c>
      <c r="H4714" s="1">
        <v>-3.7160270000000002E-6</v>
      </c>
      <c r="I4714">
        <v>131.3109</v>
      </c>
      <c r="J4714">
        <v>-222.74440000000001</v>
      </c>
      <c r="K4714">
        <v>1.1081540000000001</v>
      </c>
      <c r="L4714">
        <v>141.9692</v>
      </c>
      <c r="M4714">
        <v>-0.99766699999999997</v>
      </c>
      <c r="N4714">
        <v>-5.7152059999999996E-3</v>
      </c>
      <c r="O4714">
        <v>-6.802917E-2</v>
      </c>
      <c r="P4714">
        <v>-0.93360770000000004</v>
      </c>
      <c r="Q4714">
        <v>0.34619270000000002</v>
      </c>
      <c r="R4714">
        <v>-9.2344850000000006E-2</v>
      </c>
      <c r="S4714">
        <v>-3.0622859999999998</v>
      </c>
      <c r="T4714">
        <v>-0.25835940000000002</v>
      </c>
      <c r="U4714">
        <v>-2.4900509999999998</v>
      </c>
      <c r="V4714">
        <v>-2.7445399999999998E-2</v>
      </c>
      <c r="W4714">
        <v>0.35164000000000001</v>
      </c>
      <c r="X4714">
        <v>0.93573289999999998</v>
      </c>
      <c r="Y4714">
        <v>-0.57543219999999995</v>
      </c>
      <c r="Z4714">
        <v>-1.8404719999999999E-2</v>
      </c>
      <c r="AA4714">
        <v>0.81764239999999999</v>
      </c>
      <c r="AB4714">
        <v>33</v>
      </c>
      <c r="AC4714">
        <v>-12.788599999999899</v>
      </c>
      <c r="AD4714">
        <v>-1.108157716027</v>
      </c>
      <c r="AE4714">
        <v>-10.658299999999899</v>
      </c>
      <c r="AF4714">
        <v>-9.72052476412569</v>
      </c>
      <c r="AG4714">
        <v>-1.108157716027</v>
      </c>
      <c r="AH4714">
        <v>13.424576262282899</v>
      </c>
      <c r="AI4714">
        <v>93.8250999465955</v>
      </c>
      <c r="AJ4714">
        <v>125.90770683457799</v>
      </c>
      <c r="AK4714">
        <v>16.6113173178836</v>
      </c>
      <c r="AL4714">
        <v>69.412342304818395</v>
      </c>
      <c r="AM4714">
        <v>91.680025242911498</v>
      </c>
      <c r="AN4714">
        <v>0.99999999986178401</v>
      </c>
    </row>
    <row r="4715" spans="1:40" x14ac:dyDescent="0.25">
      <c r="A4715" t="str">
        <f>"20190304164220735"</f>
        <v>20190304164220735</v>
      </c>
      <c r="B4715" t="str">
        <f>"1551688940725330"</f>
        <v>1551688940725330</v>
      </c>
      <c r="C4715" t="s">
        <v>40</v>
      </c>
      <c r="D4715">
        <v>4.1326859999999996</v>
      </c>
      <c r="E4715">
        <v>0.22667480000000001</v>
      </c>
      <c r="F4715" t="s">
        <v>41</v>
      </c>
      <c r="G4715">
        <v>-223.5411</v>
      </c>
      <c r="H4715">
        <v>1.0410360000000001</v>
      </c>
      <c r="I4715">
        <v>141.30850000000001</v>
      </c>
      <c r="J4715">
        <v>-223.07810000000001</v>
      </c>
      <c r="K4715">
        <v>1.108079</v>
      </c>
      <c r="L4715">
        <v>141.94799999999901</v>
      </c>
      <c r="M4715">
        <v>-0.99777780000000005</v>
      </c>
      <c r="N4715">
        <v>-5.6962890000000002E-3</v>
      </c>
      <c r="O4715">
        <v>-6.6385810000000003E-2</v>
      </c>
      <c r="P4715">
        <v>-0.93366130000000003</v>
      </c>
      <c r="Q4715">
        <v>0.34594570000000002</v>
      </c>
      <c r="R4715">
        <v>-9.2728699999999997E-2</v>
      </c>
      <c r="S4715">
        <v>-3.058014</v>
      </c>
      <c r="T4715">
        <v>-0.25761780000000001</v>
      </c>
      <c r="U4715">
        <v>-2.5361020000000001</v>
      </c>
      <c r="V4715">
        <v>-2.9314759999999999E-2</v>
      </c>
      <c r="W4715">
        <v>0.35138639999999999</v>
      </c>
      <c r="X4715">
        <v>0.93577149999999998</v>
      </c>
      <c r="Y4715">
        <v>-0.5846403</v>
      </c>
      <c r="Z4715">
        <v>-1.8783850000000001E-2</v>
      </c>
      <c r="AA4715">
        <v>0.8110752</v>
      </c>
      <c r="AB4715">
        <v>33</v>
      </c>
      <c r="AC4715">
        <v>-0.46299999999999297</v>
      </c>
      <c r="AD4715">
        <v>-6.7042999999999894E-2</v>
      </c>
      <c r="AE4715">
        <v>-0.63949999999996898</v>
      </c>
      <c r="AF4715">
        <v>-0.60300390814451699</v>
      </c>
      <c r="AG4715">
        <v>-6.7042999999999894E-2</v>
      </c>
      <c r="AH4715">
        <v>0.50082164132157703</v>
      </c>
      <c r="AI4715">
        <v>94.888572760147795</v>
      </c>
      <c r="AJ4715">
        <v>140.28885619593501</v>
      </c>
      <c r="AK4715">
        <v>0.78672154762825697</v>
      </c>
      <c r="AL4715">
        <v>69.427863620831303</v>
      </c>
      <c r="AM4715">
        <v>91.794308661993298</v>
      </c>
      <c r="AN4715">
        <v>1.00000002873553</v>
      </c>
    </row>
    <row r="4716" spans="1:40" x14ac:dyDescent="0.25">
      <c r="A4716" t="str">
        <f>"20190304164220756"</f>
        <v>20190304164220756</v>
      </c>
      <c r="B4716" t="str">
        <f>"1551688940745827"</f>
        <v>1551688940745827</v>
      </c>
      <c r="C4716" t="s">
        <v>40</v>
      </c>
      <c r="D4716">
        <v>4.0762559999999999</v>
      </c>
      <c r="E4716">
        <v>0.22681580000000001</v>
      </c>
      <c r="F4716" t="s">
        <v>41</v>
      </c>
      <c r="G4716">
        <v>-223.8475</v>
      </c>
      <c r="H4716">
        <v>1.043004</v>
      </c>
      <c r="I4716">
        <v>141.30850000000001</v>
      </c>
      <c r="J4716">
        <v>-223.40459999999999</v>
      </c>
      <c r="K4716">
        <v>1.1080019999999999</v>
      </c>
      <c r="L4716">
        <v>141.92769999999999</v>
      </c>
      <c r="M4716">
        <v>-0.99788869999999996</v>
      </c>
      <c r="N4716">
        <v>-5.6782909999999898E-3</v>
      </c>
      <c r="O4716">
        <v>-6.4700740000000007E-2</v>
      </c>
      <c r="P4716">
        <v>-0.93386119999999995</v>
      </c>
      <c r="Q4716">
        <v>0.34573789999999999</v>
      </c>
      <c r="R4716">
        <v>-9.1482149999999998E-2</v>
      </c>
      <c r="S4716">
        <v>-3.0565950000000002</v>
      </c>
      <c r="T4716">
        <v>-0.25848900000000002</v>
      </c>
      <c r="U4716">
        <v>-2.540924</v>
      </c>
      <c r="V4716">
        <v>-2.9581940000000001E-2</v>
      </c>
      <c r="W4716">
        <v>0.35116809999999998</v>
      </c>
      <c r="X4716">
        <v>0.93584500000000004</v>
      </c>
      <c r="Y4716">
        <v>-0.58693300000000004</v>
      </c>
      <c r="Z4716">
        <v>-1.90373E-2</v>
      </c>
      <c r="AA4716">
        <v>0.80941160000000001</v>
      </c>
      <c r="AB4716">
        <v>34</v>
      </c>
      <c r="AC4716">
        <v>-0.44290000000000801</v>
      </c>
      <c r="AD4716">
        <v>-6.4998000000000097E-2</v>
      </c>
      <c r="AE4716">
        <v>-0.61919999999997799</v>
      </c>
      <c r="AF4716">
        <v>-0.58498194351294996</v>
      </c>
      <c r="AG4716">
        <v>-6.4998000000000097E-2</v>
      </c>
      <c r="AH4716">
        <v>0.47854696114770001</v>
      </c>
      <c r="AI4716">
        <v>94.915379324289503</v>
      </c>
      <c r="AJ4716">
        <v>140.71497187533799</v>
      </c>
      <c r="AK4716">
        <v>0.75857485343497</v>
      </c>
      <c r="AL4716">
        <v>69.441221910922494</v>
      </c>
      <c r="AM4716">
        <v>91.810509365974895</v>
      </c>
      <c r="AN4716">
        <v>0.99999999482838597</v>
      </c>
    </row>
    <row r="4717" spans="1:40" x14ac:dyDescent="0.25">
      <c r="A4717" t="str">
        <f>"20190304164220778"</f>
        <v>20190304164220778</v>
      </c>
      <c r="B4717" t="str">
        <f>"1551688940776083"</f>
        <v>1551688940776083</v>
      </c>
      <c r="C4717" t="s">
        <v>40</v>
      </c>
      <c r="D4717">
        <v>4.0445149999999996</v>
      </c>
      <c r="E4717">
        <v>0.2275191</v>
      </c>
      <c r="F4717" t="s">
        <v>41</v>
      </c>
      <c r="G4717">
        <v>-224.1551</v>
      </c>
      <c r="H4717">
        <v>1.044279</v>
      </c>
      <c r="I4717">
        <v>141.3058</v>
      </c>
      <c r="J4717">
        <v>-223.73419999999999</v>
      </c>
      <c r="K4717">
        <v>1.1079220000000001</v>
      </c>
      <c r="L4717">
        <v>141.90790000000001</v>
      </c>
      <c r="M4717">
        <v>-0.99800239999999996</v>
      </c>
      <c r="N4717">
        <v>-5.6596629999999997E-3</v>
      </c>
      <c r="O4717">
        <v>-6.2925439999999999E-2</v>
      </c>
      <c r="P4717">
        <v>-0.93439910000000004</v>
      </c>
      <c r="Q4717">
        <v>0.34450979999999998</v>
      </c>
      <c r="R4717">
        <v>-9.0616550000000004E-2</v>
      </c>
      <c r="S4717">
        <v>-3.0602420000000001</v>
      </c>
      <c r="T4717">
        <v>-0.25985320000000001</v>
      </c>
      <c r="U4717">
        <v>-2.5361630000000002</v>
      </c>
      <c r="V4717">
        <v>-3.0295699999999998E-2</v>
      </c>
      <c r="W4717">
        <v>0.3499333</v>
      </c>
      <c r="X4717">
        <v>0.93628460000000002</v>
      </c>
      <c r="Y4717">
        <v>-0.58713660000000001</v>
      </c>
      <c r="Z4717">
        <v>-1.9238209999999999E-2</v>
      </c>
      <c r="AA4717">
        <v>0.80925930000000001</v>
      </c>
      <c r="AB4717">
        <v>34</v>
      </c>
      <c r="AC4717">
        <v>-0.42090000000001698</v>
      </c>
      <c r="AD4717">
        <v>-6.3642999999999603E-2</v>
      </c>
      <c r="AE4717">
        <v>-0.60210000000000696</v>
      </c>
      <c r="AF4717">
        <v>-0.57014195659411404</v>
      </c>
      <c r="AG4717">
        <v>-6.3642999999999603E-2</v>
      </c>
      <c r="AH4717">
        <v>0.45454240787142203</v>
      </c>
      <c r="AI4717">
        <v>94.9883014726597</v>
      </c>
      <c r="AJ4717">
        <v>141.43659668085101</v>
      </c>
      <c r="AK4717">
        <v>0.73192969790241103</v>
      </c>
      <c r="AL4717">
        <v>69.516764457881294</v>
      </c>
      <c r="AM4717">
        <v>91.853293676534705</v>
      </c>
      <c r="AN4717">
        <v>0.99999999804226902</v>
      </c>
    </row>
    <row r="4718" spans="1:40" x14ac:dyDescent="0.25">
      <c r="A4718" t="str">
        <f>"20190304164220801"</f>
        <v>20190304164220801</v>
      </c>
      <c r="B4718" t="str">
        <f>"1551688940795603"</f>
        <v>1551688940795603</v>
      </c>
      <c r="C4718" t="s">
        <v>40</v>
      </c>
      <c r="D4718">
        <v>4.0767689999999996</v>
      </c>
      <c r="E4718">
        <v>0.22824</v>
      </c>
      <c r="F4718" t="s">
        <v>41</v>
      </c>
      <c r="G4718">
        <v>-224.4641</v>
      </c>
      <c r="H4718">
        <v>1.0468489999999999</v>
      </c>
      <c r="I4718">
        <v>141.30510000000001</v>
      </c>
      <c r="J4718">
        <v>-224.09440000000001</v>
      </c>
      <c r="K4718">
        <v>1.1078349999999999</v>
      </c>
      <c r="L4718">
        <v>141.887</v>
      </c>
      <c r="M4718">
        <v>-0.99812730000000005</v>
      </c>
      <c r="N4718">
        <v>-5.6381740000000001E-3</v>
      </c>
      <c r="O4718">
        <v>-6.0913050000000003E-2</v>
      </c>
      <c r="P4718">
        <v>-0.93515099999999995</v>
      </c>
      <c r="Q4718">
        <v>0.34268320000000002</v>
      </c>
      <c r="R4718">
        <v>-8.97839E-2</v>
      </c>
      <c r="S4718">
        <v>-3.0598909999999999</v>
      </c>
      <c r="T4718">
        <v>-0.25602340000000001</v>
      </c>
      <c r="U4718">
        <v>-2.5275569999999998</v>
      </c>
      <c r="V4718">
        <v>-3.1255110000000003E-2</v>
      </c>
      <c r="W4718">
        <v>0.34809980000000001</v>
      </c>
      <c r="X4718">
        <v>0.93693630000000006</v>
      </c>
      <c r="Y4718">
        <v>-0.58748909999999999</v>
      </c>
      <c r="Z4718">
        <v>-1.9141370000000001E-2</v>
      </c>
      <c r="AA4718">
        <v>0.80900559999999999</v>
      </c>
      <c r="AB4718">
        <v>34</v>
      </c>
      <c r="AC4718">
        <v>-0.36969999999999398</v>
      </c>
      <c r="AD4718">
        <v>-6.09860000000002E-2</v>
      </c>
      <c r="AE4718">
        <v>-0.58189999999998998</v>
      </c>
      <c r="AF4718">
        <v>-0.55396452861988299</v>
      </c>
      <c r="AG4718">
        <v>-6.09860000000002E-2</v>
      </c>
      <c r="AH4718">
        <v>0.40131886211284001</v>
      </c>
      <c r="AI4718">
        <v>95.094645904801496</v>
      </c>
      <c r="AJ4718">
        <v>144.078599351886</v>
      </c>
      <c r="AK4718">
        <v>0.68676984518293605</v>
      </c>
      <c r="AL4718">
        <v>69.628865458857305</v>
      </c>
      <c r="AM4718">
        <v>91.910612348826007</v>
      </c>
      <c r="AN4718">
        <v>0.99999999145942098</v>
      </c>
    </row>
    <row r="4719" spans="1:40" x14ac:dyDescent="0.25">
      <c r="A4719" t="str">
        <f>"20190304164220817"</f>
        <v>20190304164220817</v>
      </c>
      <c r="B4719" t="str">
        <f>"1551688940805363"</f>
        <v>1551688940805363</v>
      </c>
      <c r="C4719" t="s">
        <v>40</v>
      </c>
      <c r="D4719">
        <v>4.0729139999999999</v>
      </c>
      <c r="E4719">
        <v>0.2284448</v>
      </c>
      <c r="F4719" t="s">
        <v>41</v>
      </c>
      <c r="G4719">
        <v>-224.77940000000001</v>
      </c>
      <c r="H4719">
        <v>1.049104</v>
      </c>
      <c r="I4719">
        <v>141.32399999999899</v>
      </c>
      <c r="J4719">
        <v>-224.31649999999999</v>
      </c>
      <c r="K4719">
        <v>1.107782</v>
      </c>
      <c r="L4719">
        <v>141.87459999999999</v>
      </c>
      <c r="M4719">
        <v>-0.99820450000000005</v>
      </c>
      <c r="N4719">
        <v>-5.6256129999999998E-3</v>
      </c>
      <c r="O4719">
        <v>-5.963649E-2</v>
      </c>
      <c r="P4719">
        <v>-0.93567909999999999</v>
      </c>
      <c r="Q4719">
        <v>0.34145189999999997</v>
      </c>
      <c r="R4719">
        <v>-8.8970170000000001E-2</v>
      </c>
      <c r="S4719">
        <v>-3.062592</v>
      </c>
      <c r="T4719">
        <v>-0.26255270000000003</v>
      </c>
      <c r="U4719">
        <v>-2.517029</v>
      </c>
      <c r="V4719">
        <v>-3.1584620000000001E-2</v>
      </c>
      <c r="W4719">
        <v>0.34686359999999999</v>
      </c>
      <c r="X4719">
        <v>0.93738359999999998</v>
      </c>
      <c r="Y4719">
        <v>-0.58645449999999999</v>
      </c>
      <c r="Z4719">
        <v>-1.9617450000000002E-2</v>
      </c>
      <c r="AA4719">
        <v>0.80974449999999998</v>
      </c>
      <c r="AB4719">
        <v>34</v>
      </c>
      <c r="AC4719">
        <v>-0.46290000000001902</v>
      </c>
      <c r="AD4719">
        <v>-5.8678000000000001E-2</v>
      </c>
      <c r="AE4719">
        <v>-0.55060000000000198</v>
      </c>
      <c r="AF4719">
        <v>-0.51856322369813501</v>
      </c>
      <c r="AG4719">
        <v>-5.8678000000000001E-2</v>
      </c>
      <c r="AH4719">
        <v>0.491640992858492</v>
      </c>
      <c r="AI4719">
        <v>94.694358732460501</v>
      </c>
      <c r="AJ4719">
        <v>136.52658754016699</v>
      </c>
      <c r="AK4719">
        <v>0.716981025212723</v>
      </c>
      <c r="AL4719">
        <v>69.704401142403498</v>
      </c>
      <c r="AM4719">
        <v>91.929819385063595</v>
      </c>
      <c r="AN4719">
        <v>0.99999997938723195</v>
      </c>
    </row>
    <row r="4720" spans="1:40" x14ac:dyDescent="0.25">
      <c r="A4720" t="str">
        <f>"20190304164220834"</f>
        <v>20190304164220834</v>
      </c>
      <c r="B4720" t="str">
        <f>"1551688940825858"</f>
        <v>1551688940825858</v>
      </c>
      <c r="C4720" t="s">
        <v>40</v>
      </c>
      <c r="D4720">
        <v>4.0460209999999996</v>
      </c>
      <c r="E4720">
        <v>0.2288193</v>
      </c>
      <c r="F4720" t="s">
        <v>41</v>
      </c>
      <c r="G4720">
        <v>-225.07159999999999</v>
      </c>
      <c r="H4720">
        <v>1.0420240000000001</v>
      </c>
      <c r="I4720">
        <v>141.256</v>
      </c>
      <c r="J4720">
        <v>-224.60659999999999</v>
      </c>
      <c r="K4720">
        <v>1.107723</v>
      </c>
      <c r="L4720">
        <v>141.8587</v>
      </c>
      <c r="M4720">
        <v>-0.99830379999999996</v>
      </c>
      <c r="N4720">
        <v>-5.6105640000000002E-3</v>
      </c>
      <c r="O4720">
        <v>-5.7948180000000002E-2</v>
      </c>
      <c r="P4720">
        <v>-0.93638900000000003</v>
      </c>
      <c r="Q4720">
        <v>0.3396824</v>
      </c>
      <c r="R4720">
        <v>-8.8269130000000001E-2</v>
      </c>
      <c r="S4720">
        <v>-3.064819</v>
      </c>
      <c r="T4720">
        <v>-0.26688040000000002</v>
      </c>
      <c r="U4720">
        <v>-2.5114589999999999</v>
      </c>
      <c r="V4720">
        <v>-3.2403250000000001E-2</v>
      </c>
      <c r="W4720">
        <v>0.34509060000000003</v>
      </c>
      <c r="X4720">
        <v>0.93800989999999995</v>
      </c>
      <c r="Y4720">
        <v>-0.58661039999999998</v>
      </c>
      <c r="Z4720">
        <v>-2.0021520000000001E-2</v>
      </c>
      <c r="AA4720">
        <v>0.80962179999999995</v>
      </c>
      <c r="AB4720">
        <v>34</v>
      </c>
      <c r="AC4720">
        <v>-0.46500000000000302</v>
      </c>
      <c r="AD4720">
        <v>-6.5698999999999896E-2</v>
      </c>
      <c r="AE4720">
        <v>-0.60269999999999802</v>
      </c>
      <c r="AF4720">
        <v>-0.57049139586327902</v>
      </c>
      <c r="AG4720">
        <v>-6.5698999999999896E-2</v>
      </c>
      <c r="AH4720">
        <v>0.49545397937103303</v>
      </c>
      <c r="AI4720">
        <v>94.969322153834796</v>
      </c>
      <c r="AJ4720">
        <v>139.02670405632401</v>
      </c>
      <c r="AK4720">
        <v>0.75845331895221102</v>
      </c>
      <c r="AL4720">
        <v>69.812674263888894</v>
      </c>
      <c r="AM4720">
        <v>91.978477511647299</v>
      </c>
      <c r="AN4720">
        <v>1.0000000326584599</v>
      </c>
    </row>
    <row r="4721" spans="1:40" x14ac:dyDescent="0.25">
      <c r="A4721" t="str">
        <f>"20190304164220850"</f>
        <v>20190304164220850</v>
      </c>
      <c r="B4721" t="str">
        <f>"1551688940845379"</f>
        <v>1551688940845379</v>
      </c>
      <c r="C4721" t="s">
        <v>40</v>
      </c>
      <c r="D4721">
        <v>4.0466179999999996</v>
      </c>
      <c r="E4721">
        <v>0.22918450000000001</v>
      </c>
      <c r="F4721" t="s">
        <v>41</v>
      </c>
      <c r="G4721">
        <v>-225.37629999999999</v>
      </c>
      <c r="H4721">
        <v>1.0394490000000001</v>
      </c>
      <c r="I4721">
        <v>141.22989999999999</v>
      </c>
      <c r="J4721">
        <v>-224.8322</v>
      </c>
      <c r="K4721">
        <v>1.1076859999999999</v>
      </c>
      <c r="L4721">
        <v>141.8467</v>
      </c>
      <c r="M4721">
        <v>-0.99838020000000005</v>
      </c>
      <c r="N4721">
        <v>-5.6002939999999996E-3</v>
      </c>
      <c r="O4721">
        <v>-5.6620629999999998E-2</v>
      </c>
      <c r="P4721">
        <v>-0.93663580000000002</v>
      </c>
      <c r="Q4721">
        <v>0.33930450000000001</v>
      </c>
      <c r="R4721">
        <v>-8.7099339999999997E-2</v>
      </c>
      <c r="S4721">
        <v>-3.0663299999999998</v>
      </c>
      <c r="T4721">
        <v>-0.27196409999999999</v>
      </c>
      <c r="U4721">
        <v>-2.504791</v>
      </c>
      <c r="V4721">
        <v>-3.2449279999999997E-2</v>
      </c>
      <c r="W4721">
        <v>0.34470620000000002</v>
      </c>
      <c r="X4721">
        <v>0.93814960000000003</v>
      </c>
      <c r="Y4721">
        <v>-0.58638440000000003</v>
      </c>
      <c r="Z4721">
        <v>-2.044588E-2</v>
      </c>
      <c r="AA4721">
        <v>0.80977489999999996</v>
      </c>
      <c r="AB4721">
        <v>34</v>
      </c>
      <c r="AC4721">
        <v>-0.54409999999998604</v>
      </c>
      <c r="AD4721">
        <v>-6.8236999999999798E-2</v>
      </c>
      <c r="AE4721">
        <v>-0.61680000000001201</v>
      </c>
      <c r="AF4721">
        <v>-0.58100364179203201</v>
      </c>
      <c r="AG4721">
        <v>-6.8236999999999798E-2</v>
      </c>
      <c r="AH4721">
        <v>0.57419902063190997</v>
      </c>
      <c r="AI4721">
        <v>94.7751244564259</v>
      </c>
      <c r="AJ4721">
        <v>135.33749192004399</v>
      </c>
      <c r="AK4721">
        <v>0.81971094615068296</v>
      </c>
      <c r="AL4721">
        <v>69.836137757068499</v>
      </c>
      <c r="AM4721">
        <v>91.980990974369007</v>
      </c>
      <c r="AN4721">
        <v>0.999999996035559</v>
      </c>
    </row>
    <row r="4722" spans="1:40" x14ac:dyDescent="0.25">
      <c r="A4722" t="str">
        <f>"20190304164220868"</f>
        <v>20190304164220868</v>
      </c>
      <c r="B4722" t="str">
        <f>"1551688940865876"</f>
        <v>1551688940865876</v>
      </c>
      <c r="C4722" t="s">
        <v>40</v>
      </c>
      <c r="D4722">
        <v>4.0512699999999997</v>
      </c>
      <c r="E4722">
        <v>0.22965189999999999</v>
      </c>
      <c r="F4722" t="s">
        <v>42</v>
      </c>
      <c r="G4722">
        <v>-237.38220000000001</v>
      </c>
      <c r="H4722" s="1">
        <v>-3.0009610000000001E-6</v>
      </c>
      <c r="I4722">
        <v>131.63329999999999</v>
      </c>
      <c r="J4722">
        <v>-225.12459999999999</v>
      </c>
      <c r="K4722">
        <v>1.1076459999999999</v>
      </c>
      <c r="L4722">
        <v>141.83160000000001</v>
      </c>
      <c r="M4722">
        <v>-0.9984769</v>
      </c>
      <c r="N4722">
        <v>-5.5889479999999998E-3</v>
      </c>
      <c r="O4722">
        <v>-5.4888359999999997E-2</v>
      </c>
      <c r="P4722">
        <v>-0.93651220000000002</v>
      </c>
      <c r="Q4722">
        <v>0.34001179999999998</v>
      </c>
      <c r="R4722">
        <v>-8.5655330000000002E-2</v>
      </c>
      <c r="S4722">
        <v>-3.0688170000000001</v>
      </c>
      <c r="T4722">
        <v>-0.27086139999999997</v>
      </c>
      <c r="U4722">
        <v>-2.497452</v>
      </c>
      <c r="V4722">
        <v>-3.261617E-2</v>
      </c>
      <c r="W4722">
        <v>0.345404299999999</v>
      </c>
      <c r="X4722">
        <v>0.93788700000000003</v>
      </c>
      <c r="Y4722">
        <v>-0.58630950000000004</v>
      </c>
      <c r="Z4722">
        <v>-2.048726E-2</v>
      </c>
      <c r="AA4722">
        <v>0.80982809999999905</v>
      </c>
      <c r="AB4722">
        <v>34</v>
      </c>
      <c r="AC4722">
        <v>-12.2576</v>
      </c>
      <c r="AD4722">
        <v>-1.1076490009609901</v>
      </c>
      <c r="AE4722">
        <v>-10.1983</v>
      </c>
      <c r="AF4722">
        <v>-9.4644454621013008</v>
      </c>
      <c r="AG4722">
        <v>-1.1076490009609901</v>
      </c>
      <c r="AH4722">
        <v>12.7374340947203</v>
      </c>
      <c r="AI4722">
        <v>93.992800576764395</v>
      </c>
      <c r="AJ4722">
        <v>126.613890551143</v>
      </c>
      <c r="AK4722">
        <v>15.907383239608</v>
      </c>
      <c r="AL4722">
        <v>69.793521992169303</v>
      </c>
      <c r="AM4722">
        <v>91.991728296517906</v>
      </c>
      <c r="AN4722">
        <v>0.99999998488647901</v>
      </c>
    </row>
    <row r="4723" spans="1:40" x14ac:dyDescent="0.25">
      <c r="A4723" t="str">
        <f>"20190304164220891"</f>
        <v>20190304164220891</v>
      </c>
      <c r="B4723" t="str">
        <f>"1551688940885396"</f>
        <v>1551688940885396</v>
      </c>
      <c r="C4723" t="s">
        <v>40</v>
      </c>
      <c r="D4723">
        <v>4.0500720000000001</v>
      </c>
      <c r="E4723">
        <v>0.23008529999999999</v>
      </c>
      <c r="F4723" t="s">
        <v>42</v>
      </c>
      <c r="G4723">
        <v>-237.69460000000001</v>
      </c>
      <c r="H4723" s="1">
        <v>-2.8864180000000001E-6</v>
      </c>
      <c r="I4723">
        <v>131.6643</v>
      </c>
      <c r="J4723">
        <v>-225.46520000000001</v>
      </c>
      <c r="K4723">
        <v>1.107615</v>
      </c>
      <c r="L4723">
        <v>141.81469999999999</v>
      </c>
      <c r="M4723">
        <v>-0.99858639999999999</v>
      </c>
      <c r="N4723">
        <v>-5.5787320000000003E-3</v>
      </c>
      <c r="O4723">
        <v>-5.2862239999999998E-2</v>
      </c>
      <c r="P4723">
        <v>-0.93646779999999996</v>
      </c>
      <c r="Q4723">
        <v>0.3404856</v>
      </c>
      <c r="R4723">
        <v>-8.4247989999999995E-2</v>
      </c>
      <c r="S4723">
        <v>-3.0742950000000002</v>
      </c>
      <c r="T4723">
        <v>-0.27090389999999998</v>
      </c>
      <c r="U4723">
        <v>-2.4866640000000002</v>
      </c>
      <c r="V4723">
        <v>-3.3093530000000003E-2</v>
      </c>
      <c r="W4723">
        <v>0.34587230000000002</v>
      </c>
      <c r="X4723">
        <v>0.93769780000000003</v>
      </c>
      <c r="Y4723">
        <v>-0.58552669999999996</v>
      </c>
      <c r="Z4723">
        <v>-2.058865E-2</v>
      </c>
      <c r="AA4723">
        <v>0.81039159999999999</v>
      </c>
      <c r="AB4723">
        <v>34</v>
      </c>
      <c r="AC4723">
        <v>-12.229399999999901</v>
      </c>
      <c r="AD4723">
        <v>-1.107617886418</v>
      </c>
      <c r="AE4723">
        <v>-10.1503999999999</v>
      </c>
      <c r="AF4723">
        <v>-9.4438554321663997</v>
      </c>
      <c r="AG4723">
        <v>-1.107617886418</v>
      </c>
      <c r="AH4723">
        <v>12.6872599534501</v>
      </c>
      <c r="AI4723">
        <v>94.005911027070496</v>
      </c>
      <c r="AJ4723">
        <v>126.662425277198</v>
      </c>
      <c r="AK4723">
        <v>15.8549609880438</v>
      </c>
      <c r="AL4723">
        <v>69.764946643148605</v>
      </c>
      <c r="AM4723">
        <v>92.021262020805295</v>
      </c>
      <c r="AN4723">
        <v>0.99999999687999497</v>
      </c>
    </row>
    <row r="4724" spans="1:40" x14ac:dyDescent="0.25">
      <c r="A4724" t="str">
        <f>"20190304164220913"</f>
        <v>20190304164220913</v>
      </c>
      <c r="B4724" t="str">
        <f>"1551688940905891"</f>
        <v>1551688940905891</v>
      </c>
      <c r="C4724" t="s">
        <v>40</v>
      </c>
      <c r="D4724">
        <v>4.0110099999999997</v>
      </c>
      <c r="E4724">
        <v>0.23038130000000001</v>
      </c>
      <c r="F4724" t="s">
        <v>42</v>
      </c>
      <c r="G4724">
        <v>-237.9239</v>
      </c>
      <c r="H4724" s="1">
        <v>-2.770792E-6</v>
      </c>
      <c r="I4724">
        <v>131.8056</v>
      </c>
      <c r="J4724">
        <v>-225.8279</v>
      </c>
      <c r="K4724">
        <v>1.1075839999999999</v>
      </c>
      <c r="L4724">
        <v>141.79740000000001</v>
      </c>
      <c r="M4724">
        <v>-0.99869810000000003</v>
      </c>
      <c r="N4724">
        <v>-5.5712779999999998E-3</v>
      </c>
      <c r="O4724">
        <v>-5.0705130000000001E-2</v>
      </c>
      <c r="P4724">
        <v>-0.93662670000000003</v>
      </c>
      <c r="Q4724">
        <v>0.34015329999999999</v>
      </c>
      <c r="R4724">
        <v>-8.382349E-2</v>
      </c>
      <c r="S4724">
        <v>-3.08046</v>
      </c>
      <c r="T4724">
        <v>-0.27386300000000002</v>
      </c>
      <c r="U4724">
        <v>-2.474777</v>
      </c>
      <c r="V4724">
        <v>-3.4672309999999998E-2</v>
      </c>
      <c r="W4724">
        <v>0.34554259999999998</v>
      </c>
      <c r="X4724">
        <v>0.93776230000000005</v>
      </c>
      <c r="Y4724">
        <v>-0.58455459999999904</v>
      </c>
      <c r="Z4724">
        <v>-2.089073E-2</v>
      </c>
      <c r="AA4724">
        <v>0.81108539999999996</v>
      </c>
      <c r="AB4724">
        <v>34</v>
      </c>
      <c r="AC4724">
        <v>-12.096</v>
      </c>
      <c r="AD4724">
        <v>-1.107586770792</v>
      </c>
      <c r="AE4724">
        <v>-9.9918000000000102</v>
      </c>
      <c r="AF4724">
        <v>-9.31916357944732</v>
      </c>
      <c r="AG4724">
        <v>-1.107586770792</v>
      </c>
      <c r="AH4724">
        <v>12.5246635418941</v>
      </c>
      <c r="AI4724">
        <v>94.058196293733005</v>
      </c>
      <c r="AJ4724">
        <v>126.651644064927</v>
      </c>
      <c r="AK4724">
        <v>15.6505832195795</v>
      </c>
      <c r="AL4724">
        <v>69.785078282367493</v>
      </c>
      <c r="AM4724">
        <v>92.117458261905199</v>
      </c>
      <c r="AN4724">
        <v>0.99999999439839304</v>
      </c>
    </row>
    <row r="4725" spans="1:40" x14ac:dyDescent="0.25">
      <c r="A4725" t="str">
        <f>"20190304164220927"</f>
        <v>20190304164220927</v>
      </c>
      <c r="B4725" t="str">
        <f>"1551688940915651"</f>
        <v>1551688940915651</v>
      </c>
      <c r="C4725" t="s">
        <v>40</v>
      </c>
      <c r="D4725">
        <v>4.0415549999999998</v>
      </c>
      <c r="E4725">
        <v>0.23059959999999999</v>
      </c>
      <c r="F4725" t="s">
        <v>41</v>
      </c>
      <c r="G4725">
        <v>-226.61580000000001</v>
      </c>
      <c r="H4725">
        <v>1.0358989999999999</v>
      </c>
      <c r="I4725">
        <v>141.1671</v>
      </c>
      <c r="J4725">
        <v>-226.03229999999999</v>
      </c>
      <c r="K4725">
        <v>1.1075710000000001</v>
      </c>
      <c r="L4725">
        <v>141.78799999999899</v>
      </c>
      <c r="M4725">
        <v>-0.99875899999999995</v>
      </c>
      <c r="N4725">
        <v>-5.5684890000000003E-3</v>
      </c>
      <c r="O4725">
        <v>-4.9494429999999999E-2</v>
      </c>
      <c r="P4725">
        <v>-0.93668850000000003</v>
      </c>
      <c r="Q4725">
        <v>0.3399798</v>
      </c>
      <c r="R4725">
        <v>-8.3838270000000006E-2</v>
      </c>
      <c r="S4725">
        <v>-3.0841219999999998</v>
      </c>
      <c r="T4725">
        <v>-0.28058840000000002</v>
      </c>
      <c r="U4725">
        <v>-2.4667050000000001</v>
      </c>
      <c r="V4725">
        <v>-3.5814480000000003E-2</v>
      </c>
      <c r="W4725">
        <v>0.34537250000000003</v>
      </c>
      <c r="X4725">
        <v>0.937782</v>
      </c>
      <c r="Y4725">
        <v>-0.58370619999999995</v>
      </c>
      <c r="Z4725">
        <v>-2.1398250000000001E-2</v>
      </c>
      <c r="AA4725">
        <v>0.81168289999999998</v>
      </c>
      <c r="AB4725">
        <v>35</v>
      </c>
      <c r="AC4725">
        <v>-0.58350000000001501</v>
      </c>
      <c r="AD4725">
        <v>-7.1671999999999902E-2</v>
      </c>
      <c r="AE4725">
        <v>-0.62089999999997703</v>
      </c>
      <c r="AF4725">
        <v>-0.58710438691224098</v>
      </c>
      <c r="AG4725">
        <v>-7.1671999999999902E-2</v>
      </c>
      <c r="AH4725">
        <v>0.60920585097653202</v>
      </c>
      <c r="AI4725">
        <v>94.842098165997797</v>
      </c>
      <c r="AJ4725">
        <v>133.941598483202</v>
      </c>
      <c r="AK4725">
        <v>0.84909375547087795</v>
      </c>
      <c r="AL4725">
        <v>69.795462955280001</v>
      </c>
      <c r="AM4725">
        <v>92.187098688512705</v>
      </c>
      <c r="AN4725">
        <v>0.99999996012895898</v>
      </c>
    </row>
    <row r="4726" spans="1:40" x14ac:dyDescent="0.25">
      <c r="A4726" t="str">
        <f>"20190304164220945"</f>
        <v>20190304164220945</v>
      </c>
      <c r="B4726" t="str">
        <f>"1551688940936147"</f>
        <v>1551688940936147</v>
      </c>
      <c r="C4726" t="s">
        <v>40</v>
      </c>
      <c r="D4726">
        <v>4.0062439999999997</v>
      </c>
      <c r="E4726">
        <v>0.2309321</v>
      </c>
      <c r="F4726" t="s">
        <v>42</v>
      </c>
      <c r="G4726">
        <v>-238.1456</v>
      </c>
      <c r="H4726" s="1">
        <v>-2.6136209999999998E-6</v>
      </c>
      <c r="I4726">
        <v>132.11279999999999</v>
      </c>
      <c r="J4726">
        <v>-226.32409999999999</v>
      </c>
      <c r="K4726">
        <v>1.1075549999999901</v>
      </c>
      <c r="L4726">
        <v>141.7749</v>
      </c>
      <c r="M4726">
        <v>-0.99884280000000003</v>
      </c>
      <c r="N4726">
        <v>-5.5662489999999997E-3</v>
      </c>
      <c r="O4726">
        <v>-4.7775779999999997E-2</v>
      </c>
      <c r="P4726">
        <v>-0.93663989999999997</v>
      </c>
      <c r="Q4726">
        <v>0.33992699999999998</v>
      </c>
      <c r="R4726">
        <v>-8.4594199999999994E-2</v>
      </c>
      <c r="S4726">
        <v>-3.084625</v>
      </c>
      <c r="T4726">
        <v>-0.28204390000000001</v>
      </c>
      <c r="U4726">
        <v>-2.4637760000000002</v>
      </c>
      <c r="V4726">
        <v>-3.8178749999999997E-2</v>
      </c>
      <c r="W4726">
        <v>0.345329099999999</v>
      </c>
      <c r="X4726">
        <v>0.93770469999999895</v>
      </c>
      <c r="Y4726">
        <v>-0.58454450000000002</v>
      </c>
      <c r="Z4726">
        <v>-2.1663700000000001E-2</v>
      </c>
      <c r="AA4726">
        <v>0.81107229999999997</v>
      </c>
      <c r="AB4726">
        <v>35</v>
      </c>
      <c r="AC4726">
        <v>-11.8215</v>
      </c>
      <c r="AD4726">
        <v>-1.1075576136209999</v>
      </c>
      <c r="AE4726">
        <v>-9.6621000000000095</v>
      </c>
      <c r="AF4726">
        <v>-9.0387111596814798</v>
      </c>
      <c r="AG4726">
        <v>-1.1075576136209999</v>
      </c>
      <c r="AH4726">
        <v>12.205392347775801</v>
      </c>
      <c r="AI4726">
        <v>94.170858099713399</v>
      </c>
      <c r="AJ4726">
        <v>126.52182187371599</v>
      </c>
      <c r="AK4726">
        <v>15.2281510912778</v>
      </c>
      <c r="AL4726">
        <v>69.798112493884304</v>
      </c>
      <c r="AM4726">
        <v>92.3315162001266</v>
      </c>
      <c r="AN4726">
        <v>0.99999995433023003</v>
      </c>
    </row>
    <row r="4727" spans="1:40" x14ac:dyDescent="0.25">
      <c r="A4727" t="str">
        <f>"20190304164220959"</f>
        <v>20190304164220959</v>
      </c>
      <c r="B4727" t="str">
        <f>"1551688940955667"</f>
        <v>1551688940955667</v>
      </c>
      <c r="C4727" t="s">
        <v>40</v>
      </c>
      <c r="D4727">
        <v>3.9785499999999998</v>
      </c>
      <c r="E4727">
        <v>0.2311627</v>
      </c>
      <c r="F4727" t="s">
        <v>42</v>
      </c>
      <c r="G4727">
        <v>-238.42859999999999</v>
      </c>
      <c r="H4727" s="1">
        <v>-2.5186119999999998E-6</v>
      </c>
      <c r="I4727">
        <v>132.1079</v>
      </c>
      <c r="J4727">
        <v>-226.53489999999999</v>
      </c>
      <c r="K4727">
        <v>1.1075489999999999</v>
      </c>
      <c r="L4727">
        <v>141.76580000000001</v>
      </c>
      <c r="M4727">
        <v>-0.99890080000000003</v>
      </c>
      <c r="N4727">
        <v>-5.5657769999999896E-3</v>
      </c>
      <c r="O4727">
        <v>-4.6542670000000001E-2</v>
      </c>
      <c r="P4727">
        <v>-0.9365964</v>
      </c>
      <c r="Q4727">
        <v>0.34009129999999999</v>
      </c>
      <c r="R4727">
        <v>-8.44115E-2</v>
      </c>
      <c r="S4727">
        <v>-3.0829620000000002</v>
      </c>
      <c r="T4727">
        <v>-0.2820917</v>
      </c>
      <c r="U4727">
        <v>-2.4621580000000001</v>
      </c>
      <c r="V4727">
        <v>-3.9152680000000002E-2</v>
      </c>
      <c r="W4727">
        <v>0.34549740000000001</v>
      </c>
      <c r="X4727">
        <v>0.93760259999999995</v>
      </c>
      <c r="Y4727">
        <v>-0.58549030000000002</v>
      </c>
      <c r="Z4727">
        <v>-2.1810590000000001E-2</v>
      </c>
      <c r="AA4727">
        <v>0.81038599999999905</v>
      </c>
      <c r="AB4727">
        <v>35</v>
      </c>
      <c r="AC4727">
        <v>-11.8936999999999</v>
      </c>
      <c r="AD4727">
        <v>-1.107551518612</v>
      </c>
      <c r="AE4727">
        <v>-9.6579000000000104</v>
      </c>
      <c r="AF4727">
        <v>-9.0465849922939796</v>
      </c>
      <c r="AG4727">
        <v>-1.107551518612</v>
      </c>
      <c r="AH4727">
        <v>12.2662214674518</v>
      </c>
      <c r="AI4727">
        <v>94.156219185309496</v>
      </c>
      <c r="AJ4727">
        <v>126.409520819837</v>
      </c>
      <c r="AK4727">
        <v>15.281608536988299</v>
      </c>
      <c r="AL4727">
        <v>69.787838362694998</v>
      </c>
      <c r="AM4727">
        <v>92.391184464749301</v>
      </c>
      <c r="AN4727">
        <v>1.0000000106423499</v>
      </c>
    </row>
    <row r="4728" spans="1:40" x14ac:dyDescent="0.25">
      <c r="A4728" t="str">
        <f>"20190304164220974"</f>
        <v>20190304164220974</v>
      </c>
      <c r="B4728" t="str">
        <f>"1551688940965426"</f>
        <v>1551688940965426</v>
      </c>
      <c r="C4728" t="s">
        <v>40</v>
      </c>
      <c r="D4728">
        <v>3.9753500000000002</v>
      </c>
      <c r="E4728">
        <v>0.2314148</v>
      </c>
      <c r="F4728" t="s">
        <v>41</v>
      </c>
      <c r="G4728">
        <v>-227.25540000000001</v>
      </c>
      <c r="H4728">
        <v>1.0423340000000001</v>
      </c>
      <c r="I4728">
        <v>141.191</v>
      </c>
      <c r="J4728">
        <v>-226.75409999999999</v>
      </c>
      <c r="K4728">
        <v>1.107542</v>
      </c>
      <c r="L4728">
        <v>141.75659999999999</v>
      </c>
      <c r="M4728">
        <v>-0.99895940000000005</v>
      </c>
      <c r="N4728">
        <v>-5.5664069999999998E-3</v>
      </c>
      <c r="O4728">
        <v>-4.5270350000000001E-2</v>
      </c>
      <c r="P4728">
        <v>-0.93653229999999998</v>
      </c>
      <c r="Q4728">
        <v>0.34032230000000002</v>
      </c>
      <c r="R4728">
        <v>-8.4193850000000001E-2</v>
      </c>
      <c r="S4728">
        <v>-3.082748</v>
      </c>
      <c r="T4728">
        <v>-0.27903899999999998</v>
      </c>
      <c r="U4728">
        <v>-2.4595030000000002</v>
      </c>
      <c r="V4728">
        <v>-4.0130310000000002E-2</v>
      </c>
      <c r="W4728">
        <v>0.3457327</v>
      </c>
      <c r="X4728">
        <v>0.93747449999999999</v>
      </c>
      <c r="Y4728">
        <v>-0.58614730000000004</v>
      </c>
      <c r="Z4728">
        <v>-2.172489E-2</v>
      </c>
      <c r="AA4728">
        <v>0.8099132</v>
      </c>
      <c r="AB4728">
        <v>35</v>
      </c>
      <c r="AC4728">
        <v>-0.50130000000001396</v>
      </c>
      <c r="AD4728">
        <v>-6.5207999999999905E-2</v>
      </c>
      <c r="AE4728">
        <v>-0.565599999999989</v>
      </c>
      <c r="AF4728">
        <v>-0.53831846472485601</v>
      </c>
      <c r="AG4728">
        <v>-6.5207999999999905E-2</v>
      </c>
      <c r="AH4728">
        <v>0.522501807134234</v>
      </c>
      <c r="AI4728">
        <v>94.967733114204293</v>
      </c>
      <c r="AJ4728">
        <v>135.85420745293399</v>
      </c>
      <c r="AK4728">
        <v>0.753025226128758</v>
      </c>
      <c r="AL4728">
        <v>69.773470878449899</v>
      </c>
      <c r="AM4728">
        <v>92.451154144431698</v>
      </c>
      <c r="AN4728">
        <v>0.99999998989011796</v>
      </c>
    </row>
    <row r="4729" spans="1:40" x14ac:dyDescent="0.25">
      <c r="A4729" t="str">
        <f>"20190304164220991"</f>
        <v>20190304164220991</v>
      </c>
      <c r="B4729" t="str">
        <f>"1551688940985924"</f>
        <v>1551688940985924</v>
      </c>
      <c r="C4729" t="s">
        <v>40</v>
      </c>
      <c r="D4729">
        <v>3.9598680000000002</v>
      </c>
      <c r="E4729">
        <v>0.2318828</v>
      </c>
      <c r="F4729" t="s">
        <v>41</v>
      </c>
      <c r="G4729">
        <v>-227.55529999999999</v>
      </c>
      <c r="H4729">
        <v>1.0355190000000001</v>
      </c>
      <c r="I4729">
        <v>141.11840000000001</v>
      </c>
      <c r="J4729">
        <v>-227.04</v>
      </c>
      <c r="K4729">
        <v>1.1075390000000001</v>
      </c>
      <c r="L4729">
        <v>141.74510000000001</v>
      </c>
      <c r="M4729">
        <v>-0.99903240000000004</v>
      </c>
      <c r="N4729">
        <v>-5.5684269999999999E-3</v>
      </c>
      <c r="O4729">
        <v>-4.3627649999999997E-2</v>
      </c>
      <c r="P4729">
        <v>-0.93663700000000005</v>
      </c>
      <c r="Q4729">
        <v>0.33985270000000001</v>
      </c>
      <c r="R4729">
        <v>-8.4920819999999994E-2</v>
      </c>
      <c r="S4729">
        <v>-3.0832060000000001</v>
      </c>
      <c r="T4729">
        <v>-0.27715489999999998</v>
      </c>
      <c r="U4729">
        <v>-2.4564509999999999</v>
      </c>
      <c r="V4729">
        <v>-4.2397940000000002E-2</v>
      </c>
      <c r="W4729">
        <v>0.34527590000000002</v>
      </c>
      <c r="X4729">
        <v>0.93754300000000002</v>
      </c>
      <c r="Y4729">
        <v>-0.58694099999999905</v>
      </c>
      <c r="Z4729">
        <v>-2.1749790000000001E-2</v>
      </c>
      <c r="AA4729">
        <v>0.80933750000000004</v>
      </c>
      <c r="AB4729">
        <v>35</v>
      </c>
      <c r="AC4729">
        <v>-0.51529999999999598</v>
      </c>
      <c r="AD4729">
        <v>-7.2019999999999904E-2</v>
      </c>
      <c r="AE4729">
        <v>-0.62669999999999904</v>
      </c>
      <c r="AF4729">
        <v>-0.59890263090981799</v>
      </c>
      <c r="AG4729">
        <v>-7.2019999999999904E-2</v>
      </c>
      <c r="AH4729">
        <v>0.53791280916363704</v>
      </c>
      <c r="AI4729">
        <v>95.112366347024206</v>
      </c>
      <c r="AJ4729">
        <v>138.070957996587</v>
      </c>
      <c r="AK4729">
        <v>0.80822115288639795</v>
      </c>
      <c r="AL4729">
        <v>69.801360410365803</v>
      </c>
      <c r="AM4729">
        <v>92.589288254531496</v>
      </c>
      <c r="AN4729">
        <v>0.99999995464302505</v>
      </c>
    </row>
    <row r="4730" spans="1:40" x14ac:dyDescent="0.25">
      <c r="A4730" t="str">
        <f>"20190304164221014"</f>
        <v>20190304164221014</v>
      </c>
      <c r="B4730" t="str">
        <f>"1551688941005443"</f>
        <v>1551688941005443</v>
      </c>
      <c r="C4730" t="s">
        <v>40</v>
      </c>
      <c r="D4730">
        <v>3.9612959999999999</v>
      </c>
      <c r="E4730">
        <v>0.232346</v>
      </c>
      <c r="F4730" t="s">
        <v>42</v>
      </c>
      <c r="G4730">
        <v>-239.3546</v>
      </c>
      <c r="H4730" s="1">
        <v>-2.2499299999999998E-6</v>
      </c>
      <c r="I4730">
        <v>131.9333</v>
      </c>
      <c r="J4730">
        <v>-227.39250000000001</v>
      </c>
      <c r="K4730">
        <v>1.1075360000000001</v>
      </c>
      <c r="L4730">
        <v>141.73140000000001</v>
      </c>
      <c r="M4730">
        <v>-0.99911740000000004</v>
      </c>
      <c r="N4730">
        <v>-5.5728640000000003E-3</v>
      </c>
      <c r="O4730">
        <v>-4.163675E-2</v>
      </c>
      <c r="P4730">
        <v>-0.93681740000000002</v>
      </c>
      <c r="Q4730">
        <v>0.33938859999999998</v>
      </c>
      <c r="R4730">
        <v>-8.4786559999999997E-2</v>
      </c>
      <c r="S4730">
        <v>-3.0809169999999999</v>
      </c>
      <c r="T4730">
        <v>-0.27709010000000001</v>
      </c>
      <c r="U4730">
        <v>-2.454742</v>
      </c>
      <c r="V4730">
        <v>-4.4135779999999999E-2</v>
      </c>
      <c r="W4730">
        <v>0.34482390000000002</v>
      </c>
      <c r="X4730">
        <v>0.93762920000000005</v>
      </c>
      <c r="Y4730">
        <v>-0.5885589</v>
      </c>
      <c r="Z4730">
        <v>-2.1975919999999999E-2</v>
      </c>
      <c r="AA4730">
        <v>0.80815559999999997</v>
      </c>
      <c r="AB4730">
        <v>35</v>
      </c>
      <c r="AC4730">
        <v>-11.9620999999999</v>
      </c>
      <c r="AD4730">
        <v>-1.1075382499299999</v>
      </c>
      <c r="AE4730">
        <v>-9.7980999999999998</v>
      </c>
      <c r="AF4730">
        <v>-9.2441067499137404</v>
      </c>
      <c r="AG4730">
        <v>-1.1075382499299999</v>
      </c>
      <c r="AH4730">
        <v>12.296607640682</v>
      </c>
      <c r="AI4730">
        <v>94.117847104543799</v>
      </c>
      <c r="AJ4730">
        <v>126.934407872367</v>
      </c>
      <c r="AK4730">
        <v>15.423576435047</v>
      </c>
      <c r="AL4730">
        <v>69.828953718717102</v>
      </c>
      <c r="AM4730">
        <v>92.695019181970594</v>
      </c>
      <c r="AN4730">
        <v>1.00000000289002</v>
      </c>
    </row>
    <row r="4731" spans="1:40" x14ac:dyDescent="0.25">
      <c r="A4731" t="str">
        <f>"20190304164221027"</f>
        <v>20190304164221027</v>
      </c>
      <c r="B4731" t="str">
        <f>"1551688941025939"</f>
        <v>1551688941025939</v>
      </c>
      <c r="C4731" t="s">
        <v>40</v>
      </c>
      <c r="D4731">
        <v>3.9879150000000001</v>
      </c>
      <c r="E4731">
        <v>0.23252059999999999</v>
      </c>
      <c r="F4731" t="s">
        <v>41</v>
      </c>
      <c r="G4731">
        <v>-228.1876</v>
      </c>
      <c r="H4731">
        <v>1.0363100000000001</v>
      </c>
      <c r="I4731">
        <v>141.09899999999999</v>
      </c>
      <c r="J4731">
        <v>-227.6113</v>
      </c>
      <c r="K4731">
        <v>1.1075440000000001</v>
      </c>
      <c r="L4731">
        <v>141.72329999999999</v>
      </c>
      <c r="M4731">
        <v>-0.99916700000000003</v>
      </c>
      <c r="N4731">
        <v>-5.5764959999999898E-3</v>
      </c>
      <c r="O4731">
        <v>-4.0423569999999999E-2</v>
      </c>
      <c r="P4731">
        <v>-0.93701860000000003</v>
      </c>
      <c r="Q4731">
        <v>0.33895449999999999</v>
      </c>
      <c r="R4731">
        <v>-8.429652E-2</v>
      </c>
      <c r="S4731">
        <v>-3.0805210000000001</v>
      </c>
      <c r="T4731">
        <v>-0.2759569</v>
      </c>
      <c r="U4731">
        <v>-2.4505620000000001</v>
      </c>
      <c r="V4731">
        <v>-4.4787970000000003E-2</v>
      </c>
      <c r="W4731">
        <v>0.34439589999999998</v>
      </c>
      <c r="X4731">
        <v>0.93775560000000002</v>
      </c>
      <c r="Y4731">
        <v>-0.58892469999999997</v>
      </c>
      <c r="Z4731">
        <v>-2.2008929999999999E-2</v>
      </c>
      <c r="AA4731">
        <v>0.80788819999999995</v>
      </c>
      <c r="AB4731">
        <v>35</v>
      </c>
      <c r="AC4731">
        <v>-0.57630000000000303</v>
      </c>
      <c r="AD4731">
        <v>-7.1234000000000006E-2</v>
      </c>
      <c r="AE4731">
        <v>-0.62430000000000496</v>
      </c>
      <c r="AF4731">
        <v>-0.59630162976373402</v>
      </c>
      <c r="AG4731">
        <v>-7.1234000000000006E-2</v>
      </c>
      <c r="AH4731">
        <v>0.59687016442735996</v>
      </c>
      <c r="AI4731">
        <v>94.826064825920199</v>
      </c>
      <c r="AJ4731">
        <v>134.972699124781</v>
      </c>
      <c r="AK4731">
        <v>0.84670178315533795</v>
      </c>
      <c r="AL4731">
        <v>69.855077040703407</v>
      </c>
      <c r="AM4731">
        <v>92.734415129513295</v>
      </c>
      <c r="AN4731">
        <v>1.00000003176244</v>
      </c>
    </row>
    <row r="4732" spans="1:40" x14ac:dyDescent="0.25">
      <c r="A4732" t="str">
        <f>"20190304164221046"</f>
        <v>20190304164221046</v>
      </c>
      <c r="B4732" t="str">
        <f>"1551688941035699"</f>
        <v>1551688941035699</v>
      </c>
      <c r="C4732" t="s">
        <v>40</v>
      </c>
      <c r="D4732">
        <v>3.9433630000000002</v>
      </c>
      <c r="E4732">
        <v>0.2308627</v>
      </c>
      <c r="F4732" t="s">
        <v>42</v>
      </c>
      <c r="G4732">
        <v>-239.9777</v>
      </c>
      <c r="H4732" s="1">
        <v>-5.6505810000000003E-6</v>
      </c>
      <c r="I4732">
        <v>131.9</v>
      </c>
      <c r="J4732">
        <v>-227.90260000000001</v>
      </c>
      <c r="K4732">
        <v>1.1075569999999999</v>
      </c>
      <c r="L4732">
        <v>141.71279999999999</v>
      </c>
      <c r="M4732">
        <v>-0.99922999999999995</v>
      </c>
      <c r="N4732">
        <v>-5.5822379999999998E-3</v>
      </c>
      <c r="O4732">
        <v>-3.8839539999999999E-2</v>
      </c>
      <c r="P4732">
        <v>-0.937388</v>
      </c>
      <c r="Q4732">
        <v>0.33805960000000002</v>
      </c>
      <c r="R4732">
        <v>-8.3784639999999994E-2</v>
      </c>
      <c r="S4732">
        <v>-3.0812680000000001</v>
      </c>
      <c r="T4732">
        <v>-0.27596270000000001</v>
      </c>
      <c r="U4732">
        <v>-2.4476010000000001</v>
      </c>
      <c r="V4732">
        <v>-4.5770060000000001E-2</v>
      </c>
      <c r="W4732">
        <v>0.34351019999999999</v>
      </c>
      <c r="X4732">
        <v>0.93803289999999995</v>
      </c>
      <c r="Y4732">
        <v>-0.58962639999999999</v>
      </c>
      <c r="Z4732">
        <v>-2.2157929999999999E-2</v>
      </c>
      <c r="AA4732">
        <v>0.80737209999999904</v>
      </c>
      <c r="AB4732">
        <v>35</v>
      </c>
      <c r="AC4732">
        <v>-12.0750999999999</v>
      </c>
      <c r="AD4732">
        <v>-1.1075626505809999</v>
      </c>
      <c r="AE4732">
        <v>-9.8127999999999798</v>
      </c>
      <c r="AF4732">
        <v>-9.2893288279360196</v>
      </c>
      <c r="AG4732">
        <v>-1.1075626505809999</v>
      </c>
      <c r="AH4732">
        <v>12.3843685836709</v>
      </c>
      <c r="AI4732">
        <v>94.092135568048704</v>
      </c>
      <c r="AJ4732">
        <v>126.873013576693</v>
      </c>
      <c r="AK4732">
        <v>15.5206607563821</v>
      </c>
      <c r="AL4732">
        <v>69.909119375112596</v>
      </c>
      <c r="AM4732">
        <v>92.793455382838999</v>
      </c>
      <c r="AN4732">
        <v>0.99999993868942405</v>
      </c>
    </row>
    <row r="4733" spans="1:40" x14ac:dyDescent="0.25">
      <c r="A4733" t="str">
        <f>"20190304164221070"</f>
        <v>20190304164221070</v>
      </c>
      <c r="B4733" t="str">
        <f>"1551688941065955"</f>
        <v>1551688941065955</v>
      </c>
      <c r="C4733" t="s">
        <v>40</v>
      </c>
      <c r="D4733">
        <v>3.9187799999999999</v>
      </c>
      <c r="E4733">
        <v>0.2267469</v>
      </c>
      <c r="F4733" t="s">
        <v>42</v>
      </c>
      <c r="G4733">
        <v>-240.31780000000001</v>
      </c>
      <c r="H4733" s="1">
        <v>-5.5231959999999998E-6</v>
      </c>
      <c r="I4733">
        <v>131.7954</v>
      </c>
      <c r="J4733">
        <v>-228.27719999999999</v>
      </c>
      <c r="K4733">
        <v>1.107583</v>
      </c>
      <c r="L4733">
        <v>141.69999999999999</v>
      </c>
      <c r="M4733">
        <v>-0.99930450000000004</v>
      </c>
      <c r="N4733">
        <v>-5.5911199999999998E-3</v>
      </c>
      <c r="O4733">
        <v>-3.6869529999999998E-2</v>
      </c>
      <c r="P4733">
        <v>-0.93781049999999999</v>
      </c>
      <c r="Q4733">
        <v>0.33721719999999999</v>
      </c>
      <c r="R4733">
        <v>-8.2438979999999995E-2</v>
      </c>
      <c r="S4733">
        <v>-3.0796049999999999</v>
      </c>
      <c r="T4733">
        <v>-0.2747328</v>
      </c>
      <c r="U4733">
        <v>-2.4600070000000001</v>
      </c>
      <c r="V4733">
        <v>-4.6294979999999999E-2</v>
      </c>
      <c r="W4733">
        <v>0.34267629999999999</v>
      </c>
      <c r="X4733">
        <v>0.93831220000000004</v>
      </c>
      <c r="Y4733">
        <v>-0.59341180000000004</v>
      </c>
      <c r="Z4733">
        <v>-2.2362730000000001E-2</v>
      </c>
      <c r="AA4733">
        <v>0.80458830000000003</v>
      </c>
      <c r="AB4733">
        <v>35</v>
      </c>
      <c r="AC4733">
        <v>-12.0406</v>
      </c>
      <c r="AD4733">
        <v>-1.1075885231960001</v>
      </c>
      <c r="AE4733">
        <v>-9.9045999999999808</v>
      </c>
      <c r="AF4733">
        <v>-9.4064552193178592</v>
      </c>
      <c r="AG4733">
        <v>-1.1075885231960001</v>
      </c>
      <c r="AH4733">
        <v>12.335343296200399</v>
      </c>
      <c r="AI4733">
        <v>94.083935920378593</v>
      </c>
      <c r="AJ4733">
        <v>127.327740782837</v>
      </c>
      <c r="AK4733">
        <v>15.5521331773125</v>
      </c>
      <c r="AL4733">
        <v>69.959987729086905</v>
      </c>
      <c r="AM4733">
        <v>92.824601211973203</v>
      </c>
      <c r="AN4733">
        <v>1.00000002821186</v>
      </c>
    </row>
    <row r="4734" spans="1:40" x14ac:dyDescent="0.25">
      <c r="A4734" t="str">
        <f>"20190304164221092"</f>
        <v>20190304164221092</v>
      </c>
      <c r="B4734" t="str">
        <f>"1551688941085477"</f>
        <v>1551688941085477</v>
      </c>
      <c r="C4734" t="s">
        <v>40</v>
      </c>
      <c r="D4734">
        <v>3.9142250000000001</v>
      </c>
      <c r="E4734">
        <v>0.2244602</v>
      </c>
      <c r="F4734" t="s">
        <v>42</v>
      </c>
      <c r="G4734">
        <v>-240.84129999999999</v>
      </c>
      <c r="H4734" s="1">
        <v>-5.343632E-6</v>
      </c>
      <c r="I4734">
        <v>131.54179999999999</v>
      </c>
      <c r="J4734">
        <v>-228.63910000000001</v>
      </c>
      <c r="K4734">
        <v>1.1076220000000001</v>
      </c>
      <c r="L4734">
        <v>141.68819999999999</v>
      </c>
      <c r="M4734">
        <v>-0.99937019999999999</v>
      </c>
      <c r="N4734">
        <v>-5.6009650000000003E-3</v>
      </c>
      <c r="O4734">
        <v>-3.5039859999999999E-2</v>
      </c>
      <c r="P4734">
        <v>-0.93819609999999998</v>
      </c>
      <c r="Q4734">
        <v>0.33646579999999998</v>
      </c>
      <c r="R4734">
        <v>-8.1109840000000002E-2</v>
      </c>
      <c r="S4734">
        <v>-3.0777589999999999</v>
      </c>
      <c r="T4734">
        <v>-0.27132009999999901</v>
      </c>
      <c r="U4734">
        <v>-2.488388</v>
      </c>
      <c r="V4734">
        <v>-4.6712009999999998E-2</v>
      </c>
      <c r="W4734">
        <v>0.34193259999999998</v>
      </c>
      <c r="X4734">
        <v>0.93856280000000003</v>
      </c>
      <c r="Y4734">
        <v>-0.59962899999999997</v>
      </c>
      <c r="Z4734">
        <v>-2.246689E-2</v>
      </c>
      <c r="AA4734">
        <v>0.79996269999999903</v>
      </c>
      <c r="AB4734">
        <v>35</v>
      </c>
      <c r="AC4734">
        <v>-12.2021999999999</v>
      </c>
      <c r="AD4734">
        <v>-1.1076273436320001</v>
      </c>
      <c r="AE4734">
        <v>-10.1464</v>
      </c>
      <c r="AF4734">
        <v>-9.6655140029308093</v>
      </c>
      <c r="AG4734">
        <v>-1.1076273436320001</v>
      </c>
      <c r="AH4734">
        <v>12.48939925885</v>
      </c>
      <c r="AI4734">
        <v>94.011909914937803</v>
      </c>
      <c r="AJ4734">
        <v>127.73619580943399</v>
      </c>
      <c r="AK4734">
        <v>15.831427387326</v>
      </c>
      <c r="AL4734">
        <v>70.005338141976395</v>
      </c>
      <c r="AM4734">
        <v>92.849244042500601</v>
      </c>
      <c r="AN4734">
        <v>1.0000000221824099</v>
      </c>
    </row>
    <row r="4735" spans="1:40" x14ac:dyDescent="0.25">
      <c r="A4735" t="str">
        <f>"20190304164221113"</f>
        <v>20190304164221113</v>
      </c>
      <c r="B4735" t="str">
        <f>"1551688941105971"</f>
        <v>1551688941105971</v>
      </c>
      <c r="C4735" t="s">
        <v>40</v>
      </c>
      <c r="D4735">
        <v>3.8963950000000001</v>
      </c>
      <c r="E4735">
        <v>0.22237789999999999</v>
      </c>
      <c r="F4735" t="s">
        <v>42</v>
      </c>
      <c r="G4735">
        <v>-241.22229999999999</v>
      </c>
      <c r="H4735" s="1">
        <v>-5.1940270000000003E-6</v>
      </c>
      <c r="I4735">
        <v>131.46369999999999</v>
      </c>
      <c r="J4735">
        <v>-228.9871</v>
      </c>
      <c r="K4735">
        <v>1.1076649999999999</v>
      </c>
      <c r="L4735">
        <v>141.67750000000001</v>
      </c>
      <c r="M4735">
        <v>-0.99942770000000003</v>
      </c>
      <c r="N4735">
        <v>-5.6114340000000002E-3</v>
      </c>
      <c r="O4735">
        <v>-3.3360639999999997E-2</v>
      </c>
      <c r="P4735">
        <v>-0.93872239999999996</v>
      </c>
      <c r="Q4735">
        <v>0.33532810000000002</v>
      </c>
      <c r="R4735">
        <v>-7.9722810000000005E-2</v>
      </c>
      <c r="S4735">
        <v>-3.0785369999999999</v>
      </c>
      <c r="T4735">
        <v>-0.27098689999999998</v>
      </c>
      <c r="U4735">
        <v>-2.5014799999999999</v>
      </c>
      <c r="V4735">
        <v>-4.6933910000000002E-2</v>
      </c>
      <c r="W4735">
        <v>0.3408022</v>
      </c>
      <c r="X4735">
        <v>0.93896279999999999</v>
      </c>
      <c r="Y4735">
        <v>-0.60291629999999996</v>
      </c>
      <c r="Z4735">
        <v>-2.2676040000000001E-2</v>
      </c>
      <c r="AA4735">
        <v>0.79748209999999997</v>
      </c>
      <c r="AB4735">
        <v>36</v>
      </c>
      <c r="AC4735">
        <v>-12.235199999999899</v>
      </c>
      <c r="AD4735">
        <v>-1.107670194027</v>
      </c>
      <c r="AE4735">
        <v>-10.213800000000001</v>
      </c>
      <c r="AF4735">
        <v>-9.75282764887044</v>
      </c>
      <c r="AG4735">
        <v>-1.107670194027</v>
      </c>
      <c r="AH4735">
        <v>12.5087161764916</v>
      </c>
      <c r="AI4735">
        <v>93.994713952467393</v>
      </c>
      <c r="AJ4735">
        <v>127.942920443904</v>
      </c>
      <c r="AK4735">
        <v>15.900080527825301</v>
      </c>
      <c r="AL4735">
        <v>70.074244782893103</v>
      </c>
      <c r="AM4735">
        <v>92.861539072156702</v>
      </c>
      <c r="AN4735">
        <v>1.0000000356082801</v>
      </c>
    </row>
    <row r="4736" spans="1:40" x14ac:dyDescent="0.25">
      <c r="A4736" t="str">
        <f>"20190304164221127"</f>
        <v>20190304164221127</v>
      </c>
      <c r="B4736" t="str">
        <f>"1551688941115730"</f>
        <v>1551688941115730</v>
      </c>
      <c r="C4736" t="s">
        <v>40</v>
      </c>
      <c r="D4736">
        <v>3.9324460000000001</v>
      </c>
      <c r="E4736">
        <v>0.2215713</v>
      </c>
      <c r="F4736" t="s">
        <v>42</v>
      </c>
      <c r="G4736">
        <v>-241.46100000000001</v>
      </c>
      <c r="H4736" s="1">
        <v>-5.0844750000000001E-6</v>
      </c>
      <c r="I4736">
        <v>131.50409999999999</v>
      </c>
      <c r="J4736">
        <v>-229.1952</v>
      </c>
      <c r="K4736">
        <v>1.107694</v>
      </c>
      <c r="L4736">
        <v>141.6713</v>
      </c>
      <c r="M4736">
        <v>-0.9994594</v>
      </c>
      <c r="N4736">
        <v>-5.6181080000000001E-3</v>
      </c>
      <c r="O4736">
        <v>-3.2396059999999997E-2</v>
      </c>
      <c r="P4736">
        <v>-0.9389689</v>
      </c>
      <c r="Q4736">
        <v>0.3347832</v>
      </c>
      <c r="R4736">
        <v>-7.9106789999999996E-2</v>
      </c>
      <c r="S4736">
        <v>-3.0801850000000002</v>
      </c>
      <c r="T4736">
        <v>-0.27351769999999997</v>
      </c>
      <c r="U4736">
        <v>-2.5121150000000001</v>
      </c>
      <c r="V4736">
        <v>-4.7248190000000002E-2</v>
      </c>
      <c r="W4736">
        <v>0.34026200000000001</v>
      </c>
      <c r="X4736">
        <v>0.9391429</v>
      </c>
      <c r="Y4736">
        <v>-0.60510069999999905</v>
      </c>
      <c r="Z4736">
        <v>-2.3004210000000001E-2</v>
      </c>
      <c r="AA4736">
        <v>0.79581650000000004</v>
      </c>
      <c r="AB4736">
        <v>36</v>
      </c>
      <c r="AC4736">
        <v>-12.265799999999899</v>
      </c>
      <c r="AD4736">
        <v>-1.1076990844750001</v>
      </c>
      <c r="AE4736">
        <v>-10.167199999999999</v>
      </c>
      <c r="AF4736">
        <v>-9.7175179883011893</v>
      </c>
      <c r="AG4736">
        <v>-1.1076990844750001</v>
      </c>
      <c r="AH4736">
        <v>12.528181645533</v>
      </c>
      <c r="AI4736">
        <v>93.996402542509998</v>
      </c>
      <c r="AJ4736">
        <v>127.79904109042999</v>
      </c>
      <c r="AK4736">
        <v>15.8937877316319</v>
      </c>
      <c r="AL4736">
        <v>70.107162745172801</v>
      </c>
      <c r="AM4736">
        <v>92.880116915518997</v>
      </c>
      <c r="AN4736">
        <v>1.0000000033613401</v>
      </c>
    </row>
    <row r="4737" spans="1:40" x14ac:dyDescent="0.25">
      <c r="A4737" t="str">
        <f>"20190304164221142"</f>
        <v>20190304164221142</v>
      </c>
      <c r="B4737" t="str">
        <f>"1551688941136228"</f>
        <v>1551688941136228</v>
      </c>
      <c r="C4737" t="s">
        <v>40</v>
      </c>
      <c r="D4737">
        <v>3.9174449999999998</v>
      </c>
      <c r="E4737">
        <v>0.2199593</v>
      </c>
      <c r="F4737" t="s">
        <v>42</v>
      </c>
      <c r="G4737">
        <v>-241.5986</v>
      </c>
      <c r="H4737" s="1">
        <v>-5.0182859999999999E-6</v>
      </c>
      <c r="I4737">
        <v>131.54429999999999</v>
      </c>
      <c r="J4737">
        <v>-229.43379999999999</v>
      </c>
      <c r="K4737">
        <v>1.107734</v>
      </c>
      <c r="L4737">
        <v>141.6644</v>
      </c>
      <c r="M4737">
        <v>-0.99949339999999998</v>
      </c>
      <c r="N4737">
        <v>-5.6261879999999998E-3</v>
      </c>
      <c r="O4737">
        <v>-3.132385E-2</v>
      </c>
      <c r="P4737">
        <v>-0.93916949999999999</v>
      </c>
      <c r="Q4737">
        <v>0.33443250000000002</v>
      </c>
      <c r="R4737">
        <v>-7.8202099999999997E-2</v>
      </c>
      <c r="S4737">
        <v>-3.0811609999999998</v>
      </c>
      <c r="T4737">
        <v>-0.27516560000000001</v>
      </c>
      <c r="U4737">
        <v>-2.5156559999999999</v>
      </c>
      <c r="V4737">
        <v>-4.7382590000000002E-2</v>
      </c>
      <c r="W4737">
        <v>0.33991539999999998</v>
      </c>
      <c r="X4737">
        <v>0.93926169999999998</v>
      </c>
      <c r="Y4737">
        <v>-0.60635669999999897</v>
      </c>
      <c r="Z4737">
        <v>-2.325205E-2</v>
      </c>
      <c r="AA4737">
        <v>0.79485269999999997</v>
      </c>
      <c r="AB4737">
        <v>36</v>
      </c>
      <c r="AC4737">
        <v>-12.1648</v>
      </c>
      <c r="AD4737">
        <v>-1.1077390182860001</v>
      </c>
      <c r="AE4737">
        <v>-10.120100000000001</v>
      </c>
      <c r="AF4737">
        <v>-9.6866098811552099</v>
      </c>
      <c r="AG4737">
        <v>-1.1077390182860001</v>
      </c>
      <c r="AH4737">
        <v>12.414995913598499</v>
      </c>
      <c r="AI4737">
        <v>94.023946426024807</v>
      </c>
      <c r="AJ4737">
        <v>127.962588507672</v>
      </c>
      <c r="AK4737">
        <v>15.7857410423772</v>
      </c>
      <c r="AL4737">
        <v>70.128281480375605</v>
      </c>
      <c r="AM4737">
        <v>92.887931009297006</v>
      </c>
      <c r="AN4737">
        <v>1.00000006503957</v>
      </c>
    </row>
    <row r="4738" spans="1:40" x14ac:dyDescent="0.25">
      <c r="A4738" t="str">
        <f>"20190304164221157"</f>
        <v>20190304164221157</v>
      </c>
      <c r="B4738" t="str">
        <f>"1551688941145987"</f>
        <v>1551688941145987</v>
      </c>
      <c r="C4738" t="s">
        <v>40</v>
      </c>
      <c r="D4738">
        <v>3.911883</v>
      </c>
      <c r="E4738">
        <v>0.2192557</v>
      </c>
      <c r="F4738" t="s">
        <v>42</v>
      </c>
      <c r="G4738">
        <v>-241.84540000000001</v>
      </c>
      <c r="H4738" s="1">
        <v>-4.9218540000000003E-6</v>
      </c>
      <c r="I4738">
        <v>131.49539999999999</v>
      </c>
      <c r="J4738">
        <v>-229.69030000000001</v>
      </c>
      <c r="K4738">
        <v>1.1077779999999999</v>
      </c>
      <c r="L4738">
        <v>141.65729999999999</v>
      </c>
      <c r="M4738">
        <v>-0.99952719999999995</v>
      </c>
      <c r="N4738">
        <v>-5.6356160000000004E-3</v>
      </c>
      <c r="O4738">
        <v>-3.023116E-2</v>
      </c>
      <c r="P4738">
        <v>-0.93932459999999995</v>
      </c>
      <c r="Q4738">
        <v>0.33419520000000003</v>
      </c>
      <c r="R4738">
        <v>-7.7352340000000006E-2</v>
      </c>
      <c r="S4738">
        <v>-3.0820159999999999</v>
      </c>
      <c r="T4738">
        <v>-0.27507169999999997</v>
      </c>
      <c r="U4738">
        <v>-2.525131</v>
      </c>
      <c r="V4738">
        <v>-4.7597800000000003E-2</v>
      </c>
      <c r="W4738">
        <v>0.33968209999999999</v>
      </c>
      <c r="X4738">
        <v>0.93933520000000004</v>
      </c>
      <c r="Y4738">
        <v>-0.60857469999999902</v>
      </c>
      <c r="Z4738">
        <v>-2.3399300000000001E-2</v>
      </c>
      <c r="AA4738">
        <v>0.79315150000000001</v>
      </c>
      <c r="AB4738">
        <v>36</v>
      </c>
      <c r="AC4738">
        <v>-12.155099999999999</v>
      </c>
      <c r="AD4738">
        <v>-1.1077829218539901</v>
      </c>
      <c r="AE4738">
        <v>-10.161899999999999</v>
      </c>
      <c r="AF4738">
        <v>-9.7421575512624301</v>
      </c>
      <c r="AG4738">
        <v>-1.1077829218539901</v>
      </c>
      <c r="AH4738">
        <v>12.3961506210722</v>
      </c>
      <c r="AI4738">
        <v>94.019167661004204</v>
      </c>
      <c r="AJ4738">
        <v>128.16387015130201</v>
      </c>
      <c r="AK4738">
        <v>15.8051057249194</v>
      </c>
      <c r="AL4738">
        <v>70.142493935688705</v>
      </c>
      <c r="AM4738">
        <v>92.900798922545107</v>
      </c>
      <c r="AN4738">
        <v>1.0000000487921401</v>
      </c>
    </row>
    <row r="4739" spans="1:40" x14ac:dyDescent="0.25">
      <c r="A4739" t="str">
        <f>"20190304164221182"</f>
        <v>20190304164221182</v>
      </c>
      <c r="B4739" t="str">
        <f>"1551688941176244"</f>
        <v>1551688941176244</v>
      </c>
      <c r="C4739" t="s">
        <v>40</v>
      </c>
      <c r="D4739">
        <v>3.4561980000000001</v>
      </c>
      <c r="E4739">
        <v>0.2187656</v>
      </c>
      <c r="F4739" t="s">
        <v>41</v>
      </c>
      <c r="G4739">
        <v>-230.43459999999999</v>
      </c>
      <c r="H4739">
        <v>1.041169</v>
      </c>
      <c r="I4739">
        <v>141.04759999999999</v>
      </c>
      <c r="J4739">
        <v>-230.0702</v>
      </c>
      <c r="K4739">
        <v>1.1078399999999999</v>
      </c>
      <c r="L4739">
        <v>141.64709999999999</v>
      </c>
      <c r="M4739">
        <v>-0.99957280000000004</v>
      </c>
      <c r="N4739">
        <v>-5.6503169999999898E-3</v>
      </c>
      <c r="O4739">
        <v>-2.8678260000000001E-2</v>
      </c>
      <c r="P4739">
        <v>-0.93923650000000003</v>
      </c>
      <c r="Q4739">
        <v>0.33487230000000001</v>
      </c>
      <c r="R4739">
        <v>-7.5470709999999996E-2</v>
      </c>
      <c r="S4739">
        <v>-3.0839539999999999</v>
      </c>
      <c r="T4739">
        <v>-0.27600279999999999</v>
      </c>
      <c r="U4739">
        <v>-2.526535</v>
      </c>
      <c r="V4739">
        <v>-4.723517E-2</v>
      </c>
      <c r="W4739">
        <v>0.34036240000000001</v>
      </c>
      <c r="X4739">
        <v>0.93910720000000003</v>
      </c>
      <c r="Y4739">
        <v>-0.60976149999999996</v>
      </c>
      <c r="Z4739">
        <v>-2.3626370000000001E-2</v>
      </c>
      <c r="AA4739">
        <v>0.79223279999999996</v>
      </c>
      <c r="AB4739">
        <v>36</v>
      </c>
      <c r="AC4739">
        <v>-0.36439999999998901</v>
      </c>
      <c r="AD4739">
        <v>-6.6670999999999897E-2</v>
      </c>
      <c r="AE4739">
        <v>-0.59950000000000603</v>
      </c>
      <c r="AF4739">
        <v>-0.58353291452881195</v>
      </c>
      <c r="AG4739">
        <v>-6.6670999999999897E-2</v>
      </c>
      <c r="AH4739">
        <v>0.378028967467674</v>
      </c>
      <c r="AI4739">
        <v>95.477381594157194</v>
      </c>
      <c r="AJ4739">
        <v>147.06370314948401</v>
      </c>
      <c r="AK4739">
        <v>0.69847089046299304</v>
      </c>
      <c r="AL4739">
        <v>70.101045630871695</v>
      </c>
      <c r="AM4739">
        <v>92.879433861468002</v>
      </c>
      <c r="AN4739">
        <v>1.00000002885526</v>
      </c>
    </row>
    <row r="4740" spans="1:40" x14ac:dyDescent="0.25">
      <c r="A4740" t="str">
        <f>"20190304164221194"</f>
        <v>20190304164221194</v>
      </c>
      <c r="B4740" t="str">
        <f>"1551688941186003"</f>
        <v>1551688941186003</v>
      </c>
      <c r="C4740" t="s">
        <v>40</v>
      </c>
      <c r="D4740">
        <v>3.5810200000000001</v>
      </c>
      <c r="E4740">
        <v>0.40271620000000002</v>
      </c>
      <c r="F4740" t="s">
        <v>41</v>
      </c>
      <c r="G4740">
        <v>-230.76779999999999</v>
      </c>
      <c r="H4740">
        <v>1.0462340000000001</v>
      </c>
      <c r="I4740">
        <v>141.077</v>
      </c>
      <c r="J4740">
        <v>-230.29339999999999</v>
      </c>
      <c r="K4740">
        <v>1.107877</v>
      </c>
      <c r="L4740">
        <v>141.6414</v>
      </c>
      <c r="M4740">
        <v>-0.99959730000000002</v>
      </c>
      <c r="N4740">
        <v>-5.6595860000000003E-3</v>
      </c>
      <c r="O4740">
        <v>-2.7812900000000002E-2</v>
      </c>
      <c r="P4740">
        <v>-0.93918449999999998</v>
      </c>
      <c r="Q4740">
        <v>0.33524809999999999</v>
      </c>
      <c r="R4740">
        <v>-7.4442359999999999E-2</v>
      </c>
      <c r="S4740">
        <v>-3.0885159999999998</v>
      </c>
      <c r="T4740">
        <v>-0.2727427</v>
      </c>
      <c r="U4740">
        <v>-2.5242610000000001</v>
      </c>
      <c r="V4740">
        <v>-4.7051419999999997E-2</v>
      </c>
      <c r="W4740">
        <v>0.34074130000000002</v>
      </c>
      <c r="X4740">
        <v>0.93897900000000001</v>
      </c>
      <c r="Y4740">
        <v>-0.60955800000000004</v>
      </c>
      <c r="Z4740">
        <v>-2.3408760000000001E-2</v>
      </c>
      <c r="AA4740">
        <v>0.79239579999999998</v>
      </c>
      <c r="AB4740">
        <v>36</v>
      </c>
      <c r="AC4740">
        <v>-0.47440000000000199</v>
      </c>
      <c r="AD4740">
        <v>-6.1642999999999802E-2</v>
      </c>
      <c r="AE4740">
        <v>-0.56440000000000601</v>
      </c>
      <c r="AF4740">
        <v>-0.547162263025464</v>
      </c>
      <c r="AG4740">
        <v>-6.1642999999999802E-2</v>
      </c>
      <c r="AH4740">
        <v>0.48651352235857398</v>
      </c>
      <c r="AI4740">
        <v>94.812467637158406</v>
      </c>
      <c r="AJ4740">
        <v>138.35785907175</v>
      </c>
      <c r="AK4740">
        <v>0.73476649962140606</v>
      </c>
      <c r="AL4740">
        <v>70.077955834885103</v>
      </c>
      <c r="AM4740">
        <v>92.868642240447997</v>
      </c>
      <c r="AN4740">
        <v>1.0000000160453499</v>
      </c>
    </row>
    <row r="4741" spans="1:40" x14ac:dyDescent="0.25">
      <c r="A4741" t="str">
        <f>"20190304164221226"</f>
        <v>20190304164221226</v>
      </c>
      <c r="B4741" t="str">
        <f>"1551688941216259"</f>
        <v>1551688941216259</v>
      </c>
      <c r="C4741" t="s">
        <v>40</v>
      </c>
      <c r="D4741">
        <v>3.9014250000000001</v>
      </c>
      <c r="E4741">
        <v>0.52244729999999995</v>
      </c>
      <c r="F4741" t="s">
        <v>42</v>
      </c>
      <c r="G4741">
        <v>-249.11</v>
      </c>
      <c r="H4741" s="1">
        <v>-1.4108150000000001E-6</v>
      </c>
      <c r="I4741">
        <v>135.3998</v>
      </c>
      <c r="J4741">
        <v>-230.78899999999999</v>
      </c>
      <c r="K4741">
        <v>1.107942</v>
      </c>
      <c r="L4741">
        <v>141.6293</v>
      </c>
      <c r="M4741">
        <v>-0.99964699999999995</v>
      </c>
      <c r="N4741">
        <v>-5.6812360000000001E-3</v>
      </c>
      <c r="O4741">
        <v>-2.5957480000000002E-2</v>
      </c>
      <c r="P4741">
        <v>-0.93937139999999997</v>
      </c>
      <c r="Q4741">
        <v>0.33518730000000002</v>
      </c>
      <c r="R4741">
        <v>-7.2324189999999997E-2</v>
      </c>
      <c r="S4741">
        <v>-3.1774900000000001</v>
      </c>
      <c r="T4741">
        <v>-0.18708350000000001</v>
      </c>
      <c r="U4741">
        <v>-1.0539860000000001</v>
      </c>
      <c r="V4741">
        <v>-4.6733070000000002E-2</v>
      </c>
      <c r="W4741">
        <v>0.34069189999999999</v>
      </c>
      <c r="X4741">
        <v>0.93901279999999998</v>
      </c>
      <c r="Y4741">
        <v>-0.2896262</v>
      </c>
      <c r="Z4741">
        <v>-7.8001919999999897E-3</v>
      </c>
      <c r="AA4741">
        <v>0.95710810000000002</v>
      </c>
      <c r="AB4741">
        <v>36</v>
      </c>
      <c r="AC4741">
        <v>-18.321000000000002</v>
      </c>
      <c r="AD4741">
        <v>-1.1079434108149999</v>
      </c>
      <c r="AE4741">
        <v>-6.2294999999999998</v>
      </c>
      <c r="AF4741">
        <v>-5.7330327749154</v>
      </c>
      <c r="AG4741">
        <v>-1.1079434108149999</v>
      </c>
      <c r="AH4741">
        <v>18.416161074108501</v>
      </c>
      <c r="AI4741">
        <v>93.2875966482965</v>
      </c>
      <c r="AJ4741">
        <v>107.29159740824799</v>
      </c>
      <c r="AK4741">
        <v>19.3196840581654</v>
      </c>
      <c r="AL4741">
        <v>70.080965933024601</v>
      </c>
      <c r="AM4741">
        <v>92.849162702328101</v>
      </c>
      <c r="AN4741">
        <v>0.99999999456053701</v>
      </c>
    </row>
    <row r="4742" spans="1:40" x14ac:dyDescent="0.25">
      <c r="A4742" t="str">
        <f>"20190304164221238"</f>
        <v>20190304164221238</v>
      </c>
      <c r="B4742" t="str">
        <f>"1551688941226020"</f>
        <v>1551688941226020</v>
      </c>
      <c r="C4742" t="s">
        <v>40</v>
      </c>
      <c r="D4742">
        <v>4.0201180000000001</v>
      </c>
      <c r="E4742">
        <v>0.53076699999999999</v>
      </c>
      <c r="F4742" t="s">
        <v>41</v>
      </c>
      <c r="G4742">
        <v>-231.7714</v>
      </c>
      <c r="H4742">
        <v>1.015844</v>
      </c>
      <c r="I4742">
        <v>141.59950000000001</v>
      </c>
      <c r="J4742">
        <v>-231.00129999999999</v>
      </c>
      <c r="K4742">
        <v>1.107961</v>
      </c>
      <c r="L4742">
        <v>141.62440000000001</v>
      </c>
      <c r="M4742">
        <v>-0.99966650000000001</v>
      </c>
      <c r="N4742">
        <v>-5.6909430000000004E-3</v>
      </c>
      <c r="O4742">
        <v>-2.518985E-2</v>
      </c>
      <c r="P4742">
        <v>-0.93947539999999996</v>
      </c>
      <c r="Q4742">
        <v>0.33497779999999999</v>
      </c>
      <c r="R4742">
        <v>-7.1943980000000005E-2</v>
      </c>
      <c r="S4742">
        <v>-3.2961429999999998</v>
      </c>
      <c r="T4742">
        <v>-0.30902619999999997</v>
      </c>
      <c r="U4742">
        <v>-0.1005249</v>
      </c>
      <c r="V4742">
        <v>-4.709224E-2</v>
      </c>
      <c r="W4742">
        <v>0.34049059999999998</v>
      </c>
      <c r="X4742">
        <v>0.93906789999999996</v>
      </c>
      <c r="Y4742">
        <v>-5.3677250000000003E-3</v>
      </c>
      <c r="Z4742">
        <v>1.946143E-3</v>
      </c>
      <c r="AA4742">
        <v>0.99998370000000003</v>
      </c>
      <c r="AB4742">
        <v>36</v>
      </c>
      <c r="AC4742">
        <v>-0.770100000000013</v>
      </c>
      <c r="AD4742">
        <v>-9.2116999999999893E-2</v>
      </c>
      <c r="AE4742">
        <v>-2.4900000000002299E-2</v>
      </c>
      <c r="AF4742">
        <v>-5.4156735723244502E-3</v>
      </c>
      <c r="AG4742">
        <v>-9.2116999999999893E-2</v>
      </c>
      <c r="AH4742">
        <v>0.75962533722924397</v>
      </c>
      <c r="AI4742">
        <v>96.914115770756695</v>
      </c>
      <c r="AJ4742">
        <v>90.408477662081495</v>
      </c>
      <c r="AK4742">
        <v>0.76520946424484604</v>
      </c>
      <c r="AL4742">
        <v>70.093233620422794</v>
      </c>
      <c r="AM4742">
        <v>92.8708554515391</v>
      </c>
      <c r="AN4742">
        <v>1.0000000242834901</v>
      </c>
    </row>
    <row r="4743" spans="1:40" x14ac:dyDescent="0.25">
      <c r="A4743" t="str">
        <f>"20190304164221271"</f>
        <v>20190304164221271</v>
      </c>
      <c r="B4743" t="str">
        <f>"1551688941266035"</f>
        <v>1551688941266035</v>
      </c>
      <c r="C4743" t="s">
        <v>40</v>
      </c>
      <c r="D4743">
        <v>3.9121649999999999</v>
      </c>
      <c r="E4743">
        <v>0.53966190000000003</v>
      </c>
      <c r="F4743" t="s">
        <v>41</v>
      </c>
      <c r="G4743">
        <v>-231.779</v>
      </c>
      <c r="H4743">
        <v>1.031658</v>
      </c>
      <c r="I4743">
        <v>141.61670000000001</v>
      </c>
      <c r="J4743">
        <v>-231.5247</v>
      </c>
      <c r="K4743">
        <v>1.107993</v>
      </c>
      <c r="L4743">
        <v>141.613</v>
      </c>
      <c r="M4743">
        <v>-0.99971129999999997</v>
      </c>
      <c r="N4743">
        <v>-5.7157960000000004E-3</v>
      </c>
      <c r="O4743">
        <v>-2.3338669999999999E-2</v>
      </c>
      <c r="P4743">
        <v>-0.93976179999999998</v>
      </c>
      <c r="Q4743">
        <v>0.33438830000000003</v>
      </c>
      <c r="R4743">
        <v>-7.0939909999999995E-2</v>
      </c>
      <c r="S4743">
        <v>-3.3063509999999998</v>
      </c>
      <c r="T4743">
        <v>-0.32438099999999997</v>
      </c>
      <c r="U4743">
        <v>-3.363037E-2</v>
      </c>
      <c r="V4743">
        <v>-4.7858970000000001E-2</v>
      </c>
      <c r="W4743">
        <v>0.33992349999999999</v>
      </c>
      <c r="X4743">
        <v>0.93923460000000003</v>
      </c>
      <c r="Y4743">
        <v>1.300428E-2</v>
      </c>
      <c r="Z4743">
        <v>2.8244780000000001E-3</v>
      </c>
      <c r="AA4743">
        <v>0.99991140000000001</v>
      </c>
      <c r="AB4743">
        <v>36</v>
      </c>
      <c r="AC4743">
        <v>-0.254300000000029</v>
      </c>
      <c r="AD4743">
        <v>-7.6335E-2</v>
      </c>
      <c r="AE4743">
        <v>3.70000000000914E-3</v>
      </c>
      <c r="AF4743">
        <v>8.8379290408984994E-3</v>
      </c>
      <c r="AG4743">
        <v>-7.6335E-2</v>
      </c>
      <c r="AH4743">
        <v>0.23314134079983101</v>
      </c>
      <c r="AI4743">
        <v>108.11728938218999</v>
      </c>
      <c r="AJ4743">
        <v>87.829069338042302</v>
      </c>
      <c r="AK4743">
        <v>0.24547917631578201</v>
      </c>
      <c r="AL4743">
        <v>70.127787695868506</v>
      </c>
      <c r="AM4743">
        <v>92.917000113159901</v>
      </c>
      <c r="AN4743">
        <v>1.00000005034943</v>
      </c>
    </row>
    <row r="4744" spans="1:40" x14ac:dyDescent="0.25">
      <c r="A4744" t="str">
        <f>"20190304164221294"</f>
        <v>20190304164221294</v>
      </c>
      <c r="B4744" t="str">
        <f>"1551688941285556"</f>
        <v>1551688941285556</v>
      </c>
      <c r="C4744" t="s">
        <v>40</v>
      </c>
      <c r="D4744">
        <v>3.879759</v>
      </c>
      <c r="E4744">
        <v>0.54031300000000004</v>
      </c>
      <c r="F4744" t="s">
        <v>41</v>
      </c>
      <c r="G4744">
        <v>-232.4247</v>
      </c>
      <c r="H4744">
        <v>1.0114879999999999</v>
      </c>
      <c r="I4744">
        <v>141.6233</v>
      </c>
      <c r="J4744">
        <v>-231.90639999999999</v>
      </c>
      <c r="K4744">
        <v>1.108007</v>
      </c>
      <c r="L4744">
        <v>141.6053</v>
      </c>
      <c r="M4744">
        <v>-0.99974130000000005</v>
      </c>
      <c r="N4744">
        <v>-5.7343940000000003E-3</v>
      </c>
      <c r="O4744">
        <v>-2.201053E-2</v>
      </c>
      <c r="P4744">
        <v>-0.93989590000000001</v>
      </c>
      <c r="Q4744">
        <v>0.33418150000000002</v>
      </c>
      <c r="R4744">
        <v>-7.0131180000000001E-2</v>
      </c>
      <c r="S4744">
        <v>-3.3218839999999998</v>
      </c>
      <c r="T4744">
        <v>-0.35619529999999999</v>
      </c>
      <c r="U4744">
        <v>3.7612920000000001E-2</v>
      </c>
      <c r="V4744">
        <v>-4.8313490000000001E-2</v>
      </c>
      <c r="W4744">
        <v>0.33973330000000002</v>
      </c>
      <c r="X4744">
        <v>0.93928009999999995</v>
      </c>
      <c r="Y4744">
        <v>3.3016330000000003E-2</v>
      </c>
      <c r="Z4744">
        <v>4.0873109999999997E-3</v>
      </c>
      <c r="AA4744">
        <v>0.99944650000000002</v>
      </c>
      <c r="AB4744">
        <v>37</v>
      </c>
      <c r="AC4744">
        <v>-0.51830000000000997</v>
      </c>
      <c r="AD4744">
        <v>-9.6518999999999994E-2</v>
      </c>
      <c r="AE4744">
        <v>1.8000000000000599E-2</v>
      </c>
      <c r="AF4744">
        <v>2.8419518718264598E-2</v>
      </c>
      <c r="AG4744">
        <v>-9.6518999999999994E-2</v>
      </c>
      <c r="AH4744">
        <v>0.50044436619316501</v>
      </c>
      <c r="AI4744">
        <v>100.89926545217099</v>
      </c>
      <c r="AJ4744">
        <v>86.749745712275299</v>
      </c>
      <c r="AK4744">
        <v>0.51045876430879</v>
      </c>
      <c r="AL4744">
        <v>70.139374048902596</v>
      </c>
      <c r="AM4744">
        <v>92.944512148731704</v>
      </c>
      <c r="AN4744">
        <v>1.00000000735044</v>
      </c>
    </row>
    <row r="4745" spans="1:40" x14ac:dyDescent="0.25">
      <c r="A4745" t="str">
        <f>"20190304164221314"</f>
        <v>20190304164221314</v>
      </c>
      <c r="B4745" t="str">
        <f>"1551688941306051"</f>
        <v>1551688941306051</v>
      </c>
      <c r="C4745" t="s">
        <v>40</v>
      </c>
      <c r="D4745">
        <v>3.905932</v>
      </c>
      <c r="E4745">
        <v>0.54046669999999997</v>
      </c>
      <c r="F4745" t="s">
        <v>41</v>
      </c>
      <c r="G4745">
        <v>-232.75489999999999</v>
      </c>
      <c r="H4745">
        <v>1.013898</v>
      </c>
      <c r="I4745">
        <v>141.61680000000001</v>
      </c>
      <c r="J4745">
        <v>-232.2483</v>
      </c>
      <c r="K4745">
        <v>1.1080129999999999</v>
      </c>
      <c r="L4745">
        <v>141.59870000000001</v>
      </c>
      <c r="M4745">
        <v>-0.9997665</v>
      </c>
      <c r="N4745">
        <v>-5.7514910000000001E-3</v>
      </c>
      <c r="O4745">
        <v>-2.0828269999999999E-2</v>
      </c>
      <c r="P4745">
        <v>-0.9401583</v>
      </c>
      <c r="Q4745">
        <v>0.33358870000000002</v>
      </c>
      <c r="R4745">
        <v>-6.943378E-2</v>
      </c>
      <c r="S4745">
        <v>-3.326355</v>
      </c>
      <c r="T4745">
        <v>-0.36900149999999998</v>
      </c>
      <c r="U4745">
        <v>4.4387820000000001E-2</v>
      </c>
      <c r="V4745">
        <v>-4.8735849999999997E-2</v>
      </c>
      <c r="W4745">
        <v>0.33915780000000001</v>
      </c>
      <c r="X4745">
        <v>0.93946620000000003</v>
      </c>
      <c r="Y4745">
        <v>3.3833780000000001E-2</v>
      </c>
      <c r="Z4745">
        <v>4.1523109999999997E-3</v>
      </c>
      <c r="AA4745">
        <v>0.9994189</v>
      </c>
      <c r="AB4745">
        <v>37</v>
      </c>
      <c r="AC4745">
        <v>-0.50659999999999095</v>
      </c>
      <c r="AD4745">
        <v>-9.4114999999999893E-2</v>
      </c>
      <c r="AE4745">
        <v>1.8100000000003998E-2</v>
      </c>
      <c r="AF4745">
        <v>2.7693279974187499E-2</v>
      </c>
      <c r="AG4745">
        <v>-9.4114999999999893E-2</v>
      </c>
      <c r="AH4745">
        <v>0.48924899808547001</v>
      </c>
      <c r="AI4745">
        <v>100.87177619857</v>
      </c>
      <c r="AJ4745">
        <v>86.760306654347303</v>
      </c>
      <c r="AK4745">
        <v>0.49898810918534398</v>
      </c>
      <c r="AL4745">
        <v>70.174428342622505</v>
      </c>
      <c r="AM4745">
        <v>92.969620073242098</v>
      </c>
      <c r="AN4745">
        <v>0.99999996865925</v>
      </c>
    </row>
    <row r="4746" spans="1:40" x14ac:dyDescent="0.25">
      <c r="A4746" t="str">
        <f>"20190304164221337"</f>
        <v>20190304164221337</v>
      </c>
      <c r="B4746" t="str">
        <f>"1551688941325571"</f>
        <v>1551688941325571</v>
      </c>
      <c r="C4746" t="s">
        <v>40</v>
      </c>
      <c r="D4746">
        <v>3.8825509999999999</v>
      </c>
      <c r="E4746">
        <v>0.54067119999999902</v>
      </c>
      <c r="F4746" t="s">
        <v>41</v>
      </c>
      <c r="G4746">
        <v>-233.08449999999999</v>
      </c>
      <c r="H4746">
        <v>1.0130239999999999</v>
      </c>
      <c r="I4746">
        <v>141.61060000000001</v>
      </c>
      <c r="J4746">
        <v>-232.619</v>
      </c>
      <c r="K4746">
        <v>1.1080129999999999</v>
      </c>
      <c r="L4746">
        <v>141.59209999999999</v>
      </c>
      <c r="M4746">
        <v>-0.99979220000000002</v>
      </c>
      <c r="N4746">
        <v>-5.7704289999999997E-3</v>
      </c>
      <c r="O4746">
        <v>-1.9549090000000002E-2</v>
      </c>
      <c r="P4746">
        <v>-0.94048359999999998</v>
      </c>
      <c r="Q4746">
        <v>0.33286459999999901</v>
      </c>
      <c r="R4746">
        <v>-6.8497749999999996E-2</v>
      </c>
      <c r="S4746">
        <v>-3.3285520000000002</v>
      </c>
      <c r="T4746">
        <v>-0.37812669999999998</v>
      </c>
      <c r="U4746">
        <v>4.66156E-2</v>
      </c>
      <c r="V4746">
        <v>-4.9008450000000002E-2</v>
      </c>
      <c r="W4746">
        <v>0.33845249999999999</v>
      </c>
      <c r="X4746">
        <v>0.93970640000000005</v>
      </c>
      <c r="Y4746">
        <v>3.3210459999999997E-2</v>
      </c>
      <c r="Z4746">
        <v>4.0774569999999996E-3</v>
      </c>
      <c r="AA4746">
        <v>0.99944010000000005</v>
      </c>
      <c r="AB4746">
        <v>37</v>
      </c>
      <c r="AC4746">
        <v>-0.465499999999963</v>
      </c>
      <c r="AD4746">
        <v>-9.4989000000000004E-2</v>
      </c>
      <c r="AE4746">
        <v>1.8500000000017201E-2</v>
      </c>
      <c r="AF4746">
        <v>2.6495206012005501E-2</v>
      </c>
      <c r="AG4746">
        <v>-9.4989000000000004E-2</v>
      </c>
      <c r="AH4746">
        <v>0.44648711756282999</v>
      </c>
      <c r="AI4746">
        <v>101.989984117486</v>
      </c>
      <c r="AJ4746">
        <v>86.603966230897399</v>
      </c>
      <c r="AK4746">
        <v>0.45724791110751201</v>
      </c>
      <c r="AL4746">
        <v>70.217380397237406</v>
      </c>
      <c r="AM4746">
        <v>92.985438493474305</v>
      </c>
      <c r="AN4746">
        <v>1.0000000205643</v>
      </c>
    </row>
    <row r="4747" spans="1:40" x14ac:dyDescent="0.25">
      <c r="A4747" t="str">
        <f>"20190304164221360"</f>
        <v>20190304164221360</v>
      </c>
      <c r="B4747" t="str">
        <f>"1551688941355827"</f>
        <v>1551688941355827</v>
      </c>
      <c r="C4747" t="s">
        <v>40</v>
      </c>
      <c r="D4747">
        <v>3.8700899999999998</v>
      </c>
      <c r="E4747">
        <v>0.54091489999999998</v>
      </c>
      <c r="F4747" t="s">
        <v>41</v>
      </c>
      <c r="G4747">
        <v>-233.4171</v>
      </c>
      <c r="H4747">
        <v>1.016556</v>
      </c>
      <c r="I4747">
        <v>141.60480000000001</v>
      </c>
      <c r="J4747">
        <v>-232.99870000000001</v>
      </c>
      <c r="K4747">
        <v>1.1080179999999999</v>
      </c>
      <c r="L4747">
        <v>141.58580000000001</v>
      </c>
      <c r="M4747">
        <v>-0.99981690000000001</v>
      </c>
      <c r="N4747">
        <v>-5.7900919999999897E-3</v>
      </c>
      <c r="O4747">
        <v>-1.8240349999999999E-2</v>
      </c>
      <c r="P4747">
        <v>-0.9407238</v>
      </c>
      <c r="Q4747">
        <v>0.33239360000000001</v>
      </c>
      <c r="R4747">
        <v>-6.7481050000000001E-2</v>
      </c>
      <c r="S4747">
        <v>-3.328659</v>
      </c>
      <c r="T4747">
        <v>-0.38146619999999998</v>
      </c>
      <c r="U4747">
        <v>5.1879880000000003E-2</v>
      </c>
      <c r="V4747">
        <v>-4.9227100000000003E-2</v>
      </c>
      <c r="W4747">
        <v>0.33800069999999999</v>
      </c>
      <c r="X4747">
        <v>0.93985750000000001</v>
      </c>
      <c r="Y4747">
        <v>3.348193E-2</v>
      </c>
      <c r="Z4747">
        <v>3.9875370000000002E-3</v>
      </c>
      <c r="AA4747">
        <v>0.99943139999999997</v>
      </c>
      <c r="AB4747">
        <v>37</v>
      </c>
      <c r="AC4747">
        <v>-0.418399999999991</v>
      </c>
      <c r="AD4747">
        <v>-9.1461999999999904E-2</v>
      </c>
      <c r="AE4747">
        <v>1.9000000000005401E-2</v>
      </c>
      <c r="AF4747">
        <v>2.54166746262019E-2</v>
      </c>
      <c r="AG4747">
        <v>-9.1461999999999904E-2</v>
      </c>
      <c r="AH4747">
        <v>0.39895853327608399</v>
      </c>
      <c r="AI4747">
        <v>102.886797887393</v>
      </c>
      <c r="AJ4747">
        <v>86.354751971952098</v>
      </c>
      <c r="AK4747">
        <v>0.41009659358114398</v>
      </c>
      <c r="AL4747">
        <v>70.244886343496702</v>
      </c>
      <c r="AM4747">
        <v>92.998252474024099</v>
      </c>
      <c r="AN4747">
        <v>0.99999995044057299</v>
      </c>
    </row>
    <row r="4748" spans="1:40" x14ac:dyDescent="0.25">
      <c r="A4748" t="str">
        <f>"20190304164221383"</f>
        <v>20190304164221383</v>
      </c>
      <c r="B4748" t="str">
        <f>"1551688941376324"</f>
        <v>1551688941376324</v>
      </c>
      <c r="C4748" t="s">
        <v>40</v>
      </c>
      <c r="D4748">
        <v>3.8910200000000001</v>
      </c>
      <c r="E4748">
        <v>0.54087810000000003</v>
      </c>
      <c r="F4748" t="s">
        <v>41</v>
      </c>
      <c r="G4748">
        <v>-233.75129999999999</v>
      </c>
      <c r="H4748">
        <v>1.021226</v>
      </c>
      <c r="I4748">
        <v>141.5992</v>
      </c>
      <c r="J4748">
        <v>-233.3837</v>
      </c>
      <c r="K4748">
        <v>1.1080239999999999</v>
      </c>
      <c r="L4748">
        <v>141.57990000000001</v>
      </c>
      <c r="M4748">
        <v>-0.99984019999999996</v>
      </c>
      <c r="N4748">
        <v>-5.8102780000000003E-3</v>
      </c>
      <c r="O4748">
        <v>-1.691264E-2</v>
      </c>
      <c r="P4748">
        <v>-0.94095309999999999</v>
      </c>
      <c r="Q4748">
        <v>0.33192110000000002</v>
      </c>
      <c r="R4748">
        <v>-6.6601199999999999E-2</v>
      </c>
      <c r="S4748">
        <v>-3.3289029999999999</v>
      </c>
      <c r="T4748">
        <v>-0.38389440000000002</v>
      </c>
      <c r="U4748">
        <v>5.885315E-2</v>
      </c>
      <c r="V4748">
        <v>-4.9600440000000003E-2</v>
      </c>
      <c r="W4748">
        <v>0.33754869999999998</v>
      </c>
      <c r="X4748">
        <v>0.94000039999999996</v>
      </c>
      <c r="Y4748">
        <v>3.424497E-2</v>
      </c>
      <c r="Z4748">
        <v>3.9136099999999997E-3</v>
      </c>
      <c r="AA4748">
        <v>0.99940580000000001</v>
      </c>
      <c r="AB4748">
        <v>37</v>
      </c>
      <c r="AC4748">
        <v>-0.367599999999981</v>
      </c>
      <c r="AD4748">
        <v>-8.6797999999999903E-2</v>
      </c>
      <c r="AE4748">
        <v>1.9299999999986901E-2</v>
      </c>
      <c r="AF4748">
        <v>2.41705531717476E-2</v>
      </c>
      <c r="AG4748">
        <v>-8.6797999999999903E-2</v>
      </c>
      <c r="AH4748">
        <v>0.34787901126631299</v>
      </c>
      <c r="AI4748">
        <v>103.977245705412</v>
      </c>
      <c r="AJ4748">
        <v>86.025489857953701</v>
      </c>
      <c r="AK4748">
        <v>0.35935764208411602</v>
      </c>
      <c r="AL4748">
        <v>70.272403011951596</v>
      </c>
      <c r="AM4748">
        <v>93.020490963918206</v>
      </c>
      <c r="AN4748">
        <v>1.00000004026002</v>
      </c>
    </row>
    <row r="4749" spans="1:40" x14ac:dyDescent="0.25">
      <c r="A4749" t="str">
        <f>"20190304164221404"</f>
        <v>20190304164221404</v>
      </c>
      <c r="B4749" t="str">
        <f>"1551688941395843"</f>
        <v>1551688941395843</v>
      </c>
      <c r="C4749" t="s">
        <v>40</v>
      </c>
      <c r="D4749">
        <v>3.8942420000000002</v>
      </c>
      <c r="E4749">
        <v>0.54084089999999996</v>
      </c>
      <c r="F4749" t="s">
        <v>41</v>
      </c>
      <c r="G4749">
        <v>-234.40280000000001</v>
      </c>
      <c r="H4749">
        <v>0.98990420000000001</v>
      </c>
      <c r="I4749">
        <v>141.5992</v>
      </c>
      <c r="J4749">
        <v>-233.74180000000001</v>
      </c>
      <c r="K4749">
        <v>1.1080239999999999</v>
      </c>
      <c r="L4749">
        <v>141.57490000000001</v>
      </c>
      <c r="M4749">
        <v>-0.99986019999999998</v>
      </c>
      <c r="N4749">
        <v>-5.8290879999999996E-3</v>
      </c>
      <c r="O4749">
        <v>-1.5678040000000001E-2</v>
      </c>
      <c r="P4749">
        <v>-0.94108519999999896</v>
      </c>
      <c r="Q4749">
        <v>0.3318276</v>
      </c>
      <c r="R4749">
        <v>-6.5188969999999999E-2</v>
      </c>
      <c r="S4749">
        <v>-3.3287960000000001</v>
      </c>
      <c r="T4749">
        <v>-0.38579400000000003</v>
      </c>
      <c r="U4749">
        <v>6.30188E-2</v>
      </c>
      <c r="V4749">
        <v>-4.9351779999999998E-2</v>
      </c>
      <c r="W4749">
        <v>0.33747149999999998</v>
      </c>
      <c r="X4749">
        <v>0.94004120000000002</v>
      </c>
      <c r="Y4749">
        <v>3.4265660000000003E-2</v>
      </c>
      <c r="Z4749">
        <v>3.7987749999999999E-3</v>
      </c>
      <c r="AA4749">
        <v>0.99940560000000001</v>
      </c>
      <c r="AB4749">
        <v>37</v>
      </c>
      <c r="AC4749">
        <v>-0.66100000000000103</v>
      </c>
      <c r="AD4749">
        <v>-0.1181198</v>
      </c>
      <c r="AE4749">
        <v>2.4299999999982402E-2</v>
      </c>
      <c r="AF4749">
        <v>3.3589209313941701E-2</v>
      </c>
      <c r="AG4749">
        <v>-0.1181198</v>
      </c>
      <c r="AH4749">
        <v>0.64012414630390801</v>
      </c>
      <c r="AI4749">
        <v>100.440930562266</v>
      </c>
      <c r="AJ4749">
        <v>86.996275609259598</v>
      </c>
      <c r="AK4749">
        <v>0.65179708868303698</v>
      </c>
      <c r="AL4749">
        <v>70.277101855670097</v>
      </c>
      <c r="AM4749">
        <v>93.005246079895002</v>
      </c>
      <c r="AN4749">
        <v>1.00000003459942</v>
      </c>
    </row>
    <row r="4750" spans="1:40" x14ac:dyDescent="0.25">
      <c r="A4750" t="str">
        <f>"20190304164221426"</f>
        <v>20190304164221426</v>
      </c>
      <c r="B4750" t="str">
        <f>"1551688941416339"</f>
        <v>1551688941416339</v>
      </c>
      <c r="C4750" t="s">
        <v>40</v>
      </c>
      <c r="D4750">
        <v>3.8738419999999998</v>
      </c>
      <c r="E4750">
        <v>0.53062640000000005</v>
      </c>
      <c r="F4750" t="s">
        <v>41</v>
      </c>
      <c r="G4750">
        <v>-234.73859999999999</v>
      </c>
      <c r="H4750">
        <v>0.99221649999999995</v>
      </c>
      <c r="I4750">
        <v>141.59540000000001</v>
      </c>
      <c r="J4750">
        <v>-234.09739999999999</v>
      </c>
      <c r="K4750">
        <v>1.108025</v>
      </c>
      <c r="L4750">
        <v>141.5703</v>
      </c>
      <c r="M4750">
        <v>-0.9998785</v>
      </c>
      <c r="N4750">
        <v>-5.8479059999999999E-3</v>
      </c>
      <c r="O4750">
        <v>-1.445343E-2</v>
      </c>
      <c r="P4750">
        <v>-0.94119079999999999</v>
      </c>
      <c r="Q4750">
        <v>0.33187230000000001</v>
      </c>
      <c r="R4750">
        <v>-6.3409259999999995E-2</v>
      </c>
      <c r="S4750">
        <v>-3.3288730000000002</v>
      </c>
      <c r="T4750">
        <v>-0.38669900000000001</v>
      </c>
      <c r="U4750">
        <v>6.7932129999999993E-2</v>
      </c>
      <c r="V4750">
        <v>-4.8725339999999999E-2</v>
      </c>
      <c r="W4750">
        <v>0.3375321</v>
      </c>
      <c r="X4750">
        <v>0.94005209999999995</v>
      </c>
      <c r="Y4750">
        <v>3.4519809999999998E-2</v>
      </c>
      <c r="Z4750">
        <v>3.6883340000000001E-3</v>
      </c>
      <c r="AA4750">
        <v>0.99939719999999999</v>
      </c>
      <c r="AB4750">
        <v>37</v>
      </c>
      <c r="AC4750">
        <v>-0.64119999999999699</v>
      </c>
      <c r="AD4750">
        <v>-0.115808499999999</v>
      </c>
      <c r="AE4750">
        <v>2.5100000000009001E-2</v>
      </c>
      <c r="AF4750">
        <v>3.3281082740006802E-2</v>
      </c>
      <c r="AG4750">
        <v>-0.115808499999999</v>
      </c>
      <c r="AH4750">
        <v>0.62055813786861902</v>
      </c>
      <c r="AI4750">
        <v>100.556105767262</v>
      </c>
      <c r="AJ4750">
        <v>86.930117599509998</v>
      </c>
      <c r="AK4750">
        <v>0.63214843321451397</v>
      </c>
      <c r="AL4750">
        <v>70.273412882267706</v>
      </c>
      <c r="AM4750">
        <v>92.967133664412501</v>
      </c>
      <c r="AN4750">
        <v>1.00000001400146</v>
      </c>
    </row>
    <row r="4751" spans="1:40" x14ac:dyDescent="0.25">
      <c r="A4751" t="str">
        <f>"20190304164221448"</f>
        <v>20190304164221448</v>
      </c>
      <c r="B4751" t="str">
        <f>"1551688941435859"</f>
        <v>1551688941435859</v>
      </c>
      <c r="C4751" t="s">
        <v>40</v>
      </c>
      <c r="D4751">
        <v>3.9070469999999999</v>
      </c>
      <c r="E4751">
        <v>0.52866749999999996</v>
      </c>
      <c r="F4751" t="s">
        <v>41</v>
      </c>
      <c r="G4751">
        <v>-235.09280000000001</v>
      </c>
      <c r="H4751">
        <v>1.030403</v>
      </c>
      <c r="I4751">
        <v>141.56950000000001</v>
      </c>
      <c r="J4751">
        <v>-234.4753</v>
      </c>
      <c r="K4751">
        <v>1.108025</v>
      </c>
      <c r="L4751">
        <v>141.5659</v>
      </c>
      <c r="M4751">
        <v>-0.99989629999999996</v>
      </c>
      <c r="N4751">
        <v>-5.868051E-3</v>
      </c>
      <c r="O4751">
        <v>-1.3157780000000001E-2</v>
      </c>
      <c r="P4751">
        <v>-0.94136909999999896</v>
      </c>
      <c r="Q4751">
        <v>0.33158680000000001</v>
      </c>
      <c r="R4751">
        <v>-6.2249400000000003E-2</v>
      </c>
      <c r="S4751">
        <v>-3.27739</v>
      </c>
      <c r="T4751">
        <v>-0.2556117</v>
      </c>
      <c r="U4751">
        <v>-2.8076170000000001E-3</v>
      </c>
      <c r="V4751">
        <v>-4.8785420000000003E-2</v>
      </c>
      <c r="W4751">
        <v>0.33726590000000001</v>
      </c>
      <c r="X4751">
        <v>0.94014450000000005</v>
      </c>
      <c r="Y4751">
        <v>1.222731E-2</v>
      </c>
      <c r="Z4751">
        <v>1.4595539999999901E-3</v>
      </c>
      <c r="AA4751">
        <v>0.99992420000000004</v>
      </c>
      <c r="AB4751">
        <v>37</v>
      </c>
      <c r="AC4751">
        <v>-0.61750000000000604</v>
      </c>
      <c r="AD4751">
        <v>-7.7621999999999997E-2</v>
      </c>
      <c r="AE4751">
        <v>3.6000000000058199E-3</v>
      </c>
      <c r="AF4751">
        <v>1.1542377100453E-2</v>
      </c>
      <c r="AG4751">
        <v>-7.7621999999999997E-2</v>
      </c>
      <c r="AH4751">
        <v>0.60779547730495098</v>
      </c>
      <c r="AI4751">
        <v>97.2765906192747</v>
      </c>
      <c r="AJ4751">
        <v>88.912051776690305</v>
      </c>
      <c r="AK4751">
        <v>0.61284071632478998</v>
      </c>
      <c r="AL4751">
        <v>70.289614650465694</v>
      </c>
      <c r="AM4751">
        <v>92.970494237318306</v>
      </c>
      <c r="AN4751">
        <v>0.99999999269381801</v>
      </c>
    </row>
    <row r="4752" spans="1:40" x14ac:dyDescent="0.25">
      <c r="A4752" t="str">
        <f>"20190304164221472"</f>
        <v>20190304164221472</v>
      </c>
      <c r="B4752" t="str">
        <f>"1551688941466116"</f>
        <v>1551688941466116</v>
      </c>
      <c r="C4752" t="s">
        <v>40</v>
      </c>
      <c r="D4752">
        <v>3.863845</v>
      </c>
      <c r="E4752">
        <v>0.52754429999999997</v>
      </c>
      <c r="F4752" t="s">
        <v>41</v>
      </c>
      <c r="G4752">
        <v>-235.43549999999999</v>
      </c>
      <c r="H4752">
        <v>1.04054</v>
      </c>
      <c r="I4752">
        <v>141.56219999999999</v>
      </c>
      <c r="J4752">
        <v>-234.87469999999999</v>
      </c>
      <c r="K4752">
        <v>1.1080209999999999</v>
      </c>
      <c r="L4752">
        <v>141.56180000000001</v>
      </c>
      <c r="M4752">
        <v>-0.99991319999999995</v>
      </c>
      <c r="N4752">
        <v>-5.8894759999999899E-3</v>
      </c>
      <c r="O4752">
        <v>-1.1799199999999999E-2</v>
      </c>
      <c r="P4752">
        <v>-0.94157559999999996</v>
      </c>
      <c r="Q4752">
        <v>0.33125870000000002</v>
      </c>
      <c r="R4752">
        <v>-6.0853560000000001E-2</v>
      </c>
      <c r="S4752">
        <v>-3.2668300000000001</v>
      </c>
      <c r="T4752">
        <v>-0.22959550000000001</v>
      </c>
      <c r="U4752">
        <v>-1.338196E-2</v>
      </c>
      <c r="V4752">
        <v>-4.8670520000000002E-2</v>
      </c>
      <c r="W4752">
        <v>0.33695839999999999</v>
      </c>
      <c r="X4752">
        <v>0.94026069999999995</v>
      </c>
      <c r="Y4752">
        <v>7.6584039999999997E-3</v>
      </c>
      <c r="Z4752">
        <v>1.050168E-3</v>
      </c>
      <c r="AA4752">
        <v>0.99997009999999997</v>
      </c>
      <c r="AB4752">
        <v>37</v>
      </c>
      <c r="AC4752">
        <v>-0.56079999999999997</v>
      </c>
      <c r="AD4752">
        <v>-6.7480999999999902E-2</v>
      </c>
      <c r="AE4752">
        <v>3.9999999998485599E-4</v>
      </c>
      <c r="AF4752">
        <v>6.9169251788342E-3</v>
      </c>
      <c r="AG4752">
        <v>-6.7480999999999902E-2</v>
      </c>
      <c r="AH4752">
        <v>0.55275278092851199</v>
      </c>
      <c r="AI4752">
        <v>96.959784313426297</v>
      </c>
      <c r="AJ4752">
        <v>89.283061163207606</v>
      </c>
      <c r="AK4752">
        <v>0.55689960139968897</v>
      </c>
      <c r="AL4752">
        <v>70.308328338784506</v>
      </c>
      <c r="AM4752">
        <v>92.963144993712305</v>
      </c>
      <c r="AN4752">
        <v>0.99999998340606</v>
      </c>
    </row>
    <row r="4753" spans="1:40" x14ac:dyDescent="0.25">
      <c r="A4753" t="str">
        <f>"20190304164221494"</f>
        <v>20190304164221494</v>
      </c>
      <c r="B4753" t="str">
        <f>"1551688941485636"</f>
        <v>1551688941485636</v>
      </c>
      <c r="C4753" t="s">
        <v>40</v>
      </c>
      <c r="D4753">
        <v>3.842848</v>
      </c>
      <c r="E4753">
        <v>0.52717539999999996</v>
      </c>
      <c r="F4753" t="s">
        <v>41</v>
      </c>
      <c r="G4753">
        <v>-235.78829999999999</v>
      </c>
      <c r="H4753">
        <v>1.0469580000000001</v>
      </c>
      <c r="I4753">
        <v>141.55699999999999</v>
      </c>
      <c r="J4753">
        <v>-235.25409999999999</v>
      </c>
      <c r="K4753">
        <v>1.1080270000000001</v>
      </c>
      <c r="L4753">
        <v>141.55840000000001</v>
      </c>
      <c r="M4753">
        <v>-0.99992729999999996</v>
      </c>
      <c r="N4753">
        <v>-5.9097859999999898E-3</v>
      </c>
      <c r="O4753">
        <v>-1.052705E-2</v>
      </c>
      <c r="P4753">
        <v>-0.94151019999999996</v>
      </c>
      <c r="Q4753">
        <v>0.33164840000000001</v>
      </c>
      <c r="R4753">
        <v>-5.9735789999999997E-2</v>
      </c>
      <c r="S4753">
        <v>-3.2617189999999998</v>
      </c>
      <c r="T4753">
        <v>-0.21804570000000001</v>
      </c>
      <c r="U4753">
        <v>-1.7562870000000001E-2</v>
      </c>
      <c r="V4753">
        <v>-4.875533E-2</v>
      </c>
      <c r="W4753">
        <v>0.33736559999999999</v>
      </c>
      <c r="X4753">
        <v>0.94011029999999995</v>
      </c>
      <c r="Y4753">
        <v>5.1109759999999997E-3</v>
      </c>
      <c r="Z4753">
        <v>8.2654129999999997E-4</v>
      </c>
      <c r="AA4753">
        <v>0.99998659999999995</v>
      </c>
      <c r="AB4753">
        <v>38</v>
      </c>
      <c r="AC4753">
        <v>-0.53419999999999801</v>
      </c>
      <c r="AD4753">
        <v>-6.1068999999999998E-2</v>
      </c>
      <c r="AE4753">
        <v>-1.39999999998963E-3</v>
      </c>
      <c r="AF4753">
        <v>4.1692385730373099E-3</v>
      </c>
      <c r="AG4753">
        <v>-6.1068999999999998E-2</v>
      </c>
      <c r="AH4753">
        <v>0.52729411216708799</v>
      </c>
      <c r="AI4753">
        <v>96.606120382671506</v>
      </c>
      <c r="AJ4753">
        <v>89.546979967027397</v>
      </c>
      <c r="AK4753">
        <v>0.53083508365344101</v>
      </c>
      <c r="AL4753">
        <v>70.283546839728004</v>
      </c>
      <c r="AM4753">
        <v>92.968773169364596</v>
      </c>
      <c r="AN4753">
        <v>1.00000000321642</v>
      </c>
    </row>
    <row r="4754" spans="1:40" x14ac:dyDescent="0.25">
      <c r="A4754" t="str">
        <f>"20190304164221515"</f>
        <v>20190304164221515</v>
      </c>
      <c r="B4754" t="str">
        <f>"1551688941506131"</f>
        <v>1551688941506131</v>
      </c>
      <c r="C4754" t="s">
        <v>40</v>
      </c>
      <c r="D4754">
        <v>3.8576640000000002</v>
      </c>
      <c r="E4754">
        <v>0.52686840000000001</v>
      </c>
      <c r="F4754" t="s">
        <v>42</v>
      </c>
      <c r="G4754">
        <v>-252.02260000000001</v>
      </c>
      <c r="H4754" s="1">
        <v>-3.8970990000000001E-6</v>
      </c>
      <c r="I4754">
        <v>141.46729999999999</v>
      </c>
      <c r="J4754">
        <v>-235.6114</v>
      </c>
      <c r="K4754">
        <v>1.1080429999999999</v>
      </c>
      <c r="L4754">
        <v>141.5556</v>
      </c>
      <c r="M4754">
        <v>-0.99993869999999896</v>
      </c>
      <c r="N4754">
        <v>-5.9287840000000003E-3</v>
      </c>
      <c r="O4754">
        <v>-9.3542279999999992E-3</v>
      </c>
      <c r="P4754">
        <v>-0.94149879999999997</v>
      </c>
      <c r="Q4754">
        <v>0.33195950000000002</v>
      </c>
      <c r="R4754">
        <v>-5.8165389999999997E-2</v>
      </c>
      <c r="S4754">
        <v>-3.2611539999999999</v>
      </c>
      <c r="T4754">
        <v>-0.2154905</v>
      </c>
      <c r="U4754">
        <v>-1.7700199999999999E-2</v>
      </c>
      <c r="V4754">
        <v>-4.8299259999999997E-2</v>
      </c>
      <c r="W4754">
        <v>0.33769100000000002</v>
      </c>
      <c r="X4754">
        <v>0.94001699999999999</v>
      </c>
      <c r="Y4754">
        <v>3.9008129999999999E-3</v>
      </c>
      <c r="Z4754">
        <v>7.023299E-4</v>
      </c>
      <c r="AA4754">
        <v>0.99999210000000005</v>
      </c>
      <c r="AB4754">
        <v>38</v>
      </c>
      <c r="AC4754">
        <v>-16.411200000000001</v>
      </c>
      <c r="AD4754">
        <v>-1.1080468970990001</v>
      </c>
      <c r="AE4754">
        <v>-8.8300000000003806E-2</v>
      </c>
      <c r="AF4754">
        <v>6.4924703806661904E-2</v>
      </c>
      <c r="AG4754">
        <v>-1.1080468970990001</v>
      </c>
      <c r="AH4754">
        <v>16.3368362961901</v>
      </c>
      <c r="AI4754">
        <v>93.880116532774693</v>
      </c>
      <c r="AJ4754">
        <v>89.772300348532994</v>
      </c>
      <c r="AK4754">
        <v>16.3744985667302</v>
      </c>
      <c r="AL4754">
        <v>70.263740297414898</v>
      </c>
      <c r="AM4754">
        <v>92.941342877771604</v>
      </c>
      <c r="AN4754">
        <v>0.99999999514327298</v>
      </c>
    </row>
    <row r="4755" spans="1:40" x14ac:dyDescent="0.25">
      <c r="A4755" t="str">
        <f>"20190304164221538"</f>
        <v>20190304164221538</v>
      </c>
      <c r="B4755" t="str">
        <f>"1551688941525651"</f>
        <v>1551688941525651</v>
      </c>
      <c r="C4755" t="s">
        <v>40</v>
      </c>
      <c r="D4755">
        <v>3.863413</v>
      </c>
      <c r="E4755">
        <v>0.52647390000000005</v>
      </c>
      <c r="F4755" t="s">
        <v>42</v>
      </c>
      <c r="G4755">
        <v>-252.3236</v>
      </c>
      <c r="H4755" s="1">
        <v>-3.7691340000000001E-6</v>
      </c>
      <c r="I4755">
        <v>141.47149999999999</v>
      </c>
      <c r="J4755">
        <v>-235.98689999999999</v>
      </c>
      <c r="K4755">
        <v>1.10806</v>
      </c>
      <c r="L4755">
        <v>141.5531</v>
      </c>
      <c r="M4755">
        <v>-0.99994919999999998</v>
      </c>
      <c r="N4755">
        <v>-5.9487869999999997E-3</v>
      </c>
      <c r="O4755">
        <v>-8.1572329999999998E-3</v>
      </c>
      <c r="P4755">
        <v>-0.94165659999999896</v>
      </c>
      <c r="Q4755">
        <v>0.33178859999999999</v>
      </c>
      <c r="R4755">
        <v>-5.6564570000000002E-2</v>
      </c>
      <c r="S4755">
        <v>-3.2616420000000002</v>
      </c>
      <c r="T4755">
        <v>-0.216253</v>
      </c>
      <c r="U4755">
        <v>-1.638794E-2</v>
      </c>
      <c r="V4755">
        <v>-4.7842200000000001E-2</v>
      </c>
      <c r="W4755">
        <v>0.33753569999999999</v>
      </c>
      <c r="X4755">
        <v>0.94009609999999999</v>
      </c>
      <c r="Y4755">
        <v>3.1107769999999999E-3</v>
      </c>
      <c r="Z4755">
        <v>6.0403349999999998E-4</v>
      </c>
      <c r="AA4755">
        <v>0.99999499999999997</v>
      </c>
      <c r="AB4755">
        <v>38</v>
      </c>
      <c r="AC4755">
        <v>-16.3367</v>
      </c>
      <c r="AD4755">
        <v>-1.1080637691339901</v>
      </c>
      <c r="AE4755">
        <v>-8.1600000000008693E-2</v>
      </c>
      <c r="AF4755">
        <v>5.1430720446850202E-2</v>
      </c>
      <c r="AG4755">
        <v>-1.1080637691339901</v>
      </c>
      <c r="AH4755">
        <v>16.262011293942599</v>
      </c>
      <c r="AI4755">
        <v>93.8979852935868</v>
      </c>
      <c r="AJ4755">
        <v>89.818795268249005</v>
      </c>
      <c r="AK4755">
        <v>16.2997994392504</v>
      </c>
      <c r="AL4755">
        <v>70.273192464551698</v>
      </c>
      <c r="AM4755">
        <v>92.913312161764594</v>
      </c>
      <c r="AN4755">
        <v>0.99999995105526795</v>
      </c>
    </row>
    <row r="4756" spans="1:40" x14ac:dyDescent="0.25">
      <c r="A4756" t="str">
        <f>"20190304164221560"</f>
        <v>20190304164221560</v>
      </c>
      <c r="B4756" t="str">
        <f>"1551688941555908"</f>
        <v>1551688941555908</v>
      </c>
      <c r="C4756" t="s">
        <v>40</v>
      </c>
      <c r="D4756">
        <v>3.8672770000000001</v>
      </c>
      <c r="E4756">
        <v>0.52620979999999995</v>
      </c>
      <c r="F4756" t="s">
        <v>42</v>
      </c>
      <c r="G4756">
        <v>-252.63229999999999</v>
      </c>
      <c r="H4756" s="1">
        <v>-3.639744E-6</v>
      </c>
      <c r="I4756">
        <v>141.483</v>
      </c>
      <c r="J4756">
        <v>-236.3828</v>
      </c>
      <c r="K4756">
        <v>1.1080859999999999</v>
      </c>
      <c r="L4756">
        <v>141.55080000000001</v>
      </c>
      <c r="M4756">
        <v>-0.99995820000000002</v>
      </c>
      <c r="N4756">
        <v>-5.9697960000000003E-3</v>
      </c>
      <c r="O4756">
        <v>-6.9415569999999897E-3</v>
      </c>
      <c r="P4756">
        <v>-0.94189920000000005</v>
      </c>
      <c r="Q4756">
        <v>0.33129629999999999</v>
      </c>
      <c r="R4756">
        <v>-5.5398900000000001E-2</v>
      </c>
      <c r="S4756">
        <v>-3.2615509999999999</v>
      </c>
      <c r="T4756">
        <v>-0.21711810000000001</v>
      </c>
      <c r="U4756">
        <v>-1.370239E-2</v>
      </c>
      <c r="V4756">
        <v>-4.784501E-2</v>
      </c>
      <c r="W4756">
        <v>0.33706079999999999</v>
      </c>
      <c r="X4756">
        <v>0.94026639999999995</v>
      </c>
      <c r="Y4756">
        <v>2.7212719999999998E-3</v>
      </c>
      <c r="Z4756">
        <v>5.1878479999999995E-4</v>
      </c>
      <c r="AA4756">
        <v>0.9999962</v>
      </c>
      <c r="AB4756">
        <v>38</v>
      </c>
      <c r="AC4756">
        <v>-16.249499999999902</v>
      </c>
      <c r="AD4756">
        <v>-1.1080896397439901</v>
      </c>
      <c r="AE4756">
        <v>-6.7800000000005398E-2</v>
      </c>
      <c r="AF4756">
        <v>4.4792173268152102E-2</v>
      </c>
      <c r="AG4756">
        <v>-1.1080896397439901</v>
      </c>
      <c r="AH4756">
        <v>16.174366723705798</v>
      </c>
      <c r="AI4756">
        <v>93.919137563467999</v>
      </c>
      <c r="AJ4756">
        <v>89.841329433998297</v>
      </c>
      <c r="AK4756">
        <v>16.212341222088</v>
      </c>
      <c r="AL4756">
        <v>70.302097364753607</v>
      </c>
      <c r="AM4756">
        <v>92.912956201773397</v>
      </c>
      <c r="AN4756">
        <v>1.0000000154237401</v>
      </c>
    </row>
    <row r="4757" spans="1:40" x14ac:dyDescent="0.25">
      <c r="A4757" t="str">
        <f>"20190304164221584"</f>
        <v>20190304164221584</v>
      </c>
      <c r="B4757" t="str">
        <f>"1551688941576404"</f>
        <v>1551688941576404</v>
      </c>
      <c r="C4757" t="s">
        <v>40</v>
      </c>
      <c r="D4757">
        <v>3.8526600000000002</v>
      </c>
      <c r="E4757">
        <v>0.52600619999999998</v>
      </c>
      <c r="F4757" t="s">
        <v>42</v>
      </c>
      <c r="G4757">
        <v>-252.85310000000001</v>
      </c>
      <c r="H4757" s="1">
        <v>-3.5485099999999998E-6</v>
      </c>
      <c r="I4757">
        <v>141.49619999999999</v>
      </c>
      <c r="J4757">
        <v>-236.76580000000001</v>
      </c>
      <c r="K4757">
        <v>1.108114</v>
      </c>
      <c r="L4757">
        <v>141.54910000000001</v>
      </c>
      <c r="M4757">
        <v>-0.99996510000000005</v>
      </c>
      <c r="N4757">
        <v>-5.9902219999999999E-3</v>
      </c>
      <c r="O4757">
        <v>-5.8172140000000002E-3</v>
      </c>
      <c r="P4757">
        <v>-0.94207129999999994</v>
      </c>
      <c r="Q4757">
        <v>0.33098490000000003</v>
      </c>
      <c r="R4757">
        <v>-5.4321849999999998E-2</v>
      </c>
      <c r="S4757">
        <v>-3.2615970000000001</v>
      </c>
      <c r="T4757">
        <v>-0.21943319999999999</v>
      </c>
      <c r="U4757">
        <v>-1.0787959999999999E-2</v>
      </c>
      <c r="V4757">
        <v>-4.7854420000000002E-2</v>
      </c>
      <c r="W4757">
        <v>0.33676529999999999</v>
      </c>
      <c r="X4757">
        <v>0.94037179999999998</v>
      </c>
      <c r="Y4757">
        <v>2.4927399999999998E-3</v>
      </c>
      <c r="Z4757">
        <v>4.4734659999999998E-4</v>
      </c>
      <c r="AA4757">
        <v>0.99999680000000002</v>
      </c>
      <c r="AB4757">
        <v>38</v>
      </c>
      <c r="AC4757">
        <v>-16.087299999999999</v>
      </c>
      <c r="AD4757">
        <v>-1.1081175485100001</v>
      </c>
      <c r="AE4757">
        <v>-5.2900000000022297E-2</v>
      </c>
      <c r="AF4757">
        <v>4.0493717552110502E-2</v>
      </c>
      <c r="AG4757">
        <v>-1.1081175485100001</v>
      </c>
      <c r="AH4757">
        <v>16.011367808938399</v>
      </c>
      <c r="AI4757">
        <v>93.959010839929505</v>
      </c>
      <c r="AJ4757">
        <v>89.855095817320006</v>
      </c>
      <c r="AK4757">
        <v>16.049718482128799</v>
      </c>
      <c r="AL4757">
        <v>70.320079626983002</v>
      </c>
      <c r="AM4757">
        <v>92.913202130085494</v>
      </c>
      <c r="AN4757">
        <v>1.0000000175164301</v>
      </c>
    </row>
    <row r="4758" spans="1:40" x14ac:dyDescent="0.25">
      <c r="A4758" t="str">
        <f>"20190304164221605"</f>
        <v>20190304164221605</v>
      </c>
      <c r="B4758" t="str">
        <f>"1551688941595923"</f>
        <v>1551688941595923</v>
      </c>
      <c r="C4758" t="s">
        <v>40</v>
      </c>
      <c r="D4758">
        <v>3.8548460000000002</v>
      </c>
      <c r="E4758">
        <v>0.52574529999999997</v>
      </c>
      <c r="F4758" t="s">
        <v>41</v>
      </c>
      <c r="G4758">
        <v>-237.81530000000001</v>
      </c>
      <c r="H4758">
        <v>1.037077</v>
      </c>
      <c r="I4758">
        <v>141.54679999999999</v>
      </c>
      <c r="J4758">
        <v>-237.13380000000001</v>
      </c>
      <c r="K4758">
        <v>1.1081490000000001</v>
      </c>
      <c r="L4758">
        <v>141.54769999999999</v>
      </c>
      <c r="M4758">
        <v>-0.99997060000000004</v>
      </c>
      <c r="N4758">
        <v>-6.0098460000000001E-3</v>
      </c>
      <c r="O4758">
        <v>-4.785264E-3</v>
      </c>
      <c r="P4758">
        <v>-0.94228029999999996</v>
      </c>
      <c r="Q4758">
        <v>0.33050590000000002</v>
      </c>
      <c r="R4758">
        <v>-5.360848E-2</v>
      </c>
      <c r="S4758">
        <v>-3.2615810000000001</v>
      </c>
      <c r="T4758">
        <v>-0.2207924</v>
      </c>
      <c r="U4758">
        <v>-7.59887699999999E-3</v>
      </c>
      <c r="V4758">
        <v>-4.8141320000000001E-2</v>
      </c>
      <c r="W4758">
        <v>0.33630339999999997</v>
      </c>
      <c r="X4758">
        <v>0.94052239999999998</v>
      </c>
      <c r="Y4758">
        <v>2.4403799999999998E-3</v>
      </c>
      <c r="Z4758">
        <v>3.8468520000000002E-4</v>
      </c>
      <c r="AA4758">
        <v>0.99999700000000002</v>
      </c>
      <c r="AB4758">
        <v>38</v>
      </c>
      <c r="AC4758">
        <v>-0.681499999999999</v>
      </c>
      <c r="AD4758">
        <v>-7.1071999999999996E-2</v>
      </c>
      <c r="AE4758">
        <v>-9.0000000000145497E-4</v>
      </c>
      <c r="AF4758">
        <v>2.33582212862414E-3</v>
      </c>
      <c r="AG4758">
        <v>-7.1071999999999996E-2</v>
      </c>
      <c r="AH4758">
        <v>0.67416436976616601</v>
      </c>
      <c r="AI4758">
        <v>96.017991690569502</v>
      </c>
      <c r="AJ4758">
        <v>89.801484296511802</v>
      </c>
      <c r="AK4758">
        <v>0.67790433153301799</v>
      </c>
      <c r="AL4758">
        <v>70.348182946393905</v>
      </c>
      <c r="AM4758">
        <v>92.9301687501343</v>
      </c>
      <c r="AN4758">
        <v>0.99999997422233</v>
      </c>
    </row>
    <row r="4759" spans="1:40" x14ac:dyDescent="0.25">
      <c r="A4759" t="str">
        <f>"20190304164221627"</f>
        <v>20190304164221627</v>
      </c>
      <c r="B4759" t="str">
        <f>"1551688941615443"</f>
        <v>1551688941615443</v>
      </c>
      <c r="C4759" t="s">
        <v>40</v>
      </c>
      <c r="D4759">
        <v>3.8713229999999998</v>
      </c>
      <c r="E4759">
        <v>0.52550109999999906</v>
      </c>
      <c r="F4759" t="s">
        <v>41</v>
      </c>
      <c r="G4759">
        <v>-238.1601</v>
      </c>
      <c r="H4759">
        <v>1.0380959999999999</v>
      </c>
      <c r="I4759">
        <v>141.54570000000001</v>
      </c>
      <c r="J4759">
        <v>-237.51310000000001</v>
      </c>
      <c r="K4759">
        <v>1.108177</v>
      </c>
      <c r="L4759">
        <v>141.54669999999999</v>
      </c>
      <c r="M4759">
        <v>-0.99997480000000005</v>
      </c>
      <c r="N4759">
        <v>-6.0303219999999899E-3</v>
      </c>
      <c r="O4759">
        <v>-3.7611789999999999E-3</v>
      </c>
      <c r="P4759">
        <v>-0.94223480000000004</v>
      </c>
      <c r="Q4759">
        <v>0.33059450000000001</v>
      </c>
      <c r="R4759">
        <v>-5.3861680000000002E-2</v>
      </c>
      <c r="S4759">
        <v>-3.261444</v>
      </c>
      <c r="T4759">
        <v>-0.2226332</v>
      </c>
      <c r="U4759">
        <v>-6.8206789999999996E-3</v>
      </c>
      <c r="V4759">
        <v>-4.9385159999999997E-2</v>
      </c>
      <c r="W4759">
        <v>0.33640969999999998</v>
      </c>
      <c r="X4759">
        <v>0.94041989999999998</v>
      </c>
      <c r="Y4759">
        <v>1.6584760000000001E-3</v>
      </c>
      <c r="Z4759">
        <v>2.9533620000000001E-4</v>
      </c>
      <c r="AA4759">
        <v>0.99999859999999896</v>
      </c>
      <c r="AB4759">
        <v>38</v>
      </c>
      <c r="AC4759">
        <v>-0.64699999999999103</v>
      </c>
      <c r="AD4759">
        <v>-7.0081000000000004E-2</v>
      </c>
      <c r="AE4759">
        <v>-9.9999999997635292E-4</v>
      </c>
      <c r="AF4759">
        <v>1.41691008454237E-3</v>
      </c>
      <c r="AG4759">
        <v>-7.0081000000000004E-2</v>
      </c>
      <c r="AH4759">
        <v>0.63949628725756702</v>
      </c>
      <c r="AI4759">
        <v>96.253948025556596</v>
      </c>
      <c r="AJ4759">
        <v>89.873051905750302</v>
      </c>
      <c r="AK4759">
        <v>0.64332639896976196</v>
      </c>
      <c r="AL4759">
        <v>70.341715788264594</v>
      </c>
      <c r="AM4759">
        <v>93.006066219090897</v>
      </c>
      <c r="AN4759">
        <v>0.99999998429916204</v>
      </c>
    </row>
    <row r="4760" spans="1:40" x14ac:dyDescent="0.25">
      <c r="A4760" t="str">
        <f>"20190304164221648"</f>
        <v>20190304164221648</v>
      </c>
      <c r="B4760" t="str">
        <f>"1551688941635939"</f>
        <v>1551688941635939</v>
      </c>
      <c r="C4760" t="s">
        <v>40</v>
      </c>
      <c r="D4760">
        <v>3.8382320000000001</v>
      </c>
      <c r="E4760">
        <v>0.5254259</v>
      </c>
      <c r="F4760" t="s">
        <v>41</v>
      </c>
      <c r="G4760">
        <v>-238.50710000000001</v>
      </c>
      <c r="H4760">
        <v>1.0404679999999999</v>
      </c>
      <c r="I4760">
        <v>141.54419999999999</v>
      </c>
      <c r="J4760">
        <v>-237.89349999999999</v>
      </c>
      <c r="K4760">
        <v>1.1082019999999999</v>
      </c>
      <c r="L4760">
        <v>141.5461</v>
      </c>
      <c r="M4760">
        <v>-0.99997789999999998</v>
      </c>
      <c r="N4760">
        <v>-6.0509659999999996E-3</v>
      </c>
      <c r="O4760">
        <v>-2.765446E-3</v>
      </c>
      <c r="P4760">
        <v>-0.94218429999999997</v>
      </c>
      <c r="Q4760">
        <v>0.33051909999999901</v>
      </c>
      <c r="R4760">
        <v>-5.5188429999999997E-2</v>
      </c>
      <c r="S4760">
        <v>-3.2613829999999999</v>
      </c>
      <c r="T4760">
        <v>-0.222193</v>
      </c>
      <c r="U4760">
        <v>-8.3465580000000004E-3</v>
      </c>
      <c r="V4760">
        <v>-5.167124E-2</v>
      </c>
      <c r="W4760">
        <v>0.3363563</v>
      </c>
      <c r="X4760">
        <v>0.94031620000000005</v>
      </c>
      <c r="Y4760">
        <v>2.0046960000000001E-4</v>
      </c>
      <c r="Z4760">
        <v>1.7889889999999999E-4</v>
      </c>
      <c r="AA4760">
        <v>0.99999990000000005</v>
      </c>
      <c r="AB4760">
        <v>38</v>
      </c>
      <c r="AC4760">
        <v>-0.61360000000001902</v>
      </c>
      <c r="AD4760">
        <v>-6.77340000000001E-2</v>
      </c>
      <c r="AE4760">
        <v>-1.90000000000623E-3</v>
      </c>
      <c r="AF4760">
        <v>-2.0063919395855201E-4</v>
      </c>
      <c r="AG4760">
        <v>-6.77340000000001E-2</v>
      </c>
      <c r="AH4760">
        <v>0.60621594483285002</v>
      </c>
      <c r="AI4760">
        <v>96.375355622873897</v>
      </c>
      <c r="AJ4760">
        <v>90.018963174256498</v>
      </c>
      <c r="AK4760">
        <v>0.60998828413476203</v>
      </c>
      <c r="AL4760">
        <v>70.344965378028107</v>
      </c>
      <c r="AM4760">
        <v>93.145292478974397</v>
      </c>
      <c r="AN4760">
        <v>1.00000001678763</v>
      </c>
    </row>
    <row r="4761" spans="1:40" x14ac:dyDescent="0.25">
      <c r="A4761" t="str">
        <f>"20190304164221674"</f>
        <v>20190304164221674</v>
      </c>
      <c r="B4761" t="str">
        <f>"1551688941666197"</f>
        <v>1551688941666197</v>
      </c>
      <c r="C4761" t="s">
        <v>40</v>
      </c>
      <c r="D4761">
        <v>3.854914</v>
      </c>
      <c r="E4761">
        <v>0.52524959999999998</v>
      </c>
      <c r="F4761" t="s">
        <v>41</v>
      </c>
      <c r="G4761">
        <v>-238.85499999999999</v>
      </c>
      <c r="H4761">
        <v>1.042767</v>
      </c>
      <c r="I4761">
        <v>141.5428</v>
      </c>
      <c r="J4761">
        <v>-238.32210000000001</v>
      </c>
      <c r="K4761">
        <v>1.108223</v>
      </c>
      <c r="L4761">
        <v>141.54580000000001</v>
      </c>
      <c r="M4761">
        <v>-0.99998019999999999</v>
      </c>
      <c r="N4761">
        <v>-6.0744190000000002E-3</v>
      </c>
      <c r="O4761">
        <v>-1.670522E-3</v>
      </c>
      <c r="P4761">
        <v>-0.94214439999999999</v>
      </c>
      <c r="Q4761">
        <v>0.33046979999999998</v>
      </c>
      <c r="R4761">
        <v>-5.6156400000000002E-2</v>
      </c>
      <c r="S4761">
        <v>-3.2612760000000001</v>
      </c>
      <c r="T4761">
        <v>-0.22198870000000001</v>
      </c>
      <c r="U4761">
        <v>-1.1932369999999999E-2</v>
      </c>
      <c r="V4761">
        <v>-5.3687980000000003E-2</v>
      </c>
      <c r="W4761">
        <v>0.33633109999999999</v>
      </c>
      <c r="X4761">
        <v>0.94021220000000005</v>
      </c>
      <c r="Y4761">
        <v>-1.9864320000000002E-3</v>
      </c>
      <c r="Z4761" s="1">
        <v>2.9871579999999999E-5</v>
      </c>
      <c r="AA4761">
        <v>0.99999800000000005</v>
      </c>
      <c r="AB4761">
        <v>39</v>
      </c>
      <c r="AC4761">
        <v>-0.53289999999998305</v>
      </c>
      <c r="AD4761">
        <v>-6.5455999999999903E-2</v>
      </c>
      <c r="AE4761">
        <v>-3.0000000000143202E-3</v>
      </c>
      <c r="AF4761">
        <v>-2.07840206569834E-3</v>
      </c>
      <c r="AG4761">
        <v>-6.5455999999999903E-2</v>
      </c>
      <c r="AH4761">
        <v>0.52498400166605097</v>
      </c>
      <c r="AI4761">
        <v>97.107014829267797</v>
      </c>
      <c r="AJ4761">
        <v>90.2268317586244</v>
      </c>
      <c r="AK4761">
        <v>0.52905293657293595</v>
      </c>
      <c r="AL4761">
        <v>70.346498100118893</v>
      </c>
      <c r="AM4761">
        <v>93.268153559623201</v>
      </c>
      <c r="AN4761">
        <v>0.99999999452626498</v>
      </c>
    </row>
    <row r="4762" spans="1:40" x14ac:dyDescent="0.25">
      <c r="A4762" t="str">
        <f>"20190304164221696"</f>
        <v>20190304164221696</v>
      </c>
      <c r="B4762" t="str">
        <f>"1551688941685716"</f>
        <v>1551688941685716</v>
      </c>
      <c r="C4762" t="s">
        <v>40</v>
      </c>
      <c r="D4762">
        <v>3.8710580000000001</v>
      </c>
      <c r="E4762">
        <v>0.52507990000000004</v>
      </c>
      <c r="F4762" t="s">
        <v>42</v>
      </c>
      <c r="G4762">
        <v>-254.5427</v>
      </c>
      <c r="H4762" s="1">
        <v>-2.815433E-6</v>
      </c>
      <c r="I4762">
        <v>141.46510000000001</v>
      </c>
      <c r="J4762">
        <v>-238.71449999999999</v>
      </c>
      <c r="K4762">
        <v>1.1082350000000001</v>
      </c>
      <c r="L4762">
        <v>141.54589999999999</v>
      </c>
      <c r="M4762">
        <v>-0.99998120000000001</v>
      </c>
      <c r="N4762">
        <v>-6.0960249999999997E-3</v>
      </c>
      <c r="O4762">
        <v>-6.8487979999999995E-4</v>
      </c>
      <c r="P4762">
        <v>-0.9421062</v>
      </c>
      <c r="Q4762">
        <v>0.33054670000000003</v>
      </c>
      <c r="R4762">
        <v>-5.6344989999999998E-2</v>
      </c>
      <c r="S4762">
        <v>-3.2613979999999998</v>
      </c>
      <c r="T4762">
        <v>-0.222827</v>
      </c>
      <c r="U4762">
        <v>-1.620483E-2</v>
      </c>
      <c r="V4762">
        <v>-5.4816139999999999E-2</v>
      </c>
      <c r="W4762">
        <v>0.33642909999999998</v>
      </c>
      <c r="X4762">
        <v>0.94011210000000001</v>
      </c>
      <c r="Y4762">
        <v>-4.2741999999999997E-3</v>
      </c>
      <c r="Z4762">
        <v>-1.1631839999999999E-4</v>
      </c>
      <c r="AA4762">
        <v>0.99999090000000002</v>
      </c>
      <c r="AB4762">
        <v>39</v>
      </c>
      <c r="AC4762">
        <v>-15.828200000000001</v>
      </c>
      <c r="AD4762">
        <v>-1.1082378154329999</v>
      </c>
      <c r="AE4762">
        <v>-8.0799999999982206E-2</v>
      </c>
      <c r="AF4762">
        <v>-6.9618083154870197E-2</v>
      </c>
      <c r="AG4762">
        <v>-1.1082378154329999</v>
      </c>
      <c r="AH4762">
        <v>15.751036800334299</v>
      </c>
      <c r="AI4762">
        <v>94.024640563593806</v>
      </c>
      <c r="AJ4762">
        <v>90.253240241820805</v>
      </c>
      <c r="AK4762">
        <v>15.7901297657284</v>
      </c>
      <c r="AL4762">
        <v>70.340536888881601</v>
      </c>
      <c r="AM4762">
        <v>93.337029053153898</v>
      </c>
      <c r="AN4762">
        <v>1.0000000545488501</v>
      </c>
    </row>
    <row r="4763" spans="1:40" x14ac:dyDescent="0.25">
      <c r="A4763" t="str">
        <f>"20190304164221715"</f>
        <v>20190304164221715</v>
      </c>
      <c r="B4763" t="str">
        <f>"1551688941706211"</f>
        <v>1551688941706211</v>
      </c>
      <c r="C4763" t="s">
        <v>40</v>
      </c>
      <c r="D4763">
        <v>3.8722889999999999</v>
      </c>
      <c r="E4763">
        <v>0.52493440000000002</v>
      </c>
      <c r="F4763" t="s">
        <v>42</v>
      </c>
      <c r="G4763">
        <v>-254.8997</v>
      </c>
      <c r="H4763" s="1">
        <v>-2.6566519999999999E-6</v>
      </c>
      <c r="I4763">
        <v>141.44409999999999</v>
      </c>
      <c r="J4763">
        <v>-239.05709999999999</v>
      </c>
      <c r="K4763">
        <v>1.1082399999999999</v>
      </c>
      <c r="L4763">
        <v>141.5463</v>
      </c>
      <c r="M4763">
        <v>-0.99998149999999997</v>
      </c>
      <c r="N4763">
        <v>-6.1147950000000001E-3</v>
      </c>
      <c r="O4763">
        <v>1.6775009999999999E-4</v>
      </c>
      <c r="P4763">
        <v>-0.94238599999999995</v>
      </c>
      <c r="Q4763">
        <v>0.32976420000000001</v>
      </c>
      <c r="R4763">
        <v>-5.625285E-2</v>
      </c>
      <c r="S4763">
        <v>-3.2614749999999999</v>
      </c>
      <c r="T4763">
        <v>-0.22332099999999999</v>
      </c>
      <c r="U4763">
        <v>-2.0507810000000001E-2</v>
      </c>
      <c r="V4763">
        <v>-5.5535960000000002E-2</v>
      </c>
      <c r="W4763">
        <v>0.33566639999999998</v>
      </c>
      <c r="X4763">
        <v>0.94034240000000002</v>
      </c>
      <c r="Y4763">
        <v>-6.4387709999999898E-3</v>
      </c>
      <c r="Z4763">
        <v>-2.5033850000000002E-4</v>
      </c>
      <c r="AA4763">
        <v>0.99997930000000002</v>
      </c>
      <c r="AB4763">
        <v>39</v>
      </c>
      <c r="AC4763">
        <v>-15.842599999999999</v>
      </c>
      <c r="AD4763">
        <v>-1.1082426566519901</v>
      </c>
      <c r="AE4763">
        <v>-0.10220000000001001</v>
      </c>
      <c r="AF4763">
        <v>-0.104347047667323</v>
      </c>
      <c r="AG4763">
        <v>-1.1082426566519901</v>
      </c>
      <c r="AH4763">
        <v>15.765438165650201</v>
      </c>
      <c r="AI4763">
        <v>94.020945082661996</v>
      </c>
      <c r="AJ4763">
        <v>90.379219281591801</v>
      </c>
      <c r="AK4763">
        <v>15.8046869835287</v>
      </c>
      <c r="AL4763">
        <v>70.386933571522107</v>
      </c>
      <c r="AM4763">
        <v>93.379922318112705</v>
      </c>
      <c r="AN4763">
        <v>1.00000000208992</v>
      </c>
    </row>
    <row r="4764" spans="1:40" x14ac:dyDescent="0.25">
      <c r="A4764" t="str">
        <f>"20190304164221738"</f>
        <v>20190304164221738</v>
      </c>
      <c r="B4764" t="str">
        <f>"1551688941725732"</f>
        <v>1551688941725732</v>
      </c>
      <c r="C4764" t="s">
        <v>40</v>
      </c>
      <c r="D4764">
        <v>3.8960750000000002</v>
      </c>
      <c r="E4764">
        <v>0.52474089999999995</v>
      </c>
      <c r="F4764" t="s">
        <v>42</v>
      </c>
      <c r="G4764">
        <v>-254.9717</v>
      </c>
      <c r="H4764" s="1">
        <v>-2.6233770000000002E-6</v>
      </c>
      <c r="I4764">
        <v>141.435</v>
      </c>
      <c r="J4764">
        <v>-239.45009999999999</v>
      </c>
      <c r="K4764">
        <v>1.108249</v>
      </c>
      <c r="L4764">
        <v>141.5472</v>
      </c>
      <c r="M4764">
        <v>-0.9999806</v>
      </c>
      <c r="N4764">
        <v>-6.1363210000000001E-3</v>
      </c>
      <c r="O4764">
        <v>1.139405E-3</v>
      </c>
      <c r="P4764">
        <v>-0.94287560000000004</v>
      </c>
      <c r="Q4764">
        <v>0.32834669999999999</v>
      </c>
      <c r="R4764">
        <v>-5.6341559999999999E-2</v>
      </c>
      <c r="S4764">
        <v>-3.26152</v>
      </c>
      <c r="T4764">
        <v>-0.22712299999999999</v>
      </c>
      <c r="U4764">
        <v>-2.2796629999999998E-2</v>
      </c>
      <c r="V4764">
        <v>-5.6551219999999999E-2</v>
      </c>
      <c r="W4764">
        <v>0.33427319999999999</v>
      </c>
      <c r="X4764">
        <v>0.94077809999999995</v>
      </c>
      <c r="Y4764">
        <v>-8.1051400000000003E-3</v>
      </c>
      <c r="Z4764">
        <v>-3.790299E-4</v>
      </c>
      <c r="AA4764">
        <v>0.9999671</v>
      </c>
      <c r="AB4764">
        <v>39</v>
      </c>
      <c r="AC4764">
        <v>-15.521599999999999</v>
      </c>
      <c r="AD4764">
        <v>-1.1082516233769999</v>
      </c>
      <c r="AE4764">
        <v>-0.11220000000000099</v>
      </c>
      <c r="AF4764">
        <v>-0.129226877252095</v>
      </c>
      <c r="AG4764">
        <v>-1.1082516233769999</v>
      </c>
      <c r="AH4764">
        <v>15.442738398344201</v>
      </c>
      <c r="AI4764">
        <v>94.104664115882102</v>
      </c>
      <c r="AJ4764">
        <v>90.479447469457298</v>
      </c>
      <c r="AK4764">
        <v>15.4829935892972</v>
      </c>
      <c r="AL4764">
        <v>70.471652788673197</v>
      </c>
      <c r="AM4764">
        <v>93.439973870027501</v>
      </c>
      <c r="AN4764">
        <v>1.00000002308066</v>
      </c>
    </row>
    <row r="4765" spans="1:40" x14ac:dyDescent="0.25">
      <c r="A4765" t="str">
        <f>"20190304164221761"</f>
        <v>20190304164221761</v>
      </c>
      <c r="B4765" t="str">
        <f>"1551688941755988"</f>
        <v>1551688941755988</v>
      </c>
      <c r="C4765" t="s">
        <v>40</v>
      </c>
      <c r="D4765">
        <v>3.8359399999999999</v>
      </c>
      <c r="E4765">
        <v>0.52467339999999996</v>
      </c>
      <c r="F4765" t="s">
        <v>42</v>
      </c>
      <c r="G4765">
        <v>-255.00540000000001</v>
      </c>
      <c r="H4765" s="1">
        <v>-2.6091370000000001E-6</v>
      </c>
      <c r="I4765">
        <v>141.4359</v>
      </c>
      <c r="J4765">
        <v>-239.8578</v>
      </c>
      <c r="K4765">
        <v>1.108252</v>
      </c>
      <c r="L4765">
        <v>141.54839999999999</v>
      </c>
      <c r="M4765">
        <v>-0.99997879999999995</v>
      </c>
      <c r="N4765">
        <v>-6.1588769999999897E-3</v>
      </c>
      <c r="O4765">
        <v>2.1397220000000002E-3</v>
      </c>
      <c r="P4765">
        <v>-0.94316120000000003</v>
      </c>
      <c r="Q4765">
        <v>0.327455</v>
      </c>
      <c r="R4765">
        <v>-5.6748359999999998E-2</v>
      </c>
      <c r="S4765">
        <v>-3.2612760000000001</v>
      </c>
      <c r="T4765">
        <v>-0.23235339999999999</v>
      </c>
      <c r="U4765">
        <v>-2.3315430000000002E-2</v>
      </c>
      <c r="V4765">
        <v>-5.7910879999999998E-2</v>
      </c>
      <c r="W4765">
        <v>0.3334066</v>
      </c>
      <c r="X4765">
        <v>0.94100280000000003</v>
      </c>
      <c r="Y4765">
        <v>-9.2586549999999993E-3</v>
      </c>
      <c r="Z4765">
        <v>-4.9704079999999997E-4</v>
      </c>
      <c r="AA4765">
        <v>0.99995699999999998</v>
      </c>
      <c r="AB4765">
        <v>39</v>
      </c>
      <c r="AC4765">
        <v>-15.147600000000001</v>
      </c>
      <c r="AD4765">
        <v>-1.108254609137</v>
      </c>
      <c r="AE4765">
        <v>-0.112499999999982</v>
      </c>
      <c r="AF4765">
        <v>-0.14414047726187401</v>
      </c>
      <c r="AG4765">
        <v>-1.108254609137</v>
      </c>
      <c r="AH4765">
        <v>15.0666781979044</v>
      </c>
      <c r="AI4765">
        <v>94.206718315154006</v>
      </c>
      <c r="AJ4765">
        <v>90.548122748342195</v>
      </c>
      <c r="AK4765">
        <v>15.1080705808209</v>
      </c>
      <c r="AL4765">
        <v>70.524325782499105</v>
      </c>
      <c r="AM4765">
        <v>93.521636284958404</v>
      </c>
      <c r="AN4765">
        <v>0.99999995027688504</v>
      </c>
    </row>
    <row r="4766" spans="1:40" x14ac:dyDescent="0.25">
      <c r="A4766" t="str">
        <f>"20190304164221784"</f>
        <v>20190304164221784</v>
      </c>
      <c r="B4766" t="str">
        <f>"1551688941775507"</f>
        <v>1551688941775507</v>
      </c>
      <c r="C4766" t="s">
        <v>40</v>
      </c>
      <c r="D4766">
        <v>3.8347389999999999</v>
      </c>
      <c r="E4766">
        <v>0.52477529999999994</v>
      </c>
      <c r="F4766" t="s">
        <v>42</v>
      </c>
      <c r="G4766">
        <v>-255.23670000000001</v>
      </c>
      <c r="H4766" s="1">
        <v>-2.5089019999999999E-6</v>
      </c>
      <c r="I4766">
        <v>141.43209999999999</v>
      </c>
      <c r="J4766">
        <v>-240.255</v>
      </c>
      <c r="K4766">
        <v>1.1082609999999999</v>
      </c>
      <c r="L4766">
        <v>141.55009999999999</v>
      </c>
      <c r="M4766">
        <v>-0.99997610000000003</v>
      </c>
      <c r="N4766">
        <v>-6.181008E-3</v>
      </c>
      <c r="O4766">
        <v>3.096629E-3</v>
      </c>
      <c r="P4766">
        <v>-0.94332190000000005</v>
      </c>
      <c r="Q4766">
        <v>0.3270187</v>
      </c>
      <c r="R4766">
        <v>-5.6592459999999997E-2</v>
      </c>
      <c r="S4766">
        <v>-3.2608950000000001</v>
      </c>
      <c r="T4766">
        <v>-0.23499229999999999</v>
      </c>
      <c r="U4766">
        <v>-2.4658200000000002E-2</v>
      </c>
      <c r="V4766">
        <v>-5.8669760000000001E-2</v>
      </c>
      <c r="W4766">
        <v>0.33299210000000001</v>
      </c>
      <c r="X4766">
        <v>0.94110260000000001</v>
      </c>
      <c r="Y4766">
        <v>-1.0621520000000001E-2</v>
      </c>
      <c r="Z4766">
        <v>-6.1883019999999997E-4</v>
      </c>
      <c r="AA4766">
        <v>0.99994340000000004</v>
      </c>
      <c r="AB4766">
        <v>39</v>
      </c>
      <c r="AC4766">
        <v>-14.9817</v>
      </c>
      <c r="AD4766">
        <v>-1.1082635089020001</v>
      </c>
      <c r="AE4766">
        <v>-0.117999999999994</v>
      </c>
      <c r="AF4766">
        <v>-0.163498442656242</v>
      </c>
      <c r="AG4766">
        <v>-1.1082635089020001</v>
      </c>
      <c r="AH4766">
        <v>14.899733136210401</v>
      </c>
      <c r="AI4766">
        <v>94.253653549366703</v>
      </c>
      <c r="AJ4766">
        <v>90.628695471585303</v>
      </c>
      <c r="AK4766">
        <v>14.9417879544652</v>
      </c>
      <c r="AL4766">
        <v>70.549515079432098</v>
      </c>
      <c r="AM4766">
        <v>93.567288984513596</v>
      </c>
      <c r="AN4766">
        <v>0.99999999156381303</v>
      </c>
    </row>
    <row r="4767" spans="1:40" x14ac:dyDescent="0.25">
      <c r="A4767" t="str">
        <f>"20190304164221805"</f>
        <v>20190304164221805</v>
      </c>
      <c r="B4767" t="str">
        <f>"1551688941796003"</f>
        <v>1551688941796003</v>
      </c>
      <c r="C4767" t="s">
        <v>40</v>
      </c>
      <c r="D4767">
        <v>3.8460209999999999</v>
      </c>
      <c r="E4767">
        <v>0.52480700000000002</v>
      </c>
      <c r="F4767" t="s">
        <v>41</v>
      </c>
      <c r="G4767">
        <v>-241.2937</v>
      </c>
      <c r="H4767">
        <v>1.0334589999999999</v>
      </c>
      <c r="I4767">
        <v>141.5428</v>
      </c>
      <c r="J4767">
        <v>-240.63480000000001</v>
      </c>
      <c r="K4767">
        <v>1.108268</v>
      </c>
      <c r="L4767">
        <v>141.55199999999999</v>
      </c>
      <c r="M4767">
        <v>-0.999973</v>
      </c>
      <c r="N4767">
        <v>-6.2019989999999997E-3</v>
      </c>
      <c r="O4767">
        <v>3.9843630000000003E-3</v>
      </c>
      <c r="P4767">
        <v>-0.94332300000000002</v>
      </c>
      <c r="Q4767">
        <v>0.32690740000000001</v>
      </c>
      <c r="R4767">
        <v>-5.7216110000000001E-2</v>
      </c>
      <c r="S4767">
        <v>-3.2602389999999999</v>
      </c>
      <c r="T4767">
        <v>-0.2347987</v>
      </c>
      <c r="U4767">
        <v>-2.319336E-2</v>
      </c>
      <c r="V4767">
        <v>-6.0147239999999998E-2</v>
      </c>
      <c r="W4767">
        <v>0.33290039999999999</v>
      </c>
      <c r="X4767">
        <v>0.94104180000000004</v>
      </c>
      <c r="Y4767">
        <v>-1.105838E-2</v>
      </c>
      <c r="Z4767">
        <v>-6.9392019999999996E-4</v>
      </c>
      <c r="AA4767">
        <v>0.99993860000000001</v>
      </c>
      <c r="AB4767">
        <v>39</v>
      </c>
      <c r="AC4767">
        <v>-0.65889999999998805</v>
      </c>
      <c r="AD4767">
        <v>-7.4809000000000098E-2</v>
      </c>
      <c r="AE4767">
        <v>-9.2000000000211895E-3</v>
      </c>
      <c r="AF4767">
        <v>-1.16748093747328E-2</v>
      </c>
      <c r="AG4767">
        <v>-7.4809000000000098E-2</v>
      </c>
      <c r="AH4767">
        <v>0.65047482239043197</v>
      </c>
      <c r="AI4767">
        <v>96.559531274398694</v>
      </c>
      <c r="AJ4767">
        <v>91.028241935441301</v>
      </c>
      <c r="AK4767">
        <v>0.65486653771497605</v>
      </c>
      <c r="AL4767">
        <v>70.555087540359906</v>
      </c>
      <c r="AM4767">
        <v>93.657118828807</v>
      </c>
      <c r="AN4767">
        <v>1.0000000180735</v>
      </c>
    </row>
    <row r="4768" spans="1:40" x14ac:dyDescent="0.25">
      <c r="A4768" t="str">
        <f>"20190304164221820"</f>
        <v>20190304164221820</v>
      </c>
      <c r="B4768" t="str">
        <f>"1551688941815524"</f>
        <v>1551688941815524</v>
      </c>
      <c r="C4768" t="s">
        <v>40</v>
      </c>
      <c r="D4768">
        <v>3.8419210000000001</v>
      </c>
      <c r="E4768">
        <v>0.52492399999999995</v>
      </c>
      <c r="F4768" t="s">
        <v>41</v>
      </c>
      <c r="G4768">
        <v>-241.64879999999999</v>
      </c>
      <c r="H4768">
        <v>1.0361229999999999</v>
      </c>
      <c r="I4768">
        <v>141.5445</v>
      </c>
      <c r="J4768">
        <v>-240.8937</v>
      </c>
      <c r="K4768">
        <v>1.1082799999999999</v>
      </c>
      <c r="L4768">
        <v>141.55340000000001</v>
      </c>
      <c r="M4768">
        <v>-0.99997029999999998</v>
      </c>
      <c r="N4768">
        <v>-6.2162529999999997E-3</v>
      </c>
      <c r="O4768">
        <v>4.5757760000000001E-3</v>
      </c>
      <c r="P4768">
        <v>-0.94334530000000005</v>
      </c>
      <c r="Q4768">
        <v>0.326851</v>
      </c>
      <c r="R4768">
        <v>-5.7168730000000001E-2</v>
      </c>
      <c r="S4768">
        <v>-3.259125</v>
      </c>
      <c r="T4768">
        <v>-0.23194690000000001</v>
      </c>
      <c r="U4768">
        <v>-2.476501E-2</v>
      </c>
      <c r="V4768">
        <v>-6.0670099999999998E-2</v>
      </c>
      <c r="W4768">
        <v>0.33285670000000001</v>
      </c>
      <c r="X4768">
        <v>0.94102359999999896</v>
      </c>
      <c r="Y4768">
        <v>-1.2131100000000001E-2</v>
      </c>
      <c r="Z4768">
        <v>-7.6570649999999996E-4</v>
      </c>
      <c r="AA4768">
        <v>0.99992610000000004</v>
      </c>
      <c r="AB4768">
        <v>39</v>
      </c>
      <c r="AC4768">
        <v>-0.755099999999998</v>
      </c>
      <c r="AD4768">
        <v>-7.2156999999999999E-2</v>
      </c>
      <c r="AE4768">
        <v>-8.9000000000112305E-3</v>
      </c>
      <c r="AF4768">
        <v>-1.22433555442901E-2</v>
      </c>
      <c r="AG4768">
        <v>-7.2156999999999999E-2</v>
      </c>
      <c r="AH4768">
        <v>0.74821985645372302</v>
      </c>
      <c r="AI4768">
        <v>95.5077361658672</v>
      </c>
      <c r="AJ4768">
        <v>90.937465096236096</v>
      </c>
      <c r="AK4768">
        <v>0.751790852561811</v>
      </c>
      <c r="AL4768">
        <v>70.557741009829201</v>
      </c>
      <c r="AM4768">
        <v>93.688893910743701</v>
      </c>
      <c r="AN4768">
        <v>0.99999992976292695</v>
      </c>
    </row>
    <row r="4769" spans="1:40" x14ac:dyDescent="0.25">
      <c r="A4769" t="str">
        <f>"20190304164221840"</f>
        <v>20190304164221840</v>
      </c>
      <c r="B4769" t="str">
        <f>"1551688941836020"</f>
        <v>1551688941836020</v>
      </c>
      <c r="C4769" t="s">
        <v>40</v>
      </c>
      <c r="D4769">
        <v>3.8182130000000001</v>
      </c>
      <c r="E4769">
        <v>0.52510249999999903</v>
      </c>
      <c r="F4769" t="s">
        <v>42</v>
      </c>
      <c r="G4769">
        <v>-256.58300000000003</v>
      </c>
      <c r="H4769" s="1">
        <v>-1.9336439999999999E-6</v>
      </c>
      <c r="I4769">
        <v>141.44069999999999</v>
      </c>
      <c r="J4769">
        <v>-241.24680000000001</v>
      </c>
      <c r="K4769">
        <v>1.108311</v>
      </c>
      <c r="L4769">
        <v>141.5556</v>
      </c>
      <c r="M4769">
        <v>-0.99996629999999997</v>
      </c>
      <c r="N4769">
        <v>-6.2355249999999996E-3</v>
      </c>
      <c r="O4769">
        <v>5.3515389999999998E-3</v>
      </c>
      <c r="P4769">
        <v>-0.94374469999999999</v>
      </c>
      <c r="Q4769">
        <v>0.32569290000000001</v>
      </c>
      <c r="R4769">
        <v>-5.7188089999999997E-2</v>
      </c>
      <c r="S4769">
        <v>-3.2585139999999999</v>
      </c>
      <c r="T4769">
        <v>-0.23017989999999999</v>
      </c>
      <c r="U4769">
        <v>-2.3391720000000001E-2</v>
      </c>
      <c r="V4769">
        <v>-6.1448290000000003E-2</v>
      </c>
      <c r="W4769">
        <v>0.33171669999999998</v>
      </c>
      <c r="X4769">
        <v>0.94137570000000004</v>
      </c>
      <c r="Y4769">
        <v>-1.248492E-2</v>
      </c>
      <c r="Z4769">
        <v>-8.236122E-4</v>
      </c>
      <c r="AA4769">
        <v>0.99992170000000002</v>
      </c>
      <c r="AB4769">
        <v>39</v>
      </c>
      <c r="AC4769">
        <v>-15.3361999999999</v>
      </c>
      <c r="AD4769">
        <v>-1.1083129336440001</v>
      </c>
      <c r="AE4769">
        <v>-0.114900000000005</v>
      </c>
      <c r="AF4769">
        <v>-0.195948906393941</v>
      </c>
      <c r="AG4769">
        <v>-1.1083129336440001</v>
      </c>
      <c r="AH4769">
        <v>15.2556950977732</v>
      </c>
      <c r="AI4769">
        <v>94.154846905782193</v>
      </c>
      <c r="AJ4769">
        <v>90.735884397711899</v>
      </c>
      <c r="AK4769">
        <v>15.2971561556068</v>
      </c>
      <c r="AL4769">
        <v>70.626995348680396</v>
      </c>
      <c r="AM4769">
        <v>93.734683208010196</v>
      </c>
      <c r="AN4769">
        <v>1.00000003497665</v>
      </c>
    </row>
    <row r="4770" spans="1:40" x14ac:dyDescent="0.25">
      <c r="A4770" t="str">
        <f>"20190304164221854"</f>
        <v>20190304164221854</v>
      </c>
      <c r="B4770" t="str">
        <f>"1551688941845780"</f>
        <v>1551688941845780</v>
      </c>
      <c r="C4770" t="s">
        <v>40</v>
      </c>
      <c r="D4770">
        <v>3.8306369999999998</v>
      </c>
      <c r="E4770">
        <v>0.52520269999999902</v>
      </c>
      <c r="F4770" t="s">
        <v>42</v>
      </c>
      <c r="G4770">
        <v>-256.7362</v>
      </c>
      <c r="H4770" s="1">
        <v>-1.869237E-6</v>
      </c>
      <c r="I4770">
        <v>141.44569999999999</v>
      </c>
      <c r="J4770">
        <v>-241.4983</v>
      </c>
      <c r="K4770">
        <v>1.1083379999999901</v>
      </c>
      <c r="L4770">
        <v>141.5573</v>
      </c>
      <c r="M4770">
        <v>-0.99996350000000001</v>
      </c>
      <c r="N4770">
        <v>-6.2490530000000001E-3</v>
      </c>
      <c r="O4770">
        <v>5.8615830000000001E-3</v>
      </c>
      <c r="P4770">
        <v>-0.94398760000000004</v>
      </c>
      <c r="Q4770">
        <v>0.32508009999999998</v>
      </c>
      <c r="R4770">
        <v>-5.6662480000000001E-2</v>
      </c>
      <c r="S4770">
        <v>-3.2579039999999999</v>
      </c>
      <c r="T4770">
        <v>-0.2331136</v>
      </c>
      <c r="U4770">
        <v>-2.310181E-2</v>
      </c>
      <c r="V4770">
        <v>-6.1430650000000003E-2</v>
      </c>
      <c r="W4770">
        <v>0.3311134</v>
      </c>
      <c r="X4770">
        <v>0.94158920000000002</v>
      </c>
      <c r="Y4770">
        <v>-1.2903889999999999E-2</v>
      </c>
      <c r="Z4770">
        <v>-8.8372649999999902E-4</v>
      </c>
      <c r="AA4770">
        <v>0.99991640000000004</v>
      </c>
      <c r="AB4770">
        <v>39</v>
      </c>
      <c r="AC4770">
        <v>-15.2378999999999</v>
      </c>
      <c r="AD4770">
        <v>-1.1083398692369999</v>
      </c>
      <c r="AE4770">
        <v>-0.111600000000009</v>
      </c>
      <c r="AF4770">
        <v>-0.199860720137856</v>
      </c>
      <c r="AG4770">
        <v>-1.1083398692369999</v>
      </c>
      <c r="AH4770">
        <v>15.156801484861001</v>
      </c>
      <c r="AI4770">
        <v>94.181942912402207</v>
      </c>
      <c r="AJ4770">
        <v>90.755470218431995</v>
      </c>
      <c r="AK4770">
        <v>15.198585224443701</v>
      </c>
      <c r="AL4770">
        <v>70.663632032609499</v>
      </c>
      <c r="AM4770">
        <v>93.732769940937004</v>
      </c>
      <c r="AN4770">
        <v>1.0000000149878101</v>
      </c>
    </row>
    <row r="4771" spans="1:40" x14ac:dyDescent="0.25">
      <c r="A4771" t="str">
        <f>"20190304164221867"</f>
        <v>20190304164221867</v>
      </c>
      <c r="B4771" t="str">
        <f>"1551688941855541"</f>
        <v>1551688941855541</v>
      </c>
      <c r="C4771" t="s">
        <v>40</v>
      </c>
      <c r="D4771">
        <v>3.8069449999999998</v>
      </c>
      <c r="E4771">
        <v>0.52529320000000002</v>
      </c>
      <c r="F4771" t="s">
        <v>42</v>
      </c>
      <c r="G4771">
        <v>-256.87369999999999</v>
      </c>
      <c r="H4771" s="1">
        <v>-1.8132019999999999E-6</v>
      </c>
      <c r="I4771">
        <v>141.45679999999999</v>
      </c>
      <c r="J4771">
        <v>-241.72309999999999</v>
      </c>
      <c r="K4771">
        <v>1.1083639999999999</v>
      </c>
      <c r="L4771">
        <v>141.55889999999999</v>
      </c>
      <c r="M4771">
        <v>-0.99996070000000004</v>
      </c>
      <c r="N4771">
        <v>-6.2610969999999898E-3</v>
      </c>
      <c r="O4771">
        <v>6.2911470000000004E-3</v>
      </c>
      <c r="P4771">
        <v>-0.94414849999999995</v>
      </c>
      <c r="Q4771">
        <v>0.32463599999999998</v>
      </c>
      <c r="R4771">
        <v>-5.6529160000000002E-2</v>
      </c>
      <c r="S4771">
        <v>-3.2575989999999999</v>
      </c>
      <c r="T4771">
        <v>-0.2348256</v>
      </c>
      <c r="U4771">
        <v>-2.1286010000000001E-2</v>
      </c>
      <c r="V4771">
        <v>-6.1730260000000002E-2</v>
      </c>
      <c r="W4771">
        <v>0.33067740000000001</v>
      </c>
      <c r="X4771">
        <v>0.94172279999999997</v>
      </c>
      <c r="Y4771">
        <v>-1.277549E-2</v>
      </c>
      <c r="Z4771">
        <v>-9.1347889999999999E-4</v>
      </c>
      <c r="AA4771">
        <v>0.99991799999999997</v>
      </c>
      <c r="AB4771">
        <v>40</v>
      </c>
      <c r="AC4771">
        <v>-15.150599999999899</v>
      </c>
      <c r="AD4771">
        <v>-1.108365813202</v>
      </c>
      <c r="AE4771">
        <v>-0.102100000000007</v>
      </c>
      <c r="AF4771">
        <v>-0.196363623457467</v>
      </c>
      <c r="AG4771">
        <v>-1.108365813202</v>
      </c>
      <c r="AH4771">
        <v>15.069013896385</v>
      </c>
      <c r="AI4771">
        <v>94.206325113322293</v>
      </c>
      <c r="AJ4771">
        <v>90.746576398361697</v>
      </c>
      <c r="AK4771">
        <v>15.110996434978601</v>
      </c>
      <c r="AL4771">
        <v>70.690103937798796</v>
      </c>
      <c r="AM4771">
        <v>93.750392970405002</v>
      </c>
      <c r="AN4771">
        <v>0.999999999955133</v>
      </c>
    </row>
    <row r="4772" spans="1:40" x14ac:dyDescent="0.25">
      <c r="A4772" t="str">
        <f>"20190304164221886"</f>
        <v>20190304164221886</v>
      </c>
      <c r="B4772" t="str">
        <f>"1551688941876035"</f>
        <v>1551688941876035</v>
      </c>
      <c r="C4772" t="s">
        <v>40</v>
      </c>
      <c r="D4772">
        <v>3.7989320000000002</v>
      </c>
      <c r="E4772">
        <v>0.52543569999999995</v>
      </c>
      <c r="F4772" t="s">
        <v>41</v>
      </c>
      <c r="G4772">
        <v>-242.71279999999999</v>
      </c>
      <c r="H4772">
        <v>1.0367729999999999</v>
      </c>
      <c r="I4772">
        <v>141.55289999999999</v>
      </c>
      <c r="J4772">
        <v>-242.05269999999999</v>
      </c>
      <c r="K4772">
        <v>1.1084160000000001</v>
      </c>
      <c r="L4772">
        <v>141.56139999999999</v>
      </c>
      <c r="M4772">
        <v>-0.99995679999999998</v>
      </c>
      <c r="N4772">
        <v>-6.2786869999999998E-3</v>
      </c>
      <c r="O4772">
        <v>6.8596150000000003E-3</v>
      </c>
      <c r="P4772">
        <v>-0.94482569999999999</v>
      </c>
      <c r="Q4772">
        <v>0.32263140000000001</v>
      </c>
      <c r="R4772">
        <v>-5.669047E-2</v>
      </c>
      <c r="S4772">
        <v>-3.2572779999999999</v>
      </c>
      <c r="T4772">
        <v>-0.23563100000000001</v>
      </c>
      <c r="U4772">
        <v>-2.0172120000000002E-2</v>
      </c>
      <c r="V4772">
        <v>-6.2484390000000001E-2</v>
      </c>
      <c r="W4772">
        <v>0.32868570000000003</v>
      </c>
      <c r="X4772">
        <v>0.94237009999999999</v>
      </c>
      <c r="Y4772">
        <v>-1.300042E-2</v>
      </c>
      <c r="Z4772">
        <v>-9.6303049999999998E-4</v>
      </c>
      <c r="AA4772">
        <v>0.999915</v>
      </c>
      <c r="AB4772">
        <v>40</v>
      </c>
      <c r="AC4772">
        <v>-0.66009999999999902</v>
      </c>
      <c r="AD4772">
        <v>-7.1643000000000095E-2</v>
      </c>
      <c r="AE4772">
        <v>-8.4999999999979502E-3</v>
      </c>
      <c r="AF4772">
        <v>-1.2876269654704999E-2</v>
      </c>
      <c r="AG4772">
        <v>-7.1643000000000095E-2</v>
      </c>
      <c r="AH4772">
        <v>0.65234313769339503</v>
      </c>
      <c r="AI4772">
        <v>96.266129799561597</v>
      </c>
      <c r="AJ4772">
        <v>91.130785433268301</v>
      </c>
      <c r="AK4772">
        <v>0.65639171769979299</v>
      </c>
      <c r="AL4772">
        <v>70.810977699300196</v>
      </c>
      <c r="AM4772">
        <v>93.793476776062704</v>
      </c>
      <c r="AN4772">
        <v>0.99999999687608598</v>
      </c>
    </row>
    <row r="4773" spans="1:40" x14ac:dyDescent="0.25">
      <c r="A4773" t="str">
        <f>"20190304164221908"</f>
        <v>20190304164221908</v>
      </c>
      <c r="B4773" t="str">
        <f>"1551688941895555"</f>
        <v>1551688941895555</v>
      </c>
      <c r="C4773" t="s">
        <v>40</v>
      </c>
      <c r="D4773">
        <v>3.8515809999999999</v>
      </c>
      <c r="E4773">
        <v>0.52560600000000002</v>
      </c>
      <c r="F4773" t="s">
        <v>41</v>
      </c>
      <c r="G4773">
        <v>-243.06630000000001</v>
      </c>
      <c r="H4773">
        <v>1.0335259999999999</v>
      </c>
      <c r="I4773">
        <v>141.55549999999999</v>
      </c>
      <c r="J4773">
        <v>-242.43860000000001</v>
      </c>
      <c r="K4773">
        <v>1.108498</v>
      </c>
      <c r="L4773">
        <v>141.56450000000001</v>
      </c>
      <c r="M4773">
        <v>-0.99995259999999997</v>
      </c>
      <c r="N4773">
        <v>-6.2993370000000003E-3</v>
      </c>
      <c r="O4773">
        <v>7.42824E-3</v>
      </c>
      <c r="P4773">
        <v>-0.94505850000000002</v>
      </c>
      <c r="Q4773">
        <v>0.321866599999999</v>
      </c>
      <c r="R4773">
        <v>-5.7154450000000002E-2</v>
      </c>
      <c r="S4773">
        <v>-3.2561800000000001</v>
      </c>
      <c r="T4773">
        <v>-0.24061750000000001</v>
      </c>
      <c r="U4773">
        <v>-1.9256590000000001E-2</v>
      </c>
      <c r="V4773">
        <v>-6.3554849999999996E-2</v>
      </c>
      <c r="W4773">
        <v>0.32793129999999998</v>
      </c>
      <c r="X4773">
        <v>0.94256130000000005</v>
      </c>
      <c r="Y4773">
        <v>-1.328559E-2</v>
      </c>
      <c r="Z4773">
        <v>-1.033536E-3</v>
      </c>
      <c r="AA4773">
        <v>0.9999112</v>
      </c>
      <c r="AB4773">
        <v>40</v>
      </c>
      <c r="AC4773">
        <v>-0.62770000000000403</v>
      </c>
      <c r="AD4773">
        <v>-7.4971999999999997E-2</v>
      </c>
      <c r="AE4773">
        <v>-9.0000000000145502E-3</v>
      </c>
      <c r="AF4773">
        <v>-1.34704243874349E-2</v>
      </c>
      <c r="AG4773">
        <v>-7.4971999999999997E-2</v>
      </c>
      <c r="AH4773">
        <v>0.61879014824930001</v>
      </c>
      <c r="AI4773">
        <v>96.906607478138397</v>
      </c>
      <c r="AJ4773">
        <v>91.247073159009403</v>
      </c>
      <c r="AK4773">
        <v>0.623460905500552</v>
      </c>
      <c r="AL4773">
        <v>70.856737783110603</v>
      </c>
      <c r="AM4773">
        <v>93.857490315352095</v>
      </c>
      <c r="AN4773">
        <v>0.99999998036795101</v>
      </c>
    </row>
    <row r="4774" spans="1:40" x14ac:dyDescent="0.25">
      <c r="A4774" t="str">
        <f>"20190304164221928"</f>
        <v>20190304164221928</v>
      </c>
      <c r="B4774" t="str">
        <f>"1551688941916052"</f>
        <v>1551688941916052</v>
      </c>
      <c r="C4774" t="s">
        <v>40</v>
      </c>
      <c r="D4774">
        <v>3.8054209999999999</v>
      </c>
      <c r="E4774">
        <v>0.52582510000000005</v>
      </c>
      <c r="F4774" t="s">
        <v>41</v>
      </c>
      <c r="G4774">
        <v>-243.4247</v>
      </c>
      <c r="H4774">
        <v>1.0352980000000001</v>
      </c>
      <c r="I4774">
        <v>141.55879999999999</v>
      </c>
      <c r="J4774">
        <v>-242.81540000000001</v>
      </c>
      <c r="K4774">
        <v>1.1085830000000001</v>
      </c>
      <c r="L4774">
        <v>141.5676</v>
      </c>
      <c r="M4774">
        <v>-0.99994899999999998</v>
      </c>
      <c r="N4774">
        <v>-6.3196290000000002E-3</v>
      </c>
      <c r="O4774">
        <v>7.8853580000000003E-3</v>
      </c>
      <c r="P4774">
        <v>-0.94527629999999996</v>
      </c>
      <c r="Q4774">
        <v>0.3213028</v>
      </c>
      <c r="R4774">
        <v>-5.6720640000000003E-2</v>
      </c>
      <c r="S4774">
        <v>-3.2555540000000001</v>
      </c>
      <c r="T4774">
        <v>-0.2417067</v>
      </c>
      <c r="U4774">
        <v>-1.921082E-2</v>
      </c>
      <c r="V4774">
        <v>-6.3624020000000003E-2</v>
      </c>
      <c r="W4774">
        <v>0.32737450000000001</v>
      </c>
      <c r="X4774">
        <v>0.94275019999999998</v>
      </c>
      <c r="Y4774">
        <v>-1.372686E-2</v>
      </c>
      <c r="Z4774">
        <v>-1.0871699999999999E-3</v>
      </c>
      <c r="AA4774">
        <v>0.99990520000000005</v>
      </c>
      <c r="AB4774">
        <v>40</v>
      </c>
      <c r="AC4774">
        <v>-0.60929999999998996</v>
      </c>
      <c r="AD4774">
        <v>-7.3285000000000003E-2</v>
      </c>
      <c r="AE4774">
        <v>-8.8000000000079091E-3</v>
      </c>
      <c r="AF4774">
        <v>-1.34104075379288E-2</v>
      </c>
      <c r="AG4774">
        <v>-7.3285000000000003E-2</v>
      </c>
      <c r="AH4774">
        <v>0.60052588062948398</v>
      </c>
      <c r="AI4774">
        <v>96.9559536347885</v>
      </c>
      <c r="AJ4774">
        <v>91.279265548751397</v>
      </c>
      <c r="AK4774">
        <v>0.60512962542016602</v>
      </c>
      <c r="AL4774">
        <v>70.890504609399699</v>
      </c>
      <c r="AM4774">
        <v>93.860904495727098</v>
      </c>
      <c r="AN4774">
        <v>1.0000000093856201</v>
      </c>
    </row>
    <row r="4775" spans="1:40" x14ac:dyDescent="0.25">
      <c r="A4775" t="str">
        <f>"20190304164221942"</f>
        <v>20190304164221942</v>
      </c>
      <c r="B4775" t="str">
        <f>"1551688941935572"</f>
        <v>1551688941935572</v>
      </c>
      <c r="C4775" t="s">
        <v>40</v>
      </c>
      <c r="D4775">
        <v>3.8205249999999999</v>
      </c>
      <c r="E4775">
        <v>0.52598859999999903</v>
      </c>
      <c r="F4775" t="s">
        <v>41</v>
      </c>
      <c r="G4775">
        <v>-243.7833</v>
      </c>
      <c r="H4775">
        <v>1.0365949999999999</v>
      </c>
      <c r="I4775">
        <v>141.56309999999999</v>
      </c>
      <c r="J4775">
        <v>-243.05430000000001</v>
      </c>
      <c r="K4775">
        <v>1.108644</v>
      </c>
      <c r="L4775">
        <v>141.56960000000001</v>
      </c>
      <c r="M4775">
        <v>-0.99994680000000002</v>
      </c>
      <c r="N4775">
        <v>-6.3326019999999997E-3</v>
      </c>
      <c r="O4775">
        <v>8.1341509999999992E-3</v>
      </c>
      <c r="P4775">
        <v>-0.94562579999999996</v>
      </c>
      <c r="Q4775">
        <v>0.32026539999999998</v>
      </c>
      <c r="R4775">
        <v>-5.6762050000000001E-2</v>
      </c>
      <c r="S4775">
        <v>-3.25502</v>
      </c>
      <c r="T4775">
        <v>-0.24220539999999999</v>
      </c>
      <c r="U4775">
        <v>-1.64032E-2</v>
      </c>
      <c r="V4775">
        <v>-6.3949350000000002E-2</v>
      </c>
      <c r="W4775">
        <v>0.32634289999999999</v>
      </c>
      <c r="X4775">
        <v>0.94308579999999997</v>
      </c>
      <c r="Y4775">
        <v>-1.3115160000000001E-2</v>
      </c>
      <c r="Z4775">
        <v>-1.081835E-3</v>
      </c>
      <c r="AA4775">
        <v>0.99991339999999995</v>
      </c>
      <c r="AB4775">
        <v>40</v>
      </c>
      <c r="AC4775">
        <v>-0.72899999999998499</v>
      </c>
      <c r="AD4775">
        <v>-7.2048999999999794E-2</v>
      </c>
      <c r="AE4775">
        <v>-6.5000000000168196E-3</v>
      </c>
      <c r="AF4775">
        <v>-1.23094722819751E-2</v>
      </c>
      <c r="AG4775">
        <v>-7.2048999999999794E-2</v>
      </c>
      <c r="AH4775">
        <v>0.72187239742328402</v>
      </c>
      <c r="AI4775">
        <v>95.698906295724697</v>
      </c>
      <c r="AJ4775">
        <v>90.9769212186837</v>
      </c>
      <c r="AK4775">
        <v>0.72556346357193302</v>
      </c>
      <c r="AL4775">
        <v>70.953046293762497</v>
      </c>
      <c r="AM4775">
        <v>93.879209669759007</v>
      </c>
      <c r="AN4775">
        <v>1.00000001695373</v>
      </c>
    </row>
    <row r="4776" spans="1:40" x14ac:dyDescent="0.25">
      <c r="A4776" t="str">
        <f>"20190304164221955"</f>
        <v>20190304164221955</v>
      </c>
      <c r="B4776" t="str">
        <f>"1551688941946308"</f>
        <v>1551688941946308</v>
      </c>
      <c r="C4776" t="s">
        <v>40</v>
      </c>
      <c r="D4776">
        <v>3.798978</v>
      </c>
      <c r="E4776">
        <v>0.5260608</v>
      </c>
      <c r="F4776" t="s">
        <v>41</v>
      </c>
      <c r="G4776">
        <v>-244.13460000000001</v>
      </c>
      <c r="H4776">
        <v>1.0273589999999999</v>
      </c>
      <c r="I4776">
        <v>141.56450000000001</v>
      </c>
      <c r="J4776">
        <v>-243.29339999999999</v>
      </c>
      <c r="K4776">
        <v>1.108697</v>
      </c>
      <c r="L4776">
        <v>141.57169999999999</v>
      </c>
      <c r="M4776">
        <v>-0.99994530000000004</v>
      </c>
      <c r="N4776">
        <v>-6.3456160000000001E-3</v>
      </c>
      <c r="O4776">
        <v>8.3215340000000002E-3</v>
      </c>
      <c r="P4776">
        <v>-0.94597989999999998</v>
      </c>
      <c r="Q4776">
        <v>0.31922970000000001</v>
      </c>
      <c r="R4776">
        <v>-5.6699470000000002E-2</v>
      </c>
      <c r="S4776">
        <v>-3.2545320000000002</v>
      </c>
      <c r="T4776">
        <v>-0.24482979999999999</v>
      </c>
      <c r="U4776">
        <v>-1.5335079999999999E-2</v>
      </c>
      <c r="V4776">
        <v>-6.4113740000000002E-2</v>
      </c>
      <c r="W4776">
        <v>0.32531290000000002</v>
      </c>
      <c r="X4776">
        <v>0.9434304</v>
      </c>
      <c r="Y4776">
        <v>-1.297384E-2</v>
      </c>
      <c r="Z4776">
        <v>-1.1009100000000001E-3</v>
      </c>
      <c r="AA4776">
        <v>0.9999152</v>
      </c>
      <c r="AB4776">
        <v>40</v>
      </c>
      <c r="AC4776">
        <v>-0.84120000000001405</v>
      </c>
      <c r="AD4776">
        <v>-8.1338000000000105E-2</v>
      </c>
      <c r="AE4776">
        <v>-7.1999999999832198E-3</v>
      </c>
      <c r="AF4776">
        <v>-1.40684423355337E-2</v>
      </c>
      <c r="AG4776">
        <v>-8.1338000000000105E-2</v>
      </c>
      <c r="AH4776">
        <v>0.83332039692057902</v>
      </c>
      <c r="AI4776">
        <v>95.574027191008199</v>
      </c>
      <c r="AJ4776">
        <v>90.967197978369995</v>
      </c>
      <c r="AK4776">
        <v>0.83739875521618701</v>
      </c>
      <c r="AL4776">
        <v>71.015466732885997</v>
      </c>
      <c r="AM4776">
        <v>93.887734907006902</v>
      </c>
      <c r="AN4776">
        <v>0.99999998710367799</v>
      </c>
    </row>
    <row r="4777" spans="1:40" x14ac:dyDescent="0.25">
      <c r="A4777" t="str">
        <f>"20190304164221967"</f>
        <v>20190304164221967</v>
      </c>
      <c r="B4777" t="str">
        <f>"1551688941956069"</f>
        <v>1551688941956069</v>
      </c>
      <c r="C4777" t="s">
        <v>40</v>
      </c>
      <c r="D4777">
        <v>3.7962009999999999</v>
      </c>
      <c r="E4777">
        <v>0.52613650000000001</v>
      </c>
      <c r="F4777" t="s">
        <v>42</v>
      </c>
      <c r="G4777">
        <v>-257.85379999999998</v>
      </c>
      <c r="H4777" s="1">
        <v>-1.4065269999999999E-6</v>
      </c>
      <c r="I4777">
        <v>141.50839999999999</v>
      </c>
      <c r="J4777">
        <v>-243.51609999999999</v>
      </c>
      <c r="K4777">
        <v>1.108744</v>
      </c>
      <c r="L4777">
        <v>141.5737</v>
      </c>
      <c r="M4777">
        <v>-0.9999441</v>
      </c>
      <c r="N4777">
        <v>-6.3577520000000004E-3</v>
      </c>
      <c r="O4777">
        <v>8.4721029999999999E-3</v>
      </c>
      <c r="P4777">
        <v>-0.94633160000000005</v>
      </c>
      <c r="Q4777">
        <v>0.3181716</v>
      </c>
      <c r="R4777">
        <v>-5.677811E-2</v>
      </c>
      <c r="S4777">
        <v>-3.254105</v>
      </c>
      <c r="T4777">
        <v>-0.24778459999999999</v>
      </c>
      <c r="U4777">
        <v>-1.4129640000000001E-2</v>
      </c>
      <c r="V4777">
        <v>-6.4379889999999995E-2</v>
      </c>
      <c r="W4777">
        <v>0.32426120000000003</v>
      </c>
      <c r="X4777">
        <v>0.94377429999999995</v>
      </c>
      <c r="Y4777">
        <v>-1.2753479999999999E-2</v>
      </c>
      <c r="Z4777">
        <v>-1.1158400000000001E-3</v>
      </c>
      <c r="AA4777">
        <v>0.99991799999999997</v>
      </c>
      <c r="AB4777">
        <v>40</v>
      </c>
      <c r="AC4777">
        <v>-14.3376999999999</v>
      </c>
      <c r="AD4777">
        <v>-1.1087454065269999</v>
      </c>
      <c r="AE4777">
        <v>-6.5300000000007602E-2</v>
      </c>
      <c r="AF4777">
        <v>-0.18566032359527301</v>
      </c>
      <c r="AG4777">
        <v>-1.1087454065269999</v>
      </c>
      <c r="AH4777">
        <v>14.251409824774299</v>
      </c>
      <c r="AI4777">
        <v>94.448217439209401</v>
      </c>
      <c r="AJ4777">
        <v>90.746378875478598</v>
      </c>
      <c r="AK4777">
        <v>14.2956800511877</v>
      </c>
      <c r="AL4777">
        <v>71.0791792188827</v>
      </c>
      <c r="AM4777">
        <v>93.902405826146506</v>
      </c>
      <c r="AN4777">
        <v>1.0000000127011699</v>
      </c>
    </row>
    <row r="4778" spans="1:40" x14ac:dyDescent="0.25">
      <c r="A4778" t="str">
        <f>"20190304164221984"</f>
        <v>20190304164221984</v>
      </c>
      <c r="B4778" t="str">
        <f>"1551688941976129"</f>
        <v>1551688941976129</v>
      </c>
      <c r="C4778" t="s">
        <v>40</v>
      </c>
      <c r="D4778">
        <v>3.7752080000000001</v>
      </c>
      <c r="E4778">
        <v>0.52633399999999997</v>
      </c>
      <c r="F4778" t="s">
        <v>41</v>
      </c>
      <c r="G4778">
        <v>-244.4983</v>
      </c>
      <c r="H4778">
        <v>1.0330429999999999</v>
      </c>
      <c r="I4778">
        <v>141.56979999999999</v>
      </c>
      <c r="J4778">
        <v>-243.8279</v>
      </c>
      <c r="K4778">
        <v>1.108803</v>
      </c>
      <c r="L4778">
        <v>141.57640000000001</v>
      </c>
      <c r="M4778">
        <v>-0.99994249999999996</v>
      </c>
      <c r="N4778">
        <v>-6.3747600000000001E-3</v>
      </c>
      <c r="O4778">
        <v>8.6345759999999997E-3</v>
      </c>
      <c r="P4778">
        <v>-0.94715740000000004</v>
      </c>
      <c r="Q4778">
        <v>0.31554660000000001</v>
      </c>
      <c r="R4778">
        <v>-5.7650609999999998E-2</v>
      </c>
      <c r="S4778">
        <v>-3.2536619999999998</v>
      </c>
      <c r="T4778">
        <v>-0.25079420000000002</v>
      </c>
      <c r="U4778">
        <v>-1.3275149999999999E-2</v>
      </c>
      <c r="V4778">
        <v>-6.5471189999999999E-2</v>
      </c>
      <c r="W4778">
        <v>0.32164730000000002</v>
      </c>
      <c r="X4778">
        <v>0.94459329999999997</v>
      </c>
      <c r="Y4778">
        <v>-1.265236E-2</v>
      </c>
      <c r="Z4778">
        <v>-1.136892E-3</v>
      </c>
      <c r="AA4778">
        <v>0.99991929999999996</v>
      </c>
      <c r="AB4778">
        <v>40</v>
      </c>
      <c r="AC4778">
        <v>-0.6704</v>
      </c>
      <c r="AD4778">
        <v>-7.5759999999999994E-2</v>
      </c>
      <c r="AE4778">
        <v>-6.6000000000201401E-3</v>
      </c>
      <c r="AF4778">
        <v>-1.2232291961917101E-2</v>
      </c>
      <c r="AG4778">
        <v>-7.5759999999999994E-2</v>
      </c>
      <c r="AH4778">
        <v>0.66186639416201998</v>
      </c>
      <c r="AI4778">
        <v>96.528790269360499</v>
      </c>
      <c r="AJ4778">
        <v>91.058792120508002</v>
      </c>
      <c r="AK4778">
        <v>0.66630048047984702</v>
      </c>
      <c r="AL4778">
        <v>71.237423760829103</v>
      </c>
      <c r="AM4778">
        <v>93.964915966668698</v>
      </c>
      <c r="AN4778">
        <v>0.999999982361097</v>
      </c>
    </row>
    <row r="4779" spans="1:40" x14ac:dyDescent="0.25">
      <c r="A4779" t="str">
        <f>"20190304164222007"</f>
        <v>20190304164222007</v>
      </c>
      <c r="B4779" t="str">
        <f>"1551688941995649"</f>
        <v>1551688941995649</v>
      </c>
      <c r="C4779" t="s">
        <v>40</v>
      </c>
      <c r="D4779">
        <v>3.8037619999999999</v>
      </c>
      <c r="E4779">
        <v>0.52645500000000001</v>
      </c>
      <c r="F4779" t="s">
        <v>41</v>
      </c>
      <c r="G4779">
        <v>-244.85409999999999</v>
      </c>
      <c r="H4779">
        <v>1.027415</v>
      </c>
      <c r="I4779">
        <v>141.57239999999999</v>
      </c>
      <c r="J4779">
        <v>-244.21879999999999</v>
      </c>
      <c r="K4779">
        <v>1.108867</v>
      </c>
      <c r="L4779">
        <v>141.57980000000001</v>
      </c>
      <c r="M4779">
        <v>-0.99994119999999997</v>
      </c>
      <c r="N4779">
        <v>-6.3960759999999997E-3</v>
      </c>
      <c r="O4779">
        <v>8.7699730000000004E-3</v>
      </c>
      <c r="P4779">
        <v>-0.94768640000000004</v>
      </c>
      <c r="Q4779">
        <v>0.31380350000000001</v>
      </c>
      <c r="R4779">
        <v>-5.8461319999999997E-2</v>
      </c>
      <c r="S4779">
        <v>-3.2525179999999998</v>
      </c>
      <c r="T4779">
        <v>-0.25795889999999999</v>
      </c>
      <c r="U4779">
        <v>-1.2786870000000001E-2</v>
      </c>
      <c r="V4779">
        <v>-6.6476149999999998E-2</v>
      </c>
      <c r="W4779">
        <v>0.3199166</v>
      </c>
      <c r="X4779">
        <v>0.94511069999999997</v>
      </c>
      <c r="Y4779">
        <v>-1.263512E-2</v>
      </c>
      <c r="Z4779">
        <v>-1.179179E-3</v>
      </c>
      <c r="AA4779">
        <v>0.99991949999999996</v>
      </c>
      <c r="AB4779">
        <v>40</v>
      </c>
      <c r="AC4779">
        <v>-0.63529999999999998</v>
      </c>
      <c r="AD4779">
        <v>-8.1451999999999997E-2</v>
      </c>
      <c r="AE4779">
        <v>-7.40000000001828E-3</v>
      </c>
      <c r="AF4779">
        <v>-1.2761646641395501E-2</v>
      </c>
      <c r="AG4779">
        <v>-8.1451999999999997E-2</v>
      </c>
      <c r="AH4779">
        <v>0.62493938343119004</v>
      </c>
      <c r="AI4779">
        <v>97.424303248624597</v>
      </c>
      <c r="AJ4779">
        <v>91.169852471171495</v>
      </c>
      <c r="AK4779">
        <v>0.63035428204491095</v>
      </c>
      <c r="AL4779">
        <v>71.342118182369902</v>
      </c>
      <c r="AM4779">
        <v>94.023380904185998</v>
      </c>
      <c r="AN4779">
        <v>0.99999997236443505</v>
      </c>
    </row>
    <row r="4780" spans="1:40" x14ac:dyDescent="0.25">
      <c r="A4780" t="str">
        <f>"20190304164222019"</f>
        <v>20190304164222019</v>
      </c>
      <c r="B4780" t="str">
        <f>"1551688942016145"</f>
        <v>1551688942016145</v>
      </c>
      <c r="C4780" t="s">
        <v>40</v>
      </c>
      <c r="D4780">
        <v>3.7833269999999999</v>
      </c>
      <c r="E4780">
        <v>0.52657959999999904</v>
      </c>
      <c r="F4780" t="s">
        <v>41</v>
      </c>
      <c r="G4780">
        <v>-245.21600000000001</v>
      </c>
      <c r="H4780">
        <v>1.0285899999999999</v>
      </c>
      <c r="I4780">
        <v>141.57599999999999</v>
      </c>
      <c r="J4780">
        <v>-244.45070000000001</v>
      </c>
      <c r="K4780">
        <v>1.108903</v>
      </c>
      <c r="L4780">
        <v>141.58189999999999</v>
      </c>
      <c r="M4780">
        <v>-0.99994059999999996</v>
      </c>
      <c r="N4780">
        <v>-6.4086890000000004E-3</v>
      </c>
      <c r="O4780">
        <v>8.8260560000000005E-3</v>
      </c>
      <c r="P4780">
        <v>-0.94772160000000005</v>
      </c>
      <c r="Q4780">
        <v>0.31359979999999998</v>
      </c>
      <c r="R4780">
        <v>-5.8985080000000002E-2</v>
      </c>
      <c r="S4780">
        <v>-3.2514949999999998</v>
      </c>
      <c r="T4780">
        <v>-0.26179839999999999</v>
      </c>
      <c r="U4780">
        <v>-1.2969970000000001E-2</v>
      </c>
      <c r="V4780">
        <v>-6.7084309999999994E-2</v>
      </c>
      <c r="W4780">
        <v>0.31971870000000002</v>
      </c>
      <c r="X4780">
        <v>0.94513469999999999</v>
      </c>
      <c r="Y4780">
        <v>-1.2746169999999999E-2</v>
      </c>
      <c r="Z4780">
        <v>-1.2062279999999999E-3</v>
      </c>
      <c r="AA4780">
        <v>0.99991799999999997</v>
      </c>
      <c r="AB4780">
        <v>40</v>
      </c>
      <c r="AC4780">
        <v>-0.76529999999996701</v>
      </c>
      <c r="AD4780">
        <v>-8.0312999999999996E-2</v>
      </c>
      <c r="AE4780">
        <v>-5.8999999999968999E-3</v>
      </c>
      <c r="AF4780">
        <v>-1.2516650451743E-2</v>
      </c>
      <c r="AG4780">
        <v>-8.0312999999999996E-2</v>
      </c>
      <c r="AH4780">
        <v>0.75688300757339799</v>
      </c>
      <c r="AI4780">
        <v>96.0561793501697</v>
      </c>
      <c r="AJ4780">
        <v>90.9474197116282</v>
      </c>
      <c r="AK4780">
        <v>0.76123500422726498</v>
      </c>
      <c r="AL4780">
        <v>71.354085633704003</v>
      </c>
      <c r="AM4780">
        <v>94.059963690142794</v>
      </c>
      <c r="AN4780">
        <v>0.99999997646097705</v>
      </c>
    </row>
    <row r="4781" spans="1:40" x14ac:dyDescent="0.25">
      <c r="A4781" t="str">
        <f>"20190304164222034"</f>
        <v>20190304164222034</v>
      </c>
      <c r="B4781" t="str">
        <f>"1551688942025905"</f>
        <v>1551688942025905</v>
      </c>
      <c r="C4781" t="s">
        <v>40</v>
      </c>
      <c r="D4781">
        <v>3.7920989999999999</v>
      </c>
      <c r="E4781">
        <v>0.52657959999999904</v>
      </c>
      <c r="F4781" t="s">
        <v>42</v>
      </c>
      <c r="G4781">
        <v>-258.28019999999998</v>
      </c>
      <c r="H4781" s="1">
        <v>-1.2282799999999901E-6</v>
      </c>
      <c r="I4781">
        <v>141.52600000000001</v>
      </c>
      <c r="J4781">
        <v>-244.71180000000001</v>
      </c>
      <c r="K4781">
        <v>1.108938</v>
      </c>
      <c r="L4781">
        <v>141.58430000000001</v>
      </c>
      <c r="M4781">
        <v>-0.99994000000000005</v>
      </c>
      <c r="N4781">
        <v>-6.422873E-3</v>
      </c>
      <c r="O4781">
        <v>8.869086E-3</v>
      </c>
      <c r="P4781">
        <v>-0.94784020000000002</v>
      </c>
      <c r="Q4781">
        <v>0.31309209999999998</v>
      </c>
      <c r="R4781">
        <v>-5.9771530000000003E-2</v>
      </c>
      <c r="S4781">
        <v>-3.250931</v>
      </c>
      <c r="T4781">
        <v>-0.26067390000000001</v>
      </c>
      <c r="U4781">
        <v>-1.312256E-2</v>
      </c>
      <c r="V4781">
        <v>-6.7942279999999994E-2</v>
      </c>
      <c r="W4781">
        <v>0.31921949999999999</v>
      </c>
      <c r="X4781">
        <v>0.94524220000000003</v>
      </c>
      <c r="Y4781">
        <v>-1.283696E-2</v>
      </c>
      <c r="Z4781">
        <v>-1.2082670000000001E-3</v>
      </c>
      <c r="AA4781">
        <v>0.9999169</v>
      </c>
      <c r="AB4781">
        <v>40</v>
      </c>
      <c r="AC4781">
        <v>-13.568399999999899</v>
      </c>
      <c r="AD4781">
        <v>-1.1089392282799999</v>
      </c>
      <c r="AE4781">
        <v>-5.83000000000026E-2</v>
      </c>
      <c r="AF4781">
        <v>-0.17745417838733099</v>
      </c>
      <c r="AG4781">
        <v>-1.1089392282799999</v>
      </c>
      <c r="AH4781">
        <v>13.477326144747</v>
      </c>
      <c r="AI4781">
        <v>94.7034001540638</v>
      </c>
      <c r="AJ4781">
        <v>90.754362391321195</v>
      </c>
      <c r="AK4781">
        <v>13.5240362395745</v>
      </c>
      <c r="AL4781">
        <v>71.384270444201107</v>
      </c>
      <c r="AM4781">
        <v>94.111245325662594</v>
      </c>
      <c r="AN4781">
        <v>1.00000002962634</v>
      </c>
    </row>
    <row r="4782" spans="1:40" x14ac:dyDescent="0.25">
      <c r="A4782" t="str">
        <f>"20190304164222052"</f>
        <v>20190304164222052</v>
      </c>
      <c r="B4782" t="str">
        <f>"1551688942045425"</f>
        <v>1551688942045425</v>
      </c>
      <c r="C4782" t="s">
        <v>40</v>
      </c>
      <c r="D4782">
        <v>3.8071359999999999</v>
      </c>
      <c r="E4782">
        <v>0.5296305</v>
      </c>
      <c r="F4782" t="s">
        <v>41</v>
      </c>
      <c r="G4782">
        <v>-245.58580000000001</v>
      </c>
      <c r="H4782">
        <v>1.038419</v>
      </c>
      <c r="I4782">
        <v>141.58029999999999</v>
      </c>
      <c r="J4782">
        <v>-245.0497</v>
      </c>
      <c r="K4782">
        <v>1.10897</v>
      </c>
      <c r="L4782">
        <v>141.5873</v>
      </c>
      <c r="M4782">
        <v>-0.99993969999999999</v>
      </c>
      <c r="N4782">
        <v>-6.441268E-3</v>
      </c>
      <c r="O4782">
        <v>8.9068240000000007E-3</v>
      </c>
      <c r="P4782">
        <v>-0.94813360000000002</v>
      </c>
      <c r="Q4782">
        <v>0.31187579999999998</v>
      </c>
      <c r="R4782">
        <v>-6.1452260000000002E-2</v>
      </c>
      <c r="S4782">
        <v>-3.2507779999999999</v>
      </c>
      <c r="T4782">
        <v>-0.2623144</v>
      </c>
      <c r="U4782">
        <v>-1.5182499999999899E-2</v>
      </c>
      <c r="V4782">
        <v>-6.9694999999999993E-2</v>
      </c>
      <c r="W4782">
        <v>0.31801669999999999</v>
      </c>
      <c r="X4782">
        <v>0.94552000000000003</v>
      </c>
      <c r="Y4782">
        <v>-1.350517E-2</v>
      </c>
      <c r="Z4782">
        <v>-1.247827E-3</v>
      </c>
      <c r="AA4782">
        <v>0.99990800000000002</v>
      </c>
      <c r="AB4782">
        <v>40</v>
      </c>
      <c r="AC4782">
        <v>-0.53610000000000402</v>
      </c>
      <c r="AD4782">
        <v>-7.0551000000000003E-2</v>
      </c>
      <c r="AE4782">
        <v>-7.0000000000049996E-3</v>
      </c>
      <c r="AF4782">
        <v>-1.15743509062795E-2</v>
      </c>
      <c r="AG4782">
        <v>-7.0551000000000003E-2</v>
      </c>
      <c r="AH4782">
        <v>0.52689285275758102</v>
      </c>
      <c r="AI4782">
        <v>97.624728695115095</v>
      </c>
      <c r="AJ4782">
        <v>91.258424390947695</v>
      </c>
      <c r="AK4782">
        <v>0.53172124979816604</v>
      </c>
      <c r="AL4782">
        <v>71.456975185937395</v>
      </c>
      <c r="AM4782">
        <v>94.215691611062695</v>
      </c>
      <c r="AN4782">
        <v>1.00000004245194</v>
      </c>
    </row>
    <row r="4783" spans="1:40" x14ac:dyDescent="0.25">
      <c r="A4783" t="str">
        <f>"20190304164222066"</f>
        <v>20190304164222066</v>
      </c>
      <c r="B4783" t="str">
        <f>"1551688942056162"</f>
        <v>1551688942056162</v>
      </c>
      <c r="C4783" t="s">
        <v>40</v>
      </c>
      <c r="D4783">
        <v>3.77088</v>
      </c>
      <c r="E4783">
        <v>0.52940589999999998</v>
      </c>
      <c r="F4783" t="s">
        <v>42</v>
      </c>
      <c r="G4783">
        <v>-262.71199999999999</v>
      </c>
      <c r="H4783" s="1">
        <v>-3.6422769999999998E-6</v>
      </c>
      <c r="I4783">
        <v>141.62110000000001</v>
      </c>
      <c r="J4783">
        <v>-245.3</v>
      </c>
      <c r="K4783">
        <v>1.108994</v>
      </c>
      <c r="L4783">
        <v>141.58959999999999</v>
      </c>
      <c r="M4783">
        <v>-0.99993940000000003</v>
      </c>
      <c r="N4783">
        <v>-6.4548869999999899E-3</v>
      </c>
      <c r="O4783">
        <v>8.9248880000000006E-3</v>
      </c>
      <c r="P4783">
        <v>-0.94820769999999999</v>
      </c>
      <c r="Q4783">
        <v>0.31141210000000003</v>
      </c>
      <c r="R4783">
        <v>-6.2649140000000006E-2</v>
      </c>
      <c r="S4783">
        <v>-3.2312620000000001</v>
      </c>
      <c r="T4783">
        <v>-0.20288400000000001</v>
      </c>
      <c r="U4783">
        <v>6.1950679999999998E-3</v>
      </c>
      <c r="V4783">
        <v>-7.0931330000000001E-2</v>
      </c>
      <c r="W4783">
        <v>0.31756230000000002</v>
      </c>
      <c r="X4783">
        <v>0.94558070000000005</v>
      </c>
      <c r="Y4783">
        <v>-6.9786040000000002E-3</v>
      </c>
      <c r="Z4783">
        <v>-7.4367409999999998E-4</v>
      </c>
      <c r="AA4783">
        <v>0.99997539999999996</v>
      </c>
      <c r="AB4783">
        <v>40</v>
      </c>
      <c r="AC4783">
        <v>-17.4119999999999</v>
      </c>
      <c r="AD4783">
        <v>-1.108997642277</v>
      </c>
      <c r="AE4783">
        <v>3.1500000000022503E-2</v>
      </c>
      <c r="AF4783">
        <v>-0.12340403128595601</v>
      </c>
      <c r="AG4783">
        <v>-1.108997642277</v>
      </c>
      <c r="AH4783">
        <v>17.341241102071098</v>
      </c>
      <c r="AI4783">
        <v>93.659073232899999</v>
      </c>
      <c r="AJ4783">
        <v>90.407722306481404</v>
      </c>
      <c r="AK4783">
        <v>17.3771041110328</v>
      </c>
      <c r="AL4783">
        <v>71.484432302976501</v>
      </c>
      <c r="AM4783">
        <v>94.289923227230403</v>
      </c>
      <c r="AN4783">
        <v>0.99999996408467295</v>
      </c>
    </row>
    <row r="4784" spans="1:40" x14ac:dyDescent="0.25">
      <c r="A4784" t="str">
        <f>"20190304164222081"</f>
        <v>20190304164222081</v>
      </c>
      <c r="B4784" t="str">
        <f>"1551688942076307"</f>
        <v>1551688942076307</v>
      </c>
      <c r="C4784" t="s">
        <v>40</v>
      </c>
      <c r="D4784">
        <v>3.7668970000000002</v>
      </c>
      <c r="E4784">
        <v>0.52924930000000003</v>
      </c>
      <c r="F4784" t="s">
        <v>42</v>
      </c>
      <c r="G4784">
        <v>-263.17430000000002</v>
      </c>
      <c r="H4784" s="1">
        <v>-3.436146E-6</v>
      </c>
      <c r="I4784">
        <v>141.59180000000001</v>
      </c>
      <c r="J4784">
        <v>-245.56700000000001</v>
      </c>
      <c r="K4784">
        <v>1.109013</v>
      </c>
      <c r="L4784">
        <v>141.59190000000001</v>
      </c>
      <c r="M4784">
        <v>-0.99993920000000003</v>
      </c>
      <c r="N4784">
        <v>-6.469364E-3</v>
      </c>
      <c r="O4784">
        <v>8.9372369999999902E-3</v>
      </c>
      <c r="P4784">
        <v>-0.94852099999999995</v>
      </c>
      <c r="Q4784">
        <v>0.31032399999999999</v>
      </c>
      <c r="R4784">
        <v>-6.3300099999999998E-2</v>
      </c>
      <c r="S4784">
        <v>-3.2297210000000001</v>
      </c>
      <c r="T4784">
        <v>-0.20038529999999999</v>
      </c>
      <c r="U4784">
        <v>4.1198729999999999E-4</v>
      </c>
      <c r="V4784">
        <v>-7.1617219999999995E-2</v>
      </c>
      <c r="W4784">
        <v>0.31648599999999999</v>
      </c>
      <c r="X4784">
        <v>0.9458898</v>
      </c>
      <c r="Y4784">
        <v>-8.7774380000000003E-3</v>
      </c>
      <c r="Z4784">
        <v>-7.9665089999999997E-4</v>
      </c>
      <c r="AA4784">
        <v>0.99996110000000005</v>
      </c>
      <c r="AB4784">
        <v>41</v>
      </c>
      <c r="AC4784">
        <v>-17.607299999999999</v>
      </c>
      <c r="AD4784">
        <v>-1.109016436146</v>
      </c>
      <c r="AE4784">
        <v>-1.0000000000331901E-4</v>
      </c>
      <c r="AF4784">
        <v>-0.15684166052427001</v>
      </c>
      <c r="AG4784">
        <v>-1.109016436146</v>
      </c>
      <c r="AH4784">
        <v>17.537021988707401</v>
      </c>
      <c r="AI4784">
        <v>93.6183411881957</v>
      </c>
      <c r="AJ4784">
        <v>90.512408869888404</v>
      </c>
      <c r="AK4784">
        <v>17.572753255950701</v>
      </c>
      <c r="AL4784">
        <v>71.549453726950404</v>
      </c>
      <c r="AM4784">
        <v>94.329838723675493</v>
      </c>
      <c r="AN4784">
        <v>0.99999996407028302</v>
      </c>
    </row>
    <row r="4785" spans="1:40" x14ac:dyDescent="0.25">
      <c r="A4785" t="str">
        <f>"20190304164222097"</f>
        <v>20190304164222097</v>
      </c>
      <c r="B4785" t="str">
        <f>"1551688942086067"</f>
        <v>1551688942086067</v>
      </c>
      <c r="C4785" t="s">
        <v>40</v>
      </c>
      <c r="D4785">
        <v>3.7783929999999999</v>
      </c>
      <c r="E4785">
        <v>0.5292713</v>
      </c>
      <c r="F4785" t="s">
        <v>42</v>
      </c>
      <c r="G4785">
        <v>-263.31670000000003</v>
      </c>
      <c r="H4785" s="1">
        <v>-3.3700489999999998E-6</v>
      </c>
      <c r="I4785">
        <v>141.5728</v>
      </c>
      <c r="J4785">
        <v>-245.85900000000001</v>
      </c>
      <c r="K4785">
        <v>1.109029</v>
      </c>
      <c r="L4785">
        <v>141.59460000000001</v>
      </c>
      <c r="M4785">
        <v>-0.99993900000000002</v>
      </c>
      <c r="N4785">
        <v>-6.4851529999999996E-3</v>
      </c>
      <c r="O4785">
        <v>8.945237E-3</v>
      </c>
      <c r="P4785">
        <v>-0.94872780000000001</v>
      </c>
      <c r="Q4785">
        <v>0.30927769999999999</v>
      </c>
      <c r="R4785">
        <v>-6.5290680000000004E-2</v>
      </c>
      <c r="S4785">
        <v>-3.228577</v>
      </c>
      <c r="T4785">
        <v>-0.2017244</v>
      </c>
      <c r="U4785">
        <v>-3.4637449999999998E-3</v>
      </c>
      <c r="V4785">
        <v>-7.3635999999999993E-2</v>
      </c>
      <c r="W4785">
        <v>0.31545220000000002</v>
      </c>
      <c r="X4785">
        <v>0.94608009999999998</v>
      </c>
      <c r="Y4785">
        <v>-9.9827140000000002E-3</v>
      </c>
      <c r="Z4785">
        <v>-8.4436089999999895E-4</v>
      </c>
      <c r="AA4785">
        <v>0.9999498</v>
      </c>
      <c r="AB4785">
        <v>41</v>
      </c>
      <c r="AC4785">
        <v>-17.457699999999999</v>
      </c>
      <c r="AD4785">
        <v>-1.1090323700489999</v>
      </c>
      <c r="AE4785">
        <v>-2.1800000000013101E-2</v>
      </c>
      <c r="AF4785">
        <v>-0.17725034889104299</v>
      </c>
      <c r="AG4785">
        <v>-1.1090323700489999</v>
      </c>
      <c r="AH4785">
        <v>17.3866400580619</v>
      </c>
      <c r="AI4785">
        <v>93.649561736677398</v>
      </c>
      <c r="AJ4785">
        <v>90.584088994074406</v>
      </c>
      <c r="AK4785">
        <v>17.42287642706</v>
      </c>
      <c r="AL4785">
        <v>71.6118842642597</v>
      </c>
      <c r="AM4785">
        <v>94.4505146167552</v>
      </c>
      <c r="AN4785">
        <v>0.99999995329842395</v>
      </c>
    </row>
    <row r="4786" spans="1:40" x14ac:dyDescent="0.25">
      <c r="A4786" t="str">
        <f>"20190304164222121"</f>
        <v>20190304164222121</v>
      </c>
      <c r="B4786" t="str">
        <f>"1551688942116323"</f>
        <v>1551688942116323</v>
      </c>
      <c r="C4786" t="s">
        <v>40</v>
      </c>
      <c r="D4786">
        <v>3.759636</v>
      </c>
      <c r="E4786">
        <v>0.52948919999999999</v>
      </c>
      <c r="F4786" t="s">
        <v>42</v>
      </c>
      <c r="G4786">
        <v>-263.30970000000002</v>
      </c>
      <c r="H4786" s="1">
        <v>-3.3627250000000001E-6</v>
      </c>
      <c r="I4786">
        <v>141.53399999999999</v>
      </c>
      <c r="J4786">
        <v>-246.2679</v>
      </c>
      <c r="K4786">
        <v>1.109064</v>
      </c>
      <c r="L4786">
        <v>141.59829999999999</v>
      </c>
      <c r="M4786">
        <v>-0.99993880000000002</v>
      </c>
      <c r="N4786">
        <v>-6.5072910000000001E-3</v>
      </c>
      <c r="O4786">
        <v>8.9531699999999999E-3</v>
      </c>
      <c r="P4786">
        <v>-0.94877809999999996</v>
      </c>
      <c r="Q4786">
        <v>0.30880580000000002</v>
      </c>
      <c r="R4786">
        <v>-6.6777799999999998E-2</v>
      </c>
      <c r="S4786">
        <v>-3.228256</v>
      </c>
      <c r="T4786">
        <v>-0.2051637</v>
      </c>
      <c r="U4786">
        <v>-1.119995E-2</v>
      </c>
      <c r="V4786">
        <v>-7.5154189999999996E-2</v>
      </c>
      <c r="W4786">
        <v>0.31499700000000003</v>
      </c>
      <c r="X4786">
        <v>0.94611250000000002</v>
      </c>
      <c r="Y4786">
        <v>-1.238041E-2</v>
      </c>
      <c r="Z4786">
        <v>-9.435407E-4</v>
      </c>
      <c r="AA4786">
        <v>0.99992289999999995</v>
      </c>
      <c r="AB4786">
        <v>41</v>
      </c>
      <c r="AC4786">
        <v>-17.041799999999999</v>
      </c>
      <c r="AD4786">
        <v>-1.1090673627249901</v>
      </c>
      <c r="AE4786">
        <v>-6.4300000000002897E-2</v>
      </c>
      <c r="AF4786">
        <v>-0.21596411618241701</v>
      </c>
      <c r="AG4786">
        <v>-1.1090673627249901</v>
      </c>
      <c r="AH4786">
        <v>16.968674699551599</v>
      </c>
      <c r="AI4786">
        <v>93.739213686484007</v>
      </c>
      <c r="AJ4786">
        <v>90.729176824585394</v>
      </c>
      <c r="AK4786">
        <v>17.006251555641001</v>
      </c>
      <c r="AL4786">
        <v>71.639368501113793</v>
      </c>
      <c r="AM4786">
        <v>94.541738134867302</v>
      </c>
      <c r="AN4786">
        <v>1.0000000624698999</v>
      </c>
    </row>
    <row r="4787" spans="1:40" x14ac:dyDescent="0.25">
      <c r="A4787" t="str">
        <f>"20190304164222141"</f>
        <v>20190304164222141</v>
      </c>
      <c r="B4787" t="str">
        <f>"1551688942135844"</f>
        <v>1551688942135844</v>
      </c>
      <c r="C4787" t="s">
        <v>40</v>
      </c>
      <c r="D4787">
        <v>3.7534830000000001</v>
      </c>
      <c r="E4787">
        <v>0.52951550000000003</v>
      </c>
      <c r="F4787" t="s">
        <v>42</v>
      </c>
      <c r="G4787">
        <v>-263.85570000000001</v>
      </c>
      <c r="H4787" s="1">
        <v>-3.1228559999999998E-6</v>
      </c>
      <c r="I4787">
        <v>141.5128</v>
      </c>
      <c r="J4787">
        <v>-246.6634</v>
      </c>
      <c r="K4787">
        <v>1.109092</v>
      </c>
      <c r="L4787">
        <v>141.6019</v>
      </c>
      <c r="M4787">
        <v>-0.99993849999999995</v>
      </c>
      <c r="N4787">
        <v>-6.5287210000000004E-3</v>
      </c>
      <c r="O4787">
        <v>8.9598249999999994E-3</v>
      </c>
      <c r="P4787">
        <v>-0.94851629999999998</v>
      </c>
      <c r="Q4787">
        <v>0.30935550000000001</v>
      </c>
      <c r="R4787">
        <v>-6.7943379999999998E-2</v>
      </c>
      <c r="S4787">
        <v>-3.227112</v>
      </c>
      <c r="T4787">
        <v>-0.2034987</v>
      </c>
      <c r="U4787">
        <v>-1.5670779999999999E-2</v>
      </c>
      <c r="V4787">
        <v>-7.6343159999999993E-2</v>
      </c>
      <c r="W4787">
        <v>0.31556040000000002</v>
      </c>
      <c r="X4787">
        <v>0.94582949999999999</v>
      </c>
      <c r="Y4787">
        <v>-1.3771139999999999E-2</v>
      </c>
      <c r="Z4787">
        <v>-9.8475569999999994E-4</v>
      </c>
      <c r="AA4787">
        <v>0.99990469999999998</v>
      </c>
      <c r="AB4787">
        <v>41</v>
      </c>
      <c r="AC4787">
        <v>-17.192299999999999</v>
      </c>
      <c r="AD4787">
        <v>-1.109095122856</v>
      </c>
      <c r="AE4787">
        <v>-8.91000000000019E-2</v>
      </c>
      <c r="AF4787">
        <v>-0.24213206165522699</v>
      </c>
      <c r="AG4787">
        <v>-1.109095122856</v>
      </c>
      <c r="AH4787">
        <v>17.119567131703398</v>
      </c>
      <c r="AI4787">
        <v>93.706370594722998</v>
      </c>
      <c r="AJ4787">
        <v>90.810313727907996</v>
      </c>
      <c r="AK4787">
        <v>17.157164646401299</v>
      </c>
      <c r="AL4787">
        <v>71.6053528936026</v>
      </c>
      <c r="AM4787">
        <v>94.614656916738795</v>
      </c>
      <c r="AN4787">
        <v>1.0000000435985901</v>
      </c>
    </row>
    <row r="4788" spans="1:40" x14ac:dyDescent="0.25">
      <c r="A4788" t="str">
        <f>"20190304164222165"</f>
        <v>20190304164222165</v>
      </c>
      <c r="B4788" t="str">
        <f>"1551688942156339"</f>
        <v>1551688942156339</v>
      </c>
      <c r="C4788" t="s">
        <v>40</v>
      </c>
      <c r="D4788">
        <v>3.8213170000000001</v>
      </c>
      <c r="E4788">
        <v>0.52973559999999997</v>
      </c>
      <c r="F4788" t="s">
        <v>42</v>
      </c>
      <c r="G4788">
        <v>-264.38389999999998</v>
      </c>
      <c r="H4788" s="1">
        <v>-2.890165E-6</v>
      </c>
      <c r="I4788">
        <v>141.49</v>
      </c>
      <c r="J4788">
        <v>-247.0874</v>
      </c>
      <c r="K4788">
        <v>1.1091169999999999</v>
      </c>
      <c r="L4788">
        <v>141.60570000000001</v>
      </c>
      <c r="M4788">
        <v>-0.99993840000000001</v>
      </c>
      <c r="N4788">
        <v>-6.5517120000000003E-3</v>
      </c>
      <c r="O4788">
        <v>8.9666069999999997E-3</v>
      </c>
      <c r="P4788">
        <v>-0.94809759999999998</v>
      </c>
      <c r="Q4788">
        <v>0.31038670000000002</v>
      </c>
      <c r="R4788">
        <v>-6.9075349999999994E-2</v>
      </c>
      <c r="S4788">
        <v>-3.227249</v>
      </c>
      <c r="T4788">
        <v>-0.20198869999999999</v>
      </c>
      <c r="U4788">
        <v>-2.037048E-2</v>
      </c>
      <c r="V4788">
        <v>-7.7495339999999996E-2</v>
      </c>
      <c r="W4788">
        <v>0.31660680000000002</v>
      </c>
      <c r="X4788">
        <v>0.94538599999999995</v>
      </c>
      <c r="Y4788">
        <v>-1.523127E-2</v>
      </c>
      <c r="Z4788">
        <v>-1.0280860000000001E-3</v>
      </c>
      <c r="AA4788">
        <v>0.99988350000000004</v>
      </c>
      <c r="AB4788">
        <v>41</v>
      </c>
      <c r="AC4788">
        <v>-17.296499999999899</v>
      </c>
      <c r="AD4788">
        <v>-1.1091198901649999</v>
      </c>
      <c r="AE4788">
        <v>-0.11570000000000299</v>
      </c>
      <c r="AF4788">
        <v>-0.26968073983288998</v>
      </c>
      <c r="AG4788">
        <v>-1.1091198901649999</v>
      </c>
      <c r="AH4788">
        <v>17.223947526300599</v>
      </c>
      <c r="AI4788">
        <v>93.683970521149007</v>
      </c>
      <c r="AJ4788">
        <v>90.897024663617302</v>
      </c>
      <c r="AK4788">
        <v>17.261727695133899</v>
      </c>
      <c r="AL4788">
        <v>71.542158662929396</v>
      </c>
      <c r="AM4788">
        <v>94.686181837739497</v>
      </c>
      <c r="AN4788">
        <v>1.0000000412619701</v>
      </c>
    </row>
    <row r="4789" spans="1:40" x14ac:dyDescent="0.25">
      <c r="A4789" t="str">
        <f>"20190304164222177"</f>
        <v>20190304164222177</v>
      </c>
      <c r="B4789" t="str">
        <f>"1551688942166099"</f>
        <v>1551688942166099</v>
      </c>
      <c r="C4789" t="s">
        <v>40</v>
      </c>
      <c r="D4789">
        <v>3.7773319999999999</v>
      </c>
      <c r="E4789">
        <v>0.52990009999999999</v>
      </c>
      <c r="F4789" t="s">
        <v>42</v>
      </c>
      <c r="G4789">
        <v>-265.11579999999998</v>
      </c>
      <c r="H4789" s="1">
        <v>-2.5729290000000001E-6</v>
      </c>
      <c r="I4789">
        <v>141.4777</v>
      </c>
      <c r="J4789">
        <v>-247.3399</v>
      </c>
      <c r="K4789">
        <v>1.1091260000000001</v>
      </c>
      <c r="L4789">
        <v>141.608</v>
      </c>
      <c r="M4789">
        <v>-0.99993829999999995</v>
      </c>
      <c r="N4789">
        <v>-6.5653650000000001E-3</v>
      </c>
      <c r="O4789">
        <v>8.9689690000000002E-3</v>
      </c>
      <c r="P4789">
        <v>-0.9479455</v>
      </c>
      <c r="Q4789">
        <v>0.31071759999999998</v>
      </c>
      <c r="R4789">
        <v>-6.967197E-2</v>
      </c>
      <c r="S4789">
        <v>-3.2275700000000001</v>
      </c>
      <c r="T4789">
        <v>-0.1985633</v>
      </c>
      <c r="U4789">
        <v>-2.2903440000000001E-2</v>
      </c>
      <c r="V4789">
        <v>-7.8103119999999998E-2</v>
      </c>
      <c r="W4789">
        <v>0.31694679999999997</v>
      </c>
      <c r="X4789">
        <v>0.94522200000000001</v>
      </c>
      <c r="Y4789">
        <v>-1.6017610000000002E-2</v>
      </c>
      <c r="Z4789">
        <v>-1.0372910000000001E-3</v>
      </c>
      <c r="AA4789">
        <v>0.99987119999999996</v>
      </c>
      <c r="AB4789">
        <v>41</v>
      </c>
      <c r="AC4789">
        <v>-17.775899999999901</v>
      </c>
      <c r="AD4789">
        <v>-1.1091285729289999</v>
      </c>
      <c r="AE4789">
        <v>-0.130300000000005</v>
      </c>
      <c r="AF4789">
        <v>-0.28860615383272298</v>
      </c>
      <c r="AG4789">
        <v>-1.1091285729289999</v>
      </c>
      <c r="AH4789">
        <v>17.705091518222702</v>
      </c>
      <c r="AI4789">
        <v>93.584112765661004</v>
      </c>
      <c r="AJ4789">
        <v>90.933881090829601</v>
      </c>
      <c r="AK4789">
        <v>17.742145455721001</v>
      </c>
      <c r="AL4789">
        <v>71.5216195956626</v>
      </c>
      <c r="AM4789">
        <v>94.723584704192206</v>
      </c>
      <c r="AN4789">
        <v>1.00000000033398</v>
      </c>
    </row>
    <row r="4790" spans="1:40" x14ac:dyDescent="0.25">
      <c r="A4790" t="str">
        <f>"20190304164222192"</f>
        <v>20190304164222192</v>
      </c>
      <c r="B4790" t="str">
        <f>"1551688942186201"</f>
        <v>1551688942186201</v>
      </c>
      <c r="C4790" t="s">
        <v>40</v>
      </c>
      <c r="D4790">
        <v>3.7388409999999999</v>
      </c>
      <c r="E4790">
        <v>0.53025749999999905</v>
      </c>
      <c r="F4790" t="s">
        <v>42</v>
      </c>
      <c r="G4790">
        <v>-265.49869999999999</v>
      </c>
      <c r="H4790" s="1">
        <v>-2.4078640000000001E-6</v>
      </c>
      <c r="I4790">
        <v>141.47479999999999</v>
      </c>
      <c r="J4790">
        <v>-247.59479999999999</v>
      </c>
      <c r="K4790">
        <v>1.1091409999999999</v>
      </c>
      <c r="L4790">
        <v>141.6103</v>
      </c>
      <c r="M4790">
        <v>-0.99993829999999995</v>
      </c>
      <c r="N4790">
        <v>-6.5791119999999998E-3</v>
      </c>
      <c r="O4790">
        <v>8.9700240000000001E-3</v>
      </c>
      <c r="P4790">
        <v>-0.94773960000000002</v>
      </c>
      <c r="Q4790">
        <v>0.31132559999999998</v>
      </c>
      <c r="R4790">
        <v>-6.9758970000000003E-2</v>
      </c>
      <c r="S4790">
        <v>-3.2276150000000001</v>
      </c>
      <c r="T4790">
        <v>-0.1971407</v>
      </c>
      <c r="U4790">
        <v>-2.3666380000000001E-2</v>
      </c>
      <c r="V4790">
        <v>-7.8197870000000003E-2</v>
      </c>
      <c r="W4790">
        <v>0.31756410000000002</v>
      </c>
      <c r="X4790">
        <v>0.94500700000000004</v>
      </c>
      <c r="Y4790">
        <v>-1.6255080000000002E-2</v>
      </c>
      <c r="Z4790">
        <v>-1.037884E-3</v>
      </c>
      <c r="AA4790">
        <v>0.99986730000000001</v>
      </c>
      <c r="AB4790">
        <v>41</v>
      </c>
      <c r="AC4790">
        <v>-17.903899999999901</v>
      </c>
      <c r="AD4790">
        <v>-1.1091434078639999</v>
      </c>
      <c r="AE4790">
        <v>-0.135500000000007</v>
      </c>
      <c r="AF4790">
        <v>-0.29496446484147598</v>
      </c>
      <c r="AG4790">
        <v>-1.1091434078639999</v>
      </c>
      <c r="AH4790">
        <v>17.8335269645358</v>
      </c>
      <c r="AI4790">
        <v>93.558400410483003</v>
      </c>
      <c r="AJ4790">
        <v>90.9475791361928</v>
      </c>
      <c r="AK4790">
        <v>17.870419332784401</v>
      </c>
      <c r="AL4790">
        <v>71.4843251368154</v>
      </c>
      <c r="AM4790">
        <v>94.730360181568003</v>
      </c>
      <c r="AN4790">
        <v>1.00000004726517</v>
      </c>
    </row>
    <row r="4791" spans="1:40" x14ac:dyDescent="0.25">
      <c r="A4791" t="str">
        <f>"20190304164222207"</f>
        <v>20190304164222207</v>
      </c>
      <c r="B4791" t="str">
        <f>"1551688942195960"</f>
        <v>1551688942195960</v>
      </c>
      <c r="C4791" t="s">
        <v>40</v>
      </c>
      <c r="D4791">
        <v>3.7358829999999998</v>
      </c>
      <c r="E4791">
        <v>0.53039009999999998</v>
      </c>
      <c r="F4791" t="s">
        <v>42</v>
      </c>
      <c r="G4791">
        <v>-265.91370000000001</v>
      </c>
      <c r="H4791" s="1">
        <v>-2.2333610000000001E-6</v>
      </c>
      <c r="I4791">
        <v>141.4879</v>
      </c>
      <c r="J4791">
        <v>-247.8861</v>
      </c>
      <c r="K4791">
        <v>1.1091569999999999</v>
      </c>
      <c r="L4791">
        <v>141.613</v>
      </c>
      <c r="M4791">
        <v>-0.9999382</v>
      </c>
      <c r="N4791">
        <v>-6.5948259999999998E-3</v>
      </c>
      <c r="O4791">
        <v>8.9646719999999999E-3</v>
      </c>
      <c r="P4791">
        <v>-0.94766439999999996</v>
      </c>
      <c r="Q4791">
        <v>0.31167050000000002</v>
      </c>
      <c r="R4791">
        <v>-6.9235989999999997E-2</v>
      </c>
      <c r="S4791">
        <v>-3.228043</v>
      </c>
      <c r="T4791">
        <v>-0.1954477</v>
      </c>
      <c r="U4791">
        <v>-2.1560670000000001E-2</v>
      </c>
      <c r="V4791">
        <v>-7.7680689999999997E-2</v>
      </c>
      <c r="W4791">
        <v>0.31792090000000001</v>
      </c>
      <c r="X4791">
        <v>0.94492969999999998</v>
      </c>
      <c r="Y4791">
        <v>-1.559871E-2</v>
      </c>
      <c r="Z4791">
        <v>-1.0064830000000001E-3</v>
      </c>
      <c r="AA4791">
        <v>0.99987780000000004</v>
      </c>
      <c r="AB4791">
        <v>41</v>
      </c>
      <c r="AC4791">
        <v>-18.0276</v>
      </c>
      <c r="AD4791">
        <v>-1.1091592333610001</v>
      </c>
      <c r="AE4791">
        <v>-0.12510000000000299</v>
      </c>
      <c r="AF4791">
        <v>-0.28562881943914498</v>
      </c>
      <c r="AG4791">
        <v>-1.1091592333610001</v>
      </c>
      <c r="AH4791">
        <v>17.9577799151858</v>
      </c>
      <c r="AI4791">
        <v>93.533928395782695</v>
      </c>
      <c r="AJ4791">
        <v>90.911245492180598</v>
      </c>
      <c r="AK4791">
        <v>17.994267907022401</v>
      </c>
      <c r="AL4791">
        <v>71.462764980994805</v>
      </c>
      <c r="AM4791">
        <v>94.699598103494694</v>
      </c>
      <c r="AN4791">
        <v>1.0000000630988799</v>
      </c>
    </row>
    <row r="4792" spans="1:40" x14ac:dyDescent="0.25">
      <c r="A4792" t="str">
        <f>"20190304164222221"</f>
        <v>20190304164222221</v>
      </c>
      <c r="B4792" t="str">
        <f>"1551688942215481"</f>
        <v>1551688942215481</v>
      </c>
      <c r="C4792" t="s">
        <v>40</v>
      </c>
      <c r="D4792">
        <v>3.7698170000000002</v>
      </c>
      <c r="E4792">
        <v>0.53046780000000004</v>
      </c>
      <c r="F4792" t="s">
        <v>42</v>
      </c>
      <c r="G4792">
        <v>-266.36430000000001</v>
      </c>
      <c r="H4792" s="1">
        <v>-2.0428799999999998E-6</v>
      </c>
      <c r="I4792">
        <v>141.49860000000001</v>
      </c>
      <c r="J4792">
        <v>-248.13749999999999</v>
      </c>
      <c r="K4792">
        <v>1.1091719999999901</v>
      </c>
      <c r="L4792">
        <v>141.61519999999999</v>
      </c>
      <c r="M4792">
        <v>-0.9999382</v>
      </c>
      <c r="N4792">
        <v>-6.6084389999999998E-3</v>
      </c>
      <c r="O4792">
        <v>8.9505599999999998E-3</v>
      </c>
      <c r="P4792">
        <v>-0.9478067</v>
      </c>
      <c r="Q4792">
        <v>0.31134600000000001</v>
      </c>
      <c r="R4792">
        <v>-6.8746890000000005E-2</v>
      </c>
      <c r="S4792">
        <v>-3.227951</v>
      </c>
      <c r="T4792">
        <v>-0.19375909999999999</v>
      </c>
      <c r="U4792">
        <v>-1.9973749999999998E-2</v>
      </c>
      <c r="V4792">
        <v>-7.7191350000000006E-2</v>
      </c>
      <c r="W4792">
        <v>0.31760709999999998</v>
      </c>
      <c r="X4792">
        <v>0.94507529999999995</v>
      </c>
      <c r="Y4792">
        <v>-1.509505E-2</v>
      </c>
      <c r="Z4792">
        <v>-9.8022869999999989E-4</v>
      </c>
      <c r="AA4792">
        <v>0.99988560000000004</v>
      </c>
      <c r="AB4792">
        <v>41</v>
      </c>
      <c r="AC4792">
        <v>-18.226800000000001</v>
      </c>
      <c r="AD4792">
        <v>-1.1091740428800001</v>
      </c>
      <c r="AE4792">
        <v>-0.116599999999976</v>
      </c>
      <c r="AF4792">
        <v>-0.27870687490880097</v>
      </c>
      <c r="AG4792">
        <v>-1.1091740428800001</v>
      </c>
      <c r="AH4792">
        <v>18.157786821413001</v>
      </c>
      <c r="AI4792">
        <v>93.495176279987803</v>
      </c>
      <c r="AJ4792">
        <v>90.879373346929896</v>
      </c>
      <c r="AK4792">
        <v>18.1937672523148</v>
      </c>
      <c r="AL4792">
        <v>71.481726932236398</v>
      </c>
      <c r="AM4792">
        <v>94.669408615277206</v>
      </c>
      <c r="AN4792">
        <v>1.0000000485776599</v>
      </c>
    </row>
    <row r="4793" spans="1:40" x14ac:dyDescent="0.25">
      <c r="A4793" t="str">
        <f>"20190304164222241"</f>
        <v>20190304164222241</v>
      </c>
      <c r="B4793" t="str">
        <f>"1551688942235976"</f>
        <v>1551688942235976</v>
      </c>
      <c r="C4793" t="s">
        <v>40</v>
      </c>
      <c r="D4793">
        <v>3.7569219999999999</v>
      </c>
      <c r="E4793">
        <v>0.52950839999999999</v>
      </c>
      <c r="F4793" t="s">
        <v>42</v>
      </c>
      <c r="G4793">
        <v>-266.5591</v>
      </c>
      <c r="H4793" s="1">
        <v>-1.9622789999999999E-6</v>
      </c>
      <c r="I4793">
        <v>141.50970000000001</v>
      </c>
      <c r="J4793">
        <v>-248.5204</v>
      </c>
      <c r="K4793">
        <v>1.1092029999999999</v>
      </c>
      <c r="L4793">
        <v>141.61859999999999</v>
      </c>
      <c r="M4793">
        <v>-0.99993840000000001</v>
      </c>
      <c r="N4793">
        <v>-6.6292039999999997E-3</v>
      </c>
      <c r="O4793">
        <v>8.8980369999999993E-3</v>
      </c>
      <c r="P4793">
        <v>-0.94803709999999997</v>
      </c>
      <c r="Q4793">
        <v>0.31091950000000002</v>
      </c>
      <c r="R4793">
        <v>-6.749078E-2</v>
      </c>
      <c r="S4793">
        <v>-3.2276919999999998</v>
      </c>
      <c r="T4793">
        <v>-0.19434180000000001</v>
      </c>
      <c r="U4793">
        <v>-1.8478390000000001E-2</v>
      </c>
      <c r="V4793">
        <v>-7.5911179999999995E-2</v>
      </c>
      <c r="W4793">
        <v>0.31719609999999998</v>
      </c>
      <c r="X4793">
        <v>0.94531699999999996</v>
      </c>
      <c r="Y4793">
        <v>-1.4580650000000001E-2</v>
      </c>
      <c r="Z4793">
        <v>-9.6326080000000002E-4</v>
      </c>
      <c r="AA4793">
        <v>0.99989320000000004</v>
      </c>
      <c r="AB4793">
        <v>41</v>
      </c>
      <c r="AC4793">
        <v>-18.038699999999999</v>
      </c>
      <c r="AD4793">
        <v>-1.1092049622789999</v>
      </c>
      <c r="AE4793">
        <v>-0.108899999999977</v>
      </c>
      <c r="AF4793">
        <v>-0.26839346787721602</v>
      </c>
      <c r="AG4793">
        <v>-1.1092049622789999</v>
      </c>
      <c r="AH4793">
        <v>17.969077214053101</v>
      </c>
      <c r="AI4793">
        <v>93.531910090930793</v>
      </c>
      <c r="AJ4793">
        <v>90.855729504107998</v>
      </c>
      <c r="AK4793">
        <v>18.0052799652365</v>
      </c>
      <c r="AL4793">
        <v>71.506559623431201</v>
      </c>
      <c r="AM4793">
        <v>94.591134265109503</v>
      </c>
      <c r="AN4793">
        <v>1.0000000517965899</v>
      </c>
    </row>
    <row r="4794" spans="1:40" x14ac:dyDescent="0.25">
      <c r="A4794" t="str">
        <f>"20190304164222264"</f>
        <v>20190304164222264</v>
      </c>
      <c r="B4794" t="str">
        <f>"1551688942255496"</f>
        <v>1551688942255496</v>
      </c>
      <c r="C4794" t="s">
        <v>40</v>
      </c>
      <c r="D4794">
        <v>3.7387269999999999</v>
      </c>
      <c r="E4794">
        <v>0.52895150000000002</v>
      </c>
      <c r="F4794" t="s">
        <v>42</v>
      </c>
      <c r="G4794">
        <v>-267.0745</v>
      </c>
      <c r="H4794" s="1">
        <v>-1.736377E-6</v>
      </c>
      <c r="I4794">
        <v>141.49170000000001</v>
      </c>
      <c r="J4794">
        <v>-248.93729999999999</v>
      </c>
      <c r="K4794">
        <v>1.1092489999999999</v>
      </c>
      <c r="L4794">
        <v>141.6223</v>
      </c>
      <c r="M4794">
        <v>-0.99993929999999998</v>
      </c>
      <c r="N4794">
        <v>-6.6518539999999996E-3</v>
      </c>
      <c r="O4794">
        <v>8.7804530000000006E-3</v>
      </c>
      <c r="P4794">
        <v>-0.94823740000000001</v>
      </c>
      <c r="Q4794">
        <v>0.3106392</v>
      </c>
      <c r="R4794">
        <v>-6.5947350000000002E-2</v>
      </c>
      <c r="S4794">
        <v>-3.226089</v>
      </c>
      <c r="T4794">
        <v>-0.19286349999999999</v>
      </c>
      <c r="U4794">
        <v>-2.2064210000000001E-2</v>
      </c>
      <c r="V4794">
        <v>-7.4295269999999997E-2</v>
      </c>
      <c r="W4794">
        <v>0.31693059999999901</v>
      </c>
      <c r="X4794">
        <v>0.94553430000000005</v>
      </c>
      <c r="Y4794">
        <v>-1.5576039999999999E-2</v>
      </c>
      <c r="Z4794">
        <v>-9.8310470000000007E-4</v>
      </c>
      <c r="AA4794">
        <v>0.99987820000000005</v>
      </c>
      <c r="AB4794">
        <v>41</v>
      </c>
      <c r="AC4794">
        <v>-18.1372</v>
      </c>
      <c r="AD4794">
        <v>-1.1092507363769999</v>
      </c>
      <c r="AE4794">
        <v>-0.13059999999998601</v>
      </c>
      <c r="AF4794">
        <v>-0.28877125870315201</v>
      </c>
      <c r="AG4794">
        <v>-1.1092507363769999</v>
      </c>
      <c r="AH4794">
        <v>18.067776695880401</v>
      </c>
      <c r="AI4794">
        <v>93.512752575897096</v>
      </c>
      <c r="AJ4794">
        <v>90.915661403620206</v>
      </c>
      <c r="AK4794">
        <v>18.104098452234702</v>
      </c>
      <c r="AL4794">
        <v>71.522597322936093</v>
      </c>
      <c r="AM4794">
        <v>94.492779575120394</v>
      </c>
      <c r="AN4794">
        <v>0.99999995241860995</v>
      </c>
    </row>
    <row r="4795" spans="1:40" x14ac:dyDescent="0.25">
      <c r="A4795" t="str">
        <f>"20190304164222277"</f>
        <v>20190304164222277</v>
      </c>
      <c r="B4795" t="str">
        <f>"1551688942266232"</f>
        <v>1551688942266232</v>
      </c>
      <c r="C4795" t="s">
        <v>40</v>
      </c>
      <c r="D4795">
        <v>3.7254619999999998</v>
      </c>
      <c r="E4795">
        <v>0.52870699999999904</v>
      </c>
      <c r="F4795" t="s">
        <v>42</v>
      </c>
      <c r="G4795">
        <v>-267.62079999999997</v>
      </c>
      <c r="H4795" s="1">
        <v>-1.5040049999999901E-6</v>
      </c>
      <c r="I4795">
        <v>141.4992</v>
      </c>
      <c r="J4795">
        <v>-249.17920000000001</v>
      </c>
      <c r="K4795">
        <v>1.109278</v>
      </c>
      <c r="L4795">
        <v>141.62440000000001</v>
      </c>
      <c r="M4795">
        <v>-0.9999403</v>
      </c>
      <c r="N4795">
        <v>-6.6648940000000002E-3</v>
      </c>
      <c r="O4795">
        <v>8.6802379999999998E-3</v>
      </c>
      <c r="P4795">
        <v>-0.94836469999999995</v>
      </c>
      <c r="Q4795">
        <v>0.3104807</v>
      </c>
      <c r="R4795">
        <v>-6.4858029999999997E-2</v>
      </c>
      <c r="S4795">
        <v>-3.2250369999999999</v>
      </c>
      <c r="T4795">
        <v>-0.19147239999999999</v>
      </c>
      <c r="U4795">
        <v>-2.1240229999999999E-2</v>
      </c>
      <c r="V4795">
        <v>-7.3137220000000003E-2</v>
      </c>
      <c r="W4795">
        <v>0.31677949999999999</v>
      </c>
      <c r="X4795">
        <v>0.9456753</v>
      </c>
      <c r="Y4795">
        <v>-1.522403E-2</v>
      </c>
      <c r="Z4795">
        <v>-9.5939470000000005E-4</v>
      </c>
      <c r="AA4795">
        <v>0.99988370000000004</v>
      </c>
      <c r="AB4795">
        <v>42</v>
      </c>
      <c r="AC4795">
        <v>-18.441599999999902</v>
      </c>
      <c r="AD4795">
        <v>-1.1092795040050001</v>
      </c>
      <c r="AE4795">
        <v>-0.125200000000006</v>
      </c>
      <c r="AF4795">
        <v>-0.28424788606689599</v>
      </c>
      <c r="AG4795">
        <v>-1.1092795040050001</v>
      </c>
      <c r="AH4795">
        <v>18.373344233075802</v>
      </c>
      <c r="AI4795">
        <v>93.454591682679293</v>
      </c>
      <c r="AJ4795">
        <v>90.886333204529507</v>
      </c>
      <c r="AK4795">
        <v>18.408994437117901</v>
      </c>
      <c r="AL4795">
        <v>71.531726683140405</v>
      </c>
      <c r="AM4795">
        <v>94.4223732531118</v>
      </c>
      <c r="AN4795">
        <v>1.00000003879983</v>
      </c>
    </row>
    <row r="4796" spans="1:40" x14ac:dyDescent="0.25">
      <c r="A4796" t="str">
        <f>"20190304164222292"</f>
        <v>20190304164222292</v>
      </c>
      <c r="B4796" t="str">
        <f>"1551688942286319"</f>
        <v>1551688942286319</v>
      </c>
      <c r="C4796" t="s">
        <v>40</v>
      </c>
      <c r="D4796">
        <v>3.7108620000000001</v>
      </c>
      <c r="E4796">
        <v>0.52813540000000003</v>
      </c>
      <c r="F4796" t="s">
        <v>42</v>
      </c>
      <c r="G4796">
        <v>-267.86250000000001</v>
      </c>
      <c r="H4796" s="1">
        <v>-1.4030500000000001E-6</v>
      </c>
      <c r="I4796">
        <v>141.5095</v>
      </c>
      <c r="J4796">
        <v>-249.4522</v>
      </c>
      <c r="K4796">
        <v>1.109313</v>
      </c>
      <c r="L4796">
        <v>141.6266</v>
      </c>
      <c r="M4796">
        <v>-0.99994119999999997</v>
      </c>
      <c r="N4796">
        <v>-6.6796490000000002E-3</v>
      </c>
      <c r="O4796">
        <v>8.5432530000000007E-3</v>
      </c>
      <c r="P4796">
        <v>-0.94834660000000004</v>
      </c>
      <c r="Q4796">
        <v>0.3107432</v>
      </c>
      <c r="R4796">
        <v>-6.3855839999999997E-2</v>
      </c>
      <c r="S4796">
        <v>-3.2246549999999998</v>
      </c>
      <c r="T4796">
        <v>-0.1914575</v>
      </c>
      <c r="U4796">
        <v>-1.9821169999999999E-2</v>
      </c>
      <c r="V4796">
        <v>-7.2034580000000001E-2</v>
      </c>
      <c r="W4796">
        <v>0.31704909999999997</v>
      </c>
      <c r="X4796">
        <v>0.94566950000000005</v>
      </c>
      <c r="Y4796">
        <v>-1.464915E-2</v>
      </c>
      <c r="Z4796">
        <v>-9.332346E-4</v>
      </c>
      <c r="AA4796">
        <v>0.99989220000000001</v>
      </c>
      <c r="AB4796">
        <v>42</v>
      </c>
      <c r="AC4796">
        <v>-18.410299999999999</v>
      </c>
      <c r="AD4796">
        <v>-1.10931440305</v>
      </c>
      <c r="AE4796">
        <v>-0.117099999999993</v>
      </c>
      <c r="AF4796">
        <v>-0.27339053285304499</v>
      </c>
      <c r="AG4796">
        <v>-1.10931440305</v>
      </c>
      <c r="AH4796">
        <v>18.342036353560999</v>
      </c>
      <c r="AI4796">
        <v>93.460612231637697</v>
      </c>
      <c r="AJ4796">
        <v>90.853938109567395</v>
      </c>
      <c r="AK4796">
        <v>18.377584673281302</v>
      </c>
      <c r="AL4796">
        <v>71.515438693711502</v>
      </c>
      <c r="AM4796">
        <v>94.3559853253483</v>
      </c>
      <c r="AN4796">
        <v>0.999999957878417</v>
      </c>
    </row>
    <row r="4797" spans="1:40" x14ac:dyDescent="0.25">
      <c r="A4797" t="str">
        <f>"20190304164222308"</f>
        <v>20190304164222308</v>
      </c>
      <c r="B4797" t="str">
        <f>"1551688942296077"</f>
        <v>1551688942296077</v>
      </c>
      <c r="C4797" t="s">
        <v>40</v>
      </c>
      <c r="D4797">
        <v>3.7086250000000001</v>
      </c>
      <c r="E4797">
        <v>0.52789719999999996</v>
      </c>
      <c r="F4797" t="s">
        <v>42</v>
      </c>
      <c r="G4797">
        <v>-268.33179999999999</v>
      </c>
      <c r="H4797" s="1">
        <v>-1.200072E-6</v>
      </c>
      <c r="I4797">
        <v>141.5033</v>
      </c>
      <c r="J4797">
        <v>-249.7653</v>
      </c>
      <c r="K4797">
        <v>1.1093519999999999</v>
      </c>
      <c r="L4797">
        <v>141.6292</v>
      </c>
      <c r="M4797">
        <v>-0.99994289999999997</v>
      </c>
      <c r="N4797">
        <v>-6.6966999999999999E-3</v>
      </c>
      <c r="O4797">
        <v>8.3546360000000004E-3</v>
      </c>
      <c r="P4797">
        <v>-0.94858600000000004</v>
      </c>
      <c r="Q4797">
        <v>0.31041049999999998</v>
      </c>
      <c r="R4797">
        <v>-6.1887999999999999E-2</v>
      </c>
      <c r="S4797">
        <v>-3.2240449999999998</v>
      </c>
      <c r="T4797">
        <v>-0.18943689999999999</v>
      </c>
      <c r="U4797">
        <v>-2.105713E-2</v>
      </c>
      <c r="V4797">
        <v>-6.9925189999999998E-2</v>
      </c>
      <c r="W4797">
        <v>0.3167275</v>
      </c>
      <c r="X4797">
        <v>0.94593559999999999</v>
      </c>
      <c r="Y4797">
        <v>-1.484571E-2</v>
      </c>
      <c r="Z4797">
        <v>-9.2008859999999999E-4</v>
      </c>
      <c r="AA4797">
        <v>0.99988940000000004</v>
      </c>
      <c r="AB4797">
        <v>42</v>
      </c>
      <c r="AC4797">
        <v>-18.566499999999898</v>
      </c>
      <c r="AD4797">
        <v>-1.1093532000719999</v>
      </c>
      <c r="AE4797">
        <v>-0.12590000000000101</v>
      </c>
      <c r="AF4797">
        <v>-0.28001576206302498</v>
      </c>
      <c r="AG4797">
        <v>-1.1093532000719999</v>
      </c>
      <c r="AH4797">
        <v>18.498760847332999</v>
      </c>
      <c r="AI4797">
        <v>93.431471518374295</v>
      </c>
      <c r="AJ4797">
        <v>90.867220042717193</v>
      </c>
      <c r="AK4797">
        <v>18.534109804259099</v>
      </c>
      <c r="AL4797">
        <v>71.534867071948597</v>
      </c>
      <c r="AM4797">
        <v>94.227713299121007</v>
      </c>
      <c r="AN4797">
        <v>1.00000000040007</v>
      </c>
    </row>
    <row r="4798" spans="1:40" x14ac:dyDescent="0.25">
      <c r="A4798" t="str">
        <f>"20190304164222331"</f>
        <v>20190304164222331</v>
      </c>
      <c r="B4798" t="str">
        <f>"1551688942326335"</f>
        <v>1551688942326335</v>
      </c>
      <c r="C4798" t="s">
        <v>40</v>
      </c>
      <c r="D4798">
        <v>3.7070240000000001</v>
      </c>
      <c r="E4798">
        <v>0.52718369999999903</v>
      </c>
      <c r="F4798" t="s">
        <v>42</v>
      </c>
      <c r="G4798">
        <v>-268.53739999999999</v>
      </c>
      <c r="H4798" s="1">
        <v>-1.1197690000000001E-6</v>
      </c>
      <c r="I4798">
        <v>141.53290000000001</v>
      </c>
      <c r="J4798">
        <v>-250.185</v>
      </c>
      <c r="K4798">
        <v>1.1094109999999999</v>
      </c>
      <c r="L4798">
        <v>141.63239999999999</v>
      </c>
      <c r="M4798">
        <v>-0.99994519999999998</v>
      </c>
      <c r="N4798">
        <v>-6.719816E-3</v>
      </c>
      <c r="O4798">
        <v>8.0408530000000006E-3</v>
      </c>
      <c r="P4798">
        <v>-0.9491598</v>
      </c>
      <c r="Q4798">
        <v>0.30899949999999998</v>
      </c>
      <c r="R4798">
        <v>-6.0127460000000001E-2</v>
      </c>
      <c r="S4798">
        <v>-3.223862</v>
      </c>
      <c r="T4798">
        <v>-0.19051689999999999</v>
      </c>
      <c r="U4798">
        <v>-1.6510009999999999E-2</v>
      </c>
      <c r="V4798">
        <v>-6.7919489999999999E-2</v>
      </c>
      <c r="W4798">
        <v>0.31533280000000002</v>
      </c>
      <c r="X4798">
        <v>0.94654749999999999</v>
      </c>
      <c r="Y4798">
        <v>-1.3125360000000001E-2</v>
      </c>
      <c r="Z4798">
        <v>-8.5240139999999995E-4</v>
      </c>
      <c r="AA4798">
        <v>0.99991350000000001</v>
      </c>
      <c r="AB4798">
        <v>42</v>
      </c>
      <c r="AC4798">
        <v>-18.3523999999999</v>
      </c>
      <c r="AD4798">
        <v>-1.1094121197689999</v>
      </c>
      <c r="AE4798">
        <v>-9.9499999999977704E-2</v>
      </c>
      <c r="AF4798">
        <v>-0.24616950764901099</v>
      </c>
      <c r="AG4798">
        <v>-1.1094121197689999</v>
      </c>
      <c r="AH4798">
        <v>18.284193260890401</v>
      </c>
      <c r="AI4798">
        <v>93.471909201593903</v>
      </c>
      <c r="AJ4798">
        <v>90.771355974142594</v>
      </c>
      <c r="AK4798">
        <v>18.319473733696</v>
      </c>
      <c r="AL4798">
        <v>71.619094226206499</v>
      </c>
      <c r="AM4798">
        <v>94.104222830662806</v>
      </c>
      <c r="AN4798">
        <v>1.00000000081697</v>
      </c>
    </row>
    <row r="4799" spans="1:40" x14ac:dyDescent="0.25">
      <c r="A4799" t="str">
        <f>"20190304164222355"</f>
        <v>20190304164222355</v>
      </c>
      <c r="B4799" t="str">
        <f>"1551688942345854"</f>
        <v>1551688942345854</v>
      </c>
      <c r="C4799" t="s">
        <v>40</v>
      </c>
      <c r="D4799">
        <v>3.694906</v>
      </c>
      <c r="E4799">
        <v>0.52677350000000001</v>
      </c>
      <c r="F4799" t="s">
        <v>42</v>
      </c>
      <c r="G4799">
        <v>-268.58440000000002</v>
      </c>
      <c r="H4799" s="1">
        <v>-1.1030489999999999E-6</v>
      </c>
      <c r="I4799">
        <v>141.54589999999999</v>
      </c>
      <c r="J4799">
        <v>-250.6215</v>
      </c>
      <c r="K4799">
        <v>1.109475</v>
      </c>
      <c r="L4799">
        <v>141.63570000000001</v>
      </c>
      <c r="M4799">
        <v>-0.99994799999999995</v>
      </c>
      <c r="N4799">
        <v>-6.7456080000000002E-3</v>
      </c>
      <c r="O4799">
        <v>7.6484319999999897E-3</v>
      </c>
      <c r="P4799">
        <v>-0.94929189999999997</v>
      </c>
      <c r="Q4799">
        <v>0.30879089999999998</v>
      </c>
      <c r="R4799">
        <v>-5.9102580000000002E-2</v>
      </c>
      <c r="S4799">
        <v>-3.2229920000000001</v>
      </c>
      <c r="T4799">
        <v>-0.19433400000000001</v>
      </c>
      <c r="U4799">
        <v>-1.5151980000000001E-2</v>
      </c>
      <c r="V4799">
        <v>-6.6570329999999997E-2</v>
      </c>
      <c r="W4799">
        <v>0.31513999999999998</v>
      </c>
      <c r="X4799">
        <v>0.94670750000000004</v>
      </c>
      <c r="Y4799">
        <v>-1.231372E-2</v>
      </c>
      <c r="Z4799">
        <v>-8.2166710000000003E-4</v>
      </c>
      <c r="AA4799">
        <v>0.99992380000000003</v>
      </c>
      <c r="AB4799">
        <v>42</v>
      </c>
      <c r="AC4799">
        <v>-17.962900000000001</v>
      </c>
      <c r="AD4799">
        <v>-1.1094761030489999</v>
      </c>
      <c r="AE4799">
        <v>-8.9800000000025096E-2</v>
      </c>
      <c r="AF4799">
        <v>-0.226325132176868</v>
      </c>
      <c r="AG4799">
        <v>-1.1094761030489999</v>
      </c>
      <c r="AH4799">
        <v>17.893427815102601</v>
      </c>
      <c r="AI4799">
        <v>93.547780608901803</v>
      </c>
      <c r="AJ4799">
        <v>90.724667377278095</v>
      </c>
      <c r="AK4799">
        <v>17.929219705915202</v>
      </c>
      <c r="AL4799">
        <v>71.630733559033004</v>
      </c>
      <c r="AM4799">
        <v>94.022288818932196</v>
      </c>
      <c r="AN4799">
        <v>0.99999995949627796</v>
      </c>
    </row>
    <row r="4800" spans="1:40" x14ac:dyDescent="0.25">
      <c r="A4800" t="str">
        <f>"20190304164222375"</f>
        <v>20190304164222375</v>
      </c>
      <c r="B4800" t="str">
        <f>"1551688942365374"</f>
        <v>1551688942365374</v>
      </c>
      <c r="C4800" t="s">
        <v>40</v>
      </c>
      <c r="D4800">
        <v>3.6898240000000002</v>
      </c>
      <c r="E4800">
        <v>0.52625819999999901</v>
      </c>
      <c r="F4800" t="s">
        <v>42</v>
      </c>
      <c r="G4800">
        <v>-269.05099999999999</v>
      </c>
      <c r="H4800" s="1">
        <v>-9.0312039999999997E-7</v>
      </c>
      <c r="I4800">
        <v>141.54669999999999</v>
      </c>
      <c r="J4800">
        <v>-251.01900000000001</v>
      </c>
      <c r="K4800">
        <v>1.109532</v>
      </c>
      <c r="L4800">
        <v>141.63839999999999</v>
      </c>
      <c r="M4800">
        <v>-0.99995089999999998</v>
      </c>
      <c r="N4800">
        <v>-6.7740469999999896E-3</v>
      </c>
      <c r="O4800">
        <v>7.2414259999999996E-3</v>
      </c>
      <c r="P4800">
        <v>-0.94926759999999999</v>
      </c>
      <c r="Q4800">
        <v>0.30899529999999997</v>
      </c>
      <c r="R4800">
        <v>-5.842178E-2</v>
      </c>
      <c r="S4800">
        <v>-3.222397</v>
      </c>
      <c r="T4800">
        <v>-0.193992</v>
      </c>
      <c r="U4800">
        <v>-1.5533450000000001E-2</v>
      </c>
      <c r="V4800">
        <v>-6.5541760000000004E-2</v>
      </c>
      <c r="W4800">
        <v>0.31536449999999999</v>
      </c>
      <c r="X4800">
        <v>0.94670460000000001</v>
      </c>
      <c r="Y4800">
        <v>-1.202723E-2</v>
      </c>
      <c r="Z4800">
        <v>-7.8900509999999999E-4</v>
      </c>
      <c r="AA4800">
        <v>0.99992729999999996</v>
      </c>
      <c r="AB4800">
        <v>42</v>
      </c>
      <c r="AC4800">
        <v>-18.031999999999901</v>
      </c>
      <c r="AD4800">
        <v>-1.10953290312039</v>
      </c>
      <c r="AE4800">
        <v>-9.1700000000003001E-2</v>
      </c>
      <c r="AF4800">
        <v>-0.221439605106587</v>
      </c>
      <c r="AG4800">
        <v>-1.10953290312039</v>
      </c>
      <c r="AH4800">
        <v>17.962855648650901</v>
      </c>
      <c r="AI4800">
        <v>93.534297577358899</v>
      </c>
      <c r="AJ4800">
        <v>90.706285926037907</v>
      </c>
      <c r="AK4800">
        <v>17.998452206122799</v>
      </c>
      <c r="AL4800">
        <v>71.617181132873398</v>
      </c>
      <c r="AM4800">
        <v>93.960352325294593</v>
      </c>
      <c r="AN4800">
        <v>1.00000004491265</v>
      </c>
    </row>
    <row r="4801" spans="1:40" x14ac:dyDescent="0.25">
      <c r="A4801" t="str">
        <f>"20190304164222398"</f>
        <v>20190304164222398</v>
      </c>
      <c r="B4801" t="str">
        <f>"1551688942385708"</f>
        <v>1551688942385708</v>
      </c>
      <c r="C4801" t="s">
        <v>40</v>
      </c>
      <c r="D4801">
        <v>3.7146050000000002</v>
      </c>
      <c r="E4801">
        <v>0.52583219999999997</v>
      </c>
      <c r="F4801" t="s">
        <v>42</v>
      </c>
      <c r="G4801">
        <v>-269.61040000000003</v>
      </c>
      <c r="H4801" s="1">
        <v>-6.574588E-7</v>
      </c>
      <c r="I4801">
        <v>141.52529999999999</v>
      </c>
      <c r="J4801">
        <v>-251.4323</v>
      </c>
      <c r="K4801">
        <v>1.1095790000000001</v>
      </c>
      <c r="L4801">
        <v>141.64109999999999</v>
      </c>
      <c r="M4801">
        <v>-0.99995400000000001</v>
      </c>
      <c r="N4801">
        <v>-6.8088410000000004E-3</v>
      </c>
      <c r="O4801">
        <v>6.7814429999999998E-3</v>
      </c>
      <c r="P4801">
        <v>-0.94948160000000004</v>
      </c>
      <c r="Q4801">
        <v>0.30839290000000003</v>
      </c>
      <c r="R4801">
        <v>-5.81285E-2</v>
      </c>
      <c r="S4801">
        <v>-3.2217250000000002</v>
      </c>
      <c r="T4801">
        <v>-0.19227359999999999</v>
      </c>
      <c r="U4801">
        <v>-1.9577029999999999E-2</v>
      </c>
      <c r="V4801">
        <v>-6.4847849999999999E-2</v>
      </c>
      <c r="W4801">
        <v>0.31478970000000001</v>
      </c>
      <c r="X4801">
        <v>0.9469436</v>
      </c>
      <c r="Y4801">
        <v>-1.2822899999999899E-2</v>
      </c>
      <c r="Z4801">
        <v>-7.8420979999999996E-4</v>
      </c>
      <c r="AA4801">
        <v>0.99991739999999996</v>
      </c>
      <c r="AB4801">
        <v>42</v>
      </c>
      <c r="AC4801">
        <v>-18.178100000000001</v>
      </c>
      <c r="AD4801">
        <v>-1.1095796574587999</v>
      </c>
      <c r="AE4801">
        <v>-0.11580000000000699</v>
      </c>
      <c r="AF4801">
        <v>-0.23818652188091999</v>
      </c>
      <c r="AG4801">
        <v>-1.1095796574587999</v>
      </c>
      <c r="AH4801">
        <v>18.109427242756801</v>
      </c>
      <c r="AI4801">
        <v>93.505874407660698</v>
      </c>
      <c r="AJ4801">
        <v>90.753546503487996</v>
      </c>
      <c r="AK4801">
        <v>18.144951223305998</v>
      </c>
      <c r="AL4801">
        <v>71.651881168676496</v>
      </c>
      <c r="AM4801">
        <v>93.917568296901393</v>
      </c>
      <c r="AN4801">
        <v>0.99999999022833597</v>
      </c>
    </row>
    <row r="4802" spans="1:40" x14ac:dyDescent="0.25">
      <c r="A4802" t="str">
        <f>"20190304164222420"</f>
        <v>20190304164222420</v>
      </c>
      <c r="B4802" t="str">
        <f>"1551688942406203"</f>
        <v>1551688942406203</v>
      </c>
      <c r="C4802" t="s">
        <v>40</v>
      </c>
      <c r="D4802">
        <v>3.6927110000000001</v>
      </c>
      <c r="E4802">
        <v>0.52544380000000002</v>
      </c>
      <c r="F4802" t="s">
        <v>42</v>
      </c>
      <c r="G4802">
        <v>-269.93369999999999</v>
      </c>
      <c r="H4802" s="1">
        <v>-5.15405E-7</v>
      </c>
      <c r="I4802">
        <v>141.5128</v>
      </c>
      <c r="J4802">
        <v>-251.85429999999999</v>
      </c>
      <c r="K4802">
        <v>1.109618</v>
      </c>
      <c r="L4802">
        <v>141.64359999999999</v>
      </c>
      <c r="M4802">
        <v>-0.99995679999999998</v>
      </c>
      <c r="N4802">
        <v>-6.8495319999999898E-3</v>
      </c>
      <c r="O4802">
        <v>6.2847119999999996E-3</v>
      </c>
      <c r="P4802">
        <v>-0.94967880000000005</v>
      </c>
      <c r="Q4802">
        <v>0.30778480000000003</v>
      </c>
      <c r="R4802">
        <v>-5.8125700000000002E-2</v>
      </c>
      <c r="S4802">
        <v>-3.2210079999999999</v>
      </c>
      <c r="T4802">
        <v>-0.19317329999999999</v>
      </c>
      <c r="U4802">
        <v>-2.2308350000000001E-2</v>
      </c>
      <c r="V4802">
        <v>-6.4404230000000007E-2</v>
      </c>
      <c r="W4802">
        <v>0.3142162</v>
      </c>
      <c r="X4802">
        <v>0.94716440000000002</v>
      </c>
      <c r="Y4802">
        <v>-1.3175060000000001E-2</v>
      </c>
      <c r="Z4802">
        <v>-7.7343850000000005E-4</v>
      </c>
      <c r="AA4802">
        <v>0.99991289999999999</v>
      </c>
      <c r="AB4802">
        <v>42</v>
      </c>
      <c r="AC4802">
        <v>-18.0794</v>
      </c>
      <c r="AD4802">
        <v>-1.109618515405</v>
      </c>
      <c r="AE4802">
        <v>-0.13079999999999301</v>
      </c>
      <c r="AF4802">
        <v>-0.24350669606641701</v>
      </c>
      <c r="AG4802">
        <v>-1.109618515405</v>
      </c>
      <c r="AH4802">
        <v>18.010381855643399</v>
      </c>
      <c r="AI4802">
        <v>93.525211850190502</v>
      </c>
      <c r="AJ4802">
        <v>90.774611889804405</v>
      </c>
      <c r="AK4802">
        <v>18.046174202496399</v>
      </c>
      <c r="AL4802">
        <v>71.686498196871696</v>
      </c>
      <c r="AM4802">
        <v>93.889946822433501</v>
      </c>
      <c r="AN4802">
        <v>1.0000000629058401</v>
      </c>
    </row>
    <row r="4803" spans="1:40" x14ac:dyDescent="0.25">
      <c r="A4803" t="str">
        <f>"20190304164222443"</f>
        <v>20190304164222443</v>
      </c>
      <c r="B4803" t="str">
        <f>"1551688942436460"</f>
        <v>1551688942436460</v>
      </c>
      <c r="C4803" t="s">
        <v>40</v>
      </c>
      <c r="D4803">
        <v>3.679602</v>
      </c>
      <c r="E4803">
        <v>0.5246788</v>
      </c>
      <c r="F4803" t="s">
        <v>42</v>
      </c>
      <c r="G4803">
        <v>-270.2679</v>
      </c>
      <c r="H4803" s="1">
        <v>-4.5186360000000004E-6</v>
      </c>
      <c r="I4803">
        <v>141.49789999999999</v>
      </c>
      <c r="J4803">
        <v>-252.28970000000001</v>
      </c>
      <c r="K4803">
        <v>1.1096520000000001</v>
      </c>
      <c r="L4803">
        <v>141.64599999999999</v>
      </c>
      <c r="M4803">
        <v>-0.99995970000000001</v>
      </c>
      <c r="N4803">
        <v>-6.8955040000000002E-3</v>
      </c>
      <c r="O4803">
        <v>5.7527200000000002E-3</v>
      </c>
      <c r="P4803">
        <v>-0.94986870000000001</v>
      </c>
      <c r="Q4803">
        <v>0.307224</v>
      </c>
      <c r="R4803">
        <v>-5.7991180000000003E-2</v>
      </c>
      <c r="S4803">
        <v>-3.2202760000000001</v>
      </c>
      <c r="T4803">
        <v>-0.19405729999999999</v>
      </c>
      <c r="U4803">
        <v>-2.5466920000000001E-2</v>
      </c>
      <c r="V4803">
        <v>-6.3790689999999997E-2</v>
      </c>
      <c r="W4803">
        <v>0.31369599999999997</v>
      </c>
      <c r="X4803">
        <v>0.94737830000000001</v>
      </c>
      <c r="Y4803">
        <v>-1.3624870000000001E-2</v>
      </c>
      <c r="Z4803">
        <v>-7.6388050000000005E-4</v>
      </c>
      <c r="AA4803">
        <v>0.99990690000000004</v>
      </c>
      <c r="AB4803">
        <v>42</v>
      </c>
      <c r="AC4803">
        <v>-17.978199999999902</v>
      </c>
      <c r="AD4803">
        <v>-1.1096565186359999</v>
      </c>
      <c r="AE4803">
        <v>-0.14810000000002699</v>
      </c>
      <c r="AF4803">
        <v>-0.25056904181162498</v>
      </c>
      <c r="AG4803">
        <v>-1.1096565186359999</v>
      </c>
      <c r="AH4803">
        <v>17.908828817673701</v>
      </c>
      <c r="AI4803">
        <v>93.545249127553902</v>
      </c>
      <c r="AJ4803">
        <v>90.801594120057601</v>
      </c>
      <c r="AK4803">
        <v>17.944923294759601</v>
      </c>
      <c r="AL4803">
        <v>71.717890272727203</v>
      </c>
      <c r="AM4803">
        <v>93.852134499503194</v>
      </c>
      <c r="AN4803">
        <v>1.0000000379287799</v>
      </c>
    </row>
    <row r="4804" spans="1:40" x14ac:dyDescent="0.25">
      <c r="A4804" t="str">
        <f>"20190304164222464"</f>
        <v>20190304164222464</v>
      </c>
      <c r="B4804" t="str">
        <f>"1551688942455979"</f>
        <v>1551688942455979</v>
      </c>
      <c r="C4804" t="s">
        <v>40</v>
      </c>
      <c r="D4804">
        <v>3.7243909999999998</v>
      </c>
      <c r="E4804">
        <v>0.52422659999999999</v>
      </c>
      <c r="F4804" t="s">
        <v>42</v>
      </c>
      <c r="G4804">
        <v>-270.66739999999999</v>
      </c>
      <c r="H4804" s="1">
        <v>-4.3769130000000001E-6</v>
      </c>
      <c r="I4804">
        <v>141.46539999999999</v>
      </c>
      <c r="J4804">
        <v>-252.69239999999999</v>
      </c>
      <c r="K4804">
        <v>1.1096790000000001</v>
      </c>
      <c r="L4804">
        <v>141.64789999999999</v>
      </c>
      <c r="M4804">
        <v>-0.99996220000000002</v>
      </c>
      <c r="N4804">
        <v>-6.9420269999999999E-3</v>
      </c>
      <c r="O4804">
        <v>5.2509469999999997E-3</v>
      </c>
      <c r="P4804">
        <v>-0.94993859999999997</v>
      </c>
      <c r="Q4804">
        <v>0.30703960000000002</v>
      </c>
      <c r="R4804">
        <v>-5.782197E-2</v>
      </c>
      <c r="S4804">
        <v>-3.2192690000000002</v>
      </c>
      <c r="T4804">
        <v>-0.194381</v>
      </c>
      <c r="U4804">
        <v>-3.1616209999999999E-2</v>
      </c>
      <c r="V4804">
        <v>-6.3165910000000006E-2</v>
      </c>
      <c r="W4804">
        <v>0.31355290000000002</v>
      </c>
      <c r="X4804">
        <v>0.94746750000000002</v>
      </c>
      <c r="Y4804">
        <v>-1.5033120000000001E-2</v>
      </c>
      <c r="Z4804">
        <v>-7.8600199999999995E-4</v>
      </c>
      <c r="AA4804">
        <v>0.99988670000000002</v>
      </c>
      <c r="AB4804">
        <v>42</v>
      </c>
      <c r="AC4804">
        <v>-17.974999999999898</v>
      </c>
      <c r="AD4804">
        <v>-1.1096833769129999</v>
      </c>
      <c r="AE4804">
        <v>-0.18250000000000399</v>
      </c>
      <c r="AF4804">
        <v>-0.27583437449584702</v>
      </c>
      <c r="AG4804">
        <v>-1.1096833769129999</v>
      </c>
      <c r="AH4804">
        <v>17.905559440296901</v>
      </c>
      <c r="AI4804">
        <v>93.545906939043206</v>
      </c>
      <c r="AJ4804">
        <v>90.882569213159002</v>
      </c>
      <c r="AK4804">
        <v>17.942032790883999</v>
      </c>
      <c r="AL4804">
        <v>71.726524384251704</v>
      </c>
      <c r="AM4804">
        <v>93.814159723298502</v>
      </c>
      <c r="AN4804">
        <v>1.0000000084203899</v>
      </c>
    </row>
    <row r="4805" spans="1:40" x14ac:dyDescent="0.25">
      <c r="A4805" t="str">
        <f>"20190304164222487"</f>
        <v>20190304164222487</v>
      </c>
      <c r="B4805" t="str">
        <f>"1551688942476005"</f>
        <v>1551688942476005</v>
      </c>
      <c r="C4805" t="s">
        <v>40</v>
      </c>
      <c r="D4805">
        <v>3.7060240000000002</v>
      </c>
      <c r="E4805">
        <v>0.52377109999999905</v>
      </c>
      <c r="F4805" t="s">
        <v>42</v>
      </c>
      <c r="G4805">
        <v>-271.12740000000002</v>
      </c>
      <c r="H4805" s="1">
        <v>-4.2165619999999998E-6</v>
      </c>
      <c r="I4805">
        <v>141.44380000000001</v>
      </c>
      <c r="J4805">
        <v>-253.11779999999999</v>
      </c>
      <c r="K4805">
        <v>1.109699</v>
      </c>
      <c r="L4805">
        <v>141.6498</v>
      </c>
      <c r="M4805">
        <v>-0.99996450000000003</v>
      </c>
      <c r="N4805">
        <v>-6.9932149999999997E-3</v>
      </c>
      <c r="O4805">
        <v>4.7159089999999999E-3</v>
      </c>
      <c r="P4805">
        <v>-0.94996860000000005</v>
      </c>
      <c r="Q4805">
        <v>0.3068919</v>
      </c>
      <c r="R4805">
        <v>-5.8116199999999903E-2</v>
      </c>
      <c r="S4805">
        <v>-3.2185519999999999</v>
      </c>
      <c r="T4805">
        <v>-0.19373989999999999</v>
      </c>
      <c r="U4805">
        <v>-3.5629269999999998E-2</v>
      </c>
      <c r="V4805">
        <v>-6.2970250000000005E-2</v>
      </c>
      <c r="W4805">
        <v>0.31345070000000003</v>
      </c>
      <c r="X4805">
        <v>0.94751439999999998</v>
      </c>
      <c r="Y4805">
        <v>-1.5746420000000001E-2</v>
      </c>
      <c r="Z4805">
        <v>-7.7925629999999997E-4</v>
      </c>
      <c r="AA4805">
        <v>0.99987570000000003</v>
      </c>
      <c r="AB4805">
        <v>42</v>
      </c>
      <c r="AC4805">
        <v>-18.009599999999999</v>
      </c>
      <c r="AD4805">
        <v>-1.109703216562</v>
      </c>
      <c r="AE4805">
        <v>-0.205999999999988</v>
      </c>
      <c r="AF4805">
        <v>-0.28983115840184198</v>
      </c>
      <c r="AG4805">
        <v>-1.109703216562</v>
      </c>
      <c r="AH4805">
        <v>17.9403232226143</v>
      </c>
      <c r="AI4805">
        <v>93.539074679229998</v>
      </c>
      <c r="AJ4805">
        <v>90.925549527357902</v>
      </c>
      <c r="AK4805">
        <v>17.976947478954902</v>
      </c>
      <c r="AL4805">
        <v>71.7326919689623</v>
      </c>
      <c r="AM4805">
        <v>93.802192200824393</v>
      </c>
      <c r="AN4805">
        <v>1.0000000659614501</v>
      </c>
    </row>
    <row r="4806" spans="1:40" x14ac:dyDescent="0.25">
      <c r="A4806" t="str">
        <f>"20190304164222511"</f>
        <v>20190304164222511</v>
      </c>
      <c r="B4806" t="str">
        <f>"1551688942495525"</f>
        <v>1551688942495525</v>
      </c>
      <c r="C4806" t="s">
        <v>40</v>
      </c>
      <c r="D4806">
        <v>3.7201979999999999</v>
      </c>
      <c r="E4806">
        <v>0.52333599999999902</v>
      </c>
      <c r="F4806" t="s">
        <v>42</v>
      </c>
      <c r="G4806">
        <v>-271.55040000000002</v>
      </c>
      <c r="H4806" s="1">
        <v>-4.0685220000000003E-6</v>
      </c>
      <c r="I4806">
        <v>141.42080000000001</v>
      </c>
      <c r="J4806">
        <v>-253.56110000000001</v>
      </c>
      <c r="K4806">
        <v>1.1097090000000001</v>
      </c>
      <c r="L4806">
        <v>141.6515</v>
      </c>
      <c r="M4806">
        <v>-0.99996669999999999</v>
      </c>
      <c r="N4806">
        <v>-7.0461769999999998E-3</v>
      </c>
      <c r="O4806">
        <v>4.1562020000000003E-3</v>
      </c>
      <c r="P4806">
        <v>-0.94991409999999998</v>
      </c>
      <c r="Q4806">
        <v>0.30691469999999998</v>
      </c>
      <c r="R4806">
        <v>-5.8881459999999997E-2</v>
      </c>
      <c r="S4806">
        <v>-3.21814</v>
      </c>
      <c r="T4806">
        <v>-0.19374230000000001</v>
      </c>
      <c r="U4806">
        <v>-3.9962770000000002E-2</v>
      </c>
      <c r="V4806">
        <v>-6.3220849999999995E-2</v>
      </c>
      <c r="W4806">
        <v>0.31352000000000002</v>
      </c>
      <c r="X4806">
        <v>0.9474747</v>
      </c>
      <c r="Y4806">
        <v>-1.6533590000000001E-2</v>
      </c>
      <c r="Z4806">
        <v>-7.762499E-4</v>
      </c>
      <c r="AA4806">
        <v>0.99986299999999995</v>
      </c>
      <c r="AB4806">
        <v>42</v>
      </c>
      <c r="AC4806">
        <v>-17.9893</v>
      </c>
      <c r="AD4806">
        <v>-1.109713068522</v>
      </c>
      <c r="AE4806">
        <v>-0.230699999999984</v>
      </c>
      <c r="AF4806">
        <v>-0.30430920798101502</v>
      </c>
      <c r="AG4806">
        <v>-1.109713068522</v>
      </c>
      <c r="AH4806">
        <v>17.920005351709701</v>
      </c>
      <c r="AI4806">
        <v>93.543060108508897</v>
      </c>
      <c r="AJ4806">
        <v>90.972876807011303</v>
      </c>
      <c r="AK4806">
        <v>17.956911176308001</v>
      </c>
      <c r="AL4806">
        <v>71.728509102445202</v>
      </c>
      <c r="AM4806">
        <v>93.817438447585999</v>
      </c>
      <c r="AN4806">
        <v>0.99999998670740597</v>
      </c>
    </row>
    <row r="4807" spans="1:40" x14ac:dyDescent="0.25">
      <c r="A4807" t="str">
        <f>"20190304164222532"</f>
        <v>20190304164222532</v>
      </c>
      <c r="B4807" t="str">
        <f>"1551688942525781"</f>
        <v>1551688942525781</v>
      </c>
      <c r="C4807" t="s">
        <v>40</v>
      </c>
      <c r="D4807">
        <v>3.7251120000000002</v>
      </c>
      <c r="E4807">
        <v>0.52265519999999999</v>
      </c>
      <c r="F4807" t="s">
        <v>42</v>
      </c>
      <c r="G4807">
        <v>-272.08479999999997</v>
      </c>
      <c r="H4807" s="1">
        <v>-3.848979E-6</v>
      </c>
      <c r="I4807">
        <v>141.38659999999999</v>
      </c>
      <c r="J4807">
        <v>-253.98750000000001</v>
      </c>
      <c r="K4807">
        <v>1.1097300000000001</v>
      </c>
      <c r="L4807">
        <v>141.65289999999999</v>
      </c>
      <c r="M4807">
        <v>-0.99996830000000003</v>
      </c>
      <c r="N4807">
        <v>-7.0966859999999996E-3</v>
      </c>
      <c r="O4807">
        <v>3.6173360000000001E-3</v>
      </c>
      <c r="P4807">
        <v>-0.94985140000000001</v>
      </c>
      <c r="Q4807">
        <v>0.30696820000000002</v>
      </c>
      <c r="R4807">
        <v>-5.9607540000000001E-2</v>
      </c>
      <c r="S4807">
        <v>-3.2176209999999998</v>
      </c>
      <c r="T4807">
        <v>-0.19276090000000001</v>
      </c>
      <c r="U4807">
        <v>-4.6005249999999998E-2</v>
      </c>
      <c r="V4807">
        <v>-6.3449539999999999E-2</v>
      </c>
      <c r="W4807">
        <v>0.3136177</v>
      </c>
      <c r="X4807">
        <v>0.94742709999999997</v>
      </c>
      <c r="Y4807">
        <v>-1.7872539999999999E-2</v>
      </c>
      <c r="Z4807">
        <v>-7.8918509999999903E-4</v>
      </c>
      <c r="AA4807">
        <v>0.99983999999999995</v>
      </c>
      <c r="AB4807">
        <v>43</v>
      </c>
      <c r="AC4807">
        <v>-18.097299999999901</v>
      </c>
      <c r="AD4807">
        <v>-1.1097338489789901</v>
      </c>
      <c r="AE4807">
        <v>-0.26630000000000098</v>
      </c>
      <c r="AF4807">
        <v>-0.33052136440003799</v>
      </c>
      <c r="AG4807">
        <v>-1.1097338489789901</v>
      </c>
      <c r="AH4807">
        <v>18.0284425287144</v>
      </c>
      <c r="AI4807">
        <v>93.521785125685895</v>
      </c>
      <c r="AJ4807">
        <v>91.050304701508907</v>
      </c>
      <c r="AK4807">
        <v>18.0655886590792</v>
      </c>
      <c r="AL4807">
        <v>71.722614387361503</v>
      </c>
      <c r="AM4807">
        <v>93.831398201766007</v>
      </c>
      <c r="AN4807">
        <v>1.00000000784695</v>
      </c>
    </row>
    <row r="4808" spans="1:40" x14ac:dyDescent="0.25">
      <c r="A4808" t="str">
        <f>"20190304164222553"</f>
        <v>20190304164222553</v>
      </c>
      <c r="B4808" t="str">
        <f>"1551688942546145"</f>
        <v>1551688942546145</v>
      </c>
      <c r="C4808" t="s">
        <v>40</v>
      </c>
      <c r="D4808">
        <v>3.7211340000000002</v>
      </c>
      <c r="E4808">
        <v>0.52225200000000005</v>
      </c>
      <c r="F4808" t="s">
        <v>42</v>
      </c>
      <c r="G4808">
        <v>-272.74310000000003</v>
      </c>
      <c r="H4808" s="1">
        <v>-3.5548260000000001E-6</v>
      </c>
      <c r="I4808">
        <v>141.3425</v>
      </c>
      <c r="J4808">
        <v>-254.40119999999999</v>
      </c>
      <c r="K4808">
        <v>1.109753</v>
      </c>
      <c r="L4808">
        <v>141.6541</v>
      </c>
      <c r="M4808">
        <v>-0.99996980000000002</v>
      </c>
      <c r="N4808">
        <v>-7.1466530000000002E-3</v>
      </c>
      <c r="O4808">
        <v>3.0947689999999998E-3</v>
      </c>
      <c r="P4808">
        <v>-0.9498529</v>
      </c>
      <c r="Q4808">
        <v>0.30672709999999997</v>
      </c>
      <c r="R4808">
        <v>-6.0812449999999997E-2</v>
      </c>
      <c r="S4808">
        <v>-3.2165530000000002</v>
      </c>
      <c r="T4808">
        <v>-0.1903174</v>
      </c>
      <c r="U4808">
        <v>-5.3222659999999998E-2</v>
      </c>
      <c r="V4808">
        <v>-6.4170430000000001E-2</v>
      </c>
      <c r="W4808">
        <v>0.3134207</v>
      </c>
      <c r="X4808">
        <v>0.9474437</v>
      </c>
      <c r="Y4808">
        <v>-1.9595979999999999E-2</v>
      </c>
      <c r="Z4808">
        <v>-8.1012089999999998E-4</v>
      </c>
      <c r="AA4808">
        <v>0.99980769999999997</v>
      </c>
      <c r="AB4808">
        <v>43</v>
      </c>
      <c r="AC4808">
        <v>-18.341899999999999</v>
      </c>
      <c r="AD4808">
        <v>-1.109756554826</v>
      </c>
      <c r="AE4808">
        <v>-0.31159999999999799</v>
      </c>
      <c r="AF4808">
        <v>-0.36702072040275802</v>
      </c>
      <c r="AG4808">
        <v>-1.109756554826</v>
      </c>
      <c r="AH4808">
        <v>18.2739711708385</v>
      </c>
      <c r="AI4808">
        <v>93.474537596406094</v>
      </c>
      <c r="AJ4808">
        <v>91.150593444100295</v>
      </c>
      <c r="AK4808">
        <v>18.311315795780999</v>
      </c>
      <c r="AL4808">
        <v>71.734500276034396</v>
      </c>
      <c r="AM4808">
        <v>93.874729571369301</v>
      </c>
      <c r="AN4808">
        <v>0.99999997197228196</v>
      </c>
    </row>
    <row r="4809" spans="1:40" x14ac:dyDescent="0.25">
      <c r="A4809" t="str">
        <f>"20190304164222575"</f>
        <v>20190304164222575</v>
      </c>
      <c r="B4809" t="str">
        <f>"1551688942565665"</f>
        <v>1551688942565665</v>
      </c>
      <c r="C4809" t="s">
        <v>40</v>
      </c>
      <c r="D4809">
        <v>3.7489479999999999</v>
      </c>
      <c r="E4809">
        <v>0.52189979999999903</v>
      </c>
      <c r="F4809" t="s">
        <v>42</v>
      </c>
      <c r="G4809">
        <v>-273.24650000000003</v>
      </c>
      <c r="H4809" s="1">
        <v>-3.3291999999999998E-6</v>
      </c>
      <c r="I4809">
        <v>141.30619999999999</v>
      </c>
      <c r="J4809">
        <v>-254.81469999999999</v>
      </c>
      <c r="K4809">
        <v>1.1097779999999999</v>
      </c>
      <c r="L4809">
        <v>141.655</v>
      </c>
      <c r="M4809">
        <v>-0.9999709</v>
      </c>
      <c r="N4809">
        <v>-7.1984319999999899E-3</v>
      </c>
      <c r="O4809">
        <v>2.572155E-3</v>
      </c>
      <c r="P4809">
        <v>-0.9495673</v>
      </c>
      <c r="Q4809">
        <v>0.3075349</v>
      </c>
      <c r="R4809">
        <v>-6.1191349999999999E-2</v>
      </c>
      <c r="S4809">
        <v>-3.2157290000000001</v>
      </c>
      <c r="T4809">
        <v>-0.1893669</v>
      </c>
      <c r="U4809">
        <v>-5.9356689999999997E-2</v>
      </c>
      <c r="V4809">
        <v>-6.4063739999999994E-2</v>
      </c>
      <c r="W4809">
        <v>0.3142742</v>
      </c>
      <c r="X4809">
        <v>0.94716820000000002</v>
      </c>
      <c r="Y4809">
        <v>-2.0982600000000001E-2</v>
      </c>
      <c r="Z4809">
        <v>-8.2564839999999895E-4</v>
      </c>
      <c r="AA4809">
        <v>0.99977950000000004</v>
      </c>
      <c r="AB4809">
        <v>43</v>
      </c>
      <c r="AC4809">
        <v>-18.431799999999999</v>
      </c>
      <c r="AD4809">
        <v>-1.1097813292000001</v>
      </c>
      <c r="AE4809">
        <v>-0.34880000000001099</v>
      </c>
      <c r="AF4809">
        <v>-0.39477885124962298</v>
      </c>
      <c r="AG4809">
        <v>-1.1097813292000001</v>
      </c>
      <c r="AH4809">
        <v>18.3642903133495</v>
      </c>
      <c r="AI4809">
        <v>93.457466437069996</v>
      </c>
      <c r="AJ4809">
        <v>91.231503004153694</v>
      </c>
      <c r="AK4809">
        <v>18.402027704930202</v>
      </c>
      <c r="AL4809">
        <v>71.682996849442702</v>
      </c>
      <c r="AM4809">
        <v>93.869428751619793</v>
      </c>
      <c r="AN4809">
        <v>1.00000001732983</v>
      </c>
    </row>
    <row r="4810" spans="1:40" x14ac:dyDescent="0.25">
      <c r="A4810" t="str">
        <f>"20190304164222597"</f>
        <v>20190304164222597</v>
      </c>
      <c r="B4810" t="str">
        <f>"1551688942586113"</f>
        <v>1551688942586113</v>
      </c>
      <c r="C4810" t="s">
        <v>40</v>
      </c>
      <c r="D4810">
        <v>3.7743929999999999</v>
      </c>
      <c r="E4810">
        <v>0.52157429999999905</v>
      </c>
      <c r="F4810" t="s">
        <v>42</v>
      </c>
      <c r="G4810">
        <v>-274.10050000000001</v>
      </c>
      <c r="H4810" s="1">
        <v>-2.954637E-6</v>
      </c>
      <c r="I4810">
        <v>141.27529999999999</v>
      </c>
      <c r="J4810">
        <v>-255.2398</v>
      </c>
      <c r="K4810">
        <v>1.109796</v>
      </c>
      <c r="L4810">
        <v>141.6557</v>
      </c>
      <c r="M4810">
        <v>-0.99997179999999997</v>
      </c>
      <c r="N4810">
        <v>-7.2532639999999997E-3</v>
      </c>
      <c r="O4810">
        <v>2.0346420000000001E-3</v>
      </c>
      <c r="P4810">
        <v>-0.94944779999999995</v>
      </c>
      <c r="Q4810">
        <v>0.30784</v>
      </c>
      <c r="R4810">
        <v>-6.1512909999999997E-2</v>
      </c>
      <c r="S4810">
        <v>-3.215179</v>
      </c>
      <c r="T4810">
        <v>-0.1850147</v>
      </c>
      <c r="U4810">
        <v>-6.3293459999999996E-2</v>
      </c>
      <c r="V4810">
        <v>-6.3884659999999996E-2</v>
      </c>
      <c r="W4810">
        <v>0.31462859999999998</v>
      </c>
      <c r="X4810">
        <v>0.94706259999999998</v>
      </c>
      <c r="Y4810">
        <v>-2.1673339999999999E-2</v>
      </c>
      <c r="Z4810">
        <v>-8.0392250000000005E-4</v>
      </c>
      <c r="AA4810">
        <v>0.99976480000000001</v>
      </c>
      <c r="AB4810">
        <v>43</v>
      </c>
      <c r="AC4810">
        <v>-18.860700000000001</v>
      </c>
      <c r="AD4810">
        <v>-1.109798954637</v>
      </c>
      <c r="AE4810">
        <v>-0.38040000000000801</v>
      </c>
      <c r="AF4810">
        <v>-0.41733062377539898</v>
      </c>
      <c r="AG4810">
        <v>-1.109798954637</v>
      </c>
      <c r="AH4810">
        <v>18.794838805108299</v>
      </c>
      <c r="AI4810">
        <v>93.378450525684798</v>
      </c>
      <c r="AJ4810">
        <v>91.272017018280096</v>
      </c>
      <c r="AK4810">
        <v>18.832200728519801</v>
      </c>
      <c r="AL4810">
        <v>71.661605576134804</v>
      </c>
      <c r="AM4810">
        <v>93.859074048927297</v>
      </c>
      <c r="AN4810">
        <v>0.99999998702001702</v>
      </c>
    </row>
    <row r="4811" spans="1:40" x14ac:dyDescent="0.25">
      <c r="A4811" t="str">
        <f>"20190304164222621"</f>
        <v>20190304164222621</v>
      </c>
      <c r="B4811" t="str">
        <f>"1551688942616369"</f>
        <v>1551688942616369</v>
      </c>
      <c r="C4811" t="s">
        <v>40</v>
      </c>
      <c r="D4811">
        <v>3.8218730000000001</v>
      </c>
      <c r="E4811">
        <v>0.54718829999999996</v>
      </c>
      <c r="F4811" t="s">
        <v>42</v>
      </c>
      <c r="G4811">
        <v>-274.76280000000003</v>
      </c>
      <c r="H4811" s="1">
        <v>-2.6623419999999998E-6</v>
      </c>
      <c r="I4811">
        <v>141.24459999999999</v>
      </c>
      <c r="J4811">
        <v>-255.68539999999999</v>
      </c>
      <c r="K4811">
        <v>1.1098159999999999</v>
      </c>
      <c r="L4811">
        <v>141.65629999999999</v>
      </c>
      <c r="M4811">
        <v>-0.99997230000000004</v>
      </c>
      <c r="N4811">
        <v>-7.3104240000000003E-3</v>
      </c>
      <c r="O4811">
        <v>1.4705479999999999E-3</v>
      </c>
      <c r="P4811">
        <v>-0.94944240000000002</v>
      </c>
      <c r="Q4811">
        <v>0.30778030000000001</v>
      </c>
      <c r="R4811">
        <v>-6.1892639999999999E-2</v>
      </c>
      <c r="S4811">
        <v>-3.2145999999999999</v>
      </c>
      <c r="T4811">
        <v>-0.1827365</v>
      </c>
      <c r="U4811">
        <v>-6.7687990000000003E-2</v>
      </c>
      <c r="V4811">
        <v>-6.3737150000000006E-2</v>
      </c>
      <c r="W4811">
        <v>0.31462180000000001</v>
      </c>
      <c r="X4811">
        <v>0.94707479999999999</v>
      </c>
      <c r="Y4811">
        <v>-2.2479249999999999E-2</v>
      </c>
      <c r="Z4811">
        <v>-7.933676E-4</v>
      </c>
      <c r="AA4811">
        <v>0.99974700000000005</v>
      </c>
      <c r="AB4811">
        <v>43</v>
      </c>
      <c r="AC4811">
        <v>-19.077400000000001</v>
      </c>
      <c r="AD4811">
        <v>-1.1098186623420001</v>
      </c>
      <c r="AE4811">
        <v>-0.41169999999999601</v>
      </c>
      <c r="AF4811">
        <v>-0.43827199142781198</v>
      </c>
      <c r="AG4811">
        <v>-1.1098186623420001</v>
      </c>
      <c r="AH4811">
        <v>19.012460483463599</v>
      </c>
      <c r="AI4811">
        <v>93.339863245339899</v>
      </c>
      <c r="AJ4811">
        <v>91.320538649806807</v>
      </c>
      <c r="AK4811">
        <v>19.0498670188801</v>
      </c>
      <c r="AL4811">
        <v>71.662016070785498</v>
      </c>
      <c r="AM4811">
        <v>93.850140810927002</v>
      </c>
      <c r="AN4811">
        <v>0.99999998906020104</v>
      </c>
    </row>
    <row r="4812" spans="1:40" x14ac:dyDescent="0.25">
      <c r="A4812" t="str">
        <f>"20190304164222643"</f>
        <v>20190304164222643</v>
      </c>
      <c r="B4812" t="str">
        <f>"1551688942635889"</f>
        <v>1551688942635889</v>
      </c>
      <c r="C4812" t="s">
        <v>40</v>
      </c>
      <c r="D4812">
        <v>3.7879589999999999</v>
      </c>
      <c r="E4812">
        <v>0.54892430000000003</v>
      </c>
      <c r="F4812" t="s">
        <v>41</v>
      </c>
      <c r="G4812">
        <v>-256.40440000000001</v>
      </c>
      <c r="H4812">
        <v>0.98356520000000003</v>
      </c>
      <c r="I4812">
        <v>141.68109999999999</v>
      </c>
      <c r="J4812">
        <v>-256.12439999999998</v>
      </c>
      <c r="K4812">
        <v>1.109834</v>
      </c>
      <c r="L4812">
        <v>141.65649999999999</v>
      </c>
      <c r="M4812">
        <v>-0.99997250000000004</v>
      </c>
      <c r="N4812">
        <v>-7.36748099999999E-3</v>
      </c>
      <c r="O4812">
        <v>9.1386750000000002E-4</v>
      </c>
      <c r="P4812">
        <v>-0.94935919999999896</v>
      </c>
      <c r="Q4812">
        <v>0.30803839999999999</v>
      </c>
      <c r="R4812">
        <v>-6.1885669999999997E-2</v>
      </c>
      <c r="S4812">
        <v>-3.3584589999999999</v>
      </c>
      <c r="T4812">
        <v>-0.58978529999999996</v>
      </c>
      <c r="U4812">
        <v>0.11524959999999999</v>
      </c>
      <c r="V4812">
        <v>-6.3208210000000001E-2</v>
      </c>
      <c r="W4812">
        <v>0.31493320000000002</v>
      </c>
      <c r="X4812">
        <v>0.94700680000000004</v>
      </c>
      <c r="Y4812">
        <v>3.2871619999999997E-2</v>
      </c>
      <c r="Z4812">
        <v>2.8331290000000002E-3</v>
      </c>
      <c r="AA4812">
        <v>0.9994556</v>
      </c>
      <c r="AB4812">
        <v>43</v>
      </c>
      <c r="AC4812">
        <v>-0.280000000000029</v>
      </c>
      <c r="AD4812">
        <v>-0.12626879999999899</v>
      </c>
      <c r="AE4812">
        <v>2.4599999999992399E-2</v>
      </c>
      <c r="AF4812">
        <v>2.0256244068594099E-2</v>
      </c>
      <c r="AG4812">
        <v>-0.12626879999999899</v>
      </c>
      <c r="AH4812">
        <v>0.23300107173832699</v>
      </c>
      <c r="AI4812">
        <v>118.364047393855</v>
      </c>
      <c r="AJ4812">
        <v>85.031410908595404</v>
      </c>
      <c r="AK4812">
        <v>0.26578868431220998</v>
      </c>
      <c r="AL4812">
        <v>71.643219549607295</v>
      </c>
      <c r="AM4812">
        <v>93.818557645666502</v>
      </c>
      <c r="AN4812">
        <v>1.0000000387599399</v>
      </c>
    </row>
    <row r="4813" spans="1:40" x14ac:dyDescent="0.25">
      <c r="A4813" t="str">
        <f>"20190304164222665"</f>
        <v>20190304164222665</v>
      </c>
      <c r="B4813" t="str">
        <f>"1551688942656386"</f>
        <v>1551688942656386</v>
      </c>
      <c r="C4813" t="s">
        <v>40</v>
      </c>
      <c r="D4813">
        <v>3.8254990000000002</v>
      </c>
      <c r="E4813">
        <v>0.54948750000000002</v>
      </c>
      <c r="F4813" t="s">
        <v>41</v>
      </c>
      <c r="G4813">
        <v>-257.13799999999998</v>
      </c>
      <c r="H4813">
        <v>0.90255169999999996</v>
      </c>
      <c r="I4813">
        <v>141.6943</v>
      </c>
      <c r="J4813">
        <v>-256.53050000000002</v>
      </c>
      <c r="K4813">
        <v>1.1098440000000001</v>
      </c>
      <c r="L4813">
        <v>141.6566</v>
      </c>
      <c r="M4813">
        <v>-0.99997250000000004</v>
      </c>
      <c r="N4813">
        <v>-7.423565E-3</v>
      </c>
      <c r="O4813">
        <v>3.9887100000000002E-4</v>
      </c>
      <c r="P4813">
        <v>-0.94921480000000003</v>
      </c>
      <c r="Q4813">
        <v>0.30834630000000002</v>
      </c>
      <c r="R4813">
        <v>-6.25637E-2</v>
      </c>
      <c r="S4813">
        <v>-3.3934329999999999</v>
      </c>
      <c r="T4813">
        <v>-0.69405280000000003</v>
      </c>
      <c r="U4813">
        <v>0.12565609999999999</v>
      </c>
      <c r="V4813">
        <v>-6.3402099999999906E-2</v>
      </c>
      <c r="W4813">
        <v>0.31529210000000002</v>
      </c>
      <c r="X4813">
        <v>0.9468744</v>
      </c>
      <c r="Y4813">
        <v>3.5844380000000002E-2</v>
      </c>
      <c r="Z4813">
        <v>3.6835539999999999E-3</v>
      </c>
      <c r="AA4813">
        <v>0.99935059999999998</v>
      </c>
      <c r="AB4813">
        <v>43</v>
      </c>
      <c r="AC4813">
        <v>-0.60749999999995896</v>
      </c>
      <c r="AD4813">
        <v>-0.20729230000000001</v>
      </c>
      <c r="AE4813">
        <v>3.7700000000000899E-2</v>
      </c>
      <c r="AF4813">
        <v>3.3564656024505597E-2</v>
      </c>
      <c r="AG4813">
        <v>-0.20729230000000001</v>
      </c>
      <c r="AH4813">
        <v>0.54437524450670305</v>
      </c>
      <c r="AI4813">
        <v>110.810175861606</v>
      </c>
      <c r="AJ4813">
        <v>86.471768843195306</v>
      </c>
      <c r="AK4813">
        <v>0.58347329896497102</v>
      </c>
      <c r="AL4813">
        <v>71.6215521093322</v>
      </c>
      <c r="AM4813">
        <v>93.830770167840001</v>
      </c>
      <c r="AN4813">
        <v>1.00000003199108</v>
      </c>
    </row>
    <row r="4814" spans="1:40" x14ac:dyDescent="0.25">
      <c r="A4814" t="str">
        <f>"20190304164222688"</f>
        <v>20190304164222688</v>
      </c>
      <c r="B4814" t="str">
        <f>"1551688942675447"</f>
        <v>1551688942675447</v>
      </c>
      <c r="C4814" t="s">
        <v>40</v>
      </c>
      <c r="D4814">
        <v>3.7888289999999998</v>
      </c>
      <c r="E4814">
        <v>0.54962999999999995</v>
      </c>
      <c r="F4814" t="s">
        <v>41</v>
      </c>
      <c r="G4814">
        <v>-257.52120000000002</v>
      </c>
      <c r="H4814">
        <v>0.89440580000000003</v>
      </c>
      <c r="I4814">
        <v>141.6934</v>
      </c>
      <c r="J4814">
        <v>-256.97699999999998</v>
      </c>
      <c r="K4814">
        <v>1.10985</v>
      </c>
      <c r="L4814">
        <v>141.65629999999999</v>
      </c>
      <c r="M4814">
        <v>-0.99997199999999997</v>
      </c>
      <c r="N4814">
        <v>-7.4866949999999998E-3</v>
      </c>
      <c r="O4814">
        <v>-1.680087E-4</v>
      </c>
      <c r="P4814">
        <v>-0.94932930000000004</v>
      </c>
      <c r="Q4814">
        <v>0.30784919999999999</v>
      </c>
      <c r="R4814">
        <v>-6.3267359999999995E-2</v>
      </c>
      <c r="S4814">
        <v>-3.409729</v>
      </c>
      <c r="T4814">
        <v>-0.74138669999999995</v>
      </c>
      <c r="U4814">
        <v>0.12721250000000001</v>
      </c>
      <c r="V4814">
        <v>-6.3572089999999998E-2</v>
      </c>
      <c r="W4814">
        <v>0.31485489999999999</v>
      </c>
      <c r="X4814">
        <v>0.94700839999999997</v>
      </c>
      <c r="Y4814">
        <v>3.6563730000000003E-2</v>
      </c>
      <c r="Z4814">
        <v>4.1012599999999998E-3</v>
      </c>
      <c r="AA4814">
        <v>0.99932290000000001</v>
      </c>
      <c r="AB4814">
        <v>43</v>
      </c>
      <c r="AC4814">
        <v>-0.54419999999998903</v>
      </c>
      <c r="AD4814">
        <v>-0.215444199999999</v>
      </c>
      <c r="AE4814">
        <v>3.7100000000009403E-2</v>
      </c>
      <c r="AF4814">
        <v>3.2172377590780503E-2</v>
      </c>
      <c r="AG4814">
        <v>-0.215444199999999</v>
      </c>
      <c r="AH4814">
        <v>0.47075377263608598</v>
      </c>
      <c r="AI4814">
        <v>114.541101568446</v>
      </c>
      <c r="AJ4814">
        <v>86.0903561500932</v>
      </c>
      <c r="AK4814">
        <v>0.51871030416273001</v>
      </c>
      <c r="AL4814">
        <v>71.647944854738995</v>
      </c>
      <c r="AM4814">
        <v>93.840468431304998</v>
      </c>
      <c r="AN4814">
        <v>0.99999996417576797</v>
      </c>
    </row>
    <row r="4815" spans="1:40" x14ac:dyDescent="0.25">
      <c r="A4815" t="str">
        <f>"20190304164222711"</f>
        <v>20190304164222711</v>
      </c>
      <c r="B4815" t="str">
        <f>"1551688942705691"</f>
        <v>1551688942705691</v>
      </c>
      <c r="C4815" t="s">
        <v>40</v>
      </c>
      <c r="D4815">
        <v>3.8319009999999998</v>
      </c>
      <c r="E4815">
        <v>0.54976840000000005</v>
      </c>
      <c r="F4815" t="s">
        <v>41</v>
      </c>
      <c r="G4815">
        <v>-257.91129999999998</v>
      </c>
      <c r="H4815">
        <v>0.90050049999999904</v>
      </c>
      <c r="I4815">
        <v>141.6908</v>
      </c>
      <c r="J4815">
        <v>-257.42919999999998</v>
      </c>
      <c r="K4815">
        <v>1.109853</v>
      </c>
      <c r="L4815">
        <v>141.6558</v>
      </c>
      <c r="M4815">
        <v>-0.99997130000000001</v>
      </c>
      <c r="N4815">
        <v>-7.54888E-3</v>
      </c>
      <c r="O4815">
        <v>-7.425671E-4</v>
      </c>
      <c r="P4815">
        <v>-0.94940049999999998</v>
      </c>
      <c r="Q4815">
        <v>0.30747219999999997</v>
      </c>
      <c r="R4815">
        <v>-6.4029370000000002E-2</v>
      </c>
      <c r="S4815">
        <v>-3.4167480000000001</v>
      </c>
      <c r="T4815">
        <v>-0.76555839999999997</v>
      </c>
      <c r="U4815">
        <v>0.12544249999999901</v>
      </c>
      <c r="V4815">
        <v>-6.3791890000000004E-2</v>
      </c>
      <c r="W4815">
        <v>0.31453619999999999</v>
      </c>
      <c r="X4815">
        <v>0.94709960000000004</v>
      </c>
      <c r="Y4815">
        <v>3.647968E-2</v>
      </c>
      <c r="Z4815">
        <v>4.333707E-3</v>
      </c>
      <c r="AA4815">
        <v>0.99932500000000002</v>
      </c>
      <c r="AB4815">
        <v>43</v>
      </c>
      <c r="AC4815">
        <v>-0.48210000000000203</v>
      </c>
      <c r="AD4815">
        <v>-0.2093525</v>
      </c>
      <c r="AE4815">
        <v>3.4999999999996499E-2</v>
      </c>
      <c r="AF4815">
        <v>2.9773009945641901E-2</v>
      </c>
      <c r="AG4815">
        <v>-0.2093525</v>
      </c>
      <c r="AH4815">
        <v>0.40592775372015999</v>
      </c>
      <c r="AI4815">
        <v>117.219326611735</v>
      </c>
      <c r="AJ4815">
        <v>85.805118804356297</v>
      </c>
      <c r="AK4815">
        <v>0.45770322548324699</v>
      </c>
      <c r="AL4815">
        <v>71.667183857332404</v>
      </c>
      <c r="AM4815">
        <v>93.853336907982097</v>
      </c>
      <c r="AN4815">
        <v>1.00000003933018</v>
      </c>
    </row>
    <row r="4816" spans="1:40" x14ac:dyDescent="0.25">
      <c r="A4816" t="str">
        <f>"20190304164222733"</f>
        <v>20190304164222733</v>
      </c>
      <c r="B4816" t="str">
        <f>"1551688942726187"</f>
        <v>1551688942726187</v>
      </c>
      <c r="C4816" t="s">
        <v>40</v>
      </c>
      <c r="D4816">
        <v>4.0762869999999998</v>
      </c>
      <c r="E4816">
        <v>0.54958600000000002</v>
      </c>
      <c r="F4816" t="s">
        <v>41</v>
      </c>
      <c r="G4816">
        <v>-258.30279999999999</v>
      </c>
      <c r="H4816">
        <v>0.90814729999999999</v>
      </c>
      <c r="I4816">
        <v>141.68700000000001</v>
      </c>
      <c r="J4816">
        <v>-257.8578</v>
      </c>
      <c r="K4816">
        <v>1.109858</v>
      </c>
      <c r="L4816">
        <v>141.6551</v>
      </c>
      <c r="M4816">
        <v>-0.99997029999999998</v>
      </c>
      <c r="N4816">
        <v>-7.604693E-3</v>
      </c>
      <c r="O4816">
        <v>-1.2860879999999999E-3</v>
      </c>
      <c r="P4816">
        <v>-0.94934289999999999</v>
      </c>
      <c r="Q4816">
        <v>0.30758370000000002</v>
      </c>
      <c r="R4816">
        <v>-6.4344780000000004E-2</v>
      </c>
      <c r="S4816">
        <v>-3.4241640000000002</v>
      </c>
      <c r="T4816">
        <v>-0.79053379999999995</v>
      </c>
      <c r="U4816">
        <v>0.1217041</v>
      </c>
      <c r="V4816">
        <v>-6.3594059999999994E-2</v>
      </c>
      <c r="W4816">
        <v>0.31470009999999998</v>
      </c>
      <c r="X4816">
        <v>0.94705839999999997</v>
      </c>
      <c r="Y4816">
        <v>3.5801560000000003E-2</v>
      </c>
      <c r="Z4816">
        <v>4.4991730000000004E-3</v>
      </c>
      <c r="AA4816">
        <v>0.99934880000000004</v>
      </c>
      <c r="AB4816">
        <v>43</v>
      </c>
      <c r="AC4816">
        <v>-0.44499999999999301</v>
      </c>
      <c r="AD4816">
        <v>-0.20171069999999999</v>
      </c>
      <c r="AE4816">
        <v>3.1900000000007298E-2</v>
      </c>
      <c r="AF4816">
        <v>2.6961065169927901E-2</v>
      </c>
      <c r="AG4816">
        <v>-0.20171069999999999</v>
      </c>
      <c r="AH4816">
        <v>0.36943974383334899</v>
      </c>
      <c r="AI4816">
        <v>118.570176969458</v>
      </c>
      <c r="AJ4816">
        <v>85.826053812619605</v>
      </c>
      <c r="AK4816">
        <v>0.42178173247929701</v>
      </c>
      <c r="AL4816">
        <v>71.657289659597197</v>
      </c>
      <c r="AM4816">
        <v>93.841589471994595</v>
      </c>
      <c r="AN4816">
        <v>0.99999998520892597</v>
      </c>
    </row>
    <row r="4817" spans="1:40" x14ac:dyDescent="0.25">
      <c r="A4817" t="str">
        <f>"20190304164222754"</f>
        <v>20190304164222754</v>
      </c>
      <c r="B4817" t="str">
        <f>"1551688942745706"</f>
        <v>1551688942745706</v>
      </c>
      <c r="C4817" t="s">
        <v>40</v>
      </c>
      <c r="D4817">
        <v>3.9025240000000001</v>
      </c>
      <c r="E4817">
        <v>0.54724259999999902</v>
      </c>
      <c r="F4817" t="s">
        <v>41</v>
      </c>
      <c r="G4817">
        <v>-258.69420000000002</v>
      </c>
      <c r="H4817">
        <v>0.91421019999999997</v>
      </c>
      <c r="I4817">
        <v>141.68379999999999</v>
      </c>
      <c r="J4817">
        <v>-258.26900000000001</v>
      </c>
      <c r="K4817">
        <v>1.1098629999999901</v>
      </c>
      <c r="L4817">
        <v>141.6542</v>
      </c>
      <c r="M4817">
        <v>-0.999969</v>
      </c>
      <c r="N4817">
        <v>-7.6566009999999999E-3</v>
      </c>
      <c r="O4817">
        <v>-1.8010700000000001E-3</v>
      </c>
      <c r="P4817">
        <v>-0.94920850000000001</v>
      </c>
      <c r="Q4817">
        <v>0.307869</v>
      </c>
      <c r="R4817">
        <v>-6.4960480000000001E-2</v>
      </c>
      <c r="S4817">
        <v>-3.4277950000000001</v>
      </c>
      <c r="T4817">
        <v>-0.80182169999999997</v>
      </c>
      <c r="U4817">
        <v>0.1167603</v>
      </c>
      <c r="V4817">
        <v>-6.3722100000000004E-2</v>
      </c>
      <c r="W4817">
        <v>0.31503370000000003</v>
      </c>
      <c r="X4817">
        <v>0.94693890000000003</v>
      </c>
      <c r="Y4817">
        <v>3.4826950000000002E-2</v>
      </c>
      <c r="Z4817">
        <v>4.5551239999999998E-3</v>
      </c>
      <c r="AA4817">
        <v>0.99938300000000002</v>
      </c>
      <c r="AB4817">
        <v>43</v>
      </c>
      <c r="AC4817">
        <v>-0.42520000000001701</v>
      </c>
      <c r="AD4817">
        <v>-0.19565279999999999</v>
      </c>
      <c r="AE4817">
        <v>2.9599999999987799E-2</v>
      </c>
      <c r="AF4817">
        <v>2.50809677479631E-2</v>
      </c>
      <c r="AG4817">
        <v>-0.19565279999999999</v>
      </c>
      <c r="AH4817">
        <v>0.351154151882696</v>
      </c>
      <c r="AI4817">
        <v>119.06333181465401</v>
      </c>
      <c r="AJ4817">
        <v>85.914622125385307</v>
      </c>
      <c r="AK4817">
        <v>0.40276334425499699</v>
      </c>
      <c r="AL4817">
        <v>71.637151932393806</v>
      </c>
      <c r="AM4817">
        <v>93.849785187879903</v>
      </c>
      <c r="AN4817">
        <v>1.0000000092486501</v>
      </c>
    </row>
    <row r="4818" spans="1:40" x14ac:dyDescent="0.25">
      <c r="A4818" t="str">
        <f>"20190304164222776"</f>
        <v>20190304164222776</v>
      </c>
      <c r="B4818" t="str">
        <f>"1551688942766203"</f>
        <v>1551688942766203</v>
      </c>
      <c r="C4818" t="s">
        <v>40</v>
      </c>
      <c r="D4818">
        <v>3.9236599999999999</v>
      </c>
      <c r="E4818">
        <v>0.54772609999999999</v>
      </c>
      <c r="F4818" t="s">
        <v>41</v>
      </c>
      <c r="G4818">
        <v>-259.07639999999998</v>
      </c>
      <c r="H4818">
        <v>0.89646219999999999</v>
      </c>
      <c r="I4818">
        <v>141.67519999999999</v>
      </c>
      <c r="J4818">
        <v>-258.69990000000001</v>
      </c>
      <c r="K4818">
        <v>1.109861</v>
      </c>
      <c r="L4818">
        <v>141.65309999999999</v>
      </c>
      <c r="M4818">
        <v>-0.99996759999999996</v>
      </c>
      <c r="N4818">
        <v>-7.7106730000000004E-3</v>
      </c>
      <c r="O4818">
        <v>-2.326846E-3</v>
      </c>
      <c r="P4818">
        <v>-0.94910459999999996</v>
      </c>
      <c r="Q4818">
        <v>0.3081082</v>
      </c>
      <c r="R4818">
        <v>-6.5346920000000003E-2</v>
      </c>
      <c r="S4818">
        <v>-3.4636230000000001</v>
      </c>
      <c r="T4818">
        <v>-0.91551380000000004</v>
      </c>
      <c r="U4818">
        <v>8.9492799999999997E-2</v>
      </c>
      <c r="V4818">
        <v>-6.3605899999999896E-2</v>
      </c>
      <c r="W4818">
        <v>0.31532459999999901</v>
      </c>
      <c r="X4818">
        <v>0.94684990000000002</v>
      </c>
      <c r="Y4818">
        <v>2.712115E-2</v>
      </c>
      <c r="Z4818">
        <v>4.2166119999999998E-3</v>
      </c>
      <c r="AA4818">
        <v>0.99962320000000005</v>
      </c>
      <c r="AB4818">
        <v>43</v>
      </c>
      <c r="AC4818">
        <v>-0.37649999999996397</v>
      </c>
      <c r="AD4818">
        <v>-0.213398799999999</v>
      </c>
      <c r="AE4818">
        <v>2.20999999999946E-2</v>
      </c>
      <c r="AF4818">
        <v>1.7404035894359501E-2</v>
      </c>
      <c r="AG4818">
        <v>-0.213398799999999</v>
      </c>
      <c r="AH4818">
        <v>0.28515407453001002</v>
      </c>
      <c r="AI4818">
        <v>126.758743979244</v>
      </c>
      <c r="AJ4818">
        <v>86.507353572843897</v>
      </c>
      <c r="AK4818">
        <v>0.35658770944596302</v>
      </c>
      <c r="AL4818">
        <v>71.619589741438205</v>
      </c>
      <c r="AM4818">
        <v>93.843146115036902</v>
      </c>
      <c r="AN4818">
        <v>1.00000002350498</v>
      </c>
    </row>
    <row r="4819" spans="1:40" x14ac:dyDescent="0.25">
      <c r="A4819" t="str">
        <f>"20190304164222800"</f>
        <v>20190304164222800</v>
      </c>
      <c r="B4819" t="str">
        <f>"1551688942795483"</f>
        <v>1551688942795483</v>
      </c>
      <c r="C4819" t="s">
        <v>40</v>
      </c>
      <c r="D4819">
        <v>3.9344860000000001</v>
      </c>
      <c r="E4819">
        <v>0.55079940000000005</v>
      </c>
      <c r="F4819" t="s">
        <v>41</v>
      </c>
      <c r="G4819">
        <v>-259.47109999999998</v>
      </c>
      <c r="H4819">
        <v>0.90754270000000004</v>
      </c>
      <c r="I4819">
        <v>141.67359999999999</v>
      </c>
      <c r="J4819">
        <v>-259.15710000000001</v>
      </c>
      <c r="K4819">
        <v>1.1098509999999999</v>
      </c>
      <c r="L4819">
        <v>141.65170000000001</v>
      </c>
      <c r="M4819">
        <v>-0.99996580000000002</v>
      </c>
      <c r="N4819">
        <v>-7.7665629999999998E-3</v>
      </c>
      <c r="O4819">
        <v>-2.8569369999999999E-3</v>
      </c>
      <c r="P4819">
        <v>-0.94892129999999997</v>
      </c>
      <c r="Q4819">
        <v>0.3085426</v>
      </c>
      <c r="R4819">
        <v>-6.5954799999999994E-2</v>
      </c>
      <c r="S4819">
        <v>-3.4620669999999998</v>
      </c>
      <c r="T4819">
        <v>-0.90833759999999997</v>
      </c>
      <c r="U4819">
        <v>9.162903E-2</v>
      </c>
      <c r="V4819">
        <v>-6.3700660000000006E-2</v>
      </c>
      <c r="W4819">
        <v>0.31581290000000001</v>
      </c>
      <c r="X4819">
        <v>0.94668079999999999</v>
      </c>
      <c r="Y4819">
        <v>2.823788E-2</v>
      </c>
      <c r="Z4819">
        <v>4.4688230000000002E-3</v>
      </c>
      <c r="AA4819">
        <v>0.99959120000000001</v>
      </c>
      <c r="AB4819">
        <v>44</v>
      </c>
      <c r="AC4819">
        <v>-0.31399999999996397</v>
      </c>
      <c r="AD4819">
        <v>-0.2023083</v>
      </c>
      <c r="AE4819">
        <v>2.1899999999987999E-2</v>
      </c>
      <c r="AF4819">
        <v>1.6132568255363001E-2</v>
      </c>
      <c r="AG4819">
        <v>-0.2023083</v>
      </c>
      <c r="AH4819">
        <v>0.222160496533264</v>
      </c>
      <c r="AI4819">
        <v>132.24725962067501</v>
      </c>
      <c r="AJ4819">
        <v>85.846658202472497</v>
      </c>
      <c r="AK4819">
        <v>0.30090562345577798</v>
      </c>
      <c r="AL4819">
        <v>71.590106151472696</v>
      </c>
      <c r="AM4819">
        <v>93.849539865123802</v>
      </c>
      <c r="AN4819">
        <v>1.0000000494897401</v>
      </c>
    </row>
    <row r="4820" spans="1:40" x14ac:dyDescent="0.25">
      <c r="A4820" t="str">
        <f>"20190304164222823"</f>
        <v>20190304164222823</v>
      </c>
      <c r="B4820" t="str">
        <f>"1551688942815979"</f>
        <v>1551688942815979</v>
      </c>
      <c r="C4820" t="s">
        <v>40</v>
      </c>
      <c r="D4820">
        <v>3.9961120000000001</v>
      </c>
      <c r="E4820">
        <v>0.55095699999999903</v>
      </c>
      <c r="F4820" t="s">
        <v>41</v>
      </c>
      <c r="G4820">
        <v>-259.8657</v>
      </c>
      <c r="H4820">
        <v>0.91694500000000001</v>
      </c>
      <c r="I4820">
        <v>141.6746</v>
      </c>
      <c r="J4820">
        <v>-259.60550000000001</v>
      </c>
      <c r="K4820">
        <v>1.109831</v>
      </c>
      <c r="L4820">
        <v>141.65010000000001</v>
      </c>
      <c r="M4820">
        <v>-0.99996390000000002</v>
      </c>
      <c r="N4820">
        <v>-7.8183990000000002E-3</v>
      </c>
      <c r="O4820">
        <v>-3.33491E-3</v>
      </c>
      <c r="P4820">
        <v>-0.94884040000000003</v>
      </c>
      <c r="Q4820">
        <v>0.30860690000000002</v>
      </c>
      <c r="R4820">
        <v>-6.6811560000000006E-2</v>
      </c>
      <c r="S4820">
        <v>-3.4770810000000001</v>
      </c>
      <c r="T4820">
        <v>-0.94666799999999995</v>
      </c>
      <c r="U4820">
        <v>0.11210630000000001</v>
      </c>
      <c r="V4820">
        <v>-6.4084890000000005E-2</v>
      </c>
      <c r="W4820">
        <v>0.31592910000000002</v>
      </c>
      <c r="X4820">
        <v>0.94661609999999996</v>
      </c>
      <c r="Y4820">
        <v>3.4164090000000001E-2</v>
      </c>
      <c r="Z4820">
        <v>5.5684469999999998E-3</v>
      </c>
      <c r="AA4820">
        <v>0.99940070000000003</v>
      </c>
      <c r="AB4820">
        <v>44</v>
      </c>
      <c r="AC4820">
        <v>-0.26019999999999699</v>
      </c>
      <c r="AD4820">
        <v>-0.192885999999999</v>
      </c>
      <c r="AE4820">
        <v>2.4499999999988999E-2</v>
      </c>
      <c r="AF4820">
        <v>1.64224218577354E-2</v>
      </c>
      <c r="AG4820">
        <v>-0.192885999999999</v>
      </c>
      <c r="AH4820">
        <v>0.16839365437055701</v>
      </c>
      <c r="AI4820">
        <v>138.743944547132</v>
      </c>
      <c r="AJ4820">
        <v>84.429901075747907</v>
      </c>
      <c r="AK4820">
        <v>0.25657577393032199</v>
      </c>
      <c r="AL4820">
        <v>71.583089231973602</v>
      </c>
      <c r="AM4820">
        <v>93.872952984148</v>
      </c>
      <c r="AN4820">
        <v>1.0000000550661601</v>
      </c>
    </row>
    <row r="4821" spans="1:40" x14ac:dyDescent="0.25">
      <c r="A4821" t="str">
        <f>"20190304164222844"</f>
        <v>20190304164222844</v>
      </c>
      <c r="B4821" t="str">
        <f>"1551688942835498"</f>
        <v>1551688942835498</v>
      </c>
      <c r="C4821" t="s">
        <v>40</v>
      </c>
      <c r="D4821">
        <v>3.8952040000000001</v>
      </c>
      <c r="E4821">
        <v>0.55145929999999999</v>
      </c>
      <c r="F4821" t="s">
        <v>41</v>
      </c>
      <c r="G4821">
        <v>-260.61130000000003</v>
      </c>
      <c r="H4821">
        <v>0.82749619999999902</v>
      </c>
      <c r="I4821">
        <v>141.6815</v>
      </c>
      <c r="J4821">
        <v>-260.029</v>
      </c>
      <c r="K4821">
        <v>1.1097969999999999</v>
      </c>
      <c r="L4821">
        <v>141.64840000000001</v>
      </c>
      <c r="M4821">
        <v>-0.99996220000000002</v>
      </c>
      <c r="N4821">
        <v>-7.8642439999999994E-3</v>
      </c>
      <c r="O4821">
        <v>-3.7352650000000002E-3</v>
      </c>
      <c r="P4821">
        <v>-0.94874639999999999</v>
      </c>
      <c r="Q4821">
        <v>0.30884420000000001</v>
      </c>
      <c r="R4821">
        <v>-6.7048780000000002E-2</v>
      </c>
      <c r="S4821">
        <v>-3.487854</v>
      </c>
      <c r="T4821">
        <v>-0.97906519999999997</v>
      </c>
      <c r="U4821">
        <v>0.1089478</v>
      </c>
      <c r="V4821">
        <v>-6.3915520000000003E-2</v>
      </c>
      <c r="W4821">
        <v>0.31621500000000002</v>
      </c>
      <c r="X4821">
        <v>0.94653200000000004</v>
      </c>
      <c r="Y4821">
        <v>3.3487370000000002E-2</v>
      </c>
      <c r="Z4821">
        <v>5.7437620000000003E-3</v>
      </c>
      <c r="AA4821">
        <v>0.99942260000000005</v>
      </c>
      <c r="AB4821">
        <v>44</v>
      </c>
      <c r="AC4821">
        <v>-0.58230000000003201</v>
      </c>
      <c r="AD4821">
        <v>-0.28230079999999902</v>
      </c>
      <c r="AE4821">
        <v>3.3099999999990297E-2</v>
      </c>
      <c r="AF4821">
        <v>2.8579388239169501E-2</v>
      </c>
      <c r="AG4821">
        <v>-0.28230079999999902</v>
      </c>
      <c r="AH4821">
        <v>0.471670708561858</v>
      </c>
      <c r="AI4821">
        <v>120.85480439695201</v>
      </c>
      <c r="AJ4821">
        <v>86.532583492779693</v>
      </c>
      <c r="AK4821">
        <v>0.55043962468922103</v>
      </c>
      <c r="AL4821">
        <v>71.565821673024899</v>
      </c>
      <c r="AM4821">
        <v>93.863090350858101</v>
      </c>
      <c r="AN4821">
        <v>0.99999997347293401</v>
      </c>
    </row>
    <row r="4822" spans="1:40" x14ac:dyDescent="0.25">
      <c r="A4822" t="str">
        <f>"20190304164222866"</f>
        <v>20190304164222866</v>
      </c>
      <c r="B4822" t="str">
        <f>"1551688942855995"</f>
        <v>1551688942855995</v>
      </c>
      <c r="C4822" t="s">
        <v>40</v>
      </c>
      <c r="D4822">
        <v>3.9137019999999998</v>
      </c>
      <c r="E4822">
        <v>0.55163549999999995</v>
      </c>
      <c r="F4822" t="s">
        <v>41</v>
      </c>
      <c r="G4822">
        <v>-261.00580000000002</v>
      </c>
      <c r="H4822">
        <v>0.83238699999999999</v>
      </c>
      <c r="I4822">
        <v>141.6798</v>
      </c>
      <c r="J4822">
        <v>-260.45639999999997</v>
      </c>
      <c r="K4822">
        <v>1.109764</v>
      </c>
      <c r="L4822">
        <v>141.64660000000001</v>
      </c>
      <c r="M4822">
        <v>-0.99996030000000002</v>
      </c>
      <c r="N4822">
        <v>-7.9082019999999996E-3</v>
      </c>
      <c r="O4822">
        <v>-4.093602E-3</v>
      </c>
      <c r="P4822">
        <v>-0.94871890000000003</v>
      </c>
      <c r="Q4822">
        <v>0.30881180000000003</v>
      </c>
      <c r="R4822">
        <v>-6.7584290000000005E-2</v>
      </c>
      <c r="S4822">
        <v>-3.4928889999999999</v>
      </c>
      <c r="T4822">
        <v>-0.99205600000000005</v>
      </c>
      <c r="U4822">
        <v>0.11138919999999999</v>
      </c>
      <c r="V4822">
        <v>-6.4080830000000005E-2</v>
      </c>
      <c r="W4822">
        <v>0.31622990000000001</v>
      </c>
      <c r="X4822">
        <v>0.94651589999999997</v>
      </c>
      <c r="Y4822">
        <v>3.4413359999999997E-2</v>
      </c>
      <c r="Z4822">
        <v>6.038084E-3</v>
      </c>
      <c r="AA4822">
        <v>0.99938950000000004</v>
      </c>
      <c r="AB4822">
        <v>44</v>
      </c>
      <c r="AC4822">
        <v>-0.54940000000004796</v>
      </c>
      <c r="AD4822">
        <v>-0.27737699999999899</v>
      </c>
      <c r="AE4822">
        <v>3.3199999999993603E-2</v>
      </c>
      <c r="AF4822">
        <v>2.8269295252912899E-2</v>
      </c>
      <c r="AG4822">
        <v>-0.27737699999999899</v>
      </c>
      <c r="AH4822">
        <v>0.43801683019743498</v>
      </c>
      <c r="AI4822">
        <v>122.290501003502</v>
      </c>
      <c r="AJ4822">
        <v>86.307292487323096</v>
      </c>
      <c r="AK4822">
        <v>0.51922624810317997</v>
      </c>
      <c r="AL4822">
        <v>71.564922785649699</v>
      </c>
      <c r="AM4822">
        <v>93.873117090461406</v>
      </c>
      <c r="AN4822">
        <v>1.00000002569015</v>
      </c>
    </row>
    <row r="4823" spans="1:40" x14ac:dyDescent="0.25">
      <c r="A4823" t="str">
        <f>"20190304164222878"</f>
        <v>20190304164222878</v>
      </c>
      <c r="B4823" t="str">
        <f>"1551688942875515"</f>
        <v>1551688942875515</v>
      </c>
      <c r="C4823" t="s">
        <v>40</v>
      </c>
      <c r="D4823">
        <v>3.918666</v>
      </c>
      <c r="E4823">
        <v>0.55176449999999999</v>
      </c>
      <c r="F4823" t="s">
        <v>41</v>
      </c>
      <c r="G4823">
        <v>-261.40140000000002</v>
      </c>
      <c r="H4823">
        <v>0.83838889999999999</v>
      </c>
      <c r="I4823">
        <v>141.6765</v>
      </c>
      <c r="J4823">
        <v>-260.70490000000001</v>
      </c>
      <c r="K4823">
        <v>1.109734</v>
      </c>
      <c r="L4823">
        <v>141.6454</v>
      </c>
      <c r="M4823">
        <v>-0.9999595</v>
      </c>
      <c r="N4823">
        <v>-7.933776E-3</v>
      </c>
      <c r="O4823">
        <v>-4.2810820000000003E-3</v>
      </c>
      <c r="P4823">
        <v>-0.94857590000000003</v>
      </c>
      <c r="Q4823">
        <v>0.3092183</v>
      </c>
      <c r="R4823">
        <v>-6.7736130000000006E-2</v>
      </c>
      <c r="S4823">
        <v>-3.4968569999999999</v>
      </c>
      <c r="T4823">
        <v>-1.0042990000000001</v>
      </c>
      <c r="U4823">
        <v>0.11010739999999899</v>
      </c>
      <c r="V4823">
        <v>-6.4037209999999997E-2</v>
      </c>
      <c r="W4823">
        <v>0.31666369999999999</v>
      </c>
      <c r="X4823">
        <v>0.94637380000000004</v>
      </c>
      <c r="Y4823">
        <v>3.4167639999999999E-2</v>
      </c>
      <c r="Z4823">
        <v>6.1180870000000004E-3</v>
      </c>
      <c r="AA4823">
        <v>0.99939739999999999</v>
      </c>
      <c r="AB4823">
        <v>44</v>
      </c>
      <c r="AC4823">
        <v>-0.696500000000014</v>
      </c>
      <c r="AD4823">
        <v>-0.27134509999999901</v>
      </c>
      <c r="AE4823">
        <v>3.11000000000092E-2</v>
      </c>
      <c r="AF4823">
        <v>2.9598233619677401E-2</v>
      </c>
      <c r="AG4823">
        <v>-0.27134509999999901</v>
      </c>
      <c r="AH4823">
        <v>0.60475596130856102</v>
      </c>
      <c r="AI4823">
        <v>114.13948281745699</v>
      </c>
      <c r="AJ4823">
        <v>87.198040437871597</v>
      </c>
      <c r="AK4823">
        <v>0.66350131233152598</v>
      </c>
      <c r="AL4823">
        <v>71.538721213508893</v>
      </c>
      <c r="AM4823">
        <v>93.871068060076297</v>
      </c>
      <c r="AN4823">
        <v>1.0000000162443501</v>
      </c>
    </row>
    <row r="4824" spans="1:40" x14ac:dyDescent="0.25">
      <c r="A4824" t="str">
        <f>"20190304164222893"</f>
        <v>20190304164222893</v>
      </c>
      <c r="B4824" t="str">
        <f>"1551688942886258"</f>
        <v>1551688942886258</v>
      </c>
      <c r="C4824" t="s">
        <v>40</v>
      </c>
      <c r="D4824">
        <v>4.032089</v>
      </c>
      <c r="E4824">
        <v>0.55175010000000002</v>
      </c>
      <c r="F4824" t="s">
        <v>41</v>
      </c>
      <c r="G4824">
        <v>-261.42770000000002</v>
      </c>
      <c r="H4824">
        <v>0.90086940000000004</v>
      </c>
      <c r="I4824">
        <v>141.66820000000001</v>
      </c>
      <c r="J4824">
        <v>-260.96800000000002</v>
      </c>
      <c r="K4824">
        <v>1.10971</v>
      </c>
      <c r="L4824">
        <v>141.64420000000001</v>
      </c>
      <c r="M4824">
        <v>-0.99995849999999997</v>
      </c>
      <c r="N4824">
        <v>-7.9611679999999994E-3</v>
      </c>
      <c r="O4824">
        <v>-4.4565029999999997E-3</v>
      </c>
      <c r="P4824">
        <v>-0.94854269999999996</v>
      </c>
      <c r="Q4824">
        <v>0.30931760000000003</v>
      </c>
      <c r="R4824">
        <v>-6.7746089999999995E-2</v>
      </c>
      <c r="S4824">
        <v>-3.5001220000000002</v>
      </c>
      <c r="T4824">
        <v>-1.0114459999999901</v>
      </c>
      <c r="U4824">
        <v>0.1094666</v>
      </c>
      <c r="V4824">
        <v>-6.386058E-2</v>
      </c>
      <c r="W4824">
        <v>0.31679309999999899</v>
      </c>
      <c r="X4824">
        <v>0.94634240000000003</v>
      </c>
      <c r="Y4824">
        <v>3.410738E-2</v>
      </c>
      <c r="Z4824">
        <v>6.1937229999999999E-3</v>
      </c>
      <c r="AA4824">
        <v>0.99939900000000004</v>
      </c>
      <c r="AB4824">
        <v>44</v>
      </c>
      <c r="AC4824">
        <v>-0.459699999999998</v>
      </c>
      <c r="AD4824">
        <v>-0.20884059999999999</v>
      </c>
      <c r="AE4824">
        <v>2.4000000000000899E-2</v>
      </c>
      <c r="AF4824">
        <v>2.16022015045703E-2</v>
      </c>
      <c r="AG4824">
        <v>-0.20884059999999999</v>
      </c>
      <c r="AH4824">
        <v>0.38114018789729698</v>
      </c>
      <c r="AI4824">
        <v>118.681237902135</v>
      </c>
      <c r="AJ4824">
        <v>86.756069744137804</v>
      </c>
      <c r="AK4824">
        <v>0.43514238376489001</v>
      </c>
      <c r="AL4824">
        <v>71.530904214457095</v>
      </c>
      <c r="AM4824">
        <v>93.860550757439398</v>
      </c>
      <c r="AN4824">
        <v>0.99999998996165296</v>
      </c>
    </row>
    <row r="4825" spans="1:40" x14ac:dyDescent="0.25">
      <c r="A4825" t="str">
        <f>"20190304164222913"</f>
        <v>20190304164222913</v>
      </c>
      <c r="B4825" t="str">
        <f>"1551688942905771"</f>
        <v>1551688942905771</v>
      </c>
      <c r="C4825" t="s">
        <v>40</v>
      </c>
      <c r="D4825">
        <v>3.929033</v>
      </c>
      <c r="E4825">
        <v>0.55192479999999999</v>
      </c>
      <c r="F4825" t="s">
        <v>41</v>
      </c>
      <c r="G4825">
        <v>-261.80669999999998</v>
      </c>
      <c r="H4825">
        <v>0.866456</v>
      </c>
      <c r="I4825">
        <v>141.6704</v>
      </c>
      <c r="J4825">
        <v>-261.37180000000001</v>
      </c>
      <c r="K4825">
        <v>1.109664</v>
      </c>
      <c r="L4825">
        <v>141.64230000000001</v>
      </c>
      <c r="M4825">
        <v>-0.99995699999999998</v>
      </c>
      <c r="N4825">
        <v>-8.0027469999999993E-3</v>
      </c>
      <c r="O4825">
        <v>-4.6879479999999999E-3</v>
      </c>
      <c r="P4825">
        <v>-0.94847420000000005</v>
      </c>
      <c r="Q4825">
        <v>0.30948290000000001</v>
      </c>
      <c r="R4825">
        <v>-6.7948419999999995E-2</v>
      </c>
      <c r="S4825">
        <v>-3.50177</v>
      </c>
      <c r="T4825">
        <v>-1.0157590000000001</v>
      </c>
      <c r="U4825">
        <v>0.1084137</v>
      </c>
      <c r="V4825">
        <v>-6.3809790000000005E-2</v>
      </c>
      <c r="W4825">
        <v>0.31700440000000002</v>
      </c>
      <c r="X4825">
        <v>0.94627510000000004</v>
      </c>
      <c r="Y4825">
        <v>3.4007000000000003E-2</v>
      </c>
      <c r="Z4825">
        <v>6.2657729999999997E-3</v>
      </c>
      <c r="AA4825">
        <v>0.99940189999999995</v>
      </c>
      <c r="AB4825">
        <v>44</v>
      </c>
      <c r="AC4825">
        <v>-0.43489999999996998</v>
      </c>
      <c r="AD4825">
        <v>-0.24320800000000001</v>
      </c>
      <c r="AE4825">
        <v>2.80999999999949E-2</v>
      </c>
      <c r="AF4825">
        <v>2.2981346601633E-2</v>
      </c>
      <c r="AG4825">
        <v>-0.24320800000000001</v>
      </c>
      <c r="AH4825">
        <v>0.33151734185952803</v>
      </c>
      <c r="AI4825">
        <v>126.199067479428</v>
      </c>
      <c r="AJ4825">
        <v>86.034502952260397</v>
      </c>
      <c r="AK4825">
        <v>0.411803377243596</v>
      </c>
      <c r="AL4825">
        <v>71.518140337992804</v>
      </c>
      <c r="AM4825">
        <v>93.857763153380105</v>
      </c>
      <c r="AN4825">
        <v>1.0000000218995999</v>
      </c>
    </row>
    <row r="4826" spans="1:40" x14ac:dyDescent="0.25">
      <c r="A4826" t="str">
        <f>"20190304164222934"</f>
        <v>20190304164222934</v>
      </c>
      <c r="B4826" t="str">
        <f>"1551688942926267"</f>
        <v>1551688942926267</v>
      </c>
      <c r="C4826" t="s">
        <v>40</v>
      </c>
      <c r="D4826">
        <v>4.0461989999999997</v>
      </c>
      <c r="E4826">
        <v>0.551853699999999</v>
      </c>
      <c r="F4826" t="s">
        <v>41</v>
      </c>
      <c r="G4826">
        <v>-262.20179999999999</v>
      </c>
      <c r="H4826">
        <v>0.86807080000000003</v>
      </c>
      <c r="I4826">
        <v>141.6678</v>
      </c>
      <c r="J4826">
        <v>-261.79509999999999</v>
      </c>
      <c r="K4826">
        <v>1.1096189999999999</v>
      </c>
      <c r="L4826">
        <v>141.64019999999999</v>
      </c>
      <c r="M4826">
        <v>-0.99995579999999995</v>
      </c>
      <c r="N4826">
        <v>-8.0448610000000004E-3</v>
      </c>
      <c r="O4826">
        <v>-4.8771439999999999E-3</v>
      </c>
      <c r="P4826">
        <v>-0.94851929999999995</v>
      </c>
      <c r="Q4826">
        <v>0.3093978</v>
      </c>
      <c r="R4826">
        <v>-6.7709000000000005E-2</v>
      </c>
      <c r="S4826">
        <v>-3.503387</v>
      </c>
      <c r="T4826">
        <v>-1.0197000000000001</v>
      </c>
      <c r="U4826">
        <v>0.1077118</v>
      </c>
      <c r="V4826">
        <v>-6.3353080000000006E-2</v>
      </c>
      <c r="W4826">
        <v>0.31696679999999999</v>
      </c>
      <c r="X4826">
        <v>0.9463184</v>
      </c>
      <c r="Y4826">
        <v>3.3965170000000003E-2</v>
      </c>
      <c r="Z4826">
        <v>6.3328880000000001E-3</v>
      </c>
      <c r="AA4826">
        <v>0.99940289999999998</v>
      </c>
      <c r="AB4826">
        <v>44</v>
      </c>
      <c r="AC4826">
        <v>-0.40670000000000001</v>
      </c>
      <c r="AD4826">
        <v>-0.24154819999999999</v>
      </c>
      <c r="AE4826">
        <v>2.7600000000006699E-2</v>
      </c>
      <c r="AF4826">
        <v>2.1895261329844699E-2</v>
      </c>
      <c r="AG4826">
        <v>-0.24154819999999999</v>
      </c>
      <c r="AH4826">
        <v>0.30090484887622398</v>
      </c>
      <c r="AI4826">
        <v>128.681557991511</v>
      </c>
      <c r="AJ4826">
        <v>85.8382226242706</v>
      </c>
      <c r="AK4826">
        <v>0.38648242323444099</v>
      </c>
      <c r="AL4826">
        <v>71.520412136810293</v>
      </c>
      <c r="AM4826">
        <v>93.830059480281093</v>
      </c>
      <c r="AN4826">
        <v>1.0000000396131401</v>
      </c>
    </row>
    <row r="4827" spans="1:40" x14ac:dyDescent="0.25">
      <c r="A4827" t="str">
        <f>"20190304164222946"</f>
        <v>20190304164222946</v>
      </c>
      <c r="B4827" t="str">
        <f>"1551688942936027"</f>
        <v>1551688942936027</v>
      </c>
      <c r="C4827" t="s">
        <v>40</v>
      </c>
      <c r="D4827">
        <v>3.955819</v>
      </c>
      <c r="E4827">
        <v>0.55192719999999995</v>
      </c>
      <c r="F4827" t="s">
        <v>41</v>
      </c>
      <c r="G4827">
        <v>-262.59949999999998</v>
      </c>
      <c r="H4827">
        <v>0.87407659999999998</v>
      </c>
      <c r="I4827">
        <v>141.66470000000001</v>
      </c>
      <c r="J4827">
        <v>-262.04860000000002</v>
      </c>
      <c r="K4827">
        <v>1.1095889999999999</v>
      </c>
      <c r="L4827">
        <v>141.63890000000001</v>
      </c>
      <c r="M4827">
        <v>-0.99995509999999999</v>
      </c>
      <c r="N4827">
        <v>-8.0691689999999993E-3</v>
      </c>
      <c r="O4827">
        <v>-4.9675320000000002E-3</v>
      </c>
      <c r="P4827">
        <v>-0.94851929999999995</v>
      </c>
      <c r="Q4827">
        <v>0.3093979</v>
      </c>
      <c r="R4827">
        <v>-6.7707749999999997E-2</v>
      </c>
      <c r="S4827">
        <v>-3.5052490000000001</v>
      </c>
      <c r="T4827">
        <v>-1.0263819999999999</v>
      </c>
      <c r="U4827">
        <v>0.1062927</v>
      </c>
      <c r="V4827">
        <v>-6.3243250000000001E-2</v>
      </c>
      <c r="W4827">
        <v>0.31699519999999998</v>
      </c>
      <c r="X4827">
        <v>0.94631620000000005</v>
      </c>
      <c r="Y4827">
        <v>3.3626650000000001E-2</v>
      </c>
      <c r="Z4827">
        <v>6.3445439999999997E-3</v>
      </c>
      <c r="AA4827">
        <v>0.99941429999999998</v>
      </c>
      <c r="AB4827">
        <v>44</v>
      </c>
      <c r="AC4827">
        <v>-0.55089999999995598</v>
      </c>
      <c r="AD4827">
        <v>-0.23551240000000001</v>
      </c>
      <c r="AE4827">
        <v>2.5800000000003799E-2</v>
      </c>
      <c r="AF4827">
        <v>2.4135098103056599E-2</v>
      </c>
      <c r="AG4827">
        <v>-0.23551240000000001</v>
      </c>
      <c r="AH4827">
        <v>0.46581823777873599</v>
      </c>
      <c r="AI4827">
        <v>116.78972852937</v>
      </c>
      <c r="AJ4827">
        <v>87.034028037051399</v>
      </c>
      <c r="AK4827">
        <v>0.52252772573471296</v>
      </c>
      <c r="AL4827">
        <v>71.518695856084705</v>
      </c>
      <c r="AM4827">
        <v>93.823448196486595</v>
      </c>
      <c r="AN4827">
        <v>1.00000000793802</v>
      </c>
    </row>
    <row r="4828" spans="1:40" x14ac:dyDescent="0.25">
      <c r="A4828" t="str">
        <f>"20190304164222960"</f>
        <v>20190304164222960</v>
      </c>
      <c r="B4828" t="str">
        <f>"1551688942955547"</f>
        <v>1551688942955547</v>
      </c>
      <c r="C4828" t="s">
        <v>40</v>
      </c>
      <c r="D4828">
        <v>3.9537659999999999</v>
      </c>
      <c r="E4828">
        <v>0.55193309999999995</v>
      </c>
      <c r="F4828" t="s">
        <v>41</v>
      </c>
      <c r="G4828">
        <v>-262.97989999999999</v>
      </c>
      <c r="H4828">
        <v>0.83665159999999905</v>
      </c>
      <c r="I4828">
        <v>141.66759999999999</v>
      </c>
      <c r="J4828">
        <v>-262.32040000000001</v>
      </c>
      <c r="K4828">
        <v>1.109559</v>
      </c>
      <c r="L4828">
        <v>141.63749999999999</v>
      </c>
      <c r="M4828">
        <v>-0.99995449999999997</v>
      </c>
      <c r="N4828">
        <v>-8.0944119999999901E-3</v>
      </c>
      <c r="O4828">
        <v>-5.047892E-3</v>
      </c>
      <c r="P4828">
        <v>-0.94853609999999999</v>
      </c>
      <c r="Q4828">
        <v>0.30945660000000003</v>
      </c>
      <c r="R4828">
        <v>-6.7201250000000004E-2</v>
      </c>
      <c r="S4828">
        <v>-3.505585</v>
      </c>
      <c r="T4828">
        <v>-1.0273479999999999</v>
      </c>
      <c r="U4828">
        <v>0.1073303</v>
      </c>
      <c r="V4828">
        <v>-6.2636629999999999E-2</v>
      </c>
      <c r="W4828">
        <v>0.317083</v>
      </c>
      <c r="X4828">
        <v>0.94632709999999998</v>
      </c>
      <c r="Y4828">
        <v>3.3978410000000001E-2</v>
      </c>
      <c r="Z4828">
        <v>6.4242489999999999E-3</v>
      </c>
      <c r="AA4828">
        <v>0.99940189999999995</v>
      </c>
      <c r="AB4828">
        <v>44</v>
      </c>
      <c r="AC4828">
        <v>-0.65949999999997999</v>
      </c>
      <c r="AD4828">
        <v>-0.27290740000000002</v>
      </c>
      <c r="AE4828">
        <v>3.0100000000004401E-2</v>
      </c>
      <c r="AF4828">
        <v>2.85501009372248E-2</v>
      </c>
      <c r="AG4828">
        <v>-0.27290740000000002</v>
      </c>
      <c r="AH4828">
        <v>0.56311347590993699</v>
      </c>
      <c r="AI4828">
        <v>115.827838923729</v>
      </c>
      <c r="AJ4828">
        <v>87.097564009724806</v>
      </c>
      <c r="AK4828">
        <v>0.62641068317012005</v>
      </c>
      <c r="AL4828">
        <v>71.513391087404898</v>
      </c>
      <c r="AM4828">
        <v>93.786837973968403</v>
      </c>
      <c r="AN4828">
        <v>0.99999997825058295</v>
      </c>
    </row>
    <row r="4829" spans="1:40" x14ac:dyDescent="0.25">
      <c r="A4829" t="str">
        <f>"20190304164222977"</f>
        <v>20190304164222977</v>
      </c>
      <c r="B4829" t="str">
        <f>"1551688942966283"</f>
        <v>1551688942966283</v>
      </c>
      <c r="C4829" t="s">
        <v>40</v>
      </c>
      <c r="D4829">
        <v>3.9635340000000001</v>
      </c>
      <c r="E4829">
        <v>0.55199240000000005</v>
      </c>
      <c r="F4829" t="s">
        <v>41</v>
      </c>
      <c r="G4829">
        <v>-263.00959999999998</v>
      </c>
      <c r="H4829">
        <v>0.90701379999999998</v>
      </c>
      <c r="I4829">
        <v>141.65899999999999</v>
      </c>
      <c r="J4829">
        <v>-262.65249999999997</v>
      </c>
      <c r="K4829">
        <v>1.109523</v>
      </c>
      <c r="L4829">
        <v>141.63579999999999</v>
      </c>
      <c r="M4829">
        <v>-0.99995389999999995</v>
      </c>
      <c r="N4829">
        <v>-8.1234930000000007E-3</v>
      </c>
      <c r="O4829">
        <v>-5.1207120000000004E-3</v>
      </c>
      <c r="P4829">
        <v>-0.94851980000000002</v>
      </c>
      <c r="Q4829">
        <v>0.30958819999999998</v>
      </c>
      <c r="R4829">
        <v>-6.6825919999999997E-2</v>
      </c>
      <c r="S4829">
        <v>-3.5066830000000002</v>
      </c>
      <c r="T4829">
        <v>-1.030597</v>
      </c>
      <c r="U4829">
        <v>0.1085815</v>
      </c>
      <c r="V4829">
        <v>-6.2164179999999999E-2</v>
      </c>
      <c r="W4829">
        <v>0.31724760000000002</v>
      </c>
      <c r="X4829">
        <v>0.94630309999999995</v>
      </c>
      <c r="Y4829">
        <v>3.4368650000000001E-2</v>
      </c>
      <c r="Z4829">
        <v>6.5200220000000003E-3</v>
      </c>
      <c r="AA4829">
        <v>0.99938800000000005</v>
      </c>
      <c r="AB4829">
        <v>44</v>
      </c>
      <c r="AC4829">
        <v>-0.35710000000000203</v>
      </c>
      <c r="AD4829">
        <v>-0.202509199999999</v>
      </c>
      <c r="AE4829">
        <v>2.3200000000002701E-2</v>
      </c>
      <c r="AF4829">
        <v>1.8957380639927201E-2</v>
      </c>
      <c r="AG4829">
        <v>-0.202509199999999</v>
      </c>
      <c r="AH4829">
        <v>0.270386833078754</v>
      </c>
      <c r="AI4829">
        <v>126.764399569384</v>
      </c>
      <c r="AJ4829">
        <v>85.989437266157296</v>
      </c>
      <c r="AK4829">
        <v>0.33834656473462998</v>
      </c>
      <c r="AL4829">
        <v>71.503447024815401</v>
      </c>
      <c r="AM4829">
        <v>93.758452168203306</v>
      </c>
      <c r="AN4829">
        <v>0.99999999102522097</v>
      </c>
    </row>
    <row r="4830" spans="1:40" x14ac:dyDescent="0.25">
      <c r="A4830" t="str">
        <f>"20190304164222991"</f>
        <v>20190304164222991</v>
      </c>
      <c r="B4830" t="str">
        <f>"1551688942985803"</f>
        <v>1551688942985803</v>
      </c>
      <c r="C4830" t="s">
        <v>40</v>
      </c>
      <c r="D4830">
        <v>3.9468999999999999</v>
      </c>
      <c r="E4830">
        <v>0.5520794</v>
      </c>
      <c r="F4830" t="s">
        <v>41</v>
      </c>
      <c r="G4830">
        <v>-263.39859999999999</v>
      </c>
      <c r="H4830">
        <v>0.89016459999999997</v>
      </c>
      <c r="I4830">
        <v>141.65969999999999</v>
      </c>
      <c r="J4830">
        <v>-262.93130000000002</v>
      </c>
      <c r="K4830">
        <v>1.109494</v>
      </c>
      <c r="L4830">
        <v>141.6344</v>
      </c>
      <c r="M4830">
        <v>-0.99995339999999999</v>
      </c>
      <c r="N4830">
        <v>-8.1468229999999992E-3</v>
      </c>
      <c r="O4830">
        <v>-5.1679630000000002E-3</v>
      </c>
      <c r="P4830">
        <v>-0.94852979999999998</v>
      </c>
      <c r="Q4830">
        <v>0.30958930000000001</v>
      </c>
      <c r="R4830">
        <v>-6.6675150000000002E-2</v>
      </c>
      <c r="S4830">
        <v>-3.5071720000000002</v>
      </c>
      <c r="T4830">
        <v>-1.031037</v>
      </c>
      <c r="U4830">
        <v>0.1110535</v>
      </c>
      <c r="V4830">
        <v>-6.1947889999999999E-2</v>
      </c>
      <c r="W4830">
        <v>0.31727480000000002</v>
      </c>
      <c r="X4830">
        <v>0.94630820000000004</v>
      </c>
      <c r="Y4830">
        <v>3.5081380000000002E-2</v>
      </c>
      <c r="Z4830">
        <v>6.6407799999999998E-3</v>
      </c>
      <c r="AA4830">
        <v>0.99936239999999998</v>
      </c>
      <c r="AB4830">
        <v>44</v>
      </c>
      <c r="AC4830">
        <v>-0.46729999999996602</v>
      </c>
      <c r="AD4830">
        <v>-0.21932939999999901</v>
      </c>
      <c r="AE4830">
        <v>2.5299999999987201E-2</v>
      </c>
      <c r="AF4830">
        <v>2.2723514184377701E-2</v>
      </c>
      <c r="AG4830">
        <v>-0.21932939999999901</v>
      </c>
      <c r="AH4830">
        <v>0.38303041732535598</v>
      </c>
      <c r="AI4830">
        <v>119.752765575257</v>
      </c>
      <c r="AJ4830">
        <v>86.6048721276767</v>
      </c>
      <c r="AK4830">
        <v>0.44196611227297</v>
      </c>
      <c r="AL4830">
        <v>71.501804324892902</v>
      </c>
      <c r="AM4830">
        <v>93.745392412966595</v>
      </c>
      <c r="AN4830">
        <v>1.0000000245888601</v>
      </c>
    </row>
    <row r="4831" spans="1:40" x14ac:dyDescent="0.25">
      <c r="A4831" t="str">
        <f>"20190304164223005"</f>
        <v>20190304164223005</v>
      </c>
      <c r="B4831" t="str">
        <f>"1551688942995563"</f>
        <v>1551688942995563</v>
      </c>
      <c r="C4831" t="s">
        <v>40</v>
      </c>
      <c r="D4831">
        <v>3.9494180000000001</v>
      </c>
      <c r="E4831">
        <v>0.55212669999999997</v>
      </c>
      <c r="F4831" t="s">
        <v>41</v>
      </c>
      <c r="G4831">
        <v>-263.78219999999999</v>
      </c>
      <c r="H4831">
        <v>0.85896170000000005</v>
      </c>
      <c r="I4831">
        <v>141.6619</v>
      </c>
      <c r="J4831">
        <v>-263.19670000000002</v>
      </c>
      <c r="K4831">
        <v>1.1094649999999999</v>
      </c>
      <c r="L4831">
        <v>141.63299999999899</v>
      </c>
      <c r="M4831">
        <v>-0.99995319999999999</v>
      </c>
      <c r="N4831">
        <v>-8.1683109999999993E-3</v>
      </c>
      <c r="O4831">
        <v>-5.2049870000000003E-3</v>
      </c>
      <c r="P4831">
        <v>-0.948438</v>
      </c>
      <c r="Q4831">
        <v>0.30993209999999999</v>
      </c>
      <c r="R4831">
        <v>-6.6389770000000001E-2</v>
      </c>
      <c r="S4831">
        <v>-3.5078740000000002</v>
      </c>
      <c r="T4831">
        <v>-1.0328189999999999</v>
      </c>
      <c r="U4831">
        <v>0.1134796</v>
      </c>
      <c r="V4831">
        <v>-6.1608709999999997E-2</v>
      </c>
      <c r="W4831">
        <v>0.31764150000000002</v>
      </c>
      <c r="X4831">
        <v>0.94620729999999997</v>
      </c>
      <c r="Y4831">
        <v>3.5765980000000003E-2</v>
      </c>
      <c r="Z4831">
        <v>6.7624809999999999E-3</v>
      </c>
      <c r="AA4831">
        <v>0.99933729999999998</v>
      </c>
      <c r="AB4831">
        <v>44</v>
      </c>
      <c r="AC4831">
        <v>-0.58549999999996705</v>
      </c>
      <c r="AD4831">
        <v>-0.25050329999999899</v>
      </c>
      <c r="AE4831">
        <v>2.8900000000021402E-2</v>
      </c>
      <c r="AF4831">
        <v>2.70142511888442E-2</v>
      </c>
      <c r="AG4831">
        <v>-0.25050329999999899</v>
      </c>
      <c r="AH4831">
        <v>0.49495891213751098</v>
      </c>
      <c r="AI4831">
        <v>116.81007841248</v>
      </c>
      <c r="AJ4831">
        <v>86.875966072821598</v>
      </c>
      <c r="AK4831">
        <v>0.55539715319988103</v>
      </c>
      <c r="AL4831">
        <v>71.479647485937406</v>
      </c>
      <c r="AM4831">
        <v>93.725339452724299</v>
      </c>
      <c r="AN4831">
        <v>1.0000000051217</v>
      </c>
    </row>
    <row r="4832" spans="1:40" x14ac:dyDescent="0.25">
      <c r="A4832" t="str">
        <f>"20190304164223018"</f>
        <v>20190304164223018</v>
      </c>
      <c r="B4832" t="str">
        <f>"1551688943006299"</f>
        <v>1551688943006299</v>
      </c>
      <c r="C4832" t="s">
        <v>40</v>
      </c>
      <c r="D4832">
        <v>3.9967480000000002</v>
      </c>
      <c r="E4832">
        <v>0.55213380000000001</v>
      </c>
      <c r="F4832" t="s">
        <v>41</v>
      </c>
      <c r="G4832">
        <v>-264.166</v>
      </c>
      <c r="H4832">
        <v>0.82442380000000004</v>
      </c>
      <c r="I4832">
        <v>141.6651</v>
      </c>
      <c r="J4832">
        <v>-263.45479999999998</v>
      </c>
      <c r="K4832">
        <v>1.109445</v>
      </c>
      <c r="L4832">
        <v>141.63159999999999</v>
      </c>
      <c r="M4832">
        <v>-0.99995290000000003</v>
      </c>
      <c r="N4832">
        <v>-8.1882699999999992E-3</v>
      </c>
      <c r="O4832">
        <v>-5.2317889999999997E-3</v>
      </c>
      <c r="P4832">
        <v>-0.9486078</v>
      </c>
      <c r="Q4832">
        <v>0.309477</v>
      </c>
      <c r="R4832">
        <v>-6.6088519999999998E-2</v>
      </c>
      <c r="S4832">
        <v>-3.5083310000000001</v>
      </c>
      <c r="T4832">
        <v>-1.0317529999999999</v>
      </c>
      <c r="U4832">
        <v>0.11517330000000001</v>
      </c>
      <c r="V4832">
        <v>-6.1264310000000002E-2</v>
      </c>
      <c r="W4832">
        <v>0.31720959999999998</v>
      </c>
      <c r="X4832">
        <v>0.94637450000000001</v>
      </c>
      <c r="Y4832">
        <v>3.6252199999999998E-2</v>
      </c>
      <c r="Z4832">
        <v>6.8347989999999999E-3</v>
      </c>
      <c r="AA4832">
        <v>0.99931930000000002</v>
      </c>
      <c r="AB4832">
        <v>44</v>
      </c>
      <c r="AC4832">
        <v>-0.71120000000001904</v>
      </c>
      <c r="AD4832">
        <v>-0.28502119999999898</v>
      </c>
      <c r="AE4832">
        <v>3.3500000000003603E-2</v>
      </c>
      <c r="AF4832">
        <v>3.2079631564557801E-2</v>
      </c>
      <c r="AG4832">
        <v>-0.28502119999999898</v>
      </c>
      <c r="AH4832">
        <v>0.612809887132857</v>
      </c>
      <c r="AI4832">
        <v>114.913428597882</v>
      </c>
      <c r="AJ4832">
        <v>87.003391524972997</v>
      </c>
      <c r="AK4832">
        <v>0.676610778053781</v>
      </c>
      <c r="AL4832">
        <v>71.505742445246696</v>
      </c>
      <c r="AM4832">
        <v>93.703919836299903</v>
      </c>
      <c r="AN4832">
        <v>0.99999997013109199</v>
      </c>
    </row>
    <row r="4833" spans="1:40" x14ac:dyDescent="0.25">
      <c r="A4833" t="str">
        <f>"20190304164223033"</f>
        <v>20190304164223033</v>
      </c>
      <c r="B4833" t="str">
        <f>"1551688943025819"</f>
        <v>1551688943025819</v>
      </c>
      <c r="C4833" t="s">
        <v>40</v>
      </c>
      <c r="D4833">
        <v>4.0928290000000001</v>
      </c>
      <c r="E4833">
        <v>0.54929419999999995</v>
      </c>
      <c r="F4833" t="s">
        <v>41</v>
      </c>
      <c r="G4833">
        <v>-264.1936</v>
      </c>
      <c r="H4833">
        <v>0.8914164</v>
      </c>
      <c r="I4833">
        <v>141.65639999999999</v>
      </c>
      <c r="J4833">
        <v>-263.77319999999997</v>
      </c>
      <c r="K4833">
        <v>1.1094219999999999</v>
      </c>
      <c r="L4833">
        <v>141.63</v>
      </c>
      <c r="M4833">
        <v>-0.99995270000000003</v>
      </c>
      <c r="N4833">
        <v>-8.2117590000000008E-3</v>
      </c>
      <c r="O4833">
        <v>-5.2566779999999999E-3</v>
      </c>
      <c r="P4833">
        <v>-0.94874820000000004</v>
      </c>
      <c r="Q4833">
        <v>0.30913079999999998</v>
      </c>
      <c r="R4833">
        <v>-6.5694119999999995E-2</v>
      </c>
      <c r="S4833">
        <v>-3.5084230000000001</v>
      </c>
      <c r="T4833">
        <v>-1.0353870000000001</v>
      </c>
      <c r="U4833">
        <v>0.1163177</v>
      </c>
      <c r="V4833">
        <v>-6.082709E-2</v>
      </c>
      <c r="W4833">
        <v>0.31689030000000001</v>
      </c>
      <c r="X4833">
        <v>0.94650970000000001</v>
      </c>
      <c r="Y4833">
        <v>3.6574479999999999E-2</v>
      </c>
      <c r="Z4833">
        <v>6.9125469999999998E-3</v>
      </c>
      <c r="AA4833">
        <v>0.99930699999999995</v>
      </c>
      <c r="AB4833">
        <v>44</v>
      </c>
      <c r="AC4833">
        <v>-0.42040000000002897</v>
      </c>
      <c r="AD4833">
        <v>-0.21800559999999899</v>
      </c>
      <c r="AE4833">
        <v>2.6399999999995299E-2</v>
      </c>
      <c r="AF4833">
        <v>2.2565360224861001E-2</v>
      </c>
      <c r="AG4833">
        <v>-0.21800559999999899</v>
      </c>
      <c r="AH4833">
        <v>0.33146947875806199</v>
      </c>
      <c r="AI4833">
        <v>123.27190802530301</v>
      </c>
      <c r="AJ4833">
        <v>86.105499201559297</v>
      </c>
      <c r="AK4833">
        <v>0.39737595858529101</v>
      </c>
      <c r="AL4833">
        <v>71.525032828356601</v>
      </c>
      <c r="AM4833">
        <v>93.677035310322694</v>
      </c>
      <c r="AN4833">
        <v>1.00000000465302</v>
      </c>
    </row>
    <row r="4834" spans="1:40" x14ac:dyDescent="0.25">
      <c r="A4834" t="str">
        <f>"20190304164223048"</f>
        <v>20190304164223048</v>
      </c>
      <c r="B4834" t="str">
        <f>"1551688943046315"</f>
        <v>1551688943046315</v>
      </c>
      <c r="C4834" t="s">
        <v>40</v>
      </c>
      <c r="D4834">
        <v>4.0826229999999999</v>
      </c>
      <c r="E4834">
        <v>0.54914169999999995</v>
      </c>
      <c r="F4834" t="s">
        <v>41</v>
      </c>
      <c r="G4834">
        <v>-264.57490000000001</v>
      </c>
      <c r="H4834">
        <v>0.850935199999999</v>
      </c>
      <c r="I4834">
        <v>141.65020000000001</v>
      </c>
      <c r="J4834">
        <v>-264.0532</v>
      </c>
      <c r="K4834">
        <v>1.1094109999999999</v>
      </c>
      <c r="L4834">
        <v>141.6285</v>
      </c>
      <c r="M4834">
        <v>-0.99995210000000001</v>
      </c>
      <c r="N4834">
        <v>-8.23167E-3</v>
      </c>
      <c r="O4834">
        <v>-5.2731399999999999E-3</v>
      </c>
      <c r="P4834">
        <v>-0.94865330000000003</v>
      </c>
      <c r="Q4834">
        <v>0.30948900000000001</v>
      </c>
      <c r="R4834">
        <v>-6.5371100000000001E-2</v>
      </c>
      <c r="S4834">
        <v>-3.5400700000000001</v>
      </c>
      <c r="T4834">
        <v>-1.1413089999999999</v>
      </c>
      <c r="U4834">
        <v>8.8485720000000004E-2</v>
      </c>
      <c r="V4834">
        <v>-6.0475099999999997E-2</v>
      </c>
      <c r="W4834">
        <v>0.31726969999999999</v>
      </c>
      <c r="X4834">
        <v>0.9464051</v>
      </c>
      <c r="Y4834">
        <v>2.852174E-2</v>
      </c>
      <c r="Z4834">
        <v>6.2192219999999999E-3</v>
      </c>
      <c r="AA4834">
        <v>0.99957379999999996</v>
      </c>
      <c r="AB4834">
        <v>44</v>
      </c>
      <c r="AC4834">
        <v>-0.52170000000000905</v>
      </c>
      <c r="AD4834">
        <v>-0.25847579999999998</v>
      </c>
      <c r="AE4834">
        <v>2.1700000000009802E-2</v>
      </c>
      <c r="AF4834">
        <v>1.9638464535501401E-2</v>
      </c>
      <c r="AG4834">
        <v>-0.25847579999999998</v>
      </c>
      <c r="AH4834">
        <v>0.41892297496651398</v>
      </c>
      <c r="AI4834">
        <v>121.64652190829101</v>
      </c>
      <c r="AJ4834">
        <v>87.316026948496201</v>
      </c>
      <c r="AK4834">
        <v>0.492637663429976</v>
      </c>
      <c r="AL4834">
        <v>71.502111153192899</v>
      </c>
      <c r="AM4834">
        <v>93.656218125736203</v>
      </c>
      <c r="AN4834">
        <v>0.999999956782054</v>
      </c>
    </row>
    <row r="4835" spans="1:40" x14ac:dyDescent="0.25">
      <c r="A4835" t="str">
        <f>"20190304164223067"</f>
        <v>20190304164223067</v>
      </c>
      <c r="B4835" t="str">
        <f>"1551688943056075"</f>
        <v>1551688943056075</v>
      </c>
      <c r="C4835" t="s">
        <v>40</v>
      </c>
      <c r="D4835">
        <v>4.0258200000000004</v>
      </c>
      <c r="E4835">
        <v>0.54969369999999995</v>
      </c>
      <c r="F4835" t="s">
        <v>41</v>
      </c>
      <c r="G4835">
        <v>-264.95960000000002</v>
      </c>
      <c r="H4835">
        <v>0.81613559999999996</v>
      </c>
      <c r="I4835">
        <v>141.65110000000001</v>
      </c>
      <c r="J4835">
        <v>-264.43799999999999</v>
      </c>
      <c r="K4835">
        <v>1.109391</v>
      </c>
      <c r="L4835">
        <v>141.62639999999999</v>
      </c>
      <c r="M4835">
        <v>-0.9999519</v>
      </c>
      <c r="N4835">
        <v>-8.2578689999999993E-3</v>
      </c>
      <c r="O4835">
        <v>-5.2894719999999999E-3</v>
      </c>
      <c r="P4835">
        <v>-0.94880059999999999</v>
      </c>
      <c r="Q4835">
        <v>0.30911519999999998</v>
      </c>
      <c r="R4835">
        <v>-6.5003480000000002E-2</v>
      </c>
      <c r="S4835">
        <v>-3.542297</v>
      </c>
      <c r="T4835">
        <v>-1.1460889999999999</v>
      </c>
      <c r="U4835">
        <v>8.7402339999999995E-2</v>
      </c>
      <c r="V4835">
        <v>-6.0073990000000001E-2</v>
      </c>
      <c r="W4835">
        <v>0.31692510000000002</v>
      </c>
      <c r="X4835">
        <v>0.94654609999999995</v>
      </c>
      <c r="Y4835">
        <v>2.821978E-2</v>
      </c>
      <c r="Z4835">
        <v>6.1964169999999897E-3</v>
      </c>
      <c r="AA4835">
        <v>0.99958250000000004</v>
      </c>
      <c r="AB4835">
        <v>45</v>
      </c>
      <c r="AC4835">
        <v>-0.52160000000003404</v>
      </c>
      <c r="AD4835">
        <v>-0.2932554</v>
      </c>
      <c r="AE4835">
        <v>2.4700000000024099E-2</v>
      </c>
      <c r="AF4835">
        <v>2.0875022050061198E-2</v>
      </c>
      <c r="AG4835">
        <v>-0.2932554</v>
      </c>
      <c r="AH4835">
        <v>0.39643235218193301</v>
      </c>
      <c r="AI4835">
        <v>126.453758867224</v>
      </c>
      <c r="AJ4835">
        <v>86.985747941381504</v>
      </c>
      <c r="AK4835">
        <v>0.493551523177926</v>
      </c>
      <c r="AL4835">
        <v>71.522929748671899</v>
      </c>
      <c r="AM4835">
        <v>93.631493260692693</v>
      </c>
      <c r="AN4835">
        <v>0.99999996135486902</v>
      </c>
    </row>
    <row r="4836" spans="1:40" x14ac:dyDescent="0.25">
      <c r="A4836" t="str">
        <f>"20190304164223080"</f>
        <v>20190304164223080</v>
      </c>
      <c r="B4836" t="str">
        <f>"1551688943075595"</f>
        <v>1551688943075595</v>
      </c>
      <c r="C4836" t="s">
        <v>40</v>
      </c>
      <c r="D4836">
        <v>4.0872409999999997</v>
      </c>
      <c r="E4836">
        <v>0.54840869999999997</v>
      </c>
      <c r="F4836" t="s">
        <v>41</v>
      </c>
      <c r="G4836">
        <v>-265.35789999999997</v>
      </c>
      <c r="H4836">
        <v>0.81345419999999902</v>
      </c>
      <c r="I4836">
        <v>141.6506</v>
      </c>
      <c r="J4836">
        <v>-264.7047</v>
      </c>
      <c r="K4836">
        <v>1.109381</v>
      </c>
      <c r="L4836">
        <v>141.625</v>
      </c>
      <c r="M4836">
        <v>-0.9999517</v>
      </c>
      <c r="N4836">
        <v>-8.2753319999999998E-3</v>
      </c>
      <c r="O4836">
        <v>-5.298105E-3</v>
      </c>
      <c r="P4836">
        <v>-0.94885240000000004</v>
      </c>
      <c r="Q4836">
        <v>0.30898569999999997</v>
      </c>
      <c r="R4836">
        <v>-6.4861760000000004E-2</v>
      </c>
      <c r="S4836">
        <v>-3.539215</v>
      </c>
      <c r="T4836">
        <v>-1.138577</v>
      </c>
      <c r="U4836">
        <v>9.2926030000000007E-2</v>
      </c>
      <c r="V4836">
        <v>-5.991291E-2</v>
      </c>
      <c r="W4836">
        <v>0.31681479999999901</v>
      </c>
      <c r="X4836">
        <v>0.94659329999999997</v>
      </c>
      <c r="Y4836">
        <v>2.9748380000000001E-2</v>
      </c>
      <c r="Z4836">
        <v>6.4122010000000002E-3</v>
      </c>
      <c r="AA4836">
        <v>0.99953689999999995</v>
      </c>
      <c r="AB4836">
        <v>45</v>
      </c>
      <c r="AC4836">
        <v>-0.65319999999996903</v>
      </c>
      <c r="AD4836">
        <v>-0.29592679999999999</v>
      </c>
      <c r="AE4836">
        <v>2.5599999999997101E-2</v>
      </c>
      <c r="AF4836">
        <v>2.4117944012212698E-2</v>
      </c>
      <c r="AG4836">
        <v>-0.29592679999999999</v>
      </c>
      <c r="AH4836">
        <v>0.54198512406469501</v>
      </c>
      <c r="AI4836">
        <v>118.610947693675</v>
      </c>
      <c r="AJ4836">
        <v>87.452060374542896</v>
      </c>
      <c r="AK4836">
        <v>0.61798237910885401</v>
      </c>
      <c r="AL4836">
        <v>71.529594045608604</v>
      </c>
      <c r="AM4836">
        <v>93.621601759906696</v>
      </c>
      <c r="AN4836">
        <v>1.00000002494429</v>
      </c>
    </row>
    <row r="4837" spans="1:40" x14ac:dyDescent="0.25">
      <c r="A4837" t="str">
        <f>"20190304164223095"</f>
        <v>20190304164223095</v>
      </c>
      <c r="B4837" t="str">
        <f>"1551688943086332"</f>
        <v>1551688943086332</v>
      </c>
      <c r="C4837" t="s">
        <v>40</v>
      </c>
      <c r="D4837">
        <v>4.0481059999999998</v>
      </c>
      <c r="E4837">
        <v>0.53662140000000003</v>
      </c>
      <c r="F4837" t="s">
        <v>41</v>
      </c>
      <c r="G4837">
        <v>-265.39</v>
      </c>
      <c r="H4837">
        <v>0.89062509999999995</v>
      </c>
      <c r="I4837">
        <v>141.6414</v>
      </c>
      <c r="J4837">
        <v>-264.9803</v>
      </c>
      <c r="K4837">
        <v>1.1093679999999999</v>
      </c>
      <c r="L4837">
        <v>141.62350000000001</v>
      </c>
      <c r="M4837">
        <v>-0.9999517</v>
      </c>
      <c r="N4837">
        <v>-8.2925740000000005E-3</v>
      </c>
      <c r="O4837">
        <v>-5.3049619999999999E-3</v>
      </c>
      <c r="P4837">
        <v>-0.94881579999999999</v>
      </c>
      <c r="Q4837">
        <v>0.30907010000000001</v>
      </c>
      <c r="R4837">
        <v>-6.4994280000000001E-2</v>
      </c>
      <c r="S4837">
        <v>-3.5349729999999999</v>
      </c>
      <c r="T4837">
        <v>-1.1284719999999999</v>
      </c>
      <c r="U4837">
        <v>8.4411620000000007E-2</v>
      </c>
      <c r="V4837">
        <v>-6.0029909999999999E-2</v>
      </c>
      <c r="W4837">
        <v>0.31691750000000002</v>
      </c>
      <c r="X4837">
        <v>0.94655149999999999</v>
      </c>
      <c r="Y4837">
        <v>2.752052E-2</v>
      </c>
      <c r="Z4837">
        <v>6.0118289999999998E-3</v>
      </c>
      <c r="AA4837">
        <v>0.99960320000000003</v>
      </c>
      <c r="AB4837">
        <v>45</v>
      </c>
      <c r="AC4837">
        <v>-0.40969999999998602</v>
      </c>
      <c r="AD4837">
        <v>-0.21874289999999999</v>
      </c>
      <c r="AE4837">
        <v>1.78999999999973E-2</v>
      </c>
      <c r="AF4837">
        <v>1.5627095541559301E-2</v>
      </c>
      <c r="AG4837">
        <v>-0.21874289999999999</v>
      </c>
      <c r="AH4837">
        <v>0.31887422535612697</v>
      </c>
      <c r="AI4837">
        <v>124.417484119867</v>
      </c>
      <c r="AJ4837">
        <v>87.194345664648296</v>
      </c>
      <c r="AK4837">
        <v>0.387005728655204</v>
      </c>
      <c r="AL4837">
        <v>71.5233899289493</v>
      </c>
      <c r="AM4837">
        <v>93.628815085472397</v>
      </c>
      <c r="AN4837">
        <v>1.0000000170265499</v>
      </c>
    </row>
    <row r="4838" spans="1:40" x14ac:dyDescent="0.25">
      <c r="A4838" t="str">
        <f>"20190304164223109"</f>
        <v>20190304164223109</v>
      </c>
      <c r="B4838" t="str">
        <f>"1551688943096092"</f>
        <v>1551688943096092</v>
      </c>
      <c r="C4838" t="s">
        <v>40</v>
      </c>
      <c r="D4838">
        <v>4.0486829999999996</v>
      </c>
      <c r="E4838">
        <v>0.53575430000000002</v>
      </c>
      <c r="F4838" t="s">
        <v>41</v>
      </c>
      <c r="G4838">
        <v>-265.78710000000001</v>
      </c>
      <c r="H4838">
        <v>0.88219230000000004</v>
      </c>
      <c r="I4838">
        <v>141.62350000000001</v>
      </c>
      <c r="J4838">
        <v>-265.27069999999998</v>
      </c>
      <c r="K4838">
        <v>1.109356</v>
      </c>
      <c r="L4838">
        <v>141.62200000000001</v>
      </c>
      <c r="M4838">
        <v>-0.99995140000000005</v>
      </c>
      <c r="N4838">
        <v>-8.3102550000000008E-3</v>
      </c>
      <c r="O4838">
        <v>-5.3113469999999897E-3</v>
      </c>
      <c r="P4838">
        <v>-0.94877359999999999</v>
      </c>
      <c r="Q4838">
        <v>0.30912460000000003</v>
      </c>
      <c r="R4838">
        <v>-6.5351370000000006E-2</v>
      </c>
      <c r="S4838">
        <v>-3.4810789999999998</v>
      </c>
      <c r="T4838">
        <v>-0.98024849999999997</v>
      </c>
      <c r="U4838">
        <v>-1.052856E-3</v>
      </c>
      <c r="V4838">
        <v>-6.0371840000000003E-2</v>
      </c>
      <c r="W4838">
        <v>0.31698939999999998</v>
      </c>
      <c r="X4838">
        <v>0.94650570000000001</v>
      </c>
      <c r="Y4838">
        <v>4.6289879999999997E-3</v>
      </c>
      <c r="Z4838">
        <v>2.0827089999999999E-3</v>
      </c>
      <c r="AA4838">
        <v>0.99998710000000002</v>
      </c>
      <c r="AB4838">
        <v>45</v>
      </c>
      <c r="AC4838">
        <v>-0.51640000000003194</v>
      </c>
      <c r="AD4838">
        <v>-0.2271637</v>
      </c>
      <c r="AE4838">
        <v>1.4999999999929499E-3</v>
      </c>
      <c r="AF4838">
        <v>3.55493938116335E-3</v>
      </c>
      <c r="AG4838">
        <v>-0.2271637</v>
      </c>
      <c r="AH4838">
        <v>0.43266086710296298</v>
      </c>
      <c r="AI4838">
        <v>117.700415134922</v>
      </c>
      <c r="AJ4838">
        <v>89.529242288638599</v>
      </c>
      <c r="AK4838">
        <v>0.488683343397319</v>
      </c>
      <c r="AL4838">
        <v>71.5190468451881</v>
      </c>
      <c r="AM4838">
        <v>93.649605205392703</v>
      </c>
      <c r="AN4838">
        <v>1.00000003945491</v>
      </c>
    </row>
    <row r="4839" spans="1:40" x14ac:dyDescent="0.25">
      <c r="A4839" t="str">
        <f>"20190304164223125"</f>
        <v>20190304164223125</v>
      </c>
      <c r="B4839" t="str">
        <f>"1551688943115611"</f>
        <v>1551688943115611</v>
      </c>
      <c r="C4839" t="s">
        <v>40</v>
      </c>
      <c r="D4839">
        <v>4.0350449999999896</v>
      </c>
      <c r="E4839">
        <v>0.53523529999999997</v>
      </c>
      <c r="F4839" t="s">
        <v>41</v>
      </c>
      <c r="G4839">
        <v>-266.17669999999998</v>
      </c>
      <c r="H4839">
        <v>0.85648780000000002</v>
      </c>
      <c r="I4839">
        <v>141.62010000000001</v>
      </c>
      <c r="J4839">
        <v>-265.59559999999999</v>
      </c>
      <c r="K4839">
        <v>1.1093420000000001</v>
      </c>
      <c r="L4839">
        <v>141.62020000000001</v>
      </c>
      <c r="M4839">
        <v>-0.99995120000000004</v>
      </c>
      <c r="N4839">
        <v>-8.3293959999999993E-3</v>
      </c>
      <c r="O4839">
        <v>-5.3177340000000002E-3</v>
      </c>
      <c r="P4839">
        <v>-0.94870759999999998</v>
      </c>
      <c r="Q4839">
        <v>0.3092741</v>
      </c>
      <c r="R4839">
        <v>-6.5602430000000003E-2</v>
      </c>
      <c r="S4839">
        <v>-3.477722</v>
      </c>
      <c r="T4839">
        <v>-0.97074720000000003</v>
      </c>
      <c r="U4839">
        <v>-7.8125E-3</v>
      </c>
      <c r="V4839">
        <v>-6.0606989999999999E-2</v>
      </c>
      <c r="W4839">
        <v>0.31715850000000001</v>
      </c>
      <c r="X4839">
        <v>0.946434</v>
      </c>
      <c r="Y4839">
        <v>2.7709689999999999E-3</v>
      </c>
      <c r="Z4839">
        <v>1.804263E-3</v>
      </c>
      <c r="AA4839">
        <v>0.99999450000000001</v>
      </c>
      <c r="AB4839">
        <v>45</v>
      </c>
      <c r="AC4839">
        <v>-0.58109999999999196</v>
      </c>
      <c r="AD4839">
        <v>-0.25285419999999997</v>
      </c>
      <c r="AE4839">
        <v>-1.0000000000331901E-4</v>
      </c>
      <c r="AF4839">
        <v>2.5142078022097102E-3</v>
      </c>
      <c r="AG4839">
        <v>-0.25285419999999997</v>
      </c>
      <c r="AH4839">
        <v>0.48858452824290199</v>
      </c>
      <c r="AI4839">
        <v>117.36233798980599</v>
      </c>
      <c r="AJ4839">
        <v>89.705164171085997</v>
      </c>
      <c r="AK4839">
        <v>0.550142171567361</v>
      </c>
      <c r="AL4839">
        <v>71.508830605351207</v>
      </c>
      <c r="AM4839">
        <v>93.664058680121002</v>
      </c>
      <c r="AN4839">
        <v>1.00000001885755</v>
      </c>
    </row>
    <row r="4840" spans="1:40" x14ac:dyDescent="0.25">
      <c r="A4840" t="str">
        <f>"20190304164223145"</f>
        <v>20190304164223145</v>
      </c>
      <c r="B4840" t="str">
        <f>"1551688943136107"</f>
        <v>1551688943136107</v>
      </c>
      <c r="C4840" t="s">
        <v>40</v>
      </c>
      <c r="D4840">
        <v>4.0319760000000002</v>
      </c>
      <c r="E4840">
        <v>0.53496779999999999</v>
      </c>
      <c r="F4840" t="s">
        <v>41</v>
      </c>
      <c r="G4840">
        <v>-266.5711</v>
      </c>
      <c r="H4840">
        <v>0.84063509999999997</v>
      </c>
      <c r="I4840">
        <v>141.6173</v>
      </c>
      <c r="J4840">
        <v>-266.0009</v>
      </c>
      <c r="K4840">
        <v>1.109329</v>
      </c>
      <c r="L4840">
        <v>141.6181</v>
      </c>
      <c r="M4840">
        <v>-0.99995089999999998</v>
      </c>
      <c r="N4840">
        <v>-8.3522949999999992E-3</v>
      </c>
      <c r="O4840">
        <v>-5.3249589999999998E-3</v>
      </c>
      <c r="P4840">
        <v>-0.94868169999999996</v>
      </c>
      <c r="Q4840">
        <v>0.309309</v>
      </c>
      <c r="R4840">
        <v>-6.5812800000000005E-2</v>
      </c>
      <c r="S4840">
        <v>-3.4732970000000001</v>
      </c>
      <c r="T4840">
        <v>-0.95675860000000001</v>
      </c>
      <c r="U4840">
        <v>-1.145935E-2</v>
      </c>
      <c r="V4840">
        <v>-6.0799810000000003E-2</v>
      </c>
      <c r="W4840">
        <v>0.31721690000000002</v>
      </c>
      <c r="X4840">
        <v>0.94640210000000002</v>
      </c>
      <c r="Y4840">
        <v>1.7713780000000001E-3</v>
      </c>
      <c r="Z4840">
        <v>1.6433520000000001E-3</v>
      </c>
      <c r="AA4840">
        <v>0.99999709999999997</v>
      </c>
      <c r="AB4840">
        <v>45</v>
      </c>
      <c r="AC4840">
        <v>-0.57019999999999904</v>
      </c>
      <c r="AD4840">
        <v>-0.26869389999999899</v>
      </c>
      <c r="AE4840">
        <v>-7.9999999999813499E-4</v>
      </c>
      <c r="AF4840">
        <v>1.8300397365929599E-3</v>
      </c>
      <c r="AG4840">
        <v>-0.26869389999999899</v>
      </c>
      <c r="AH4840">
        <v>0.46658802486730899</v>
      </c>
      <c r="AI4840">
        <v>119.93614530925301</v>
      </c>
      <c r="AJ4840">
        <v>89.775277096721695</v>
      </c>
      <c r="AK4840">
        <v>0.53842747505325494</v>
      </c>
      <c r="AL4840">
        <v>71.505303067697497</v>
      </c>
      <c r="AM4840">
        <v>93.675807461978394</v>
      </c>
      <c r="AN4840">
        <v>1.0000000567130201</v>
      </c>
    </row>
    <row r="4841" spans="1:40" x14ac:dyDescent="0.25">
      <c r="A4841" t="str">
        <f>"20190304164223160"</f>
        <v>20190304164223160</v>
      </c>
      <c r="B4841" t="str">
        <f>"1551688943155627"</f>
        <v>1551688943155627</v>
      </c>
      <c r="C4841" t="s">
        <v>40</v>
      </c>
      <c r="D4841">
        <v>4.033792</v>
      </c>
      <c r="E4841">
        <v>0.534937</v>
      </c>
      <c r="F4841" t="s">
        <v>41</v>
      </c>
      <c r="G4841">
        <v>-266.97309999999999</v>
      </c>
      <c r="H4841">
        <v>0.84133670000000005</v>
      </c>
      <c r="I4841">
        <v>141.614</v>
      </c>
      <c r="J4841">
        <v>-266.29149999999998</v>
      </c>
      <c r="K4841">
        <v>1.109318</v>
      </c>
      <c r="L4841">
        <v>141.6165</v>
      </c>
      <c r="M4841">
        <v>-0.99995089999999998</v>
      </c>
      <c r="N4841">
        <v>-8.368169E-3</v>
      </c>
      <c r="O4841">
        <v>-5.3298240000000004E-3</v>
      </c>
      <c r="P4841">
        <v>-0.94867599999999996</v>
      </c>
      <c r="Q4841">
        <v>0.30923149999999999</v>
      </c>
      <c r="R4841">
        <v>-6.6256140000000005E-2</v>
      </c>
      <c r="S4841">
        <v>-3.4734189999999998</v>
      </c>
      <c r="T4841">
        <v>-0.95747380000000004</v>
      </c>
      <c r="U4841">
        <v>-1.502991E-2</v>
      </c>
      <c r="V4841">
        <v>-6.1232090000000003E-2</v>
      </c>
      <c r="W4841">
        <v>0.31715579999999999</v>
      </c>
      <c r="X4841">
        <v>0.94639470000000003</v>
      </c>
      <c r="Y4841">
        <v>7.8581300000000001E-4</v>
      </c>
      <c r="Z4841">
        <v>1.5081560000000001E-3</v>
      </c>
      <c r="AA4841">
        <v>0.99999859999999896</v>
      </c>
      <c r="AB4841">
        <v>45</v>
      </c>
      <c r="AC4841">
        <v>-0.68160000000000298</v>
      </c>
      <c r="AD4841">
        <v>-0.26798129999999998</v>
      </c>
      <c r="AE4841">
        <v>-2.4999999999977202E-3</v>
      </c>
      <c r="AF4841">
        <v>9.8128634052190499E-4</v>
      </c>
      <c r="AG4841">
        <v>-0.26798129999999998</v>
      </c>
      <c r="AH4841">
        <v>0.59034939422333998</v>
      </c>
      <c r="AI4841">
        <v>114.415015289458</v>
      </c>
      <c r="AJ4841">
        <v>89.904762307584306</v>
      </c>
      <c r="AK4841">
        <v>0.64832657459989695</v>
      </c>
      <c r="AL4841">
        <v>71.508994307767594</v>
      </c>
      <c r="AM4841">
        <v>93.701898500797796</v>
      </c>
      <c r="AN4841">
        <v>1.00000004925374</v>
      </c>
    </row>
    <row r="4842" spans="1:40" x14ac:dyDescent="0.25">
      <c r="A4842" t="str">
        <f>"20190304164223173"</f>
        <v>20190304164223173</v>
      </c>
      <c r="B4842" t="str">
        <f>"1551688943165387"</f>
        <v>1551688943165387</v>
      </c>
      <c r="C4842" t="s">
        <v>40</v>
      </c>
      <c r="D4842">
        <v>4.0301729999999996</v>
      </c>
      <c r="E4842">
        <v>0.53492410000000001</v>
      </c>
      <c r="F4842" t="s">
        <v>41</v>
      </c>
      <c r="G4842">
        <v>-267.00380000000001</v>
      </c>
      <c r="H4842">
        <v>0.91295839999999995</v>
      </c>
      <c r="I4842">
        <v>141.61320000000001</v>
      </c>
      <c r="J4842">
        <v>-266.56439999999998</v>
      </c>
      <c r="K4842">
        <v>1.10931</v>
      </c>
      <c r="L4842">
        <v>141.61500000000001</v>
      </c>
      <c r="M4842">
        <v>-0.99995060000000002</v>
      </c>
      <c r="N4842">
        <v>-8.3840679999999997E-3</v>
      </c>
      <c r="O4842">
        <v>-5.3342249999999997E-3</v>
      </c>
      <c r="P4842">
        <v>-0.94858520000000002</v>
      </c>
      <c r="Q4842">
        <v>0.30941950000000001</v>
      </c>
      <c r="R4842">
        <v>-6.6679459999999996E-2</v>
      </c>
      <c r="S4842">
        <v>-3.4731749999999999</v>
      </c>
      <c r="T4842">
        <v>-0.95740800000000004</v>
      </c>
      <c r="U4842">
        <v>-1.7089839999999999E-2</v>
      </c>
      <c r="V4842">
        <v>-6.1645980000000003E-2</v>
      </c>
      <c r="W4842">
        <v>0.31735930000000001</v>
      </c>
      <c r="X4842">
        <v>0.94629960000000002</v>
      </c>
      <c r="Y4842">
        <v>2.1851870000000001E-4</v>
      </c>
      <c r="Z4842">
        <v>1.430054E-3</v>
      </c>
      <c r="AA4842">
        <v>0.99999890000000002</v>
      </c>
      <c r="AB4842">
        <v>45</v>
      </c>
      <c r="AC4842">
        <v>-0.43940000000003399</v>
      </c>
      <c r="AD4842">
        <v>-0.19635159999999999</v>
      </c>
      <c r="AE4842">
        <v>-1.8000000000029099E-3</v>
      </c>
      <c r="AF4842">
        <v>4.5342514111732402E-4</v>
      </c>
      <c r="AG4842">
        <v>-0.19635159999999999</v>
      </c>
      <c r="AH4842">
        <v>0.36626615717202599</v>
      </c>
      <c r="AI4842">
        <v>118.195292777349</v>
      </c>
      <c r="AJ4842">
        <v>89.929069794926903</v>
      </c>
      <c r="AK4842">
        <v>0.41557797620480502</v>
      </c>
      <c r="AL4842">
        <v>71.496699329650198</v>
      </c>
      <c r="AM4842">
        <v>93.727224177722903</v>
      </c>
      <c r="AN4842">
        <v>1.0000000425533999</v>
      </c>
    </row>
    <row r="4843" spans="1:40" x14ac:dyDescent="0.25">
      <c r="A4843" t="str">
        <f>"20190304164223191"</f>
        <v>20190304164223191</v>
      </c>
      <c r="B4843" t="str">
        <f>"1551688943185883"</f>
        <v>1551688943185883</v>
      </c>
      <c r="C4843" t="s">
        <v>40</v>
      </c>
      <c r="D4843">
        <v>4.0606720000000003</v>
      </c>
      <c r="E4843">
        <v>0.53491309999999903</v>
      </c>
      <c r="F4843" t="s">
        <v>41</v>
      </c>
      <c r="G4843">
        <v>-267.39249999999998</v>
      </c>
      <c r="H4843">
        <v>0.88110379999999999</v>
      </c>
      <c r="I4843">
        <v>141.61080000000001</v>
      </c>
      <c r="J4843">
        <v>-266.92320000000001</v>
      </c>
      <c r="K4843">
        <v>1.1093010000000001</v>
      </c>
      <c r="L4843">
        <v>141.6131</v>
      </c>
      <c r="M4843">
        <v>-0.99995049999999996</v>
      </c>
      <c r="N4843">
        <v>-8.4060719999999901E-3</v>
      </c>
      <c r="O4843">
        <v>-5.3395949999999999E-3</v>
      </c>
      <c r="P4843">
        <v>-0.94850970000000001</v>
      </c>
      <c r="Q4843">
        <v>0.30940820000000002</v>
      </c>
      <c r="R4843">
        <v>-6.7793619999999999E-2</v>
      </c>
      <c r="S4843">
        <v>-3.4734799999999999</v>
      </c>
      <c r="T4843">
        <v>-0.95709820000000001</v>
      </c>
      <c r="U4843">
        <v>-1.8402100000000001E-2</v>
      </c>
      <c r="V4843">
        <v>-6.2749440000000004E-2</v>
      </c>
      <c r="W4843">
        <v>0.31736930000000002</v>
      </c>
      <c r="X4843">
        <v>0.9462237</v>
      </c>
      <c r="Y4843">
        <v>-1.3968459999999999E-4</v>
      </c>
      <c r="Z4843">
        <v>1.380781E-3</v>
      </c>
      <c r="AA4843">
        <v>0.99999899999999997</v>
      </c>
      <c r="AB4843">
        <v>45</v>
      </c>
      <c r="AC4843">
        <v>-0.46929999999997501</v>
      </c>
      <c r="AD4843">
        <v>-0.22819719999999999</v>
      </c>
      <c r="AE4843">
        <v>-2.29999999999108E-3</v>
      </c>
      <c r="AF4843">
        <v>1.66602600929341E-4</v>
      </c>
      <c r="AG4843">
        <v>-0.22819719999999999</v>
      </c>
      <c r="AH4843">
        <v>0.37956394419824802</v>
      </c>
      <c r="AI4843">
        <v>121.01465461327901</v>
      </c>
      <c r="AJ4843">
        <v>89.974851074708099</v>
      </c>
      <c r="AK4843">
        <v>0.44288009390759098</v>
      </c>
      <c r="AL4843">
        <v>71.496094851066402</v>
      </c>
      <c r="AM4843">
        <v>93.794051602650796</v>
      </c>
      <c r="AN4843">
        <v>1.0000000276222401</v>
      </c>
    </row>
    <row r="4844" spans="1:40" x14ac:dyDescent="0.25">
      <c r="A4844" t="str">
        <f>"20190304164223213"</f>
        <v>20190304164223213</v>
      </c>
      <c r="B4844" t="str">
        <f>"1551688943205403"</f>
        <v>1551688943205403</v>
      </c>
      <c r="C4844" t="s">
        <v>40</v>
      </c>
      <c r="D4844">
        <v>4.0372789999999998</v>
      </c>
      <c r="E4844">
        <v>0.53497879999999998</v>
      </c>
      <c r="F4844" t="s">
        <v>41</v>
      </c>
      <c r="G4844">
        <v>-267.79079999999999</v>
      </c>
      <c r="H4844">
        <v>0.87015769999999903</v>
      </c>
      <c r="I4844">
        <v>141.6078</v>
      </c>
      <c r="J4844">
        <v>-267.3698</v>
      </c>
      <c r="K4844">
        <v>1.1092919999999999</v>
      </c>
      <c r="L4844">
        <v>141.61070000000001</v>
      </c>
      <c r="M4844">
        <v>-0.99995029999999996</v>
      </c>
      <c r="N4844">
        <v>-8.4347409999999904E-3</v>
      </c>
      <c r="O4844">
        <v>-5.3455859999999899E-3</v>
      </c>
      <c r="P4844">
        <v>-0.94838769999999994</v>
      </c>
      <c r="Q4844">
        <v>0.30961680000000003</v>
      </c>
      <c r="R4844">
        <v>-6.8546700000000002E-2</v>
      </c>
      <c r="S4844">
        <v>-3.4736630000000002</v>
      </c>
      <c r="T4844">
        <v>-0.95753790000000005</v>
      </c>
      <c r="U4844">
        <v>-2.1667479999999999E-2</v>
      </c>
      <c r="V4844">
        <v>-6.3490400000000002E-2</v>
      </c>
      <c r="W4844">
        <v>0.31760529999999998</v>
      </c>
      <c r="X4844">
        <v>0.94609500000000002</v>
      </c>
      <c r="Y4844">
        <v>-1.0391269999999999E-3</v>
      </c>
      <c r="Z4844">
        <v>1.2571920000000001E-3</v>
      </c>
      <c r="AA4844">
        <v>0.99999870000000002</v>
      </c>
      <c r="AB4844">
        <v>45</v>
      </c>
      <c r="AC4844">
        <v>-0.42099999999999199</v>
      </c>
      <c r="AD4844">
        <v>-0.23913429999999999</v>
      </c>
      <c r="AE4844">
        <v>-2.9000000000110001E-3</v>
      </c>
      <c r="AF4844">
        <v>-4.9098332522113796E-4</v>
      </c>
      <c r="AG4844">
        <v>-0.23913429999999999</v>
      </c>
      <c r="AH4844">
        <v>0.31831340487736998</v>
      </c>
      <c r="AI4844">
        <v>126.915829902252</v>
      </c>
      <c r="AJ4844">
        <v>90.088375951517705</v>
      </c>
      <c r="AK4844">
        <v>0.398131734763432</v>
      </c>
      <c r="AL4844">
        <v>71.481833866741795</v>
      </c>
      <c r="AM4844">
        <v>93.839240108330699</v>
      </c>
      <c r="AN4844">
        <v>0.99999995325262303</v>
      </c>
    </row>
    <row r="4845" spans="1:40" x14ac:dyDescent="0.25">
      <c r="A4845" t="str">
        <f>"20190304164223225"</f>
        <v>20190304164223225</v>
      </c>
      <c r="B4845" t="str">
        <f>"1551688943216139"</f>
        <v>1551688943216139</v>
      </c>
      <c r="C4845" t="s">
        <v>40</v>
      </c>
      <c r="D4845">
        <v>4.0345240000000002</v>
      </c>
      <c r="E4845">
        <v>0.53497189999999994</v>
      </c>
      <c r="F4845" t="s">
        <v>41</v>
      </c>
      <c r="G4845">
        <v>-268.19880000000001</v>
      </c>
      <c r="H4845">
        <v>0.88087990000000005</v>
      </c>
      <c r="I4845">
        <v>141.6053</v>
      </c>
      <c r="J4845">
        <v>-267.62689999999998</v>
      </c>
      <c r="K4845">
        <v>1.1092919999999999</v>
      </c>
      <c r="L4845">
        <v>141.60929999999999</v>
      </c>
      <c r="M4845">
        <v>-0.99995020000000001</v>
      </c>
      <c r="N4845">
        <v>-8.4513839999999993E-3</v>
      </c>
      <c r="O4845">
        <v>-5.3485919999999897E-3</v>
      </c>
      <c r="P4845">
        <v>-0.94832859999999997</v>
      </c>
      <c r="Q4845">
        <v>0.30969980000000003</v>
      </c>
      <c r="R4845">
        <v>-6.8989369999999994E-2</v>
      </c>
      <c r="S4845">
        <v>-3.4739990000000001</v>
      </c>
      <c r="T4845">
        <v>-0.95713060000000005</v>
      </c>
      <c r="U4845">
        <v>-2.4063109999999999E-2</v>
      </c>
      <c r="V4845">
        <v>-6.3927109999999995E-2</v>
      </c>
      <c r="W4845">
        <v>0.317704299999999</v>
      </c>
      <c r="X4845">
        <v>0.9460324</v>
      </c>
      <c r="Y4845">
        <v>-1.6996050000000001E-3</v>
      </c>
      <c r="Z4845">
        <v>1.165059E-3</v>
      </c>
      <c r="AA4845">
        <v>0.9999979</v>
      </c>
      <c r="AB4845">
        <v>45</v>
      </c>
      <c r="AC4845">
        <v>-0.57190000000002705</v>
      </c>
      <c r="AD4845">
        <v>-0.22841209999999901</v>
      </c>
      <c r="AE4845">
        <v>-3.9999999999906699E-3</v>
      </c>
      <c r="AF4845">
        <v>-8.1153052235258196E-4</v>
      </c>
      <c r="AG4845">
        <v>-0.22841209999999901</v>
      </c>
      <c r="AH4845">
        <v>0.49323872343361003</v>
      </c>
      <c r="AI4845">
        <v>114.848179089254</v>
      </c>
      <c r="AJ4845">
        <v>90.094269224436601</v>
      </c>
      <c r="AK4845">
        <v>0.54355973388636503</v>
      </c>
      <c r="AL4845">
        <v>71.475852641485005</v>
      </c>
      <c r="AM4845">
        <v>93.865823018037503</v>
      </c>
      <c r="AN4845">
        <v>0.99999999974060005</v>
      </c>
    </row>
    <row r="4846" spans="1:40" x14ac:dyDescent="0.25">
      <c r="A4846" t="str">
        <f>"20190304164223238"</f>
        <v>20190304164223238</v>
      </c>
      <c r="B4846" t="str">
        <f>"1551688943225899"</f>
        <v>1551688943225899</v>
      </c>
      <c r="C4846" t="s">
        <v>40</v>
      </c>
      <c r="D4846">
        <v>4.408398</v>
      </c>
      <c r="E4846">
        <v>0.53497189999999994</v>
      </c>
      <c r="F4846" t="s">
        <v>41</v>
      </c>
      <c r="G4846">
        <v>-268.58730000000003</v>
      </c>
      <c r="H4846">
        <v>0.84461119999999901</v>
      </c>
      <c r="I4846">
        <v>141.60220000000001</v>
      </c>
      <c r="J4846">
        <v>-267.88339999999999</v>
      </c>
      <c r="K4846">
        <v>1.109286</v>
      </c>
      <c r="L4846">
        <v>141.6079</v>
      </c>
      <c r="M4846">
        <v>-0.9999498</v>
      </c>
      <c r="N4846">
        <v>-8.4679100000000004E-3</v>
      </c>
      <c r="O4846">
        <v>-5.3511280000000001E-3</v>
      </c>
      <c r="P4846">
        <v>-0.94838109999999998</v>
      </c>
      <c r="Q4846">
        <v>0.3094847</v>
      </c>
      <c r="R4846">
        <v>-6.9230040000000007E-2</v>
      </c>
      <c r="S4846">
        <v>-3.4742130000000002</v>
      </c>
      <c r="T4846">
        <v>-0.9573931</v>
      </c>
      <c r="U4846">
        <v>-2.6153559999999999E-2</v>
      </c>
      <c r="V4846">
        <v>-6.4162109999999994E-2</v>
      </c>
      <c r="W4846">
        <v>0.3175058</v>
      </c>
      <c r="X4846">
        <v>0.94608309999999995</v>
      </c>
      <c r="Y4846">
        <v>-2.2762500000000001E-3</v>
      </c>
      <c r="Z4846">
        <v>1.0853830000000001E-3</v>
      </c>
      <c r="AA4846">
        <v>0.99999680000000002</v>
      </c>
      <c r="AB4846">
        <v>45</v>
      </c>
      <c r="AC4846">
        <v>-0.70390000000003194</v>
      </c>
      <c r="AD4846">
        <v>-0.26467479999999999</v>
      </c>
      <c r="AE4846">
        <v>-5.6999999999902597E-3</v>
      </c>
      <c r="AF4846">
        <v>-1.69367914451792E-3</v>
      </c>
      <c r="AG4846">
        <v>-0.26467479999999999</v>
      </c>
      <c r="AH4846">
        <v>0.61672981257267701</v>
      </c>
      <c r="AI4846">
        <v>113.226920159012</v>
      </c>
      <c r="AJ4846">
        <v>90.157346735800203</v>
      </c>
      <c r="AK4846">
        <v>0.67112687326616105</v>
      </c>
      <c r="AL4846">
        <v>71.4878463220642</v>
      </c>
      <c r="AM4846">
        <v>93.8797834036571</v>
      </c>
      <c r="AN4846">
        <v>0.99999997074945002</v>
      </c>
    </row>
    <row r="4847" spans="1:40" x14ac:dyDescent="0.25">
      <c r="A4847" t="str">
        <f>"20190304164223253"</f>
        <v>20190304164223253</v>
      </c>
      <c r="B4847" t="str">
        <f>"1551688943246396"</f>
        <v>1551688943246396</v>
      </c>
      <c r="C4847" t="s">
        <v>40</v>
      </c>
      <c r="D4847">
        <v>4.0908769999999999</v>
      </c>
      <c r="E4847">
        <v>0.53498690000000004</v>
      </c>
      <c r="F4847" t="s">
        <v>41</v>
      </c>
      <c r="G4847">
        <v>-268.61430000000001</v>
      </c>
      <c r="H4847">
        <v>0.90769100000000003</v>
      </c>
      <c r="I4847">
        <v>141.60249999999999</v>
      </c>
      <c r="J4847">
        <v>-268.17380000000003</v>
      </c>
      <c r="K4847">
        <v>1.1092839999999999</v>
      </c>
      <c r="L4847">
        <v>141.60640000000001</v>
      </c>
      <c r="M4847">
        <v>-0.9999498</v>
      </c>
      <c r="N4847">
        <v>-8.4861880000000004E-3</v>
      </c>
      <c r="O4847">
        <v>-5.3537910000000001E-3</v>
      </c>
      <c r="P4847">
        <v>-0.94831889999999996</v>
      </c>
      <c r="Q4847">
        <v>0.30963639999999998</v>
      </c>
      <c r="R4847">
        <v>-6.9402889999999995E-2</v>
      </c>
      <c r="S4847">
        <v>-3.47403</v>
      </c>
      <c r="T4847">
        <v>-0.95816469999999998</v>
      </c>
      <c r="U4847">
        <v>-2.6611329999999999E-2</v>
      </c>
      <c r="V4847">
        <v>-6.4330150000000003E-2</v>
      </c>
      <c r="W4847">
        <v>0.31767489999999998</v>
      </c>
      <c r="X4847">
        <v>0.94601489999999999</v>
      </c>
      <c r="Y4847">
        <v>-2.401172E-3</v>
      </c>
      <c r="Z4847">
        <v>1.069457E-3</v>
      </c>
      <c r="AA4847">
        <v>0.99999649999999995</v>
      </c>
      <c r="AB4847">
        <v>45</v>
      </c>
      <c r="AC4847">
        <v>-0.44049999999998501</v>
      </c>
      <c r="AD4847">
        <v>-0.201592999999999</v>
      </c>
      <c r="AE4847">
        <v>-3.9000000000157702E-3</v>
      </c>
      <c r="AF4847">
        <v>-1.2745864551429501E-3</v>
      </c>
      <c r="AG4847">
        <v>-0.201592999999999</v>
      </c>
      <c r="AH4847">
        <v>0.36423521993970498</v>
      </c>
      <c r="AI4847">
        <v>118.96303136290599</v>
      </c>
      <c r="AJ4847">
        <v>90.200497157935104</v>
      </c>
      <c r="AK4847">
        <v>0.41630356431834298</v>
      </c>
      <c r="AL4847">
        <v>71.477628228696602</v>
      </c>
      <c r="AM4847">
        <v>93.890192937912801</v>
      </c>
      <c r="AN4847">
        <v>0.99999995065551905</v>
      </c>
    </row>
    <row r="4848" spans="1:40" x14ac:dyDescent="0.25">
      <c r="A4848" t="str">
        <f>"20190304164223268"</f>
        <v>20190304164223268</v>
      </c>
      <c r="B4848" t="str">
        <f>"1551688943256156"</f>
        <v>1551688943256156</v>
      </c>
      <c r="C4848" t="s">
        <v>40</v>
      </c>
      <c r="D4848">
        <v>4.0769190000000002</v>
      </c>
      <c r="E4848">
        <v>0.53504249999999998</v>
      </c>
      <c r="F4848" t="s">
        <v>41</v>
      </c>
      <c r="G4848">
        <v>-269.0068</v>
      </c>
      <c r="H4848">
        <v>0.879274</v>
      </c>
      <c r="I4848">
        <v>141.6001</v>
      </c>
      <c r="J4848">
        <v>-268.47809999999998</v>
      </c>
      <c r="K4848">
        <v>1.1092850000000001</v>
      </c>
      <c r="L4848">
        <v>141.60480000000001</v>
      </c>
      <c r="M4848">
        <v>-0.99994959999999999</v>
      </c>
      <c r="N4848">
        <v>-8.5049530000000009E-3</v>
      </c>
      <c r="O4848">
        <v>-5.3562219999999999E-3</v>
      </c>
      <c r="P4848">
        <v>-0.94811829999999997</v>
      </c>
      <c r="Q4848">
        <v>0.31020789999999998</v>
      </c>
      <c r="R4848">
        <v>-6.9592849999999998E-2</v>
      </c>
      <c r="S4848">
        <v>-3.4747620000000001</v>
      </c>
      <c r="T4848">
        <v>-0.95945820000000004</v>
      </c>
      <c r="U4848">
        <v>-2.7481080000000001E-2</v>
      </c>
      <c r="V4848">
        <v>-6.4516569999999995E-2</v>
      </c>
      <c r="W4848">
        <v>0.31826259999999901</v>
      </c>
      <c r="X4848">
        <v>0.94580469999999905</v>
      </c>
      <c r="Y4848">
        <v>-2.6385319999999999E-3</v>
      </c>
      <c r="Z4848">
        <v>1.038012E-3</v>
      </c>
      <c r="AA4848">
        <v>0.999996</v>
      </c>
      <c r="AB4848">
        <v>45</v>
      </c>
      <c r="AC4848">
        <v>-0.52870000000001405</v>
      </c>
      <c r="AD4848">
        <v>-0.23001099999999999</v>
      </c>
      <c r="AE4848">
        <v>-4.7000000000139101E-3</v>
      </c>
      <c r="AF4848">
        <v>-1.57072958635859E-3</v>
      </c>
      <c r="AG4848">
        <v>-0.23001099999999999</v>
      </c>
      <c r="AH4848">
        <v>0.44457932849652498</v>
      </c>
      <c r="AI4848">
        <v>117.355441099318</v>
      </c>
      <c r="AJ4848">
        <v>90.202429118556594</v>
      </c>
      <c r="AK4848">
        <v>0.50055799528012201</v>
      </c>
      <c r="AL4848">
        <v>71.442113218008103</v>
      </c>
      <c r="AM4848">
        <v>93.902295815679295</v>
      </c>
      <c r="AN4848">
        <v>1.0000000004527001</v>
      </c>
    </row>
    <row r="4849" spans="1:40" x14ac:dyDescent="0.25">
      <c r="A4849" t="str">
        <f>"20190304164223283"</f>
        <v>20190304164223283</v>
      </c>
      <c r="B4849" t="str">
        <f>"1551688943275675"</f>
        <v>1551688943275675</v>
      </c>
      <c r="C4849" t="s">
        <v>40</v>
      </c>
      <c r="D4849">
        <v>4.1007689999999997</v>
      </c>
      <c r="E4849">
        <v>0.53513279999999996</v>
      </c>
      <c r="F4849" t="s">
        <v>41</v>
      </c>
      <c r="G4849">
        <v>-269.40140000000002</v>
      </c>
      <c r="H4849">
        <v>0.85475330000000005</v>
      </c>
      <c r="I4849">
        <v>141.59739999999999</v>
      </c>
      <c r="J4849">
        <v>-268.78660000000002</v>
      </c>
      <c r="K4849">
        <v>1.1092850000000001</v>
      </c>
      <c r="L4849">
        <v>141.60310000000001</v>
      </c>
      <c r="M4849">
        <v>-0.99994939999999999</v>
      </c>
      <c r="N4849">
        <v>-8.5235050000000007E-3</v>
      </c>
      <c r="O4849">
        <v>-5.3582990000000004E-3</v>
      </c>
      <c r="P4849">
        <v>-0.94814010000000004</v>
      </c>
      <c r="Q4849">
        <v>0.31014839999999999</v>
      </c>
      <c r="R4849">
        <v>-6.956118E-2</v>
      </c>
      <c r="S4849">
        <v>-3.4755859999999998</v>
      </c>
      <c r="T4849">
        <v>-0.95815740000000005</v>
      </c>
      <c r="U4849">
        <v>-2.810669E-2</v>
      </c>
      <c r="V4849">
        <v>-6.4480529999999994E-2</v>
      </c>
      <c r="W4849">
        <v>0.31822149999999999</v>
      </c>
      <c r="X4849">
        <v>0.94582100000000002</v>
      </c>
      <c r="Y4849">
        <v>-2.8077979999999998E-3</v>
      </c>
      <c r="Z4849">
        <v>1.013112E-3</v>
      </c>
      <c r="AA4849">
        <v>0.99999550000000004</v>
      </c>
      <c r="AB4849">
        <v>45</v>
      </c>
      <c r="AC4849">
        <v>-0.61480000000000201</v>
      </c>
      <c r="AD4849">
        <v>-0.25453169999999897</v>
      </c>
      <c r="AE4849">
        <v>-5.7000000000186901E-3</v>
      </c>
      <c r="AF4849">
        <v>-2.05356202931215E-3</v>
      </c>
      <c r="AG4849">
        <v>-0.25453169999999897</v>
      </c>
      <c r="AH4849">
        <v>0.52486628617615005</v>
      </c>
      <c r="AI4849">
        <v>115.870698843594</v>
      </c>
      <c r="AJ4849">
        <v>90.224171069795403</v>
      </c>
      <c r="AK4849">
        <v>0.58333114247933204</v>
      </c>
      <c r="AL4849">
        <v>71.444597458914799</v>
      </c>
      <c r="AM4849">
        <v>93.900055653285804</v>
      </c>
      <c r="AN4849">
        <v>1.0000000129261599</v>
      </c>
    </row>
    <row r="4850" spans="1:40" x14ac:dyDescent="0.25">
      <c r="A4850" t="str">
        <f>"20190304164223298"</f>
        <v>20190304164223298</v>
      </c>
      <c r="B4850" t="str">
        <f>"1551688943286412"</f>
        <v>1551688943286412</v>
      </c>
      <c r="C4850" t="s">
        <v>40</v>
      </c>
      <c r="D4850">
        <v>4.0976509999999999</v>
      </c>
      <c r="E4850">
        <v>0.53513040000000001</v>
      </c>
      <c r="F4850" t="s">
        <v>41</v>
      </c>
      <c r="G4850">
        <v>-269.79689999999999</v>
      </c>
      <c r="H4850">
        <v>0.83048949999999999</v>
      </c>
      <c r="I4850">
        <v>141.59520000000001</v>
      </c>
      <c r="J4850">
        <v>-269.07429999999999</v>
      </c>
      <c r="K4850">
        <v>1.1092869999999999</v>
      </c>
      <c r="L4850">
        <v>141.60149999999999</v>
      </c>
      <c r="M4850">
        <v>-0.99994930000000004</v>
      </c>
      <c r="N4850">
        <v>-8.5401130000000002E-3</v>
      </c>
      <c r="O4850">
        <v>-5.3600160000000004E-3</v>
      </c>
      <c r="P4850">
        <v>-0.94810150000000004</v>
      </c>
      <c r="Q4850">
        <v>0.31033490000000002</v>
      </c>
      <c r="R4850">
        <v>-6.9254070000000001E-2</v>
      </c>
      <c r="S4850">
        <v>-3.4757690000000001</v>
      </c>
      <c r="T4850">
        <v>-0.95913139999999997</v>
      </c>
      <c r="U4850">
        <v>-2.8152469999999999E-2</v>
      </c>
      <c r="V4850">
        <v>-6.4170599999999994E-2</v>
      </c>
      <c r="W4850">
        <v>0.31842399999999998</v>
      </c>
      <c r="X4850">
        <v>0.94577389999999995</v>
      </c>
      <c r="Y4850">
        <v>-2.818601E-3</v>
      </c>
      <c r="Z4850">
        <v>1.012937E-3</v>
      </c>
      <c r="AA4850">
        <v>0.99999550000000004</v>
      </c>
      <c r="AB4850">
        <v>45</v>
      </c>
      <c r="AC4850">
        <v>-0.72259999999999902</v>
      </c>
      <c r="AD4850">
        <v>-0.27879749999999998</v>
      </c>
      <c r="AE4850">
        <v>-6.2999999999817603E-3</v>
      </c>
      <c r="AF4850">
        <v>-2.1122176162592602E-3</v>
      </c>
      <c r="AG4850">
        <v>-0.27879749999999998</v>
      </c>
      <c r="AH4850">
        <v>0.62899716361157298</v>
      </c>
      <c r="AI4850">
        <v>113.904777680257</v>
      </c>
      <c r="AJ4850">
        <v>90.192402616299205</v>
      </c>
      <c r="AK4850">
        <v>0.68801885097787296</v>
      </c>
      <c r="AL4850">
        <v>71.432357973074303</v>
      </c>
      <c r="AM4850">
        <v>93.881559912630806</v>
      </c>
      <c r="AN4850">
        <v>0.99999998980078497</v>
      </c>
    </row>
    <row r="4851" spans="1:40" x14ac:dyDescent="0.25">
      <c r="A4851" t="str">
        <f>"20190304164223314"</f>
        <v>20190304164223314</v>
      </c>
      <c r="B4851" t="str">
        <f>"1551688943305932"</f>
        <v>1551688943305932</v>
      </c>
      <c r="C4851" t="s">
        <v>40</v>
      </c>
      <c r="D4851">
        <v>4.1350280000000001</v>
      </c>
      <c r="E4851">
        <v>0.53515210000000002</v>
      </c>
      <c r="F4851" t="s">
        <v>41</v>
      </c>
      <c r="G4851">
        <v>-269.82709999999997</v>
      </c>
      <c r="H4851">
        <v>0.90154769999999895</v>
      </c>
      <c r="I4851">
        <v>141.5959</v>
      </c>
      <c r="J4851">
        <v>-269.41989999999998</v>
      </c>
      <c r="K4851">
        <v>1.1092869999999999</v>
      </c>
      <c r="L4851">
        <v>141.59970000000001</v>
      </c>
      <c r="M4851">
        <v>-0.99994899999999998</v>
      </c>
      <c r="N4851">
        <v>-8.5595810000000001E-3</v>
      </c>
      <c r="O4851">
        <v>-5.3618629999999997E-3</v>
      </c>
      <c r="P4851">
        <v>-0.94806639999999998</v>
      </c>
      <c r="Q4851">
        <v>0.31052449999999998</v>
      </c>
      <c r="R4851">
        <v>-6.8881090000000006E-2</v>
      </c>
      <c r="S4851">
        <v>-3.4761959999999998</v>
      </c>
      <c r="T4851">
        <v>-0.9592927</v>
      </c>
      <c r="U4851">
        <v>-2.7694699999999999E-2</v>
      </c>
      <c r="V4851">
        <v>-6.3794279999999995E-2</v>
      </c>
      <c r="W4851">
        <v>0.31863190000000002</v>
      </c>
      <c r="X4851">
        <v>0.94572940000000005</v>
      </c>
      <c r="Y4851">
        <v>-2.6891139999999998E-3</v>
      </c>
      <c r="Z4851">
        <v>1.031442E-3</v>
      </c>
      <c r="AA4851">
        <v>0.99999579999999999</v>
      </c>
      <c r="AB4851">
        <v>45</v>
      </c>
      <c r="AC4851">
        <v>-0.40719999999998802</v>
      </c>
      <c r="AD4851">
        <v>-0.20773929999999999</v>
      </c>
      <c r="AE4851">
        <v>-3.8000000000124601E-3</v>
      </c>
      <c r="AF4851">
        <v>-1.2826978721079199E-3</v>
      </c>
      <c r="AG4851">
        <v>-0.20773929999999999</v>
      </c>
      <c r="AH4851">
        <v>0.32312305697756399</v>
      </c>
      <c r="AI4851">
        <v>122.737195815877</v>
      </c>
      <c r="AJ4851">
        <v>90.227445200313696</v>
      </c>
      <c r="AK4851">
        <v>0.38414290573801702</v>
      </c>
      <c r="AL4851">
        <v>71.419792763646797</v>
      </c>
      <c r="AM4851">
        <v>93.859047017316897</v>
      </c>
      <c r="AN4851">
        <v>1.00000004794134</v>
      </c>
    </row>
    <row r="4852" spans="1:40" x14ac:dyDescent="0.25">
      <c r="A4852" t="str">
        <f>"20190304164223336"</f>
        <v>20190304164223336</v>
      </c>
      <c r="B4852" t="str">
        <f>"1551688943325451"</f>
        <v>1551688943325451</v>
      </c>
      <c r="C4852" t="s">
        <v>40</v>
      </c>
      <c r="D4852">
        <v>4.0933099999999998</v>
      </c>
      <c r="E4852">
        <v>0.53421919999999901</v>
      </c>
      <c r="F4852" t="s">
        <v>41</v>
      </c>
      <c r="G4852">
        <v>-270.2269</v>
      </c>
      <c r="H4852">
        <v>0.88632369999999905</v>
      </c>
      <c r="I4852">
        <v>141.59350000000001</v>
      </c>
      <c r="J4852">
        <v>-269.84429999999998</v>
      </c>
      <c r="K4852">
        <v>1.109283</v>
      </c>
      <c r="L4852">
        <v>141.59739999999999</v>
      </c>
      <c r="M4852">
        <v>-0.99994890000000003</v>
      </c>
      <c r="N4852">
        <v>-8.5828650000000003E-3</v>
      </c>
      <c r="O4852">
        <v>-5.364204E-3</v>
      </c>
      <c r="P4852">
        <v>-0.94797799999999999</v>
      </c>
      <c r="Q4852">
        <v>0.31092509999999901</v>
      </c>
      <c r="R4852">
        <v>-6.8291249999999998E-2</v>
      </c>
      <c r="S4852">
        <v>-3.4769899999999998</v>
      </c>
      <c r="T4852">
        <v>-0.9607019</v>
      </c>
      <c r="U4852">
        <v>-2.7709959999999999E-2</v>
      </c>
      <c r="V4852">
        <v>-6.3200800000000001E-2</v>
      </c>
      <c r="W4852">
        <v>0.319054</v>
      </c>
      <c r="X4852">
        <v>0.94562690000000005</v>
      </c>
      <c r="Y4852">
        <v>-2.6895899999999999E-3</v>
      </c>
      <c r="Z4852">
        <v>1.033139E-3</v>
      </c>
      <c r="AA4852">
        <v>0.99999579999999999</v>
      </c>
      <c r="AB4852">
        <v>45</v>
      </c>
      <c r="AC4852">
        <v>-0.38260000000002398</v>
      </c>
      <c r="AD4852">
        <v>-0.2229593</v>
      </c>
      <c r="AE4852">
        <v>-3.8999999999873498E-3</v>
      </c>
      <c r="AF4852">
        <v>-1.37920250836892E-3</v>
      </c>
      <c r="AG4852">
        <v>-0.2229593</v>
      </c>
      <c r="AH4852">
        <v>0.285627746708773</v>
      </c>
      <c r="AI4852">
        <v>127.975060102725</v>
      </c>
      <c r="AJ4852">
        <v>90.276660337022705</v>
      </c>
      <c r="AK4852">
        <v>0.36234784578631102</v>
      </c>
      <c r="AL4852">
        <v>71.394275822912206</v>
      </c>
      <c r="AM4852">
        <v>93.823666352945807</v>
      </c>
      <c r="AN4852">
        <v>1.00000001502012</v>
      </c>
    </row>
    <row r="4853" spans="1:40" x14ac:dyDescent="0.25">
      <c r="A4853" t="str">
        <f>"20190304164223447"</f>
        <v>20190304164223447</v>
      </c>
      <c r="B4853" t="str">
        <f>"1551688943435739"</f>
        <v>1551688943435739</v>
      </c>
      <c r="C4853" t="s">
        <v>40</v>
      </c>
      <c r="D4853">
        <v>4.1614690000000003</v>
      </c>
      <c r="E4853">
        <v>0.52455039999999997</v>
      </c>
      <c r="F4853" t="s">
        <v>41</v>
      </c>
      <c r="G4853">
        <v>-272.70979999999997</v>
      </c>
      <c r="H4853">
        <v>0.96135409999999999</v>
      </c>
      <c r="I4853">
        <v>141.56</v>
      </c>
      <c r="J4853">
        <v>-272.1207</v>
      </c>
      <c r="K4853">
        <v>1.109289</v>
      </c>
      <c r="L4853">
        <v>141.58519999999999</v>
      </c>
      <c r="M4853">
        <v>-0.99994769999999999</v>
      </c>
      <c r="N4853">
        <v>-8.7166480000000005E-3</v>
      </c>
      <c r="O4853">
        <v>-5.3719850000000001E-3</v>
      </c>
      <c r="P4853">
        <v>-0.94784829999999998</v>
      </c>
      <c r="Q4853">
        <v>0.31146760000000001</v>
      </c>
      <c r="R4853">
        <v>-6.7617170000000004E-2</v>
      </c>
      <c r="S4853">
        <v>-3.3233950000000001</v>
      </c>
      <c r="T4853">
        <v>-0.50939520000000005</v>
      </c>
      <c r="U4853">
        <v>-9.3688960000000002E-2</v>
      </c>
      <c r="V4853">
        <v>-6.2514970000000003E-2</v>
      </c>
      <c r="W4853">
        <v>0.31972279999999997</v>
      </c>
      <c r="X4853">
        <v>0.94544660000000003</v>
      </c>
      <c r="Y4853">
        <v>-2.258611E-2</v>
      </c>
      <c r="Z4853">
        <v>-1.0477539999999999E-3</v>
      </c>
      <c r="AA4853">
        <v>0.99974439999999998</v>
      </c>
      <c r="AB4853">
        <v>46</v>
      </c>
      <c r="AC4853">
        <v>-0.58909999999997298</v>
      </c>
      <c r="AD4853">
        <v>-0.14793490000000001</v>
      </c>
      <c r="AE4853">
        <v>-2.5199999999983898E-2</v>
      </c>
      <c r="AF4853">
        <v>-2.0730005828396798E-2</v>
      </c>
      <c r="AG4853">
        <v>-0.14793490000000001</v>
      </c>
      <c r="AH4853">
        <v>0.55433369917991404</v>
      </c>
      <c r="AI4853">
        <v>104.93230944813</v>
      </c>
      <c r="AJ4853">
        <v>92.141649752404803</v>
      </c>
      <c r="AK4853">
        <v>0.57410828057618501</v>
      </c>
      <c r="AL4853">
        <v>71.353838779322999</v>
      </c>
      <c r="AM4853">
        <v>93.783013742974404</v>
      </c>
      <c r="AN4853">
        <v>1.00000003188275</v>
      </c>
    </row>
    <row r="4854" spans="1:40" x14ac:dyDescent="0.25">
      <c r="A4854" t="str">
        <f>"20190304164223462"</f>
        <v>20190304164223462</v>
      </c>
      <c r="B4854" t="str">
        <f>"1551688943456235"</f>
        <v>1551688943456235</v>
      </c>
      <c r="C4854" t="s">
        <v>40</v>
      </c>
      <c r="D4854">
        <v>4.1243259999999999</v>
      </c>
      <c r="E4854">
        <v>0.52737049999999996</v>
      </c>
      <c r="F4854" t="s">
        <v>41</v>
      </c>
      <c r="G4854">
        <v>-273.1352</v>
      </c>
      <c r="H4854">
        <v>0.99414550000000002</v>
      </c>
      <c r="I4854">
        <v>141.5617</v>
      </c>
      <c r="J4854">
        <v>-272.42599999999999</v>
      </c>
      <c r="K4854">
        <v>1.1093</v>
      </c>
      <c r="L4854">
        <v>141.58359999999999</v>
      </c>
      <c r="M4854">
        <v>-0.99994720000000004</v>
      </c>
      <c r="N4854">
        <v>-8.7577639999999995E-3</v>
      </c>
      <c r="O4854">
        <v>-5.3743119999999896E-3</v>
      </c>
      <c r="P4854">
        <v>-0.94771070000000002</v>
      </c>
      <c r="Q4854">
        <v>0.31189919999999999</v>
      </c>
      <c r="R4854">
        <v>-6.7553370000000001E-2</v>
      </c>
      <c r="S4854">
        <v>-3.2820429999999998</v>
      </c>
      <c r="T4854">
        <v>-0.37263370000000001</v>
      </c>
      <c r="U4854">
        <v>-7.6568600000000001E-2</v>
      </c>
      <c r="V4854">
        <v>-6.245042E-2</v>
      </c>
      <c r="W4854">
        <v>0.32019170000000002</v>
      </c>
      <c r="X4854">
        <v>0.94529209999999997</v>
      </c>
      <c r="Y4854">
        <v>-1.7855639999999999E-2</v>
      </c>
      <c r="Z4854">
        <v>-5.2751380000000002E-4</v>
      </c>
      <c r="AA4854">
        <v>0.99984039999999996</v>
      </c>
      <c r="AB4854">
        <v>46</v>
      </c>
      <c r="AC4854">
        <v>-0.70920000000000905</v>
      </c>
      <c r="AD4854">
        <v>-0.11515449999999899</v>
      </c>
      <c r="AE4854">
        <v>-2.1899999999987999E-2</v>
      </c>
      <c r="AF4854">
        <v>-1.7623868427359399E-2</v>
      </c>
      <c r="AG4854">
        <v>-0.11515449999999899</v>
      </c>
      <c r="AH4854">
        <v>0.69110400296855001</v>
      </c>
      <c r="AI4854">
        <v>99.456923690598302</v>
      </c>
      <c r="AJ4854">
        <v>91.460785170479198</v>
      </c>
      <c r="AK4854">
        <v>0.70085369552264598</v>
      </c>
      <c r="AL4854">
        <v>71.325480880162701</v>
      </c>
      <c r="AM4854">
        <v>93.779734781763693</v>
      </c>
      <c r="AN4854">
        <v>0.99999996701473703</v>
      </c>
    </row>
    <row r="4855" spans="1:40" x14ac:dyDescent="0.25">
      <c r="A4855" t="str">
        <f>"20190304164223474"</f>
        <v>20190304164223474</v>
      </c>
      <c r="B4855" t="str">
        <f>"1551688943465995"</f>
        <v>1551688943465995</v>
      </c>
      <c r="C4855" t="s">
        <v>40</v>
      </c>
      <c r="D4855">
        <v>4.1358050000000004</v>
      </c>
      <c r="E4855">
        <v>0.52729349999999997</v>
      </c>
      <c r="F4855" t="s">
        <v>53</v>
      </c>
      <c r="G4855">
        <v>-285.95400000000001</v>
      </c>
      <c r="H4855" s="1">
        <v>-7.0077989999999998E-6</v>
      </c>
      <c r="I4855">
        <v>141.38229999999999</v>
      </c>
      <c r="J4855">
        <v>-272.69600000000003</v>
      </c>
      <c r="K4855">
        <v>1.1093230000000001</v>
      </c>
      <c r="L4855">
        <v>141.5821</v>
      </c>
      <c r="M4855">
        <v>-0.99994669999999997</v>
      </c>
      <c r="N4855">
        <v>-8.8281560000000002E-3</v>
      </c>
      <c r="O4855">
        <v>-5.3795219999999899E-3</v>
      </c>
      <c r="P4855">
        <v>-0.94768640000000004</v>
      </c>
      <c r="Q4855">
        <v>0.3119498</v>
      </c>
      <c r="R4855">
        <v>-6.7661899999999997E-2</v>
      </c>
      <c r="S4855">
        <v>-3.2497859999999998</v>
      </c>
      <c r="T4855">
        <v>-0.26648460000000002</v>
      </c>
      <c r="U4855">
        <v>-4.8339840000000002E-2</v>
      </c>
      <c r="V4855">
        <v>-6.2555540000000007E-2</v>
      </c>
      <c r="W4855">
        <v>0.3203087</v>
      </c>
      <c r="X4855">
        <v>0.94524560000000002</v>
      </c>
      <c r="Y4855">
        <v>-9.4729289999999997E-3</v>
      </c>
      <c r="Z4855" s="1">
        <v>-3.6680429999999997E-5</v>
      </c>
      <c r="AA4855">
        <v>0.99995509999999999</v>
      </c>
      <c r="AB4855">
        <v>46</v>
      </c>
      <c r="AC4855">
        <v>-13.257999999999999</v>
      </c>
      <c r="AD4855">
        <v>-1.109330007799</v>
      </c>
      <c r="AE4855">
        <v>-0.19980000000001</v>
      </c>
      <c r="AF4855">
        <v>-0.127579643127534</v>
      </c>
      <c r="AG4855">
        <v>-1.109330007799</v>
      </c>
      <c r="AH4855">
        <v>13.1667225720351</v>
      </c>
      <c r="AI4855">
        <v>94.815716953454697</v>
      </c>
      <c r="AJ4855">
        <v>90.555153061863706</v>
      </c>
      <c r="AK4855">
        <v>13.2139877750996</v>
      </c>
      <c r="AL4855">
        <v>71.318406225209301</v>
      </c>
      <c r="AM4855">
        <v>93.7862642603815</v>
      </c>
      <c r="AN4855">
        <v>1.0000000515998599</v>
      </c>
    </row>
    <row r="4856" spans="1:40" x14ac:dyDescent="0.25">
      <c r="A4856" t="str">
        <f>"20190304164223493"</f>
        <v>20190304164223493</v>
      </c>
      <c r="B4856" t="str">
        <f>"1551688943485520"</f>
        <v>1551688943485520</v>
      </c>
      <c r="C4856" t="s">
        <v>40</v>
      </c>
      <c r="D4856">
        <v>4.1067790000000004</v>
      </c>
      <c r="E4856">
        <v>0.52704700000000004</v>
      </c>
      <c r="F4856" t="s">
        <v>53</v>
      </c>
      <c r="G4856">
        <v>-287.32569999999998</v>
      </c>
      <c r="H4856" s="1">
        <v>-7.8559529999999903E-6</v>
      </c>
      <c r="I4856">
        <v>141.3647</v>
      </c>
      <c r="J4856">
        <v>-273.05220000000003</v>
      </c>
      <c r="K4856">
        <v>1.1093729999999999</v>
      </c>
      <c r="L4856">
        <v>141.58019999999999</v>
      </c>
      <c r="M4856">
        <v>-0.99994519999999998</v>
      </c>
      <c r="N4856">
        <v>-8.9774239999999995E-3</v>
      </c>
      <c r="O4856">
        <v>-5.3913099999999999E-3</v>
      </c>
      <c r="P4856">
        <v>-0.94743469999999996</v>
      </c>
      <c r="Q4856">
        <v>0.31277769999999999</v>
      </c>
      <c r="R4856">
        <v>-6.7361610000000002E-2</v>
      </c>
      <c r="S4856">
        <v>-3.2430729999999999</v>
      </c>
      <c r="T4856">
        <v>-0.24591489999999999</v>
      </c>
      <c r="U4856">
        <v>-4.8202509999999997E-2</v>
      </c>
      <c r="V4856">
        <v>-6.2247820000000002E-2</v>
      </c>
      <c r="W4856">
        <v>0.32127480000000003</v>
      </c>
      <c r="X4856">
        <v>0.9449379</v>
      </c>
      <c r="Y4856">
        <v>-9.4521120000000004E-3</v>
      </c>
      <c r="Z4856" s="1">
        <v>-4.0472860000000001E-5</v>
      </c>
      <c r="AA4856">
        <v>0.99995540000000005</v>
      </c>
      <c r="AB4856">
        <v>46</v>
      </c>
      <c r="AC4856">
        <v>-14.273499999999901</v>
      </c>
      <c r="AD4856">
        <v>-1.1093808559529901</v>
      </c>
      <c r="AE4856">
        <v>-0.215499999999991</v>
      </c>
      <c r="AF4856">
        <v>-0.13770921027886199</v>
      </c>
      <c r="AG4856">
        <v>-1.1093808559529901</v>
      </c>
      <c r="AH4856">
        <v>14.188761313584701</v>
      </c>
      <c r="AI4856">
        <v>94.470496894521602</v>
      </c>
      <c r="AJ4856">
        <v>90.556067485081698</v>
      </c>
      <c r="AK4856">
        <v>14.2327311969288</v>
      </c>
      <c r="AL4856">
        <v>71.259962340588999</v>
      </c>
      <c r="AM4856">
        <v>93.768916179759898</v>
      </c>
      <c r="AN4856">
        <v>0.9999999615331</v>
      </c>
    </row>
    <row r="4857" spans="1:40" x14ac:dyDescent="0.25">
      <c r="A4857" t="str">
        <f>"20190304164223515"</f>
        <v>20190304164223515</v>
      </c>
      <c r="B4857" t="str">
        <f>"1551688943506315"</f>
        <v>1551688943506315</v>
      </c>
      <c r="C4857" t="s">
        <v>40</v>
      </c>
      <c r="D4857">
        <v>4.1436320000000002</v>
      </c>
      <c r="E4857">
        <v>0.52699649999999998</v>
      </c>
      <c r="F4857" t="s">
        <v>53</v>
      </c>
      <c r="G4857">
        <v>-289.5496</v>
      </c>
      <c r="H4857" s="1">
        <v>-9.1868589999999996E-6</v>
      </c>
      <c r="I4857">
        <v>141.33860000000001</v>
      </c>
      <c r="J4857">
        <v>-273.52330000000001</v>
      </c>
      <c r="K4857">
        <v>1.109472</v>
      </c>
      <c r="L4857">
        <v>141.57759999999999</v>
      </c>
      <c r="M4857">
        <v>-0.99994179999999999</v>
      </c>
      <c r="N4857">
        <v>-9.3286559999999994E-3</v>
      </c>
      <c r="O4857">
        <v>-5.4174409999999899E-3</v>
      </c>
      <c r="P4857">
        <v>-0.94705410000000001</v>
      </c>
      <c r="Q4857">
        <v>0.31400850000000002</v>
      </c>
      <c r="R4857">
        <v>-6.6984459999999996E-2</v>
      </c>
      <c r="S4857">
        <v>-3.2348940000000002</v>
      </c>
      <c r="T4857">
        <v>-0.21753449999999999</v>
      </c>
      <c r="U4857">
        <v>-4.7378539999999997E-2</v>
      </c>
      <c r="V4857">
        <v>-6.185496E-2</v>
      </c>
      <c r="W4857">
        <v>0.32283269999999997</v>
      </c>
      <c r="X4857">
        <v>0.94443259999999996</v>
      </c>
      <c r="Y4857">
        <v>-9.212586E-3</v>
      </c>
      <c r="Z4857" s="1">
        <v>-3.9039109999999998E-5</v>
      </c>
      <c r="AA4857">
        <v>0.9999576</v>
      </c>
      <c r="AB4857">
        <v>46</v>
      </c>
      <c r="AC4857">
        <v>-16.0262999999999</v>
      </c>
      <c r="AD4857">
        <v>-1.109481186859</v>
      </c>
      <c r="AE4857">
        <v>-0.23899999999997501</v>
      </c>
      <c r="AF4857">
        <v>-0.151445518713274</v>
      </c>
      <c r="AG4857">
        <v>-1.109481186859</v>
      </c>
      <c r="AH4857">
        <v>15.950929817693201</v>
      </c>
      <c r="AI4857">
        <v>93.978672097308504</v>
      </c>
      <c r="AJ4857">
        <v>90.543976334114802</v>
      </c>
      <c r="AK4857">
        <v>15.9901859369461</v>
      </c>
      <c r="AL4857">
        <v>71.165677894200698</v>
      </c>
      <c r="AM4857">
        <v>93.747195699528802</v>
      </c>
      <c r="AN4857">
        <v>0.99999996210432496</v>
      </c>
    </row>
    <row r="4858" spans="1:40" x14ac:dyDescent="0.25">
      <c r="A4858" t="str">
        <f>"20190304164223536"</f>
        <v>20190304164223536</v>
      </c>
      <c r="B4858" t="str">
        <f>"1551688943525835"</f>
        <v>1551688943525835</v>
      </c>
      <c r="C4858" t="s">
        <v>40</v>
      </c>
      <c r="D4858">
        <v>4.1553300000000002</v>
      </c>
      <c r="E4858">
        <v>0.52702459999999995</v>
      </c>
      <c r="F4858" t="s">
        <v>53</v>
      </c>
      <c r="G4858">
        <v>-291.63420000000002</v>
      </c>
      <c r="H4858" s="1">
        <v>-9.2325470000000004E-6</v>
      </c>
      <c r="I4858">
        <v>141.3253</v>
      </c>
      <c r="J4858">
        <v>-273.94319999999999</v>
      </c>
      <c r="K4858">
        <v>1.109575</v>
      </c>
      <c r="L4858">
        <v>141.5753</v>
      </c>
      <c r="M4858">
        <v>-0.99993730000000003</v>
      </c>
      <c r="N4858">
        <v>-9.7873560000000005E-3</v>
      </c>
      <c r="O4858">
        <v>-5.4503719999999898E-3</v>
      </c>
      <c r="P4858">
        <v>-0.94752610000000004</v>
      </c>
      <c r="Q4858">
        <v>0.31261509999999998</v>
      </c>
      <c r="R4858">
        <v>-6.6829799999999995E-2</v>
      </c>
      <c r="S4858">
        <v>-3.2301329999999999</v>
      </c>
      <c r="T4858">
        <v>-0.19787940000000001</v>
      </c>
      <c r="U4858">
        <v>-4.501343E-2</v>
      </c>
      <c r="V4858">
        <v>-6.1674E-2</v>
      </c>
      <c r="W4858">
        <v>0.32187529999999998</v>
      </c>
      <c r="X4858">
        <v>0.94477120000000003</v>
      </c>
      <c r="Y4858">
        <v>-8.4725990000000008E-3</v>
      </c>
      <c r="Z4858" s="1">
        <v>-2.0515410000000001E-5</v>
      </c>
      <c r="AA4858">
        <v>0.99996410000000002</v>
      </c>
      <c r="AB4858">
        <v>46</v>
      </c>
      <c r="AC4858">
        <v>-17.690999999999999</v>
      </c>
      <c r="AD4858">
        <v>-1.109584232547</v>
      </c>
      <c r="AE4858">
        <v>-0.25</v>
      </c>
      <c r="AF4858">
        <v>-0.15296751327604799</v>
      </c>
      <c r="AG4858">
        <v>-1.109584232547</v>
      </c>
      <c r="AH4858">
        <v>17.622788616605899</v>
      </c>
      <c r="AI4858">
        <v>93.602624897539002</v>
      </c>
      <c r="AJ4858">
        <v>90.497320429751497</v>
      </c>
      <c r="AK4858">
        <v>17.6583480216811</v>
      </c>
      <c r="AL4858">
        <v>71.223627055541598</v>
      </c>
      <c r="AM4858">
        <v>93.734928912113801</v>
      </c>
      <c r="AN4858">
        <v>1.00000000568776</v>
      </c>
    </row>
    <row r="4859" spans="1:40" x14ac:dyDescent="0.25">
      <c r="A4859" t="str">
        <f>"20190304164223559"</f>
        <v>20190304164223559</v>
      </c>
      <c r="B4859" t="str">
        <f>"1551688943546331"</f>
        <v>1551688943546331</v>
      </c>
      <c r="C4859" t="s">
        <v>40</v>
      </c>
      <c r="D4859">
        <v>4.1393899999999997</v>
      </c>
      <c r="E4859">
        <v>0.52703619999999995</v>
      </c>
      <c r="F4859" t="s">
        <v>53</v>
      </c>
      <c r="G4859">
        <v>-292.45350000000002</v>
      </c>
      <c r="H4859" s="1">
        <v>-9.1590929999999993E-6</v>
      </c>
      <c r="I4859">
        <v>141.32089999999999</v>
      </c>
      <c r="J4859">
        <v>-274.40800000000002</v>
      </c>
      <c r="K4859">
        <v>1.109693</v>
      </c>
      <c r="L4859">
        <v>141.5728</v>
      </c>
      <c r="M4859">
        <v>-0.99993120000000002</v>
      </c>
      <c r="N4859">
        <v>-1.0372299999999999E-2</v>
      </c>
      <c r="O4859">
        <v>-5.4967230000000002E-3</v>
      </c>
      <c r="P4859">
        <v>-0.94828880000000004</v>
      </c>
      <c r="Q4859">
        <v>0.31038900000000003</v>
      </c>
      <c r="R4859">
        <v>-6.6385920000000001E-2</v>
      </c>
      <c r="S4859">
        <v>-3.226807</v>
      </c>
      <c r="T4859">
        <v>-0.1934284</v>
      </c>
      <c r="U4859">
        <v>-4.4357300000000002E-2</v>
      </c>
      <c r="V4859">
        <v>-6.1190149999999999E-2</v>
      </c>
      <c r="W4859">
        <v>0.3202084</v>
      </c>
      <c r="X4859">
        <v>0.94536889999999996</v>
      </c>
      <c r="Y4859">
        <v>-8.2378929999999996E-3</v>
      </c>
      <c r="Z4859" s="1">
        <v>-1.7234649999999999E-5</v>
      </c>
      <c r="AA4859">
        <v>0.99996609999999997</v>
      </c>
      <c r="AB4859">
        <v>46</v>
      </c>
      <c r="AC4859">
        <v>-18.045500000000001</v>
      </c>
      <c r="AD4859">
        <v>-1.1097021590930001</v>
      </c>
      <c r="AE4859">
        <v>-0.25190000000000601</v>
      </c>
      <c r="AF4859">
        <v>-0.15212459162311101</v>
      </c>
      <c r="AG4859">
        <v>-1.1097021590930001</v>
      </c>
      <c r="AH4859">
        <v>17.978637373584299</v>
      </c>
      <c r="AI4859">
        <v>93.531881880707303</v>
      </c>
      <c r="AJ4859">
        <v>90.484791415337696</v>
      </c>
      <c r="AK4859">
        <v>18.013494457881201</v>
      </c>
      <c r="AL4859">
        <v>71.324471608236607</v>
      </c>
      <c r="AM4859">
        <v>93.703372928520196</v>
      </c>
      <c r="AN4859">
        <v>1.0000000054873901</v>
      </c>
    </row>
    <row r="4860" spans="1:40" x14ac:dyDescent="0.25">
      <c r="A4860" t="str">
        <f>"20190304164223581"</f>
        <v>20190304164223581</v>
      </c>
      <c r="B4860" t="str">
        <f>"1551688943575611"</f>
        <v>1551688943575611</v>
      </c>
      <c r="C4860" t="s">
        <v>40</v>
      </c>
      <c r="D4860">
        <v>4.1632709999999999</v>
      </c>
      <c r="E4860">
        <v>0.52663409999999999</v>
      </c>
      <c r="F4860" t="s">
        <v>53</v>
      </c>
      <c r="G4860">
        <v>-292.81479999999999</v>
      </c>
      <c r="H4860" s="1">
        <v>-9.1288749999999999E-6</v>
      </c>
      <c r="I4860">
        <v>141.32669999999999</v>
      </c>
      <c r="J4860">
        <v>-274.87509999999997</v>
      </c>
      <c r="K4860">
        <v>1.1098140000000001</v>
      </c>
      <c r="L4860">
        <v>141.5701</v>
      </c>
      <c r="M4860">
        <v>-0.99992449999999999</v>
      </c>
      <c r="N4860">
        <v>-1.096624E-2</v>
      </c>
      <c r="O4860">
        <v>-5.5535480000000002E-3</v>
      </c>
      <c r="P4860">
        <v>-0.94858220000000004</v>
      </c>
      <c r="Q4860">
        <v>0.30951640000000002</v>
      </c>
      <c r="R4860">
        <v>-6.6270049999999997E-2</v>
      </c>
      <c r="S4860">
        <v>-3.2241819999999999</v>
      </c>
      <c r="T4860">
        <v>-0.1943781</v>
      </c>
      <c r="U4860">
        <v>-4.3106079999999998E-2</v>
      </c>
      <c r="V4860">
        <v>-6.1026490000000003E-2</v>
      </c>
      <c r="W4860">
        <v>0.3198995</v>
      </c>
      <c r="X4860">
        <v>0.94548399999999999</v>
      </c>
      <c r="Y4860">
        <v>-7.804826E-3</v>
      </c>
      <c r="Z4860" s="1">
        <v>-4.2562900000000004E-6</v>
      </c>
      <c r="AA4860">
        <v>0.99996949999999996</v>
      </c>
      <c r="AB4860">
        <v>46</v>
      </c>
      <c r="AC4860">
        <v>-17.939699999999998</v>
      </c>
      <c r="AD4860">
        <v>-1.10982312887499</v>
      </c>
      <c r="AE4860">
        <v>-0.243400000000008</v>
      </c>
      <c r="AF4860">
        <v>-0.14321327517280499</v>
      </c>
      <c r="AG4860">
        <v>-1.10982312887499</v>
      </c>
      <c r="AH4860">
        <v>17.872387146049999</v>
      </c>
      <c r="AI4860">
        <v>93.553224467190006</v>
      </c>
      <c r="AJ4860">
        <v>90.459107144024102</v>
      </c>
      <c r="AK4860">
        <v>17.907385060858701</v>
      </c>
      <c r="AL4860">
        <v>71.343152013926996</v>
      </c>
      <c r="AM4860">
        <v>93.693046902850696</v>
      </c>
      <c r="AN4860">
        <v>0.99999995841898404</v>
      </c>
    </row>
    <row r="4861" spans="1:40" x14ac:dyDescent="0.25">
      <c r="A4861" t="str">
        <f>"20190304164223595"</f>
        <v>20190304164223595</v>
      </c>
      <c r="B4861" t="str">
        <f>"1551688943586346"</f>
        <v>1551688943586346</v>
      </c>
      <c r="C4861" t="s">
        <v>40</v>
      </c>
      <c r="D4861">
        <v>4.1707400000000003</v>
      </c>
      <c r="E4861">
        <v>0.52652869999999996</v>
      </c>
      <c r="F4861" t="s">
        <v>53</v>
      </c>
      <c r="G4861">
        <v>-293.20240000000001</v>
      </c>
      <c r="H4861" s="1">
        <v>-9.0906250000000007E-6</v>
      </c>
      <c r="I4861">
        <v>141.3107</v>
      </c>
      <c r="J4861">
        <v>-275.16090000000003</v>
      </c>
      <c r="K4861">
        <v>1.1098730000000001</v>
      </c>
      <c r="L4861">
        <v>141.5685</v>
      </c>
      <c r="M4861">
        <v>-0.99992060000000005</v>
      </c>
      <c r="N4861">
        <v>-1.130755E-2</v>
      </c>
      <c r="O4861">
        <v>-5.5933119999999996E-3</v>
      </c>
      <c r="P4861">
        <v>-0.94837749999999998</v>
      </c>
      <c r="Q4861">
        <v>0.31000240000000001</v>
      </c>
      <c r="R4861">
        <v>-6.6922700000000002E-2</v>
      </c>
      <c r="S4861">
        <v>-3.2231139999999998</v>
      </c>
      <c r="T4861">
        <v>-0.19517870000000001</v>
      </c>
      <c r="U4861">
        <v>-4.5623780000000003E-2</v>
      </c>
      <c r="V4861">
        <v>-6.1647130000000001E-2</v>
      </c>
      <c r="W4861">
        <v>0.32070490000000001</v>
      </c>
      <c r="X4861">
        <v>0.94517090000000004</v>
      </c>
      <c r="Y4861">
        <v>-8.5486290000000003E-3</v>
      </c>
      <c r="Z4861" s="1">
        <v>-3.1796389999999999E-5</v>
      </c>
      <c r="AA4861">
        <v>0.99996350000000001</v>
      </c>
      <c r="AB4861">
        <v>46</v>
      </c>
      <c r="AC4861">
        <v>-18.0414999999999</v>
      </c>
      <c r="AD4861">
        <v>-1.109882090625</v>
      </c>
      <c r="AE4861">
        <v>-0.25780000000000303</v>
      </c>
      <c r="AF4861">
        <v>-0.15628644900484201</v>
      </c>
      <c r="AG4861">
        <v>-1.109882090625</v>
      </c>
      <c r="AH4861">
        <v>17.974648640016198</v>
      </c>
      <c r="AI4861">
        <v>93.533227945090402</v>
      </c>
      <c r="AJ4861">
        <v>90.498164301169595</v>
      </c>
      <c r="AK4861">
        <v>18.009560167901601</v>
      </c>
      <c r="AL4861">
        <v>71.294440710116305</v>
      </c>
      <c r="AM4861">
        <v>93.731731986052196</v>
      </c>
      <c r="AN4861">
        <v>1.0000000158640201</v>
      </c>
    </row>
    <row r="4862" spans="1:40" x14ac:dyDescent="0.25">
      <c r="A4862" t="str">
        <f>"20190304164223609"</f>
        <v>20190304164223609</v>
      </c>
      <c r="B4862" t="str">
        <f>"1551688943596107"</f>
        <v>1551688943596107</v>
      </c>
      <c r="C4862" t="s">
        <v>40</v>
      </c>
      <c r="D4862">
        <v>4.1859890000000002</v>
      </c>
      <c r="E4862">
        <v>0.52629159999999997</v>
      </c>
      <c r="F4862" t="s">
        <v>53</v>
      </c>
      <c r="G4862">
        <v>-293.58330000000001</v>
      </c>
      <c r="H4862" s="1">
        <v>-9.0514589999999992E-6</v>
      </c>
      <c r="I4862">
        <v>141.28909999999999</v>
      </c>
      <c r="J4862">
        <v>-275.44279999999998</v>
      </c>
      <c r="K4862">
        <v>1.1099250000000001</v>
      </c>
      <c r="L4862">
        <v>141.5669</v>
      </c>
      <c r="M4862">
        <v>-0.99991649999999999</v>
      </c>
      <c r="N4862">
        <v>-1.1629540000000001E-2</v>
      </c>
      <c r="O4862">
        <v>-5.6342090000000003E-3</v>
      </c>
      <c r="P4862">
        <v>-0.94813060000000005</v>
      </c>
      <c r="Q4862">
        <v>0.31068869999999998</v>
      </c>
      <c r="R4862">
        <v>-6.7235799999999998E-2</v>
      </c>
      <c r="S4862">
        <v>-3.223328</v>
      </c>
      <c r="T4862">
        <v>-0.19419310000000001</v>
      </c>
      <c r="U4862">
        <v>-4.8889160000000001E-2</v>
      </c>
      <c r="V4862">
        <v>-6.192632E-2</v>
      </c>
      <c r="W4862">
        <v>0.32169160000000002</v>
      </c>
      <c r="X4862">
        <v>0.94481720000000002</v>
      </c>
      <c r="Y4862">
        <v>-9.5174300000000003E-3</v>
      </c>
      <c r="Z4862" s="1">
        <v>-6.8191919999999995E-5</v>
      </c>
      <c r="AA4862">
        <v>0.99995469999999997</v>
      </c>
      <c r="AB4862">
        <v>46</v>
      </c>
      <c r="AC4862">
        <v>-18.140499999999999</v>
      </c>
      <c r="AD4862">
        <v>-1.1099340514589999</v>
      </c>
      <c r="AE4862">
        <v>-0.27780000000001298</v>
      </c>
      <c r="AF4862">
        <v>-0.17492659797752899</v>
      </c>
      <c r="AG4862">
        <v>-1.1099340514589999</v>
      </c>
      <c r="AH4862">
        <v>18.074129872653</v>
      </c>
      <c r="AI4862">
        <v>93.513962107074505</v>
      </c>
      <c r="AJ4862">
        <v>90.554507627304901</v>
      </c>
      <c r="AK4862">
        <v>18.1090232637433</v>
      </c>
      <c r="AL4862">
        <v>71.234742416738399</v>
      </c>
      <c r="AM4862">
        <v>93.749983635335497</v>
      </c>
      <c r="AN4862">
        <v>0.99999994801756897</v>
      </c>
    </row>
    <row r="4863" spans="1:40" x14ac:dyDescent="0.25">
      <c r="A4863" t="str">
        <f>"20190304164223625"</f>
        <v>20190304164223625</v>
      </c>
      <c r="B4863" t="str">
        <f>"1551688943615627"</f>
        <v>1551688943615627</v>
      </c>
      <c r="C4863" t="s">
        <v>40</v>
      </c>
      <c r="D4863">
        <v>4.217657</v>
      </c>
      <c r="E4863">
        <v>0.5259644</v>
      </c>
      <c r="F4863" t="s">
        <v>53</v>
      </c>
      <c r="G4863">
        <v>-294.22120000000001</v>
      </c>
      <c r="H4863" s="1">
        <v>-8.9900019999999906E-6</v>
      </c>
      <c r="I4863">
        <v>141.26849999999999</v>
      </c>
      <c r="J4863">
        <v>-275.76960000000003</v>
      </c>
      <c r="K4863">
        <v>1.109969</v>
      </c>
      <c r="L4863">
        <v>141.565</v>
      </c>
      <c r="M4863">
        <v>-0.99991209999999997</v>
      </c>
      <c r="N4863">
        <v>-1.198191E-2</v>
      </c>
      <c r="O4863">
        <v>-5.6842840000000004E-3</v>
      </c>
      <c r="P4863">
        <v>-0.94789760000000001</v>
      </c>
      <c r="Q4863">
        <v>0.31119190000000002</v>
      </c>
      <c r="R4863">
        <v>-6.8189840000000002E-2</v>
      </c>
      <c r="S4863">
        <v>-3.2229000000000001</v>
      </c>
      <c r="T4863">
        <v>-0.1904962</v>
      </c>
      <c r="U4863">
        <v>-5.1208499999999997E-2</v>
      </c>
      <c r="V4863">
        <v>-6.2837809999999994E-2</v>
      </c>
      <c r="W4863">
        <v>0.32252439999999999</v>
      </c>
      <c r="X4863">
        <v>0.94447309999999995</v>
      </c>
      <c r="Y4863">
        <v>-1.018763E-2</v>
      </c>
      <c r="Z4863" s="1">
        <v>-9.430094E-5</v>
      </c>
      <c r="AA4863">
        <v>0.99994810000000001</v>
      </c>
      <c r="AB4863">
        <v>46</v>
      </c>
      <c r="AC4863">
        <v>-18.4515999999999</v>
      </c>
      <c r="AD4863">
        <v>-1.1099779900019999</v>
      </c>
      <c r="AE4863">
        <v>-0.29650000000000798</v>
      </c>
      <c r="AF4863">
        <v>-0.19091285835587901</v>
      </c>
      <c r="AG4863">
        <v>-1.1099779900019999</v>
      </c>
      <c r="AH4863">
        <v>18.3864681944955</v>
      </c>
      <c r="AI4863">
        <v>93.454526863849594</v>
      </c>
      <c r="AJ4863">
        <v>90.594899892776297</v>
      </c>
      <c r="AK4863">
        <v>18.420931342496502</v>
      </c>
      <c r="AL4863">
        <v>71.184341362951798</v>
      </c>
      <c r="AM4863">
        <v>93.806400667429799</v>
      </c>
      <c r="AN4863">
        <v>1.0000000077922799</v>
      </c>
    </row>
    <row r="4864" spans="1:40" x14ac:dyDescent="0.25">
      <c r="A4864" t="str">
        <f>"20190304164223638"</f>
        <v>20190304164223638</v>
      </c>
      <c r="B4864" t="str">
        <f>"1551688943626363"</f>
        <v>1551688943626363</v>
      </c>
      <c r="C4864" t="s">
        <v>40</v>
      </c>
      <c r="D4864">
        <v>4.1992180000000001</v>
      </c>
      <c r="E4864">
        <v>0.52582139999999999</v>
      </c>
      <c r="F4864" t="s">
        <v>53</v>
      </c>
      <c r="G4864">
        <v>-294.90050000000002</v>
      </c>
      <c r="H4864" s="1">
        <v>-8.9194759999999992E-6</v>
      </c>
      <c r="I4864">
        <v>141.22739999999999</v>
      </c>
      <c r="J4864">
        <v>-276.03530000000001</v>
      </c>
      <c r="K4864">
        <v>1.1099920000000001</v>
      </c>
      <c r="L4864">
        <v>141.5635</v>
      </c>
      <c r="M4864">
        <v>-0.99990869999999998</v>
      </c>
      <c r="N4864">
        <v>-1.2248729999999999E-2</v>
      </c>
      <c r="O4864">
        <v>-5.7268429999999997E-3</v>
      </c>
      <c r="P4864">
        <v>-0.94817169999999895</v>
      </c>
      <c r="Q4864">
        <v>0.31030210000000003</v>
      </c>
      <c r="R4864">
        <v>-6.8433460000000002E-2</v>
      </c>
      <c r="S4864">
        <v>-3.2221679999999999</v>
      </c>
      <c r="T4864">
        <v>-0.18695059999999999</v>
      </c>
      <c r="U4864">
        <v>-5.6869509999999998E-2</v>
      </c>
      <c r="V4864">
        <v>-6.3041780000000006E-2</v>
      </c>
      <c r="W4864">
        <v>0.3218897</v>
      </c>
      <c r="X4864">
        <v>0.94467599999999996</v>
      </c>
      <c r="Y4864">
        <v>-1.1901790000000001E-2</v>
      </c>
      <c r="Z4864">
        <v>-1.5606490000000001E-4</v>
      </c>
      <c r="AA4864">
        <v>0.99992910000000002</v>
      </c>
      <c r="AB4864">
        <v>46</v>
      </c>
      <c r="AC4864">
        <v>-18.865200000000002</v>
      </c>
      <c r="AD4864">
        <v>-1.1100009194760001</v>
      </c>
      <c r="AE4864">
        <v>-0.336100000000016</v>
      </c>
      <c r="AF4864">
        <v>-0.227261831399685</v>
      </c>
      <c r="AG4864">
        <v>-1.1100009194760001</v>
      </c>
      <c r="AH4864">
        <v>18.8017450229421</v>
      </c>
      <c r="AI4864">
        <v>93.378410063117499</v>
      </c>
      <c r="AJ4864">
        <v>90.692516023601002</v>
      </c>
      <c r="AK4864">
        <v>18.835853203106499</v>
      </c>
      <c r="AL4864">
        <v>71.222755409583797</v>
      </c>
      <c r="AM4864">
        <v>93.8179018842321</v>
      </c>
      <c r="AN4864">
        <v>0.99999999498382897</v>
      </c>
    </row>
    <row r="4865" spans="1:40" x14ac:dyDescent="0.25">
      <c r="A4865" t="str">
        <f>"20190304164223652"</f>
        <v>20190304164223652</v>
      </c>
      <c r="B4865" t="str">
        <f>"1551688943645883"</f>
        <v>1551688943645883</v>
      </c>
      <c r="C4865" t="s">
        <v>40</v>
      </c>
      <c r="D4865">
        <v>4.1893459999999996</v>
      </c>
      <c r="E4865">
        <v>0.52552359999999998</v>
      </c>
      <c r="F4865" t="s">
        <v>53</v>
      </c>
      <c r="G4865">
        <v>-294.9461</v>
      </c>
      <c r="H4865" s="1">
        <v>-8.9123889999999995E-6</v>
      </c>
      <c r="I4865">
        <v>141.2157</v>
      </c>
      <c r="J4865">
        <v>-276.32069999999999</v>
      </c>
      <c r="K4865">
        <v>1.110012</v>
      </c>
      <c r="L4865">
        <v>141.56180000000001</v>
      </c>
      <c r="M4865">
        <v>-0.99990509999999999</v>
      </c>
      <c r="N4865">
        <v>-1.251584E-2</v>
      </c>
      <c r="O4865">
        <v>-5.7730150000000003E-3</v>
      </c>
      <c r="P4865">
        <v>-0.94847740000000003</v>
      </c>
      <c r="Q4865">
        <v>0.30935289999999999</v>
      </c>
      <c r="R4865">
        <v>-6.8494540000000007E-2</v>
      </c>
      <c r="S4865">
        <v>-3.221619</v>
      </c>
      <c r="T4865">
        <v>-0.1890985</v>
      </c>
      <c r="U4865">
        <v>-5.9249879999999998E-2</v>
      </c>
      <c r="V4865">
        <v>-6.305972E-2</v>
      </c>
      <c r="W4865">
        <v>0.32119619999999999</v>
      </c>
      <c r="X4865">
        <v>0.94491080000000005</v>
      </c>
      <c r="Y4865">
        <v>-1.259528E-2</v>
      </c>
      <c r="Z4865">
        <v>-1.81886E-4</v>
      </c>
      <c r="AA4865">
        <v>0.9999207</v>
      </c>
      <c r="AB4865">
        <v>46</v>
      </c>
      <c r="AC4865">
        <v>-18.625399999999999</v>
      </c>
      <c r="AD4865">
        <v>-1.1100209123889999</v>
      </c>
      <c r="AE4865">
        <v>-0.34610000000000601</v>
      </c>
      <c r="AF4865">
        <v>-0.23771706818883401</v>
      </c>
      <c r="AG4865">
        <v>-1.1100209123889999</v>
      </c>
      <c r="AH4865">
        <v>18.5611845207866</v>
      </c>
      <c r="AI4865">
        <v>93.422123140664198</v>
      </c>
      <c r="AJ4865">
        <v>90.733759211383102</v>
      </c>
      <c r="AK4865">
        <v>18.595865848223799</v>
      </c>
      <c r="AL4865">
        <v>71.264718067184802</v>
      </c>
      <c r="AM4865">
        <v>93.818038973214996</v>
      </c>
      <c r="AN4865">
        <v>0.99999997356877801</v>
      </c>
    </row>
    <row r="4866" spans="1:40" x14ac:dyDescent="0.25">
      <c r="A4866" t="str">
        <f>"20190304164223665"</f>
        <v>20190304164223665</v>
      </c>
      <c r="B4866" t="str">
        <f>"1551688943655643"</f>
        <v>1551688943655643</v>
      </c>
      <c r="C4866" t="s">
        <v>40</v>
      </c>
      <c r="D4866">
        <v>4.2128310000000004</v>
      </c>
      <c r="E4866">
        <v>0.52536269999999996</v>
      </c>
      <c r="F4866" t="s">
        <v>53</v>
      </c>
      <c r="G4866">
        <v>-295.00720000000001</v>
      </c>
      <c r="H4866" s="1">
        <v>-8.903286E-6</v>
      </c>
      <c r="I4866">
        <v>141.20150000000001</v>
      </c>
      <c r="J4866">
        <v>-276.5838</v>
      </c>
      <c r="K4866">
        <v>1.1100300000000001</v>
      </c>
      <c r="L4866">
        <v>141.56030000000001</v>
      </c>
      <c r="M4866">
        <v>-0.99990179999999995</v>
      </c>
      <c r="N4866">
        <v>-1.274978E-2</v>
      </c>
      <c r="O4866">
        <v>-5.816145E-3</v>
      </c>
      <c r="P4866">
        <v>-0.94872869999999998</v>
      </c>
      <c r="Q4866">
        <v>0.3085386</v>
      </c>
      <c r="R4866">
        <v>-6.8685930000000006E-2</v>
      </c>
      <c r="S4866">
        <v>-3.2208559999999999</v>
      </c>
      <c r="T4866">
        <v>-0.19132669999999999</v>
      </c>
      <c r="U4866">
        <v>-6.2103270000000002E-2</v>
      </c>
      <c r="V4866">
        <v>-6.3210959999999997E-2</v>
      </c>
      <c r="W4866">
        <v>0.32060549999999999</v>
      </c>
      <c r="X4866">
        <v>0.94510130000000003</v>
      </c>
      <c r="Y4866">
        <v>-1.3439710000000001E-2</v>
      </c>
      <c r="Z4866">
        <v>-2.1351709999999999E-4</v>
      </c>
      <c r="AA4866">
        <v>0.99990959999999995</v>
      </c>
      <c r="AB4866">
        <v>45</v>
      </c>
      <c r="AC4866">
        <v>-18.423400000000001</v>
      </c>
      <c r="AD4866">
        <v>-1.1100389032860001</v>
      </c>
      <c r="AE4866">
        <v>-0.35880000000000201</v>
      </c>
      <c r="AF4866">
        <v>-0.25072221402266898</v>
      </c>
      <c r="AG4866">
        <v>-1.1100389032860001</v>
      </c>
      <c r="AH4866">
        <v>18.358554419689501</v>
      </c>
      <c r="AI4866">
        <v>93.459820255321304</v>
      </c>
      <c r="AJ4866">
        <v>90.782438059094005</v>
      </c>
      <c r="AK4866">
        <v>18.393791571508899</v>
      </c>
      <c r="AL4866">
        <v>71.300452897074393</v>
      </c>
      <c r="AM4866">
        <v>93.826399695355093</v>
      </c>
      <c r="AN4866">
        <v>0.99999998967803005</v>
      </c>
    </row>
    <row r="4867" spans="1:40" x14ac:dyDescent="0.25">
      <c r="A4867" t="str">
        <f>"20190304164223682"</f>
        <v>20190304164223682</v>
      </c>
      <c r="B4867" t="str">
        <f>"1551688943676139"</f>
        <v>1551688943676139</v>
      </c>
      <c r="C4867" t="s">
        <v>40</v>
      </c>
      <c r="D4867">
        <v>4.227894</v>
      </c>
      <c r="E4867">
        <v>0.52492830000000001</v>
      </c>
      <c r="F4867" t="s">
        <v>53</v>
      </c>
      <c r="G4867">
        <v>-295.06529999999998</v>
      </c>
      <c r="H4867" s="1">
        <v>-8.895494E-6</v>
      </c>
      <c r="I4867">
        <v>141.19130000000001</v>
      </c>
      <c r="J4867">
        <v>-276.94560000000001</v>
      </c>
      <c r="K4867">
        <v>1.1100490000000001</v>
      </c>
      <c r="L4867">
        <v>141.5581</v>
      </c>
      <c r="M4867">
        <v>-0.99989760000000005</v>
      </c>
      <c r="N4867">
        <v>-1.304583E-2</v>
      </c>
      <c r="O4867">
        <v>-5.8756950000000002E-3</v>
      </c>
      <c r="P4867">
        <v>-0.94897529999999997</v>
      </c>
      <c r="Q4867">
        <v>0.30769679999999999</v>
      </c>
      <c r="R4867">
        <v>-6.905493E-2</v>
      </c>
      <c r="S4867">
        <v>-3.220367</v>
      </c>
      <c r="T4867">
        <v>-0.19342200000000001</v>
      </c>
      <c r="U4867">
        <v>-6.428528E-2</v>
      </c>
      <c r="V4867">
        <v>-6.3523759999999999E-2</v>
      </c>
      <c r="W4867">
        <v>0.32004670000000002</v>
      </c>
      <c r="X4867">
        <v>0.94526969999999999</v>
      </c>
      <c r="Y4867">
        <v>-1.40584E-2</v>
      </c>
      <c r="Z4867">
        <v>-2.376309E-4</v>
      </c>
      <c r="AA4867">
        <v>0.99990120000000005</v>
      </c>
      <c r="AB4867">
        <v>45</v>
      </c>
      <c r="AC4867">
        <v>-18.119699999999899</v>
      </c>
      <c r="AD4867">
        <v>-1.1100578954939999</v>
      </c>
      <c r="AE4867">
        <v>-0.36679999999998297</v>
      </c>
      <c r="AF4867">
        <v>-0.259345821488349</v>
      </c>
      <c r="AG4867">
        <v>-1.1100578954939999</v>
      </c>
      <c r="AH4867">
        <v>18.053812680017799</v>
      </c>
      <c r="AI4867">
        <v>93.518100515730595</v>
      </c>
      <c r="AJ4867">
        <v>90.823006158142107</v>
      </c>
      <c r="AK4867">
        <v>18.089766197263099</v>
      </c>
      <c r="AL4867">
        <v>71.334250526000105</v>
      </c>
      <c r="AM4867">
        <v>93.844595019334406</v>
      </c>
      <c r="AN4867">
        <v>0.99999998200175799</v>
      </c>
    </row>
    <row r="4868" spans="1:40" x14ac:dyDescent="0.25">
      <c r="A4868" t="str">
        <f>"20190304164223707"</f>
        <v>20190304164223707</v>
      </c>
      <c r="B4868" t="str">
        <f>"1551688943695659"</f>
        <v>1551688943695659</v>
      </c>
      <c r="C4868" t="s">
        <v>40</v>
      </c>
      <c r="D4868">
        <v>4.2172359999999998</v>
      </c>
      <c r="E4868">
        <v>0.5244856</v>
      </c>
      <c r="F4868" t="s">
        <v>53</v>
      </c>
      <c r="G4868">
        <v>-295.13260000000002</v>
      </c>
      <c r="H4868" s="1">
        <v>-8.8849700000000001E-6</v>
      </c>
      <c r="I4868">
        <v>141.1738</v>
      </c>
      <c r="J4868">
        <v>-277.41489999999999</v>
      </c>
      <c r="K4868">
        <v>1.1100699999999999</v>
      </c>
      <c r="L4868">
        <v>141.55529999999999</v>
      </c>
      <c r="M4868">
        <v>-0.99989280000000003</v>
      </c>
      <c r="N4868">
        <v>-1.338609E-2</v>
      </c>
      <c r="O4868">
        <v>-5.9539500000000004E-3</v>
      </c>
      <c r="P4868">
        <v>-0.94889349999999995</v>
      </c>
      <c r="Q4868">
        <v>0.30791560000000001</v>
      </c>
      <c r="R4868">
        <v>-6.9206309999999993E-2</v>
      </c>
      <c r="S4868">
        <v>-3.2200929999999999</v>
      </c>
      <c r="T4868">
        <v>-0.19654060000000001</v>
      </c>
      <c r="U4868">
        <v>-6.8038940000000006E-2</v>
      </c>
      <c r="V4868">
        <v>-6.3604820000000006E-2</v>
      </c>
      <c r="W4868">
        <v>0.32058560000000003</v>
      </c>
      <c r="X4868">
        <v>0.94508170000000002</v>
      </c>
      <c r="Y4868">
        <v>-1.514364E-2</v>
      </c>
      <c r="Z4868">
        <v>-2.7977880000000001E-4</v>
      </c>
      <c r="AA4868">
        <v>0.99988529999999998</v>
      </c>
      <c r="AB4868">
        <v>45</v>
      </c>
      <c r="AC4868">
        <v>-17.717700000000001</v>
      </c>
      <c r="AD4868">
        <v>-1.1100788849700001</v>
      </c>
      <c r="AE4868">
        <v>-0.38149999999998802</v>
      </c>
      <c r="AF4868">
        <v>-0.27491482428778602</v>
      </c>
      <c r="AG4868">
        <v>-1.1100788849700001</v>
      </c>
      <c r="AH4868">
        <v>17.650403301359798</v>
      </c>
      <c r="AI4868">
        <v>93.598302513667207</v>
      </c>
      <c r="AJ4868">
        <v>90.8923413996108</v>
      </c>
      <c r="AK4868">
        <v>17.687413321119699</v>
      </c>
      <c r="AL4868">
        <v>71.301657981243594</v>
      </c>
      <c r="AM4868">
        <v>93.850249659078699</v>
      </c>
      <c r="AN4868">
        <v>1.0000000598647301</v>
      </c>
    </row>
    <row r="4869" spans="1:40" x14ac:dyDescent="0.25">
      <c r="A4869" t="str">
        <f>"20190304164223726"</f>
        <v>20190304164223726</v>
      </c>
      <c r="B4869" t="str">
        <f>"1551688943716155"</f>
        <v>1551688943716155</v>
      </c>
      <c r="C4869" t="s">
        <v>40</v>
      </c>
      <c r="D4869">
        <v>4.2541859999999998</v>
      </c>
      <c r="E4869">
        <v>0.52410049999999997</v>
      </c>
      <c r="F4869" t="s">
        <v>53</v>
      </c>
      <c r="G4869">
        <v>-295.63959999999997</v>
      </c>
      <c r="H4869" s="1">
        <v>-8.8339360000000004E-6</v>
      </c>
      <c r="I4869">
        <v>141.14920000000001</v>
      </c>
      <c r="J4869">
        <v>-277.82409999999999</v>
      </c>
      <c r="K4869">
        <v>1.1100969999999999</v>
      </c>
      <c r="L4869">
        <v>141.55279999999999</v>
      </c>
      <c r="M4869">
        <v>-0.99988869999999996</v>
      </c>
      <c r="N4869">
        <v>-1.3649339999999999E-2</v>
      </c>
      <c r="O4869">
        <v>-6.0219430000000001E-3</v>
      </c>
      <c r="P4869">
        <v>-0.94855630000000002</v>
      </c>
      <c r="Q4869">
        <v>0.30908799999999997</v>
      </c>
      <c r="R4869">
        <v>-6.8597199999999997E-2</v>
      </c>
      <c r="S4869">
        <v>-3.2200319999999998</v>
      </c>
      <c r="T4869">
        <v>-0.1961339</v>
      </c>
      <c r="U4869">
        <v>-7.1746829999999998E-2</v>
      </c>
      <c r="V4869">
        <v>-6.2935640000000001E-2</v>
      </c>
      <c r="W4869">
        <v>0.3220017</v>
      </c>
      <c r="X4869">
        <v>0.94464490000000001</v>
      </c>
      <c r="Y4869">
        <v>-1.6224369999999998E-2</v>
      </c>
      <c r="Z4869">
        <v>-3.201942E-4</v>
      </c>
      <c r="AA4869">
        <v>0.99986830000000004</v>
      </c>
      <c r="AB4869">
        <v>45</v>
      </c>
      <c r="AC4869">
        <v>-17.815499999999901</v>
      </c>
      <c r="AD4869">
        <v>-1.1101058339359999</v>
      </c>
      <c r="AE4869">
        <v>-0.40359999999998297</v>
      </c>
      <c r="AF4869">
        <v>-0.29515335764577399</v>
      </c>
      <c r="AG4869">
        <v>-1.1101058339359999</v>
      </c>
      <c r="AH4869">
        <v>17.748730119794001</v>
      </c>
      <c r="AI4869">
        <v>93.578446177373706</v>
      </c>
      <c r="AJ4869">
        <v>90.952715094339993</v>
      </c>
      <c r="AK4869">
        <v>17.785861557213099</v>
      </c>
      <c r="AL4869">
        <v>71.215977279377697</v>
      </c>
      <c r="AM4869">
        <v>93.811617968239105</v>
      </c>
      <c r="AN4869">
        <v>0.99999998834055404</v>
      </c>
    </row>
    <row r="4870" spans="1:40" x14ac:dyDescent="0.25">
      <c r="A4870" t="str">
        <f>"20190304164223761"</f>
        <v>20190304164223761</v>
      </c>
      <c r="B4870" t="str">
        <f>"1551688943746412"</f>
        <v>1551688943746412</v>
      </c>
      <c r="C4870" t="s">
        <v>40</v>
      </c>
      <c r="D4870">
        <v>4.2234600000000002</v>
      </c>
      <c r="E4870">
        <v>0.52366999999999997</v>
      </c>
      <c r="F4870" t="s">
        <v>53</v>
      </c>
      <c r="G4870">
        <v>-296.36500000000001</v>
      </c>
      <c r="H4870" s="1">
        <v>-8.7650899999999995E-6</v>
      </c>
      <c r="I4870">
        <v>141.12979999999999</v>
      </c>
      <c r="J4870">
        <v>-278.50729999999999</v>
      </c>
      <c r="K4870">
        <v>1.110125</v>
      </c>
      <c r="L4870">
        <v>141.54859999999999</v>
      </c>
      <c r="M4870">
        <v>-0.99988290000000002</v>
      </c>
      <c r="N4870">
        <v>-1.402538E-2</v>
      </c>
      <c r="O4870">
        <v>-6.1357149999999999E-3</v>
      </c>
      <c r="P4870">
        <v>-0.94845000000000002</v>
      </c>
      <c r="Q4870">
        <v>0.30957820000000003</v>
      </c>
      <c r="R4870">
        <v>-6.7852079999999995E-2</v>
      </c>
      <c r="S4870">
        <v>-3.220215</v>
      </c>
      <c r="T4870">
        <v>-0.1928047</v>
      </c>
      <c r="U4870">
        <v>-7.3471069999999999E-2</v>
      </c>
      <c r="V4870">
        <v>-6.208615E-2</v>
      </c>
      <c r="W4870">
        <v>0.3228453</v>
      </c>
      <c r="X4870">
        <v>0.94441319999999995</v>
      </c>
      <c r="Y4870">
        <v>-1.664415E-2</v>
      </c>
      <c r="Z4870">
        <v>-3.3364009999999999E-4</v>
      </c>
      <c r="AA4870">
        <v>0.99986140000000001</v>
      </c>
      <c r="AB4870">
        <v>45</v>
      </c>
      <c r="AC4870">
        <v>-17.857700000000001</v>
      </c>
      <c r="AD4870">
        <v>-1.1101337650900001</v>
      </c>
      <c r="AE4870">
        <v>-0.418800000000004</v>
      </c>
      <c r="AF4870">
        <v>-0.30802187499924399</v>
      </c>
      <c r="AG4870">
        <v>-1.1101337650900001</v>
      </c>
      <c r="AH4870">
        <v>17.7912163232354</v>
      </c>
      <c r="AI4870">
        <v>93.569971108466405</v>
      </c>
      <c r="AJ4870">
        <v>90.991870937704405</v>
      </c>
      <c r="AK4870">
        <v>17.8284786987569</v>
      </c>
      <c r="AL4870">
        <v>71.164916549527007</v>
      </c>
      <c r="AM4870">
        <v>93.761238186021799</v>
      </c>
      <c r="AN4870">
        <v>1.0000000350440701</v>
      </c>
    </row>
    <row r="4871" spans="1:40" x14ac:dyDescent="0.25">
      <c r="A4871" t="str">
        <f>"20190304164223783"</f>
        <v>20190304164223783</v>
      </c>
      <c r="B4871" t="str">
        <f>"1551688943775691"</f>
        <v>1551688943775691</v>
      </c>
      <c r="C4871" t="s">
        <v>40</v>
      </c>
      <c r="D4871">
        <v>4.2174019999999999</v>
      </c>
      <c r="E4871">
        <v>0.52332670000000003</v>
      </c>
      <c r="F4871" t="s">
        <v>53</v>
      </c>
      <c r="G4871">
        <v>-297.24810000000002</v>
      </c>
      <c r="H4871" s="1">
        <v>-8.6824110000000002E-6</v>
      </c>
      <c r="I4871">
        <v>141.1104</v>
      </c>
      <c r="J4871">
        <v>-278.96660000000003</v>
      </c>
      <c r="K4871">
        <v>1.110139</v>
      </c>
      <c r="L4871">
        <v>141.54570000000001</v>
      </c>
      <c r="M4871">
        <v>-0.99987950000000003</v>
      </c>
      <c r="N4871">
        <v>-1.423698E-2</v>
      </c>
      <c r="O4871">
        <v>-6.2125870000000003E-3</v>
      </c>
      <c r="P4871">
        <v>-0.94848169999999998</v>
      </c>
      <c r="Q4871">
        <v>0.30952489999999999</v>
      </c>
      <c r="R4871">
        <v>-6.7655660000000006E-2</v>
      </c>
      <c r="S4871">
        <v>-3.2199710000000001</v>
      </c>
      <c r="T4871">
        <v>-0.19073870000000001</v>
      </c>
      <c r="U4871">
        <v>-7.5286870000000006E-2</v>
      </c>
      <c r="V4871">
        <v>-6.181764E-2</v>
      </c>
      <c r="W4871">
        <v>0.322992</v>
      </c>
      <c r="X4871">
        <v>0.94438060000000001</v>
      </c>
      <c r="Y4871">
        <v>-1.7131899999999999E-2</v>
      </c>
      <c r="Z4871">
        <v>-3.4976439999999999E-4</v>
      </c>
      <c r="AA4871">
        <v>0.9998532</v>
      </c>
      <c r="AB4871">
        <v>45</v>
      </c>
      <c r="AC4871">
        <v>-18.281499999999902</v>
      </c>
      <c r="AD4871">
        <v>-1.1101476824109999</v>
      </c>
      <c r="AE4871">
        <v>-0.43530000000001201</v>
      </c>
      <c r="AF4871">
        <v>-0.32052341731024803</v>
      </c>
      <c r="AG4871">
        <v>-1.1101476824109999</v>
      </c>
      <c r="AH4871">
        <v>18.216714765979699</v>
      </c>
      <c r="AI4871">
        <v>93.486819881537699</v>
      </c>
      <c r="AJ4871">
        <v>91.008016236630695</v>
      </c>
      <c r="AK4871">
        <v>18.253324628759199</v>
      </c>
      <c r="AL4871">
        <v>71.156034495210804</v>
      </c>
      <c r="AM4871">
        <v>93.745146895242002</v>
      </c>
      <c r="AN4871">
        <v>0.99999998516776401</v>
      </c>
    </row>
    <row r="4872" spans="1:40" x14ac:dyDescent="0.25">
      <c r="A4872" t="str">
        <f>"20190304164223803"</f>
        <v>20190304164223803</v>
      </c>
      <c r="B4872" t="str">
        <f>"1551688943795956"</f>
        <v>1551688943795956</v>
      </c>
      <c r="C4872" t="s">
        <v>40</v>
      </c>
      <c r="D4872">
        <v>4.1777620000000004</v>
      </c>
      <c r="E4872">
        <v>0.52313140000000002</v>
      </c>
      <c r="F4872" t="s">
        <v>53</v>
      </c>
      <c r="G4872">
        <v>-297.68990000000002</v>
      </c>
      <c r="H4872" s="1">
        <v>-8.6406479999999995E-6</v>
      </c>
      <c r="I4872">
        <v>141.0992</v>
      </c>
      <c r="J4872">
        <v>-279.39210000000003</v>
      </c>
      <c r="K4872">
        <v>1.1101460000000001</v>
      </c>
      <c r="L4872">
        <v>141.54300000000001</v>
      </c>
      <c r="M4872">
        <v>-0.99987649999999995</v>
      </c>
      <c r="N4872">
        <v>-1.4406530000000001E-2</v>
      </c>
      <c r="O4872">
        <v>-6.2836919999999996E-3</v>
      </c>
      <c r="P4872">
        <v>-0.94838789999999995</v>
      </c>
      <c r="Q4872">
        <v>0.30971169999999998</v>
      </c>
      <c r="R4872">
        <v>-6.8110729999999994E-2</v>
      </c>
      <c r="S4872">
        <v>-3.219757</v>
      </c>
      <c r="T4872">
        <v>-0.19090689999999999</v>
      </c>
      <c r="U4872">
        <v>-7.6782230000000007E-2</v>
      </c>
      <c r="V4872">
        <v>-6.2207499999999999E-2</v>
      </c>
      <c r="W4872">
        <v>0.32333709999999999</v>
      </c>
      <c r="X4872">
        <v>0.94423690000000005</v>
      </c>
      <c r="Y4872">
        <v>-1.7525470000000001E-2</v>
      </c>
      <c r="Z4872">
        <v>-3.6371020000000001E-4</v>
      </c>
      <c r="AA4872">
        <v>0.99984629999999997</v>
      </c>
      <c r="AB4872">
        <v>45</v>
      </c>
      <c r="AC4872">
        <v>-18.297799999999899</v>
      </c>
      <c r="AD4872">
        <v>-1.1101546406479901</v>
      </c>
      <c r="AE4872">
        <v>-0.44380000000001002</v>
      </c>
      <c r="AF4872">
        <v>-0.327596383428854</v>
      </c>
      <c r="AG4872">
        <v>-1.1101546406479901</v>
      </c>
      <c r="AH4872">
        <v>18.233150380532699</v>
      </c>
      <c r="AI4872">
        <v>93.483683356634998</v>
      </c>
      <c r="AJ4872">
        <v>91.0293268258457</v>
      </c>
      <c r="AK4872">
        <v>18.269853188126799</v>
      </c>
      <c r="AL4872">
        <v>71.135140675276403</v>
      </c>
      <c r="AM4872">
        <v>93.769270128257801</v>
      </c>
      <c r="AN4872">
        <v>0.99999998830713499</v>
      </c>
    </row>
    <row r="4873" spans="1:40" x14ac:dyDescent="0.25">
      <c r="A4873" t="str">
        <f>"20190304164223826"</f>
        <v>20190304164223826</v>
      </c>
      <c r="B4873" t="str">
        <f>"1551688943816452"</f>
        <v>1551688943816452</v>
      </c>
      <c r="C4873" t="s">
        <v>40</v>
      </c>
      <c r="D4873">
        <v>4.1421349999999997</v>
      </c>
      <c r="E4873">
        <v>0.52303520000000003</v>
      </c>
      <c r="F4873" t="s">
        <v>53</v>
      </c>
      <c r="G4873">
        <v>-298.1703</v>
      </c>
      <c r="H4873" s="1">
        <v>-8.5929020000000008E-6</v>
      </c>
      <c r="I4873">
        <v>141.07820000000001</v>
      </c>
      <c r="J4873">
        <v>-279.8349</v>
      </c>
      <c r="K4873">
        <v>1.110158</v>
      </c>
      <c r="L4873">
        <v>141.5402</v>
      </c>
      <c r="M4873">
        <v>-0.99987400000000004</v>
      </c>
      <c r="N4873">
        <v>-1.4560119999999999E-2</v>
      </c>
      <c r="O4873">
        <v>-6.3580249999999998E-3</v>
      </c>
      <c r="P4873">
        <v>-0.94817090000000004</v>
      </c>
      <c r="Q4873">
        <v>0.3102954</v>
      </c>
      <c r="R4873">
        <v>-6.8477640000000006E-2</v>
      </c>
      <c r="S4873">
        <v>-3.2196660000000001</v>
      </c>
      <c r="T4873">
        <v>-0.1903435</v>
      </c>
      <c r="U4873">
        <v>-7.9696660000000002E-2</v>
      </c>
      <c r="V4873">
        <v>-6.2506290000000006E-2</v>
      </c>
      <c r="W4873">
        <v>0.32406259999999998</v>
      </c>
      <c r="X4873">
        <v>0.94396840000000004</v>
      </c>
      <c r="Y4873">
        <v>-1.8354619999999999E-2</v>
      </c>
      <c r="Z4873">
        <v>-3.928135E-4</v>
      </c>
      <c r="AA4873">
        <v>0.99983140000000004</v>
      </c>
      <c r="AB4873">
        <v>45</v>
      </c>
      <c r="AC4873">
        <v>-18.3354</v>
      </c>
      <c r="AD4873">
        <v>-1.1101665929019999</v>
      </c>
      <c r="AE4873">
        <v>-0.46199999999998898</v>
      </c>
      <c r="AF4873">
        <v>-0.34414056710208701</v>
      </c>
      <c r="AG4873">
        <v>-1.1101665929019999</v>
      </c>
      <c r="AH4873">
        <v>18.2710274760475</v>
      </c>
      <c r="AI4873">
        <v>93.476461121599101</v>
      </c>
      <c r="AJ4873">
        <v>91.079056490969194</v>
      </c>
      <c r="AK4873">
        <v>18.307958587029901</v>
      </c>
      <c r="AL4873">
        <v>71.091206890895705</v>
      </c>
      <c r="AM4873">
        <v>93.788395934713506</v>
      </c>
      <c r="AN4873">
        <v>0.99999997260344098</v>
      </c>
    </row>
    <row r="4874" spans="1:40" x14ac:dyDescent="0.25">
      <c r="A4874" t="str">
        <f>"20190304164223848"</f>
        <v>20190304164223848</v>
      </c>
      <c r="B4874" t="str">
        <f>"1551688943835972"</f>
        <v>1551688943835972</v>
      </c>
      <c r="C4874" t="s">
        <v>40</v>
      </c>
      <c r="D4874">
        <v>4.1201720000000002</v>
      </c>
      <c r="E4874">
        <v>0.52297629999999995</v>
      </c>
      <c r="F4874" t="s">
        <v>53</v>
      </c>
      <c r="G4874">
        <v>-298.81169999999997</v>
      </c>
      <c r="H4874" s="1">
        <v>-8.5314600000000001E-6</v>
      </c>
      <c r="I4874">
        <v>141.05889999999999</v>
      </c>
      <c r="J4874">
        <v>-280.2824</v>
      </c>
      <c r="K4874">
        <v>1.1101730000000001</v>
      </c>
      <c r="L4874">
        <v>141.53720000000001</v>
      </c>
      <c r="M4874">
        <v>-0.99987139999999997</v>
      </c>
      <c r="N4874">
        <v>-1.469464E-2</v>
      </c>
      <c r="O4874">
        <v>-6.4332950000000003E-3</v>
      </c>
      <c r="P4874">
        <v>-0.94782560000000005</v>
      </c>
      <c r="Q4874">
        <v>0.3112065</v>
      </c>
      <c r="R4874">
        <v>-6.9119570000000005E-2</v>
      </c>
      <c r="S4874">
        <v>-3.2197269999999998</v>
      </c>
      <c r="T4874">
        <v>-0.18835750000000001</v>
      </c>
      <c r="U4874">
        <v>-8.1665039999999994E-2</v>
      </c>
      <c r="V4874">
        <v>-6.3079479999999993E-2</v>
      </c>
      <c r="W4874">
        <v>0.32509549999999998</v>
      </c>
      <c r="X4874">
        <v>0.9435751</v>
      </c>
      <c r="Y4874">
        <v>-1.8889130000000001E-2</v>
      </c>
      <c r="Z4874">
        <v>-4.0942289999999998E-4</v>
      </c>
      <c r="AA4874">
        <v>0.99982150000000003</v>
      </c>
      <c r="AB4874">
        <v>45</v>
      </c>
      <c r="AC4874">
        <v>-18.5292999999999</v>
      </c>
      <c r="AD4874">
        <v>-1.1101815314600001</v>
      </c>
      <c r="AE4874">
        <v>-0.47830000000001799</v>
      </c>
      <c r="AF4874">
        <v>-0.357789247174643</v>
      </c>
      <c r="AG4874">
        <v>-1.1101815314600001</v>
      </c>
      <c r="AH4874">
        <v>18.465749686289801</v>
      </c>
      <c r="AI4874">
        <v>93.439900920807403</v>
      </c>
      <c r="AJ4874">
        <v>91.110014452602698</v>
      </c>
      <c r="AK4874">
        <v>18.5025519227727</v>
      </c>
      <c r="AL4874">
        <v>71.0286398052625</v>
      </c>
      <c r="AM4874">
        <v>93.824622198995002</v>
      </c>
      <c r="AN4874">
        <v>1.0000000371286599</v>
      </c>
    </row>
    <row r="4875" spans="1:40" x14ac:dyDescent="0.25">
      <c r="A4875" t="str">
        <f>"20190304164223873"</f>
        <v>20190304164223873</v>
      </c>
      <c r="B4875" t="str">
        <f>"1551688943866228"</f>
        <v>1551688943866228</v>
      </c>
      <c r="C4875" t="s">
        <v>40</v>
      </c>
      <c r="D4875">
        <v>4.059418</v>
      </c>
      <c r="E4875">
        <v>0.52291239999999894</v>
      </c>
      <c r="F4875" t="s">
        <v>53</v>
      </c>
      <c r="G4875">
        <v>-299.67290000000003</v>
      </c>
      <c r="H4875" s="1">
        <v>-8.4470739999999997E-6</v>
      </c>
      <c r="I4875">
        <v>141.0257</v>
      </c>
      <c r="J4875">
        <v>-280.76679999999999</v>
      </c>
      <c r="K4875">
        <v>1.1101780000000001</v>
      </c>
      <c r="L4875">
        <v>141.5341</v>
      </c>
      <c r="M4875">
        <v>-0.99986900000000001</v>
      </c>
      <c r="N4875">
        <v>-1.481973E-2</v>
      </c>
      <c r="O4875">
        <v>-6.514939E-3</v>
      </c>
      <c r="P4875">
        <v>-0.94734499999999999</v>
      </c>
      <c r="Q4875">
        <v>0.31249510000000003</v>
      </c>
      <c r="R4875">
        <v>-6.9889339999999994E-2</v>
      </c>
      <c r="S4875">
        <v>-3.219452</v>
      </c>
      <c r="T4875">
        <v>-0.1843262</v>
      </c>
      <c r="U4875">
        <v>-8.4930420000000006E-2</v>
      </c>
      <c r="V4875">
        <v>-6.3776280000000005E-2</v>
      </c>
      <c r="W4875">
        <v>0.32649479999999997</v>
      </c>
      <c r="X4875">
        <v>0.94304489999999996</v>
      </c>
      <c r="Y4875">
        <v>-1.9822280000000001E-2</v>
      </c>
      <c r="Z4875">
        <v>-4.3781030000000001E-4</v>
      </c>
      <c r="AA4875">
        <v>0.99980340000000001</v>
      </c>
      <c r="AB4875">
        <v>45</v>
      </c>
      <c r="AC4875">
        <v>-18.906099999999999</v>
      </c>
      <c r="AD4875">
        <v>-1.1101864470739999</v>
      </c>
      <c r="AE4875">
        <v>-0.50839999999999397</v>
      </c>
      <c r="AF4875">
        <v>-0.38388086939053601</v>
      </c>
      <c r="AG4875">
        <v>-1.1101864470739999</v>
      </c>
      <c r="AH4875">
        <v>18.844080704306101</v>
      </c>
      <c r="AI4875">
        <v>93.370947584576101</v>
      </c>
      <c r="AJ4875">
        <v>91.167035536636803</v>
      </c>
      <c r="AK4875">
        <v>18.880658252814001</v>
      </c>
      <c r="AL4875">
        <v>70.943837909232499</v>
      </c>
      <c r="AM4875">
        <v>93.868910332391593</v>
      </c>
      <c r="AN4875">
        <v>0.99999997586684297</v>
      </c>
    </row>
    <row r="4876" spans="1:40" x14ac:dyDescent="0.25">
      <c r="A4876" t="str">
        <f>"20190304164223894"</f>
        <v>20190304164223894</v>
      </c>
      <c r="B4876" t="str">
        <f>"1551688943885748"</f>
        <v>1551688943885748</v>
      </c>
      <c r="C4876" t="s">
        <v>40</v>
      </c>
      <c r="D4876">
        <v>4.0338979999999998</v>
      </c>
      <c r="E4876">
        <v>0.52289379999999996</v>
      </c>
      <c r="F4876" t="s">
        <v>53</v>
      </c>
      <c r="G4876">
        <v>-300.76319999999998</v>
      </c>
      <c r="H4876" s="1">
        <v>-8.5561919999999993E-6</v>
      </c>
      <c r="I4876">
        <v>140.99260000000001</v>
      </c>
      <c r="J4876">
        <v>-281.19929999999999</v>
      </c>
      <c r="K4876">
        <v>1.110188</v>
      </c>
      <c r="L4876">
        <v>141.53120000000001</v>
      </c>
      <c r="M4876">
        <v>-0.99986710000000001</v>
      </c>
      <c r="N4876">
        <v>-1.4915650000000001E-2</v>
      </c>
      <c r="O4876">
        <v>-6.5876669999999898E-3</v>
      </c>
      <c r="P4876">
        <v>-0.94746710000000001</v>
      </c>
      <c r="Q4876">
        <v>0.31209330000000002</v>
      </c>
      <c r="R4876">
        <v>-7.0027399999999906E-2</v>
      </c>
      <c r="S4876">
        <v>-3.2192690000000002</v>
      </c>
      <c r="T4876">
        <v>-0.1787319</v>
      </c>
      <c r="U4876">
        <v>-8.7173459999999994E-2</v>
      </c>
      <c r="V4876">
        <v>-6.3845089999999993E-2</v>
      </c>
      <c r="W4876">
        <v>0.32618560000000002</v>
      </c>
      <c r="X4876">
        <v>0.94314719999999996</v>
      </c>
      <c r="Y4876">
        <v>-2.044764E-2</v>
      </c>
      <c r="Z4876">
        <v>-4.525695E-4</v>
      </c>
      <c r="AA4876">
        <v>0.99979079999999998</v>
      </c>
      <c r="AB4876">
        <v>45</v>
      </c>
      <c r="AC4876">
        <v>-19.563899999999901</v>
      </c>
      <c r="AD4876">
        <v>-1.110196556192</v>
      </c>
      <c r="AE4876">
        <v>-0.53860000000000197</v>
      </c>
      <c r="AF4876">
        <v>-0.40837943325008602</v>
      </c>
      <c r="AG4876">
        <v>-1.110196556192</v>
      </c>
      <c r="AH4876">
        <v>19.504262969078301</v>
      </c>
      <c r="AI4876">
        <v>93.257088935529296</v>
      </c>
      <c r="AJ4876">
        <v>91.199481345570504</v>
      </c>
      <c r="AK4876">
        <v>19.540101947580499</v>
      </c>
      <c r="AL4876">
        <v>70.9625791518651</v>
      </c>
      <c r="AM4876">
        <v>93.872653088807596</v>
      </c>
      <c r="AN4876">
        <v>0.99999994101615197</v>
      </c>
    </row>
    <row r="4877" spans="1:40" x14ac:dyDescent="0.25">
      <c r="A4877" t="str">
        <f>"20190304164223916"</f>
        <v>20190304164223916</v>
      </c>
      <c r="B4877" t="str">
        <f>"1551688943906243"</f>
        <v>1551688943906243</v>
      </c>
      <c r="C4877" t="s">
        <v>40</v>
      </c>
      <c r="D4877">
        <v>4.0849380000000002</v>
      </c>
      <c r="E4877">
        <v>0.5228969</v>
      </c>
      <c r="F4877" t="s">
        <v>53</v>
      </c>
      <c r="G4877">
        <v>-301.14210000000003</v>
      </c>
      <c r="H4877" s="1">
        <v>-8.6226799999999999E-6</v>
      </c>
      <c r="I4877">
        <v>140.98990000000001</v>
      </c>
      <c r="J4877">
        <v>-281.6404</v>
      </c>
      <c r="K4877">
        <v>1.1102019999999999</v>
      </c>
      <c r="L4877">
        <v>141.5282</v>
      </c>
      <c r="M4877">
        <v>-0.99986540000000002</v>
      </c>
      <c r="N4877">
        <v>-1.4999820000000001E-2</v>
      </c>
      <c r="O4877">
        <v>-6.662215E-3</v>
      </c>
      <c r="P4877">
        <v>-0.9476078</v>
      </c>
      <c r="Q4877">
        <v>0.31167689999999998</v>
      </c>
      <c r="R4877">
        <v>-6.9980790000000001E-2</v>
      </c>
      <c r="S4877">
        <v>-3.218842</v>
      </c>
      <c r="T4877">
        <v>-0.17919019999999999</v>
      </c>
      <c r="U4877">
        <v>-8.7371829999999998E-2</v>
      </c>
      <c r="V4877">
        <v>-6.3726950000000004E-2</v>
      </c>
      <c r="W4877">
        <v>0.32585019999999998</v>
      </c>
      <c r="X4877">
        <v>0.94327119999999998</v>
      </c>
      <c r="Y4877">
        <v>-2.0438100000000001E-2</v>
      </c>
      <c r="Z4877">
        <v>-4.5116390000000001E-4</v>
      </c>
      <c r="AA4877">
        <v>0.99979099999999999</v>
      </c>
      <c r="AB4877">
        <v>45</v>
      </c>
      <c r="AC4877">
        <v>-19.5017</v>
      </c>
      <c r="AD4877">
        <v>-1.1102106226799999</v>
      </c>
      <c r="AE4877">
        <v>-0.53829999999999201</v>
      </c>
      <c r="AF4877">
        <v>-0.40703078457411401</v>
      </c>
      <c r="AG4877">
        <v>-1.1102106226799999</v>
      </c>
      <c r="AH4877">
        <v>19.441892493688002</v>
      </c>
      <c r="AI4877">
        <v>93.267556681115707</v>
      </c>
      <c r="AJ4877">
        <v>91.199355449839501</v>
      </c>
      <c r="AK4877">
        <v>19.4778188055651</v>
      </c>
      <c r="AL4877">
        <v>70.982908284570499</v>
      </c>
      <c r="AM4877">
        <v>93.865002203559001</v>
      </c>
      <c r="AN4877">
        <v>1.00000001687289</v>
      </c>
    </row>
    <row r="4878" spans="1:40" x14ac:dyDescent="0.25">
      <c r="A4878" t="str">
        <f>"20190304164223938"</f>
        <v>20190304164223938</v>
      </c>
      <c r="B4878" t="str">
        <f>"1551688943925764"</f>
        <v>1551688943925764</v>
      </c>
      <c r="C4878" t="s">
        <v>40</v>
      </c>
      <c r="D4878">
        <v>3.9706060000000001</v>
      </c>
      <c r="E4878">
        <v>0.52290270000000005</v>
      </c>
      <c r="F4878" t="s">
        <v>53</v>
      </c>
      <c r="G4878">
        <v>-301.49310000000003</v>
      </c>
      <c r="H4878" s="1">
        <v>-8.6799490000000004E-6</v>
      </c>
      <c r="I4878">
        <v>140.9915</v>
      </c>
      <c r="J4878">
        <v>-282.0779</v>
      </c>
      <c r="K4878">
        <v>1.110222</v>
      </c>
      <c r="L4878">
        <v>141.52529999999999</v>
      </c>
      <c r="M4878">
        <v>-0.99986379999999997</v>
      </c>
      <c r="N4878">
        <v>-1.50714E-2</v>
      </c>
      <c r="O4878">
        <v>-6.7364269999999997E-3</v>
      </c>
      <c r="P4878">
        <v>-0.94723089999999999</v>
      </c>
      <c r="Q4878">
        <v>0.31275839999999999</v>
      </c>
      <c r="R4878">
        <v>-7.0256239999999998E-2</v>
      </c>
      <c r="S4878">
        <v>-3.2185969999999999</v>
      </c>
      <c r="T4878">
        <v>-0.17999179999999901</v>
      </c>
      <c r="U4878">
        <v>-8.702087E-2</v>
      </c>
      <c r="V4878">
        <v>-6.3935039999999999E-2</v>
      </c>
      <c r="W4878">
        <v>0.3269937</v>
      </c>
      <c r="X4878">
        <v>0.94286130000000001</v>
      </c>
      <c r="Y4878">
        <v>-2.025712E-2</v>
      </c>
      <c r="Z4878">
        <v>-4.4382340000000001E-4</v>
      </c>
      <c r="AA4878">
        <v>0.99979470000000004</v>
      </c>
      <c r="AB4878">
        <v>45</v>
      </c>
      <c r="AC4878">
        <v>-19.415199999999999</v>
      </c>
      <c r="AD4878">
        <v>-1.110230679949</v>
      </c>
      <c r="AE4878">
        <v>-0.53379999999998495</v>
      </c>
      <c r="AF4878">
        <v>-0.40167150217057901</v>
      </c>
      <c r="AG4878">
        <v>-1.110230679949</v>
      </c>
      <c r="AH4878">
        <v>19.355113003664801</v>
      </c>
      <c r="AI4878">
        <v>93.282246611264895</v>
      </c>
      <c r="AJ4878">
        <v>91.188873389872199</v>
      </c>
      <c r="AK4878">
        <v>19.391089488293101</v>
      </c>
      <c r="AL4878">
        <v>70.913593464805302</v>
      </c>
      <c r="AM4878">
        <v>93.879264899165605</v>
      </c>
      <c r="AN4878">
        <v>1.00000000010859</v>
      </c>
    </row>
    <row r="4879" spans="1:40" x14ac:dyDescent="0.25">
      <c r="A4879" t="str">
        <f>"20190304164223961"</f>
        <v>20190304164223961</v>
      </c>
      <c r="B4879" t="str">
        <f>"1551688943956020"</f>
        <v>1551688943956020</v>
      </c>
      <c r="C4879" t="s">
        <v>40</v>
      </c>
      <c r="D4879">
        <v>3.947241</v>
      </c>
      <c r="E4879">
        <v>0.52292680000000002</v>
      </c>
      <c r="F4879" t="s">
        <v>53</v>
      </c>
      <c r="G4879">
        <v>-302.3947</v>
      </c>
      <c r="H4879" s="1">
        <v>-8.8045860000000004E-6</v>
      </c>
      <c r="I4879">
        <v>140.9752</v>
      </c>
      <c r="J4879">
        <v>-282.54039999999998</v>
      </c>
      <c r="K4879">
        <v>1.1102339999999999</v>
      </c>
      <c r="L4879">
        <v>141.52209999999999</v>
      </c>
      <c r="M4879">
        <v>-0.99986229999999998</v>
      </c>
      <c r="N4879">
        <v>-1.513624E-2</v>
      </c>
      <c r="O4879">
        <v>-6.8149999999999999E-3</v>
      </c>
      <c r="P4879">
        <v>-0.94690719999999995</v>
      </c>
      <c r="Q4879">
        <v>0.31378159999999999</v>
      </c>
      <c r="R4879">
        <v>-7.0059170000000004E-2</v>
      </c>
      <c r="S4879">
        <v>-3.21875</v>
      </c>
      <c r="T4879">
        <v>-0.1758914</v>
      </c>
      <c r="U4879">
        <v>-8.7142940000000002E-2</v>
      </c>
      <c r="V4879">
        <v>-6.3666139999999996E-2</v>
      </c>
      <c r="W4879">
        <v>0.32807320000000001</v>
      </c>
      <c r="X4879">
        <v>0.94250440000000002</v>
      </c>
      <c r="Y4879">
        <v>-2.021651E-2</v>
      </c>
      <c r="Z4879">
        <v>-4.3607789999999997E-4</v>
      </c>
      <c r="AA4879">
        <v>0.99979560000000001</v>
      </c>
      <c r="AB4879">
        <v>45</v>
      </c>
      <c r="AC4879">
        <v>-19.854299999999999</v>
      </c>
      <c r="AD4879">
        <v>-1.110242804586</v>
      </c>
      <c r="AE4879">
        <v>-0.54689999999999295</v>
      </c>
      <c r="AF4879">
        <v>-0.41028277298434401</v>
      </c>
      <c r="AG4879">
        <v>-1.110242804586</v>
      </c>
      <c r="AH4879">
        <v>19.795712278560099</v>
      </c>
      <c r="AI4879">
        <v>93.209383839320495</v>
      </c>
      <c r="AJ4879">
        <v>91.187333189904294</v>
      </c>
      <c r="AK4879">
        <v>19.8310664275646</v>
      </c>
      <c r="AL4879">
        <v>70.848131232215096</v>
      </c>
      <c r="AM4879">
        <v>93.864457245785104</v>
      </c>
      <c r="AN4879">
        <v>0.99999997298004895</v>
      </c>
    </row>
    <row r="4880" spans="1:40" x14ac:dyDescent="0.25">
      <c r="A4880" t="str">
        <f>"20190304164223984"</f>
        <v>20190304164223984</v>
      </c>
      <c r="B4880" t="str">
        <f>"1551688943975540"</f>
        <v>1551688943975540</v>
      </c>
      <c r="C4880" t="s">
        <v>40</v>
      </c>
      <c r="D4880">
        <v>3.9222199999999998</v>
      </c>
      <c r="E4880">
        <v>0.52295130000000001</v>
      </c>
      <c r="F4880" t="s">
        <v>53</v>
      </c>
      <c r="G4880">
        <v>-303.30630000000002</v>
      </c>
      <c r="H4880" s="1">
        <v>-8.9296520000000006E-6</v>
      </c>
      <c r="I4880">
        <v>140.9555</v>
      </c>
      <c r="J4880">
        <v>-282.98489999999998</v>
      </c>
      <c r="K4880">
        <v>1.110242</v>
      </c>
      <c r="L4880">
        <v>141.51900000000001</v>
      </c>
      <c r="M4880">
        <v>-0.999861</v>
      </c>
      <c r="N4880">
        <v>-1.518867E-2</v>
      </c>
      <c r="O4880">
        <v>-6.8908579999999997E-3</v>
      </c>
      <c r="P4880">
        <v>-0.94665790000000005</v>
      </c>
      <c r="Q4880">
        <v>0.31456089999999998</v>
      </c>
      <c r="R4880">
        <v>-6.9932240000000007E-2</v>
      </c>
      <c r="S4880">
        <v>-3.21875</v>
      </c>
      <c r="T4880">
        <v>-0.17208909999999999</v>
      </c>
      <c r="U4880">
        <v>-8.7814329999999996E-2</v>
      </c>
      <c r="V4880">
        <v>-6.3469310000000001E-2</v>
      </c>
      <c r="W4880">
        <v>0.32889829999999998</v>
      </c>
      <c r="X4880">
        <v>0.94223009999999996</v>
      </c>
      <c r="Y4880">
        <v>-2.0349969999999998E-2</v>
      </c>
      <c r="Z4880">
        <v>-4.3476019999999998E-4</v>
      </c>
      <c r="AA4880">
        <v>0.99979280000000004</v>
      </c>
      <c r="AB4880">
        <v>45</v>
      </c>
      <c r="AC4880">
        <v>-20.321400000000001</v>
      </c>
      <c r="AD4880">
        <v>-1.110250929652</v>
      </c>
      <c r="AE4880">
        <v>-0.563500000000004</v>
      </c>
      <c r="AF4880">
        <v>-0.42217938489562401</v>
      </c>
      <c r="AG4880">
        <v>-1.110250929652</v>
      </c>
      <c r="AH4880">
        <v>20.2643595149239</v>
      </c>
      <c r="AI4880">
        <v>93.1353271899373</v>
      </c>
      <c r="AJ4880">
        <v>91.193504200247204</v>
      </c>
      <c r="AK4880">
        <v>20.299141831858499</v>
      </c>
      <c r="AL4880">
        <v>70.798079633694201</v>
      </c>
      <c r="AM4880">
        <v>93.853664103822695</v>
      </c>
      <c r="AN4880">
        <v>1.00000000320038</v>
      </c>
    </row>
    <row r="4881" spans="1:40" x14ac:dyDescent="0.25">
      <c r="A4881" t="str">
        <f>"20190304164224004"</f>
        <v>20190304164224004</v>
      </c>
      <c r="B4881" t="str">
        <f>"1551688943996036"</f>
        <v>1551688943996036</v>
      </c>
      <c r="C4881" t="s">
        <v>40</v>
      </c>
      <c r="D4881">
        <v>3.8915169999999999</v>
      </c>
      <c r="E4881">
        <v>0.52297039999999995</v>
      </c>
      <c r="F4881" t="s">
        <v>53</v>
      </c>
      <c r="G4881">
        <v>-304.09399999999999</v>
      </c>
      <c r="H4881" s="1">
        <v>-9.0381069999999999E-6</v>
      </c>
      <c r="I4881">
        <v>140.93989999999999</v>
      </c>
      <c r="J4881">
        <v>-283.40890000000002</v>
      </c>
      <c r="K4881">
        <v>1.1102459999999901</v>
      </c>
      <c r="L4881">
        <v>141.51599999999999</v>
      </c>
      <c r="M4881">
        <v>-0.99985979999999997</v>
      </c>
      <c r="N4881">
        <v>-1.523126E-2</v>
      </c>
      <c r="O4881">
        <v>-6.9630650000000001E-3</v>
      </c>
      <c r="P4881">
        <v>-0.94654099999999997</v>
      </c>
      <c r="Q4881">
        <v>0.31492769999999998</v>
      </c>
      <c r="R4881">
        <v>-6.9861960000000001E-2</v>
      </c>
      <c r="S4881">
        <v>-3.2188110000000001</v>
      </c>
      <c r="T4881">
        <v>-0.169296</v>
      </c>
      <c r="U4881">
        <v>-8.8302610000000004E-2</v>
      </c>
      <c r="V4881">
        <v>-6.3331349999999995E-2</v>
      </c>
      <c r="W4881">
        <v>0.32930350000000003</v>
      </c>
      <c r="X4881">
        <v>0.94209779999999999</v>
      </c>
      <c r="Y4881">
        <v>-2.0429510000000001E-2</v>
      </c>
      <c r="Z4881">
        <v>-4.3264019999999999E-4</v>
      </c>
      <c r="AA4881">
        <v>0.99979119999999999</v>
      </c>
      <c r="AB4881">
        <v>45</v>
      </c>
      <c r="AC4881">
        <v>-20.685099999999899</v>
      </c>
      <c r="AD4881">
        <v>-1.11025503810699</v>
      </c>
      <c r="AE4881">
        <v>-0.57609999999999595</v>
      </c>
      <c r="AF4881">
        <v>-0.43079750325727201</v>
      </c>
      <c r="AG4881">
        <v>-1.11025503810699</v>
      </c>
      <c r="AH4881">
        <v>20.629225358142801</v>
      </c>
      <c r="AI4881">
        <v>93.079989097462104</v>
      </c>
      <c r="AJ4881">
        <v>91.196326631258302</v>
      </c>
      <c r="AK4881">
        <v>20.663571608400499</v>
      </c>
      <c r="AL4881">
        <v>70.773492959834101</v>
      </c>
      <c r="AM4881">
        <v>93.845851130230599</v>
      </c>
      <c r="AN4881">
        <v>0.99999995988495505</v>
      </c>
    </row>
    <row r="4882" spans="1:40" x14ac:dyDescent="0.25">
      <c r="A4882" t="str">
        <f>"20190304164224027"</f>
        <v>20190304164224027</v>
      </c>
      <c r="B4882" t="str">
        <f>"1551688944015556"</f>
        <v>1551688944015556</v>
      </c>
      <c r="C4882" t="s">
        <v>40</v>
      </c>
      <c r="D4882">
        <v>3.9085709999999998</v>
      </c>
      <c r="E4882">
        <v>0.52298990000000001</v>
      </c>
      <c r="F4882" t="s">
        <v>53</v>
      </c>
      <c r="G4882">
        <v>-304.70089999999999</v>
      </c>
      <c r="H4882" s="1">
        <v>-9.1244509999999998E-6</v>
      </c>
      <c r="I4882">
        <v>140.93709999999999</v>
      </c>
      <c r="J4882">
        <v>-283.851</v>
      </c>
      <c r="K4882">
        <v>1.110252</v>
      </c>
      <c r="L4882">
        <v>141.5129</v>
      </c>
      <c r="M4882">
        <v>-0.99985880000000005</v>
      </c>
      <c r="N4882">
        <v>-1.526889E-2</v>
      </c>
      <c r="O4882">
        <v>-7.0384530000000001E-3</v>
      </c>
      <c r="P4882">
        <v>-0.94654700000000003</v>
      </c>
      <c r="Q4882">
        <v>0.31492809999999999</v>
      </c>
      <c r="R4882">
        <v>-6.9781170000000003E-2</v>
      </c>
      <c r="S4882">
        <v>-3.218842</v>
      </c>
      <c r="T4882">
        <v>-0.1678442</v>
      </c>
      <c r="U4882">
        <v>-8.7509160000000002E-2</v>
      </c>
      <c r="V4882">
        <v>-6.3179139999999995E-2</v>
      </c>
      <c r="W4882">
        <v>0.329339099999999</v>
      </c>
      <c r="X4882">
        <v>0.94209560000000003</v>
      </c>
      <c r="Y4882">
        <v>-2.0108620000000001E-2</v>
      </c>
      <c r="Z4882">
        <v>-4.1823259999999998E-4</v>
      </c>
      <c r="AA4882">
        <v>0.99979770000000001</v>
      </c>
      <c r="AB4882">
        <v>45</v>
      </c>
      <c r="AC4882">
        <v>-20.849899999999899</v>
      </c>
      <c r="AD4882">
        <v>-1.1102611244509999</v>
      </c>
      <c r="AE4882">
        <v>-0.57580000000001497</v>
      </c>
      <c r="AF4882">
        <v>-0.42780545176796902</v>
      </c>
      <c r="AG4882">
        <v>-1.1102611244509999</v>
      </c>
      <c r="AH4882">
        <v>20.794517000302601</v>
      </c>
      <c r="AI4882">
        <v>93.055589729958399</v>
      </c>
      <c r="AJ4882">
        <v>91.1785794099452</v>
      </c>
      <c r="AK4882">
        <v>20.8285293418644</v>
      </c>
      <c r="AL4882">
        <v>70.771333190292495</v>
      </c>
      <c r="AM4882">
        <v>93.8366446170253</v>
      </c>
      <c r="AN4882">
        <v>0.99999998302965398</v>
      </c>
    </row>
    <row r="4883" spans="1:40" x14ac:dyDescent="0.25">
      <c r="A4883" t="str">
        <f>"20190304164224050"</f>
        <v>20190304164224050</v>
      </c>
      <c r="B4883" t="str">
        <f>"1551688944036052"</f>
        <v>1551688944036052</v>
      </c>
      <c r="C4883" t="s">
        <v>40</v>
      </c>
      <c r="D4883">
        <v>3.8710589999999998</v>
      </c>
      <c r="E4883">
        <v>0.52298770000000006</v>
      </c>
      <c r="F4883" t="s">
        <v>53</v>
      </c>
      <c r="G4883">
        <v>-305.15300000000002</v>
      </c>
      <c r="H4883" s="1">
        <v>-9.1898410000000002E-6</v>
      </c>
      <c r="I4883">
        <v>140.93870000000001</v>
      </c>
      <c r="J4883">
        <v>-284.31740000000002</v>
      </c>
      <c r="K4883">
        <v>1.110263</v>
      </c>
      <c r="L4883">
        <v>141.5095</v>
      </c>
      <c r="M4883">
        <v>-0.99985760000000001</v>
      </c>
      <c r="N4883">
        <v>-1.530248E-2</v>
      </c>
      <c r="O4883">
        <v>-7.1178619999999904E-3</v>
      </c>
      <c r="P4883">
        <v>-0.94641010000000003</v>
      </c>
      <c r="Q4883">
        <v>0.31543959999999999</v>
      </c>
      <c r="R4883">
        <v>-6.9325479999999995E-2</v>
      </c>
      <c r="S4883">
        <v>-3.2188720000000002</v>
      </c>
      <c r="T4883">
        <v>-0.16776729999999901</v>
      </c>
      <c r="U4883">
        <v>-8.6761469999999993E-2</v>
      </c>
      <c r="V4883">
        <v>-6.2649079999999996E-2</v>
      </c>
      <c r="W4883">
        <v>0.32988030000000002</v>
      </c>
      <c r="X4883">
        <v>0.94194169999999999</v>
      </c>
      <c r="Y4883">
        <v>-1.9797479999999999E-2</v>
      </c>
      <c r="Z4883">
        <v>-4.0532920000000002E-4</v>
      </c>
      <c r="AA4883">
        <v>0.99980389999999997</v>
      </c>
      <c r="AB4883">
        <v>45</v>
      </c>
      <c r="AC4883">
        <v>-20.835599999999999</v>
      </c>
      <c r="AD4883">
        <v>-1.110272189841</v>
      </c>
      <c r="AE4883">
        <v>-0.57079999999999098</v>
      </c>
      <c r="AF4883">
        <v>-0.42126794106202797</v>
      </c>
      <c r="AG4883">
        <v>-1.110272189841</v>
      </c>
      <c r="AH4883">
        <v>20.780173679064902</v>
      </c>
      <c r="AI4883">
        <v>93.057743954072393</v>
      </c>
      <c r="AJ4883">
        <v>91.161374764270306</v>
      </c>
      <c r="AK4883">
        <v>20.814076706541702</v>
      </c>
      <c r="AL4883">
        <v>70.7384905061041</v>
      </c>
      <c r="AM4883">
        <v>93.805170673645307</v>
      </c>
      <c r="AN4883">
        <v>1.0000000428759099</v>
      </c>
    </row>
    <row r="4884" spans="1:40" x14ac:dyDescent="0.25">
      <c r="A4884" t="str">
        <f>"20190304164224073"</f>
        <v>20190304164224073</v>
      </c>
      <c r="B4884" t="str">
        <f>"1551688944066308"</f>
        <v>1551688944066308</v>
      </c>
      <c r="C4884" t="s">
        <v>40</v>
      </c>
      <c r="D4884">
        <v>3.8369589999999998</v>
      </c>
      <c r="E4884">
        <v>0.50917690000000004</v>
      </c>
      <c r="F4884" t="s">
        <v>53</v>
      </c>
      <c r="G4884">
        <v>-305.8784</v>
      </c>
      <c r="H4884" s="1">
        <v>-9.2929709999999996E-6</v>
      </c>
      <c r="I4884">
        <v>140.93520000000001</v>
      </c>
      <c r="J4884">
        <v>-284.76670000000001</v>
      </c>
      <c r="K4884">
        <v>1.1102860000000001</v>
      </c>
      <c r="L4884">
        <v>141.50630000000001</v>
      </c>
      <c r="M4884">
        <v>-0.99985659999999998</v>
      </c>
      <c r="N4884">
        <v>-1.5329580000000001E-2</v>
      </c>
      <c r="O4884">
        <v>-7.1944790000000002E-3</v>
      </c>
      <c r="P4884">
        <v>-0.94583539999999999</v>
      </c>
      <c r="Q4884">
        <v>0.31711539999999999</v>
      </c>
      <c r="R4884">
        <v>-6.9520929999999995E-2</v>
      </c>
      <c r="S4884">
        <v>-3.218842</v>
      </c>
      <c r="T4884">
        <v>-0.1657525</v>
      </c>
      <c r="U4884">
        <v>-8.5739140000000005E-2</v>
      </c>
      <c r="V4884">
        <v>-6.2777150000000004E-2</v>
      </c>
      <c r="W4884">
        <v>0.3315727</v>
      </c>
      <c r="X4884">
        <v>0.94133869999999997</v>
      </c>
      <c r="Y4884">
        <v>-1.9405080000000002E-2</v>
      </c>
      <c r="Z4884">
        <v>-3.8818009999999999E-4</v>
      </c>
      <c r="AA4884">
        <v>0.99981160000000002</v>
      </c>
      <c r="AB4884">
        <v>45</v>
      </c>
      <c r="AC4884">
        <v>-21.1116999999999</v>
      </c>
      <c r="AD4884">
        <v>-1.1102952929709999</v>
      </c>
      <c r="AE4884">
        <v>-0.57110000000000105</v>
      </c>
      <c r="AF4884">
        <v>-0.41802433006735601</v>
      </c>
      <c r="AG4884">
        <v>-1.1102952929709999</v>
      </c>
      <c r="AH4884">
        <v>21.057064381456499</v>
      </c>
      <c r="AI4884">
        <v>93.017698918088698</v>
      </c>
      <c r="AJ4884">
        <v>91.137285035660994</v>
      </c>
      <c r="AK4884">
        <v>21.090458988436598</v>
      </c>
      <c r="AL4884">
        <v>70.635739935256794</v>
      </c>
      <c r="AM4884">
        <v>93.815361709686698</v>
      </c>
      <c r="AN4884">
        <v>0.999999987032551</v>
      </c>
    </row>
    <row r="4885" spans="1:40" x14ac:dyDescent="0.25">
      <c r="A4885" t="str">
        <f>"20190304164224094"</f>
        <v>20190304164224094</v>
      </c>
      <c r="B4885" t="str">
        <f>"1551688944085828"</f>
        <v>1551688944085828</v>
      </c>
      <c r="C4885" t="s">
        <v>40</v>
      </c>
      <c r="D4885">
        <v>3.8537689999999998</v>
      </c>
      <c r="E4885">
        <v>0.50819309999999995</v>
      </c>
      <c r="F4885" t="s">
        <v>53</v>
      </c>
      <c r="G4885">
        <v>-311.524</v>
      </c>
      <c r="H4885" s="1">
        <v>-8.9657079999999998E-6</v>
      </c>
      <c r="I4885">
        <v>139.87710000000001</v>
      </c>
      <c r="J4885">
        <v>-285.1936</v>
      </c>
      <c r="K4885">
        <v>1.1102989999999999</v>
      </c>
      <c r="L4885">
        <v>141.50309999999999</v>
      </c>
      <c r="M4885">
        <v>-0.99985579999999996</v>
      </c>
      <c r="N4885">
        <v>-1.535122E-2</v>
      </c>
      <c r="O4885">
        <v>-7.2671209999999997E-3</v>
      </c>
      <c r="P4885">
        <v>-0.94539960000000001</v>
      </c>
      <c r="Q4885">
        <v>0.31835170000000002</v>
      </c>
      <c r="R4885">
        <v>-6.9798929999999995E-2</v>
      </c>
      <c r="S4885">
        <v>-3.202026</v>
      </c>
      <c r="T4885">
        <v>-0.13286819999999999</v>
      </c>
      <c r="U4885">
        <v>-0.19496150000000001</v>
      </c>
      <c r="V4885">
        <v>-6.2989669999999998E-2</v>
      </c>
      <c r="W4885">
        <v>0.33282260000000002</v>
      </c>
      <c r="X4885">
        <v>0.94088329999999998</v>
      </c>
      <c r="Y4885">
        <v>-5.3457860000000003E-2</v>
      </c>
      <c r="Z4885">
        <v>-1.3289E-3</v>
      </c>
      <c r="AA4885">
        <v>0.99856929999999999</v>
      </c>
      <c r="AB4885">
        <v>44</v>
      </c>
      <c r="AC4885">
        <v>-26.330400000000001</v>
      </c>
      <c r="AD4885">
        <v>-1.1103079657079999</v>
      </c>
      <c r="AE4885">
        <v>-1.6259999999999699</v>
      </c>
      <c r="AF4885">
        <v>-1.43205155997569</v>
      </c>
      <c r="AG4885">
        <v>-1.1103079657079999</v>
      </c>
      <c r="AH4885">
        <v>26.2949431790117</v>
      </c>
      <c r="AI4885">
        <v>92.414313119085705</v>
      </c>
      <c r="AJ4885">
        <v>93.117311682771302</v>
      </c>
      <c r="AK4885">
        <v>26.357306240141501</v>
      </c>
      <c r="AL4885">
        <v>70.559814004530594</v>
      </c>
      <c r="AM4885">
        <v>93.830086947648098</v>
      </c>
      <c r="AN4885">
        <v>0.99999998290817904</v>
      </c>
    </row>
    <row r="4886" spans="1:40" x14ac:dyDescent="0.25">
      <c r="A4886" t="str">
        <f>"20190304164224117"</f>
        <v>20190304164224117</v>
      </c>
      <c r="B4886" t="str">
        <f>"1551688944106324"</f>
        <v>1551688944106324</v>
      </c>
      <c r="C4886" t="s">
        <v>40</v>
      </c>
      <c r="D4886">
        <v>3.8455840000000001</v>
      </c>
      <c r="E4886">
        <v>0.50782109999999903</v>
      </c>
      <c r="F4886" t="s">
        <v>53</v>
      </c>
      <c r="G4886">
        <v>-313.37189999999998</v>
      </c>
      <c r="H4886" s="1">
        <v>-8.2263009999999904E-6</v>
      </c>
      <c r="I4886">
        <v>139.71129999999999</v>
      </c>
      <c r="J4886">
        <v>-285.6422</v>
      </c>
      <c r="K4886">
        <v>1.110312</v>
      </c>
      <c r="L4886">
        <v>141.49979999999999</v>
      </c>
      <c r="M4886">
        <v>-0.99985489999999999</v>
      </c>
      <c r="N4886">
        <v>-1.5370200000000001E-2</v>
      </c>
      <c r="O4886">
        <v>-7.3437909999999997E-3</v>
      </c>
      <c r="P4886">
        <v>-0.94553299999999996</v>
      </c>
      <c r="Q4886">
        <v>0.31806420000000002</v>
      </c>
      <c r="R4886">
        <v>-6.9300609999999999E-2</v>
      </c>
      <c r="S4886">
        <v>-3.2007140000000001</v>
      </c>
      <c r="T4886">
        <v>-0.12611749999999999</v>
      </c>
      <c r="U4886">
        <v>-0.2035217</v>
      </c>
      <c r="V4886">
        <v>-6.24175999999999E-2</v>
      </c>
      <c r="W4886">
        <v>0.3325555</v>
      </c>
      <c r="X4886">
        <v>0.94101590000000002</v>
      </c>
      <c r="Y4886">
        <v>-5.6068430000000002E-2</v>
      </c>
      <c r="Z4886">
        <v>-1.3584770000000001E-3</v>
      </c>
      <c r="AA4886">
        <v>0.99842600000000004</v>
      </c>
      <c r="AB4886">
        <v>44</v>
      </c>
      <c r="AC4886">
        <v>-27.729699999999902</v>
      </c>
      <c r="AD4886">
        <v>-1.1103202263009999</v>
      </c>
      <c r="AE4886">
        <v>-1.78849999999999</v>
      </c>
      <c r="AF4886">
        <v>-1.5822603011509799</v>
      </c>
      <c r="AG4886">
        <v>-1.1103202263009999</v>
      </c>
      <c r="AH4886">
        <v>27.697864848017201</v>
      </c>
      <c r="AI4886">
        <v>92.291845860768206</v>
      </c>
      <c r="AJ4886">
        <v>93.269508879918803</v>
      </c>
      <c r="AK4886">
        <v>27.765231419971201</v>
      </c>
      <c r="AL4886">
        <v>70.576042880083705</v>
      </c>
      <c r="AM4886">
        <v>93.7948711096018</v>
      </c>
      <c r="AN4886">
        <v>1.0000000207114099</v>
      </c>
    </row>
    <row r="4887" spans="1:40" x14ac:dyDescent="0.25">
      <c r="A4887" t="str">
        <f>"20190304164224229"</f>
        <v>20190304164224229</v>
      </c>
      <c r="B4887" t="str">
        <f>"1551688944215636"</f>
        <v>1551688944215636</v>
      </c>
      <c r="C4887" t="s">
        <v>40</v>
      </c>
      <c r="D4887">
        <v>3.8322980000000002</v>
      </c>
      <c r="E4887">
        <v>0.50674090000000005</v>
      </c>
      <c r="F4887" t="s">
        <v>53</v>
      </c>
      <c r="G4887">
        <v>-314.20749999999998</v>
      </c>
      <c r="H4887" s="1">
        <v>-7.9019449999999994E-6</v>
      </c>
      <c r="I4887">
        <v>139.67410000000001</v>
      </c>
      <c r="J4887">
        <v>-287.84899999999999</v>
      </c>
      <c r="K4887">
        <v>1.110344</v>
      </c>
      <c r="L4887">
        <v>141.4829</v>
      </c>
      <c r="M4887">
        <v>-0.99985119999999905</v>
      </c>
      <c r="N4887">
        <v>-1.5422480000000001E-2</v>
      </c>
      <c r="O4887">
        <v>-7.71931099999999E-3</v>
      </c>
      <c r="P4887">
        <v>-0.94512470000000004</v>
      </c>
      <c r="Q4887">
        <v>0.31919799999999998</v>
      </c>
      <c r="R4887">
        <v>-6.9656629999999997E-2</v>
      </c>
      <c r="S4887">
        <v>-3.1996769999999999</v>
      </c>
      <c r="T4887">
        <v>-0.1243701</v>
      </c>
      <c r="U4887">
        <v>-0.20449829999999999</v>
      </c>
      <c r="V4887">
        <v>-6.2421020000000001E-2</v>
      </c>
      <c r="W4887">
        <v>0.33373249999999999</v>
      </c>
      <c r="X4887">
        <v>0.94059890000000002</v>
      </c>
      <c r="Y4887">
        <v>-5.6018829999999999E-2</v>
      </c>
      <c r="Z4887">
        <v>-1.3391740000000001E-3</v>
      </c>
      <c r="AA4887">
        <v>0.99842880000000001</v>
      </c>
      <c r="AB4887">
        <v>44</v>
      </c>
      <c r="AC4887">
        <v>-26.3584999999999</v>
      </c>
      <c r="AD4887">
        <v>-1.1103519019449899</v>
      </c>
      <c r="AE4887">
        <v>-1.80879999999999</v>
      </c>
      <c r="AF4887">
        <v>-1.6024222240206401</v>
      </c>
      <c r="AG4887">
        <v>-1.1103519019449899</v>
      </c>
      <c r="AH4887">
        <v>26.325183327073798</v>
      </c>
      <c r="AI4887">
        <v>92.410751203967905</v>
      </c>
      <c r="AJ4887">
        <v>93.483314318515497</v>
      </c>
      <c r="AK4887">
        <v>26.397270986490899</v>
      </c>
      <c r="AL4887">
        <v>70.504520218930097</v>
      </c>
      <c r="AM4887">
        <v>93.796756000909994</v>
      </c>
      <c r="AN4887">
        <v>1.00000002798764</v>
      </c>
    </row>
    <row r="4888" spans="1:40" x14ac:dyDescent="0.25">
      <c r="A4888" t="str">
        <f>"20190304164224252"</f>
        <v>20190304164224252</v>
      </c>
      <c r="B4888" t="str">
        <f>"1551688944245892"</f>
        <v>1551688944245892</v>
      </c>
      <c r="C4888" t="s">
        <v>40</v>
      </c>
      <c r="D4888">
        <v>3.8272330000000001</v>
      </c>
      <c r="E4888">
        <v>0.50629440000000003</v>
      </c>
      <c r="F4888" t="s">
        <v>53</v>
      </c>
      <c r="G4888">
        <v>-317.29349999999999</v>
      </c>
      <c r="H4888" s="1">
        <v>-6.5376669999999998E-6</v>
      </c>
      <c r="I4888">
        <v>139.52000000000001</v>
      </c>
      <c r="J4888">
        <v>-288.30149999999998</v>
      </c>
      <c r="K4888">
        <v>1.110341</v>
      </c>
      <c r="L4888">
        <v>141.4794</v>
      </c>
      <c r="M4888">
        <v>-0.99985060000000003</v>
      </c>
      <c r="N4888">
        <v>-1.5427130000000001E-2</v>
      </c>
      <c r="O4888">
        <v>-7.7869749999999998E-3</v>
      </c>
      <c r="P4888">
        <v>-0.94506449999999997</v>
      </c>
      <c r="Q4888">
        <v>0.31930510000000001</v>
      </c>
      <c r="R4888">
        <v>-6.9981689999999999E-2</v>
      </c>
      <c r="S4888">
        <v>-3.1992189999999998</v>
      </c>
      <c r="T4888">
        <v>-0.1206425</v>
      </c>
      <c r="U4888">
        <v>-0.21327209999999999</v>
      </c>
      <c r="V4888">
        <v>-6.2679429999999994E-2</v>
      </c>
      <c r="W4888">
        <v>0.33384360000000002</v>
      </c>
      <c r="X4888">
        <v>0.94054230000000005</v>
      </c>
      <c r="Y4888">
        <v>-5.8686839999999997E-2</v>
      </c>
      <c r="Z4888">
        <v>-1.385154E-3</v>
      </c>
      <c r="AA4888">
        <v>0.99827549999999998</v>
      </c>
      <c r="AB4888">
        <v>44</v>
      </c>
      <c r="AC4888">
        <v>-28.992000000000001</v>
      </c>
      <c r="AD4888">
        <v>-1.110347537667</v>
      </c>
      <c r="AE4888">
        <v>-1.95939999999998</v>
      </c>
      <c r="AF4888">
        <v>-1.7310262436747701</v>
      </c>
      <c r="AG4888">
        <v>-1.110347537667</v>
      </c>
      <c r="AH4888">
        <v>28.964089957137301</v>
      </c>
      <c r="AI4888">
        <v>92.191470348841193</v>
      </c>
      <c r="AJ4888">
        <v>93.4201891427508</v>
      </c>
      <c r="AK4888">
        <v>29.037007947717999</v>
      </c>
      <c r="AL4888">
        <v>70.497767596091805</v>
      </c>
      <c r="AM4888">
        <v>93.812656269038001</v>
      </c>
      <c r="AN4888">
        <v>1.00000003914768</v>
      </c>
    </row>
    <row r="4889" spans="1:40" x14ac:dyDescent="0.25">
      <c r="A4889" t="str">
        <f>"20190304164224264"</f>
        <v>20190304164224264</v>
      </c>
      <c r="B4889" t="str">
        <f>"1551688944255652"</f>
        <v>1551688944255652</v>
      </c>
      <c r="C4889" t="s">
        <v>40</v>
      </c>
      <c r="D4889">
        <v>3.8291819999999999</v>
      </c>
      <c r="E4889">
        <v>0.50619619999999999</v>
      </c>
      <c r="F4889" t="s">
        <v>53</v>
      </c>
      <c r="G4889">
        <v>-317.96260000000001</v>
      </c>
      <c r="H4889" s="1">
        <v>-6.2213519999999998E-6</v>
      </c>
      <c r="I4889">
        <v>139.4589</v>
      </c>
      <c r="J4889">
        <v>-288.55189999999999</v>
      </c>
      <c r="K4889">
        <v>1.110339</v>
      </c>
      <c r="L4889">
        <v>141.47739999999999</v>
      </c>
      <c r="M4889">
        <v>-0.99985049999999998</v>
      </c>
      <c r="N4889">
        <v>-1.5429170000000001E-2</v>
      </c>
      <c r="O4889">
        <v>-7.8199299999999992E-3</v>
      </c>
      <c r="P4889">
        <v>-0.94502129999999995</v>
      </c>
      <c r="Q4889">
        <v>0.3194128</v>
      </c>
      <c r="R4889">
        <v>-7.0073559999999993E-2</v>
      </c>
      <c r="S4889">
        <v>-3.1987299999999999</v>
      </c>
      <c r="T4889">
        <v>-0.1197424</v>
      </c>
      <c r="U4889">
        <v>-0.21789549999999999</v>
      </c>
      <c r="V4889">
        <v>-6.2736940000000005E-2</v>
      </c>
      <c r="W4889">
        <v>0.33395320000000001</v>
      </c>
      <c r="X4889">
        <v>0.94049950000000004</v>
      </c>
      <c r="Y4889">
        <v>-6.0099659999999999E-2</v>
      </c>
      <c r="Z4889">
        <v>-1.4158739999999999E-3</v>
      </c>
      <c r="AA4889">
        <v>0.99819139999999995</v>
      </c>
      <c r="AB4889">
        <v>44</v>
      </c>
      <c r="AC4889">
        <v>-29.410699999999999</v>
      </c>
      <c r="AD4889">
        <v>-1.110345221352</v>
      </c>
      <c r="AE4889">
        <v>-2.01849999999998</v>
      </c>
      <c r="AF4889">
        <v>-1.78588781161065</v>
      </c>
      <c r="AG4889">
        <v>-1.110345221352</v>
      </c>
      <c r="AH4889">
        <v>29.3839024880014</v>
      </c>
      <c r="AI4889">
        <v>92.160054526088501</v>
      </c>
      <c r="AJ4889">
        <v>93.478030879903898</v>
      </c>
      <c r="AK4889">
        <v>29.459056115405499</v>
      </c>
      <c r="AL4889">
        <v>70.491104573837006</v>
      </c>
      <c r="AM4889">
        <v>93.816317298989702</v>
      </c>
      <c r="AN4889">
        <v>0.99999998646552601</v>
      </c>
    </row>
    <row r="4890" spans="1:40" x14ac:dyDescent="0.25">
      <c r="A4890" t="str">
        <f>"20190304164224278"</f>
        <v>20190304164224278</v>
      </c>
      <c r="B4890" t="str">
        <f>"1551688944266388"</f>
        <v>1551688944266388</v>
      </c>
      <c r="C4890" t="s">
        <v>40</v>
      </c>
      <c r="D4890">
        <v>3.8333339999999998</v>
      </c>
      <c r="E4890">
        <v>0.50619759999999903</v>
      </c>
      <c r="F4890" t="s">
        <v>53</v>
      </c>
      <c r="G4890">
        <v>-318.44130000000001</v>
      </c>
      <c r="H4890" s="1">
        <v>-5.9996889999999901E-6</v>
      </c>
      <c r="I4890">
        <v>139.42949999999999</v>
      </c>
      <c r="J4890">
        <v>-288.81720000000001</v>
      </c>
      <c r="K4890">
        <v>1.110336</v>
      </c>
      <c r="L4890">
        <v>141.4753</v>
      </c>
      <c r="M4890">
        <v>-0.99985029999999997</v>
      </c>
      <c r="N4890">
        <v>-1.543078E-2</v>
      </c>
      <c r="O4890">
        <v>-7.8485469999999904E-3</v>
      </c>
      <c r="P4890">
        <v>-0.94499029999999995</v>
      </c>
      <c r="Q4890">
        <v>0.31951580000000002</v>
      </c>
      <c r="R4890">
        <v>-7.0024180000000005E-2</v>
      </c>
      <c r="S4890">
        <v>-3.1984560000000002</v>
      </c>
      <c r="T4890">
        <v>-0.1188179</v>
      </c>
      <c r="U4890">
        <v>-0.2191467</v>
      </c>
      <c r="V4890">
        <v>-6.2655550000000004E-2</v>
      </c>
      <c r="W4890">
        <v>0.33405800000000002</v>
      </c>
      <c r="X4890">
        <v>0.94046770000000002</v>
      </c>
      <c r="Y4890">
        <v>-6.0465930000000001E-2</v>
      </c>
      <c r="Z4890">
        <v>-1.418589E-3</v>
      </c>
      <c r="AA4890">
        <v>0.99816919999999998</v>
      </c>
      <c r="AB4890">
        <v>44</v>
      </c>
      <c r="AC4890">
        <v>-29.624099999999999</v>
      </c>
      <c r="AD4890">
        <v>-1.110341999689</v>
      </c>
      <c r="AE4890">
        <v>-2.0458000000000101</v>
      </c>
      <c r="AF4890">
        <v>-1.8106715762552701</v>
      </c>
      <c r="AG4890">
        <v>-1.110341999689</v>
      </c>
      <c r="AH4890">
        <v>29.597863263446101</v>
      </c>
      <c r="AI4890">
        <v>92.144396265905598</v>
      </c>
      <c r="AJ4890">
        <v>93.500749659466294</v>
      </c>
      <c r="AK4890">
        <v>29.6739768260842</v>
      </c>
      <c r="AL4890">
        <v>70.484733997548901</v>
      </c>
      <c r="AM4890">
        <v>93.811509403719697</v>
      </c>
      <c r="AN4890">
        <v>0.999999980026546</v>
      </c>
    </row>
    <row r="4891" spans="1:40" x14ac:dyDescent="0.25">
      <c r="A4891" t="str">
        <f>"20190304164224295"</f>
        <v>20190304164224295</v>
      </c>
      <c r="B4891" t="str">
        <f>"1551688944285912"</f>
        <v>1551688944285912</v>
      </c>
      <c r="C4891" t="s">
        <v>40</v>
      </c>
      <c r="D4891">
        <v>3.8315239999999999</v>
      </c>
      <c r="E4891">
        <v>0.50620779999999999</v>
      </c>
      <c r="F4891" t="s">
        <v>53</v>
      </c>
      <c r="G4891">
        <v>-318.7955</v>
      </c>
      <c r="H4891" s="1">
        <v>-5.8404699999999998E-6</v>
      </c>
      <c r="I4891">
        <v>139.4229</v>
      </c>
      <c r="J4891">
        <v>-289.15539999999999</v>
      </c>
      <c r="K4891">
        <v>1.110336</v>
      </c>
      <c r="L4891">
        <v>141.4726</v>
      </c>
      <c r="M4891">
        <v>-0.99984989999999996</v>
      </c>
      <c r="N4891">
        <v>-1.543221E-2</v>
      </c>
      <c r="O4891">
        <v>-7.8785330000000001E-3</v>
      </c>
      <c r="P4891">
        <v>-0.94471579999999999</v>
      </c>
      <c r="Q4891">
        <v>0.3203397</v>
      </c>
      <c r="R4891">
        <v>-6.9962709999999997E-2</v>
      </c>
      <c r="S4891">
        <v>-3.1984560000000002</v>
      </c>
      <c r="T4891">
        <v>-0.1184648</v>
      </c>
      <c r="U4891">
        <v>-0.2189789</v>
      </c>
      <c r="V4891">
        <v>-6.2559920000000005E-2</v>
      </c>
      <c r="W4891">
        <v>0.33488079999999998</v>
      </c>
      <c r="X4891">
        <v>0.94018139999999994</v>
      </c>
      <c r="Y4891">
        <v>-6.0384229999999997E-2</v>
      </c>
      <c r="Z4891">
        <v>-1.41339E-3</v>
      </c>
      <c r="AA4891">
        <v>0.99817420000000001</v>
      </c>
      <c r="AB4891">
        <v>44</v>
      </c>
      <c r="AC4891">
        <v>-29.6401</v>
      </c>
      <c r="AD4891">
        <v>-1.1103418404700001</v>
      </c>
      <c r="AE4891">
        <v>-2.0497000000000001</v>
      </c>
      <c r="AF4891">
        <v>-1.8135551875065601</v>
      </c>
      <c r="AG4891">
        <v>-1.1103418404700001</v>
      </c>
      <c r="AH4891">
        <v>29.613970581928701</v>
      </c>
      <c r="AI4891">
        <v>92.143222319981106</v>
      </c>
      <c r="AJ4891">
        <v>93.504408569414693</v>
      </c>
      <c r="AK4891">
        <v>29.690218844733501</v>
      </c>
      <c r="AL4891">
        <v>70.434709960268904</v>
      </c>
      <c r="AM4891">
        <v>93.806864567399202</v>
      </c>
      <c r="AN4891">
        <v>0.99999997935250295</v>
      </c>
    </row>
    <row r="4892" spans="1:40" x14ac:dyDescent="0.25">
      <c r="A4892" t="str">
        <f>"20190304164224309"</f>
        <v>20190304164224309</v>
      </c>
      <c r="B4892" t="str">
        <f>"1551688944295672"</f>
        <v>1551688944295672</v>
      </c>
      <c r="C4892" t="s">
        <v>40</v>
      </c>
      <c r="D4892">
        <v>3.832592</v>
      </c>
      <c r="E4892">
        <v>0.506185</v>
      </c>
      <c r="F4892" t="s">
        <v>53</v>
      </c>
      <c r="G4892">
        <v>-319.82799999999997</v>
      </c>
      <c r="H4892" s="1">
        <v>-5.3689840000000002E-6</v>
      </c>
      <c r="I4892">
        <v>139.38030000000001</v>
      </c>
      <c r="J4892">
        <v>-289.42</v>
      </c>
      <c r="K4892">
        <v>1.1103400000000001</v>
      </c>
      <c r="L4892">
        <v>141.47049999999999</v>
      </c>
      <c r="M4892">
        <v>-0.99984980000000001</v>
      </c>
      <c r="N4892">
        <v>-1.5432919999999999E-2</v>
      </c>
      <c r="O4892">
        <v>-7.8978219999999901E-3</v>
      </c>
      <c r="P4892">
        <v>-0.94446580000000002</v>
      </c>
      <c r="Q4892">
        <v>0.321183</v>
      </c>
      <c r="R4892">
        <v>-6.9468569999999993E-2</v>
      </c>
      <c r="S4892">
        <v>-3.1987000000000001</v>
      </c>
      <c r="T4892">
        <v>-0.1157922</v>
      </c>
      <c r="U4892">
        <v>-0.2182007</v>
      </c>
      <c r="V4892">
        <v>-6.2043460000000002E-2</v>
      </c>
      <c r="W4892">
        <v>0.33572220000000003</v>
      </c>
      <c r="X4892">
        <v>0.93991550000000001</v>
      </c>
      <c r="Y4892">
        <v>-6.0120420000000001E-2</v>
      </c>
      <c r="Z4892">
        <v>-1.38754E-3</v>
      </c>
      <c r="AA4892">
        <v>0.99819020000000003</v>
      </c>
      <c r="AB4892">
        <v>44</v>
      </c>
      <c r="AC4892">
        <v>-30.407999999999902</v>
      </c>
      <c r="AD4892">
        <v>-1.1103453689839999</v>
      </c>
      <c r="AE4892">
        <v>-2.0901999999999799</v>
      </c>
      <c r="AF4892">
        <v>-1.8474974841051099</v>
      </c>
      <c r="AG4892">
        <v>-1.1103453689839999</v>
      </c>
      <c r="AH4892">
        <v>30.383240759244298</v>
      </c>
      <c r="AI4892">
        <v>92.089068620275398</v>
      </c>
      <c r="AJ4892">
        <v>93.479669459338695</v>
      </c>
      <c r="AK4892">
        <v>30.459603293976102</v>
      </c>
      <c r="AL4892">
        <v>70.3835387929538</v>
      </c>
      <c r="AM4892">
        <v>93.776593476709095</v>
      </c>
      <c r="AN4892">
        <v>0.99999996682092995</v>
      </c>
    </row>
    <row r="4893" spans="1:40" x14ac:dyDescent="0.25">
      <c r="A4893" t="str">
        <f>"20190304164224329"</f>
        <v>20190304164224329</v>
      </c>
      <c r="B4893" t="str">
        <f>"1551688944316169"</f>
        <v>1551688944316169</v>
      </c>
      <c r="C4893" t="s">
        <v>40</v>
      </c>
      <c r="D4893">
        <v>3.8289049999999998</v>
      </c>
      <c r="E4893">
        <v>0.50605109999999998</v>
      </c>
      <c r="F4893" t="s">
        <v>42</v>
      </c>
      <c r="G4893">
        <v>-320.87400000000002</v>
      </c>
      <c r="H4893" s="1">
        <v>-3.9461549999999998E-6</v>
      </c>
      <c r="I4893">
        <v>139.34119999999999</v>
      </c>
      <c r="J4893">
        <v>-289.8141</v>
      </c>
      <c r="K4893">
        <v>1.1103400000000001</v>
      </c>
      <c r="L4893">
        <v>141.4674</v>
      </c>
      <c r="M4893">
        <v>-0.99984960000000001</v>
      </c>
      <c r="N4893">
        <v>-1.543339E-2</v>
      </c>
      <c r="O4893">
        <v>-7.9196760000000005E-3</v>
      </c>
      <c r="P4893">
        <v>-0.94411409999999996</v>
      </c>
      <c r="Q4893">
        <v>0.32228830000000003</v>
      </c>
      <c r="R4893">
        <v>-6.9132399999999997E-2</v>
      </c>
      <c r="S4893">
        <v>-3.1989139999999998</v>
      </c>
      <c r="T4893">
        <v>-0.1129235</v>
      </c>
      <c r="U4893">
        <v>-0.21655269999999999</v>
      </c>
      <c r="V4893">
        <v>-6.1680649999999997E-2</v>
      </c>
      <c r="W4893">
        <v>0.3368237</v>
      </c>
      <c r="X4893">
        <v>0.93954530000000003</v>
      </c>
      <c r="Y4893">
        <v>-5.9584869999999998E-2</v>
      </c>
      <c r="Z4893">
        <v>-1.3536589999999999E-3</v>
      </c>
      <c r="AA4893">
        <v>0.99822239999999995</v>
      </c>
      <c r="AB4893">
        <v>44</v>
      </c>
      <c r="AC4893">
        <v>-31.059899999999999</v>
      </c>
      <c r="AD4893">
        <v>-1.110343946155</v>
      </c>
      <c r="AE4893">
        <v>-2.1262000000000101</v>
      </c>
      <c r="AF4893">
        <v>-1.87773121508617</v>
      </c>
      <c r="AG4893">
        <v>-1.110343946155</v>
      </c>
      <c r="AH4893">
        <v>31.0362885859508</v>
      </c>
      <c r="AI4893">
        <v>92.045184445808303</v>
      </c>
      <c r="AJ4893">
        <v>93.462240401520503</v>
      </c>
      <c r="AK4893">
        <v>31.1128582323337</v>
      </c>
      <c r="AL4893">
        <v>70.316526383264105</v>
      </c>
      <c r="AM4893">
        <v>93.756047681604102</v>
      </c>
      <c r="AN4893">
        <v>1.0000000391091</v>
      </c>
    </row>
    <row r="4894" spans="1:40" x14ac:dyDescent="0.25">
      <c r="A4894" t="str">
        <f>"20190304164224353"</f>
        <v>20190304164224353</v>
      </c>
      <c r="B4894" t="str">
        <f>"1551688944346424"</f>
        <v>1551688944346424</v>
      </c>
      <c r="C4894" t="s">
        <v>40</v>
      </c>
      <c r="D4894">
        <v>3.836767</v>
      </c>
      <c r="E4894">
        <v>0.50597899999999996</v>
      </c>
      <c r="F4894" t="s">
        <v>42</v>
      </c>
      <c r="G4894">
        <v>-322.23129999999998</v>
      </c>
      <c r="H4894" s="1">
        <v>-3.3761990000000001E-6</v>
      </c>
      <c r="I4894">
        <v>139.27170000000001</v>
      </c>
      <c r="J4894">
        <v>-290.28089999999997</v>
      </c>
      <c r="K4894">
        <v>1.1103320000000001</v>
      </c>
      <c r="L4894">
        <v>141.46369999999999</v>
      </c>
      <c r="M4894">
        <v>-0.9998494</v>
      </c>
      <c r="N4894">
        <v>-1.543314E-2</v>
      </c>
      <c r="O4894">
        <v>-7.9368830000000005E-3</v>
      </c>
      <c r="P4894">
        <v>-0.9439573</v>
      </c>
      <c r="Q4894">
        <v>0.32280389999999998</v>
      </c>
      <c r="R4894">
        <v>-6.8863770000000005E-2</v>
      </c>
      <c r="S4894">
        <v>-3.1990970000000001</v>
      </c>
      <c r="T4894">
        <v>-0.1095747</v>
      </c>
      <c r="U4894">
        <v>-0.2166748</v>
      </c>
      <c r="V4894">
        <v>-6.1388180000000001E-2</v>
      </c>
      <c r="W4894">
        <v>0.33733819999999998</v>
      </c>
      <c r="X4894">
        <v>0.93937979999999999</v>
      </c>
      <c r="Y4894">
        <v>-5.9604219999999999E-2</v>
      </c>
      <c r="Z4894">
        <v>-1.3309039999999999E-3</v>
      </c>
      <c r="AA4894">
        <v>0.99822120000000003</v>
      </c>
      <c r="AB4894">
        <v>44</v>
      </c>
      <c r="AC4894">
        <v>-31.950399999999998</v>
      </c>
      <c r="AD4894">
        <v>-1.11033537619899</v>
      </c>
      <c r="AE4894">
        <v>-2.1919999999999802</v>
      </c>
      <c r="AF4894">
        <v>-1.9359870285380401</v>
      </c>
      <c r="AG4894">
        <v>-1.11033537619899</v>
      </c>
      <c r="AH4894">
        <v>31.928414112439501</v>
      </c>
      <c r="AI4894">
        <v>91.988054178566003</v>
      </c>
      <c r="AJ4894">
        <v>93.469894950799997</v>
      </c>
      <c r="AK4894">
        <v>32.006319972119996</v>
      </c>
      <c r="AL4894">
        <v>70.285214217875605</v>
      </c>
      <c r="AM4894">
        <v>93.738945064571197</v>
      </c>
      <c r="AN4894">
        <v>0.99999998923549605</v>
      </c>
    </row>
    <row r="4895" spans="1:40" x14ac:dyDescent="0.25">
      <c r="A4895" t="str">
        <f>"20190304164224374"</f>
        <v>20190304164224374</v>
      </c>
      <c r="B4895" t="str">
        <f>"1551688944365944"</f>
        <v>1551688944365944</v>
      </c>
      <c r="C4895" t="s">
        <v>40</v>
      </c>
      <c r="D4895">
        <v>3.8174359999999998</v>
      </c>
      <c r="E4895">
        <v>0.50580599999999998</v>
      </c>
      <c r="F4895" t="s">
        <v>42</v>
      </c>
      <c r="G4895">
        <v>-322.91320000000002</v>
      </c>
      <c r="H4895" s="1">
        <v>-3.0861310000000002E-6</v>
      </c>
      <c r="I4895">
        <v>139.2578</v>
      </c>
      <c r="J4895">
        <v>-290.71039999999999</v>
      </c>
      <c r="K4895">
        <v>1.11032999999999</v>
      </c>
      <c r="L4895">
        <v>141.46029999999999</v>
      </c>
      <c r="M4895">
        <v>-0.9998494</v>
      </c>
      <c r="N4895">
        <v>-1.543223E-2</v>
      </c>
      <c r="O4895">
        <v>-7.9453270000000003E-3</v>
      </c>
      <c r="P4895">
        <v>-0.94388530000000004</v>
      </c>
      <c r="Q4895">
        <v>0.32295810000000003</v>
      </c>
      <c r="R4895">
        <v>-6.9129839999999998E-2</v>
      </c>
      <c r="S4895">
        <v>-3.199554</v>
      </c>
      <c r="T4895">
        <v>-0.1088672</v>
      </c>
      <c r="U4895">
        <v>-0.2162781</v>
      </c>
      <c r="V4895">
        <v>-6.164124E-2</v>
      </c>
      <c r="W4895">
        <v>0.33749179999999901</v>
      </c>
      <c r="X4895">
        <v>0.93930809999999998</v>
      </c>
      <c r="Y4895">
        <v>-5.946361E-2</v>
      </c>
      <c r="Z4895">
        <v>-1.322305E-3</v>
      </c>
      <c r="AA4895">
        <v>0.99822960000000005</v>
      </c>
      <c r="AB4895">
        <v>44</v>
      </c>
      <c r="AC4895">
        <v>-32.202800000000003</v>
      </c>
      <c r="AD4895">
        <v>-1.1103330861309999</v>
      </c>
      <c r="AE4895">
        <v>-2.2024999999999801</v>
      </c>
      <c r="AF4895">
        <v>-1.94423762309592</v>
      </c>
      <c r="AG4895">
        <v>-1.1103330861309999</v>
      </c>
      <c r="AH4895">
        <v>32.181205144759303</v>
      </c>
      <c r="AI4895">
        <v>91.972471997759598</v>
      </c>
      <c r="AJ4895">
        <v>93.457340171027397</v>
      </c>
      <c r="AK4895">
        <v>32.258996637625003</v>
      </c>
      <c r="AL4895">
        <v>70.275866210985598</v>
      </c>
      <c r="AM4895">
        <v>93.754599855532206</v>
      </c>
      <c r="AN4895">
        <v>1.00000003213079</v>
      </c>
    </row>
    <row r="4896" spans="1:40" x14ac:dyDescent="0.25">
      <c r="A4896" t="str">
        <f>"20190304164224397"</f>
        <v>20190304164224397</v>
      </c>
      <c r="B4896" t="str">
        <f>"1551688944386000"</f>
        <v>1551688944386000</v>
      </c>
      <c r="C4896" t="s">
        <v>40</v>
      </c>
      <c r="D4896">
        <v>3.821383</v>
      </c>
      <c r="E4896">
        <v>0.50557659999999904</v>
      </c>
      <c r="F4896" t="s">
        <v>42</v>
      </c>
      <c r="G4896">
        <v>-323.35950000000003</v>
      </c>
      <c r="H4896" s="1">
        <v>-2.8996869999999998E-6</v>
      </c>
      <c r="I4896">
        <v>139.2296</v>
      </c>
      <c r="J4896">
        <v>-291.13959999999997</v>
      </c>
      <c r="K4896">
        <v>1.11032999999999</v>
      </c>
      <c r="L4896">
        <v>141.45689999999999</v>
      </c>
      <c r="M4896">
        <v>-0.9998494</v>
      </c>
      <c r="N4896">
        <v>-1.543075E-2</v>
      </c>
      <c r="O4896">
        <v>-7.9491500000000003E-3</v>
      </c>
      <c r="P4896">
        <v>-0.94417680000000004</v>
      </c>
      <c r="Q4896">
        <v>0.32220199999999999</v>
      </c>
      <c r="R4896">
        <v>-6.8677459999999996E-2</v>
      </c>
      <c r="S4896">
        <v>-3.199554</v>
      </c>
      <c r="T4896">
        <v>-0.108811</v>
      </c>
      <c r="U4896">
        <v>-0.2185974</v>
      </c>
      <c r="V4896">
        <v>-6.1178599999999903E-2</v>
      </c>
      <c r="W4896">
        <v>0.33673930000000002</v>
      </c>
      <c r="X4896">
        <v>0.93960829999999995</v>
      </c>
      <c r="Y4896">
        <v>-6.0179509999999999E-2</v>
      </c>
      <c r="Z4896">
        <v>-1.3394749999999999E-3</v>
      </c>
      <c r="AA4896">
        <v>0.99818660000000003</v>
      </c>
      <c r="AB4896">
        <v>44</v>
      </c>
      <c r="AC4896">
        <v>-32.219900000000003</v>
      </c>
      <c r="AD4896">
        <v>-1.1103328996870001</v>
      </c>
      <c r="AE4896">
        <v>-2.2272999999999801</v>
      </c>
      <c r="AF4896">
        <v>-1.9687514071037799</v>
      </c>
      <c r="AG4896">
        <v>-1.1103328996870001</v>
      </c>
      <c r="AH4896">
        <v>32.198532969209801</v>
      </c>
      <c r="AI4896">
        <v>91.971324071258493</v>
      </c>
      <c r="AJ4896">
        <v>93.498944754822901</v>
      </c>
      <c r="AK4896">
        <v>32.277768612783497</v>
      </c>
      <c r="AL4896">
        <v>70.321660694208603</v>
      </c>
      <c r="AM4896">
        <v>93.725312670482396</v>
      </c>
      <c r="AN4896">
        <v>0.99999996734566898</v>
      </c>
    </row>
    <row r="4897" spans="1:40" x14ac:dyDescent="0.25">
      <c r="A4897" t="str">
        <f>"20190304164224412"</f>
        <v>20190304164224412</v>
      </c>
      <c r="B4897" t="str">
        <f>"1551688944405520"</f>
        <v>1551688944405520</v>
      </c>
      <c r="C4897" t="s">
        <v>40</v>
      </c>
      <c r="D4897">
        <v>3.8954689999999998</v>
      </c>
      <c r="E4897">
        <v>0.5055906</v>
      </c>
      <c r="F4897" t="s">
        <v>42</v>
      </c>
      <c r="G4897">
        <v>-322.68329999999997</v>
      </c>
      <c r="H4897" s="1">
        <v>-3.1804270000000002E-6</v>
      </c>
      <c r="I4897">
        <v>139.28229999999999</v>
      </c>
      <c r="J4897">
        <v>-291.43079999999998</v>
      </c>
      <c r="K4897">
        <v>1.110331</v>
      </c>
      <c r="L4897">
        <v>141.4546</v>
      </c>
      <c r="M4897">
        <v>-0.9998494</v>
      </c>
      <c r="N4897">
        <v>-1.5429480000000001E-2</v>
      </c>
      <c r="O4897">
        <v>-7.9500379999999995E-3</v>
      </c>
      <c r="P4897">
        <v>-0.94421120000000003</v>
      </c>
      <c r="Q4897">
        <v>0.32218809999999998</v>
      </c>
      <c r="R4897">
        <v>-6.8265900000000004E-2</v>
      </c>
      <c r="S4897">
        <v>-3.199738</v>
      </c>
      <c r="T4897">
        <v>-0.1126306</v>
      </c>
      <c r="U4897">
        <v>-0.2205811</v>
      </c>
      <c r="V4897">
        <v>-6.0763579999999998E-2</v>
      </c>
      <c r="W4897">
        <v>0.33672489999999999</v>
      </c>
      <c r="X4897">
        <v>0.93964040000000004</v>
      </c>
      <c r="Y4897">
        <v>-6.0787260000000003E-2</v>
      </c>
      <c r="Z4897">
        <v>-1.38112E-3</v>
      </c>
      <c r="AA4897">
        <v>0.99814979999999998</v>
      </c>
      <c r="AB4897">
        <v>44</v>
      </c>
      <c r="AC4897">
        <v>-31.252500000000001</v>
      </c>
      <c r="AD4897">
        <v>-1.1103341804269999</v>
      </c>
      <c r="AE4897">
        <v>-2.1722999999999999</v>
      </c>
      <c r="AF4897">
        <v>-1.9213297071653099</v>
      </c>
      <c r="AG4897">
        <v>-1.1103341804269999</v>
      </c>
      <c r="AH4897">
        <v>31.229554749954598</v>
      </c>
      <c r="AI4897">
        <v>92.032394360699001</v>
      </c>
      <c r="AJ4897">
        <v>93.5205595241098</v>
      </c>
      <c r="AK4897">
        <v>31.308296659452299</v>
      </c>
      <c r="AL4897">
        <v>70.322537104751007</v>
      </c>
      <c r="AM4897">
        <v>93.699985491387494</v>
      </c>
      <c r="AN4897">
        <v>0.99999997612329194</v>
      </c>
    </row>
    <row r="4898" spans="1:40" x14ac:dyDescent="0.25">
      <c r="A4898" t="str">
        <f>"20190304164224429"</f>
        <v>20190304164224429</v>
      </c>
      <c r="B4898" t="str">
        <f>"1551688944416255"</f>
        <v>1551688944416255</v>
      </c>
      <c r="C4898" t="s">
        <v>40</v>
      </c>
      <c r="D4898">
        <v>3.885872</v>
      </c>
      <c r="E4898">
        <v>0.52224090000000001</v>
      </c>
      <c r="F4898" t="s">
        <v>42</v>
      </c>
      <c r="G4898">
        <v>-323.01100000000002</v>
      </c>
      <c r="H4898" s="1">
        <v>-3.0402959999999998E-6</v>
      </c>
      <c r="I4898">
        <v>139.27950000000001</v>
      </c>
      <c r="J4898">
        <v>-291.78149999999999</v>
      </c>
      <c r="K4898">
        <v>1.110331</v>
      </c>
      <c r="L4898">
        <v>141.45179999999999</v>
      </c>
      <c r="M4898">
        <v>-0.9998494</v>
      </c>
      <c r="N4898">
        <v>-1.5427730000000001E-2</v>
      </c>
      <c r="O4898">
        <v>-7.9503209999999998E-3</v>
      </c>
      <c r="P4898">
        <v>-0.94429680000000005</v>
      </c>
      <c r="Q4898">
        <v>0.32217220000000002</v>
      </c>
      <c r="R4898">
        <v>-6.7144519999999999E-2</v>
      </c>
      <c r="S4898">
        <v>-3.1996769999999999</v>
      </c>
      <c r="T4898">
        <v>-0.1124979</v>
      </c>
      <c r="U4898">
        <v>-0.22036739999999999</v>
      </c>
      <c r="V4898">
        <v>-5.9638829999999997E-2</v>
      </c>
      <c r="W4898">
        <v>0.33670929999999999</v>
      </c>
      <c r="X4898">
        <v>0.9397181</v>
      </c>
      <c r="Y4898">
        <v>-6.0722110000000003E-2</v>
      </c>
      <c r="Z4898">
        <v>-1.3784870000000001E-3</v>
      </c>
      <c r="AA4898">
        <v>0.99815370000000003</v>
      </c>
      <c r="AB4898">
        <v>44</v>
      </c>
      <c r="AC4898">
        <v>-31.229499999999899</v>
      </c>
      <c r="AD4898">
        <v>-1.110334040296</v>
      </c>
      <c r="AE4898">
        <v>-2.1722999999999701</v>
      </c>
      <c r="AF4898">
        <v>-1.9214999836890001</v>
      </c>
      <c r="AG4898">
        <v>-1.110334040296</v>
      </c>
      <c r="AH4898">
        <v>31.206527473380302</v>
      </c>
      <c r="AI4898">
        <v>92.033886210953696</v>
      </c>
      <c r="AJ4898">
        <v>93.523462251923405</v>
      </c>
      <c r="AK4898">
        <v>31.285337792889401</v>
      </c>
      <c r="AL4898">
        <v>70.323487352888094</v>
      </c>
      <c r="AM4898">
        <v>93.631383310266699</v>
      </c>
      <c r="AN4898">
        <v>1.00000002510893</v>
      </c>
    </row>
    <row r="4899" spans="1:40" x14ac:dyDescent="0.25">
      <c r="A4899" t="str">
        <f>"20190304164224445"</f>
        <v>20190304164224445</v>
      </c>
      <c r="B4899" t="str">
        <f>"1551688944435775"</f>
        <v>1551688944435775</v>
      </c>
      <c r="C4899" t="s">
        <v>40</v>
      </c>
      <c r="D4899">
        <v>3.8240919999999998</v>
      </c>
      <c r="E4899">
        <v>0.528721</v>
      </c>
      <c r="F4899" t="s">
        <v>42</v>
      </c>
      <c r="G4899">
        <v>-320.27210000000002</v>
      </c>
      <c r="H4899" s="1">
        <v>-4.3735389999999997E-6</v>
      </c>
      <c r="I4899">
        <v>140.68799999999999</v>
      </c>
      <c r="J4899">
        <v>-292.08350000000002</v>
      </c>
      <c r="K4899">
        <v>1.110322</v>
      </c>
      <c r="L4899">
        <v>141.4494</v>
      </c>
      <c r="M4899">
        <v>-0.99984949999999995</v>
      </c>
      <c r="N4899">
        <v>-1.542606E-2</v>
      </c>
      <c r="O4899">
        <v>-7.9504980000000003E-3</v>
      </c>
      <c r="P4899">
        <v>-0.94448889999999996</v>
      </c>
      <c r="Q4899">
        <v>0.321685</v>
      </c>
      <c r="R4899">
        <v>-6.6780599999999996E-2</v>
      </c>
      <c r="S4899">
        <v>-3.213562</v>
      </c>
      <c r="T4899">
        <v>-0.1252393</v>
      </c>
      <c r="U4899">
        <v>-8.6135859999999995E-2</v>
      </c>
      <c r="V4899">
        <v>-5.9271110000000002E-2</v>
      </c>
      <c r="W4899">
        <v>0.33622380000000002</v>
      </c>
      <c r="X4899">
        <v>0.9399151</v>
      </c>
      <c r="Y4899">
        <v>-1.882706E-2</v>
      </c>
      <c r="Z4899">
        <v>-3.2492779999999998E-4</v>
      </c>
      <c r="AA4899">
        <v>0.99982269999999895</v>
      </c>
      <c r="AB4899">
        <v>44</v>
      </c>
      <c r="AC4899">
        <v>-28.188600000000001</v>
      </c>
      <c r="AD4899">
        <v>-1.1103263735390001</v>
      </c>
      <c r="AE4899">
        <v>-0.76140000000000896</v>
      </c>
      <c r="AF4899">
        <v>-0.536404244375285</v>
      </c>
      <c r="AG4899">
        <v>-1.1103263735390001</v>
      </c>
      <c r="AH4899">
        <v>28.150119774112898</v>
      </c>
      <c r="AI4899">
        <v>92.258339468049996</v>
      </c>
      <c r="AJ4899">
        <v>91.091646521942806</v>
      </c>
      <c r="AK4899">
        <v>28.177114782497899</v>
      </c>
      <c r="AL4899">
        <v>70.353025232948497</v>
      </c>
      <c r="AM4899">
        <v>93.608297920520499</v>
      </c>
      <c r="AN4899">
        <v>0.99999995168753897</v>
      </c>
    </row>
    <row r="4900" spans="1:40" x14ac:dyDescent="0.25">
      <c r="A4900" t="str">
        <f>"20190304164224464"</f>
        <v>20190304164224464</v>
      </c>
      <c r="B4900" t="str">
        <f>"1551688944456271"</f>
        <v>1551688944456271</v>
      </c>
      <c r="C4900" t="s">
        <v>40</v>
      </c>
      <c r="D4900">
        <v>3.75014</v>
      </c>
      <c r="E4900">
        <v>0.53169129999999998</v>
      </c>
      <c r="F4900" t="s">
        <v>53</v>
      </c>
      <c r="G4900">
        <v>-318.55950000000001</v>
      </c>
      <c r="H4900" s="1">
        <v>-6.4170499999999998E-6</v>
      </c>
      <c r="I4900">
        <v>141.1696</v>
      </c>
      <c r="J4900">
        <v>-292.44670000000002</v>
      </c>
      <c r="K4900">
        <v>1.1103229999999999</v>
      </c>
      <c r="L4900">
        <v>141.44649999999999</v>
      </c>
      <c r="M4900">
        <v>-0.99984960000000001</v>
      </c>
      <c r="N4900">
        <v>-1.542381E-2</v>
      </c>
      <c r="O4900">
        <v>-7.9510199999999996E-3</v>
      </c>
      <c r="P4900">
        <v>-0.94462400000000002</v>
      </c>
      <c r="Q4900">
        <v>0.32137850000000001</v>
      </c>
      <c r="R4900">
        <v>-6.6345779999999993E-2</v>
      </c>
      <c r="S4900">
        <v>-3.21991</v>
      </c>
      <c r="T4900">
        <v>-0.13503380000000001</v>
      </c>
      <c r="U4900">
        <v>-3.4027099999999998E-2</v>
      </c>
      <c r="V4900">
        <v>-5.8831960000000003E-2</v>
      </c>
      <c r="W4900">
        <v>0.33591799999999999</v>
      </c>
      <c r="X4900">
        <v>0.94005209999999995</v>
      </c>
      <c r="Y4900">
        <v>-2.614922E-3</v>
      </c>
      <c r="Z4900">
        <v>1.3568869999999999E-4</v>
      </c>
      <c r="AA4900">
        <v>0.99999649999999995</v>
      </c>
      <c r="AB4900">
        <v>44</v>
      </c>
      <c r="AC4900">
        <v>-26.1128</v>
      </c>
      <c r="AD4900">
        <v>-1.11032941705</v>
      </c>
      <c r="AE4900">
        <v>-0.27689999999998299</v>
      </c>
      <c r="AF4900">
        <v>-6.9118233082049105E-2</v>
      </c>
      <c r="AG4900">
        <v>-1.11032941705</v>
      </c>
      <c r="AH4900">
        <v>26.067052524445899</v>
      </c>
      <c r="AI4900">
        <v>92.439038072952798</v>
      </c>
      <c r="AJ4900">
        <v>90.151922575761603</v>
      </c>
      <c r="AK4900">
        <v>26.0907806716613</v>
      </c>
      <c r="AL4900">
        <v>70.371629827577195</v>
      </c>
      <c r="AM4900">
        <v>93.581112645274601</v>
      </c>
      <c r="AN4900">
        <v>1.0000000264779201</v>
      </c>
    </row>
    <row r="4901" spans="1:40" x14ac:dyDescent="0.25">
      <c r="A4901" t="str">
        <f>"20190304164224485"</f>
        <v>20190304164224485</v>
      </c>
      <c r="B4901" t="str">
        <f>"1551688944475791"</f>
        <v>1551688944475791</v>
      </c>
      <c r="C4901" t="s">
        <v>40</v>
      </c>
      <c r="D4901">
        <v>3.7803040000000001</v>
      </c>
      <c r="E4901">
        <v>0.53335250000000001</v>
      </c>
      <c r="F4901" t="s">
        <v>53</v>
      </c>
      <c r="G4901">
        <v>-318.41359999999997</v>
      </c>
      <c r="H4901" s="1">
        <v>-6.5386509999999999E-6</v>
      </c>
      <c r="I4901">
        <v>141.38509999999999</v>
      </c>
      <c r="J4901">
        <v>-292.85570000000001</v>
      </c>
      <c r="K4901">
        <v>1.1103240000000001</v>
      </c>
      <c r="L4901">
        <v>141.44329999999999</v>
      </c>
      <c r="M4901">
        <v>-0.99984960000000001</v>
      </c>
      <c r="N4901">
        <v>-1.5420970000000001E-2</v>
      </c>
      <c r="O4901">
        <v>-7.9520130000000008E-3</v>
      </c>
      <c r="P4901">
        <v>-0.94465639999999995</v>
      </c>
      <c r="Q4901">
        <v>0.32142539999999997</v>
      </c>
      <c r="R4901">
        <v>-6.5654680000000007E-2</v>
      </c>
      <c r="S4901">
        <v>-3.2221679999999999</v>
      </c>
      <c r="T4901">
        <v>-0.1377776</v>
      </c>
      <c r="U4901">
        <v>-7.6141359999999996E-3</v>
      </c>
      <c r="V4901">
        <v>-5.8137059999999997E-2</v>
      </c>
      <c r="W4901">
        <v>0.33596290000000001</v>
      </c>
      <c r="X4901">
        <v>0.94007929999999995</v>
      </c>
      <c r="Y4901">
        <v>5.5800600000000004E-3</v>
      </c>
      <c r="Z4901">
        <v>3.7956209999999999E-4</v>
      </c>
      <c r="AA4901">
        <v>0.9999844</v>
      </c>
      <c r="AB4901">
        <v>43</v>
      </c>
      <c r="AC4901">
        <v>-25.557899999999901</v>
      </c>
      <c r="AD4901">
        <v>-1.1103305386510001</v>
      </c>
      <c r="AE4901">
        <v>-5.8199999999999301E-2</v>
      </c>
      <c r="AF4901">
        <v>0.14478946855186001</v>
      </c>
      <c r="AG4901">
        <v>-1.1103305386510001</v>
      </c>
      <c r="AH4901">
        <v>25.509409453866201</v>
      </c>
      <c r="AI4901">
        <v>92.492260807543005</v>
      </c>
      <c r="AJ4901">
        <v>89.674797003973296</v>
      </c>
      <c r="AK4901">
        <v>25.533972831901099</v>
      </c>
      <c r="AL4901">
        <v>70.368898769966506</v>
      </c>
      <c r="AM4901">
        <v>93.5388199534937</v>
      </c>
      <c r="AN4901">
        <v>1.00000003910517</v>
      </c>
    </row>
    <row r="4902" spans="1:40" x14ac:dyDescent="0.25">
      <c r="A4902" t="str">
        <f>"20190304164224508"</f>
        <v>20190304164224508</v>
      </c>
      <c r="B4902" t="str">
        <f>"1551688944496287"</f>
        <v>1551688944496287</v>
      </c>
      <c r="C4902" t="s">
        <v>40</v>
      </c>
      <c r="D4902">
        <v>3.8006190000000002</v>
      </c>
      <c r="E4902">
        <v>0.53381060000000002</v>
      </c>
      <c r="F4902" t="s">
        <v>53</v>
      </c>
      <c r="G4902">
        <v>-318.89589999999998</v>
      </c>
      <c r="H4902" s="1">
        <v>-6.3567459999999996E-6</v>
      </c>
      <c r="I4902">
        <v>141.50630000000001</v>
      </c>
      <c r="J4902">
        <v>-293.29820000000001</v>
      </c>
      <c r="K4902">
        <v>1.110325</v>
      </c>
      <c r="L4902">
        <v>141.43969999999999</v>
      </c>
      <c r="M4902">
        <v>-0.99984969999999995</v>
      </c>
      <c r="N4902">
        <v>-1.541759E-2</v>
      </c>
      <c r="O4902">
        <v>-7.9537210000000004E-3</v>
      </c>
      <c r="P4902">
        <v>-0.94449000000000005</v>
      </c>
      <c r="Q4902">
        <v>0.32215080000000001</v>
      </c>
      <c r="R4902">
        <v>-6.4480159999999995E-2</v>
      </c>
      <c r="S4902">
        <v>-3.2230530000000002</v>
      </c>
      <c r="T4902">
        <v>-0.13742799999999999</v>
      </c>
      <c r="U4902">
        <v>7.7972409999999999E-3</v>
      </c>
      <c r="V4902">
        <v>-5.6960469999999999E-2</v>
      </c>
      <c r="W4902">
        <v>0.3366828</v>
      </c>
      <c r="X4902">
        <v>0.93989370000000005</v>
      </c>
      <c r="Y4902">
        <v>1.0358010000000001E-2</v>
      </c>
      <c r="Z4902">
        <v>5.1701299999999998E-4</v>
      </c>
      <c r="AA4902">
        <v>0.99994620000000001</v>
      </c>
      <c r="AB4902">
        <v>43</v>
      </c>
      <c r="AC4902">
        <v>-25.5976999999999</v>
      </c>
      <c r="AD4902">
        <v>-1.110331356746</v>
      </c>
      <c r="AE4902">
        <v>6.6600000000022405E-2</v>
      </c>
      <c r="AF4902">
        <v>0.26971156176306199</v>
      </c>
      <c r="AG4902">
        <v>-1.110331356746</v>
      </c>
      <c r="AH4902">
        <v>25.548291652156902</v>
      </c>
      <c r="AI4902">
        <v>92.488375962766895</v>
      </c>
      <c r="AJ4902">
        <v>89.395154856594701</v>
      </c>
      <c r="AK4902">
        <v>25.573830107983301</v>
      </c>
      <c r="AL4902">
        <v>70.325099019531706</v>
      </c>
      <c r="AM4902">
        <v>93.468060134621396</v>
      </c>
      <c r="AN4902">
        <v>0.99999998512907495</v>
      </c>
    </row>
    <row r="4903" spans="1:40" x14ac:dyDescent="0.25">
      <c r="A4903" t="str">
        <f>"20190304164224523"</f>
        <v>20190304164224523</v>
      </c>
      <c r="B4903" t="str">
        <f>"1551688944515807"</f>
        <v>1551688944515807</v>
      </c>
      <c r="C4903" t="s">
        <v>40</v>
      </c>
      <c r="D4903">
        <v>3.7845979999999999</v>
      </c>
      <c r="E4903">
        <v>0.53388069999999999</v>
      </c>
      <c r="F4903" t="s">
        <v>53</v>
      </c>
      <c r="G4903">
        <v>-319.81880000000001</v>
      </c>
      <c r="H4903" s="1">
        <v>-5.9612239999999996E-6</v>
      </c>
      <c r="I4903">
        <v>141.5583</v>
      </c>
      <c r="J4903">
        <v>-293.59199999999998</v>
      </c>
      <c r="K4903">
        <v>1.1103259999999999</v>
      </c>
      <c r="L4903">
        <v>141.4374</v>
      </c>
      <c r="M4903">
        <v>-0.99984960000000001</v>
      </c>
      <c r="N4903">
        <v>-1.541522E-2</v>
      </c>
      <c r="O4903">
        <v>-7.9547460000000004E-3</v>
      </c>
      <c r="P4903">
        <v>-0.94439519999999999</v>
      </c>
      <c r="Q4903">
        <v>0.32252189999999997</v>
      </c>
      <c r="R4903">
        <v>-6.4010819999999996E-2</v>
      </c>
      <c r="S4903">
        <v>-3.223328</v>
      </c>
      <c r="T4903">
        <v>-0.1349503</v>
      </c>
      <c r="U4903">
        <v>1.44043E-2</v>
      </c>
      <c r="V4903">
        <v>-5.648914E-2</v>
      </c>
      <c r="W4903">
        <v>0.33705049999999998</v>
      </c>
      <c r="X4903">
        <v>0.93979040000000003</v>
      </c>
      <c r="Y4903">
        <v>1.2406540000000001E-2</v>
      </c>
      <c r="Z4903">
        <v>5.6557730000000004E-4</v>
      </c>
      <c r="AA4903">
        <v>0.99992289999999995</v>
      </c>
      <c r="AB4903">
        <v>43</v>
      </c>
      <c r="AC4903">
        <v>-26.226800000000001</v>
      </c>
      <c r="AD4903">
        <v>-1.1103319612239999</v>
      </c>
      <c r="AE4903">
        <v>0.120900000000006</v>
      </c>
      <c r="AF4903">
        <v>0.328958898703131</v>
      </c>
      <c r="AG4903">
        <v>-1.1103319612239999</v>
      </c>
      <c r="AH4903">
        <v>26.1780896920835</v>
      </c>
      <c r="AI4903">
        <v>92.428527626272199</v>
      </c>
      <c r="AJ4903">
        <v>89.280048133527501</v>
      </c>
      <c r="AK4903">
        <v>26.203691170289702</v>
      </c>
      <c r="AL4903">
        <v>70.302724472915301</v>
      </c>
      <c r="AM4903">
        <v>93.439809351658297</v>
      </c>
      <c r="AN4903">
        <v>1.0000000292101701</v>
      </c>
    </row>
    <row r="4904" spans="1:40" x14ac:dyDescent="0.25">
      <c r="A4904" t="str">
        <f>"20190304164224543"</f>
        <v>20190304164224543</v>
      </c>
      <c r="B4904" t="str">
        <f>"1551688944536304"</f>
        <v>1551688944536304</v>
      </c>
      <c r="C4904" t="s">
        <v>40</v>
      </c>
      <c r="D4904">
        <v>3.7869920000000001</v>
      </c>
      <c r="E4904">
        <v>0.53393740000000001</v>
      </c>
      <c r="F4904" t="s">
        <v>42</v>
      </c>
      <c r="G4904">
        <v>-320.73239999999998</v>
      </c>
      <c r="H4904" s="1">
        <v>-4.3740160000000004E-6</v>
      </c>
      <c r="I4904">
        <v>141.57380000000001</v>
      </c>
      <c r="J4904">
        <v>-293.96660000000003</v>
      </c>
      <c r="K4904">
        <v>1.1103289999999999</v>
      </c>
      <c r="L4904">
        <v>141.43440000000001</v>
      </c>
      <c r="M4904">
        <v>-0.99984969999999995</v>
      </c>
      <c r="N4904">
        <v>-1.541208E-2</v>
      </c>
      <c r="O4904">
        <v>-7.9558839999999999E-3</v>
      </c>
      <c r="P4904">
        <v>-0.94411829999999997</v>
      </c>
      <c r="Q4904">
        <v>0.32333509999999999</v>
      </c>
      <c r="R4904">
        <v>-6.3994969999999998E-2</v>
      </c>
      <c r="S4904">
        <v>-3.2227480000000002</v>
      </c>
      <c r="T4904">
        <v>-0.1318454</v>
      </c>
      <c r="U4904">
        <v>1.620483E-2</v>
      </c>
      <c r="V4904">
        <v>-5.6473620000000002E-2</v>
      </c>
      <c r="W4904">
        <v>0.33785609999999999</v>
      </c>
      <c r="X4904">
        <v>0.9395019</v>
      </c>
      <c r="Y4904">
        <v>1.296725E-2</v>
      </c>
      <c r="Z4904">
        <v>5.6787949999999895E-4</v>
      </c>
      <c r="AA4904">
        <v>0.99991580000000002</v>
      </c>
      <c r="AB4904">
        <v>43</v>
      </c>
      <c r="AC4904">
        <v>-26.765799999999899</v>
      </c>
      <c r="AD4904">
        <v>-1.110333374016</v>
      </c>
      <c r="AE4904">
        <v>0.139399999999994</v>
      </c>
      <c r="AF4904">
        <v>0.35176113925871699</v>
      </c>
      <c r="AG4904">
        <v>-1.110333374016</v>
      </c>
      <c r="AH4904">
        <v>26.717866973275999</v>
      </c>
      <c r="AI4904">
        <v>92.379506095683396</v>
      </c>
      <c r="AJ4904">
        <v>89.245700852077405</v>
      </c>
      <c r="AK4904">
        <v>26.743241981895501</v>
      </c>
      <c r="AL4904">
        <v>70.253688481752704</v>
      </c>
      <c r="AM4904">
        <v>93.439920019712105</v>
      </c>
      <c r="AN4904">
        <v>0.999999917083358</v>
      </c>
    </row>
    <row r="4905" spans="1:40" x14ac:dyDescent="0.25">
      <c r="A4905" t="str">
        <f>"20190304164224564"</f>
        <v>20190304164224564</v>
      </c>
      <c r="B4905" t="str">
        <f>"1551688944555823"</f>
        <v>1551688944555823</v>
      </c>
      <c r="C4905" t="s">
        <v>40</v>
      </c>
      <c r="D4905">
        <v>3.78512</v>
      </c>
      <c r="E4905">
        <v>0.53400519999999996</v>
      </c>
      <c r="F4905" t="s">
        <v>42</v>
      </c>
      <c r="G4905">
        <v>-321.69729999999998</v>
      </c>
      <c r="H4905" s="1">
        <v>-4.0454019999999999E-6</v>
      </c>
      <c r="I4905">
        <v>141.57249999999999</v>
      </c>
      <c r="J4905">
        <v>-294.39870000000002</v>
      </c>
      <c r="K4905">
        <v>1.1103350000000001</v>
      </c>
      <c r="L4905">
        <v>141.43100000000001</v>
      </c>
      <c r="M4905">
        <v>-0.99984960000000001</v>
      </c>
      <c r="N4905">
        <v>-1.540826E-2</v>
      </c>
      <c r="O4905">
        <v>-7.9567819999999904E-3</v>
      </c>
      <c r="P4905">
        <v>-0.94390030000000003</v>
      </c>
      <c r="Q4905">
        <v>0.32400580000000001</v>
      </c>
      <c r="R4905">
        <v>-6.3814880000000004E-2</v>
      </c>
      <c r="S4905">
        <v>-3.222839</v>
      </c>
      <c r="T4905">
        <v>-0.12904209999999999</v>
      </c>
      <c r="U4905">
        <v>1.6052250000000001E-2</v>
      </c>
      <c r="V4905">
        <v>-5.6293129999999997E-2</v>
      </c>
      <c r="W4905">
        <v>0.3385203</v>
      </c>
      <c r="X4905">
        <v>0.93927369999999999</v>
      </c>
      <c r="Y4905">
        <v>1.2921439999999999E-2</v>
      </c>
      <c r="Z4905">
        <v>5.5407290000000005E-4</v>
      </c>
      <c r="AA4905">
        <v>0.99991640000000004</v>
      </c>
      <c r="AB4905">
        <v>43</v>
      </c>
      <c r="AC4905">
        <v>-27.298599999999901</v>
      </c>
      <c r="AD4905">
        <v>-1.1103390454019999</v>
      </c>
      <c r="AE4905">
        <v>0.141499999999979</v>
      </c>
      <c r="AF4905">
        <v>0.35813784970768597</v>
      </c>
      <c r="AG4905">
        <v>-1.1103390454019999</v>
      </c>
      <c r="AH4905">
        <v>27.251526948409701</v>
      </c>
      <c r="AI4905">
        <v>92.332973444241205</v>
      </c>
      <c r="AJ4905">
        <v>89.247065821090899</v>
      </c>
      <c r="AK4905">
        <v>27.2764887134513</v>
      </c>
      <c r="AL4905">
        <v>70.213251561804498</v>
      </c>
      <c r="AM4905">
        <v>93.429783378397701</v>
      </c>
      <c r="AN4905">
        <v>0.99999999675448803</v>
      </c>
    </row>
    <row r="4906" spans="1:40" x14ac:dyDescent="0.25">
      <c r="A4906" t="str">
        <f>"20190304164224586"</f>
        <v>20190304164224586</v>
      </c>
      <c r="B4906" t="str">
        <f>"1551688944576319"</f>
        <v>1551688944576319</v>
      </c>
      <c r="C4906" t="s">
        <v>40</v>
      </c>
      <c r="D4906">
        <v>3.7978329999999998</v>
      </c>
      <c r="E4906">
        <v>0.53402299999999903</v>
      </c>
      <c r="F4906" t="s">
        <v>42</v>
      </c>
      <c r="G4906">
        <v>-322.32560000000001</v>
      </c>
      <c r="H4906" s="1">
        <v>-3.794437E-6</v>
      </c>
      <c r="I4906">
        <v>141.5701</v>
      </c>
      <c r="J4906">
        <v>-294.79899999999998</v>
      </c>
      <c r="K4906">
        <v>1.110339</v>
      </c>
      <c r="L4906">
        <v>141.42779999999999</v>
      </c>
      <c r="M4906">
        <v>-0.99984980000000001</v>
      </c>
      <c r="N4906">
        <v>-1.54047E-2</v>
      </c>
      <c r="O4906">
        <v>-7.9578099999999992E-3</v>
      </c>
      <c r="P4906">
        <v>-0.94376269999999995</v>
      </c>
      <c r="Q4906">
        <v>0.32444390000000001</v>
      </c>
      <c r="R4906">
        <v>-6.3627699999999995E-2</v>
      </c>
      <c r="S4906">
        <v>-3.2233890000000001</v>
      </c>
      <c r="T4906">
        <v>-0.12815799999999999</v>
      </c>
      <c r="U4906">
        <v>1.6067499999999998E-2</v>
      </c>
      <c r="V4906">
        <v>-5.6105139999999998E-2</v>
      </c>
      <c r="W4906">
        <v>0.3389528</v>
      </c>
      <c r="X4906">
        <v>0.93912899999999999</v>
      </c>
      <c r="Y4906">
        <v>1.292657E-2</v>
      </c>
      <c r="Z4906">
        <v>5.5019519999999905E-4</v>
      </c>
      <c r="AA4906">
        <v>0.99991629999999998</v>
      </c>
      <c r="AB4906">
        <v>43</v>
      </c>
      <c r="AC4906">
        <v>-27.526599999999899</v>
      </c>
      <c r="AD4906">
        <v>-1.1103427944369999</v>
      </c>
      <c r="AE4906">
        <v>0.14230000000000501</v>
      </c>
      <c r="AF4906">
        <v>0.360785901694466</v>
      </c>
      <c r="AG4906">
        <v>-1.1103427944369999</v>
      </c>
      <c r="AH4906">
        <v>27.4798848768372</v>
      </c>
      <c r="AI4906">
        <v>92.313615776539393</v>
      </c>
      <c r="AJ4906">
        <v>89.247801730119207</v>
      </c>
      <c r="AK4906">
        <v>27.504674156082</v>
      </c>
      <c r="AL4906">
        <v>70.186914847461594</v>
      </c>
      <c r="AM4906">
        <v>93.418882325320695</v>
      </c>
      <c r="AN4906">
        <v>1.0000000330016201</v>
      </c>
    </row>
    <row r="4907" spans="1:40" x14ac:dyDescent="0.25">
      <c r="A4907" t="str">
        <f>"20190304164224599"</f>
        <v>20190304164224599</v>
      </c>
      <c r="B4907" t="str">
        <f>"1551688944586080"</f>
        <v>1551688944586080</v>
      </c>
      <c r="C4907" t="s">
        <v>40</v>
      </c>
      <c r="D4907">
        <v>3.8108979999999999</v>
      </c>
      <c r="E4907">
        <v>0.53404069999999904</v>
      </c>
      <c r="F4907" t="s">
        <v>42</v>
      </c>
      <c r="G4907">
        <v>-322.82819999999998</v>
      </c>
      <c r="H4907" s="1">
        <v>-3.5776700000000001E-6</v>
      </c>
      <c r="I4907">
        <v>141.56569999999999</v>
      </c>
      <c r="J4907">
        <v>-295.08089999999999</v>
      </c>
      <c r="K4907">
        <v>1.1103419999999999</v>
      </c>
      <c r="L4907">
        <v>141.4256</v>
      </c>
      <c r="M4907">
        <v>-0.99984980000000001</v>
      </c>
      <c r="N4907">
        <v>-1.540217E-2</v>
      </c>
      <c r="O4907">
        <v>-7.9581359999999993E-3</v>
      </c>
      <c r="P4907">
        <v>-0.94376199999999999</v>
      </c>
      <c r="Q4907">
        <v>0.32449529999999999</v>
      </c>
      <c r="R4907">
        <v>-6.3376169999999996E-2</v>
      </c>
      <c r="S4907">
        <v>-3.2237550000000001</v>
      </c>
      <c r="T4907">
        <v>-0.12770529999999999</v>
      </c>
      <c r="U4907">
        <v>1.586914E-2</v>
      </c>
      <c r="V4907">
        <v>-5.5852859999999997E-2</v>
      </c>
      <c r="W4907">
        <v>0.33900170000000002</v>
      </c>
      <c r="X4907">
        <v>0.93912640000000003</v>
      </c>
      <c r="Y4907">
        <v>1.286499E-2</v>
      </c>
      <c r="Z4907">
        <v>5.4642510000000005E-4</v>
      </c>
      <c r="AA4907">
        <v>0.9999171</v>
      </c>
      <c r="AB4907">
        <v>43</v>
      </c>
      <c r="AC4907">
        <v>-27.747299999999999</v>
      </c>
      <c r="AD4907">
        <v>-1.11034557767</v>
      </c>
      <c r="AE4907">
        <v>0.14009999999998901</v>
      </c>
      <c r="AF4907">
        <v>0.360361490947392</v>
      </c>
      <c r="AG4907">
        <v>-1.11034557767</v>
      </c>
      <c r="AH4907">
        <v>27.700949444426701</v>
      </c>
      <c r="AI4907">
        <v>92.295181374491804</v>
      </c>
      <c r="AJ4907">
        <v>89.254681578520604</v>
      </c>
      <c r="AK4907">
        <v>27.7255356635124</v>
      </c>
      <c r="AL4907">
        <v>70.1839370104517</v>
      </c>
      <c r="AM4907">
        <v>93.403554745295693</v>
      </c>
      <c r="AN4907">
        <v>1.0000000448750099</v>
      </c>
    </row>
    <row r="4908" spans="1:40" x14ac:dyDescent="0.25">
      <c r="A4908" t="str">
        <f>"20190304164224613"</f>
        <v>20190304164224613</v>
      </c>
      <c r="B4908" t="str">
        <f>"1551688944605600"</f>
        <v>1551688944605600</v>
      </c>
      <c r="C4908" t="s">
        <v>40</v>
      </c>
      <c r="D4908">
        <v>3.8011509999999999</v>
      </c>
      <c r="E4908">
        <v>0.53405209999999903</v>
      </c>
      <c r="F4908" t="s">
        <v>42</v>
      </c>
      <c r="G4908">
        <v>-323.14640000000003</v>
      </c>
      <c r="H4908" s="1">
        <v>-3.4423660000000002E-6</v>
      </c>
      <c r="I4908">
        <v>141.5702</v>
      </c>
      <c r="J4908">
        <v>-295.33390000000003</v>
      </c>
      <c r="K4908">
        <v>1.1103379999999901</v>
      </c>
      <c r="L4908">
        <v>141.42359999999999</v>
      </c>
      <c r="M4908">
        <v>-0.99984980000000001</v>
      </c>
      <c r="N4908">
        <v>-1.539986E-2</v>
      </c>
      <c r="O4908">
        <v>-7.9584689999999993E-3</v>
      </c>
      <c r="P4908">
        <v>-0.94386239999999999</v>
      </c>
      <c r="Q4908">
        <v>0.32428960000000001</v>
      </c>
      <c r="R4908">
        <v>-6.2932520000000006E-2</v>
      </c>
      <c r="S4908">
        <v>-3.2237239999999998</v>
      </c>
      <c r="T4908">
        <v>-0.1275394</v>
      </c>
      <c r="U4908">
        <v>1.6616820000000001E-2</v>
      </c>
      <c r="V4908">
        <v>-5.5407650000000003E-2</v>
      </c>
      <c r="W4908">
        <v>0.33879530000000002</v>
      </c>
      <c r="X4908">
        <v>0.93922720000000004</v>
      </c>
      <c r="Y4908">
        <v>1.3097060000000001E-2</v>
      </c>
      <c r="Z4908">
        <v>5.5207870000000003E-4</v>
      </c>
      <c r="AA4908">
        <v>0.99991410000000003</v>
      </c>
      <c r="AB4908">
        <v>43</v>
      </c>
      <c r="AC4908">
        <v>-27.8125</v>
      </c>
      <c r="AD4908">
        <v>-1.1103414423660001</v>
      </c>
      <c r="AE4908">
        <v>0.146600000000006</v>
      </c>
      <c r="AF4908">
        <v>0.36738099923959899</v>
      </c>
      <c r="AG4908">
        <v>-1.1103414423660001</v>
      </c>
      <c r="AH4908">
        <v>27.766199683903601</v>
      </c>
      <c r="AI4908">
        <v>92.289778286323198</v>
      </c>
      <c r="AJ4908">
        <v>89.241950545683807</v>
      </c>
      <c r="AK4908">
        <v>27.790819919600199</v>
      </c>
      <c r="AL4908">
        <v>70.196505730741407</v>
      </c>
      <c r="AM4908">
        <v>93.376126078861205</v>
      </c>
      <c r="AN4908">
        <v>0.999999998100226</v>
      </c>
    </row>
    <row r="4909" spans="1:40" x14ac:dyDescent="0.25">
      <c r="A4909" t="str">
        <f>"20190304164224631"</f>
        <v>20190304164224631</v>
      </c>
      <c r="B4909" t="str">
        <f>"1551688944626096"</f>
        <v>1551688944626096</v>
      </c>
      <c r="C4909" t="s">
        <v>40</v>
      </c>
      <c r="D4909">
        <v>3.8037800000000002</v>
      </c>
      <c r="E4909">
        <v>0.53405159999999996</v>
      </c>
      <c r="F4909" t="s">
        <v>42</v>
      </c>
      <c r="G4909">
        <v>-323.28859999999997</v>
      </c>
      <c r="H4909" s="1">
        <v>-3.383842E-6</v>
      </c>
      <c r="I4909">
        <v>141.5796</v>
      </c>
      <c r="J4909">
        <v>-295.68380000000002</v>
      </c>
      <c r="K4909">
        <v>1.110341</v>
      </c>
      <c r="L4909">
        <v>141.42080000000001</v>
      </c>
      <c r="M4909">
        <v>-0.99984989999999996</v>
      </c>
      <c r="N4909">
        <v>-1.539662E-2</v>
      </c>
      <c r="O4909">
        <v>-7.9586729999999994E-3</v>
      </c>
      <c r="P4909">
        <v>-0.94366190000000005</v>
      </c>
      <c r="Q4909">
        <v>0.32503500000000002</v>
      </c>
      <c r="R4909">
        <v>-6.2087099999999999E-2</v>
      </c>
      <c r="S4909">
        <v>-3.223633</v>
      </c>
      <c r="T4909">
        <v>-0.1280404</v>
      </c>
      <c r="U4909">
        <v>1.800537E-2</v>
      </c>
      <c r="V4909">
        <v>-5.4563170000000001E-2</v>
      </c>
      <c r="W4909">
        <v>0.33953460000000002</v>
      </c>
      <c r="X4909">
        <v>0.93900969999999995</v>
      </c>
      <c r="Y4909">
        <v>1.35275E-2</v>
      </c>
      <c r="Z4909">
        <v>5.6621769999999996E-4</v>
      </c>
      <c r="AA4909">
        <v>0.99990829999999997</v>
      </c>
      <c r="AB4909">
        <v>43</v>
      </c>
      <c r="AC4909">
        <v>-27.604799999999901</v>
      </c>
      <c r="AD4909">
        <v>-1.110344383842</v>
      </c>
      <c r="AE4909">
        <v>0.15879999999998501</v>
      </c>
      <c r="AF4909">
        <v>0.37790717873365998</v>
      </c>
      <c r="AG4909">
        <v>-1.110344383842</v>
      </c>
      <c r="AH4909">
        <v>27.558077366591</v>
      </c>
      <c r="AI4909">
        <v>92.307043531878094</v>
      </c>
      <c r="AJ4909">
        <v>89.214345434662206</v>
      </c>
      <c r="AK4909">
        <v>27.583025697509701</v>
      </c>
      <c r="AL4909">
        <v>70.151479110540905</v>
      </c>
      <c r="AM4909">
        <v>93.325554516557801</v>
      </c>
      <c r="AN4909">
        <v>1.0000000504058399</v>
      </c>
    </row>
    <row r="4910" spans="1:40" x14ac:dyDescent="0.25">
      <c r="A4910" t="str">
        <f>"20190304164224653"</f>
        <v>20190304164224653</v>
      </c>
      <c r="B4910" t="str">
        <f>"1551688944645615"</f>
        <v>1551688944645615</v>
      </c>
      <c r="C4910" t="s">
        <v>40</v>
      </c>
      <c r="D4910">
        <v>4.506278</v>
      </c>
      <c r="E4910">
        <v>0.53415550000000001</v>
      </c>
      <c r="F4910" t="s">
        <v>42</v>
      </c>
      <c r="G4910">
        <v>-323.98939999999999</v>
      </c>
      <c r="H4910" s="1">
        <v>-3.088749E-6</v>
      </c>
      <c r="I4910">
        <v>141.60050000000001</v>
      </c>
      <c r="J4910">
        <v>-296.10860000000002</v>
      </c>
      <c r="K4910">
        <v>1.1103449999999999</v>
      </c>
      <c r="L4910">
        <v>141.41739999999999</v>
      </c>
      <c r="M4910">
        <v>-0.99984989999999996</v>
      </c>
      <c r="N4910">
        <v>-1.5392629999999999E-2</v>
      </c>
      <c r="O4910">
        <v>-7.9592280000000005E-3</v>
      </c>
      <c r="P4910">
        <v>-0.94362809999999997</v>
      </c>
      <c r="Q4910">
        <v>0.3253472</v>
      </c>
      <c r="R4910">
        <v>-6.095267E-2</v>
      </c>
      <c r="S4910">
        <v>-3.22403</v>
      </c>
      <c r="T4910">
        <v>-0.126469</v>
      </c>
      <c r="U4910">
        <v>2.0477289999999999E-2</v>
      </c>
      <c r="V4910">
        <v>-5.3428009999999998E-2</v>
      </c>
      <c r="W4910">
        <v>0.3398427</v>
      </c>
      <c r="X4910">
        <v>0.93896349999999995</v>
      </c>
      <c r="Y4910">
        <v>1.429357E-2</v>
      </c>
      <c r="Z4910">
        <v>5.7991269999999896E-4</v>
      </c>
      <c r="AA4910">
        <v>0.9998977</v>
      </c>
      <c r="AB4910">
        <v>43</v>
      </c>
      <c r="AC4910">
        <v>-27.880799999999901</v>
      </c>
      <c r="AD4910">
        <v>-1.110348088749</v>
      </c>
      <c r="AE4910">
        <v>0.18310000000002399</v>
      </c>
      <c r="AF4910">
        <v>0.40438878499668901</v>
      </c>
      <c r="AG4910">
        <v>-1.110348088749</v>
      </c>
      <c r="AH4910">
        <v>27.834315361508501</v>
      </c>
      <c r="AI4910">
        <v>92.284153304950095</v>
      </c>
      <c r="AJ4910">
        <v>89.167641079703102</v>
      </c>
      <c r="AK4910">
        <v>27.859388270590699</v>
      </c>
      <c r="AL4910">
        <v>70.132709899874897</v>
      </c>
      <c r="AM4910">
        <v>93.256678353625205</v>
      </c>
      <c r="AN4910">
        <v>1.00000003366404</v>
      </c>
    </row>
    <row r="4911" spans="1:40" x14ac:dyDescent="0.25">
      <c r="A4911" t="str">
        <f>"20190304164224668"</f>
        <v>20190304164224668</v>
      </c>
      <c r="B4911" t="str">
        <f>"1551688944656353"</f>
        <v>1551688944656353</v>
      </c>
      <c r="C4911" t="s">
        <v>40</v>
      </c>
      <c r="D4911">
        <v>3.808656</v>
      </c>
      <c r="E4911">
        <v>0.53421560000000001</v>
      </c>
      <c r="F4911" t="s">
        <v>42</v>
      </c>
      <c r="G4911">
        <v>-324.54669999999999</v>
      </c>
      <c r="H4911" s="1">
        <v>-2.857885E-6</v>
      </c>
      <c r="I4911">
        <v>141.63130000000001</v>
      </c>
      <c r="J4911">
        <v>-296.39010000000002</v>
      </c>
      <c r="K4911">
        <v>1.1103449999999999</v>
      </c>
      <c r="L4911">
        <v>141.4152</v>
      </c>
      <c r="M4911">
        <v>-0.99985000000000002</v>
      </c>
      <c r="N4911">
        <v>-1.538993E-2</v>
      </c>
      <c r="O4911">
        <v>-7.9595599999999992E-3</v>
      </c>
      <c r="P4911">
        <v>-0.94367590000000001</v>
      </c>
      <c r="Q4911">
        <v>0.32527610000000001</v>
      </c>
      <c r="R4911">
        <v>-6.0592199999999999E-2</v>
      </c>
      <c r="S4911">
        <v>-3.224243</v>
      </c>
      <c r="T4911">
        <v>-0.12588859999999999</v>
      </c>
      <c r="U4911">
        <v>2.426147E-2</v>
      </c>
      <c r="V4911">
        <v>-5.3066389999999998E-2</v>
      </c>
      <c r="W4911">
        <v>0.3397696</v>
      </c>
      <c r="X4911">
        <v>0.93901040000000002</v>
      </c>
      <c r="Y4911">
        <v>1.546587E-2</v>
      </c>
      <c r="Z4911">
        <v>6.0906869999999996E-4</v>
      </c>
      <c r="AA4911">
        <v>0.9998802</v>
      </c>
      <c r="AB4911">
        <v>43</v>
      </c>
      <c r="AC4911">
        <v>-28.156599999999901</v>
      </c>
      <c r="AD4911">
        <v>-1.1103478578849999</v>
      </c>
      <c r="AE4911">
        <v>0.21610000000001101</v>
      </c>
      <c r="AF4911">
        <v>0.43955031642916798</v>
      </c>
      <c r="AG4911">
        <v>-1.1103478578849999</v>
      </c>
      <c r="AH4911">
        <v>28.110275932997499</v>
      </c>
      <c r="AI4911">
        <v>92.261714786807204</v>
      </c>
      <c r="AJ4911">
        <v>89.104159425152304</v>
      </c>
      <c r="AK4911">
        <v>28.1356302555219</v>
      </c>
      <c r="AL4911">
        <v>70.137162041979295</v>
      </c>
      <c r="AM4911">
        <v>93.234521731078203</v>
      </c>
      <c r="AN4911">
        <v>0.99999997706997501</v>
      </c>
    </row>
    <row r="4912" spans="1:40" x14ac:dyDescent="0.25">
      <c r="A4912" t="str">
        <f>"20190304164224682"</f>
        <v>20190304164224682</v>
      </c>
      <c r="B4912" t="str">
        <f>"1551688944675873"</f>
        <v>1551688944675873</v>
      </c>
      <c r="C4912" t="s">
        <v>40</v>
      </c>
      <c r="D4912">
        <v>3.8248199999999999</v>
      </c>
      <c r="E4912">
        <v>0.53426680000000004</v>
      </c>
      <c r="F4912" t="s">
        <v>42</v>
      </c>
      <c r="G4912">
        <v>-324.77690000000001</v>
      </c>
      <c r="H4912" s="1">
        <v>-2.7619019999999998E-6</v>
      </c>
      <c r="I4912">
        <v>141.64169999999999</v>
      </c>
      <c r="J4912">
        <v>-296.66480000000001</v>
      </c>
      <c r="K4912">
        <v>1.110352</v>
      </c>
      <c r="L4912">
        <v>141.41299999999899</v>
      </c>
      <c r="M4912">
        <v>-0.99985000000000002</v>
      </c>
      <c r="N4912">
        <v>-1.538727E-2</v>
      </c>
      <c r="O4912">
        <v>-7.9597720000000004E-3</v>
      </c>
      <c r="P4912">
        <v>-0.94375799999999999</v>
      </c>
      <c r="Q4912">
        <v>0.3251231</v>
      </c>
      <c r="R4912">
        <v>-6.0131959999999998E-2</v>
      </c>
      <c r="S4912">
        <v>-3.2241819999999999</v>
      </c>
      <c r="T4912">
        <v>-0.1261139</v>
      </c>
      <c r="U4912">
        <v>2.574158E-2</v>
      </c>
      <c r="V4912">
        <v>-5.260563E-2</v>
      </c>
      <c r="W4912">
        <v>0.33961529999999901</v>
      </c>
      <c r="X4912">
        <v>0.93909219999999904</v>
      </c>
      <c r="Y4912">
        <v>1.5924649999999999E-2</v>
      </c>
      <c r="Z4912">
        <v>6.2268190000000002E-4</v>
      </c>
      <c r="AA4912">
        <v>0.99987300000000001</v>
      </c>
      <c r="AB4912">
        <v>43</v>
      </c>
      <c r="AC4912">
        <v>-28.112100000000002</v>
      </c>
      <c r="AD4912">
        <v>-1.110354761902</v>
      </c>
      <c r="AE4912">
        <v>0.22870000000000301</v>
      </c>
      <c r="AF4912">
        <v>0.45178038722721398</v>
      </c>
      <c r="AG4912">
        <v>-1.110354761902</v>
      </c>
      <c r="AH4912">
        <v>28.065607901959801</v>
      </c>
      <c r="AI4912">
        <v>92.265308223572703</v>
      </c>
      <c r="AJ4912">
        <v>89.0777725505028</v>
      </c>
      <c r="AK4912">
        <v>28.091196843888799</v>
      </c>
      <c r="AL4912">
        <v>70.146562858541898</v>
      </c>
      <c r="AM4912">
        <v>93.206217459642403</v>
      </c>
      <c r="AN4912">
        <v>1.0000000322013101</v>
      </c>
    </row>
    <row r="4913" spans="1:40" x14ac:dyDescent="0.25">
      <c r="A4913" t="str">
        <f>"20190304164224697"</f>
        <v>20190304164224697</v>
      </c>
      <c r="B4913" t="str">
        <f>"1551688944685631"</f>
        <v>1551688944685631</v>
      </c>
      <c r="C4913" t="s">
        <v>40</v>
      </c>
      <c r="D4913">
        <v>3.767776</v>
      </c>
      <c r="E4913">
        <v>0.53429740000000003</v>
      </c>
      <c r="F4913" t="s">
        <v>42</v>
      </c>
      <c r="G4913">
        <v>-324.91410000000002</v>
      </c>
      <c r="H4913" s="1">
        <v>-2.7071150000000001E-6</v>
      </c>
      <c r="I4913">
        <v>141.65710000000001</v>
      </c>
      <c r="J4913">
        <v>-296.94600000000003</v>
      </c>
      <c r="K4913">
        <v>1.110355</v>
      </c>
      <c r="L4913">
        <v>141.41079999999999</v>
      </c>
      <c r="M4913">
        <v>-0.99985000000000002</v>
      </c>
      <c r="N4913">
        <v>-1.5384490000000001E-2</v>
      </c>
      <c r="O4913">
        <v>-7.9599849999999993E-3</v>
      </c>
      <c r="P4913">
        <v>-0.94373359999999995</v>
      </c>
      <c r="Q4913">
        <v>0.32530219999999999</v>
      </c>
      <c r="R4913">
        <v>-5.9545149999999998E-2</v>
      </c>
      <c r="S4913">
        <v>-3.224243</v>
      </c>
      <c r="T4913">
        <v>-0.1267307</v>
      </c>
      <c r="U4913">
        <v>2.786255E-2</v>
      </c>
      <c r="V4913">
        <v>-5.2018179999999997E-2</v>
      </c>
      <c r="W4913">
        <v>0.33979110000000001</v>
      </c>
      <c r="X4913">
        <v>0.93906129999999999</v>
      </c>
      <c r="Y4913">
        <v>1.6581519999999999E-2</v>
      </c>
      <c r="Z4913">
        <v>6.436775E-4</v>
      </c>
      <c r="AA4913">
        <v>0.99986229999999998</v>
      </c>
      <c r="AB4913">
        <v>43</v>
      </c>
      <c r="AC4913">
        <v>-27.9681</v>
      </c>
      <c r="AD4913">
        <v>-1.1103577071149999</v>
      </c>
      <c r="AE4913">
        <v>0.246300000000019</v>
      </c>
      <c r="AF4913">
        <v>0.46820628454406099</v>
      </c>
      <c r="AG4913">
        <v>-1.1103577071149999</v>
      </c>
      <c r="AH4913">
        <v>27.921248051124302</v>
      </c>
      <c r="AI4913">
        <v>92.276989078083801</v>
      </c>
      <c r="AJ4913">
        <v>89.039307628069494</v>
      </c>
      <c r="AK4913">
        <v>27.947239650724899</v>
      </c>
      <c r="AL4913">
        <v>70.135852812658399</v>
      </c>
      <c r="AM4913">
        <v>93.170591017871402</v>
      </c>
      <c r="AN4913">
        <v>1.0000000039237</v>
      </c>
    </row>
    <row r="4914" spans="1:40" x14ac:dyDescent="0.25">
      <c r="A4914" t="str">
        <f>"20190304164224713"</f>
        <v>20190304164224713</v>
      </c>
      <c r="B4914" t="str">
        <f>"1551688944706127"</f>
        <v>1551688944706127</v>
      </c>
      <c r="C4914" t="s">
        <v>40</v>
      </c>
      <c r="D4914">
        <v>3.811887</v>
      </c>
      <c r="E4914">
        <v>0.53424919999999998</v>
      </c>
      <c r="F4914" t="s">
        <v>42</v>
      </c>
      <c r="G4914">
        <v>-325.35610000000003</v>
      </c>
      <c r="H4914" s="1">
        <v>-2.5231399999999999E-6</v>
      </c>
      <c r="I4914">
        <v>141.67830000000001</v>
      </c>
      <c r="J4914">
        <v>-297.2654</v>
      </c>
      <c r="K4914">
        <v>1.1103559999999999</v>
      </c>
      <c r="L4914">
        <v>141.40819999999999</v>
      </c>
      <c r="M4914">
        <v>-0.99985020000000002</v>
      </c>
      <c r="N4914">
        <v>-1.5381290000000001E-2</v>
      </c>
      <c r="O4914">
        <v>-7.9603150000000008E-3</v>
      </c>
      <c r="P4914">
        <v>-0.94376130000000003</v>
      </c>
      <c r="Q4914">
        <v>0.32525300000000001</v>
      </c>
      <c r="R4914">
        <v>-5.9375549999999999E-2</v>
      </c>
      <c r="S4914">
        <v>-3.2242130000000002</v>
      </c>
      <c r="T4914">
        <v>-0.1260124</v>
      </c>
      <c r="U4914">
        <v>3.0364990000000001E-2</v>
      </c>
      <c r="V4914">
        <v>-5.1848159999999997E-2</v>
      </c>
      <c r="W4914">
        <v>0.33973950000000003</v>
      </c>
      <c r="X4914">
        <v>0.93908939999999996</v>
      </c>
      <c r="Y4914">
        <v>1.7357290000000001E-2</v>
      </c>
      <c r="Z4914">
        <v>6.611958E-4</v>
      </c>
      <c r="AA4914">
        <v>0.99984910000000005</v>
      </c>
      <c r="AB4914">
        <v>43</v>
      </c>
      <c r="AC4914">
        <v>-28.090699999999998</v>
      </c>
      <c r="AD4914">
        <v>-1.1103585231399999</v>
      </c>
      <c r="AE4914">
        <v>0.270100000000013</v>
      </c>
      <c r="AF4914">
        <v>0.49295853173348098</v>
      </c>
      <c r="AG4914">
        <v>-1.1103585231399999</v>
      </c>
      <c r="AH4914">
        <v>28.043846859698299</v>
      </c>
      <c r="AI4914">
        <v>92.267015410096704</v>
      </c>
      <c r="AJ4914">
        <v>88.992950755565104</v>
      </c>
      <c r="AK4914">
        <v>28.070148750124801</v>
      </c>
      <c r="AL4914">
        <v>70.138996826303497</v>
      </c>
      <c r="AM4914">
        <v>93.160154696079701</v>
      </c>
      <c r="AN4914">
        <v>1.00000003037399</v>
      </c>
    </row>
    <row r="4915" spans="1:40" x14ac:dyDescent="0.25">
      <c r="A4915" t="str">
        <f>"20190304164224727"</f>
        <v>20190304164224727</v>
      </c>
      <c r="B4915" t="str">
        <f>"1551688944715888"</f>
        <v>1551688944715888</v>
      </c>
      <c r="C4915" t="s">
        <v>40</v>
      </c>
      <c r="D4915">
        <v>3.7828569999999999</v>
      </c>
      <c r="E4915">
        <v>0.53423959999999904</v>
      </c>
      <c r="F4915" t="s">
        <v>42</v>
      </c>
      <c r="G4915">
        <v>-325.50940000000003</v>
      </c>
      <c r="H4915" s="1">
        <v>-2.456443E-6</v>
      </c>
      <c r="I4915">
        <v>141.6747</v>
      </c>
      <c r="J4915">
        <v>-297.52480000000003</v>
      </c>
      <c r="K4915">
        <v>1.110357</v>
      </c>
      <c r="L4915">
        <v>141.40620000000001</v>
      </c>
      <c r="M4915">
        <v>-0.99985000000000002</v>
      </c>
      <c r="N4915">
        <v>-1.5378640000000001E-2</v>
      </c>
      <c r="O4915">
        <v>-7.9605300000000004E-3</v>
      </c>
      <c r="P4915">
        <v>-0.94368790000000002</v>
      </c>
      <c r="Q4915">
        <v>0.3255574</v>
      </c>
      <c r="R4915">
        <v>-5.8870909999999999E-2</v>
      </c>
      <c r="S4915">
        <v>-3.2243650000000001</v>
      </c>
      <c r="T4915">
        <v>-0.12676019999999999</v>
      </c>
      <c r="U4915">
        <v>3.042603E-2</v>
      </c>
      <c r="V4915">
        <v>-5.1343819999999998E-2</v>
      </c>
      <c r="W4915">
        <v>0.34004040000000002</v>
      </c>
      <c r="X4915">
        <v>0.93900819999999996</v>
      </c>
      <c r="Y4915">
        <v>1.7375729999999999E-2</v>
      </c>
      <c r="Z4915">
        <v>6.6552810000000001E-4</v>
      </c>
      <c r="AA4915">
        <v>0.99984879999999998</v>
      </c>
      <c r="AB4915">
        <v>43</v>
      </c>
      <c r="AC4915">
        <v>-27.9846</v>
      </c>
      <c r="AD4915">
        <v>-1.1103594564429999</v>
      </c>
      <c r="AE4915">
        <v>0.26849999999998803</v>
      </c>
      <c r="AF4915">
        <v>0.49051794376361502</v>
      </c>
      <c r="AG4915">
        <v>-1.1103594564429999</v>
      </c>
      <c r="AH4915">
        <v>27.937597166791999</v>
      </c>
      <c r="AI4915">
        <v>92.275630796581297</v>
      </c>
      <c r="AJ4915">
        <v>88.994125358002506</v>
      </c>
      <c r="AK4915">
        <v>27.963956111923999</v>
      </c>
      <c r="AL4915">
        <v>70.120665158798303</v>
      </c>
      <c r="AM4915">
        <v>93.129746563064501</v>
      </c>
      <c r="AN4915">
        <v>1.0000000305757899</v>
      </c>
    </row>
    <row r="4916" spans="1:40" x14ac:dyDescent="0.25">
      <c r="A4916" t="str">
        <f>"20190304164224755"</f>
        <v>20190304164224755</v>
      </c>
      <c r="B4916" t="str">
        <f>"1551688944746144"</f>
        <v>1551688944746144</v>
      </c>
      <c r="C4916" t="s">
        <v>40</v>
      </c>
      <c r="D4916">
        <v>3.7880549999999999</v>
      </c>
      <c r="E4916">
        <v>0.53414919999999899</v>
      </c>
      <c r="F4916" t="s">
        <v>42</v>
      </c>
      <c r="G4916">
        <v>-325.92149999999998</v>
      </c>
      <c r="H4916" s="1">
        <v>-2.282301E-6</v>
      </c>
      <c r="I4916">
        <v>141.68459999999999</v>
      </c>
      <c r="J4916">
        <v>-298.05709999999999</v>
      </c>
      <c r="K4916">
        <v>1.110349</v>
      </c>
      <c r="L4916">
        <v>141.40190000000001</v>
      </c>
      <c r="M4916">
        <v>-0.99985020000000002</v>
      </c>
      <c r="N4916">
        <v>-1.5373110000000001E-2</v>
      </c>
      <c r="O4916">
        <v>-7.9610789999999994E-3</v>
      </c>
      <c r="P4916">
        <v>-0.94386709999999996</v>
      </c>
      <c r="Q4916">
        <v>0.32508920000000002</v>
      </c>
      <c r="R4916">
        <v>-5.858149E-2</v>
      </c>
      <c r="S4916">
        <v>-3.2244869999999999</v>
      </c>
      <c r="T4916">
        <v>-0.1260831</v>
      </c>
      <c r="U4916">
        <v>3.1631470000000002E-2</v>
      </c>
      <c r="V4916">
        <v>-5.1052159999999999E-2</v>
      </c>
      <c r="W4916">
        <v>0.33956960000000003</v>
      </c>
      <c r="X4916">
        <v>0.93919439999999998</v>
      </c>
      <c r="Y4916">
        <v>1.7749480000000002E-2</v>
      </c>
      <c r="Z4916">
        <v>6.7219770000000005E-4</v>
      </c>
      <c r="AA4916">
        <v>0.99984220000000001</v>
      </c>
      <c r="AB4916">
        <v>43</v>
      </c>
      <c r="AC4916">
        <v>-27.8643999999999</v>
      </c>
      <c r="AD4916">
        <v>-1.110351282301</v>
      </c>
      <c r="AE4916">
        <v>0.28269999999997703</v>
      </c>
      <c r="AF4916">
        <v>0.50374811545569598</v>
      </c>
      <c r="AG4916">
        <v>-1.110351282301</v>
      </c>
      <c r="AH4916">
        <v>27.817099859278098</v>
      </c>
      <c r="AI4916">
        <v>92.285438616710906</v>
      </c>
      <c r="AJ4916">
        <v>88.962527129546103</v>
      </c>
      <c r="AK4916">
        <v>27.8438087681082</v>
      </c>
      <c r="AL4916">
        <v>70.149345604596903</v>
      </c>
      <c r="AM4916">
        <v>93.111387237158795</v>
      </c>
      <c r="AN4916">
        <v>0.99999997863809198</v>
      </c>
    </row>
    <row r="4917" spans="1:40" x14ac:dyDescent="0.25">
      <c r="A4917" t="str">
        <f>"20190304164224775"</f>
        <v>20190304164224775</v>
      </c>
      <c r="B4917" t="str">
        <f>"1551688944765664"</f>
        <v>1551688944765664</v>
      </c>
      <c r="C4917" t="s">
        <v>40</v>
      </c>
      <c r="D4917">
        <v>3.7501579999999999</v>
      </c>
      <c r="E4917">
        <v>0.54964440000000003</v>
      </c>
      <c r="F4917" t="s">
        <v>42</v>
      </c>
      <c r="G4917">
        <v>-326.01639999999998</v>
      </c>
      <c r="H4917" s="1">
        <v>-2.238568E-6</v>
      </c>
      <c r="I4917">
        <v>141.67320000000001</v>
      </c>
      <c r="J4917">
        <v>-298.44439999999997</v>
      </c>
      <c r="K4917">
        <v>1.110347</v>
      </c>
      <c r="L4917">
        <v>141.39879999999999</v>
      </c>
      <c r="M4917">
        <v>-0.99985029999999997</v>
      </c>
      <c r="N4917">
        <v>-1.5369010000000001E-2</v>
      </c>
      <c r="O4917">
        <v>-7.9614030000000006E-3</v>
      </c>
      <c r="P4917">
        <v>-0.944048</v>
      </c>
      <c r="Q4917">
        <v>0.32459179999999999</v>
      </c>
      <c r="R4917">
        <v>-5.842812E-2</v>
      </c>
      <c r="S4917">
        <v>-3.2244570000000001</v>
      </c>
      <c r="T4917">
        <v>-0.12805369999999999</v>
      </c>
      <c r="U4917">
        <v>3.1295780000000002E-2</v>
      </c>
      <c r="V4917">
        <v>-5.0897079999999997E-2</v>
      </c>
      <c r="W4917">
        <v>0.33907120000000002</v>
      </c>
      <c r="X4917">
        <v>0.93938290000000002</v>
      </c>
      <c r="Y4917">
        <v>1.7645299999999999E-2</v>
      </c>
      <c r="Z4917">
        <v>6.7961899999999904E-4</v>
      </c>
      <c r="AA4917">
        <v>0.99984410000000001</v>
      </c>
      <c r="AB4917">
        <v>43</v>
      </c>
      <c r="AC4917">
        <v>-27.571999999999999</v>
      </c>
      <c r="AD4917">
        <v>-1.1103492385680001</v>
      </c>
      <c r="AE4917">
        <v>0.27440000000001402</v>
      </c>
      <c r="AF4917">
        <v>0.49312936029012699</v>
      </c>
      <c r="AG4917">
        <v>-1.1103492385680001</v>
      </c>
      <c r="AH4917">
        <v>27.524308104390698</v>
      </c>
      <c r="AI4917">
        <v>92.309727716294205</v>
      </c>
      <c r="AJ4917">
        <v>88.973590599148693</v>
      </c>
      <c r="AK4917">
        <v>27.551108664135398</v>
      </c>
      <c r="AL4917">
        <v>70.179703585519704</v>
      </c>
      <c r="AM4917">
        <v>93.101333097399703</v>
      </c>
      <c r="AN4917">
        <v>1.0000000121171799</v>
      </c>
    </row>
    <row r="4918" spans="1:40" x14ac:dyDescent="0.25">
      <c r="A4918" t="str">
        <f>"20190304164224797"</f>
        <v>20190304164224797</v>
      </c>
      <c r="B4918" t="str">
        <f>"1551688944786159"</f>
        <v>1551688944786159</v>
      </c>
      <c r="C4918" t="s">
        <v>40</v>
      </c>
      <c r="D4918">
        <v>3.7538049999999998</v>
      </c>
      <c r="E4918">
        <v>0.55187559999999902</v>
      </c>
      <c r="F4918" t="s">
        <v>42</v>
      </c>
      <c r="G4918">
        <v>-326.11860000000001</v>
      </c>
      <c r="H4918" s="1">
        <v>-2.4763130000000001E-6</v>
      </c>
      <c r="I4918">
        <v>142.73159999999999</v>
      </c>
      <c r="J4918">
        <v>-298.8716</v>
      </c>
      <c r="K4918">
        <v>1.110344</v>
      </c>
      <c r="L4918">
        <v>141.3954</v>
      </c>
      <c r="M4918">
        <v>-0.99985049999999998</v>
      </c>
      <c r="N4918">
        <v>-1.536441E-2</v>
      </c>
      <c r="O4918">
        <v>-7.9618420000000002E-3</v>
      </c>
      <c r="P4918">
        <v>-0.94397770000000003</v>
      </c>
      <c r="Q4918">
        <v>0.32477050000000002</v>
      </c>
      <c r="R4918">
        <v>-5.8570009999999999E-2</v>
      </c>
      <c r="S4918">
        <v>-3.2320250000000001</v>
      </c>
      <c r="T4918">
        <v>-0.12967619999999999</v>
      </c>
      <c r="U4918">
        <v>0.15565489999999901</v>
      </c>
      <c r="V4918">
        <v>-5.1039269999999998E-2</v>
      </c>
      <c r="W4918">
        <v>0.3392444</v>
      </c>
      <c r="X4918">
        <v>0.93931260000000005</v>
      </c>
      <c r="Y4918">
        <v>5.5991819999999998E-2</v>
      </c>
      <c r="Z4918">
        <v>1.749729E-3</v>
      </c>
      <c r="AA4918">
        <v>0.99842969999999998</v>
      </c>
      <c r="AB4918">
        <v>43</v>
      </c>
      <c r="AC4918">
        <v>-27.247</v>
      </c>
      <c r="AD4918">
        <v>-1.110346476313</v>
      </c>
      <c r="AE4918">
        <v>1.3361999999999901</v>
      </c>
      <c r="AF4918">
        <v>1.5505507514732899</v>
      </c>
      <c r="AG4918">
        <v>-1.110346476313</v>
      </c>
      <c r="AH4918">
        <v>27.190450659825899</v>
      </c>
      <c r="AI4918">
        <v>92.334636638158003</v>
      </c>
      <c r="AJ4918">
        <v>86.736210719768394</v>
      </c>
      <c r="AK4918">
        <v>27.257250118359</v>
      </c>
      <c r="AL4918">
        <v>70.169153751998905</v>
      </c>
      <c r="AM4918">
        <v>93.110212536154293</v>
      </c>
      <c r="AN4918">
        <v>0.999999965266126</v>
      </c>
    </row>
    <row r="4919" spans="1:40" x14ac:dyDescent="0.25">
      <c r="A4919" t="str">
        <f>"20190304164224821"</f>
        <v>20190304164224821</v>
      </c>
      <c r="B4919" t="str">
        <f>"1551688944816417"</f>
        <v>1551688944816417</v>
      </c>
      <c r="C4919" t="s">
        <v>40</v>
      </c>
      <c r="D4919">
        <v>3.7524250000000001</v>
      </c>
      <c r="E4919">
        <v>0.5530602</v>
      </c>
      <c r="F4919" t="s">
        <v>42</v>
      </c>
      <c r="G4919">
        <v>-326.68959999999998</v>
      </c>
      <c r="H4919" s="1">
        <v>-2.2736000000000001E-6</v>
      </c>
      <c r="I4919">
        <v>142.8904</v>
      </c>
      <c r="J4919">
        <v>-299.30880000000002</v>
      </c>
      <c r="K4919">
        <v>1.110349</v>
      </c>
      <c r="L4919">
        <v>141.39189999999999</v>
      </c>
      <c r="M4919">
        <v>-0.99985049999999998</v>
      </c>
      <c r="N4919">
        <v>-1.5359660000000001E-2</v>
      </c>
      <c r="O4919">
        <v>-7.9619229999999992E-3</v>
      </c>
      <c r="P4919">
        <v>-0.94409089999999996</v>
      </c>
      <c r="Q4919">
        <v>0.32444770000000001</v>
      </c>
      <c r="R4919">
        <v>-5.8533330000000001E-2</v>
      </c>
      <c r="S4919">
        <v>-3.233215</v>
      </c>
      <c r="T4919">
        <v>-0.1290531</v>
      </c>
      <c r="U4919">
        <v>0.17376710000000001</v>
      </c>
      <c r="V4919">
        <v>-5.1001289999999998E-2</v>
      </c>
      <c r="W4919">
        <v>0.33891919999999998</v>
      </c>
      <c r="X4919">
        <v>0.93943209999999999</v>
      </c>
      <c r="Y4919">
        <v>6.1546459999999997E-2</v>
      </c>
      <c r="Z4919">
        <v>1.8955109999999999E-3</v>
      </c>
      <c r="AA4919">
        <v>0.99810239999999995</v>
      </c>
      <c r="AB4919">
        <v>43</v>
      </c>
      <c r="AC4919">
        <v>-27.380799999999901</v>
      </c>
      <c r="AD4919">
        <v>-1.1103512736000001</v>
      </c>
      <c r="AE4919">
        <v>1.4984999999999999</v>
      </c>
      <c r="AF4919">
        <v>1.7136723126123801</v>
      </c>
      <c r="AG4919">
        <v>-1.1103512736000001</v>
      </c>
      <c r="AH4919">
        <v>27.323201297408701</v>
      </c>
      <c r="AI4919">
        <v>92.322528143760394</v>
      </c>
      <c r="AJ4919">
        <v>86.411190968048501</v>
      </c>
      <c r="AK4919">
        <v>27.399395648161899</v>
      </c>
      <c r="AL4919">
        <v>70.1889606941496</v>
      </c>
      <c r="AM4919">
        <v>93.107508099152298</v>
      </c>
      <c r="AN4919">
        <v>1.0000000131103499</v>
      </c>
    </row>
    <row r="4920" spans="1:40" x14ac:dyDescent="0.25">
      <c r="A4920" t="str">
        <f>"20190304164224843"</f>
        <v>20190304164224843</v>
      </c>
      <c r="B4920" t="str">
        <f>"1551688944835935"</f>
        <v>1551688944835935</v>
      </c>
      <c r="C4920" t="s">
        <v>40</v>
      </c>
      <c r="D4920">
        <v>3.7483</v>
      </c>
      <c r="E4920">
        <v>0.55340409999999995</v>
      </c>
      <c r="F4920" t="s">
        <v>42</v>
      </c>
      <c r="G4920">
        <v>-326.7654</v>
      </c>
      <c r="H4920" s="1">
        <v>-2.2570939999999998E-6</v>
      </c>
      <c r="I4920">
        <v>142.95060000000001</v>
      </c>
      <c r="J4920">
        <v>-299.74279999999999</v>
      </c>
      <c r="K4920">
        <v>1.110352</v>
      </c>
      <c r="L4920">
        <v>141.38849999999999</v>
      </c>
      <c r="M4920">
        <v>-0.99985040000000003</v>
      </c>
      <c r="N4920">
        <v>-1.535489E-2</v>
      </c>
      <c r="O4920">
        <v>-7.9621229999999998E-3</v>
      </c>
      <c r="P4920">
        <v>-0.94404270000000001</v>
      </c>
      <c r="Q4920">
        <v>0.32463599999999998</v>
      </c>
      <c r="R4920">
        <v>-5.8266600000000002E-2</v>
      </c>
      <c r="S4920">
        <v>-3.2339479999999998</v>
      </c>
      <c r="T4920">
        <v>-0.13078190000000001</v>
      </c>
      <c r="U4920">
        <v>0.1835938</v>
      </c>
      <c r="V4920">
        <v>-5.0734769999999998E-2</v>
      </c>
      <c r="W4920">
        <v>0.33910220000000002</v>
      </c>
      <c r="X4920">
        <v>0.93938049999999995</v>
      </c>
      <c r="Y4920">
        <v>6.455284E-2</v>
      </c>
      <c r="Z4920">
        <v>1.9994819999999999E-3</v>
      </c>
      <c r="AA4920">
        <v>0.99791229999999997</v>
      </c>
      <c r="AB4920">
        <v>43</v>
      </c>
      <c r="AC4920">
        <v>-27.022600000000001</v>
      </c>
      <c r="AD4920">
        <v>-1.1103542570939999</v>
      </c>
      <c r="AE4920">
        <v>1.56210000000001</v>
      </c>
      <c r="AF4920">
        <v>1.7742474893676701</v>
      </c>
      <c r="AG4920">
        <v>-1.1103542570939999</v>
      </c>
      <c r="AH4920">
        <v>26.963930534223</v>
      </c>
      <c r="AI4920">
        <v>92.352981906827495</v>
      </c>
      <c r="AJ4920">
        <v>86.235320486340996</v>
      </c>
      <c r="AK4920">
        <v>27.045043734188699</v>
      </c>
      <c r="AL4920">
        <v>70.177815751390199</v>
      </c>
      <c r="AM4920">
        <v>93.091470091752299</v>
      </c>
      <c r="AN4920">
        <v>1.0000000213560201</v>
      </c>
    </row>
    <row r="4921" spans="1:40" x14ac:dyDescent="0.25">
      <c r="A4921" t="str">
        <f>"20190304164224864"</f>
        <v>20190304164224864</v>
      </c>
      <c r="B4921" t="str">
        <f>"1551688944856432"</f>
        <v>1551688944856432</v>
      </c>
      <c r="C4921" t="s">
        <v>40</v>
      </c>
      <c r="D4921">
        <v>3.7012529999999999</v>
      </c>
      <c r="E4921">
        <v>0.5532629</v>
      </c>
      <c r="F4921" t="s">
        <v>42</v>
      </c>
      <c r="G4921">
        <v>-327.28960000000001</v>
      </c>
      <c r="H4921" s="1">
        <v>-2.0419119999999998E-6</v>
      </c>
      <c r="I4921">
        <v>142.98699999999999</v>
      </c>
      <c r="J4921">
        <v>-300.14179999999999</v>
      </c>
      <c r="K4921">
        <v>1.110358</v>
      </c>
      <c r="L4921">
        <v>141.3853</v>
      </c>
      <c r="M4921">
        <v>-0.99985060000000003</v>
      </c>
      <c r="N4921">
        <v>-1.535051E-2</v>
      </c>
      <c r="O4921">
        <v>-7.9622080000000001E-3</v>
      </c>
      <c r="P4921">
        <v>-0.94394040000000001</v>
      </c>
      <c r="Q4921">
        <v>0.32501229999999998</v>
      </c>
      <c r="R4921">
        <v>-5.782578E-2</v>
      </c>
      <c r="S4921">
        <v>-3.2341920000000002</v>
      </c>
      <c r="T4921">
        <v>-0.13036410000000001</v>
      </c>
      <c r="U4921">
        <v>0.18768309999999999</v>
      </c>
      <c r="V4921">
        <v>-5.0294940000000003E-2</v>
      </c>
      <c r="W4921">
        <v>0.3394722</v>
      </c>
      <c r="X4921">
        <v>0.93927050000000001</v>
      </c>
      <c r="Y4921">
        <v>6.5805310000000006E-2</v>
      </c>
      <c r="Z4921">
        <v>2.0288659999999998E-3</v>
      </c>
      <c r="AA4921">
        <v>0.99783040000000001</v>
      </c>
      <c r="AB4921">
        <v>43</v>
      </c>
      <c r="AC4921">
        <v>-27.1478</v>
      </c>
      <c r="AD4921">
        <v>-1.1103600419120001</v>
      </c>
      <c r="AE4921">
        <v>1.6016999999999899</v>
      </c>
      <c r="AF4921">
        <v>1.8148057141117899</v>
      </c>
      <c r="AG4921">
        <v>-1.1103600419120001</v>
      </c>
      <c r="AH4921">
        <v>27.089025847227902</v>
      </c>
      <c r="AI4921">
        <v>92.341955756945197</v>
      </c>
      <c r="AJ4921">
        <v>86.167246334954896</v>
      </c>
      <c r="AK4921">
        <v>27.172444508259201</v>
      </c>
      <c r="AL4921">
        <v>70.1552793735611</v>
      </c>
      <c r="AM4921">
        <v>93.065079056255996</v>
      </c>
      <c r="AN4921">
        <v>1.0000000138663401</v>
      </c>
    </row>
    <row r="4922" spans="1:40" x14ac:dyDescent="0.25">
      <c r="A4922" t="str">
        <f>"20190304164224887"</f>
        <v>20190304164224887</v>
      </c>
      <c r="B4922" t="str">
        <f>"1551688944875952"</f>
        <v>1551688944875952</v>
      </c>
      <c r="C4922" t="s">
        <v>40</v>
      </c>
      <c r="D4922">
        <v>3.7322199999999999</v>
      </c>
      <c r="E4922">
        <v>0.55294709999999903</v>
      </c>
      <c r="F4922" t="s">
        <v>42</v>
      </c>
      <c r="G4922">
        <v>-328.34710000000001</v>
      </c>
      <c r="H4922" s="1">
        <v>-1.599198E-6</v>
      </c>
      <c r="I4922">
        <v>143.0282</v>
      </c>
      <c r="J4922">
        <v>-300.57089999999999</v>
      </c>
      <c r="K4922">
        <v>1.110366</v>
      </c>
      <c r="L4922">
        <v>141.3819</v>
      </c>
      <c r="M4922">
        <v>-0.99985060000000003</v>
      </c>
      <c r="N4922">
        <v>-1.534575E-2</v>
      </c>
      <c r="O4922">
        <v>-7.9625289999999994E-3</v>
      </c>
      <c r="P4922">
        <v>-0.94393609999999994</v>
      </c>
      <c r="Q4922">
        <v>0.32503209999999999</v>
      </c>
      <c r="R4922">
        <v>-5.7783670000000002E-2</v>
      </c>
      <c r="S4922">
        <v>-3.2334900000000002</v>
      </c>
      <c r="T4922">
        <v>-0.12729309999999999</v>
      </c>
      <c r="U4922">
        <v>0.18835450000000001</v>
      </c>
      <c r="V4922">
        <v>-5.0252070000000003E-2</v>
      </c>
      <c r="W4922">
        <v>0.33948790000000001</v>
      </c>
      <c r="X4922">
        <v>0.93926710000000002</v>
      </c>
      <c r="Y4922">
        <v>6.6027500000000003E-2</v>
      </c>
      <c r="Z4922">
        <v>1.9964359999999999E-3</v>
      </c>
      <c r="AA4922">
        <v>0.99781580000000003</v>
      </c>
      <c r="AB4922">
        <v>43</v>
      </c>
      <c r="AC4922">
        <v>-27.776199999999999</v>
      </c>
      <c r="AD4922">
        <v>-1.110367599198</v>
      </c>
      <c r="AE4922">
        <v>1.6462999999999901</v>
      </c>
      <c r="AF4922">
        <v>1.86447355429435</v>
      </c>
      <c r="AG4922">
        <v>-1.110367599198</v>
      </c>
      <c r="AH4922">
        <v>27.718069443298798</v>
      </c>
      <c r="AI4922">
        <v>92.288837849977895</v>
      </c>
      <c r="AJ4922">
        <v>86.1517599964168</v>
      </c>
      <c r="AK4922">
        <v>27.8028874670158</v>
      </c>
      <c r="AL4922">
        <v>70.154322645178496</v>
      </c>
      <c r="AM4922">
        <v>93.062482508421098</v>
      </c>
      <c r="AN4922">
        <v>0.99999999496405201</v>
      </c>
    </row>
    <row r="4923" spans="1:40" x14ac:dyDescent="0.25">
      <c r="A4923" t="str">
        <f>"20190304164224911"</f>
        <v>20190304164224911</v>
      </c>
      <c r="B4923" t="str">
        <f>"1551688944906208"</f>
        <v>1551688944906208</v>
      </c>
      <c r="C4923" t="s">
        <v>40</v>
      </c>
      <c r="D4923">
        <v>3.7313190000000001</v>
      </c>
      <c r="E4923">
        <v>0.55275759999999996</v>
      </c>
      <c r="F4923" t="s">
        <v>42</v>
      </c>
      <c r="G4923">
        <v>-328.63069999999999</v>
      </c>
      <c r="H4923" s="1">
        <v>-1.4715499999999999E-6</v>
      </c>
      <c r="I4923">
        <v>143.00559999999999</v>
      </c>
      <c r="J4923">
        <v>-301.02199999999999</v>
      </c>
      <c r="K4923">
        <v>1.1103620000000001</v>
      </c>
      <c r="L4923">
        <v>141.3783</v>
      </c>
      <c r="M4923">
        <v>-0.99985069999999998</v>
      </c>
      <c r="N4923">
        <v>-1.534075E-2</v>
      </c>
      <c r="O4923">
        <v>-7.9621269999999994E-3</v>
      </c>
      <c r="P4923">
        <v>-0.94406950000000001</v>
      </c>
      <c r="Q4923">
        <v>0.32479409999999997</v>
      </c>
      <c r="R4923">
        <v>-5.6937330000000001E-2</v>
      </c>
      <c r="S4923">
        <v>-3.233765</v>
      </c>
      <c r="T4923">
        <v>-0.1279652</v>
      </c>
      <c r="U4923">
        <v>0.18713379999999999</v>
      </c>
      <c r="V4923">
        <v>-4.9404759999999999E-2</v>
      </c>
      <c r="W4923">
        <v>0.33924710000000002</v>
      </c>
      <c r="X4923">
        <v>0.93939910000000004</v>
      </c>
      <c r="Y4923">
        <v>6.564652E-2</v>
      </c>
      <c r="Z4923">
        <v>1.9942219999999999E-3</v>
      </c>
      <c r="AA4923">
        <v>0.99784090000000003</v>
      </c>
      <c r="AB4923">
        <v>42</v>
      </c>
      <c r="AC4923">
        <v>-27.608699999999999</v>
      </c>
      <c r="AD4923">
        <v>-1.1103634715499999</v>
      </c>
      <c r="AE4923">
        <v>1.62729999999999</v>
      </c>
      <c r="AF4923">
        <v>1.84412572871652</v>
      </c>
      <c r="AG4923">
        <v>-1.1103634715499999</v>
      </c>
      <c r="AH4923">
        <v>27.5504583682321</v>
      </c>
      <c r="AI4923">
        <v>92.302789757971397</v>
      </c>
      <c r="AJ4923">
        <v>86.170544983823802</v>
      </c>
      <c r="AK4923">
        <v>27.634425324981098</v>
      </c>
      <c r="AL4923">
        <v>70.168990992515603</v>
      </c>
      <c r="AM4923">
        <v>93.010518912436595</v>
      </c>
      <c r="AN4923">
        <v>1.00000004712493</v>
      </c>
    </row>
    <row r="4924" spans="1:40" x14ac:dyDescent="0.25">
      <c r="A4924" t="str">
        <f>"20190304164224933"</f>
        <v>20190304164224933</v>
      </c>
      <c r="B4924" t="str">
        <f>"1551688944925728"</f>
        <v>1551688944925728</v>
      </c>
      <c r="C4924" t="s">
        <v>40</v>
      </c>
      <c r="D4924">
        <v>3.700806</v>
      </c>
      <c r="E4924">
        <v>0.55268309999999998</v>
      </c>
      <c r="F4924" t="s">
        <v>42</v>
      </c>
      <c r="G4924">
        <v>-328.74700000000001</v>
      </c>
      <c r="H4924" s="1">
        <v>-1.4198989999999999E-6</v>
      </c>
      <c r="I4924">
        <v>142.999</v>
      </c>
      <c r="J4924">
        <v>-301.44369999999998</v>
      </c>
      <c r="K4924">
        <v>1.110352</v>
      </c>
      <c r="L4924">
        <v>141.3749</v>
      </c>
      <c r="M4924">
        <v>-0.99985089999999999</v>
      </c>
      <c r="N4924">
        <v>-1.533605E-2</v>
      </c>
      <c r="O4924">
        <v>-7.9583629999999995E-3</v>
      </c>
      <c r="P4924">
        <v>-0.94421980000000005</v>
      </c>
      <c r="Q4924">
        <v>0.32454100000000002</v>
      </c>
      <c r="R4924">
        <v>-5.5874359999999998E-2</v>
      </c>
      <c r="S4924">
        <v>-3.2337039999999999</v>
      </c>
      <c r="T4924">
        <v>-0.12950780000000001</v>
      </c>
      <c r="U4924">
        <v>0.18904109999999999</v>
      </c>
      <c r="V4924">
        <v>-4.8342910000000003E-2</v>
      </c>
      <c r="W4924">
        <v>0.33899179999999901</v>
      </c>
      <c r="X4924">
        <v>0.93954649999999995</v>
      </c>
      <c r="Y4924">
        <v>6.6228209999999996E-2</v>
      </c>
      <c r="Z4924">
        <v>2.0295489999999998E-3</v>
      </c>
      <c r="AA4924">
        <v>0.99780239999999998</v>
      </c>
      <c r="AB4924">
        <v>42</v>
      </c>
      <c r="AC4924">
        <v>-27.303299999999901</v>
      </c>
      <c r="AD4924">
        <v>-1.1103534198989999</v>
      </c>
      <c r="AE4924">
        <v>1.6240999999999901</v>
      </c>
      <c r="AF4924">
        <v>1.8383340651597699</v>
      </c>
      <c r="AG4924">
        <v>-1.1103534198989999</v>
      </c>
      <c r="AH4924">
        <v>27.2446092312044</v>
      </c>
      <c r="AI4924">
        <v>92.328507762830597</v>
      </c>
      <c r="AJ4924">
        <v>86.139809996609301</v>
      </c>
      <c r="AK4924">
        <v>27.3291252881105</v>
      </c>
      <c r="AL4924">
        <v>70.184540077119394</v>
      </c>
      <c r="AM4924">
        <v>92.945468094436293</v>
      </c>
      <c r="AN4924">
        <v>1.00000005153837</v>
      </c>
    </row>
    <row r="4925" spans="1:40" x14ac:dyDescent="0.25">
      <c r="A4925" t="str">
        <f>"20190304164224955"</f>
        <v>20190304164224955</v>
      </c>
      <c r="B4925" t="str">
        <f>"1551688944946223"</f>
        <v>1551688944946223</v>
      </c>
      <c r="C4925" t="s">
        <v>40</v>
      </c>
      <c r="D4925">
        <v>3.7303320000000002</v>
      </c>
      <c r="E4925">
        <v>0.55247209999999902</v>
      </c>
      <c r="F4925" t="s">
        <v>42</v>
      </c>
      <c r="G4925">
        <v>-329.09429999999998</v>
      </c>
      <c r="H4925" s="1">
        <v>-1.277959E-6</v>
      </c>
      <c r="I4925">
        <v>143.0256</v>
      </c>
      <c r="J4925">
        <v>-301.86169999999998</v>
      </c>
      <c r="K4925">
        <v>1.1103400000000001</v>
      </c>
      <c r="L4925">
        <v>141.3716</v>
      </c>
      <c r="M4925">
        <v>-0.99985089999999999</v>
      </c>
      <c r="N4925">
        <v>-1.5331340000000001E-2</v>
      </c>
      <c r="O4925">
        <v>-7.9446359999999997E-3</v>
      </c>
      <c r="P4925">
        <v>-0.94441560000000002</v>
      </c>
      <c r="Q4925">
        <v>0.32407809999999998</v>
      </c>
      <c r="R4925">
        <v>-5.5251349999999998E-2</v>
      </c>
      <c r="S4925">
        <v>-3.233276</v>
      </c>
      <c r="T4925">
        <v>-0.12983739999999999</v>
      </c>
      <c r="U4925">
        <v>0.19302369999999999</v>
      </c>
      <c r="V4925">
        <v>-4.772639E-2</v>
      </c>
      <c r="W4925">
        <v>0.33852840000000001</v>
      </c>
      <c r="X4925">
        <v>0.93974500000000005</v>
      </c>
      <c r="Y4925">
        <v>6.7445210000000005E-2</v>
      </c>
      <c r="Z4925">
        <v>2.0671980000000001E-3</v>
      </c>
      <c r="AA4925">
        <v>0.99772079999999996</v>
      </c>
      <c r="AB4925">
        <v>42</v>
      </c>
      <c r="AC4925">
        <v>-27.232599999999898</v>
      </c>
      <c r="AD4925">
        <v>-1.1103412779589901</v>
      </c>
      <c r="AE4925">
        <v>1.6539999999999899</v>
      </c>
      <c r="AF4925">
        <v>1.86723364058538</v>
      </c>
      <c r="AG4925">
        <v>-1.1103412779589901</v>
      </c>
      <c r="AH4925">
        <v>27.173591116810901</v>
      </c>
      <c r="AI4925">
        <v>92.334365117996796</v>
      </c>
      <c r="AJ4925">
        <v>86.069098964769196</v>
      </c>
      <c r="AK4925">
        <v>27.260291146752198</v>
      </c>
      <c r="AL4925">
        <v>70.212757906513005</v>
      </c>
      <c r="AM4925">
        <v>92.907356065664501</v>
      </c>
      <c r="AN4925">
        <v>0.99999997546699504</v>
      </c>
    </row>
    <row r="4926" spans="1:40" x14ac:dyDescent="0.25">
      <c r="A4926" t="str">
        <f>"20190304164224977"</f>
        <v>20190304164224977</v>
      </c>
      <c r="B4926" t="str">
        <f>"1551688944965743"</f>
        <v>1551688944965743</v>
      </c>
      <c r="C4926" t="s">
        <v>40</v>
      </c>
      <c r="D4926">
        <v>3.734937</v>
      </c>
      <c r="E4926">
        <v>0.55225649999999904</v>
      </c>
      <c r="F4926" t="s">
        <v>42</v>
      </c>
      <c r="G4926">
        <v>-328.9325</v>
      </c>
      <c r="H4926" s="1">
        <v>-1.340779E-6</v>
      </c>
      <c r="I4926">
        <v>143.00069999999999</v>
      </c>
      <c r="J4926">
        <v>-302.26459999999997</v>
      </c>
      <c r="K4926">
        <v>1.1103400000000001</v>
      </c>
      <c r="L4926">
        <v>141.36840000000001</v>
      </c>
      <c r="M4926">
        <v>-0.99985119999999905</v>
      </c>
      <c r="N4926">
        <v>-1.532678E-2</v>
      </c>
      <c r="O4926">
        <v>-7.9133959999999996E-3</v>
      </c>
      <c r="P4926">
        <v>-0.94435159999999996</v>
      </c>
      <c r="Q4926">
        <v>0.32447090000000001</v>
      </c>
      <c r="R4926">
        <v>-5.402581E-2</v>
      </c>
      <c r="S4926">
        <v>-3.2334589999999999</v>
      </c>
      <c r="T4926">
        <v>-0.13262470000000001</v>
      </c>
      <c r="U4926">
        <v>0.1945953</v>
      </c>
      <c r="V4926">
        <v>-4.6521659999999999E-2</v>
      </c>
      <c r="W4926">
        <v>0.33891650000000001</v>
      </c>
      <c r="X4926">
        <v>0.93966559999999999</v>
      </c>
      <c r="Y4926">
        <v>6.7890420000000007E-2</v>
      </c>
      <c r="Z4926">
        <v>2.1145589999999998E-3</v>
      </c>
      <c r="AA4926">
        <v>0.99769059999999998</v>
      </c>
      <c r="AB4926">
        <v>42</v>
      </c>
      <c r="AC4926">
        <v>-26.667899999999999</v>
      </c>
      <c r="AD4926">
        <v>-1.1103413407789999</v>
      </c>
      <c r="AE4926">
        <v>1.6322999999999801</v>
      </c>
      <c r="AF4926">
        <v>1.84012928532695</v>
      </c>
      <c r="AG4926">
        <v>-1.1103413407789999</v>
      </c>
      <c r="AH4926">
        <v>26.608191880807698</v>
      </c>
      <c r="AI4926">
        <v>92.383839574942897</v>
      </c>
      <c r="AJ4926">
        <v>86.043923499154403</v>
      </c>
      <c r="AK4926">
        <v>26.694846110169699</v>
      </c>
      <c r="AL4926">
        <v>70.1891258718139</v>
      </c>
      <c r="AM4926">
        <v>92.834327615556404</v>
      </c>
      <c r="AN4926">
        <v>1.00000004932238</v>
      </c>
    </row>
    <row r="4927" spans="1:40" x14ac:dyDescent="0.25">
      <c r="A4927" t="str">
        <f>"20190304164224999"</f>
        <v>20190304164224999</v>
      </c>
      <c r="B4927" t="str">
        <f>"1551688944986239"</f>
        <v>1551688944986239</v>
      </c>
      <c r="C4927" t="s">
        <v>40</v>
      </c>
      <c r="D4927">
        <v>3.7493059999999998</v>
      </c>
      <c r="E4927">
        <v>0.55213570000000001</v>
      </c>
      <c r="F4927" t="s">
        <v>42</v>
      </c>
      <c r="G4927">
        <v>-329.28199999999998</v>
      </c>
      <c r="H4927" s="1">
        <v>-1.1968220000000001E-6</v>
      </c>
      <c r="I4927">
        <v>143.0232</v>
      </c>
      <c r="J4927">
        <v>-302.68830000000003</v>
      </c>
      <c r="K4927">
        <v>1.110331</v>
      </c>
      <c r="L4927">
        <v>141.36510000000001</v>
      </c>
      <c r="M4927">
        <v>-0.99985179999999996</v>
      </c>
      <c r="N4927">
        <v>-1.5321980000000001E-2</v>
      </c>
      <c r="O4927">
        <v>-7.8529059999999998E-3</v>
      </c>
      <c r="P4927">
        <v>-0.94408040000000004</v>
      </c>
      <c r="Q4927">
        <v>0.32547979999999999</v>
      </c>
      <c r="R4927">
        <v>-5.2680159999999997E-2</v>
      </c>
      <c r="S4927">
        <v>-3.2337950000000002</v>
      </c>
      <c r="T4927">
        <v>-0.13290070000000001</v>
      </c>
      <c r="U4927">
        <v>0.19807430000000001</v>
      </c>
      <c r="V4927">
        <v>-4.5218710000000002E-2</v>
      </c>
      <c r="W4927">
        <v>0.33991890000000002</v>
      </c>
      <c r="X4927">
        <v>0.93936699999999995</v>
      </c>
      <c r="Y4927">
        <v>6.8891800000000003E-2</v>
      </c>
      <c r="Z4927">
        <v>2.1444620000000002E-3</v>
      </c>
      <c r="AA4927">
        <v>0.9976218</v>
      </c>
      <c r="AB4927">
        <v>42</v>
      </c>
      <c r="AC4927">
        <v>-26.593699999999899</v>
      </c>
      <c r="AD4927">
        <v>-1.1103321968219999</v>
      </c>
      <c r="AE4927">
        <v>1.6580999999999899</v>
      </c>
      <c r="AF4927">
        <v>1.8636750138332201</v>
      </c>
      <c r="AG4927">
        <v>-1.1103321968219999</v>
      </c>
      <c r="AH4927">
        <v>26.533782674711201</v>
      </c>
      <c r="AI4927">
        <v>92.390318140101002</v>
      </c>
      <c r="AJ4927">
        <v>85.982267724900893</v>
      </c>
      <c r="AK4927">
        <v>26.622316675550401</v>
      </c>
      <c r="AL4927">
        <v>70.128066394066707</v>
      </c>
      <c r="AM4927">
        <v>92.755943991775695</v>
      </c>
      <c r="AN4927">
        <v>0.99999997550013597</v>
      </c>
    </row>
    <row r="4928" spans="1:40" x14ac:dyDescent="0.25">
      <c r="A4928" t="str">
        <f>"20190304164225023"</f>
        <v>20190304164225023</v>
      </c>
      <c r="B4928" t="str">
        <f>"1551688945016496"</f>
        <v>1551688945016496</v>
      </c>
      <c r="C4928" t="s">
        <v>40</v>
      </c>
      <c r="D4928">
        <v>3.737025</v>
      </c>
      <c r="E4928">
        <v>0.55192050000000004</v>
      </c>
      <c r="F4928" t="s">
        <v>42</v>
      </c>
      <c r="G4928">
        <v>-330.06229999999999</v>
      </c>
      <c r="H4928" s="1">
        <v>-5.2992269999999997E-6</v>
      </c>
      <c r="I4928">
        <v>143.0658</v>
      </c>
      <c r="J4928">
        <v>-303.12920000000003</v>
      </c>
      <c r="K4928">
        <v>1.110301</v>
      </c>
      <c r="L4928">
        <v>141.36170000000001</v>
      </c>
      <c r="M4928">
        <v>-0.99985270000000004</v>
      </c>
      <c r="N4928">
        <v>-1.5316979999999999E-2</v>
      </c>
      <c r="O4928">
        <v>-7.7497909999999998E-3</v>
      </c>
      <c r="P4928">
        <v>-0.94374780000000003</v>
      </c>
      <c r="Q4928">
        <v>0.32659120000000003</v>
      </c>
      <c r="R4928">
        <v>-5.1755839999999997E-2</v>
      </c>
      <c r="S4928">
        <v>-3.2341310000000001</v>
      </c>
      <c r="T4928">
        <v>-0.13118179999999999</v>
      </c>
      <c r="U4928">
        <v>0.20092769999999999</v>
      </c>
      <c r="V4928">
        <v>-4.436847E-2</v>
      </c>
      <c r="W4928">
        <v>0.34102320000000003</v>
      </c>
      <c r="X4928">
        <v>0.93900720000000004</v>
      </c>
      <c r="Y4928">
        <v>6.9660479999999997E-2</v>
      </c>
      <c r="Z4928">
        <v>2.1405450000000002E-3</v>
      </c>
      <c r="AA4928">
        <v>0.99756849999999997</v>
      </c>
      <c r="AB4928">
        <v>42</v>
      </c>
      <c r="AC4928">
        <v>-26.9330999999999</v>
      </c>
      <c r="AD4928">
        <v>-1.1103062992270001</v>
      </c>
      <c r="AE4928">
        <v>1.70409999999998</v>
      </c>
      <c r="AF4928">
        <v>1.9095668817192999</v>
      </c>
      <c r="AG4928">
        <v>-1.1103062992270001</v>
      </c>
      <c r="AH4928">
        <v>26.873594337896701</v>
      </c>
      <c r="AI4928">
        <v>92.359936607702906</v>
      </c>
      <c r="AJ4928">
        <v>85.935544207056196</v>
      </c>
      <c r="AK4928">
        <v>26.964222562345402</v>
      </c>
      <c r="AL4928">
        <v>70.060773820635802</v>
      </c>
      <c r="AM4928">
        <v>92.7052367157888</v>
      </c>
      <c r="AN4928">
        <v>0.99999995286010901</v>
      </c>
    </row>
    <row r="4929" spans="1:40" x14ac:dyDescent="0.25">
      <c r="A4929" t="str">
        <f>"20190304164225044"</f>
        <v>20190304164225044</v>
      </c>
      <c r="B4929" t="str">
        <f>"1551688945036016"</f>
        <v>1551688945036016</v>
      </c>
      <c r="C4929" t="s">
        <v>40</v>
      </c>
      <c r="D4929">
        <v>3.7460930000000001</v>
      </c>
      <c r="E4929">
        <v>0.55184860000000002</v>
      </c>
      <c r="F4929" t="s">
        <v>42</v>
      </c>
      <c r="G4929">
        <v>-331.03379999999999</v>
      </c>
      <c r="H4929" s="1">
        <v>-4.9345790000000002E-6</v>
      </c>
      <c r="I4929">
        <v>143.1131</v>
      </c>
      <c r="J4929">
        <v>-303.53629999999998</v>
      </c>
      <c r="K4929">
        <v>1.1102719999999999</v>
      </c>
      <c r="L4929">
        <v>141.3587</v>
      </c>
      <c r="M4929">
        <v>-0.99985380000000001</v>
      </c>
      <c r="N4929">
        <v>-1.5312350000000001E-2</v>
      </c>
      <c r="O4929">
        <v>-7.6063980000000003E-3</v>
      </c>
      <c r="P4929">
        <v>-0.94377549999999999</v>
      </c>
      <c r="Q4929">
        <v>0.32665100000000002</v>
      </c>
      <c r="R4929">
        <v>-5.0862520000000001E-2</v>
      </c>
      <c r="S4929">
        <v>-3.2344970000000002</v>
      </c>
      <c r="T4929">
        <v>-0.1286987</v>
      </c>
      <c r="U4929">
        <v>0.20300289999999999</v>
      </c>
      <c r="V4929">
        <v>-4.3579859999999998E-2</v>
      </c>
      <c r="W4929">
        <v>0.3410823</v>
      </c>
      <c r="X4929">
        <v>0.93902269999999999</v>
      </c>
      <c r="Y4929">
        <v>7.0150180000000006E-2</v>
      </c>
      <c r="Z4929">
        <v>2.1175539999999998E-3</v>
      </c>
      <c r="AA4929">
        <v>0.99753420000000004</v>
      </c>
      <c r="AB4929">
        <v>42</v>
      </c>
      <c r="AC4929">
        <v>-27.497499999999999</v>
      </c>
      <c r="AD4929">
        <v>-1.110276934579</v>
      </c>
      <c r="AE4929">
        <v>1.7544</v>
      </c>
      <c r="AF4929">
        <v>1.9603476328232501</v>
      </c>
      <c r="AG4929">
        <v>-1.110276934579</v>
      </c>
      <c r="AH4929">
        <v>27.438805090853801</v>
      </c>
      <c r="AI4929">
        <v>92.3112532520868</v>
      </c>
      <c r="AJ4929">
        <v>85.913483684915207</v>
      </c>
      <c r="AK4929">
        <v>27.5311405961838</v>
      </c>
      <c r="AL4929">
        <v>70.057172345207206</v>
      </c>
      <c r="AM4929">
        <v>92.657179285223904</v>
      </c>
      <c r="AN4929">
        <v>0.99999998534309897</v>
      </c>
    </row>
    <row r="4930" spans="1:40" x14ac:dyDescent="0.25">
      <c r="A4930" t="str">
        <f>"20190304164225066"</f>
        <v>20190304164225066</v>
      </c>
      <c r="B4930" t="str">
        <f>"1551688945055536"</f>
        <v>1551688945055536</v>
      </c>
      <c r="C4930" t="s">
        <v>40</v>
      </c>
      <c r="D4930">
        <v>3.7300789999999999</v>
      </c>
      <c r="E4930">
        <v>0.55183380000000004</v>
      </c>
      <c r="F4930" t="s">
        <v>42</v>
      </c>
      <c r="G4930">
        <v>-331.56139999999999</v>
      </c>
      <c r="H4930" s="1">
        <v>-4.7369329999999998E-6</v>
      </c>
      <c r="I4930">
        <v>143.1412</v>
      </c>
      <c r="J4930">
        <v>-303.9436</v>
      </c>
      <c r="K4930">
        <v>1.1102339999999999</v>
      </c>
      <c r="L4930">
        <v>141.35579999999999</v>
      </c>
      <c r="M4930">
        <v>-0.99985520000000006</v>
      </c>
      <c r="N4930">
        <v>-1.530777E-2</v>
      </c>
      <c r="O4930">
        <v>-7.4226819999999999E-3</v>
      </c>
      <c r="P4930">
        <v>-0.94387699999999997</v>
      </c>
      <c r="Q4930">
        <v>0.3265672</v>
      </c>
      <c r="R4930">
        <v>-4.9496320000000003E-2</v>
      </c>
      <c r="S4930">
        <v>-3.2342219999999999</v>
      </c>
      <c r="T4930">
        <v>-0.12813099999999999</v>
      </c>
      <c r="U4930">
        <v>0.20570369999999999</v>
      </c>
      <c r="V4930">
        <v>-4.2354759999999998E-2</v>
      </c>
      <c r="W4930">
        <v>0.34099940000000001</v>
      </c>
      <c r="X4930">
        <v>0.93910879999999997</v>
      </c>
      <c r="Y4930">
        <v>7.0801840000000005E-2</v>
      </c>
      <c r="Z4930">
        <v>2.1234930000000002E-3</v>
      </c>
      <c r="AA4930">
        <v>0.99748809999999999</v>
      </c>
      <c r="AB4930">
        <v>42</v>
      </c>
      <c r="AC4930">
        <v>-27.6177999999999</v>
      </c>
      <c r="AD4930">
        <v>-1.110238736933</v>
      </c>
      <c r="AE4930">
        <v>1.7854000000000101</v>
      </c>
      <c r="AF4930">
        <v>1.9871749813109501</v>
      </c>
      <c r="AG4930">
        <v>-1.110238736933</v>
      </c>
      <c r="AH4930">
        <v>27.559432937661001</v>
      </c>
      <c r="AI4930">
        <v>92.300960249613894</v>
      </c>
      <c r="AJ4930">
        <v>85.875821030708195</v>
      </c>
      <c r="AK4930">
        <v>27.653278979259699</v>
      </c>
      <c r="AL4930">
        <v>70.0622238798843</v>
      </c>
      <c r="AM4930">
        <v>92.582347836146795</v>
      </c>
      <c r="AN4930">
        <v>0.999999927366226</v>
      </c>
    </row>
    <row r="4931" spans="1:40" x14ac:dyDescent="0.25">
      <c r="A4931" t="str">
        <f>"20190304164225087"</f>
        <v>20190304164225087</v>
      </c>
      <c r="B4931" t="str">
        <f>"1551688945076031"</f>
        <v>1551688945076031</v>
      </c>
      <c r="C4931" t="s">
        <v>40</v>
      </c>
      <c r="D4931">
        <v>3.7488929999999998</v>
      </c>
      <c r="E4931">
        <v>0.55178119999999997</v>
      </c>
      <c r="F4931" t="s">
        <v>42</v>
      </c>
      <c r="G4931">
        <v>-332.01569999999998</v>
      </c>
      <c r="H4931" s="1">
        <v>-4.5659380000000004E-6</v>
      </c>
      <c r="I4931">
        <v>143.16069999999999</v>
      </c>
      <c r="J4931">
        <v>-304.35590000000002</v>
      </c>
      <c r="K4931">
        <v>1.1101939999999999</v>
      </c>
      <c r="L4931">
        <v>141.35299999999901</v>
      </c>
      <c r="M4931">
        <v>-0.99985710000000005</v>
      </c>
      <c r="N4931">
        <v>-1.530314E-2</v>
      </c>
      <c r="O4931">
        <v>-7.1946110000000001E-3</v>
      </c>
      <c r="P4931">
        <v>-0.94415269999999996</v>
      </c>
      <c r="Q4931">
        <v>0.3260362</v>
      </c>
      <c r="R4931">
        <v>-4.7714010000000001E-2</v>
      </c>
      <c r="S4931">
        <v>-3.2335210000000001</v>
      </c>
      <c r="T4931">
        <v>-0.1278841</v>
      </c>
      <c r="U4931">
        <v>0.207901</v>
      </c>
      <c r="V4931">
        <v>-4.0752709999999998E-2</v>
      </c>
      <c r="W4931">
        <v>0.34047139999999998</v>
      </c>
      <c r="X4931">
        <v>0.93937130000000002</v>
      </c>
      <c r="Y4931">
        <v>7.1262899999999907E-2</v>
      </c>
      <c r="Z4931">
        <v>2.1275589999999998E-3</v>
      </c>
      <c r="AA4931">
        <v>0.99745530000000004</v>
      </c>
      <c r="AB4931">
        <v>42</v>
      </c>
      <c r="AC4931">
        <v>-27.659799999999901</v>
      </c>
      <c r="AD4931">
        <v>-1.110198565938</v>
      </c>
      <c r="AE4931">
        <v>1.8077000000000101</v>
      </c>
      <c r="AF4931">
        <v>2.00346408272951</v>
      </c>
      <c r="AG4931">
        <v>-1.110198565938</v>
      </c>
      <c r="AH4931">
        <v>27.6017985694053</v>
      </c>
      <c r="AI4931">
        <v>92.297270098564695</v>
      </c>
      <c r="AJ4931">
        <v>85.848492269494102</v>
      </c>
      <c r="AK4931">
        <v>27.696672967210802</v>
      </c>
      <c r="AL4931">
        <v>70.094403067811896</v>
      </c>
      <c r="AM4931">
        <v>92.484103014575496</v>
      </c>
      <c r="AN4931">
        <v>0.99999999842699705</v>
      </c>
    </row>
    <row r="4932" spans="1:40" x14ac:dyDescent="0.25">
      <c r="A4932" t="str">
        <f>"20190304164225111"</f>
        <v>20190304164225111</v>
      </c>
      <c r="B4932" t="str">
        <f>"1551688945106289"</f>
        <v>1551688945106289</v>
      </c>
      <c r="C4932" t="s">
        <v>40</v>
      </c>
      <c r="D4932">
        <v>3.775668</v>
      </c>
      <c r="E4932">
        <v>0.55160450000000005</v>
      </c>
      <c r="F4932" t="s">
        <v>42</v>
      </c>
      <c r="G4932">
        <v>-332.09440000000001</v>
      </c>
      <c r="H4932" s="1">
        <v>-4.5347400000000002E-6</v>
      </c>
      <c r="I4932">
        <v>143.15520000000001</v>
      </c>
      <c r="J4932">
        <v>-304.7946</v>
      </c>
      <c r="K4932">
        <v>1.1101449999999999</v>
      </c>
      <c r="L4932">
        <v>141.3501</v>
      </c>
      <c r="M4932">
        <v>-0.99985919999999895</v>
      </c>
      <c r="N4932">
        <v>-1.529822E-2</v>
      </c>
      <c r="O4932">
        <v>-6.9075219999999897E-3</v>
      </c>
      <c r="P4932">
        <v>-0.94450109999999998</v>
      </c>
      <c r="Q4932">
        <v>0.32519949999999997</v>
      </c>
      <c r="R4932">
        <v>-4.6511360000000002E-2</v>
      </c>
      <c r="S4932">
        <v>-3.2327880000000002</v>
      </c>
      <c r="T4932">
        <v>-0.12938810000000001</v>
      </c>
      <c r="U4932">
        <v>0.21003720000000001</v>
      </c>
      <c r="V4932">
        <v>-3.9785809999999998E-2</v>
      </c>
      <c r="W4932">
        <v>0.33963870000000002</v>
      </c>
      <c r="X4932">
        <v>0.9397141</v>
      </c>
      <c r="Y4932">
        <v>7.1645310000000004E-2</v>
      </c>
      <c r="Z4932">
        <v>2.1511490000000002E-3</v>
      </c>
      <c r="AA4932">
        <v>0.99742790000000003</v>
      </c>
      <c r="AB4932">
        <v>42</v>
      </c>
      <c r="AC4932">
        <v>-27.299800000000001</v>
      </c>
      <c r="AD4932">
        <v>-1.1101495347399899</v>
      </c>
      <c r="AE4932">
        <v>1.8051000000000099</v>
      </c>
      <c r="AF4932">
        <v>1.99037588781073</v>
      </c>
      <c r="AG4932">
        <v>-1.1101495347399899</v>
      </c>
      <c r="AH4932">
        <v>27.241825929723301</v>
      </c>
      <c r="AI4932">
        <v>92.327409683245904</v>
      </c>
      <c r="AJ4932">
        <v>85.821210318151202</v>
      </c>
      <c r="AK4932">
        <v>27.336991570939301</v>
      </c>
      <c r="AL4932">
        <v>70.145136193925197</v>
      </c>
      <c r="AM4932">
        <v>92.424352689809695</v>
      </c>
      <c r="AN4932">
        <v>0.99999997347692704</v>
      </c>
    </row>
    <row r="4933" spans="1:40" x14ac:dyDescent="0.25">
      <c r="A4933" t="str">
        <f>"20190304164225134"</f>
        <v>20190304164225134</v>
      </c>
      <c r="B4933" t="str">
        <f>"1551688945125808"</f>
        <v>1551688945125808</v>
      </c>
      <c r="C4933" t="s">
        <v>40</v>
      </c>
      <c r="D4933">
        <v>3.9118750000000002</v>
      </c>
      <c r="E4933">
        <v>0.51847080000000001</v>
      </c>
      <c r="F4933" t="s">
        <v>42</v>
      </c>
      <c r="G4933">
        <v>-331.79610000000002</v>
      </c>
      <c r="H4933" s="1">
        <v>-4.6415630000000002E-6</v>
      </c>
      <c r="I4933">
        <v>143.11150000000001</v>
      </c>
      <c r="J4933">
        <v>-305.21780000000001</v>
      </c>
      <c r="K4933">
        <v>1.110112</v>
      </c>
      <c r="L4933">
        <v>141.34739999999999</v>
      </c>
      <c r="M4933">
        <v>-0.99986140000000001</v>
      </c>
      <c r="N4933">
        <v>-1.529345E-2</v>
      </c>
      <c r="O4933">
        <v>-6.5956189999999996E-3</v>
      </c>
      <c r="P4933">
        <v>-0.94467100000000004</v>
      </c>
      <c r="Q4933">
        <v>0.32484940000000001</v>
      </c>
      <c r="R4933">
        <v>-4.5496050000000003E-2</v>
      </c>
      <c r="S4933">
        <v>-3.2324220000000001</v>
      </c>
      <c r="T4933">
        <v>-0.13289899999999999</v>
      </c>
      <c r="U4933">
        <v>0.2108612</v>
      </c>
      <c r="V4933">
        <v>-3.9035090000000001E-2</v>
      </c>
      <c r="W4933">
        <v>0.33928970000000003</v>
      </c>
      <c r="X4933">
        <v>0.93987169999999998</v>
      </c>
      <c r="Y4933">
        <v>7.1590899999999999E-2</v>
      </c>
      <c r="Z4933">
        <v>2.1879410000000001E-3</v>
      </c>
      <c r="AA4933">
        <v>0.99743170000000003</v>
      </c>
      <c r="AB4933">
        <v>42</v>
      </c>
      <c r="AC4933">
        <v>-26.578299999999999</v>
      </c>
      <c r="AD4933">
        <v>-1.1101166415629999</v>
      </c>
      <c r="AE4933">
        <v>1.76410000000001</v>
      </c>
      <c r="AF4933">
        <v>1.9360197809484201</v>
      </c>
      <c r="AG4933">
        <v>-1.1101166415629999</v>
      </c>
      <c r="AH4933">
        <v>26.520022545056499</v>
      </c>
      <c r="AI4933">
        <v>92.390622798819905</v>
      </c>
      <c r="AJ4933">
        <v>85.824689173743096</v>
      </c>
      <c r="AK4933">
        <v>26.613758234048898</v>
      </c>
      <c r="AL4933">
        <v>70.1663958558091</v>
      </c>
      <c r="AM4933">
        <v>92.378262131217497</v>
      </c>
      <c r="AN4933">
        <v>1.0000000256191399</v>
      </c>
    </row>
    <row r="4934" spans="1:40" x14ac:dyDescent="0.25">
      <c r="A4934" t="str">
        <f>"20190304164225156"</f>
        <v>20190304164225156</v>
      </c>
      <c r="B4934" t="str">
        <f>"1551688945146304"</f>
        <v>1551688945146304</v>
      </c>
      <c r="C4934" t="s">
        <v>40</v>
      </c>
      <c r="D4934">
        <v>3.7833700000000001</v>
      </c>
      <c r="E4934">
        <v>0.50088270000000001</v>
      </c>
      <c r="F4934" t="s">
        <v>42</v>
      </c>
      <c r="G4934">
        <v>-330.76319999999998</v>
      </c>
      <c r="H4934" s="1">
        <v>-4.6533309999999998E-6</v>
      </c>
      <c r="I4934">
        <v>140.9418</v>
      </c>
      <c r="J4934">
        <v>-305.62520000000001</v>
      </c>
      <c r="K4934">
        <v>1.11009</v>
      </c>
      <c r="L4934">
        <v>141.345</v>
      </c>
      <c r="M4934">
        <v>-0.99986359999999996</v>
      </c>
      <c r="N4934">
        <v>-1.528884E-2</v>
      </c>
      <c r="O4934">
        <v>-6.271914E-3</v>
      </c>
      <c r="P4934">
        <v>-0.94459740000000003</v>
      </c>
      <c r="Q4934">
        <v>0.32519979999999998</v>
      </c>
      <c r="R4934">
        <v>-4.4510950000000001E-2</v>
      </c>
      <c r="S4934">
        <v>-3.2214360000000002</v>
      </c>
      <c r="T4934">
        <v>-0.13999249999999999</v>
      </c>
      <c r="U4934">
        <v>-5.1147459999999999E-2</v>
      </c>
      <c r="V4934">
        <v>-3.833218E-2</v>
      </c>
      <c r="W4934">
        <v>0.3396364</v>
      </c>
      <c r="X4934">
        <v>0.93977540000000004</v>
      </c>
      <c r="Y4934">
        <v>-9.5933010000000003E-3</v>
      </c>
      <c r="Z4934">
        <v>-1.051823E-4</v>
      </c>
      <c r="AA4934">
        <v>0.99995400000000001</v>
      </c>
      <c r="AB4934">
        <v>42</v>
      </c>
      <c r="AC4934">
        <v>-25.137999999999899</v>
      </c>
      <c r="AD4934">
        <v>-1.1100946533310001</v>
      </c>
      <c r="AE4934">
        <v>-0.403199999999998</v>
      </c>
      <c r="AF4934">
        <v>-0.245032570590409</v>
      </c>
      <c r="AG4934">
        <v>-1.1100946533310001</v>
      </c>
      <c r="AH4934">
        <v>25.091116791969199</v>
      </c>
      <c r="AI4934">
        <v>92.533137984914205</v>
      </c>
      <c r="AJ4934">
        <v>90.559516181518902</v>
      </c>
      <c r="AK4934">
        <v>25.1168567493674</v>
      </c>
      <c r="AL4934">
        <v>70.145277293000106</v>
      </c>
      <c r="AM4934">
        <v>92.335723362985803</v>
      </c>
      <c r="AN4934">
        <v>1.0000000213368301</v>
      </c>
    </row>
    <row r="4935" spans="1:40" x14ac:dyDescent="0.25">
      <c r="A4935" t="str">
        <f>"20190304164225177"</f>
        <v>20190304164225177</v>
      </c>
      <c r="B4935" t="str">
        <f>"1551688945165823"</f>
        <v>1551688945165823</v>
      </c>
      <c r="C4935" t="s">
        <v>40</v>
      </c>
      <c r="D4935">
        <v>3.7773560000000002</v>
      </c>
      <c r="E4935">
        <v>0.49421399999999999</v>
      </c>
      <c r="F4935" t="s">
        <v>42</v>
      </c>
      <c r="G4935">
        <v>-336.52510000000001</v>
      </c>
      <c r="H4935" s="1">
        <v>-1.6370179999999901E-6</v>
      </c>
      <c r="I4935">
        <v>139.5378</v>
      </c>
      <c r="J4935">
        <v>-306.03440000000001</v>
      </c>
      <c r="K4935">
        <v>1.110063</v>
      </c>
      <c r="L4935">
        <v>141.34280000000001</v>
      </c>
      <c r="M4935">
        <v>-0.99986569999999997</v>
      </c>
      <c r="N4935">
        <v>-1.52842E-2</v>
      </c>
      <c r="O4935">
        <v>-5.9306609999999899E-3</v>
      </c>
      <c r="P4935">
        <v>-0.94436880000000001</v>
      </c>
      <c r="Q4935">
        <v>0.32597989999999999</v>
      </c>
      <c r="R4935">
        <v>-4.3648770000000003E-2</v>
      </c>
      <c r="S4935">
        <v>-3.2068479999999999</v>
      </c>
      <c r="T4935">
        <v>-0.1152074</v>
      </c>
      <c r="U4935">
        <v>-0.18756100000000001</v>
      </c>
      <c r="V4935">
        <v>-3.777378E-2</v>
      </c>
      <c r="W4935">
        <v>0.34040999999999999</v>
      </c>
      <c r="X4935">
        <v>0.93951810000000002</v>
      </c>
      <c r="Y4935">
        <v>-5.2418779999999998E-2</v>
      </c>
      <c r="Z4935">
        <v>-1.2193760000000001E-3</v>
      </c>
      <c r="AA4935">
        <v>0.99862439999999997</v>
      </c>
      <c r="AB4935">
        <v>42</v>
      </c>
      <c r="AC4935">
        <v>-30.4907</v>
      </c>
      <c r="AD4935">
        <v>-1.1100646370180001</v>
      </c>
      <c r="AE4935">
        <v>-1.8049999999999999</v>
      </c>
      <c r="AF4935">
        <v>-1.6219748052901499</v>
      </c>
      <c r="AG4935">
        <v>-1.1100646370180001</v>
      </c>
      <c r="AH4935">
        <v>30.4606368341463</v>
      </c>
      <c r="AI4935">
        <v>92.084133314450796</v>
      </c>
      <c r="AJ4935">
        <v>93.048019903444896</v>
      </c>
      <c r="AK4935">
        <v>30.523981426234499</v>
      </c>
      <c r="AL4935">
        <v>70.098145453362093</v>
      </c>
      <c r="AM4935">
        <v>92.302364508497305</v>
      </c>
      <c r="AN4935">
        <v>1.0000000433915399</v>
      </c>
    </row>
    <row r="4936" spans="1:40" x14ac:dyDescent="0.25">
      <c r="A4936" t="str">
        <f>"20190304164225200"</f>
        <v>20190304164225200</v>
      </c>
      <c r="B4936" t="str">
        <f>"1551688945196079"</f>
        <v>1551688945196079</v>
      </c>
      <c r="C4936" t="s">
        <v>40</v>
      </c>
      <c r="D4936">
        <v>3.68981</v>
      </c>
      <c r="E4936">
        <v>0.4902416</v>
      </c>
      <c r="F4936" t="s">
        <v>42</v>
      </c>
      <c r="G4936">
        <v>-339.91030000000001</v>
      </c>
      <c r="H4936" s="1">
        <v>-2.2763659999999999E-7</v>
      </c>
      <c r="I4936">
        <v>138.83090000000001</v>
      </c>
      <c r="J4936">
        <v>-306.47710000000001</v>
      </c>
      <c r="K4936">
        <v>1.1100460000000001</v>
      </c>
      <c r="L4936">
        <v>141.34049999999999</v>
      </c>
      <c r="M4936">
        <v>-0.99986799999999998</v>
      </c>
      <c r="N4936">
        <v>-1.527913E-2</v>
      </c>
      <c r="O4936">
        <v>-5.5508370000000003E-3</v>
      </c>
      <c r="P4936">
        <v>-0.94412859999999998</v>
      </c>
      <c r="Q4936">
        <v>0.32669979999999998</v>
      </c>
      <c r="R4936">
        <v>-4.3461779999999998E-2</v>
      </c>
      <c r="S4936">
        <v>-3.201965</v>
      </c>
      <c r="T4936">
        <v>-0.1049235</v>
      </c>
      <c r="U4936">
        <v>-0.23742679999999999</v>
      </c>
      <c r="V4936">
        <v>-3.7929110000000002E-2</v>
      </c>
      <c r="W4936">
        <v>0.34112320000000002</v>
      </c>
      <c r="X4936">
        <v>0.93925309999999995</v>
      </c>
      <c r="Y4936">
        <v>-6.8357130000000002E-2</v>
      </c>
      <c r="Z4936">
        <v>-1.544424E-3</v>
      </c>
      <c r="AA4936">
        <v>0.99765970000000004</v>
      </c>
      <c r="AB4936">
        <v>42</v>
      </c>
      <c r="AC4936">
        <v>-33.433199999999999</v>
      </c>
      <c r="AD4936">
        <v>-1.1100462276366001</v>
      </c>
      <c r="AE4936">
        <v>-2.5095999999999701</v>
      </c>
      <c r="AF4936">
        <v>-2.32141273360509</v>
      </c>
      <c r="AG4936">
        <v>-1.1100462276366001</v>
      </c>
      <c r="AH4936">
        <v>33.409993090955297</v>
      </c>
      <c r="AI4936">
        <v>91.898377256357406</v>
      </c>
      <c r="AJ4936">
        <v>93.974670823124598</v>
      </c>
      <c r="AK4936">
        <v>33.508936092405499</v>
      </c>
      <c r="AL4936">
        <v>70.054680167373505</v>
      </c>
      <c r="AM4936">
        <v>92.312473384289802</v>
      </c>
      <c r="AN4936">
        <v>1.0000000204116199</v>
      </c>
    </row>
    <row r="4937" spans="1:40" x14ac:dyDescent="0.25">
      <c r="A4937" t="str">
        <f>"20190304164225223"</f>
        <v>20190304164225223</v>
      </c>
      <c r="B4937" t="str">
        <f>"1551688945215600"</f>
        <v>1551688945215600</v>
      </c>
      <c r="C4937" t="s">
        <v>40</v>
      </c>
      <c r="D4937">
        <v>3.7431570000000001</v>
      </c>
      <c r="E4937">
        <v>0.48897849999999998</v>
      </c>
      <c r="F4937" t="s">
        <v>42</v>
      </c>
      <c r="G4937">
        <v>-342.79169999999999</v>
      </c>
      <c r="H4937" s="1">
        <v>-3.3077870000000002E-6</v>
      </c>
      <c r="I4937">
        <v>138.30189999999999</v>
      </c>
      <c r="J4937">
        <v>-306.88929999999999</v>
      </c>
      <c r="K4937">
        <v>1.110036</v>
      </c>
      <c r="L4937">
        <v>141.33850000000001</v>
      </c>
      <c r="M4937">
        <v>-0.99986989999999998</v>
      </c>
      <c r="N4937">
        <v>-1.5274390000000001E-2</v>
      </c>
      <c r="O4937">
        <v>-5.1904259999999997E-3</v>
      </c>
      <c r="P4937">
        <v>-0.94394860000000003</v>
      </c>
      <c r="Q4937">
        <v>0.32716600000000001</v>
      </c>
      <c r="R4937">
        <v>-4.3858580000000001E-2</v>
      </c>
      <c r="S4937">
        <v>-3.1990970000000001</v>
      </c>
      <c r="T4937">
        <v>-9.7788689999999998E-2</v>
      </c>
      <c r="U4937">
        <v>-0.26766970000000001</v>
      </c>
      <c r="V4937">
        <v>-3.8654040000000001E-2</v>
      </c>
      <c r="W4937">
        <v>0.3415839</v>
      </c>
      <c r="X4937">
        <v>0.93905609999999995</v>
      </c>
      <c r="Y4937">
        <v>-7.8151100000000001E-2</v>
      </c>
      <c r="Z4937">
        <v>-1.711031E-3</v>
      </c>
      <c r="AA4937">
        <v>0.9969401</v>
      </c>
      <c r="AB4937">
        <v>42</v>
      </c>
      <c r="AC4937">
        <v>-35.9024</v>
      </c>
      <c r="AD4937">
        <v>-1.1100393077869899</v>
      </c>
      <c r="AE4937">
        <v>-3.0366000000000199</v>
      </c>
      <c r="AF4937">
        <v>-2.8474859138642099</v>
      </c>
      <c r="AG4937">
        <v>-1.1100393077869899</v>
      </c>
      <c r="AH4937">
        <v>35.883620482200698</v>
      </c>
      <c r="AI4937">
        <v>91.766298290252095</v>
      </c>
      <c r="AJ4937">
        <v>94.537105334752098</v>
      </c>
      <c r="AK4937">
        <v>36.013533320199201</v>
      </c>
      <c r="AL4937">
        <v>70.026597340012202</v>
      </c>
      <c r="AM4937">
        <v>92.357115596951004</v>
      </c>
      <c r="AN4937">
        <v>1.0000000272473699</v>
      </c>
    </row>
    <row r="4938" spans="1:40" x14ac:dyDescent="0.25">
      <c r="A4938" t="str">
        <f>"20190304164225243"</f>
        <v>20190304164225243</v>
      </c>
      <c r="B4938" t="str">
        <f>"1551688945236095"</f>
        <v>1551688945236095</v>
      </c>
      <c r="C4938" t="s">
        <v>40</v>
      </c>
      <c r="D4938">
        <v>3.7174109999999998</v>
      </c>
      <c r="E4938">
        <v>0.48814380000000002</v>
      </c>
      <c r="F4938" t="s">
        <v>42</v>
      </c>
      <c r="G4938">
        <v>-344.40570000000002</v>
      </c>
      <c r="H4938" s="1">
        <v>-2.6562769999999999E-6</v>
      </c>
      <c r="I4938">
        <v>138.07140000000001</v>
      </c>
      <c r="J4938">
        <v>-307.27890000000002</v>
      </c>
      <c r="K4938">
        <v>1.110023</v>
      </c>
      <c r="L4938">
        <v>141.33680000000001</v>
      </c>
      <c r="M4938">
        <v>-0.99987179999999998</v>
      </c>
      <c r="N4938">
        <v>-1.5269909999999999E-2</v>
      </c>
      <c r="O4938">
        <v>-4.8481920000000003E-3</v>
      </c>
      <c r="P4938">
        <v>-0.94386820000000005</v>
      </c>
      <c r="Q4938">
        <v>0.32728649999999998</v>
      </c>
      <c r="R4938">
        <v>-4.4680890000000001E-2</v>
      </c>
      <c r="S4938">
        <v>-3.198029</v>
      </c>
      <c r="T4938">
        <v>-9.4623799999999994E-2</v>
      </c>
      <c r="U4938">
        <v>-0.27848820000000002</v>
      </c>
      <c r="V4938">
        <v>-3.9790010000000001E-2</v>
      </c>
      <c r="W4938">
        <v>0.34170089999999997</v>
      </c>
      <c r="X4938">
        <v>0.93896599999999997</v>
      </c>
      <c r="Y4938">
        <v>-8.1867850000000006E-2</v>
      </c>
      <c r="Z4938">
        <v>-1.76584299999999E-3</v>
      </c>
      <c r="AA4938">
        <v>0.99664160000000002</v>
      </c>
      <c r="AB4938">
        <v>42</v>
      </c>
      <c r="AC4938">
        <v>-37.126800000000003</v>
      </c>
      <c r="AD4938">
        <v>-1.1100256562769999</v>
      </c>
      <c r="AE4938">
        <v>-3.2654000000000001</v>
      </c>
      <c r="AF4938">
        <v>-3.0826083927773702</v>
      </c>
      <c r="AG4938">
        <v>-1.1100256562769999</v>
      </c>
      <c r="AH4938">
        <v>37.109279190441399</v>
      </c>
      <c r="AI4938">
        <v>91.707462961927902</v>
      </c>
      <c r="AJ4938">
        <v>94.748566401407203</v>
      </c>
      <c r="AK4938">
        <v>37.253633829399</v>
      </c>
      <c r="AL4938">
        <v>70.019462936007301</v>
      </c>
      <c r="AM4938">
        <v>92.426537755758304</v>
      </c>
      <c r="AN4938">
        <v>0.999999949556303</v>
      </c>
    </row>
    <row r="4939" spans="1:40" x14ac:dyDescent="0.25">
      <c r="A4939" t="str">
        <f>"20190304164225267"</f>
        <v>20190304164225267</v>
      </c>
      <c r="B4939" t="str">
        <f>"1551688945255616"</f>
        <v>1551688945255616</v>
      </c>
      <c r="C4939" t="s">
        <v>40</v>
      </c>
      <c r="D4939">
        <v>3.7613720000000002</v>
      </c>
      <c r="E4939">
        <v>0.48758190000000001</v>
      </c>
      <c r="F4939" t="s">
        <v>42</v>
      </c>
      <c r="G4939">
        <v>-344.50869999999998</v>
      </c>
      <c r="H4939" s="1">
        <v>-2.6270820000000002E-6</v>
      </c>
      <c r="I4939">
        <v>137.98699999999999</v>
      </c>
      <c r="J4939">
        <v>-307.69690000000003</v>
      </c>
      <c r="K4939">
        <v>1.1100080000000001</v>
      </c>
      <c r="L4939">
        <v>141.33510000000001</v>
      </c>
      <c r="M4939">
        <v>-0.99987349999999997</v>
      </c>
      <c r="N4939">
        <v>-1.526511E-2</v>
      </c>
      <c r="O4939">
        <v>-4.4797580000000004E-3</v>
      </c>
      <c r="P4939">
        <v>-0.94392589999999998</v>
      </c>
      <c r="Q4939">
        <v>0.32704260000000002</v>
      </c>
      <c r="R4939">
        <v>-4.5244090000000001E-2</v>
      </c>
      <c r="S4939">
        <v>-3.1978149999999999</v>
      </c>
      <c r="T4939">
        <v>-9.5344780000000004E-2</v>
      </c>
      <c r="U4939">
        <v>-0.28771970000000002</v>
      </c>
      <c r="V4939">
        <v>-4.0692010000000001E-2</v>
      </c>
      <c r="W4939">
        <v>0.34145579999999998</v>
      </c>
      <c r="X4939">
        <v>0.93901659999999998</v>
      </c>
      <c r="Y4939">
        <v>-8.5092319999999999E-2</v>
      </c>
      <c r="Z4939">
        <v>-1.8517239999999999E-3</v>
      </c>
      <c r="AA4939">
        <v>0.99637129999999996</v>
      </c>
      <c r="AB4939">
        <v>42</v>
      </c>
      <c r="AC4939">
        <v>-36.811799999999899</v>
      </c>
      <c r="AD4939">
        <v>-1.1100106270819901</v>
      </c>
      <c r="AE4939">
        <v>-3.3481000000000098</v>
      </c>
      <c r="AF4939">
        <v>-3.1802713163630898</v>
      </c>
      <c r="AG4939">
        <v>-1.1100106270819901</v>
      </c>
      <c r="AH4939">
        <v>36.793251410322199</v>
      </c>
      <c r="AI4939">
        <v>91.721609077906194</v>
      </c>
      <c r="AJ4939">
        <v>94.940154725440607</v>
      </c>
      <c r="AK4939">
        <v>36.947118948317097</v>
      </c>
      <c r="AL4939">
        <v>70.034406701393394</v>
      </c>
      <c r="AM4939">
        <v>92.481343405927007</v>
      </c>
      <c r="AN4939">
        <v>1.00000003905351</v>
      </c>
    </row>
    <row r="4940" spans="1:40" x14ac:dyDescent="0.25">
      <c r="A4940" t="str">
        <f>"20190304164225289"</f>
        <v>20190304164225289</v>
      </c>
      <c r="B4940" t="str">
        <f>"1551688945276112"</f>
        <v>1551688945276112</v>
      </c>
      <c r="C4940" t="s">
        <v>40</v>
      </c>
      <c r="D4940">
        <v>3.721816</v>
      </c>
      <c r="E4940">
        <v>0.48726999999999998</v>
      </c>
      <c r="F4940" t="s">
        <v>42</v>
      </c>
      <c r="G4940">
        <v>-344.71019999999999</v>
      </c>
      <c r="H4940" s="1">
        <v>-2.5513270000000001E-6</v>
      </c>
      <c r="I4940">
        <v>137.92660000000001</v>
      </c>
      <c r="J4940">
        <v>-308.11500000000001</v>
      </c>
      <c r="K4940">
        <v>1.110001</v>
      </c>
      <c r="L4940">
        <v>141.33349999999999</v>
      </c>
      <c r="M4940">
        <v>-0.99987519999999996</v>
      </c>
      <c r="N4940">
        <v>-1.5260309999999999E-2</v>
      </c>
      <c r="O4940">
        <v>-4.111478E-3</v>
      </c>
      <c r="P4940">
        <v>-0.94391069999999999</v>
      </c>
      <c r="Q4940">
        <v>0.32698440000000001</v>
      </c>
      <c r="R4940">
        <v>-4.5979480000000003E-2</v>
      </c>
      <c r="S4940">
        <v>-3.1973880000000001</v>
      </c>
      <c r="T4940">
        <v>-9.5888139999999997E-2</v>
      </c>
      <c r="U4940">
        <v>-0.29443360000000002</v>
      </c>
      <c r="V4940">
        <v>-4.1768050000000001E-2</v>
      </c>
      <c r="W4940">
        <v>0.34139389999999997</v>
      </c>
      <c r="X4940">
        <v>0.93899180000000004</v>
      </c>
      <c r="Y4940">
        <v>-8.7543700000000002E-2</v>
      </c>
      <c r="Z4940">
        <v>-1.918882E-3</v>
      </c>
      <c r="AA4940">
        <v>0.99615880000000001</v>
      </c>
      <c r="AB4940">
        <v>42</v>
      </c>
      <c r="AC4940">
        <v>-36.595199999999899</v>
      </c>
      <c r="AD4940">
        <v>-1.1100035513269999</v>
      </c>
      <c r="AE4940">
        <v>-3.4068999999999701</v>
      </c>
      <c r="AF4940">
        <v>-3.2534258108960699</v>
      </c>
      <c r="AG4940">
        <v>-1.1100035513269999</v>
      </c>
      <c r="AH4940">
        <v>36.5755383114927</v>
      </c>
      <c r="AI4940">
        <v>91.731460861340494</v>
      </c>
      <c r="AJ4940">
        <v>95.083131035808506</v>
      </c>
      <c r="AK4940">
        <v>36.736723998833</v>
      </c>
      <c r="AL4940">
        <v>70.038178881752501</v>
      </c>
      <c r="AM4940">
        <v>92.546940749629698</v>
      </c>
      <c r="AN4940">
        <v>0.99999998271262602</v>
      </c>
    </row>
    <row r="4941" spans="1:40" x14ac:dyDescent="0.25">
      <c r="A4941" t="str">
        <f>"20190304164225304"</f>
        <v>20190304164225304</v>
      </c>
      <c r="B4941" t="str">
        <f>"1551688945295640"</f>
        <v>1551688945295640</v>
      </c>
      <c r="C4941" t="s">
        <v>40</v>
      </c>
      <c r="D4941">
        <v>3.7395399999999999</v>
      </c>
      <c r="E4941">
        <v>0.48694169999999998</v>
      </c>
      <c r="F4941" t="s">
        <v>42</v>
      </c>
      <c r="G4941">
        <v>-345.05610000000001</v>
      </c>
      <c r="H4941" s="1">
        <v>-2.414044E-6</v>
      </c>
      <c r="I4941">
        <v>137.86420000000001</v>
      </c>
      <c r="J4941">
        <v>-308.40429999999998</v>
      </c>
      <c r="K4941">
        <v>1.109999</v>
      </c>
      <c r="L4941">
        <v>141.33250000000001</v>
      </c>
      <c r="M4941">
        <v>-0.99987619999999999</v>
      </c>
      <c r="N4941">
        <v>-1.5257E-2</v>
      </c>
      <c r="O4941">
        <v>-3.8566329999999999E-3</v>
      </c>
      <c r="P4941">
        <v>-0.94370410000000005</v>
      </c>
      <c r="Q4941">
        <v>0.3275264</v>
      </c>
      <c r="R4941">
        <v>-4.6358770000000001E-2</v>
      </c>
      <c r="S4941">
        <v>-3.19693</v>
      </c>
      <c r="T4941">
        <v>-9.6061350000000004E-2</v>
      </c>
      <c r="U4941">
        <v>-0.3002319</v>
      </c>
      <c r="V4941">
        <v>-4.2384280000000003E-2</v>
      </c>
      <c r="W4941">
        <v>0.34193069999999998</v>
      </c>
      <c r="X4941">
        <v>0.93876890000000002</v>
      </c>
      <c r="Y4941">
        <v>-8.9600109999999997E-2</v>
      </c>
      <c r="Z4941">
        <v>-1.9712950000000001E-3</v>
      </c>
      <c r="AA4941">
        <v>0.99597590000000003</v>
      </c>
      <c r="AB4941">
        <v>42</v>
      </c>
      <c r="AC4941">
        <v>-36.651800000000001</v>
      </c>
      <c r="AD4941">
        <v>-1.110001414044</v>
      </c>
      <c r="AE4941">
        <v>-3.4683000000000002</v>
      </c>
      <c r="AF4941">
        <v>-3.3238836532642599</v>
      </c>
      <c r="AG4941">
        <v>-1.110001414044</v>
      </c>
      <c r="AH4941">
        <v>36.631605142973001</v>
      </c>
      <c r="AI4941">
        <v>91.728533846953198</v>
      </c>
      <c r="AJ4941">
        <v>95.1847141803093</v>
      </c>
      <c r="AK4941">
        <v>36.798842387095597</v>
      </c>
      <c r="AL4941">
        <v>70.005454341291198</v>
      </c>
      <c r="AM4941">
        <v>92.585079588664996</v>
      </c>
      <c r="AN4941">
        <v>1.0000000392004</v>
      </c>
    </row>
    <row r="4942" spans="1:40" x14ac:dyDescent="0.25">
      <c r="A4942" t="str">
        <f>"20190304164225318"</f>
        <v>20190304164225318</v>
      </c>
      <c r="B4942" t="str">
        <f>"1551688945306377"</f>
        <v>1551688945306377</v>
      </c>
      <c r="C4942" t="s">
        <v>40</v>
      </c>
      <c r="D4942">
        <v>3.7634810000000001</v>
      </c>
      <c r="E4942">
        <v>0.48683690000000002</v>
      </c>
      <c r="F4942" t="s">
        <v>42</v>
      </c>
      <c r="G4942">
        <v>-345.74290000000002</v>
      </c>
      <c r="H4942" s="1">
        <v>-2.1362669999999999E-6</v>
      </c>
      <c r="I4942">
        <v>137.76900000000001</v>
      </c>
      <c r="J4942">
        <v>-308.65039999999999</v>
      </c>
      <c r="K4942">
        <v>1.110004</v>
      </c>
      <c r="L4942">
        <v>141.33170000000001</v>
      </c>
      <c r="M4942">
        <v>-0.99987720000000002</v>
      </c>
      <c r="N4942">
        <v>-1.5254169999999999E-2</v>
      </c>
      <c r="O4942">
        <v>-3.6398419999999999E-3</v>
      </c>
      <c r="P4942">
        <v>-0.94363330000000001</v>
      </c>
      <c r="Q4942">
        <v>0.32767449999999998</v>
      </c>
      <c r="R4942">
        <v>-4.6752639999999998E-2</v>
      </c>
      <c r="S4942">
        <v>-3.1969599999999998</v>
      </c>
      <c r="T4942">
        <v>-9.5039369999999998E-2</v>
      </c>
      <c r="U4942">
        <v>-0.30509950000000002</v>
      </c>
      <c r="V4942">
        <v>-4.2979910000000003E-2</v>
      </c>
      <c r="W4942">
        <v>0.34207589999999999</v>
      </c>
      <c r="X4942">
        <v>0.93868890000000005</v>
      </c>
      <c r="Y4942">
        <v>-9.1317889999999999E-2</v>
      </c>
      <c r="Z4942">
        <v>-1.9997819999999999E-3</v>
      </c>
      <c r="AA4942">
        <v>0.99581980000000003</v>
      </c>
      <c r="AB4942">
        <v>42</v>
      </c>
      <c r="AC4942">
        <v>-37.092500000000001</v>
      </c>
      <c r="AD4942">
        <v>-1.110006136267</v>
      </c>
      <c r="AE4942">
        <v>-3.5627</v>
      </c>
      <c r="AF4942">
        <v>-3.4246110716852902</v>
      </c>
      <c r="AG4942">
        <v>-1.110006136267</v>
      </c>
      <c r="AH4942">
        <v>37.072327622362501</v>
      </c>
      <c r="AI4942">
        <v>91.707750328728196</v>
      </c>
      <c r="AJ4942">
        <v>95.277803787576403</v>
      </c>
      <c r="AK4942">
        <v>37.246711934808999</v>
      </c>
      <c r="AL4942">
        <v>69.996600786817396</v>
      </c>
      <c r="AM4942">
        <v>92.621580709772999</v>
      </c>
      <c r="AN4942">
        <v>1.0000000225038099</v>
      </c>
    </row>
    <row r="4943" spans="1:40" x14ac:dyDescent="0.25">
      <c r="A4943" t="str">
        <f>"20190304164225334"</f>
        <v>20190304164225334</v>
      </c>
      <c r="B4943" t="str">
        <f>"1551688945325895"</f>
        <v>1551688945325895</v>
      </c>
      <c r="C4943" t="s">
        <v>40</v>
      </c>
      <c r="D4943">
        <v>3.7721770000000001</v>
      </c>
      <c r="E4943">
        <v>0.48661769999999999</v>
      </c>
      <c r="F4943" t="s">
        <v>42</v>
      </c>
      <c r="G4943">
        <v>-346.12029999999999</v>
      </c>
      <c r="H4943" s="1">
        <v>-1.9818400000000001E-6</v>
      </c>
      <c r="I4943">
        <v>137.7268</v>
      </c>
      <c r="J4943">
        <v>-308.94970000000001</v>
      </c>
      <c r="K4943">
        <v>1.1100110000000001</v>
      </c>
      <c r="L4943">
        <v>141.33090000000001</v>
      </c>
      <c r="M4943">
        <v>-0.99987809999999999</v>
      </c>
      <c r="N4943">
        <v>-1.5250710000000001E-2</v>
      </c>
      <c r="O4943">
        <v>-3.3761970000000001E-3</v>
      </c>
      <c r="P4943">
        <v>-0.94312379999999996</v>
      </c>
      <c r="Q4943">
        <v>0.329022599999999</v>
      </c>
      <c r="R4943">
        <v>-4.7557509999999997E-2</v>
      </c>
      <c r="S4943">
        <v>-3.1968380000000001</v>
      </c>
      <c r="T4943">
        <v>-9.4703079999999995E-2</v>
      </c>
      <c r="U4943">
        <v>-0.3075562</v>
      </c>
      <c r="V4943">
        <v>-4.4030779999999999E-2</v>
      </c>
      <c r="W4943">
        <v>0.34341440000000001</v>
      </c>
      <c r="X4943">
        <v>0.93815130000000002</v>
      </c>
      <c r="Y4943">
        <v>-9.2341939999999997E-2</v>
      </c>
      <c r="Z4943">
        <v>-2.0219669999999999E-3</v>
      </c>
      <c r="AA4943">
        <v>0.99572530000000004</v>
      </c>
      <c r="AB4943">
        <v>42</v>
      </c>
      <c r="AC4943">
        <v>-37.170599999999901</v>
      </c>
      <c r="AD4943">
        <v>-1.11001298184</v>
      </c>
      <c r="AE4943">
        <v>-3.6041000000000101</v>
      </c>
      <c r="AF4943">
        <v>-3.4754990936924801</v>
      </c>
      <c r="AG4943">
        <v>-1.11001298184</v>
      </c>
      <c r="AH4943">
        <v>37.149736895345001</v>
      </c>
      <c r="AI4943">
        <v>91.704019669173206</v>
      </c>
      <c r="AJ4943">
        <v>95.344681407008096</v>
      </c>
      <c r="AK4943">
        <v>37.3284633244321</v>
      </c>
      <c r="AL4943">
        <v>69.914965360036206</v>
      </c>
      <c r="AM4943">
        <v>92.687123014986497</v>
      </c>
      <c r="AN4943">
        <v>1.0000000107032201</v>
      </c>
    </row>
    <row r="4944" spans="1:40" x14ac:dyDescent="0.25">
      <c r="A4944" t="str">
        <f>"20190304164225358"</f>
        <v>20190304164225358</v>
      </c>
      <c r="B4944" t="str">
        <f>"1551688945346392"</f>
        <v>1551688945346392</v>
      </c>
      <c r="C4944" t="s">
        <v>40</v>
      </c>
      <c r="D4944">
        <v>3.7880980000000002</v>
      </c>
      <c r="E4944">
        <v>0.48641230000000002</v>
      </c>
      <c r="F4944" t="s">
        <v>42</v>
      </c>
      <c r="G4944">
        <v>-347.95060000000001</v>
      </c>
      <c r="H4944" s="1">
        <v>-1.2404640000000001E-6</v>
      </c>
      <c r="I4944">
        <v>137.523</v>
      </c>
      <c r="J4944">
        <v>-309.38799999999998</v>
      </c>
      <c r="K4944">
        <v>1.1100099999999999</v>
      </c>
      <c r="L4944">
        <v>141.3297</v>
      </c>
      <c r="M4944">
        <v>-0.99987950000000003</v>
      </c>
      <c r="N4944">
        <v>-1.524563E-2</v>
      </c>
      <c r="O4944">
        <v>-2.989635E-3</v>
      </c>
      <c r="P4944">
        <v>-0.94296570000000002</v>
      </c>
      <c r="Q4944">
        <v>0.32936539999999997</v>
      </c>
      <c r="R4944">
        <v>-4.8315129999999998E-2</v>
      </c>
      <c r="S4944">
        <v>-3.1969599999999998</v>
      </c>
      <c r="T4944">
        <v>-9.0989470000000003E-2</v>
      </c>
      <c r="U4944">
        <v>-0.31213380000000002</v>
      </c>
      <c r="V4944">
        <v>-4.5150349999999999E-2</v>
      </c>
      <c r="W4944">
        <v>0.34375070000000002</v>
      </c>
      <c r="X4944">
        <v>0.93797489999999994</v>
      </c>
      <c r="Y4944">
        <v>-9.4138330000000006E-2</v>
      </c>
      <c r="Z4944">
        <v>-2.01637E-3</v>
      </c>
      <c r="AA4944">
        <v>0.99555709999999997</v>
      </c>
      <c r="AB4944">
        <v>41</v>
      </c>
      <c r="AC4944">
        <v>-38.562600000000003</v>
      </c>
      <c r="AD4944">
        <v>-1.1100112404639999</v>
      </c>
      <c r="AE4944">
        <v>-3.8067000000000002</v>
      </c>
      <c r="AF4944">
        <v>-3.6883549885770401</v>
      </c>
      <c r="AG4944">
        <v>-1.1100112404639999</v>
      </c>
      <c r="AH4944">
        <v>38.542183396953199</v>
      </c>
      <c r="AI4944">
        <v>91.642159005861203</v>
      </c>
      <c r="AJ4944">
        <v>95.466363798175195</v>
      </c>
      <c r="AK4944">
        <v>38.7341708118309</v>
      </c>
      <c r="AL4944">
        <v>69.894447616508302</v>
      </c>
      <c r="AM4944">
        <v>92.755861846950694</v>
      </c>
      <c r="AN4944">
        <v>1.00000000544281</v>
      </c>
    </row>
    <row r="4945" spans="1:40" x14ac:dyDescent="0.25">
      <c r="A4945" t="str">
        <f>"20190304164225380"</f>
        <v>20190304164225380</v>
      </c>
      <c r="B4945" t="str">
        <f>"1551688945365913"</f>
        <v>1551688945365913</v>
      </c>
      <c r="C4945" t="s">
        <v>40</v>
      </c>
      <c r="D4945">
        <v>3.8034870000000001</v>
      </c>
      <c r="E4945">
        <v>0.48625459999999898</v>
      </c>
      <c r="F4945" t="s">
        <v>42</v>
      </c>
      <c r="G4945">
        <v>-348.77530000000002</v>
      </c>
      <c r="H4945" s="1">
        <v>-9.8267489999999993E-7</v>
      </c>
      <c r="I4945">
        <v>137.43700000000001</v>
      </c>
      <c r="J4945">
        <v>-309.7946</v>
      </c>
      <c r="K4945">
        <v>1.110004</v>
      </c>
      <c r="L4945">
        <v>141.3288</v>
      </c>
      <c r="M4945">
        <v>-0.99988049999999995</v>
      </c>
      <c r="N4945">
        <v>-1.524088E-2</v>
      </c>
      <c r="O4945">
        <v>-2.6305149999999999E-3</v>
      </c>
      <c r="P4945">
        <v>-0.9433087</v>
      </c>
      <c r="Q4945">
        <v>0.32826470000000002</v>
      </c>
      <c r="R4945">
        <v>-4.9108550000000001E-2</v>
      </c>
      <c r="S4945">
        <v>-3.1967469999999998</v>
      </c>
      <c r="T4945">
        <v>-9.0090509999999999E-2</v>
      </c>
      <c r="U4945">
        <v>-0.31593320000000003</v>
      </c>
      <c r="V4945">
        <v>-4.6279750000000001E-2</v>
      </c>
      <c r="W4945">
        <v>0.34265210000000002</v>
      </c>
      <c r="X4945">
        <v>0.93832179999999998</v>
      </c>
      <c r="Y4945">
        <v>-9.5674129999999996E-2</v>
      </c>
      <c r="Z4945">
        <v>-2.0417730000000002E-3</v>
      </c>
      <c r="AA4945">
        <v>0.99541060000000003</v>
      </c>
      <c r="AB4945">
        <v>41</v>
      </c>
      <c r="AC4945">
        <v>-38.980699999999999</v>
      </c>
      <c r="AD4945">
        <v>-1.1100049826749001</v>
      </c>
      <c r="AE4945">
        <v>-3.8917999999999799</v>
      </c>
      <c r="AF4945">
        <v>-3.7861955084649201</v>
      </c>
      <c r="AG4945">
        <v>-1.1100049826749001</v>
      </c>
      <c r="AH4945">
        <v>38.959524453783203</v>
      </c>
      <c r="AI4945">
        <v>91.624337678685706</v>
      </c>
      <c r="AJ4945">
        <v>95.550733207690598</v>
      </c>
      <c r="AK4945">
        <v>39.158804031211297</v>
      </c>
      <c r="AL4945">
        <v>69.961463859282304</v>
      </c>
      <c r="AM4945">
        <v>92.8236446438992</v>
      </c>
      <c r="AN4945">
        <v>1.00000003862485</v>
      </c>
    </row>
    <row r="4946" spans="1:40" x14ac:dyDescent="0.25">
      <c r="A4946" t="str">
        <f>"20190304164225403"</f>
        <v>20190304164225403</v>
      </c>
      <c r="B4946" t="str">
        <f>"1551688945395671"</f>
        <v>1551688945395671</v>
      </c>
      <c r="C4946" t="s">
        <v>40</v>
      </c>
      <c r="D4946">
        <v>3.8020160000000001</v>
      </c>
      <c r="E4946">
        <v>0.48613190000000001</v>
      </c>
      <c r="F4946" t="s">
        <v>42</v>
      </c>
      <c r="G4946">
        <v>-347.2629</v>
      </c>
      <c r="H4946" s="1">
        <v>-1.518748E-6</v>
      </c>
      <c r="I4946">
        <v>137.57419999999999</v>
      </c>
      <c r="J4946">
        <v>-310.21409999999997</v>
      </c>
      <c r="K4946">
        <v>1.109998</v>
      </c>
      <c r="L4946">
        <v>141.328</v>
      </c>
      <c r="M4946">
        <v>-0.99988140000000003</v>
      </c>
      <c r="N4946">
        <v>-1.523595E-2</v>
      </c>
      <c r="O4946">
        <v>-2.259605E-3</v>
      </c>
      <c r="P4946">
        <v>-0.94364570000000003</v>
      </c>
      <c r="Q4946">
        <v>0.32708189999999998</v>
      </c>
      <c r="R4946">
        <v>-5.0503329999999999E-2</v>
      </c>
      <c r="S4946">
        <v>-3.196564</v>
      </c>
      <c r="T4946">
        <v>-9.4699030000000003E-2</v>
      </c>
      <c r="U4946">
        <v>-0.3203125</v>
      </c>
      <c r="V4946">
        <v>-4.8023320000000001E-2</v>
      </c>
      <c r="W4946">
        <v>0.34147189999999999</v>
      </c>
      <c r="X4946">
        <v>0.93866430000000001</v>
      </c>
      <c r="Y4946">
        <v>-9.739304E-2</v>
      </c>
      <c r="Z4946">
        <v>-2.1503920000000001E-3</v>
      </c>
      <c r="AA4946">
        <v>0.99524369999999995</v>
      </c>
      <c r="AB4946">
        <v>41</v>
      </c>
      <c r="AC4946">
        <v>-37.0488</v>
      </c>
      <c r="AD4946">
        <v>-1.1099995187480001</v>
      </c>
      <c r="AE4946">
        <v>-3.7538000000000098</v>
      </c>
      <c r="AF4946">
        <v>-3.66680705534427</v>
      </c>
      <c r="AG4946">
        <v>-1.1099995187480001</v>
      </c>
      <c r="AH4946">
        <v>37.0242920842608</v>
      </c>
      <c r="AI4946">
        <v>91.708875190428301</v>
      </c>
      <c r="AJ4946">
        <v>95.656007812246301</v>
      </c>
      <c r="AK4946">
        <v>37.221979759993999</v>
      </c>
      <c r="AL4946">
        <v>70.033424080705203</v>
      </c>
      <c r="AM4946">
        <v>92.928775090957998</v>
      </c>
      <c r="AN4946">
        <v>0.99999998292396097</v>
      </c>
    </row>
    <row r="4947" spans="1:40" x14ac:dyDescent="0.25">
      <c r="A4947" t="str">
        <f>"20190304164225423"</f>
        <v>20190304164225423</v>
      </c>
      <c r="B4947" t="str">
        <f>"1551688945416166"</f>
        <v>1551688945416166</v>
      </c>
      <c r="C4947" t="s">
        <v>40</v>
      </c>
      <c r="D4947">
        <v>3.9844919999999999</v>
      </c>
      <c r="E4947">
        <v>0.48394330000000002</v>
      </c>
      <c r="F4947" t="s">
        <v>42</v>
      </c>
      <c r="G4947">
        <v>-346.09550000000002</v>
      </c>
      <c r="H4947" s="1">
        <v>-2.002421E-6</v>
      </c>
      <c r="I4947">
        <v>137.67099999999999</v>
      </c>
      <c r="J4947">
        <v>-310.61509999999998</v>
      </c>
      <c r="K4947">
        <v>1.1099870000000001</v>
      </c>
      <c r="L4947">
        <v>141.32740000000001</v>
      </c>
      <c r="M4947">
        <v>-0.9998823</v>
      </c>
      <c r="N4947">
        <v>-1.523123E-2</v>
      </c>
      <c r="O4947">
        <v>-1.904687E-3</v>
      </c>
      <c r="P4947">
        <v>-0.94374349999999996</v>
      </c>
      <c r="Q4947">
        <v>0.32639030000000002</v>
      </c>
      <c r="R4947">
        <v>-5.308504E-2</v>
      </c>
      <c r="S4947">
        <v>-3.1959840000000002</v>
      </c>
      <c r="T4947">
        <v>-9.8868730000000002E-2</v>
      </c>
      <c r="U4947">
        <v>-0.3257294</v>
      </c>
      <c r="V4947">
        <v>-5.09393E-2</v>
      </c>
      <c r="W4947">
        <v>0.34078059999999899</v>
      </c>
      <c r="X4947">
        <v>0.93876179999999998</v>
      </c>
      <c r="Y4947">
        <v>-9.9427600000000005E-2</v>
      </c>
      <c r="Z4947">
        <v>-2.2632260000000001E-3</v>
      </c>
      <c r="AA4947">
        <v>0.99504219999999999</v>
      </c>
      <c r="AB4947">
        <v>41</v>
      </c>
      <c r="AC4947">
        <v>-35.480400000000003</v>
      </c>
      <c r="AD4947">
        <v>-1.109989002421</v>
      </c>
      <c r="AE4947">
        <v>-3.6564000000000099</v>
      </c>
      <c r="AF4947">
        <v>-3.5853342985607402</v>
      </c>
      <c r="AG4947">
        <v>-1.109989002421</v>
      </c>
      <c r="AH4947">
        <v>35.452966686458502</v>
      </c>
      <c r="AI4947">
        <v>91.784180553570707</v>
      </c>
      <c r="AJ4947">
        <v>95.774650388734301</v>
      </c>
      <c r="AK4947">
        <v>35.651080551493301</v>
      </c>
      <c r="AL4947">
        <v>70.075559879757094</v>
      </c>
      <c r="AM4947">
        <v>93.105950249537401</v>
      </c>
      <c r="AN4947">
        <v>0.99999997338004398</v>
      </c>
    </row>
    <row r="4948" spans="1:40" x14ac:dyDescent="0.25">
      <c r="A4948" t="str">
        <f>"20190304164225438"</f>
        <v>20190304164225438</v>
      </c>
      <c r="B4948" t="str">
        <f>"1551688945425927"</f>
        <v>1551688945425927</v>
      </c>
      <c r="C4948" t="s">
        <v>40</v>
      </c>
      <c r="D4948">
        <v>3.885135</v>
      </c>
      <c r="E4948">
        <v>0.48394330000000002</v>
      </c>
      <c r="F4948" t="s">
        <v>42</v>
      </c>
      <c r="G4948">
        <v>-346.89109999999999</v>
      </c>
      <c r="H4948" s="1">
        <v>-1.7218580000000001E-6</v>
      </c>
      <c r="I4948">
        <v>137.32849999999999</v>
      </c>
      <c r="J4948">
        <v>-310.88510000000002</v>
      </c>
      <c r="K4948">
        <v>1.1099909999999999</v>
      </c>
      <c r="L4948">
        <v>141.3271</v>
      </c>
      <c r="M4948">
        <v>-0.99988279999999996</v>
      </c>
      <c r="N4948">
        <v>-1.522805E-2</v>
      </c>
      <c r="O4948">
        <v>-1.665415E-3</v>
      </c>
      <c r="P4948">
        <v>-0.94346459999999999</v>
      </c>
      <c r="Q4948">
        <v>0.32688529999999999</v>
      </c>
      <c r="R4948">
        <v>-5.4959090000000002E-2</v>
      </c>
      <c r="S4948">
        <v>-3.1928100000000001</v>
      </c>
      <c r="T4948">
        <v>-9.7695110000000002E-2</v>
      </c>
      <c r="U4948">
        <v>-0.35195920000000003</v>
      </c>
      <c r="V4948">
        <v>-5.3039299999999998E-2</v>
      </c>
      <c r="W4948">
        <v>0.34127020000000002</v>
      </c>
      <c r="X4948">
        <v>0.93846759999999996</v>
      </c>
      <c r="Y4948">
        <v>-0.1078407</v>
      </c>
      <c r="Z4948">
        <v>-2.4429230000000001E-3</v>
      </c>
      <c r="AA4948">
        <v>0.99416519999999997</v>
      </c>
      <c r="AB4948">
        <v>41</v>
      </c>
      <c r="AC4948">
        <v>-36.005999999999901</v>
      </c>
      <c r="AD4948">
        <v>-1.1099927218579999</v>
      </c>
      <c r="AE4948">
        <v>-3.9986000000000002</v>
      </c>
      <c r="AF4948">
        <v>-3.9349285150240298</v>
      </c>
      <c r="AG4948">
        <v>-1.1099927218579999</v>
      </c>
      <c r="AH4948">
        <v>35.978833687484098</v>
      </c>
      <c r="AI4948">
        <v>91.756619180794701</v>
      </c>
      <c r="AJ4948">
        <v>96.241510829869199</v>
      </c>
      <c r="AK4948">
        <v>36.2103882853052</v>
      </c>
      <c r="AL4948">
        <v>70.045719092457006</v>
      </c>
      <c r="AM4948">
        <v>93.2347399263505</v>
      </c>
      <c r="AN4948">
        <v>0.99999997650114403</v>
      </c>
    </row>
    <row r="4949" spans="1:40" x14ac:dyDescent="0.25">
      <c r="A4949" t="str">
        <f>"20190304164225457"</f>
        <v>20190304164225457</v>
      </c>
      <c r="B4949" t="str">
        <f>"1551688945446422"</f>
        <v>1551688945446422</v>
      </c>
      <c r="C4949" t="s">
        <v>40</v>
      </c>
      <c r="D4949">
        <v>3.7634660000000002</v>
      </c>
      <c r="E4949">
        <v>0.372863</v>
      </c>
      <c r="F4949" t="s">
        <v>42</v>
      </c>
      <c r="G4949">
        <v>-347.80680000000001</v>
      </c>
      <c r="H4949" s="1">
        <v>-1.380932E-6</v>
      </c>
      <c r="I4949">
        <v>137.179</v>
      </c>
      <c r="J4949">
        <v>-311.21929999999998</v>
      </c>
      <c r="K4949">
        <v>1.10999</v>
      </c>
      <c r="L4949">
        <v>141.32679999999999</v>
      </c>
      <c r="M4949">
        <v>-0.99988330000000003</v>
      </c>
      <c r="N4949">
        <v>-1.5224130000000001E-2</v>
      </c>
      <c r="O4949">
        <v>-1.3697609999999999E-3</v>
      </c>
      <c r="P4949">
        <v>-0.94305649999999996</v>
      </c>
      <c r="Q4949">
        <v>0.32722109999999999</v>
      </c>
      <c r="R4949">
        <v>-5.9759369999999999E-2</v>
      </c>
      <c r="S4949">
        <v>-3.1921390000000001</v>
      </c>
      <c r="T4949">
        <v>-9.5966700000000002E-2</v>
      </c>
      <c r="U4949">
        <v>-0.35862729999999998</v>
      </c>
      <c r="V4949">
        <v>-5.8118650000000001E-2</v>
      </c>
      <c r="W4949">
        <v>0.3416014</v>
      </c>
      <c r="X4949">
        <v>0.93804620000000005</v>
      </c>
      <c r="Y4949">
        <v>-0.110209</v>
      </c>
      <c r="Z4949">
        <v>-2.4726940000000001E-3</v>
      </c>
      <c r="AA4949">
        <v>0.99390540000000005</v>
      </c>
      <c r="AB4949">
        <v>41</v>
      </c>
      <c r="AC4949">
        <v>-36.587499999999999</v>
      </c>
      <c r="AD4949">
        <v>-1.1099913809319999</v>
      </c>
      <c r="AE4949">
        <v>-4.1477999999999797</v>
      </c>
      <c r="AF4949">
        <v>-4.09395393727387</v>
      </c>
      <c r="AG4949">
        <v>-1.1099913809319999</v>
      </c>
      <c r="AH4949">
        <v>36.559925263662102</v>
      </c>
      <c r="AI4949">
        <v>91.728220871130304</v>
      </c>
      <c r="AJ4949">
        <v>96.389322586705305</v>
      </c>
      <c r="AK4949">
        <v>36.805171851124697</v>
      </c>
      <c r="AL4949">
        <v>70.025529582929295</v>
      </c>
      <c r="AM4949">
        <v>93.545350177000799</v>
      </c>
      <c r="AN4949">
        <v>0.99999998364711096</v>
      </c>
    </row>
    <row r="4950" spans="1:40" x14ac:dyDescent="0.25">
      <c r="A4950" t="str">
        <f>"20190304164225472"</f>
        <v>20190304164225472</v>
      </c>
      <c r="B4950" t="str">
        <f>"1551688945465943"</f>
        <v>1551688945465943</v>
      </c>
      <c r="C4950" t="s">
        <v>40</v>
      </c>
      <c r="D4950">
        <v>3.8558569999999999</v>
      </c>
      <c r="E4950">
        <v>0.28730509999999998</v>
      </c>
      <c r="F4950" t="s">
        <v>54</v>
      </c>
      <c r="G4950">
        <v>-366.47230000000002</v>
      </c>
      <c r="H4950">
        <v>1.033903</v>
      </c>
      <c r="I4950">
        <v>119.0001</v>
      </c>
      <c r="J4950">
        <v>-311.51130000000001</v>
      </c>
      <c r="K4950">
        <v>1.1099920000000001</v>
      </c>
      <c r="L4950">
        <v>141.32660000000001</v>
      </c>
      <c r="M4950">
        <v>-0.99988359999999998</v>
      </c>
      <c r="N4950">
        <v>-1.522074E-2</v>
      </c>
      <c r="O4950">
        <v>-1.1139520000000001E-3</v>
      </c>
      <c r="P4950">
        <v>-0.9427797</v>
      </c>
      <c r="Q4950">
        <v>0.32753369999999998</v>
      </c>
      <c r="R4950">
        <v>-6.2356990000000001E-2</v>
      </c>
      <c r="S4950">
        <v>-3.1031490000000002</v>
      </c>
      <c r="T4950">
        <v>-4.2725799999999998E-3</v>
      </c>
      <c r="U4950">
        <v>-1.253922</v>
      </c>
      <c r="V4950">
        <v>-6.0958610000000003E-2</v>
      </c>
      <c r="W4950">
        <v>0.34190930000000003</v>
      </c>
      <c r="X4950">
        <v>0.93775370000000002</v>
      </c>
      <c r="Y4950">
        <v>-0.37361090000000002</v>
      </c>
      <c r="Z4950">
        <v>-3.213292E-3</v>
      </c>
      <c r="AA4950">
        <v>0.92757990000000001</v>
      </c>
      <c r="AB4950">
        <v>41</v>
      </c>
      <c r="AC4950">
        <v>-54.960999999999999</v>
      </c>
      <c r="AD4950">
        <v>-7.6089000000000004E-2</v>
      </c>
      <c r="AE4950">
        <v>-22.326499999999999</v>
      </c>
      <c r="AF4950">
        <v>-22.265218509957599</v>
      </c>
      <c r="AG4950">
        <v>-7.6089000000000004E-2</v>
      </c>
      <c r="AH4950">
        <v>54.985748961986197</v>
      </c>
      <c r="AI4950">
        <v>90.073489279635794</v>
      </c>
      <c r="AJ4950">
        <v>112.04435786371501</v>
      </c>
      <c r="AK4950">
        <v>59.322662901648698</v>
      </c>
      <c r="AL4950">
        <v>70.0067574952309</v>
      </c>
      <c r="AM4950">
        <v>93.7192750322573</v>
      </c>
      <c r="AN4950">
        <v>0.99999996171165495</v>
      </c>
    </row>
    <row r="4951" spans="1:40" x14ac:dyDescent="0.25">
      <c r="A4951" t="str">
        <f>"20190304164225485"</f>
        <v>20190304164225485</v>
      </c>
      <c r="B4951" t="str">
        <f>"1551688945475703"</f>
        <v>1551688945475703</v>
      </c>
      <c r="C4951" t="s">
        <v>40</v>
      </c>
      <c r="D4951">
        <v>3.8885130000000001</v>
      </c>
      <c r="E4951">
        <v>0.20547570000000001</v>
      </c>
      <c r="F4951" t="s">
        <v>54</v>
      </c>
      <c r="G4951">
        <v>-345.48950000000002</v>
      </c>
      <c r="H4951">
        <v>0.69549099999999997</v>
      </c>
      <c r="I4951">
        <v>119.76900000000001</v>
      </c>
      <c r="J4951">
        <v>-311.73790000000002</v>
      </c>
      <c r="K4951">
        <v>1.109999</v>
      </c>
      <c r="L4951">
        <v>141.32650000000001</v>
      </c>
      <c r="M4951">
        <v>-0.99988390000000005</v>
      </c>
      <c r="N4951">
        <v>-1.521812E-2</v>
      </c>
      <c r="O4951">
        <v>-9.1764129999999996E-4</v>
      </c>
      <c r="P4951">
        <v>-0.94273220000000002</v>
      </c>
      <c r="Q4951">
        <v>0.32720149999999998</v>
      </c>
      <c r="R4951">
        <v>-6.4772910000000003E-2</v>
      </c>
      <c r="S4951">
        <v>-3.0664060000000002</v>
      </c>
      <c r="T4951">
        <v>-3.7405729999999998E-2</v>
      </c>
      <c r="U4951">
        <v>-1.9454800000000001</v>
      </c>
      <c r="V4951">
        <v>-6.3561859999999998E-2</v>
      </c>
      <c r="W4951">
        <v>0.34157579999999998</v>
      </c>
      <c r="X4951">
        <v>0.93770240000000005</v>
      </c>
      <c r="Y4951">
        <v>-0.53487059999999997</v>
      </c>
      <c r="Z4951">
        <v>-7.4033409999999999E-3</v>
      </c>
      <c r="AA4951">
        <v>0.84490159999999903</v>
      </c>
      <c r="AB4951">
        <v>41</v>
      </c>
      <c r="AC4951">
        <v>-33.751600000000003</v>
      </c>
      <c r="AD4951">
        <v>-0.41450799999999999</v>
      </c>
      <c r="AE4951">
        <v>-21.557500000000001</v>
      </c>
      <c r="AF4951">
        <v>-21.524209702056702</v>
      </c>
      <c r="AG4951">
        <v>-0.41450799999999999</v>
      </c>
      <c r="AH4951">
        <v>33.767752767357202</v>
      </c>
      <c r="AI4951">
        <v>90.593059703304107</v>
      </c>
      <c r="AJ4951">
        <v>122.514213641002</v>
      </c>
      <c r="AK4951">
        <v>40.046529776467999</v>
      </c>
      <c r="AL4951">
        <v>70.027089820924402</v>
      </c>
      <c r="AM4951">
        <v>93.877844256628805</v>
      </c>
      <c r="AN4951">
        <v>0.99999996407902902</v>
      </c>
    </row>
    <row r="4952" spans="1:40" x14ac:dyDescent="0.25">
      <c r="A4952" t="str">
        <f>"20190304164225503"</f>
        <v>20190304164225503</v>
      </c>
      <c r="B4952" t="str">
        <f>"1551688945496199"</f>
        <v>1551688945496199</v>
      </c>
      <c r="C4952" t="s">
        <v>40</v>
      </c>
      <c r="D4952">
        <v>3.9053079999999998</v>
      </c>
      <c r="E4952">
        <v>0.1977458</v>
      </c>
      <c r="F4952" t="s">
        <v>54</v>
      </c>
      <c r="G4952">
        <v>-337.80470000000003</v>
      </c>
      <c r="H4952">
        <v>6.9235709999999999E-3</v>
      </c>
      <c r="I4952">
        <v>118.99979999999999</v>
      </c>
      <c r="J4952">
        <v>-312.05799999999999</v>
      </c>
      <c r="K4952">
        <v>1.1099969999999999</v>
      </c>
      <c r="L4952">
        <v>141.32640000000001</v>
      </c>
      <c r="M4952">
        <v>-0.99988410000000005</v>
      </c>
      <c r="N4952">
        <v>-1.5214419999999999E-2</v>
      </c>
      <c r="O4952">
        <v>-6.4591559999999896E-4</v>
      </c>
      <c r="P4952">
        <v>-0.9426426</v>
      </c>
      <c r="Q4952">
        <v>0.32653850000000001</v>
      </c>
      <c r="R4952">
        <v>-6.9268839999999998E-2</v>
      </c>
      <c r="S4952">
        <v>-3.0476070000000002</v>
      </c>
      <c r="T4952">
        <v>-0.12896440000000001</v>
      </c>
      <c r="U4952">
        <v>-2.6103209999999999</v>
      </c>
      <c r="V4952">
        <v>-6.8318119999999996E-2</v>
      </c>
      <c r="W4952">
        <v>0.34091199999999999</v>
      </c>
      <c r="X4952">
        <v>0.93760960000000004</v>
      </c>
      <c r="Y4952">
        <v>-0.64949959999999995</v>
      </c>
      <c r="Z4952">
        <v>-1.7463929999999999E-2</v>
      </c>
      <c r="AA4952">
        <v>0.76016130000000004</v>
      </c>
      <c r="AB4952">
        <v>41</v>
      </c>
      <c r="AC4952">
        <v>-25.746700000000001</v>
      </c>
      <c r="AD4952">
        <v>-1.1030734289999999</v>
      </c>
      <c r="AE4952">
        <v>-22.326599999999999</v>
      </c>
      <c r="AF4952">
        <v>-22.2866134598858</v>
      </c>
      <c r="AG4952">
        <v>-1.1030734289999999</v>
      </c>
      <c r="AH4952">
        <v>25.734155631575401</v>
      </c>
      <c r="AI4952">
        <v>91.855857719635793</v>
      </c>
      <c r="AJ4952">
        <v>130.89362484786599</v>
      </c>
      <c r="AK4952">
        <v>34.061072745441699</v>
      </c>
      <c r="AL4952">
        <v>70.067553467297103</v>
      </c>
      <c r="AM4952">
        <v>94.167443046477999</v>
      </c>
      <c r="AN4952">
        <v>1.0000000596382399</v>
      </c>
    </row>
    <row r="4953" spans="1:40" x14ac:dyDescent="0.25">
      <c r="A4953" t="str">
        <f>"20190304164225517"</f>
        <v>20190304164225517</v>
      </c>
      <c r="B4953" t="str">
        <f>"1551688945505958"</f>
        <v>1551688945505958</v>
      </c>
      <c r="C4953" t="s">
        <v>40</v>
      </c>
      <c r="D4953">
        <v>3.8650850000000001</v>
      </c>
      <c r="E4953">
        <v>0.19602230000000001</v>
      </c>
      <c r="F4953" t="s">
        <v>43</v>
      </c>
      <c r="G4953">
        <v>-336.78699999999998</v>
      </c>
      <c r="H4953">
        <v>-0.05</v>
      </c>
      <c r="I4953">
        <v>119.43859999999999</v>
      </c>
      <c r="J4953">
        <v>-312.33330000000001</v>
      </c>
      <c r="K4953">
        <v>1.1100030000000001</v>
      </c>
      <c r="L4953">
        <v>141.32640000000001</v>
      </c>
      <c r="M4953">
        <v>-0.99988440000000001</v>
      </c>
      <c r="N4953">
        <v>-1.5211250000000001E-2</v>
      </c>
      <c r="O4953">
        <v>-4.192798E-4</v>
      </c>
      <c r="P4953">
        <v>-0.94261340000000005</v>
      </c>
      <c r="Q4953">
        <v>0.32617469999999998</v>
      </c>
      <c r="R4953">
        <v>-7.1347789999999994E-2</v>
      </c>
      <c r="S4953">
        <v>-3.0345149999999999</v>
      </c>
      <c r="T4953">
        <v>-0.1423442</v>
      </c>
      <c r="U4953">
        <v>-2.685867</v>
      </c>
      <c r="V4953">
        <v>-7.0616979999999996E-2</v>
      </c>
      <c r="W4953">
        <v>0.34054580000000001</v>
      </c>
      <c r="X4953">
        <v>0.93757230000000003</v>
      </c>
      <c r="Y4953">
        <v>-0.66184460000000001</v>
      </c>
      <c r="Z4953">
        <v>-1.9036899999999999E-2</v>
      </c>
      <c r="AA4953">
        <v>0.74939940000000005</v>
      </c>
      <c r="AB4953">
        <v>41</v>
      </c>
      <c r="AC4953">
        <v>-24.453699999999898</v>
      </c>
      <c r="AD4953">
        <v>-1.1600029999999999</v>
      </c>
      <c r="AE4953">
        <v>-21.887799999999999</v>
      </c>
      <c r="AF4953">
        <v>-21.850245689012802</v>
      </c>
      <c r="AG4953">
        <v>-1.1600029999999999</v>
      </c>
      <c r="AH4953">
        <v>24.432351849346102</v>
      </c>
      <c r="AI4953">
        <v>92.026856386326202</v>
      </c>
      <c r="AJ4953">
        <v>131.80677865448399</v>
      </c>
      <c r="AK4953">
        <v>32.798150260654602</v>
      </c>
      <c r="AL4953">
        <v>70.089869546230403</v>
      </c>
      <c r="AM4953">
        <v>94.307326309114103</v>
      </c>
      <c r="AN4953">
        <v>1.0000000087446199</v>
      </c>
    </row>
    <row r="4954" spans="1:40" x14ac:dyDescent="0.25">
      <c r="A4954" t="str">
        <f>"20190304164225531"</f>
        <v>20190304164225531</v>
      </c>
      <c r="B4954" t="str">
        <f>"1551688945526455"</f>
        <v>1551688945526455</v>
      </c>
      <c r="C4954" t="s">
        <v>40</v>
      </c>
      <c r="D4954">
        <v>3.831591</v>
      </c>
      <c r="E4954">
        <v>0.19598840000000001</v>
      </c>
      <c r="F4954" t="s">
        <v>54</v>
      </c>
      <c r="G4954">
        <v>-337.28410000000002</v>
      </c>
      <c r="H4954">
        <v>4.275756E-2</v>
      </c>
      <c r="I4954">
        <v>118.99979999999999</v>
      </c>
      <c r="J4954">
        <v>-312.56990000000002</v>
      </c>
      <c r="K4954">
        <v>1.1100139999999901</v>
      </c>
      <c r="L4954">
        <v>141.32640000000001</v>
      </c>
      <c r="M4954">
        <v>-0.99988449999999995</v>
      </c>
      <c r="N4954">
        <v>-1.520851E-2</v>
      </c>
      <c r="O4954">
        <v>-2.2984510000000001E-4</v>
      </c>
      <c r="P4954">
        <v>-0.94268609999999997</v>
      </c>
      <c r="Q4954">
        <v>0.32555390000000001</v>
      </c>
      <c r="R4954">
        <v>-7.3196410000000003E-2</v>
      </c>
      <c r="S4954">
        <v>-3.0226139999999999</v>
      </c>
      <c r="T4954">
        <v>-0.1292865</v>
      </c>
      <c r="U4954">
        <v>-2.7046969999999999</v>
      </c>
      <c r="V4954">
        <v>-7.2650019999999996E-2</v>
      </c>
      <c r="W4954">
        <v>0.33992430000000001</v>
      </c>
      <c r="X4954">
        <v>0.93764250000000005</v>
      </c>
      <c r="Y4954">
        <v>-0.66612360000000004</v>
      </c>
      <c r="Z4954">
        <v>-1.7964629999999999E-2</v>
      </c>
      <c r="AA4954">
        <v>0.74562499999999998</v>
      </c>
      <c r="AB4954">
        <v>41</v>
      </c>
      <c r="AC4954">
        <v>-24.714200000000002</v>
      </c>
      <c r="AD4954">
        <v>-1.06725643999999</v>
      </c>
      <c r="AE4954">
        <v>-22.326599999999999</v>
      </c>
      <c r="AF4954">
        <v>-22.298021920308599</v>
      </c>
      <c r="AG4954">
        <v>-1.06725643999999</v>
      </c>
      <c r="AH4954">
        <v>24.693974954110999</v>
      </c>
      <c r="AI4954">
        <v>91.837256780700599</v>
      </c>
      <c r="AJ4954">
        <v>132.08122160176899</v>
      </c>
      <c r="AK4954">
        <v>33.288634951009101</v>
      </c>
      <c r="AL4954">
        <v>70.127738048301893</v>
      </c>
      <c r="AM4954">
        <v>94.430515483498198</v>
      </c>
      <c r="AN4954">
        <v>1.0000000064713701</v>
      </c>
    </row>
    <row r="4955" spans="1:40" x14ac:dyDescent="0.25">
      <c r="A4955" t="str">
        <f>"20190304164225546"</f>
        <v>20190304164225546</v>
      </c>
      <c r="B4955" t="str">
        <f>"1551688945536215"</f>
        <v>1551688945536215</v>
      </c>
      <c r="C4955" t="s">
        <v>40</v>
      </c>
      <c r="D4955">
        <v>3.83847</v>
      </c>
      <c r="E4955">
        <v>0.19667409999999999</v>
      </c>
      <c r="F4955" t="s">
        <v>54</v>
      </c>
      <c r="G4955">
        <v>-337.39580000000001</v>
      </c>
      <c r="H4955">
        <v>0.1570936</v>
      </c>
      <c r="I4955">
        <v>118.99979999999999</v>
      </c>
      <c r="J4955">
        <v>-312.86070000000001</v>
      </c>
      <c r="K4955">
        <v>1.110025</v>
      </c>
      <c r="L4955">
        <v>141.32660000000001</v>
      </c>
      <c r="M4955">
        <v>-0.99988449999999995</v>
      </c>
      <c r="N4955">
        <v>-1.5205120000000001E-2</v>
      </c>
      <c r="O4955" s="1">
        <v>-5.3038090000000004E-6</v>
      </c>
      <c r="P4955">
        <v>-0.94259999999999999</v>
      </c>
      <c r="Q4955">
        <v>0.3247389</v>
      </c>
      <c r="R4955">
        <v>-7.7784210000000006E-2</v>
      </c>
      <c r="S4955">
        <v>-3.0119929999999999</v>
      </c>
      <c r="T4955">
        <v>-0.1156105</v>
      </c>
      <c r="U4955">
        <v>-2.708755</v>
      </c>
      <c r="V4955">
        <v>-7.7458659999999999E-2</v>
      </c>
      <c r="W4955">
        <v>0.33910709999999999</v>
      </c>
      <c r="X4955">
        <v>0.93755350000000004</v>
      </c>
      <c r="Y4955">
        <v>-0.66823299999999997</v>
      </c>
      <c r="Z4955">
        <v>-1.6765169999999999E-2</v>
      </c>
      <c r="AA4955">
        <v>0.74376319999999996</v>
      </c>
      <c r="AB4955">
        <v>41</v>
      </c>
      <c r="AC4955">
        <v>-24.5351</v>
      </c>
      <c r="AD4955">
        <v>-0.95293139999999998</v>
      </c>
      <c r="AE4955">
        <v>-22.326799999999999</v>
      </c>
      <c r="AF4955">
        <v>-22.3082614623833</v>
      </c>
      <c r="AG4955">
        <v>-0.95293139999999998</v>
      </c>
      <c r="AH4955">
        <v>24.514989084038</v>
      </c>
      <c r="AI4955">
        <v>91.646782785015105</v>
      </c>
      <c r="AJ4955">
        <v>132.301710328501</v>
      </c>
      <c r="AK4955">
        <v>33.159482769151602</v>
      </c>
      <c r="AL4955">
        <v>70.177517236253195</v>
      </c>
      <c r="AM4955">
        <v>94.722928168038607</v>
      </c>
      <c r="AN4955">
        <v>1.0000000173208199</v>
      </c>
    </row>
    <row r="4956" spans="1:40" x14ac:dyDescent="0.25">
      <c r="A4956" t="str">
        <f>"20190304164225569"</f>
        <v>20190304164225569</v>
      </c>
      <c r="B4956" t="str">
        <f>"1551688945555734"</f>
        <v>1551688945555734</v>
      </c>
      <c r="C4956" t="s">
        <v>40</v>
      </c>
      <c r="D4956">
        <v>3.8623759999999998</v>
      </c>
      <c r="E4956">
        <v>0.19866719999999999</v>
      </c>
      <c r="F4956" t="s">
        <v>54</v>
      </c>
      <c r="G4956">
        <v>-337.50380000000001</v>
      </c>
      <c r="H4956">
        <v>0.15315419999999999</v>
      </c>
      <c r="I4956">
        <v>118.99979999999999</v>
      </c>
      <c r="J4956">
        <v>-313.27420000000001</v>
      </c>
      <c r="K4956">
        <v>1.110036</v>
      </c>
      <c r="L4956">
        <v>141.32679999999999</v>
      </c>
      <c r="M4956">
        <v>-0.99988449999999995</v>
      </c>
      <c r="N4956">
        <v>-1.520029E-2</v>
      </c>
      <c r="O4956">
        <v>2.873652E-4</v>
      </c>
      <c r="P4956">
        <v>-0.94250789999999995</v>
      </c>
      <c r="Q4956">
        <v>0.32380890000000001</v>
      </c>
      <c r="R4956">
        <v>-8.2624580000000003E-2</v>
      </c>
      <c r="S4956">
        <v>-2.9986269999999999</v>
      </c>
      <c r="T4956">
        <v>-0.11643199999999999</v>
      </c>
      <c r="U4956">
        <v>-2.7167509999999999</v>
      </c>
      <c r="V4956">
        <v>-8.2593379999999994E-2</v>
      </c>
      <c r="W4956">
        <v>0.33817120000000001</v>
      </c>
      <c r="X4956">
        <v>0.93745319999999999</v>
      </c>
      <c r="Y4956">
        <v>-0.67117199999999999</v>
      </c>
      <c r="Z4956">
        <v>-1.6957400000000001E-2</v>
      </c>
      <c r="AA4956">
        <v>0.74110769999999904</v>
      </c>
      <c r="AB4956">
        <v>41</v>
      </c>
      <c r="AC4956">
        <v>-24.229600000000001</v>
      </c>
      <c r="AD4956">
        <v>-0.9568818</v>
      </c>
      <c r="AE4956">
        <v>-22.327000000000002</v>
      </c>
      <c r="AF4956">
        <v>-22.3151409186401</v>
      </c>
      <c r="AG4956">
        <v>-0.9568818</v>
      </c>
      <c r="AH4956">
        <v>24.202768428970899</v>
      </c>
      <c r="AI4956">
        <v>91.664930883815202</v>
      </c>
      <c r="AJ4956">
        <v>132.67629741872801</v>
      </c>
      <c r="AK4956">
        <v>32.934102942456697</v>
      </c>
      <c r="AL4956">
        <v>70.234506469701302</v>
      </c>
      <c r="AM4956">
        <v>95.034986697235396</v>
      </c>
      <c r="AN4956">
        <v>0.99999996455975104</v>
      </c>
    </row>
    <row r="4957" spans="1:40" x14ac:dyDescent="0.25">
      <c r="A4957" t="str">
        <f>"20190304164225591"</f>
        <v>20190304164225591</v>
      </c>
      <c r="B4957" t="str">
        <f>"1551688945585991"</f>
        <v>1551688945585991</v>
      </c>
      <c r="C4957" t="s">
        <v>40</v>
      </c>
      <c r="D4957">
        <v>3.8694359999999999</v>
      </c>
      <c r="E4957">
        <v>0.20168549999999999</v>
      </c>
      <c r="F4957" t="s">
        <v>54</v>
      </c>
      <c r="G4957">
        <v>-337.8236</v>
      </c>
      <c r="H4957">
        <v>0.15662709999999999</v>
      </c>
      <c r="I4957">
        <v>118.99979999999999</v>
      </c>
      <c r="J4957">
        <v>-313.6857</v>
      </c>
      <c r="K4957">
        <v>1.1100589999999999</v>
      </c>
      <c r="L4957">
        <v>141.3271</v>
      </c>
      <c r="M4957">
        <v>-0.99988440000000001</v>
      </c>
      <c r="N4957">
        <v>-1.5195500000000001E-2</v>
      </c>
      <c r="O4957">
        <v>5.4530699999999997E-4</v>
      </c>
      <c r="P4957">
        <v>-0.94232300000000002</v>
      </c>
      <c r="Q4957">
        <v>0.3231559</v>
      </c>
      <c r="R4957">
        <v>-8.7167030000000006E-2</v>
      </c>
      <c r="S4957">
        <v>-2.9848629999999998</v>
      </c>
      <c r="T4957">
        <v>-0.11591949999999999</v>
      </c>
      <c r="U4957">
        <v>-2.714645</v>
      </c>
      <c r="V4957">
        <v>-8.7400939999999996E-2</v>
      </c>
      <c r="W4957">
        <v>0.33750970000000002</v>
      </c>
      <c r="X4957">
        <v>0.93725570000000002</v>
      </c>
      <c r="Y4957">
        <v>-0.67277169999999997</v>
      </c>
      <c r="Z4957">
        <v>-1.6996520000000001E-2</v>
      </c>
      <c r="AA4957">
        <v>0.73965499999999995</v>
      </c>
      <c r="AB4957">
        <v>41</v>
      </c>
      <c r="AC4957">
        <v>-24.137899999999998</v>
      </c>
      <c r="AD4957">
        <v>-0.9534319</v>
      </c>
      <c r="AE4957">
        <v>-22.327300000000001</v>
      </c>
      <c r="AF4957">
        <v>-22.321692595783201</v>
      </c>
      <c r="AG4957">
        <v>-0.9534319</v>
      </c>
      <c r="AH4957">
        <v>24.105451810118399</v>
      </c>
      <c r="AI4957">
        <v>91.662314346914897</v>
      </c>
      <c r="AJ4957">
        <v>132.79974339914199</v>
      </c>
      <c r="AK4957">
        <v>32.867001684037497</v>
      </c>
      <c r="AL4957">
        <v>70.274775711583004</v>
      </c>
      <c r="AM4957">
        <v>95.327537304441606</v>
      </c>
      <c r="AN4957">
        <v>0.99999998454473105</v>
      </c>
    </row>
    <row r="4958" spans="1:40" x14ac:dyDescent="0.25">
      <c r="A4958" t="str">
        <f>"20190304164225613"</f>
        <v>20190304164225613</v>
      </c>
      <c r="B4958" t="str">
        <f>"1551688945606486"</f>
        <v>1551688945606486</v>
      </c>
      <c r="C4958" t="s">
        <v>40</v>
      </c>
      <c r="D4958">
        <v>3.8874230000000001</v>
      </c>
      <c r="E4958">
        <v>0.2031357</v>
      </c>
      <c r="F4958" t="s">
        <v>54</v>
      </c>
      <c r="G4958">
        <v>-338.24900000000002</v>
      </c>
      <c r="H4958">
        <v>0.14613300000000001</v>
      </c>
      <c r="I4958">
        <v>118.99979999999999</v>
      </c>
      <c r="J4958">
        <v>-314.07990000000001</v>
      </c>
      <c r="K4958">
        <v>1.110088</v>
      </c>
      <c r="L4958">
        <v>141.32749999999999</v>
      </c>
      <c r="M4958">
        <v>-0.99988440000000001</v>
      </c>
      <c r="N4958">
        <v>-1.51909E-2</v>
      </c>
      <c r="O4958">
        <v>7.5542800000000005E-4</v>
      </c>
      <c r="P4958">
        <v>-0.94219989999999998</v>
      </c>
      <c r="Q4958">
        <v>0.32242219999999999</v>
      </c>
      <c r="R4958">
        <v>-9.1123689999999993E-2</v>
      </c>
      <c r="S4958">
        <v>-2.9736020000000001</v>
      </c>
      <c r="T4958">
        <v>-0.1166894</v>
      </c>
      <c r="U4958">
        <v>-2.702896</v>
      </c>
      <c r="V4958">
        <v>-9.1581410000000002E-2</v>
      </c>
      <c r="W4958">
        <v>0.33676630000000002</v>
      </c>
      <c r="X4958">
        <v>0.93712399999999996</v>
      </c>
      <c r="Y4958">
        <v>-0.67271419999999904</v>
      </c>
      <c r="Z4958">
        <v>-1.7114859999999999E-2</v>
      </c>
      <c r="AA4958">
        <v>0.73970449999999999</v>
      </c>
      <c r="AB4958">
        <v>41</v>
      </c>
      <c r="AC4958">
        <v>-24.1691</v>
      </c>
      <c r="AD4958">
        <v>-0.96395499999999901</v>
      </c>
      <c r="AE4958">
        <v>-22.3277</v>
      </c>
      <c r="AF4958">
        <v>-22.326791648153399</v>
      </c>
      <c r="AG4958">
        <v>-0.96395499999999901</v>
      </c>
      <c r="AH4958">
        <v>24.131513174247001</v>
      </c>
      <c r="AI4958">
        <v>91.679496826704593</v>
      </c>
      <c r="AJ4958">
        <v>132.775403948237</v>
      </c>
      <c r="AK4958">
        <v>32.8898884555867</v>
      </c>
      <c r="AL4958">
        <v>70.320019307771901</v>
      </c>
      <c r="AM4958">
        <v>95.581565523537904</v>
      </c>
      <c r="AN4958">
        <v>1.0000000434246299</v>
      </c>
    </row>
    <row r="4959" spans="1:40" x14ac:dyDescent="0.25">
      <c r="A4959" t="str">
        <f>"20190304164225628"</f>
        <v>20190304164225628</v>
      </c>
      <c r="B4959" t="str">
        <f>"1551688945616247"</f>
        <v>1551688945616247</v>
      </c>
      <c r="C4959" t="s">
        <v>40</v>
      </c>
      <c r="D4959">
        <v>3.9143659999999998</v>
      </c>
      <c r="E4959">
        <v>0.20383200000000001</v>
      </c>
      <c r="F4959" t="s">
        <v>54</v>
      </c>
      <c r="G4959">
        <v>-338.5838</v>
      </c>
      <c r="H4959">
        <v>7.1076139999999996E-2</v>
      </c>
      <c r="I4959">
        <v>118.99979999999999</v>
      </c>
      <c r="J4959">
        <v>-314.351</v>
      </c>
      <c r="K4959">
        <v>1.110109</v>
      </c>
      <c r="L4959">
        <v>141.3278</v>
      </c>
      <c r="M4959">
        <v>-0.99988429999999995</v>
      </c>
      <c r="N4959">
        <v>-1.518773E-2</v>
      </c>
      <c r="O4959">
        <v>8.7564710000000005E-4</v>
      </c>
      <c r="P4959">
        <v>-0.94211780000000001</v>
      </c>
      <c r="Q4959">
        <v>0.32215830000000001</v>
      </c>
      <c r="R4959">
        <v>-9.2891379999999996E-2</v>
      </c>
      <c r="S4959">
        <v>-2.9657589999999998</v>
      </c>
      <c r="T4959">
        <v>-0.12575159999999999</v>
      </c>
      <c r="U4959">
        <v>-2.7023619999999999</v>
      </c>
      <c r="V4959">
        <v>-9.3482899999999994E-2</v>
      </c>
      <c r="W4959">
        <v>0.33649380000000001</v>
      </c>
      <c r="X4959">
        <v>0.93703409999999998</v>
      </c>
      <c r="Y4959">
        <v>-0.67364069999999898</v>
      </c>
      <c r="Z4959">
        <v>-1.8041680000000001E-2</v>
      </c>
      <c r="AA4959">
        <v>0.73883880000000002</v>
      </c>
      <c r="AB4959">
        <v>41</v>
      </c>
      <c r="AC4959">
        <v>-24.232800000000001</v>
      </c>
      <c r="AD4959">
        <v>-1.0390328600000001</v>
      </c>
      <c r="AE4959">
        <v>-22.327999999999999</v>
      </c>
      <c r="AF4959">
        <v>-22.3270133115943</v>
      </c>
      <c r="AG4959">
        <v>-1.0390328600000001</v>
      </c>
      <c r="AH4959">
        <v>24.189185474673899</v>
      </c>
      <c r="AI4959">
        <v>91.807885008079893</v>
      </c>
      <c r="AJ4959">
        <v>132.707515529197</v>
      </c>
      <c r="AK4959">
        <v>32.934659655573199</v>
      </c>
      <c r="AL4959">
        <v>70.336599577860596</v>
      </c>
      <c r="AM4959">
        <v>95.697243045353702</v>
      </c>
      <c r="AN4959">
        <v>1.00000001729682</v>
      </c>
    </row>
    <row r="4960" spans="1:40" x14ac:dyDescent="0.25">
      <c r="A4960" t="str">
        <f>"20190304164225646"</f>
        <v>20190304164225646</v>
      </c>
      <c r="B4960" t="str">
        <f>"1551688945635767"</f>
        <v>1551688945635767</v>
      </c>
      <c r="C4960" t="s">
        <v>40</v>
      </c>
      <c r="D4960">
        <v>3.9222860000000002</v>
      </c>
      <c r="E4960">
        <v>0.20524510000000001</v>
      </c>
      <c r="F4960" t="s">
        <v>54</v>
      </c>
      <c r="G4960">
        <v>-338.8426</v>
      </c>
      <c r="H4960">
        <v>1.736064E-2</v>
      </c>
      <c r="I4960">
        <v>118.99979999999999</v>
      </c>
      <c r="J4960">
        <v>-314.68079999999998</v>
      </c>
      <c r="K4960">
        <v>1.110144</v>
      </c>
      <c r="L4960">
        <v>141.32820000000001</v>
      </c>
      <c r="M4960">
        <v>-0.99988410000000005</v>
      </c>
      <c r="N4960">
        <v>-1.518389E-2</v>
      </c>
      <c r="O4960">
        <v>9.9285580000000001E-4</v>
      </c>
      <c r="P4960">
        <v>-0.94223330000000005</v>
      </c>
      <c r="Q4960">
        <v>0.32078139999999999</v>
      </c>
      <c r="R4960">
        <v>-9.6415920000000002E-2</v>
      </c>
      <c r="S4960">
        <v>-2.9631349999999999</v>
      </c>
      <c r="T4960">
        <v>-0.13220509999999999</v>
      </c>
      <c r="U4960">
        <v>-2.7013699999999998</v>
      </c>
      <c r="V4960">
        <v>-9.7146440000000001E-2</v>
      </c>
      <c r="W4960">
        <v>0.3351095</v>
      </c>
      <c r="X4960">
        <v>0.93715749999999998</v>
      </c>
      <c r="Y4960">
        <v>-0.67387259999999904</v>
      </c>
      <c r="Z4960">
        <v>-1.8683970000000001E-2</v>
      </c>
      <c r="AA4960">
        <v>0.73861119999999902</v>
      </c>
      <c r="AB4960">
        <v>41</v>
      </c>
      <c r="AC4960">
        <v>-24.161799999999999</v>
      </c>
      <c r="AD4960">
        <v>-1.0927833600000001</v>
      </c>
      <c r="AE4960">
        <v>-22.328399999999998</v>
      </c>
      <c r="AF4960">
        <v>-22.327746356237</v>
      </c>
      <c r="AG4960">
        <v>-1.0927833600000001</v>
      </c>
      <c r="AH4960">
        <v>24.1130123452939</v>
      </c>
      <c r="AI4960">
        <v>91.904547211297896</v>
      </c>
      <c r="AJ4960">
        <v>132.79853155345299</v>
      </c>
      <c r="AK4960">
        <v>32.8809944676958</v>
      </c>
      <c r="AL4960">
        <v>70.420803155317003</v>
      </c>
      <c r="AM4960">
        <v>95.918185259563799</v>
      </c>
      <c r="AN4960">
        <v>0.99999999380058602</v>
      </c>
    </row>
    <row r="4961" spans="1:40" x14ac:dyDescent="0.25">
      <c r="A4961" t="str">
        <f>"20190304164225663"</f>
        <v>20190304164225663</v>
      </c>
      <c r="B4961" t="str">
        <f>"1551688945656264"</f>
        <v>1551688945656264</v>
      </c>
      <c r="C4961" t="s">
        <v>40</v>
      </c>
      <c r="D4961">
        <v>3.9408970000000001</v>
      </c>
      <c r="E4961">
        <v>0.20692489999999999</v>
      </c>
      <c r="F4961" t="s">
        <v>43</v>
      </c>
      <c r="G4961">
        <v>-338.63529999999997</v>
      </c>
      <c r="H4961">
        <v>-0.05</v>
      </c>
      <c r="I4961">
        <v>119.4547</v>
      </c>
      <c r="J4961">
        <v>-314.98</v>
      </c>
      <c r="K4961">
        <v>1.110174</v>
      </c>
      <c r="L4961">
        <v>141.32859999999999</v>
      </c>
      <c r="M4961">
        <v>-0.99988429999999995</v>
      </c>
      <c r="N4961">
        <v>-1.51804E-2</v>
      </c>
      <c r="O4961">
        <v>1.073854E-3</v>
      </c>
      <c r="P4961">
        <v>-0.94236690000000001</v>
      </c>
      <c r="Q4961">
        <v>0.31981659999999901</v>
      </c>
      <c r="R4961">
        <v>-9.8297599999999999E-2</v>
      </c>
      <c r="S4961">
        <v>-2.9564210000000002</v>
      </c>
      <c r="T4961">
        <v>-0.1431828</v>
      </c>
      <c r="U4961">
        <v>-2.6995849999999999</v>
      </c>
      <c r="V4961">
        <v>-9.9130919999999997E-2</v>
      </c>
      <c r="W4961">
        <v>0.33413660000000001</v>
      </c>
      <c r="X4961">
        <v>0.93729700000000005</v>
      </c>
      <c r="Y4961">
        <v>-0.67444139999999997</v>
      </c>
      <c r="Z4961">
        <v>-1.9792319999999999E-2</v>
      </c>
      <c r="AA4961">
        <v>0.73806309999999997</v>
      </c>
      <c r="AB4961">
        <v>41</v>
      </c>
      <c r="AC4961">
        <v>-23.655299999999901</v>
      </c>
      <c r="AD4961">
        <v>-1.160174</v>
      </c>
      <c r="AE4961">
        <v>-21.8738999999999</v>
      </c>
      <c r="AF4961">
        <v>-21.870933108460001</v>
      </c>
      <c r="AG4961">
        <v>-1.160174</v>
      </c>
      <c r="AH4961">
        <v>23.601191152221599</v>
      </c>
      <c r="AI4961">
        <v>92.0649676220781</v>
      </c>
      <c r="AJ4961">
        <v>132.82089179377601</v>
      </c>
      <c r="AK4961">
        <v>32.197825121407099</v>
      </c>
      <c r="AL4961">
        <v>70.479955114189295</v>
      </c>
      <c r="AM4961">
        <v>96.037303926094793</v>
      </c>
      <c r="AN4961">
        <v>0.99999993648430097</v>
      </c>
    </row>
    <row r="4962" spans="1:40" x14ac:dyDescent="0.25">
      <c r="A4962" t="str">
        <f>"20190304164225675"</f>
        <v>20190304164225675</v>
      </c>
      <c r="B4962" t="str">
        <f>"1551688945666023"</f>
        <v>1551688945666023</v>
      </c>
      <c r="C4962" t="s">
        <v>40</v>
      </c>
      <c r="D4962">
        <v>3.943581</v>
      </c>
      <c r="E4962">
        <v>0.20771419999999999</v>
      </c>
      <c r="F4962" t="s">
        <v>43</v>
      </c>
      <c r="G4962">
        <v>-337.88170000000002</v>
      </c>
      <c r="H4962">
        <v>-0.05</v>
      </c>
      <c r="I4962">
        <v>120.4539</v>
      </c>
      <c r="J4962">
        <v>-315.22739999999999</v>
      </c>
      <c r="K4962">
        <v>1.110188</v>
      </c>
      <c r="L4962">
        <v>141.3289</v>
      </c>
      <c r="M4962">
        <v>-0.99988429999999995</v>
      </c>
      <c r="N4962">
        <v>-1.517753E-2</v>
      </c>
      <c r="O4962">
        <v>1.1214650000000001E-3</v>
      </c>
      <c r="P4962">
        <v>-0.94230630000000004</v>
      </c>
      <c r="Q4962">
        <v>0.319499599999999</v>
      </c>
      <c r="R4962">
        <v>-9.9895579999999998E-2</v>
      </c>
      <c r="S4962">
        <v>-2.9534609999999999</v>
      </c>
      <c r="T4962">
        <v>-0.149618899999999</v>
      </c>
      <c r="U4962">
        <v>-2.6920470000000001</v>
      </c>
      <c r="V4962">
        <v>-0.1007941</v>
      </c>
      <c r="W4962">
        <v>0.33381070000000002</v>
      </c>
      <c r="X4962">
        <v>0.93723579999999995</v>
      </c>
      <c r="Y4962">
        <v>-0.67376669999999905</v>
      </c>
      <c r="Z4962">
        <v>-2.0416710000000001E-2</v>
      </c>
      <c r="AA4962">
        <v>0.73866209999999999</v>
      </c>
      <c r="AB4962">
        <v>41</v>
      </c>
      <c r="AC4962">
        <v>-22.654299999999999</v>
      </c>
      <c r="AD4962">
        <v>-1.160188</v>
      </c>
      <c r="AE4962">
        <v>-20.875</v>
      </c>
      <c r="AF4962">
        <v>-20.870792692264601</v>
      </c>
      <c r="AG4962">
        <v>-1.160188</v>
      </c>
      <c r="AH4962">
        <v>22.598818339262799</v>
      </c>
      <c r="AI4962">
        <v>92.159889715168205</v>
      </c>
      <c r="AJ4962">
        <v>132.7235482358</v>
      </c>
      <c r="AK4962">
        <v>30.783804412870001</v>
      </c>
      <c r="AL4962">
        <v>70.499766335032604</v>
      </c>
      <c r="AM4962">
        <v>96.138226335367406</v>
      </c>
      <c r="AN4962">
        <v>0.99999998941546997</v>
      </c>
    </row>
    <row r="4963" spans="1:40" x14ac:dyDescent="0.25">
      <c r="A4963" t="str">
        <f>"20190304164225692"</f>
        <v>20190304164225692</v>
      </c>
      <c r="B4963" t="str">
        <f>"1551688945686561"</f>
        <v>1551688945686561</v>
      </c>
      <c r="C4963" t="s">
        <v>40</v>
      </c>
      <c r="D4963">
        <v>3.9727480000000002</v>
      </c>
      <c r="E4963">
        <v>0.20853749999999999</v>
      </c>
      <c r="F4963" t="s">
        <v>43</v>
      </c>
      <c r="G4963">
        <v>-337.529</v>
      </c>
      <c r="H4963">
        <v>-0.05</v>
      </c>
      <c r="I4963">
        <v>120.9944</v>
      </c>
      <c r="J4963">
        <v>-315.51920000000001</v>
      </c>
      <c r="K4963">
        <v>1.1102110000000001</v>
      </c>
      <c r="L4963">
        <v>141.32919999999999</v>
      </c>
      <c r="M4963">
        <v>-0.99988440000000001</v>
      </c>
      <c r="N4963">
        <v>-1.5174139999999999E-2</v>
      </c>
      <c r="O4963">
        <v>1.164811E-3</v>
      </c>
      <c r="P4963">
        <v>-0.94248339999999997</v>
      </c>
      <c r="Q4963">
        <v>0.31783549999999999</v>
      </c>
      <c r="R4963">
        <v>-0.1034698</v>
      </c>
      <c r="S4963">
        <v>-2.9505309999999998</v>
      </c>
      <c r="T4963">
        <v>-0.15349499999999999</v>
      </c>
      <c r="U4963">
        <v>-2.6902919999999999</v>
      </c>
      <c r="V4963">
        <v>-0.1044321</v>
      </c>
      <c r="W4963">
        <v>0.33214080000000001</v>
      </c>
      <c r="X4963">
        <v>0.93743069999999895</v>
      </c>
      <c r="Y4963">
        <v>-0.67389219999999905</v>
      </c>
      <c r="Z4963">
        <v>-2.081117E-2</v>
      </c>
      <c r="AA4963">
        <v>0.73853659999999999</v>
      </c>
      <c r="AB4963">
        <v>41</v>
      </c>
      <c r="AC4963">
        <v>-22.009799999999899</v>
      </c>
      <c r="AD4963">
        <v>-1.1602110000000001</v>
      </c>
      <c r="AE4963">
        <v>-20.334799999999898</v>
      </c>
      <c r="AF4963">
        <v>-20.329949899393899</v>
      </c>
      <c r="AG4963">
        <v>-1.1602110000000001</v>
      </c>
      <c r="AH4963">
        <v>21.953186254072001</v>
      </c>
      <c r="AI4963">
        <v>92.220598810035298</v>
      </c>
      <c r="AJ4963">
        <v>132.80151256446999</v>
      </c>
      <c r="AK4963">
        <v>29.943201885943399</v>
      </c>
      <c r="AL4963">
        <v>70.601233958410603</v>
      </c>
      <c r="AM4963">
        <v>96.356681547555496</v>
      </c>
      <c r="AN4963">
        <v>0.99999994591876795</v>
      </c>
    </row>
    <row r="4964" spans="1:40" x14ac:dyDescent="0.25">
      <c r="A4964" t="str">
        <f>"20190304164225708"</f>
        <v>20190304164225708</v>
      </c>
      <c r="B4964" t="str">
        <f>"1551688945696322"</f>
        <v>1551688945696322</v>
      </c>
      <c r="C4964" t="s">
        <v>40</v>
      </c>
      <c r="D4964">
        <v>3.9823309999999998</v>
      </c>
      <c r="E4964">
        <v>0.2259082</v>
      </c>
      <c r="F4964" t="s">
        <v>43</v>
      </c>
      <c r="G4964">
        <v>-336.37880000000001</v>
      </c>
      <c r="H4964">
        <v>-0.05</v>
      </c>
      <c r="I4964">
        <v>122.2406</v>
      </c>
      <c r="J4964">
        <v>-315.78910000000002</v>
      </c>
      <c r="K4964">
        <v>1.110236</v>
      </c>
      <c r="L4964">
        <v>141.3295</v>
      </c>
      <c r="M4964">
        <v>-0.99988440000000001</v>
      </c>
      <c r="N4964">
        <v>-1.517101E-2</v>
      </c>
      <c r="O4964">
        <v>1.193936E-3</v>
      </c>
      <c r="P4964">
        <v>-0.94253819999999999</v>
      </c>
      <c r="Q4964">
        <v>0.3164517</v>
      </c>
      <c r="R4964">
        <v>-0.10714659999999999</v>
      </c>
      <c r="S4964">
        <v>-2.9426570000000001</v>
      </c>
      <c r="T4964">
        <v>-0.16367039999999999</v>
      </c>
      <c r="U4964">
        <v>-2.692825</v>
      </c>
      <c r="V4964">
        <v>-0.1081549</v>
      </c>
      <c r="W4964">
        <v>0.33075120000000002</v>
      </c>
      <c r="X4964">
        <v>0.9375</v>
      </c>
      <c r="Y4964">
        <v>-0.67515409999999998</v>
      </c>
      <c r="Z4964">
        <v>-2.187337E-2</v>
      </c>
      <c r="AA4964">
        <v>0.73735229999999996</v>
      </c>
      <c r="AB4964">
        <v>41</v>
      </c>
      <c r="AC4964">
        <v>-20.589700000000001</v>
      </c>
      <c r="AD4964">
        <v>-1.160236</v>
      </c>
      <c r="AE4964">
        <v>-19.088899999999899</v>
      </c>
      <c r="AF4964">
        <v>-19.080889251222601</v>
      </c>
      <c r="AG4964">
        <v>-1.160236</v>
      </c>
      <c r="AH4964">
        <v>20.531831383375401</v>
      </c>
      <c r="AI4964">
        <v>92.370338103976394</v>
      </c>
      <c r="AJ4964">
        <v>132.90229725767099</v>
      </c>
      <c r="AK4964">
        <v>28.053209836816801</v>
      </c>
      <c r="AL4964">
        <v>70.685624284589807</v>
      </c>
      <c r="AM4964">
        <v>96.580848356706596</v>
      </c>
      <c r="AN4964">
        <v>1.0000000443477199</v>
      </c>
    </row>
    <row r="4965" spans="1:40" x14ac:dyDescent="0.25">
      <c r="A4965" t="str">
        <f>"20190304164225735"</f>
        <v>20190304164225735</v>
      </c>
      <c r="B4965" t="str">
        <f>"1551688945725600"</f>
        <v>1551688945725600</v>
      </c>
      <c r="C4965" t="s">
        <v>40</v>
      </c>
      <c r="D4965">
        <v>4.00969</v>
      </c>
      <c r="E4965">
        <v>0.22972319999999999</v>
      </c>
      <c r="F4965" t="s">
        <v>42</v>
      </c>
      <c r="G4965">
        <v>-330.1771</v>
      </c>
      <c r="H4965">
        <v>7.9986370000000001E-2</v>
      </c>
      <c r="I4965">
        <v>128.85839999999999</v>
      </c>
      <c r="J4965">
        <v>-316.2998</v>
      </c>
      <c r="K4965">
        <v>1.110274</v>
      </c>
      <c r="L4965">
        <v>141.33009999999999</v>
      </c>
      <c r="M4965">
        <v>-0.9998842</v>
      </c>
      <c r="N4965">
        <v>-1.5165079999999999E-2</v>
      </c>
      <c r="O4965">
        <v>1.2231849999999999E-3</v>
      </c>
      <c r="P4965">
        <v>-0.94233</v>
      </c>
      <c r="Q4965">
        <v>0.31455909999999998</v>
      </c>
      <c r="R4965">
        <v>-0.1143079</v>
      </c>
      <c r="S4965">
        <v>-2.962189</v>
      </c>
      <c r="T4965">
        <v>-0.21210689999999999</v>
      </c>
      <c r="U4965">
        <v>-2.5675509999999999</v>
      </c>
      <c r="V4965">
        <v>-0.1153705</v>
      </c>
      <c r="W4965">
        <v>0.32884340000000001</v>
      </c>
      <c r="X4965">
        <v>0.93731089999999995</v>
      </c>
      <c r="Y4965">
        <v>-0.65462559999999903</v>
      </c>
      <c r="Z4965">
        <v>-2.5877589999999999E-2</v>
      </c>
      <c r="AA4965">
        <v>0.75551029999999997</v>
      </c>
      <c r="AB4965">
        <v>41</v>
      </c>
      <c r="AC4965">
        <v>-13.8772999999999</v>
      </c>
      <c r="AD4965">
        <v>-1.0302876299999999</v>
      </c>
      <c r="AE4965">
        <v>-12.471699999999901</v>
      </c>
      <c r="AF4965">
        <v>-12.450702562303199</v>
      </c>
      <c r="AG4965">
        <v>-1.0302876299999999</v>
      </c>
      <c r="AH4965">
        <v>13.819893177452199</v>
      </c>
      <c r="AI4965">
        <v>93.170250800037095</v>
      </c>
      <c r="AJ4965">
        <v>132.01651504047399</v>
      </c>
      <c r="AK4965">
        <v>18.629839890124298</v>
      </c>
      <c r="AL4965">
        <v>70.801410956155806</v>
      </c>
      <c r="AM4965">
        <v>97.017053227105706</v>
      </c>
      <c r="AN4965">
        <v>1.0000000286263</v>
      </c>
    </row>
    <row r="4966" spans="1:40" x14ac:dyDescent="0.25">
      <c r="A4966" t="str">
        <f>"20190304164225759"</f>
        <v>20190304164225759</v>
      </c>
      <c r="B4966" t="str">
        <f>"1551688945755857"</f>
        <v>1551688945755857</v>
      </c>
      <c r="C4966" t="s">
        <v>40</v>
      </c>
      <c r="D4966">
        <v>4.0076980000000004</v>
      </c>
      <c r="E4966">
        <v>0.2320789</v>
      </c>
      <c r="F4966" t="s">
        <v>42</v>
      </c>
      <c r="G4966">
        <v>-330.29450000000003</v>
      </c>
      <c r="H4966">
        <v>7.9986329999999994E-2</v>
      </c>
      <c r="I4966">
        <v>129.17359999999999</v>
      </c>
      <c r="J4966">
        <v>-316.72620000000001</v>
      </c>
      <c r="K4966">
        <v>1.11029</v>
      </c>
      <c r="L4966">
        <v>141.33070000000001</v>
      </c>
      <c r="M4966">
        <v>-0.99988440000000001</v>
      </c>
      <c r="N4966">
        <v>-1.5160140000000001E-2</v>
      </c>
      <c r="O4966">
        <v>1.231792E-3</v>
      </c>
      <c r="P4966">
        <v>-0.94227139999999998</v>
      </c>
      <c r="Q4966">
        <v>0.31204199999999999</v>
      </c>
      <c r="R4966">
        <v>-0.1214681</v>
      </c>
      <c r="S4966">
        <v>-2.9456180000000001</v>
      </c>
      <c r="T4966">
        <v>-0.2168561</v>
      </c>
      <c r="U4966">
        <v>-2.558716</v>
      </c>
      <c r="V4966">
        <v>-0.122555399999999</v>
      </c>
      <c r="W4966">
        <v>0.32631640000000001</v>
      </c>
      <c r="X4966">
        <v>0.93728210000000001</v>
      </c>
      <c r="Y4966">
        <v>-0.65537709999999905</v>
      </c>
      <c r="Z4966">
        <v>-2.6466420000000001E-2</v>
      </c>
      <c r="AA4966">
        <v>0.75483800000000001</v>
      </c>
      <c r="AB4966">
        <v>41</v>
      </c>
      <c r="AC4966">
        <v>-13.568300000000001</v>
      </c>
      <c r="AD4966">
        <v>-1.0303036699999999</v>
      </c>
      <c r="AE4966">
        <v>-12.1571</v>
      </c>
      <c r="AF4966">
        <v>-12.134993586774</v>
      </c>
      <c r="AG4966">
        <v>-1.0303036699999999</v>
      </c>
      <c r="AH4966">
        <v>13.510102401424399</v>
      </c>
      <c r="AI4966">
        <v>93.2472054993531</v>
      </c>
      <c r="AJ4966">
        <v>131.93069772174101</v>
      </c>
      <c r="AK4966">
        <v>18.1890753448446</v>
      </c>
      <c r="AL4966">
        <v>70.954651774924599</v>
      </c>
      <c r="AM4966">
        <v>97.4495122640147</v>
      </c>
      <c r="AN4966">
        <v>0.99999997697926402</v>
      </c>
    </row>
    <row r="4967" spans="1:40" x14ac:dyDescent="0.25">
      <c r="A4967" t="str">
        <f>"20190304164225781"</f>
        <v>20190304164225781</v>
      </c>
      <c r="B4967" t="str">
        <f>"1551688945776353"</f>
        <v>1551688945776353</v>
      </c>
      <c r="C4967" t="s">
        <v>40</v>
      </c>
      <c r="D4967">
        <v>4.026548</v>
      </c>
      <c r="E4967">
        <v>0.23416229999999999</v>
      </c>
      <c r="F4967" t="s">
        <v>42</v>
      </c>
      <c r="G4967">
        <v>-330.1388</v>
      </c>
      <c r="H4967">
        <v>7.1957590000000002E-2</v>
      </c>
      <c r="I4967">
        <v>129.59440000000001</v>
      </c>
      <c r="J4967">
        <v>-317.12860000000001</v>
      </c>
      <c r="K4967">
        <v>1.110285</v>
      </c>
      <c r="L4967">
        <v>141.33109999999999</v>
      </c>
      <c r="M4967">
        <v>-0.99988449999999995</v>
      </c>
      <c r="N4967">
        <v>-1.5155460000000001E-2</v>
      </c>
      <c r="O4967">
        <v>1.232866E-3</v>
      </c>
      <c r="P4967">
        <v>-0.94187030000000005</v>
      </c>
      <c r="Q4967">
        <v>0.30978109999999998</v>
      </c>
      <c r="R4967">
        <v>-0.13006280000000001</v>
      </c>
      <c r="S4967">
        <v>-2.928528</v>
      </c>
      <c r="T4967">
        <v>-0.22671079999999999</v>
      </c>
      <c r="U4967">
        <v>-2.5625149999999999</v>
      </c>
      <c r="V4967">
        <v>-0.13116329999999901</v>
      </c>
      <c r="W4967">
        <v>0.32404240000000001</v>
      </c>
      <c r="X4967">
        <v>0.93690589999999996</v>
      </c>
      <c r="Y4967">
        <v>-0.65798000000000001</v>
      </c>
      <c r="Z4967">
        <v>-2.7613519999999999E-2</v>
      </c>
      <c r="AA4967">
        <v>0.752529</v>
      </c>
      <c r="AB4967">
        <v>40</v>
      </c>
      <c r="AC4967">
        <v>-13.0101999999999</v>
      </c>
      <c r="AD4967">
        <v>-1.03832741</v>
      </c>
      <c r="AE4967">
        <v>-11.7366999999999</v>
      </c>
      <c r="AF4967">
        <v>-11.711605955368301</v>
      </c>
      <c r="AG4967">
        <v>-1.03832741</v>
      </c>
      <c r="AH4967">
        <v>12.9502422454455</v>
      </c>
      <c r="AI4967">
        <v>93.403204948635903</v>
      </c>
      <c r="AJ4967">
        <v>132.12474718655699</v>
      </c>
      <c r="AK4967">
        <v>17.4913867969323</v>
      </c>
      <c r="AL4967">
        <v>71.092430364434605</v>
      </c>
      <c r="AM4967">
        <v>97.9693989094214</v>
      </c>
      <c r="AN4967">
        <v>0.99999997685972897</v>
      </c>
    </row>
    <row r="4968" spans="1:40" x14ac:dyDescent="0.25">
      <c r="A4968" t="str">
        <f>"20190304164225803"</f>
        <v>20190304164225803</v>
      </c>
      <c r="B4968" t="str">
        <f>"1551688945796054"</f>
        <v>1551688945796054</v>
      </c>
      <c r="C4968" t="s">
        <v>40</v>
      </c>
      <c r="D4968">
        <v>4.0361859999999998</v>
      </c>
      <c r="E4968">
        <v>0.23685429999999999</v>
      </c>
      <c r="F4968" t="s">
        <v>42</v>
      </c>
      <c r="G4968">
        <v>-330.3784</v>
      </c>
      <c r="H4968">
        <v>2.7384329999999998E-2</v>
      </c>
      <c r="I4968">
        <v>129.6163</v>
      </c>
      <c r="J4968">
        <v>-317.5224</v>
      </c>
      <c r="K4968">
        <v>1.1102879999999999</v>
      </c>
      <c r="L4968">
        <v>141.33160000000001</v>
      </c>
      <c r="M4968">
        <v>-0.99988449999999995</v>
      </c>
      <c r="N4968">
        <v>-1.515085E-2</v>
      </c>
      <c r="O4968">
        <v>1.2316709999999999E-3</v>
      </c>
      <c r="P4968">
        <v>-0.94190390000000002</v>
      </c>
      <c r="Q4968">
        <v>0.30606409999999901</v>
      </c>
      <c r="R4968">
        <v>-0.138354799999999</v>
      </c>
      <c r="S4968">
        <v>-2.908264</v>
      </c>
      <c r="T4968">
        <v>-0.2376914</v>
      </c>
      <c r="U4968">
        <v>-2.5713349999999999</v>
      </c>
      <c r="V4968">
        <v>-0.13946410000000001</v>
      </c>
      <c r="W4968">
        <v>0.32031910000000002</v>
      </c>
      <c r="X4968">
        <v>0.93698749999999997</v>
      </c>
      <c r="Y4968">
        <v>-0.66169639999999996</v>
      </c>
      <c r="Z4968">
        <v>-2.89459E-2</v>
      </c>
      <c r="AA4968">
        <v>0.74921300000000002</v>
      </c>
      <c r="AB4968">
        <v>40</v>
      </c>
      <c r="AC4968">
        <v>-12.8559999999999</v>
      </c>
      <c r="AD4968">
        <v>-1.0829036700000001</v>
      </c>
      <c r="AE4968">
        <v>-11.715299999999999</v>
      </c>
      <c r="AF4968">
        <v>-11.6858294049253</v>
      </c>
      <c r="AG4968">
        <v>-1.0829036700000001</v>
      </c>
      <c r="AH4968">
        <v>12.791973552375699</v>
      </c>
      <c r="AI4968">
        <v>93.576411465172697</v>
      </c>
      <c r="AJ4968">
        <v>132.412582210587</v>
      </c>
      <c r="AK4968">
        <v>17.3598927590062</v>
      </c>
      <c r="AL4968">
        <v>71.317777526468703</v>
      </c>
      <c r="AM4968">
        <v>98.465926305697906</v>
      </c>
      <c r="AN4968">
        <v>1.0000000680849299</v>
      </c>
    </row>
    <row r="4969" spans="1:40" x14ac:dyDescent="0.25">
      <c r="A4969" t="str">
        <f>"20190304164225825"</f>
        <v>20190304164225825</v>
      </c>
      <c r="B4969" t="str">
        <f>"1551688945816550"</f>
        <v>1551688945816550</v>
      </c>
      <c r="C4969" t="s">
        <v>40</v>
      </c>
      <c r="D4969">
        <v>4.0332999999999997</v>
      </c>
      <c r="E4969">
        <v>0.25145250000000002</v>
      </c>
      <c r="F4969" t="s">
        <v>42</v>
      </c>
      <c r="G4969">
        <v>-330.0917</v>
      </c>
      <c r="H4969" s="1">
        <v>-6.3469430000000003E-6</v>
      </c>
      <c r="I4969">
        <v>130.12979999999999</v>
      </c>
      <c r="J4969">
        <v>-317.9255</v>
      </c>
      <c r="K4969">
        <v>1.1102829999999999</v>
      </c>
      <c r="L4969">
        <v>141.33199999999999</v>
      </c>
      <c r="M4969">
        <v>-0.99988460000000001</v>
      </c>
      <c r="N4969">
        <v>-1.5146150000000001E-2</v>
      </c>
      <c r="O4969">
        <v>1.2313949999999999E-3</v>
      </c>
      <c r="P4969">
        <v>-0.94166989999999995</v>
      </c>
      <c r="Q4969">
        <v>0.30384489999999997</v>
      </c>
      <c r="R4969">
        <v>-0.14469479999999901</v>
      </c>
      <c r="S4969">
        <v>-2.8896790000000001</v>
      </c>
      <c r="T4969">
        <v>-0.25525690000000001</v>
      </c>
      <c r="U4969">
        <v>-2.5752869999999999</v>
      </c>
      <c r="V4969">
        <v>-0.14581150000000001</v>
      </c>
      <c r="W4969">
        <v>0.31808950000000003</v>
      </c>
      <c r="X4969">
        <v>0.93678070000000002</v>
      </c>
      <c r="Y4969">
        <v>-0.66440999999999995</v>
      </c>
      <c r="Z4969">
        <v>-3.0901580000000001E-2</v>
      </c>
      <c r="AA4969">
        <v>0.74672930000000004</v>
      </c>
      <c r="AB4969">
        <v>40</v>
      </c>
      <c r="AC4969">
        <v>-12.1662</v>
      </c>
      <c r="AD4969">
        <v>-1.110289346943</v>
      </c>
      <c r="AE4969">
        <v>-11.202199999999999</v>
      </c>
      <c r="AF4969">
        <v>-11.166843524976199</v>
      </c>
      <c r="AG4969">
        <v>-1.110289346943</v>
      </c>
      <c r="AH4969">
        <v>12.0978674611299</v>
      </c>
      <c r="AI4969">
        <v>93.858083074461106</v>
      </c>
      <c r="AJ4969">
        <v>132.70831914048199</v>
      </c>
      <c r="AK4969">
        <v>16.501197952036801</v>
      </c>
      <c r="AL4969">
        <v>71.452574812346896</v>
      </c>
      <c r="AM4969">
        <v>98.847192499010106</v>
      </c>
      <c r="AN4969">
        <v>1.0000000017174899</v>
      </c>
    </row>
    <row r="4970" spans="1:40" x14ac:dyDescent="0.25">
      <c r="A4970" t="str">
        <f>"20190304164225848"</f>
        <v>20190304164225848</v>
      </c>
      <c r="B4970" t="str">
        <f>"1551688945836070"</f>
        <v>1551688945836070</v>
      </c>
      <c r="C4970" t="s">
        <v>40</v>
      </c>
      <c r="D4970">
        <v>4.0142870000000004</v>
      </c>
      <c r="E4970">
        <v>0.25421439999999901</v>
      </c>
      <c r="F4970" t="s">
        <v>42</v>
      </c>
      <c r="G4970">
        <v>-330.89490000000001</v>
      </c>
      <c r="H4970" s="1">
        <v>-5.9894359999999898E-6</v>
      </c>
      <c r="I4970">
        <v>130.18770000000001</v>
      </c>
      <c r="J4970">
        <v>-318.32810000000001</v>
      </c>
      <c r="K4970">
        <v>1.110282</v>
      </c>
      <c r="L4970">
        <v>141.33250000000001</v>
      </c>
      <c r="M4970">
        <v>-0.99988460000000001</v>
      </c>
      <c r="N4970">
        <v>-1.5141440000000001E-2</v>
      </c>
      <c r="O4970">
        <v>1.2321019999999999E-3</v>
      </c>
      <c r="P4970">
        <v>-0.94153790000000004</v>
      </c>
      <c r="Q4970">
        <v>0.301288</v>
      </c>
      <c r="R4970">
        <v>-0.15077109999999999</v>
      </c>
      <c r="S4970">
        <v>-2.8846440000000002</v>
      </c>
      <c r="T4970">
        <v>-0.24695010000000001</v>
      </c>
      <c r="U4970">
        <v>-2.478729</v>
      </c>
      <c r="V4970">
        <v>-0.151896</v>
      </c>
      <c r="W4970">
        <v>0.31552370000000002</v>
      </c>
      <c r="X4970">
        <v>0.9366816</v>
      </c>
      <c r="Y4970">
        <v>-0.65091399999999999</v>
      </c>
      <c r="Z4970">
        <v>-2.9692590000000001E-2</v>
      </c>
      <c r="AA4970">
        <v>0.75857059999999998</v>
      </c>
      <c r="AB4970">
        <v>40</v>
      </c>
      <c r="AC4970">
        <v>-12.566800000000001</v>
      </c>
      <c r="AD4970">
        <v>-1.110287989436</v>
      </c>
      <c r="AE4970">
        <v>-11.1448</v>
      </c>
      <c r="AF4970">
        <v>-11.111725473712699</v>
      </c>
      <c r="AG4970">
        <v>-1.110287989436</v>
      </c>
      <c r="AH4970">
        <v>12.498446813646</v>
      </c>
      <c r="AI4970">
        <v>93.798301689121999</v>
      </c>
      <c r="AJ4970">
        <v>131.638647751165</v>
      </c>
      <c r="AK4970">
        <v>16.7604998486376</v>
      </c>
      <c r="AL4970">
        <v>71.607568217265296</v>
      </c>
      <c r="AM4970">
        <v>99.211127058046003</v>
      </c>
      <c r="AN4970">
        <v>1.0000000099281201</v>
      </c>
    </row>
    <row r="4971" spans="1:40" x14ac:dyDescent="0.25">
      <c r="A4971" t="str">
        <f>"20190304164225870"</f>
        <v>20190304164225870</v>
      </c>
      <c r="B4971" t="str">
        <f>"1551688945866326"</f>
        <v>1551688945866326</v>
      </c>
      <c r="C4971" t="s">
        <v>40</v>
      </c>
      <c r="D4971">
        <v>4.029191</v>
      </c>
      <c r="E4971">
        <v>0.25714209999999998</v>
      </c>
      <c r="F4971" t="s">
        <v>42</v>
      </c>
      <c r="G4971">
        <v>-330.96010000000001</v>
      </c>
      <c r="H4971" s="1">
        <v>-5.8960019999999996E-6</v>
      </c>
      <c r="I4971">
        <v>130.44479999999999</v>
      </c>
      <c r="J4971">
        <v>-318.72449999999998</v>
      </c>
      <c r="K4971">
        <v>1.1102780000000001</v>
      </c>
      <c r="L4971">
        <v>141.333</v>
      </c>
      <c r="M4971">
        <v>-0.99988480000000002</v>
      </c>
      <c r="N4971">
        <v>-1.513688E-2</v>
      </c>
      <c r="O4971">
        <v>1.2334959999999999E-3</v>
      </c>
      <c r="P4971">
        <v>-0.94147539999999996</v>
      </c>
      <c r="Q4971">
        <v>0.29856890000000003</v>
      </c>
      <c r="R4971">
        <v>-0.15646409999999999</v>
      </c>
      <c r="S4971">
        <v>-2.8707889999999998</v>
      </c>
      <c r="T4971">
        <v>-0.252328</v>
      </c>
      <c r="U4971">
        <v>-2.47438</v>
      </c>
      <c r="V4971">
        <v>-0.15759609999999999</v>
      </c>
      <c r="W4971">
        <v>0.31279759999999901</v>
      </c>
      <c r="X4971">
        <v>0.93665419999999999</v>
      </c>
      <c r="Y4971">
        <v>-0.65197709999999998</v>
      </c>
      <c r="Z4971">
        <v>-3.0367580000000002E-2</v>
      </c>
      <c r="AA4971">
        <v>0.75763029999999998</v>
      </c>
      <c r="AB4971">
        <v>40</v>
      </c>
      <c r="AC4971">
        <v>-12.2356</v>
      </c>
      <c r="AD4971">
        <v>-1.1102838960020001</v>
      </c>
      <c r="AE4971">
        <v>-10.888199999999999</v>
      </c>
      <c r="AF4971">
        <v>-10.8534120394733</v>
      </c>
      <c r="AG4971">
        <v>-1.1102838960020001</v>
      </c>
      <c r="AH4971">
        <v>12.1662518290146</v>
      </c>
      <c r="AI4971">
        <v>93.895807988690507</v>
      </c>
      <c r="AJ4971">
        <v>131.73588695384899</v>
      </c>
      <c r="AK4971">
        <v>16.341571735769701</v>
      </c>
      <c r="AL4971">
        <v>71.772091619147304</v>
      </c>
      <c r="AM4971">
        <v>99.550805734121596</v>
      </c>
      <c r="AN4971">
        <v>0.999999979839304</v>
      </c>
    </row>
    <row r="4972" spans="1:40" x14ac:dyDescent="0.25">
      <c r="A4972" t="str">
        <f>"20190304164225892"</f>
        <v>20190304164225892</v>
      </c>
      <c r="B4972" t="str">
        <f>"1551688945885845"</f>
        <v>1551688945885845</v>
      </c>
      <c r="C4972" t="s">
        <v>40</v>
      </c>
      <c r="D4972">
        <v>4.0454829999999999</v>
      </c>
      <c r="E4972">
        <v>0.26909529999999998</v>
      </c>
      <c r="F4972" t="s">
        <v>42</v>
      </c>
      <c r="G4972">
        <v>-330.8605</v>
      </c>
      <c r="H4972" s="1">
        <v>-5.8531410000000004E-6</v>
      </c>
      <c r="I4972">
        <v>130.8648</v>
      </c>
      <c r="J4972">
        <v>-319.13170000000002</v>
      </c>
      <c r="K4972">
        <v>1.110282</v>
      </c>
      <c r="L4972">
        <v>141.33349999999999</v>
      </c>
      <c r="M4972">
        <v>-0.99988469999999996</v>
      </c>
      <c r="N4972">
        <v>-1.513216E-2</v>
      </c>
      <c r="O4972">
        <v>1.235276E-3</v>
      </c>
      <c r="P4972">
        <v>-0.94120340000000002</v>
      </c>
      <c r="Q4972">
        <v>0.29802650000000003</v>
      </c>
      <c r="R4972">
        <v>-0.15911120000000001</v>
      </c>
      <c r="S4972">
        <v>-2.8595579999999998</v>
      </c>
      <c r="T4972">
        <v>-0.26161250000000003</v>
      </c>
      <c r="U4972">
        <v>-2.466599</v>
      </c>
      <c r="V4972">
        <v>-0.160248799999999</v>
      </c>
      <c r="W4972">
        <v>0.31224459999999998</v>
      </c>
      <c r="X4972">
        <v>0.93638860000000002</v>
      </c>
      <c r="Y4972">
        <v>-0.65213140000000003</v>
      </c>
      <c r="Z4972">
        <v>-3.1379089999999998E-2</v>
      </c>
      <c r="AA4972">
        <v>0.75745620000000002</v>
      </c>
      <c r="AB4972">
        <v>40</v>
      </c>
      <c r="AC4972">
        <v>-11.7287999999999</v>
      </c>
      <c r="AD4972">
        <v>-1.1102878531409901</v>
      </c>
      <c r="AE4972">
        <v>-10.468699999999901</v>
      </c>
      <c r="AF4972">
        <v>-10.431155051589201</v>
      </c>
      <c r="AG4972">
        <v>-1.1102878531409901</v>
      </c>
      <c r="AH4972">
        <v>11.6577132699832</v>
      </c>
      <c r="AI4972">
        <v>94.059789931756399</v>
      </c>
      <c r="AJ4972">
        <v>131.821724348537</v>
      </c>
      <c r="AK4972">
        <v>15.682602255756899</v>
      </c>
      <c r="AL4972">
        <v>71.805447102304996</v>
      </c>
      <c r="AM4972">
        <v>99.711233802161104</v>
      </c>
      <c r="AN4972">
        <v>0.99999998917027899</v>
      </c>
    </row>
    <row r="4973" spans="1:40" x14ac:dyDescent="0.25">
      <c r="A4973" t="str">
        <f>"20190304164225914"</f>
        <v>20190304164225914</v>
      </c>
      <c r="B4973" t="str">
        <f>"1551688945906342"</f>
        <v>1551688945906342</v>
      </c>
      <c r="C4973" t="s">
        <v>40</v>
      </c>
      <c r="D4973">
        <v>4.0603740000000004</v>
      </c>
      <c r="E4973">
        <v>0.27039099999999999</v>
      </c>
      <c r="F4973" t="s">
        <v>42</v>
      </c>
      <c r="G4973">
        <v>-330.66860000000003</v>
      </c>
      <c r="H4973" s="1">
        <v>-5.78217099999999E-6</v>
      </c>
      <c r="I4973">
        <v>131.77629999999999</v>
      </c>
      <c r="J4973">
        <v>-319.51369999999997</v>
      </c>
      <c r="K4973">
        <v>1.1102890000000001</v>
      </c>
      <c r="L4973">
        <v>141.334</v>
      </c>
      <c r="M4973">
        <v>-0.99988480000000002</v>
      </c>
      <c r="N4973">
        <v>-1.51278E-2</v>
      </c>
      <c r="O4973">
        <v>1.236607E-3</v>
      </c>
      <c r="P4973">
        <v>-0.94071720000000003</v>
      </c>
      <c r="Q4973">
        <v>0.29918230000000001</v>
      </c>
      <c r="R4973">
        <v>-0.1598166</v>
      </c>
      <c r="S4973">
        <v>-2.87262</v>
      </c>
      <c r="T4973">
        <v>-0.27645579999999997</v>
      </c>
      <c r="U4973">
        <v>-2.3796840000000001</v>
      </c>
      <c r="V4973">
        <v>-0.16095789999999999</v>
      </c>
      <c r="W4973">
        <v>0.31338719999999998</v>
      </c>
      <c r="X4973">
        <v>0.93588510000000003</v>
      </c>
      <c r="Y4973">
        <v>-0.63673009999999997</v>
      </c>
      <c r="Z4973">
        <v>-3.2155419999999997E-2</v>
      </c>
      <c r="AA4973">
        <v>0.77041610000000005</v>
      </c>
      <c r="AB4973">
        <v>40</v>
      </c>
      <c r="AC4973">
        <v>-11.1549</v>
      </c>
      <c r="AD4973">
        <v>-1.1102947821710001</v>
      </c>
      <c r="AE4973">
        <v>-9.5577000000000094</v>
      </c>
      <c r="AF4973">
        <v>-9.5171174151749405</v>
      </c>
      <c r="AG4973">
        <v>-1.1102947821710001</v>
      </c>
      <c r="AH4973">
        <v>11.079772502140599</v>
      </c>
      <c r="AI4973">
        <v>94.347038946894699</v>
      </c>
      <c r="AJ4973">
        <v>130.661367000182</v>
      </c>
      <c r="AK4973">
        <v>14.6481956942394</v>
      </c>
      <c r="AL4973">
        <v>71.736521128748194</v>
      </c>
      <c r="AM4973">
        <v>99.7585287492536</v>
      </c>
      <c r="AN4973">
        <v>0.99999995154912802</v>
      </c>
    </row>
    <row r="4974" spans="1:40" x14ac:dyDescent="0.25">
      <c r="A4974" t="str">
        <f>"20190304164225936"</f>
        <v>20190304164225936</v>
      </c>
      <c r="B4974" t="str">
        <f>"1551688945925862"</f>
        <v>1551688945925862</v>
      </c>
      <c r="C4974" t="s">
        <v>40</v>
      </c>
      <c r="D4974">
        <v>4.0591900000000001</v>
      </c>
      <c r="E4974">
        <v>0.27255849999999998</v>
      </c>
      <c r="F4974" t="s">
        <v>42</v>
      </c>
      <c r="G4974">
        <v>-331.30500000000001</v>
      </c>
      <c r="H4974" s="1">
        <v>-5.5112059999999996E-6</v>
      </c>
      <c r="I4974">
        <v>131.608</v>
      </c>
      <c r="J4974">
        <v>-319.91669999999999</v>
      </c>
      <c r="K4974">
        <v>1.1102879999999999</v>
      </c>
      <c r="L4974">
        <v>141.33449999999999</v>
      </c>
      <c r="M4974">
        <v>-0.99988500000000002</v>
      </c>
      <c r="N4974">
        <v>-1.512321E-2</v>
      </c>
      <c r="O4974">
        <v>1.237419E-3</v>
      </c>
      <c r="P4974">
        <v>-0.94055250000000001</v>
      </c>
      <c r="Q4974">
        <v>0.30009400000000003</v>
      </c>
      <c r="R4974">
        <v>-0.1590762</v>
      </c>
      <c r="S4974">
        <v>-2.872528</v>
      </c>
      <c r="T4974">
        <v>-0.27048489999999997</v>
      </c>
      <c r="U4974">
        <v>-2.3694000000000002</v>
      </c>
      <c r="V4974">
        <v>-0.16022020000000001</v>
      </c>
      <c r="W4974">
        <v>0.3142914</v>
      </c>
      <c r="X4974">
        <v>0.93570850000000005</v>
      </c>
      <c r="Y4974">
        <v>-0.63518739999999996</v>
      </c>
      <c r="Z4974">
        <v>-3.1524150000000001E-2</v>
      </c>
      <c r="AA4974">
        <v>0.77171449999999997</v>
      </c>
      <c r="AB4974">
        <v>40</v>
      </c>
      <c r="AC4974">
        <v>-11.388299999999999</v>
      </c>
      <c r="AD4974">
        <v>-1.110293511206</v>
      </c>
      <c r="AE4974">
        <v>-9.7264999999999802</v>
      </c>
      <c r="AF4974">
        <v>-9.6873442326497408</v>
      </c>
      <c r="AG4974">
        <v>-1.110293511206</v>
      </c>
      <c r="AH4974">
        <v>11.314071562471501</v>
      </c>
      <c r="AI4974">
        <v>94.263099330949203</v>
      </c>
      <c r="AJ4974">
        <v>130.570828254807</v>
      </c>
      <c r="AK4974">
        <v>14.9360505249414</v>
      </c>
      <c r="AL4974">
        <v>71.681958371852502</v>
      </c>
      <c r="AM4974">
        <v>99.716456298836704</v>
      </c>
      <c r="AN4974">
        <v>0.99999999678712503</v>
      </c>
    </row>
    <row r="4975" spans="1:40" x14ac:dyDescent="0.25">
      <c r="A4975" t="str">
        <f>"20190304164225960"</f>
        <v>20190304164225960</v>
      </c>
      <c r="B4975" t="str">
        <f>"1551688945956118"</f>
        <v>1551688945956118</v>
      </c>
      <c r="C4975" t="s">
        <v>40</v>
      </c>
      <c r="D4975">
        <v>4.0484660000000003</v>
      </c>
      <c r="E4975">
        <v>0.27438800000000002</v>
      </c>
      <c r="F4975" t="s">
        <v>42</v>
      </c>
      <c r="G4975">
        <v>-331.7833</v>
      </c>
      <c r="H4975" s="1">
        <v>-5.277826E-6</v>
      </c>
      <c r="I4975">
        <v>131.6489</v>
      </c>
      <c r="J4975">
        <v>-320.34100000000001</v>
      </c>
      <c r="K4975">
        <v>1.11029</v>
      </c>
      <c r="L4975">
        <v>141.33500000000001</v>
      </c>
      <c r="M4975">
        <v>-0.99988500000000002</v>
      </c>
      <c r="N4975">
        <v>-1.5118319999999999E-2</v>
      </c>
      <c r="O4975">
        <v>1.237948E-3</v>
      </c>
      <c r="P4975">
        <v>-0.94084780000000001</v>
      </c>
      <c r="Q4975">
        <v>0.30051290000000003</v>
      </c>
      <c r="R4975">
        <v>-0.1565175</v>
      </c>
      <c r="S4975">
        <v>-2.8782040000000002</v>
      </c>
      <c r="T4975">
        <v>-0.2692968</v>
      </c>
      <c r="U4975">
        <v>-2.3491970000000002</v>
      </c>
      <c r="V4975">
        <v>-0.1576641</v>
      </c>
      <c r="W4975">
        <v>0.31470870000000001</v>
      </c>
      <c r="X4975">
        <v>0.93600240000000001</v>
      </c>
      <c r="Y4975">
        <v>-0.63121919999999898</v>
      </c>
      <c r="Z4975">
        <v>-3.1213049999999999E-2</v>
      </c>
      <c r="AA4975">
        <v>0.77497609999999995</v>
      </c>
      <c r="AB4975">
        <v>40</v>
      </c>
      <c r="AC4975">
        <v>-11.4422999999999</v>
      </c>
      <c r="AD4975">
        <v>-1.110295277826</v>
      </c>
      <c r="AE4975">
        <v>-9.6861000000000104</v>
      </c>
      <c r="AF4975">
        <v>-9.6473426506783007</v>
      </c>
      <c r="AG4975">
        <v>-1.110295277826</v>
      </c>
      <c r="AH4975">
        <v>11.367944802977499</v>
      </c>
      <c r="AI4975">
        <v>94.258818940462405</v>
      </c>
      <c r="AJ4975">
        <v>130.31941473499899</v>
      </c>
      <c r="AK4975">
        <v>14.951058319299699</v>
      </c>
      <c r="AL4975">
        <v>71.656771077534302</v>
      </c>
      <c r="AM4975">
        <v>99.561381648274605</v>
      </c>
      <c r="AN4975">
        <v>1.0000000135451299</v>
      </c>
    </row>
    <row r="4976" spans="1:40" x14ac:dyDescent="0.25">
      <c r="A4976" t="str">
        <f>"20190304164225983"</f>
        <v>20190304164225983</v>
      </c>
      <c r="B4976" t="str">
        <f>"1551688945975638"</f>
        <v>1551688945975638</v>
      </c>
      <c r="C4976" t="s">
        <v>40</v>
      </c>
      <c r="D4976">
        <v>4.0521669999999999</v>
      </c>
      <c r="E4976">
        <v>0.27582200000000001</v>
      </c>
      <c r="F4976" t="s">
        <v>41</v>
      </c>
      <c r="G4976">
        <v>-321.06959999999998</v>
      </c>
      <c r="H4976">
        <v>1.04375</v>
      </c>
      <c r="I4976">
        <v>140.74780000000001</v>
      </c>
      <c r="J4976">
        <v>-320.74</v>
      </c>
      <c r="K4976">
        <v>1.1103019999999999</v>
      </c>
      <c r="L4976">
        <v>141.3355</v>
      </c>
      <c r="M4976">
        <v>-0.99988509999999997</v>
      </c>
      <c r="N4976">
        <v>-1.511376E-2</v>
      </c>
      <c r="O4976">
        <v>1.2382490000000001E-3</v>
      </c>
      <c r="P4976">
        <v>-0.94162539999999995</v>
      </c>
      <c r="Q4976">
        <v>0.30030859999999998</v>
      </c>
      <c r="R4976">
        <v>-0.15217339999999999</v>
      </c>
      <c r="S4976">
        <v>-2.885834</v>
      </c>
      <c r="T4976">
        <v>-0.26351449999999998</v>
      </c>
      <c r="U4976">
        <v>-2.3258510000000001</v>
      </c>
      <c r="V4976">
        <v>-0.15332270000000001</v>
      </c>
      <c r="W4976">
        <v>0.31451089999999998</v>
      </c>
      <c r="X4976">
        <v>0.93678980000000001</v>
      </c>
      <c r="Y4976">
        <v>-0.62650969999999995</v>
      </c>
      <c r="Z4976">
        <v>-3.0422290000000001E-2</v>
      </c>
      <c r="AA4976">
        <v>0.77881959999999995</v>
      </c>
      <c r="AB4976">
        <v>40</v>
      </c>
      <c r="AC4976">
        <v>-0.32959999999996997</v>
      </c>
      <c r="AD4976">
        <v>-6.6552000000000097E-2</v>
      </c>
      <c r="AE4976">
        <v>-0.58769999999998301</v>
      </c>
      <c r="AF4976">
        <v>-0.58242598932313305</v>
      </c>
      <c r="AG4976">
        <v>-6.6552000000000097E-2</v>
      </c>
      <c r="AH4976">
        <v>0.32569469954152902</v>
      </c>
      <c r="AI4976">
        <v>95.695411176273197</v>
      </c>
      <c r="AJ4976">
        <v>150.78592311265101</v>
      </c>
      <c r="AK4976">
        <v>0.67061631284399703</v>
      </c>
      <c r="AL4976">
        <v>71.668711009541994</v>
      </c>
      <c r="AM4976">
        <v>99.295085089525003</v>
      </c>
      <c r="AN4976">
        <v>1.0000000429690601</v>
      </c>
    </row>
    <row r="4977" spans="1:40" x14ac:dyDescent="0.25">
      <c r="A4977" t="str">
        <f>"20190304164226003"</f>
        <v>20190304164226003</v>
      </c>
      <c r="B4977" t="str">
        <f>"1551688945996134"</f>
        <v>1551688945996134</v>
      </c>
      <c r="C4977" t="s">
        <v>40</v>
      </c>
      <c r="D4977">
        <v>4.0495919999999996</v>
      </c>
      <c r="E4977">
        <v>0.27652710000000003</v>
      </c>
      <c r="F4977" t="s">
        <v>42</v>
      </c>
      <c r="G4977">
        <v>-332.9126</v>
      </c>
      <c r="H4977" s="1">
        <v>-4.8192210000000003E-6</v>
      </c>
      <c r="I4977">
        <v>131.67359999999999</v>
      </c>
      <c r="J4977">
        <v>-321.1268</v>
      </c>
      <c r="K4977">
        <v>1.110309</v>
      </c>
      <c r="L4977">
        <v>141.33600000000001</v>
      </c>
      <c r="M4977">
        <v>-0.99988509999999997</v>
      </c>
      <c r="N4977">
        <v>-1.5109330000000001E-2</v>
      </c>
      <c r="O4977">
        <v>1.2386159999999999E-3</v>
      </c>
      <c r="P4977">
        <v>-0.94223760000000001</v>
      </c>
      <c r="Q4977">
        <v>0.30081079999999999</v>
      </c>
      <c r="R4977">
        <v>-0.14731329999999901</v>
      </c>
      <c r="S4977">
        <v>-2.8985289999999999</v>
      </c>
      <c r="T4977">
        <v>-0.26438430000000002</v>
      </c>
      <c r="U4977">
        <v>-2.3006739999999999</v>
      </c>
      <c r="V4977">
        <v>-0.1484647</v>
      </c>
      <c r="W4977">
        <v>0.31501780000000001</v>
      </c>
      <c r="X4977">
        <v>0.9374017</v>
      </c>
      <c r="Y4977">
        <v>-0.62070019999999904</v>
      </c>
      <c r="Z4977">
        <v>-3.01815E-2</v>
      </c>
      <c r="AA4977">
        <v>0.78346689999999997</v>
      </c>
      <c r="AB4977">
        <v>40</v>
      </c>
      <c r="AC4977">
        <v>-11.785799999999901</v>
      </c>
      <c r="AD4977">
        <v>-1.110313819221</v>
      </c>
      <c r="AE4977">
        <v>-9.6624000000000194</v>
      </c>
      <c r="AF4977">
        <v>-9.6259012303472495</v>
      </c>
      <c r="AG4977">
        <v>-1.110313819221</v>
      </c>
      <c r="AH4977">
        <v>11.711659966914899</v>
      </c>
      <c r="AI4977">
        <v>94.188888722585403</v>
      </c>
      <c r="AJ4977">
        <v>129.41704194272901</v>
      </c>
      <c r="AK4977">
        <v>15.2004523108423</v>
      </c>
      <c r="AL4977">
        <v>71.638110954643906</v>
      </c>
      <c r="AM4977">
        <v>98.999693305866899</v>
      </c>
      <c r="AN4977">
        <v>0.99999996431290905</v>
      </c>
    </row>
    <row r="4978" spans="1:40" x14ac:dyDescent="0.25">
      <c r="A4978" t="str">
        <f>"20190304164226026"</f>
        <v>20190304164226026</v>
      </c>
      <c r="B4978" t="str">
        <f>"1551688946015654"</f>
        <v>1551688946015654</v>
      </c>
      <c r="C4978" t="s">
        <v>40</v>
      </c>
      <c r="D4978">
        <v>4.0389910000000002</v>
      </c>
      <c r="E4978">
        <v>0.27668730000000002</v>
      </c>
      <c r="F4978" t="s">
        <v>42</v>
      </c>
      <c r="G4978">
        <v>-333.44779999999997</v>
      </c>
      <c r="H4978" s="1">
        <v>-4.6102899999999999E-6</v>
      </c>
      <c r="I4978">
        <v>131.6866</v>
      </c>
      <c r="J4978">
        <v>-321.5147</v>
      </c>
      <c r="K4978">
        <v>1.110312</v>
      </c>
      <c r="L4978">
        <v>141.3365</v>
      </c>
      <c r="M4978">
        <v>-0.99988529999999998</v>
      </c>
      <c r="N4978">
        <v>-1.5104899999999999E-2</v>
      </c>
      <c r="O4978">
        <v>1.238809E-3</v>
      </c>
      <c r="P4978">
        <v>-0.94303669999999995</v>
      </c>
      <c r="Q4978">
        <v>0.3005623</v>
      </c>
      <c r="R4978">
        <v>-0.14263480000000001</v>
      </c>
      <c r="S4978">
        <v>-2.9111940000000001</v>
      </c>
      <c r="T4978">
        <v>-0.26234439999999998</v>
      </c>
      <c r="U4978">
        <v>-2.2799680000000002</v>
      </c>
      <c r="V4978">
        <v>-0.14378829999999901</v>
      </c>
      <c r="W4978">
        <v>0.31477660000000002</v>
      </c>
      <c r="X4978">
        <v>0.93821140000000003</v>
      </c>
      <c r="Y4978">
        <v>-0.61563059999999903</v>
      </c>
      <c r="Z4978">
        <v>-2.9695650000000001E-2</v>
      </c>
      <c r="AA4978">
        <v>0.78747509999999998</v>
      </c>
      <c r="AB4978">
        <v>40</v>
      </c>
      <c r="AC4978">
        <v>-11.9330999999999</v>
      </c>
      <c r="AD4978">
        <v>-1.11031661029</v>
      </c>
      <c r="AE4978">
        <v>-9.6499000000000006</v>
      </c>
      <c r="AF4978">
        <v>-9.6143517474918205</v>
      </c>
      <c r="AG4978">
        <v>-1.11031661029</v>
      </c>
      <c r="AH4978">
        <v>11.8590600329598</v>
      </c>
      <c r="AI4978">
        <v>94.159675622134401</v>
      </c>
      <c r="AJ4978">
        <v>129.032299430688</v>
      </c>
      <c r="AK4978">
        <v>15.307052863465501</v>
      </c>
      <c r="AL4978">
        <v>71.652672264251294</v>
      </c>
      <c r="AM4978">
        <v>98.713233654099895</v>
      </c>
      <c r="AN4978">
        <v>1.0000000071071999</v>
      </c>
    </row>
    <row r="4979" spans="1:40" x14ac:dyDescent="0.25">
      <c r="A4979" t="str">
        <f>"20190304164226048"</f>
        <v>20190304164226048</v>
      </c>
      <c r="B4979" t="str">
        <f>"1551688946036150"</f>
        <v>1551688946036150</v>
      </c>
      <c r="C4979" t="s">
        <v>40</v>
      </c>
      <c r="D4979">
        <v>4.0160999999999998</v>
      </c>
      <c r="E4979">
        <v>0.276364099999999</v>
      </c>
      <c r="F4979" t="s">
        <v>42</v>
      </c>
      <c r="G4979">
        <v>-333.89960000000002</v>
      </c>
      <c r="H4979" s="1">
        <v>-4.4221420000000003E-6</v>
      </c>
      <c r="I4979">
        <v>131.74160000000001</v>
      </c>
      <c r="J4979">
        <v>-321.91180000000003</v>
      </c>
      <c r="K4979">
        <v>1.1103050000000001</v>
      </c>
      <c r="L4979">
        <v>141.33699999999999</v>
      </c>
      <c r="M4979">
        <v>-0.99988520000000003</v>
      </c>
      <c r="N4979">
        <v>-1.510046E-2</v>
      </c>
      <c r="O4979">
        <v>1.239303E-3</v>
      </c>
      <c r="P4979">
        <v>-0.94398490000000002</v>
      </c>
      <c r="Q4979">
        <v>0.30028159999999998</v>
      </c>
      <c r="R4979">
        <v>-0.13683339999999999</v>
      </c>
      <c r="S4979">
        <v>-2.922272</v>
      </c>
      <c r="T4979">
        <v>-0.26198480000000002</v>
      </c>
      <c r="U4979">
        <v>-2.2639770000000001</v>
      </c>
      <c r="V4979">
        <v>-0.13798949999999999</v>
      </c>
      <c r="W4979">
        <v>0.31450539999999999</v>
      </c>
      <c r="X4979">
        <v>0.93917260000000002</v>
      </c>
      <c r="Y4979">
        <v>-0.6115081</v>
      </c>
      <c r="Z4979">
        <v>-2.9416589999999999E-2</v>
      </c>
      <c r="AA4979">
        <v>0.79069109999999998</v>
      </c>
      <c r="AB4979">
        <v>40</v>
      </c>
      <c r="AC4979">
        <v>-11.987799999999901</v>
      </c>
      <c r="AD4979">
        <v>-1.11030942214199</v>
      </c>
      <c r="AE4979">
        <v>-9.5954000000000104</v>
      </c>
      <c r="AF4979">
        <v>-9.5602643394825204</v>
      </c>
      <c r="AG4979">
        <v>-1.11030942214199</v>
      </c>
      <c r="AH4979">
        <v>11.913606714055099</v>
      </c>
      <c r="AI4979">
        <v>94.157342169724501</v>
      </c>
      <c r="AJ4979">
        <v>128.74585800697801</v>
      </c>
      <c r="AK4979">
        <v>15.3155302288513</v>
      </c>
      <c r="AL4979">
        <v>71.669041419963705</v>
      </c>
      <c r="AM4979">
        <v>98.358474268452895</v>
      </c>
      <c r="AN4979">
        <v>0.99999996066508401</v>
      </c>
    </row>
    <row r="4980" spans="1:40" x14ac:dyDescent="0.25">
      <c r="A4980" t="str">
        <f>"20190304164226072"</f>
        <v>20190304164226072</v>
      </c>
      <c r="B4980" t="str">
        <f>"1551688946066407"</f>
        <v>1551688946066407</v>
      </c>
      <c r="C4980" t="s">
        <v>40</v>
      </c>
      <c r="D4980">
        <v>4.0091999999999999</v>
      </c>
      <c r="E4980">
        <v>0.27555429999999997</v>
      </c>
      <c r="F4980" t="s">
        <v>42</v>
      </c>
      <c r="G4980">
        <v>-334.4058</v>
      </c>
      <c r="H4980" s="1">
        <v>-4.2205529999999996E-6</v>
      </c>
      <c r="I4980">
        <v>131.76859999999999</v>
      </c>
      <c r="J4980">
        <v>-322.3297</v>
      </c>
      <c r="K4980">
        <v>1.110301</v>
      </c>
      <c r="L4980">
        <v>141.33760000000001</v>
      </c>
      <c r="M4980">
        <v>-0.99988529999999998</v>
      </c>
      <c r="N4980">
        <v>-1.5095809999999999E-2</v>
      </c>
      <c r="O4980">
        <v>1.239504E-3</v>
      </c>
      <c r="P4980">
        <v>-0.94497249999999999</v>
      </c>
      <c r="Q4980">
        <v>0.29970249999999998</v>
      </c>
      <c r="R4980">
        <v>-0.13116989999999901</v>
      </c>
      <c r="S4980">
        <v>-2.935181</v>
      </c>
      <c r="T4980">
        <v>-0.26084200000000002</v>
      </c>
      <c r="U4980">
        <v>-2.2478940000000001</v>
      </c>
      <c r="V4980">
        <v>-0.13232759999999999</v>
      </c>
      <c r="W4980">
        <v>0.31393690000000002</v>
      </c>
      <c r="X4980">
        <v>0.94017709999999999</v>
      </c>
      <c r="Y4980">
        <v>-0.60712390000000005</v>
      </c>
      <c r="Z4980">
        <v>-2.9041959999999999E-2</v>
      </c>
      <c r="AA4980">
        <v>0.79407629999999996</v>
      </c>
      <c r="AB4980">
        <v>40</v>
      </c>
      <c r="AC4980">
        <v>-12.076099999999901</v>
      </c>
      <c r="AD4980">
        <v>-1.110305220553</v>
      </c>
      <c r="AE4980">
        <v>-9.5690000000000097</v>
      </c>
      <c r="AF4980">
        <v>-9.5344515208048399</v>
      </c>
      <c r="AG4980">
        <v>-1.110305220553</v>
      </c>
      <c r="AH4980">
        <v>12.001904178319901</v>
      </c>
      <c r="AI4980">
        <v>94.1430300134069</v>
      </c>
      <c r="AJ4980">
        <v>128.46403535434601</v>
      </c>
      <c r="AK4980">
        <v>15.3682870675602</v>
      </c>
      <c r="AL4980">
        <v>71.703352179261898</v>
      </c>
      <c r="AM4980">
        <v>98.011612778704404</v>
      </c>
      <c r="AN4980">
        <v>0.99999997513388905</v>
      </c>
    </row>
    <row r="4981" spans="1:40" x14ac:dyDescent="0.25">
      <c r="A4981" t="str">
        <f>"20190304164226093"</f>
        <v>20190304164226093</v>
      </c>
      <c r="B4981" t="str">
        <f>"1551688946085927"</f>
        <v>1551688946085927</v>
      </c>
      <c r="C4981" t="s">
        <v>40</v>
      </c>
      <c r="D4981">
        <v>4.0696430000000001</v>
      </c>
      <c r="E4981">
        <v>0.27511740000000001</v>
      </c>
      <c r="F4981" t="s">
        <v>42</v>
      </c>
      <c r="G4981">
        <v>-334.91930000000002</v>
      </c>
      <c r="H4981" s="1">
        <v>-4.0202510000000004E-6</v>
      </c>
      <c r="I4981">
        <v>131.78039999999999</v>
      </c>
      <c r="J4981">
        <v>-322.71319999999997</v>
      </c>
      <c r="K4981">
        <v>1.1102989999999999</v>
      </c>
      <c r="L4981">
        <v>141.3381</v>
      </c>
      <c r="M4981">
        <v>-0.99988540000000004</v>
      </c>
      <c r="N4981">
        <v>-1.5091510000000001E-2</v>
      </c>
      <c r="O4981">
        <v>1.2395279999999999E-3</v>
      </c>
      <c r="P4981">
        <v>-0.94606999999999997</v>
      </c>
      <c r="Q4981">
        <v>0.29869669999999998</v>
      </c>
      <c r="R4981">
        <v>-0.1254267</v>
      </c>
      <c r="S4981">
        <v>-2.946625</v>
      </c>
      <c r="T4981">
        <v>-0.25987110000000002</v>
      </c>
      <c r="U4981">
        <v>-2.2368929999999998</v>
      </c>
      <c r="V4981">
        <v>-0.126585999999999</v>
      </c>
      <c r="W4981">
        <v>0.31294339999999998</v>
      </c>
      <c r="X4981">
        <v>0.94129819999999997</v>
      </c>
      <c r="Y4981">
        <v>-0.60377969999999903</v>
      </c>
      <c r="Z4981">
        <v>-2.8735819999999999E-2</v>
      </c>
      <c r="AA4981">
        <v>0.79663309999999998</v>
      </c>
      <c r="AB4981">
        <v>40</v>
      </c>
      <c r="AC4981">
        <v>-12.206099999999999</v>
      </c>
      <c r="AD4981">
        <v>-1.110303020251</v>
      </c>
      <c r="AE4981">
        <v>-9.5577000000000094</v>
      </c>
      <c r="AF4981">
        <v>-9.5239726898680601</v>
      </c>
      <c r="AG4981">
        <v>-1.110303020251</v>
      </c>
      <c r="AH4981">
        <v>12.132013272864199</v>
      </c>
      <c r="AI4981">
        <v>94.117427046518003</v>
      </c>
      <c r="AJ4981">
        <v>128.13291379457999</v>
      </c>
      <c r="AK4981">
        <v>15.463653340885701</v>
      </c>
      <c r="AL4981">
        <v>71.763295660440505</v>
      </c>
      <c r="AM4981">
        <v>97.659198260367901</v>
      </c>
      <c r="AN4981">
        <v>0.99999994416139804</v>
      </c>
    </row>
    <row r="4982" spans="1:40" x14ac:dyDescent="0.25">
      <c r="A4982" t="str">
        <f>"20190304164226115"</f>
        <v>20190304164226115</v>
      </c>
      <c r="B4982" t="str">
        <f>"1551688946106423"</f>
        <v>1551688946106423</v>
      </c>
      <c r="C4982" t="s">
        <v>40</v>
      </c>
      <c r="D4982">
        <v>4.0334629999999896</v>
      </c>
      <c r="E4982">
        <v>0.27500449999999999</v>
      </c>
      <c r="F4982" t="s">
        <v>42</v>
      </c>
      <c r="G4982">
        <v>-335.29329999999999</v>
      </c>
      <c r="H4982" s="1">
        <v>-3.8503430000000003E-6</v>
      </c>
      <c r="I4982">
        <v>131.87909999999999</v>
      </c>
      <c r="J4982">
        <v>-323.09879999999998</v>
      </c>
      <c r="K4982">
        <v>1.1102909999999999</v>
      </c>
      <c r="L4982">
        <v>141.33860000000001</v>
      </c>
      <c r="M4982">
        <v>-0.99988549999999998</v>
      </c>
      <c r="N4982">
        <v>-1.508719E-2</v>
      </c>
      <c r="O4982">
        <v>1.239375E-3</v>
      </c>
      <c r="P4982">
        <v>-0.94712660000000004</v>
      </c>
      <c r="Q4982">
        <v>0.29787669999999999</v>
      </c>
      <c r="R4982">
        <v>-0.1192512</v>
      </c>
      <c r="S4982">
        <v>-2.9584959999999998</v>
      </c>
      <c r="T4982">
        <v>-0.26111259999999997</v>
      </c>
      <c r="U4982">
        <v>-2.2244869999999999</v>
      </c>
      <c r="V4982">
        <v>-0.1204122</v>
      </c>
      <c r="W4982">
        <v>0.3121353</v>
      </c>
      <c r="X4982">
        <v>0.94237599999999999</v>
      </c>
      <c r="Y4982">
        <v>-0.60010390000000002</v>
      </c>
      <c r="Z4982">
        <v>-2.8615109999999999E-2</v>
      </c>
      <c r="AA4982">
        <v>0.79941010000000001</v>
      </c>
      <c r="AB4982">
        <v>40</v>
      </c>
      <c r="AC4982">
        <v>-12.1945</v>
      </c>
      <c r="AD4982">
        <v>-1.1102948503429999</v>
      </c>
      <c r="AE4982">
        <v>-9.4595000000000198</v>
      </c>
      <c r="AF4982">
        <v>-9.4258241507798992</v>
      </c>
      <c r="AG4982">
        <v>-1.1102948503429999</v>
      </c>
      <c r="AH4982">
        <v>12.1200375246317</v>
      </c>
      <c r="AI4982">
        <v>94.136067902760104</v>
      </c>
      <c r="AJ4982">
        <v>127.872415956482</v>
      </c>
      <c r="AK4982">
        <v>15.3939671681671</v>
      </c>
      <c r="AL4982">
        <v>71.812039847231802</v>
      </c>
      <c r="AM4982">
        <v>97.281518586427893</v>
      </c>
      <c r="AN4982">
        <v>1.00000003439546</v>
      </c>
    </row>
    <row r="4983" spans="1:40" x14ac:dyDescent="0.25">
      <c r="A4983" t="str">
        <f>"20190304164226137"</f>
        <v>20190304164226137</v>
      </c>
      <c r="B4983" t="str">
        <f>"1551688946125942"</f>
        <v>1551688946125942</v>
      </c>
      <c r="C4983" t="s">
        <v>40</v>
      </c>
      <c r="D4983">
        <v>4.0443040000000003</v>
      </c>
      <c r="E4983">
        <v>0.274538</v>
      </c>
      <c r="F4983" t="s">
        <v>41</v>
      </c>
      <c r="G4983">
        <v>-323.91359999999997</v>
      </c>
      <c r="H4983">
        <v>1.0379640000000001</v>
      </c>
      <c r="I4983">
        <v>140.73349999999999</v>
      </c>
      <c r="J4983">
        <v>-323.49349999999998</v>
      </c>
      <c r="K4983">
        <v>1.110293</v>
      </c>
      <c r="L4983">
        <v>141.3391</v>
      </c>
      <c r="M4983">
        <v>-0.99988560000000004</v>
      </c>
      <c r="N4983">
        <v>-1.508278E-2</v>
      </c>
      <c r="O4983">
        <v>1.239403E-3</v>
      </c>
      <c r="P4983">
        <v>-0.94828579999999996</v>
      </c>
      <c r="Q4983">
        <v>0.29705229999999999</v>
      </c>
      <c r="R4983">
        <v>-0.11186749999999999</v>
      </c>
      <c r="S4983">
        <v>-2.9725039999999998</v>
      </c>
      <c r="T4983">
        <v>-0.26385999999999998</v>
      </c>
      <c r="U4983">
        <v>-2.2075499999999999</v>
      </c>
      <c r="V4983">
        <v>-0.1130298</v>
      </c>
      <c r="W4983">
        <v>0.31132349999999998</v>
      </c>
      <c r="X4983">
        <v>0.94355820000000001</v>
      </c>
      <c r="Y4983">
        <v>-0.59533979999999997</v>
      </c>
      <c r="Z4983">
        <v>-2.8569589999999999E-2</v>
      </c>
      <c r="AA4983">
        <v>0.80296590000000001</v>
      </c>
      <c r="AB4983">
        <v>40</v>
      </c>
      <c r="AC4983">
        <v>-0.42009999999998998</v>
      </c>
      <c r="AD4983">
        <v>-7.2329000000000004E-2</v>
      </c>
      <c r="AE4983">
        <v>-0.60560000000000902</v>
      </c>
      <c r="AF4983">
        <v>-0.60033886283618698</v>
      </c>
      <c r="AG4983">
        <v>-7.2329000000000004E-2</v>
      </c>
      <c r="AH4983">
        <v>0.415349100091852</v>
      </c>
      <c r="AI4983">
        <v>95.658330755307105</v>
      </c>
      <c r="AJ4983">
        <v>145.32227694384599</v>
      </c>
      <c r="AK4983">
        <v>0.73358919663498201</v>
      </c>
      <c r="AL4983">
        <v>71.860992404573807</v>
      </c>
      <c r="AM4983">
        <v>96.830969469693898</v>
      </c>
      <c r="AN4983">
        <v>1.0000000670637601</v>
      </c>
    </row>
    <row r="4984" spans="1:40" x14ac:dyDescent="0.25">
      <c r="A4984" t="str">
        <f>"20190304164226162"</f>
        <v>20190304164226162</v>
      </c>
      <c r="B4984" t="str">
        <f>"1551688946156198"</f>
        <v>1551688946156198</v>
      </c>
      <c r="C4984" t="s">
        <v>40</v>
      </c>
      <c r="D4984">
        <v>4.3566880000000001</v>
      </c>
      <c r="E4984">
        <v>0.31577840000000001</v>
      </c>
      <c r="F4984" t="s">
        <v>41</v>
      </c>
      <c r="G4984">
        <v>-324.27390000000003</v>
      </c>
      <c r="H4984">
        <v>1.0409090000000001</v>
      </c>
      <c r="I4984">
        <v>140.76750000000001</v>
      </c>
      <c r="J4984">
        <v>-323.92270000000002</v>
      </c>
      <c r="K4984">
        <v>1.1102909999999999</v>
      </c>
      <c r="L4984">
        <v>141.33969999999999</v>
      </c>
      <c r="M4984">
        <v>-0.99988560000000004</v>
      </c>
      <c r="N4984">
        <v>-1.5077999999999999E-2</v>
      </c>
      <c r="O4984">
        <v>1.2402769999999999E-3</v>
      </c>
      <c r="P4984">
        <v>-0.94945520000000005</v>
      </c>
      <c r="Q4984">
        <v>0.29664430000000003</v>
      </c>
      <c r="R4984">
        <v>-0.1026494</v>
      </c>
      <c r="S4984">
        <v>-2.9885860000000002</v>
      </c>
      <c r="T4984">
        <v>-0.26572499999999999</v>
      </c>
      <c r="U4984">
        <v>-2.1894529999999999</v>
      </c>
      <c r="V4984">
        <v>-0.1038143</v>
      </c>
      <c r="W4984">
        <v>0.31092920000000002</v>
      </c>
      <c r="X4984">
        <v>0.94474630000000004</v>
      </c>
      <c r="Y4984">
        <v>-0.59010220000000002</v>
      </c>
      <c r="Z4984">
        <v>-2.8407559999999998E-2</v>
      </c>
      <c r="AA4984">
        <v>0.80682860000000001</v>
      </c>
      <c r="AB4984">
        <v>40</v>
      </c>
      <c r="AC4984">
        <v>-0.35120000000000501</v>
      </c>
      <c r="AD4984">
        <v>-6.9381999999999805E-2</v>
      </c>
      <c r="AE4984">
        <v>-0.57219999999998095</v>
      </c>
      <c r="AF4984">
        <v>-0.56658431765082495</v>
      </c>
      <c r="AG4984">
        <v>-6.9381999999999805E-2</v>
      </c>
      <c r="AH4984">
        <v>0.34678643265275699</v>
      </c>
      <c r="AI4984">
        <v>95.962675789222203</v>
      </c>
      <c r="AJ4984">
        <v>148.530658222049</v>
      </c>
      <c r="AK4984">
        <v>0.66790155023317299</v>
      </c>
      <c r="AL4984">
        <v>71.884762197247198</v>
      </c>
      <c r="AM4984">
        <v>96.270839271475097</v>
      </c>
      <c r="AN4984">
        <v>0.99999997383040895</v>
      </c>
    </row>
    <row r="4985" spans="1:40" x14ac:dyDescent="0.25">
      <c r="A4985" t="str">
        <f>"20190304164226184"</f>
        <v>20190304164226184</v>
      </c>
      <c r="B4985" t="str">
        <f>"1551688946175718"</f>
        <v>1551688946175718</v>
      </c>
      <c r="C4985" t="s">
        <v>40</v>
      </c>
      <c r="D4985">
        <v>3.8943050000000001</v>
      </c>
      <c r="E4985">
        <v>0.4369518</v>
      </c>
      <c r="F4985" t="s">
        <v>41</v>
      </c>
      <c r="G4985">
        <v>-324.65519999999998</v>
      </c>
      <c r="H4985">
        <v>1.0501149999999999</v>
      </c>
      <c r="I4985">
        <v>140.8981</v>
      </c>
      <c r="J4985">
        <v>-324.30509999999998</v>
      </c>
      <c r="K4985">
        <v>1.1102799999999999</v>
      </c>
      <c r="L4985">
        <v>141.34020000000001</v>
      </c>
      <c r="M4985">
        <v>-0.99988560000000004</v>
      </c>
      <c r="N4985">
        <v>-1.507378E-2</v>
      </c>
      <c r="O4985">
        <v>1.2439090000000001E-3</v>
      </c>
      <c r="P4985">
        <v>-0.95058739999999997</v>
      </c>
      <c r="Q4985">
        <v>0.29665360000000002</v>
      </c>
      <c r="R4985">
        <v>-9.1543029999999997E-2</v>
      </c>
      <c r="S4985">
        <v>-3.039612</v>
      </c>
      <c r="T4985">
        <v>-0.2496768</v>
      </c>
      <c r="U4985">
        <v>-1.83223</v>
      </c>
      <c r="V4985">
        <v>-9.2711600000000005E-2</v>
      </c>
      <c r="W4985">
        <v>0.31095139999999999</v>
      </c>
      <c r="X4985">
        <v>0.94589310000000004</v>
      </c>
      <c r="Y4985">
        <v>-0.51573649999999904</v>
      </c>
      <c r="Z4985">
        <v>-2.3788320000000002E-2</v>
      </c>
      <c r="AA4985">
        <v>0.85641690000000004</v>
      </c>
      <c r="AB4985">
        <v>40</v>
      </c>
      <c r="AC4985">
        <v>-0.35009999999999702</v>
      </c>
      <c r="AD4985">
        <v>-6.0165000000000003E-2</v>
      </c>
      <c r="AE4985">
        <v>-0.44210000000000998</v>
      </c>
      <c r="AF4985">
        <v>-0.43755481883279201</v>
      </c>
      <c r="AG4985">
        <v>-6.0165000000000003E-2</v>
      </c>
      <c r="AH4985">
        <v>0.34561583066088802</v>
      </c>
      <c r="AI4985">
        <v>96.158514901980695</v>
      </c>
      <c r="AJ4985">
        <v>141.695495649073</v>
      </c>
      <c r="AK4985">
        <v>0.56082470444178301</v>
      </c>
      <c r="AL4985">
        <v>71.883424104953207</v>
      </c>
      <c r="AM4985">
        <v>95.597958354074805</v>
      </c>
      <c r="AN4985">
        <v>0.99999998528206402</v>
      </c>
    </row>
    <row r="4986" spans="1:40" x14ac:dyDescent="0.25">
      <c r="A4986" t="str">
        <f>"20190304164226204"</f>
        <v>20190304164226204</v>
      </c>
      <c r="B4986" t="str">
        <f>"1551688946196215"</f>
        <v>1551688946196215</v>
      </c>
      <c r="C4986" t="s">
        <v>40</v>
      </c>
      <c r="D4986">
        <v>4.1131869999999999</v>
      </c>
      <c r="E4986">
        <v>0.4369518</v>
      </c>
      <c r="F4986" t="s">
        <v>42</v>
      </c>
      <c r="G4986">
        <v>-342.92230000000001</v>
      </c>
      <c r="H4986" s="1">
        <v>-3.5875369999999999E-6</v>
      </c>
      <c r="I4986">
        <v>136.40899999999999</v>
      </c>
      <c r="J4986">
        <v>-324.68119999999999</v>
      </c>
      <c r="K4986">
        <v>1.1102909999999999</v>
      </c>
      <c r="L4986">
        <v>141.3407</v>
      </c>
      <c r="M4986">
        <v>-0.99988569999999999</v>
      </c>
      <c r="N4986">
        <v>-1.5069620000000001E-2</v>
      </c>
      <c r="O4986">
        <v>1.251203E-3</v>
      </c>
      <c r="P4986">
        <v>-0.95179809999999998</v>
      </c>
      <c r="Q4986">
        <v>0.2966049</v>
      </c>
      <c r="R4986">
        <v>-7.8142249999999996E-2</v>
      </c>
      <c r="S4986">
        <v>-3.1343380000000001</v>
      </c>
      <c r="T4986">
        <v>-0.1869246</v>
      </c>
      <c r="U4986">
        <v>-0.8301849</v>
      </c>
      <c r="V4986">
        <v>-7.9317390000000002E-2</v>
      </c>
      <c r="W4986">
        <v>0.310917</v>
      </c>
      <c r="X4986">
        <v>0.94712160000000001</v>
      </c>
      <c r="Y4986">
        <v>-0.25670670000000001</v>
      </c>
      <c r="Z4986">
        <v>-9.5425470000000002E-3</v>
      </c>
      <c r="AA4986">
        <v>0.96644220000000003</v>
      </c>
      <c r="AB4986">
        <v>40</v>
      </c>
      <c r="AC4986">
        <v>-18.241099999999999</v>
      </c>
      <c r="AD4986">
        <v>-1.1102945875369901</v>
      </c>
      <c r="AE4986">
        <v>-4.9317000000000002</v>
      </c>
      <c r="AF4986">
        <v>-4.9374753253639803</v>
      </c>
      <c r="AG4986">
        <v>-1.1102945875369901</v>
      </c>
      <c r="AH4986">
        <v>18.172174695462999</v>
      </c>
      <c r="AI4986">
        <v>93.374309748890894</v>
      </c>
      <c r="AJ4986">
        <v>105.20060114014601</v>
      </c>
      <c r="AK4986">
        <v>18.863704562522098</v>
      </c>
      <c r="AL4986">
        <v>71.885497722337007</v>
      </c>
      <c r="AM4986">
        <v>94.787106533846</v>
      </c>
      <c r="AN4986">
        <v>0.99999997721598499</v>
      </c>
    </row>
    <row r="4987" spans="1:40" x14ac:dyDescent="0.25">
      <c r="A4987" t="str">
        <f>"20190304164226324"</f>
        <v>20190304164226324</v>
      </c>
      <c r="B4987" t="str">
        <f>"1551688946316264"</f>
        <v>1551688946316264</v>
      </c>
      <c r="C4987" t="s">
        <v>40</v>
      </c>
      <c r="D4987">
        <v>4.3789920000000002</v>
      </c>
      <c r="E4987">
        <v>0.4369518</v>
      </c>
      <c r="F4987" t="s">
        <v>42</v>
      </c>
      <c r="G4987">
        <v>-343.3021</v>
      </c>
      <c r="H4987" s="1">
        <v>-3.3739669999999999E-6</v>
      </c>
      <c r="I4987">
        <v>136.69450000000001</v>
      </c>
      <c r="J4987">
        <v>-326.77710000000002</v>
      </c>
      <c r="K4987">
        <v>1.110268</v>
      </c>
      <c r="L4987">
        <v>141.34389999999999</v>
      </c>
      <c r="M4987">
        <v>-0.99988589999999999</v>
      </c>
      <c r="N4987">
        <v>-1.504637E-2</v>
      </c>
      <c r="O4987">
        <v>1.3488679999999901E-3</v>
      </c>
      <c r="P4987">
        <v>-0.95612079999999999</v>
      </c>
      <c r="Q4987">
        <v>0.29277910000000001</v>
      </c>
      <c r="R4987">
        <v>1.0655990000000001E-2</v>
      </c>
      <c r="S4987">
        <v>-3.145905</v>
      </c>
      <c r="T4987">
        <v>-0.18757879999999999</v>
      </c>
      <c r="U4987">
        <v>-0.78494259999999905</v>
      </c>
      <c r="V4987">
        <v>9.3934139999999992E-3</v>
      </c>
      <c r="W4987">
        <v>0.3071316</v>
      </c>
      <c r="X4987">
        <v>0.95162069999999999</v>
      </c>
      <c r="Y4987">
        <v>-0.24288390000000001</v>
      </c>
      <c r="Z4987">
        <v>-9.0418330000000009E-3</v>
      </c>
      <c r="AA4987">
        <v>0.97001320000000002</v>
      </c>
      <c r="AB4987">
        <v>39</v>
      </c>
      <c r="AC4987">
        <v>-16.524999999999899</v>
      </c>
      <c r="AD4987">
        <v>-1.110271373967</v>
      </c>
      <c r="AE4987">
        <v>-4.6493999999999804</v>
      </c>
      <c r="AF4987">
        <v>-4.6522280096754098</v>
      </c>
      <c r="AG4987">
        <v>-1.110271373967</v>
      </c>
      <c r="AH4987">
        <v>16.449902682359198</v>
      </c>
      <c r="AI4987">
        <v>93.715955920960297</v>
      </c>
      <c r="AJ4987">
        <v>105.791533664174</v>
      </c>
      <c r="AK4987">
        <v>17.1311186510674</v>
      </c>
      <c r="AL4987">
        <v>72.113547987445102</v>
      </c>
      <c r="AM4987">
        <v>89.434453770985499</v>
      </c>
      <c r="AN4987">
        <v>1.00000000630681</v>
      </c>
    </row>
    <row r="4988" spans="1:40" x14ac:dyDescent="0.25">
      <c r="A4988" t="str">
        <f>"20190304164226338"</f>
        <v>20190304164226338</v>
      </c>
      <c r="B4988" t="str">
        <f>"1551688946326023"</f>
        <v>1551688946326023</v>
      </c>
      <c r="C4988" t="s">
        <v>40</v>
      </c>
      <c r="D4988">
        <v>4.3252319999999997</v>
      </c>
      <c r="E4988">
        <v>0.5810632</v>
      </c>
      <c r="F4988" t="s">
        <v>42</v>
      </c>
      <c r="G4988">
        <v>-344.834</v>
      </c>
      <c r="H4988" s="1">
        <v>-2.3888989999999999E-6</v>
      </c>
      <c r="I4988">
        <v>138.5428</v>
      </c>
      <c r="J4988">
        <v>-327.0446</v>
      </c>
      <c r="K4988">
        <v>1.1102609999999999</v>
      </c>
      <c r="L4988">
        <v>141.3443</v>
      </c>
      <c r="M4988">
        <v>-0.99988600000000005</v>
      </c>
      <c r="N4988">
        <v>-1.5043310000000001E-2</v>
      </c>
      <c r="O4988">
        <v>1.365415E-3</v>
      </c>
      <c r="P4988">
        <v>-0.95613649999999994</v>
      </c>
      <c r="Q4988">
        <v>0.2911821</v>
      </c>
      <c r="R4988">
        <v>3.1874760000000002E-2</v>
      </c>
      <c r="S4988">
        <v>-3.203522</v>
      </c>
      <c r="T4988">
        <v>-0.19697609999999999</v>
      </c>
      <c r="U4988">
        <v>-0.49691770000000002</v>
      </c>
      <c r="V4988">
        <v>3.0596669999999999E-2</v>
      </c>
      <c r="W4988">
        <v>0.30553069999999999</v>
      </c>
      <c r="X4988">
        <v>0.95169049999999999</v>
      </c>
      <c r="Y4988">
        <v>-0.1542752</v>
      </c>
      <c r="Z4988">
        <v>-5.9421090000000001E-3</v>
      </c>
      <c r="AA4988">
        <v>0.98801000000000005</v>
      </c>
      <c r="AB4988">
        <v>39</v>
      </c>
      <c r="AC4988">
        <v>-17.789400000000001</v>
      </c>
      <c r="AD4988">
        <v>-1.1102633888989999</v>
      </c>
      <c r="AE4988">
        <v>-2.8014999999999999</v>
      </c>
      <c r="AF4988">
        <v>-2.8150900809755601</v>
      </c>
      <c r="AG4988">
        <v>-1.1102633888989999</v>
      </c>
      <c r="AH4988">
        <v>17.718212043474502</v>
      </c>
      <c r="AI4988">
        <v>93.541292412888694</v>
      </c>
      <c r="AJ4988">
        <v>99.027761338789603</v>
      </c>
      <c r="AK4988">
        <v>17.974772737763999</v>
      </c>
      <c r="AL4988">
        <v>72.209904818261094</v>
      </c>
      <c r="AM4988">
        <v>88.1585857600016</v>
      </c>
      <c r="AN4988">
        <v>0.99999998632391396</v>
      </c>
    </row>
    <row r="4989" spans="1:40" x14ac:dyDescent="0.25">
      <c r="A4989" t="str">
        <f>"20190304164226364"</f>
        <v>20190304164226364</v>
      </c>
      <c r="B4989" t="str">
        <f>"1551688946356278"</f>
        <v>1551688946356278</v>
      </c>
      <c r="C4989" t="s">
        <v>40</v>
      </c>
      <c r="D4989">
        <v>4.1914530000000001</v>
      </c>
      <c r="E4989">
        <v>0.59655440000000004</v>
      </c>
      <c r="F4989" t="s">
        <v>41</v>
      </c>
      <c r="G4989">
        <v>-327.77170000000001</v>
      </c>
      <c r="H4989">
        <v>0.93421109999999896</v>
      </c>
      <c r="I4989">
        <v>141.49700000000001</v>
      </c>
      <c r="J4989">
        <v>-327.46469999999999</v>
      </c>
      <c r="K4989">
        <v>1.110257</v>
      </c>
      <c r="L4989">
        <v>141.345</v>
      </c>
      <c r="M4989">
        <v>-0.99988600000000005</v>
      </c>
      <c r="N4989">
        <v>-1.5038599999999999E-2</v>
      </c>
      <c r="O4989">
        <v>1.3917549999999999E-3</v>
      </c>
      <c r="P4989">
        <v>-0.95570860000000002</v>
      </c>
      <c r="Q4989">
        <v>0.28926610000000003</v>
      </c>
      <c r="R4989">
        <v>5.428094E-2</v>
      </c>
      <c r="S4989">
        <v>-3.3621219999999998</v>
      </c>
      <c r="T4989">
        <v>-0.8141929</v>
      </c>
      <c r="U4989">
        <v>0.70458980000000004</v>
      </c>
      <c r="V4989">
        <v>5.297901E-2</v>
      </c>
      <c r="W4989">
        <v>0.30360219999999999</v>
      </c>
      <c r="X4989">
        <v>0.95132479999999997</v>
      </c>
      <c r="Y4989">
        <v>0.19793740000000001</v>
      </c>
      <c r="Z4989">
        <v>2.459975E-2</v>
      </c>
      <c r="AA4989">
        <v>0.97990600000000005</v>
      </c>
      <c r="AB4989">
        <v>39</v>
      </c>
      <c r="AC4989">
        <v>-0.30700000000001598</v>
      </c>
      <c r="AD4989">
        <v>-0.17604590000000001</v>
      </c>
      <c r="AE4989">
        <v>0.15200000000001501</v>
      </c>
      <c r="AF4989">
        <v>0.119906115640401</v>
      </c>
      <c r="AG4989">
        <v>-0.17604590000000001</v>
      </c>
      <c r="AH4989">
        <v>0.243028925371818</v>
      </c>
      <c r="AI4989">
        <v>123.00847548949901</v>
      </c>
      <c r="AJ4989">
        <v>63.739094406642998</v>
      </c>
      <c r="AK4989">
        <v>0.32316047722789298</v>
      </c>
      <c r="AL4989">
        <v>72.325910847452604</v>
      </c>
      <c r="AM4989">
        <v>86.812506637713994</v>
      </c>
      <c r="AN4989">
        <v>0.99999997322022904</v>
      </c>
    </row>
    <row r="4990" spans="1:40" x14ac:dyDescent="0.25">
      <c r="A4990" t="str">
        <f>"20190304164226385"</f>
        <v>20190304164226385</v>
      </c>
      <c r="B4990" t="str">
        <f>"1551688946375799"</f>
        <v>1551688946375799</v>
      </c>
      <c r="C4990" t="s">
        <v>40</v>
      </c>
      <c r="D4990">
        <v>4.3329269999999998</v>
      </c>
      <c r="E4990">
        <v>0.597249699999999</v>
      </c>
      <c r="F4990" t="s">
        <v>42</v>
      </c>
      <c r="G4990">
        <v>-332.5958</v>
      </c>
      <c r="H4990" s="1">
        <v>-4.2695649999999998E-6</v>
      </c>
      <c r="I4990">
        <v>142.7457</v>
      </c>
      <c r="J4990">
        <v>-327.84879999999998</v>
      </c>
      <c r="K4990">
        <v>1.11025</v>
      </c>
      <c r="L4990">
        <v>141.34569999999999</v>
      </c>
      <c r="M4990">
        <v>-0.99988600000000005</v>
      </c>
      <c r="N4990">
        <v>-1.5034280000000001E-2</v>
      </c>
      <c r="O4990">
        <v>1.4157039999999901E-3</v>
      </c>
      <c r="P4990">
        <v>-0.95502529999999997</v>
      </c>
      <c r="Q4990">
        <v>0.28624759999999999</v>
      </c>
      <c r="R4990">
        <v>7.7389570000000005E-2</v>
      </c>
      <c r="S4990">
        <v>-3.3041990000000001</v>
      </c>
      <c r="T4990">
        <v>-0.71495529999999996</v>
      </c>
      <c r="U4990">
        <v>0.90196229999999999</v>
      </c>
      <c r="V4990">
        <v>7.6066019999999998E-2</v>
      </c>
      <c r="W4990">
        <v>0.30056759999999999</v>
      </c>
      <c r="X4990">
        <v>0.95072239999999997</v>
      </c>
      <c r="Y4990">
        <v>0.25606679999999998</v>
      </c>
      <c r="Z4990">
        <v>2.8615459999999999E-2</v>
      </c>
      <c r="AA4990">
        <v>0.96623550000000002</v>
      </c>
      <c r="AB4990">
        <v>39</v>
      </c>
      <c r="AC4990">
        <v>-4.7470000000000097</v>
      </c>
      <c r="AD4990">
        <v>-1.110254269565</v>
      </c>
      <c r="AE4990">
        <v>1.4</v>
      </c>
      <c r="AF4990">
        <v>1.3265201710397601</v>
      </c>
      <c r="AG4990">
        <v>-1.110254269565</v>
      </c>
      <c r="AH4990">
        <v>4.5214355537625197</v>
      </c>
      <c r="AI4990">
        <v>103.258332334043</v>
      </c>
      <c r="AJ4990">
        <v>73.649116732555896</v>
      </c>
      <c r="AK4990">
        <v>4.8410432526564398</v>
      </c>
      <c r="AL4990">
        <v>72.508302355329207</v>
      </c>
      <c r="AM4990">
        <v>85.425586029094703</v>
      </c>
      <c r="AN4990">
        <v>1.0000000017150801</v>
      </c>
    </row>
    <row r="4991" spans="1:40" x14ac:dyDescent="0.25">
      <c r="A4991" t="str">
        <f>"20190304164226407"</f>
        <v>20190304164226407</v>
      </c>
      <c r="B4991" t="str">
        <f>"1551688946396295"</f>
        <v>1551688946396295</v>
      </c>
      <c r="C4991" t="s">
        <v>40</v>
      </c>
      <c r="D4991">
        <v>4.2985329999999999</v>
      </c>
      <c r="E4991">
        <v>0.59733619999999898</v>
      </c>
      <c r="F4991" t="s">
        <v>42</v>
      </c>
      <c r="G4991">
        <v>-332.86380000000003</v>
      </c>
      <c r="H4991" s="1">
        <v>-4.1846349999999996E-6</v>
      </c>
      <c r="I4991">
        <v>142.84710000000001</v>
      </c>
      <c r="J4991">
        <v>-328.21499999999997</v>
      </c>
      <c r="K4991">
        <v>1.1102289999999999</v>
      </c>
      <c r="L4991">
        <v>141.34630000000001</v>
      </c>
      <c r="M4991">
        <v>-0.99988600000000005</v>
      </c>
      <c r="N4991">
        <v>-1.5030150000000001E-2</v>
      </c>
      <c r="O4991">
        <v>1.438515E-3</v>
      </c>
      <c r="P4991">
        <v>-0.95399820000000002</v>
      </c>
      <c r="Q4991">
        <v>0.28193069999999998</v>
      </c>
      <c r="R4991">
        <v>0.1019934</v>
      </c>
      <c r="S4991">
        <v>-3.2792970000000001</v>
      </c>
      <c r="T4991">
        <v>-0.72599829999999999</v>
      </c>
      <c r="U4991">
        <v>0.98179629999999996</v>
      </c>
      <c r="V4991">
        <v>0.10064969999999999</v>
      </c>
      <c r="W4991">
        <v>0.2962303</v>
      </c>
      <c r="X4991">
        <v>0.94979849999999999</v>
      </c>
      <c r="Y4991">
        <v>0.27880250000000001</v>
      </c>
      <c r="Z4991">
        <v>3.1738280000000001E-2</v>
      </c>
      <c r="AA4991">
        <v>0.9598238</v>
      </c>
      <c r="AB4991">
        <v>39</v>
      </c>
      <c r="AC4991">
        <v>-4.6488000000000502</v>
      </c>
      <c r="AD4991">
        <v>-1.110233184635</v>
      </c>
      <c r="AE4991">
        <v>1.5007999999999899</v>
      </c>
      <c r="AF4991">
        <v>1.42072649817399</v>
      </c>
      <c r="AG4991">
        <v>-1.110233184635</v>
      </c>
      <c r="AH4991">
        <v>4.4225208774378899</v>
      </c>
      <c r="AI4991">
        <v>103.442118875166</v>
      </c>
      <c r="AJ4991">
        <v>72.190482740168505</v>
      </c>
      <c r="AK4991">
        <v>4.7759577487926403</v>
      </c>
      <c r="AL4991">
        <v>72.768673284981404</v>
      </c>
      <c r="AM4991">
        <v>83.950968420577894</v>
      </c>
      <c r="AN4991">
        <v>0.99999997167521404</v>
      </c>
    </row>
    <row r="4992" spans="1:40" x14ac:dyDescent="0.25">
      <c r="A4992" t="str">
        <f>"20190304164226428"</f>
        <v>20190304164226428</v>
      </c>
      <c r="B4992" t="str">
        <f>"1551688946415815"</f>
        <v>1551688946415815</v>
      </c>
      <c r="C4992" t="s">
        <v>40</v>
      </c>
      <c r="D4992">
        <v>4.2623689999999996</v>
      </c>
      <c r="E4992">
        <v>0.5984199</v>
      </c>
      <c r="F4992" t="s">
        <v>42</v>
      </c>
      <c r="G4992">
        <v>-333.06450000000001</v>
      </c>
      <c r="H4992" s="1">
        <v>-4.1221230000000003E-6</v>
      </c>
      <c r="I4992">
        <v>142.92920000000001</v>
      </c>
      <c r="J4992">
        <v>-328.6001</v>
      </c>
      <c r="K4992">
        <v>1.11022</v>
      </c>
      <c r="L4992">
        <v>141.34700000000001</v>
      </c>
      <c r="M4992">
        <v>-0.9998861</v>
      </c>
      <c r="N4992">
        <v>-1.502584E-2</v>
      </c>
      <c r="O4992">
        <v>1.4621599999999999E-3</v>
      </c>
      <c r="P4992">
        <v>-0.95207620000000004</v>
      </c>
      <c r="Q4992">
        <v>0.27704889999999999</v>
      </c>
      <c r="R4992">
        <v>0.1295946</v>
      </c>
      <c r="S4992">
        <v>-3.25116</v>
      </c>
      <c r="T4992">
        <v>-0.7443109</v>
      </c>
      <c r="U4992">
        <v>1.061142</v>
      </c>
      <c r="V4992">
        <v>0.12823090000000001</v>
      </c>
      <c r="W4992">
        <v>0.29131370000000001</v>
      </c>
      <c r="X4992">
        <v>0.94799429999999996</v>
      </c>
      <c r="Y4992">
        <v>0.3013535</v>
      </c>
      <c r="Z4992">
        <v>3.5272360000000003E-2</v>
      </c>
      <c r="AA4992">
        <v>0.95285989999999998</v>
      </c>
      <c r="AB4992">
        <v>39</v>
      </c>
      <c r="AC4992">
        <v>-4.4644000000000101</v>
      </c>
      <c r="AD4992">
        <v>-1.110224122123</v>
      </c>
      <c r="AE4992">
        <v>1.5822000000000001</v>
      </c>
      <c r="AF4992">
        <v>1.4936070504872201</v>
      </c>
      <c r="AG4992">
        <v>-1.110224122123</v>
      </c>
      <c r="AH4992">
        <v>4.2340771451086496</v>
      </c>
      <c r="AI4992">
        <v>103.88931968863299</v>
      </c>
      <c r="AJ4992">
        <v>70.569268733211999</v>
      </c>
      <c r="AK4992">
        <v>4.6250263667724498</v>
      </c>
      <c r="AL4992">
        <v>73.063378546717502</v>
      </c>
      <c r="AM4992">
        <v>82.296614368165095</v>
      </c>
      <c r="AN4992">
        <v>1.0000000141774901</v>
      </c>
    </row>
    <row r="4993" spans="1:40" x14ac:dyDescent="0.25">
      <c r="A4993" t="str">
        <f>"20190304164226444"</f>
        <v>20190304164226444</v>
      </c>
      <c r="B4993" t="str">
        <f>"1551688946436311"</f>
        <v>1551688946436311</v>
      </c>
      <c r="C4993" t="s">
        <v>40</v>
      </c>
      <c r="D4993">
        <v>4.2664299999999997</v>
      </c>
      <c r="E4993">
        <v>0.59949350000000001</v>
      </c>
      <c r="F4993" t="s">
        <v>42</v>
      </c>
      <c r="G4993">
        <v>-333.33199999999999</v>
      </c>
      <c r="H4993" s="1">
        <v>-4.040519E-6</v>
      </c>
      <c r="I4993">
        <v>143.04839999999999</v>
      </c>
      <c r="J4993">
        <v>-328.87599999999998</v>
      </c>
      <c r="K4993">
        <v>1.1102099999999999</v>
      </c>
      <c r="L4993">
        <v>141.3475</v>
      </c>
      <c r="M4993">
        <v>-0.99988600000000005</v>
      </c>
      <c r="N4993">
        <v>-1.50227E-2</v>
      </c>
      <c r="O4993">
        <v>1.4789989999999999E-3</v>
      </c>
      <c r="P4993">
        <v>-0.95048889999999997</v>
      </c>
      <c r="Q4993">
        <v>0.27438980000000002</v>
      </c>
      <c r="R4993">
        <v>0.1458807</v>
      </c>
      <c r="S4993">
        <v>-3.2131349999999999</v>
      </c>
      <c r="T4993">
        <v>-0.75387569999999904</v>
      </c>
      <c r="U4993">
        <v>1.155243</v>
      </c>
      <c r="V4993">
        <v>0.14450350000000001</v>
      </c>
      <c r="W4993">
        <v>0.28862670000000001</v>
      </c>
      <c r="X4993">
        <v>0.94647420000000004</v>
      </c>
      <c r="Y4993">
        <v>0.3284936</v>
      </c>
      <c r="Z4993">
        <v>3.917035E-2</v>
      </c>
      <c r="AA4993">
        <v>0.94369360000000002</v>
      </c>
      <c r="AB4993">
        <v>39</v>
      </c>
      <c r="AC4993">
        <v>-4.4560000000000102</v>
      </c>
      <c r="AD4993">
        <v>-1.110214040519</v>
      </c>
      <c r="AE4993">
        <v>1.7008999999999801</v>
      </c>
      <c r="AF4993">
        <v>1.60722507850723</v>
      </c>
      <c r="AG4993">
        <v>-1.110214040519</v>
      </c>
      <c r="AH4993">
        <v>4.2293579957480896</v>
      </c>
      <c r="AI4993">
        <v>103.786894175253</v>
      </c>
      <c r="AJ4993">
        <v>69.1923917097984</v>
      </c>
      <c r="AK4993">
        <v>4.6586711329462203</v>
      </c>
      <c r="AL4993">
        <v>73.224243978423104</v>
      </c>
      <c r="AM4993">
        <v>81.319367299746006</v>
      </c>
      <c r="AN4993">
        <v>1.00000002236538</v>
      </c>
    </row>
    <row r="4994" spans="1:40" x14ac:dyDescent="0.25">
      <c r="A4994" t="str">
        <f>"20190304164226462"</f>
        <v>20190304164226462</v>
      </c>
      <c r="B4994" t="str">
        <f>"1551688946455830"</f>
        <v>1551688946455830</v>
      </c>
      <c r="C4994" t="s">
        <v>40</v>
      </c>
      <c r="D4994">
        <v>4.2905439999999997</v>
      </c>
      <c r="E4994">
        <v>0.60032299999999905</v>
      </c>
      <c r="F4994" t="s">
        <v>42</v>
      </c>
      <c r="G4994">
        <v>-333.58100000000002</v>
      </c>
      <c r="H4994" s="1">
        <v>-3.952522E-6</v>
      </c>
      <c r="I4994">
        <v>143.14070000000001</v>
      </c>
      <c r="J4994">
        <v>-329.19690000000003</v>
      </c>
      <c r="K4994">
        <v>1.1101890000000001</v>
      </c>
      <c r="L4994">
        <v>141.34819999999999</v>
      </c>
      <c r="M4994">
        <v>-0.99988619999999995</v>
      </c>
      <c r="N4994">
        <v>-1.50189E-2</v>
      </c>
      <c r="O4994">
        <v>1.498402E-3</v>
      </c>
      <c r="P4994">
        <v>-0.9466156</v>
      </c>
      <c r="Q4994">
        <v>0.26914389999999999</v>
      </c>
      <c r="R4994">
        <v>0.17742820000000001</v>
      </c>
      <c r="S4994">
        <v>-3.1869510000000001</v>
      </c>
      <c r="T4994">
        <v>-0.75200999999999996</v>
      </c>
      <c r="U4994">
        <v>1.2145999999999999</v>
      </c>
      <c r="V4994">
        <v>0.17603779999999999</v>
      </c>
      <c r="W4994">
        <v>0.28331729999999999</v>
      </c>
      <c r="X4994">
        <v>0.94273110000000004</v>
      </c>
      <c r="Y4994">
        <v>0.34585300000000002</v>
      </c>
      <c r="Z4994">
        <v>4.1340719999999997E-2</v>
      </c>
      <c r="AA4994">
        <v>0.93737749999999997</v>
      </c>
      <c r="AB4994">
        <v>39</v>
      </c>
      <c r="AC4994">
        <v>-4.3840999999999299</v>
      </c>
      <c r="AD4994">
        <v>-1.11019295252199</v>
      </c>
      <c r="AE4994">
        <v>1.79250000000001</v>
      </c>
      <c r="AF4994">
        <v>1.6929164079388199</v>
      </c>
      <c r="AG4994">
        <v>-1.11019295252199</v>
      </c>
      <c r="AH4994">
        <v>4.1583163235142697</v>
      </c>
      <c r="AI4994">
        <v>103.889180197683</v>
      </c>
      <c r="AJ4994">
        <v>67.847983545384096</v>
      </c>
      <c r="AK4994">
        <v>4.6249420539616803</v>
      </c>
      <c r="AL4994">
        <v>73.541707642069696</v>
      </c>
      <c r="AM4994">
        <v>79.422874832551599</v>
      </c>
      <c r="AN4994">
        <v>0.99999996320766904</v>
      </c>
    </row>
    <row r="4995" spans="1:40" x14ac:dyDescent="0.25">
      <c r="A4995" t="str">
        <f>"20190304164226478"</f>
        <v>20190304164226478</v>
      </c>
      <c r="B4995" t="str">
        <f>"1551688946466567"</f>
        <v>1551688946466567</v>
      </c>
      <c r="C4995" t="s">
        <v>40</v>
      </c>
      <c r="D4995">
        <v>4.305161</v>
      </c>
      <c r="E4995">
        <v>0.60061560000000003</v>
      </c>
      <c r="F4995" t="s">
        <v>42</v>
      </c>
      <c r="G4995">
        <v>-333.78410000000002</v>
      </c>
      <c r="H4995" s="1">
        <v>-3.8928659999999999E-6</v>
      </c>
      <c r="I4995">
        <v>143.2774</v>
      </c>
      <c r="J4995">
        <v>-329.46379999999999</v>
      </c>
      <c r="K4995">
        <v>1.110177</v>
      </c>
      <c r="L4995">
        <v>141.3486</v>
      </c>
      <c r="M4995">
        <v>-0.9998861</v>
      </c>
      <c r="N4995">
        <v>-1.5015830000000001E-2</v>
      </c>
      <c r="O4995">
        <v>1.5151159999999999E-3</v>
      </c>
      <c r="P4995">
        <v>-0.94453529999999997</v>
      </c>
      <c r="Q4995">
        <v>0.26601629999999998</v>
      </c>
      <c r="R4995">
        <v>0.19258320000000001</v>
      </c>
      <c r="S4995">
        <v>-3.1377869999999999</v>
      </c>
      <c r="T4995">
        <v>-0.75939489999999998</v>
      </c>
      <c r="U4995">
        <v>1.3196110000000001</v>
      </c>
      <c r="V4995">
        <v>0.19117990000000001</v>
      </c>
      <c r="W4995">
        <v>0.28015430000000002</v>
      </c>
      <c r="X4995">
        <v>0.94072509999999998</v>
      </c>
      <c r="Y4995">
        <v>0.37638549999999998</v>
      </c>
      <c r="Z4995">
        <v>4.5792640000000003E-2</v>
      </c>
      <c r="AA4995">
        <v>0.92533080000000001</v>
      </c>
      <c r="AB4995">
        <v>39</v>
      </c>
      <c r="AC4995">
        <v>-4.3203000000000298</v>
      </c>
      <c r="AD4995">
        <v>-1.110180892866</v>
      </c>
      <c r="AE4995">
        <v>1.9287999999999901</v>
      </c>
      <c r="AF4995">
        <v>1.82193790456326</v>
      </c>
      <c r="AG4995">
        <v>-1.110180892866</v>
      </c>
      <c r="AH4995">
        <v>4.0976090258773601</v>
      </c>
      <c r="AI4995">
        <v>103.90486019143</v>
      </c>
      <c r="AJ4995">
        <v>66.028423560672394</v>
      </c>
      <c r="AK4995">
        <v>4.6197791150574199</v>
      </c>
      <c r="AL4995">
        <v>73.730585134669298</v>
      </c>
      <c r="AM4995">
        <v>78.512445287636297</v>
      </c>
      <c r="AN4995">
        <v>0.99999994987125296</v>
      </c>
    </row>
    <row r="4996" spans="1:40" x14ac:dyDescent="0.25">
      <c r="A4996" t="str">
        <f>"20190304164226495"</f>
        <v>20190304164226495</v>
      </c>
      <c r="B4996" t="str">
        <f>"1551688946486087"</f>
        <v>1551688946486087</v>
      </c>
      <c r="C4996" t="s">
        <v>40</v>
      </c>
      <c r="D4996">
        <v>4.287261</v>
      </c>
      <c r="E4996">
        <v>0.60108419999999996</v>
      </c>
      <c r="F4996" t="s">
        <v>42</v>
      </c>
      <c r="G4996">
        <v>-333.98200000000003</v>
      </c>
      <c r="H4996" s="1">
        <v>-3.8144700000000001E-6</v>
      </c>
      <c r="I4996">
        <v>143.33420000000001</v>
      </c>
      <c r="J4996">
        <v>-329.76280000000003</v>
      </c>
      <c r="K4996">
        <v>1.110147</v>
      </c>
      <c r="L4996">
        <v>141.3493</v>
      </c>
      <c r="M4996">
        <v>-0.99988619999999995</v>
      </c>
      <c r="N4996">
        <v>-1.501254E-2</v>
      </c>
      <c r="O4996">
        <v>1.533677E-3</v>
      </c>
      <c r="P4996">
        <v>-0.93959150000000002</v>
      </c>
      <c r="Q4996">
        <v>0.26065149999999998</v>
      </c>
      <c r="R4996">
        <v>0.22187490000000001</v>
      </c>
      <c r="S4996">
        <v>-3.1126710000000002</v>
      </c>
      <c r="T4996">
        <v>-0.76483310000000004</v>
      </c>
      <c r="U4996">
        <v>1.3679049999999999</v>
      </c>
      <c r="V4996">
        <v>0.2204612</v>
      </c>
      <c r="W4996">
        <v>0.27471050000000002</v>
      </c>
      <c r="X4996">
        <v>0.93591179999999996</v>
      </c>
      <c r="Y4996">
        <v>0.39050020000000002</v>
      </c>
      <c r="Z4996">
        <v>4.8034649999999998E-2</v>
      </c>
      <c r="AA4996">
        <v>0.91934879999999997</v>
      </c>
      <c r="AB4996">
        <v>39</v>
      </c>
      <c r="AC4996">
        <v>-4.2191999999999403</v>
      </c>
      <c r="AD4996">
        <v>-1.1101508144700001</v>
      </c>
      <c r="AE4996">
        <v>1.9849000000000101</v>
      </c>
      <c r="AF4996">
        <v>1.8722934369814499</v>
      </c>
      <c r="AG4996">
        <v>-1.1101508144700001</v>
      </c>
      <c r="AH4996">
        <v>3.9957376526649</v>
      </c>
      <c r="AI4996">
        <v>104.121640444623</v>
      </c>
      <c r="AJ4996">
        <v>64.893495907804393</v>
      </c>
      <c r="AK4996">
        <v>4.5501469134475503</v>
      </c>
      <c r="AL4996">
        <v>74.055236554756704</v>
      </c>
      <c r="AM4996">
        <v>76.745172812544496</v>
      </c>
      <c r="AN4996">
        <v>0.99999994844746298</v>
      </c>
    </row>
    <row r="4997" spans="1:40" x14ac:dyDescent="0.25">
      <c r="A4997" t="str">
        <f>"20190304164226518"</f>
        <v>20190304164226518</v>
      </c>
      <c r="B4997" t="str">
        <f>"1551688946506582"</f>
        <v>1551688946506582</v>
      </c>
      <c r="C4997" t="s">
        <v>40</v>
      </c>
      <c r="D4997">
        <v>4.3544450000000001</v>
      </c>
      <c r="E4997">
        <v>0.60141579999999994</v>
      </c>
      <c r="F4997" t="s">
        <v>42</v>
      </c>
      <c r="G4997">
        <v>-334.16930000000002</v>
      </c>
      <c r="H4997" s="1">
        <v>-3.7564280000000001E-6</v>
      </c>
      <c r="I4997">
        <v>143.44890000000001</v>
      </c>
      <c r="J4997">
        <v>-330.15519999999998</v>
      </c>
      <c r="K4997">
        <v>1.1101219999999901</v>
      </c>
      <c r="L4997">
        <v>141.35</v>
      </c>
      <c r="M4997">
        <v>-0.99988619999999995</v>
      </c>
      <c r="N4997">
        <v>-1.500836E-2</v>
      </c>
      <c r="O4997">
        <v>1.5574300000000001E-3</v>
      </c>
      <c r="P4997">
        <v>-0.93387070000000005</v>
      </c>
      <c r="Q4997">
        <v>0.25512699999999999</v>
      </c>
      <c r="R4997">
        <v>0.25059110000000001</v>
      </c>
      <c r="S4997">
        <v>-3.0623170000000002</v>
      </c>
      <c r="T4997">
        <v>-0.77149309999999904</v>
      </c>
      <c r="U4997">
        <v>1.4591670000000001</v>
      </c>
      <c r="V4997">
        <v>0.24916340000000001</v>
      </c>
      <c r="W4997">
        <v>0.26909490000000003</v>
      </c>
      <c r="X4997">
        <v>0.93032550000000003</v>
      </c>
      <c r="Y4997">
        <v>0.41736659999999998</v>
      </c>
      <c r="Z4997">
        <v>5.221539E-2</v>
      </c>
      <c r="AA4997">
        <v>0.90723679999999995</v>
      </c>
      <c r="AB4997">
        <v>39</v>
      </c>
      <c r="AC4997">
        <v>-4.01410000000004</v>
      </c>
      <c r="AD4997">
        <v>-1.1101257564279901</v>
      </c>
      <c r="AE4997">
        <v>2.0989000000000102</v>
      </c>
      <c r="AF4997">
        <v>1.9740776113866301</v>
      </c>
      <c r="AG4997">
        <v>-1.1101257564279901</v>
      </c>
      <c r="AH4997">
        <v>3.7897439987035102</v>
      </c>
      <c r="AI4997">
        <v>104.563252516676</v>
      </c>
      <c r="AJ4997">
        <v>62.4849932505577</v>
      </c>
      <c r="AK4997">
        <v>4.4149202922104998</v>
      </c>
      <c r="AL4997">
        <v>74.389584773477495</v>
      </c>
      <c r="AM4997">
        <v>75.006698265161106</v>
      </c>
      <c r="AN4997">
        <v>1.0000000005279099</v>
      </c>
    </row>
    <row r="4998" spans="1:40" x14ac:dyDescent="0.25">
      <c r="A4998" t="str">
        <f>"20190304164226540"</f>
        <v>20190304164226540</v>
      </c>
      <c r="B4998" t="str">
        <f>"1551688946535863"</f>
        <v>1551688946535863</v>
      </c>
      <c r="C4998" t="s">
        <v>40</v>
      </c>
      <c r="D4998">
        <v>4.3659990000000004</v>
      </c>
      <c r="E4998">
        <v>0.61482499999999995</v>
      </c>
      <c r="F4998" t="s">
        <v>42</v>
      </c>
      <c r="G4998">
        <v>-334.45659999999998</v>
      </c>
      <c r="H4998" s="1">
        <v>-3.6500709999999998E-6</v>
      </c>
      <c r="I4998">
        <v>143.55950000000001</v>
      </c>
      <c r="J4998">
        <v>-330.55259999999998</v>
      </c>
      <c r="K4998">
        <v>1.1100920000000001</v>
      </c>
      <c r="L4998">
        <v>141.35079999999999</v>
      </c>
      <c r="M4998">
        <v>-0.99988630000000001</v>
      </c>
      <c r="N4998">
        <v>-1.5004109999999999E-2</v>
      </c>
      <c r="O4998">
        <v>1.581533E-3</v>
      </c>
      <c r="P4998">
        <v>-0.92759159999999996</v>
      </c>
      <c r="Q4998">
        <v>0.25013099999999999</v>
      </c>
      <c r="R4998">
        <v>0.27750380000000002</v>
      </c>
      <c r="S4998">
        <v>-3.0097960000000001</v>
      </c>
      <c r="T4998">
        <v>-0.77678619999999898</v>
      </c>
      <c r="U4998">
        <v>1.5460210000000001</v>
      </c>
      <c r="V4998">
        <v>0.27606239999999999</v>
      </c>
      <c r="W4998">
        <v>0.26399990000000001</v>
      </c>
      <c r="X4998">
        <v>0.92417190000000005</v>
      </c>
      <c r="Y4998">
        <v>0.4431911</v>
      </c>
      <c r="Z4998">
        <v>5.632351E-2</v>
      </c>
      <c r="AA4998">
        <v>0.89465599999999901</v>
      </c>
      <c r="AB4998">
        <v>39</v>
      </c>
      <c r="AC4998">
        <v>-3.9039999999999901</v>
      </c>
      <c r="AD4998">
        <v>-1.110095650071</v>
      </c>
      <c r="AE4998">
        <v>2.2087000000000199</v>
      </c>
      <c r="AF4998">
        <v>2.0754048671692602</v>
      </c>
      <c r="AG4998">
        <v>-1.110095650071</v>
      </c>
      <c r="AH4998">
        <v>3.6819700636088899</v>
      </c>
      <c r="AI4998">
        <v>104.71605549222301</v>
      </c>
      <c r="AJ4998">
        <v>60.591480625626097</v>
      </c>
      <c r="AK4998">
        <v>4.3699566661797098</v>
      </c>
      <c r="AL4998">
        <v>74.692465589607096</v>
      </c>
      <c r="AM4998">
        <v>73.368417161353904</v>
      </c>
      <c r="AN4998">
        <v>1.00000004832168</v>
      </c>
    </row>
    <row r="4999" spans="1:40" x14ac:dyDescent="0.25">
      <c r="A4999" t="str">
        <f>"20190304164226557"</f>
        <v>20190304164226557</v>
      </c>
      <c r="B4999" t="str">
        <f>"1551688946546599"</f>
        <v>1551688946546599</v>
      </c>
      <c r="C4999" t="s">
        <v>40</v>
      </c>
      <c r="D4999">
        <v>4.4222330000000003</v>
      </c>
      <c r="E4999">
        <v>0.61483929999999998</v>
      </c>
      <c r="F4999" t="s">
        <v>42</v>
      </c>
      <c r="G4999">
        <v>-335.33260000000001</v>
      </c>
      <c r="H4999" s="1">
        <v>-3.4054960000000001E-6</v>
      </c>
      <c r="I4999">
        <v>144.19669999999999</v>
      </c>
      <c r="J4999">
        <v>-330.82560000000001</v>
      </c>
      <c r="K4999">
        <v>1.1100829999999999</v>
      </c>
      <c r="L4999">
        <v>141.35130000000001</v>
      </c>
      <c r="M4999">
        <v>-0.99988630000000001</v>
      </c>
      <c r="N4999">
        <v>-1.5001169999999999E-2</v>
      </c>
      <c r="O4999">
        <v>1.5975830000000001E-3</v>
      </c>
      <c r="P4999">
        <v>-0.92447590000000002</v>
      </c>
      <c r="Q4999">
        <v>0.24772159999999999</v>
      </c>
      <c r="R4999">
        <v>0.28979060000000001</v>
      </c>
      <c r="S4999">
        <v>-2.8993229999999999</v>
      </c>
      <c r="T4999">
        <v>-0.67333599999999905</v>
      </c>
      <c r="U4999">
        <v>1.7261660000000001</v>
      </c>
      <c r="V4999">
        <v>0.28833900000000001</v>
      </c>
      <c r="W4999">
        <v>0.26154040000000001</v>
      </c>
      <c r="X4999">
        <v>0.92111739999999998</v>
      </c>
      <c r="Y4999">
        <v>0.49955749999999999</v>
      </c>
      <c r="Z4999">
        <v>5.680731E-2</v>
      </c>
      <c r="AA4999">
        <v>0.86441610000000002</v>
      </c>
      <c r="AB4999">
        <v>39</v>
      </c>
      <c r="AC4999">
        <v>-4.5069999999999997</v>
      </c>
      <c r="AD4999">
        <v>-1.110086405496</v>
      </c>
      <c r="AE4999">
        <v>2.8453999999999802</v>
      </c>
      <c r="AF4999">
        <v>2.72020297551094</v>
      </c>
      <c r="AG4999">
        <v>-1.110086405496</v>
      </c>
      <c r="AH4999">
        <v>4.3239822704032003</v>
      </c>
      <c r="AI4999">
        <v>102.259979995302</v>
      </c>
      <c r="AJ4999">
        <v>57.826137481728097</v>
      </c>
      <c r="AK4999">
        <v>5.22767813951919</v>
      </c>
      <c r="AL4999">
        <v>74.838516511340302</v>
      </c>
      <c r="AM4999">
        <v>72.618222654947999</v>
      </c>
      <c r="AN4999">
        <v>1.00000001216796</v>
      </c>
    </row>
    <row r="5000" spans="1:40" x14ac:dyDescent="0.25">
      <c r="A5000" t="str">
        <f>"20190304164226574"</f>
        <v>20190304164226574</v>
      </c>
      <c r="B5000" t="str">
        <f>"1551688946566119"</f>
        <v>1551688946566119</v>
      </c>
      <c r="C5000" t="s">
        <v>40</v>
      </c>
      <c r="D5000">
        <v>4.3583759999999998</v>
      </c>
      <c r="E5000">
        <v>0.61678650000000002</v>
      </c>
      <c r="F5000" t="s">
        <v>42</v>
      </c>
      <c r="G5000">
        <v>-335.43639999999999</v>
      </c>
      <c r="H5000" s="1">
        <v>-3.3503080000000001E-6</v>
      </c>
      <c r="I5000">
        <v>144.17359999999999</v>
      </c>
      <c r="J5000">
        <v>-331.14159999999998</v>
      </c>
      <c r="K5000">
        <v>1.1100570000000001</v>
      </c>
      <c r="L5000">
        <v>141.3519</v>
      </c>
      <c r="M5000">
        <v>-0.99988630000000001</v>
      </c>
      <c r="N5000">
        <v>-1.4997760000000001E-2</v>
      </c>
      <c r="O5000">
        <v>1.615963E-3</v>
      </c>
      <c r="P5000">
        <v>-0.91932639999999999</v>
      </c>
      <c r="Q5000">
        <v>0.24358850000000001</v>
      </c>
      <c r="R5000">
        <v>0.3090369</v>
      </c>
      <c r="S5000">
        <v>-2.8785099999999999</v>
      </c>
      <c r="T5000">
        <v>-0.69302900000000001</v>
      </c>
      <c r="U5000">
        <v>1.7619629999999999</v>
      </c>
      <c r="V5000">
        <v>0.30757620000000002</v>
      </c>
      <c r="W5000">
        <v>0.2573262</v>
      </c>
      <c r="X5000">
        <v>0.91606770000000004</v>
      </c>
      <c r="Y5000">
        <v>0.50923779999999996</v>
      </c>
      <c r="Z5000">
        <v>5.9639560000000001E-2</v>
      </c>
      <c r="AA5000">
        <v>0.85855689999999996</v>
      </c>
      <c r="AB5000">
        <v>39</v>
      </c>
      <c r="AC5000">
        <v>-4.2948000000000004</v>
      </c>
      <c r="AD5000">
        <v>-1.110060350308</v>
      </c>
      <c r="AE5000">
        <v>2.8216999999999901</v>
      </c>
      <c r="AF5000">
        <v>2.6892670239453902</v>
      </c>
      <c r="AG5000">
        <v>-1.110060350308</v>
      </c>
      <c r="AH5000">
        <v>4.10767953484795</v>
      </c>
      <c r="AI5000">
        <v>102.740095689637</v>
      </c>
      <c r="AJ5000">
        <v>56.787531547329401</v>
      </c>
      <c r="AK5000">
        <v>5.0336291349695896</v>
      </c>
      <c r="AL5000">
        <v>75.088532147021397</v>
      </c>
      <c r="AM5000">
        <v>71.440159679411096</v>
      </c>
      <c r="AN5000">
        <v>0.99999996149808401</v>
      </c>
    </row>
    <row r="5001" spans="1:40" x14ac:dyDescent="0.25">
      <c r="A5001" t="str">
        <f>"20190304164226597"</f>
        <v>20190304164226597</v>
      </c>
      <c r="B5001" t="str">
        <f>"1551688946585639"</f>
        <v>1551688946585639</v>
      </c>
      <c r="C5001" t="s">
        <v>40</v>
      </c>
      <c r="D5001">
        <v>4.3555859999999997</v>
      </c>
      <c r="E5001">
        <v>0.61772169999999904</v>
      </c>
      <c r="F5001" t="s">
        <v>42</v>
      </c>
      <c r="G5001">
        <v>-335.6567</v>
      </c>
      <c r="H5001" s="1">
        <v>-3.272245E-6</v>
      </c>
      <c r="I5001">
        <v>144.27170000000001</v>
      </c>
      <c r="J5001">
        <v>-331.524</v>
      </c>
      <c r="K5001">
        <v>1.1100460000000001</v>
      </c>
      <c r="L5001">
        <v>141.3527</v>
      </c>
      <c r="M5001">
        <v>-0.99988630000000001</v>
      </c>
      <c r="N5001">
        <v>-1.499349E-2</v>
      </c>
      <c r="O5001">
        <v>1.6378629999999901E-3</v>
      </c>
      <c r="P5001">
        <v>-0.91490369999999999</v>
      </c>
      <c r="Q5001">
        <v>0.2401044</v>
      </c>
      <c r="R5001">
        <v>0.32450129999999999</v>
      </c>
      <c r="S5001">
        <v>-2.8321230000000002</v>
      </c>
      <c r="T5001">
        <v>-0.69628469999999998</v>
      </c>
      <c r="U5001">
        <v>1.8313900000000001</v>
      </c>
      <c r="V5001">
        <v>0.32302700000000001</v>
      </c>
      <c r="W5001">
        <v>0.25377149999999998</v>
      </c>
      <c r="X5001">
        <v>0.91173110000000002</v>
      </c>
      <c r="Y5001">
        <v>0.52959250000000002</v>
      </c>
      <c r="Z5001">
        <v>6.2775750000000005E-2</v>
      </c>
      <c r="AA5001">
        <v>0.84592619999999896</v>
      </c>
      <c r="AB5001">
        <v>39</v>
      </c>
      <c r="AC5001">
        <v>-4.1326999999999998</v>
      </c>
      <c r="AD5001">
        <v>-1.1100492722449999</v>
      </c>
      <c r="AE5001">
        <v>2.9190000000000098</v>
      </c>
      <c r="AF5001">
        <v>2.7784878722076498</v>
      </c>
      <c r="AG5001">
        <v>-1.1100492722449999</v>
      </c>
      <c r="AH5001">
        <v>3.94746993243671</v>
      </c>
      <c r="AI5001">
        <v>102.950258471252</v>
      </c>
      <c r="AJ5001">
        <v>54.8596076550661</v>
      </c>
      <c r="AK5001">
        <v>4.9532537902179499</v>
      </c>
      <c r="AL5001">
        <v>75.299197165685797</v>
      </c>
      <c r="AM5001">
        <v>70.490726306359903</v>
      </c>
      <c r="AN5001">
        <v>1.0000000078242299</v>
      </c>
    </row>
    <row r="5002" spans="1:40" x14ac:dyDescent="0.25">
      <c r="A5002" t="str">
        <f>"20190304164226619"</f>
        <v>20190304164226619</v>
      </c>
      <c r="B5002" t="str">
        <f>"1551688946606135"</f>
        <v>1551688946606135</v>
      </c>
      <c r="C5002" t="s">
        <v>40</v>
      </c>
      <c r="D5002">
        <v>4.3280810000000001</v>
      </c>
      <c r="E5002">
        <v>0.61869790000000002</v>
      </c>
      <c r="F5002" t="s">
        <v>42</v>
      </c>
      <c r="G5002">
        <v>-335.97629999999998</v>
      </c>
      <c r="H5002" s="1">
        <v>-3.1417840000000001E-6</v>
      </c>
      <c r="I5002">
        <v>144.3492</v>
      </c>
      <c r="J5002">
        <v>-331.89819999999997</v>
      </c>
      <c r="K5002">
        <v>1.110042</v>
      </c>
      <c r="L5002">
        <v>141.35339999999999</v>
      </c>
      <c r="M5002">
        <v>-0.99988630000000001</v>
      </c>
      <c r="N5002">
        <v>-1.4989250000000001E-2</v>
      </c>
      <c r="O5002">
        <v>1.6589910000000001E-3</v>
      </c>
      <c r="P5002">
        <v>-0.91055569999999997</v>
      </c>
      <c r="Q5002">
        <v>0.2390958</v>
      </c>
      <c r="R5002">
        <v>0.33722619999999998</v>
      </c>
      <c r="S5002">
        <v>-2.7947690000000001</v>
      </c>
      <c r="T5002">
        <v>-0.69679080000000004</v>
      </c>
      <c r="U5002">
        <v>1.8809359999999999</v>
      </c>
      <c r="V5002">
        <v>0.33573969999999997</v>
      </c>
      <c r="W5002">
        <v>0.2526928</v>
      </c>
      <c r="X5002">
        <v>0.90742769999999995</v>
      </c>
      <c r="Y5002">
        <v>0.54453680000000004</v>
      </c>
      <c r="Z5002">
        <v>6.5015119999999996E-2</v>
      </c>
      <c r="AA5002">
        <v>0.83621329999999905</v>
      </c>
      <c r="AB5002">
        <v>39</v>
      </c>
      <c r="AC5002">
        <v>-4.0781000000000001</v>
      </c>
      <c r="AD5002">
        <v>-1.110045141784</v>
      </c>
      <c r="AE5002">
        <v>2.9958</v>
      </c>
      <c r="AF5002">
        <v>2.8517952820587902</v>
      </c>
      <c r="AG5002">
        <v>-1.110045141784</v>
      </c>
      <c r="AH5002">
        <v>3.89560057185138</v>
      </c>
      <c r="AI5002">
        <v>102.948620932819</v>
      </c>
      <c r="AJ5002">
        <v>53.7938070327383</v>
      </c>
      <c r="AK5002">
        <v>4.9538510638673703</v>
      </c>
      <c r="AL5002">
        <v>75.363083095999002</v>
      </c>
      <c r="AM5002">
        <v>69.696001083777304</v>
      </c>
      <c r="AN5002">
        <v>0.99999991402760602</v>
      </c>
    </row>
    <row r="5003" spans="1:40" x14ac:dyDescent="0.25">
      <c r="A5003" t="str">
        <f>"20190304164226635"</f>
        <v>20190304164226635</v>
      </c>
      <c r="B5003" t="str">
        <f>"1551688946625656"</f>
        <v>1551688946625656</v>
      </c>
      <c r="C5003" t="s">
        <v>40</v>
      </c>
      <c r="D5003">
        <v>4.3680830000000004</v>
      </c>
      <c r="E5003">
        <v>0.61910379999999998</v>
      </c>
      <c r="F5003" t="s">
        <v>42</v>
      </c>
      <c r="G5003">
        <v>-336.40100000000001</v>
      </c>
      <c r="H5003" s="1">
        <v>-2.9778059999999998E-6</v>
      </c>
      <c r="I5003">
        <v>144.48740000000001</v>
      </c>
      <c r="J5003">
        <v>-332.1739</v>
      </c>
      <c r="K5003">
        <v>1.110042</v>
      </c>
      <c r="L5003">
        <v>141.35390000000001</v>
      </c>
      <c r="M5003">
        <v>-0.99988639999999995</v>
      </c>
      <c r="N5003">
        <v>-1.498616E-2</v>
      </c>
      <c r="O5003">
        <v>1.674331E-3</v>
      </c>
      <c r="P5003">
        <v>-0.90800239999999999</v>
      </c>
      <c r="Q5003">
        <v>0.23884369999999999</v>
      </c>
      <c r="R5003">
        <v>0.34421740000000001</v>
      </c>
      <c r="S5003">
        <v>-2.7615970000000001</v>
      </c>
      <c r="T5003">
        <v>-0.68078549999999904</v>
      </c>
      <c r="U5003">
        <v>1.9220889999999999</v>
      </c>
      <c r="V5003">
        <v>0.34272129999999901</v>
      </c>
      <c r="W5003">
        <v>0.2523995</v>
      </c>
      <c r="X5003">
        <v>0.90489589999999998</v>
      </c>
      <c r="Y5003">
        <v>0.55767339999999999</v>
      </c>
      <c r="Z5003">
        <v>6.5579970000000001E-2</v>
      </c>
      <c r="AA5003">
        <v>0.82746580000000003</v>
      </c>
      <c r="AB5003">
        <v>39</v>
      </c>
      <c r="AC5003">
        <v>-4.2271000000000001</v>
      </c>
      <c r="AD5003">
        <v>-1.110044977806</v>
      </c>
      <c r="AE5003">
        <v>3.13349999999999</v>
      </c>
      <c r="AF5003">
        <v>2.9932066234536201</v>
      </c>
      <c r="AG5003">
        <v>-1.110044977806</v>
      </c>
      <c r="AH5003">
        <v>4.05200926267739</v>
      </c>
      <c r="AI5003">
        <v>102.426496874764</v>
      </c>
      <c r="AJ5003">
        <v>53.546833290925001</v>
      </c>
      <c r="AK5003">
        <v>5.1585138177834002</v>
      </c>
      <c r="AL5003">
        <v>75.380452117789503</v>
      </c>
      <c r="AM5003">
        <v>69.256261939957994</v>
      </c>
      <c r="AN5003">
        <v>0.99999999345537405</v>
      </c>
    </row>
    <row r="5004" spans="1:40" x14ac:dyDescent="0.25">
      <c r="A5004" t="str">
        <f>"20190304164226652"</f>
        <v>20190304164226652</v>
      </c>
      <c r="B5004" t="str">
        <f>"1551688946646151"</f>
        <v>1551688946646151</v>
      </c>
      <c r="C5004" t="s">
        <v>40</v>
      </c>
      <c r="D5004">
        <v>4.372725</v>
      </c>
      <c r="E5004">
        <v>0.6192377</v>
      </c>
      <c r="F5004" t="s">
        <v>42</v>
      </c>
      <c r="G5004">
        <v>-336.76220000000001</v>
      </c>
      <c r="H5004" s="1">
        <v>-2.8387870000000001E-6</v>
      </c>
      <c r="I5004">
        <v>144.60659999999999</v>
      </c>
      <c r="J5004">
        <v>-332.49209999999999</v>
      </c>
      <c r="K5004">
        <v>1.11005</v>
      </c>
      <c r="L5004">
        <v>141.3545</v>
      </c>
      <c r="M5004">
        <v>-0.99988630000000001</v>
      </c>
      <c r="N5004">
        <v>-1.498261E-2</v>
      </c>
      <c r="O5004">
        <v>1.691513E-3</v>
      </c>
      <c r="P5004">
        <v>-0.90383570000000002</v>
      </c>
      <c r="Q5004">
        <v>0.23883009999999999</v>
      </c>
      <c r="R5004">
        <v>0.35502319999999998</v>
      </c>
      <c r="S5004">
        <v>-2.741638</v>
      </c>
      <c r="T5004">
        <v>-0.66327080000000005</v>
      </c>
      <c r="U5004">
        <v>1.943573</v>
      </c>
      <c r="V5004">
        <v>0.353518099999999</v>
      </c>
      <c r="W5004">
        <v>0.25232009999999999</v>
      </c>
      <c r="X5004">
        <v>0.90075499999999997</v>
      </c>
      <c r="Y5004">
        <v>0.56514419999999899</v>
      </c>
      <c r="Z5004">
        <v>6.5146869999999996E-2</v>
      </c>
      <c r="AA5004">
        <v>0.82241589999999998</v>
      </c>
      <c r="AB5004">
        <v>39</v>
      </c>
      <c r="AC5004">
        <v>-4.27010000000001</v>
      </c>
      <c r="AD5004">
        <v>-1.1100528387869999</v>
      </c>
      <c r="AE5004">
        <v>3.25209999999998</v>
      </c>
      <c r="AF5004">
        <v>3.1117789284947501</v>
      </c>
      <c r="AG5004">
        <v>-1.1100528387869999</v>
      </c>
      <c r="AH5004">
        <v>4.1002263041428799</v>
      </c>
      <c r="AI5004">
        <v>102.169799312752</v>
      </c>
      <c r="AJ5004">
        <v>52.8040982642476</v>
      </c>
      <c r="AK5004">
        <v>5.2656662588800902</v>
      </c>
      <c r="AL5004">
        <v>75.385154043156007</v>
      </c>
      <c r="AM5004">
        <v>68.571549093322204</v>
      </c>
      <c r="AN5004">
        <v>1.0000000249583001</v>
      </c>
    </row>
    <row r="5005" spans="1:40" x14ac:dyDescent="0.25">
      <c r="A5005" t="str">
        <f>"20190304164226674"</f>
        <v>20190304164226674</v>
      </c>
      <c r="B5005" t="str">
        <f>"1551688946665674"</f>
        <v>1551688946665674</v>
      </c>
      <c r="C5005" t="s">
        <v>40</v>
      </c>
      <c r="D5005">
        <v>4.3468039999999997</v>
      </c>
      <c r="E5005">
        <v>0.61913079999999998</v>
      </c>
      <c r="F5005" t="s">
        <v>42</v>
      </c>
      <c r="G5005">
        <v>-337.14299999999997</v>
      </c>
      <c r="H5005" s="1">
        <v>-2.6923929999999999E-6</v>
      </c>
      <c r="I5005">
        <v>144.7329</v>
      </c>
      <c r="J5005">
        <v>-332.85890000000001</v>
      </c>
      <c r="K5005">
        <v>1.1100589999999999</v>
      </c>
      <c r="L5005">
        <v>141.3552</v>
      </c>
      <c r="M5005">
        <v>-0.99988630000000001</v>
      </c>
      <c r="N5005">
        <v>-1.497852E-2</v>
      </c>
      <c r="O5005">
        <v>1.709042E-3</v>
      </c>
      <c r="P5005">
        <v>-0.90108480000000002</v>
      </c>
      <c r="Q5005">
        <v>0.2384733</v>
      </c>
      <c r="R5005">
        <v>0.36218299999999998</v>
      </c>
      <c r="S5005">
        <v>-2.7156370000000001</v>
      </c>
      <c r="T5005">
        <v>-0.64815990000000001</v>
      </c>
      <c r="U5005">
        <v>1.972626</v>
      </c>
      <c r="V5005">
        <v>0.36066569999999998</v>
      </c>
      <c r="W5005">
        <v>0.25191960000000002</v>
      </c>
      <c r="X5005">
        <v>0.89802939999999998</v>
      </c>
      <c r="Y5005">
        <v>0.57480129999999996</v>
      </c>
      <c r="Z5005">
        <v>6.5199900000000005E-2</v>
      </c>
      <c r="AA5005">
        <v>0.81569139999999996</v>
      </c>
      <c r="AB5005">
        <v>39</v>
      </c>
      <c r="AC5005">
        <v>-4.28410000000002</v>
      </c>
      <c r="AD5005">
        <v>-1.110061692393</v>
      </c>
      <c r="AE5005">
        <v>3.3776999999999999</v>
      </c>
      <c r="AF5005">
        <v>3.23637833621201</v>
      </c>
      <c r="AG5005">
        <v>-1.110061692393</v>
      </c>
      <c r="AH5005">
        <v>4.1193169416066997</v>
      </c>
      <c r="AI5005">
        <v>101.964030527191</v>
      </c>
      <c r="AJ5005">
        <v>51.844732803110503</v>
      </c>
      <c r="AK5005">
        <v>5.3549186512428699</v>
      </c>
      <c r="AL5005">
        <v>75.408866917124897</v>
      </c>
      <c r="AM5005">
        <v>68.118666387288599</v>
      </c>
      <c r="AN5005">
        <v>1.0000000176424999</v>
      </c>
    </row>
    <row r="5006" spans="1:40" x14ac:dyDescent="0.25">
      <c r="A5006" t="str">
        <f>"20190304164226696"</f>
        <v>20190304164226696</v>
      </c>
      <c r="B5006" t="str">
        <f>"1551688946686168"</f>
        <v>1551688946686168</v>
      </c>
      <c r="C5006" t="s">
        <v>40</v>
      </c>
      <c r="D5006">
        <v>4.3381740000000004</v>
      </c>
      <c r="E5006">
        <v>0.61799720000000002</v>
      </c>
      <c r="F5006" t="s">
        <v>42</v>
      </c>
      <c r="G5006">
        <v>-337.58429999999998</v>
      </c>
      <c r="H5006" s="1">
        <v>-2.5131870000000002E-6</v>
      </c>
      <c r="I5006">
        <v>144.8434</v>
      </c>
      <c r="J5006">
        <v>-333.23430000000002</v>
      </c>
      <c r="K5006">
        <v>1.110069</v>
      </c>
      <c r="L5006">
        <v>141.35589999999999</v>
      </c>
      <c r="M5006">
        <v>-0.99988630000000001</v>
      </c>
      <c r="N5006">
        <v>-1.4974309999999999E-2</v>
      </c>
      <c r="O5006">
        <v>1.7235079999999999E-3</v>
      </c>
      <c r="P5006">
        <v>-0.89958950000000004</v>
      </c>
      <c r="Q5006">
        <v>0.23914650000000001</v>
      </c>
      <c r="R5006">
        <v>0.36544199999999999</v>
      </c>
      <c r="S5006">
        <v>-2.696869</v>
      </c>
      <c r="T5006">
        <v>-0.6335267</v>
      </c>
      <c r="U5006">
        <v>1.990753</v>
      </c>
      <c r="V5006">
        <v>0.36391279999999998</v>
      </c>
      <c r="W5006">
        <v>0.25256830000000002</v>
      </c>
      <c r="X5006">
        <v>0.896536</v>
      </c>
      <c r="Y5006">
        <v>0.58131690000000003</v>
      </c>
      <c r="Z5006">
        <v>6.4823110000000003E-2</v>
      </c>
      <c r="AA5006">
        <v>0.81109100000000001</v>
      </c>
      <c r="AB5006">
        <v>38</v>
      </c>
      <c r="AC5006">
        <v>-4.3499999999999597</v>
      </c>
      <c r="AD5006">
        <v>-1.110071513187</v>
      </c>
      <c r="AE5006">
        <v>3.48750000000001</v>
      </c>
      <c r="AF5006">
        <v>3.34730490282376</v>
      </c>
      <c r="AG5006">
        <v>-1.110071513187</v>
      </c>
      <c r="AH5006">
        <v>4.1899110534204098</v>
      </c>
      <c r="AI5006">
        <v>101.694729387706</v>
      </c>
      <c r="AJ5006">
        <v>51.3787679913668</v>
      </c>
      <c r="AK5006">
        <v>5.4765010282507802</v>
      </c>
      <c r="AL5006">
        <v>75.370457383492806</v>
      </c>
      <c r="AM5006">
        <v>67.907281602719905</v>
      </c>
      <c r="AN5006">
        <v>1.00000003573236</v>
      </c>
    </row>
    <row r="5007" spans="1:40" x14ac:dyDescent="0.25">
      <c r="A5007" t="str">
        <f>"20190304164226714"</f>
        <v>20190304164226714</v>
      </c>
      <c r="B5007" t="str">
        <f>"1551688946705688"</f>
        <v>1551688946705688</v>
      </c>
      <c r="C5007" t="s">
        <v>40</v>
      </c>
      <c r="D5007">
        <v>4.3654229999999998</v>
      </c>
      <c r="E5007">
        <v>0.61570469999999999</v>
      </c>
      <c r="F5007" t="s">
        <v>42</v>
      </c>
      <c r="G5007">
        <v>-339.33800000000002</v>
      </c>
      <c r="H5007" s="1">
        <v>-1.973529E-6</v>
      </c>
      <c r="I5007">
        <v>145.9307</v>
      </c>
      <c r="J5007">
        <v>-333.5378</v>
      </c>
      <c r="K5007">
        <v>1.1100639999999999</v>
      </c>
      <c r="L5007">
        <v>141.35640000000001</v>
      </c>
      <c r="M5007">
        <v>-0.99988650000000001</v>
      </c>
      <c r="N5007">
        <v>-1.4970870000000001E-2</v>
      </c>
      <c r="O5007">
        <v>1.732064E-3</v>
      </c>
      <c r="P5007">
        <v>-0.8986999</v>
      </c>
      <c r="Q5007">
        <v>0.23971890000000001</v>
      </c>
      <c r="R5007">
        <v>0.36725099999999999</v>
      </c>
      <c r="S5007">
        <v>-2.654846</v>
      </c>
      <c r="T5007">
        <v>-0.48283579999999998</v>
      </c>
      <c r="U5007">
        <v>1.9898830000000001</v>
      </c>
      <c r="V5007">
        <v>0.36571369999999997</v>
      </c>
      <c r="W5007">
        <v>0.25312699999999999</v>
      </c>
      <c r="X5007">
        <v>0.89564509999999897</v>
      </c>
      <c r="Y5007">
        <v>0.59143210000000002</v>
      </c>
      <c r="Z5007">
        <v>5.2223150000000003E-2</v>
      </c>
      <c r="AA5007">
        <v>0.80466190000000004</v>
      </c>
      <c r="AB5007">
        <v>38</v>
      </c>
      <c r="AC5007">
        <v>-5.80020000000001</v>
      </c>
      <c r="AD5007">
        <v>-1.1100659735289999</v>
      </c>
      <c r="AE5007">
        <v>4.5742999999999903</v>
      </c>
      <c r="AF5007">
        <v>4.4634500328664597</v>
      </c>
      <c r="AG5007">
        <v>-1.1100659735289999</v>
      </c>
      <c r="AH5007">
        <v>5.6798502018131503</v>
      </c>
      <c r="AI5007">
        <v>98.736200018584498</v>
      </c>
      <c r="AJ5007">
        <v>51.838341671434399</v>
      </c>
      <c r="AK5007">
        <v>7.3085792720965603</v>
      </c>
      <c r="AL5007">
        <v>75.337370097988298</v>
      </c>
      <c r="AM5007">
        <v>67.788610646474496</v>
      </c>
      <c r="AN5007">
        <v>0.99999996682534897</v>
      </c>
    </row>
    <row r="5008" spans="1:40" x14ac:dyDescent="0.25">
      <c r="A5008" t="str">
        <f>"20190304164226728"</f>
        <v>20190304164226728</v>
      </c>
      <c r="B5008" t="str">
        <f>"1551688946716423"</f>
        <v>1551688946716423</v>
      </c>
      <c r="C5008" t="s">
        <v>40</v>
      </c>
      <c r="D5008">
        <v>4.3784789999999996</v>
      </c>
      <c r="E5008">
        <v>0.61495119999999903</v>
      </c>
      <c r="F5008" t="s">
        <v>42</v>
      </c>
      <c r="G5008">
        <v>-339.53919999999999</v>
      </c>
      <c r="H5008" s="1">
        <v>-1.848241E-6</v>
      </c>
      <c r="I5008">
        <v>145.81729999999999</v>
      </c>
      <c r="J5008">
        <v>-333.77080000000001</v>
      </c>
      <c r="K5008">
        <v>1.1100680000000001</v>
      </c>
      <c r="L5008">
        <v>141.35679999999999</v>
      </c>
      <c r="M5008">
        <v>-0.99988650000000001</v>
      </c>
      <c r="N5008">
        <v>-1.4968220000000001E-2</v>
      </c>
      <c r="O5008">
        <v>1.7372869999999999E-3</v>
      </c>
      <c r="P5008">
        <v>-0.89814819999999995</v>
      </c>
      <c r="Q5008">
        <v>0.2395477</v>
      </c>
      <c r="R5008">
        <v>0.36870979999999998</v>
      </c>
      <c r="S5008">
        <v>-2.6610719999999999</v>
      </c>
      <c r="T5008">
        <v>-0.49220930000000002</v>
      </c>
      <c r="U5008">
        <v>1.977997</v>
      </c>
      <c r="V5008">
        <v>0.36716739999999998</v>
      </c>
      <c r="W5008">
        <v>0.25294709999999998</v>
      </c>
      <c r="X5008">
        <v>0.89510109999999998</v>
      </c>
      <c r="Y5008">
        <v>0.58800050000000004</v>
      </c>
      <c r="Z5008">
        <v>5.277983E-2</v>
      </c>
      <c r="AA5008">
        <v>0.80713679999999999</v>
      </c>
      <c r="AB5008">
        <v>38</v>
      </c>
      <c r="AC5008">
        <v>-5.7683999999999802</v>
      </c>
      <c r="AD5008">
        <v>-1.1100698482410001</v>
      </c>
      <c r="AE5008">
        <v>4.4604999999999899</v>
      </c>
      <c r="AF5008">
        <v>4.3496649408795802</v>
      </c>
      <c r="AG5008">
        <v>-1.1100698482410001</v>
      </c>
      <c r="AH5008">
        <v>5.6453082574299396</v>
      </c>
      <c r="AI5008">
        <v>98.853434841627205</v>
      </c>
      <c r="AJ5008">
        <v>52.386035499158297</v>
      </c>
      <c r="AK5008">
        <v>7.2125824423224003</v>
      </c>
      <c r="AL5008">
        <v>75.348025686925496</v>
      </c>
      <c r="AM5008">
        <v>67.696729723306802</v>
      </c>
      <c r="AN5008">
        <v>1.00000005712118</v>
      </c>
    </row>
    <row r="5009" spans="1:40" x14ac:dyDescent="0.25">
      <c r="A5009" t="str">
        <f>"20190304164226743"</f>
        <v>20190304164226743</v>
      </c>
      <c r="B5009" t="str">
        <f>"1551688946735943"</f>
        <v>1551688946735943</v>
      </c>
      <c r="C5009" t="s">
        <v>40</v>
      </c>
      <c r="D5009">
        <v>4.5186299999999999</v>
      </c>
      <c r="E5009">
        <v>0.61508719999999995</v>
      </c>
      <c r="F5009" t="s">
        <v>42</v>
      </c>
      <c r="G5009">
        <v>-339.74590000000001</v>
      </c>
      <c r="H5009" s="1">
        <v>-1.743857E-6</v>
      </c>
      <c r="I5009">
        <v>145.79230000000001</v>
      </c>
      <c r="J5009">
        <v>-334.0376</v>
      </c>
      <c r="K5009">
        <v>1.1100589999999999</v>
      </c>
      <c r="L5009">
        <v>141.35730000000001</v>
      </c>
      <c r="M5009">
        <v>-0.99988670000000002</v>
      </c>
      <c r="N5009">
        <v>-1.496519E-2</v>
      </c>
      <c r="O5009">
        <v>1.74215E-3</v>
      </c>
      <c r="P5009">
        <v>-0.89666409999999996</v>
      </c>
      <c r="Q5009">
        <v>0.23871149999999999</v>
      </c>
      <c r="R5009">
        <v>0.37284109999999998</v>
      </c>
      <c r="S5009">
        <v>-2.6610719999999999</v>
      </c>
      <c r="T5009">
        <v>-0.4943805</v>
      </c>
      <c r="U5009">
        <v>1.975403</v>
      </c>
      <c r="V5009">
        <v>0.37129519999999999</v>
      </c>
      <c r="W5009">
        <v>0.25208799999999998</v>
      </c>
      <c r="X5009">
        <v>0.89363939999999997</v>
      </c>
      <c r="Y5009">
        <v>0.58743299999999998</v>
      </c>
      <c r="Z5009">
        <v>5.294666E-2</v>
      </c>
      <c r="AA5009">
        <v>0.80753889999999995</v>
      </c>
      <c r="AB5009">
        <v>38</v>
      </c>
      <c r="AC5009">
        <v>-5.7083000000000004</v>
      </c>
      <c r="AD5009">
        <v>-1.1100607438569901</v>
      </c>
      <c r="AE5009">
        <v>4.4349999999999996</v>
      </c>
      <c r="AF5009">
        <v>4.3231014645173502</v>
      </c>
      <c r="AG5009">
        <v>-1.1100607438569901</v>
      </c>
      <c r="AH5009">
        <v>5.5843307571824203</v>
      </c>
      <c r="AI5009">
        <v>98.932920904485101</v>
      </c>
      <c r="AJ5009">
        <v>52.254807265163201</v>
      </c>
      <c r="AK5009">
        <v>7.1488594288304501</v>
      </c>
      <c r="AL5009">
        <v>75.398895236744906</v>
      </c>
      <c r="AM5009">
        <v>67.437769897015798</v>
      </c>
      <c r="AN5009">
        <v>0.99999993125969699</v>
      </c>
    </row>
    <row r="5010" spans="1:40" x14ac:dyDescent="0.25">
      <c r="A5010" t="str">
        <f>"20190304164226776"</f>
        <v>20190304164226776</v>
      </c>
      <c r="B5010" t="str">
        <f>"1551688946766199"</f>
        <v>1551688946766199</v>
      </c>
      <c r="C5010" t="s">
        <v>40</v>
      </c>
      <c r="D5010">
        <v>4.4917069999999999</v>
      </c>
      <c r="E5010">
        <v>0.63603069999999995</v>
      </c>
      <c r="F5010" t="s">
        <v>42</v>
      </c>
      <c r="G5010">
        <v>-339.91309999999999</v>
      </c>
      <c r="H5010" s="1">
        <v>-1.6542730000000001E-6</v>
      </c>
      <c r="I5010">
        <v>145.7527</v>
      </c>
      <c r="J5010">
        <v>-334.5933</v>
      </c>
      <c r="K5010">
        <v>1.11007099999999</v>
      </c>
      <c r="L5010">
        <v>141.35830000000001</v>
      </c>
      <c r="M5010">
        <v>-0.99988670000000002</v>
      </c>
      <c r="N5010">
        <v>-1.4958900000000001E-2</v>
      </c>
      <c r="O5010">
        <v>1.7471330000000001E-3</v>
      </c>
      <c r="P5010">
        <v>-0.89796929999999997</v>
      </c>
      <c r="Q5010">
        <v>0.23815410000000001</v>
      </c>
      <c r="R5010">
        <v>0.37004599999999999</v>
      </c>
      <c r="S5010">
        <v>-2.6537480000000002</v>
      </c>
      <c r="T5010">
        <v>-0.50137339999999997</v>
      </c>
      <c r="U5010">
        <v>1.9852289999999999</v>
      </c>
      <c r="V5010">
        <v>0.36849100000000001</v>
      </c>
      <c r="W5010">
        <v>0.25154860000000001</v>
      </c>
      <c r="X5010">
        <v>0.89495119999999895</v>
      </c>
      <c r="Y5010">
        <v>0.5901689</v>
      </c>
      <c r="Z5010">
        <v>5.3931960000000001E-2</v>
      </c>
      <c r="AA5010">
        <v>0.80547619999999998</v>
      </c>
      <c r="AB5010">
        <v>38</v>
      </c>
      <c r="AC5010">
        <v>-5.3197999999999803</v>
      </c>
      <c r="AD5010">
        <v>-1.11007265427299</v>
      </c>
      <c r="AE5010">
        <v>4.3943999999999903</v>
      </c>
      <c r="AF5010">
        <v>4.27446675326894</v>
      </c>
      <c r="AG5010">
        <v>-1.11007265427299</v>
      </c>
      <c r="AH5010">
        <v>5.1930642362459096</v>
      </c>
      <c r="AI5010">
        <v>99.371738615426096</v>
      </c>
      <c r="AJ5010">
        <v>50.541838313644398</v>
      </c>
      <c r="AK5010">
        <v>6.8169819923733499</v>
      </c>
      <c r="AL5010">
        <v>75.4308304532329</v>
      </c>
      <c r="AM5010">
        <v>67.620867662405004</v>
      </c>
      <c r="AN5010">
        <v>0.99999998281219904</v>
      </c>
    </row>
    <row r="5011" spans="1:40" x14ac:dyDescent="0.25">
      <c r="A5011" t="str">
        <f>"20190304164226798"</f>
        <v>20190304164226798</v>
      </c>
      <c r="B5011" t="str">
        <f>"1551688946785719"</f>
        <v>1551688946785719</v>
      </c>
      <c r="C5011" t="s">
        <v>40</v>
      </c>
      <c r="D5011">
        <v>4.4880380000000004</v>
      </c>
      <c r="E5011">
        <v>0.6386771</v>
      </c>
      <c r="F5011" t="s">
        <v>42</v>
      </c>
      <c r="G5011">
        <v>-340.32659999999998</v>
      </c>
      <c r="H5011" s="1">
        <v>-5.3094649999999998E-6</v>
      </c>
      <c r="I5011">
        <v>146.06880000000001</v>
      </c>
      <c r="J5011">
        <v>-334.96</v>
      </c>
      <c r="K5011">
        <v>1.110079</v>
      </c>
      <c r="L5011">
        <v>141.35890000000001</v>
      </c>
      <c r="M5011">
        <v>-0.99988679999999996</v>
      </c>
      <c r="N5011">
        <v>-1.4954729999999999E-2</v>
      </c>
      <c r="O5011">
        <v>1.748325E-3</v>
      </c>
      <c r="P5011">
        <v>-0.89944360000000001</v>
      </c>
      <c r="Q5011">
        <v>0.23982690000000001</v>
      </c>
      <c r="R5011">
        <v>0.36535489999999998</v>
      </c>
      <c r="S5011">
        <v>-2.595367</v>
      </c>
      <c r="T5011">
        <v>-0.50252140000000001</v>
      </c>
      <c r="U5011">
        <v>2.1324770000000002</v>
      </c>
      <c r="V5011">
        <v>0.36379529999999999</v>
      </c>
      <c r="W5011">
        <v>0.25324089999999999</v>
      </c>
      <c r="X5011">
        <v>0.89639389999999997</v>
      </c>
      <c r="Y5011">
        <v>0.62574099999999999</v>
      </c>
      <c r="Z5011">
        <v>5.7517119999999998E-2</v>
      </c>
      <c r="AA5011">
        <v>0.77790749999999997</v>
      </c>
      <c r="AB5011">
        <v>38</v>
      </c>
      <c r="AC5011">
        <v>-5.3666</v>
      </c>
      <c r="AD5011">
        <v>-1.1100843094649999</v>
      </c>
      <c r="AE5011">
        <v>4.7099000000000002</v>
      </c>
      <c r="AF5011">
        <v>4.5895777746174797</v>
      </c>
      <c r="AG5011">
        <v>-1.1100843094649999</v>
      </c>
      <c r="AH5011">
        <v>5.2479819173787501</v>
      </c>
      <c r="AI5011">
        <v>99.047013282882602</v>
      </c>
      <c r="AJ5011">
        <v>48.828958122783099</v>
      </c>
      <c r="AK5011">
        <v>7.0595910312508598</v>
      </c>
      <c r="AL5011">
        <v>75.330624798791803</v>
      </c>
      <c r="AM5011">
        <v>67.910564401558602</v>
      </c>
      <c r="AN5011">
        <v>0.99999999884605495</v>
      </c>
    </row>
    <row r="5012" spans="1:40" x14ac:dyDescent="0.25">
      <c r="A5012" t="str">
        <f>"20190304164226820"</f>
        <v>20190304164226820</v>
      </c>
      <c r="B5012" t="str">
        <f>"1551688946816115"</f>
        <v>1551688946816115</v>
      </c>
      <c r="C5012" t="s">
        <v>40</v>
      </c>
      <c r="D5012">
        <v>4.4783609999999996</v>
      </c>
      <c r="E5012">
        <v>0.6406733</v>
      </c>
      <c r="F5012" t="s">
        <v>42</v>
      </c>
      <c r="G5012">
        <v>-340.82049999999998</v>
      </c>
      <c r="H5012" s="1">
        <v>-5.163586E-6</v>
      </c>
      <c r="I5012">
        <v>146.19409999999999</v>
      </c>
      <c r="J5012">
        <v>-335.35230000000001</v>
      </c>
      <c r="K5012">
        <v>1.11009</v>
      </c>
      <c r="L5012">
        <v>141.3595</v>
      </c>
      <c r="M5012">
        <v>-0.99988679999999996</v>
      </c>
      <c r="N5012">
        <v>-1.495024E-2</v>
      </c>
      <c r="O5012">
        <v>1.7481549999999999E-3</v>
      </c>
      <c r="P5012">
        <v>-0.90084430000000004</v>
      </c>
      <c r="Q5012">
        <v>0.24181469999999999</v>
      </c>
      <c r="R5012">
        <v>0.36056250000000001</v>
      </c>
      <c r="S5012">
        <v>-2.5963440000000002</v>
      </c>
      <c r="T5012">
        <v>-0.49179590000000001</v>
      </c>
      <c r="U5012">
        <v>2.1421809999999999</v>
      </c>
      <c r="V5012">
        <v>0.35899979999999998</v>
      </c>
      <c r="W5012">
        <v>0.2552471</v>
      </c>
      <c r="X5012">
        <v>0.89775729999999998</v>
      </c>
      <c r="Y5012">
        <v>0.62763570000000002</v>
      </c>
      <c r="Z5012">
        <v>5.652248E-2</v>
      </c>
      <c r="AA5012">
        <v>0.77645259999999905</v>
      </c>
      <c r="AB5012">
        <v>38</v>
      </c>
      <c r="AC5012">
        <v>-5.4681999999999604</v>
      </c>
      <c r="AD5012">
        <v>-1.1100951635859999</v>
      </c>
      <c r="AE5012">
        <v>4.8345999999999902</v>
      </c>
      <c r="AF5012">
        <v>4.7159462052259196</v>
      </c>
      <c r="AG5012">
        <v>-1.1100951635859999</v>
      </c>
      <c r="AH5012">
        <v>5.3528262611614101</v>
      </c>
      <c r="AI5012">
        <v>98.844742389167095</v>
      </c>
      <c r="AJ5012">
        <v>48.619308149586303</v>
      </c>
      <c r="AK5012">
        <v>7.2197790038879299</v>
      </c>
      <c r="AL5012">
        <v>75.211773342909297</v>
      </c>
      <c r="AM5012">
        <v>68.204264206258699</v>
      </c>
      <c r="AN5012">
        <v>1.00000005408086</v>
      </c>
    </row>
    <row r="5013" spans="1:40" x14ac:dyDescent="0.25">
      <c r="A5013" t="str">
        <f>"20190304164226843"</f>
        <v>20190304164226843</v>
      </c>
      <c r="B5013" t="str">
        <f>"1551688946835649"</f>
        <v>1551688946835649</v>
      </c>
      <c r="C5013" t="s">
        <v>40</v>
      </c>
      <c r="D5013">
        <v>4.3978859999999997</v>
      </c>
      <c r="E5013">
        <v>0.64127860000000003</v>
      </c>
      <c r="F5013" t="s">
        <v>42</v>
      </c>
      <c r="G5013">
        <v>-341.41719999999998</v>
      </c>
      <c r="H5013" s="1">
        <v>-4.9917619999999996E-6</v>
      </c>
      <c r="I5013">
        <v>146.37020000000001</v>
      </c>
      <c r="J5013">
        <v>-335.7355</v>
      </c>
      <c r="K5013">
        <v>1.1101099999999999</v>
      </c>
      <c r="L5013">
        <v>141.36019999999999</v>
      </c>
      <c r="M5013">
        <v>-0.99988690000000002</v>
      </c>
      <c r="N5013">
        <v>-1.494588E-2</v>
      </c>
      <c r="O5013">
        <v>1.7473339999999999E-3</v>
      </c>
      <c r="P5013">
        <v>-0.90221850000000003</v>
      </c>
      <c r="Q5013">
        <v>0.2432946</v>
      </c>
      <c r="R5013">
        <v>0.35610389999999997</v>
      </c>
      <c r="S5013">
        <v>-2.5986020000000001</v>
      </c>
      <c r="T5013">
        <v>-0.47563889999999998</v>
      </c>
      <c r="U5013">
        <v>2.146957</v>
      </c>
      <c r="V5013">
        <v>0.3545392</v>
      </c>
      <c r="W5013">
        <v>0.25674419999999998</v>
      </c>
      <c r="X5013">
        <v>0.89910199999999996</v>
      </c>
      <c r="Y5013">
        <v>0.62861199999999995</v>
      </c>
      <c r="Z5013">
        <v>5.4886259999999999E-2</v>
      </c>
      <c r="AA5013">
        <v>0.77578000000000003</v>
      </c>
      <c r="AB5013">
        <v>38</v>
      </c>
      <c r="AC5013">
        <v>-5.68169999999997</v>
      </c>
      <c r="AD5013">
        <v>-1.1101149917619999</v>
      </c>
      <c r="AE5013">
        <v>5.0100000000000096</v>
      </c>
      <c r="AF5013">
        <v>4.8949377325439496</v>
      </c>
      <c r="AG5013">
        <v>-1.1101149917619999</v>
      </c>
      <c r="AH5013">
        <v>5.5708055491764004</v>
      </c>
      <c r="AI5013">
        <v>98.5137103689718</v>
      </c>
      <c r="AJ5013">
        <v>48.694976450346601</v>
      </c>
      <c r="AK5013">
        <v>7.4984428494956097</v>
      </c>
      <c r="AL5013">
        <v>75.123038457832806</v>
      </c>
      <c r="AM5013">
        <v>68.479398318171107</v>
      </c>
      <c r="AN5013">
        <v>1.00000001748714</v>
      </c>
    </row>
    <row r="5014" spans="1:40" x14ac:dyDescent="0.25">
      <c r="A5014" t="str">
        <f>"20190304164226863"</f>
        <v>20190304164226863</v>
      </c>
      <c r="B5014" t="str">
        <f>"1551688946856131"</f>
        <v>1551688946856131</v>
      </c>
      <c r="C5014" t="s">
        <v>40</v>
      </c>
      <c r="D5014">
        <v>4.467295</v>
      </c>
      <c r="E5014">
        <v>0.60829500000000003</v>
      </c>
      <c r="F5014" t="s">
        <v>42</v>
      </c>
      <c r="G5014">
        <v>-342.72910000000002</v>
      </c>
      <c r="H5014" s="1">
        <v>-4.681875E-6</v>
      </c>
      <c r="I5014">
        <v>147.13999999999999</v>
      </c>
      <c r="J5014">
        <v>-336.09589999999997</v>
      </c>
      <c r="K5014">
        <v>1.1101319999999999</v>
      </c>
      <c r="L5014">
        <v>141.36070000000001</v>
      </c>
      <c r="M5014">
        <v>-0.99988699999999997</v>
      </c>
      <c r="N5014">
        <v>-1.494176E-2</v>
      </c>
      <c r="O5014">
        <v>1.7446510000000001E-3</v>
      </c>
      <c r="P5014">
        <v>-0.90408060000000001</v>
      </c>
      <c r="Q5014">
        <v>0.2456391</v>
      </c>
      <c r="R5014">
        <v>0.34971390000000002</v>
      </c>
      <c r="S5014">
        <v>-2.590881</v>
      </c>
      <c r="T5014">
        <v>-0.41125859999999897</v>
      </c>
      <c r="U5014">
        <v>2.1412810000000002</v>
      </c>
      <c r="V5014">
        <v>0.34814719999999999</v>
      </c>
      <c r="W5014">
        <v>0.25911410000000001</v>
      </c>
      <c r="X5014">
        <v>0.90091810000000005</v>
      </c>
      <c r="Y5014">
        <v>0.63035929999999996</v>
      </c>
      <c r="Z5014">
        <v>4.8493550000000003E-2</v>
      </c>
      <c r="AA5014">
        <v>0.77478740000000001</v>
      </c>
      <c r="AB5014">
        <v>38</v>
      </c>
      <c r="AC5014">
        <v>-6.6332000000000404</v>
      </c>
      <c r="AD5014">
        <v>-1.11013668187499</v>
      </c>
      <c r="AE5014">
        <v>5.7792999999999699</v>
      </c>
      <c r="AF5014">
        <v>5.67731962045446</v>
      </c>
      <c r="AG5014">
        <v>-1.11013668187499</v>
      </c>
      <c r="AH5014">
        <v>6.5391535806301802</v>
      </c>
      <c r="AI5014">
        <v>97.305130150117407</v>
      </c>
      <c r="AJ5014">
        <v>49.035352370621098</v>
      </c>
      <c r="AK5014">
        <v>8.7306867471184795</v>
      </c>
      <c r="AL5014">
        <v>74.982497621912501</v>
      </c>
      <c r="AM5014">
        <v>68.8716726165663</v>
      </c>
      <c r="AN5014">
        <v>1.0000000062971299</v>
      </c>
    </row>
    <row r="5015" spans="1:40" x14ac:dyDescent="0.25">
      <c r="A5015" t="str">
        <f>"20190304164226886"</f>
        <v>20190304164226886</v>
      </c>
      <c r="B5015" t="str">
        <f>"1551688946875651"</f>
        <v>1551688946875651</v>
      </c>
      <c r="C5015" t="s">
        <v>40</v>
      </c>
      <c r="D5015">
        <v>4.4580169999999999</v>
      </c>
      <c r="E5015">
        <v>0.60522949999999998</v>
      </c>
      <c r="F5015" t="s">
        <v>55</v>
      </c>
      <c r="G5015">
        <v>-360.89280000000002</v>
      </c>
      <c r="H5015">
        <v>4.3832899999999997</v>
      </c>
      <c r="I5015">
        <v>159.8143</v>
      </c>
      <c r="J5015">
        <v>-336.46949999999998</v>
      </c>
      <c r="K5015">
        <v>1.110147</v>
      </c>
      <c r="L5015">
        <v>141.3613</v>
      </c>
      <c r="M5015">
        <v>-0.99988699999999997</v>
      </c>
      <c r="N5015">
        <v>-1.493747E-2</v>
      </c>
      <c r="O5015">
        <v>1.7395689999999901E-3</v>
      </c>
      <c r="P5015">
        <v>-0.90700130000000001</v>
      </c>
      <c r="Q5015">
        <v>0.24831429999999999</v>
      </c>
      <c r="R5015">
        <v>0.3401305</v>
      </c>
      <c r="S5015">
        <v>-2.5067750000000002</v>
      </c>
      <c r="T5015">
        <v>0.33089669999999999</v>
      </c>
      <c r="U5015">
        <v>1.865524</v>
      </c>
      <c r="V5015">
        <v>0.33856170000000002</v>
      </c>
      <c r="W5015">
        <v>0.26183119999999999</v>
      </c>
      <c r="X5015">
        <v>0.90378119999999995</v>
      </c>
      <c r="Y5015">
        <v>0.59283030000000003</v>
      </c>
      <c r="Z5015">
        <v>-2.9574980000000001E-2</v>
      </c>
      <c r="AA5015">
        <v>0.80478419999999995</v>
      </c>
      <c r="AB5015">
        <v>38</v>
      </c>
      <c r="AC5015">
        <v>-24.423300000000001</v>
      </c>
      <c r="AD5015">
        <v>3.2731430000000001</v>
      </c>
      <c r="AE5015">
        <v>18.452999999999999</v>
      </c>
      <c r="AF5015">
        <v>18.202361661844499</v>
      </c>
      <c r="AG5015">
        <v>3.2731430000000001</v>
      </c>
      <c r="AH5015">
        <v>24.178913350514101</v>
      </c>
      <c r="AI5015">
        <v>83.827402164894394</v>
      </c>
      <c r="AJ5015">
        <v>53.026846754647302</v>
      </c>
      <c r="AK5015">
        <v>30.441078922710801</v>
      </c>
      <c r="AL5015">
        <v>74.821253603884102</v>
      </c>
      <c r="AM5015">
        <v>69.463757625218307</v>
      </c>
      <c r="AN5015">
        <v>1.0000000297368801</v>
      </c>
    </row>
    <row r="5016" spans="1:40" x14ac:dyDescent="0.25">
      <c r="A5016" t="str">
        <f>"20190304164226909"</f>
        <v>20190304164226909</v>
      </c>
      <c r="B5016" t="str">
        <f>"1551688946905908"</f>
        <v>1551688946905908</v>
      </c>
      <c r="C5016" t="s">
        <v>40</v>
      </c>
      <c r="D5016">
        <v>4.3616129999999904</v>
      </c>
      <c r="E5016">
        <v>0.60496369999999999</v>
      </c>
      <c r="F5016" t="s">
        <v>41</v>
      </c>
      <c r="G5016">
        <v>-337.19400000000002</v>
      </c>
      <c r="H5016">
        <v>1.2264280000000001</v>
      </c>
      <c r="I5016">
        <v>141.8845</v>
      </c>
      <c r="J5016">
        <v>-336.85860000000002</v>
      </c>
      <c r="K5016">
        <v>1.1101639999999999</v>
      </c>
      <c r="L5016">
        <v>141.36189999999999</v>
      </c>
      <c r="M5016">
        <v>-0.99988699999999997</v>
      </c>
      <c r="N5016">
        <v>-1.493298E-2</v>
      </c>
      <c r="O5016">
        <v>1.72927E-3</v>
      </c>
      <c r="P5016">
        <v>-0.91038609999999998</v>
      </c>
      <c r="Q5016">
        <v>0.2514594</v>
      </c>
      <c r="R5016">
        <v>0.32858090000000001</v>
      </c>
      <c r="S5016">
        <v>-2.5161440000000002</v>
      </c>
      <c r="T5016">
        <v>0.40377960000000002</v>
      </c>
      <c r="U5016">
        <v>1.815704</v>
      </c>
      <c r="V5016">
        <v>0.327013</v>
      </c>
      <c r="W5016">
        <v>0.26502589999999998</v>
      </c>
      <c r="X5016">
        <v>0.90709640000000002</v>
      </c>
      <c r="Y5016">
        <v>0.57951709999999901</v>
      </c>
      <c r="Z5016">
        <v>-3.638607E-2</v>
      </c>
      <c r="AA5016">
        <v>0.81414739999999997</v>
      </c>
      <c r="AB5016">
        <v>38</v>
      </c>
      <c r="AC5016">
        <v>-0.33539999999999198</v>
      </c>
      <c r="AD5016">
        <v>0.11626400000000001</v>
      </c>
      <c r="AE5016">
        <v>0.52260000000001094</v>
      </c>
      <c r="AF5016">
        <v>0.504339569257372</v>
      </c>
      <c r="AG5016">
        <v>0.11626400000000001</v>
      </c>
      <c r="AH5016">
        <v>0.32491349642341799</v>
      </c>
      <c r="AI5016">
        <v>79.032432400470498</v>
      </c>
      <c r="AJ5016">
        <v>32.791075153705101</v>
      </c>
      <c r="AK5016">
        <v>0.61110105463237596</v>
      </c>
      <c r="AL5016">
        <v>74.631509070972896</v>
      </c>
      <c r="AM5016">
        <v>70.175501197488998</v>
      </c>
      <c r="AN5016">
        <v>1.0000000543663801</v>
      </c>
    </row>
    <row r="5017" spans="1:40" x14ac:dyDescent="0.25">
      <c r="A5017" t="str">
        <f>"20190304164226932"</f>
        <v>20190304164226932</v>
      </c>
      <c r="B5017" t="str">
        <f>"1551688946926404"</f>
        <v>1551688946926404</v>
      </c>
      <c r="C5017" t="s">
        <v>40</v>
      </c>
      <c r="D5017">
        <v>4.3912339999999999</v>
      </c>
      <c r="E5017">
        <v>0.60437859999999999</v>
      </c>
      <c r="F5017" t="s">
        <v>41</v>
      </c>
      <c r="G5017">
        <v>-337.53300000000002</v>
      </c>
      <c r="H5017">
        <v>1.229454</v>
      </c>
      <c r="I5017">
        <v>141.83709999999999</v>
      </c>
      <c r="J5017">
        <v>-337.24279999999999</v>
      </c>
      <c r="K5017">
        <v>1.110188</v>
      </c>
      <c r="L5017">
        <v>141.36250000000001</v>
      </c>
      <c r="M5017">
        <v>-0.99988719999999998</v>
      </c>
      <c r="N5017">
        <v>-1.492859E-2</v>
      </c>
      <c r="O5017">
        <v>1.71131E-3</v>
      </c>
      <c r="P5017">
        <v>-0.91290629999999995</v>
      </c>
      <c r="Q5017">
        <v>0.2554632</v>
      </c>
      <c r="R5017">
        <v>0.31834059999999997</v>
      </c>
      <c r="S5017">
        <v>-2.5286559999999998</v>
      </c>
      <c r="T5017">
        <v>0.44728400000000001</v>
      </c>
      <c r="U5017">
        <v>1.781738</v>
      </c>
      <c r="V5017">
        <v>0.31678070000000003</v>
      </c>
      <c r="W5017">
        <v>0.26906780000000002</v>
      </c>
      <c r="X5017">
        <v>0.90953419999999896</v>
      </c>
      <c r="Y5017">
        <v>0.56936759999999997</v>
      </c>
      <c r="Z5017">
        <v>-4.0051410000000003E-2</v>
      </c>
      <c r="AA5017">
        <v>0.82110689999999997</v>
      </c>
      <c r="AB5017">
        <v>38</v>
      </c>
      <c r="AC5017">
        <v>-0.29020000000002699</v>
      </c>
      <c r="AD5017">
        <v>0.119266</v>
      </c>
      <c r="AE5017">
        <v>0.47459999999998098</v>
      </c>
      <c r="AF5017">
        <v>0.45326816403818498</v>
      </c>
      <c r="AG5017">
        <v>0.119266</v>
      </c>
      <c r="AH5017">
        <v>0.278223322860779</v>
      </c>
      <c r="AI5017">
        <v>77.360573720823993</v>
      </c>
      <c r="AJ5017">
        <v>31.542274829077201</v>
      </c>
      <c r="AK5017">
        <v>0.54505469878741597</v>
      </c>
      <c r="AL5017">
        <v>74.391196572555202</v>
      </c>
      <c r="AM5017">
        <v>70.797338123294296</v>
      </c>
      <c r="AN5017">
        <v>0.99999997692948395</v>
      </c>
    </row>
    <row r="5018" spans="1:40" x14ac:dyDescent="0.25">
      <c r="A5018" t="str">
        <f>"20190304164226954"</f>
        <v>20190304164226954</v>
      </c>
      <c r="B5018" t="str">
        <f>"1551688946945924"</f>
        <v>1551688946945924</v>
      </c>
      <c r="C5018" t="s">
        <v>40</v>
      </c>
      <c r="D5018">
        <v>4.3778160000000002</v>
      </c>
      <c r="E5018">
        <v>0.60496890000000003</v>
      </c>
      <c r="F5018" t="s">
        <v>41</v>
      </c>
      <c r="G5018">
        <v>-337.8716</v>
      </c>
      <c r="H5018">
        <v>1.23098</v>
      </c>
      <c r="I5018">
        <v>141.79570000000001</v>
      </c>
      <c r="J5018">
        <v>-337.62200000000001</v>
      </c>
      <c r="K5018">
        <v>1.1102209999999999</v>
      </c>
      <c r="L5018">
        <v>141.3631</v>
      </c>
      <c r="M5018">
        <v>-0.99988730000000003</v>
      </c>
      <c r="N5018">
        <v>-1.492428E-2</v>
      </c>
      <c r="O5018">
        <v>1.6854610000000001E-3</v>
      </c>
      <c r="P5018">
        <v>-0.91530800000000001</v>
      </c>
      <c r="Q5018">
        <v>0.25967970000000001</v>
      </c>
      <c r="R5018">
        <v>0.30785980000000002</v>
      </c>
      <c r="S5018">
        <v>-2.5397949999999998</v>
      </c>
      <c r="T5018">
        <v>0.4878807</v>
      </c>
      <c r="U5018">
        <v>1.749023</v>
      </c>
      <c r="V5018">
        <v>0.30631459999999999</v>
      </c>
      <c r="W5018">
        <v>0.27332109999999998</v>
      </c>
      <c r="X5018">
        <v>0.91184810000000005</v>
      </c>
      <c r="Y5018">
        <v>0.55957000000000001</v>
      </c>
      <c r="Z5018">
        <v>-4.3302090000000001E-2</v>
      </c>
      <c r="AA5018">
        <v>0.82765109999999997</v>
      </c>
      <c r="AB5018">
        <v>38</v>
      </c>
      <c r="AC5018">
        <v>-0.24960000000004301</v>
      </c>
      <c r="AD5018">
        <v>0.12075900000000001</v>
      </c>
      <c r="AE5018">
        <v>0.43260000000000698</v>
      </c>
      <c r="AF5018">
        <v>0.40830844016645301</v>
      </c>
      <c r="AG5018">
        <v>0.12075900000000001</v>
      </c>
      <c r="AH5018">
        <v>0.23650262617978801</v>
      </c>
      <c r="AI5018">
        <v>75.644818289533305</v>
      </c>
      <c r="AJ5018">
        <v>30.080513079179099</v>
      </c>
      <c r="AK5018">
        <v>0.48706468829314498</v>
      </c>
      <c r="AL5018">
        <v>74.138012484153606</v>
      </c>
      <c r="AM5018">
        <v>71.431398388224594</v>
      </c>
      <c r="AN5018">
        <v>1.0000000076759901</v>
      </c>
    </row>
    <row r="5019" spans="1:40" x14ac:dyDescent="0.25">
      <c r="A5019" t="str">
        <f>"20190304164226977"</f>
        <v>20190304164226977</v>
      </c>
      <c r="B5019" t="str">
        <f>"1551688946966420"</f>
        <v>1551688946966420</v>
      </c>
      <c r="C5019" t="s">
        <v>40</v>
      </c>
      <c r="D5019">
        <v>4.3515319999999997</v>
      </c>
      <c r="E5019">
        <v>0.60580710000000004</v>
      </c>
      <c r="F5019" t="s">
        <v>41</v>
      </c>
      <c r="G5019">
        <v>-338.2097</v>
      </c>
      <c r="H5019">
        <v>1.23166</v>
      </c>
      <c r="I5019">
        <v>141.76089999999999</v>
      </c>
      <c r="J5019">
        <v>-337.99689999999998</v>
      </c>
      <c r="K5019">
        <v>1.1102449999999999</v>
      </c>
      <c r="L5019">
        <v>141.36359999999999</v>
      </c>
      <c r="M5019">
        <v>-0.99988739999999998</v>
      </c>
      <c r="N5019">
        <v>-1.4920009999999999E-2</v>
      </c>
      <c r="O5019">
        <v>1.6513210000000001E-3</v>
      </c>
      <c r="P5019">
        <v>-0.91893100000000005</v>
      </c>
      <c r="Q5019">
        <v>0.26266529999999999</v>
      </c>
      <c r="R5019">
        <v>0.29423270000000001</v>
      </c>
      <c r="S5019">
        <v>-2.5481569999999998</v>
      </c>
      <c r="T5019">
        <v>0.52652129999999997</v>
      </c>
      <c r="U5019">
        <v>1.724548</v>
      </c>
      <c r="V5019">
        <v>0.29270770000000002</v>
      </c>
      <c r="W5019">
        <v>0.27636110000000003</v>
      </c>
      <c r="X5019">
        <v>0.91539429999999999</v>
      </c>
      <c r="Y5019">
        <v>0.55189529999999998</v>
      </c>
      <c r="Z5019">
        <v>-4.6392210000000003E-2</v>
      </c>
      <c r="AA5019">
        <v>0.83262199999999997</v>
      </c>
      <c r="AB5019">
        <v>38</v>
      </c>
      <c r="AC5019">
        <v>-0.212800000000015</v>
      </c>
      <c r="AD5019">
        <v>0.121414999999999</v>
      </c>
      <c r="AE5019">
        <v>0.39730000000000099</v>
      </c>
      <c r="AF5019">
        <v>0.370089908091705</v>
      </c>
      <c r="AG5019">
        <v>0.121414999999999</v>
      </c>
      <c r="AH5019">
        <v>0.199013103220886</v>
      </c>
      <c r="AI5019">
        <v>73.8837794048452</v>
      </c>
      <c r="AJ5019">
        <v>28.268812083725798</v>
      </c>
      <c r="AK5019">
        <v>0.43739496744925299</v>
      </c>
      <c r="AL5019">
        <v>73.956856567579706</v>
      </c>
      <c r="AM5019">
        <v>72.267733725518397</v>
      </c>
      <c r="AN5019">
        <v>0.99999998985249505</v>
      </c>
    </row>
    <row r="5020" spans="1:40" x14ac:dyDescent="0.25">
      <c r="A5020" t="str">
        <f>"20190304164226998"</f>
        <v>20190304164226998</v>
      </c>
      <c r="B5020" t="str">
        <f>"1551688946985939"</f>
        <v>1551688946985939</v>
      </c>
      <c r="C5020" t="s">
        <v>40</v>
      </c>
      <c r="D5020">
        <v>4.3358439999999998</v>
      </c>
      <c r="E5020">
        <v>0.60669119999999999</v>
      </c>
      <c r="F5020" t="s">
        <v>41</v>
      </c>
      <c r="G5020">
        <v>-338.54739999999998</v>
      </c>
      <c r="H5020">
        <v>1.228375</v>
      </c>
      <c r="I5020">
        <v>141.72710000000001</v>
      </c>
      <c r="J5020">
        <v>-338.36720000000003</v>
      </c>
      <c r="K5020">
        <v>1.110269</v>
      </c>
      <c r="L5020">
        <v>141.36410000000001</v>
      </c>
      <c r="M5020">
        <v>-0.99988750000000004</v>
      </c>
      <c r="N5020">
        <v>-1.4915919999999999E-2</v>
      </c>
      <c r="O5020">
        <v>1.608777E-3</v>
      </c>
      <c r="P5020">
        <v>-0.92389370000000004</v>
      </c>
      <c r="Q5020">
        <v>0.26489740000000001</v>
      </c>
      <c r="R5020">
        <v>0.27613349999999998</v>
      </c>
      <c r="S5020">
        <v>-2.5652469999999998</v>
      </c>
      <c r="T5020">
        <v>0.55043390000000003</v>
      </c>
      <c r="U5020">
        <v>1.692993</v>
      </c>
      <c r="V5020">
        <v>0.2746345</v>
      </c>
      <c r="W5020">
        <v>0.2786669</v>
      </c>
      <c r="X5020">
        <v>0.92028290000000001</v>
      </c>
      <c r="Y5020">
        <v>0.54168490000000002</v>
      </c>
      <c r="Z5020">
        <v>-4.7656539999999997E-2</v>
      </c>
      <c r="AA5020">
        <v>0.83922960000000002</v>
      </c>
      <c r="AB5020">
        <v>38</v>
      </c>
      <c r="AC5020">
        <v>-0.18019999999995601</v>
      </c>
      <c r="AD5020">
        <v>0.118106</v>
      </c>
      <c r="AE5020">
        <v>0.36299999999999899</v>
      </c>
      <c r="AF5020">
        <v>0.334316060575159</v>
      </c>
      <c r="AG5020">
        <v>0.118106</v>
      </c>
      <c r="AH5020">
        <v>0.166631747234077</v>
      </c>
      <c r="AI5020">
        <v>72.454143228932594</v>
      </c>
      <c r="AJ5020">
        <v>26.492849366428999</v>
      </c>
      <c r="AK5020">
        <v>0.39176829220953402</v>
      </c>
      <c r="AL5020">
        <v>73.819342472297393</v>
      </c>
      <c r="AM5020">
        <v>73.383634232918396</v>
      </c>
      <c r="AN5020">
        <v>0.99999998288913405</v>
      </c>
    </row>
    <row r="5021" spans="1:40" x14ac:dyDescent="0.25">
      <c r="A5021" t="str">
        <f>"20190304164227021"</f>
        <v>20190304164227021</v>
      </c>
      <c r="B5021" t="str">
        <f>"1551688947016197"</f>
        <v>1551688947016197</v>
      </c>
      <c r="C5021" t="s">
        <v>40</v>
      </c>
      <c r="D5021">
        <v>4.3777799999999996</v>
      </c>
      <c r="E5021">
        <v>0.60884930000000004</v>
      </c>
      <c r="F5021" t="s">
        <v>41</v>
      </c>
      <c r="G5021">
        <v>-338.88470000000001</v>
      </c>
      <c r="H5021">
        <v>1.2224969999999999</v>
      </c>
      <c r="I5021">
        <v>141.6935</v>
      </c>
      <c r="J5021">
        <v>-338.75279999999998</v>
      </c>
      <c r="K5021">
        <v>1.1102879999999999</v>
      </c>
      <c r="L5021">
        <v>141.3646</v>
      </c>
      <c r="M5021">
        <v>-0.99988750000000004</v>
      </c>
      <c r="N5021">
        <v>-1.4911580000000001E-2</v>
      </c>
      <c r="O5021">
        <v>1.5561069999999999E-3</v>
      </c>
      <c r="P5021">
        <v>-0.9289693</v>
      </c>
      <c r="Q5021">
        <v>0.26610230000000001</v>
      </c>
      <c r="R5021">
        <v>0.25730429999999999</v>
      </c>
      <c r="S5021">
        <v>-2.5928650000000002</v>
      </c>
      <c r="T5021">
        <v>0.56228069999999997</v>
      </c>
      <c r="U5021">
        <v>1.6496280000000001</v>
      </c>
      <c r="V5021">
        <v>0.25584099999999999</v>
      </c>
      <c r="W5021">
        <v>0.27994659999999999</v>
      </c>
      <c r="X5021">
        <v>0.92529740000000005</v>
      </c>
      <c r="Y5021">
        <v>0.52752980000000005</v>
      </c>
      <c r="Z5021">
        <v>-4.7260719999999999E-2</v>
      </c>
      <c r="AA5021">
        <v>0.84822090000000006</v>
      </c>
      <c r="AB5021">
        <v>38</v>
      </c>
      <c r="AC5021">
        <v>-0.13190000000002999</v>
      </c>
      <c r="AD5021">
        <v>0.112208999999999</v>
      </c>
      <c r="AE5021">
        <v>0.32890000000000402</v>
      </c>
      <c r="AF5021">
        <v>0.29874040575119198</v>
      </c>
      <c r="AG5021">
        <v>0.112208999999999</v>
      </c>
      <c r="AH5021">
        <v>0.120345019125299</v>
      </c>
      <c r="AI5021">
        <v>70.791664708457105</v>
      </c>
      <c r="AJ5021">
        <v>21.941619469187199</v>
      </c>
      <c r="AK5021">
        <v>0.34105661309767199</v>
      </c>
      <c r="AL5021">
        <v>73.742982298288098</v>
      </c>
      <c r="AM5021">
        <v>74.544092914678501</v>
      </c>
      <c r="AN5021">
        <v>0.99999999728965905</v>
      </c>
    </row>
    <row r="5022" spans="1:40" x14ac:dyDescent="0.25">
      <c r="A5022" t="str">
        <f>"20190304164227043"</f>
        <v>20190304164227043</v>
      </c>
      <c r="B5022" t="str">
        <f>"1551688947035715"</f>
        <v>1551688947035715</v>
      </c>
      <c r="C5022" t="s">
        <v>40</v>
      </c>
      <c r="D5022">
        <v>4.3363199999999997</v>
      </c>
      <c r="E5022">
        <v>0.61032189999999997</v>
      </c>
      <c r="F5022" t="s">
        <v>41</v>
      </c>
      <c r="G5022">
        <v>-339.22160000000002</v>
      </c>
      <c r="H5022">
        <v>1.213686</v>
      </c>
      <c r="I5022">
        <v>141.654</v>
      </c>
      <c r="J5022">
        <v>-339.1259</v>
      </c>
      <c r="K5022">
        <v>1.110306</v>
      </c>
      <c r="L5022">
        <v>141.36500000000001</v>
      </c>
      <c r="M5022">
        <v>-0.99988770000000005</v>
      </c>
      <c r="N5022">
        <v>-1.4907129999999999E-2</v>
      </c>
      <c r="O5022">
        <v>1.498578E-3</v>
      </c>
      <c r="P5022">
        <v>-0.93303789999999998</v>
      </c>
      <c r="Q5022">
        <v>0.2678663</v>
      </c>
      <c r="R5022">
        <v>0.2401828</v>
      </c>
      <c r="S5022">
        <v>-2.6170960000000001</v>
      </c>
      <c r="T5022">
        <v>0.57712569999999996</v>
      </c>
      <c r="U5022">
        <v>1.6137539999999999</v>
      </c>
      <c r="V5022">
        <v>0.2387628</v>
      </c>
      <c r="W5022">
        <v>0.28176889999999999</v>
      </c>
      <c r="X5022">
        <v>0.92930009999999996</v>
      </c>
      <c r="Y5022">
        <v>0.51539480000000004</v>
      </c>
      <c r="Z5022">
        <v>-4.7269310000000002E-2</v>
      </c>
      <c r="AA5022">
        <v>0.85564819999999997</v>
      </c>
      <c r="AB5022">
        <v>38</v>
      </c>
      <c r="AC5022">
        <v>-9.5700000000022101E-2</v>
      </c>
      <c r="AD5022">
        <v>0.10338</v>
      </c>
      <c r="AE5022">
        <v>0.28899999999998699</v>
      </c>
      <c r="AF5022">
        <v>0.25899050655649097</v>
      </c>
      <c r="AG5022">
        <v>0.10338</v>
      </c>
      <c r="AH5022">
        <v>8.61935389849844E-2</v>
      </c>
      <c r="AI5022">
        <v>69.256255330567996</v>
      </c>
      <c r="AJ5022">
        <v>18.407740883682902</v>
      </c>
      <c r="AK5022">
        <v>0.29187811334381297</v>
      </c>
      <c r="AL5022">
        <v>73.634193940071995</v>
      </c>
      <c r="AM5022">
        <v>75.590798434537305</v>
      </c>
      <c r="AN5022">
        <v>1.00000003176552</v>
      </c>
    </row>
    <row r="5023" spans="1:40" x14ac:dyDescent="0.25">
      <c r="A5023" t="str">
        <f>"20190304164227064"</f>
        <v>20190304164227064</v>
      </c>
      <c r="B5023" t="str">
        <f>"1551688947056211"</f>
        <v>1551688947056211</v>
      </c>
      <c r="C5023" t="s">
        <v>40</v>
      </c>
      <c r="D5023">
        <v>4.2888580000000003</v>
      </c>
      <c r="E5023">
        <v>0.62954659999999996</v>
      </c>
      <c r="F5023" t="s">
        <v>48</v>
      </c>
      <c r="G5023">
        <v>-512.8383</v>
      </c>
      <c r="H5023">
        <v>39.41769</v>
      </c>
      <c r="I5023">
        <v>245.0598</v>
      </c>
      <c r="J5023">
        <v>-339.48899999999998</v>
      </c>
      <c r="K5023">
        <v>1.110322</v>
      </c>
      <c r="L5023">
        <v>141.36539999999999</v>
      </c>
      <c r="M5023">
        <v>-0.99988790000000005</v>
      </c>
      <c r="N5023">
        <v>-1.490296E-2</v>
      </c>
      <c r="O5023">
        <v>1.438918E-3</v>
      </c>
      <c r="P5023">
        <v>-0.93664309999999995</v>
      </c>
      <c r="Q5023">
        <v>0.26993430000000002</v>
      </c>
      <c r="R5023">
        <v>0.22323860000000001</v>
      </c>
      <c r="S5023">
        <v>-2.6420590000000002</v>
      </c>
      <c r="T5023">
        <v>0.58263229999999999</v>
      </c>
      <c r="U5023">
        <v>1.5771329999999999</v>
      </c>
      <c r="V5023">
        <v>0.2218657</v>
      </c>
      <c r="W5023">
        <v>0.28388740000000001</v>
      </c>
      <c r="X5023">
        <v>0.93283629999999995</v>
      </c>
      <c r="Y5023">
        <v>0.5031774</v>
      </c>
      <c r="Z5023">
        <v>-4.6401650000000003E-2</v>
      </c>
      <c r="AA5023">
        <v>0.8629365</v>
      </c>
      <c r="AB5023">
        <v>38</v>
      </c>
      <c r="AC5023">
        <v>-173.349299999999</v>
      </c>
      <c r="AD5023">
        <v>38.307367999999997</v>
      </c>
      <c r="AE5023">
        <v>103.6944</v>
      </c>
      <c r="AF5023">
        <v>99.853613308946905</v>
      </c>
      <c r="AG5023">
        <v>38.307367999999997</v>
      </c>
      <c r="AH5023">
        <v>167.475133534805</v>
      </c>
      <c r="AI5023">
        <v>78.884982434430995</v>
      </c>
      <c r="AJ5023">
        <v>59.195356531747599</v>
      </c>
      <c r="AK5023">
        <v>198.711144343846</v>
      </c>
      <c r="AL5023">
        <v>73.507645447731093</v>
      </c>
      <c r="AM5023">
        <v>76.621347530383105</v>
      </c>
      <c r="AN5023">
        <v>1.00000000365647</v>
      </c>
    </row>
    <row r="5024" spans="1:40" x14ac:dyDescent="0.25">
      <c r="A5024" t="str">
        <f>"20190304164227087"</f>
        <v>20190304164227087</v>
      </c>
      <c r="B5024" t="str">
        <f>"1551688947075733"</f>
        <v>1551688947075733</v>
      </c>
      <c r="C5024" t="s">
        <v>40</v>
      </c>
      <c r="D5024">
        <v>4.2759340000000003</v>
      </c>
      <c r="E5024">
        <v>0.63214809999999999</v>
      </c>
      <c r="F5024" t="s">
        <v>48</v>
      </c>
      <c r="G5024">
        <v>-511.9708</v>
      </c>
      <c r="H5024">
        <v>36.709859999999999</v>
      </c>
      <c r="I5024">
        <v>250.84309999999999</v>
      </c>
      <c r="J5024">
        <v>-339.85919999999999</v>
      </c>
      <c r="K5024">
        <v>1.1103400000000001</v>
      </c>
      <c r="L5024">
        <v>141.36580000000001</v>
      </c>
      <c r="M5024">
        <v>-0.9998882</v>
      </c>
      <c r="N5024">
        <v>-1.489889E-2</v>
      </c>
      <c r="O5024">
        <v>1.3753459999999999E-3</v>
      </c>
      <c r="P5024">
        <v>-0.94108999999999998</v>
      </c>
      <c r="Q5024">
        <v>0.27113229999999999</v>
      </c>
      <c r="R5024">
        <v>0.20208209999999999</v>
      </c>
      <c r="S5024">
        <v>-2.6453859999999998</v>
      </c>
      <c r="T5024">
        <v>0.54599709999999901</v>
      </c>
      <c r="U5024">
        <v>1.6790769999999999</v>
      </c>
      <c r="V5024">
        <v>0.20075970000000001</v>
      </c>
      <c r="W5024">
        <v>0.28514679999999998</v>
      </c>
      <c r="X5024">
        <v>0.93722300000000003</v>
      </c>
      <c r="Y5024">
        <v>0.52754319999999999</v>
      </c>
      <c r="Z5024">
        <v>-4.4876550000000001E-2</v>
      </c>
      <c r="AA5024">
        <v>0.84834209999999999</v>
      </c>
      <c r="AB5024">
        <v>38</v>
      </c>
      <c r="AC5024">
        <v>-172.11160000000001</v>
      </c>
      <c r="AD5024">
        <v>35.599519999999998</v>
      </c>
      <c r="AE5024">
        <v>109.4773</v>
      </c>
      <c r="AF5024">
        <v>106.011460643376</v>
      </c>
      <c r="AG5024">
        <v>35.599519999999998</v>
      </c>
      <c r="AH5024">
        <v>167.170196333577</v>
      </c>
      <c r="AI5024">
        <v>79.804865287727395</v>
      </c>
      <c r="AJ5024">
        <v>57.6190553081003</v>
      </c>
      <c r="AK5024">
        <v>201.12590622338899</v>
      </c>
      <c r="AL5024">
        <v>73.432377181742893</v>
      </c>
      <c r="AM5024">
        <v>77.909556576640497</v>
      </c>
      <c r="AN5024">
        <v>1.00000005321166</v>
      </c>
    </row>
    <row r="5025" spans="1:40" x14ac:dyDescent="0.25">
      <c r="A5025" t="str">
        <f>"20190304164227109"</f>
        <v>20190304164227109</v>
      </c>
      <c r="B5025" t="str">
        <f>"1551688947105988"</f>
        <v>1551688947105988</v>
      </c>
      <c r="C5025" t="s">
        <v>40</v>
      </c>
      <c r="D5025">
        <v>4.2293329999999996</v>
      </c>
      <c r="E5025">
        <v>0.63667640000000003</v>
      </c>
      <c r="F5025" t="s">
        <v>48</v>
      </c>
      <c r="G5025">
        <v>-512.83720000000005</v>
      </c>
      <c r="H5025">
        <v>36.361539999999998</v>
      </c>
      <c r="I5025">
        <v>247.24719999999999</v>
      </c>
      <c r="J5025">
        <v>-340.24299999999999</v>
      </c>
      <c r="K5025">
        <v>1.1103499999999999</v>
      </c>
      <c r="L5025">
        <v>141.36619999999999</v>
      </c>
      <c r="M5025">
        <v>-0.99988840000000001</v>
      </c>
      <c r="N5025">
        <v>-1.4894660000000001E-2</v>
      </c>
      <c r="O5025">
        <v>1.3084500000000001E-3</v>
      </c>
      <c r="P5025">
        <v>-0.94546640000000004</v>
      </c>
      <c r="Q5025">
        <v>0.27145859999999999</v>
      </c>
      <c r="R5025">
        <v>0.18001110000000001</v>
      </c>
      <c r="S5025">
        <v>-2.6784669999999999</v>
      </c>
      <c r="T5025">
        <v>0.54584540000000004</v>
      </c>
      <c r="U5025">
        <v>1.6395109999999999</v>
      </c>
      <c r="V5025">
        <v>0.17874409999999999</v>
      </c>
      <c r="W5025">
        <v>0.28553299999999998</v>
      </c>
      <c r="X5025">
        <v>0.94155270000000002</v>
      </c>
      <c r="Y5025">
        <v>0.51398840000000001</v>
      </c>
      <c r="Z5025">
        <v>-4.3409509999999998E-2</v>
      </c>
      <c r="AA5025">
        <v>0.85669810000000002</v>
      </c>
      <c r="AB5025">
        <v>38</v>
      </c>
      <c r="AC5025">
        <v>-172.5942</v>
      </c>
      <c r="AD5025">
        <v>35.251190000000001</v>
      </c>
      <c r="AE5025">
        <v>105.881</v>
      </c>
      <c r="AF5025">
        <v>102.546979032542</v>
      </c>
      <c r="AG5025">
        <v>35.251190000000001</v>
      </c>
      <c r="AH5025">
        <v>167.65130022077699</v>
      </c>
      <c r="AI5025">
        <v>79.830950902780501</v>
      </c>
      <c r="AJ5025">
        <v>58.547197872570401</v>
      </c>
      <c r="AK5025">
        <v>199.663436239172</v>
      </c>
      <c r="AL5025">
        <v>73.409289107762504</v>
      </c>
      <c r="AM5025">
        <v>79.250896625717999</v>
      </c>
      <c r="AN5025">
        <v>1.0000000171255401</v>
      </c>
    </row>
    <row r="5026" spans="1:40" x14ac:dyDescent="0.25">
      <c r="A5026" t="str">
        <f>"20190304164227132"</f>
        <v>20190304164227132</v>
      </c>
      <c r="B5026" t="str">
        <f>"1551688947126483"</f>
        <v>1551688947126483</v>
      </c>
      <c r="C5026" t="s">
        <v>40</v>
      </c>
      <c r="D5026">
        <v>4.2355269999999896</v>
      </c>
      <c r="E5026">
        <v>0.65160719999999905</v>
      </c>
      <c r="F5026" t="s">
        <v>41</v>
      </c>
      <c r="G5026">
        <v>-340.9008</v>
      </c>
      <c r="H5026">
        <v>1.242575</v>
      </c>
      <c r="I5026">
        <v>141.7578</v>
      </c>
      <c r="J5026">
        <v>-340.6173</v>
      </c>
      <c r="K5026">
        <v>1.110358</v>
      </c>
      <c r="L5026">
        <v>141.36660000000001</v>
      </c>
      <c r="M5026">
        <v>-0.99988840000000001</v>
      </c>
      <c r="N5026">
        <v>-1.489063E-2</v>
      </c>
      <c r="O5026">
        <v>1.2427580000000001E-3</v>
      </c>
      <c r="P5026">
        <v>-0.94791250000000005</v>
      </c>
      <c r="Q5026">
        <v>0.27279989999999998</v>
      </c>
      <c r="R5026">
        <v>0.16444539999999999</v>
      </c>
      <c r="S5026">
        <v>-2.7096559999999998</v>
      </c>
      <c r="T5026">
        <v>0.54465889999999995</v>
      </c>
      <c r="U5026">
        <v>1.6124270000000001</v>
      </c>
      <c r="V5026">
        <v>0.16323570000000001</v>
      </c>
      <c r="W5026">
        <v>0.28690549999999998</v>
      </c>
      <c r="X5026">
        <v>0.94394880000000003</v>
      </c>
      <c r="Y5026">
        <v>0.50356859999999903</v>
      </c>
      <c r="Z5026">
        <v>-4.2108779999999998E-2</v>
      </c>
      <c r="AA5026">
        <v>0.86292849999999999</v>
      </c>
      <c r="AB5026">
        <v>38</v>
      </c>
      <c r="AC5026">
        <v>-0.28350000000000303</v>
      </c>
      <c r="AD5026">
        <v>0.132217</v>
      </c>
      <c r="AE5026">
        <v>0.39119999999999699</v>
      </c>
      <c r="AF5026">
        <v>0.36361426523543999</v>
      </c>
      <c r="AG5026">
        <v>0.132217</v>
      </c>
      <c r="AH5026">
        <v>0.26419870790848099</v>
      </c>
      <c r="AI5026">
        <v>73.607851743793901</v>
      </c>
      <c r="AJ5026">
        <v>36.001802764844697</v>
      </c>
      <c r="AK5026">
        <v>0.468505737672678</v>
      </c>
      <c r="AL5026">
        <v>73.327216768713299</v>
      </c>
      <c r="AM5026">
        <v>80.188953305784807</v>
      </c>
      <c r="AN5026">
        <v>0.99999999835308995</v>
      </c>
    </row>
    <row r="5027" spans="1:40" x14ac:dyDescent="0.25">
      <c r="A5027" t="str">
        <f>"20190304164227153"</f>
        <v>20190304164227153</v>
      </c>
      <c r="B5027" t="str">
        <f>"1551688947146004"</f>
        <v>1551688947146004</v>
      </c>
      <c r="C5027" t="s">
        <v>40</v>
      </c>
      <c r="D5027">
        <v>4.2314980000000002</v>
      </c>
      <c r="E5027">
        <v>0.65508129999999998</v>
      </c>
      <c r="F5027" t="s">
        <v>41</v>
      </c>
      <c r="G5027">
        <v>-341.2353</v>
      </c>
      <c r="H5027">
        <v>1.2341439999999999</v>
      </c>
      <c r="I5027">
        <v>141.75030000000001</v>
      </c>
      <c r="J5027">
        <v>-340.97809999999998</v>
      </c>
      <c r="K5027">
        <v>1.1103700000000001</v>
      </c>
      <c r="L5027">
        <v>141.36689999999999</v>
      </c>
      <c r="M5027">
        <v>-0.99988849999999996</v>
      </c>
      <c r="N5027">
        <v>-1.4886750000000001E-2</v>
      </c>
      <c r="O5027">
        <v>1.1793999999999999E-3</v>
      </c>
      <c r="P5027">
        <v>-0.94934730000000001</v>
      </c>
      <c r="Q5027">
        <v>0.27472760000000002</v>
      </c>
      <c r="R5027">
        <v>0.1525271</v>
      </c>
      <c r="S5027">
        <v>-2.7158199999999999</v>
      </c>
      <c r="T5027">
        <v>0.54391339999999999</v>
      </c>
      <c r="U5027">
        <v>1.6858219999999999</v>
      </c>
      <c r="V5027">
        <v>0.15137429999999999</v>
      </c>
      <c r="W5027">
        <v>0.28884939999999998</v>
      </c>
      <c r="X5027">
        <v>0.94533160000000005</v>
      </c>
      <c r="Y5027">
        <v>0.51965479999999997</v>
      </c>
      <c r="Z5027">
        <v>-4.2999179999999998E-2</v>
      </c>
      <c r="AA5027">
        <v>0.85329359999999999</v>
      </c>
      <c r="AB5027">
        <v>37</v>
      </c>
      <c r="AC5027">
        <v>-0.25720000000001098</v>
      </c>
      <c r="AD5027">
        <v>0.123774</v>
      </c>
      <c r="AE5027">
        <v>0.383400000000023</v>
      </c>
      <c r="AF5027">
        <v>0.35740762820631</v>
      </c>
      <c r="AG5027">
        <v>0.123774</v>
      </c>
      <c r="AH5027">
        <v>0.24037505785938801</v>
      </c>
      <c r="AI5027">
        <v>73.967210429157007</v>
      </c>
      <c r="AJ5027">
        <v>33.922865928206498</v>
      </c>
      <c r="AK5027">
        <v>0.44815218867809198</v>
      </c>
      <c r="AL5027">
        <v>73.210916083723305</v>
      </c>
      <c r="AM5027">
        <v>80.902558148236807</v>
      </c>
      <c r="AN5027">
        <v>0.99999999426970498</v>
      </c>
    </row>
    <row r="5028" spans="1:40" x14ac:dyDescent="0.25">
      <c r="A5028" t="str">
        <f>"20190304164227177"</f>
        <v>20190304164227177</v>
      </c>
      <c r="B5028" t="str">
        <f>"1551688947166500"</f>
        <v>1551688947166500</v>
      </c>
      <c r="C5028" t="s">
        <v>40</v>
      </c>
      <c r="D5028">
        <v>4.1732250000000004</v>
      </c>
      <c r="E5028">
        <v>0.65846939999999998</v>
      </c>
      <c r="F5028" t="s">
        <v>41</v>
      </c>
      <c r="G5028">
        <v>-341.56959999999998</v>
      </c>
      <c r="H5028">
        <v>1.2321230000000001</v>
      </c>
      <c r="I5028">
        <v>141.7312</v>
      </c>
      <c r="J5028">
        <v>-341.36180000000002</v>
      </c>
      <c r="K5028">
        <v>1.110371</v>
      </c>
      <c r="L5028">
        <v>141.3672</v>
      </c>
      <c r="M5028">
        <v>-0.99988869999999996</v>
      </c>
      <c r="N5028">
        <v>-1.488252E-2</v>
      </c>
      <c r="O5028">
        <v>1.112175E-3</v>
      </c>
      <c r="P5028">
        <v>-0.95134280000000004</v>
      </c>
      <c r="Q5028">
        <v>0.27576859999999997</v>
      </c>
      <c r="R5028">
        <v>0.13747309999999999</v>
      </c>
      <c r="S5028">
        <v>-2.727722</v>
      </c>
      <c r="T5028">
        <v>0.56145999999999996</v>
      </c>
      <c r="U5028">
        <v>1.6796420000000001</v>
      </c>
      <c r="V5028">
        <v>0.1363808</v>
      </c>
      <c r="W5028">
        <v>0.28991479999999997</v>
      </c>
      <c r="X5028">
        <v>0.94728540000000006</v>
      </c>
      <c r="Y5028">
        <v>0.51626459999999996</v>
      </c>
      <c r="Z5028">
        <v>-4.4072550000000002E-2</v>
      </c>
      <c r="AA5028">
        <v>0.85529439999999901</v>
      </c>
      <c r="AB5028">
        <v>37</v>
      </c>
      <c r="AC5028">
        <v>-0.20779999999996299</v>
      </c>
      <c r="AD5028">
        <v>0.121751999999999</v>
      </c>
      <c r="AE5028">
        <v>0.36400000000000399</v>
      </c>
      <c r="AF5028">
        <v>0.33546243766925599</v>
      </c>
      <c r="AG5028">
        <v>0.121751999999999</v>
      </c>
      <c r="AH5028">
        <v>0.19200355595583199</v>
      </c>
      <c r="AI5028">
        <v>72.515963897593096</v>
      </c>
      <c r="AJ5028">
        <v>29.7848737006988</v>
      </c>
      <c r="AK5028">
        <v>0.40524555776798299</v>
      </c>
      <c r="AL5028">
        <v>73.147144212220596</v>
      </c>
      <c r="AM5028">
        <v>81.807413459673697</v>
      </c>
      <c r="AN5028">
        <v>0.99999997146041897</v>
      </c>
    </row>
    <row r="5029" spans="1:40" x14ac:dyDescent="0.25">
      <c r="A5029" t="str">
        <f>"20190304164227199"</f>
        <v>20190304164227199</v>
      </c>
      <c r="B5029" t="str">
        <f>"1551688947195780"</f>
        <v>1551688947195780</v>
      </c>
      <c r="C5029" t="s">
        <v>40</v>
      </c>
      <c r="D5029">
        <v>4.250883</v>
      </c>
      <c r="E5029">
        <v>0.66208679999999998</v>
      </c>
      <c r="F5029" t="s">
        <v>41</v>
      </c>
      <c r="G5029">
        <v>-341.90339999999998</v>
      </c>
      <c r="H5029">
        <v>1.223184</v>
      </c>
      <c r="I5029">
        <v>141.69550000000001</v>
      </c>
      <c r="J5029">
        <v>-341.73489999999998</v>
      </c>
      <c r="K5029">
        <v>1.110371</v>
      </c>
      <c r="L5029">
        <v>141.36750000000001</v>
      </c>
      <c r="M5029">
        <v>-0.99988880000000002</v>
      </c>
      <c r="N5029">
        <v>-1.487834E-2</v>
      </c>
      <c r="O5029">
        <v>1.046859E-3</v>
      </c>
      <c r="P5029">
        <v>-0.95386320000000002</v>
      </c>
      <c r="Q5029">
        <v>0.27452650000000001</v>
      </c>
      <c r="R5029">
        <v>0.121574</v>
      </c>
      <c r="S5029">
        <v>-2.747223</v>
      </c>
      <c r="T5029">
        <v>0.57207980000000003</v>
      </c>
      <c r="U5029">
        <v>1.6634059999999999</v>
      </c>
      <c r="V5029">
        <v>0.12054040000000001</v>
      </c>
      <c r="W5029">
        <v>0.28870420000000002</v>
      </c>
      <c r="X5029">
        <v>0.94979990000000003</v>
      </c>
      <c r="Y5029">
        <v>0.50977079999999997</v>
      </c>
      <c r="Z5029">
        <v>-4.4201280000000003E-2</v>
      </c>
      <c r="AA5029">
        <v>0.85917399999999999</v>
      </c>
      <c r="AB5029">
        <v>37</v>
      </c>
      <c r="AC5029">
        <v>-0.16849999999999399</v>
      </c>
      <c r="AD5029">
        <v>0.112813</v>
      </c>
      <c r="AE5029">
        <v>0.32800000000000201</v>
      </c>
      <c r="AF5029">
        <v>0.29976658429525299</v>
      </c>
      <c r="AG5029">
        <v>0.112813</v>
      </c>
      <c r="AH5029">
        <v>0.15439283215098901</v>
      </c>
      <c r="AI5029">
        <v>71.501409463032104</v>
      </c>
      <c r="AJ5029">
        <v>27.2504375018699</v>
      </c>
      <c r="AK5029">
        <v>0.35556142176654498</v>
      </c>
      <c r="AL5029">
        <v>73.219605331247394</v>
      </c>
      <c r="AM5029">
        <v>82.767180914479894</v>
      </c>
      <c r="AN5029">
        <v>0.99999997658490403</v>
      </c>
    </row>
    <row r="5030" spans="1:40" x14ac:dyDescent="0.25">
      <c r="A5030" t="str">
        <f>"20190304164227223"</f>
        <v>20190304164227223</v>
      </c>
      <c r="B5030" t="str">
        <f>"1551688947216384"</f>
        <v>1551688947216384</v>
      </c>
      <c r="C5030" t="s">
        <v>40</v>
      </c>
      <c r="D5030">
        <v>4.2366320000000002</v>
      </c>
      <c r="E5030">
        <v>0.67664089999999999</v>
      </c>
      <c r="F5030" t="s">
        <v>41</v>
      </c>
      <c r="G5030">
        <v>-342.23680000000002</v>
      </c>
      <c r="H5030">
        <v>1.212585</v>
      </c>
      <c r="I5030">
        <v>141.66569999999999</v>
      </c>
      <c r="J5030">
        <v>-342.11810000000003</v>
      </c>
      <c r="K5030">
        <v>1.1103730000000001</v>
      </c>
      <c r="L5030">
        <v>141.36779999999999</v>
      </c>
      <c r="M5030">
        <v>-0.99988900000000003</v>
      </c>
      <c r="N5030">
        <v>-1.487408E-2</v>
      </c>
      <c r="O5030">
        <v>9.7862410000000002E-4</v>
      </c>
      <c r="P5030">
        <v>-0.95519900000000002</v>
      </c>
      <c r="Q5030">
        <v>0.27463019999999999</v>
      </c>
      <c r="R5030">
        <v>0.1103321</v>
      </c>
      <c r="S5030">
        <v>-2.7728269999999999</v>
      </c>
      <c r="T5030">
        <v>0.56463090000000005</v>
      </c>
      <c r="U5030">
        <v>1.6458889999999999</v>
      </c>
      <c r="V5030">
        <v>0.1093614</v>
      </c>
      <c r="W5030">
        <v>0.28882259999999998</v>
      </c>
      <c r="X5030">
        <v>0.95111599999999996</v>
      </c>
      <c r="Y5030">
        <v>0.50266189999999999</v>
      </c>
      <c r="Z5030">
        <v>-4.2698560000000003E-2</v>
      </c>
      <c r="AA5030">
        <v>0.86342790000000003</v>
      </c>
      <c r="AB5030">
        <v>37</v>
      </c>
      <c r="AC5030">
        <v>-0.11869999999998899</v>
      </c>
      <c r="AD5030">
        <v>0.102211999999999</v>
      </c>
      <c r="AE5030">
        <v>0.297899999999998</v>
      </c>
      <c r="AF5030">
        <v>0.27032080129429598</v>
      </c>
      <c r="AG5030">
        <v>0.102211999999999</v>
      </c>
      <c r="AH5030">
        <v>0.10801760344287301</v>
      </c>
      <c r="AI5030">
        <v>70.652839738185705</v>
      </c>
      <c r="AJ5030">
        <v>21.781176448064301</v>
      </c>
      <c r="AK5030">
        <v>0.30852622450924999</v>
      </c>
      <c r="AL5030">
        <v>73.212520549563905</v>
      </c>
      <c r="AM5030">
        <v>83.440810757254795</v>
      </c>
      <c r="AN5030">
        <v>1.0000000277683501</v>
      </c>
    </row>
    <row r="5031" spans="1:40" x14ac:dyDescent="0.25">
      <c r="A5031" t="str">
        <f>"20190304164227243"</f>
        <v>20190304164227243</v>
      </c>
      <c r="B5031" t="str">
        <f>"1551688947235904"</f>
        <v>1551688947235904</v>
      </c>
      <c r="C5031" t="s">
        <v>40</v>
      </c>
      <c r="D5031">
        <v>4.2557929999999997</v>
      </c>
      <c r="E5031">
        <v>0.67877569999999998</v>
      </c>
      <c r="F5031" t="s">
        <v>48</v>
      </c>
      <c r="G5031">
        <v>-512.83669999999995</v>
      </c>
      <c r="H5031">
        <v>34.984079999999999</v>
      </c>
      <c r="I5031">
        <v>247.4306</v>
      </c>
      <c r="J5031">
        <v>-342.47370000000001</v>
      </c>
      <c r="K5031">
        <v>1.1103799999999999</v>
      </c>
      <c r="L5031">
        <v>141.36799999999999</v>
      </c>
      <c r="M5031">
        <v>-0.99988909999999998</v>
      </c>
      <c r="N5031">
        <v>-1.4870130000000001E-2</v>
      </c>
      <c r="O5031">
        <v>9.1456000000000003E-4</v>
      </c>
      <c r="P5031">
        <v>-0.95613400000000004</v>
      </c>
      <c r="Q5031">
        <v>0.27474480000000001</v>
      </c>
      <c r="R5031">
        <v>0.1016048</v>
      </c>
      <c r="S5031">
        <v>-2.7823180000000001</v>
      </c>
      <c r="T5031">
        <v>0.55206330000000003</v>
      </c>
      <c r="U5031">
        <v>1.728577</v>
      </c>
      <c r="V5031">
        <v>0.1006937</v>
      </c>
      <c r="W5031">
        <v>0.2889467</v>
      </c>
      <c r="X5031">
        <v>0.95203499999999996</v>
      </c>
      <c r="Y5031">
        <v>0.52032489999999998</v>
      </c>
      <c r="Z5031">
        <v>-4.2673370000000002E-2</v>
      </c>
      <c r="AA5031">
        <v>0.85290149999999998</v>
      </c>
      <c r="AB5031">
        <v>37</v>
      </c>
      <c r="AC5031">
        <v>-170.362999999999</v>
      </c>
      <c r="AD5031">
        <v>33.873699999999999</v>
      </c>
      <c r="AE5031">
        <v>106.0626</v>
      </c>
      <c r="AF5031">
        <v>102.97289359771401</v>
      </c>
      <c r="AG5031">
        <v>33.873699999999999</v>
      </c>
      <c r="AH5031">
        <v>165.737843730972</v>
      </c>
      <c r="AI5031">
        <v>80.151436613571903</v>
      </c>
      <c r="AJ5031">
        <v>58.147322918698698</v>
      </c>
      <c r="AK5031">
        <v>198.04008991153299</v>
      </c>
      <c r="AL5031">
        <v>73.205093502753698</v>
      </c>
      <c r="AM5031">
        <v>83.962454939089397</v>
      </c>
      <c r="AN5031">
        <v>1.00000002894278</v>
      </c>
    </row>
    <row r="5032" spans="1:40" x14ac:dyDescent="0.25">
      <c r="A5032" t="str">
        <f>"20190304164227266"</f>
        <v>20190304164227266</v>
      </c>
      <c r="B5032" t="str">
        <f>"1551688947256400"</f>
        <v>1551688947256400</v>
      </c>
      <c r="C5032" t="s">
        <v>40</v>
      </c>
      <c r="D5032">
        <v>4.2120850000000001</v>
      </c>
      <c r="E5032">
        <v>0.68104140000000002</v>
      </c>
      <c r="F5032" t="s">
        <v>48</v>
      </c>
      <c r="G5032">
        <v>-512.83669999999995</v>
      </c>
      <c r="H5032">
        <v>34.823770000000003</v>
      </c>
      <c r="I5032">
        <v>246.16579999999999</v>
      </c>
      <c r="J5032">
        <v>-342.84390000000002</v>
      </c>
      <c r="K5032">
        <v>1.1103780000000001</v>
      </c>
      <c r="L5032">
        <v>141.3683</v>
      </c>
      <c r="M5032">
        <v>-0.99988909999999998</v>
      </c>
      <c r="N5032">
        <v>-1.4866010000000001E-2</v>
      </c>
      <c r="O5032">
        <v>8.4704419999999999E-4</v>
      </c>
      <c r="P5032">
        <v>-0.95716500000000004</v>
      </c>
      <c r="Q5032">
        <v>0.27413530000000003</v>
      </c>
      <c r="R5032">
        <v>9.3193999999999999E-2</v>
      </c>
      <c r="S5032">
        <v>-2.7958980000000002</v>
      </c>
      <c r="T5032">
        <v>0.55328489999999997</v>
      </c>
      <c r="U5032">
        <v>1.7198789999999999</v>
      </c>
      <c r="V5032">
        <v>9.2345969999999999E-2</v>
      </c>
      <c r="W5032">
        <v>0.28834720000000003</v>
      </c>
      <c r="X5032">
        <v>0.95306250000000003</v>
      </c>
      <c r="Y5032">
        <v>0.51665240000000001</v>
      </c>
      <c r="Z5032">
        <v>-4.2335959999999999E-2</v>
      </c>
      <c r="AA5032">
        <v>0.85514799999999902</v>
      </c>
      <c r="AB5032">
        <v>37</v>
      </c>
      <c r="AC5032">
        <v>-169.99279999999899</v>
      </c>
      <c r="AD5032">
        <v>33.713391999999999</v>
      </c>
      <c r="AE5032">
        <v>104.7975</v>
      </c>
      <c r="AF5032">
        <v>101.753453915411</v>
      </c>
      <c r="AG5032">
        <v>33.713391999999999</v>
      </c>
      <c r="AH5032">
        <v>165.36847048763599</v>
      </c>
      <c r="AI5032">
        <v>80.149842607309495</v>
      </c>
      <c r="AJ5032">
        <v>58.395452862844998</v>
      </c>
      <c r="AK5032">
        <v>197.071279529214</v>
      </c>
      <c r="AL5032">
        <v>73.240968984743404</v>
      </c>
      <c r="AM5032">
        <v>84.465663255328295</v>
      </c>
      <c r="AN5032">
        <v>1.00000000741466</v>
      </c>
    </row>
    <row r="5033" spans="1:40" x14ac:dyDescent="0.25">
      <c r="A5033" t="str">
        <f>"20190304164227288"</f>
        <v>20190304164227288</v>
      </c>
      <c r="B5033" t="str">
        <f>"1551688947275920"</f>
        <v>1551688947275920</v>
      </c>
      <c r="C5033" t="s">
        <v>40</v>
      </c>
      <c r="D5033">
        <v>5.1091889999999998</v>
      </c>
      <c r="E5033">
        <v>0.68026640000000005</v>
      </c>
      <c r="F5033" t="s">
        <v>48</v>
      </c>
      <c r="G5033">
        <v>-512.83669999999995</v>
      </c>
      <c r="H5033">
        <v>34.727139999999999</v>
      </c>
      <c r="I5033">
        <v>245.0737</v>
      </c>
      <c r="J5033">
        <v>-343.21089999999998</v>
      </c>
      <c r="K5033">
        <v>1.110366</v>
      </c>
      <c r="L5033">
        <v>141.36840000000001</v>
      </c>
      <c r="M5033">
        <v>-0.99988940000000004</v>
      </c>
      <c r="N5033">
        <v>-1.4861910000000001E-2</v>
      </c>
      <c r="O5033">
        <v>7.7929210000000004E-4</v>
      </c>
      <c r="P5033">
        <v>-0.95976539999999999</v>
      </c>
      <c r="Q5033">
        <v>0.27153070000000001</v>
      </c>
      <c r="R5033">
        <v>7.156651E-2</v>
      </c>
      <c r="S5033">
        <v>-2.8083800000000001</v>
      </c>
      <c r="T5033">
        <v>0.55536929999999995</v>
      </c>
      <c r="U5033">
        <v>1.7132719999999999</v>
      </c>
      <c r="V5033">
        <v>7.0781040000000003E-2</v>
      </c>
      <c r="W5033">
        <v>0.28577469999999999</v>
      </c>
      <c r="X5033">
        <v>0.95567919999999995</v>
      </c>
      <c r="Y5033">
        <v>0.51357050000000004</v>
      </c>
      <c r="Z5033">
        <v>-4.2124679999999998E-2</v>
      </c>
      <c r="AA5033">
        <v>0.85701269999999996</v>
      </c>
      <c r="AB5033">
        <v>37</v>
      </c>
      <c r="AC5033">
        <v>-169.625799999999</v>
      </c>
      <c r="AD5033">
        <v>33.616773999999999</v>
      </c>
      <c r="AE5033">
        <v>103.70529999999999</v>
      </c>
      <c r="AF5033">
        <v>100.69424166949401</v>
      </c>
      <c r="AG5033">
        <v>33.616773999999999</v>
      </c>
      <c r="AH5033">
        <v>164.98956212827201</v>
      </c>
      <c r="AI5033">
        <v>80.133852396749006</v>
      </c>
      <c r="AJ5033">
        <v>58.6040019567805</v>
      </c>
      <c r="AK5033">
        <v>196.191165476024</v>
      </c>
      <c r="AL5033">
        <v>73.394837187606498</v>
      </c>
      <c r="AM5033">
        <v>85.764202165848701</v>
      </c>
      <c r="AN5033">
        <v>0.99999993404810295</v>
      </c>
    </row>
    <row r="5034" spans="1:40" x14ac:dyDescent="0.25">
      <c r="A5034" t="str">
        <f>"20190304164227304"</f>
        <v>20190304164227304</v>
      </c>
      <c r="B5034" t="str">
        <f>"1551688947296416"</f>
        <v>1551688947296416</v>
      </c>
      <c r="C5034" t="s">
        <v>40</v>
      </c>
      <c r="D5034">
        <v>4.3269960000000003</v>
      </c>
      <c r="E5034">
        <v>0.6015604</v>
      </c>
      <c r="F5034" t="s">
        <v>41</v>
      </c>
      <c r="G5034">
        <v>-343.89909999999998</v>
      </c>
      <c r="H5034">
        <v>1.240918</v>
      </c>
      <c r="I5034">
        <v>141.7654</v>
      </c>
      <c r="J5034">
        <v>-343.46690000000001</v>
      </c>
      <c r="K5034">
        <v>1.1103590000000001</v>
      </c>
      <c r="L5034">
        <v>141.36859999999999</v>
      </c>
      <c r="M5034">
        <v>-0.99988929999999998</v>
      </c>
      <c r="N5034">
        <v>-1.485904E-2</v>
      </c>
      <c r="O5034">
        <v>7.3216060000000003E-4</v>
      </c>
      <c r="P5034">
        <v>-0.96121060000000003</v>
      </c>
      <c r="Q5034">
        <v>0.26939289999999999</v>
      </c>
      <c r="R5034">
        <v>5.9173990000000003E-2</v>
      </c>
      <c r="S5034">
        <v>-2.8503419999999999</v>
      </c>
      <c r="T5034">
        <v>0.54065810000000003</v>
      </c>
      <c r="U5034">
        <v>1.642609</v>
      </c>
      <c r="V5034">
        <v>5.8432530000000003E-2</v>
      </c>
      <c r="W5034">
        <v>0.28365430000000003</v>
      </c>
      <c r="X5034">
        <v>0.95714469999999996</v>
      </c>
      <c r="Y5034">
        <v>0.49271979999999999</v>
      </c>
      <c r="Z5034">
        <v>-3.8993449999999999E-2</v>
      </c>
      <c r="AA5034">
        <v>0.86931399999999903</v>
      </c>
      <c r="AB5034">
        <v>37</v>
      </c>
      <c r="AC5034">
        <v>-0.432199999999966</v>
      </c>
      <c r="AD5034">
        <v>0.13055899999999901</v>
      </c>
      <c r="AE5034">
        <v>0.39680000000001298</v>
      </c>
      <c r="AF5034">
        <v>0.37777748330125099</v>
      </c>
      <c r="AG5034">
        <v>0.13055899999999901</v>
      </c>
      <c r="AH5034">
        <v>0.41208570465896099</v>
      </c>
      <c r="AI5034">
        <v>76.854766967318497</v>
      </c>
      <c r="AJ5034">
        <v>47.487116128303597</v>
      </c>
      <c r="AK5034">
        <v>0.57408719490570304</v>
      </c>
      <c r="AL5034">
        <v>73.521574431598907</v>
      </c>
      <c r="AM5034">
        <v>86.506497474209098</v>
      </c>
      <c r="AN5034">
        <v>1.0000000496043799</v>
      </c>
    </row>
    <row r="5035" spans="1:40" x14ac:dyDescent="0.25">
      <c r="A5035" t="str">
        <f>"20190304164227316"</f>
        <v>20190304164227316</v>
      </c>
      <c r="B5035" t="str">
        <f>"1551688947305817"</f>
        <v>1551688947305817</v>
      </c>
      <c r="C5035" t="s">
        <v>40</v>
      </c>
      <c r="D5035">
        <v>4.2847989999999996</v>
      </c>
      <c r="E5035">
        <v>0.6015604</v>
      </c>
      <c r="F5035" t="s">
        <v>41</v>
      </c>
      <c r="G5035">
        <v>-344.30419999999998</v>
      </c>
      <c r="H5035">
        <v>1.247925</v>
      </c>
      <c r="I5035">
        <v>141.648</v>
      </c>
      <c r="J5035">
        <v>-343.68990000000002</v>
      </c>
      <c r="K5035">
        <v>1.110357</v>
      </c>
      <c r="L5035">
        <v>141.36859999999999</v>
      </c>
      <c r="M5035">
        <v>-0.99988940000000004</v>
      </c>
      <c r="N5035">
        <v>-1.485652E-2</v>
      </c>
      <c r="O5035">
        <v>6.9069200000000002E-4</v>
      </c>
      <c r="P5035">
        <v>-0.96215150000000005</v>
      </c>
      <c r="Q5035">
        <v>0.26826129999999998</v>
      </c>
      <c r="R5035">
        <v>4.796243E-2</v>
      </c>
      <c r="S5035">
        <v>-2.9261780000000002</v>
      </c>
      <c r="T5035">
        <v>0.48073120000000003</v>
      </c>
      <c r="U5035">
        <v>0.97645570000000004</v>
      </c>
      <c r="V5035">
        <v>4.7260209999999997E-2</v>
      </c>
      <c r="W5035">
        <v>0.28253289999999998</v>
      </c>
      <c r="X5035">
        <v>0.95809270000000002</v>
      </c>
      <c r="Y5035">
        <v>0.31249329999999997</v>
      </c>
      <c r="Z5035">
        <v>-2.232309E-2</v>
      </c>
      <c r="AA5035">
        <v>0.94965759999999999</v>
      </c>
      <c r="AB5035">
        <v>37</v>
      </c>
      <c r="AC5035">
        <v>-0.61429999999995699</v>
      </c>
      <c r="AD5035">
        <v>0.137567999999999</v>
      </c>
      <c r="AE5035">
        <v>0.27940000000000897</v>
      </c>
      <c r="AF5035">
        <v>0.267845504565774</v>
      </c>
      <c r="AG5035">
        <v>0.137567999999999</v>
      </c>
      <c r="AH5035">
        <v>0.58997687199076498</v>
      </c>
      <c r="AI5035">
        <v>78.013019668847704</v>
      </c>
      <c r="AJ5035">
        <v>65.582273072811802</v>
      </c>
      <c r="AK5035">
        <v>0.66237366978473899</v>
      </c>
      <c r="AL5035">
        <v>73.588565477117598</v>
      </c>
      <c r="AM5035">
        <v>87.176037803346404</v>
      </c>
      <c r="AN5035">
        <v>0.999999994412472</v>
      </c>
    </row>
    <row r="5036" spans="1:40" x14ac:dyDescent="0.25">
      <c r="A5036" t="str">
        <f>"20190304164227389"</f>
        <v>20190304164227389</v>
      </c>
      <c r="B5036" t="str">
        <f>"1551688947385849"</f>
        <v>1551688947385849</v>
      </c>
      <c r="C5036" t="s">
        <v>40</v>
      </c>
      <c r="D5036">
        <v>3.7652100000000002</v>
      </c>
      <c r="E5036">
        <v>0.52455350000000001</v>
      </c>
      <c r="F5036" t="s">
        <v>56</v>
      </c>
      <c r="G5036">
        <v>-459.875</v>
      </c>
      <c r="H5036">
        <v>19.944320000000001</v>
      </c>
      <c r="I5036">
        <v>178.6147</v>
      </c>
      <c r="J5036">
        <v>-344.89210000000003</v>
      </c>
      <c r="K5036">
        <v>1.110382</v>
      </c>
      <c r="L5036">
        <v>141.3689</v>
      </c>
      <c r="M5036">
        <v>-0.9998899</v>
      </c>
      <c r="N5036">
        <v>-1.4842889999999999E-2</v>
      </c>
      <c r="O5036">
        <v>4.661426E-4</v>
      </c>
      <c r="P5036">
        <v>-0.96189919999999995</v>
      </c>
      <c r="Q5036">
        <v>0.27262189999999997</v>
      </c>
      <c r="R5036">
        <v>-2.0678209999999999E-2</v>
      </c>
      <c r="S5036">
        <v>-2.9382320000000002</v>
      </c>
      <c r="T5036">
        <v>0.47629640000000001</v>
      </c>
      <c r="U5036">
        <v>0.94192500000000001</v>
      </c>
      <c r="V5036">
        <v>-2.116558E-2</v>
      </c>
      <c r="W5036">
        <v>0.28686620000000002</v>
      </c>
      <c r="X5036">
        <v>0.95773680000000005</v>
      </c>
      <c r="Y5036">
        <v>0.301618099999999</v>
      </c>
      <c r="Z5036">
        <v>-2.1319939999999999E-2</v>
      </c>
      <c r="AA5036">
        <v>0.95319039999999999</v>
      </c>
      <c r="AB5036">
        <v>37</v>
      </c>
      <c r="AC5036">
        <v>-114.98289999999901</v>
      </c>
      <c r="AD5036">
        <v>18.833938</v>
      </c>
      <c r="AE5036">
        <v>37.245800000000003</v>
      </c>
      <c r="AF5036">
        <v>36.310504750986503</v>
      </c>
      <c r="AG5036">
        <v>18.833938</v>
      </c>
      <c r="AH5036">
        <v>112.274028155278</v>
      </c>
      <c r="AI5036">
        <v>80.931503110548903</v>
      </c>
      <c r="AJ5036">
        <v>72.078291839238503</v>
      </c>
      <c r="AK5036">
        <v>119.49321057730199</v>
      </c>
      <c r="AL5036">
        <v>73.329567124992096</v>
      </c>
      <c r="AM5036">
        <v>91.266006525967299</v>
      </c>
      <c r="AN5036">
        <v>0.999999988276708</v>
      </c>
    </row>
    <row r="5037" spans="1:40" x14ac:dyDescent="0.25">
      <c r="A5037" t="str">
        <f>"20190304164227412"</f>
        <v>20190304164227412</v>
      </c>
      <c r="B5037" t="str">
        <f>"1551688947406035"</f>
        <v>1551688947406035</v>
      </c>
      <c r="C5037" t="s">
        <v>40</v>
      </c>
      <c r="D5037">
        <v>3.8364539999999998</v>
      </c>
      <c r="E5037">
        <v>0.41892390000000002</v>
      </c>
      <c r="F5037" t="s">
        <v>50</v>
      </c>
      <c r="G5037">
        <v>0</v>
      </c>
      <c r="H5037">
        <v>0</v>
      </c>
      <c r="I5037">
        <v>0</v>
      </c>
      <c r="J5037">
        <v>-345.26679999999999</v>
      </c>
      <c r="K5037">
        <v>1.1103909999999999</v>
      </c>
      <c r="L5037">
        <v>141.3689</v>
      </c>
      <c r="M5037">
        <v>-0.9998899</v>
      </c>
      <c r="N5037">
        <v>-1.483861E-2</v>
      </c>
      <c r="O5037">
        <v>3.9536079999999998E-4</v>
      </c>
      <c r="P5037">
        <v>-0.96100790000000003</v>
      </c>
      <c r="Q5037">
        <v>0.27432410000000002</v>
      </c>
      <c r="R5037">
        <v>-3.4787800000000001E-2</v>
      </c>
      <c r="S5037">
        <v>-3.0435789999999998</v>
      </c>
      <c r="T5037">
        <v>0.27344039999999997</v>
      </c>
      <c r="U5037">
        <v>0.10441590000000001</v>
      </c>
      <c r="V5037">
        <v>-3.5206899999999999E-2</v>
      </c>
      <c r="W5037">
        <v>0.2885491</v>
      </c>
      <c r="X5037">
        <v>0.95681760000000005</v>
      </c>
      <c r="Y5037">
        <v>3.3780409999999997E-2</v>
      </c>
      <c r="Z5037">
        <v>-1.2215289999999901E-3</v>
      </c>
      <c r="AA5037">
        <v>0.99942850000000005</v>
      </c>
      <c r="AB5037">
        <v>37</v>
      </c>
      <c r="AC5037">
        <v>-3.0435789999999998</v>
      </c>
      <c r="AD5037">
        <v>0.27344039999999997</v>
      </c>
      <c r="AE5037">
        <v>0.10441590000000001</v>
      </c>
      <c r="AF5037">
        <v>0.102386998754041</v>
      </c>
      <c r="AG5037">
        <v>0.27344039999999997</v>
      </c>
      <c r="AH5037">
        <v>3.0192784819544798</v>
      </c>
      <c r="AI5037">
        <v>84.828092273244806</v>
      </c>
      <c r="AJ5037">
        <v>88.057782413401696</v>
      </c>
      <c r="AK5037">
        <v>3.0333636942278099</v>
      </c>
      <c r="AL5037">
        <v>73.228887566214198</v>
      </c>
      <c r="AM5037">
        <v>92.107295194811499</v>
      </c>
      <c r="AN5037">
        <v>1.0000000142940899</v>
      </c>
    </row>
    <row r="5038" spans="1:40" x14ac:dyDescent="0.25">
      <c r="A5038" t="str">
        <f>"20190304164227434"</f>
        <v>20190304164227434</v>
      </c>
      <c r="B5038" t="str">
        <f>"1551688947426532"</f>
        <v>1551688947426532</v>
      </c>
      <c r="C5038" t="s">
        <v>40</v>
      </c>
      <c r="D5038">
        <v>3.834997</v>
      </c>
      <c r="E5038">
        <v>0.43172719999999998</v>
      </c>
      <c r="F5038" t="s">
        <v>42</v>
      </c>
      <c r="G5038">
        <v>-360.09769999999997</v>
      </c>
      <c r="H5038" s="1">
        <v>-4.5930090000000004E-6</v>
      </c>
      <c r="I5038">
        <v>137.5719</v>
      </c>
      <c r="J5038">
        <v>-345.62090000000001</v>
      </c>
      <c r="K5038">
        <v>1.1104000000000001</v>
      </c>
      <c r="L5038">
        <v>141.3689</v>
      </c>
      <c r="M5038">
        <v>-0.99988999999999995</v>
      </c>
      <c r="N5038">
        <v>-1.483456E-2</v>
      </c>
      <c r="O5038">
        <v>3.26292E-4</v>
      </c>
      <c r="P5038">
        <v>-0.95976220000000001</v>
      </c>
      <c r="Q5038">
        <v>0.27676919999999999</v>
      </c>
      <c r="R5038">
        <v>-4.7495349999999999E-2</v>
      </c>
      <c r="S5038">
        <v>-3.1599729999999999</v>
      </c>
      <c r="T5038">
        <v>-0.236591</v>
      </c>
      <c r="U5038">
        <v>-0.80900569999999905</v>
      </c>
      <c r="V5038">
        <v>-4.7849049999999997E-2</v>
      </c>
      <c r="W5038">
        <v>0.2909697</v>
      </c>
      <c r="X5038">
        <v>0.95553500000000002</v>
      </c>
      <c r="Y5038">
        <v>-0.24754689999999999</v>
      </c>
      <c r="Z5038">
        <v>-1.0995380000000001E-2</v>
      </c>
      <c r="AA5038">
        <v>0.96881349999999999</v>
      </c>
      <c r="AB5038">
        <v>37</v>
      </c>
      <c r="AC5038">
        <v>-14.4767999999999</v>
      </c>
      <c r="AD5038">
        <v>-1.1104045930090001</v>
      </c>
      <c r="AE5038">
        <v>-3.7969999999999899</v>
      </c>
      <c r="AF5038">
        <v>-3.78091164635403</v>
      </c>
      <c r="AG5038">
        <v>-1.1104045930090001</v>
      </c>
      <c r="AH5038">
        <v>14.396314481168901</v>
      </c>
      <c r="AI5038">
        <v>94.266434614598495</v>
      </c>
      <c r="AJ5038">
        <v>104.715300168947</v>
      </c>
      <c r="AK5038">
        <v>14.925888981177099</v>
      </c>
      <c r="AL5038">
        <v>73.083980835168205</v>
      </c>
      <c r="AM5038">
        <v>92.866729650513705</v>
      </c>
      <c r="AN5038">
        <v>1.00000001706449</v>
      </c>
    </row>
    <row r="5039" spans="1:40" x14ac:dyDescent="0.25">
      <c r="A5039" t="str">
        <f>"20190304164227455"</f>
        <v>20190304164227455</v>
      </c>
      <c r="B5039" t="str">
        <f>"1551688947446052"</f>
        <v>1551688947446052</v>
      </c>
      <c r="C5039" t="s">
        <v>40</v>
      </c>
      <c r="D5039">
        <v>3.7998759999999998</v>
      </c>
      <c r="E5039">
        <v>0.44133260000000002</v>
      </c>
      <c r="F5039" t="s">
        <v>42</v>
      </c>
      <c r="G5039">
        <v>-363.02929999999998</v>
      </c>
      <c r="H5039" s="1">
        <v>-3.3916560000000001E-6</v>
      </c>
      <c r="I5039">
        <v>137.25450000000001</v>
      </c>
      <c r="J5039">
        <v>-345.97949999999997</v>
      </c>
      <c r="K5039">
        <v>1.1104050000000001</v>
      </c>
      <c r="L5039">
        <v>141.3689</v>
      </c>
      <c r="M5039">
        <v>-0.99988999999999995</v>
      </c>
      <c r="N5039">
        <v>-1.483049E-2</v>
      </c>
      <c r="O5039">
        <v>2.5411310000000002E-4</v>
      </c>
      <c r="P5039">
        <v>-0.95879859999999995</v>
      </c>
      <c r="Q5039">
        <v>0.27781790000000001</v>
      </c>
      <c r="R5039">
        <v>-5.9350189999999997E-2</v>
      </c>
      <c r="S5039">
        <v>-3.1468509999999998</v>
      </c>
      <c r="T5039">
        <v>-0.20072419999999999</v>
      </c>
      <c r="U5039">
        <v>-0.74372859999999996</v>
      </c>
      <c r="V5039">
        <v>-5.9635609999999999E-2</v>
      </c>
      <c r="W5039">
        <v>0.29199779999999997</v>
      </c>
      <c r="X5039">
        <v>0.95455800000000002</v>
      </c>
      <c r="Y5039">
        <v>-0.2297015</v>
      </c>
      <c r="Z5039">
        <v>-8.9600909999999999E-3</v>
      </c>
      <c r="AA5039">
        <v>0.97321990000000003</v>
      </c>
      <c r="AB5039">
        <v>37</v>
      </c>
      <c r="AC5039">
        <v>-17.049800000000001</v>
      </c>
      <c r="AD5039">
        <v>-1.1104083916559999</v>
      </c>
      <c r="AE5039">
        <v>-4.1143999999999803</v>
      </c>
      <c r="AF5039">
        <v>-4.1022902758306898</v>
      </c>
      <c r="AG5039">
        <v>-1.1104083916559999</v>
      </c>
      <c r="AH5039">
        <v>16.9806924397896</v>
      </c>
      <c r="AI5039">
        <v>93.637044766213293</v>
      </c>
      <c r="AJ5039">
        <v>103.581601067954</v>
      </c>
      <c r="AK5039">
        <v>17.504448235753198</v>
      </c>
      <c r="AL5039">
        <v>73.022401530715598</v>
      </c>
      <c r="AM5039">
        <v>93.574883573031002</v>
      </c>
      <c r="AN5039">
        <v>1.00000004827445</v>
      </c>
    </row>
    <row r="5040" spans="1:40" x14ac:dyDescent="0.25">
      <c r="A5040" t="str">
        <f>"20190304164227472"</f>
        <v>20190304164227472</v>
      </c>
      <c r="B5040" t="str">
        <f>"1551688947455813"</f>
        <v>1551688947455813</v>
      </c>
      <c r="C5040" t="s">
        <v>40</v>
      </c>
      <c r="D5040">
        <v>3.8596710000000001</v>
      </c>
      <c r="E5040">
        <v>0.44453039999999999</v>
      </c>
      <c r="F5040" t="s">
        <v>42</v>
      </c>
      <c r="G5040">
        <v>-363.93860000000001</v>
      </c>
      <c r="H5040" s="1">
        <v>-2.98415E-6</v>
      </c>
      <c r="I5040">
        <v>137.3526</v>
      </c>
      <c r="J5040">
        <v>-346.23259999999999</v>
      </c>
      <c r="K5040">
        <v>1.110411</v>
      </c>
      <c r="L5040">
        <v>141.3689</v>
      </c>
      <c r="M5040">
        <v>-0.99989019999999995</v>
      </c>
      <c r="N5040">
        <v>-1.482764E-2</v>
      </c>
      <c r="O5040">
        <v>2.017183E-4</v>
      </c>
      <c r="P5040">
        <v>-0.95835389999999998</v>
      </c>
      <c r="Q5040">
        <v>0.27812989999999999</v>
      </c>
      <c r="R5040">
        <v>-6.4821680000000007E-2</v>
      </c>
      <c r="S5040">
        <v>-3.141724</v>
      </c>
      <c r="T5040">
        <v>-0.19425239999999999</v>
      </c>
      <c r="U5040">
        <v>-0.70259090000000002</v>
      </c>
      <c r="V5040">
        <v>-6.5058039999999998E-2</v>
      </c>
      <c r="W5040">
        <v>0.2922997</v>
      </c>
      <c r="X5040">
        <v>0.9541113</v>
      </c>
      <c r="Y5040">
        <v>-0.21794279999999999</v>
      </c>
      <c r="Z5040">
        <v>-8.2961549999999995E-3</v>
      </c>
      <c r="AA5040">
        <v>0.97592630000000002</v>
      </c>
      <c r="AB5040">
        <v>37</v>
      </c>
      <c r="AC5040">
        <v>-17.706</v>
      </c>
      <c r="AD5040">
        <v>-1.11041398415</v>
      </c>
      <c r="AE5040">
        <v>-4.0163000000000002</v>
      </c>
      <c r="AF5040">
        <v>-4.0048913154891901</v>
      </c>
      <c r="AG5040">
        <v>-1.11041398415</v>
      </c>
      <c r="AH5040">
        <v>17.6392085067396</v>
      </c>
      <c r="AI5040">
        <v>93.512925623642403</v>
      </c>
      <c r="AJ5040">
        <v>102.791849911328</v>
      </c>
      <c r="AK5040">
        <v>18.122192207603099</v>
      </c>
      <c r="AL5040">
        <v>73.004314336474096</v>
      </c>
      <c r="AM5040">
        <v>93.900792420037007</v>
      </c>
      <c r="AN5040">
        <v>1.00000001798821</v>
      </c>
    </row>
    <row r="5041" spans="1:40" x14ac:dyDescent="0.25">
      <c r="A5041" t="str">
        <f>"20190304164227485"</f>
        <v>20190304164227485</v>
      </c>
      <c r="B5041" t="str">
        <f>"1551688947476307"</f>
        <v>1551688947476307</v>
      </c>
      <c r="C5041" t="s">
        <v>40</v>
      </c>
      <c r="D5041">
        <v>3.8727320000000001</v>
      </c>
      <c r="E5041">
        <v>0.44993100000000003</v>
      </c>
      <c r="F5041" t="s">
        <v>42</v>
      </c>
      <c r="G5041">
        <v>-364.66199999999998</v>
      </c>
      <c r="H5041" s="1">
        <v>-2.6834730000000001E-6</v>
      </c>
      <c r="I5041">
        <v>137.29830000000001</v>
      </c>
      <c r="J5041">
        <v>-346.45830000000001</v>
      </c>
      <c r="K5041">
        <v>1.110414</v>
      </c>
      <c r="L5041">
        <v>141.3689</v>
      </c>
      <c r="M5041">
        <v>-0.9998901</v>
      </c>
      <c r="N5041">
        <v>-1.4825100000000001E-2</v>
      </c>
      <c r="O5041">
        <v>1.543301E-4</v>
      </c>
      <c r="P5041">
        <v>-0.95808150000000003</v>
      </c>
      <c r="Q5041">
        <v>0.2781111</v>
      </c>
      <c r="R5041">
        <v>-6.8805030000000003E-2</v>
      </c>
      <c r="S5041">
        <v>-3.1383359999999998</v>
      </c>
      <c r="T5041">
        <v>-0.18909309999999999</v>
      </c>
      <c r="U5041">
        <v>-0.69317629999999997</v>
      </c>
      <c r="V5041">
        <v>-6.8997059999999999E-2</v>
      </c>
      <c r="W5041">
        <v>0.29227419999999998</v>
      </c>
      <c r="X5041">
        <v>0.95384230000000003</v>
      </c>
      <c r="Y5041">
        <v>-0.2153583</v>
      </c>
      <c r="Z5041">
        <v>-8.0292039999999999E-3</v>
      </c>
      <c r="AA5041">
        <v>0.97650210000000004</v>
      </c>
      <c r="AB5041">
        <v>37</v>
      </c>
      <c r="AC5041">
        <v>-18.203699999999898</v>
      </c>
      <c r="AD5041">
        <v>-1.1104166834729901</v>
      </c>
      <c r="AE5041">
        <v>-4.0705999999999802</v>
      </c>
      <c r="AF5041">
        <v>-4.0590255028637499</v>
      </c>
      <c r="AG5041">
        <v>-1.1104166834729901</v>
      </c>
      <c r="AH5041">
        <v>18.1387923108908</v>
      </c>
      <c r="AI5041">
        <v>93.418803098586494</v>
      </c>
      <c r="AJ5041">
        <v>102.61361258093601</v>
      </c>
      <c r="AK5041">
        <v>18.620539727447898</v>
      </c>
      <c r="AL5041">
        <v>73.005841215700201</v>
      </c>
      <c r="AM5041">
        <v>94.137336761738197</v>
      </c>
      <c r="AN5041">
        <v>0.99999996777178601</v>
      </c>
    </row>
    <row r="5042" spans="1:40" x14ac:dyDescent="0.25">
      <c r="A5042" t="str">
        <f>"20190304164227500"</f>
        <v>20190304164227500</v>
      </c>
      <c r="B5042" t="str">
        <f>"1551688947486068"</f>
        <v>1551688947486068</v>
      </c>
      <c r="C5042" t="s">
        <v>40</v>
      </c>
      <c r="D5042">
        <v>3.901052</v>
      </c>
      <c r="E5042">
        <v>0.45209549999999998</v>
      </c>
      <c r="F5042" t="s">
        <v>42</v>
      </c>
      <c r="G5042">
        <v>-365.69009999999997</v>
      </c>
      <c r="H5042" s="1">
        <v>-2.2394079999999999E-6</v>
      </c>
      <c r="I5042">
        <v>137.3151</v>
      </c>
      <c r="J5042">
        <v>-346.71210000000002</v>
      </c>
      <c r="K5042">
        <v>1.1104179999999999</v>
      </c>
      <c r="L5042">
        <v>141.36879999999999</v>
      </c>
      <c r="M5042">
        <v>-0.99989030000000001</v>
      </c>
      <c r="N5042">
        <v>-1.482226E-2</v>
      </c>
      <c r="O5042">
        <v>1.0009030000000001E-4</v>
      </c>
      <c r="P5042">
        <v>-0.95746089999999995</v>
      </c>
      <c r="Q5042">
        <v>0.27853359999999999</v>
      </c>
      <c r="R5042">
        <v>-7.5419570000000005E-2</v>
      </c>
      <c r="S5042">
        <v>-3.1363829999999999</v>
      </c>
      <c r="T5042">
        <v>-0.18109059999999999</v>
      </c>
      <c r="U5042">
        <v>-0.66108699999999998</v>
      </c>
      <c r="V5042">
        <v>-7.556003E-2</v>
      </c>
      <c r="W5042">
        <v>0.29268270000000002</v>
      </c>
      <c r="X5042">
        <v>0.9532195</v>
      </c>
      <c r="Y5042">
        <v>-0.20593020000000001</v>
      </c>
      <c r="Z5042">
        <v>-7.4243599999999996E-3</v>
      </c>
      <c r="AA5042">
        <v>0.97853849999999998</v>
      </c>
      <c r="AB5042">
        <v>37</v>
      </c>
      <c r="AC5042">
        <v>-18.977999999999899</v>
      </c>
      <c r="AD5042">
        <v>-1.1104202394080001</v>
      </c>
      <c r="AE5042">
        <v>-4.0536999999999903</v>
      </c>
      <c r="AF5042">
        <v>-4.0423644142441297</v>
      </c>
      <c r="AG5042">
        <v>-1.1104202394080001</v>
      </c>
      <c r="AH5042">
        <v>18.915661504348101</v>
      </c>
      <c r="AI5042">
        <v>93.285600851792594</v>
      </c>
      <c r="AJ5042">
        <v>102.062921203434</v>
      </c>
      <c r="AK5042">
        <v>19.3746224043905</v>
      </c>
      <c r="AL5042">
        <v>72.981365277729694</v>
      </c>
      <c r="AM5042">
        <v>94.532258583681298</v>
      </c>
      <c r="AN5042">
        <v>0.999999948096569</v>
      </c>
    </row>
    <row r="5043" spans="1:40" x14ac:dyDescent="0.25">
      <c r="A5043" t="str">
        <f>"20190304164227517"</f>
        <v>20190304164227517</v>
      </c>
      <c r="B5043" t="str">
        <f>"1551688947506564"</f>
        <v>1551688947506564</v>
      </c>
      <c r="C5043" t="s">
        <v>40</v>
      </c>
      <c r="D5043">
        <v>3.8868339999999999</v>
      </c>
      <c r="E5043">
        <v>0.45585540000000002</v>
      </c>
      <c r="F5043" t="s">
        <v>42</v>
      </c>
      <c r="G5043">
        <v>-366.15179999999998</v>
      </c>
      <c r="H5043" s="1">
        <v>-2.0513460000000002E-6</v>
      </c>
      <c r="I5043">
        <v>137.25880000000001</v>
      </c>
      <c r="J5043">
        <v>-346.98820000000001</v>
      </c>
      <c r="K5043">
        <v>1.11042</v>
      </c>
      <c r="L5043">
        <v>141.36879999999999</v>
      </c>
      <c r="M5043">
        <v>-0.99989030000000001</v>
      </c>
      <c r="N5043">
        <v>-1.481915E-2</v>
      </c>
      <c r="O5043" s="1">
        <v>4.0074770000000003E-5</v>
      </c>
      <c r="P5043">
        <v>-0.95725950000000004</v>
      </c>
      <c r="Q5043">
        <v>0.2785127</v>
      </c>
      <c r="R5043">
        <v>-7.8008079999999994E-2</v>
      </c>
      <c r="S5043">
        <v>-3.1331479999999998</v>
      </c>
      <c r="T5043">
        <v>-0.1789702</v>
      </c>
      <c r="U5043">
        <v>-0.66241459999999996</v>
      </c>
      <c r="V5043">
        <v>-7.8091699999999903E-2</v>
      </c>
      <c r="W5043">
        <v>0.29265590000000002</v>
      </c>
      <c r="X5043">
        <v>0.95302370000000003</v>
      </c>
      <c r="Y5043">
        <v>-0.2064792</v>
      </c>
      <c r="Z5043">
        <v>-7.3780629999999998E-3</v>
      </c>
      <c r="AA5043">
        <v>0.97842320000000005</v>
      </c>
      <c r="AB5043">
        <v>37</v>
      </c>
      <c r="AC5043">
        <v>-19.163599999999899</v>
      </c>
      <c r="AD5043">
        <v>-1.1104220513459999</v>
      </c>
      <c r="AE5043">
        <v>-4.1099999999999799</v>
      </c>
      <c r="AF5043">
        <v>-4.09761512238327</v>
      </c>
      <c r="AG5043">
        <v>-1.1104220513459999</v>
      </c>
      <c r="AH5043">
        <v>19.102119363247901</v>
      </c>
      <c r="AI5043">
        <v>93.253068352997005</v>
      </c>
      <c r="AJ5043">
        <v>102.107098873176</v>
      </c>
      <c r="AK5043">
        <v>19.5681999936394</v>
      </c>
      <c r="AL5043">
        <v>72.982971697021796</v>
      </c>
      <c r="AM5043">
        <v>94.684407062952602</v>
      </c>
      <c r="AN5043">
        <v>0.99999998108769395</v>
      </c>
    </row>
    <row r="5044" spans="1:40" x14ac:dyDescent="0.25">
      <c r="A5044" t="str">
        <f>"20190304164227531"</f>
        <v>20190304164227531</v>
      </c>
      <c r="B5044" t="str">
        <f>"1551688947516324"</f>
        <v>1551688947516324</v>
      </c>
      <c r="C5044" t="s">
        <v>40</v>
      </c>
      <c r="D5044">
        <v>3.9240870000000001</v>
      </c>
      <c r="E5044">
        <v>0.45585540000000002</v>
      </c>
      <c r="F5044" t="s">
        <v>42</v>
      </c>
      <c r="G5044">
        <v>-366.90030000000002</v>
      </c>
      <c r="H5044" s="1">
        <v>-1.7211269999999901E-6</v>
      </c>
      <c r="I5044">
        <v>137.31030000000001</v>
      </c>
      <c r="J5044">
        <v>-347.21839999999997</v>
      </c>
      <c r="K5044">
        <v>1.1104210000000001</v>
      </c>
      <c r="L5044">
        <v>141.36869999999999</v>
      </c>
      <c r="M5044">
        <v>-0.99989019999999995</v>
      </c>
      <c r="N5044">
        <v>-1.481655E-2</v>
      </c>
      <c r="O5044" s="1">
        <v>-1.034265E-5</v>
      </c>
      <c r="P5044">
        <v>-0.95700810000000003</v>
      </c>
      <c r="Q5044">
        <v>0.278692</v>
      </c>
      <c r="R5044">
        <v>-8.0413689999999996E-2</v>
      </c>
      <c r="S5044">
        <v>-3.1327820000000002</v>
      </c>
      <c r="T5044">
        <v>-0.1747042</v>
      </c>
      <c r="U5044">
        <v>-0.63851930000000001</v>
      </c>
      <c r="V5044">
        <v>-8.0449640000000003E-2</v>
      </c>
      <c r="W5044">
        <v>0.29282819999999998</v>
      </c>
      <c r="X5044">
        <v>0.95277460000000003</v>
      </c>
      <c r="Y5044">
        <v>-0.19932330000000001</v>
      </c>
      <c r="Z5044">
        <v>-6.9898219999999997E-3</v>
      </c>
      <c r="AA5044">
        <v>0.97990880000000002</v>
      </c>
      <c r="AB5044">
        <v>37</v>
      </c>
      <c r="AC5044">
        <v>-19.681899999999999</v>
      </c>
      <c r="AD5044">
        <v>-1.1104227211269999</v>
      </c>
      <c r="AE5044">
        <v>-4.0583999999999696</v>
      </c>
      <c r="AF5044">
        <v>-4.0458435395171799</v>
      </c>
      <c r="AG5044">
        <v>-1.1104227211269999</v>
      </c>
      <c r="AH5044">
        <v>19.6220314804007</v>
      </c>
      <c r="AI5044">
        <v>93.172356450299006</v>
      </c>
      <c r="AJ5044">
        <v>101.650478282748</v>
      </c>
      <c r="AK5044">
        <v>20.065542803116099</v>
      </c>
      <c r="AL5044">
        <v>72.972647124080595</v>
      </c>
      <c r="AM5044">
        <v>94.826447870410206</v>
      </c>
      <c r="AN5044">
        <v>0.99999996884826403</v>
      </c>
    </row>
    <row r="5045" spans="1:40" x14ac:dyDescent="0.25">
      <c r="A5045" t="str">
        <f>"20190304164227544"</f>
        <v>20190304164227544</v>
      </c>
      <c r="B5045" t="str">
        <f>"1551688947535844"</f>
        <v>1551688947535844</v>
      </c>
      <c r="C5045" t="s">
        <v>40</v>
      </c>
      <c r="D5045">
        <v>3.9432160000000001</v>
      </c>
      <c r="E5045">
        <v>0.48463729999999999</v>
      </c>
      <c r="F5045" t="s">
        <v>42</v>
      </c>
      <c r="G5045">
        <v>-367.14019999999999</v>
      </c>
      <c r="H5045" s="1">
        <v>-1.6263499999999999E-6</v>
      </c>
      <c r="I5045">
        <v>137.26439999999999</v>
      </c>
      <c r="J5045">
        <v>-347.435</v>
      </c>
      <c r="K5045">
        <v>1.1104210000000001</v>
      </c>
      <c r="L5045">
        <v>141.36859999999999</v>
      </c>
      <c r="M5045">
        <v>-0.99989039999999996</v>
      </c>
      <c r="N5045">
        <v>-1.481411E-2</v>
      </c>
      <c r="O5045" s="1">
        <v>-5.8195010000000002E-5</v>
      </c>
      <c r="P5045">
        <v>-0.95623400000000003</v>
      </c>
      <c r="Q5045">
        <v>0.2796612</v>
      </c>
      <c r="R5045">
        <v>-8.6062269999999996E-2</v>
      </c>
      <c r="S5045">
        <v>-3.1313170000000001</v>
      </c>
      <c r="T5045">
        <v>-0.1745371</v>
      </c>
      <c r="U5045">
        <v>-0.64511109999999905</v>
      </c>
      <c r="V5045">
        <v>-8.6053569999999996E-2</v>
      </c>
      <c r="W5045">
        <v>0.29378280000000001</v>
      </c>
      <c r="X5045">
        <v>0.95199080000000003</v>
      </c>
      <c r="Y5045">
        <v>-0.20134199999999999</v>
      </c>
      <c r="Z5045">
        <v>-7.0548310000000001E-3</v>
      </c>
      <c r="AA5045">
        <v>0.97949560000000002</v>
      </c>
      <c r="AB5045">
        <v>37</v>
      </c>
      <c r="AC5045">
        <v>-19.705199999999898</v>
      </c>
      <c r="AD5045">
        <v>-1.1104226263500001</v>
      </c>
      <c r="AE5045">
        <v>-4.1041999999999899</v>
      </c>
      <c r="AF5045">
        <v>-4.0906034043686503</v>
      </c>
      <c r="AG5045">
        <v>-1.1104226263500001</v>
      </c>
      <c r="AH5045">
        <v>19.645647466166501</v>
      </c>
      <c r="AI5045">
        <v>93.167275114869497</v>
      </c>
      <c r="AJ5045">
        <v>101.76202817478701</v>
      </c>
      <c r="AK5045">
        <v>20.097699843162101</v>
      </c>
      <c r="AL5045">
        <v>72.915437214547694</v>
      </c>
      <c r="AM5045">
        <v>95.165115946843699</v>
      </c>
      <c r="AN5045">
        <v>1.00000001688511</v>
      </c>
    </row>
    <row r="5046" spans="1:40" x14ac:dyDescent="0.25">
      <c r="A5046" t="str">
        <f>"20190304164227562"</f>
        <v>20190304164227562</v>
      </c>
      <c r="B5046" t="str">
        <f>"1551688947556341"</f>
        <v>1551688947556341</v>
      </c>
      <c r="C5046" t="s">
        <v>40</v>
      </c>
      <c r="D5046">
        <v>3.9644159999999999</v>
      </c>
      <c r="E5046">
        <v>0.49038300000000001</v>
      </c>
      <c r="F5046" t="s">
        <v>42</v>
      </c>
      <c r="G5046">
        <v>-374.1361</v>
      </c>
      <c r="H5046" s="1">
        <v>-2.8388409999999999E-6</v>
      </c>
      <c r="I5046">
        <v>137.69409999999999</v>
      </c>
      <c r="J5046">
        <v>-347.71800000000002</v>
      </c>
      <c r="K5046">
        <v>1.110422</v>
      </c>
      <c r="L5046">
        <v>141.36850000000001</v>
      </c>
      <c r="M5046">
        <v>-0.99989030000000001</v>
      </c>
      <c r="N5046">
        <v>-1.481092E-2</v>
      </c>
      <c r="O5046">
        <v>-1.2135460000000001E-4</v>
      </c>
      <c r="P5046">
        <v>-0.95583249999999997</v>
      </c>
      <c r="Q5046">
        <v>0.28018959999999998</v>
      </c>
      <c r="R5046">
        <v>-8.8758039999999996E-2</v>
      </c>
      <c r="S5046">
        <v>-3.1366269999999998</v>
      </c>
      <c r="T5046">
        <v>-0.13044359999999999</v>
      </c>
      <c r="U5046">
        <v>-0.43164059999999999</v>
      </c>
      <c r="V5046">
        <v>-8.8689009999999999E-2</v>
      </c>
      <c r="W5046">
        <v>0.29430139999999999</v>
      </c>
      <c r="X5046">
        <v>0.95158860000000001</v>
      </c>
      <c r="Y5046">
        <v>-0.136050799999999</v>
      </c>
      <c r="Z5046">
        <v>-3.8241680000000002E-3</v>
      </c>
      <c r="AA5046">
        <v>0.99069450000000003</v>
      </c>
      <c r="AB5046">
        <v>37</v>
      </c>
      <c r="AC5046">
        <v>-26.4180999999999</v>
      </c>
      <c r="AD5046">
        <v>-1.1104248388410001</v>
      </c>
      <c r="AE5046">
        <v>-3.6744000000000199</v>
      </c>
      <c r="AF5046">
        <v>-3.6648416824368502</v>
      </c>
      <c r="AG5046">
        <v>-1.1104248388410001</v>
      </c>
      <c r="AH5046">
        <v>26.372835804910402</v>
      </c>
      <c r="AI5046">
        <v>92.388086750838994</v>
      </c>
      <c r="AJ5046">
        <v>97.911314274998205</v>
      </c>
      <c r="AK5046">
        <v>26.6494010490444</v>
      </c>
      <c r="AL5046">
        <v>72.884348283923799</v>
      </c>
      <c r="AM5046">
        <v>95.324642179871404</v>
      </c>
      <c r="AN5046">
        <v>0.99999995909334904</v>
      </c>
    </row>
    <row r="5047" spans="1:40" x14ac:dyDescent="0.25">
      <c r="A5047" t="str">
        <f>"20190304164227574"</f>
        <v>20190304164227574</v>
      </c>
      <c r="B5047" t="str">
        <f>"1551688947566101"</f>
        <v>1551688947566101</v>
      </c>
      <c r="C5047" t="s">
        <v>40</v>
      </c>
      <c r="D5047">
        <v>3.988</v>
      </c>
      <c r="E5047">
        <v>0.49217300000000003</v>
      </c>
      <c r="F5047" t="s">
        <v>42</v>
      </c>
      <c r="G5047">
        <v>-378.5985</v>
      </c>
      <c r="H5047" s="1">
        <v>-1.0284580000000001E-6</v>
      </c>
      <c r="I5047">
        <v>137.49100000000001</v>
      </c>
      <c r="J5047">
        <v>-347.93290000000002</v>
      </c>
      <c r="K5047">
        <v>1.1104229999999999</v>
      </c>
      <c r="L5047">
        <v>141.36850000000001</v>
      </c>
      <c r="M5047">
        <v>-0.99989030000000001</v>
      </c>
      <c r="N5047">
        <v>-1.480851E-2</v>
      </c>
      <c r="O5047">
        <v>-1.696178E-4</v>
      </c>
      <c r="P5047">
        <v>-0.95553540000000003</v>
      </c>
      <c r="Q5047">
        <v>0.28042489999999998</v>
      </c>
      <c r="R5047">
        <v>-9.1182250000000006E-2</v>
      </c>
      <c r="S5047">
        <v>-3.135132</v>
      </c>
      <c r="T5047">
        <v>-0.11273519999999899</v>
      </c>
      <c r="U5047">
        <v>-0.3936615</v>
      </c>
      <c r="V5047">
        <v>-9.1067400000000007E-2</v>
      </c>
      <c r="W5047">
        <v>0.29452979999999901</v>
      </c>
      <c r="X5047">
        <v>0.95129330000000001</v>
      </c>
      <c r="Y5047">
        <v>-0.1243059</v>
      </c>
      <c r="Z5047">
        <v>-3.1463709999999998E-3</v>
      </c>
      <c r="AA5047">
        <v>0.99223890000000003</v>
      </c>
      <c r="AB5047">
        <v>37</v>
      </c>
      <c r="AC5047">
        <v>-30.665599999999898</v>
      </c>
      <c r="AD5047">
        <v>-1.110424028458</v>
      </c>
      <c r="AE5047">
        <v>-3.8774999999999902</v>
      </c>
      <c r="AF5047">
        <v>-3.8673068598343701</v>
      </c>
      <c r="AG5047">
        <v>-1.110424028458</v>
      </c>
      <c r="AH5047">
        <v>30.626730972191801</v>
      </c>
      <c r="AI5047">
        <v>92.060101409980902</v>
      </c>
      <c r="AJ5047">
        <v>97.196779335140207</v>
      </c>
      <c r="AK5047">
        <v>30.889897279112301</v>
      </c>
      <c r="AL5047">
        <v>72.870655879713098</v>
      </c>
      <c r="AM5047">
        <v>95.468266973085406</v>
      </c>
      <c r="AN5047">
        <v>1.00000000852784</v>
      </c>
    </row>
    <row r="5048" spans="1:40" x14ac:dyDescent="0.25">
      <c r="A5048" t="str">
        <f>"20190304164227591"</f>
        <v>20190304164227591</v>
      </c>
      <c r="B5048" t="str">
        <f>"1551688947586596"</f>
        <v>1551688947586596</v>
      </c>
      <c r="C5048" t="s">
        <v>40</v>
      </c>
      <c r="D5048">
        <v>3.9902959999999998</v>
      </c>
      <c r="E5048">
        <v>0.49506640000000002</v>
      </c>
      <c r="F5048" t="s">
        <v>42</v>
      </c>
      <c r="G5048">
        <v>-380.125</v>
      </c>
      <c r="H5048" s="1">
        <v>-4.612863E-6</v>
      </c>
      <c r="I5048">
        <v>137.3937</v>
      </c>
      <c r="J5048">
        <v>-348.18790000000001</v>
      </c>
      <c r="K5048">
        <v>1.1104179999999999</v>
      </c>
      <c r="L5048">
        <v>141.3683</v>
      </c>
      <c r="M5048">
        <v>-0.99989039999999996</v>
      </c>
      <c r="N5048">
        <v>-1.480566E-2</v>
      </c>
      <c r="O5048">
        <v>-2.2669899999999999E-4</v>
      </c>
      <c r="P5048">
        <v>-0.95497569999999998</v>
      </c>
      <c r="Q5048">
        <v>0.28090510000000002</v>
      </c>
      <c r="R5048">
        <v>-9.5465090000000002E-2</v>
      </c>
      <c r="S5048">
        <v>-3.1343990000000002</v>
      </c>
      <c r="T5048">
        <v>-0.1081172</v>
      </c>
      <c r="U5048">
        <v>-0.38699339999999999</v>
      </c>
      <c r="V5048">
        <v>-9.5296039999999999E-2</v>
      </c>
      <c r="W5048">
        <v>0.2949986</v>
      </c>
      <c r="X5048">
        <v>0.95073370000000001</v>
      </c>
      <c r="Y5048">
        <v>-0.122208399999999</v>
      </c>
      <c r="Z5048">
        <v>-3.00322E-3</v>
      </c>
      <c r="AA5048">
        <v>0.99249989999999999</v>
      </c>
      <c r="AB5048">
        <v>37</v>
      </c>
      <c r="AC5048">
        <v>-31.937099999999901</v>
      </c>
      <c r="AD5048">
        <v>-1.1104226128629999</v>
      </c>
      <c r="AE5048">
        <v>-3.9746000000000001</v>
      </c>
      <c r="AF5048">
        <v>-3.9626416725509901</v>
      </c>
      <c r="AG5048">
        <v>-1.1104226128629999</v>
      </c>
      <c r="AH5048">
        <v>31.900024959483201</v>
      </c>
      <c r="AI5048">
        <v>91.978436387200006</v>
      </c>
      <c r="AJ5048">
        <v>97.081045362300401</v>
      </c>
      <c r="AK5048">
        <v>32.164377186879399</v>
      </c>
      <c r="AL5048">
        <v>72.842547264355304</v>
      </c>
      <c r="AM5048">
        <v>95.7238791299377</v>
      </c>
      <c r="AN5048">
        <v>1.0000000387786601</v>
      </c>
    </row>
    <row r="5049" spans="1:40" x14ac:dyDescent="0.25">
      <c r="A5049" t="str">
        <f>"20190304164227612"</f>
        <v>20190304164227612</v>
      </c>
      <c r="B5049" t="str">
        <f>"1551688947606115"</f>
        <v>1551688947606115</v>
      </c>
      <c r="C5049" t="s">
        <v>40</v>
      </c>
      <c r="D5049">
        <v>4.0323229999999999</v>
      </c>
      <c r="E5049">
        <v>0.49716890000000002</v>
      </c>
      <c r="F5049" t="s">
        <v>42</v>
      </c>
      <c r="G5049">
        <v>-381.72309999999999</v>
      </c>
      <c r="H5049" s="1">
        <v>-3.9393879999999996E-6</v>
      </c>
      <c r="I5049">
        <v>137.32560000000001</v>
      </c>
      <c r="J5049">
        <v>-348.54599999999999</v>
      </c>
      <c r="K5049">
        <v>1.110422</v>
      </c>
      <c r="L5049">
        <v>141.3681</v>
      </c>
      <c r="M5049">
        <v>-0.99989039999999996</v>
      </c>
      <c r="N5049">
        <v>-1.4801659999999999E-2</v>
      </c>
      <c r="O5049">
        <v>-3.070169E-4</v>
      </c>
      <c r="P5049">
        <v>-0.95454220000000001</v>
      </c>
      <c r="Q5049">
        <v>0.28136689999999998</v>
      </c>
      <c r="R5049">
        <v>-9.8397689999999996E-2</v>
      </c>
      <c r="S5049">
        <v>-3.1341860000000001</v>
      </c>
      <c r="T5049">
        <v>-0.10377989999999999</v>
      </c>
      <c r="U5049">
        <v>-0.37782290000000002</v>
      </c>
      <c r="V5049">
        <v>-9.8152349999999999E-2</v>
      </c>
      <c r="W5049">
        <v>0.29544920000000002</v>
      </c>
      <c r="X5049">
        <v>0.95030309999999996</v>
      </c>
      <c r="Y5049">
        <v>-0.1192841</v>
      </c>
      <c r="Z5049">
        <v>-2.8480070000000001E-3</v>
      </c>
      <c r="AA5049">
        <v>0.99285610000000002</v>
      </c>
      <c r="AB5049">
        <v>37</v>
      </c>
      <c r="AC5049">
        <v>-33.177100000000003</v>
      </c>
      <c r="AD5049">
        <v>-1.110425939388</v>
      </c>
      <c r="AE5049">
        <v>-4.0424999999999898</v>
      </c>
      <c r="AF5049">
        <v>-4.0278666848424596</v>
      </c>
      <c r="AG5049">
        <v>-1.110425939388</v>
      </c>
      <c r="AH5049">
        <v>33.141756838029799</v>
      </c>
      <c r="AI5049">
        <v>91.904989941308102</v>
      </c>
      <c r="AJ5049">
        <v>96.929429633492802</v>
      </c>
      <c r="AK5049">
        <v>33.404083614265303</v>
      </c>
      <c r="AL5049">
        <v>72.815525528245203</v>
      </c>
      <c r="AM5049">
        <v>95.896902552162501</v>
      </c>
      <c r="AN5049">
        <v>1.0000000477303801</v>
      </c>
    </row>
    <row r="5050" spans="1:40" x14ac:dyDescent="0.25">
      <c r="A5050" t="str">
        <f>"20190304164227634"</f>
        <v>20190304164227634</v>
      </c>
      <c r="B5050" t="str">
        <f>"1551688947626613"</f>
        <v>1551688947626613</v>
      </c>
      <c r="C5050" t="s">
        <v>40</v>
      </c>
      <c r="D5050">
        <v>4.0566779999999998</v>
      </c>
      <c r="E5050">
        <v>0.49892540000000002</v>
      </c>
      <c r="F5050" t="s">
        <v>42</v>
      </c>
      <c r="G5050">
        <v>-382.39780000000002</v>
      </c>
      <c r="H5050" s="1">
        <v>-3.6412680000000002E-6</v>
      </c>
      <c r="I5050">
        <v>137.37440000000001</v>
      </c>
      <c r="J5050">
        <v>-348.89729999999997</v>
      </c>
      <c r="K5050">
        <v>1.1104320000000001</v>
      </c>
      <c r="L5050">
        <v>141.36799999999999</v>
      </c>
      <c r="M5050">
        <v>-0.99989050000000002</v>
      </c>
      <c r="N5050">
        <v>-1.4797630000000001E-2</v>
      </c>
      <c r="O5050">
        <v>-3.8566490000000001E-4</v>
      </c>
      <c r="P5050">
        <v>-0.95380969999999998</v>
      </c>
      <c r="Q5050">
        <v>0.28284609999999999</v>
      </c>
      <c r="R5050">
        <v>-0.1012194</v>
      </c>
      <c r="S5050">
        <v>-3.1350709999999999</v>
      </c>
      <c r="T5050">
        <v>-0.1028384</v>
      </c>
      <c r="U5050">
        <v>-0.36985780000000001</v>
      </c>
      <c r="V5050">
        <v>-0.1008998</v>
      </c>
      <c r="W5050">
        <v>0.29691339999999999</v>
      </c>
      <c r="X5050">
        <v>0.94955869999999998</v>
      </c>
      <c r="Y5050">
        <v>-0.1166886</v>
      </c>
      <c r="Z5050">
        <v>-2.7665290000000002E-3</v>
      </c>
      <c r="AA5050">
        <v>0.99316470000000001</v>
      </c>
      <c r="AB5050">
        <v>36</v>
      </c>
      <c r="AC5050">
        <v>-33.500500000000002</v>
      </c>
      <c r="AD5050">
        <v>-1.1104356412680001</v>
      </c>
      <c r="AE5050">
        <v>-3.9935999999999798</v>
      </c>
      <c r="AF5050">
        <v>-3.9763706490679702</v>
      </c>
      <c r="AG5050">
        <v>-1.1104356412680001</v>
      </c>
      <c r="AH5050">
        <v>33.465783789940303</v>
      </c>
      <c r="AI5050">
        <v>91.887181612381596</v>
      </c>
      <c r="AJ5050">
        <v>96.776057837463298</v>
      </c>
      <c r="AK5050">
        <v>33.719479170461703</v>
      </c>
      <c r="AL5050">
        <v>72.727691806199005</v>
      </c>
      <c r="AM5050">
        <v>96.0654706617659</v>
      </c>
      <c r="AN5050">
        <v>1.00000003074264</v>
      </c>
    </row>
    <row r="5051" spans="1:40" x14ac:dyDescent="0.25">
      <c r="A5051" t="str">
        <f>"20190304164227656"</f>
        <v>20190304164227656</v>
      </c>
      <c r="B5051" t="str">
        <f>"1551688947646133"</f>
        <v>1551688947646133</v>
      </c>
      <c r="C5051" t="s">
        <v>40</v>
      </c>
      <c r="D5051">
        <v>4.0467050000000002</v>
      </c>
      <c r="E5051">
        <v>0.50038990000000005</v>
      </c>
      <c r="F5051" t="s">
        <v>42</v>
      </c>
      <c r="G5051">
        <v>-383.18259999999998</v>
      </c>
      <c r="H5051" s="1">
        <v>-3.303409E-6</v>
      </c>
      <c r="I5051">
        <v>137.38120000000001</v>
      </c>
      <c r="J5051">
        <v>-349.25799999999998</v>
      </c>
      <c r="K5051">
        <v>1.110447</v>
      </c>
      <c r="L5051">
        <v>141.36770000000001</v>
      </c>
      <c r="M5051">
        <v>-0.99989039999999996</v>
      </c>
      <c r="N5051">
        <v>-1.4793570000000001E-2</v>
      </c>
      <c r="O5051">
        <v>-4.6609970000000001E-4</v>
      </c>
      <c r="P5051">
        <v>-0.95296190000000003</v>
      </c>
      <c r="Q5051">
        <v>0.28498220000000002</v>
      </c>
      <c r="R5051">
        <v>-0.1031931</v>
      </c>
      <c r="S5051">
        <v>-3.1366879999999999</v>
      </c>
      <c r="T5051">
        <v>-0.10159169999999999</v>
      </c>
      <c r="U5051">
        <v>-0.36473080000000002</v>
      </c>
      <c r="V5051">
        <v>-0.1027975</v>
      </c>
      <c r="W5051">
        <v>0.29903269999999998</v>
      </c>
      <c r="X5051">
        <v>0.94868969999999997</v>
      </c>
      <c r="Y5051">
        <v>-0.11495080000000001</v>
      </c>
      <c r="Z5051">
        <v>-2.700114E-3</v>
      </c>
      <c r="AA5051">
        <v>0.99336749999999996</v>
      </c>
      <c r="AB5051">
        <v>36</v>
      </c>
      <c r="AC5051">
        <v>-33.924599999999899</v>
      </c>
      <c r="AD5051">
        <v>-1.1104503034090001</v>
      </c>
      <c r="AE5051">
        <v>-3.9864999999999999</v>
      </c>
      <c r="AF5051">
        <v>-3.9664936065202601</v>
      </c>
      <c r="AG5051">
        <v>-1.1104503034090001</v>
      </c>
      <c r="AH5051">
        <v>33.890637353468101</v>
      </c>
      <c r="AI5051">
        <v>91.863951044433804</v>
      </c>
      <c r="AJ5051">
        <v>96.6754162696094</v>
      </c>
      <c r="AK5051">
        <v>34.140027411107802</v>
      </c>
      <c r="AL5051">
        <v>72.600486141873802</v>
      </c>
      <c r="AM5051">
        <v>96.184290142617101</v>
      </c>
      <c r="AN5051">
        <v>1.0000000142808101</v>
      </c>
    </row>
    <row r="5052" spans="1:40" x14ac:dyDescent="0.25">
      <c r="A5052" t="str">
        <f>"20190304164227680"</f>
        <v>20190304164227680</v>
      </c>
      <c r="B5052" t="str">
        <f>"1551688947666629"</f>
        <v>1551688947666629</v>
      </c>
      <c r="C5052" t="s">
        <v>40</v>
      </c>
      <c r="D5052">
        <v>4.1136030000000003</v>
      </c>
      <c r="E5052">
        <v>0.50150450000000002</v>
      </c>
      <c r="F5052" t="s">
        <v>42</v>
      </c>
      <c r="G5052">
        <v>-384.29419999999999</v>
      </c>
      <c r="H5052" s="1">
        <v>-2.830453E-6</v>
      </c>
      <c r="I5052">
        <v>137.35910000000001</v>
      </c>
      <c r="J5052">
        <v>-349.63099999999997</v>
      </c>
      <c r="K5052">
        <v>1.1104419999999999</v>
      </c>
      <c r="L5052">
        <v>141.3674</v>
      </c>
      <c r="M5052">
        <v>-0.99989050000000002</v>
      </c>
      <c r="N5052">
        <v>-1.478965E-2</v>
      </c>
      <c r="O5052">
        <v>-5.4963069999999998E-4</v>
      </c>
      <c r="P5052">
        <v>-0.95201910000000001</v>
      </c>
      <c r="Q5052">
        <v>0.28701179999999998</v>
      </c>
      <c r="R5052">
        <v>-0.10622570000000001</v>
      </c>
      <c r="S5052">
        <v>-3.138916</v>
      </c>
      <c r="T5052">
        <v>-9.9486110000000003E-2</v>
      </c>
      <c r="U5052">
        <v>-0.35913089999999998</v>
      </c>
      <c r="V5052">
        <v>-0.1057514</v>
      </c>
      <c r="W5052">
        <v>0.30104419999999998</v>
      </c>
      <c r="X5052">
        <v>0.94772840000000003</v>
      </c>
      <c r="Y5052">
        <v>-0.1130423</v>
      </c>
      <c r="Z5052">
        <v>-2.6148759999999999E-3</v>
      </c>
      <c r="AA5052">
        <v>0.99358670000000004</v>
      </c>
      <c r="AB5052">
        <v>36</v>
      </c>
      <c r="AC5052">
        <v>-34.663200000000003</v>
      </c>
      <c r="AD5052">
        <v>-1.1104448304529999</v>
      </c>
      <c r="AE5052">
        <v>-4.0082999999999904</v>
      </c>
      <c r="AF5052">
        <v>-3.98520946410807</v>
      </c>
      <c r="AG5052">
        <v>-1.1104448304529999</v>
      </c>
      <c r="AH5052">
        <v>34.6303273803086</v>
      </c>
      <c r="AI5052">
        <v>91.824565083891301</v>
      </c>
      <c r="AJ5052">
        <v>96.564640818858507</v>
      </c>
      <c r="AK5052">
        <v>34.8765617092862</v>
      </c>
      <c r="AL5052">
        <v>72.479669820723601</v>
      </c>
      <c r="AM5052">
        <v>96.366958902757403</v>
      </c>
      <c r="AN5052">
        <v>1.0000000445610699</v>
      </c>
    </row>
    <row r="5053" spans="1:40" x14ac:dyDescent="0.25">
      <c r="A5053" t="str">
        <f>"20190304164227695"</f>
        <v>20190304164227695</v>
      </c>
      <c r="B5053" t="str">
        <f>"1551688947686149"</f>
        <v>1551688947686149</v>
      </c>
      <c r="C5053" t="s">
        <v>40</v>
      </c>
      <c r="D5053">
        <v>4.1097250000000001</v>
      </c>
      <c r="E5053">
        <v>0.50250660000000003</v>
      </c>
      <c r="F5053" t="s">
        <v>42</v>
      </c>
      <c r="G5053">
        <v>-385.24919999999997</v>
      </c>
      <c r="H5053" s="1">
        <v>-2.434547E-6</v>
      </c>
      <c r="I5053">
        <v>137.28129999999999</v>
      </c>
      <c r="J5053">
        <v>-349.89609999999999</v>
      </c>
      <c r="K5053">
        <v>1.110447</v>
      </c>
      <c r="L5053">
        <v>141.3672</v>
      </c>
      <c r="M5053">
        <v>-0.99989050000000002</v>
      </c>
      <c r="N5053">
        <v>-1.478697E-2</v>
      </c>
      <c r="O5053">
        <v>-6.0873649999999997E-4</v>
      </c>
      <c r="P5053">
        <v>-0.95168819999999998</v>
      </c>
      <c r="Q5053">
        <v>0.28749799999999998</v>
      </c>
      <c r="R5053">
        <v>-0.1078625</v>
      </c>
      <c r="S5053">
        <v>-3.1405029999999998</v>
      </c>
      <c r="T5053">
        <v>-9.7909330000000003E-2</v>
      </c>
      <c r="U5053">
        <v>-0.36027530000000002</v>
      </c>
      <c r="V5053">
        <v>-0.1073321</v>
      </c>
      <c r="W5053">
        <v>0.30152250000000003</v>
      </c>
      <c r="X5053">
        <v>0.94739850000000003</v>
      </c>
      <c r="Y5053">
        <v>-0.11328630000000001</v>
      </c>
      <c r="Z5053">
        <v>-2.590452E-3</v>
      </c>
      <c r="AA5053">
        <v>0.99355899999999997</v>
      </c>
      <c r="AB5053">
        <v>36</v>
      </c>
      <c r="AC5053">
        <v>-35.353099999999898</v>
      </c>
      <c r="AD5053">
        <v>-1.110449434547</v>
      </c>
      <c r="AE5053">
        <v>-4.0858999999999996</v>
      </c>
      <c r="AF5053">
        <v>-4.0604229454970397</v>
      </c>
      <c r="AG5053">
        <v>-1.110449434547</v>
      </c>
      <c r="AH5053">
        <v>35.321192292842603</v>
      </c>
      <c r="AI5053">
        <v>91.788932982061198</v>
      </c>
      <c r="AJ5053">
        <v>96.557772261069502</v>
      </c>
      <c r="AK5053">
        <v>35.571150634059698</v>
      </c>
      <c r="AL5053">
        <v>72.450928264210603</v>
      </c>
      <c r="AM5053">
        <v>96.463559808863593</v>
      </c>
      <c r="AN5053">
        <v>0.99999995774945405</v>
      </c>
    </row>
    <row r="5054" spans="1:40" x14ac:dyDescent="0.25">
      <c r="A5054" t="str">
        <f>"20190304164227708"</f>
        <v>20190304164227708</v>
      </c>
      <c r="B5054" t="str">
        <f>"1551688947695908"</f>
        <v>1551688947695908</v>
      </c>
      <c r="C5054" t="s">
        <v>40</v>
      </c>
      <c r="D5054">
        <v>4.1387070000000001</v>
      </c>
      <c r="E5054">
        <v>0.50250660000000003</v>
      </c>
      <c r="F5054" t="s">
        <v>42</v>
      </c>
      <c r="G5054">
        <v>-384.6825</v>
      </c>
      <c r="H5054" s="1">
        <v>-2.6563260000000002E-6</v>
      </c>
      <c r="I5054">
        <v>137.4016</v>
      </c>
      <c r="J5054">
        <v>-350.09449999999998</v>
      </c>
      <c r="K5054">
        <v>1.1104540000000001</v>
      </c>
      <c r="L5054">
        <v>141.36709999999999</v>
      </c>
      <c r="M5054">
        <v>-0.99989050000000002</v>
      </c>
      <c r="N5054">
        <v>-1.478496E-2</v>
      </c>
      <c r="O5054">
        <v>-6.5306519999999897E-4</v>
      </c>
      <c r="P5054">
        <v>-0.95133219999999996</v>
      </c>
      <c r="Q5054">
        <v>0.28803250000000002</v>
      </c>
      <c r="R5054">
        <v>-0.1095652</v>
      </c>
      <c r="S5054">
        <v>-3.1420590000000002</v>
      </c>
      <c r="T5054">
        <v>-0.10030070000000001</v>
      </c>
      <c r="U5054">
        <v>-0.35818480000000003</v>
      </c>
      <c r="V5054">
        <v>-0.1089934</v>
      </c>
      <c r="W5054">
        <v>0.30204979999999998</v>
      </c>
      <c r="X5054">
        <v>0.94704089999999996</v>
      </c>
      <c r="Y5054">
        <v>-0.1125313</v>
      </c>
      <c r="Z5054">
        <v>-2.6136330000000002E-3</v>
      </c>
      <c r="AA5054">
        <v>0.99364470000000005</v>
      </c>
      <c r="AB5054">
        <v>36</v>
      </c>
      <c r="AC5054">
        <v>-34.588000000000001</v>
      </c>
      <c r="AD5054">
        <v>-1.1104566563259901</v>
      </c>
      <c r="AE5054">
        <v>-3.9654999999999898</v>
      </c>
      <c r="AF5054">
        <v>-3.93890112795884</v>
      </c>
      <c r="AG5054">
        <v>-1.1104566563259901</v>
      </c>
      <c r="AH5054">
        <v>34.555426819834501</v>
      </c>
      <c r="AI5054">
        <v>91.828762017307099</v>
      </c>
      <c r="AJ5054">
        <v>96.502958649001897</v>
      </c>
      <c r="AK5054">
        <v>34.796919099</v>
      </c>
      <c r="AL5054">
        <v>72.419240450088395</v>
      </c>
      <c r="AM5054">
        <v>96.565193879135407</v>
      </c>
      <c r="AN5054">
        <v>1.0000000545982</v>
      </c>
    </row>
    <row r="5055" spans="1:40" x14ac:dyDescent="0.25">
      <c r="A5055" t="str">
        <f>"20190304164227720"</f>
        <v>20190304164227720</v>
      </c>
      <c r="B5055" t="str">
        <f>"1551688947706645"</f>
        <v>1551688947706645</v>
      </c>
      <c r="C5055" t="s">
        <v>40</v>
      </c>
      <c r="D5055">
        <v>4.1317830000000004</v>
      </c>
      <c r="E5055">
        <v>0.51167879999999999</v>
      </c>
      <c r="F5055" t="s">
        <v>42</v>
      </c>
      <c r="G5055">
        <v>-385.50040000000001</v>
      </c>
      <c r="H5055" s="1">
        <v>-2.3293650000000002E-6</v>
      </c>
      <c r="I5055">
        <v>137.26689999999999</v>
      </c>
      <c r="J5055">
        <v>-350.29860000000002</v>
      </c>
      <c r="K5055">
        <v>1.1104579999999999</v>
      </c>
      <c r="L5055">
        <v>141.36689999999999</v>
      </c>
      <c r="M5055">
        <v>-0.99989059999999996</v>
      </c>
      <c r="N5055">
        <v>-1.478288E-2</v>
      </c>
      <c r="O5055">
        <v>-6.9870369999999998E-4</v>
      </c>
      <c r="P5055">
        <v>-0.95089140000000005</v>
      </c>
      <c r="Q5055">
        <v>0.28896040000000001</v>
      </c>
      <c r="R5055">
        <v>-0.1109395</v>
      </c>
      <c r="S5055">
        <v>-3.1414179999999998</v>
      </c>
      <c r="T5055">
        <v>-9.8526600000000006E-2</v>
      </c>
      <c r="U5055">
        <v>-0.36378480000000002</v>
      </c>
      <c r="V5055">
        <v>-0.1103242</v>
      </c>
      <c r="W5055">
        <v>0.30296919999999999</v>
      </c>
      <c r="X5055">
        <v>0.94659289999999996</v>
      </c>
      <c r="Y5055">
        <v>-0.114258</v>
      </c>
      <c r="Z5055">
        <v>-2.6215280000000001E-3</v>
      </c>
      <c r="AA5055">
        <v>0.99344770000000004</v>
      </c>
      <c r="AB5055">
        <v>36</v>
      </c>
      <c r="AC5055">
        <v>-35.201799999999899</v>
      </c>
      <c r="AD5055">
        <v>-1.1104603293649999</v>
      </c>
      <c r="AE5055">
        <v>-4.0999999999999899</v>
      </c>
      <c r="AF5055">
        <v>-4.0714033686112696</v>
      </c>
      <c r="AG5055">
        <v>-1.1104603293649999</v>
      </c>
      <c r="AH5055">
        <v>35.1701262560345</v>
      </c>
      <c r="AI5055">
        <v>91.796464827438697</v>
      </c>
      <c r="AJ5055">
        <v>96.603345228357597</v>
      </c>
      <c r="AK5055">
        <v>35.422411385991801</v>
      </c>
      <c r="AL5055">
        <v>72.363971186811</v>
      </c>
      <c r="AM5055">
        <v>96.647758401999894</v>
      </c>
      <c r="AN5055">
        <v>0.99999994179234297</v>
      </c>
    </row>
    <row r="5056" spans="1:40" x14ac:dyDescent="0.25">
      <c r="A5056" t="str">
        <f>"20190304164227734"</f>
        <v>20190304164227734</v>
      </c>
      <c r="B5056" t="str">
        <f>"1551688947726164"</f>
        <v>1551688947726164</v>
      </c>
      <c r="C5056" t="s">
        <v>40</v>
      </c>
      <c r="D5056">
        <v>4.1597109999999997</v>
      </c>
      <c r="E5056">
        <v>0.51219349999999997</v>
      </c>
      <c r="F5056" t="s">
        <v>42</v>
      </c>
      <c r="G5056">
        <v>-376.30169999999998</v>
      </c>
      <c r="H5056" s="1">
        <v>-1.693539E-6</v>
      </c>
      <c r="I5056">
        <v>138.9135</v>
      </c>
      <c r="J5056">
        <v>-350.52269999999999</v>
      </c>
      <c r="K5056">
        <v>1.1104719999999999</v>
      </c>
      <c r="L5056">
        <v>141.36670000000001</v>
      </c>
      <c r="M5056">
        <v>-0.99989059999999996</v>
      </c>
      <c r="N5056">
        <v>-1.478058E-2</v>
      </c>
      <c r="O5056">
        <v>-7.4863289999999895E-4</v>
      </c>
      <c r="P5056">
        <v>-0.94994500000000004</v>
      </c>
      <c r="Q5056">
        <v>0.29100819999999999</v>
      </c>
      <c r="R5056">
        <v>-0.1136615</v>
      </c>
      <c r="S5056">
        <v>-3.161133</v>
      </c>
      <c r="T5056">
        <v>-0.13499620000000001</v>
      </c>
      <c r="U5056">
        <v>-0.29824830000000002</v>
      </c>
      <c r="V5056">
        <v>-0.1129998</v>
      </c>
      <c r="W5056">
        <v>0.30499979999999999</v>
      </c>
      <c r="X5056">
        <v>0.94562480000000004</v>
      </c>
      <c r="Y5056">
        <v>-9.3072849999999999E-2</v>
      </c>
      <c r="Z5056">
        <v>-2.6510069999999999E-3</v>
      </c>
      <c r="AA5056">
        <v>0.99565579999999998</v>
      </c>
      <c r="AB5056">
        <v>36</v>
      </c>
      <c r="AC5056">
        <v>-25.779</v>
      </c>
      <c r="AD5056">
        <v>-1.1104736935389901</v>
      </c>
      <c r="AE5056">
        <v>-2.4531999999999998</v>
      </c>
      <c r="AF5056">
        <v>-2.42943060504312</v>
      </c>
      <c r="AG5056">
        <v>-1.1104736935389901</v>
      </c>
      <c r="AH5056">
        <v>25.733506970225001</v>
      </c>
      <c r="AI5056">
        <v>92.460017222778802</v>
      </c>
      <c r="AJ5056">
        <v>95.393154477642199</v>
      </c>
      <c r="AK5056">
        <v>25.871773535561601</v>
      </c>
      <c r="AL5056">
        <v>72.241848999125594</v>
      </c>
      <c r="AM5056">
        <v>96.814389332962506</v>
      </c>
      <c r="AN5056">
        <v>1.0000000475875499</v>
      </c>
    </row>
    <row r="5057" spans="1:40" x14ac:dyDescent="0.25">
      <c r="A5057" t="str">
        <f>"20190304164227751"</f>
        <v>20190304164227751</v>
      </c>
      <c r="B5057" t="str">
        <f>"1551688947746660"</f>
        <v>1551688947746660</v>
      </c>
      <c r="C5057" t="s">
        <v>40</v>
      </c>
      <c r="D5057">
        <v>4.1319359999999996</v>
      </c>
      <c r="E5057">
        <v>0.51295690000000005</v>
      </c>
      <c r="F5057" t="s">
        <v>42</v>
      </c>
      <c r="G5057">
        <v>-377.08240000000001</v>
      </c>
      <c r="H5057" s="1">
        <v>-1.3767099999999999E-6</v>
      </c>
      <c r="I5057">
        <v>138.81139999999999</v>
      </c>
      <c r="J5057">
        <v>-350.78769999999997</v>
      </c>
      <c r="K5057">
        <v>1.110476</v>
      </c>
      <c r="L5057">
        <v>141.3664</v>
      </c>
      <c r="M5057">
        <v>-0.99989050000000002</v>
      </c>
      <c r="N5057">
        <v>-1.477785E-2</v>
      </c>
      <c r="O5057">
        <v>-8.0761739999999998E-4</v>
      </c>
      <c r="P5057">
        <v>-0.94948189999999999</v>
      </c>
      <c r="Q5057">
        <v>0.2920816</v>
      </c>
      <c r="R5057">
        <v>-0.11477270000000001</v>
      </c>
      <c r="S5057">
        <v>-3.1621700000000001</v>
      </c>
      <c r="T5057">
        <v>-0.132212</v>
      </c>
      <c r="U5057">
        <v>-0.3042145</v>
      </c>
      <c r="V5057">
        <v>-0.1140554</v>
      </c>
      <c r="W5057">
        <v>0.30606369999999999</v>
      </c>
      <c r="X5057">
        <v>0.94515420000000006</v>
      </c>
      <c r="Y5057">
        <v>-9.484708E-2</v>
      </c>
      <c r="Z5057">
        <v>-2.6584920000000001E-3</v>
      </c>
      <c r="AA5057">
        <v>0.99548829999999999</v>
      </c>
      <c r="AB5057">
        <v>36</v>
      </c>
      <c r="AC5057">
        <v>-26.294699999999999</v>
      </c>
      <c r="AD5057">
        <v>-1.11047737671</v>
      </c>
      <c r="AE5057">
        <v>-2.5550000000000002</v>
      </c>
      <c r="AF5057">
        <v>-2.52929188953398</v>
      </c>
      <c r="AG5057">
        <v>-1.11047737671</v>
      </c>
      <c r="AH5057">
        <v>26.250374410901301</v>
      </c>
      <c r="AI5057">
        <v>92.411202595805804</v>
      </c>
      <c r="AJ5057">
        <v>95.503607916730004</v>
      </c>
      <c r="AK5057">
        <v>26.395314625500301</v>
      </c>
      <c r="AL5057">
        <v>72.1778306901695</v>
      </c>
      <c r="AM5057">
        <v>96.880831290012793</v>
      </c>
      <c r="AN5057">
        <v>1.0000000422522399</v>
      </c>
    </row>
    <row r="5058" spans="1:40" x14ac:dyDescent="0.25">
      <c r="A5058" t="str">
        <f>"20190304164227765"</f>
        <v>20190304164227765</v>
      </c>
      <c r="B5058" t="str">
        <f>"1551688947756420"</f>
        <v>1551688947756420</v>
      </c>
      <c r="C5058" t="s">
        <v>40</v>
      </c>
      <c r="D5058">
        <v>4.142792</v>
      </c>
      <c r="E5058">
        <v>0.51320980000000005</v>
      </c>
      <c r="F5058" t="s">
        <v>42</v>
      </c>
      <c r="G5058">
        <v>-376.83319999999998</v>
      </c>
      <c r="H5058" s="1">
        <v>-1.4718719999999999E-6</v>
      </c>
      <c r="I5058">
        <v>138.87780000000001</v>
      </c>
      <c r="J5058">
        <v>-351.01760000000002</v>
      </c>
      <c r="K5058">
        <v>1.1104849999999999</v>
      </c>
      <c r="L5058">
        <v>141.36619999999999</v>
      </c>
      <c r="M5058">
        <v>-0.99989059999999996</v>
      </c>
      <c r="N5058">
        <v>-1.4775480000000001E-2</v>
      </c>
      <c r="O5058">
        <v>-8.5897479999999895E-4</v>
      </c>
      <c r="P5058">
        <v>-0.94911400000000001</v>
      </c>
      <c r="Q5058">
        <v>0.29280699999999998</v>
      </c>
      <c r="R5058">
        <v>-0.1159607</v>
      </c>
      <c r="S5058">
        <v>-3.1645810000000001</v>
      </c>
      <c r="T5058">
        <v>-0.1349255</v>
      </c>
      <c r="U5058">
        <v>-0.30236819999999998</v>
      </c>
      <c r="V5058">
        <v>-0.11519509999999999</v>
      </c>
      <c r="W5058">
        <v>0.30678129999999998</v>
      </c>
      <c r="X5058">
        <v>0.94478320000000005</v>
      </c>
      <c r="Y5058">
        <v>-9.414517E-2</v>
      </c>
      <c r="Z5058">
        <v>-2.6752270000000001E-3</v>
      </c>
      <c r="AA5058">
        <v>0.99555490000000002</v>
      </c>
      <c r="AB5058">
        <v>36</v>
      </c>
      <c r="AC5058">
        <v>-25.8155999999999</v>
      </c>
      <c r="AD5058">
        <v>-1.110486471872</v>
      </c>
      <c r="AE5058">
        <v>-2.48839999999998</v>
      </c>
      <c r="AF5058">
        <v>-2.4617085385853499</v>
      </c>
      <c r="AG5058">
        <v>-1.110486471872</v>
      </c>
      <c r="AH5058">
        <v>25.770481846418001</v>
      </c>
      <c r="AI5058">
        <v>92.456262272426699</v>
      </c>
      <c r="AJ5058">
        <v>95.456585379024901</v>
      </c>
      <c r="AK5058">
        <v>25.9115982473045</v>
      </c>
      <c r="AL5058">
        <v>72.134636417223305</v>
      </c>
      <c r="AM5058">
        <v>96.951621123435203</v>
      </c>
      <c r="AN5058">
        <v>0.99999998604797002</v>
      </c>
    </row>
    <row r="5059" spans="1:40" x14ac:dyDescent="0.25">
      <c r="A5059" t="str">
        <f>"20190304164227778"</f>
        <v>20190304164227778</v>
      </c>
      <c r="B5059" t="str">
        <f>"1551688947766180"</f>
        <v>1551688947766180</v>
      </c>
      <c r="C5059" t="s">
        <v>40</v>
      </c>
      <c r="D5059">
        <v>4.1653120000000001</v>
      </c>
      <c r="E5059">
        <v>0.51332339999999999</v>
      </c>
      <c r="F5059" t="s">
        <v>42</v>
      </c>
      <c r="G5059">
        <v>-377.30090000000001</v>
      </c>
      <c r="H5059" s="1">
        <v>-1.277492E-6</v>
      </c>
      <c r="I5059">
        <v>138.8424</v>
      </c>
      <c r="J5059">
        <v>-351.24889999999999</v>
      </c>
      <c r="K5059">
        <v>1.1104860000000001</v>
      </c>
      <c r="L5059">
        <v>141.36590000000001</v>
      </c>
      <c r="M5059">
        <v>-0.99989050000000002</v>
      </c>
      <c r="N5059">
        <v>-1.4773089999999999E-2</v>
      </c>
      <c r="O5059">
        <v>-9.1080860000000003E-4</v>
      </c>
      <c r="P5059">
        <v>-0.94848180000000004</v>
      </c>
      <c r="Q5059">
        <v>0.29415370000000002</v>
      </c>
      <c r="R5059">
        <v>-0.1177115</v>
      </c>
      <c r="S5059">
        <v>-3.164917</v>
      </c>
      <c r="T5059">
        <v>-0.133719899999999</v>
      </c>
      <c r="U5059">
        <v>-0.303894</v>
      </c>
      <c r="V5059">
        <v>-0.1168975</v>
      </c>
      <c r="W5059">
        <v>0.308116099999999</v>
      </c>
      <c r="X5059">
        <v>0.94413950000000002</v>
      </c>
      <c r="Y5059">
        <v>-9.4560480000000002E-2</v>
      </c>
      <c r="Z5059">
        <v>-2.667736E-3</v>
      </c>
      <c r="AA5059">
        <v>0.9955155</v>
      </c>
      <c r="AB5059">
        <v>36</v>
      </c>
      <c r="AC5059">
        <v>-26.052</v>
      </c>
      <c r="AD5059">
        <v>-1.110487277492</v>
      </c>
      <c r="AE5059">
        <v>-2.5235000000000101</v>
      </c>
      <c r="AF5059">
        <v>-2.4952763085941698</v>
      </c>
      <c r="AG5059">
        <v>-1.110487277492</v>
      </c>
      <c r="AH5059">
        <v>26.007472616506799</v>
      </c>
      <c r="AI5059">
        <v>92.433811694064801</v>
      </c>
      <c r="AJ5059">
        <v>95.480444685172003</v>
      </c>
      <c r="AK5059">
        <v>26.1504917305211</v>
      </c>
      <c r="AL5059">
        <v>72.054265007517003</v>
      </c>
      <c r="AM5059">
        <v>97.058088004764997</v>
      </c>
      <c r="AN5059">
        <v>0.99999997602285395</v>
      </c>
    </row>
    <row r="5060" spans="1:40" x14ac:dyDescent="0.25">
      <c r="A5060" t="str">
        <f>"20190304164227803"</f>
        <v>20190304164227803</v>
      </c>
      <c r="B5060" t="str">
        <f>"1551688947796436"</f>
        <v>1551688947796436</v>
      </c>
      <c r="C5060" t="s">
        <v>40</v>
      </c>
      <c r="D5060">
        <v>4.1528330000000002</v>
      </c>
      <c r="E5060">
        <v>0.51554440000000001</v>
      </c>
      <c r="F5060" t="s">
        <v>42</v>
      </c>
      <c r="G5060">
        <v>-378.0093</v>
      </c>
      <c r="H5060" s="1">
        <v>-9.8883330000000005E-7</v>
      </c>
      <c r="I5060">
        <v>138.75649999999999</v>
      </c>
      <c r="J5060">
        <v>-351.62220000000002</v>
      </c>
      <c r="K5060">
        <v>1.110495</v>
      </c>
      <c r="L5060">
        <v>141.3655</v>
      </c>
      <c r="M5060">
        <v>-0.99989039999999996</v>
      </c>
      <c r="N5060">
        <v>-1.4769050000000001E-2</v>
      </c>
      <c r="O5060">
        <v>-9.941002E-4</v>
      </c>
      <c r="P5060">
        <v>-0.9477506</v>
      </c>
      <c r="Q5060">
        <v>0.2958808</v>
      </c>
      <c r="R5060">
        <v>-0.1192637</v>
      </c>
      <c r="S5060">
        <v>-3.1654049999999998</v>
      </c>
      <c r="T5060">
        <v>-0.13135639999999901</v>
      </c>
      <c r="U5060">
        <v>-0.30865479999999901</v>
      </c>
      <c r="V5060">
        <v>-0.1183718</v>
      </c>
      <c r="W5060">
        <v>0.30982859999999901</v>
      </c>
      <c r="X5060">
        <v>0.94339510000000004</v>
      </c>
      <c r="Y5060">
        <v>-9.5948110000000003E-2</v>
      </c>
      <c r="Z5060">
        <v>-2.6694079999999999E-3</v>
      </c>
      <c r="AA5060">
        <v>0.99538280000000001</v>
      </c>
      <c r="AB5060">
        <v>36</v>
      </c>
      <c r="AC5060">
        <v>-26.387099999999901</v>
      </c>
      <c r="AD5060">
        <v>-1.1104959888332999</v>
      </c>
      <c r="AE5060">
        <v>-2.609</v>
      </c>
      <c r="AF5060">
        <v>-2.5782422317046598</v>
      </c>
      <c r="AG5060">
        <v>-1.1104959888332999</v>
      </c>
      <c r="AH5060">
        <v>26.3434748206354</v>
      </c>
      <c r="AI5060">
        <v>92.402381028454201</v>
      </c>
      <c r="AJ5060">
        <v>95.5897498176965</v>
      </c>
      <c r="AK5060">
        <v>26.4926253884361</v>
      </c>
      <c r="AL5060">
        <v>71.951098180308094</v>
      </c>
      <c r="AM5060">
        <v>97.151769710919496</v>
      </c>
      <c r="AN5060">
        <v>0.99999997955860398</v>
      </c>
    </row>
    <row r="5061" spans="1:40" x14ac:dyDescent="0.25">
      <c r="A5061" t="str">
        <f>"20190304164227826"</f>
        <v>20190304164227826</v>
      </c>
      <c r="B5061" t="str">
        <f>"1551688947815956"</f>
        <v>1551688947815956</v>
      </c>
      <c r="C5061" t="s">
        <v>40</v>
      </c>
      <c r="D5061">
        <v>4.1316350000000002</v>
      </c>
      <c r="E5061">
        <v>0.51589110000000005</v>
      </c>
      <c r="F5061" t="s">
        <v>42</v>
      </c>
      <c r="G5061">
        <v>-374.72559999999999</v>
      </c>
      <c r="H5061" s="1">
        <v>-2.3177869999999999E-6</v>
      </c>
      <c r="I5061">
        <v>139.20580000000001</v>
      </c>
      <c r="J5061">
        <v>-351.99220000000003</v>
      </c>
      <c r="K5061">
        <v>1.1105020000000001</v>
      </c>
      <c r="L5061">
        <v>141.36510000000001</v>
      </c>
      <c r="M5061">
        <v>-0.99989059999999996</v>
      </c>
      <c r="N5061">
        <v>-1.476503E-2</v>
      </c>
      <c r="O5061">
        <v>-1.077148E-3</v>
      </c>
      <c r="P5061">
        <v>-0.94716880000000003</v>
      </c>
      <c r="Q5061">
        <v>0.29722009999999899</v>
      </c>
      <c r="R5061">
        <v>-0.12055</v>
      </c>
      <c r="S5061">
        <v>-3.175659</v>
      </c>
      <c r="T5061">
        <v>-0.15264259999999999</v>
      </c>
      <c r="U5061">
        <v>-0.29684450000000001</v>
      </c>
      <c r="V5061">
        <v>-0.11957950000000001</v>
      </c>
      <c r="W5061">
        <v>0.31115490000000001</v>
      </c>
      <c r="X5061">
        <v>0.94280609999999998</v>
      </c>
      <c r="Y5061">
        <v>-9.1859460000000004E-2</v>
      </c>
      <c r="Z5061">
        <v>-2.8460209999999998E-3</v>
      </c>
      <c r="AA5061">
        <v>0.99576790000000004</v>
      </c>
      <c r="AB5061">
        <v>36</v>
      </c>
      <c r="AC5061">
        <v>-22.7333999999999</v>
      </c>
      <c r="AD5061">
        <v>-1.110504317787</v>
      </c>
      <c r="AE5061">
        <v>-2.1593</v>
      </c>
      <c r="AF5061">
        <v>-2.1297721666782699</v>
      </c>
      <c r="AG5061">
        <v>-1.110504317787</v>
      </c>
      <c r="AH5061">
        <v>22.682072318752098</v>
      </c>
      <c r="AI5061">
        <v>92.790682467444199</v>
      </c>
      <c r="AJ5061">
        <v>95.364158057720203</v>
      </c>
      <c r="AK5061">
        <v>22.8088919940203</v>
      </c>
      <c r="AL5061">
        <v>71.871155816927796</v>
      </c>
      <c r="AM5061">
        <v>97.228434661850301</v>
      </c>
      <c r="AN5061">
        <v>0.99999998540573398</v>
      </c>
    </row>
    <row r="5062" spans="1:40" x14ac:dyDescent="0.25">
      <c r="A5062" t="str">
        <f>"20190304164227846"</f>
        <v>20190304164227846</v>
      </c>
      <c r="B5062" t="str">
        <f>"1551688947836453"</f>
        <v>1551688947836453</v>
      </c>
      <c r="C5062" t="s">
        <v>40</v>
      </c>
      <c r="D5062">
        <v>4.3045960000000001</v>
      </c>
      <c r="E5062">
        <v>0.51602440000000005</v>
      </c>
      <c r="F5062" t="s">
        <v>42</v>
      </c>
      <c r="G5062">
        <v>-375.69009999999997</v>
      </c>
      <c r="H5062" s="1">
        <v>-1.9157799999999998E-6</v>
      </c>
      <c r="I5062">
        <v>139.1396</v>
      </c>
      <c r="J5062">
        <v>-352.32499999999999</v>
      </c>
      <c r="K5062">
        <v>1.110506</v>
      </c>
      <c r="L5062">
        <v>141.3646</v>
      </c>
      <c r="M5062">
        <v>-0.99989039999999996</v>
      </c>
      <c r="N5062">
        <v>-1.4761450000000001E-2</v>
      </c>
      <c r="O5062">
        <v>-1.1515010000000001E-3</v>
      </c>
      <c r="P5062">
        <v>-0.94656689999999999</v>
      </c>
      <c r="Q5062">
        <v>0.29853200000000002</v>
      </c>
      <c r="R5062">
        <v>-0.1220242</v>
      </c>
      <c r="S5062">
        <v>-3.1760860000000002</v>
      </c>
      <c r="T5062">
        <v>-0.14883460000000001</v>
      </c>
      <c r="U5062">
        <v>-0.29824830000000002</v>
      </c>
      <c r="V5062">
        <v>-0.1209843</v>
      </c>
      <c r="W5062">
        <v>0.31245509999999999</v>
      </c>
      <c r="X5062">
        <v>0.9421967</v>
      </c>
      <c r="Y5062">
        <v>-9.2214790000000005E-2</v>
      </c>
      <c r="Z5062">
        <v>-2.8004969999999999E-3</v>
      </c>
      <c r="AA5062">
        <v>0.99573520000000004</v>
      </c>
      <c r="AB5062">
        <v>36</v>
      </c>
      <c r="AC5062">
        <v>-23.365099999999899</v>
      </c>
      <c r="AD5062">
        <v>-1.11050791578</v>
      </c>
      <c r="AE5062">
        <v>-2.2249999999999899</v>
      </c>
      <c r="AF5062">
        <v>-2.1931808784700402</v>
      </c>
      <c r="AG5062">
        <v>-1.11050791578</v>
      </c>
      <c r="AH5062">
        <v>23.315451585813001</v>
      </c>
      <c r="AI5062">
        <v>92.714952936279104</v>
      </c>
      <c r="AJ5062">
        <v>95.373746928288597</v>
      </c>
      <c r="AK5062">
        <v>23.4446913574712</v>
      </c>
      <c r="AL5062">
        <v>71.792751440277101</v>
      </c>
      <c r="AM5062">
        <v>97.317117570046193</v>
      </c>
      <c r="AN5062">
        <v>1.00000000592669</v>
      </c>
    </row>
    <row r="5063" spans="1:40" x14ac:dyDescent="0.25">
      <c r="A5063" t="str">
        <f>"20190304164227863"</f>
        <v>20190304164227863</v>
      </c>
      <c r="B5063" t="str">
        <f>"1551688947855972"</f>
        <v>1551688947855972</v>
      </c>
      <c r="C5063" t="s">
        <v>40</v>
      </c>
      <c r="D5063">
        <v>4.1342439999999998</v>
      </c>
      <c r="E5063">
        <v>0.55347650000000004</v>
      </c>
      <c r="F5063" t="s">
        <v>42</v>
      </c>
      <c r="G5063">
        <v>-376.71640000000002</v>
      </c>
      <c r="H5063" s="1">
        <v>-1.4929299999999999E-6</v>
      </c>
      <c r="I5063">
        <v>139.04130000000001</v>
      </c>
      <c r="J5063">
        <v>-352.60239999999999</v>
      </c>
      <c r="K5063">
        <v>1.1105069999999999</v>
      </c>
      <c r="L5063">
        <v>141.36429999999999</v>
      </c>
      <c r="M5063">
        <v>-0.99989039999999996</v>
      </c>
      <c r="N5063">
        <v>-1.4758479999999999E-2</v>
      </c>
      <c r="O5063">
        <v>-1.2135819999999999E-3</v>
      </c>
      <c r="P5063">
        <v>-0.94630040000000004</v>
      </c>
      <c r="Q5063">
        <v>0.29905300000000001</v>
      </c>
      <c r="R5063">
        <v>-0.12281300000000001</v>
      </c>
      <c r="S5063">
        <v>-3.175964</v>
      </c>
      <c r="T5063">
        <v>-0.14459739999999999</v>
      </c>
      <c r="U5063">
        <v>-0.30250549999999998</v>
      </c>
      <c r="V5063">
        <v>-0.12171460000000001</v>
      </c>
      <c r="W5063">
        <v>0.31296929999999901</v>
      </c>
      <c r="X5063">
        <v>0.94193199999999999</v>
      </c>
      <c r="Y5063">
        <v>-9.3484139999999993E-2</v>
      </c>
      <c r="Z5063">
        <v>-2.7768810000000001E-3</v>
      </c>
      <c r="AA5063">
        <v>0.99561690000000003</v>
      </c>
      <c r="AB5063">
        <v>36</v>
      </c>
      <c r="AC5063">
        <v>-24.114000000000001</v>
      </c>
      <c r="AD5063">
        <v>-1.11050849293</v>
      </c>
      <c r="AE5063">
        <v>-2.3229999999999702</v>
      </c>
      <c r="AF5063">
        <v>-2.2889210167449701</v>
      </c>
      <c r="AG5063">
        <v>-1.11050849293</v>
      </c>
      <c r="AH5063">
        <v>24.066230695287</v>
      </c>
      <c r="AI5063">
        <v>92.630121488669005</v>
      </c>
      <c r="AJ5063">
        <v>95.433015692826501</v>
      </c>
      <c r="AK5063">
        <v>24.200327444324799</v>
      </c>
      <c r="AL5063">
        <v>71.761735393789905</v>
      </c>
      <c r="AM5063">
        <v>97.362848901957406</v>
      </c>
      <c r="AN5063">
        <v>1.00000005960982</v>
      </c>
    </row>
    <row r="5064" spans="1:40" x14ac:dyDescent="0.25">
      <c r="A5064" t="str">
        <f>"20190304164227876"</f>
        <v>20190304164227876</v>
      </c>
      <c r="B5064" t="str">
        <f>"1551688947866708"</f>
        <v>1551688947866708</v>
      </c>
      <c r="C5064" t="s">
        <v>40</v>
      </c>
      <c r="D5064">
        <v>4.1791039999999997</v>
      </c>
      <c r="E5064">
        <v>0.55662259999999997</v>
      </c>
      <c r="F5064" t="s">
        <v>42</v>
      </c>
      <c r="G5064">
        <v>-386.98790000000002</v>
      </c>
      <c r="H5064" s="1">
        <v>-1.7211680000000001E-6</v>
      </c>
      <c r="I5064">
        <v>141.29480000000001</v>
      </c>
      <c r="J5064">
        <v>-352.81920000000002</v>
      </c>
      <c r="K5064">
        <v>1.1105</v>
      </c>
      <c r="L5064">
        <v>141.364</v>
      </c>
      <c r="M5064">
        <v>-0.99989039999999996</v>
      </c>
      <c r="N5064">
        <v>-1.4756150000000001E-2</v>
      </c>
      <c r="O5064">
        <v>-1.262317E-3</v>
      </c>
      <c r="P5064">
        <v>-0.94630820000000004</v>
      </c>
      <c r="Q5064">
        <v>0.2986779</v>
      </c>
      <c r="R5064">
        <v>-0.1236633</v>
      </c>
      <c r="S5064">
        <v>-3.2020870000000001</v>
      </c>
      <c r="T5064">
        <v>-0.1034143</v>
      </c>
      <c r="U5064">
        <v>-6.4544679999999997E-3</v>
      </c>
      <c r="V5064">
        <v>-0.1225189</v>
      </c>
      <c r="W5064">
        <v>0.31259150000000002</v>
      </c>
      <c r="X5064">
        <v>0.94195309999999999</v>
      </c>
      <c r="Y5064">
        <v>-7.5287059999999998E-4</v>
      </c>
      <c r="Z5064" s="1">
        <v>4.4203860000000001E-6</v>
      </c>
      <c r="AA5064">
        <v>0.99999970000000005</v>
      </c>
      <c r="AB5064">
        <v>36</v>
      </c>
      <c r="AC5064">
        <v>-34.168700000000001</v>
      </c>
      <c r="AD5064">
        <v>-1.1105017211679999</v>
      </c>
      <c r="AE5064">
        <v>-6.9199999999995002E-2</v>
      </c>
      <c r="AF5064">
        <v>-2.6036019224165301E-2</v>
      </c>
      <c r="AG5064">
        <v>-1.1105017211679999</v>
      </c>
      <c r="AH5064">
        <v>34.132706377877</v>
      </c>
      <c r="AI5064">
        <v>91.863450461576306</v>
      </c>
      <c r="AJ5064">
        <v>90.043704525244095</v>
      </c>
      <c r="AK5064">
        <v>34.150776515701303</v>
      </c>
      <c r="AL5064">
        <v>71.784523793103602</v>
      </c>
      <c r="AM5064">
        <v>97.410799934493596</v>
      </c>
      <c r="AN5064">
        <v>0.99999998466453399</v>
      </c>
    </row>
    <row r="5065" spans="1:40" x14ac:dyDescent="0.25">
      <c r="A5065" t="str">
        <f>"20190304164227892"</f>
        <v>20190304164227892</v>
      </c>
      <c r="B5065" t="str">
        <f>"1551688947876469"</f>
        <v>1551688947876469</v>
      </c>
      <c r="C5065" t="s">
        <v>40</v>
      </c>
      <c r="D5065">
        <v>4.2035010000000002</v>
      </c>
      <c r="E5065">
        <v>0.55870850000000005</v>
      </c>
      <c r="F5065" t="s">
        <v>42</v>
      </c>
      <c r="G5065">
        <v>-383.54270000000002</v>
      </c>
      <c r="H5065" s="1">
        <v>-3.2554490000000001E-6</v>
      </c>
      <c r="I5065">
        <v>141.50659999999999</v>
      </c>
      <c r="J5065">
        <v>-353.048</v>
      </c>
      <c r="K5065">
        <v>1.1105</v>
      </c>
      <c r="L5065">
        <v>141.36359999999999</v>
      </c>
      <c r="M5065">
        <v>-0.99989039999999996</v>
      </c>
      <c r="N5065">
        <v>-1.475368E-2</v>
      </c>
      <c r="O5065">
        <v>-1.3135550000000001E-3</v>
      </c>
      <c r="P5065">
        <v>-0.94597509999999996</v>
      </c>
      <c r="Q5065">
        <v>0.29923519999999998</v>
      </c>
      <c r="R5065">
        <v>-0.1248581</v>
      </c>
      <c r="S5065">
        <v>-3.2087400000000001</v>
      </c>
      <c r="T5065">
        <v>-0.11598029999999999</v>
      </c>
      <c r="U5065">
        <v>1.490784E-2</v>
      </c>
      <c r="V5065">
        <v>-0.1236657</v>
      </c>
      <c r="W5065">
        <v>0.31314229999999998</v>
      </c>
      <c r="X5065">
        <v>0.94162029999999997</v>
      </c>
      <c r="Y5065">
        <v>5.9538630000000002E-3</v>
      </c>
      <c r="Z5065">
        <v>1.7959519999999999E-4</v>
      </c>
      <c r="AA5065">
        <v>0.99998220000000004</v>
      </c>
      <c r="AB5065">
        <v>36</v>
      </c>
      <c r="AC5065">
        <v>-30.494700000000002</v>
      </c>
      <c r="AD5065">
        <v>-1.110503255449</v>
      </c>
      <c r="AE5065">
        <v>0.14299999999999999</v>
      </c>
      <c r="AF5065">
        <v>0.18281826021379599</v>
      </c>
      <c r="AG5065">
        <v>-1.110503255449</v>
      </c>
      <c r="AH5065">
        <v>30.454100169261402</v>
      </c>
      <c r="AI5065">
        <v>92.088317355417402</v>
      </c>
      <c r="AJ5065">
        <v>89.656053245795704</v>
      </c>
      <c r="AK5065">
        <v>30.4748889598639</v>
      </c>
      <c r="AL5065">
        <v>71.751298386351493</v>
      </c>
      <c r="AM5065">
        <v>97.4819981620779</v>
      </c>
      <c r="AN5065">
        <v>1.0000000473889299</v>
      </c>
    </row>
    <row r="5066" spans="1:40" x14ac:dyDescent="0.25">
      <c r="A5066" t="str">
        <f>"20190304164227909"</f>
        <v>20190304164227909</v>
      </c>
      <c r="B5066" t="str">
        <f>"1551688947895988"</f>
        <v>1551688947895988</v>
      </c>
      <c r="C5066" t="s">
        <v>40</v>
      </c>
      <c r="D5066">
        <v>4.1973099999999999</v>
      </c>
      <c r="E5066">
        <v>0.56138109999999997</v>
      </c>
      <c r="F5066" t="s">
        <v>42</v>
      </c>
      <c r="G5066">
        <v>-381.76159999999999</v>
      </c>
      <c r="H5066" s="1">
        <v>-4.0286400000000001E-6</v>
      </c>
      <c r="I5066">
        <v>141.6011</v>
      </c>
      <c r="J5066">
        <v>-353.32600000000002</v>
      </c>
      <c r="K5066">
        <v>1.1105069999999999</v>
      </c>
      <c r="L5066">
        <v>141.36320000000001</v>
      </c>
      <c r="M5066">
        <v>-0.99989039999999996</v>
      </c>
      <c r="N5066">
        <v>-1.475067E-2</v>
      </c>
      <c r="O5066">
        <v>-1.375636E-3</v>
      </c>
      <c r="P5066">
        <v>-0.94585719999999995</v>
      </c>
      <c r="Q5066">
        <v>0.29942479999999999</v>
      </c>
      <c r="R5066">
        <v>-0.12529680000000001</v>
      </c>
      <c r="S5066">
        <v>-3.214172</v>
      </c>
      <c r="T5066">
        <v>-0.124309199999999</v>
      </c>
      <c r="U5066">
        <v>2.6596069999999999E-2</v>
      </c>
      <c r="V5066">
        <v>-0.12404610000000001</v>
      </c>
      <c r="W5066">
        <v>0.31332650000000001</v>
      </c>
      <c r="X5066">
        <v>0.94150889999999998</v>
      </c>
      <c r="Y5066">
        <v>9.6397199999999992E-3</v>
      </c>
      <c r="Z5066">
        <v>2.9036969999999998E-4</v>
      </c>
      <c r="AA5066">
        <v>0.99995350000000005</v>
      </c>
      <c r="AB5066">
        <v>36</v>
      </c>
      <c r="AC5066">
        <v>-28.435600000000001</v>
      </c>
      <c r="AD5066">
        <v>-1.11051102864</v>
      </c>
      <c r="AE5066">
        <v>0.237899999999996</v>
      </c>
      <c r="AF5066">
        <v>0.27659922662359099</v>
      </c>
      <c r="AG5066">
        <v>-1.11051102864</v>
      </c>
      <c r="AH5066">
        <v>28.391946006131001</v>
      </c>
      <c r="AI5066">
        <v>92.239795848435904</v>
      </c>
      <c r="AJ5066">
        <v>89.441832308684297</v>
      </c>
      <c r="AK5066">
        <v>28.4150020216779</v>
      </c>
      <c r="AL5066">
        <v>71.740183775313298</v>
      </c>
      <c r="AM5066">
        <v>97.505628954172707</v>
      </c>
      <c r="AN5066">
        <v>0.99999996965333404</v>
      </c>
    </row>
    <row r="5067" spans="1:40" x14ac:dyDescent="0.25">
      <c r="A5067" t="str">
        <f>"20190304164227922"</f>
        <v>20190304164227922</v>
      </c>
      <c r="B5067" t="str">
        <f>"1551688947916484"</f>
        <v>1551688947916484</v>
      </c>
      <c r="C5067" t="s">
        <v>40</v>
      </c>
      <c r="D5067">
        <v>4.1943619999999999</v>
      </c>
      <c r="E5067">
        <v>0.56247219999999998</v>
      </c>
      <c r="F5067" t="s">
        <v>42</v>
      </c>
      <c r="G5067">
        <v>-381.1585</v>
      </c>
      <c r="H5067" s="1">
        <v>-4.2622789999999999E-6</v>
      </c>
      <c r="I5067">
        <v>141.7612</v>
      </c>
      <c r="J5067">
        <v>-353.54880000000003</v>
      </c>
      <c r="K5067">
        <v>1.110509</v>
      </c>
      <c r="L5067">
        <v>141.3629</v>
      </c>
      <c r="M5067">
        <v>-0.99989030000000001</v>
      </c>
      <c r="N5067">
        <v>-1.4748249999999999E-2</v>
      </c>
      <c r="O5067">
        <v>-1.425202E-3</v>
      </c>
      <c r="P5067">
        <v>-0.94570290000000001</v>
      </c>
      <c r="Q5067">
        <v>0.29987789999999998</v>
      </c>
      <c r="R5067">
        <v>-0.12537670000000001</v>
      </c>
      <c r="S5067">
        <v>-3.2185060000000001</v>
      </c>
      <c r="T5067">
        <v>-0.128418</v>
      </c>
      <c r="U5067">
        <v>4.6035769999999997E-2</v>
      </c>
      <c r="V5067">
        <v>-0.1240788</v>
      </c>
      <c r="W5067">
        <v>0.31377529999999998</v>
      </c>
      <c r="X5067">
        <v>0.94135519999999995</v>
      </c>
      <c r="Y5067">
        <v>1.5709620000000001E-2</v>
      </c>
      <c r="Z5067">
        <v>4.650112E-4</v>
      </c>
      <c r="AA5067">
        <v>0.99987649999999995</v>
      </c>
      <c r="AB5067">
        <v>36</v>
      </c>
      <c r="AC5067">
        <v>-27.609699999999901</v>
      </c>
      <c r="AD5067">
        <v>-1.1105132622789999</v>
      </c>
      <c r="AE5067">
        <v>0.39830000000000598</v>
      </c>
      <c r="AF5067">
        <v>0.43694652832415198</v>
      </c>
      <c r="AG5067">
        <v>-1.1105132622789999</v>
      </c>
      <c r="AH5067">
        <v>27.5645197050662</v>
      </c>
      <c r="AI5067">
        <v>92.306782511404293</v>
      </c>
      <c r="AJ5067">
        <v>89.091836331895607</v>
      </c>
      <c r="AK5067">
        <v>27.59034085591</v>
      </c>
      <c r="AL5067">
        <v>71.713105346038802</v>
      </c>
      <c r="AM5067">
        <v>97.508796775500002</v>
      </c>
      <c r="AN5067">
        <v>1.00000005003328</v>
      </c>
    </row>
    <row r="5068" spans="1:40" x14ac:dyDescent="0.25">
      <c r="A5068" t="str">
        <f>"20190304164227935"</f>
        <v>20190304164227935</v>
      </c>
      <c r="B5068" t="str">
        <f>"1551688947926245"</f>
        <v>1551688947926245</v>
      </c>
      <c r="C5068" t="s">
        <v>40</v>
      </c>
      <c r="D5068">
        <v>4.192577</v>
      </c>
      <c r="E5068">
        <v>0.56300629999999996</v>
      </c>
      <c r="F5068" t="s">
        <v>42</v>
      </c>
      <c r="G5068">
        <v>-380.86309999999997</v>
      </c>
      <c r="H5068" s="1">
        <v>-4.3732069999999999E-6</v>
      </c>
      <c r="I5068">
        <v>141.81989999999999</v>
      </c>
      <c r="J5068">
        <v>-353.75349999999997</v>
      </c>
      <c r="K5068">
        <v>1.1105160000000001</v>
      </c>
      <c r="L5068">
        <v>141.36250000000001</v>
      </c>
      <c r="M5068">
        <v>-0.99989019999999995</v>
      </c>
      <c r="N5068">
        <v>-1.474601E-2</v>
      </c>
      <c r="O5068">
        <v>-1.470355E-3</v>
      </c>
      <c r="P5068">
        <v>-0.94545109999999999</v>
      </c>
      <c r="Q5068">
        <v>0.30070570000000002</v>
      </c>
      <c r="R5068">
        <v>-0.1252926</v>
      </c>
      <c r="S5068">
        <v>-3.220917</v>
      </c>
      <c r="T5068">
        <v>-0.13095270000000001</v>
      </c>
      <c r="U5068">
        <v>5.39093E-2</v>
      </c>
      <c r="V5068">
        <v>-0.1239517</v>
      </c>
      <c r="W5068">
        <v>0.31459730000000002</v>
      </c>
      <c r="X5068">
        <v>0.94109750000000003</v>
      </c>
      <c r="Y5068">
        <v>1.8184240000000001E-2</v>
      </c>
      <c r="Z5068">
        <v>5.4171969999999999E-4</v>
      </c>
      <c r="AA5068">
        <v>0.99983449999999996</v>
      </c>
      <c r="AB5068">
        <v>36</v>
      </c>
      <c r="AC5068">
        <v>-27.1096</v>
      </c>
      <c r="AD5068">
        <v>-1.1105203732069999</v>
      </c>
      <c r="AE5068">
        <v>0.45739999999997799</v>
      </c>
      <c r="AF5068">
        <v>0.49643177146373901</v>
      </c>
      <c r="AG5068">
        <v>-1.1105203732069999</v>
      </c>
      <c r="AH5068">
        <v>27.063496895596099</v>
      </c>
      <c r="AI5068">
        <v>92.349355329027006</v>
      </c>
      <c r="AJ5068">
        <v>88.949128565455297</v>
      </c>
      <c r="AK5068">
        <v>27.0908206634824</v>
      </c>
      <c r="AL5068">
        <v>71.663495020240404</v>
      </c>
      <c r="AM5068">
        <v>97.503223426125004</v>
      </c>
      <c r="AN5068">
        <v>0.999999994803215</v>
      </c>
    </row>
    <row r="5069" spans="1:40" x14ac:dyDescent="0.25">
      <c r="A5069" t="str">
        <f>"20190304164227952"</f>
        <v>20190304164227952</v>
      </c>
      <c r="B5069" t="str">
        <f>"1551688947946741"</f>
        <v>1551688947946741</v>
      </c>
      <c r="C5069" t="s">
        <v>40</v>
      </c>
      <c r="D5069">
        <v>4.2027939999999999</v>
      </c>
      <c r="E5069">
        <v>0.56377449999999996</v>
      </c>
      <c r="F5069" t="s">
        <v>42</v>
      </c>
      <c r="G5069">
        <v>-379.55189999999999</v>
      </c>
      <c r="H5069" s="1">
        <v>-7.6183849999999996E-7</v>
      </c>
      <c r="I5069">
        <v>141.8235</v>
      </c>
      <c r="J5069">
        <v>-354.02609999999999</v>
      </c>
      <c r="K5069">
        <v>1.110517</v>
      </c>
      <c r="L5069">
        <v>141.3621</v>
      </c>
      <c r="M5069">
        <v>-0.9998901</v>
      </c>
      <c r="N5069">
        <v>-1.4743030000000001E-2</v>
      </c>
      <c r="O5069">
        <v>-1.5295599999999999E-3</v>
      </c>
      <c r="P5069">
        <v>-0.9452874</v>
      </c>
      <c r="Q5069">
        <v>0.30124210000000001</v>
      </c>
      <c r="R5069">
        <v>-0.12523909999999999</v>
      </c>
      <c r="S5069">
        <v>-3.2248839999999999</v>
      </c>
      <c r="T5069">
        <v>-0.13881840000000001</v>
      </c>
      <c r="U5069">
        <v>5.7632450000000002E-2</v>
      </c>
      <c r="V5069">
        <v>-0.1238421</v>
      </c>
      <c r="W5069">
        <v>0.31512960000000001</v>
      </c>
      <c r="X5069">
        <v>0.94093380000000004</v>
      </c>
      <c r="Y5069">
        <v>1.9373080000000001E-2</v>
      </c>
      <c r="Z5069">
        <v>6.0292050000000002E-4</v>
      </c>
      <c r="AA5069">
        <v>0.99981209999999998</v>
      </c>
      <c r="AB5069">
        <v>36</v>
      </c>
      <c r="AC5069">
        <v>-25.5258</v>
      </c>
      <c r="AD5069">
        <v>-1.1105177618385</v>
      </c>
      <c r="AE5069">
        <v>0.46139999999999698</v>
      </c>
      <c r="AF5069">
        <v>0.49950182724526998</v>
      </c>
      <c r="AG5069">
        <v>-1.1105177618385</v>
      </c>
      <c r="AH5069">
        <v>25.476858850808298</v>
      </c>
      <c r="AI5069">
        <v>92.495422464255299</v>
      </c>
      <c r="AJ5069">
        <v>88.876797155829493</v>
      </c>
      <c r="AK5069">
        <v>25.505942222917199</v>
      </c>
      <c r="AL5069">
        <v>71.63136168874</v>
      </c>
      <c r="AM5069">
        <v>97.497953855891893</v>
      </c>
      <c r="AN5069">
        <v>0.99999997325550405</v>
      </c>
    </row>
    <row r="5070" spans="1:40" x14ac:dyDescent="0.25">
      <c r="A5070" t="str">
        <f>"20190304164227970"</f>
        <v>20190304164227970</v>
      </c>
      <c r="B5070" t="str">
        <f>"1551688947956501"</f>
        <v>1551688947956501</v>
      </c>
      <c r="C5070" t="s">
        <v>40</v>
      </c>
      <c r="D5070">
        <v>4.2051559999999997</v>
      </c>
      <c r="E5070">
        <v>0.56404299999999996</v>
      </c>
      <c r="F5070" t="s">
        <v>42</v>
      </c>
      <c r="G5070">
        <v>-377.65910000000002</v>
      </c>
      <c r="H5070" s="1">
        <v>-1.573752E-6</v>
      </c>
      <c r="I5070">
        <v>141.82310000000001</v>
      </c>
      <c r="J5070">
        <v>-354.29520000000002</v>
      </c>
      <c r="K5070">
        <v>1.1105259999999999</v>
      </c>
      <c r="L5070">
        <v>141.36160000000001</v>
      </c>
      <c r="M5070">
        <v>-0.99989030000000001</v>
      </c>
      <c r="N5070">
        <v>-1.4740079999999999E-2</v>
      </c>
      <c r="O5070">
        <v>-1.586849E-3</v>
      </c>
      <c r="P5070">
        <v>-0.94505980000000001</v>
      </c>
      <c r="Q5070">
        <v>0.30196899999999999</v>
      </c>
      <c r="R5070">
        <v>-0.12520909999999999</v>
      </c>
      <c r="S5070">
        <v>-3.2303470000000001</v>
      </c>
      <c r="T5070">
        <v>-0.15179429999999999</v>
      </c>
      <c r="U5070">
        <v>6.3034060000000003E-2</v>
      </c>
      <c r="V5070">
        <v>-0.1237574</v>
      </c>
      <c r="W5070">
        <v>0.31585089999999999</v>
      </c>
      <c r="X5070">
        <v>0.94070310000000001</v>
      </c>
      <c r="Y5070">
        <v>2.1064719999999999E-2</v>
      </c>
      <c r="Z5070">
        <v>7.0111800000000003E-4</v>
      </c>
      <c r="AA5070">
        <v>0.9997779</v>
      </c>
      <c r="AB5070">
        <v>36</v>
      </c>
      <c r="AC5070">
        <v>-23.363900000000001</v>
      </c>
      <c r="AD5070">
        <v>-1.110527573752</v>
      </c>
      <c r="AE5070">
        <v>0.46150000000000002</v>
      </c>
      <c r="AF5070">
        <v>0.49745497459793198</v>
      </c>
      <c r="AG5070">
        <v>-1.110527573752</v>
      </c>
      <c r="AH5070">
        <v>23.310494022051099</v>
      </c>
      <c r="AI5070">
        <v>92.7269271815194</v>
      </c>
      <c r="AJ5070">
        <v>88.777471426922503</v>
      </c>
      <c r="AK5070">
        <v>23.3422334941603</v>
      </c>
      <c r="AL5070">
        <v>71.587810585454505</v>
      </c>
      <c r="AM5070">
        <v>97.494700711175597</v>
      </c>
      <c r="AN5070">
        <v>1.00000000371759</v>
      </c>
    </row>
    <row r="5071" spans="1:40" x14ac:dyDescent="0.25">
      <c r="A5071" t="str">
        <f>"20190304164227993"</f>
        <v>20190304164227993</v>
      </c>
      <c r="B5071" t="str">
        <f>"1551688947976020"</f>
        <v>1551688947976020</v>
      </c>
      <c r="C5071" t="s">
        <v>40</v>
      </c>
      <c r="D5071">
        <v>4.1820940000000002</v>
      </c>
      <c r="E5071">
        <v>0.56451719999999905</v>
      </c>
      <c r="F5071" t="s">
        <v>42</v>
      </c>
      <c r="G5071">
        <v>-377.416</v>
      </c>
      <c r="H5071" s="1">
        <v>-1.681235E-6</v>
      </c>
      <c r="I5071">
        <v>141.83510000000001</v>
      </c>
      <c r="J5071">
        <v>-354.66559999999998</v>
      </c>
      <c r="K5071">
        <v>1.110522</v>
      </c>
      <c r="L5071">
        <v>141.36089999999999</v>
      </c>
      <c r="M5071">
        <v>-0.99988999999999995</v>
      </c>
      <c r="N5071">
        <v>-1.4735989999999999E-2</v>
      </c>
      <c r="O5071">
        <v>-1.6631839999999901E-3</v>
      </c>
      <c r="P5071">
        <v>-0.94494140000000004</v>
      </c>
      <c r="Q5071">
        <v>0.30207600000000001</v>
      </c>
      <c r="R5071">
        <v>-0.1258417</v>
      </c>
      <c r="S5071">
        <v>-3.232758</v>
      </c>
      <c r="T5071">
        <v>-0.1552742</v>
      </c>
      <c r="U5071">
        <v>6.622314E-2</v>
      </c>
      <c r="V5071">
        <v>-0.12431589999999999</v>
      </c>
      <c r="W5071">
        <v>0.31595269999999998</v>
      </c>
      <c r="X5071">
        <v>0.94059530000000002</v>
      </c>
      <c r="Y5071">
        <v>2.2109489999999999E-2</v>
      </c>
      <c r="Z5071">
        <v>7.4899929999999997E-4</v>
      </c>
      <c r="AA5071">
        <v>0.99975530000000001</v>
      </c>
      <c r="AB5071">
        <v>36</v>
      </c>
      <c r="AC5071">
        <v>-22.750399999999999</v>
      </c>
      <c r="AD5071">
        <v>-1.1105236812349999</v>
      </c>
      <c r="AE5071">
        <v>0.47420000000002399</v>
      </c>
      <c r="AF5071">
        <v>0.51082491860021395</v>
      </c>
      <c r="AG5071">
        <v>-1.1105236812349999</v>
      </c>
      <c r="AH5071">
        <v>22.695525592810998</v>
      </c>
      <c r="AI5071">
        <v>92.800619830683999</v>
      </c>
      <c r="AJ5071">
        <v>88.710619373107306</v>
      </c>
      <c r="AK5071">
        <v>22.728420245982502</v>
      </c>
      <c r="AL5071">
        <v>71.581663669602804</v>
      </c>
      <c r="AM5071">
        <v>97.528989079408504</v>
      </c>
      <c r="AN5071">
        <v>1.00000003500609</v>
      </c>
    </row>
    <row r="5072" spans="1:40" x14ac:dyDescent="0.25">
      <c r="A5072" t="str">
        <f>"20190304164228015"</f>
        <v>20190304164228015</v>
      </c>
      <c r="B5072" t="str">
        <f>"1551688948006277"</f>
        <v>1551688948006277</v>
      </c>
      <c r="C5072" t="s">
        <v>40</v>
      </c>
      <c r="D5072">
        <v>4.1963679999999997</v>
      </c>
      <c r="E5072">
        <v>0.56505369999999899</v>
      </c>
      <c r="F5072" t="s">
        <v>42</v>
      </c>
      <c r="G5072">
        <v>-376.64350000000002</v>
      </c>
      <c r="H5072" s="1">
        <v>-2.0114310000000001E-6</v>
      </c>
      <c r="I5072">
        <v>141.8306</v>
      </c>
      <c r="J5072">
        <v>-355.01029999999997</v>
      </c>
      <c r="K5072">
        <v>1.1105069999999999</v>
      </c>
      <c r="L5072">
        <v>141.3603</v>
      </c>
      <c r="M5072">
        <v>-0.9998901</v>
      </c>
      <c r="N5072">
        <v>-1.4732179999999999E-2</v>
      </c>
      <c r="O5072">
        <v>-1.7324899999999999E-3</v>
      </c>
      <c r="P5072">
        <v>-0.94470989999999999</v>
      </c>
      <c r="Q5072">
        <v>0.302176</v>
      </c>
      <c r="R5072">
        <v>-0.1273302</v>
      </c>
      <c r="S5072">
        <v>-3.2363279999999999</v>
      </c>
      <c r="T5072">
        <v>-0.163528799999999</v>
      </c>
      <c r="U5072">
        <v>6.9168090000000002E-2</v>
      </c>
      <c r="V5072">
        <v>-0.12573790000000001</v>
      </c>
      <c r="W5072">
        <v>0.316046299999999</v>
      </c>
      <c r="X5072">
        <v>0.94037479999999996</v>
      </c>
      <c r="Y5072">
        <v>2.306066E-2</v>
      </c>
      <c r="Z5072">
        <v>8.1418059999999995E-4</v>
      </c>
      <c r="AA5072">
        <v>0.99973369999999995</v>
      </c>
      <c r="AB5072">
        <v>36</v>
      </c>
      <c r="AC5072">
        <v>-21.633199999999999</v>
      </c>
      <c r="AD5072">
        <v>-1.1105090114309999</v>
      </c>
      <c r="AE5072">
        <v>0.47030000000000799</v>
      </c>
      <c r="AF5072">
        <v>0.506448730225041</v>
      </c>
      <c r="AG5072">
        <v>-1.1105090114309999</v>
      </c>
      <c r="AH5072">
        <v>21.5755251141128</v>
      </c>
      <c r="AI5072">
        <v>92.945648108010502</v>
      </c>
      <c r="AJ5072">
        <v>88.655326027693704</v>
      </c>
      <c r="AK5072">
        <v>21.610020928507399</v>
      </c>
      <c r="AL5072">
        <v>71.576010933106701</v>
      </c>
      <c r="AM5072">
        <v>97.615869838728699</v>
      </c>
      <c r="AN5072">
        <v>1.0000000238575599</v>
      </c>
    </row>
    <row r="5073" spans="1:40" x14ac:dyDescent="0.25">
      <c r="A5073" t="str">
        <f>"20190304164228033"</f>
        <v>20190304164228033</v>
      </c>
      <c r="B5073" t="str">
        <f>"1551688948025797"</f>
        <v>1551688948025797</v>
      </c>
      <c r="C5073" t="s">
        <v>40</v>
      </c>
      <c r="D5073">
        <v>4.219252</v>
      </c>
      <c r="E5073">
        <v>0.56530849999999999</v>
      </c>
      <c r="F5073" t="s">
        <v>42</v>
      </c>
      <c r="G5073">
        <v>-375.85419999999999</v>
      </c>
      <c r="H5073" s="1">
        <v>-2.3442419999999998E-6</v>
      </c>
      <c r="I5073">
        <v>141.80879999999999</v>
      </c>
      <c r="J5073">
        <v>-355.32100000000003</v>
      </c>
      <c r="K5073">
        <v>1.1105039999999999</v>
      </c>
      <c r="L5073">
        <v>141.3597</v>
      </c>
      <c r="M5073">
        <v>-0.99988999999999995</v>
      </c>
      <c r="N5073">
        <v>-1.4728720000000001E-2</v>
      </c>
      <c r="O5073">
        <v>-1.7937020000000001E-3</v>
      </c>
      <c r="P5073">
        <v>-0.94470390000000004</v>
      </c>
      <c r="Q5073">
        <v>0.3019888</v>
      </c>
      <c r="R5073">
        <v>-0.12781869999999901</v>
      </c>
      <c r="S5073">
        <v>-3.2402340000000001</v>
      </c>
      <c r="T5073">
        <v>-0.17263149999999999</v>
      </c>
      <c r="U5073">
        <v>6.9732669999999997E-2</v>
      </c>
      <c r="V5073">
        <v>-0.12616730000000001</v>
      </c>
      <c r="W5073">
        <v>0.31585619999999998</v>
      </c>
      <c r="X5073">
        <v>0.94038109999999997</v>
      </c>
      <c r="Y5073">
        <v>2.3265890000000001E-2</v>
      </c>
      <c r="Z5073">
        <v>8.5986769999999997E-4</v>
      </c>
      <c r="AA5073">
        <v>0.99972890000000003</v>
      </c>
      <c r="AB5073">
        <v>36</v>
      </c>
      <c r="AC5073">
        <v>-20.533200000000001</v>
      </c>
      <c r="AD5073">
        <v>-1.110506344242</v>
      </c>
      <c r="AE5073">
        <v>0.44909999999998701</v>
      </c>
      <c r="AF5073">
        <v>0.484517167144914</v>
      </c>
      <c r="AG5073">
        <v>-1.110506344242</v>
      </c>
      <c r="AH5073">
        <v>20.472507465266599</v>
      </c>
      <c r="AI5073">
        <v>93.104029719411798</v>
      </c>
      <c r="AJ5073">
        <v>88.644249733431195</v>
      </c>
      <c r="AK5073">
        <v>20.508328628663499</v>
      </c>
      <c r="AL5073">
        <v>71.587489889696997</v>
      </c>
      <c r="AM5073">
        <v>97.6415209396351</v>
      </c>
      <c r="AN5073">
        <v>0.99999996995246898</v>
      </c>
    </row>
    <row r="5074" spans="1:40" x14ac:dyDescent="0.25">
      <c r="A5074" t="str">
        <f>"20190304164228048"</f>
        <v>20190304164228048</v>
      </c>
      <c r="B5074" t="str">
        <f>"1551688948036533"</f>
        <v>1551688948036533</v>
      </c>
      <c r="C5074" t="s">
        <v>40</v>
      </c>
      <c r="D5074">
        <v>4.1709269999999998</v>
      </c>
      <c r="E5074">
        <v>0.56543409999999905</v>
      </c>
      <c r="F5074" t="s">
        <v>42</v>
      </c>
      <c r="G5074">
        <v>-375.25749999999999</v>
      </c>
      <c r="H5074" s="1">
        <v>-2.5945389999999999E-6</v>
      </c>
      <c r="I5074">
        <v>141.78749999999999</v>
      </c>
      <c r="J5074">
        <v>-355.5376</v>
      </c>
      <c r="K5074">
        <v>1.1104989999999999</v>
      </c>
      <c r="L5074">
        <v>141.35919999999999</v>
      </c>
      <c r="M5074">
        <v>-0.9998899</v>
      </c>
      <c r="N5074">
        <v>-1.472629E-2</v>
      </c>
      <c r="O5074">
        <v>-1.8355069999999999E-3</v>
      </c>
      <c r="P5074">
        <v>-0.94454490000000002</v>
      </c>
      <c r="Q5074">
        <v>0.30201830000000002</v>
      </c>
      <c r="R5074">
        <v>-0.12892049999999999</v>
      </c>
      <c r="S5074">
        <v>-3.2427060000000001</v>
      </c>
      <c r="T5074">
        <v>-0.18062629999999999</v>
      </c>
      <c r="U5074">
        <v>6.9595340000000006E-2</v>
      </c>
      <c r="V5074">
        <v>-0.12722890000000001</v>
      </c>
      <c r="W5074">
        <v>0.31588159999999998</v>
      </c>
      <c r="X5074">
        <v>0.94022950000000005</v>
      </c>
      <c r="Y5074">
        <v>2.324532E-2</v>
      </c>
      <c r="Z5074">
        <v>8.9332729999999996E-4</v>
      </c>
      <c r="AA5074">
        <v>0.99972939999999999</v>
      </c>
      <c r="AB5074">
        <v>36</v>
      </c>
      <c r="AC5074">
        <v>-19.719899999999999</v>
      </c>
      <c r="AD5074">
        <v>-1.110501594539</v>
      </c>
      <c r="AE5074">
        <v>0.42830000000000701</v>
      </c>
      <c r="AF5074">
        <v>0.46303152623670102</v>
      </c>
      <c r="AG5074">
        <v>-1.110501594539</v>
      </c>
      <c r="AH5074">
        <v>19.656773607877</v>
      </c>
      <c r="AI5074">
        <v>93.232570330889303</v>
      </c>
      <c r="AJ5074">
        <v>88.650600170640601</v>
      </c>
      <c r="AK5074">
        <v>19.6935614010542</v>
      </c>
      <c r="AL5074">
        <v>71.585955580998899</v>
      </c>
      <c r="AM5074">
        <v>97.706276596453606</v>
      </c>
      <c r="AN5074">
        <v>0.99999994544200799</v>
      </c>
    </row>
    <row r="5075" spans="1:40" x14ac:dyDescent="0.25">
      <c r="A5075" t="str">
        <f>"20190304164228070"</f>
        <v>20190304164228070</v>
      </c>
      <c r="B5075" t="str">
        <f>"1551688948056053"</f>
        <v>1551688948056053</v>
      </c>
      <c r="C5075" t="s">
        <v>40</v>
      </c>
      <c r="D5075">
        <v>4.2072979999999998</v>
      </c>
      <c r="E5075">
        <v>0.56565410000000005</v>
      </c>
      <c r="F5075" t="s">
        <v>42</v>
      </c>
      <c r="G5075">
        <v>-375.14890000000003</v>
      </c>
      <c r="H5075" s="1">
        <v>-2.6331339999999999E-6</v>
      </c>
      <c r="I5075">
        <v>141.75739999999999</v>
      </c>
      <c r="J5075">
        <v>-355.89670000000001</v>
      </c>
      <c r="K5075">
        <v>1.1105020000000001</v>
      </c>
      <c r="L5075">
        <v>141.35849999999999</v>
      </c>
      <c r="M5075">
        <v>-0.9998899</v>
      </c>
      <c r="N5075">
        <v>-1.4722249999999999E-2</v>
      </c>
      <c r="O5075">
        <v>-1.9036420000000001E-3</v>
      </c>
      <c r="P5075">
        <v>-0.94424580000000002</v>
      </c>
      <c r="Q5075">
        <v>0.30230590000000002</v>
      </c>
      <c r="R5075">
        <v>-0.13042599999999999</v>
      </c>
      <c r="S5075">
        <v>-3.2438660000000001</v>
      </c>
      <c r="T5075">
        <v>-0.1836865</v>
      </c>
      <c r="U5075">
        <v>6.5872189999999997E-2</v>
      </c>
      <c r="V5075">
        <v>-0.12867000000000001</v>
      </c>
      <c r="W5075">
        <v>0.31616169999999999</v>
      </c>
      <c r="X5075">
        <v>0.93993930000000003</v>
      </c>
      <c r="Y5075">
        <v>2.215953E-2</v>
      </c>
      <c r="Z5075">
        <v>8.698337E-4</v>
      </c>
      <c r="AA5075">
        <v>0.99975409999999998</v>
      </c>
      <c r="AB5075">
        <v>36</v>
      </c>
      <c r="AC5075">
        <v>-19.252199999999998</v>
      </c>
      <c r="AD5075">
        <v>-1.1105046331340001</v>
      </c>
      <c r="AE5075">
        <v>0.39889999999999698</v>
      </c>
      <c r="AF5075">
        <v>0.434108792019199</v>
      </c>
      <c r="AG5075">
        <v>-1.1105046331340001</v>
      </c>
      <c r="AH5075">
        <v>19.187591939945701</v>
      </c>
      <c r="AI5075">
        <v>93.311520511752903</v>
      </c>
      <c r="AJ5075">
        <v>88.703935376541196</v>
      </c>
      <c r="AK5075">
        <v>19.224602868131999</v>
      </c>
      <c r="AL5075">
        <v>71.569041927839805</v>
      </c>
      <c r="AM5075">
        <v>97.794874057558204</v>
      </c>
      <c r="AN5075">
        <v>1.00000003856568</v>
      </c>
    </row>
    <row r="5076" spans="1:40" x14ac:dyDescent="0.25">
      <c r="A5076" t="str">
        <f>"20190304164228093"</f>
        <v>20190304164228093</v>
      </c>
      <c r="B5076" t="str">
        <f>"1551688948086308"</f>
        <v>1551688948086308</v>
      </c>
      <c r="C5076" t="s">
        <v>40</v>
      </c>
      <c r="D5076">
        <v>4.2634509999999999</v>
      </c>
      <c r="E5076">
        <v>0.56585129999999995</v>
      </c>
      <c r="F5076" t="s">
        <v>42</v>
      </c>
      <c r="G5076">
        <v>-375.04169999999999</v>
      </c>
      <c r="H5076" s="1">
        <v>-2.6695800000000001E-6</v>
      </c>
      <c r="I5076">
        <v>141.72149999999999</v>
      </c>
      <c r="J5076">
        <v>-356.25510000000003</v>
      </c>
      <c r="K5076">
        <v>1.1105119999999999</v>
      </c>
      <c r="L5076">
        <v>141.3578</v>
      </c>
      <c r="M5076">
        <v>-0.99988980000000005</v>
      </c>
      <c r="N5076">
        <v>-1.4718210000000001E-2</v>
      </c>
      <c r="O5076">
        <v>-1.9711849999999999E-3</v>
      </c>
      <c r="P5076">
        <v>-0.94410450000000001</v>
      </c>
      <c r="Q5076">
        <v>0.30236479999999999</v>
      </c>
      <c r="R5076">
        <v>-0.1313098</v>
      </c>
      <c r="S5076">
        <v>-3.245911</v>
      </c>
      <c r="T5076">
        <v>-0.18827940000000001</v>
      </c>
      <c r="U5076">
        <v>6.1553959999999998E-2</v>
      </c>
      <c r="V5076">
        <v>-0.12948959999999901</v>
      </c>
      <c r="W5076">
        <v>0.31621460000000001</v>
      </c>
      <c r="X5076">
        <v>0.93980889999999995</v>
      </c>
      <c r="Y5076">
        <v>2.0885279999999999E-2</v>
      </c>
      <c r="Z5076">
        <v>8.4428429999999896E-4</v>
      </c>
      <c r="AA5076">
        <v>0.99978149999999999</v>
      </c>
      <c r="AB5076">
        <v>36</v>
      </c>
      <c r="AC5076">
        <v>-18.7865999999999</v>
      </c>
      <c r="AD5076">
        <v>-1.1105146695799999</v>
      </c>
      <c r="AE5076">
        <v>0.36369999999999397</v>
      </c>
      <c r="AF5076">
        <v>0.39934030033624102</v>
      </c>
      <c r="AG5076">
        <v>-1.1105146695799999</v>
      </c>
      <c r="AH5076">
        <v>18.7204573093011</v>
      </c>
      <c r="AI5076">
        <v>93.394089361317199</v>
      </c>
      <c r="AJ5076">
        <v>88.777965526090895</v>
      </c>
      <c r="AK5076">
        <v>18.757618115746698</v>
      </c>
      <c r="AL5076">
        <v>71.565846321124596</v>
      </c>
      <c r="AM5076">
        <v>97.844984371745497</v>
      </c>
      <c r="AN5076">
        <v>0.99999999914026405</v>
      </c>
    </row>
    <row r="5077" spans="1:40" x14ac:dyDescent="0.25">
      <c r="A5077" t="str">
        <f>"20190304164228125"</f>
        <v>20190304164228125</v>
      </c>
      <c r="B5077" t="str">
        <f>"1551688948116564"</f>
        <v>1551688948116564</v>
      </c>
      <c r="C5077" t="s">
        <v>40</v>
      </c>
      <c r="D5077">
        <v>4.2130700000000001</v>
      </c>
      <c r="E5077">
        <v>0.5692566</v>
      </c>
      <c r="F5077" t="s">
        <v>42</v>
      </c>
      <c r="G5077">
        <v>-374.76119999999997</v>
      </c>
      <c r="H5077" s="1">
        <v>-2.7837870000000002E-6</v>
      </c>
      <c r="I5077">
        <v>141.6985</v>
      </c>
      <c r="J5077">
        <v>-356.77179999999998</v>
      </c>
      <c r="K5077">
        <v>1.110522</v>
      </c>
      <c r="L5077">
        <v>141.35659999999999</v>
      </c>
      <c r="M5077">
        <v>-0.99988969999999999</v>
      </c>
      <c r="N5077">
        <v>-1.471241E-2</v>
      </c>
      <c r="O5077">
        <v>-2.0680379999999999E-3</v>
      </c>
      <c r="P5077">
        <v>-0.94368819999999998</v>
      </c>
      <c r="Q5077">
        <v>0.30320629999999998</v>
      </c>
      <c r="R5077">
        <v>-0.13235910000000001</v>
      </c>
      <c r="S5077">
        <v>-3.2483520000000001</v>
      </c>
      <c r="T5077">
        <v>-0.19492709999999999</v>
      </c>
      <c r="U5077">
        <v>5.9829710000000001E-2</v>
      </c>
      <c r="V5077">
        <v>-0.1304476</v>
      </c>
      <c r="W5077">
        <v>0.31704460000000001</v>
      </c>
      <c r="X5077">
        <v>0.93939669999999997</v>
      </c>
      <c r="Y5077">
        <v>2.043534E-2</v>
      </c>
      <c r="Z5077">
        <v>8.5662779999999897E-4</v>
      </c>
      <c r="AA5077">
        <v>0.99979079999999998</v>
      </c>
      <c r="AB5077">
        <v>35</v>
      </c>
      <c r="AC5077">
        <v>-17.9893999999999</v>
      </c>
      <c r="AD5077">
        <v>-1.110524783787</v>
      </c>
      <c r="AE5077">
        <v>0.34190000000000897</v>
      </c>
      <c r="AF5077">
        <v>0.37766733766805799</v>
      </c>
      <c r="AG5077">
        <v>-1.110524783787</v>
      </c>
      <c r="AH5077">
        <v>17.920386933026101</v>
      </c>
      <c r="AI5077">
        <v>93.545294481581706</v>
      </c>
      <c r="AJ5077">
        <v>88.7926855671341</v>
      </c>
      <c r="AK5077">
        <v>17.958735081923699</v>
      </c>
      <c r="AL5077">
        <v>71.515711497427802</v>
      </c>
      <c r="AM5077">
        <v>97.9057167833801</v>
      </c>
      <c r="AN5077">
        <v>1.0000000073529001</v>
      </c>
    </row>
    <row r="5078" spans="1:40" x14ac:dyDescent="0.25">
      <c r="A5078" t="str">
        <f>"20190304164228147"</f>
        <v>20190304164228147</v>
      </c>
      <c r="B5078" t="str">
        <f>"1551688948136084"</f>
        <v>1551688948136084</v>
      </c>
      <c r="C5078" t="s">
        <v>40</v>
      </c>
      <c r="D5078">
        <v>4.1932600000000004</v>
      </c>
      <c r="E5078">
        <v>0.56962650000000004</v>
      </c>
      <c r="F5078" t="s">
        <v>41</v>
      </c>
      <c r="G5078">
        <v>-357.75970000000001</v>
      </c>
      <c r="H5078">
        <v>1.03285</v>
      </c>
      <c r="I5078">
        <v>141.3809</v>
      </c>
      <c r="J5078">
        <v>-357.12119999999999</v>
      </c>
      <c r="K5078">
        <v>1.1105210000000001</v>
      </c>
      <c r="L5078">
        <v>141.35579999999999</v>
      </c>
      <c r="M5078">
        <v>-0.99988960000000005</v>
      </c>
      <c r="N5078">
        <v>-1.4708540000000001E-2</v>
      </c>
      <c r="O5078">
        <v>-2.133916E-3</v>
      </c>
      <c r="P5078">
        <v>-0.94332930000000004</v>
      </c>
      <c r="Q5078">
        <v>0.30435669999999998</v>
      </c>
      <c r="R5078">
        <v>-0.132275799999999</v>
      </c>
      <c r="S5078">
        <v>-3.272888</v>
      </c>
      <c r="T5078">
        <v>-0.25733349999999999</v>
      </c>
      <c r="U5078">
        <v>7.9650879999999993E-2</v>
      </c>
      <c r="V5078">
        <v>-0.13030269999999999</v>
      </c>
      <c r="W5078">
        <v>0.31818669999999999</v>
      </c>
      <c r="X5078">
        <v>0.93903060000000005</v>
      </c>
      <c r="Y5078">
        <v>2.6361900000000001E-2</v>
      </c>
      <c r="Z5078">
        <v>1.365034E-3</v>
      </c>
      <c r="AA5078">
        <v>0.99965159999999997</v>
      </c>
      <c r="AB5078">
        <v>35</v>
      </c>
      <c r="AC5078">
        <v>-0.63850000000002105</v>
      </c>
      <c r="AD5078">
        <v>-7.7670999999999796E-2</v>
      </c>
      <c r="AE5078">
        <v>2.5100000000009001E-2</v>
      </c>
      <c r="AF5078">
        <v>2.6077305232848E-2</v>
      </c>
      <c r="AG5078">
        <v>-7.7670999999999796E-2</v>
      </c>
      <c r="AH5078">
        <v>0.62914934262903699</v>
      </c>
      <c r="AI5078">
        <v>97.031805901683001</v>
      </c>
      <c r="AJ5078">
        <v>87.626533656668897</v>
      </c>
      <c r="AK5078">
        <v>0.63446174464640204</v>
      </c>
      <c r="AL5078">
        <v>71.446700783584703</v>
      </c>
      <c r="AM5078">
        <v>97.900085995728006</v>
      </c>
      <c r="AN5078">
        <v>1.00000001871026</v>
      </c>
    </row>
    <row r="5079" spans="1:40" x14ac:dyDescent="0.25">
      <c r="A5079" t="str">
        <f>"20190304164228171"</f>
        <v>20190304164228171</v>
      </c>
      <c r="B5079" t="str">
        <f>"1551688948156581"</f>
        <v>1551688948156581</v>
      </c>
      <c r="C5079" t="s">
        <v>40</v>
      </c>
      <c r="D5079">
        <v>4.1543929999999998</v>
      </c>
      <c r="E5079">
        <v>0.56981059999999994</v>
      </c>
      <c r="F5079" t="s">
        <v>41</v>
      </c>
      <c r="G5079">
        <v>-358.07810000000001</v>
      </c>
      <c r="H5079">
        <v>1.038197</v>
      </c>
      <c r="I5079">
        <v>141.38030000000001</v>
      </c>
      <c r="J5079">
        <v>-357.48360000000002</v>
      </c>
      <c r="K5079">
        <v>1.1105229999999999</v>
      </c>
      <c r="L5079">
        <v>141.35499999999999</v>
      </c>
      <c r="M5079">
        <v>-0.99988949999999999</v>
      </c>
      <c r="N5079">
        <v>-1.470459E-2</v>
      </c>
      <c r="O5079">
        <v>-2.2024200000000001E-3</v>
      </c>
      <c r="P5079">
        <v>-0.94294069999999997</v>
      </c>
      <c r="Q5079">
        <v>0.30587109999999901</v>
      </c>
      <c r="R5079">
        <v>-0.13155320000000001</v>
      </c>
      <c r="S5079">
        <v>-3.2717290000000001</v>
      </c>
      <c r="T5079">
        <v>-0.24728330000000001</v>
      </c>
      <c r="U5079">
        <v>8.3190920000000002E-2</v>
      </c>
      <c r="V5079">
        <v>-0.12951569999999901</v>
      </c>
      <c r="W5079">
        <v>0.31969209999999998</v>
      </c>
      <c r="X5079">
        <v>0.93862809999999997</v>
      </c>
      <c r="Y5079">
        <v>2.752303E-2</v>
      </c>
      <c r="Z5079">
        <v>1.3750730000000001E-3</v>
      </c>
      <c r="AA5079">
        <v>0.99962019999999996</v>
      </c>
      <c r="AB5079">
        <v>35</v>
      </c>
      <c r="AC5079">
        <v>-0.59449999999998204</v>
      </c>
      <c r="AD5079">
        <v>-7.2325999999999793E-2</v>
      </c>
      <c r="AE5079">
        <v>2.5300000000015602E-2</v>
      </c>
      <c r="AF5079">
        <v>2.6222013690661398E-2</v>
      </c>
      <c r="AG5079">
        <v>-7.2325999999999793E-2</v>
      </c>
      <c r="AH5079">
        <v>0.585788368290731</v>
      </c>
      <c r="AI5079">
        <v>97.031591234583402</v>
      </c>
      <c r="AJ5079">
        <v>87.436943955572801</v>
      </c>
      <c r="AK5079">
        <v>0.59081863266378998</v>
      </c>
      <c r="AL5079">
        <v>71.355695207403997</v>
      </c>
      <c r="AM5079">
        <v>97.856293735048993</v>
      </c>
      <c r="AN5079">
        <v>1.00000003272925</v>
      </c>
    </row>
    <row r="5080" spans="1:40" x14ac:dyDescent="0.25">
      <c r="A5080" t="str">
        <f>"20190304164228194"</f>
        <v>20190304164228194</v>
      </c>
      <c r="B5080" t="str">
        <f>"1551688948186609"</f>
        <v>1551688948186609</v>
      </c>
      <c r="C5080" t="s">
        <v>40</v>
      </c>
      <c r="D5080">
        <v>4.2526729999999997</v>
      </c>
      <c r="E5080">
        <v>0.57023409999999997</v>
      </c>
      <c r="F5080" t="s">
        <v>41</v>
      </c>
      <c r="G5080">
        <v>-358.39800000000002</v>
      </c>
      <c r="H5080">
        <v>1.0434699999999999</v>
      </c>
      <c r="I5080">
        <v>141.37960000000001</v>
      </c>
      <c r="J5080">
        <v>-357.8492</v>
      </c>
      <c r="K5080">
        <v>1.11052</v>
      </c>
      <c r="L5080">
        <v>141.35409999999999</v>
      </c>
      <c r="M5080">
        <v>-0.99988940000000004</v>
      </c>
      <c r="N5080">
        <v>-1.470052E-2</v>
      </c>
      <c r="O5080">
        <v>-2.271758E-3</v>
      </c>
      <c r="P5080">
        <v>-0.94285300000000005</v>
      </c>
      <c r="Q5080">
        <v>0.3061991</v>
      </c>
      <c r="R5080">
        <v>-0.13141749999999999</v>
      </c>
      <c r="S5080">
        <v>-3.2715450000000001</v>
      </c>
      <c r="T5080">
        <v>-0.2400659</v>
      </c>
      <c r="U5080">
        <v>8.6685180000000001E-2</v>
      </c>
      <c r="V5080">
        <v>-0.12931509999999999</v>
      </c>
      <c r="W5080">
        <v>0.32001459999999998</v>
      </c>
      <c r="X5080">
        <v>0.93854579999999999</v>
      </c>
      <c r="Y5080">
        <v>2.8662150000000001E-2</v>
      </c>
      <c r="Z5080">
        <v>1.3941750000000001E-3</v>
      </c>
      <c r="AA5080">
        <v>0.99958820000000004</v>
      </c>
      <c r="AB5080">
        <v>35</v>
      </c>
      <c r="AC5080">
        <v>-0.54880000000002804</v>
      </c>
      <c r="AD5080">
        <v>-6.7049999999999998E-2</v>
      </c>
      <c r="AE5080">
        <v>2.5500000000022199E-2</v>
      </c>
      <c r="AF5080">
        <v>2.63542698429018E-2</v>
      </c>
      <c r="AG5080">
        <v>-6.7049999999999998E-2</v>
      </c>
      <c r="AH5080">
        <v>0.54068725503885995</v>
      </c>
      <c r="AI5080">
        <v>97.060796233489597</v>
      </c>
      <c r="AJ5080">
        <v>87.209487902506893</v>
      </c>
      <c r="AK5080">
        <v>0.54546581726118304</v>
      </c>
      <c r="AL5080">
        <v>71.336191760487296</v>
      </c>
      <c r="AM5080">
        <v>97.844956428900801</v>
      </c>
      <c r="AN5080">
        <v>0.99999997899940396</v>
      </c>
    </row>
    <row r="5081" spans="1:40" x14ac:dyDescent="0.25">
      <c r="A5081" t="str">
        <f>"20190304164228214"</f>
        <v>20190304164228214</v>
      </c>
      <c r="B5081" t="str">
        <f>"1551688948206129"</f>
        <v>1551688948206129</v>
      </c>
      <c r="C5081" t="s">
        <v>40</v>
      </c>
      <c r="D5081">
        <v>4.251277</v>
      </c>
      <c r="E5081">
        <v>0.57195699999999905</v>
      </c>
      <c r="F5081" t="s">
        <v>41</v>
      </c>
      <c r="G5081">
        <v>-358.71600000000001</v>
      </c>
      <c r="H5081">
        <v>1.0467040000000001</v>
      </c>
      <c r="I5081">
        <v>141.37819999999999</v>
      </c>
      <c r="J5081">
        <v>-358.18619999999999</v>
      </c>
      <c r="K5081">
        <v>1.1105240000000001</v>
      </c>
      <c r="L5081">
        <v>141.35319999999999</v>
      </c>
      <c r="M5081">
        <v>-0.99988940000000004</v>
      </c>
      <c r="N5081">
        <v>-1.469676E-2</v>
      </c>
      <c r="O5081">
        <v>-2.3357370000000001E-3</v>
      </c>
      <c r="P5081">
        <v>-0.94308479999999995</v>
      </c>
      <c r="Q5081">
        <v>0.30534709999999998</v>
      </c>
      <c r="R5081">
        <v>-0.131736299999999</v>
      </c>
      <c r="S5081">
        <v>-3.2727659999999998</v>
      </c>
      <c r="T5081">
        <v>-0.24099519999999999</v>
      </c>
      <c r="U5081">
        <v>9.0606690000000004E-2</v>
      </c>
      <c r="V5081">
        <v>-0.1295723</v>
      </c>
      <c r="W5081">
        <v>0.31916299999999997</v>
      </c>
      <c r="X5081">
        <v>0.93880030000000003</v>
      </c>
      <c r="Y5081">
        <v>2.9908290000000001E-2</v>
      </c>
      <c r="Z5081">
        <v>1.457107E-3</v>
      </c>
      <c r="AA5081">
        <v>0.99955159999999998</v>
      </c>
      <c r="AB5081">
        <v>35</v>
      </c>
      <c r="AC5081">
        <v>-0.52980000000002203</v>
      </c>
      <c r="AD5081">
        <v>-6.3819999999999905E-2</v>
      </c>
      <c r="AE5081">
        <v>2.5000000000005601E-2</v>
      </c>
      <c r="AF5081">
        <v>2.5863080008493002E-2</v>
      </c>
      <c r="AG5081">
        <v>-6.3819999999999905E-2</v>
      </c>
      <c r="AH5081">
        <v>0.52217977204783395</v>
      </c>
      <c r="AI5081">
        <v>96.959596189579003</v>
      </c>
      <c r="AJ5081">
        <v>87.164510250962294</v>
      </c>
      <c r="AK5081">
        <v>0.52670067936490605</v>
      </c>
      <c r="AL5081">
        <v>71.387685814466394</v>
      </c>
      <c r="AM5081">
        <v>97.858260480591994</v>
      </c>
      <c r="AN5081">
        <v>1.0000000023881801</v>
      </c>
    </row>
    <row r="5082" spans="1:40" x14ac:dyDescent="0.25">
      <c r="A5082" t="str">
        <f>"20190304164228237"</f>
        <v>20190304164228237</v>
      </c>
      <c r="B5082" t="str">
        <f>"1551688948226625"</f>
        <v>1551688948226625</v>
      </c>
      <c r="C5082" t="s">
        <v>40</v>
      </c>
      <c r="D5082">
        <v>4.2528370000000004</v>
      </c>
      <c r="E5082">
        <v>0.57384259999999998</v>
      </c>
      <c r="F5082" t="s">
        <v>41</v>
      </c>
      <c r="G5082">
        <v>-359.0317</v>
      </c>
      <c r="H5082">
        <v>1.0484070000000001</v>
      </c>
      <c r="I5082">
        <v>141.38069999999999</v>
      </c>
      <c r="J5082">
        <v>-358.53280000000001</v>
      </c>
      <c r="K5082">
        <v>1.110527</v>
      </c>
      <c r="L5082">
        <v>141.35239999999999</v>
      </c>
      <c r="M5082">
        <v>-0.99988929999999998</v>
      </c>
      <c r="N5082">
        <v>-1.46929E-2</v>
      </c>
      <c r="O5082">
        <v>-2.4011459999999998E-3</v>
      </c>
      <c r="P5082">
        <v>-0.94293139999999998</v>
      </c>
      <c r="Q5082">
        <v>0.30537910000000001</v>
      </c>
      <c r="R5082">
        <v>-0.13275719999999999</v>
      </c>
      <c r="S5082">
        <v>-3.2735289999999999</v>
      </c>
      <c r="T5082">
        <v>-0.24062929999999999</v>
      </c>
      <c r="U5082">
        <v>0.1045837</v>
      </c>
      <c r="V5082">
        <v>-0.13053119999999999</v>
      </c>
      <c r="W5082">
        <v>0.31918920000000001</v>
      </c>
      <c r="X5082">
        <v>0.93865849999999995</v>
      </c>
      <c r="Y5082">
        <v>3.4217240000000003E-2</v>
      </c>
      <c r="Z5082">
        <v>1.6484469999999999E-3</v>
      </c>
      <c r="AA5082">
        <v>0.99941310000000005</v>
      </c>
      <c r="AB5082">
        <v>35</v>
      </c>
      <c r="AC5082">
        <v>-0.49889999999999102</v>
      </c>
      <c r="AD5082">
        <v>-6.2120000000000099E-2</v>
      </c>
      <c r="AE5082">
        <v>2.8300000000001501E-2</v>
      </c>
      <c r="AF5082">
        <v>2.90490554241781E-2</v>
      </c>
      <c r="AG5082">
        <v>-6.2120000000000099E-2</v>
      </c>
      <c r="AH5082">
        <v>0.49123899789692199</v>
      </c>
      <c r="AI5082">
        <v>97.194690783266495</v>
      </c>
      <c r="AJ5082">
        <v>86.615797407563903</v>
      </c>
      <c r="AK5082">
        <v>0.49600251519101102</v>
      </c>
      <c r="AL5082">
        <v>71.386100988821596</v>
      </c>
      <c r="AM5082">
        <v>97.916861663224097</v>
      </c>
      <c r="AN5082">
        <v>0.99999995959616395</v>
      </c>
    </row>
    <row r="5083" spans="1:40" x14ac:dyDescent="0.25">
      <c r="A5083" t="str">
        <f>"20190304164228259"</f>
        <v>20190304164228259</v>
      </c>
      <c r="B5083" t="str">
        <f>"1551688948246146"</f>
        <v>1551688948246146</v>
      </c>
      <c r="C5083" t="s">
        <v>40</v>
      </c>
      <c r="D5083">
        <v>4.2066670000000004</v>
      </c>
      <c r="E5083">
        <v>0.57552950000000003</v>
      </c>
      <c r="F5083" t="s">
        <v>41</v>
      </c>
      <c r="G5083">
        <v>-359.3519</v>
      </c>
      <c r="H5083">
        <v>1.0496749999999999</v>
      </c>
      <c r="I5083">
        <v>141.38229999999999</v>
      </c>
      <c r="J5083">
        <v>-358.8852</v>
      </c>
      <c r="K5083">
        <v>1.11053</v>
      </c>
      <c r="L5083">
        <v>141.35140000000001</v>
      </c>
      <c r="M5083">
        <v>-0.99988909999999998</v>
      </c>
      <c r="N5083">
        <v>-1.468879E-2</v>
      </c>
      <c r="O5083">
        <v>-2.4679849999999998E-3</v>
      </c>
      <c r="P5083">
        <v>-0.94263889999999995</v>
      </c>
      <c r="Q5083">
        <v>0.30599280000000001</v>
      </c>
      <c r="R5083">
        <v>-0.13341810000000001</v>
      </c>
      <c r="S5083">
        <v>-3.2770999999999999</v>
      </c>
      <c r="T5083">
        <v>-0.24349860000000001</v>
      </c>
      <c r="U5083">
        <v>0.1188202</v>
      </c>
      <c r="V5083">
        <v>-0.13113</v>
      </c>
      <c r="W5083">
        <v>0.31979459999999998</v>
      </c>
      <c r="X5083">
        <v>0.93836900000000001</v>
      </c>
      <c r="Y5083">
        <v>3.8568810000000002E-2</v>
      </c>
      <c r="Z5083">
        <v>1.861157E-3</v>
      </c>
      <c r="AA5083">
        <v>0.99925419999999998</v>
      </c>
      <c r="AB5083">
        <v>35</v>
      </c>
      <c r="AC5083">
        <v>-0.466700000000003</v>
      </c>
      <c r="AD5083">
        <v>-6.0855000000000103E-2</v>
      </c>
      <c r="AE5083">
        <v>3.0899999999974101E-2</v>
      </c>
      <c r="AF5083">
        <v>3.15182829415711E-2</v>
      </c>
      <c r="AG5083">
        <v>-6.0855000000000103E-2</v>
      </c>
      <c r="AH5083">
        <v>0.45885461067101502</v>
      </c>
      <c r="AI5083">
        <v>97.537136346286999</v>
      </c>
      <c r="AJ5083">
        <v>86.070580032736203</v>
      </c>
      <c r="AK5083">
        <v>0.46394427135016297</v>
      </c>
      <c r="AL5083">
        <v>71.3494967961296</v>
      </c>
      <c r="AM5083">
        <v>97.955138037119994</v>
      </c>
      <c r="AN5083">
        <v>1.00000002162507</v>
      </c>
    </row>
    <row r="5084" spans="1:40" x14ac:dyDescent="0.25">
      <c r="A5084" t="str">
        <f>"20190304164228283"</f>
        <v>20190304164228283</v>
      </c>
      <c r="B5084" t="str">
        <f>"1551688948276401"</f>
        <v>1551688948276401</v>
      </c>
      <c r="C5084" t="s">
        <v>40</v>
      </c>
      <c r="D5084">
        <v>4.2051410000000002</v>
      </c>
      <c r="E5084">
        <v>0.57726639999999996</v>
      </c>
      <c r="F5084" t="s">
        <v>42</v>
      </c>
      <c r="G5084">
        <v>-373.87610000000001</v>
      </c>
      <c r="H5084" s="1">
        <v>-3.2291769999999999E-6</v>
      </c>
      <c r="I5084">
        <v>141.9453</v>
      </c>
      <c r="J5084">
        <v>-359.25020000000001</v>
      </c>
      <c r="K5084">
        <v>1.1105389999999999</v>
      </c>
      <c r="L5084">
        <v>141.35040000000001</v>
      </c>
      <c r="M5084">
        <v>-0.99988909999999998</v>
      </c>
      <c r="N5084">
        <v>-1.4684640000000001E-2</v>
      </c>
      <c r="O5084">
        <v>-2.5370879999999998E-3</v>
      </c>
      <c r="P5084">
        <v>-0.94243500000000002</v>
      </c>
      <c r="Q5084">
        <v>0.30644169999999998</v>
      </c>
      <c r="R5084">
        <v>-0.133829</v>
      </c>
      <c r="S5084">
        <v>-3.2798159999999998</v>
      </c>
      <c r="T5084">
        <v>-0.2429714</v>
      </c>
      <c r="U5084">
        <v>0.12995909999999999</v>
      </c>
      <c r="V5084">
        <v>-0.13147619999999999</v>
      </c>
      <c r="W5084">
        <v>0.32023689999999999</v>
      </c>
      <c r="X5084">
        <v>0.9381697</v>
      </c>
      <c r="Y5084">
        <v>4.1985880000000003E-2</v>
      </c>
      <c r="Z5084">
        <v>2.0117749999999999E-3</v>
      </c>
      <c r="AA5084">
        <v>0.99911620000000001</v>
      </c>
      <c r="AB5084">
        <v>35</v>
      </c>
      <c r="AC5084">
        <v>-14.6259</v>
      </c>
      <c r="AD5084">
        <v>-1.110542229177</v>
      </c>
      <c r="AE5084">
        <v>0.59489999999999499</v>
      </c>
      <c r="AF5084">
        <v>0.62839236446415803</v>
      </c>
      <c r="AG5084">
        <v>-1.110542229177</v>
      </c>
      <c r="AH5084">
        <v>14.540650106664801</v>
      </c>
      <c r="AI5084">
        <v>94.363429563183502</v>
      </c>
      <c r="AJ5084">
        <v>87.525431062744403</v>
      </c>
      <c r="AK5084">
        <v>14.596529948277199</v>
      </c>
      <c r="AL5084">
        <v>71.322748283718397</v>
      </c>
      <c r="AM5084">
        <v>97.9775432346419</v>
      </c>
      <c r="AN5084">
        <v>1.00000002464306</v>
      </c>
    </row>
    <row r="5085" spans="1:40" x14ac:dyDescent="0.25">
      <c r="A5085" t="str">
        <f>"20190304164228303"</f>
        <v>20190304164228303</v>
      </c>
      <c r="B5085" t="str">
        <f>"1551688948295921"</f>
        <v>1551688948295921</v>
      </c>
      <c r="C5085" t="s">
        <v>40</v>
      </c>
      <c r="D5085">
        <v>4.1933509999999998</v>
      </c>
      <c r="E5085">
        <v>0.57803760000000004</v>
      </c>
      <c r="F5085" t="s">
        <v>41</v>
      </c>
      <c r="G5085">
        <v>-360.2758</v>
      </c>
      <c r="H5085">
        <v>1.0336540000000001</v>
      </c>
      <c r="I5085">
        <v>141.3947</v>
      </c>
      <c r="J5085">
        <v>-359.57990000000001</v>
      </c>
      <c r="K5085">
        <v>1.1105259999999999</v>
      </c>
      <c r="L5085">
        <v>141.34960000000001</v>
      </c>
      <c r="M5085">
        <v>-0.99988880000000002</v>
      </c>
      <c r="N5085">
        <v>-1.4681120000000001E-2</v>
      </c>
      <c r="O5085">
        <v>-2.5994019999999998E-3</v>
      </c>
      <c r="P5085">
        <v>-0.94242630000000005</v>
      </c>
      <c r="Q5085">
        <v>0.30607200000000001</v>
      </c>
      <c r="R5085">
        <v>-0.134733399999999</v>
      </c>
      <c r="S5085">
        <v>-3.283325</v>
      </c>
      <c r="T5085">
        <v>-0.24619949999999999</v>
      </c>
      <c r="U5085">
        <v>0.141037</v>
      </c>
      <c r="V5085">
        <v>-0.13232179999999999</v>
      </c>
      <c r="W5085">
        <v>0.31986379999999998</v>
      </c>
      <c r="X5085">
        <v>0.93817810000000001</v>
      </c>
      <c r="Y5085">
        <v>4.535629E-2</v>
      </c>
      <c r="Z5085">
        <v>2.1874749999999999E-3</v>
      </c>
      <c r="AA5085">
        <v>0.99896850000000004</v>
      </c>
      <c r="AB5085">
        <v>35</v>
      </c>
      <c r="AC5085">
        <v>-0.69589999999999397</v>
      </c>
      <c r="AD5085">
        <v>-7.6871999999999996E-2</v>
      </c>
      <c r="AE5085">
        <v>4.50999999999908E-2</v>
      </c>
      <c r="AF5085">
        <v>4.6345805138330899E-2</v>
      </c>
      <c r="AG5085">
        <v>-7.6871999999999996E-2</v>
      </c>
      <c r="AH5085">
        <v>0.68742727377951796</v>
      </c>
      <c r="AI5085">
        <v>96.366296159415896</v>
      </c>
      <c r="AJ5085">
        <v>86.143000429675098</v>
      </c>
      <c r="AK5085">
        <v>0.69326293336212697</v>
      </c>
      <c r="AL5085">
        <v>71.345312258927805</v>
      </c>
      <c r="AM5085">
        <v>98.0281136817636</v>
      </c>
      <c r="AN5085">
        <v>1.00000002831264</v>
      </c>
    </row>
    <row r="5086" spans="1:40" x14ac:dyDescent="0.25">
      <c r="A5086" t="str">
        <f>"20190304164228326"</f>
        <v>20190304164228326</v>
      </c>
      <c r="B5086" t="str">
        <f>"1551688948316417"</f>
        <v>1551688948316417</v>
      </c>
      <c r="C5086" t="s">
        <v>40</v>
      </c>
      <c r="D5086">
        <v>4.1918220000000002</v>
      </c>
      <c r="E5086">
        <v>0.57862429999999998</v>
      </c>
      <c r="F5086" t="s">
        <v>41</v>
      </c>
      <c r="G5086">
        <v>-360.58870000000002</v>
      </c>
      <c r="H5086">
        <v>1.033641</v>
      </c>
      <c r="I5086">
        <v>141.3939</v>
      </c>
      <c r="J5086">
        <v>-359.92759999999998</v>
      </c>
      <c r="K5086">
        <v>1.110517</v>
      </c>
      <c r="L5086">
        <v>141.3486</v>
      </c>
      <c r="M5086">
        <v>-0.99988869999999996</v>
      </c>
      <c r="N5086">
        <v>-1.467746E-2</v>
      </c>
      <c r="O5086">
        <v>-2.6651719999999999E-3</v>
      </c>
      <c r="P5086">
        <v>-0.94240250000000003</v>
      </c>
      <c r="Q5086">
        <v>0.30543369999999997</v>
      </c>
      <c r="R5086">
        <v>-0.13633779999999901</v>
      </c>
      <c r="S5086">
        <v>-3.2852169999999998</v>
      </c>
      <c r="T5086">
        <v>-0.25037749999999998</v>
      </c>
      <c r="U5086">
        <v>0.14439389999999999</v>
      </c>
      <c r="V5086">
        <v>-0.13386380000000001</v>
      </c>
      <c r="W5086">
        <v>0.31922220000000001</v>
      </c>
      <c r="X5086">
        <v>0.93817779999999995</v>
      </c>
      <c r="Y5086">
        <v>4.6407619999999997E-2</v>
      </c>
      <c r="Z5086">
        <v>2.2700530000000002E-3</v>
      </c>
      <c r="AA5086">
        <v>0.99892000000000003</v>
      </c>
      <c r="AB5086">
        <v>35</v>
      </c>
      <c r="AC5086">
        <v>-0.66110000000003299</v>
      </c>
      <c r="AD5086">
        <v>-7.6875999999999903E-2</v>
      </c>
      <c r="AE5086">
        <v>4.5299999999997398E-2</v>
      </c>
      <c r="AF5086">
        <v>4.6436978736946299E-2</v>
      </c>
      <c r="AG5086">
        <v>-7.6875999999999903E-2</v>
      </c>
      <c r="AH5086">
        <v>0.65219895876052902</v>
      </c>
      <c r="AI5086">
        <v>96.705728302988206</v>
      </c>
      <c r="AJ5086">
        <v>85.927377043539906</v>
      </c>
      <c r="AK5086">
        <v>0.658353851798965</v>
      </c>
      <c r="AL5086">
        <v>71.384105806548604</v>
      </c>
      <c r="AM5086">
        <v>98.120430374342902</v>
      </c>
      <c r="AN5086">
        <v>0.99999995716805901</v>
      </c>
    </row>
    <row r="5087" spans="1:40" x14ac:dyDescent="0.25">
      <c r="A5087" t="str">
        <f>"20190304164228349"</f>
        <v>20190304164228349</v>
      </c>
      <c r="B5087" t="str">
        <f>"1551688948335937"</f>
        <v>1551688948335937</v>
      </c>
      <c r="C5087" t="s">
        <v>40</v>
      </c>
      <c r="D5087">
        <v>4.2149720000000004</v>
      </c>
      <c r="E5087">
        <v>0.57923659999999999</v>
      </c>
      <c r="F5087" t="s">
        <v>41</v>
      </c>
      <c r="G5087">
        <v>-360.90269999999998</v>
      </c>
      <c r="H5087">
        <v>1.036724</v>
      </c>
      <c r="I5087">
        <v>141.392</v>
      </c>
      <c r="J5087">
        <v>-360.28399999999999</v>
      </c>
      <c r="K5087">
        <v>1.1105179999999999</v>
      </c>
      <c r="L5087">
        <v>141.3475</v>
      </c>
      <c r="M5087">
        <v>-0.99988869999999996</v>
      </c>
      <c r="N5087">
        <v>-1.467371E-2</v>
      </c>
      <c r="O5087">
        <v>-2.7329670000000002E-3</v>
      </c>
      <c r="P5087">
        <v>-0.94234379999999995</v>
      </c>
      <c r="Q5087">
        <v>0.3049538</v>
      </c>
      <c r="R5087">
        <v>-0.13780889999999901</v>
      </c>
      <c r="S5087">
        <v>-3.2850039999999998</v>
      </c>
      <c r="T5087">
        <v>-0.24867590000000001</v>
      </c>
      <c r="U5087">
        <v>0.14543149999999999</v>
      </c>
      <c r="V5087">
        <v>-0.135271</v>
      </c>
      <c r="W5087">
        <v>0.31873770000000001</v>
      </c>
      <c r="X5087">
        <v>0.93814070000000005</v>
      </c>
      <c r="Y5087">
        <v>4.6793719999999997E-2</v>
      </c>
      <c r="Z5087">
        <v>2.2783030000000002E-3</v>
      </c>
      <c r="AA5087">
        <v>0.99890199999999996</v>
      </c>
      <c r="AB5087">
        <v>35</v>
      </c>
      <c r="AC5087">
        <v>-0.61869999999998904</v>
      </c>
      <c r="AD5087">
        <v>-7.3794000000000096E-2</v>
      </c>
      <c r="AE5087">
        <v>4.4499999999999297E-2</v>
      </c>
      <c r="AF5087">
        <v>4.55462968094427E-2</v>
      </c>
      <c r="AG5087">
        <v>-7.3794000000000096E-2</v>
      </c>
      <c r="AH5087">
        <v>0.60994367581363795</v>
      </c>
      <c r="AI5087">
        <v>96.879429762721401</v>
      </c>
      <c r="AJ5087">
        <v>85.729480595605196</v>
      </c>
      <c r="AK5087">
        <v>0.61607735492720805</v>
      </c>
      <c r="AL5087">
        <v>71.413395899639596</v>
      </c>
      <c r="AM5087">
        <v>98.204957560550895</v>
      </c>
      <c r="AN5087">
        <v>0.99999996891938903</v>
      </c>
    </row>
    <row r="5088" spans="1:40" x14ac:dyDescent="0.25">
      <c r="A5088" t="str">
        <f>"20190304164228373"</f>
        <v>20190304164228373</v>
      </c>
      <c r="B5088" t="str">
        <f>"1551688948366193"</f>
        <v>1551688948366193</v>
      </c>
      <c r="C5088" t="s">
        <v>40</v>
      </c>
      <c r="D5088">
        <v>4.2259229999999999</v>
      </c>
      <c r="E5088">
        <v>0.57999809999999996</v>
      </c>
      <c r="F5088" t="s">
        <v>41</v>
      </c>
      <c r="G5088">
        <v>-361.21600000000001</v>
      </c>
      <c r="H5088">
        <v>1.0390820000000001</v>
      </c>
      <c r="I5088">
        <v>141.3887</v>
      </c>
      <c r="J5088">
        <v>-360.64830000000001</v>
      </c>
      <c r="K5088">
        <v>1.1105160000000001</v>
      </c>
      <c r="L5088">
        <v>141.34649999999999</v>
      </c>
      <c r="M5088">
        <v>-0.99988849999999996</v>
      </c>
      <c r="N5088">
        <v>-1.466981E-2</v>
      </c>
      <c r="O5088">
        <v>-2.8019540000000002E-3</v>
      </c>
      <c r="P5088">
        <v>-0.94241799999999998</v>
      </c>
      <c r="Q5088">
        <v>0.30419350000000001</v>
      </c>
      <c r="R5088">
        <v>-0.13897809999999999</v>
      </c>
      <c r="S5088">
        <v>-3.2863159999999998</v>
      </c>
      <c r="T5088">
        <v>-0.25185410000000003</v>
      </c>
      <c r="U5088">
        <v>0.14561459999999901</v>
      </c>
      <c r="V5088">
        <v>-0.1363752</v>
      </c>
      <c r="W5088">
        <v>0.31797560000000002</v>
      </c>
      <c r="X5088">
        <v>0.9382395</v>
      </c>
      <c r="Y5088">
        <v>4.6896279999999999E-2</v>
      </c>
      <c r="Z5088">
        <v>2.3115399999999999E-3</v>
      </c>
      <c r="AA5088">
        <v>0.99889709999999998</v>
      </c>
      <c r="AB5088">
        <v>35</v>
      </c>
      <c r="AC5088">
        <v>-0.56770000000000198</v>
      </c>
      <c r="AD5088">
        <v>-7.1433999999999997E-2</v>
      </c>
      <c r="AE5088">
        <v>4.2200000000008203E-2</v>
      </c>
      <c r="AF5088">
        <v>4.3111822328978998E-2</v>
      </c>
      <c r="AG5088">
        <v>-7.1433999999999997E-2</v>
      </c>
      <c r="AH5088">
        <v>0.558780776880343</v>
      </c>
      <c r="AI5088">
        <v>97.263767000938998</v>
      </c>
      <c r="AJ5088">
        <v>85.588177436882503</v>
      </c>
      <c r="AK5088">
        <v>0.56497557663276499</v>
      </c>
      <c r="AL5088">
        <v>71.459458507802495</v>
      </c>
      <c r="AM5088">
        <v>98.270151742411002</v>
      </c>
      <c r="AN5088">
        <v>1.0000000183653199</v>
      </c>
    </row>
    <row r="5089" spans="1:40" x14ac:dyDescent="0.25">
      <c r="A5089" t="str">
        <f>"20190304164228395"</f>
        <v>20190304164228395</v>
      </c>
      <c r="B5089" t="str">
        <f>"1551688948386690"</f>
        <v>1551688948386690</v>
      </c>
      <c r="C5089" t="s">
        <v>40</v>
      </c>
      <c r="D5089">
        <v>4.2247409999999999</v>
      </c>
      <c r="E5089">
        <v>0.5804743</v>
      </c>
      <c r="F5089" t="s">
        <v>41</v>
      </c>
      <c r="G5089">
        <v>-361.529</v>
      </c>
      <c r="H5089">
        <v>1.041431</v>
      </c>
      <c r="I5089">
        <v>141.38589999999999</v>
      </c>
      <c r="J5089">
        <v>-360.9973</v>
      </c>
      <c r="K5089">
        <v>1.110517</v>
      </c>
      <c r="L5089">
        <v>141.34540000000001</v>
      </c>
      <c r="M5089">
        <v>-0.99988849999999996</v>
      </c>
      <c r="N5089">
        <v>-1.466607E-2</v>
      </c>
      <c r="O5089">
        <v>-2.8683189999999998E-3</v>
      </c>
      <c r="P5089">
        <v>-0.94237729999999997</v>
      </c>
      <c r="Q5089">
        <v>0.3039172</v>
      </c>
      <c r="R5089">
        <v>-0.1398556</v>
      </c>
      <c r="S5089">
        <v>-3.2881770000000001</v>
      </c>
      <c r="T5089">
        <v>-0.25793660000000002</v>
      </c>
      <c r="U5089">
        <v>0.1464539</v>
      </c>
      <c r="V5089">
        <v>-0.13718949999999999</v>
      </c>
      <c r="W5089">
        <v>0.31769530000000001</v>
      </c>
      <c r="X5089">
        <v>0.93821569999999999</v>
      </c>
      <c r="Y5089">
        <v>4.7183360000000001E-2</v>
      </c>
      <c r="Z5089">
        <v>2.3762380000000001E-3</v>
      </c>
      <c r="AA5089">
        <v>0.99888339999999998</v>
      </c>
      <c r="AB5089">
        <v>35</v>
      </c>
      <c r="AC5089">
        <v>-0.53169999999999995</v>
      </c>
      <c r="AD5089">
        <v>-6.9085999999999897E-2</v>
      </c>
      <c r="AE5089">
        <v>4.0499999999980198E-2</v>
      </c>
      <c r="AF5089">
        <v>4.1331315560141801E-2</v>
      </c>
      <c r="AG5089">
        <v>-6.9085999999999897E-2</v>
      </c>
      <c r="AH5089">
        <v>0.52280607151209901</v>
      </c>
      <c r="AI5089">
        <v>97.504566369602998</v>
      </c>
      <c r="AJ5089">
        <v>85.479786942049003</v>
      </c>
      <c r="AK5089">
        <v>0.52896818567078896</v>
      </c>
      <c r="AL5089">
        <v>71.476396121897594</v>
      </c>
      <c r="AM5089">
        <v>98.319052052499501</v>
      </c>
      <c r="AN5089">
        <v>0.99999998113941402</v>
      </c>
    </row>
    <row r="5090" spans="1:40" x14ac:dyDescent="0.25">
      <c r="A5090" t="str">
        <f>"20190304164228416"</f>
        <v>20190304164228416</v>
      </c>
      <c r="B5090" t="str">
        <f>"1551688948406210"</f>
        <v>1551688948406210</v>
      </c>
      <c r="C5090" t="s">
        <v>40</v>
      </c>
      <c r="D5090">
        <v>4.2292800000000002</v>
      </c>
      <c r="E5090">
        <v>0.5809377</v>
      </c>
      <c r="F5090" t="s">
        <v>41</v>
      </c>
      <c r="G5090">
        <v>-361.84230000000002</v>
      </c>
      <c r="H5090">
        <v>1.0433669999999999</v>
      </c>
      <c r="I5090">
        <v>141.38290000000001</v>
      </c>
      <c r="J5090">
        <v>-361.3272</v>
      </c>
      <c r="K5090">
        <v>1.110514</v>
      </c>
      <c r="L5090">
        <v>141.34440000000001</v>
      </c>
      <c r="M5090">
        <v>-0.9998882</v>
      </c>
      <c r="N5090">
        <v>-1.466248E-2</v>
      </c>
      <c r="O5090">
        <v>-2.9311099999999998E-3</v>
      </c>
      <c r="P5090">
        <v>-0.94243569999999999</v>
      </c>
      <c r="Q5090">
        <v>0.30337140000000001</v>
      </c>
      <c r="R5090">
        <v>-0.14064489999999999</v>
      </c>
      <c r="S5090">
        <v>-3.2893370000000002</v>
      </c>
      <c r="T5090">
        <v>-0.261465</v>
      </c>
      <c r="U5090">
        <v>0.14559939999999999</v>
      </c>
      <c r="V5090">
        <v>-0.1379194</v>
      </c>
      <c r="W5090">
        <v>0.31714680000000001</v>
      </c>
      <c r="X5090">
        <v>0.93829430000000003</v>
      </c>
      <c r="Y5090">
        <v>4.6967700000000001E-2</v>
      </c>
      <c r="Z5090">
        <v>2.3976230000000002E-3</v>
      </c>
      <c r="AA5090">
        <v>0.99889360000000005</v>
      </c>
      <c r="AB5090">
        <v>35</v>
      </c>
      <c r="AC5090">
        <v>-0.51510000000001799</v>
      </c>
      <c r="AD5090">
        <v>-6.7146999999999998E-2</v>
      </c>
      <c r="AE5090">
        <v>3.8499999999999E-2</v>
      </c>
      <c r="AF5090">
        <v>3.9344937347529897E-2</v>
      </c>
      <c r="AG5090">
        <v>-6.7146999999999998E-2</v>
      </c>
      <c r="AH5090">
        <v>0.506427019774364</v>
      </c>
      <c r="AI5090">
        <v>97.530345199022506</v>
      </c>
      <c r="AJ5090">
        <v>85.557544269250201</v>
      </c>
      <c r="AK5090">
        <v>0.512372003588628</v>
      </c>
      <c r="AL5090">
        <v>71.509537547070906</v>
      </c>
      <c r="AM5090">
        <v>98.361997621410197</v>
      </c>
      <c r="AN5090">
        <v>1.0000000235295401</v>
      </c>
    </row>
    <row r="5091" spans="1:40" x14ac:dyDescent="0.25">
      <c r="A5091" t="str">
        <f>"20190304164228438"</f>
        <v>20190304164228438</v>
      </c>
      <c r="B5091" t="str">
        <f>"1551688948425782"</f>
        <v>1551688948425782</v>
      </c>
      <c r="C5091" t="s">
        <v>40</v>
      </c>
      <c r="D5091">
        <v>4.2468669999999999</v>
      </c>
      <c r="E5091">
        <v>0.58133000000000001</v>
      </c>
      <c r="F5091" t="s">
        <v>41</v>
      </c>
      <c r="G5091">
        <v>-362.154</v>
      </c>
      <c r="H5091">
        <v>1.0440020000000001</v>
      </c>
      <c r="I5091">
        <v>141.38149999999999</v>
      </c>
      <c r="J5091">
        <v>-361.67070000000001</v>
      </c>
      <c r="K5091">
        <v>1.1105149999999999</v>
      </c>
      <c r="L5091">
        <v>141.3433</v>
      </c>
      <c r="M5091">
        <v>-0.99988809999999995</v>
      </c>
      <c r="N5091">
        <v>-1.465867E-2</v>
      </c>
      <c r="O5091">
        <v>-2.9967639999999999E-3</v>
      </c>
      <c r="P5091">
        <v>-0.94235040000000003</v>
      </c>
      <c r="Q5091">
        <v>0.30333280000000001</v>
      </c>
      <c r="R5091">
        <v>-0.14129829999999999</v>
      </c>
      <c r="S5091">
        <v>-3.2903440000000002</v>
      </c>
      <c r="T5091">
        <v>-0.26471909999999998</v>
      </c>
      <c r="U5091">
        <v>0.14671329999999999</v>
      </c>
      <c r="V5091">
        <v>-0.1385112</v>
      </c>
      <c r="W5091">
        <v>0.31710379999999999</v>
      </c>
      <c r="X5091">
        <v>0.93822159999999999</v>
      </c>
      <c r="Y5091">
        <v>4.7351549999999999E-2</v>
      </c>
      <c r="Z5091">
        <v>2.4454350000000001E-3</v>
      </c>
      <c r="AA5091">
        <v>0.99887530000000002</v>
      </c>
      <c r="AB5091">
        <v>35</v>
      </c>
      <c r="AC5091">
        <v>-0.48329999999998502</v>
      </c>
      <c r="AD5091">
        <v>-6.6512999999999795E-2</v>
      </c>
      <c r="AE5091">
        <v>3.8199999999989097E-2</v>
      </c>
      <c r="AF5091">
        <v>3.8915831134737802E-2</v>
      </c>
      <c r="AG5091">
        <v>-6.6512999999999795E-2</v>
      </c>
      <c r="AH5091">
        <v>0.47425669654442099</v>
      </c>
      <c r="AI5091">
        <v>97.957081204078406</v>
      </c>
      <c r="AJ5091">
        <v>85.309020195538906</v>
      </c>
      <c r="AK5091">
        <v>0.48047667508333303</v>
      </c>
      <c r="AL5091">
        <v>71.512134360114402</v>
      </c>
      <c r="AM5091">
        <v>98.398009077710597</v>
      </c>
      <c r="AN5091">
        <v>0.99999997160321896</v>
      </c>
    </row>
    <row r="5092" spans="1:40" x14ac:dyDescent="0.25">
      <c r="A5092" t="str">
        <f>"20190304164228460"</f>
        <v>20190304164228460</v>
      </c>
      <c r="B5092" t="str">
        <f>"1551688948456037"</f>
        <v>1551688948456037</v>
      </c>
      <c r="C5092" t="s">
        <v>40</v>
      </c>
      <c r="D5092">
        <v>4.2336280000000004</v>
      </c>
      <c r="E5092">
        <v>0.58185410000000004</v>
      </c>
      <c r="F5092" t="s">
        <v>41</v>
      </c>
      <c r="G5092">
        <v>-362.46660000000003</v>
      </c>
      <c r="H5092">
        <v>1.0460560000000001</v>
      </c>
      <c r="I5092">
        <v>141.37899999999999</v>
      </c>
      <c r="J5092">
        <v>-362.02409999999998</v>
      </c>
      <c r="K5092">
        <v>1.1105130000000001</v>
      </c>
      <c r="L5092">
        <v>141.34219999999999</v>
      </c>
      <c r="M5092">
        <v>-0.99988790000000005</v>
      </c>
      <c r="N5092">
        <v>-1.4654769999999999E-2</v>
      </c>
      <c r="O5092">
        <v>-3.0656490000000002E-3</v>
      </c>
      <c r="P5092">
        <v>-0.94222530000000004</v>
      </c>
      <c r="Q5092">
        <v>0.3032724</v>
      </c>
      <c r="R5092">
        <v>-0.14225889999999999</v>
      </c>
      <c r="S5092">
        <v>-3.2914430000000001</v>
      </c>
      <c r="T5092">
        <v>-0.26652809999999999</v>
      </c>
      <c r="U5092">
        <v>0.14775089999999999</v>
      </c>
      <c r="V5092">
        <v>-0.1394078</v>
      </c>
      <c r="W5092">
        <v>0.31703730000000002</v>
      </c>
      <c r="X5092">
        <v>0.93811129999999998</v>
      </c>
      <c r="Y5092">
        <v>4.7715960000000002E-2</v>
      </c>
      <c r="Z5092">
        <v>2.4811780000000001E-3</v>
      </c>
      <c r="AA5092">
        <v>0.99885789999999997</v>
      </c>
      <c r="AB5092">
        <v>35</v>
      </c>
      <c r="AC5092">
        <v>-0.44250000000005202</v>
      </c>
      <c r="AD5092">
        <v>-6.4456999999999903E-2</v>
      </c>
      <c r="AE5092">
        <v>3.67999999999995E-2</v>
      </c>
      <c r="AF5092">
        <v>3.7369055347082202E-2</v>
      </c>
      <c r="AG5092">
        <v>-6.4456999999999903E-2</v>
      </c>
      <c r="AH5092">
        <v>0.43325523247890402</v>
      </c>
      <c r="AI5092">
        <v>98.431188754080097</v>
      </c>
      <c r="AJ5092">
        <v>85.070334728933204</v>
      </c>
      <c r="AK5092">
        <v>0.43961488557245498</v>
      </c>
      <c r="AL5092">
        <v>71.516152323392205</v>
      </c>
      <c r="AM5092">
        <v>98.452567116057807</v>
      </c>
      <c r="AN5092">
        <v>0.999999997739909</v>
      </c>
    </row>
    <row r="5093" spans="1:40" x14ac:dyDescent="0.25">
      <c r="A5093" t="str">
        <f>"20190304164228483"</f>
        <v>20190304164228483</v>
      </c>
      <c r="B5093" t="str">
        <f>"1551688948476534"</f>
        <v>1551688948476534</v>
      </c>
      <c r="C5093" t="s">
        <v>40</v>
      </c>
      <c r="D5093">
        <v>4.2715870000000002</v>
      </c>
      <c r="E5093">
        <v>0.58219299999999996</v>
      </c>
      <c r="F5093" t="s">
        <v>41</v>
      </c>
      <c r="G5093">
        <v>-362.77969999999999</v>
      </c>
      <c r="H5093">
        <v>1.048962</v>
      </c>
      <c r="I5093">
        <v>141.3768</v>
      </c>
      <c r="J5093">
        <v>-362.37349999999998</v>
      </c>
      <c r="K5093">
        <v>1.1105130000000001</v>
      </c>
      <c r="L5093">
        <v>141.34100000000001</v>
      </c>
      <c r="M5093">
        <v>-0.99988779999999999</v>
      </c>
      <c r="N5093">
        <v>-1.4650939999999999E-2</v>
      </c>
      <c r="O5093">
        <v>-3.135498E-3</v>
      </c>
      <c r="P5093">
        <v>-0.94170940000000003</v>
      </c>
      <c r="Q5093">
        <v>0.30426029999999998</v>
      </c>
      <c r="R5093">
        <v>-0.14355970000000001</v>
      </c>
      <c r="S5093">
        <v>-3.2928769999999998</v>
      </c>
      <c r="T5093">
        <v>-0.26825490000000002</v>
      </c>
      <c r="U5093">
        <v>0.14982599999999999</v>
      </c>
      <c r="V5093">
        <v>-0.14064570000000001</v>
      </c>
      <c r="W5093">
        <v>0.31801400000000002</v>
      </c>
      <c r="X5093">
        <v>0.93759579999999998</v>
      </c>
      <c r="Y5093">
        <v>4.8389519999999998E-2</v>
      </c>
      <c r="Z5093">
        <v>2.5311589999999998E-3</v>
      </c>
      <c r="AA5093">
        <v>0.99882530000000003</v>
      </c>
      <c r="AB5093">
        <v>35</v>
      </c>
      <c r="AC5093">
        <v>-0.406200000000012</v>
      </c>
      <c r="AD5093">
        <v>-6.1550999999999599E-2</v>
      </c>
      <c r="AE5093">
        <v>3.5799999999994697E-2</v>
      </c>
      <c r="AF5093">
        <v>3.62477315517995E-2</v>
      </c>
      <c r="AG5093">
        <v>-6.1550999999999599E-2</v>
      </c>
      <c r="AH5093">
        <v>0.39703958932753802</v>
      </c>
      <c r="AI5093">
        <v>98.776196741119406</v>
      </c>
      <c r="AJ5093">
        <v>84.783641810396503</v>
      </c>
      <c r="AK5093">
        <v>0.40341400463671501</v>
      </c>
      <c r="AL5093">
        <v>71.457137552031398</v>
      </c>
      <c r="AM5093">
        <v>98.531143919182497</v>
      </c>
      <c r="AN5093">
        <v>1.0000000006510601</v>
      </c>
    </row>
    <row r="5094" spans="1:40" x14ac:dyDescent="0.25">
      <c r="A5094" t="str">
        <f>"20190304164228504"</f>
        <v>20190304164228504</v>
      </c>
      <c r="B5094" t="str">
        <f>"1551688948496054"</f>
        <v>1551688948496054</v>
      </c>
      <c r="C5094" t="s">
        <v>40</v>
      </c>
      <c r="D5094">
        <v>5.1676909999999996</v>
      </c>
      <c r="E5094">
        <v>0.58236299999999996</v>
      </c>
      <c r="F5094" t="s">
        <v>41</v>
      </c>
      <c r="G5094">
        <v>-363.3861</v>
      </c>
      <c r="H5094">
        <v>1.0290109999999999</v>
      </c>
      <c r="I5094">
        <v>141.38720000000001</v>
      </c>
      <c r="J5094">
        <v>-362.7072</v>
      </c>
      <c r="K5094">
        <v>1.110522</v>
      </c>
      <c r="L5094">
        <v>141.3399</v>
      </c>
      <c r="M5094">
        <v>-0.99988759999999999</v>
      </c>
      <c r="N5094">
        <v>-1.464728E-2</v>
      </c>
      <c r="O5094">
        <v>-3.2036790000000001E-3</v>
      </c>
      <c r="P5094">
        <v>-0.94067389999999995</v>
      </c>
      <c r="Q5094">
        <v>0.30614269999999999</v>
      </c>
      <c r="R5094">
        <v>-0.146319</v>
      </c>
      <c r="S5094">
        <v>-3.2941280000000002</v>
      </c>
      <c r="T5094">
        <v>-0.26516970000000001</v>
      </c>
      <c r="U5094">
        <v>0.14961240000000001</v>
      </c>
      <c r="V5094">
        <v>-0.1433449</v>
      </c>
      <c r="W5094">
        <v>0.31987640000000001</v>
      </c>
      <c r="X5094">
        <v>0.93655290000000002</v>
      </c>
      <c r="Y5094">
        <v>4.8379970000000001E-2</v>
      </c>
      <c r="Z5094">
        <v>2.5087949999999999E-3</v>
      </c>
      <c r="AA5094">
        <v>0.99882579999999999</v>
      </c>
      <c r="AB5094">
        <v>35</v>
      </c>
      <c r="AC5094">
        <v>-0.67889999999999795</v>
      </c>
      <c r="AD5094">
        <v>-8.1510999999999806E-2</v>
      </c>
      <c r="AE5094">
        <v>4.7300000000007003E-2</v>
      </c>
      <c r="AF5094">
        <v>4.87752593235663E-2</v>
      </c>
      <c r="AG5094">
        <v>-8.1510999999999806E-2</v>
      </c>
      <c r="AH5094">
        <v>0.66914568873455105</v>
      </c>
      <c r="AI5094">
        <v>96.926985392149604</v>
      </c>
      <c r="AJ5094">
        <v>85.830978516404301</v>
      </c>
      <c r="AK5094">
        <v>0.67585429035785405</v>
      </c>
      <c r="AL5094">
        <v>71.344549811497799</v>
      </c>
      <c r="AM5094">
        <v>98.701922892484703</v>
      </c>
      <c r="AN5094">
        <v>1.0000000030656899</v>
      </c>
    </row>
    <row r="5095" spans="1:40" x14ac:dyDescent="0.25">
      <c r="A5095" t="str">
        <f>"20190304164228527"</f>
        <v>20190304164228527</v>
      </c>
      <c r="B5095" t="str">
        <f>"1551688948516550"</f>
        <v>1551688948516550</v>
      </c>
      <c r="C5095" t="s">
        <v>40</v>
      </c>
      <c r="D5095">
        <v>4.2452239999999897</v>
      </c>
      <c r="E5095">
        <v>0.55340800000000001</v>
      </c>
      <c r="F5095" t="s">
        <v>41</v>
      </c>
      <c r="G5095">
        <v>-363.69740000000002</v>
      </c>
      <c r="H5095">
        <v>1.033085</v>
      </c>
      <c r="I5095">
        <v>141.38310000000001</v>
      </c>
      <c r="J5095">
        <v>-363.05290000000002</v>
      </c>
      <c r="K5095">
        <v>1.110536</v>
      </c>
      <c r="L5095">
        <v>141.33869999999999</v>
      </c>
      <c r="M5095">
        <v>-0.99988739999999998</v>
      </c>
      <c r="N5095">
        <v>-1.4643410000000001E-2</v>
      </c>
      <c r="O5095">
        <v>-3.2756690000000002E-3</v>
      </c>
      <c r="P5095">
        <v>-0.93955690000000003</v>
      </c>
      <c r="Q5095">
        <v>0.30831890000000001</v>
      </c>
      <c r="R5095">
        <v>-0.148902799999999</v>
      </c>
      <c r="S5095">
        <v>-3.2953190000000001</v>
      </c>
      <c r="T5095">
        <v>-0.25771630000000001</v>
      </c>
      <c r="U5095">
        <v>0.14295959999999999</v>
      </c>
      <c r="V5095">
        <v>-0.1458662</v>
      </c>
      <c r="W5095">
        <v>0.32203189999999998</v>
      </c>
      <c r="X5095">
        <v>0.93542420000000004</v>
      </c>
      <c r="Y5095">
        <v>4.6439809999999998E-2</v>
      </c>
      <c r="Z5095">
        <v>2.3609360000000001E-3</v>
      </c>
      <c r="AA5095">
        <v>0.99891830000000004</v>
      </c>
      <c r="AB5095">
        <v>35</v>
      </c>
      <c r="AC5095">
        <v>-0.64449999999999297</v>
      </c>
      <c r="AD5095">
        <v>-7.7450999999999895E-2</v>
      </c>
      <c r="AE5095">
        <v>4.4400000000024399E-2</v>
      </c>
      <c r="AF5095">
        <v>4.5852117453018301E-2</v>
      </c>
      <c r="AG5095">
        <v>-7.7450999999999895E-2</v>
      </c>
      <c r="AH5095">
        <v>0.63522095989898097</v>
      </c>
      <c r="AI5095">
        <v>96.933762927123496</v>
      </c>
      <c r="AJ5095">
        <v>85.871382708375506</v>
      </c>
      <c r="AK5095">
        <v>0.64156585162468605</v>
      </c>
      <c r="AL5095">
        <v>71.214149107764996</v>
      </c>
      <c r="AM5095">
        <v>98.863089736515406</v>
      </c>
      <c r="AN5095">
        <v>0.99999996343284403</v>
      </c>
    </row>
    <row r="5096" spans="1:40" x14ac:dyDescent="0.25">
      <c r="A5096" t="str">
        <f>"20190304164228550"</f>
        <v>20190304164228550</v>
      </c>
      <c r="B5096" t="str">
        <f>"1551688948536070"</f>
        <v>1551688948536070</v>
      </c>
      <c r="C5096" t="s">
        <v>40</v>
      </c>
      <c r="D5096">
        <v>4.2953659999999996</v>
      </c>
      <c r="E5096">
        <v>0.48086489999999998</v>
      </c>
      <c r="F5096" t="s">
        <v>42</v>
      </c>
      <c r="G5096">
        <v>-379.7688</v>
      </c>
      <c r="H5096" s="1">
        <v>-4.133153E-7</v>
      </c>
      <c r="I5096">
        <v>140.86320000000001</v>
      </c>
      <c r="J5096">
        <v>-363.41120000000001</v>
      </c>
      <c r="K5096">
        <v>1.110538</v>
      </c>
      <c r="L5096">
        <v>141.33750000000001</v>
      </c>
      <c r="M5096">
        <v>-0.99988719999999998</v>
      </c>
      <c r="N5096">
        <v>-1.463942E-2</v>
      </c>
      <c r="O5096">
        <v>-3.3515839999999999E-3</v>
      </c>
      <c r="P5096">
        <v>-0.93900159999999999</v>
      </c>
      <c r="Q5096">
        <v>0.30909779999999998</v>
      </c>
      <c r="R5096">
        <v>-0.1507801</v>
      </c>
      <c r="S5096">
        <v>-3.2491460000000001</v>
      </c>
      <c r="T5096">
        <v>-0.21586140000000001</v>
      </c>
      <c r="U5096">
        <v>-9.2407230000000007E-2</v>
      </c>
      <c r="V5096">
        <v>-0.14767449999999999</v>
      </c>
      <c r="W5096">
        <v>0.3227988</v>
      </c>
      <c r="X5096">
        <v>0.93487600000000004</v>
      </c>
      <c r="Y5096">
        <v>-2.5015430000000002E-2</v>
      </c>
      <c r="Z5096">
        <v>-8.3992589999999905E-4</v>
      </c>
      <c r="AA5096">
        <v>0.99968670000000004</v>
      </c>
      <c r="AB5096">
        <v>35</v>
      </c>
      <c r="AC5096">
        <v>-16.357599999999898</v>
      </c>
      <c r="AD5096">
        <v>-1.1105384133153</v>
      </c>
      <c r="AE5096">
        <v>-0.474299999999999</v>
      </c>
      <c r="AF5096">
        <v>-0.417544647312868</v>
      </c>
      <c r="AG5096">
        <v>-1.1105384133153</v>
      </c>
      <c r="AH5096">
        <v>16.284103869741099</v>
      </c>
      <c r="AI5096">
        <v>93.900121487742297</v>
      </c>
      <c r="AJ5096">
        <v>91.468813100009498</v>
      </c>
      <c r="AK5096">
        <v>16.327267926400499</v>
      </c>
      <c r="AL5096">
        <v>71.167730428232204</v>
      </c>
      <c r="AM5096">
        <v>98.976363843321295</v>
      </c>
      <c r="AN5096">
        <v>0.99999997930384399</v>
      </c>
    </row>
    <row r="5097" spans="1:40" x14ac:dyDescent="0.25">
      <c r="A5097" t="str">
        <f>"20190304164228573"</f>
        <v>20190304164228573</v>
      </c>
      <c r="B5097" t="str">
        <f>"1551688948566326"</f>
        <v>1551688948566326</v>
      </c>
      <c r="C5097" t="s">
        <v>40</v>
      </c>
      <c r="D5097">
        <v>4.1797170000000001</v>
      </c>
      <c r="E5097">
        <v>0.4776262</v>
      </c>
      <c r="F5097" t="s">
        <v>42</v>
      </c>
      <c r="G5097">
        <v>-387.68970000000002</v>
      </c>
      <c r="H5097" s="1">
        <v>-1.686528E-6</v>
      </c>
      <c r="I5097">
        <v>136.18010000000001</v>
      </c>
      <c r="J5097">
        <v>-363.75830000000002</v>
      </c>
      <c r="K5097">
        <v>1.1105389999999999</v>
      </c>
      <c r="L5097">
        <v>141.33619999999999</v>
      </c>
      <c r="M5097">
        <v>-0.99988710000000003</v>
      </c>
      <c r="N5097">
        <v>-1.4635560000000001E-2</v>
      </c>
      <c r="O5097">
        <v>-3.4260639999999999E-3</v>
      </c>
      <c r="P5097">
        <v>-0.93800280000000003</v>
      </c>
      <c r="Q5097">
        <v>0.31050660000000002</v>
      </c>
      <c r="R5097">
        <v>-0.15406610000000001</v>
      </c>
      <c r="S5097">
        <v>-3.135132</v>
      </c>
      <c r="T5097">
        <v>-0.14340649999999999</v>
      </c>
      <c r="U5097">
        <v>-0.66596979999999995</v>
      </c>
      <c r="V5097">
        <v>-0.15089430000000001</v>
      </c>
      <c r="W5097">
        <v>0.3241889</v>
      </c>
      <c r="X5097">
        <v>0.9338803</v>
      </c>
      <c r="Y5097">
        <v>-0.20416200000000001</v>
      </c>
      <c r="Z5097">
        <v>-6.0217780000000002E-3</v>
      </c>
      <c r="AA5097">
        <v>0.97891859999999997</v>
      </c>
      <c r="AB5097">
        <v>35</v>
      </c>
      <c r="AC5097">
        <v>-23.9314</v>
      </c>
      <c r="AD5097">
        <v>-1.1105406865280001</v>
      </c>
      <c r="AE5097">
        <v>-5.1560999999999799</v>
      </c>
      <c r="AF5097">
        <v>-5.0636499058347901</v>
      </c>
      <c r="AG5097">
        <v>-1.1105406865280001</v>
      </c>
      <c r="AH5097">
        <v>23.8997429860555</v>
      </c>
      <c r="AI5097">
        <v>92.602734710628894</v>
      </c>
      <c r="AJ5097">
        <v>101.96238416085301</v>
      </c>
      <c r="AK5097">
        <v>24.455501748784599</v>
      </c>
      <c r="AL5097">
        <v>71.083557493611096</v>
      </c>
      <c r="AM5097">
        <v>99.178398479654703</v>
      </c>
      <c r="AN5097">
        <v>0.99999997369189397</v>
      </c>
    </row>
    <row r="5098" spans="1:40" x14ac:dyDescent="0.25">
      <c r="A5098" t="str">
        <f>"20190304164228591"</f>
        <v>20190304164228591</v>
      </c>
      <c r="B5098" t="str">
        <f>"1551688948585846"</f>
        <v>1551688948585846</v>
      </c>
      <c r="C5098" t="s">
        <v>40</v>
      </c>
      <c r="D5098">
        <v>4.1419430000000004</v>
      </c>
      <c r="E5098">
        <v>0.47769400000000001</v>
      </c>
      <c r="F5098" t="s">
        <v>42</v>
      </c>
      <c r="G5098">
        <v>-387.64800000000002</v>
      </c>
      <c r="H5098" s="1">
        <v>-1.7552360000000001E-6</v>
      </c>
      <c r="I5098">
        <v>135.9751</v>
      </c>
      <c r="J5098">
        <v>-364.03930000000003</v>
      </c>
      <c r="K5098">
        <v>1.110544</v>
      </c>
      <c r="L5098">
        <v>141.33519999999999</v>
      </c>
      <c r="M5098">
        <v>-0.99988690000000002</v>
      </c>
      <c r="N5098">
        <v>-1.463243E-2</v>
      </c>
      <c r="O5098">
        <v>-3.4864800000000001E-3</v>
      </c>
      <c r="P5098">
        <v>-0.93752150000000001</v>
      </c>
      <c r="Q5098">
        <v>0.31123129999999999</v>
      </c>
      <c r="R5098">
        <v>-0.1555279</v>
      </c>
      <c r="S5098">
        <v>-3.1310419999999999</v>
      </c>
      <c r="T5098">
        <v>-0.1455505</v>
      </c>
      <c r="U5098">
        <v>-0.70262150000000001</v>
      </c>
      <c r="V5098">
        <v>-0.1523014</v>
      </c>
      <c r="W5098">
        <v>0.32490390000000002</v>
      </c>
      <c r="X5098">
        <v>0.93340330000000005</v>
      </c>
      <c r="Y5098">
        <v>-0.2152637</v>
      </c>
      <c r="Z5098">
        <v>-6.425198E-3</v>
      </c>
      <c r="AA5098">
        <v>0.97653480000000004</v>
      </c>
      <c r="AB5098">
        <v>35</v>
      </c>
      <c r="AC5098">
        <v>-23.608699999999999</v>
      </c>
      <c r="AD5098">
        <v>-1.1105457552360001</v>
      </c>
      <c r="AE5098">
        <v>-5.3600999999999797</v>
      </c>
      <c r="AF5098">
        <v>-5.2666648933126599</v>
      </c>
      <c r="AG5098">
        <v>-1.1105457552360001</v>
      </c>
      <c r="AH5098">
        <v>23.577632805395901</v>
      </c>
      <c r="AI5098">
        <v>92.631964317103694</v>
      </c>
      <c r="AJ5098">
        <v>102.591759264985</v>
      </c>
      <c r="AK5098">
        <v>24.1842064099488</v>
      </c>
      <c r="AL5098">
        <v>71.040246911367504</v>
      </c>
      <c r="AM5098">
        <v>99.267162267357804</v>
      </c>
      <c r="AN5098">
        <v>0.99999999056402999</v>
      </c>
    </row>
    <row r="5099" spans="1:40" x14ac:dyDescent="0.25">
      <c r="A5099" t="str">
        <f>"20190304164228606"</f>
        <v>20190304164228606</v>
      </c>
      <c r="B5099" t="str">
        <f>"1551688948596583"</f>
        <v>1551688948596583</v>
      </c>
      <c r="C5099" t="s">
        <v>40</v>
      </c>
      <c r="D5099">
        <v>4.1276599999999997</v>
      </c>
      <c r="E5099">
        <v>0.47789700000000002</v>
      </c>
      <c r="F5099" t="s">
        <v>42</v>
      </c>
      <c r="G5099">
        <v>-387.37130000000002</v>
      </c>
      <c r="H5099" s="1">
        <v>-1.824145E-6</v>
      </c>
      <c r="I5099">
        <v>136.0701</v>
      </c>
      <c r="J5099">
        <v>-364.26549999999997</v>
      </c>
      <c r="K5099">
        <v>1.1105609999999999</v>
      </c>
      <c r="L5099">
        <v>141.33430000000001</v>
      </c>
      <c r="M5099">
        <v>-0.99988690000000002</v>
      </c>
      <c r="N5099">
        <v>-1.462988E-2</v>
      </c>
      <c r="O5099">
        <v>-3.5352169999999998E-3</v>
      </c>
      <c r="P5099">
        <v>-0.93657109999999999</v>
      </c>
      <c r="Q5099">
        <v>0.31263920000000001</v>
      </c>
      <c r="R5099">
        <v>-0.1584033</v>
      </c>
      <c r="S5099">
        <v>-3.1322019999999999</v>
      </c>
      <c r="T5099">
        <v>-0.149085299999999</v>
      </c>
      <c r="U5099">
        <v>-0.70680240000000005</v>
      </c>
      <c r="V5099">
        <v>-0.15513469999999999</v>
      </c>
      <c r="W5099">
        <v>0.32629520000000001</v>
      </c>
      <c r="X5099">
        <v>0.93245089999999997</v>
      </c>
      <c r="Y5099">
        <v>-0.21636569999999999</v>
      </c>
      <c r="Z5099">
        <v>-6.5710990000000004E-3</v>
      </c>
      <c r="AA5099">
        <v>0.97629030000000006</v>
      </c>
      <c r="AB5099">
        <v>34</v>
      </c>
      <c r="AC5099">
        <v>-23.105799999999999</v>
      </c>
      <c r="AD5099">
        <v>-1.1105628241450001</v>
      </c>
      <c r="AE5099">
        <v>-5.2642000000000104</v>
      </c>
      <c r="AF5099">
        <v>-5.1711176693771899</v>
      </c>
      <c r="AG5099">
        <v>-1.1105628241450001</v>
      </c>
      <c r="AH5099">
        <v>23.073593998013099</v>
      </c>
      <c r="AI5099">
        <v>92.688994284100801</v>
      </c>
      <c r="AJ5099">
        <v>102.63206162846799</v>
      </c>
      <c r="AK5099">
        <v>23.672020355729298</v>
      </c>
      <c r="AL5099">
        <v>70.955937371020099</v>
      </c>
      <c r="AM5099">
        <v>99.445953096396593</v>
      </c>
      <c r="AN5099">
        <v>1.0000000067989601</v>
      </c>
    </row>
    <row r="5100" spans="1:40" x14ac:dyDescent="0.25">
      <c r="A5100" t="str">
        <f>"20190304164228628"</f>
        <v>20190304164228628</v>
      </c>
      <c r="B5100" t="str">
        <f>"1551688948616102"</f>
        <v>1551688948616102</v>
      </c>
      <c r="C5100" t="s">
        <v>40</v>
      </c>
      <c r="D5100">
        <v>4.1308800000000003</v>
      </c>
      <c r="E5100">
        <v>0.47852329999999998</v>
      </c>
      <c r="F5100" t="s">
        <v>42</v>
      </c>
      <c r="G5100">
        <v>-387.69170000000003</v>
      </c>
      <c r="H5100" s="1">
        <v>-1.7357679999999999E-6</v>
      </c>
      <c r="I5100">
        <v>135.99250000000001</v>
      </c>
      <c r="J5100">
        <v>-364.61649999999997</v>
      </c>
      <c r="K5100">
        <v>1.1105700000000001</v>
      </c>
      <c r="L5100">
        <v>141.333</v>
      </c>
      <c r="M5100">
        <v>-0.99988650000000001</v>
      </c>
      <c r="N5100">
        <v>-1.4625859999999999E-2</v>
      </c>
      <c r="O5100">
        <v>-3.6105270000000001E-3</v>
      </c>
      <c r="P5100">
        <v>-0.93542119999999995</v>
      </c>
      <c r="Q5100">
        <v>0.31459300000000001</v>
      </c>
      <c r="R5100">
        <v>-0.16130249999999999</v>
      </c>
      <c r="S5100">
        <v>-3.1319270000000001</v>
      </c>
      <c r="T5100">
        <v>-0.14847579999999999</v>
      </c>
      <c r="U5100">
        <v>-0.71415709999999999</v>
      </c>
      <c r="V5100">
        <v>-0.15796760000000001</v>
      </c>
      <c r="W5100">
        <v>0.32822820000000003</v>
      </c>
      <c r="X5100">
        <v>0.93129620000000002</v>
      </c>
      <c r="Y5100">
        <v>-0.21848980000000001</v>
      </c>
      <c r="Z5100">
        <v>-6.6131039999999999E-3</v>
      </c>
      <c r="AA5100">
        <v>0.97581680000000004</v>
      </c>
      <c r="AB5100">
        <v>34</v>
      </c>
      <c r="AC5100">
        <v>-23.075199999999999</v>
      </c>
      <c r="AD5100">
        <v>-1.1105717357680001</v>
      </c>
      <c r="AE5100">
        <v>-5.3404999999999898</v>
      </c>
      <c r="AF5100">
        <v>-5.2456097680274301</v>
      </c>
      <c r="AG5100">
        <v>-1.1105717357680001</v>
      </c>
      <c r="AH5100">
        <v>23.0436703994258</v>
      </c>
      <c r="AI5100">
        <v>92.690467347339606</v>
      </c>
      <c r="AJ5100">
        <v>102.82415268463301</v>
      </c>
      <c r="AK5100">
        <v>23.659259009869398</v>
      </c>
      <c r="AL5100">
        <v>70.838731577370893</v>
      </c>
      <c r="AM5100">
        <v>99.626951228642</v>
      </c>
      <c r="AN5100">
        <v>1.0000000630297099</v>
      </c>
    </row>
    <row r="5101" spans="1:40" x14ac:dyDescent="0.25">
      <c r="A5101" t="str">
        <f>"20190304164228651"</f>
        <v>20190304164228651</v>
      </c>
      <c r="B5101" t="str">
        <f>"1551688948636599"</f>
        <v>1551688948636599</v>
      </c>
      <c r="C5101" t="s">
        <v>40</v>
      </c>
      <c r="D5101">
        <v>4.1251910000000001</v>
      </c>
      <c r="E5101">
        <v>0.47911670000000001</v>
      </c>
      <c r="F5101" t="s">
        <v>42</v>
      </c>
      <c r="G5101">
        <v>-388.19979999999998</v>
      </c>
      <c r="H5101" s="1">
        <v>-1.581391E-6</v>
      </c>
      <c r="I5101">
        <v>135.9228</v>
      </c>
      <c r="J5101">
        <v>-364.9588</v>
      </c>
      <c r="K5101">
        <v>1.110574</v>
      </c>
      <c r="L5101">
        <v>141.33160000000001</v>
      </c>
      <c r="M5101">
        <v>-0.99988639999999995</v>
      </c>
      <c r="N5101">
        <v>-1.46219E-2</v>
      </c>
      <c r="O5101">
        <v>-3.6841650000000001E-3</v>
      </c>
      <c r="P5101">
        <v>-0.934581</v>
      </c>
      <c r="Q5101">
        <v>0.31534759999999901</v>
      </c>
      <c r="R5101">
        <v>-0.16466520000000001</v>
      </c>
      <c r="S5101">
        <v>-3.1328429999999998</v>
      </c>
      <c r="T5101">
        <v>-0.14753060000000001</v>
      </c>
      <c r="U5101">
        <v>-0.71868900000000002</v>
      </c>
      <c r="V5101">
        <v>-0.16126480000000001</v>
      </c>
      <c r="W5101">
        <v>0.32896629999999999</v>
      </c>
      <c r="X5101">
        <v>0.93047020000000003</v>
      </c>
      <c r="Y5101">
        <v>-0.21969939999999999</v>
      </c>
      <c r="Z5101">
        <v>-6.6139719999999897E-3</v>
      </c>
      <c r="AA5101">
        <v>0.9755452</v>
      </c>
      <c r="AB5101">
        <v>34</v>
      </c>
      <c r="AC5101">
        <v>-23.2409999999999</v>
      </c>
      <c r="AD5101">
        <v>-1.1105755813910001</v>
      </c>
      <c r="AE5101">
        <v>-5.40880000000001</v>
      </c>
      <c r="AF5101">
        <v>-5.3116249253355701</v>
      </c>
      <c r="AG5101">
        <v>-1.1105755813910001</v>
      </c>
      <c r="AH5101">
        <v>23.2104949245042</v>
      </c>
      <c r="AI5101">
        <v>92.670468119020001</v>
      </c>
      <c r="AJ5101">
        <v>102.889941980815</v>
      </c>
      <c r="AK5101">
        <v>23.836396793766099</v>
      </c>
      <c r="AL5101">
        <v>70.793953430783304</v>
      </c>
      <c r="AM5101">
        <v>99.832565536428902</v>
      </c>
      <c r="AN5101">
        <v>0.99999997767138404</v>
      </c>
    </row>
    <row r="5102" spans="1:40" x14ac:dyDescent="0.25">
      <c r="A5102" t="str">
        <f>"20190304164228667"</f>
        <v>20190304164228667</v>
      </c>
      <c r="B5102" t="str">
        <f>"1551688948656118"</f>
        <v>1551688948656118</v>
      </c>
      <c r="C5102" t="s">
        <v>40</v>
      </c>
      <c r="D5102">
        <v>4.1526059999999996</v>
      </c>
      <c r="E5102">
        <v>0.47972969999999998</v>
      </c>
      <c r="F5102" t="s">
        <v>42</v>
      </c>
      <c r="G5102">
        <v>-388.10610000000003</v>
      </c>
      <c r="H5102" s="1">
        <v>-1.595623E-6</v>
      </c>
      <c r="I5102">
        <v>135.98910000000001</v>
      </c>
      <c r="J5102">
        <v>-365.21010000000001</v>
      </c>
      <c r="K5102">
        <v>1.1105750000000001</v>
      </c>
      <c r="L5102">
        <v>141.33070000000001</v>
      </c>
      <c r="M5102">
        <v>-0.99988630000000001</v>
      </c>
      <c r="N5102">
        <v>-1.461907E-2</v>
      </c>
      <c r="O5102">
        <v>-3.7380239999999999E-3</v>
      </c>
      <c r="P5102">
        <v>-0.93423619999999996</v>
      </c>
      <c r="Q5102">
        <v>0.31537229999999999</v>
      </c>
      <c r="R5102">
        <v>-0.16656299999999999</v>
      </c>
      <c r="S5102">
        <v>-3.1333009999999999</v>
      </c>
      <c r="T5102">
        <v>-0.150331399999999</v>
      </c>
      <c r="U5102">
        <v>-0.72317500000000001</v>
      </c>
      <c r="V5102">
        <v>-0.16311320000000001</v>
      </c>
      <c r="W5102">
        <v>0.32898339999999998</v>
      </c>
      <c r="X5102">
        <v>0.93014189999999997</v>
      </c>
      <c r="Y5102">
        <v>-0.2209304</v>
      </c>
      <c r="Z5102">
        <v>-6.7424370000000004E-3</v>
      </c>
      <c r="AA5102">
        <v>0.97526630000000003</v>
      </c>
      <c r="AB5102">
        <v>34</v>
      </c>
      <c r="AC5102">
        <v>-22.896000000000001</v>
      </c>
      <c r="AD5102">
        <v>-1.110576595623</v>
      </c>
      <c r="AE5102">
        <v>-5.3415999999999997</v>
      </c>
      <c r="AF5102">
        <v>-5.2442661339496697</v>
      </c>
      <c r="AG5102">
        <v>-1.110576595623</v>
      </c>
      <c r="AH5102">
        <v>22.864790622512299</v>
      </c>
      <c r="AI5102">
        <v>92.710484092906896</v>
      </c>
      <c r="AJ5102">
        <v>102.917927354683</v>
      </c>
      <c r="AK5102">
        <v>23.484768635644802</v>
      </c>
      <c r="AL5102">
        <v>70.792915846910205</v>
      </c>
      <c r="AM5102">
        <v>99.946467992962496</v>
      </c>
      <c r="AN5102">
        <v>0.999999973812704</v>
      </c>
    </row>
    <row r="5103" spans="1:40" x14ac:dyDescent="0.25">
      <c r="A5103" t="str">
        <f>"20190304164228683"</f>
        <v>20190304164228683</v>
      </c>
      <c r="B5103" t="str">
        <f>"1551688948676614"</f>
        <v>1551688948676614</v>
      </c>
      <c r="C5103" t="s">
        <v>40</v>
      </c>
      <c r="D5103">
        <v>4.1651160000000003</v>
      </c>
      <c r="E5103">
        <v>0.48027150000000002</v>
      </c>
      <c r="F5103" t="s">
        <v>42</v>
      </c>
      <c r="G5103">
        <v>-387.5444</v>
      </c>
      <c r="H5103" s="1">
        <v>-1.7369620000000001E-6</v>
      </c>
      <c r="I5103">
        <v>136.1763</v>
      </c>
      <c r="J5103">
        <v>-365.459</v>
      </c>
      <c r="K5103">
        <v>1.1105700000000001</v>
      </c>
      <c r="L5103">
        <v>141.3297</v>
      </c>
      <c r="M5103">
        <v>-0.99988600000000005</v>
      </c>
      <c r="N5103">
        <v>-1.4616270000000001E-2</v>
      </c>
      <c r="O5103">
        <v>-3.7914049999999999E-3</v>
      </c>
      <c r="P5103">
        <v>-0.93366070000000001</v>
      </c>
      <c r="Q5103">
        <v>0.31522729999999999</v>
      </c>
      <c r="R5103">
        <v>-0.1700275</v>
      </c>
      <c r="S5103">
        <v>-3.1347659999999999</v>
      </c>
      <c r="T5103">
        <v>-0.15587709999999999</v>
      </c>
      <c r="U5103">
        <v>-0.72343440000000003</v>
      </c>
      <c r="V5103">
        <v>-0.16653019999999999</v>
      </c>
      <c r="W5103">
        <v>0.32882709999999998</v>
      </c>
      <c r="X5103">
        <v>0.92959150000000002</v>
      </c>
      <c r="Y5103">
        <v>-0.2208348</v>
      </c>
      <c r="Z5103">
        <v>-6.9209819999999896E-3</v>
      </c>
      <c r="AA5103">
        <v>0.97528669999999995</v>
      </c>
      <c r="AB5103">
        <v>34</v>
      </c>
      <c r="AC5103">
        <v>-22.0854</v>
      </c>
      <c r="AD5103">
        <v>-1.1105717369620001</v>
      </c>
      <c r="AE5103">
        <v>-5.1534000000000004</v>
      </c>
      <c r="AF5103">
        <v>-5.0574912077991199</v>
      </c>
      <c r="AG5103">
        <v>-1.1105717369620001</v>
      </c>
      <c r="AH5103">
        <v>22.051900439366101</v>
      </c>
      <c r="AI5103">
        <v>92.810239119448795</v>
      </c>
      <c r="AJ5103">
        <v>102.917111521439</v>
      </c>
      <c r="AK5103">
        <v>22.6516643955277</v>
      </c>
      <c r="AL5103">
        <v>70.802398565256198</v>
      </c>
      <c r="AM5103">
        <v>100.156428419607</v>
      </c>
      <c r="AN5103">
        <v>0.99999996303934902</v>
      </c>
    </row>
    <row r="5104" spans="1:40" x14ac:dyDescent="0.25">
      <c r="A5104" t="str">
        <f>"20190304164228700"</f>
        <v>20190304164228700</v>
      </c>
      <c r="B5104" t="str">
        <f>"1551688948686374"</f>
        <v>1551688948686374</v>
      </c>
      <c r="C5104" t="s">
        <v>40</v>
      </c>
      <c r="D5104">
        <v>4.204815</v>
      </c>
      <c r="E5104">
        <v>0.48051549999999998</v>
      </c>
      <c r="F5104" t="s">
        <v>42</v>
      </c>
      <c r="G5104">
        <v>-387.25060000000002</v>
      </c>
      <c r="H5104" s="1">
        <v>-1.8134010000000001E-6</v>
      </c>
      <c r="I5104">
        <v>136.26480000000001</v>
      </c>
      <c r="J5104">
        <v>-365.71789999999999</v>
      </c>
      <c r="K5104">
        <v>1.110568</v>
      </c>
      <c r="L5104">
        <v>141.32859999999999</v>
      </c>
      <c r="M5104">
        <v>-0.99988580000000005</v>
      </c>
      <c r="N5104">
        <v>-1.4613360000000001E-2</v>
      </c>
      <c r="O5104">
        <v>-3.8470499999999999E-3</v>
      </c>
      <c r="P5104">
        <v>-0.93335380000000001</v>
      </c>
      <c r="Q5104">
        <v>0.31506050000000002</v>
      </c>
      <c r="R5104">
        <v>-0.17201060000000001</v>
      </c>
      <c r="S5104">
        <v>-3.13443</v>
      </c>
      <c r="T5104">
        <v>-0.15974160000000001</v>
      </c>
      <c r="U5104">
        <v>-0.72850039999999905</v>
      </c>
      <c r="V5104">
        <v>-0.1684621</v>
      </c>
      <c r="W5104">
        <v>0.3286538</v>
      </c>
      <c r="X5104">
        <v>0.92930469999999998</v>
      </c>
      <c r="Y5104">
        <v>-0.22228220000000001</v>
      </c>
      <c r="Z5104">
        <v>-7.0951869999999898E-3</v>
      </c>
      <c r="AA5104">
        <v>0.97495659999999895</v>
      </c>
      <c r="AB5104">
        <v>34</v>
      </c>
      <c r="AC5104">
        <v>-21.532699999999998</v>
      </c>
      <c r="AD5104">
        <v>-1.110569813401</v>
      </c>
      <c r="AE5104">
        <v>-5.0637999999999801</v>
      </c>
      <c r="AF5104">
        <v>-4.96839258618441</v>
      </c>
      <c r="AG5104">
        <v>-1.110569813401</v>
      </c>
      <c r="AH5104">
        <v>21.497834302955901</v>
      </c>
      <c r="AI5104">
        <v>92.881430971715702</v>
      </c>
      <c r="AJ5104">
        <v>103.01322394076099</v>
      </c>
      <c r="AK5104">
        <v>22.0924233600172</v>
      </c>
      <c r="AL5104">
        <v>70.812913257401206</v>
      </c>
      <c r="AM5104">
        <v>100.27486016663499</v>
      </c>
      <c r="AN5104">
        <v>1.0000000124164701</v>
      </c>
    </row>
    <row r="5105" spans="1:40" x14ac:dyDescent="0.25">
      <c r="A5105" t="str">
        <f>"20190304164228712"</f>
        <v>20190304164228712</v>
      </c>
      <c r="B5105" t="str">
        <f>"1551688948705894"</f>
        <v>1551688948705894</v>
      </c>
      <c r="C5105" t="s">
        <v>40</v>
      </c>
      <c r="D5105">
        <v>4.2273379999999996</v>
      </c>
      <c r="E5105">
        <v>0.48099940000000002</v>
      </c>
      <c r="F5105" t="s">
        <v>42</v>
      </c>
      <c r="G5105">
        <v>-387.23050000000001</v>
      </c>
      <c r="H5105" s="1">
        <v>-1.8100850000000001E-6</v>
      </c>
      <c r="I5105">
        <v>136.303</v>
      </c>
      <c r="J5105">
        <v>-365.91430000000003</v>
      </c>
      <c r="K5105">
        <v>1.1105659999999999</v>
      </c>
      <c r="L5105">
        <v>141.3278</v>
      </c>
      <c r="M5105">
        <v>-0.99988580000000005</v>
      </c>
      <c r="N5105">
        <v>-1.461117E-2</v>
      </c>
      <c r="O5105">
        <v>-3.8895869999999999E-3</v>
      </c>
      <c r="P5105">
        <v>-0.93317589999999995</v>
      </c>
      <c r="Q5105">
        <v>0.3144498</v>
      </c>
      <c r="R5105">
        <v>-0.1740806</v>
      </c>
      <c r="S5105">
        <v>-3.1339419999999998</v>
      </c>
      <c r="T5105">
        <v>-0.1617876</v>
      </c>
      <c r="U5105">
        <v>-0.73211669999999995</v>
      </c>
      <c r="V5105">
        <v>-0.17049349999999999</v>
      </c>
      <c r="W5105">
        <v>0.32803850000000001</v>
      </c>
      <c r="X5105">
        <v>0.92915159999999997</v>
      </c>
      <c r="Y5105">
        <v>-0.22333140000000001</v>
      </c>
      <c r="Z5105">
        <v>-7.1972009999999899E-3</v>
      </c>
      <c r="AA5105">
        <v>0.97471600000000003</v>
      </c>
      <c r="AB5105">
        <v>34</v>
      </c>
      <c r="AC5105">
        <v>-21.316199999999899</v>
      </c>
      <c r="AD5105">
        <v>-1.1105678100850001</v>
      </c>
      <c r="AE5105">
        <v>-5.0247999999999902</v>
      </c>
      <c r="AF5105">
        <v>-4.9291666258647</v>
      </c>
      <c r="AG5105">
        <v>-1.1105678100850001</v>
      </c>
      <c r="AH5105">
        <v>21.280861691616099</v>
      </c>
      <c r="AI5105">
        <v>92.910426178882901</v>
      </c>
      <c r="AJ5105">
        <v>103.04112775036501</v>
      </c>
      <c r="AK5105">
        <v>21.8724739987051</v>
      </c>
      <c r="AL5105">
        <v>70.850236276344802</v>
      </c>
      <c r="AM5105">
        <v>100.39774919945999</v>
      </c>
      <c r="AN5105">
        <v>0.99999999340352996</v>
      </c>
    </row>
    <row r="5106" spans="1:40" x14ac:dyDescent="0.25">
      <c r="A5106" t="str">
        <f>"20190304164228726"</f>
        <v>20190304164228726</v>
      </c>
      <c r="B5106" t="str">
        <f>"1551688948716354"</f>
        <v>1551688948716354</v>
      </c>
      <c r="C5106" t="s">
        <v>40</v>
      </c>
      <c r="D5106">
        <v>4.2518520000000004</v>
      </c>
      <c r="E5106">
        <v>0.48128140000000003</v>
      </c>
      <c r="F5106" t="s">
        <v>42</v>
      </c>
      <c r="G5106">
        <v>-386.85079999999999</v>
      </c>
      <c r="H5106" s="1">
        <v>-1.907156E-6</v>
      </c>
      <c r="I5106">
        <v>136.4239</v>
      </c>
      <c r="J5106">
        <v>-366.11619999999999</v>
      </c>
      <c r="K5106">
        <v>1.1105670000000001</v>
      </c>
      <c r="L5106">
        <v>141.32689999999999</v>
      </c>
      <c r="M5106">
        <v>-0.99988560000000004</v>
      </c>
      <c r="N5106">
        <v>-1.4608919999999999E-2</v>
      </c>
      <c r="O5106">
        <v>-3.9331970000000003E-3</v>
      </c>
      <c r="P5106">
        <v>-0.93301840000000003</v>
      </c>
      <c r="Q5106">
        <v>0.31379179999999901</v>
      </c>
      <c r="R5106">
        <v>-0.17610110000000001</v>
      </c>
      <c r="S5106">
        <v>-3.1339109999999999</v>
      </c>
      <c r="T5106">
        <v>-0.16623779999999999</v>
      </c>
      <c r="U5106">
        <v>-0.73403929999999995</v>
      </c>
      <c r="V5106">
        <v>-0.1724735</v>
      </c>
      <c r="W5106">
        <v>0.32737539999999998</v>
      </c>
      <c r="X5106">
        <v>0.92901999999999996</v>
      </c>
      <c r="Y5106">
        <v>-0.22383939999999999</v>
      </c>
      <c r="Z5106">
        <v>-7.3628829999999998E-3</v>
      </c>
      <c r="AA5106">
        <v>0.97459819999999997</v>
      </c>
      <c r="AB5106">
        <v>34</v>
      </c>
      <c r="AC5106">
        <v>-20.7346</v>
      </c>
      <c r="AD5106">
        <v>-1.1105689071560001</v>
      </c>
      <c r="AE5106">
        <v>-4.9029999999999898</v>
      </c>
      <c r="AF5106">
        <v>-4.8083364257698404</v>
      </c>
      <c r="AG5106">
        <v>-1.1105689071560001</v>
      </c>
      <c r="AH5106">
        <v>20.697493490528799</v>
      </c>
      <c r="AI5106">
        <v>92.991859787881396</v>
      </c>
      <c r="AJ5106">
        <v>103.078671595839</v>
      </c>
      <c r="AK5106">
        <v>21.277680777552099</v>
      </c>
      <c r="AL5106">
        <v>70.890449066728706</v>
      </c>
      <c r="AM5106">
        <v>100.517279636135</v>
      </c>
      <c r="AN5106">
        <v>0.99999996056370399</v>
      </c>
    </row>
    <row r="5107" spans="1:40" x14ac:dyDescent="0.25">
      <c r="A5107" t="str">
        <f>"20190304164228739"</f>
        <v>20190304164228739</v>
      </c>
      <c r="B5107" t="str">
        <f>"1551688948726114"</f>
        <v>1551688948726114</v>
      </c>
      <c r="C5107" t="s">
        <v>40</v>
      </c>
      <c r="D5107">
        <v>4.2701560000000001</v>
      </c>
      <c r="E5107">
        <v>0.48154960000000002</v>
      </c>
      <c r="F5107" t="s">
        <v>42</v>
      </c>
      <c r="G5107">
        <v>-386.54579999999999</v>
      </c>
      <c r="H5107" s="1">
        <v>-2.0140140000000001E-6</v>
      </c>
      <c r="I5107">
        <v>136.5164</v>
      </c>
      <c r="J5107">
        <v>-366.32400000000001</v>
      </c>
      <c r="K5107">
        <v>1.110554</v>
      </c>
      <c r="L5107">
        <v>141.32599999999999</v>
      </c>
      <c r="M5107">
        <v>-0.99988549999999998</v>
      </c>
      <c r="N5107">
        <v>-1.4606620000000001E-2</v>
      </c>
      <c r="O5107">
        <v>-3.9777629999999996E-3</v>
      </c>
      <c r="P5107">
        <v>-0.93259329999999996</v>
      </c>
      <c r="Q5107">
        <v>0.31240420000000002</v>
      </c>
      <c r="R5107">
        <v>-0.1807578</v>
      </c>
      <c r="S5107">
        <v>-3.1333920000000002</v>
      </c>
      <c r="T5107">
        <v>-0.1703345</v>
      </c>
      <c r="U5107">
        <v>-0.73780819999999903</v>
      </c>
      <c r="V5107">
        <v>-0.1770901</v>
      </c>
      <c r="W5107">
        <v>0.32597959999999998</v>
      </c>
      <c r="X5107">
        <v>0.92864219999999997</v>
      </c>
      <c r="Y5107">
        <v>-0.22492390000000001</v>
      </c>
      <c r="Z5107">
        <v>-7.5373769999999996E-3</v>
      </c>
      <c r="AA5107">
        <v>0.97434719999999997</v>
      </c>
      <c r="AB5107">
        <v>34</v>
      </c>
      <c r="AC5107">
        <v>-20.221799999999899</v>
      </c>
      <c r="AD5107">
        <v>-1.1105560140140001</v>
      </c>
      <c r="AE5107">
        <v>-4.8095999999999801</v>
      </c>
      <c r="AF5107">
        <v>-4.7156545873389701</v>
      </c>
      <c r="AG5107">
        <v>-1.1105560140140001</v>
      </c>
      <c r="AH5107">
        <v>20.183158866311398</v>
      </c>
      <c r="AI5107">
        <v>93.067024453432794</v>
      </c>
      <c r="AJ5107">
        <v>103.150849791803</v>
      </c>
      <c r="AK5107">
        <v>20.7564600707856</v>
      </c>
      <c r="AL5107">
        <v>70.975065077654307</v>
      </c>
      <c r="AM5107">
        <v>100.796554607788</v>
      </c>
      <c r="AN5107">
        <v>0.99999996937750402</v>
      </c>
    </row>
    <row r="5108" spans="1:40" x14ac:dyDescent="0.25">
      <c r="A5108" t="str">
        <f>"20190304164228757"</f>
        <v>20190304164228757</v>
      </c>
      <c r="B5108" t="str">
        <f>"1551688948746610"</f>
        <v>1551688948746610</v>
      </c>
      <c r="C5108" t="s">
        <v>40</v>
      </c>
      <c r="D5108">
        <v>4.2604439999999997</v>
      </c>
      <c r="E5108">
        <v>0.48209350000000001</v>
      </c>
      <c r="F5108" t="s">
        <v>42</v>
      </c>
      <c r="G5108">
        <v>-386.04880000000003</v>
      </c>
      <c r="H5108" s="1">
        <v>-2.2103389999999998E-6</v>
      </c>
      <c r="I5108">
        <v>136.61160000000001</v>
      </c>
      <c r="J5108">
        <v>-366.58229999999998</v>
      </c>
      <c r="K5108">
        <v>1.110554</v>
      </c>
      <c r="L5108">
        <v>141.32499999999999</v>
      </c>
      <c r="M5108">
        <v>-0.99988529999999998</v>
      </c>
      <c r="N5108">
        <v>-1.460376E-2</v>
      </c>
      <c r="O5108">
        <v>-4.0332909999999996E-3</v>
      </c>
      <c r="P5108">
        <v>-0.93227660000000001</v>
      </c>
      <c r="Q5108">
        <v>0.31180560000000002</v>
      </c>
      <c r="R5108">
        <v>-0.18340590000000001</v>
      </c>
      <c r="S5108">
        <v>-3.1308289999999999</v>
      </c>
      <c r="T5108">
        <v>-0.17627479999999901</v>
      </c>
      <c r="U5108">
        <v>-0.74829100000000004</v>
      </c>
      <c r="V5108">
        <v>-0.1796876</v>
      </c>
      <c r="W5108">
        <v>0.32537369999999999</v>
      </c>
      <c r="X5108">
        <v>0.92835570000000001</v>
      </c>
      <c r="Y5108">
        <v>-0.22810359999999999</v>
      </c>
      <c r="Z5108">
        <v>-7.8521870000000001E-3</v>
      </c>
      <c r="AA5108">
        <v>0.97360519999999995</v>
      </c>
      <c r="AB5108">
        <v>34</v>
      </c>
      <c r="AC5108">
        <v>-19.4665</v>
      </c>
      <c r="AD5108">
        <v>-1.1105562103389901</v>
      </c>
      <c r="AE5108">
        <v>-4.7133999999999698</v>
      </c>
      <c r="AF5108">
        <v>-4.6206334773234898</v>
      </c>
      <c r="AG5108">
        <v>-1.1105562103389901</v>
      </c>
      <c r="AH5108">
        <v>19.425631696029399</v>
      </c>
      <c r="AI5108">
        <v>93.1833903718058</v>
      </c>
      <c r="AJ5108">
        <v>103.379889181096</v>
      </c>
      <c r="AK5108">
        <v>19.998468831834799</v>
      </c>
      <c r="AL5108">
        <v>71.011782820753794</v>
      </c>
      <c r="AM5108">
        <v>100.954410749416</v>
      </c>
      <c r="AN5108">
        <v>0.99999999198396905</v>
      </c>
    </row>
    <row r="5109" spans="1:40" x14ac:dyDescent="0.25">
      <c r="A5109" t="str">
        <f>"20190304164228773"</f>
        <v>20190304164228773</v>
      </c>
      <c r="B5109" t="str">
        <f>"1551688948766130"</f>
        <v>1551688948766130</v>
      </c>
      <c r="C5109" t="s">
        <v>40</v>
      </c>
      <c r="D5109">
        <v>4.2239899999999997</v>
      </c>
      <c r="E5109">
        <v>0.48272169999999998</v>
      </c>
      <c r="F5109" t="s">
        <v>42</v>
      </c>
      <c r="G5109">
        <v>-385.74799999999999</v>
      </c>
      <c r="H5109" s="1">
        <v>-2.319562E-6</v>
      </c>
      <c r="I5109">
        <v>136.72319999999999</v>
      </c>
      <c r="J5109">
        <v>-366.83580000000001</v>
      </c>
      <c r="K5109">
        <v>1.1105560000000001</v>
      </c>
      <c r="L5109">
        <v>141.32390000000001</v>
      </c>
      <c r="M5109">
        <v>-0.99988500000000002</v>
      </c>
      <c r="N5109">
        <v>-1.460095E-2</v>
      </c>
      <c r="O5109">
        <v>-4.0875069999999998E-3</v>
      </c>
      <c r="P5109">
        <v>-0.93143949999999998</v>
      </c>
      <c r="Q5109">
        <v>0.31083909999999998</v>
      </c>
      <c r="R5109">
        <v>-0.1892074</v>
      </c>
      <c r="S5109">
        <v>-3.1307369999999999</v>
      </c>
      <c r="T5109">
        <v>-0.18141080000000001</v>
      </c>
      <c r="U5109">
        <v>-0.75169370000000002</v>
      </c>
      <c r="V5109">
        <v>-0.18544179999999999</v>
      </c>
      <c r="W5109">
        <v>0.32439240000000003</v>
      </c>
      <c r="X5109">
        <v>0.92756719999999904</v>
      </c>
      <c r="Y5109">
        <v>-0.2290335</v>
      </c>
      <c r="Z5109">
        <v>-8.0602090000000005E-3</v>
      </c>
      <c r="AA5109">
        <v>0.97338519999999995</v>
      </c>
      <c r="AB5109">
        <v>34</v>
      </c>
      <c r="AC5109">
        <v>-18.912199999999999</v>
      </c>
      <c r="AD5109">
        <v>-1.1105583195619999</v>
      </c>
      <c r="AE5109">
        <v>-4.6007000000000096</v>
      </c>
      <c r="AF5109">
        <v>-4.5086711856132196</v>
      </c>
      <c r="AG5109">
        <v>-1.1105583195619999</v>
      </c>
      <c r="AH5109">
        <v>18.869418315670501</v>
      </c>
      <c r="AI5109">
        <v>93.276236691673901</v>
      </c>
      <c r="AJ5109">
        <v>103.438329224535</v>
      </c>
      <c r="AK5109">
        <v>19.432354546294398</v>
      </c>
      <c r="AL5109">
        <v>71.071232210030004</v>
      </c>
      <c r="AM5109">
        <v>101.305677411584</v>
      </c>
      <c r="AN5109">
        <v>1.0000000004404099</v>
      </c>
    </row>
    <row r="5110" spans="1:40" x14ac:dyDescent="0.25">
      <c r="A5110" t="str">
        <f>"20190304164228789"</f>
        <v>20190304164228789</v>
      </c>
      <c r="B5110" t="str">
        <f>"1551688948775891"</f>
        <v>1551688948775891</v>
      </c>
      <c r="C5110" t="s">
        <v>40</v>
      </c>
      <c r="D5110">
        <v>4.2987849999999996</v>
      </c>
      <c r="E5110">
        <v>0.48297810000000002</v>
      </c>
      <c r="F5110" t="s">
        <v>42</v>
      </c>
      <c r="G5110">
        <v>-385.32089999999999</v>
      </c>
      <c r="H5110" s="1">
        <v>-2.486492E-6</v>
      </c>
      <c r="I5110">
        <v>136.8151</v>
      </c>
      <c r="J5110">
        <v>-367.06959999999998</v>
      </c>
      <c r="K5110">
        <v>1.110555</v>
      </c>
      <c r="L5110">
        <v>141.3228</v>
      </c>
      <c r="M5110">
        <v>-0.99988480000000002</v>
      </c>
      <c r="N5110">
        <v>-1.459835E-2</v>
      </c>
      <c r="O5110">
        <v>-4.137791E-3</v>
      </c>
      <c r="P5110">
        <v>-0.93085969999999996</v>
      </c>
      <c r="Q5110">
        <v>0.31061139999999998</v>
      </c>
      <c r="R5110">
        <v>-0.19240769999999999</v>
      </c>
      <c r="S5110">
        <v>-3.1285400000000001</v>
      </c>
      <c r="T5110">
        <v>-0.18795909999999999</v>
      </c>
      <c r="U5110">
        <v>-0.7630768</v>
      </c>
      <c r="V5110">
        <v>-0.18859690000000001</v>
      </c>
      <c r="W5110">
        <v>0.32415379999999999</v>
      </c>
      <c r="X5110">
        <v>0.92701440000000002</v>
      </c>
      <c r="Y5110">
        <v>-0.23244670000000001</v>
      </c>
      <c r="Z5110">
        <v>-8.4135900000000003E-3</v>
      </c>
      <c r="AA5110">
        <v>0.97257269999999896</v>
      </c>
      <c r="AB5110">
        <v>34</v>
      </c>
      <c r="AC5110">
        <v>-18.251300000000001</v>
      </c>
      <c r="AD5110">
        <v>-1.110557486492</v>
      </c>
      <c r="AE5110">
        <v>-4.5076999999999998</v>
      </c>
      <c r="AF5110">
        <v>-4.4167205580396498</v>
      </c>
      <c r="AG5110">
        <v>-1.110557486492</v>
      </c>
      <c r="AH5110">
        <v>18.206264485030701</v>
      </c>
      <c r="AI5110">
        <v>93.392480414740007</v>
      </c>
      <c r="AJ5110">
        <v>103.63615138146599</v>
      </c>
      <c r="AK5110">
        <v>18.767227416896301</v>
      </c>
      <c r="AL5110">
        <v>71.085685606618298</v>
      </c>
      <c r="AM5110">
        <v>101.49962542437299</v>
      </c>
      <c r="AN5110">
        <v>1.0000000872757</v>
      </c>
    </row>
    <row r="5111" spans="1:40" x14ac:dyDescent="0.25">
      <c r="A5111" t="str">
        <f>"20190304164228804"</f>
        <v>20190304164228804</v>
      </c>
      <c r="B5111" t="str">
        <f>"1551688948796386"</f>
        <v>1551688948796386</v>
      </c>
      <c r="C5111" t="s">
        <v>40</v>
      </c>
      <c r="D5111">
        <v>4.2973939999999997</v>
      </c>
      <c r="E5111">
        <v>0.49088159999999997</v>
      </c>
      <c r="F5111" t="s">
        <v>42</v>
      </c>
      <c r="G5111">
        <v>-385.34649999999999</v>
      </c>
      <c r="H5111" s="1">
        <v>-2.4749359999999999E-6</v>
      </c>
      <c r="I5111">
        <v>136.81829999999999</v>
      </c>
      <c r="J5111">
        <v>-367.2901</v>
      </c>
      <c r="K5111">
        <v>1.110552</v>
      </c>
      <c r="L5111">
        <v>141.3219</v>
      </c>
      <c r="M5111">
        <v>-0.99988469999999996</v>
      </c>
      <c r="N5111">
        <v>-1.459588E-2</v>
      </c>
      <c r="O5111">
        <v>-4.1854520000000001E-3</v>
      </c>
      <c r="P5111">
        <v>-0.93028040000000001</v>
      </c>
      <c r="Q5111">
        <v>0.31046580000000001</v>
      </c>
      <c r="R5111">
        <v>-0.1954206</v>
      </c>
      <c r="S5111">
        <v>-3.1269840000000002</v>
      </c>
      <c r="T5111">
        <v>-0.19000529999999999</v>
      </c>
      <c r="U5111">
        <v>-0.77066040000000002</v>
      </c>
      <c r="V5111">
        <v>-0.19156790000000001</v>
      </c>
      <c r="W5111">
        <v>0.3239977</v>
      </c>
      <c r="X5111">
        <v>0.92645949999999999</v>
      </c>
      <c r="Y5111">
        <v>-0.2347214</v>
      </c>
      <c r="Z5111">
        <v>-8.5699279999999992E-3</v>
      </c>
      <c r="AA5111">
        <v>0.97202489999999997</v>
      </c>
      <c r="AB5111">
        <v>34</v>
      </c>
      <c r="AC5111">
        <v>-18.0564</v>
      </c>
      <c r="AD5111">
        <v>-1.1105544749359999</v>
      </c>
      <c r="AE5111">
        <v>-4.5035999999999996</v>
      </c>
      <c r="AF5111">
        <v>-4.4122649469679098</v>
      </c>
      <c r="AG5111">
        <v>-1.1105544749359999</v>
      </c>
      <c r="AH5111">
        <v>18.0109512222188</v>
      </c>
      <c r="AI5111">
        <v>93.427296694925602</v>
      </c>
      <c r="AJ5111">
        <v>103.765045941997</v>
      </c>
      <c r="AK5111">
        <v>18.576753675849499</v>
      </c>
      <c r="AL5111">
        <v>71.095137746573201</v>
      </c>
      <c r="AM5111">
        <v>101.68264523681</v>
      </c>
      <c r="AN5111">
        <v>0.99999998752797403</v>
      </c>
    </row>
    <row r="5112" spans="1:40" x14ac:dyDescent="0.25">
      <c r="A5112" t="str">
        <f>"20190304164228823"</f>
        <v>20190304164228823</v>
      </c>
      <c r="B5112" t="str">
        <f>"1551688948815906"</f>
        <v>1551688948815906</v>
      </c>
      <c r="C5112" t="s">
        <v>40</v>
      </c>
      <c r="D5112">
        <v>4.305936</v>
      </c>
      <c r="E5112">
        <v>0.4894715</v>
      </c>
      <c r="F5112" t="s">
        <v>42</v>
      </c>
      <c r="G5112">
        <v>-383.92129999999997</v>
      </c>
      <c r="H5112" s="1">
        <v>-2.9621430000000001E-6</v>
      </c>
      <c r="I5112">
        <v>137.51840000000001</v>
      </c>
      <c r="J5112">
        <v>-367.57819999999998</v>
      </c>
      <c r="K5112">
        <v>1.11054599999999</v>
      </c>
      <c r="L5112">
        <v>141.32060000000001</v>
      </c>
      <c r="M5112">
        <v>-0.99988449999999995</v>
      </c>
      <c r="N5112">
        <v>-1.459251E-2</v>
      </c>
      <c r="O5112">
        <v>-4.2475300000000002E-3</v>
      </c>
      <c r="P5112">
        <v>-0.9296295</v>
      </c>
      <c r="Q5112">
        <v>0.31014130000000001</v>
      </c>
      <c r="R5112">
        <v>-0.1990017</v>
      </c>
      <c r="S5112">
        <v>-3.1438600000000001</v>
      </c>
      <c r="T5112">
        <v>-0.20993290000000001</v>
      </c>
      <c r="U5112">
        <v>-0.71896359999999904</v>
      </c>
      <c r="V5112">
        <v>-0.19509360000000001</v>
      </c>
      <c r="W5112">
        <v>0.32366020000000001</v>
      </c>
      <c r="X5112">
        <v>0.92584149999999998</v>
      </c>
      <c r="Y5112">
        <v>-0.21822820000000001</v>
      </c>
      <c r="Z5112">
        <v>-8.5817689999999995E-3</v>
      </c>
      <c r="AA5112">
        <v>0.97585999999999995</v>
      </c>
      <c r="AB5112">
        <v>34</v>
      </c>
      <c r="AC5112">
        <v>-16.3430999999999</v>
      </c>
      <c r="AD5112">
        <v>-1.11054896214299</v>
      </c>
      <c r="AE5112">
        <v>-3.8021999999999898</v>
      </c>
      <c r="AF5112">
        <v>-3.7164608899552798</v>
      </c>
      <c r="AG5112">
        <v>-1.11054896214299</v>
      </c>
      <c r="AH5112">
        <v>16.287757245098</v>
      </c>
      <c r="AI5112">
        <v>93.803115583064496</v>
      </c>
      <c r="AJ5112">
        <v>102.853420060188</v>
      </c>
      <c r="AK5112">
        <v>16.743250479495501</v>
      </c>
      <c r="AL5112">
        <v>71.115575865791001</v>
      </c>
      <c r="AM5112">
        <v>101.899300478995</v>
      </c>
      <c r="AN5112">
        <v>0.99999996047362405</v>
      </c>
    </row>
    <row r="5113" spans="1:40" x14ac:dyDescent="0.25">
      <c r="A5113" t="str">
        <f>"20190304164228839"</f>
        <v>20190304164228839</v>
      </c>
      <c r="B5113" t="str">
        <f>"1551688948826643"</f>
        <v>1551688948826643</v>
      </c>
      <c r="C5113" t="s">
        <v>40</v>
      </c>
      <c r="D5113">
        <v>4.3130610000000003</v>
      </c>
      <c r="E5113">
        <v>0.4894715</v>
      </c>
      <c r="F5113" t="s">
        <v>42</v>
      </c>
      <c r="G5113">
        <v>-383.80349999999999</v>
      </c>
      <c r="H5113" s="1">
        <v>-3.0176390000000001E-6</v>
      </c>
      <c r="I5113">
        <v>137.4905</v>
      </c>
      <c r="J5113">
        <v>-367.8227</v>
      </c>
      <c r="K5113">
        <v>1.110538</v>
      </c>
      <c r="L5113">
        <v>141.31950000000001</v>
      </c>
      <c r="M5113">
        <v>-0.99988449999999995</v>
      </c>
      <c r="N5113">
        <v>-1.458977E-2</v>
      </c>
      <c r="O5113">
        <v>-4.3001970000000004E-3</v>
      </c>
      <c r="P5113">
        <v>-0.92808930000000001</v>
      </c>
      <c r="Q5113">
        <v>0.30995980000000001</v>
      </c>
      <c r="R5113">
        <v>-0.20633940000000001</v>
      </c>
      <c r="S5113">
        <v>-3.1401370000000002</v>
      </c>
      <c r="T5113">
        <v>-0.21492919999999999</v>
      </c>
      <c r="U5113">
        <v>-0.7412415</v>
      </c>
      <c r="V5113">
        <v>-0.2023887</v>
      </c>
      <c r="W5113">
        <v>0.32345309999999999</v>
      </c>
      <c r="X5113">
        <v>0.92434669999999997</v>
      </c>
      <c r="Y5113">
        <v>-0.22494839999999999</v>
      </c>
      <c r="Z5113">
        <v>-9.0229139999999999E-3</v>
      </c>
      <c r="AA5113">
        <v>0.97432890000000005</v>
      </c>
      <c r="AB5113">
        <v>34</v>
      </c>
      <c r="AC5113">
        <v>-15.980799999999901</v>
      </c>
      <c r="AD5113">
        <v>-1.110541017639</v>
      </c>
      <c r="AE5113">
        <v>-3.8290000000000002</v>
      </c>
      <c r="AF5113">
        <v>-3.7431418294301002</v>
      </c>
      <c r="AG5113">
        <v>-1.110541017639</v>
      </c>
      <c r="AH5113">
        <v>15.924392964103999</v>
      </c>
      <c r="AI5113">
        <v>93.883742496790603</v>
      </c>
      <c r="AJ5113">
        <v>103.22765220581999</v>
      </c>
      <c r="AK5113">
        <v>16.396057556080098</v>
      </c>
      <c r="AL5113">
        <v>71.128116339764105</v>
      </c>
      <c r="AM5113">
        <v>102.350199538832</v>
      </c>
      <c r="AN5113">
        <v>0.99999995779409401</v>
      </c>
    </row>
    <row r="5114" spans="1:40" x14ac:dyDescent="0.25">
      <c r="A5114" t="str">
        <f>"20190304164228853"</f>
        <v>20190304164228853</v>
      </c>
      <c r="B5114" t="str">
        <f>"1551688948846162"</f>
        <v>1551688948846162</v>
      </c>
      <c r="C5114" t="s">
        <v>40</v>
      </c>
      <c r="D5114">
        <v>4.2863989999999896</v>
      </c>
      <c r="E5114">
        <v>0.45990910000000002</v>
      </c>
      <c r="F5114" t="s">
        <v>42</v>
      </c>
      <c r="G5114">
        <v>-383.96530000000001</v>
      </c>
      <c r="H5114" s="1">
        <v>-2.9673240000000002E-6</v>
      </c>
      <c r="I5114">
        <v>137.38290000000001</v>
      </c>
      <c r="J5114">
        <v>-368.05200000000002</v>
      </c>
      <c r="K5114">
        <v>1.1105389999999999</v>
      </c>
      <c r="L5114">
        <v>141.3184</v>
      </c>
      <c r="M5114">
        <v>-0.9998842</v>
      </c>
      <c r="N5114">
        <v>-1.458714E-2</v>
      </c>
      <c r="O5114">
        <v>-4.349889E-3</v>
      </c>
      <c r="P5114">
        <v>-0.9264867</v>
      </c>
      <c r="Q5114">
        <v>0.31008190000000002</v>
      </c>
      <c r="R5114">
        <v>-0.21324109999999999</v>
      </c>
      <c r="S5114">
        <v>-3.1345519999999998</v>
      </c>
      <c r="T5114">
        <v>-0.21564469999999999</v>
      </c>
      <c r="U5114">
        <v>-0.76438899999999999</v>
      </c>
      <c r="V5114">
        <v>-0.20925170000000001</v>
      </c>
      <c r="W5114">
        <v>0.3235497</v>
      </c>
      <c r="X5114">
        <v>0.92278349999999998</v>
      </c>
      <c r="Y5114">
        <v>-0.23206080000000001</v>
      </c>
      <c r="Z5114">
        <v>-9.3455959999999994E-3</v>
      </c>
      <c r="AA5114">
        <v>0.97265639999999998</v>
      </c>
      <c r="AB5114">
        <v>34</v>
      </c>
      <c r="AC5114">
        <v>-15.9133</v>
      </c>
      <c r="AD5114">
        <v>-1.110541967324</v>
      </c>
      <c r="AE5114">
        <v>-3.93549999999999</v>
      </c>
      <c r="AF5114">
        <v>-3.8485711887920999</v>
      </c>
      <c r="AG5114">
        <v>-1.110541967324</v>
      </c>
      <c r="AH5114">
        <v>15.857491842677099</v>
      </c>
      <c r="AI5114">
        <v>93.893373365924006</v>
      </c>
      <c r="AJ5114">
        <v>103.641773070863</v>
      </c>
      <c r="AK5114">
        <v>16.355575538542102</v>
      </c>
      <c r="AL5114">
        <v>71.122268551188</v>
      </c>
      <c r="AM5114">
        <v>102.776406315928</v>
      </c>
      <c r="AN5114">
        <v>1.0000000350976099</v>
      </c>
    </row>
    <row r="5115" spans="1:40" x14ac:dyDescent="0.25">
      <c r="A5115" t="str">
        <f>"20190304164228874"</f>
        <v>20190304164228874</v>
      </c>
      <c r="B5115" t="str">
        <f>"1551688948866658"</f>
        <v>1551688948866658</v>
      </c>
      <c r="C5115" t="s">
        <v>40</v>
      </c>
      <c r="D5115">
        <v>4.2550230000000004</v>
      </c>
      <c r="E5115">
        <v>0.45899129999999999</v>
      </c>
      <c r="F5115" t="s">
        <v>42</v>
      </c>
      <c r="G5115">
        <v>-386.49860000000001</v>
      </c>
      <c r="H5115" s="1">
        <v>-2.3482510000000002E-6</v>
      </c>
      <c r="I5115">
        <v>135.2165</v>
      </c>
      <c r="J5115">
        <v>-368.3605</v>
      </c>
      <c r="K5115">
        <v>1.1105480000000001</v>
      </c>
      <c r="L5115">
        <v>141.31700000000001</v>
      </c>
      <c r="M5115">
        <v>-0.999884</v>
      </c>
      <c r="N5115">
        <v>-1.458368E-2</v>
      </c>
      <c r="O5115">
        <v>-4.4219029999999996E-3</v>
      </c>
      <c r="P5115">
        <v>-0.92480620000000002</v>
      </c>
      <c r="Q5115">
        <v>0.31046839999999998</v>
      </c>
      <c r="R5115">
        <v>-0.2198716</v>
      </c>
      <c r="S5115">
        <v>-3.0663450000000001</v>
      </c>
      <c r="T5115">
        <v>-0.18460389999999999</v>
      </c>
      <c r="U5115">
        <v>-1.014297</v>
      </c>
      <c r="V5115">
        <v>-0.21582480000000001</v>
      </c>
      <c r="W5115">
        <v>0.323907</v>
      </c>
      <c r="X5115">
        <v>0.92114269999999998</v>
      </c>
      <c r="Y5115">
        <v>-0.30921330000000002</v>
      </c>
      <c r="Z5115">
        <v>-1.117813E-2</v>
      </c>
      <c r="AA5115">
        <v>0.95092699999999997</v>
      </c>
      <c r="AB5115">
        <v>34</v>
      </c>
      <c r="AC5115">
        <v>-18.138100000000001</v>
      </c>
      <c r="AD5115">
        <v>-1.110550348251</v>
      </c>
      <c r="AE5115">
        <v>-6.10050000000001</v>
      </c>
      <c r="AF5115">
        <v>-6.0000198599153798</v>
      </c>
      <c r="AG5115">
        <v>-1.110550348251</v>
      </c>
      <c r="AH5115">
        <v>18.1039303612501</v>
      </c>
      <c r="AI5115">
        <v>93.332481590453597</v>
      </c>
      <c r="AJ5115">
        <v>108.336272437356</v>
      </c>
      <c r="AK5115">
        <v>19.1046029773029</v>
      </c>
      <c r="AL5115">
        <v>71.100630568485698</v>
      </c>
      <c r="AM5115">
        <v>103.18660004020199</v>
      </c>
      <c r="AN5115">
        <v>0.99999998135366397</v>
      </c>
    </row>
    <row r="5116" spans="1:40" x14ac:dyDescent="0.25">
      <c r="A5116" t="str">
        <f>"20190304164228889"</f>
        <v>20190304164228889</v>
      </c>
      <c r="B5116" t="str">
        <f>"1551688948876419"</f>
        <v>1551688948876419</v>
      </c>
      <c r="C5116" t="s">
        <v>40</v>
      </c>
      <c r="D5116">
        <v>4.2417009999999999</v>
      </c>
      <c r="E5116">
        <v>0.45922970000000002</v>
      </c>
      <c r="F5116" t="s">
        <v>42</v>
      </c>
      <c r="G5116">
        <v>-387.7362</v>
      </c>
      <c r="H5116" s="1">
        <v>-2.062526E-6</v>
      </c>
      <c r="I5116">
        <v>134.70740000000001</v>
      </c>
      <c r="J5116">
        <v>-368.58350000000002</v>
      </c>
      <c r="K5116">
        <v>1.110562</v>
      </c>
      <c r="L5116">
        <v>141.3159</v>
      </c>
      <c r="M5116">
        <v>-0.99988359999999998</v>
      </c>
      <c r="N5116">
        <v>-1.4581220000000001E-2</v>
      </c>
      <c r="O5116">
        <v>-4.48241E-3</v>
      </c>
      <c r="P5116">
        <v>-0.92393349999999996</v>
      </c>
      <c r="Q5116">
        <v>0.31078169999999999</v>
      </c>
      <c r="R5116">
        <v>-0.22307379999999999</v>
      </c>
      <c r="S5116">
        <v>-3.0549620000000002</v>
      </c>
      <c r="T5116">
        <v>-0.17510039999999999</v>
      </c>
      <c r="U5116">
        <v>-1.042114</v>
      </c>
      <c r="V5116">
        <v>-0.21897839999999999</v>
      </c>
      <c r="W5116">
        <v>0.32420209999999999</v>
      </c>
      <c r="X5116">
        <v>0.92029419999999995</v>
      </c>
      <c r="Y5116">
        <v>-0.31801420000000002</v>
      </c>
      <c r="Z5116">
        <v>-1.105489E-2</v>
      </c>
      <c r="AA5116">
        <v>0.94802149999999996</v>
      </c>
      <c r="AB5116">
        <v>34</v>
      </c>
      <c r="AC5116">
        <v>-19.1526999999999</v>
      </c>
      <c r="AD5116">
        <v>-1.110564062526</v>
      </c>
      <c r="AE5116">
        <v>-6.6084999999999896</v>
      </c>
      <c r="AF5116">
        <v>-6.5030356705543202</v>
      </c>
      <c r="AG5116">
        <v>-1.110564062526</v>
      </c>
      <c r="AH5116">
        <v>19.1246721301363</v>
      </c>
      <c r="AI5116">
        <v>93.146853483234594</v>
      </c>
      <c r="AJ5116">
        <v>108.77977109581001</v>
      </c>
      <c r="AK5116">
        <v>20.230568690837298</v>
      </c>
      <c r="AL5116">
        <v>71.082758092496107</v>
      </c>
      <c r="AM5116">
        <v>103.384292148756</v>
      </c>
      <c r="AN5116">
        <v>0.999999977932304</v>
      </c>
    </row>
    <row r="5117" spans="1:40" x14ac:dyDescent="0.25">
      <c r="A5117" t="str">
        <f>"20190304164228903"</f>
        <v>20190304164228903</v>
      </c>
      <c r="B5117" t="str">
        <f>"1551688948895938"</f>
        <v>1551688948895938</v>
      </c>
      <c r="C5117" t="s">
        <v>40</v>
      </c>
      <c r="D5117">
        <v>4.2720390000000004</v>
      </c>
      <c r="E5117">
        <v>0.45988699999999999</v>
      </c>
      <c r="F5117" t="s">
        <v>42</v>
      </c>
      <c r="G5117">
        <v>-388.26159999999999</v>
      </c>
      <c r="H5117" s="1">
        <v>-1.927561E-6</v>
      </c>
      <c r="I5117">
        <v>134.5428</v>
      </c>
      <c r="J5117">
        <v>-368.80619999999999</v>
      </c>
      <c r="K5117">
        <v>1.110581</v>
      </c>
      <c r="L5117">
        <v>141.31489999999999</v>
      </c>
      <c r="M5117">
        <v>-0.99988339999999998</v>
      </c>
      <c r="N5117">
        <v>-1.457876E-2</v>
      </c>
      <c r="O5117">
        <v>-4.5533539999999999E-3</v>
      </c>
      <c r="P5117">
        <v>-0.92289480000000002</v>
      </c>
      <c r="Q5117">
        <v>0.31149650000000001</v>
      </c>
      <c r="R5117">
        <v>-0.2263512</v>
      </c>
      <c r="S5117">
        <v>-3.0512700000000001</v>
      </c>
      <c r="T5117">
        <v>-0.17220369999999999</v>
      </c>
      <c r="U5117">
        <v>-1.0502320000000001</v>
      </c>
      <c r="V5117">
        <v>-0.22220229999999999</v>
      </c>
      <c r="W5117">
        <v>0.32489479999999998</v>
      </c>
      <c r="X5117">
        <v>0.9192766</v>
      </c>
      <c r="Y5117">
        <v>-0.3205653</v>
      </c>
      <c r="Z5117">
        <v>-1.1005600000000001E-2</v>
      </c>
      <c r="AA5117">
        <v>0.94716250000000002</v>
      </c>
      <c r="AB5117">
        <v>34</v>
      </c>
      <c r="AC5117">
        <v>-19.455400000000001</v>
      </c>
      <c r="AD5117">
        <v>-1.110582927561</v>
      </c>
      <c r="AE5117">
        <v>-6.7720999999999902</v>
      </c>
      <c r="AF5117">
        <v>-6.6640647020753896</v>
      </c>
      <c r="AG5117">
        <v>-1.110582927561</v>
      </c>
      <c r="AH5117">
        <v>19.429567493284299</v>
      </c>
      <c r="AI5117">
        <v>93.094831570418606</v>
      </c>
      <c r="AJ5117">
        <v>108.931237519362</v>
      </c>
      <c r="AK5117">
        <v>20.5706403830441</v>
      </c>
      <c r="AL5117">
        <v>71.040798008775695</v>
      </c>
      <c r="AM5117">
        <v>103.58856977920701</v>
      </c>
      <c r="AN5117">
        <v>0.99999998024994396</v>
      </c>
    </row>
    <row r="5118" spans="1:40" x14ac:dyDescent="0.25">
      <c r="A5118" t="str">
        <f>"20190304164228918"</f>
        <v>20190304164228918</v>
      </c>
      <c r="B5118" t="str">
        <f>"1551688948906675"</f>
        <v>1551688948906675</v>
      </c>
      <c r="C5118" t="s">
        <v>40</v>
      </c>
      <c r="D5118">
        <v>4.2734800000000002</v>
      </c>
      <c r="E5118">
        <v>0.46038580000000001</v>
      </c>
      <c r="F5118" t="s">
        <v>42</v>
      </c>
      <c r="G5118">
        <v>-388.91969999999998</v>
      </c>
      <c r="H5118" s="1">
        <v>-1.7543219999999901E-6</v>
      </c>
      <c r="I5118">
        <v>134.35210000000001</v>
      </c>
      <c r="J5118">
        <v>-369.03019999999998</v>
      </c>
      <c r="K5118">
        <v>1.1106149999999999</v>
      </c>
      <c r="L5118">
        <v>141.31370000000001</v>
      </c>
      <c r="M5118">
        <v>-0.99988290000000002</v>
      </c>
      <c r="N5118">
        <v>-1.457614E-2</v>
      </c>
      <c r="O5118">
        <v>-4.6478120000000003E-3</v>
      </c>
      <c r="P5118">
        <v>-0.92074100000000003</v>
      </c>
      <c r="Q5118">
        <v>0.31337530000000002</v>
      </c>
      <c r="R5118">
        <v>-0.23244770000000001</v>
      </c>
      <c r="S5118">
        <v>-3.0486149999999999</v>
      </c>
      <c r="T5118">
        <v>-0.16833199999999901</v>
      </c>
      <c r="U5118">
        <v>-1.0553440000000001</v>
      </c>
      <c r="V5118">
        <v>-0.2282353</v>
      </c>
      <c r="W5118">
        <v>0.32672970000000001</v>
      </c>
      <c r="X5118">
        <v>0.91714580000000001</v>
      </c>
      <c r="Y5118">
        <v>-0.3221677</v>
      </c>
      <c r="Z5118">
        <v>-1.0870009999999999E-2</v>
      </c>
      <c r="AA5118">
        <v>0.94662020000000002</v>
      </c>
      <c r="AB5118">
        <v>34</v>
      </c>
      <c r="AC5118">
        <v>-19.889500000000002</v>
      </c>
      <c r="AD5118">
        <v>-1.11061675432199</v>
      </c>
      <c r="AE5118">
        <v>-6.9615999999999998</v>
      </c>
      <c r="AF5118">
        <v>-6.8500447061681999</v>
      </c>
      <c r="AG5118">
        <v>-1.11061675432199</v>
      </c>
      <c r="AH5118">
        <v>19.866461033527099</v>
      </c>
      <c r="AI5118">
        <v>93.025302149157298</v>
      </c>
      <c r="AJ5118">
        <v>109.02442267600701</v>
      </c>
      <c r="AK5118">
        <v>21.043594180845901</v>
      </c>
      <c r="AL5118">
        <v>70.929599348543505</v>
      </c>
      <c r="AM5118">
        <v>103.97442233331201</v>
      </c>
      <c r="AN5118">
        <v>1.0000000337429</v>
      </c>
    </row>
    <row r="5119" spans="1:40" x14ac:dyDescent="0.25">
      <c r="A5119" t="str">
        <f>"20190304164228934"</f>
        <v>20190304164228934</v>
      </c>
      <c r="B5119" t="str">
        <f>"1551688948926821"</f>
        <v>1551688948926821</v>
      </c>
      <c r="C5119" t="s">
        <v>40</v>
      </c>
      <c r="D5119">
        <v>4.252847</v>
      </c>
      <c r="E5119">
        <v>0.46131650000000002</v>
      </c>
      <c r="F5119" t="s">
        <v>42</v>
      </c>
      <c r="G5119">
        <v>-389.83300000000003</v>
      </c>
      <c r="H5119" s="1">
        <v>-1.5378370000000001E-6</v>
      </c>
      <c r="I5119">
        <v>133.99770000000001</v>
      </c>
      <c r="J5119">
        <v>-369.27440000000001</v>
      </c>
      <c r="K5119">
        <v>1.110654</v>
      </c>
      <c r="L5119">
        <v>141.3125</v>
      </c>
      <c r="M5119">
        <v>-0.9998823</v>
      </c>
      <c r="N5119">
        <v>-1.457345E-2</v>
      </c>
      <c r="O5119">
        <v>-4.7826370000000002E-3</v>
      </c>
      <c r="P5119">
        <v>-0.91957820000000001</v>
      </c>
      <c r="Q5119">
        <v>0.31491069999999999</v>
      </c>
      <c r="R5119">
        <v>-0.23496210000000001</v>
      </c>
      <c r="S5119">
        <v>-3.043304</v>
      </c>
      <c r="T5119">
        <v>-0.16247609999999901</v>
      </c>
      <c r="U5119">
        <v>-1.070282</v>
      </c>
      <c r="V5119">
        <v>-0.2306531</v>
      </c>
      <c r="W5119">
        <v>0.32823000000000002</v>
      </c>
      <c r="X5119">
        <v>0.9160045</v>
      </c>
      <c r="Y5119">
        <v>-0.32671420000000001</v>
      </c>
      <c r="Z5119">
        <v>-1.073376E-2</v>
      </c>
      <c r="AA5119">
        <v>0.94506219999999996</v>
      </c>
      <c r="AB5119">
        <v>34</v>
      </c>
      <c r="AC5119">
        <v>-20.558599999999998</v>
      </c>
      <c r="AD5119">
        <v>-1.110655537837</v>
      </c>
      <c r="AE5119">
        <v>-7.3147999999999902</v>
      </c>
      <c r="AF5119">
        <v>-7.1977349564557302</v>
      </c>
      <c r="AG5119">
        <v>-1.110655537837</v>
      </c>
      <c r="AH5119">
        <v>20.540140872540501</v>
      </c>
      <c r="AI5119">
        <v>92.9212692395418</v>
      </c>
      <c r="AJ5119">
        <v>109.311627537211</v>
      </c>
      <c r="AK5119">
        <v>21.793079894565601</v>
      </c>
      <c r="AL5119">
        <v>70.838621434521599</v>
      </c>
      <c r="AM5119">
        <v>104.133454351319</v>
      </c>
      <c r="AN5119">
        <v>1.0000000147299299</v>
      </c>
    </row>
    <row r="5120" spans="1:40" x14ac:dyDescent="0.25">
      <c r="A5120" t="str">
        <f>"20190304164228953"</f>
        <v>20190304164228953</v>
      </c>
      <c r="B5120" t="str">
        <f>"1551688948946340"</f>
        <v>1551688948946340</v>
      </c>
      <c r="C5120" t="s">
        <v>40</v>
      </c>
      <c r="D5120">
        <v>4.2451949999999998</v>
      </c>
      <c r="E5120">
        <v>0.46218559999999997</v>
      </c>
      <c r="F5120" t="s">
        <v>42</v>
      </c>
      <c r="G5120">
        <v>-390.93430000000001</v>
      </c>
      <c r="H5120" s="1">
        <v>-4.9236160000000002E-6</v>
      </c>
      <c r="I5120">
        <v>133.68469999999999</v>
      </c>
      <c r="J5120">
        <v>-369.5487</v>
      </c>
      <c r="K5120">
        <v>1.110716</v>
      </c>
      <c r="L5120">
        <v>141.31100000000001</v>
      </c>
      <c r="M5120">
        <v>-0.99988140000000003</v>
      </c>
      <c r="N5120">
        <v>-1.4570619999999999E-2</v>
      </c>
      <c r="O5120">
        <v>-4.9874070000000001E-3</v>
      </c>
      <c r="P5120">
        <v>-0.91749499999999995</v>
      </c>
      <c r="Q5120">
        <v>0.31728139999999999</v>
      </c>
      <c r="R5120">
        <v>-0.23986560000000001</v>
      </c>
      <c r="S5120">
        <v>-3.0420530000000001</v>
      </c>
      <c r="T5120">
        <v>-0.1559885</v>
      </c>
      <c r="U5120">
        <v>-1.0712889999999999</v>
      </c>
      <c r="V5120">
        <v>-0.23541619999999999</v>
      </c>
      <c r="W5120">
        <v>0.33054099999999997</v>
      </c>
      <c r="X5120">
        <v>0.91395939999999998</v>
      </c>
      <c r="Y5120">
        <v>-0.3269572</v>
      </c>
      <c r="Z5120">
        <v>-1.040895E-2</v>
      </c>
      <c r="AA5120">
        <v>0.94498179999999998</v>
      </c>
      <c r="AB5120">
        <v>34</v>
      </c>
      <c r="AC5120">
        <v>-21.3856</v>
      </c>
      <c r="AD5120">
        <v>-1.1107209236160001</v>
      </c>
      <c r="AE5120">
        <v>-7.6263000000000103</v>
      </c>
      <c r="AF5120">
        <v>-7.5015823861622897</v>
      </c>
      <c r="AG5120">
        <v>-1.1107209236160001</v>
      </c>
      <c r="AH5120">
        <v>21.372225623103301</v>
      </c>
      <c r="AI5120">
        <v>92.807383760384795</v>
      </c>
      <c r="AJ5120">
        <v>109.340909076164</v>
      </c>
      <c r="AK5120">
        <v>22.677730648179299</v>
      </c>
      <c r="AL5120">
        <v>70.698383975652206</v>
      </c>
      <c r="AM5120">
        <v>104.44417770933499</v>
      </c>
      <c r="AN5120">
        <v>0.99999996237589905</v>
      </c>
    </row>
    <row r="5121" spans="1:40" x14ac:dyDescent="0.25">
      <c r="A5121" t="str">
        <f>"20190304164228967"</f>
        <v>20190304164228967</v>
      </c>
      <c r="B5121" t="str">
        <f>"1551688948956100"</f>
        <v>1551688948956100</v>
      </c>
      <c r="C5121" t="s">
        <v>40</v>
      </c>
      <c r="D5121">
        <v>4.2510490000000001</v>
      </c>
      <c r="E5121">
        <v>0.46265119999999998</v>
      </c>
      <c r="F5121" t="s">
        <v>42</v>
      </c>
      <c r="G5121">
        <v>-391.94450000000001</v>
      </c>
      <c r="H5121" s="1">
        <v>-4.5514470000000004E-6</v>
      </c>
      <c r="I5121">
        <v>133.33949999999999</v>
      </c>
      <c r="J5121">
        <v>-369.77300000000002</v>
      </c>
      <c r="K5121">
        <v>1.110771</v>
      </c>
      <c r="L5121">
        <v>141.30959999999999</v>
      </c>
      <c r="M5121">
        <v>-0.9998804</v>
      </c>
      <c r="N5121">
        <v>-1.456848E-2</v>
      </c>
      <c r="O5121">
        <v>-5.2068039999999998E-3</v>
      </c>
      <c r="P5121">
        <v>-0.91650730000000002</v>
      </c>
      <c r="Q5121">
        <v>0.31842690000000001</v>
      </c>
      <c r="R5121">
        <v>-0.2421132</v>
      </c>
      <c r="S5121">
        <v>-3.0390929999999998</v>
      </c>
      <c r="T5121">
        <v>-0.15072389999999999</v>
      </c>
      <c r="U5121">
        <v>-1.0817110000000001</v>
      </c>
      <c r="V5121">
        <v>-0.2375082</v>
      </c>
      <c r="W5121">
        <v>0.33164110000000002</v>
      </c>
      <c r="X5121">
        <v>0.91301920000000003</v>
      </c>
      <c r="Y5121">
        <v>-0.32994050000000003</v>
      </c>
      <c r="Z5121">
        <v>-1.023348E-2</v>
      </c>
      <c r="AA5121">
        <v>0.94394619999999996</v>
      </c>
      <c r="AB5121">
        <v>34</v>
      </c>
      <c r="AC5121">
        <v>-22.171499999999899</v>
      </c>
      <c r="AD5121">
        <v>-1.1107755514469999</v>
      </c>
      <c r="AE5121">
        <v>-7.9701000000000004</v>
      </c>
      <c r="AF5121">
        <v>-7.8371173918533996</v>
      </c>
      <c r="AG5121">
        <v>-1.1107755514469999</v>
      </c>
      <c r="AH5121">
        <v>22.163439615096198</v>
      </c>
      <c r="AI5121">
        <v>92.705238128274004</v>
      </c>
      <c r="AJ5121">
        <v>109.47388195787801</v>
      </c>
      <c r="AK5121">
        <v>23.534491430906201</v>
      </c>
      <c r="AL5121">
        <v>70.631586357658406</v>
      </c>
      <c r="AM5121">
        <v>104.58145820253</v>
      </c>
      <c r="AN5121">
        <v>1.0000000119225401</v>
      </c>
    </row>
    <row r="5122" spans="1:40" x14ac:dyDescent="0.25">
      <c r="A5122" t="str">
        <f>"20190304164228982"</f>
        <v>20190304164228982</v>
      </c>
      <c r="B5122" t="str">
        <f>"1551688948976597"</f>
        <v>1551688948976597</v>
      </c>
      <c r="C5122" t="s">
        <v>40</v>
      </c>
      <c r="D5122">
        <v>4.2546999999999997</v>
      </c>
      <c r="E5122">
        <v>0.46310220000000002</v>
      </c>
      <c r="F5122" t="s">
        <v>42</v>
      </c>
      <c r="G5122">
        <v>-392.7097</v>
      </c>
      <c r="H5122" s="1">
        <v>-4.2637280000000003E-6</v>
      </c>
      <c r="I5122">
        <v>133.11099999999999</v>
      </c>
      <c r="J5122">
        <v>-369.99169999999998</v>
      </c>
      <c r="K5122">
        <v>1.110835</v>
      </c>
      <c r="L5122">
        <v>141.3083</v>
      </c>
      <c r="M5122">
        <v>-0.99987910000000002</v>
      </c>
      <c r="N5122">
        <v>-1.456651E-2</v>
      </c>
      <c r="O5122">
        <v>-5.4655769999999897E-3</v>
      </c>
      <c r="P5122">
        <v>-0.91565680000000005</v>
      </c>
      <c r="Q5122">
        <v>0.3190693</v>
      </c>
      <c r="R5122">
        <v>-0.24447459999999999</v>
      </c>
      <c r="S5122">
        <v>-3.0375670000000001</v>
      </c>
      <c r="T5122">
        <v>-0.14710319999999999</v>
      </c>
      <c r="U5122">
        <v>-1.0857540000000001</v>
      </c>
      <c r="V5122">
        <v>-0.23968390000000001</v>
      </c>
      <c r="W5122">
        <v>0.33223530000000001</v>
      </c>
      <c r="X5122">
        <v>0.9122342</v>
      </c>
      <c r="Y5122">
        <v>-0.33097870000000001</v>
      </c>
      <c r="Z5122">
        <v>-1.007486E-2</v>
      </c>
      <c r="AA5122">
        <v>0.94358439999999999</v>
      </c>
      <c r="AB5122">
        <v>34</v>
      </c>
      <c r="AC5122">
        <v>-22.718</v>
      </c>
      <c r="AD5122">
        <v>-1.110839263728</v>
      </c>
      <c r="AE5122">
        <v>-8.1973000000000091</v>
      </c>
      <c r="AF5122">
        <v>-8.0559552216813497</v>
      </c>
      <c r="AG5122">
        <v>-1.110839263728</v>
      </c>
      <c r="AH5122">
        <v>22.714416528882399</v>
      </c>
      <c r="AI5122">
        <v>92.638986472113402</v>
      </c>
      <c r="AJ5122">
        <v>109.52769518621101</v>
      </c>
      <c r="AK5122">
        <v>24.126273990219499</v>
      </c>
      <c r="AL5122">
        <v>70.595493629913406</v>
      </c>
      <c r="AM5122">
        <v>104.721372508927</v>
      </c>
      <c r="AN5122">
        <v>0.99999995106746797</v>
      </c>
    </row>
    <row r="5123" spans="1:40" x14ac:dyDescent="0.25">
      <c r="A5123" t="str">
        <f>"20190304164228996"</f>
        <v>20190304164228996</v>
      </c>
      <c r="B5123" t="str">
        <f>"1551688948986357"</f>
        <v>1551688948986357</v>
      </c>
      <c r="C5123" t="s">
        <v>40</v>
      </c>
      <c r="D5123">
        <v>4.2324630000000001</v>
      </c>
      <c r="E5123">
        <v>0.47036749999999999</v>
      </c>
      <c r="F5123" t="s">
        <v>42</v>
      </c>
      <c r="G5123">
        <v>-393.16520000000003</v>
      </c>
      <c r="H5123" s="1">
        <v>-4.0900370000000002E-6</v>
      </c>
      <c r="I5123">
        <v>132.98859999999999</v>
      </c>
      <c r="J5123">
        <v>-370.21030000000002</v>
      </c>
      <c r="K5123">
        <v>1.1109089999999999</v>
      </c>
      <c r="L5123">
        <v>141.30670000000001</v>
      </c>
      <c r="M5123">
        <v>-0.99987720000000002</v>
      </c>
      <c r="N5123">
        <v>-1.456475E-2</v>
      </c>
      <c r="O5123">
        <v>-5.8075699999999997E-3</v>
      </c>
      <c r="P5123">
        <v>-0.91404249999999998</v>
      </c>
      <c r="Q5123">
        <v>0.31993490000000002</v>
      </c>
      <c r="R5123">
        <v>-0.2493351</v>
      </c>
      <c r="S5123">
        <v>-3.0360109999999998</v>
      </c>
      <c r="T5123">
        <v>-0.145534</v>
      </c>
      <c r="U5123">
        <v>-1.089966</v>
      </c>
      <c r="V5123">
        <v>-0.2442983</v>
      </c>
      <c r="W5123">
        <v>0.3330321</v>
      </c>
      <c r="X5123">
        <v>0.91071840000000004</v>
      </c>
      <c r="Y5123">
        <v>-0.3319762</v>
      </c>
      <c r="Z5123">
        <v>-1.0016560000000001E-2</v>
      </c>
      <c r="AA5123">
        <v>0.94323460000000003</v>
      </c>
      <c r="AB5123">
        <v>34</v>
      </c>
      <c r="AC5123">
        <v>-22.954899999999999</v>
      </c>
      <c r="AD5123">
        <v>-1.1109130900369999</v>
      </c>
      <c r="AE5123">
        <v>-8.31810000000001</v>
      </c>
      <c r="AF5123">
        <v>-8.1677239564633197</v>
      </c>
      <c r="AG5123">
        <v>-1.1109130900369999</v>
      </c>
      <c r="AH5123">
        <v>22.955302111887299</v>
      </c>
      <c r="AI5123">
        <v>92.610562064391402</v>
      </c>
      <c r="AJ5123">
        <v>109.586062580706</v>
      </c>
      <c r="AK5123">
        <v>24.390402570901099</v>
      </c>
      <c r="AL5123">
        <v>70.547085124924195</v>
      </c>
      <c r="AM5123">
        <v>105.015967124131</v>
      </c>
      <c r="AN5123">
        <v>1.0000000215559299</v>
      </c>
    </row>
    <row r="5124" spans="1:40" x14ac:dyDescent="0.25">
      <c r="A5124" t="str">
        <f>"20190304164229012"</f>
        <v>20190304164229012</v>
      </c>
      <c r="B5124" t="str">
        <f>"1551688949005876"</f>
        <v>1551688949005876</v>
      </c>
      <c r="C5124" t="s">
        <v>40</v>
      </c>
      <c r="D5124">
        <v>4.2446159999999997</v>
      </c>
      <c r="E5124">
        <v>0.47069309999999998</v>
      </c>
      <c r="F5124" t="s">
        <v>42</v>
      </c>
      <c r="G5124">
        <v>-391.5847</v>
      </c>
      <c r="H5124" s="1">
        <v>-4.596677E-6</v>
      </c>
      <c r="I5124">
        <v>133.9547</v>
      </c>
      <c r="J5124">
        <v>-370.43329999999997</v>
      </c>
      <c r="K5124">
        <v>1.110992</v>
      </c>
      <c r="L5124">
        <v>141.30500000000001</v>
      </c>
      <c r="M5124">
        <v>-0.99987479999999995</v>
      </c>
      <c r="N5124">
        <v>-1.456314E-2</v>
      </c>
      <c r="O5124">
        <v>-6.2157459999999899E-3</v>
      </c>
      <c r="P5124">
        <v>-0.91233660000000005</v>
      </c>
      <c r="Q5124">
        <v>0.32091530000000001</v>
      </c>
      <c r="R5124">
        <v>-0.25427499999999997</v>
      </c>
      <c r="S5124">
        <v>-3.051361</v>
      </c>
      <c r="T5124">
        <v>-0.15859189999999901</v>
      </c>
      <c r="U5124">
        <v>-1.049545</v>
      </c>
      <c r="V5124">
        <v>-0.24893879999999999</v>
      </c>
      <c r="W5124">
        <v>0.33393699999999998</v>
      </c>
      <c r="X5124">
        <v>0.90912899999999996</v>
      </c>
      <c r="Y5124">
        <v>-0.31887330000000003</v>
      </c>
      <c r="Z5124">
        <v>-1.021299E-2</v>
      </c>
      <c r="AA5124">
        <v>0.94774230000000004</v>
      </c>
      <c r="AB5124">
        <v>34</v>
      </c>
      <c r="AC5124">
        <v>-21.151399999999999</v>
      </c>
      <c r="AD5124">
        <v>-1.1109965966769999</v>
      </c>
      <c r="AE5124">
        <v>-7.3502999999999998</v>
      </c>
      <c r="AF5124">
        <v>-7.2009458175353496</v>
      </c>
      <c r="AG5124">
        <v>-1.1109965966769999</v>
      </c>
      <c r="AH5124">
        <v>21.144632183532501</v>
      </c>
      <c r="AI5124">
        <v>92.847406705454006</v>
      </c>
      <c r="AJ5124">
        <v>108.80661893567201</v>
      </c>
      <c r="AK5124">
        <v>22.364780443406701</v>
      </c>
      <c r="AL5124">
        <v>70.492089415892593</v>
      </c>
      <c r="AM5124">
        <v>105.313441064939</v>
      </c>
      <c r="AN5124">
        <v>0.99999999237771897</v>
      </c>
    </row>
    <row r="5125" spans="1:40" x14ac:dyDescent="0.25">
      <c r="A5125" t="str">
        <f>"20190304164229042"</f>
        <v>20190304164229042</v>
      </c>
      <c r="B5125" t="str">
        <f>"1551688949036132"</f>
        <v>1551688949036132</v>
      </c>
      <c r="C5125" t="s">
        <v>40</v>
      </c>
      <c r="D5125">
        <v>4.2337639999999999</v>
      </c>
      <c r="E5125">
        <v>0.47200379999999997</v>
      </c>
      <c r="F5125" t="s">
        <v>42</v>
      </c>
      <c r="G5125">
        <v>-391.56139999999999</v>
      </c>
      <c r="H5125" s="1">
        <v>-4.6092080000000001E-6</v>
      </c>
      <c r="I5125">
        <v>133.94049999999999</v>
      </c>
      <c r="J5125">
        <v>-370.89229999999998</v>
      </c>
      <c r="K5125">
        <v>1.111199</v>
      </c>
      <c r="L5125">
        <v>141.30109999999999</v>
      </c>
      <c r="M5125">
        <v>-0.99986750000000002</v>
      </c>
      <c r="N5125">
        <v>-1.4560190000000001E-2</v>
      </c>
      <c r="O5125">
        <v>-7.2813519999999996E-3</v>
      </c>
      <c r="P5125">
        <v>-0.90983250000000004</v>
      </c>
      <c r="Q5125">
        <v>0.32326769999999999</v>
      </c>
      <c r="R5125">
        <v>-0.26019779999999998</v>
      </c>
      <c r="S5125">
        <v>-3.048492</v>
      </c>
      <c r="T5125">
        <v>-0.16030169999999999</v>
      </c>
      <c r="U5125">
        <v>-1.062592</v>
      </c>
      <c r="V5125">
        <v>-0.25405820000000001</v>
      </c>
      <c r="W5125">
        <v>0.3361362</v>
      </c>
      <c r="X5125">
        <v>0.90689960000000003</v>
      </c>
      <c r="Y5125">
        <v>-0.32174399999999997</v>
      </c>
      <c r="Z5125">
        <v>-1.0354540000000001E-2</v>
      </c>
      <c r="AA5125">
        <v>0.94677009999999995</v>
      </c>
      <c r="AB5125">
        <v>34</v>
      </c>
      <c r="AC5125">
        <v>-20.6691</v>
      </c>
      <c r="AD5125">
        <v>-1.111203609208</v>
      </c>
      <c r="AE5125">
        <v>-7.3605999999999998</v>
      </c>
      <c r="AF5125">
        <v>-7.1914437187720601</v>
      </c>
      <c r="AG5125">
        <v>-1.111203609208</v>
      </c>
      <c r="AH5125">
        <v>20.669136090732898</v>
      </c>
      <c r="AI5125">
        <v>92.906748233288795</v>
      </c>
      <c r="AJ5125">
        <v>109.184396212406</v>
      </c>
      <c r="AK5125">
        <v>21.912663529535202</v>
      </c>
      <c r="AL5125">
        <v>70.358355491757393</v>
      </c>
      <c r="AM5125">
        <v>105.649646128827</v>
      </c>
      <c r="AN5125">
        <v>0.99999999920892002</v>
      </c>
    </row>
    <row r="5126" spans="1:40" x14ac:dyDescent="0.25">
      <c r="A5126" t="str">
        <f>"20190304164229064"</f>
        <v>20190304164229064</v>
      </c>
      <c r="B5126" t="str">
        <f>"1551688949056629"</f>
        <v>1551688949056629</v>
      </c>
      <c r="C5126" t="s">
        <v>40</v>
      </c>
      <c r="D5126">
        <v>4.2273779999999999</v>
      </c>
      <c r="E5126">
        <v>0.47258109999999998</v>
      </c>
      <c r="F5126" t="s">
        <v>42</v>
      </c>
      <c r="G5126">
        <v>-391.7396</v>
      </c>
      <c r="H5126" s="1">
        <v>-4.5293900000000004E-6</v>
      </c>
      <c r="I5126">
        <v>133.95949999999999</v>
      </c>
      <c r="J5126">
        <v>-371.21839999999997</v>
      </c>
      <c r="K5126">
        <v>1.111354</v>
      </c>
      <c r="L5126">
        <v>141.29769999999999</v>
      </c>
      <c r="M5126">
        <v>-0.99985990000000002</v>
      </c>
      <c r="N5126">
        <v>-1.4558990000000001E-2</v>
      </c>
      <c r="O5126">
        <v>-8.2835779999999998E-3</v>
      </c>
      <c r="P5126">
        <v>-0.90825370000000005</v>
      </c>
      <c r="Q5126">
        <v>0.3241134</v>
      </c>
      <c r="R5126">
        <v>-0.2646249</v>
      </c>
      <c r="S5126">
        <v>-3.0480649999999998</v>
      </c>
      <c r="T5126">
        <v>-0.1624681</v>
      </c>
      <c r="U5126">
        <v>-1.0733950000000001</v>
      </c>
      <c r="V5126">
        <v>-0.2577084</v>
      </c>
      <c r="W5126">
        <v>0.33686280000000002</v>
      </c>
      <c r="X5126">
        <v>0.90559920000000005</v>
      </c>
      <c r="Y5126">
        <v>-0.32380989999999998</v>
      </c>
      <c r="Z5126">
        <v>-1.048927E-2</v>
      </c>
      <c r="AA5126">
        <v>0.94606409999999996</v>
      </c>
      <c r="AB5126">
        <v>34</v>
      </c>
      <c r="AC5126">
        <v>-20.5212</v>
      </c>
      <c r="AD5126">
        <v>-1.1113585293899999</v>
      </c>
      <c r="AE5126">
        <v>-7.3381999999999996</v>
      </c>
      <c r="AF5126">
        <v>-7.14934992936195</v>
      </c>
      <c r="AG5126">
        <v>-1.1113585293899999</v>
      </c>
      <c r="AH5126">
        <v>20.5279076107512</v>
      </c>
      <c r="AI5126">
        <v>92.926807539085502</v>
      </c>
      <c r="AJ5126">
        <v>109.201932053615</v>
      </c>
      <c r="AK5126">
        <v>21.7656452481624</v>
      </c>
      <c r="AL5126">
        <v>70.314147055603897</v>
      </c>
      <c r="AM5126">
        <v>105.884882130115</v>
      </c>
      <c r="AN5126">
        <v>1.00000003824751</v>
      </c>
    </row>
    <row r="5127" spans="1:40" x14ac:dyDescent="0.25">
      <c r="A5127" t="str">
        <f>"20190304164229085"</f>
        <v>20190304164229085</v>
      </c>
      <c r="B5127" t="str">
        <f>"1551688949076149"</f>
        <v>1551688949076149</v>
      </c>
      <c r="C5127" t="s">
        <v>40</v>
      </c>
      <c r="D5127">
        <v>4.2258950000000004</v>
      </c>
      <c r="E5127">
        <v>0.47321879999999999</v>
      </c>
      <c r="F5127" t="s">
        <v>42</v>
      </c>
      <c r="G5127">
        <v>-391.9282</v>
      </c>
      <c r="H5127" s="1">
        <v>-4.4566340000000003E-6</v>
      </c>
      <c r="I5127">
        <v>133.9135</v>
      </c>
      <c r="J5127">
        <v>-371.54480000000001</v>
      </c>
      <c r="K5127">
        <v>1.1114999999999999</v>
      </c>
      <c r="L5127">
        <v>141.2938</v>
      </c>
      <c r="M5127">
        <v>-0.9998494</v>
      </c>
      <c r="N5127">
        <v>-1.455794E-2</v>
      </c>
      <c r="O5127">
        <v>-9.4458619999999993E-3</v>
      </c>
      <c r="P5127">
        <v>-0.90693829999999998</v>
      </c>
      <c r="Q5127">
        <v>0.32357249999999999</v>
      </c>
      <c r="R5127">
        <v>-0.26974769999999998</v>
      </c>
      <c r="S5127">
        <v>-3.045013</v>
      </c>
      <c r="T5127">
        <v>-0.16340579999999999</v>
      </c>
      <c r="U5127">
        <v>-1.085709</v>
      </c>
      <c r="V5127">
        <v>-0.26190249999999998</v>
      </c>
      <c r="W5127">
        <v>0.33620719999999998</v>
      </c>
      <c r="X5127">
        <v>0.90463910000000003</v>
      </c>
      <c r="Y5127">
        <v>-0.32639559999999901</v>
      </c>
      <c r="Z5127">
        <v>-1.0581419999999999E-2</v>
      </c>
      <c r="AA5127">
        <v>0.94517399999999996</v>
      </c>
      <c r="AB5127">
        <v>34</v>
      </c>
      <c r="AC5127">
        <v>-20.383399999999899</v>
      </c>
      <c r="AD5127">
        <v>-1.111504456634</v>
      </c>
      <c r="AE5127">
        <v>-7.3803000000000001</v>
      </c>
      <c r="AF5127">
        <v>-7.1685662531064898</v>
      </c>
      <c r="AG5127">
        <v>-1.111504456634</v>
      </c>
      <c r="AH5127">
        <v>20.398585897553001</v>
      </c>
      <c r="AI5127">
        <v>92.942830460747501</v>
      </c>
      <c r="AJ5127">
        <v>109.362733176297</v>
      </c>
      <c r="AK5127">
        <v>21.650082930606601</v>
      </c>
      <c r="AL5127">
        <v>70.354037166481703</v>
      </c>
      <c r="AM5127">
        <v>106.146283999076</v>
      </c>
      <c r="AN5127">
        <v>1.0000000510434399</v>
      </c>
    </row>
    <row r="5128" spans="1:40" x14ac:dyDescent="0.25">
      <c r="A5128" t="str">
        <f>"20190304164229108"</f>
        <v>20190304164229108</v>
      </c>
      <c r="B5128" t="str">
        <f>"1551688949096645"</f>
        <v>1551688949096645</v>
      </c>
      <c r="C5128" t="s">
        <v>40</v>
      </c>
      <c r="D5128">
        <v>4.2251529999999997</v>
      </c>
      <c r="E5128">
        <v>0.47376869999999999</v>
      </c>
      <c r="F5128" t="s">
        <v>42</v>
      </c>
      <c r="G5128">
        <v>-391.8562</v>
      </c>
      <c r="H5128" s="1">
        <v>-4.4790230000000002E-6</v>
      </c>
      <c r="I5128">
        <v>133.96129999999999</v>
      </c>
      <c r="J5128">
        <v>-371.87700000000001</v>
      </c>
      <c r="K5128">
        <v>1.111629</v>
      </c>
      <c r="L5128">
        <v>141.28919999999999</v>
      </c>
      <c r="M5128">
        <v>-0.99983560000000005</v>
      </c>
      <c r="N5128">
        <v>-1.455687E-2</v>
      </c>
      <c r="O5128">
        <v>-1.0821590000000001E-2</v>
      </c>
      <c r="P5128">
        <v>-0.90570289999999998</v>
      </c>
      <c r="Q5128">
        <v>0.321978599999999</v>
      </c>
      <c r="R5128">
        <v>-0.27573959999999997</v>
      </c>
      <c r="S5128">
        <v>-3.0407099999999998</v>
      </c>
      <c r="T5128">
        <v>-0.16639760000000001</v>
      </c>
      <c r="U5128">
        <v>-1.0976870000000001</v>
      </c>
      <c r="V5128">
        <v>-0.2667754</v>
      </c>
      <c r="W5128">
        <v>0.33449210000000001</v>
      </c>
      <c r="X5128">
        <v>0.90385059999999995</v>
      </c>
      <c r="Y5128">
        <v>-0.32879439999999999</v>
      </c>
      <c r="Z5128">
        <v>-1.0762870000000001E-2</v>
      </c>
      <c r="AA5128">
        <v>0.94434019999999996</v>
      </c>
      <c r="AB5128">
        <v>33</v>
      </c>
      <c r="AC5128">
        <v>-19.979199999999999</v>
      </c>
      <c r="AD5128">
        <v>-1.111633479023</v>
      </c>
      <c r="AE5128">
        <v>-7.3278999999999996</v>
      </c>
      <c r="AF5128">
        <v>-7.0918897120050097</v>
      </c>
      <c r="AG5128">
        <v>-1.111633479023</v>
      </c>
      <c r="AH5128">
        <v>20.002756620948301</v>
      </c>
      <c r="AI5128">
        <v>92.998374400586101</v>
      </c>
      <c r="AJ5128">
        <v>109.52173860589799</v>
      </c>
      <c r="AK5128">
        <v>21.2518446520724</v>
      </c>
      <c r="AL5128">
        <v>70.458344083809493</v>
      </c>
      <c r="AM5128">
        <v>106.444192367524</v>
      </c>
      <c r="AN5128">
        <v>0.99999999306396403</v>
      </c>
    </row>
    <row r="5129" spans="1:40" x14ac:dyDescent="0.25">
      <c r="A5129" t="str">
        <f>"20190304164229131"</f>
        <v>20190304164229131</v>
      </c>
      <c r="B5129" t="str">
        <f>"1551688949116165"</f>
        <v>1551688949116165</v>
      </c>
      <c r="C5129" t="s">
        <v>40</v>
      </c>
      <c r="D5129">
        <v>4.221819</v>
      </c>
      <c r="E5129">
        <v>0.47407060000000001</v>
      </c>
      <c r="F5129" t="s">
        <v>42</v>
      </c>
      <c r="G5129">
        <v>-391.19779999999997</v>
      </c>
      <c r="H5129" s="1">
        <v>-4.7160729999999999E-6</v>
      </c>
      <c r="I5129">
        <v>134.21719999999999</v>
      </c>
      <c r="J5129">
        <v>-372.21800000000002</v>
      </c>
      <c r="K5129">
        <v>1.1117840000000001</v>
      </c>
      <c r="L5129">
        <v>141.28389999999999</v>
      </c>
      <c r="M5129">
        <v>-0.99981660000000006</v>
      </c>
      <c r="N5129">
        <v>-1.4556299999999999E-2</v>
      </c>
      <c r="O5129">
        <v>-1.24533E-2</v>
      </c>
      <c r="P5129">
        <v>-0.90459659999999997</v>
      </c>
      <c r="Q5129">
        <v>0.31980340000000002</v>
      </c>
      <c r="R5129">
        <v>-0.28183570000000002</v>
      </c>
      <c r="S5129">
        <v>-3.0361630000000002</v>
      </c>
      <c r="T5129">
        <v>-0.1746875</v>
      </c>
      <c r="U5129">
        <v>-1.111313</v>
      </c>
      <c r="V5129">
        <v>-0.27153040000000001</v>
      </c>
      <c r="W5129">
        <v>0.33218579999999998</v>
      </c>
      <c r="X5129">
        <v>0.903285</v>
      </c>
      <c r="Y5129">
        <v>-0.33139299999999999</v>
      </c>
      <c r="Z5129">
        <v>-1.1199580000000001E-2</v>
      </c>
      <c r="AA5129">
        <v>0.9434264</v>
      </c>
      <c r="AB5129">
        <v>33</v>
      </c>
      <c r="AC5129">
        <v>-18.979799999999901</v>
      </c>
      <c r="AD5129">
        <v>-1.111788716073</v>
      </c>
      <c r="AE5129">
        <v>-7.0666999999999902</v>
      </c>
      <c r="AF5129">
        <v>-6.8092456755184001</v>
      </c>
      <c r="AG5129">
        <v>-1.111788716073</v>
      </c>
      <c r="AH5129">
        <v>19.009056056815201</v>
      </c>
      <c r="AI5129">
        <v>93.151598440174197</v>
      </c>
      <c r="AJ5129">
        <v>109.70806316601799</v>
      </c>
      <c r="AK5129">
        <v>20.222416101690101</v>
      </c>
      <c r="AL5129">
        <v>70.598501082413094</v>
      </c>
      <c r="AM5129">
        <v>106.730948375644</v>
      </c>
      <c r="AN5129">
        <v>0.99999997753539904</v>
      </c>
    </row>
    <row r="5130" spans="1:40" x14ac:dyDescent="0.25">
      <c r="A5130" t="str">
        <f>"20190304164229153"</f>
        <v>20190304164229153</v>
      </c>
      <c r="B5130" t="str">
        <f>"1551688949146421"</f>
        <v>1551688949146421</v>
      </c>
      <c r="C5130" t="s">
        <v>40</v>
      </c>
      <c r="D5130">
        <v>4.226013</v>
      </c>
      <c r="E5130">
        <v>0.47960659999999999</v>
      </c>
      <c r="F5130" t="s">
        <v>42</v>
      </c>
      <c r="G5130">
        <v>-390.57150000000001</v>
      </c>
      <c r="H5130" s="1">
        <v>-4.9413189999999999E-6</v>
      </c>
      <c r="I5130">
        <v>134.4622</v>
      </c>
      <c r="J5130">
        <v>-372.54629999999997</v>
      </c>
      <c r="K5130">
        <v>1.1119460000000001</v>
      </c>
      <c r="L5130">
        <v>141.27799999999999</v>
      </c>
      <c r="M5130">
        <v>-0.99979269999999998</v>
      </c>
      <c r="N5130">
        <v>-1.4556619999999999E-2</v>
      </c>
      <c r="O5130">
        <v>-1.4238310000000001E-2</v>
      </c>
      <c r="P5130">
        <v>-0.90309510000000004</v>
      </c>
      <c r="Q5130">
        <v>0.31842989999999999</v>
      </c>
      <c r="R5130">
        <v>-0.28813490000000003</v>
      </c>
      <c r="S5130">
        <v>-3.0303339999999999</v>
      </c>
      <c r="T5130">
        <v>-0.18356729999999999</v>
      </c>
      <c r="U5130">
        <v>-1.126312</v>
      </c>
      <c r="V5130">
        <v>-0.27636430000000001</v>
      </c>
      <c r="W5130">
        <v>0.3306692</v>
      </c>
      <c r="X5130">
        <v>0.90237500000000004</v>
      </c>
      <c r="Y5130">
        <v>-0.33434140000000001</v>
      </c>
      <c r="Z5130">
        <v>-1.1672989999999999E-2</v>
      </c>
      <c r="AA5130">
        <v>0.94237979999999999</v>
      </c>
      <c r="AB5130">
        <v>33</v>
      </c>
      <c r="AC5130">
        <v>-18.025200000000002</v>
      </c>
      <c r="AD5130">
        <v>-1.1119509413190001</v>
      </c>
      <c r="AE5130">
        <v>-6.8157999999999896</v>
      </c>
      <c r="AF5130">
        <v>-6.5366698407599797</v>
      </c>
      <c r="AG5130">
        <v>-1.1119509413190001</v>
      </c>
      <c r="AH5130">
        <v>18.0602972742101</v>
      </c>
      <c r="AI5130">
        <v>93.313355427212002</v>
      </c>
      <c r="AJ5130">
        <v>109.897008489611</v>
      </c>
      <c r="AK5130">
        <v>19.238992310821299</v>
      </c>
      <c r="AL5130">
        <v>70.690601636598501</v>
      </c>
      <c r="AM5130">
        <v>107.027901392429</v>
      </c>
      <c r="AN5130">
        <v>0.99999999338406498</v>
      </c>
    </row>
    <row r="5131" spans="1:40" x14ac:dyDescent="0.25">
      <c r="A5131" t="str">
        <f>"20190304164229175"</f>
        <v>20190304164229175</v>
      </c>
      <c r="B5131" t="str">
        <f>"1551688949165941"</f>
        <v>1551688949165941</v>
      </c>
      <c r="C5131" t="s">
        <v>40</v>
      </c>
      <c r="D5131">
        <v>4.2214260000000001</v>
      </c>
      <c r="E5131">
        <v>0.48003689999999999</v>
      </c>
      <c r="F5131" t="s">
        <v>42</v>
      </c>
      <c r="G5131">
        <v>-388.87950000000001</v>
      </c>
      <c r="H5131" s="1">
        <v>-1.500752E-6</v>
      </c>
      <c r="I5131">
        <v>135.35659999999999</v>
      </c>
      <c r="J5131">
        <v>-372.87720000000002</v>
      </c>
      <c r="K5131">
        <v>1.1121190000000001</v>
      </c>
      <c r="L5131">
        <v>141.2713</v>
      </c>
      <c r="M5131">
        <v>-0.99976209999999999</v>
      </c>
      <c r="N5131">
        <v>-1.455788E-2</v>
      </c>
      <c r="O5131">
        <v>-1.625062E-2</v>
      </c>
      <c r="P5131">
        <v>-0.90134919999999996</v>
      </c>
      <c r="Q5131">
        <v>0.31756309999999999</v>
      </c>
      <c r="R5131">
        <v>-0.2944889</v>
      </c>
      <c r="S5131">
        <v>-3.0429689999999998</v>
      </c>
      <c r="T5131">
        <v>-0.20716329999999999</v>
      </c>
      <c r="U5131">
        <v>-1.1031799999999901</v>
      </c>
      <c r="V5131">
        <v>-0.28106429999999999</v>
      </c>
      <c r="W5131">
        <v>0.3296462</v>
      </c>
      <c r="X5131">
        <v>0.90129700000000001</v>
      </c>
      <c r="Y5131">
        <v>-0.32470329999999997</v>
      </c>
      <c r="Z5131">
        <v>-1.2298989999999999E-2</v>
      </c>
      <c r="AA5131">
        <v>0.94573589999999996</v>
      </c>
      <c r="AB5131">
        <v>33</v>
      </c>
      <c r="AC5131">
        <v>-16.002299999999899</v>
      </c>
      <c r="AD5131">
        <v>-1.1121205007520001</v>
      </c>
      <c r="AE5131">
        <v>-5.9147000000000096</v>
      </c>
      <c r="AF5131">
        <v>-5.62992032471481</v>
      </c>
      <c r="AG5131">
        <v>-1.1121205007520001</v>
      </c>
      <c r="AH5131">
        <v>16.028204287434701</v>
      </c>
      <c r="AI5131">
        <v>93.745480714203495</v>
      </c>
      <c r="AJ5131">
        <v>109.353868275053</v>
      </c>
      <c r="AK5131">
        <v>17.024574812622198</v>
      </c>
      <c r="AL5131">
        <v>70.752697715834898</v>
      </c>
      <c r="AM5131">
        <v>107.319789973711</v>
      </c>
      <c r="AN5131">
        <v>1.00000002005896</v>
      </c>
    </row>
    <row r="5132" spans="1:40" x14ac:dyDescent="0.25">
      <c r="A5132" t="str">
        <f>"20190304164229197"</f>
        <v>20190304164229197</v>
      </c>
      <c r="B5132" t="str">
        <f>"1551688949186437"</f>
        <v>1551688949186437</v>
      </c>
      <c r="C5132" t="s">
        <v>40</v>
      </c>
      <c r="D5132">
        <v>4.2469099999999997</v>
      </c>
      <c r="E5132">
        <v>0.48026940000000001</v>
      </c>
      <c r="F5132" t="s">
        <v>42</v>
      </c>
      <c r="G5132">
        <v>-389.05290000000002</v>
      </c>
      <c r="H5132" s="1">
        <v>-1.452321E-6</v>
      </c>
      <c r="I5132">
        <v>135.3167</v>
      </c>
      <c r="J5132">
        <v>-373.20359999999999</v>
      </c>
      <c r="K5132">
        <v>1.112303</v>
      </c>
      <c r="L5132">
        <v>141.2638</v>
      </c>
      <c r="M5132">
        <v>-0.9997239</v>
      </c>
      <c r="N5132">
        <v>-1.4559600000000001E-2</v>
      </c>
      <c r="O5132">
        <v>-1.844148E-2</v>
      </c>
      <c r="P5132">
        <v>-0.89985659999999901</v>
      </c>
      <c r="Q5132">
        <v>0.31590469999999998</v>
      </c>
      <c r="R5132">
        <v>-0.30076979999999998</v>
      </c>
      <c r="S5132">
        <v>-3.0366520000000001</v>
      </c>
      <c r="T5132">
        <v>-0.2087775</v>
      </c>
      <c r="U5132">
        <v>-1.117828</v>
      </c>
      <c r="V5132">
        <v>-0.2855259</v>
      </c>
      <c r="W5132">
        <v>0.32783400000000001</v>
      </c>
      <c r="X5132">
        <v>0.90055529999999995</v>
      </c>
      <c r="Y5132">
        <v>-0.3272679</v>
      </c>
      <c r="Z5132">
        <v>-1.2377350000000001E-2</v>
      </c>
      <c r="AA5132">
        <v>0.94485059999999998</v>
      </c>
      <c r="AB5132">
        <v>33</v>
      </c>
      <c r="AC5132">
        <v>-15.849299999999999</v>
      </c>
      <c r="AD5132">
        <v>-1.1123044523209999</v>
      </c>
      <c r="AE5132">
        <v>-5.9470999999999998</v>
      </c>
      <c r="AF5132">
        <v>-5.6294683954778701</v>
      </c>
      <c r="AG5132">
        <v>-1.1123044523209999</v>
      </c>
      <c r="AH5132">
        <v>15.8876960244947</v>
      </c>
      <c r="AI5132">
        <v>93.775495666705893</v>
      </c>
      <c r="AJ5132">
        <v>109.510702695099</v>
      </c>
      <c r="AK5132">
        <v>16.892217751884498</v>
      </c>
      <c r="AL5132">
        <v>70.862639468594097</v>
      </c>
      <c r="AM5132">
        <v>107.591498176209</v>
      </c>
      <c r="AN5132">
        <v>1.00000000974245</v>
      </c>
    </row>
    <row r="5133" spans="1:40" x14ac:dyDescent="0.25">
      <c r="A5133" t="str">
        <f>"20190304164229220"</f>
        <v>20190304164229220</v>
      </c>
      <c r="B5133" t="str">
        <f>"1551688949205957"</f>
        <v>1551688949205957</v>
      </c>
      <c r="C5133" t="s">
        <v>40</v>
      </c>
      <c r="D5133">
        <v>4.2460899999999997</v>
      </c>
      <c r="E5133">
        <v>0.48084579999999999</v>
      </c>
      <c r="F5133" t="s">
        <v>42</v>
      </c>
      <c r="G5133">
        <v>-388.9271</v>
      </c>
      <c r="H5133" s="1">
        <v>-1.4759799999999901E-6</v>
      </c>
      <c r="I5133">
        <v>135.3887</v>
      </c>
      <c r="J5133">
        <v>-373.54160000000002</v>
      </c>
      <c r="K5133">
        <v>1.1124780000000001</v>
      </c>
      <c r="L5133">
        <v>141.2551</v>
      </c>
      <c r="M5133">
        <v>-0.99967530000000004</v>
      </c>
      <c r="N5133">
        <v>-1.456173E-2</v>
      </c>
      <c r="O5133">
        <v>-2.091637E-2</v>
      </c>
      <c r="P5133">
        <v>-0.898182699999999</v>
      </c>
      <c r="Q5133">
        <v>0.3142144</v>
      </c>
      <c r="R5133">
        <v>-0.3074694</v>
      </c>
      <c r="S5133">
        <v>-3.03064</v>
      </c>
      <c r="T5133">
        <v>-0.2143921</v>
      </c>
      <c r="U5133">
        <v>-1.1323700000000001</v>
      </c>
      <c r="V5133">
        <v>-0.2901551</v>
      </c>
      <c r="W5133">
        <v>0.32598549999999998</v>
      </c>
      <c r="X5133">
        <v>0.89974639999999995</v>
      </c>
      <c r="Y5133">
        <v>-0.32947680000000001</v>
      </c>
      <c r="Z5133">
        <v>-1.2607500000000001E-2</v>
      </c>
      <c r="AA5133">
        <v>0.94407949999999996</v>
      </c>
      <c r="AB5133">
        <v>33</v>
      </c>
      <c r="AC5133">
        <v>-15.385499999999899</v>
      </c>
      <c r="AD5133">
        <v>-1.1124794759799901</v>
      </c>
      <c r="AE5133">
        <v>-5.8663999999999898</v>
      </c>
      <c r="AF5133">
        <v>-5.5180852042257902</v>
      </c>
      <c r="AG5133">
        <v>-1.1124794759799901</v>
      </c>
      <c r="AH5133">
        <v>15.4343972672244</v>
      </c>
      <c r="AI5133">
        <v>93.8827517489608</v>
      </c>
      <c r="AJ5133">
        <v>109.672918542033</v>
      </c>
      <c r="AK5133">
        <v>16.428861613273</v>
      </c>
      <c r="AL5133">
        <v>70.974709217259999</v>
      </c>
      <c r="AM5133">
        <v>107.873754938527</v>
      </c>
      <c r="AN5133">
        <v>1.0000000562896001</v>
      </c>
    </row>
    <row r="5134" spans="1:40" x14ac:dyDescent="0.25">
      <c r="A5134" t="str">
        <f>"20190304164229244"</f>
        <v>20190304164229244</v>
      </c>
      <c r="B5134" t="str">
        <f>"1551688949236212"</f>
        <v>1551688949236212</v>
      </c>
      <c r="C5134" t="s">
        <v>40</v>
      </c>
      <c r="D5134">
        <v>4.2382749999999998</v>
      </c>
      <c r="E5134">
        <v>0.48144550000000003</v>
      </c>
      <c r="F5134" t="s">
        <v>42</v>
      </c>
      <c r="G5134">
        <v>-388.71640000000002</v>
      </c>
      <c r="H5134" s="1">
        <v>-1.5143630000000001E-6</v>
      </c>
      <c r="I5134">
        <v>135.51400000000001</v>
      </c>
      <c r="J5134">
        <v>-373.8811</v>
      </c>
      <c r="K5134">
        <v>1.1126450000000001</v>
      </c>
      <c r="L5134">
        <v>141.24520000000001</v>
      </c>
      <c r="M5134">
        <v>-0.99961549999999999</v>
      </c>
      <c r="N5134">
        <v>-1.456356E-2</v>
      </c>
      <c r="O5134">
        <v>-2.3600300000000001E-2</v>
      </c>
      <c r="P5134">
        <v>-0.8966383</v>
      </c>
      <c r="Q5134">
        <v>0.31221539999999998</v>
      </c>
      <c r="R5134">
        <v>-0.31394480000000002</v>
      </c>
      <c r="S5134">
        <v>-3.0258180000000001</v>
      </c>
      <c r="T5134">
        <v>-0.22182640000000001</v>
      </c>
      <c r="U5134">
        <v>-1.1447449999999999</v>
      </c>
      <c r="V5134">
        <v>-0.2943577</v>
      </c>
      <c r="W5134">
        <v>0.32384069999999998</v>
      </c>
      <c r="X5134">
        <v>0.89915560000000005</v>
      </c>
      <c r="Y5134">
        <v>-0.33076319999999998</v>
      </c>
      <c r="Z5134">
        <v>-1.286141E-2</v>
      </c>
      <c r="AA5134">
        <v>0.94362619999999997</v>
      </c>
      <c r="AB5134">
        <v>33</v>
      </c>
      <c r="AC5134">
        <v>-14.8353</v>
      </c>
      <c r="AD5134">
        <v>-1.112646514363</v>
      </c>
      <c r="AE5134">
        <v>-5.7312000000000003</v>
      </c>
      <c r="AF5134">
        <v>-5.35324721934085</v>
      </c>
      <c r="AG5134">
        <v>-1.112646514363</v>
      </c>
      <c r="AH5134">
        <v>14.893542871060101</v>
      </c>
      <c r="AI5134">
        <v>94.021460262168901</v>
      </c>
      <c r="AJ5134">
        <v>109.770167637073</v>
      </c>
      <c r="AK5134">
        <v>15.865461143925501</v>
      </c>
      <c r="AL5134">
        <v>71.1046465246704</v>
      </c>
      <c r="AM5134">
        <v>108.126959333988</v>
      </c>
      <c r="AN5134">
        <v>1.00000002376856</v>
      </c>
    </row>
    <row r="5135" spans="1:40" x14ac:dyDescent="0.25">
      <c r="A5135" t="str">
        <f>"20190304164229264"</f>
        <v>20190304164229264</v>
      </c>
      <c r="B5135" t="str">
        <f>"1551688949256709"</f>
        <v>1551688949256709</v>
      </c>
      <c r="C5135" t="s">
        <v>40</v>
      </c>
      <c r="D5135">
        <v>4.2441550000000001</v>
      </c>
      <c r="E5135">
        <v>0.48649819999999999</v>
      </c>
      <c r="F5135" t="s">
        <v>42</v>
      </c>
      <c r="G5135">
        <v>-388.60730000000001</v>
      </c>
      <c r="H5135" s="1">
        <v>-1.525429E-6</v>
      </c>
      <c r="I5135">
        <v>135.61189999999999</v>
      </c>
      <c r="J5135">
        <v>-374.19349999999997</v>
      </c>
      <c r="K5135">
        <v>1.112776</v>
      </c>
      <c r="L5135">
        <v>141.23519999999999</v>
      </c>
      <c r="M5135">
        <v>-0.99955020000000006</v>
      </c>
      <c r="N5135">
        <v>-1.4565099999999999E-2</v>
      </c>
      <c r="O5135">
        <v>-2.6220299999999998E-2</v>
      </c>
      <c r="P5135">
        <v>-0.89460830000000002</v>
      </c>
      <c r="Q5135">
        <v>0.31224570000000001</v>
      </c>
      <c r="R5135">
        <v>-0.31965460000000001</v>
      </c>
      <c r="S5135">
        <v>-3.0207519999999999</v>
      </c>
      <c r="T5135">
        <v>-0.22823479999999999</v>
      </c>
      <c r="U5135">
        <v>-1.1555329999999999</v>
      </c>
      <c r="V5135">
        <v>-0.29785349999999999</v>
      </c>
      <c r="W5135">
        <v>0.32374239999999999</v>
      </c>
      <c r="X5135">
        <v>0.89803909999999998</v>
      </c>
      <c r="Y5135">
        <v>-0.33170959999999899</v>
      </c>
      <c r="Z5135">
        <v>-1.305045E-2</v>
      </c>
      <c r="AA5135">
        <v>0.9432912</v>
      </c>
      <c r="AB5135">
        <v>33</v>
      </c>
      <c r="AC5135">
        <v>-14.4138</v>
      </c>
      <c r="AD5135">
        <v>-1.112777525429</v>
      </c>
      <c r="AE5135">
        <v>-5.6233000000000004</v>
      </c>
      <c r="AF5135">
        <v>-5.2164082996871803</v>
      </c>
      <c r="AG5135">
        <v>-1.112777525429</v>
      </c>
      <c r="AH5135">
        <v>14.481393396023501</v>
      </c>
      <c r="AI5135">
        <v>94.134982523911006</v>
      </c>
      <c r="AJ5135">
        <v>109.809756983946</v>
      </c>
      <c r="AK5135">
        <v>15.432431566689001</v>
      </c>
      <c r="AL5135">
        <v>71.110599650615995</v>
      </c>
      <c r="AM5135">
        <v>108.349184387495</v>
      </c>
      <c r="AN5135">
        <v>1.0000000370744</v>
      </c>
    </row>
    <row r="5136" spans="1:40" x14ac:dyDescent="0.25">
      <c r="A5136" t="str">
        <f>"20190304164229286"</f>
        <v>20190304164229286</v>
      </c>
      <c r="B5136" t="str">
        <f>"1551688949276229"</f>
        <v>1551688949276229</v>
      </c>
      <c r="C5136" t="s">
        <v>40</v>
      </c>
      <c r="D5136">
        <v>4.6748240000000001</v>
      </c>
      <c r="E5136">
        <v>0.51383619999999997</v>
      </c>
      <c r="F5136" t="s">
        <v>42</v>
      </c>
      <c r="G5136">
        <v>-389.01990000000001</v>
      </c>
      <c r="H5136" s="1">
        <v>-1.363149E-6</v>
      </c>
      <c r="I5136">
        <v>135.6942</v>
      </c>
      <c r="J5136">
        <v>-374.52109999999999</v>
      </c>
      <c r="K5136">
        <v>1.1129009999999999</v>
      </c>
      <c r="L5136">
        <v>141.22370000000001</v>
      </c>
      <c r="M5136">
        <v>-0.99947109999999995</v>
      </c>
      <c r="N5136">
        <v>-1.456612E-2</v>
      </c>
      <c r="O5136">
        <v>-2.9079460000000001E-2</v>
      </c>
      <c r="P5136">
        <v>-0.89224139999999996</v>
      </c>
      <c r="Q5136">
        <v>0.31433270000000002</v>
      </c>
      <c r="R5136">
        <v>-0.32419219999999999</v>
      </c>
      <c r="S5136">
        <v>-3.0283509999999998</v>
      </c>
      <c r="T5136">
        <v>-0.22728989999999999</v>
      </c>
      <c r="U5136">
        <v>-1.1317600000000001</v>
      </c>
      <c r="V5136">
        <v>-0.29997550000000001</v>
      </c>
      <c r="W5136">
        <v>0.32571630000000001</v>
      </c>
      <c r="X5136">
        <v>0.89661780000000002</v>
      </c>
      <c r="Y5136">
        <v>-0.32176579999999999</v>
      </c>
      <c r="Z5136">
        <v>-1.2393599999999999E-2</v>
      </c>
      <c r="AA5136">
        <v>0.94673819999999997</v>
      </c>
      <c r="AB5136">
        <v>33</v>
      </c>
      <c r="AC5136">
        <v>-14.498799999999999</v>
      </c>
      <c r="AD5136">
        <v>-1.11290236314899</v>
      </c>
      <c r="AE5136">
        <v>-5.5295000000000103</v>
      </c>
      <c r="AF5136">
        <v>-5.0793724334972401</v>
      </c>
      <c r="AG5136">
        <v>-1.11290236314899</v>
      </c>
      <c r="AH5136">
        <v>14.578491896115599</v>
      </c>
      <c r="AI5136">
        <v>94.123229341058405</v>
      </c>
      <c r="AJ5136">
        <v>109.20912826031</v>
      </c>
      <c r="AK5136">
        <v>15.478081339532499</v>
      </c>
      <c r="AL5136">
        <v>70.9910214467739</v>
      </c>
      <c r="AM5136">
        <v>108.4983552835</v>
      </c>
      <c r="AN5136">
        <v>0.99999994398138803</v>
      </c>
    </row>
    <row r="5137" spans="1:40" x14ac:dyDescent="0.25">
      <c r="A5137" t="str">
        <f>"20190304164229309"</f>
        <v>20190304164229309</v>
      </c>
      <c r="B5137" t="str">
        <f>"1551688949296725"</f>
        <v>1551688949296725</v>
      </c>
      <c r="C5137" t="s">
        <v>40</v>
      </c>
      <c r="D5137">
        <v>4.2445089999999999</v>
      </c>
      <c r="E5137">
        <v>0.53120400000000001</v>
      </c>
      <c r="F5137" t="s">
        <v>42</v>
      </c>
      <c r="G5137">
        <v>-388.00080000000003</v>
      </c>
      <c r="H5137" s="1">
        <v>-1.3256259999999999E-6</v>
      </c>
      <c r="I5137">
        <v>137.1386</v>
      </c>
      <c r="J5137">
        <v>-374.85410000000002</v>
      </c>
      <c r="K5137">
        <v>1.1129910000000001</v>
      </c>
      <c r="L5137">
        <v>141.21090000000001</v>
      </c>
      <c r="M5137">
        <v>-0.99937969999999998</v>
      </c>
      <c r="N5137">
        <v>-1.4566310000000001E-2</v>
      </c>
      <c r="O5137">
        <v>-3.2067140000000001E-2</v>
      </c>
      <c r="P5137">
        <v>-0.89001390000000002</v>
      </c>
      <c r="Q5137">
        <v>0.3153068</v>
      </c>
      <c r="R5137">
        <v>-0.32932850000000002</v>
      </c>
      <c r="S5137">
        <v>-3.1102599999999998</v>
      </c>
      <c r="T5137">
        <v>-0.25678879999999998</v>
      </c>
      <c r="U5137">
        <v>-0.94256589999999996</v>
      </c>
      <c r="V5137">
        <v>-0.30256050000000001</v>
      </c>
      <c r="W5137">
        <v>0.326594</v>
      </c>
      <c r="X5137">
        <v>0.89542929999999998</v>
      </c>
      <c r="Y5137">
        <v>-0.25829550000000001</v>
      </c>
      <c r="Z5137">
        <v>-1.0213069999999999E-2</v>
      </c>
      <c r="AA5137">
        <v>0.96601199999999998</v>
      </c>
      <c r="AB5137">
        <v>33</v>
      </c>
      <c r="AC5137">
        <v>-13.146699999999999</v>
      </c>
      <c r="AD5137">
        <v>-1.1129923256259999</v>
      </c>
      <c r="AE5137">
        <v>-4.07230000000001</v>
      </c>
      <c r="AF5137">
        <v>-3.6248777640104</v>
      </c>
      <c r="AG5137">
        <v>-1.1129923256259999</v>
      </c>
      <c r="AH5137">
        <v>13.1843163897195</v>
      </c>
      <c r="AI5137">
        <v>94.653472509830607</v>
      </c>
      <c r="AJ5137">
        <v>105.37298168378101</v>
      </c>
      <c r="AK5137">
        <v>13.718771424043201</v>
      </c>
      <c r="AL5137">
        <v>70.937826273028307</v>
      </c>
      <c r="AM5137">
        <v>108.669820359928</v>
      </c>
      <c r="AN5137">
        <v>1.0000000641473601</v>
      </c>
    </row>
    <row r="5138" spans="1:40" x14ac:dyDescent="0.25">
      <c r="A5138" t="str">
        <f>"20190304164229332"</f>
        <v>20190304164229332</v>
      </c>
      <c r="B5138" t="str">
        <f>"1551688949326004"</f>
        <v>1551688949326004</v>
      </c>
      <c r="C5138" t="s">
        <v>40</v>
      </c>
      <c r="D5138">
        <v>4.2358089999999997</v>
      </c>
      <c r="E5138">
        <v>0.54021419999999998</v>
      </c>
      <c r="F5138" t="s">
        <v>42</v>
      </c>
      <c r="G5138">
        <v>-386.89760000000001</v>
      </c>
      <c r="H5138" s="1">
        <v>-1.5895720000000001E-6</v>
      </c>
      <c r="I5138">
        <v>138.0582</v>
      </c>
      <c r="J5138">
        <v>-375.1934</v>
      </c>
      <c r="K5138">
        <v>1.1130500000000001</v>
      </c>
      <c r="L5138">
        <v>141.1969</v>
      </c>
      <c r="M5138">
        <v>-0.99927540000000004</v>
      </c>
      <c r="N5138">
        <v>-1.456583E-2</v>
      </c>
      <c r="O5138">
        <v>-3.5166450000000002E-2</v>
      </c>
      <c r="P5138">
        <v>-0.88786690000000001</v>
      </c>
      <c r="Q5138">
        <v>0.31507069999999998</v>
      </c>
      <c r="R5138">
        <v>-0.33529619999999999</v>
      </c>
      <c r="S5138">
        <v>-3.1675719999999998</v>
      </c>
      <c r="T5138">
        <v>-0.29273059999999901</v>
      </c>
      <c r="U5138">
        <v>-0.82917790000000002</v>
      </c>
      <c r="V5138">
        <v>-0.30585849999999998</v>
      </c>
      <c r="W5138">
        <v>0.32627349999999999</v>
      </c>
      <c r="X5138">
        <v>0.89442500000000003</v>
      </c>
      <c r="Y5138">
        <v>-0.2181437</v>
      </c>
      <c r="Z5138">
        <v>-8.8297029999999995E-3</v>
      </c>
      <c r="AA5138">
        <v>0.97587670000000004</v>
      </c>
      <c r="AB5138">
        <v>33</v>
      </c>
      <c r="AC5138">
        <v>-11.7042</v>
      </c>
      <c r="AD5138">
        <v>-1.1130515895719999</v>
      </c>
      <c r="AE5138">
        <v>-3.1387</v>
      </c>
      <c r="AF5138">
        <v>-2.7023199876487798</v>
      </c>
      <c r="AG5138">
        <v>-1.1130515895719999</v>
      </c>
      <c r="AH5138">
        <v>11.708562788828001</v>
      </c>
      <c r="AI5138">
        <v>95.292092329574402</v>
      </c>
      <c r="AJ5138">
        <v>102.996214841335</v>
      </c>
      <c r="AK5138">
        <v>12.0678026059686</v>
      </c>
      <c r="AL5138">
        <v>70.957251545033401</v>
      </c>
      <c r="AM5138">
        <v>108.878689265913</v>
      </c>
      <c r="AN5138">
        <v>0.99999994972474804</v>
      </c>
    </row>
    <row r="5139" spans="1:40" x14ac:dyDescent="0.25">
      <c r="A5139" t="str">
        <f>"20190304164229355"</f>
        <v>20190304164229355</v>
      </c>
      <c r="B5139" t="str">
        <f>"1551688949346501"</f>
        <v>1551688949346501</v>
      </c>
      <c r="C5139" t="s">
        <v>40</v>
      </c>
      <c r="D5139">
        <v>4.2518539999999998</v>
      </c>
      <c r="E5139">
        <v>0.54284379999999999</v>
      </c>
      <c r="F5139" t="s">
        <v>42</v>
      </c>
      <c r="G5139">
        <v>-386.483</v>
      </c>
      <c r="H5139" s="1">
        <v>-1.6990379999999999E-6</v>
      </c>
      <c r="I5139">
        <v>138.44399999999999</v>
      </c>
      <c r="J5139">
        <v>-375.51960000000003</v>
      </c>
      <c r="K5139">
        <v>1.113081</v>
      </c>
      <c r="L5139">
        <v>141.1824</v>
      </c>
      <c r="M5139">
        <v>-0.99916499999999997</v>
      </c>
      <c r="N5139">
        <v>-1.4564809999999999E-2</v>
      </c>
      <c r="O5139">
        <v>-3.8175109999999998E-2</v>
      </c>
      <c r="P5139">
        <v>-0.8853763</v>
      </c>
      <c r="Q5139">
        <v>0.3146446</v>
      </c>
      <c r="R5139">
        <v>-0.34221069999999998</v>
      </c>
      <c r="S5139">
        <v>-3.1963499999999998</v>
      </c>
      <c r="T5139">
        <v>-0.31513259999999899</v>
      </c>
      <c r="U5139">
        <v>-0.77938839999999998</v>
      </c>
      <c r="V5139">
        <v>-0.3101875</v>
      </c>
      <c r="W5139">
        <v>0.32576729999999998</v>
      </c>
      <c r="X5139">
        <v>0.89311779999999996</v>
      </c>
      <c r="Y5139">
        <v>-0.19870889999999999</v>
      </c>
      <c r="Z5139">
        <v>-7.9553590000000004E-3</v>
      </c>
      <c r="AA5139">
        <v>0.98002619999999896</v>
      </c>
      <c r="AB5139">
        <v>33</v>
      </c>
      <c r="AC5139">
        <v>-10.963399999999901</v>
      </c>
      <c r="AD5139">
        <v>-1.1130826990380001</v>
      </c>
      <c r="AE5139">
        <v>-2.7384000000000102</v>
      </c>
      <c r="AF5139">
        <v>-2.2955575814677101</v>
      </c>
      <c r="AG5139">
        <v>-1.1130826990380001</v>
      </c>
      <c r="AH5139">
        <v>10.9536790622216</v>
      </c>
      <c r="AI5139">
        <v>95.679769485120701</v>
      </c>
      <c r="AJ5139">
        <v>101.836155754446</v>
      </c>
      <c r="AK5139">
        <v>11.2468494567538</v>
      </c>
      <c r="AL5139">
        <v>70.987932132513606</v>
      </c>
      <c r="AM5139">
        <v>109.152554356698</v>
      </c>
      <c r="AN5139">
        <v>1.00000001179119</v>
      </c>
    </row>
    <row r="5140" spans="1:40" x14ac:dyDescent="0.25">
      <c r="A5140" t="str">
        <f>"20190304164229376"</f>
        <v>20190304164229376</v>
      </c>
      <c r="B5140" t="str">
        <f>"1551688949366021"</f>
        <v>1551688949366021</v>
      </c>
      <c r="C5140" t="s">
        <v>40</v>
      </c>
      <c r="D5140">
        <v>4.2589180000000004</v>
      </c>
      <c r="E5140">
        <v>0.54466499999999995</v>
      </c>
      <c r="F5140" t="s">
        <v>42</v>
      </c>
      <c r="G5140">
        <v>-386.4846</v>
      </c>
      <c r="H5140" s="1">
        <v>-1.686827E-6</v>
      </c>
      <c r="I5140">
        <v>138.50899999999999</v>
      </c>
      <c r="J5140">
        <v>-375.83819999999997</v>
      </c>
      <c r="K5140">
        <v>1.11311</v>
      </c>
      <c r="L5140">
        <v>141.16720000000001</v>
      </c>
      <c r="M5140">
        <v>-0.99904809999999999</v>
      </c>
      <c r="N5140">
        <v>-1.4563420000000001E-2</v>
      </c>
      <c r="O5140">
        <v>-4.1121489999999997E-2</v>
      </c>
      <c r="P5140">
        <v>-0.88275630000000005</v>
      </c>
      <c r="Q5140">
        <v>0.31499310000000003</v>
      </c>
      <c r="R5140">
        <v>-0.34859839999999997</v>
      </c>
      <c r="S5140">
        <v>-3.2021480000000002</v>
      </c>
      <c r="T5140">
        <v>-0.32505970000000001</v>
      </c>
      <c r="U5140">
        <v>-0.78070069999999903</v>
      </c>
      <c r="V5140">
        <v>-0.31405379999999999</v>
      </c>
      <c r="W5140">
        <v>0.3260477</v>
      </c>
      <c r="X5140">
        <v>0.89166309999999904</v>
      </c>
      <c r="Y5140">
        <v>-0.1957663</v>
      </c>
      <c r="Z5140">
        <v>-7.7108879999999999E-3</v>
      </c>
      <c r="AA5140">
        <v>0.9806203</v>
      </c>
      <c r="AB5140">
        <v>33</v>
      </c>
      <c r="AC5140">
        <v>-10.6464</v>
      </c>
      <c r="AD5140">
        <v>-1.1131116868269999</v>
      </c>
      <c r="AE5140">
        <v>-2.6582000000000199</v>
      </c>
      <c r="AF5140">
        <v>-2.1955173666815502</v>
      </c>
      <c r="AG5140">
        <v>-1.1131116868269999</v>
      </c>
      <c r="AH5140">
        <v>10.6372580206209</v>
      </c>
      <c r="AI5140">
        <v>95.851391818604</v>
      </c>
      <c r="AJ5140">
        <v>101.662018476006</v>
      </c>
      <c r="AK5140">
        <v>10.918359415773701</v>
      </c>
      <c r="AL5140">
        <v>70.970938104715302</v>
      </c>
      <c r="AM5140">
        <v>109.40283859151801</v>
      </c>
      <c r="AN5140">
        <v>0.99999998793566902</v>
      </c>
    </row>
    <row r="5141" spans="1:40" x14ac:dyDescent="0.25">
      <c r="A5141" t="str">
        <f>"20190304164229399"</f>
        <v>20190304164229399</v>
      </c>
      <c r="B5141" t="str">
        <f>"1551688949386517"</f>
        <v>1551688949386517</v>
      </c>
      <c r="C5141" t="s">
        <v>40</v>
      </c>
      <c r="D5141">
        <v>4.2722089999999904</v>
      </c>
      <c r="E5141">
        <v>0.54603199999999996</v>
      </c>
      <c r="F5141" t="s">
        <v>42</v>
      </c>
      <c r="G5141">
        <v>-386.82859999999999</v>
      </c>
      <c r="H5141" s="1">
        <v>-1.5467200000000001E-6</v>
      </c>
      <c r="I5141">
        <v>138.46690000000001</v>
      </c>
      <c r="J5141">
        <v>-376.1653</v>
      </c>
      <c r="K5141">
        <v>1.113129</v>
      </c>
      <c r="L5141">
        <v>141.1507</v>
      </c>
      <c r="M5141">
        <v>-0.99891969999999997</v>
      </c>
      <c r="N5141">
        <v>-1.456121E-2</v>
      </c>
      <c r="O5141">
        <v>-4.4130000000000003E-2</v>
      </c>
      <c r="P5141">
        <v>-0.87989439999999997</v>
      </c>
      <c r="Q5141">
        <v>0.31687749999999998</v>
      </c>
      <c r="R5141">
        <v>-0.35408299999999998</v>
      </c>
      <c r="S5141">
        <v>-3.2033999999999998</v>
      </c>
      <c r="T5141">
        <v>-0.32444329999999999</v>
      </c>
      <c r="U5141">
        <v>-0.78706359999999997</v>
      </c>
      <c r="V5141">
        <v>-0.31697969999999998</v>
      </c>
      <c r="W5141">
        <v>0.32787769999999999</v>
      </c>
      <c r="X5141">
        <v>0.8899551</v>
      </c>
      <c r="Y5141">
        <v>-0.1945847</v>
      </c>
      <c r="Z5141">
        <v>-7.3737639999999997E-3</v>
      </c>
      <c r="AA5141">
        <v>0.98085800000000001</v>
      </c>
      <c r="AB5141">
        <v>33</v>
      </c>
      <c r="AC5141">
        <v>-10.6632999999999</v>
      </c>
      <c r="AD5141">
        <v>-1.1131305467199999</v>
      </c>
      <c r="AE5141">
        <v>-2.68379999999999</v>
      </c>
      <c r="AF5141">
        <v>-2.18813975115118</v>
      </c>
      <c r="AG5141">
        <v>-1.1131305467199999</v>
      </c>
      <c r="AH5141">
        <v>10.6620942529517</v>
      </c>
      <c r="AI5141">
        <v>95.839296711811997</v>
      </c>
      <c r="AJ5141">
        <v>101.597556394371</v>
      </c>
      <c r="AK5141">
        <v>10.941081712675199</v>
      </c>
      <c r="AL5141">
        <v>70.859988924577493</v>
      </c>
      <c r="AM5141">
        <v>109.604624651655</v>
      </c>
      <c r="AN5141">
        <v>0.99999999819269403</v>
      </c>
    </row>
    <row r="5142" spans="1:40" x14ac:dyDescent="0.25">
      <c r="A5142" t="str">
        <f>"20190304164229421"</f>
        <v>20190304164229421</v>
      </c>
      <c r="B5142" t="str">
        <f>"1551688949415797"</f>
        <v>1551688949415797</v>
      </c>
      <c r="C5142" t="s">
        <v>40</v>
      </c>
      <c r="D5142">
        <v>4.1989089999999996</v>
      </c>
      <c r="E5142">
        <v>0.54709039999999998</v>
      </c>
      <c r="F5142" t="s">
        <v>42</v>
      </c>
      <c r="G5142">
        <v>-387.36090000000002</v>
      </c>
      <c r="H5142" s="1">
        <v>-1.336075E-6</v>
      </c>
      <c r="I5142">
        <v>138.36699999999999</v>
      </c>
      <c r="J5142">
        <v>-376.50060000000002</v>
      </c>
      <c r="K5142">
        <v>1.1131219999999999</v>
      </c>
      <c r="L5142">
        <v>141.1328</v>
      </c>
      <c r="M5142">
        <v>-0.99878080000000002</v>
      </c>
      <c r="N5142">
        <v>-1.4558150000000001E-2</v>
      </c>
      <c r="O5142">
        <v>-4.7169269999999999E-2</v>
      </c>
      <c r="P5142">
        <v>-0.87742050000000005</v>
      </c>
      <c r="Q5142">
        <v>0.31876179999999998</v>
      </c>
      <c r="R5142">
        <v>-0.35850270000000001</v>
      </c>
      <c r="S5142">
        <v>-3.2037049999999998</v>
      </c>
      <c r="T5142">
        <v>-0.3185325</v>
      </c>
      <c r="U5142">
        <v>-0.79656979999999999</v>
      </c>
      <c r="V5142">
        <v>-0.31879049999999998</v>
      </c>
      <c r="W5142">
        <v>0.32973709999999901</v>
      </c>
      <c r="X5142">
        <v>0.88862030000000003</v>
      </c>
      <c r="Y5142">
        <v>-0.19436410000000001</v>
      </c>
      <c r="Z5142">
        <v>-7.0105599999999999E-3</v>
      </c>
      <c r="AA5142">
        <v>0.98090440000000001</v>
      </c>
      <c r="AB5142">
        <v>33</v>
      </c>
      <c r="AC5142">
        <v>-10.860299999999899</v>
      </c>
      <c r="AD5142">
        <v>-1.1131233360749999</v>
      </c>
      <c r="AE5142">
        <v>-2.7657999999999801</v>
      </c>
      <c r="AF5142">
        <v>-2.2284100398793698</v>
      </c>
      <c r="AG5142">
        <v>-1.1131233360749999</v>
      </c>
      <c r="AH5142">
        <v>10.871433278984201</v>
      </c>
      <c r="AI5142">
        <v>95.727851158490694</v>
      </c>
      <c r="AJ5142">
        <v>101.583943806463</v>
      </c>
      <c r="AK5142">
        <v>11.1531572393899</v>
      </c>
      <c r="AL5142">
        <v>70.747180441794498</v>
      </c>
      <c r="AM5142">
        <v>109.73533226796501</v>
      </c>
      <c r="AN5142">
        <v>0.99999998778937405</v>
      </c>
    </row>
    <row r="5143" spans="1:40" x14ac:dyDescent="0.25">
      <c r="A5143" t="str">
        <f>"20190304164229444"</f>
        <v>20190304164229444</v>
      </c>
      <c r="B5143" t="str">
        <f>"1551688949436295"</f>
        <v>1551688949436295</v>
      </c>
      <c r="C5143" t="s">
        <v>40</v>
      </c>
      <c r="D5143">
        <v>4.2706679999999997</v>
      </c>
      <c r="E5143">
        <v>0.54759990000000003</v>
      </c>
      <c r="F5143" t="s">
        <v>42</v>
      </c>
      <c r="G5143">
        <v>-387.9205</v>
      </c>
      <c r="H5143" s="1">
        <v>-1.115715E-6</v>
      </c>
      <c r="I5143">
        <v>138.25569999999999</v>
      </c>
      <c r="J5143">
        <v>-376.82380000000001</v>
      </c>
      <c r="K5143">
        <v>1.113097</v>
      </c>
      <c r="L5143">
        <v>141.1146</v>
      </c>
      <c r="M5143">
        <v>-0.99864200000000003</v>
      </c>
      <c r="N5143">
        <v>-1.45542E-2</v>
      </c>
      <c r="O5143">
        <v>-5.002355E-2</v>
      </c>
      <c r="P5143">
        <v>-0.87543490000000002</v>
      </c>
      <c r="Q5143">
        <v>0.32015359999999998</v>
      </c>
      <c r="R5143">
        <v>-0.36209849999999999</v>
      </c>
      <c r="S5143">
        <v>-3.2028810000000001</v>
      </c>
      <c r="T5143">
        <v>-0.31219200000000003</v>
      </c>
      <c r="U5143">
        <v>-0.80689999999999995</v>
      </c>
      <c r="V5143">
        <v>-0.31990439999999998</v>
      </c>
      <c r="W5143">
        <v>0.3311345</v>
      </c>
      <c r="X5143">
        <v>0.88769989999999999</v>
      </c>
      <c r="Y5143">
        <v>-0.19463649999999999</v>
      </c>
      <c r="Z5143">
        <v>-6.696451E-3</v>
      </c>
      <c r="AA5143">
        <v>0.98085259999999996</v>
      </c>
      <c r="AB5143">
        <v>33</v>
      </c>
      <c r="AC5143">
        <v>-11.096699999999901</v>
      </c>
      <c r="AD5143">
        <v>-1.1130981157149999</v>
      </c>
      <c r="AE5143">
        <v>-2.8589000000000002</v>
      </c>
      <c r="AF5143">
        <v>-2.2786643528572101</v>
      </c>
      <c r="AG5143">
        <v>-1.1130981157149999</v>
      </c>
      <c r="AH5143">
        <v>11.120899679032799</v>
      </c>
      <c r="AI5143">
        <v>95.600149441031405</v>
      </c>
      <c r="AJ5143">
        <v>101.579588100047</v>
      </c>
      <c r="AK5143">
        <v>11.406388925479501</v>
      </c>
      <c r="AL5143">
        <v>70.662350459929101</v>
      </c>
      <c r="AM5143">
        <v>109.817869110148</v>
      </c>
      <c r="AN5143">
        <v>0.99999999734480904</v>
      </c>
    </row>
    <row r="5144" spans="1:40" x14ac:dyDescent="0.25">
      <c r="A5144" t="str">
        <f>"20190304164229465"</f>
        <v>20190304164229465</v>
      </c>
      <c r="B5144" t="str">
        <f>"1551688949455813"</f>
        <v>1551688949455813</v>
      </c>
      <c r="C5144" t="s">
        <v>40</v>
      </c>
      <c r="D5144">
        <v>4.4122450000000004</v>
      </c>
      <c r="E5144">
        <v>0.54828319999999997</v>
      </c>
      <c r="F5144" t="s">
        <v>42</v>
      </c>
      <c r="G5144">
        <v>-388.4</v>
      </c>
      <c r="H5144" s="1">
        <v>-9.2719639999999996E-7</v>
      </c>
      <c r="I5144">
        <v>138.15889999999999</v>
      </c>
      <c r="J5144">
        <v>-377.1395</v>
      </c>
      <c r="K5144">
        <v>1.1130439999999999</v>
      </c>
      <c r="L5144">
        <v>141.096</v>
      </c>
      <c r="M5144">
        <v>-0.99850329999999998</v>
      </c>
      <c r="N5144">
        <v>-1.454954E-2</v>
      </c>
      <c r="O5144">
        <v>-5.2720620000000003E-2</v>
      </c>
      <c r="P5144">
        <v>-0.87377079999999996</v>
      </c>
      <c r="Q5144">
        <v>0.32107479999999999</v>
      </c>
      <c r="R5144">
        <v>-0.36528870000000002</v>
      </c>
      <c r="S5144">
        <v>-3.2013240000000001</v>
      </c>
      <c r="T5144">
        <v>-0.30782130000000002</v>
      </c>
      <c r="U5144">
        <v>-0.81735230000000003</v>
      </c>
      <c r="V5144">
        <v>-0.32072329999999999</v>
      </c>
      <c r="W5144">
        <v>0.33208369999999998</v>
      </c>
      <c r="X5144">
        <v>0.88704959999999899</v>
      </c>
      <c r="Y5144">
        <v>-0.19513610000000001</v>
      </c>
      <c r="Z5144">
        <v>-6.4455880000000004E-3</v>
      </c>
      <c r="AA5144">
        <v>0.98075500000000004</v>
      </c>
      <c r="AB5144">
        <v>33</v>
      </c>
      <c r="AC5144">
        <v>-11.260499999999899</v>
      </c>
      <c r="AD5144">
        <v>-1.1130449271964</v>
      </c>
      <c r="AE5144">
        <v>-2.9371000000000098</v>
      </c>
      <c r="AF5144">
        <v>-2.3180853251382301</v>
      </c>
      <c r="AG5144">
        <v>-1.1130449271964</v>
      </c>
      <c r="AH5144">
        <v>11.2963599668805</v>
      </c>
      <c r="AI5144">
        <v>95.513112562140805</v>
      </c>
      <c r="AJ5144">
        <v>101.596474495846</v>
      </c>
      <c r="AK5144">
        <v>11.585341474722201</v>
      </c>
      <c r="AL5144">
        <v>70.604703628041605</v>
      </c>
      <c r="AM5144">
        <v>109.87805765383</v>
      </c>
      <c r="AN5144">
        <v>1.0000000059143599</v>
      </c>
    </row>
    <row r="5145" spans="1:40" x14ac:dyDescent="0.25">
      <c r="A5145" t="str">
        <f>"20190304164229488"</f>
        <v>20190304164229488</v>
      </c>
      <c r="B5145" t="str">
        <f>"1551688949476310"</f>
        <v>1551688949476310</v>
      </c>
      <c r="C5145" t="s">
        <v>40</v>
      </c>
      <c r="D5145">
        <v>4.2769949999999897</v>
      </c>
      <c r="E5145">
        <v>0.54879149999999999</v>
      </c>
      <c r="F5145" t="s">
        <v>42</v>
      </c>
      <c r="G5145">
        <v>-388.76819999999998</v>
      </c>
      <c r="H5145" s="1">
        <v>-8.0849050000000002E-7</v>
      </c>
      <c r="I5145">
        <v>138.10059999999999</v>
      </c>
      <c r="J5145">
        <v>-377.46910000000003</v>
      </c>
      <c r="K5145">
        <v>1.1129690000000001</v>
      </c>
      <c r="L5145">
        <v>141.07570000000001</v>
      </c>
      <c r="M5145">
        <v>-0.99835600000000002</v>
      </c>
      <c r="N5145">
        <v>-1.454425E-2</v>
      </c>
      <c r="O5145">
        <v>-5.5444899999999998E-2</v>
      </c>
      <c r="P5145">
        <v>-0.87216870000000002</v>
      </c>
      <c r="Q5145">
        <v>0.32186389999999998</v>
      </c>
      <c r="R5145">
        <v>-0.3684096</v>
      </c>
      <c r="S5145">
        <v>-3.2012939999999999</v>
      </c>
      <c r="T5145">
        <v>-0.3064133</v>
      </c>
      <c r="U5145">
        <v>-0.82458500000000001</v>
      </c>
      <c r="V5145">
        <v>-0.32143899999999997</v>
      </c>
      <c r="W5145">
        <v>0.3329125</v>
      </c>
      <c r="X5145">
        <v>0.88647969999999898</v>
      </c>
      <c r="Y5145">
        <v>-0.19456010000000001</v>
      </c>
      <c r="Z5145">
        <v>-6.1774899999999999E-3</v>
      </c>
      <c r="AA5145">
        <v>0.9808711</v>
      </c>
      <c r="AB5145">
        <v>33</v>
      </c>
      <c r="AC5145">
        <v>-11.2990999999999</v>
      </c>
      <c r="AD5145">
        <v>-1.1129698084905</v>
      </c>
      <c r="AE5145">
        <v>-2.9751000000000198</v>
      </c>
      <c r="AF5145">
        <v>-2.32290244879316</v>
      </c>
      <c r="AG5145">
        <v>-1.1129698084905</v>
      </c>
      <c r="AH5145">
        <v>11.343761088775199</v>
      </c>
      <c r="AI5145">
        <v>95.490312822589701</v>
      </c>
      <c r="AJ5145">
        <v>101.57267537737501</v>
      </c>
      <c r="AK5145">
        <v>11.6325187822943</v>
      </c>
      <c r="AL5145">
        <v>70.554352180428495</v>
      </c>
      <c r="AM5145">
        <v>109.93072806015201</v>
      </c>
      <c r="AN5145">
        <v>1.0000000109446601</v>
      </c>
    </row>
    <row r="5146" spans="1:40" x14ac:dyDescent="0.25">
      <c r="A5146" t="str">
        <f>"20190304164229511"</f>
        <v>20190304164229511</v>
      </c>
      <c r="B5146" t="str">
        <f>"1551688949506565"</f>
        <v>1551688949506565</v>
      </c>
      <c r="C5146" t="s">
        <v>40</v>
      </c>
      <c r="D5146">
        <v>4.3132840000000003</v>
      </c>
      <c r="E5146">
        <v>0.54946790000000001</v>
      </c>
      <c r="F5146" t="s">
        <v>42</v>
      </c>
      <c r="G5146">
        <v>-389.26209999999998</v>
      </c>
      <c r="H5146" s="1">
        <v>-6.6410380000000004E-7</v>
      </c>
      <c r="I5146">
        <v>138.01159999999999</v>
      </c>
      <c r="J5146">
        <v>-377.8039</v>
      </c>
      <c r="K5146">
        <v>1.1128979999999999</v>
      </c>
      <c r="L5146">
        <v>141.05439999999999</v>
      </c>
      <c r="M5146">
        <v>-0.99820509999999996</v>
      </c>
      <c r="N5146">
        <v>-1.453875E-2</v>
      </c>
      <c r="O5146">
        <v>-5.8096679999999998E-2</v>
      </c>
      <c r="P5146">
        <v>-0.87081330000000001</v>
      </c>
      <c r="Q5146">
        <v>0.32328410000000002</v>
      </c>
      <c r="R5146">
        <v>-0.37036720000000001</v>
      </c>
      <c r="S5146">
        <v>-3.199951</v>
      </c>
      <c r="T5146">
        <v>-0.30199730000000002</v>
      </c>
      <c r="U5146">
        <v>-0.83140559999999997</v>
      </c>
      <c r="V5146">
        <v>-0.32104280000000002</v>
      </c>
      <c r="W5146">
        <v>0.33438959999999901</v>
      </c>
      <c r="X5146">
        <v>0.88606719999999894</v>
      </c>
      <c r="Y5146">
        <v>-0.1940442</v>
      </c>
      <c r="Z5146">
        <v>-5.8866819999999999E-3</v>
      </c>
      <c r="AA5146">
        <v>0.98097520000000005</v>
      </c>
      <c r="AB5146">
        <v>33</v>
      </c>
      <c r="AC5146">
        <v>-11.4581999999999</v>
      </c>
      <c r="AD5146">
        <v>-1.1128986641037999</v>
      </c>
      <c r="AE5146">
        <v>-3.0428000000000002</v>
      </c>
      <c r="AF5146">
        <v>-2.3511866795936398</v>
      </c>
      <c r="AG5146">
        <v>-1.1128986641037999</v>
      </c>
      <c r="AH5146">
        <v>11.514172818785401</v>
      </c>
      <c r="AI5146">
        <v>95.409803191321998</v>
      </c>
      <c r="AJ5146">
        <v>101.541095885521</v>
      </c>
      <c r="AK5146">
        <v>11.804355041242999</v>
      </c>
      <c r="AL5146">
        <v>70.464575545256096</v>
      </c>
      <c r="AM5146">
        <v>109.91663231164701</v>
      </c>
      <c r="AN5146">
        <v>0.99999998346791896</v>
      </c>
    </row>
    <row r="5147" spans="1:40" x14ac:dyDescent="0.25">
      <c r="A5147" t="str">
        <f>"20190304164229532"</f>
        <v>20190304164229532</v>
      </c>
      <c r="B5147" t="str">
        <f>"1551688949526085"</f>
        <v>1551688949526085</v>
      </c>
      <c r="C5147" t="s">
        <v>40</v>
      </c>
      <c r="D5147">
        <v>4.334492</v>
      </c>
      <c r="E5147">
        <v>0.54991959999999995</v>
      </c>
      <c r="F5147" t="s">
        <v>42</v>
      </c>
      <c r="G5147">
        <v>-389.64</v>
      </c>
      <c r="H5147" s="1">
        <v>-5.4706419999999997E-7</v>
      </c>
      <c r="I5147">
        <v>137.9682</v>
      </c>
      <c r="J5147">
        <v>-378.12130000000002</v>
      </c>
      <c r="K5147">
        <v>1.1128129999999901</v>
      </c>
      <c r="L5147">
        <v>141.0334</v>
      </c>
      <c r="M5147">
        <v>-0.9980637</v>
      </c>
      <c r="N5147">
        <v>-1.4533219999999999E-2</v>
      </c>
      <c r="O5147">
        <v>-6.0480069999999997E-2</v>
      </c>
      <c r="P5147">
        <v>-0.87000540000000004</v>
      </c>
      <c r="Q5147">
        <v>0.32533210000000001</v>
      </c>
      <c r="R5147">
        <v>-0.37047330000000001</v>
      </c>
      <c r="S5147">
        <v>-3.2017519999999999</v>
      </c>
      <c r="T5147">
        <v>-0.30105009999999999</v>
      </c>
      <c r="U5147">
        <v>-0.834823599999999</v>
      </c>
      <c r="V5147">
        <v>-0.31900489999999998</v>
      </c>
      <c r="W5147">
        <v>0.33651520000000001</v>
      </c>
      <c r="X5147">
        <v>0.88599850000000002</v>
      </c>
      <c r="Y5147">
        <v>-0.19256770000000001</v>
      </c>
      <c r="Z5147">
        <v>-5.6084739999999996E-3</v>
      </c>
      <c r="AA5147">
        <v>0.98126760000000002</v>
      </c>
      <c r="AB5147">
        <v>33</v>
      </c>
      <c r="AC5147">
        <v>-11.5186999999999</v>
      </c>
      <c r="AD5147">
        <v>-1.11281354706419</v>
      </c>
      <c r="AE5147">
        <v>-3.0651999999999999</v>
      </c>
      <c r="AF5147">
        <v>-2.3424452899508199</v>
      </c>
      <c r="AG5147">
        <v>-1.11281354706419</v>
      </c>
      <c r="AH5147">
        <v>11.5820616285681</v>
      </c>
      <c r="AI5147">
        <v>95.379907684081005</v>
      </c>
      <c r="AJ5147">
        <v>101.43370911273399</v>
      </c>
      <c r="AK5147">
        <v>11.868848111543601</v>
      </c>
      <c r="AL5147">
        <v>70.335296628355593</v>
      </c>
      <c r="AM5147">
        <v>109.801477688936</v>
      </c>
      <c r="AN5147">
        <v>0.99999997402864904</v>
      </c>
    </row>
    <row r="5148" spans="1:40" x14ac:dyDescent="0.25">
      <c r="A5148" t="str">
        <f>"20190304164229555"</f>
        <v>20190304164229555</v>
      </c>
      <c r="B5148" t="str">
        <f>"1551688949546581"</f>
        <v>1551688949546581</v>
      </c>
      <c r="C5148" t="s">
        <v>40</v>
      </c>
      <c r="D5148">
        <v>4.2498870000000002</v>
      </c>
      <c r="E5148">
        <v>0.55036260000000004</v>
      </c>
      <c r="F5148" t="s">
        <v>42</v>
      </c>
      <c r="G5148">
        <v>-389.93029999999999</v>
      </c>
      <c r="H5148" s="1">
        <v>-4.5238300000000001E-7</v>
      </c>
      <c r="I5148">
        <v>137.95269999999999</v>
      </c>
      <c r="J5148">
        <v>-378.43740000000003</v>
      </c>
      <c r="K5148">
        <v>1.1127069999999999</v>
      </c>
      <c r="L5148">
        <v>141.0119</v>
      </c>
      <c r="M5148">
        <v>-0.99792590000000003</v>
      </c>
      <c r="N5148">
        <v>-1.4527139999999999E-2</v>
      </c>
      <c r="O5148">
        <v>-6.2711970000000006E-2</v>
      </c>
      <c r="P5148">
        <v>-0.87002000000000002</v>
      </c>
      <c r="Q5148">
        <v>0.326206099999999</v>
      </c>
      <c r="R5148">
        <v>-0.36966850000000001</v>
      </c>
      <c r="S5148">
        <v>-3.205139</v>
      </c>
      <c r="T5148">
        <v>-0.30203619999999998</v>
      </c>
      <c r="U5148">
        <v>-0.83613590000000004</v>
      </c>
      <c r="V5148">
        <v>-0.31612469999999998</v>
      </c>
      <c r="W5148">
        <v>0.33749179999999901</v>
      </c>
      <c r="X5148">
        <v>0.88665919999999898</v>
      </c>
      <c r="Y5148">
        <v>-0.19050990000000001</v>
      </c>
      <c r="Z5148">
        <v>-5.3310939999999998E-3</v>
      </c>
      <c r="AA5148">
        <v>0.98167079999999995</v>
      </c>
      <c r="AB5148">
        <v>33</v>
      </c>
      <c r="AC5148">
        <v>-11.492899999999899</v>
      </c>
      <c r="AD5148">
        <v>-1.1127074523829901</v>
      </c>
      <c r="AE5148">
        <v>-3.0592000000000001</v>
      </c>
      <c r="AF5148">
        <v>-2.3121199798486498</v>
      </c>
      <c r="AG5148">
        <v>-1.1127074523829901</v>
      </c>
      <c r="AH5148">
        <v>11.5609453803223</v>
      </c>
      <c r="AI5148">
        <v>95.391499942010299</v>
      </c>
      <c r="AJ5148">
        <v>101.309603205125</v>
      </c>
      <c r="AK5148">
        <v>11.842274898118101</v>
      </c>
      <c r="AL5148">
        <v>70.275866351702803</v>
      </c>
      <c r="AM5148">
        <v>109.62291087251801</v>
      </c>
      <c r="AN5148">
        <v>1.00000003898098</v>
      </c>
    </row>
    <row r="5149" spans="1:40" x14ac:dyDescent="0.25">
      <c r="A5149" t="str">
        <f>"20190304164229576"</f>
        <v>20190304164229576</v>
      </c>
      <c r="B5149" t="str">
        <f>"1551688949566101"</f>
        <v>1551688949566101</v>
      </c>
      <c r="C5149" t="s">
        <v>40</v>
      </c>
      <c r="D5149">
        <v>4.2435130000000001</v>
      </c>
      <c r="E5149">
        <v>0.55078509999999903</v>
      </c>
      <c r="F5149" t="s">
        <v>42</v>
      </c>
      <c r="G5149">
        <v>-390.13490000000002</v>
      </c>
      <c r="H5149" s="1">
        <v>-4.5055829999999999E-6</v>
      </c>
      <c r="I5149">
        <v>137.97450000000001</v>
      </c>
      <c r="J5149">
        <v>-378.7568</v>
      </c>
      <c r="K5149">
        <v>1.11259</v>
      </c>
      <c r="L5149">
        <v>140.9896</v>
      </c>
      <c r="M5149">
        <v>-0.99779180000000001</v>
      </c>
      <c r="N5149">
        <v>-1.4520409999999999E-2</v>
      </c>
      <c r="O5149">
        <v>-6.4813319999999994E-2</v>
      </c>
      <c r="P5149">
        <v>-0.87000379999999999</v>
      </c>
      <c r="Q5149">
        <v>0.32675549999999998</v>
      </c>
      <c r="R5149">
        <v>-0.36922169999999999</v>
      </c>
      <c r="S5149">
        <v>-3.2086489999999999</v>
      </c>
      <c r="T5149">
        <v>-0.30521920000000002</v>
      </c>
      <c r="U5149">
        <v>-0.83312989999999998</v>
      </c>
      <c r="V5149">
        <v>-0.31370199999999998</v>
      </c>
      <c r="W5149">
        <v>0.33815099999999998</v>
      </c>
      <c r="X5149">
        <v>0.88726819999999895</v>
      </c>
      <c r="Y5149">
        <v>-0.1873281</v>
      </c>
      <c r="Z5149">
        <v>-5.0217289999999999E-3</v>
      </c>
      <c r="AA5149">
        <v>0.9822845</v>
      </c>
      <c r="AB5149">
        <v>33</v>
      </c>
      <c r="AC5149">
        <v>-11.3781</v>
      </c>
      <c r="AD5149">
        <v>-1.112594505583</v>
      </c>
      <c r="AE5149">
        <v>-3.0150999999999799</v>
      </c>
      <c r="AF5149">
        <v>-2.2511167943368902</v>
      </c>
      <c r="AG5149">
        <v>-1.112594505583</v>
      </c>
      <c r="AH5149">
        <v>11.447336603576501</v>
      </c>
      <c r="AI5149">
        <v>95.4475926645963</v>
      </c>
      <c r="AJ5149">
        <v>101.125246227402</v>
      </c>
      <c r="AK5149">
        <v>11.7195097453427</v>
      </c>
      <c r="AL5149">
        <v>70.235736020013107</v>
      </c>
      <c r="AM5149">
        <v>109.471525976937</v>
      </c>
      <c r="AN5149">
        <v>0.99999995116811802</v>
      </c>
    </row>
    <row r="5150" spans="1:40" x14ac:dyDescent="0.25">
      <c r="A5150" t="str">
        <f>"20190304164229593"</f>
        <v>20190304164229593</v>
      </c>
      <c r="B5150" t="str">
        <f>"1551688949586597"</f>
        <v>1551688949586597</v>
      </c>
      <c r="C5150" t="s">
        <v>40</v>
      </c>
      <c r="D5150">
        <v>4.2497189999999998</v>
      </c>
      <c r="E5150">
        <v>0.55112879999999997</v>
      </c>
      <c r="F5150" t="s">
        <v>42</v>
      </c>
      <c r="G5150">
        <v>-390.29730000000001</v>
      </c>
      <c r="H5150" s="1">
        <v>-4.4315410000000003E-6</v>
      </c>
      <c r="I5150">
        <v>137.99940000000001</v>
      </c>
      <c r="J5150">
        <v>-379.00009999999997</v>
      </c>
      <c r="K5150">
        <v>1.112484</v>
      </c>
      <c r="L5150">
        <v>140.97219999999999</v>
      </c>
      <c r="M5150">
        <v>-0.99769439999999998</v>
      </c>
      <c r="N5150">
        <v>-1.451505E-2</v>
      </c>
      <c r="O5150">
        <v>-6.6298330000000003E-2</v>
      </c>
      <c r="P5150">
        <v>-0.86981149999999996</v>
      </c>
      <c r="Q5150">
        <v>0.32700030000000002</v>
      </c>
      <c r="R5150">
        <v>-0.36945830000000002</v>
      </c>
      <c r="S5150">
        <v>-3.211395</v>
      </c>
      <c r="T5150">
        <v>-0.30960480000000001</v>
      </c>
      <c r="U5150">
        <v>-0.83207699999999996</v>
      </c>
      <c r="V5150">
        <v>-0.31253839999999999</v>
      </c>
      <c r="W5150">
        <v>0.33847949999999999</v>
      </c>
      <c r="X5150">
        <v>0.88755360000000005</v>
      </c>
      <c r="Y5150">
        <v>-0.18535750000000001</v>
      </c>
      <c r="Z5150">
        <v>-4.8312119999999997E-3</v>
      </c>
      <c r="AA5150">
        <v>0.98265930000000001</v>
      </c>
      <c r="AB5150">
        <v>33</v>
      </c>
      <c r="AC5150">
        <v>-11.2972</v>
      </c>
      <c r="AD5150">
        <v>-1.112488431541</v>
      </c>
      <c r="AE5150">
        <v>-2.9727999999999701</v>
      </c>
      <c r="AF5150">
        <v>-2.1972661099639801</v>
      </c>
      <c r="AG5150">
        <v>-1.112488431541</v>
      </c>
      <c r="AH5150">
        <v>11.366367004203299</v>
      </c>
      <c r="AI5150">
        <v>95.489061872813906</v>
      </c>
      <c r="AJ5150">
        <v>100.941060449185</v>
      </c>
      <c r="AK5150">
        <v>11.6301293089351</v>
      </c>
      <c r="AL5150">
        <v>70.215736122813993</v>
      </c>
      <c r="AM5150">
        <v>109.398933938486</v>
      </c>
      <c r="AN5150">
        <v>1.00000000813388</v>
      </c>
    </row>
    <row r="5151" spans="1:40" x14ac:dyDescent="0.25">
      <c r="A5151" t="str">
        <f>"20190304164229607"</f>
        <v>20190304164229607</v>
      </c>
      <c r="B5151" t="str">
        <f>"1551688949596358"</f>
        <v>1551688949596358</v>
      </c>
      <c r="C5151" t="s">
        <v>40</v>
      </c>
      <c r="D5151">
        <v>4.2672800000000004</v>
      </c>
      <c r="E5151">
        <v>0.55129030000000001</v>
      </c>
      <c r="F5151" t="s">
        <v>42</v>
      </c>
      <c r="G5151">
        <v>-390.37849999999997</v>
      </c>
      <c r="H5151" s="1">
        <v>-4.3917450000000004E-6</v>
      </c>
      <c r="I5151">
        <v>138.0273</v>
      </c>
      <c r="J5151">
        <v>-379.18920000000003</v>
      </c>
      <c r="K5151">
        <v>1.1124000000000001</v>
      </c>
      <c r="L5151">
        <v>140.95859999999999</v>
      </c>
      <c r="M5151">
        <v>-0.99762119999999999</v>
      </c>
      <c r="N5151">
        <v>-1.451091E-2</v>
      </c>
      <c r="O5151">
        <v>-6.738914E-2</v>
      </c>
      <c r="P5151">
        <v>-0.86978739999999999</v>
      </c>
      <c r="Q5151">
        <v>0.32706659999999999</v>
      </c>
      <c r="R5151">
        <v>-0.36945549999999999</v>
      </c>
      <c r="S5151">
        <v>-3.2138979999999999</v>
      </c>
      <c r="T5151">
        <v>-0.31422949999999999</v>
      </c>
      <c r="U5151">
        <v>-0.831787099999999</v>
      </c>
      <c r="V5151">
        <v>-0.31149090000000001</v>
      </c>
      <c r="W5151">
        <v>0.33861629999999998</v>
      </c>
      <c r="X5151">
        <v>0.88786960000000004</v>
      </c>
      <c r="Y5151">
        <v>-0.1840069</v>
      </c>
      <c r="Z5151">
        <v>-4.7028230000000001E-3</v>
      </c>
      <c r="AA5151">
        <v>0.9829137</v>
      </c>
      <c r="AB5151">
        <v>33</v>
      </c>
      <c r="AC5151">
        <v>-11.1892999999999</v>
      </c>
      <c r="AD5151">
        <v>-1.1124043917449999</v>
      </c>
      <c r="AE5151">
        <v>-2.93129999999999</v>
      </c>
      <c r="AF5151">
        <v>-2.1506273046023301</v>
      </c>
      <c r="AG5151">
        <v>-1.1124043917449999</v>
      </c>
      <c r="AH5151">
        <v>11.257299226535</v>
      </c>
      <c r="AI5151">
        <v>95.543815154398203</v>
      </c>
      <c r="AJ5151">
        <v>100.81562890917399</v>
      </c>
      <c r="AK5151">
        <v>11.514748247782901</v>
      </c>
      <c r="AL5151">
        <v>70.2074060637607</v>
      </c>
      <c r="AM5151">
        <v>109.332378438253</v>
      </c>
      <c r="AN5151">
        <v>1.0000000030063301</v>
      </c>
    </row>
    <row r="5152" spans="1:40" x14ac:dyDescent="0.25">
      <c r="A5152" t="str">
        <f>"20190304164229622"</f>
        <v>20190304164229622</v>
      </c>
      <c r="B5152" t="str">
        <f>"1551688949615877"</f>
        <v>1551688949615877</v>
      </c>
      <c r="C5152" t="s">
        <v>40</v>
      </c>
      <c r="D5152">
        <v>4.22349</v>
      </c>
      <c r="E5152">
        <v>0.55156919999999898</v>
      </c>
      <c r="F5152" t="s">
        <v>42</v>
      </c>
      <c r="G5152">
        <v>-390.47609999999997</v>
      </c>
      <c r="H5152" s="1">
        <v>-4.3474769999999999E-6</v>
      </c>
      <c r="I5152">
        <v>138.04069999999999</v>
      </c>
      <c r="J5152">
        <v>-379.41460000000001</v>
      </c>
      <c r="K5152">
        <v>1.112295</v>
      </c>
      <c r="L5152">
        <v>140.94210000000001</v>
      </c>
      <c r="M5152">
        <v>-0.99753800000000004</v>
      </c>
      <c r="N5152">
        <v>-1.4506069999999999E-2</v>
      </c>
      <c r="O5152">
        <v>-6.8611790000000006E-2</v>
      </c>
      <c r="P5152">
        <v>-0.86956</v>
      </c>
      <c r="Q5152">
        <v>0.32717089999999999</v>
      </c>
      <c r="R5152">
        <v>-0.36989860000000002</v>
      </c>
      <c r="S5152">
        <v>-3.2152099999999999</v>
      </c>
      <c r="T5152">
        <v>-0.31688060000000001</v>
      </c>
      <c r="U5152">
        <v>-0.83117680000000005</v>
      </c>
      <c r="V5152">
        <v>-0.31076670000000001</v>
      </c>
      <c r="W5152">
        <v>0.33880250000000001</v>
      </c>
      <c r="X5152">
        <v>0.88805230000000002</v>
      </c>
      <c r="Y5152">
        <v>-0.18253169999999999</v>
      </c>
      <c r="Z5152">
        <v>-4.5388329999999999E-3</v>
      </c>
      <c r="AA5152">
        <v>0.98318950000000005</v>
      </c>
      <c r="AB5152">
        <v>32</v>
      </c>
      <c r="AC5152">
        <v>-11.061499999999899</v>
      </c>
      <c r="AD5152">
        <v>-1.112299347477</v>
      </c>
      <c r="AE5152">
        <v>-2.9014000000000202</v>
      </c>
      <c r="AF5152">
        <v>-2.1155179840252001</v>
      </c>
      <c r="AG5152">
        <v>-1.112299347477</v>
      </c>
      <c r="AH5152">
        <v>11.1292292949573</v>
      </c>
      <c r="AI5152">
        <v>95.607660097964398</v>
      </c>
      <c r="AJ5152">
        <v>100.762759060327</v>
      </c>
      <c r="AK5152">
        <v>11.3829860264725</v>
      </c>
      <c r="AL5152">
        <v>70.196066931363902</v>
      </c>
      <c r="AM5152">
        <v>109.287080039952</v>
      </c>
      <c r="AN5152">
        <v>0.99999998168521498</v>
      </c>
    </row>
    <row r="5153" spans="1:40" x14ac:dyDescent="0.25">
      <c r="A5153" t="str">
        <f>"20190304164229636"</f>
        <v>20190304164229636</v>
      </c>
      <c r="B5153" t="str">
        <f>"1551688949626612"</f>
        <v>1551688949626612</v>
      </c>
      <c r="C5153" t="s">
        <v>40</v>
      </c>
      <c r="D5153">
        <v>4.2731599999999998</v>
      </c>
      <c r="E5153">
        <v>0.55163600000000002</v>
      </c>
      <c r="F5153" t="s">
        <v>42</v>
      </c>
      <c r="G5153">
        <v>-390.53570000000002</v>
      </c>
      <c r="H5153" s="1">
        <v>-4.316836E-6</v>
      </c>
      <c r="I5153">
        <v>138.0694</v>
      </c>
      <c r="J5153">
        <v>-379.61540000000002</v>
      </c>
      <c r="K5153">
        <v>1.1122019999999999</v>
      </c>
      <c r="L5153">
        <v>140.9272</v>
      </c>
      <c r="M5153">
        <v>-0.99746970000000001</v>
      </c>
      <c r="N5153">
        <v>-1.4501740000000001E-2</v>
      </c>
      <c r="O5153">
        <v>-6.9598289999999993E-2</v>
      </c>
      <c r="P5153">
        <v>-0.86888989999999999</v>
      </c>
      <c r="Q5153">
        <v>0.32793349999999999</v>
      </c>
      <c r="R5153">
        <v>-0.37079640000000003</v>
      </c>
      <c r="S5153">
        <v>-3.2175600000000002</v>
      </c>
      <c r="T5153">
        <v>-0.32181219999999999</v>
      </c>
      <c r="U5153">
        <v>-0.83111569999999901</v>
      </c>
      <c r="V5153">
        <v>-0.310747099999999</v>
      </c>
      <c r="W5153">
        <v>0.33963140000000003</v>
      </c>
      <c r="X5153">
        <v>0.88774249999999899</v>
      </c>
      <c r="Y5153">
        <v>-0.18135889999999999</v>
      </c>
      <c r="Z5153">
        <v>-4.4224629999999997E-3</v>
      </c>
      <c r="AA5153">
        <v>0.98340700000000003</v>
      </c>
      <c r="AB5153">
        <v>32</v>
      </c>
      <c r="AC5153">
        <v>-10.9202999999999</v>
      </c>
      <c r="AD5153">
        <v>-1.1122063168359999</v>
      </c>
      <c r="AE5153">
        <v>-2.8577999999999899</v>
      </c>
      <c r="AF5153">
        <v>-2.0706524778593698</v>
      </c>
      <c r="AG5153">
        <v>-1.1122063168359999</v>
      </c>
      <c r="AH5153">
        <v>10.986078985731901</v>
      </c>
      <c r="AI5153">
        <v>95.681439236342598</v>
      </c>
      <c r="AJ5153">
        <v>100.673869939336</v>
      </c>
      <c r="AK5153">
        <v>11.234702312745799</v>
      </c>
      <c r="AL5153">
        <v>70.145581376973098</v>
      </c>
      <c r="AM5153">
        <v>109.292186537163</v>
      </c>
      <c r="AN5153">
        <v>0.99999999716530896</v>
      </c>
    </row>
    <row r="5154" spans="1:40" x14ac:dyDescent="0.25">
      <c r="A5154" t="str">
        <f>"20190304164229656"</f>
        <v>20190304164229656</v>
      </c>
      <c r="B5154" t="str">
        <f>"1551688949646134"</f>
        <v>1551688949646134</v>
      </c>
      <c r="C5154" t="s">
        <v>40</v>
      </c>
      <c r="D5154">
        <v>4.2746250000000003</v>
      </c>
      <c r="E5154">
        <v>0.55184940000000005</v>
      </c>
      <c r="F5154" t="s">
        <v>42</v>
      </c>
      <c r="G5154">
        <v>-390.7629</v>
      </c>
      <c r="H5154" s="1">
        <v>-4.2241339999999996E-6</v>
      </c>
      <c r="I5154">
        <v>138.04249999999999</v>
      </c>
      <c r="J5154">
        <v>-379.90320000000003</v>
      </c>
      <c r="K5154">
        <v>1.1120570000000001</v>
      </c>
      <c r="L5154">
        <v>140.9057</v>
      </c>
      <c r="M5154">
        <v>-0.99737779999999998</v>
      </c>
      <c r="N5154">
        <v>-1.4495640000000001E-2</v>
      </c>
      <c r="O5154">
        <v>-7.0905309999999999E-2</v>
      </c>
      <c r="P5154">
        <v>-0.86751900000000004</v>
      </c>
      <c r="Q5154">
        <v>0.32964640000000001</v>
      </c>
      <c r="R5154">
        <v>-0.37248409999999998</v>
      </c>
      <c r="S5154">
        <v>-3.2184750000000002</v>
      </c>
      <c r="T5154">
        <v>-0.32111289999999998</v>
      </c>
      <c r="U5154">
        <v>-0.83283999999999903</v>
      </c>
      <c r="V5154">
        <v>-0.31124649999999998</v>
      </c>
      <c r="W5154">
        <v>0.34143200000000001</v>
      </c>
      <c r="X5154">
        <v>0.88687649999999996</v>
      </c>
      <c r="Y5154">
        <v>-0.18050869999999999</v>
      </c>
      <c r="Z5154">
        <v>-4.2599329999999996E-3</v>
      </c>
      <c r="AA5154">
        <v>0.98356410000000005</v>
      </c>
      <c r="AB5154">
        <v>32</v>
      </c>
      <c r="AC5154">
        <v>-10.859699999999901</v>
      </c>
      <c r="AD5154">
        <v>-1.112061224134</v>
      </c>
      <c r="AE5154">
        <v>-2.8632</v>
      </c>
      <c r="AF5154">
        <v>-2.0656475990036398</v>
      </c>
      <c r="AG5154">
        <v>-1.112061224134</v>
      </c>
      <c r="AH5154">
        <v>10.928249821086601</v>
      </c>
      <c r="AI5154">
        <v>95.710007733169803</v>
      </c>
      <c r="AJ5154">
        <v>100.70371234159001</v>
      </c>
      <c r="AK5154">
        <v>11.177218988709701</v>
      </c>
      <c r="AL5154">
        <v>70.035857975331297</v>
      </c>
      <c r="AM5154">
        <v>109.338361211982</v>
      </c>
      <c r="AN5154">
        <v>1.00000006031924</v>
      </c>
    </row>
    <row r="5155" spans="1:40" x14ac:dyDescent="0.25">
      <c r="A5155" t="str">
        <f>"20190304164229678"</f>
        <v>20190304164229678</v>
      </c>
      <c r="B5155" t="str">
        <f>"1551688949666629"</f>
        <v>1551688949666629</v>
      </c>
      <c r="C5155" t="s">
        <v>40</v>
      </c>
      <c r="D5155">
        <v>4.3105570000000002</v>
      </c>
      <c r="E5155">
        <v>0.55203970000000002</v>
      </c>
      <c r="F5155" t="s">
        <v>42</v>
      </c>
      <c r="G5155">
        <v>-391.125</v>
      </c>
      <c r="H5155" s="1">
        <v>-4.0777669999999999E-6</v>
      </c>
      <c r="I5155">
        <v>137.99199999999999</v>
      </c>
      <c r="J5155">
        <v>-380.2122</v>
      </c>
      <c r="K5155">
        <v>1.1118969999999999</v>
      </c>
      <c r="L5155">
        <v>140.88239999999999</v>
      </c>
      <c r="M5155">
        <v>-0.99729060000000003</v>
      </c>
      <c r="N5155">
        <v>-1.448907E-2</v>
      </c>
      <c r="O5155">
        <v>-7.2123290000000007E-2</v>
      </c>
      <c r="P5155">
        <v>-0.866386199999999</v>
      </c>
      <c r="Q5155">
        <v>0.33029910000000001</v>
      </c>
      <c r="R5155">
        <v>-0.37453649999999999</v>
      </c>
      <c r="S5155">
        <v>-3.2204280000000001</v>
      </c>
      <c r="T5155">
        <v>-0.31913950000000002</v>
      </c>
      <c r="U5155">
        <v>-0.83616639999999998</v>
      </c>
      <c r="V5155">
        <v>-0.31215270000000001</v>
      </c>
      <c r="W5155">
        <v>0.34218969999999999</v>
      </c>
      <c r="X5155">
        <v>0.88626569999999905</v>
      </c>
      <c r="Y5155">
        <v>-0.1801297</v>
      </c>
      <c r="Z5155">
        <v>-4.1244020000000001E-3</v>
      </c>
      <c r="AA5155">
        <v>0.98363420000000001</v>
      </c>
      <c r="AB5155">
        <v>32</v>
      </c>
      <c r="AC5155">
        <v>-10.912800000000001</v>
      </c>
      <c r="AD5155">
        <v>-1.111901077767</v>
      </c>
      <c r="AE5155">
        <v>-2.8903999999999699</v>
      </c>
      <c r="AF5155">
        <v>-2.0755862922005002</v>
      </c>
      <c r="AG5155">
        <v>-1.111901077767</v>
      </c>
      <c r="AH5155">
        <v>10.986283733034799</v>
      </c>
      <c r="AI5155">
        <v>95.679326921147407</v>
      </c>
      <c r="AJ5155">
        <v>100.69852174287701</v>
      </c>
      <c r="AK5155">
        <v>11.235782693068399</v>
      </c>
      <c r="AL5155">
        <v>69.989661193763595</v>
      </c>
      <c r="AM5155">
        <v>109.40283428671999</v>
      </c>
      <c r="AN5155">
        <v>0.99999999494993397</v>
      </c>
    </row>
    <row r="5156" spans="1:40" x14ac:dyDescent="0.25">
      <c r="A5156" t="str">
        <f>"20190304164229693"</f>
        <v>20190304164229693</v>
      </c>
      <c r="B5156" t="str">
        <f>"1551688949686150"</f>
        <v>1551688949686150</v>
      </c>
      <c r="C5156" t="s">
        <v>40</v>
      </c>
      <c r="D5156">
        <v>4.7111070000000002</v>
      </c>
      <c r="E5156">
        <v>0.55211109999999997</v>
      </c>
      <c r="F5156" t="s">
        <v>42</v>
      </c>
      <c r="G5156">
        <v>-391.3759</v>
      </c>
      <c r="H5156" s="1">
        <v>-3.9750659999999998E-6</v>
      </c>
      <c r="I5156">
        <v>137.9641</v>
      </c>
      <c r="J5156">
        <v>-380.4366</v>
      </c>
      <c r="K5156">
        <v>1.1117760000000001</v>
      </c>
      <c r="L5156">
        <v>140.86529999999999</v>
      </c>
      <c r="M5156">
        <v>-0.99723700000000004</v>
      </c>
      <c r="N5156">
        <v>-1.448436E-2</v>
      </c>
      <c r="O5156">
        <v>-7.2861930000000005E-2</v>
      </c>
      <c r="P5156">
        <v>-0.86586549999999995</v>
      </c>
      <c r="Q5156">
        <v>0.3303102</v>
      </c>
      <c r="R5156">
        <v>-0.37572899999999998</v>
      </c>
      <c r="S5156">
        <v>-3.2209780000000001</v>
      </c>
      <c r="T5156">
        <v>-0.32080920000000002</v>
      </c>
      <c r="U5156">
        <v>-0.84197999999999995</v>
      </c>
      <c r="V5156">
        <v>-0.31261309999999998</v>
      </c>
      <c r="W5156">
        <v>0.34228969999999997</v>
      </c>
      <c r="X5156">
        <v>0.88606479999999999</v>
      </c>
      <c r="Y5156">
        <v>-0.18101500000000001</v>
      </c>
      <c r="Z5156">
        <v>-4.1209920000000004E-3</v>
      </c>
      <c r="AA5156">
        <v>0.98347169999999895</v>
      </c>
      <c r="AB5156">
        <v>32</v>
      </c>
      <c r="AC5156">
        <v>-10.939299999999999</v>
      </c>
      <c r="AD5156">
        <v>-1.111779975066</v>
      </c>
      <c r="AE5156">
        <v>-2.9011999999999798</v>
      </c>
      <c r="AF5156">
        <v>-2.0763081882266299</v>
      </c>
      <c r="AG5156">
        <v>-1.111779975066</v>
      </c>
      <c r="AH5156">
        <v>11.0153261673562</v>
      </c>
      <c r="AI5156">
        <v>95.664281237008495</v>
      </c>
      <c r="AJ5156">
        <v>100.67458929126001</v>
      </c>
      <c r="AK5156">
        <v>11.264302951301399</v>
      </c>
      <c r="AL5156">
        <v>69.983563687257799</v>
      </c>
      <c r="AM5156">
        <v>109.433384453694</v>
      </c>
      <c r="AN5156">
        <v>1.0000000094083701</v>
      </c>
    </row>
    <row r="5157" spans="1:40" x14ac:dyDescent="0.25">
      <c r="A5157" t="str">
        <f>"20190304164229711"</f>
        <v>20190304164229711</v>
      </c>
      <c r="B5157" t="str">
        <f>"1551688949706645"</f>
        <v>1551688949706645</v>
      </c>
      <c r="C5157" t="s">
        <v>40</v>
      </c>
      <c r="D5157">
        <v>4.3116700000000003</v>
      </c>
      <c r="E5157">
        <v>0.55229459999999997</v>
      </c>
      <c r="F5157" t="s">
        <v>42</v>
      </c>
      <c r="G5157">
        <v>-391.48700000000002</v>
      </c>
      <c r="H5157" s="1">
        <v>-3.9272999999999997E-6</v>
      </c>
      <c r="I5157">
        <v>137.96469999999999</v>
      </c>
      <c r="J5157">
        <v>-380.69940000000003</v>
      </c>
      <c r="K5157">
        <v>1.1116200000000001</v>
      </c>
      <c r="L5157">
        <v>140.84530000000001</v>
      </c>
      <c r="M5157">
        <v>-0.99718399999999996</v>
      </c>
      <c r="N5157">
        <v>-1.447883E-2</v>
      </c>
      <c r="O5157">
        <v>-7.3583220000000005E-2</v>
      </c>
      <c r="P5157">
        <v>-0.86500519999999903</v>
      </c>
      <c r="Q5157">
        <v>0.33043319999999998</v>
      </c>
      <c r="R5157">
        <v>-0.37759769999999998</v>
      </c>
      <c r="S5157">
        <v>-3.2214659999999999</v>
      </c>
      <c r="T5157">
        <v>-0.32411129999999999</v>
      </c>
      <c r="U5157">
        <v>-0.84556580000000003</v>
      </c>
      <c r="V5157">
        <v>-0.31376090000000001</v>
      </c>
      <c r="W5157">
        <v>0.34252090000000002</v>
      </c>
      <c r="X5157">
        <v>0.88556959999999996</v>
      </c>
      <c r="Y5157">
        <v>-0.18128059999999999</v>
      </c>
      <c r="Z5157">
        <v>-4.0922689999999999E-3</v>
      </c>
      <c r="AA5157">
        <v>0.98342289999999999</v>
      </c>
      <c r="AB5157">
        <v>32</v>
      </c>
      <c r="AC5157">
        <v>-10.7875999999999</v>
      </c>
      <c r="AD5157">
        <v>-1.1116239272999999</v>
      </c>
      <c r="AE5157">
        <v>-2.88060000000001</v>
      </c>
      <c r="AF5157">
        <v>-2.05851611516559</v>
      </c>
      <c r="AG5157">
        <v>-1.1116239272999999</v>
      </c>
      <c r="AH5157">
        <v>10.862666830789401</v>
      </c>
      <c r="AI5157">
        <v>95.741503047623695</v>
      </c>
      <c r="AJ5157">
        <v>100.730522311698</v>
      </c>
      <c r="AK5157">
        <v>11.111738254156</v>
      </c>
      <c r="AL5157">
        <v>69.969464304001406</v>
      </c>
      <c r="AM5157">
        <v>109.509442620907</v>
      </c>
      <c r="AN5157">
        <v>0.99999999287489005</v>
      </c>
    </row>
    <row r="5158" spans="1:40" x14ac:dyDescent="0.25">
      <c r="A5158" t="str">
        <f>"20190304164229728"</f>
        <v>20190304164229728</v>
      </c>
      <c r="B5158" t="str">
        <f>"1551688949716405"</f>
        <v>1551688949716405</v>
      </c>
      <c r="C5158" t="s">
        <v>40</v>
      </c>
      <c r="D5158">
        <v>4.3243619999999998</v>
      </c>
      <c r="E5158">
        <v>0.55240419999999901</v>
      </c>
      <c r="F5158" t="s">
        <v>42</v>
      </c>
      <c r="G5158">
        <v>-391.67239999999998</v>
      </c>
      <c r="H5158" s="1">
        <v>-3.8510640000000001E-6</v>
      </c>
      <c r="I5158">
        <v>137.9462</v>
      </c>
      <c r="J5158">
        <v>-380.923</v>
      </c>
      <c r="K5158">
        <v>1.111477</v>
      </c>
      <c r="L5158">
        <v>140.82820000000001</v>
      </c>
      <c r="M5158">
        <v>-0.99714800000000003</v>
      </c>
      <c r="N5158">
        <v>-1.447421E-2</v>
      </c>
      <c r="O5158">
        <v>-7.4072139999999995E-2</v>
      </c>
      <c r="P5158">
        <v>-0.86453780000000002</v>
      </c>
      <c r="Q5158">
        <v>0.33067550000000001</v>
      </c>
      <c r="R5158">
        <v>-0.37845590000000001</v>
      </c>
      <c r="S5158">
        <v>-3.2213440000000002</v>
      </c>
      <c r="T5158">
        <v>-0.32634069999999998</v>
      </c>
      <c r="U5158">
        <v>-0.85105900000000001</v>
      </c>
      <c r="V5158">
        <v>-0.3140925</v>
      </c>
      <c r="W5158">
        <v>0.3428658</v>
      </c>
      <c r="X5158">
        <v>0.88531859999999996</v>
      </c>
      <c r="Y5158">
        <v>-0.18236330000000001</v>
      </c>
      <c r="Z5158">
        <v>-4.1235959999999898E-3</v>
      </c>
      <c r="AA5158">
        <v>0.9832225</v>
      </c>
      <c r="AB5158">
        <v>32</v>
      </c>
      <c r="AC5158">
        <v>-10.7493999999999</v>
      </c>
      <c r="AD5158">
        <v>-1.111480851064</v>
      </c>
      <c r="AE5158">
        <v>-2.8820000000000001</v>
      </c>
      <c r="AF5158">
        <v>-2.0572469146115502</v>
      </c>
      <c r="AG5158">
        <v>-1.111480851064</v>
      </c>
      <c r="AH5158">
        <v>10.825385051727499</v>
      </c>
      <c r="AI5158">
        <v>95.759845926448605</v>
      </c>
      <c r="AJ5158">
        <v>100.760131745447</v>
      </c>
      <c r="AK5158">
        <v>11.075044743391601</v>
      </c>
      <c r="AL5158">
        <v>69.948430234823306</v>
      </c>
      <c r="AM5158">
        <v>109.533619363952</v>
      </c>
      <c r="AN5158">
        <v>1.0000000394359201</v>
      </c>
    </row>
    <row r="5159" spans="1:40" x14ac:dyDescent="0.25">
      <c r="A5159" t="str">
        <f>"20190304164229740"</f>
        <v>20190304164229740</v>
      </c>
      <c r="B5159" t="str">
        <f>"1551688949735924"</f>
        <v>1551688949735924</v>
      </c>
      <c r="C5159" t="s">
        <v>40</v>
      </c>
      <c r="D5159">
        <v>4.3129549999999997</v>
      </c>
      <c r="E5159">
        <v>0.552616</v>
      </c>
      <c r="F5159" t="s">
        <v>42</v>
      </c>
      <c r="G5159">
        <v>-391.84699999999998</v>
      </c>
      <c r="H5159" s="1">
        <v>-3.7785220000000001E-6</v>
      </c>
      <c r="I5159">
        <v>137.93260000000001</v>
      </c>
      <c r="J5159">
        <v>-381.12119999999999</v>
      </c>
      <c r="K5159">
        <v>1.111354</v>
      </c>
      <c r="L5159">
        <v>140.81299999999999</v>
      </c>
      <c r="M5159">
        <v>-0.99712250000000002</v>
      </c>
      <c r="N5159">
        <v>-1.447036E-2</v>
      </c>
      <c r="O5159">
        <v>-7.4415709999999996E-2</v>
      </c>
      <c r="P5159">
        <v>-0.86392289999999905</v>
      </c>
      <c r="Q5159">
        <v>0.33096429999999999</v>
      </c>
      <c r="R5159">
        <v>-0.37960519999999998</v>
      </c>
      <c r="S5159">
        <v>-3.2216800000000001</v>
      </c>
      <c r="T5159">
        <v>-0.32779550000000002</v>
      </c>
      <c r="U5159">
        <v>-0.85391240000000002</v>
      </c>
      <c r="V5159">
        <v>-0.31486740000000002</v>
      </c>
      <c r="W5159">
        <v>0.34324559999999998</v>
      </c>
      <c r="X5159">
        <v>0.88489599999999902</v>
      </c>
      <c r="Y5159">
        <v>-0.18280660000000001</v>
      </c>
      <c r="Z5159">
        <v>-4.1265829999999996E-3</v>
      </c>
      <c r="AA5159">
        <v>0.98314020000000002</v>
      </c>
      <c r="AB5159">
        <v>32</v>
      </c>
      <c r="AC5159">
        <v>-10.7257999999999</v>
      </c>
      <c r="AD5159">
        <v>-1.1113577785219999</v>
      </c>
      <c r="AE5159">
        <v>-2.8803999999999799</v>
      </c>
      <c r="AF5159">
        <v>-2.0535957946282699</v>
      </c>
      <c r="AG5159">
        <v>-1.1113577785219999</v>
      </c>
      <c r="AH5159">
        <v>10.802250588736801</v>
      </c>
      <c r="AI5159">
        <v>95.771390823030103</v>
      </c>
      <c r="AJ5159">
        <v>100.763947194534</v>
      </c>
      <c r="AK5159">
        <v>11.051741472793299</v>
      </c>
      <c r="AL5159">
        <v>69.925262097006794</v>
      </c>
      <c r="AM5159">
        <v>109.586788727354</v>
      </c>
      <c r="AN5159">
        <v>0.999999976159059</v>
      </c>
    </row>
    <row r="5160" spans="1:40" x14ac:dyDescent="0.25">
      <c r="A5160" t="str">
        <f>"20190304164229753"</f>
        <v>20190304164229753</v>
      </c>
      <c r="B5160" t="str">
        <f>"1551688949746661"</f>
        <v>1551688949746661</v>
      </c>
      <c r="C5160" t="s">
        <v>40</v>
      </c>
      <c r="D5160">
        <v>4.3207589999999998</v>
      </c>
      <c r="E5160">
        <v>0.55272790000000005</v>
      </c>
      <c r="F5160" t="s">
        <v>42</v>
      </c>
      <c r="G5160">
        <v>-391.95030000000003</v>
      </c>
      <c r="H5160" s="1">
        <v>-3.7339809999999999E-6</v>
      </c>
      <c r="I5160">
        <v>137.9341</v>
      </c>
      <c r="J5160">
        <v>-381.29539999999997</v>
      </c>
      <c r="K5160">
        <v>1.1112439999999999</v>
      </c>
      <c r="L5160">
        <v>140.7997</v>
      </c>
      <c r="M5160">
        <v>-0.99710719999999997</v>
      </c>
      <c r="N5160">
        <v>-1.446712E-2</v>
      </c>
      <c r="O5160">
        <v>-7.4619099999999994E-2</v>
      </c>
      <c r="P5160">
        <v>-0.86322369999999904</v>
      </c>
      <c r="Q5160">
        <v>0.3314821</v>
      </c>
      <c r="R5160">
        <v>-0.38074209999999997</v>
      </c>
      <c r="S5160">
        <v>-3.2227779999999999</v>
      </c>
      <c r="T5160">
        <v>-0.33074490000000001</v>
      </c>
      <c r="U5160">
        <v>-0.85673519999999903</v>
      </c>
      <c r="V5160">
        <v>-0.31577880000000003</v>
      </c>
      <c r="W5160">
        <v>0.34383760000000002</v>
      </c>
      <c r="X5160">
        <v>0.88434120000000005</v>
      </c>
      <c r="Y5160">
        <v>-0.18331459999999999</v>
      </c>
      <c r="Z5160">
        <v>-4.1526519999999997E-3</v>
      </c>
      <c r="AA5160">
        <v>0.98304550000000002</v>
      </c>
      <c r="AB5160">
        <v>32</v>
      </c>
      <c r="AC5160">
        <v>-10.6549</v>
      </c>
      <c r="AD5160">
        <v>-1.1112477339810001</v>
      </c>
      <c r="AE5160">
        <v>-2.8656000000000001</v>
      </c>
      <c r="AF5160">
        <v>-2.0417562803232499</v>
      </c>
      <c r="AG5160">
        <v>-1.1112477339810001</v>
      </c>
      <c r="AH5160">
        <v>10.730196736075801</v>
      </c>
      <c r="AI5160">
        <v>95.809127010019793</v>
      </c>
      <c r="AJ5160">
        <v>100.773524582744</v>
      </c>
      <c r="AK5160">
        <v>10.9791057117331</v>
      </c>
      <c r="AL5160">
        <v>69.889144293846002</v>
      </c>
      <c r="AM5160">
        <v>109.650529062605</v>
      </c>
      <c r="AN5160">
        <v>0.99999995186031798</v>
      </c>
    </row>
    <row r="5161" spans="1:40" x14ac:dyDescent="0.25">
      <c r="A5161" t="str">
        <f>"20190304164229767"</f>
        <v>20190304164229767</v>
      </c>
      <c r="B5161" t="str">
        <f>"1551688949756421"</f>
        <v>1551688949756421</v>
      </c>
      <c r="C5161" t="s">
        <v>40</v>
      </c>
      <c r="D5161">
        <v>4.3334840000000003</v>
      </c>
      <c r="E5161">
        <v>0.55272790000000005</v>
      </c>
      <c r="F5161" t="s">
        <v>42</v>
      </c>
      <c r="G5161">
        <v>-392.12830000000002</v>
      </c>
      <c r="H5161" s="1">
        <v>-3.6619009999999999E-6</v>
      </c>
      <c r="I5161">
        <v>137.90989999999999</v>
      </c>
      <c r="J5161">
        <v>-381.49299999999999</v>
      </c>
      <c r="K5161">
        <v>1.1111310000000001</v>
      </c>
      <c r="L5161">
        <v>140.78469999999999</v>
      </c>
      <c r="M5161">
        <v>-0.99709389999999998</v>
      </c>
      <c r="N5161">
        <v>-1.4463470000000001E-2</v>
      </c>
      <c r="O5161">
        <v>-7.4798829999999997E-2</v>
      </c>
      <c r="P5161">
        <v>-0.86183109999999996</v>
      </c>
      <c r="Q5161">
        <v>0.3322001</v>
      </c>
      <c r="R5161">
        <v>-0.38326280000000001</v>
      </c>
      <c r="S5161">
        <v>-3.2230829999999999</v>
      </c>
      <c r="T5161">
        <v>-0.33062839999999999</v>
      </c>
      <c r="U5161">
        <v>-0.85978699999999997</v>
      </c>
      <c r="V5161">
        <v>-0.31813370000000002</v>
      </c>
      <c r="W5161">
        <v>0.34462730000000003</v>
      </c>
      <c r="X5161">
        <v>0.88318909999999995</v>
      </c>
      <c r="Y5161">
        <v>-0.18398120000000001</v>
      </c>
      <c r="Z5161">
        <v>-4.1742209999999997E-3</v>
      </c>
      <c r="AA5161">
        <v>0.98292089999999999</v>
      </c>
      <c r="AB5161">
        <v>32</v>
      </c>
      <c r="AC5161">
        <v>-10.6352999999999</v>
      </c>
      <c r="AD5161">
        <v>-1.1111346619010001</v>
      </c>
      <c r="AE5161">
        <v>-2.8747999999999898</v>
      </c>
      <c r="AF5161">
        <v>-2.0502981942637901</v>
      </c>
      <c r="AG5161">
        <v>-1.1111346619010001</v>
      </c>
      <c r="AH5161">
        <v>10.7115960141233</v>
      </c>
      <c r="AI5161">
        <v>95.817357352500807</v>
      </c>
      <c r="AJ5161">
        <v>100.83587579842199</v>
      </c>
      <c r="AK5161">
        <v>10.9625103006593</v>
      </c>
      <c r="AL5161">
        <v>69.840953700477797</v>
      </c>
      <c r="AM5161">
        <v>109.80953616004101</v>
      </c>
      <c r="AN5161">
        <v>1.00000000666989</v>
      </c>
    </row>
    <row r="5162" spans="1:40" x14ac:dyDescent="0.25">
      <c r="A5162" t="str">
        <f>"20190304164229789"</f>
        <v>20190304164229789</v>
      </c>
      <c r="B5162" t="str">
        <f>"1551688949775941"</f>
        <v>1551688949775941</v>
      </c>
      <c r="C5162" t="s">
        <v>40</v>
      </c>
      <c r="D5162">
        <v>4.3306069999999997</v>
      </c>
      <c r="E5162">
        <v>0.55761530000000004</v>
      </c>
      <c r="F5162" t="s">
        <v>42</v>
      </c>
      <c r="G5162">
        <v>-392.41570000000002</v>
      </c>
      <c r="H5162" s="1">
        <v>-3.551087E-6</v>
      </c>
      <c r="I5162">
        <v>137.83949999999999</v>
      </c>
      <c r="J5162">
        <v>-381.81619999999998</v>
      </c>
      <c r="K5162">
        <v>1.110949</v>
      </c>
      <c r="L5162">
        <v>140.7602</v>
      </c>
      <c r="M5162">
        <v>-0.997085</v>
      </c>
      <c r="N5162">
        <v>-1.4457609999999999E-2</v>
      </c>
      <c r="O5162">
        <v>-7.4918849999999995E-2</v>
      </c>
      <c r="P5162">
        <v>-0.86048749999999996</v>
      </c>
      <c r="Q5162">
        <v>0.33301709999999901</v>
      </c>
      <c r="R5162">
        <v>-0.38556659999999998</v>
      </c>
      <c r="S5162">
        <v>-3.2210999999999999</v>
      </c>
      <c r="T5162">
        <v>-0.32767269999999998</v>
      </c>
      <c r="U5162">
        <v>-0.86849979999999904</v>
      </c>
      <c r="V5162">
        <v>-0.32027230000000001</v>
      </c>
      <c r="W5162">
        <v>0.34556179999999997</v>
      </c>
      <c r="X5162">
        <v>0.88205029999999995</v>
      </c>
      <c r="Y5162">
        <v>-0.1864913</v>
      </c>
      <c r="Z5162">
        <v>-4.2918449999999999E-3</v>
      </c>
      <c r="AA5162">
        <v>0.98244730000000002</v>
      </c>
      <c r="AB5162">
        <v>32</v>
      </c>
      <c r="AC5162">
        <v>-10.599500000000001</v>
      </c>
      <c r="AD5162">
        <v>-1.110952551087</v>
      </c>
      <c r="AE5162">
        <v>-2.9207000000000098</v>
      </c>
      <c r="AF5162">
        <v>-2.0968949811611401</v>
      </c>
      <c r="AG5162">
        <v>-1.110952551087</v>
      </c>
      <c r="AH5162">
        <v>10.6795030717907</v>
      </c>
      <c r="AI5162">
        <v>95.8284253326553</v>
      </c>
      <c r="AJ5162">
        <v>101.10857445030101</v>
      </c>
      <c r="AK5162">
        <v>10.9399712062314</v>
      </c>
      <c r="AL5162">
        <v>69.783906482268605</v>
      </c>
      <c r="AM5162">
        <v>109.95595013218301</v>
      </c>
      <c r="AN5162">
        <v>1.0000000177483099</v>
      </c>
    </row>
    <row r="5163" spans="1:40" x14ac:dyDescent="0.25">
      <c r="A5163" t="str">
        <f>"20190304164229805"</f>
        <v>20190304164229805</v>
      </c>
      <c r="B5163" t="str">
        <f>"1551688949796439"</f>
        <v>1551688949796439</v>
      </c>
      <c r="C5163" t="s">
        <v>40</v>
      </c>
      <c r="D5163">
        <v>4.3442889999999998</v>
      </c>
      <c r="E5163">
        <v>0.55751589999999995</v>
      </c>
      <c r="F5163" t="s">
        <v>42</v>
      </c>
      <c r="G5163">
        <v>-390.31420000000003</v>
      </c>
      <c r="H5163" s="1">
        <v>-4.3262019999999998E-6</v>
      </c>
      <c r="I5163">
        <v>138.5523</v>
      </c>
      <c r="J5163">
        <v>-382.03250000000003</v>
      </c>
      <c r="K5163">
        <v>1.110843</v>
      </c>
      <c r="L5163">
        <v>140.7439</v>
      </c>
      <c r="M5163">
        <v>-0.99708549999999996</v>
      </c>
      <c r="N5163">
        <v>-1.4453860000000001E-2</v>
      </c>
      <c r="O5163">
        <v>-7.4912930000000003E-2</v>
      </c>
      <c r="P5163">
        <v>-0.86004210000000003</v>
      </c>
      <c r="Q5163">
        <v>0.33317350000000001</v>
      </c>
      <c r="R5163">
        <v>-0.38642389999999999</v>
      </c>
      <c r="S5163">
        <v>-3.2710880000000002</v>
      </c>
      <c r="T5163">
        <v>-0.42763469999999998</v>
      </c>
      <c r="U5163">
        <v>-0.84983829999999905</v>
      </c>
      <c r="V5163">
        <v>-0.32107619999999998</v>
      </c>
      <c r="W5163">
        <v>0.34579219999999999</v>
      </c>
      <c r="X5163">
        <v>0.88166769999999905</v>
      </c>
      <c r="Y5163">
        <v>-0.17713299999999901</v>
      </c>
      <c r="Z5163">
        <v>-4.1497720000000004E-3</v>
      </c>
      <c r="AA5163">
        <v>0.9841782</v>
      </c>
      <c r="AB5163">
        <v>32</v>
      </c>
      <c r="AC5163">
        <v>-8.2817000000000007</v>
      </c>
      <c r="AD5163">
        <v>-1.110847326202</v>
      </c>
      <c r="AE5163">
        <v>-2.19159999999999</v>
      </c>
      <c r="AF5163">
        <v>-1.53909093027858</v>
      </c>
      <c r="AG5163">
        <v>-1.110847326202</v>
      </c>
      <c r="AH5163">
        <v>8.2833434792933396</v>
      </c>
      <c r="AI5163">
        <v>97.511094755438904</v>
      </c>
      <c r="AJ5163">
        <v>100.52583720982101</v>
      </c>
      <c r="AK5163">
        <v>8.4980328235272999</v>
      </c>
      <c r="AL5163">
        <v>69.769839014279</v>
      </c>
      <c r="AM5163">
        <v>110.010064514978</v>
      </c>
      <c r="AN5163">
        <v>1.0000000525052799</v>
      </c>
    </row>
    <row r="5164" spans="1:40" x14ac:dyDescent="0.25">
      <c r="A5164" t="str">
        <f>"20190304164229824"</f>
        <v>20190304164229824</v>
      </c>
      <c r="B5164" t="str">
        <f>"1551688949815957"</f>
        <v>1551688949815957</v>
      </c>
      <c r="C5164" t="s">
        <v>40</v>
      </c>
      <c r="D5164">
        <v>4.4049339999999999</v>
      </c>
      <c r="E5164">
        <v>0.52792309999999998</v>
      </c>
      <c r="F5164" t="s">
        <v>42</v>
      </c>
      <c r="G5164">
        <v>-390.50580000000002</v>
      </c>
      <c r="H5164" s="1">
        <v>-4.2480349999999997E-6</v>
      </c>
      <c r="I5164">
        <v>138.52959999999999</v>
      </c>
      <c r="J5164">
        <v>-382.31259999999997</v>
      </c>
      <c r="K5164">
        <v>1.11073</v>
      </c>
      <c r="L5164">
        <v>140.72280000000001</v>
      </c>
      <c r="M5164">
        <v>-0.99709340000000002</v>
      </c>
      <c r="N5164">
        <v>-1.444909E-2</v>
      </c>
      <c r="O5164">
        <v>-7.4807479999999996E-2</v>
      </c>
      <c r="P5164">
        <v>-0.85907670000000003</v>
      </c>
      <c r="Q5164">
        <v>0.3342966</v>
      </c>
      <c r="R5164">
        <v>-0.38759959999999999</v>
      </c>
      <c r="S5164">
        <v>-3.2703250000000001</v>
      </c>
      <c r="T5164">
        <v>-0.4287436</v>
      </c>
      <c r="U5164">
        <v>-0.85456849999999995</v>
      </c>
      <c r="V5164">
        <v>-0.3223183</v>
      </c>
      <c r="W5164">
        <v>0.34698699999999999</v>
      </c>
      <c r="X5164">
        <v>0.88074449999999904</v>
      </c>
      <c r="Y5164">
        <v>-0.17860699999999999</v>
      </c>
      <c r="Z5164">
        <v>-4.2712940000000001E-3</v>
      </c>
      <c r="AA5164">
        <v>0.98391119999999999</v>
      </c>
      <c r="AB5164">
        <v>32</v>
      </c>
      <c r="AC5164">
        <v>-8.19320000000004</v>
      </c>
      <c r="AD5164">
        <v>-1.110734248035</v>
      </c>
      <c r="AE5164">
        <v>-2.1932000000000098</v>
      </c>
      <c r="AF5164">
        <v>-1.5475368935671301</v>
      </c>
      <c r="AG5164">
        <v>-1.110734248035</v>
      </c>
      <c r="AH5164">
        <v>8.1938009803849106</v>
      </c>
      <c r="AI5164">
        <v>97.587304545781606</v>
      </c>
      <c r="AJ5164">
        <v>100.695288207692</v>
      </c>
      <c r="AK5164">
        <v>8.4123109496062902</v>
      </c>
      <c r="AL5164">
        <v>69.696862438015799</v>
      </c>
      <c r="AM5164">
        <v>110.10066449090201</v>
      </c>
      <c r="AN5164">
        <v>0.99999996948206904</v>
      </c>
    </row>
    <row r="5165" spans="1:40" x14ac:dyDescent="0.25">
      <c r="A5165" t="str">
        <f>"20190304164229846"</f>
        <v>20190304164229846</v>
      </c>
      <c r="B5165" t="str">
        <f>"1551688949836453"</f>
        <v>1551688949836453</v>
      </c>
      <c r="C5165" t="s">
        <v>40</v>
      </c>
      <c r="D5165">
        <v>4.4657830000000001</v>
      </c>
      <c r="E5165">
        <v>0.51197340000000002</v>
      </c>
      <c r="F5165" t="s">
        <v>42</v>
      </c>
      <c r="G5165">
        <v>-393.584</v>
      </c>
      <c r="H5165" s="1">
        <v>-3.2203450000000001E-6</v>
      </c>
      <c r="I5165">
        <v>136.87870000000001</v>
      </c>
      <c r="J5165">
        <v>-382.61689999999999</v>
      </c>
      <c r="K5165">
        <v>1.110635</v>
      </c>
      <c r="L5165">
        <v>140.70009999999999</v>
      </c>
      <c r="M5165">
        <v>-0.99710770000000004</v>
      </c>
      <c r="N5165">
        <v>-1.4443930000000001E-2</v>
      </c>
      <c r="O5165">
        <v>-7.4616459999999996E-2</v>
      </c>
      <c r="P5165">
        <v>-0.85824319999999898</v>
      </c>
      <c r="Q5165">
        <v>0.33492949999999999</v>
      </c>
      <c r="R5165">
        <v>-0.3888972</v>
      </c>
      <c r="S5165">
        <v>-3.1304630000000002</v>
      </c>
      <c r="T5165">
        <v>-0.30849120000000002</v>
      </c>
      <c r="U5165">
        <v>-1.0676270000000001</v>
      </c>
      <c r="V5165">
        <v>-0.32376310000000003</v>
      </c>
      <c r="W5165">
        <v>0.34767920000000002</v>
      </c>
      <c r="X5165">
        <v>0.87994130000000004</v>
      </c>
      <c r="Y5165">
        <v>-0.25023909999999999</v>
      </c>
      <c r="Z5165">
        <v>-7.76800199999999E-3</v>
      </c>
      <c r="AA5165">
        <v>0.96815289999999998</v>
      </c>
      <c r="AB5165">
        <v>32</v>
      </c>
      <c r="AC5165">
        <v>-10.9671</v>
      </c>
      <c r="AD5165">
        <v>-1.110638220345</v>
      </c>
      <c r="AE5165">
        <v>-3.8213999999999801</v>
      </c>
      <c r="AF5165">
        <v>-2.9652156382858599</v>
      </c>
      <c r="AG5165">
        <v>-1.110638220345</v>
      </c>
      <c r="AH5165">
        <v>11.1199944520997</v>
      </c>
      <c r="AI5165">
        <v>95.512285659964803</v>
      </c>
      <c r="AJ5165">
        <v>104.930858130104</v>
      </c>
      <c r="AK5165">
        <v>11.562019618248099</v>
      </c>
      <c r="AL5165">
        <v>69.654570508578502</v>
      </c>
      <c r="AM5165">
        <v>110.20044390524301</v>
      </c>
      <c r="AN5165">
        <v>1.00000003123996</v>
      </c>
    </row>
    <row r="5166" spans="1:40" x14ac:dyDescent="0.25">
      <c r="A5166" t="str">
        <f>"20190304164229867"</f>
        <v>20190304164229867</v>
      </c>
      <c r="B5166" t="str">
        <f>"1551688949855973"</f>
        <v>1551688949855973</v>
      </c>
      <c r="C5166" t="s">
        <v>40</v>
      </c>
      <c r="D5166">
        <v>4.409497</v>
      </c>
      <c r="E5166">
        <v>0.50540289999999999</v>
      </c>
      <c r="F5166" t="s">
        <v>42</v>
      </c>
      <c r="G5166">
        <v>-394.38569999999999</v>
      </c>
      <c r="H5166" s="1">
        <v>-3.0065689999999999E-6</v>
      </c>
      <c r="I5166">
        <v>136.14490000000001</v>
      </c>
      <c r="J5166">
        <v>-382.9323</v>
      </c>
      <c r="K5166">
        <v>1.110571</v>
      </c>
      <c r="L5166">
        <v>140.67660000000001</v>
      </c>
      <c r="M5166">
        <v>-0.99712559999999995</v>
      </c>
      <c r="N5166">
        <v>-1.443856E-2</v>
      </c>
      <c r="O5166">
        <v>-7.4378E-2</v>
      </c>
      <c r="P5166">
        <v>-0.85748799999999903</v>
      </c>
      <c r="Q5166">
        <v>0.33543109999999998</v>
      </c>
      <c r="R5166">
        <v>-0.39012859999999999</v>
      </c>
      <c r="S5166">
        <v>-3.07016</v>
      </c>
      <c r="T5166">
        <v>-0.28973670000000001</v>
      </c>
      <c r="U5166">
        <v>-1.188293</v>
      </c>
      <c r="V5166">
        <v>-0.32519999999999999</v>
      </c>
      <c r="W5166">
        <v>0.34822059999999999</v>
      </c>
      <c r="X5166">
        <v>0.87919699999999901</v>
      </c>
      <c r="Y5166">
        <v>-0.2894833</v>
      </c>
      <c r="Z5166">
        <v>-9.6308729999999999E-3</v>
      </c>
      <c r="AA5166">
        <v>0.95713459999999995</v>
      </c>
      <c r="AB5166">
        <v>32</v>
      </c>
      <c r="AC5166">
        <v>-11.453399999999901</v>
      </c>
      <c r="AD5166">
        <v>-1.110574006569</v>
      </c>
      <c r="AE5166">
        <v>-4.5316999999999998</v>
      </c>
      <c r="AF5166">
        <v>-3.63760357721935</v>
      </c>
      <c r="AG5166">
        <v>-1.110574006569</v>
      </c>
      <c r="AH5166">
        <v>11.663941214733599</v>
      </c>
      <c r="AI5166">
        <v>95.193713287378202</v>
      </c>
      <c r="AJ5166">
        <v>107.32100054624399</v>
      </c>
      <c r="AK5166">
        <v>12.2683763827911</v>
      </c>
      <c r="AL5166">
        <v>69.621482281877704</v>
      </c>
      <c r="AM5166">
        <v>110.29857572209001</v>
      </c>
      <c r="AN5166">
        <v>0.99999999553667995</v>
      </c>
    </row>
    <row r="5167" spans="1:40" x14ac:dyDescent="0.25">
      <c r="A5167" t="str">
        <f>"20190304164229891"</f>
        <v>20190304164229891</v>
      </c>
      <c r="B5167" t="str">
        <f>"1551688949876470"</f>
        <v>1551688949876470</v>
      </c>
      <c r="C5167" t="s">
        <v>40</v>
      </c>
      <c r="D5167">
        <v>4.4295689999999999</v>
      </c>
      <c r="E5167">
        <v>0.50283929999999999</v>
      </c>
      <c r="F5167" t="s">
        <v>42</v>
      </c>
      <c r="G5167">
        <v>-394.6764</v>
      </c>
      <c r="H5167" s="1">
        <v>-2.9252489999999998E-6</v>
      </c>
      <c r="I5167">
        <v>135.90029999999999</v>
      </c>
      <c r="J5167">
        <v>-383.2568</v>
      </c>
      <c r="K5167">
        <v>1.110535</v>
      </c>
      <c r="L5167">
        <v>140.65260000000001</v>
      </c>
      <c r="M5167">
        <v>-0.99714329999999995</v>
      </c>
      <c r="N5167">
        <v>-1.443316E-2</v>
      </c>
      <c r="O5167">
        <v>-7.4140590000000006E-2</v>
      </c>
      <c r="P5167">
        <v>-0.85683109999999996</v>
      </c>
      <c r="Q5167">
        <v>0.33607979999999998</v>
      </c>
      <c r="R5167">
        <v>-0.39101239999999998</v>
      </c>
      <c r="S5167">
        <v>-3.0474549999999998</v>
      </c>
      <c r="T5167">
        <v>-0.28818149999999998</v>
      </c>
      <c r="U5167">
        <v>-1.239365</v>
      </c>
      <c r="V5167">
        <v>-0.32630940000000003</v>
      </c>
      <c r="W5167">
        <v>0.34888469999999999</v>
      </c>
      <c r="X5167">
        <v>0.87852249999999998</v>
      </c>
      <c r="Y5167">
        <v>-0.30584</v>
      </c>
      <c r="Z5167">
        <v>-1.05083E-2</v>
      </c>
      <c r="AA5167">
        <v>0.95202489999999995</v>
      </c>
      <c r="AB5167">
        <v>32</v>
      </c>
      <c r="AC5167">
        <v>-11.419600000000001</v>
      </c>
      <c r="AD5167">
        <v>-1.110537925249</v>
      </c>
      <c r="AE5167">
        <v>-4.7523000000000204</v>
      </c>
      <c r="AF5167">
        <v>-3.86134681406056</v>
      </c>
      <c r="AG5167">
        <v>-1.110537925249</v>
      </c>
      <c r="AH5167">
        <v>11.6466535689497</v>
      </c>
      <c r="AI5167">
        <v>95.171629716060394</v>
      </c>
      <c r="AJ5167">
        <v>108.342491505856</v>
      </c>
      <c r="AK5167">
        <v>12.32022049547</v>
      </c>
      <c r="AL5167">
        <v>69.580887953682506</v>
      </c>
      <c r="AM5167">
        <v>110.37649498169699</v>
      </c>
      <c r="AN5167">
        <v>1.0000000707143399</v>
      </c>
    </row>
    <row r="5168" spans="1:40" x14ac:dyDescent="0.25">
      <c r="A5168" t="str">
        <f>"20190304164229906"</f>
        <v>20190304164229906</v>
      </c>
      <c r="B5168" t="str">
        <f>"1551688949895989"</f>
        <v>1551688949895989</v>
      </c>
      <c r="C5168" t="s">
        <v>40</v>
      </c>
      <c r="D5168">
        <v>4.3993539999999998</v>
      </c>
      <c r="E5168">
        <v>0.50144659999999996</v>
      </c>
      <c r="F5168" t="s">
        <v>42</v>
      </c>
      <c r="G5168">
        <v>-395.15350000000001</v>
      </c>
      <c r="H5168" s="1">
        <v>-2.7537450000000002E-6</v>
      </c>
      <c r="I5168">
        <v>135.7132</v>
      </c>
      <c r="J5168">
        <v>-383.48379999999997</v>
      </c>
      <c r="K5168">
        <v>1.110535</v>
      </c>
      <c r="L5168">
        <v>140.63579999999999</v>
      </c>
      <c r="M5168">
        <v>-0.99715370000000003</v>
      </c>
      <c r="N5168">
        <v>-1.442946E-2</v>
      </c>
      <c r="O5168">
        <v>-7.4004500000000001E-2</v>
      </c>
      <c r="P5168">
        <v>-0.85647619999999902</v>
      </c>
      <c r="Q5168">
        <v>0.336314</v>
      </c>
      <c r="R5168">
        <v>-0.39158890000000002</v>
      </c>
      <c r="S5168">
        <v>-3.0370789999999999</v>
      </c>
      <c r="T5168">
        <v>-0.2835068</v>
      </c>
      <c r="U5168">
        <v>-1.2609410000000001</v>
      </c>
      <c r="V5168">
        <v>-0.32702779999999998</v>
      </c>
      <c r="W5168">
        <v>0.3491126</v>
      </c>
      <c r="X5168">
        <v>0.87816469999999902</v>
      </c>
      <c r="Y5168">
        <v>-0.3128784</v>
      </c>
      <c r="Z5168">
        <v>-1.078463E-2</v>
      </c>
      <c r="AA5168">
        <v>0.94973189999999996</v>
      </c>
      <c r="AB5168">
        <v>32</v>
      </c>
      <c r="AC5168">
        <v>-11.669700000000001</v>
      </c>
      <c r="AD5168">
        <v>-1.1105377537450001</v>
      </c>
      <c r="AE5168">
        <v>-4.9225999999999797</v>
      </c>
      <c r="AF5168">
        <v>-4.0145343505598499</v>
      </c>
      <c r="AG5168">
        <v>-1.1105377537450001</v>
      </c>
      <c r="AH5168">
        <v>11.9104563814193</v>
      </c>
      <c r="AI5168">
        <v>95.049342078752503</v>
      </c>
      <c r="AJ5168">
        <v>108.62688592975699</v>
      </c>
      <c r="AK5168">
        <v>12.617795027975699</v>
      </c>
      <c r="AL5168">
        <v>69.566952941209095</v>
      </c>
      <c r="AM5168">
        <v>110.425288656543</v>
      </c>
      <c r="AN5168">
        <v>1.0000000148888399</v>
      </c>
    </row>
    <row r="5169" spans="1:40" x14ac:dyDescent="0.25">
      <c r="A5169" t="str">
        <f>"20190304164229924"</f>
        <v>20190304164229924</v>
      </c>
      <c r="B5169" t="str">
        <f>"1551688949916485"</f>
        <v>1551688949916485</v>
      </c>
      <c r="C5169" t="s">
        <v>40</v>
      </c>
      <c r="D5169">
        <v>4.4069450000000003</v>
      </c>
      <c r="E5169">
        <v>0.50046670000000004</v>
      </c>
      <c r="F5169" t="s">
        <v>42</v>
      </c>
      <c r="G5169">
        <v>-395.43560000000002</v>
      </c>
      <c r="H5169" s="1">
        <v>-2.6496360000000002E-6</v>
      </c>
      <c r="I5169">
        <v>135.61789999999999</v>
      </c>
      <c r="J5169">
        <v>-383.73079999999999</v>
      </c>
      <c r="K5169">
        <v>1.1105579999999999</v>
      </c>
      <c r="L5169">
        <v>140.61760000000001</v>
      </c>
      <c r="M5169">
        <v>-0.99716130000000003</v>
      </c>
      <c r="N5169">
        <v>-1.4425520000000001E-2</v>
      </c>
      <c r="O5169">
        <v>-7.3900729999999998E-2</v>
      </c>
      <c r="P5169">
        <v>-0.85533890000000001</v>
      </c>
      <c r="Q5169">
        <v>0.33714559999999999</v>
      </c>
      <c r="R5169">
        <v>-0.3933546</v>
      </c>
      <c r="S5169">
        <v>-3.0314640000000002</v>
      </c>
      <c r="T5169">
        <v>-0.28167809999999999</v>
      </c>
      <c r="U5169">
        <v>-1.2727200000000001</v>
      </c>
      <c r="V5169">
        <v>-0.32898080000000002</v>
      </c>
      <c r="W5169">
        <v>0.34991149999999999</v>
      </c>
      <c r="X5169">
        <v>0.87711659999999902</v>
      </c>
      <c r="Y5169">
        <v>-0.31673400000000002</v>
      </c>
      <c r="Z5169">
        <v>-1.095288E-2</v>
      </c>
      <c r="AA5169">
        <v>0.94845119999999905</v>
      </c>
      <c r="AB5169">
        <v>32</v>
      </c>
      <c r="AC5169">
        <v>-11.704800000000001</v>
      </c>
      <c r="AD5169">
        <v>-1.1105606496360001</v>
      </c>
      <c r="AE5169">
        <v>-4.9997000000000096</v>
      </c>
      <c r="AF5169">
        <v>-4.0898059343487398</v>
      </c>
      <c r="AG5169">
        <v>-1.1105606496360001</v>
      </c>
      <c r="AH5169">
        <v>11.951319038261</v>
      </c>
      <c r="AI5169">
        <v>95.024431348427299</v>
      </c>
      <c r="AJ5169">
        <v>108.891223595814</v>
      </c>
      <c r="AK5169">
        <v>12.6804528425232</v>
      </c>
      <c r="AL5169">
        <v>69.518097357663706</v>
      </c>
      <c r="AM5169">
        <v>110.559600133092</v>
      </c>
      <c r="AN5169">
        <v>0.99999997729822399</v>
      </c>
    </row>
    <row r="5170" spans="1:40" x14ac:dyDescent="0.25">
      <c r="A5170" t="str">
        <f>"20190304164229939"</f>
        <v>20190304164229939</v>
      </c>
      <c r="B5170" t="str">
        <f>"1551688949926245"</f>
        <v>1551688949926245</v>
      </c>
      <c r="C5170" t="s">
        <v>40</v>
      </c>
      <c r="D5170">
        <v>4.6711600000000004</v>
      </c>
      <c r="E5170">
        <v>0.50020100000000001</v>
      </c>
      <c r="F5170" t="s">
        <v>42</v>
      </c>
      <c r="G5170">
        <v>-395.76620000000003</v>
      </c>
      <c r="H5170" s="1">
        <v>-2.5271689999999999E-6</v>
      </c>
      <c r="I5170">
        <v>135.50890000000001</v>
      </c>
      <c r="J5170">
        <v>-383.9529</v>
      </c>
      <c r="K5170">
        <v>1.1106</v>
      </c>
      <c r="L5170">
        <v>140.6011</v>
      </c>
      <c r="M5170">
        <v>-0.99716309999999997</v>
      </c>
      <c r="N5170">
        <v>-1.442215E-2</v>
      </c>
      <c r="O5170">
        <v>-7.3879029999999998E-2</v>
      </c>
      <c r="P5170">
        <v>-0.85477219999999998</v>
      </c>
      <c r="Q5170">
        <v>0.33764870000000002</v>
      </c>
      <c r="R5170">
        <v>-0.39415509999999998</v>
      </c>
      <c r="S5170">
        <v>-3.0266419999999998</v>
      </c>
      <c r="T5170">
        <v>-0.27928399999999998</v>
      </c>
      <c r="U5170">
        <v>-1.2847139999999999</v>
      </c>
      <c r="V5170">
        <v>-0.32987620000000001</v>
      </c>
      <c r="W5170">
        <v>0.35037059999999998</v>
      </c>
      <c r="X5170">
        <v>0.87659690000000001</v>
      </c>
      <c r="Y5170">
        <v>-0.32048090000000001</v>
      </c>
      <c r="Z5170">
        <v>-1.109008E-2</v>
      </c>
      <c r="AA5170">
        <v>0.94718999999999998</v>
      </c>
      <c r="AB5170">
        <v>32</v>
      </c>
      <c r="AC5170">
        <v>-11.8133</v>
      </c>
      <c r="AD5170">
        <v>-1.1106025271690001</v>
      </c>
      <c r="AE5170">
        <v>-5.0921999999999903</v>
      </c>
      <c r="AF5170">
        <v>-4.1743221452354797</v>
      </c>
      <c r="AG5170">
        <v>-1.1106025271690001</v>
      </c>
      <c r="AH5170">
        <v>12.0673122572178</v>
      </c>
      <c r="AI5170">
        <v>94.970910973135403</v>
      </c>
      <c r="AJ5170">
        <v>109.08151573712</v>
      </c>
      <c r="AK5170">
        <v>12.817114669798199</v>
      </c>
      <c r="AL5170">
        <v>69.490015554463</v>
      </c>
      <c r="AM5170">
        <v>110.622050865047</v>
      </c>
      <c r="AN5170">
        <v>0.99999999488020497</v>
      </c>
    </row>
    <row r="5171" spans="1:40" x14ac:dyDescent="0.25">
      <c r="A5171" t="str">
        <f>"20190304164229957"</f>
        <v>20190304164229957</v>
      </c>
      <c r="B5171" t="str">
        <f>"1551688949946742"</f>
        <v>1551688949946742</v>
      </c>
      <c r="C5171" t="s">
        <v>40</v>
      </c>
      <c r="D5171">
        <v>4.3771459999999998</v>
      </c>
      <c r="E5171">
        <v>0.49991370000000002</v>
      </c>
      <c r="F5171" t="s">
        <v>42</v>
      </c>
      <c r="G5171">
        <v>-396.13159999999999</v>
      </c>
      <c r="H5171" s="1">
        <v>-2.4219399999999999E-6</v>
      </c>
      <c r="I5171">
        <v>135.40889999999999</v>
      </c>
      <c r="J5171">
        <v>-384.2063</v>
      </c>
      <c r="K5171">
        <v>1.1106799999999999</v>
      </c>
      <c r="L5171">
        <v>140.5823</v>
      </c>
      <c r="M5171">
        <v>-0.99715690000000001</v>
      </c>
      <c r="N5171">
        <v>-1.441862E-2</v>
      </c>
      <c r="O5171">
        <v>-7.3961299999999994E-2</v>
      </c>
      <c r="P5171">
        <v>-0.85390180000000004</v>
      </c>
      <c r="Q5171">
        <v>0.33859460000000002</v>
      </c>
      <c r="R5171">
        <v>-0.39522839999999998</v>
      </c>
      <c r="S5171">
        <v>-3.0241389999999999</v>
      </c>
      <c r="T5171">
        <v>-0.27577760000000001</v>
      </c>
      <c r="U5171">
        <v>-1.2892760000000001</v>
      </c>
      <c r="V5171">
        <v>-0.33100390000000002</v>
      </c>
      <c r="W5171">
        <v>0.35124</v>
      </c>
      <c r="X5171">
        <v>0.87582359999999904</v>
      </c>
      <c r="Y5171">
        <v>-0.32191320000000001</v>
      </c>
      <c r="Z5171">
        <v>-1.1064859999999999E-2</v>
      </c>
      <c r="AA5171">
        <v>0.94670460000000001</v>
      </c>
      <c r="AB5171">
        <v>32</v>
      </c>
      <c r="AC5171">
        <v>-11.925299999999901</v>
      </c>
      <c r="AD5171">
        <v>-1.11068242194</v>
      </c>
      <c r="AE5171">
        <v>-5.1734000000000098</v>
      </c>
      <c r="AF5171">
        <v>-4.2461264781977501</v>
      </c>
      <c r="AG5171">
        <v>-1.11068242194</v>
      </c>
      <c r="AH5171">
        <v>12.1863359591741</v>
      </c>
      <c r="AI5171">
        <v>94.919138631459901</v>
      </c>
      <c r="AJ5171">
        <v>109.210043238184</v>
      </c>
      <c r="AK5171">
        <v>12.952605514764899</v>
      </c>
      <c r="AL5171">
        <v>69.436823231321597</v>
      </c>
      <c r="AM5171">
        <v>110.703305267278</v>
      </c>
      <c r="AN5171">
        <v>1.0000000488660801</v>
      </c>
    </row>
    <row r="5172" spans="1:40" x14ac:dyDescent="0.25">
      <c r="A5172" t="str">
        <f>"20190304164229973"</f>
        <v>20190304164229973</v>
      </c>
      <c r="B5172" t="str">
        <f>"1551688949966262"</f>
        <v>1551688949966262</v>
      </c>
      <c r="C5172" t="s">
        <v>40</v>
      </c>
      <c r="D5172">
        <v>4.3976449999999998</v>
      </c>
      <c r="E5172">
        <v>0.49970389999999998</v>
      </c>
      <c r="F5172" t="s">
        <v>42</v>
      </c>
      <c r="G5172">
        <v>-396.61130000000003</v>
      </c>
      <c r="H5172" s="1">
        <v>-2.299632E-6</v>
      </c>
      <c r="I5172">
        <v>135.2551</v>
      </c>
      <c r="J5172">
        <v>-384.41899999999998</v>
      </c>
      <c r="K5172">
        <v>1.110784</v>
      </c>
      <c r="L5172">
        <v>140.56630000000001</v>
      </c>
      <c r="M5172">
        <v>-0.99714179999999997</v>
      </c>
      <c r="N5172">
        <v>-1.441599E-2</v>
      </c>
      <c r="O5172">
        <v>-7.4165339999999996E-2</v>
      </c>
      <c r="P5172">
        <v>-0.85357659999999902</v>
      </c>
      <c r="Q5172">
        <v>0.33890779999999998</v>
      </c>
      <c r="R5172">
        <v>-0.39566190000000001</v>
      </c>
      <c r="S5172">
        <v>-3.0202330000000002</v>
      </c>
      <c r="T5172">
        <v>-0.27041609999999899</v>
      </c>
      <c r="U5172">
        <v>-1.296997</v>
      </c>
      <c r="V5172">
        <v>-0.3313663</v>
      </c>
      <c r="W5172">
        <v>0.35146630000000001</v>
      </c>
      <c r="X5172">
        <v>0.87559569999999998</v>
      </c>
      <c r="Y5172">
        <v>-0.32423439999999998</v>
      </c>
      <c r="Z5172">
        <v>-1.102509E-2</v>
      </c>
      <c r="AA5172">
        <v>0.94591250000000004</v>
      </c>
      <c r="AB5172">
        <v>32</v>
      </c>
      <c r="AC5172">
        <v>-12.1922999999999</v>
      </c>
      <c r="AD5172">
        <v>-1.1107862996319999</v>
      </c>
      <c r="AE5172">
        <v>-5.3112000000000101</v>
      </c>
      <c r="AF5172">
        <v>-4.3618001935608399</v>
      </c>
      <c r="AG5172">
        <v>-1.1107862996319999</v>
      </c>
      <c r="AH5172">
        <v>12.465697595203</v>
      </c>
      <c r="AI5172">
        <v>94.807678383930096</v>
      </c>
      <c r="AJ5172">
        <v>109.285157172624</v>
      </c>
      <c r="AK5172">
        <v>13.2534057384148</v>
      </c>
      <c r="AL5172">
        <v>69.422973332809406</v>
      </c>
      <c r="AM5172">
        <v>110.728982890013</v>
      </c>
      <c r="AN5172">
        <v>1.00000000733493</v>
      </c>
    </row>
    <row r="5173" spans="1:40" x14ac:dyDescent="0.25">
      <c r="A5173" t="str">
        <f>"20190304164229992"</f>
        <v>20190304164229992</v>
      </c>
      <c r="B5173" t="str">
        <f>"1551688949986757"</f>
        <v>1551688949986757</v>
      </c>
      <c r="C5173" t="s">
        <v>40</v>
      </c>
      <c r="D5173">
        <v>4.4224670000000001</v>
      </c>
      <c r="E5173">
        <v>0.49943720000000003</v>
      </c>
      <c r="F5173" t="s">
        <v>42</v>
      </c>
      <c r="G5173">
        <v>-396.95639999999997</v>
      </c>
      <c r="H5173" s="1">
        <v>-2.2064889999999999E-6</v>
      </c>
      <c r="I5173">
        <v>135.16380000000001</v>
      </c>
      <c r="J5173">
        <v>-384.69310000000002</v>
      </c>
      <c r="K5173">
        <v>1.110965</v>
      </c>
      <c r="L5173">
        <v>140.5455</v>
      </c>
      <c r="M5173">
        <v>-0.99710690000000002</v>
      </c>
      <c r="N5173">
        <v>-1.4413509999999999E-2</v>
      </c>
      <c r="O5173">
        <v>-7.4633989999999997E-2</v>
      </c>
      <c r="P5173">
        <v>-0.85253780000000001</v>
      </c>
      <c r="Q5173">
        <v>0.33918619999999999</v>
      </c>
      <c r="R5173">
        <v>-0.39765879999999998</v>
      </c>
      <c r="S5173">
        <v>-3.0179749999999999</v>
      </c>
      <c r="T5173">
        <v>-0.26738610000000002</v>
      </c>
      <c r="U5173">
        <v>-1.300476</v>
      </c>
      <c r="V5173">
        <v>-0.33317069999999999</v>
      </c>
      <c r="W5173">
        <v>0.35158990000000001</v>
      </c>
      <c r="X5173">
        <v>0.874861</v>
      </c>
      <c r="Y5173">
        <v>-0.32498579999999999</v>
      </c>
      <c r="Z5173">
        <v>-1.0948670000000001E-2</v>
      </c>
      <c r="AA5173">
        <v>0.94565549999999998</v>
      </c>
      <c r="AB5173">
        <v>32</v>
      </c>
      <c r="AC5173">
        <v>-12.2632999999999</v>
      </c>
      <c r="AD5173">
        <v>-1.1109672064889999</v>
      </c>
      <c r="AE5173">
        <v>-5.3816999999999897</v>
      </c>
      <c r="AF5173">
        <v>-4.42090971820625</v>
      </c>
      <c r="AG5173">
        <v>-1.1109672064889999</v>
      </c>
      <c r="AH5173">
        <v>12.5444622156537</v>
      </c>
      <c r="AI5173">
        <v>94.774668390395604</v>
      </c>
      <c r="AJ5173">
        <v>109.41343774750401</v>
      </c>
      <c r="AK5173">
        <v>13.346993037774</v>
      </c>
      <c r="AL5173">
        <v>69.415408007751395</v>
      </c>
      <c r="AM5173">
        <v>110.84818496989701</v>
      </c>
      <c r="AN5173">
        <v>0.99999997122074902</v>
      </c>
    </row>
    <row r="5174" spans="1:40" x14ac:dyDescent="0.25">
      <c r="A5174" t="str">
        <f>"20190304164230014"</f>
        <v>20190304164230014</v>
      </c>
      <c r="B5174" t="str">
        <f>"1551688950006277"</f>
        <v>1551688950006277</v>
      </c>
      <c r="C5174" t="s">
        <v>40</v>
      </c>
      <c r="D5174">
        <v>4.4395290000000003</v>
      </c>
      <c r="E5174">
        <v>0.49915019999999999</v>
      </c>
      <c r="F5174" t="s">
        <v>42</v>
      </c>
      <c r="G5174">
        <v>-397.33350000000002</v>
      </c>
      <c r="H5174" s="1">
        <v>-2.1070969999999998E-6</v>
      </c>
      <c r="I5174">
        <v>135.05500000000001</v>
      </c>
      <c r="J5174">
        <v>-385.00049999999999</v>
      </c>
      <c r="K5174">
        <v>1.1112089999999999</v>
      </c>
      <c r="L5174">
        <v>140.52180000000001</v>
      </c>
      <c r="M5174">
        <v>-0.99704380000000004</v>
      </c>
      <c r="N5174">
        <v>-1.441277E-2</v>
      </c>
      <c r="O5174">
        <v>-7.5471410000000003E-2</v>
      </c>
      <c r="P5174">
        <v>-0.85152479999999997</v>
      </c>
      <c r="Q5174">
        <v>0.3387327</v>
      </c>
      <c r="R5174">
        <v>-0.40020729999999999</v>
      </c>
      <c r="S5174">
        <v>-3.0136720000000001</v>
      </c>
      <c r="T5174">
        <v>-0.2648723</v>
      </c>
      <c r="U5174">
        <v>-1.309021</v>
      </c>
      <c r="V5174">
        <v>-0.33526080000000003</v>
      </c>
      <c r="W5174">
        <v>0.35092469999999998</v>
      </c>
      <c r="X5174">
        <v>0.87432949999999998</v>
      </c>
      <c r="Y5174">
        <v>-0.32695089999999999</v>
      </c>
      <c r="Z5174">
        <v>-1.09245E-2</v>
      </c>
      <c r="AA5174">
        <v>0.94497819999999999</v>
      </c>
      <c r="AB5174">
        <v>32</v>
      </c>
      <c r="AC5174">
        <v>-12.333</v>
      </c>
      <c r="AD5174">
        <v>-1.1112111070970001</v>
      </c>
      <c r="AE5174">
        <v>-5.4668000000000001</v>
      </c>
      <c r="AF5174">
        <v>-4.4898560880499296</v>
      </c>
      <c r="AG5174">
        <v>-1.1112111070970001</v>
      </c>
      <c r="AH5174">
        <v>12.624789578787199</v>
      </c>
      <c r="AI5174">
        <v>94.740683564530798</v>
      </c>
      <c r="AJ5174">
        <v>109.577324011119</v>
      </c>
      <c r="AK5174">
        <v>13.445404780986999</v>
      </c>
      <c r="AL5174">
        <v>69.456115929776502</v>
      </c>
      <c r="AM5174">
        <v>110.979272917608</v>
      </c>
      <c r="AN5174">
        <v>1.00000001182849</v>
      </c>
    </row>
    <row r="5175" spans="1:40" x14ac:dyDescent="0.25">
      <c r="A5175" t="str">
        <f>"20190304164230035"</f>
        <v>20190304164230035</v>
      </c>
      <c r="B5175" t="str">
        <f>"1551688950026774"</f>
        <v>1551688950026774</v>
      </c>
      <c r="C5175" t="s">
        <v>40</v>
      </c>
      <c r="D5175">
        <v>4.4157789999999997</v>
      </c>
      <c r="E5175">
        <v>0.49888969999999999</v>
      </c>
      <c r="F5175" t="s">
        <v>42</v>
      </c>
      <c r="G5175">
        <v>-397.4753</v>
      </c>
      <c r="H5175" s="1">
        <v>-2.0578500000000001E-6</v>
      </c>
      <c r="I5175">
        <v>135.05860000000001</v>
      </c>
      <c r="J5175">
        <v>-385.3109</v>
      </c>
      <c r="K5175">
        <v>1.1114919999999999</v>
      </c>
      <c r="L5175">
        <v>140.49709999999999</v>
      </c>
      <c r="M5175">
        <v>-0.99695239999999996</v>
      </c>
      <c r="N5175">
        <v>-1.441432E-2</v>
      </c>
      <c r="O5175">
        <v>-7.6669470000000003E-2</v>
      </c>
      <c r="P5175">
        <v>-0.85034759999999998</v>
      </c>
      <c r="Q5175">
        <v>0.3390164</v>
      </c>
      <c r="R5175">
        <v>-0.40246379999999998</v>
      </c>
      <c r="S5175">
        <v>-3.0101619999999998</v>
      </c>
      <c r="T5175">
        <v>-0.26813350000000002</v>
      </c>
      <c r="U5175">
        <v>-1.318222</v>
      </c>
      <c r="V5175">
        <v>-0.33679009999999998</v>
      </c>
      <c r="W5175">
        <v>0.35096359999999999</v>
      </c>
      <c r="X5175">
        <v>0.87372590000000006</v>
      </c>
      <c r="Y5175">
        <v>-0.32861629999999997</v>
      </c>
      <c r="Z5175">
        <v>-1.101982E-2</v>
      </c>
      <c r="AA5175">
        <v>0.94439919999999999</v>
      </c>
      <c r="AB5175">
        <v>32</v>
      </c>
      <c r="AC5175">
        <v>-12.164400000000001</v>
      </c>
      <c r="AD5175">
        <v>-1.1114940578500001</v>
      </c>
      <c r="AE5175">
        <v>-5.4384999999999701</v>
      </c>
      <c r="AF5175">
        <v>-4.4587293109940198</v>
      </c>
      <c r="AG5175">
        <v>-1.1114940578500001</v>
      </c>
      <c r="AH5175">
        <v>12.458906692165501</v>
      </c>
      <c r="AI5175">
        <v>94.801342848118693</v>
      </c>
      <c r="AJ5175">
        <v>109.691010962329</v>
      </c>
      <c r="AK5175">
        <v>13.279308795017901</v>
      </c>
      <c r="AL5175">
        <v>69.453735140768103</v>
      </c>
      <c r="AM5175">
        <v>111.079867868367</v>
      </c>
      <c r="AN5175">
        <v>0.99999998415688995</v>
      </c>
    </row>
    <row r="5176" spans="1:40" x14ac:dyDescent="0.25">
      <c r="A5176" t="str">
        <f>"20190304164230058"</f>
        <v>20190304164230058</v>
      </c>
      <c r="B5176" t="str">
        <f>"1551688950046293"</f>
        <v>1551688950046293</v>
      </c>
      <c r="C5176" t="s">
        <v>40</v>
      </c>
      <c r="D5176">
        <v>4.4345929999999996</v>
      </c>
      <c r="E5176">
        <v>0.4986621</v>
      </c>
      <c r="F5176" t="s">
        <v>42</v>
      </c>
      <c r="G5176">
        <v>-397.72859999999997</v>
      </c>
      <c r="H5176" s="1">
        <v>-1.9841779999999998E-6</v>
      </c>
      <c r="I5176">
        <v>135.01159999999999</v>
      </c>
      <c r="J5176">
        <v>-385.62759999999997</v>
      </c>
      <c r="K5176">
        <v>1.111807</v>
      </c>
      <c r="L5176">
        <v>140.47120000000001</v>
      </c>
      <c r="M5176">
        <v>-0.99682579999999998</v>
      </c>
      <c r="N5176">
        <v>-1.4417350000000001E-2</v>
      </c>
      <c r="O5176">
        <v>-7.8299099999999996E-2</v>
      </c>
      <c r="P5176">
        <v>-0.8490375</v>
      </c>
      <c r="Q5176">
        <v>0.33967389999999997</v>
      </c>
      <c r="R5176">
        <v>-0.40466940000000001</v>
      </c>
      <c r="S5176">
        <v>-3.0066830000000002</v>
      </c>
      <c r="T5176">
        <v>-0.26912550000000002</v>
      </c>
      <c r="U5176">
        <v>-1.3281860000000001</v>
      </c>
      <c r="V5176">
        <v>-0.33792640000000002</v>
      </c>
      <c r="W5176">
        <v>0.3513539</v>
      </c>
      <c r="X5176">
        <v>0.87313009999999902</v>
      </c>
      <c r="Y5176">
        <v>-0.3300863</v>
      </c>
      <c r="Z5176">
        <v>-1.101128E-2</v>
      </c>
      <c r="AA5176">
        <v>0.94388649999999996</v>
      </c>
      <c r="AB5176">
        <v>32</v>
      </c>
      <c r="AC5176">
        <v>-12.101000000000001</v>
      </c>
      <c r="AD5176">
        <v>-1.1118089841779999</v>
      </c>
      <c r="AE5176">
        <v>-5.4596000000000204</v>
      </c>
      <c r="AF5176">
        <v>-4.4639302638755201</v>
      </c>
      <c r="AG5176">
        <v>-1.1118089841779999</v>
      </c>
      <c r="AH5176">
        <v>12.404365756532</v>
      </c>
      <c r="AI5176">
        <v>94.820673701908007</v>
      </c>
      <c r="AJ5176">
        <v>109.792164255264</v>
      </c>
      <c r="AK5176">
        <v>13.229931308962501</v>
      </c>
      <c r="AL5176">
        <v>69.429851790531501</v>
      </c>
      <c r="AM5176">
        <v>111.157867227861</v>
      </c>
      <c r="AN5176">
        <v>0.99999999319408905</v>
      </c>
    </row>
    <row r="5177" spans="1:40" x14ac:dyDescent="0.25">
      <c r="A5177" t="str">
        <f>"20190304164230080"</f>
        <v>20190304164230080</v>
      </c>
      <c r="B5177" t="str">
        <f>"1551688950066789"</f>
        <v>1551688950066789</v>
      </c>
      <c r="C5177" t="s">
        <v>40</v>
      </c>
      <c r="D5177">
        <v>4.415165</v>
      </c>
      <c r="E5177">
        <v>0.49844719999999998</v>
      </c>
      <c r="F5177" t="s">
        <v>42</v>
      </c>
      <c r="G5177">
        <v>-398.06029999999998</v>
      </c>
      <c r="H5177" s="1">
        <v>-1.892519E-6</v>
      </c>
      <c r="I5177">
        <v>134.93190000000001</v>
      </c>
      <c r="J5177">
        <v>-385.9409</v>
      </c>
      <c r="K5177">
        <v>1.1121449999999999</v>
      </c>
      <c r="L5177">
        <v>140.44460000000001</v>
      </c>
      <c r="M5177">
        <v>-0.9966623</v>
      </c>
      <c r="N5177">
        <v>-1.442214E-2</v>
      </c>
      <c r="O5177">
        <v>-8.0351809999999996E-2</v>
      </c>
      <c r="P5177">
        <v>-0.84780499999999903</v>
      </c>
      <c r="Q5177">
        <v>0.33969310000000003</v>
      </c>
      <c r="R5177">
        <v>-0.40722920000000001</v>
      </c>
      <c r="S5177">
        <v>-3.0031430000000001</v>
      </c>
      <c r="T5177">
        <v>-0.26855990000000002</v>
      </c>
      <c r="U5177">
        <v>-1.3380129999999999</v>
      </c>
      <c r="V5177">
        <v>-0.33904970000000001</v>
      </c>
      <c r="W5177">
        <v>0.35109810000000002</v>
      </c>
      <c r="X5177">
        <v>0.8727975</v>
      </c>
      <c r="Y5177">
        <v>-0.3311384</v>
      </c>
      <c r="Z5177">
        <v>-1.090956E-2</v>
      </c>
      <c r="AA5177">
        <v>0.94351910000000005</v>
      </c>
      <c r="AB5177">
        <v>32</v>
      </c>
      <c r="AC5177">
        <v>-12.119399999999899</v>
      </c>
      <c r="AD5177">
        <v>-1.1121468925189999</v>
      </c>
      <c r="AE5177">
        <v>-5.5126999999999899</v>
      </c>
      <c r="AF5177">
        <v>-4.4896287350296502</v>
      </c>
      <c r="AG5177">
        <v>-1.1121468925189999</v>
      </c>
      <c r="AH5177">
        <v>12.4364328273314</v>
      </c>
      <c r="AI5177">
        <v>94.808018327557306</v>
      </c>
      <c r="AJ5177">
        <v>109.84989410891799</v>
      </c>
      <c r="AK5177">
        <v>13.268703718060401</v>
      </c>
      <c r="AL5177">
        <v>69.445506019751406</v>
      </c>
      <c r="AM5177">
        <v>111.22931579679199</v>
      </c>
      <c r="AN5177">
        <v>1.0000000254499699</v>
      </c>
    </row>
    <row r="5178" spans="1:40" x14ac:dyDescent="0.25">
      <c r="A5178" t="str">
        <f>"20190304164230102"</f>
        <v>20190304164230102</v>
      </c>
      <c r="B5178" t="str">
        <f>"1551688950096069"</f>
        <v>1551688950096069</v>
      </c>
      <c r="C5178" t="s">
        <v>40</v>
      </c>
      <c r="D5178">
        <v>4.4238970000000002</v>
      </c>
      <c r="E5178">
        <v>0.4982396</v>
      </c>
      <c r="F5178" t="s">
        <v>42</v>
      </c>
      <c r="G5178">
        <v>-398.28969999999998</v>
      </c>
      <c r="H5178" s="1">
        <v>-1.8248009999999999E-6</v>
      </c>
      <c r="I5178">
        <v>134.8929</v>
      </c>
      <c r="J5178">
        <v>-386.25380000000001</v>
      </c>
      <c r="K5178">
        <v>1.1124909999999999</v>
      </c>
      <c r="L5178">
        <v>140.4169</v>
      </c>
      <c r="M5178">
        <v>-0.99645720000000004</v>
      </c>
      <c r="N5178">
        <v>-1.4429300000000001E-2</v>
      </c>
      <c r="O5178">
        <v>-8.2854750000000005E-2</v>
      </c>
      <c r="P5178">
        <v>-0.84701589999999904</v>
      </c>
      <c r="Q5178">
        <v>0.33878350000000002</v>
      </c>
      <c r="R5178">
        <v>-0.40962150000000003</v>
      </c>
      <c r="S5178">
        <v>-2.9991460000000001</v>
      </c>
      <c r="T5178">
        <v>-0.2701055</v>
      </c>
      <c r="U5178">
        <v>-1.3482970000000001</v>
      </c>
      <c r="V5178">
        <v>-0.33957880000000001</v>
      </c>
      <c r="W5178">
        <v>0.34991809999999901</v>
      </c>
      <c r="X5178">
        <v>0.873065599999999</v>
      </c>
      <c r="Y5178">
        <v>-0.33192260000000001</v>
      </c>
      <c r="Z5178">
        <v>-1.082056E-2</v>
      </c>
      <c r="AA5178">
        <v>0.94324459999999999</v>
      </c>
      <c r="AB5178">
        <v>32</v>
      </c>
      <c r="AC5178">
        <v>-12.0358999999999</v>
      </c>
      <c r="AD5178">
        <v>-1.112492824801</v>
      </c>
      <c r="AE5178">
        <v>-5.524</v>
      </c>
      <c r="AF5178">
        <v>-4.4760794906359402</v>
      </c>
      <c r="AG5178">
        <v>-1.112492824801</v>
      </c>
      <c r="AH5178">
        <v>12.3649850125041</v>
      </c>
      <c r="AI5178">
        <v>94.835641945956297</v>
      </c>
      <c r="AJ5178">
        <v>109.900071296801</v>
      </c>
      <c r="AK5178">
        <v>13.1971884222048</v>
      </c>
      <c r="AL5178">
        <v>69.517693958063802</v>
      </c>
      <c r="AM5178">
        <v>111.253543170504</v>
      </c>
      <c r="AN5178">
        <v>0.99999999001020401</v>
      </c>
    </row>
    <row r="5179" spans="1:40" x14ac:dyDescent="0.25">
      <c r="A5179" t="str">
        <f>"20190304164230124"</f>
        <v>20190304164230124</v>
      </c>
      <c r="B5179" t="str">
        <f>"1551688950116565"</f>
        <v>1551688950116565</v>
      </c>
      <c r="C5179" t="s">
        <v>40</v>
      </c>
      <c r="D5179">
        <v>4.399985</v>
      </c>
      <c r="E5179">
        <v>0.49808669999999999</v>
      </c>
      <c r="F5179" t="s">
        <v>42</v>
      </c>
      <c r="G5179">
        <v>-398.36470000000003</v>
      </c>
      <c r="H5179" s="1">
        <v>-1.7912999999999999E-6</v>
      </c>
      <c r="I5179">
        <v>134.923</v>
      </c>
      <c r="J5179">
        <v>-386.55619999999999</v>
      </c>
      <c r="K5179">
        <v>1.1128100000000001</v>
      </c>
      <c r="L5179">
        <v>140.38890000000001</v>
      </c>
      <c r="M5179">
        <v>-0.99621720000000002</v>
      </c>
      <c r="N5179">
        <v>-1.4438299999999901E-2</v>
      </c>
      <c r="O5179">
        <v>-8.5691939999999994E-2</v>
      </c>
      <c r="P5179">
        <v>-0.84639609999999998</v>
      </c>
      <c r="Q5179">
        <v>0.33689910000000001</v>
      </c>
      <c r="R5179">
        <v>-0.41244799999999998</v>
      </c>
      <c r="S5179">
        <v>-2.994904</v>
      </c>
      <c r="T5179">
        <v>-0.2751075</v>
      </c>
      <c r="U5179">
        <v>-1.3585659999999999</v>
      </c>
      <c r="V5179">
        <v>-0.34021089999999998</v>
      </c>
      <c r="W5179">
        <v>0.34778120000000001</v>
      </c>
      <c r="X5179">
        <v>0.87367320000000004</v>
      </c>
      <c r="Y5179">
        <v>-0.33239049999999998</v>
      </c>
      <c r="Z5179">
        <v>-1.0779260000000001E-2</v>
      </c>
      <c r="AA5179">
        <v>0.94308020000000004</v>
      </c>
      <c r="AB5179">
        <v>32</v>
      </c>
      <c r="AC5179">
        <v>-11.8085</v>
      </c>
      <c r="AD5179">
        <v>-1.1128117913</v>
      </c>
      <c r="AE5179">
        <v>-5.4659000000000004</v>
      </c>
      <c r="AF5179">
        <v>-4.4015994087474404</v>
      </c>
      <c r="AG5179">
        <v>-1.1128117913</v>
      </c>
      <c r="AH5179">
        <v>12.1446641015023</v>
      </c>
      <c r="AI5179">
        <v>94.923662871418003</v>
      </c>
      <c r="AJ5179">
        <v>109.922072383759</v>
      </c>
      <c r="AK5179">
        <v>12.965542548472801</v>
      </c>
      <c r="AL5179">
        <v>69.648337542865505</v>
      </c>
      <c r="AM5179">
        <v>111.27608414525599</v>
      </c>
      <c r="AN5179">
        <v>1.00000003997524</v>
      </c>
    </row>
    <row r="5180" spans="1:40" x14ac:dyDescent="0.25">
      <c r="A5180" t="str">
        <f>"20190304164230147"</f>
        <v>20190304164230147</v>
      </c>
      <c r="B5180" t="str">
        <f>"1551688950136085"</f>
        <v>1551688950136085</v>
      </c>
      <c r="C5180" t="s">
        <v>40</v>
      </c>
      <c r="D5180">
        <v>4.3989909999999997</v>
      </c>
      <c r="E5180">
        <v>0.49792639999999999</v>
      </c>
      <c r="F5180" t="s">
        <v>42</v>
      </c>
      <c r="G5180">
        <v>-398.31450000000001</v>
      </c>
      <c r="H5180" s="1">
        <v>-1.7875569999999999E-6</v>
      </c>
      <c r="I5180">
        <v>135.00129999999999</v>
      </c>
      <c r="J5180">
        <v>-386.87259999999998</v>
      </c>
      <c r="K5180">
        <v>1.1131089999999999</v>
      </c>
      <c r="L5180">
        <v>140.35830000000001</v>
      </c>
      <c r="M5180">
        <v>-0.99592720000000001</v>
      </c>
      <c r="N5180">
        <v>-1.44481E-2</v>
      </c>
      <c r="O5180">
        <v>-8.8996779999999998E-2</v>
      </c>
      <c r="P5180">
        <v>-0.84520479999999998</v>
      </c>
      <c r="Q5180">
        <v>0.33515509999999998</v>
      </c>
      <c r="R5180">
        <v>-0.41629339999999998</v>
      </c>
      <c r="S5180">
        <v>-2.989563</v>
      </c>
      <c r="T5180">
        <v>-0.28293410000000002</v>
      </c>
      <c r="U5180">
        <v>-1.3697809999999999</v>
      </c>
      <c r="V5180">
        <v>-0.34147349999999999</v>
      </c>
      <c r="W5180">
        <v>0.34579579999999999</v>
      </c>
      <c r="X5180">
        <v>0.87396859999999998</v>
      </c>
      <c r="Y5180">
        <v>-0.33277220000000002</v>
      </c>
      <c r="Z5180">
        <v>-1.076272E-2</v>
      </c>
      <c r="AA5180">
        <v>0.94294579999999995</v>
      </c>
      <c r="AB5180">
        <v>32</v>
      </c>
      <c r="AC5180">
        <v>-11.4419</v>
      </c>
      <c r="AD5180">
        <v>-1.1131107875570001</v>
      </c>
      <c r="AE5180">
        <v>-5.3570000000000197</v>
      </c>
      <c r="AF5180">
        <v>-4.2840846256020404</v>
      </c>
      <c r="AG5180">
        <v>-1.1131107875570001</v>
      </c>
      <c r="AH5180">
        <v>11.781836455852099</v>
      </c>
      <c r="AI5180">
        <v>95.073943847605307</v>
      </c>
      <c r="AJ5180">
        <v>109.982163566773</v>
      </c>
      <c r="AK5180">
        <v>12.5858677482779</v>
      </c>
      <c r="AL5180">
        <v>69.769618082891</v>
      </c>
      <c r="AM5180">
        <v>111.341381929886</v>
      </c>
      <c r="AN5180">
        <v>1.0000000001429199</v>
      </c>
    </row>
    <row r="5181" spans="1:40" x14ac:dyDescent="0.25">
      <c r="A5181" t="str">
        <f>"20190304164230170"</f>
        <v>20190304164230170</v>
      </c>
      <c r="B5181" t="str">
        <f>"1551688950156581"</f>
        <v>1551688950156581</v>
      </c>
      <c r="C5181" t="s">
        <v>40</v>
      </c>
      <c r="D5181">
        <v>4.4104409999999996</v>
      </c>
      <c r="E5181">
        <v>0.49776670000000001</v>
      </c>
      <c r="F5181" t="s">
        <v>42</v>
      </c>
      <c r="G5181">
        <v>-398.3064</v>
      </c>
      <c r="H5181" s="1">
        <v>-1.7766759999999901E-6</v>
      </c>
      <c r="I5181">
        <v>135.05250000000001</v>
      </c>
      <c r="J5181">
        <v>-387.18200000000002</v>
      </c>
      <c r="K5181">
        <v>1.113362</v>
      </c>
      <c r="L5181">
        <v>140.327</v>
      </c>
      <c r="M5181">
        <v>-0.99560510000000002</v>
      </c>
      <c r="N5181">
        <v>-1.4455900000000001E-2</v>
      </c>
      <c r="O5181">
        <v>-9.2529180000000003E-2</v>
      </c>
      <c r="P5181">
        <v>-0.84316990000000003</v>
      </c>
      <c r="Q5181">
        <v>0.33510420000000002</v>
      </c>
      <c r="R5181">
        <v>-0.42044039999999999</v>
      </c>
      <c r="S5181">
        <v>-2.9828489999999999</v>
      </c>
      <c r="T5181">
        <v>-0.29038940000000002</v>
      </c>
      <c r="U5181">
        <v>-1.384155</v>
      </c>
      <c r="V5181">
        <v>-0.34288659999999999</v>
      </c>
      <c r="W5181">
        <v>0.34552379999999999</v>
      </c>
      <c r="X5181">
        <v>0.87352280000000004</v>
      </c>
      <c r="Y5181">
        <v>-0.33392440000000001</v>
      </c>
      <c r="Z5181">
        <v>-1.0747319999999999E-2</v>
      </c>
      <c r="AA5181">
        <v>0.9425386</v>
      </c>
      <c r="AB5181">
        <v>31</v>
      </c>
      <c r="AC5181">
        <v>-11.1244</v>
      </c>
      <c r="AD5181">
        <v>-1.1133637766760001</v>
      </c>
      <c r="AE5181">
        <v>-5.2744999999999802</v>
      </c>
      <c r="AF5181">
        <v>-4.1881770019049602</v>
      </c>
      <c r="AG5181">
        <v>-1.1133637766760001</v>
      </c>
      <c r="AH5181">
        <v>11.470951365021801</v>
      </c>
      <c r="AI5181">
        <v>95.209398318395102</v>
      </c>
      <c r="AJ5181">
        <v>110.057722648967</v>
      </c>
      <c r="AK5181">
        <v>12.2622645020076</v>
      </c>
      <c r="AL5181">
        <v>69.786226250857098</v>
      </c>
      <c r="AM5181">
        <v>111.43164989257799</v>
      </c>
      <c r="AN5181">
        <v>0.99999999947291995</v>
      </c>
    </row>
    <row r="5182" spans="1:40" x14ac:dyDescent="0.25">
      <c r="A5182" t="str">
        <f>"20190304164230192"</f>
        <v>20190304164230192</v>
      </c>
      <c r="B5182" t="str">
        <f>"1551688950185861"</f>
        <v>1551688950185861</v>
      </c>
      <c r="C5182" t="s">
        <v>40</v>
      </c>
      <c r="D5182">
        <v>4.4048309999999997</v>
      </c>
      <c r="E5182">
        <v>0.49756669999999997</v>
      </c>
      <c r="F5182" t="s">
        <v>42</v>
      </c>
      <c r="G5182">
        <v>-398.5523</v>
      </c>
      <c r="H5182" s="1">
        <v>-1.7138239999999901E-6</v>
      </c>
      <c r="I5182">
        <v>134.9742</v>
      </c>
      <c r="J5182">
        <v>-387.50799999999998</v>
      </c>
      <c r="K5182">
        <v>1.1136079999999999</v>
      </c>
      <c r="L5182">
        <v>140.29259999999999</v>
      </c>
      <c r="M5182">
        <v>-0.9952223</v>
      </c>
      <c r="N5182">
        <v>-1.446333E-2</v>
      </c>
      <c r="O5182">
        <v>-9.6557599999999993E-2</v>
      </c>
      <c r="P5182">
        <v>-0.84012310000000001</v>
      </c>
      <c r="Q5182">
        <v>0.33750960000000002</v>
      </c>
      <c r="R5182">
        <v>-0.42459479999999999</v>
      </c>
      <c r="S5182">
        <v>-2.9753419999999999</v>
      </c>
      <c r="T5182">
        <v>-0.2913424</v>
      </c>
      <c r="U5182">
        <v>-1.4006959999999999</v>
      </c>
      <c r="V5182">
        <v>-0.3439815</v>
      </c>
      <c r="W5182">
        <v>0.34770659999999998</v>
      </c>
      <c r="X5182">
        <v>0.87222529999999998</v>
      </c>
      <c r="Y5182">
        <v>-0.33531319999999998</v>
      </c>
      <c r="Z5182">
        <v>-1.0544410000000001E-2</v>
      </c>
      <c r="AA5182">
        <v>0.94204770000000004</v>
      </c>
      <c r="AB5182">
        <v>31</v>
      </c>
      <c r="AC5182">
        <v>-11.0442999999999</v>
      </c>
      <c r="AD5182">
        <v>-1.113609713824</v>
      </c>
      <c r="AE5182">
        <v>-5.3183999999999898</v>
      </c>
      <c r="AF5182">
        <v>-4.1924208930954903</v>
      </c>
      <c r="AG5182">
        <v>-1.113609713824</v>
      </c>
      <c r="AH5182">
        <v>11.4120841720404</v>
      </c>
      <c r="AI5182">
        <v>95.2334796933863</v>
      </c>
      <c r="AJ5182">
        <v>110.171656285719</v>
      </c>
      <c r="AK5182">
        <v>12.2086929967675</v>
      </c>
      <c r="AL5182">
        <v>69.652896812404293</v>
      </c>
      <c r="AM5182">
        <v>111.522902842565</v>
      </c>
      <c r="AN5182">
        <v>1.00000006299294</v>
      </c>
    </row>
    <row r="5183" spans="1:40" x14ac:dyDescent="0.25">
      <c r="A5183" t="str">
        <f>"20190304164230214"</f>
        <v>20190304164230214</v>
      </c>
      <c r="B5183" t="str">
        <f>"1551688950206357"</f>
        <v>1551688950206357</v>
      </c>
      <c r="C5183" t="s">
        <v>40</v>
      </c>
      <c r="D5183">
        <v>4.3845489999999998</v>
      </c>
      <c r="E5183">
        <v>0.49746410000000002</v>
      </c>
      <c r="F5183" t="s">
        <v>42</v>
      </c>
      <c r="G5183">
        <v>-399.11329999999998</v>
      </c>
      <c r="H5183" s="1">
        <v>-1.5832590000000001E-6</v>
      </c>
      <c r="I5183">
        <v>134.7473</v>
      </c>
      <c r="J5183">
        <v>-387.80090000000001</v>
      </c>
      <c r="K5183">
        <v>1.113807</v>
      </c>
      <c r="L5183">
        <v>140.2603</v>
      </c>
      <c r="M5183">
        <v>-0.99483920000000003</v>
      </c>
      <c r="N5183">
        <v>-1.4470739999999999E-2</v>
      </c>
      <c r="O5183">
        <v>-0.10042710000000001</v>
      </c>
      <c r="P5183">
        <v>-0.8376072</v>
      </c>
      <c r="Q5183">
        <v>0.33796419999999999</v>
      </c>
      <c r="R5183">
        <v>-0.42917929999999999</v>
      </c>
      <c r="S5183">
        <v>-2.9684750000000002</v>
      </c>
      <c r="T5183">
        <v>-0.28484540000000003</v>
      </c>
      <c r="U5183">
        <v>-1.4183809999999999</v>
      </c>
      <c r="V5183">
        <v>-0.34556219999999999</v>
      </c>
      <c r="W5183">
        <v>0.34797070000000002</v>
      </c>
      <c r="X5183">
        <v>0.87149480000000001</v>
      </c>
      <c r="Y5183">
        <v>-0.33711940000000001</v>
      </c>
      <c r="Z5183">
        <v>-1.0209559999999999E-2</v>
      </c>
      <c r="AA5183">
        <v>0.94140650000000003</v>
      </c>
      <c r="AB5183">
        <v>31</v>
      </c>
      <c r="AC5183">
        <v>-11.312399999999901</v>
      </c>
      <c r="AD5183">
        <v>-1.1138085832589999</v>
      </c>
      <c r="AE5183">
        <v>-5.5129999999999999</v>
      </c>
      <c r="AF5183">
        <v>-4.3151289202699896</v>
      </c>
      <c r="AG5183">
        <v>-1.1138085832589999</v>
      </c>
      <c r="AH5183">
        <v>11.717121624111901</v>
      </c>
      <c r="AI5183">
        <v>95.097374038617701</v>
      </c>
      <c r="AJ5183">
        <v>110.21751662270999</v>
      </c>
      <c r="AK5183">
        <v>12.5360219492837</v>
      </c>
      <c r="AL5183">
        <v>69.636756111142105</v>
      </c>
      <c r="AM5183">
        <v>111.629150370117</v>
      </c>
      <c r="AN5183">
        <v>1.0000000142771801</v>
      </c>
    </row>
    <row r="5184" spans="1:40" x14ac:dyDescent="0.25">
      <c r="A5184" t="str">
        <f>"20190304164230236"</f>
        <v>20190304164230236</v>
      </c>
      <c r="B5184" t="str">
        <f>"1551688950226725"</f>
        <v>1551688950226725</v>
      </c>
      <c r="C5184" t="s">
        <v>40</v>
      </c>
      <c r="D5184">
        <v>4.3748199999999997</v>
      </c>
      <c r="E5184">
        <v>0.49738949999999998</v>
      </c>
      <c r="F5184" t="s">
        <v>42</v>
      </c>
      <c r="G5184">
        <v>-399.4058</v>
      </c>
      <c r="H5184" s="1">
        <v>-1.513868E-6</v>
      </c>
      <c r="I5184">
        <v>134.63409999999999</v>
      </c>
      <c r="J5184">
        <v>-388.10480000000001</v>
      </c>
      <c r="K5184">
        <v>1.1140099999999999</v>
      </c>
      <c r="L5184">
        <v>140.2253</v>
      </c>
      <c r="M5184">
        <v>-0.9944018</v>
      </c>
      <c r="N5184">
        <v>-1.447939E-2</v>
      </c>
      <c r="O5184">
        <v>-0.104668899999999</v>
      </c>
      <c r="P5184">
        <v>-0.83565059999999902</v>
      </c>
      <c r="Q5184">
        <v>0.33665590000000001</v>
      </c>
      <c r="R5184">
        <v>-0.43399409999999999</v>
      </c>
      <c r="S5184">
        <v>-2.960785</v>
      </c>
      <c r="T5184">
        <v>-0.28416849999999999</v>
      </c>
      <c r="U5184">
        <v>-1.4353940000000001</v>
      </c>
      <c r="V5184">
        <v>-0.34698240000000002</v>
      </c>
      <c r="W5184">
        <v>0.34648299999999999</v>
      </c>
      <c r="X5184">
        <v>0.8715233</v>
      </c>
      <c r="Y5184">
        <v>-0.33845520000000001</v>
      </c>
      <c r="Z5184">
        <v>-9.9574380000000007E-3</v>
      </c>
      <c r="AA5184">
        <v>0.94092980000000004</v>
      </c>
      <c r="AB5184">
        <v>31</v>
      </c>
      <c r="AC5184">
        <v>-11.300999999999901</v>
      </c>
      <c r="AD5184">
        <v>-1.114011513868</v>
      </c>
      <c r="AE5184">
        <v>-5.5912000000000104</v>
      </c>
      <c r="AF5184">
        <v>-4.3435866897481903</v>
      </c>
      <c r="AG5184">
        <v>-1.114011513868</v>
      </c>
      <c r="AH5184">
        <v>11.7326081537881</v>
      </c>
      <c r="AI5184">
        <v>95.088412861840894</v>
      </c>
      <c r="AJ5184">
        <v>110.31530460032</v>
      </c>
      <c r="AK5184">
        <v>12.560328860134399</v>
      </c>
      <c r="AL5184">
        <v>69.727651332283799</v>
      </c>
      <c r="AM5184">
        <v>111.709145734174</v>
      </c>
      <c r="AN5184">
        <v>1.00000005882082</v>
      </c>
    </row>
    <row r="5185" spans="1:40" x14ac:dyDescent="0.25">
      <c r="A5185" t="str">
        <f>"20190304164230258"</f>
        <v>20190304164230258</v>
      </c>
      <c r="B5185" t="str">
        <f>"1551688950246245"</f>
        <v>1551688950246245</v>
      </c>
      <c r="C5185" t="s">
        <v>40</v>
      </c>
      <c r="D5185">
        <v>4.3569370000000003</v>
      </c>
      <c r="E5185">
        <v>0.49737019999999998</v>
      </c>
      <c r="F5185" t="s">
        <v>42</v>
      </c>
      <c r="G5185">
        <v>-399.44929999999999</v>
      </c>
      <c r="H5185" s="1">
        <v>-1.4976409999999999E-6</v>
      </c>
      <c r="I5185">
        <v>134.63939999999999</v>
      </c>
      <c r="J5185">
        <v>-388.41930000000002</v>
      </c>
      <c r="K5185">
        <v>1.114215</v>
      </c>
      <c r="L5185">
        <v>140.1875</v>
      </c>
      <c r="M5185">
        <v>-0.99390559999999994</v>
      </c>
      <c r="N5185">
        <v>-1.448907E-2</v>
      </c>
      <c r="O5185">
        <v>-0.10927969999999999</v>
      </c>
      <c r="P5185">
        <v>-0.83376280000000003</v>
      </c>
      <c r="Q5185">
        <v>0.33460269999999998</v>
      </c>
      <c r="R5185">
        <v>-0.43918200000000002</v>
      </c>
      <c r="S5185">
        <v>-2.9519350000000002</v>
      </c>
      <c r="T5185">
        <v>-0.28987590000000002</v>
      </c>
      <c r="U5185">
        <v>-1.453476</v>
      </c>
      <c r="V5185">
        <v>-0.34843469999999999</v>
      </c>
      <c r="W5185">
        <v>0.34425440000000002</v>
      </c>
      <c r="X5185">
        <v>0.87182689999999996</v>
      </c>
      <c r="Y5185">
        <v>-0.33981250000000002</v>
      </c>
      <c r="Z5185">
        <v>-9.8069549999999991E-3</v>
      </c>
      <c r="AA5185">
        <v>0.94044209999999995</v>
      </c>
      <c r="AB5185">
        <v>31</v>
      </c>
      <c r="AC5185">
        <v>-11.0299999999999</v>
      </c>
      <c r="AD5185">
        <v>-1.1142164976410001</v>
      </c>
      <c r="AE5185">
        <v>-5.5480999999999998</v>
      </c>
      <c r="AF5185">
        <v>-4.2745724401353096</v>
      </c>
      <c r="AG5185">
        <v>-1.1142164976410001</v>
      </c>
      <c r="AH5185">
        <v>11.4768198004768</v>
      </c>
      <c r="AI5185">
        <v>95.198380075032901</v>
      </c>
      <c r="AJ5185">
        <v>110.427982064402</v>
      </c>
      <c r="AK5185">
        <v>12.297594914543099</v>
      </c>
      <c r="AL5185">
        <v>69.863711521061504</v>
      </c>
      <c r="AM5185">
        <v>111.784634392489</v>
      </c>
      <c r="AN5185">
        <v>0.99999998782352995</v>
      </c>
    </row>
    <row r="5186" spans="1:40" x14ac:dyDescent="0.25">
      <c r="A5186" t="str">
        <f>"20190304164230281"</f>
        <v>20190304164230281</v>
      </c>
      <c r="B5186" t="str">
        <f>"1551688950276501"</f>
        <v>1551688950276501</v>
      </c>
      <c r="C5186" t="s">
        <v>40</v>
      </c>
      <c r="D5186">
        <v>4.3416880000000004</v>
      </c>
      <c r="E5186">
        <v>0.4973455</v>
      </c>
      <c r="F5186" t="s">
        <v>42</v>
      </c>
      <c r="G5186">
        <v>-399.43709999999999</v>
      </c>
      <c r="H5186" s="1">
        <v>-1.4916860000000001E-6</v>
      </c>
      <c r="I5186">
        <v>134.67740000000001</v>
      </c>
      <c r="J5186">
        <v>-388.7296</v>
      </c>
      <c r="K5186">
        <v>1.114412</v>
      </c>
      <c r="L5186">
        <v>140.14850000000001</v>
      </c>
      <c r="M5186">
        <v>-0.99337019999999998</v>
      </c>
      <c r="N5186">
        <v>-1.449869E-2</v>
      </c>
      <c r="O5186">
        <v>-0.1140414</v>
      </c>
      <c r="P5186">
        <v>-0.83105790000000002</v>
      </c>
      <c r="Q5186">
        <v>0.33491259999999901</v>
      </c>
      <c r="R5186">
        <v>-0.44404589999999999</v>
      </c>
      <c r="S5186">
        <v>-2.9424440000000001</v>
      </c>
      <c r="T5186">
        <v>-0.29756359999999998</v>
      </c>
      <c r="U5186">
        <v>-1.4715119999999999</v>
      </c>
      <c r="V5186">
        <v>-0.3495336</v>
      </c>
      <c r="W5186">
        <v>0.34439409999999998</v>
      </c>
      <c r="X5186">
        <v>0.87133169999999904</v>
      </c>
      <c r="Y5186">
        <v>-0.3410801</v>
      </c>
      <c r="Z5186">
        <v>-9.6627929999999994E-3</v>
      </c>
      <c r="AA5186">
        <v>0.93998459999999995</v>
      </c>
      <c r="AB5186">
        <v>31</v>
      </c>
      <c r="AC5186">
        <v>-10.7074999999999</v>
      </c>
      <c r="AD5186">
        <v>-1.114413491686</v>
      </c>
      <c r="AE5186">
        <v>-5.4710999999999999</v>
      </c>
      <c r="AF5186">
        <v>-4.1782824896508197</v>
      </c>
      <c r="AG5186">
        <v>-1.114413491686</v>
      </c>
      <c r="AH5186">
        <v>11.1657177203007</v>
      </c>
      <c r="AI5186">
        <v>95.340279277935693</v>
      </c>
      <c r="AJ5186">
        <v>110.516168334572</v>
      </c>
      <c r="AK5186">
        <v>11.9738554443926</v>
      </c>
      <c r="AL5186">
        <v>69.855185858674403</v>
      </c>
      <c r="AM5186">
        <v>111.858125847465</v>
      </c>
      <c r="AN5186">
        <v>0.99999998253432898</v>
      </c>
    </row>
    <row r="5187" spans="1:40" x14ac:dyDescent="0.25">
      <c r="A5187" t="str">
        <f>"20190304164230303"</f>
        <v>20190304164230303</v>
      </c>
      <c r="B5187" t="str">
        <f>"1551688950296021"</f>
        <v>1551688950296021</v>
      </c>
      <c r="C5187" t="s">
        <v>40</v>
      </c>
      <c r="D5187">
        <v>4.3448820000000001</v>
      </c>
      <c r="E5187">
        <v>0.49730819999999998</v>
      </c>
      <c r="F5187" t="s">
        <v>42</v>
      </c>
      <c r="G5187">
        <v>-399.74889999999999</v>
      </c>
      <c r="H5187" s="1">
        <v>-1.41576699999999E-6</v>
      </c>
      <c r="I5187">
        <v>134.56399999999999</v>
      </c>
      <c r="J5187">
        <v>-389.03890000000001</v>
      </c>
      <c r="K5187">
        <v>1.1145860000000001</v>
      </c>
      <c r="L5187">
        <v>140.1078</v>
      </c>
      <c r="M5187">
        <v>-0.99278829999999996</v>
      </c>
      <c r="N5187">
        <v>-1.4508149999999999E-2</v>
      </c>
      <c r="O5187">
        <v>-0.1190003</v>
      </c>
      <c r="P5187">
        <v>-0.82758739999999997</v>
      </c>
      <c r="Q5187">
        <v>0.33664670000000002</v>
      </c>
      <c r="R5187">
        <v>-0.44918649999999999</v>
      </c>
      <c r="S5187">
        <v>-2.9347840000000001</v>
      </c>
      <c r="T5187">
        <v>-0.29680319999999999</v>
      </c>
      <c r="U5187">
        <v>-1.4873050000000001</v>
      </c>
      <c r="V5187">
        <v>-0.35083389999999998</v>
      </c>
      <c r="W5187">
        <v>0.34595999999999999</v>
      </c>
      <c r="X5187">
        <v>0.87018809999999902</v>
      </c>
      <c r="Y5187">
        <v>-0.34141949999999999</v>
      </c>
      <c r="Z5187">
        <v>-9.2850520000000002E-3</v>
      </c>
      <c r="AA5187">
        <v>0.93986519999999996</v>
      </c>
      <c r="AB5187">
        <v>31</v>
      </c>
      <c r="AC5187">
        <v>-10.7099999999999</v>
      </c>
      <c r="AD5187">
        <v>-1.1145874157669999</v>
      </c>
      <c r="AE5187">
        <v>-5.5438000000000001</v>
      </c>
      <c r="AF5187">
        <v>-4.1939474052724401</v>
      </c>
      <c r="AG5187">
        <v>-1.1145874157669999</v>
      </c>
      <c r="AH5187">
        <v>11.1980127400907</v>
      </c>
      <c r="AI5187">
        <v>95.325237066796504</v>
      </c>
      <c r="AJ5187">
        <v>110.532233761394</v>
      </c>
      <c r="AK5187">
        <v>12.009454162151201</v>
      </c>
      <c r="AL5187">
        <v>69.759592059092697</v>
      </c>
      <c r="AM5187">
        <v>111.95782293964101</v>
      </c>
      <c r="AN5187">
        <v>1.0000000381854</v>
      </c>
    </row>
    <row r="5188" spans="1:40" x14ac:dyDescent="0.25">
      <c r="A5188" t="str">
        <f>"20190304164230325"</f>
        <v>20190304164230325</v>
      </c>
      <c r="B5188" t="str">
        <f>"1551688950316517"</f>
        <v>1551688950316517</v>
      </c>
      <c r="C5188" t="s">
        <v>40</v>
      </c>
      <c r="D5188">
        <v>4.3505949999999904</v>
      </c>
      <c r="E5188">
        <v>0.49729459999999998</v>
      </c>
      <c r="F5188" t="s">
        <v>53</v>
      </c>
      <c r="G5188">
        <v>-400.22399999999999</v>
      </c>
      <c r="H5188" s="1">
        <v>-2.7117869999999999E-6</v>
      </c>
      <c r="I5188">
        <v>134.3595</v>
      </c>
      <c r="J5188">
        <v>-389.33519999999999</v>
      </c>
      <c r="K5188">
        <v>1.1147290000000001</v>
      </c>
      <c r="L5188">
        <v>140.06720000000001</v>
      </c>
      <c r="M5188">
        <v>-0.99218550000000005</v>
      </c>
      <c r="N5188">
        <v>-1.451763E-2</v>
      </c>
      <c r="O5188">
        <v>-0.1239246</v>
      </c>
      <c r="P5188">
        <v>-0.82462950000000002</v>
      </c>
      <c r="Q5188">
        <v>0.33745750000000002</v>
      </c>
      <c r="R5188">
        <v>-0.45399220000000001</v>
      </c>
      <c r="S5188">
        <v>-2.927155</v>
      </c>
      <c r="T5188">
        <v>-0.2916899</v>
      </c>
      <c r="U5188">
        <v>-1.5043489999999999</v>
      </c>
      <c r="V5188">
        <v>-0.35175790000000001</v>
      </c>
      <c r="W5188">
        <v>0.34663280000000002</v>
      </c>
      <c r="X5188">
        <v>0.86954709999999902</v>
      </c>
      <c r="Y5188">
        <v>-0.34213090000000002</v>
      </c>
      <c r="Z5188">
        <v>-8.8648219999999996E-3</v>
      </c>
      <c r="AA5188">
        <v>0.93961050000000002</v>
      </c>
      <c r="AB5188">
        <v>31</v>
      </c>
      <c r="AC5188">
        <v>-10.8888</v>
      </c>
      <c r="AD5188">
        <v>-1.1147317117869999</v>
      </c>
      <c r="AE5188">
        <v>-5.7077000000000098</v>
      </c>
      <c r="AF5188">
        <v>-4.2789817655278499</v>
      </c>
      <c r="AG5188">
        <v>-1.1147317117869999</v>
      </c>
      <c r="AH5188">
        <v>11.418370390257101</v>
      </c>
      <c r="AI5188">
        <v>95.223339906760401</v>
      </c>
      <c r="AJ5188">
        <v>110.54325504296899</v>
      </c>
      <c r="AK5188">
        <v>12.244651653194699</v>
      </c>
      <c r="AL5188">
        <v>69.718500963816396</v>
      </c>
      <c r="AM5188">
        <v>112.024809943121</v>
      </c>
      <c r="AN5188">
        <v>1.0000000386833201</v>
      </c>
    </row>
    <row r="5189" spans="1:40" x14ac:dyDescent="0.25">
      <c r="A5189" t="str">
        <f>"20190304164230348"</f>
        <v>20190304164230348</v>
      </c>
      <c r="B5189" t="str">
        <f>"1551688950336041"</f>
        <v>1551688950336041</v>
      </c>
      <c r="C5189" t="s">
        <v>40</v>
      </c>
      <c r="D5189">
        <v>4.3670109999999998</v>
      </c>
      <c r="E5189">
        <v>0.4972953</v>
      </c>
      <c r="F5189" t="s">
        <v>53</v>
      </c>
      <c r="G5189">
        <v>-400.55349999999999</v>
      </c>
      <c r="H5189" s="1">
        <v>-2.8272799999999999E-6</v>
      </c>
      <c r="I5189">
        <v>134.22299999999899</v>
      </c>
      <c r="J5189">
        <v>-389.64339999999999</v>
      </c>
      <c r="K5189">
        <v>1.1148579999999999</v>
      </c>
      <c r="L5189">
        <v>140.0231</v>
      </c>
      <c r="M5189">
        <v>-0.99151359999999999</v>
      </c>
      <c r="N5189">
        <v>-1.4527109999999999E-2</v>
      </c>
      <c r="O5189">
        <v>-0.12918959999999999</v>
      </c>
      <c r="P5189">
        <v>-0.82174809999999998</v>
      </c>
      <c r="Q5189">
        <v>0.3376538</v>
      </c>
      <c r="R5189">
        <v>-0.45904250000000002</v>
      </c>
      <c r="S5189">
        <v>-2.9194640000000001</v>
      </c>
      <c r="T5189">
        <v>-0.2900993</v>
      </c>
      <c r="U5189">
        <v>-1.5208889999999999</v>
      </c>
      <c r="V5189">
        <v>-0.3526051</v>
      </c>
      <c r="W5189">
        <v>0.34671099999999999</v>
      </c>
      <c r="X5189">
        <v>0.86917259999999996</v>
      </c>
      <c r="Y5189">
        <v>-0.34237109999999998</v>
      </c>
      <c r="Z5189">
        <v>-8.456435E-3</v>
      </c>
      <c r="AA5189">
        <v>0.93952670000000005</v>
      </c>
      <c r="AB5189">
        <v>31</v>
      </c>
      <c r="AC5189">
        <v>-10.9101</v>
      </c>
      <c r="AD5189">
        <v>-1.11486082727999</v>
      </c>
      <c r="AE5189">
        <v>-5.8001000000000102</v>
      </c>
      <c r="AF5189">
        <v>-4.3068021538724599</v>
      </c>
      <c r="AG5189">
        <v>-1.11486082727999</v>
      </c>
      <c r="AH5189">
        <v>11.474628439156501</v>
      </c>
      <c r="AI5189">
        <v>95.197472114913595</v>
      </c>
      <c r="AJ5189">
        <v>110.572750649315</v>
      </c>
      <c r="AK5189">
        <v>12.306850014260499</v>
      </c>
      <c r="AL5189">
        <v>69.713722148821702</v>
      </c>
      <c r="AM5189">
        <v>112.081363016591</v>
      </c>
      <c r="AN5189">
        <v>0.99999994132888304</v>
      </c>
    </row>
    <row r="5190" spans="1:40" x14ac:dyDescent="0.25">
      <c r="A5190" t="str">
        <f>"20190304164230371"</f>
        <v>20190304164230371</v>
      </c>
      <c r="B5190" t="str">
        <f>"1551688950356537"</f>
        <v>1551688950356537</v>
      </c>
      <c r="C5190" t="s">
        <v>40</v>
      </c>
      <c r="D5190">
        <v>4.330387</v>
      </c>
      <c r="E5190">
        <v>0.49731950000000003</v>
      </c>
      <c r="F5190" t="s">
        <v>53</v>
      </c>
      <c r="G5190">
        <v>-400.79919999999998</v>
      </c>
      <c r="H5190" s="1">
        <v>-2.9166379999999999E-6</v>
      </c>
      <c r="I5190">
        <v>134.1275</v>
      </c>
      <c r="J5190">
        <v>-389.95600000000002</v>
      </c>
      <c r="K5190">
        <v>1.1149639999999901</v>
      </c>
      <c r="L5190">
        <v>139.97659999999999</v>
      </c>
      <c r="M5190">
        <v>-0.99078509999999997</v>
      </c>
      <c r="N5190">
        <v>-1.4535370000000001E-2</v>
      </c>
      <c r="O5190">
        <v>-0.13466239999999999</v>
      </c>
      <c r="P5190">
        <v>-0.81797350000000002</v>
      </c>
      <c r="Q5190">
        <v>0.3372522</v>
      </c>
      <c r="R5190">
        <v>-0.46602680000000002</v>
      </c>
      <c r="S5190">
        <v>-2.9108890000000001</v>
      </c>
      <c r="T5190">
        <v>-0.29090139999999998</v>
      </c>
      <c r="U5190">
        <v>-1.5383610000000001</v>
      </c>
      <c r="V5190">
        <v>-0.35529309999999997</v>
      </c>
      <c r="W5190">
        <v>0.34617870000000001</v>
      </c>
      <c r="X5190">
        <v>0.86828969999999905</v>
      </c>
      <c r="Y5190">
        <v>-0.3427441</v>
      </c>
      <c r="Z5190">
        <v>-8.0737599999999993E-3</v>
      </c>
      <c r="AA5190">
        <v>0.93939410000000001</v>
      </c>
      <c r="AB5190">
        <v>31</v>
      </c>
      <c r="AC5190">
        <v>-10.8432</v>
      </c>
      <c r="AD5190">
        <v>-1.1149669166379901</v>
      </c>
      <c r="AE5190">
        <v>-5.8490999999999902</v>
      </c>
      <c r="AF5190">
        <v>-4.3002674005700499</v>
      </c>
      <c r="AG5190">
        <v>-1.1149669166379901</v>
      </c>
      <c r="AH5190">
        <v>11.438468836914399</v>
      </c>
      <c r="AI5190">
        <v>95.213255413818104</v>
      </c>
      <c r="AJ5190">
        <v>110.603641091957</v>
      </c>
      <c r="AK5190">
        <v>12.2708606167075</v>
      </c>
      <c r="AL5190">
        <v>69.746234149053294</v>
      </c>
      <c r="AM5190">
        <v>112.25375351132899</v>
      </c>
      <c r="AN5190">
        <v>0.99999994118369295</v>
      </c>
    </row>
    <row r="5191" spans="1:40" x14ac:dyDescent="0.25">
      <c r="A5191" t="str">
        <f>"20190304164230393"</f>
        <v>20190304164230393</v>
      </c>
      <c r="B5191" t="str">
        <f>"1551688950386795"</f>
        <v>1551688950386795</v>
      </c>
      <c r="C5191" t="s">
        <v>40</v>
      </c>
      <c r="D5191">
        <v>4.3709939999999996</v>
      </c>
      <c r="E5191">
        <v>0.49738680000000002</v>
      </c>
      <c r="F5191" t="s">
        <v>53</v>
      </c>
      <c r="G5191">
        <v>-400.97300000000001</v>
      </c>
      <c r="H5191" s="1">
        <v>-2.9789060000000001E-6</v>
      </c>
      <c r="I5191">
        <v>134.05789999999999</v>
      </c>
      <c r="J5191">
        <v>-390.25790000000001</v>
      </c>
      <c r="K5191">
        <v>1.115056</v>
      </c>
      <c r="L5191">
        <v>139.9299</v>
      </c>
      <c r="M5191">
        <v>-0.99003680000000005</v>
      </c>
      <c r="N5191">
        <v>-1.454252E-2</v>
      </c>
      <c r="O5191">
        <v>-0.14005529999999999</v>
      </c>
      <c r="P5191">
        <v>-0.81349459999999996</v>
      </c>
      <c r="Q5191">
        <v>0.33729330000000002</v>
      </c>
      <c r="R5191">
        <v>-0.47377209999999997</v>
      </c>
      <c r="S5191">
        <v>-2.900757</v>
      </c>
      <c r="T5191">
        <v>-0.29356769999999999</v>
      </c>
      <c r="U5191">
        <v>-1.558365</v>
      </c>
      <c r="V5191">
        <v>-0.3589078</v>
      </c>
      <c r="W5191">
        <v>0.34608620000000001</v>
      </c>
      <c r="X5191">
        <v>0.86683889999999997</v>
      </c>
      <c r="Y5191">
        <v>-0.3440164</v>
      </c>
      <c r="Z5191">
        <v>-7.764389E-3</v>
      </c>
      <c r="AA5191">
        <v>0.93893150000000003</v>
      </c>
      <c r="AB5191">
        <v>31</v>
      </c>
      <c r="AC5191">
        <v>-10.7151</v>
      </c>
      <c r="AD5191">
        <v>-1.1150589789059999</v>
      </c>
      <c r="AE5191">
        <v>-5.8720000000000097</v>
      </c>
      <c r="AF5191">
        <v>-4.2776208926208499</v>
      </c>
      <c r="AG5191">
        <v>-1.1150589789059999</v>
      </c>
      <c r="AH5191">
        <v>11.3375359769447</v>
      </c>
      <c r="AI5191">
        <v>95.257511886333006</v>
      </c>
      <c r="AJ5191">
        <v>110.671352125531</v>
      </c>
      <c r="AK5191">
        <v>12.168858576544499</v>
      </c>
      <c r="AL5191">
        <v>69.751885979907001</v>
      </c>
      <c r="AM5191">
        <v>112.49161420680301</v>
      </c>
      <c r="AN5191">
        <v>1.00000007264224</v>
      </c>
    </row>
    <row r="5192" spans="1:40" x14ac:dyDescent="0.25">
      <c r="A5192" t="str">
        <f>"20190304164230415"</f>
        <v>20190304164230415</v>
      </c>
      <c r="B5192" t="str">
        <f>"1551688950406314"</f>
        <v>1551688950406314</v>
      </c>
      <c r="C5192" t="s">
        <v>40</v>
      </c>
      <c r="D5192">
        <v>4.3766420000000004</v>
      </c>
      <c r="E5192">
        <v>0.4974481</v>
      </c>
      <c r="F5192" t="s">
        <v>53</v>
      </c>
      <c r="G5192">
        <v>-401.16430000000003</v>
      </c>
      <c r="H5192" s="1">
        <v>-3.0386450000000002E-6</v>
      </c>
      <c r="I5192">
        <v>133.965</v>
      </c>
      <c r="J5192">
        <v>-390.55029999999999</v>
      </c>
      <c r="K5192">
        <v>1.115124</v>
      </c>
      <c r="L5192">
        <v>139.88299999999899</v>
      </c>
      <c r="M5192">
        <v>-0.98927290000000001</v>
      </c>
      <c r="N5192">
        <v>-1.454883E-2</v>
      </c>
      <c r="O5192">
        <v>-0.14535399999999901</v>
      </c>
      <c r="P5192">
        <v>-0.80890430000000002</v>
      </c>
      <c r="Q5192">
        <v>0.33686509999999997</v>
      </c>
      <c r="R5192">
        <v>-0.4818674</v>
      </c>
      <c r="S5192">
        <v>-2.8898320000000002</v>
      </c>
      <c r="T5192">
        <v>-0.29545510000000003</v>
      </c>
      <c r="U5192">
        <v>-1.5805049999999901</v>
      </c>
      <c r="V5192">
        <v>-0.36296869999999998</v>
      </c>
      <c r="W5192">
        <v>0.34553319999999998</v>
      </c>
      <c r="X5192">
        <v>0.86536729999999995</v>
      </c>
      <c r="Y5192">
        <v>-0.34601559999999998</v>
      </c>
      <c r="Z5192">
        <v>-7.487395E-3</v>
      </c>
      <c r="AA5192">
        <v>0.93819889999999995</v>
      </c>
      <c r="AB5192">
        <v>31</v>
      </c>
      <c r="AC5192">
        <v>-10.614000000000001</v>
      </c>
      <c r="AD5192">
        <v>-1.1151270386450001</v>
      </c>
      <c r="AE5192">
        <v>-5.91799999999997</v>
      </c>
      <c r="AF5192">
        <v>-4.2761786383825999</v>
      </c>
      <c r="AG5192">
        <v>-1.1151270386450001</v>
      </c>
      <c r="AH5192">
        <v>11.2666793153385</v>
      </c>
      <c r="AI5192">
        <v>95.286802995874595</v>
      </c>
      <c r="AJ5192">
        <v>110.783860033019</v>
      </c>
      <c r="AK5192">
        <v>12.1023664981008</v>
      </c>
      <c r="AL5192">
        <v>69.785652684548793</v>
      </c>
      <c r="AM5192">
        <v>112.755071781297</v>
      </c>
      <c r="AN5192">
        <v>1.00000001669561</v>
      </c>
    </row>
    <row r="5193" spans="1:40" x14ac:dyDescent="0.25">
      <c r="A5193" t="str">
        <f>"20190304164230436"</f>
        <v>20190304164230436</v>
      </c>
      <c r="B5193" t="str">
        <f>"1551688950425834"</f>
        <v>1551688950425834</v>
      </c>
      <c r="C5193" t="s">
        <v>40</v>
      </c>
      <c r="D5193">
        <v>4.3695909999999998</v>
      </c>
      <c r="E5193">
        <v>0.49755189999999999</v>
      </c>
      <c r="F5193" t="s">
        <v>53</v>
      </c>
      <c r="G5193">
        <v>-401.31990000000002</v>
      </c>
      <c r="H5193" s="1">
        <v>-3.083078E-6</v>
      </c>
      <c r="I5193">
        <v>133.88149999999999</v>
      </c>
      <c r="J5193">
        <v>-390.85019999999997</v>
      </c>
      <c r="K5193">
        <v>1.115194</v>
      </c>
      <c r="L5193">
        <v>139.83320000000001</v>
      </c>
      <c r="M5193">
        <v>-0.98845059999999996</v>
      </c>
      <c r="N5193">
        <v>-1.455415E-2</v>
      </c>
      <c r="O5193">
        <v>-0.15084330000000001</v>
      </c>
      <c r="P5193">
        <v>-0.80445049999999996</v>
      </c>
      <c r="Q5193">
        <v>0.33596549999999997</v>
      </c>
      <c r="R5193">
        <v>-0.4898846</v>
      </c>
      <c r="S5193">
        <v>-2.8775629999999999</v>
      </c>
      <c r="T5193">
        <v>-0.29795429999999901</v>
      </c>
      <c r="U5193">
        <v>-1.603561</v>
      </c>
      <c r="V5193">
        <v>-0.36676819999999999</v>
      </c>
      <c r="W5193">
        <v>0.34452749999999999</v>
      </c>
      <c r="X5193">
        <v>0.86416539999999997</v>
      </c>
      <c r="Y5193">
        <v>-0.34823290000000001</v>
      </c>
      <c r="Z5193">
        <v>-7.2076609999999998E-3</v>
      </c>
      <c r="AA5193">
        <v>0.93738030000000006</v>
      </c>
      <c r="AB5193">
        <v>31</v>
      </c>
      <c r="AC5193">
        <v>-10.4697</v>
      </c>
      <c r="AD5193">
        <v>-1.115197083078</v>
      </c>
      <c r="AE5193">
        <v>-5.9517000000000104</v>
      </c>
      <c r="AF5193">
        <v>-4.2675397281905401</v>
      </c>
      <c r="AG5193">
        <v>-1.115197083078</v>
      </c>
      <c r="AH5193">
        <v>11.1521189541785</v>
      </c>
      <c r="AI5193">
        <v>95.335614884831202</v>
      </c>
      <c r="AJ5193">
        <v>110.940162591481</v>
      </c>
      <c r="AK5193">
        <v>11.9927193344103</v>
      </c>
      <c r="AL5193">
        <v>69.847044181389094</v>
      </c>
      <c r="AM5193">
        <v>112.997289321447</v>
      </c>
      <c r="AN5193">
        <v>0.99999997467232404</v>
      </c>
    </row>
    <row r="5194" spans="1:40" x14ac:dyDescent="0.25">
      <c r="A5194" t="str">
        <f>"20190304164230459"</f>
        <v>20190304164230459</v>
      </c>
      <c r="B5194" t="str">
        <f>"1551688950446329"</f>
        <v>1551688950446329</v>
      </c>
      <c r="C5194" t="s">
        <v>40</v>
      </c>
      <c r="D5194">
        <v>4.3790250000000004</v>
      </c>
      <c r="E5194">
        <v>0.50101879999999999</v>
      </c>
      <c r="F5194" t="s">
        <v>53</v>
      </c>
      <c r="G5194">
        <v>-401.41789999999997</v>
      </c>
      <c r="H5194" s="1">
        <v>-3.1129899999999998E-6</v>
      </c>
      <c r="I5194">
        <v>133.83250000000001</v>
      </c>
      <c r="J5194">
        <v>-391.16250000000002</v>
      </c>
      <c r="K5194">
        <v>1.115238</v>
      </c>
      <c r="L5194">
        <v>139.77950000000001</v>
      </c>
      <c r="M5194">
        <v>-0.98755479999999995</v>
      </c>
      <c r="N5194">
        <v>-1.455831E-2</v>
      </c>
      <c r="O5194">
        <v>-0.15660019999999999</v>
      </c>
      <c r="P5194">
        <v>-0.79966409999999999</v>
      </c>
      <c r="Q5194">
        <v>0.33639219999999997</v>
      </c>
      <c r="R5194">
        <v>-0.49737110000000001</v>
      </c>
      <c r="S5194">
        <v>-2.864868</v>
      </c>
      <c r="T5194">
        <v>-0.3023247</v>
      </c>
      <c r="U5194">
        <v>-1.626755</v>
      </c>
      <c r="V5194">
        <v>-0.3698804</v>
      </c>
      <c r="W5194">
        <v>0.34486499999999998</v>
      </c>
      <c r="X5194">
        <v>0.86270309999999994</v>
      </c>
      <c r="Y5194">
        <v>-0.3502712</v>
      </c>
      <c r="Z5194">
        <v>-6.9013119999999997E-3</v>
      </c>
      <c r="AA5194">
        <v>0.93662290000000004</v>
      </c>
      <c r="AB5194">
        <v>31</v>
      </c>
      <c r="AC5194">
        <v>-10.2553999999999</v>
      </c>
      <c r="AD5194">
        <v>-1.1152411129899999</v>
      </c>
      <c r="AE5194">
        <v>-5.9470000000000001</v>
      </c>
      <c r="AF5194">
        <v>-4.23000778268473</v>
      </c>
      <c r="AG5194">
        <v>-1.1152411129899999</v>
      </c>
      <c r="AH5194">
        <v>10.9632195506335</v>
      </c>
      <c r="AI5194">
        <v>95.421494867189693</v>
      </c>
      <c r="AJ5194">
        <v>111.09842348719501</v>
      </c>
      <c r="AK5194">
        <v>11.8037668350857</v>
      </c>
      <c r="AL5194">
        <v>69.826445096517105</v>
      </c>
      <c r="AM5194">
        <v>113.207034323141</v>
      </c>
      <c r="AN5194">
        <v>1.0000000086393801</v>
      </c>
    </row>
    <row r="5195" spans="1:40" x14ac:dyDescent="0.25">
      <c r="A5195" t="str">
        <f>"20190304164230483"</f>
        <v>20190304164230483</v>
      </c>
      <c r="B5195" t="str">
        <f>"1551688950476585"</f>
        <v>1551688950476585</v>
      </c>
      <c r="C5195" t="s">
        <v>40</v>
      </c>
      <c r="D5195">
        <v>4.3999119999999996</v>
      </c>
      <c r="E5195">
        <v>0.50689479999999998</v>
      </c>
      <c r="F5195" t="s">
        <v>42</v>
      </c>
      <c r="G5195">
        <v>-399.95589999999999</v>
      </c>
      <c r="H5195" s="1">
        <v>-1.2815360000000001E-6</v>
      </c>
      <c r="I5195">
        <v>134.80369999999999</v>
      </c>
      <c r="J5195">
        <v>-391.47620000000001</v>
      </c>
      <c r="K5195">
        <v>1.1152629999999999</v>
      </c>
      <c r="L5195">
        <v>139.7235</v>
      </c>
      <c r="M5195">
        <v>-0.98661659999999995</v>
      </c>
      <c r="N5195">
        <v>-1.4561050000000001E-2</v>
      </c>
      <c r="O5195">
        <v>-0.16240679999999999</v>
      </c>
      <c r="P5195">
        <v>-0.79534009999999999</v>
      </c>
      <c r="Q5195">
        <v>0.33735599999999999</v>
      </c>
      <c r="R5195">
        <v>-0.50361250000000002</v>
      </c>
      <c r="S5195">
        <v>-2.8889770000000001</v>
      </c>
      <c r="T5195">
        <v>-0.36639739999999998</v>
      </c>
      <c r="U5195">
        <v>-1.6347050000000001</v>
      </c>
      <c r="V5195">
        <v>-0.37166199999999999</v>
      </c>
      <c r="W5195">
        <v>0.34577340000000001</v>
      </c>
      <c r="X5195">
        <v>0.86157299999999903</v>
      </c>
      <c r="Y5195">
        <v>-0.34297949999999999</v>
      </c>
      <c r="Z5195">
        <v>-6.2405780000000001E-3</v>
      </c>
      <c r="AA5195">
        <v>0.9393222</v>
      </c>
      <c r="AB5195">
        <v>31</v>
      </c>
      <c r="AC5195">
        <v>-8.4796999999999798</v>
      </c>
      <c r="AD5195">
        <v>-1.1152642815360001</v>
      </c>
      <c r="AE5195">
        <v>-4.9198000000000004</v>
      </c>
      <c r="AF5195">
        <v>-3.43273836505925</v>
      </c>
      <c r="AG5195">
        <v>-1.1152642815360001</v>
      </c>
      <c r="AH5195">
        <v>9.0490824657054301</v>
      </c>
      <c r="AI5195">
        <v>96.573396086309799</v>
      </c>
      <c r="AJ5195">
        <v>110.774068982107</v>
      </c>
      <c r="AK5195">
        <v>9.7423508750073893</v>
      </c>
      <c r="AL5195">
        <v>69.770985042594205</v>
      </c>
      <c r="AM5195">
        <v>113.33421277887</v>
      </c>
      <c r="AN5195">
        <v>0.99999996036027905</v>
      </c>
    </row>
    <row r="5196" spans="1:40" x14ac:dyDescent="0.25">
      <c r="A5196" t="str">
        <f>"20190304164230503"</f>
        <v>20190304164230503</v>
      </c>
      <c r="B5196" t="str">
        <f>"1551688950496105"</f>
        <v>1551688950496105</v>
      </c>
      <c r="C5196" t="s">
        <v>40</v>
      </c>
      <c r="D5196">
        <v>4.3983889999999999</v>
      </c>
      <c r="E5196">
        <v>0.50979079999999999</v>
      </c>
      <c r="F5196" t="s">
        <v>53</v>
      </c>
      <c r="G5196">
        <v>-400.24</v>
      </c>
      <c r="H5196" s="1">
        <v>-2.9742829999999998E-6</v>
      </c>
      <c r="I5196">
        <v>134.8373</v>
      </c>
      <c r="J5196">
        <v>-391.7543</v>
      </c>
      <c r="K5196">
        <v>1.1152690000000001</v>
      </c>
      <c r="L5196">
        <v>139.67230000000001</v>
      </c>
      <c r="M5196">
        <v>-0.98575360000000001</v>
      </c>
      <c r="N5196">
        <v>-1.4562530000000001E-2</v>
      </c>
      <c r="O5196">
        <v>-0.16756460000000001</v>
      </c>
      <c r="P5196">
        <v>-0.79244009999999998</v>
      </c>
      <c r="Q5196">
        <v>0.33798210000000001</v>
      </c>
      <c r="R5196">
        <v>-0.50774719999999995</v>
      </c>
      <c r="S5196">
        <v>-2.9036249999999999</v>
      </c>
      <c r="T5196">
        <v>-0.36950889999999997</v>
      </c>
      <c r="U5196">
        <v>-1.618881</v>
      </c>
      <c r="V5196">
        <v>-0.37170300000000001</v>
      </c>
      <c r="W5196">
        <v>0.34638679999999999</v>
      </c>
      <c r="X5196">
        <v>0.86130890000000004</v>
      </c>
      <c r="Y5196">
        <v>-0.33220040000000001</v>
      </c>
      <c r="Z5196">
        <v>-5.0048139999999998E-3</v>
      </c>
      <c r="AA5196">
        <v>0.94319549999999996</v>
      </c>
      <c r="AB5196">
        <v>31</v>
      </c>
      <c r="AC5196">
        <v>-8.4856999999999996</v>
      </c>
      <c r="AD5196">
        <v>-1.115271974283</v>
      </c>
      <c r="AE5196">
        <v>-4.835</v>
      </c>
      <c r="AF5196">
        <v>-3.3015177005767402</v>
      </c>
      <c r="AG5196">
        <v>-1.115271974283</v>
      </c>
      <c r="AH5196">
        <v>9.0578404831756494</v>
      </c>
      <c r="AI5196">
        <v>96.598806815828894</v>
      </c>
      <c r="AJ5196">
        <v>110.026434300166</v>
      </c>
      <c r="AK5196">
        <v>9.7050669715617293</v>
      </c>
      <c r="AL5196">
        <v>69.733525342141505</v>
      </c>
      <c r="AM5196">
        <v>113.34290127983201</v>
      </c>
      <c r="AN5196">
        <v>0.999999978321224</v>
      </c>
    </row>
    <row r="5197" spans="1:40" x14ac:dyDescent="0.25">
      <c r="A5197" t="str">
        <f>"20190304164230526"</f>
        <v>20190304164230526</v>
      </c>
      <c r="B5197" t="str">
        <f>"1551688950516602"</f>
        <v>1551688950516602</v>
      </c>
      <c r="C5197" t="s">
        <v>40</v>
      </c>
      <c r="D5197">
        <v>4.4071239999999996</v>
      </c>
      <c r="E5197">
        <v>0.51159960000000004</v>
      </c>
      <c r="F5197" t="s">
        <v>53</v>
      </c>
      <c r="G5197">
        <v>-400.46359999999999</v>
      </c>
      <c r="H5197" s="1">
        <v>-3.098537E-6</v>
      </c>
      <c r="I5197">
        <v>134.8313</v>
      </c>
      <c r="J5197">
        <v>-392.0539</v>
      </c>
      <c r="K5197">
        <v>1.115272</v>
      </c>
      <c r="L5197">
        <v>139.61539999999999</v>
      </c>
      <c r="M5197">
        <v>-0.98479209999999995</v>
      </c>
      <c r="N5197">
        <v>-1.456353E-2</v>
      </c>
      <c r="O5197">
        <v>-0.1731261</v>
      </c>
      <c r="P5197">
        <v>-0.78914309999999999</v>
      </c>
      <c r="Q5197">
        <v>0.33828720000000001</v>
      </c>
      <c r="R5197">
        <v>-0.51265519999999998</v>
      </c>
      <c r="S5197">
        <v>-2.908722</v>
      </c>
      <c r="T5197">
        <v>-0.37247730000000001</v>
      </c>
      <c r="U5197">
        <v>-1.616776</v>
      </c>
      <c r="V5197">
        <v>-0.37221890000000002</v>
      </c>
      <c r="W5197">
        <v>0.34667759999999997</v>
      </c>
      <c r="X5197">
        <v>0.86096909999999904</v>
      </c>
      <c r="Y5197">
        <v>-0.32570159999999998</v>
      </c>
      <c r="Z5197">
        <v>-4.0052339999999999E-3</v>
      </c>
      <c r="AA5197">
        <v>0.94546410000000003</v>
      </c>
      <c r="AB5197">
        <v>31</v>
      </c>
      <c r="AC5197">
        <v>-8.4096999999999795</v>
      </c>
      <c r="AD5197">
        <v>-1.1152750985369999</v>
      </c>
      <c r="AE5197">
        <v>-4.7840999999999898</v>
      </c>
      <c r="AF5197">
        <v>-3.2130571991759398</v>
      </c>
      <c r="AG5197">
        <v>-1.1152750985369999</v>
      </c>
      <c r="AH5197">
        <v>8.9915499873318101</v>
      </c>
      <c r="AI5197">
        <v>96.662100393483897</v>
      </c>
      <c r="AJ5197">
        <v>109.663935636389</v>
      </c>
      <c r="AK5197">
        <v>9.6133004886604798</v>
      </c>
      <c r="AL5197">
        <v>69.715764233265801</v>
      </c>
      <c r="AM5197">
        <v>113.380059470381</v>
      </c>
      <c r="AN5197">
        <v>1.0000000295068801</v>
      </c>
    </row>
    <row r="5198" spans="1:40" x14ac:dyDescent="0.25">
      <c r="A5198" t="str">
        <f>"20190304164230549"</f>
        <v>20190304164230549</v>
      </c>
      <c r="B5198" t="str">
        <f>"1551688950536628"</f>
        <v>1551688950536628</v>
      </c>
      <c r="C5198" t="s">
        <v>40</v>
      </c>
      <c r="D5198">
        <v>4.4163610000000002</v>
      </c>
      <c r="E5198">
        <v>0.51296239999999904</v>
      </c>
      <c r="F5198" t="s">
        <v>53</v>
      </c>
      <c r="G5198">
        <v>-400.7869</v>
      </c>
      <c r="H5198" s="1">
        <v>-3.230407E-6</v>
      </c>
      <c r="I5198">
        <v>134.73249999999999</v>
      </c>
      <c r="J5198">
        <v>-392.35210000000001</v>
      </c>
      <c r="K5198">
        <v>1.115281</v>
      </c>
      <c r="L5198">
        <v>139.55699999999999</v>
      </c>
      <c r="M5198">
        <v>-0.98380350000000005</v>
      </c>
      <c r="N5198">
        <v>-1.4563960000000001E-2</v>
      </c>
      <c r="O5198">
        <v>-0.1786585</v>
      </c>
      <c r="P5198">
        <v>-0.7861226</v>
      </c>
      <c r="Q5198">
        <v>0.33858129999999997</v>
      </c>
      <c r="R5198">
        <v>-0.51708229999999999</v>
      </c>
      <c r="S5198">
        <v>-2.9053650000000002</v>
      </c>
      <c r="T5198">
        <v>-0.37104150000000002</v>
      </c>
      <c r="U5198">
        <v>-1.6244959999999999</v>
      </c>
      <c r="V5198">
        <v>-0.3722453</v>
      </c>
      <c r="W5198">
        <v>0.34697</v>
      </c>
      <c r="X5198">
        <v>0.86083980000000004</v>
      </c>
      <c r="Y5198">
        <v>-0.32282359999999999</v>
      </c>
      <c r="Z5198">
        <v>-3.2603110000000001E-3</v>
      </c>
      <c r="AA5198">
        <v>0.94645349999999995</v>
      </c>
      <c r="AB5198">
        <v>31</v>
      </c>
      <c r="AC5198">
        <v>-8.4347999999999903</v>
      </c>
      <c r="AD5198">
        <v>-1.1152842304070001</v>
      </c>
      <c r="AE5198">
        <v>-4.82450000000002</v>
      </c>
      <c r="AF5198">
        <v>-3.19763057351151</v>
      </c>
      <c r="AG5198">
        <v>-1.1152842304070001</v>
      </c>
      <c r="AH5198">
        <v>9.0419798980605997</v>
      </c>
      <c r="AI5198">
        <v>96.632999250205103</v>
      </c>
      <c r="AJ5198">
        <v>109.47577118859</v>
      </c>
      <c r="AK5198">
        <v>9.6553664185354595</v>
      </c>
      <c r="AL5198">
        <v>69.697900633941003</v>
      </c>
      <c r="AM5198">
        <v>113.384674423281</v>
      </c>
      <c r="AN5198">
        <v>0.99999995276806397</v>
      </c>
    </row>
    <row r="5199" spans="1:40" x14ac:dyDescent="0.25">
      <c r="A5199" t="str">
        <f>"20190304164230565"</f>
        <v>20190304164230565</v>
      </c>
      <c r="B5199" t="str">
        <f>"1551688950556148"</f>
        <v>1551688950556148</v>
      </c>
      <c r="C5199" t="s">
        <v>40</v>
      </c>
      <c r="D5199">
        <v>4.4260999999999999</v>
      </c>
      <c r="E5199">
        <v>0.51396019999999998</v>
      </c>
      <c r="F5199" t="s">
        <v>53</v>
      </c>
      <c r="G5199">
        <v>-401.03179999999998</v>
      </c>
      <c r="H5199" s="1">
        <v>-3.3396510000000001E-6</v>
      </c>
      <c r="I5199">
        <v>134.67509999999999</v>
      </c>
      <c r="J5199">
        <v>-392.58170000000001</v>
      </c>
      <c r="K5199">
        <v>1.115286</v>
      </c>
      <c r="L5199">
        <v>139.51089999999999</v>
      </c>
      <c r="M5199">
        <v>-0.98302029999999996</v>
      </c>
      <c r="N5199">
        <v>-1.4563909999999999E-2</v>
      </c>
      <c r="O5199">
        <v>-0.1829181</v>
      </c>
      <c r="P5199">
        <v>-0.78415659999999998</v>
      </c>
      <c r="Q5199">
        <v>0.3385553</v>
      </c>
      <c r="R5199">
        <v>-0.52007570000000003</v>
      </c>
      <c r="S5199">
        <v>-2.9029240000000001</v>
      </c>
      <c r="T5199">
        <v>-0.37300369999999999</v>
      </c>
      <c r="U5199">
        <v>-1.632736</v>
      </c>
      <c r="V5199">
        <v>-0.37179250000000003</v>
      </c>
      <c r="W5199">
        <v>0.34695300000000001</v>
      </c>
      <c r="X5199">
        <v>0.86104239999999999</v>
      </c>
      <c r="Y5199">
        <v>-0.32112810000000003</v>
      </c>
      <c r="Z5199">
        <v>-2.707849E-3</v>
      </c>
      <c r="AA5199">
        <v>0.94703190000000004</v>
      </c>
      <c r="AB5199">
        <v>31</v>
      </c>
      <c r="AC5199">
        <v>-8.45009999999996</v>
      </c>
      <c r="AD5199">
        <v>-1.115289339651</v>
      </c>
      <c r="AE5199">
        <v>-4.8357999999999999</v>
      </c>
      <c r="AF5199">
        <v>-3.1667972415224401</v>
      </c>
      <c r="AG5199">
        <v>-1.115289339651</v>
      </c>
      <c r="AH5199">
        <v>9.0730883038051697</v>
      </c>
      <c r="AI5199">
        <v>96.619943027031795</v>
      </c>
      <c r="AJ5199">
        <v>109.240616526919</v>
      </c>
      <c r="AK5199">
        <v>9.6743685297129094</v>
      </c>
      <c r="AL5199">
        <v>69.698940833921895</v>
      </c>
      <c r="AM5199">
        <v>113.354372289252</v>
      </c>
      <c r="AN5199">
        <v>1.0000000309315</v>
      </c>
    </row>
    <row r="5200" spans="1:40" x14ac:dyDescent="0.25">
      <c r="A5200" t="str">
        <f>"20190304164230582"</f>
        <v>20190304164230582</v>
      </c>
      <c r="B5200" t="str">
        <f>"1551688950576643"</f>
        <v>1551688950576643</v>
      </c>
      <c r="C5200" t="s">
        <v>40</v>
      </c>
      <c r="D5200">
        <v>4.430822</v>
      </c>
      <c r="E5200">
        <v>0.5148469</v>
      </c>
      <c r="F5200" t="s">
        <v>53</v>
      </c>
      <c r="G5200">
        <v>-401.25380000000001</v>
      </c>
      <c r="H5200" s="1">
        <v>-3.4341369999999998E-6</v>
      </c>
      <c r="I5200">
        <v>134.6146</v>
      </c>
      <c r="J5200">
        <v>-392.80779999999999</v>
      </c>
      <c r="K5200">
        <v>1.115286</v>
      </c>
      <c r="L5200">
        <v>139.46449999999999</v>
      </c>
      <c r="M5200">
        <v>-0.98223070000000001</v>
      </c>
      <c r="N5200">
        <v>-1.456359E-2</v>
      </c>
      <c r="O5200">
        <v>-0.18711230000000001</v>
      </c>
      <c r="P5200">
        <v>-0.78208820000000001</v>
      </c>
      <c r="Q5200">
        <v>0.33960859999999998</v>
      </c>
      <c r="R5200">
        <v>-0.52249799999999902</v>
      </c>
      <c r="S5200">
        <v>-2.9006349999999999</v>
      </c>
      <c r="T5200">
        <v>-0.37304009999999999</v>
      </c>
      <c r="U5200">
        <v>-1.6376949999999999</v>
      </c>
      <c r="V5200">
        <v>-0.37086829999999998</v>
      </c>
      <c r="W5200">
        <v>0.34801900000000002</v>
      </c>
      <c r="X5200">
        <v>0.86101070000000002</v>
      </c>
      <c r="Y5200">
        <v>-0.31867099999999998</v>
      </c>
      <c r="Z5200">
        <v>-2.1187839999999999E-3</v>
      </c>
      <c r="AA5200">
        <v>0.94786300000000001</v>
      </c>
      <c r="AB5200">
        <v>31</v>
      </c>
      <c r="AC5200">
        <v>-8.4460000000000193</v>
      </c>
      <c r="AD5200">
        <v>-1.1152894341370001</v>
      </c>
      <c r="AE5200">
        <v>-4.8498999999999901</v>
      </c>
      <c r="AF5200">
        <v>-3.1424992339862001</v>
      </c>
      <c r="AG5200">
        <v>-1.1152894341370001</v>
      </c>
      <c r="AH5200">
        <v>9.0852350053787401</v>
      </c>
      <c r="AI5200">
        <v>96.617555540607498</v>
      </c>
      <c r="AJ5200">
        <v>109.080032303034</v>
      </c>
      <c r="AK5200">
        <v>9.6778441328872802</v>
      </c>
      <c r="AL5200">
        <v>69.633803341574506</v>
      </c>
      <c r="AM5200">
        <v>113.30328427142901</v>
      </c>
      <c r="AN5200">
        <v>0.99999997291018905</v>
      </c>
    </row>
    <row r="5201" spans="1:40" x14ac:dyDescent="0.25">
      <c r="A5201" t="str">
        <f>"20190304164230604"</f>
        <v>20190304164230604</v>
      </c>
      <c r="B5201" t="str">
        <f>"1551688950596163"</f>
        <v>1551688950596163</v>
      </c>
      <c r="C5201" t="s">
        <v>40</v>
      </c>
      <c r="D5201">
        <v>4.428617</v>
      </c>
      <c r="E5201">
        <v>0.51550810000000002</v>
      </c>
      <c r="F5201" t="s">
        <v>53</v>
      </c>
      <c r="G5201">
        <v>-401.45769999999999</v>
      </c>
      <c r="H5201" s="1">
        <v>-3.5224879999999998E-6</v>
      </c>
      <c r="I5201">
        <v>134.56209999999999</v>
      </c>
      <c r="J5201">
        <v>-393.09519999999998</v>
      </c>
      <c r="K5201">
        <v>1.1152869999999999</v>
      </c>
      <c r="L5201">
        <v>139.404</v>
      </c>
      <c r="M5201">
        <v>-0.98120050000000003</v>
      </c>
      <c r="N5201">
        <v>-1.4562719999999999E-2</v>
      </c>
      <c r="O5201">
        <v>-0.1924408</v>
      </c>
      <c r="P5201">
        <v>-0.77900419999999904</v>
      </c>
      <c r="Q5201">
        <v>0.34083760000000002</v>
      </c>
      <c r="R5201">
        <v>-0.52629099999999995</v>
      </c>
      <c r="S5201">
        <v>-2.9001160000000001</v>
      </c>
      <c r="T5201">
        <v>-0.3739343</v>
      </c>
      <c r="U5201">
        <v>-1.6436919999999999</v>
      </c>
      <c r="V5201">
        <v>-0.37048750000000003</v>
      </c>
      <c r="W5201">
        <v>0.349251599999999</v>
      </c>
      <c r="X5201">
        <v>0.86067549999999904</v>
      </c>
      <c r="Y5201">
        <v>-0.31512970000000001</v>
      </c>
      <c r="Z5201">
        <v>-1.3360069999999999E-3</v>
      </c>
      <c r="AA5201">
        <v>0.94904770000000005</v>
      </c>
      <c r="AB5201">
        <v>31</v>
      </c>
      <c r="AC5201">
        <v>-8.3625000000000096</v>
      </c>
      <c r="AD5201">
        <v>-1.1152905224879901</v>
      </c>
      <c r="AE5201">
        <v>-4.8419000000000096</v>
      </c>
      <c r="AF5201">
        <v>-3.1006177887670301</v>
      </c>
      <c r="AG5201">
        <v>-1.1152905224879901</v>
      </c>
      <c r="AH5201">
        <v>9.0179080999292207</v>
      </c>
      <c r="AI5201">
        <v>96.670724587257595</v>
      </c>
      <c r="AJ5201">
        <v>108.974452702931</v>
      </c>
      <c r="AK5201">
        <v>9.6010608851490602</v>
      </c>
      <c r="AL5201">
        <v>69.558453363669599</v>
      </c>
      <c r="AM5201">
        <v>113.290007516353</v>
      </c>
      <c r="AN5201">
        <v>0.99999999202952905</v>
      </c>
    </row>
    <row r="5202" spans="1:40" x14ac:dyDescent="0.25">
      <c r="A5202" t="str">
        <f>"20190304164230621"</f>
        <v>20190304164230621</v>
      </c>
      <c r="B5202" t="str">
        <f>"1551688950616659"</f>
        <v>1551688950616659</v>
      </c>
      <c r="C5202" t="s">
        <v>40</v>
      </c>
      <c r="D5202">
        <v>4.4398059999999999</v>
      </c>
      <c r="E5202">
        <v>0.51605599999999996</v>
      </c>
      <c r="F5202" t="s">
        <v>53</v>
      </c>
      <c r="G5202">
        <v>-401.7559</v>
      </c>
      <c r="H5202" s="1">
        <v>-3.636644E-6</v>
      </c>
      <c r="I5202">
        <v>134.45670000000001</v>
      </c>
      <c r="J5202">
        <v>-393.31709999999998</v>
      </c>
      <c r="K5202">
        <v>1.1152820000000001</v>
      </c>
      <c r="L5202">
        <v>139.3562</v>
      </c>
      <c r="M5202">
        <v>-0.98038479999999995</v>
      </c>
      <c r="N5202">
        <v>-1.4561869999999999E-2</v>
      </c>
      <c r="O5202">
        <v>-0.1965546</v>
      </c>
      <c r="P5202">
        <v>-0.77649080000000004</v>
      </c>
      <c r="Q5202">
        <v>0.34176780000000001</v>
      </c>
      <c r="R5202">
        <v>-0.5293928</v>
      </c>
      <c r="S5202">
        <v>-2.8964539999999999</v>
      </c>
      <c r="T5202">
        <v>-0.3729943</v>
      </c>
      <c r="U5202">
        <v>-1.6545559999999999</v>
      </c>
      <c r="V5202">
        <v>-0.37039490000000003</v>
      </c>
      <c r="W5202">
        <v>0.35018169999999998</v>
      </c>
      <c r="X5202">
        <v>0.86033740000000003</v>
      </c>
      <c r="Y5202">
        <v>-0.31438359999999999</v>
      </c>
      <c r="Z5202">
        <v>-8.8223719999999998E-4</v>
      </c>
      <c r="AA5202">
        <v>0.94929560000000002</v>
      </c>
      <c r="AB5202">
        <v>31</v>
      </c>
      <c r="AC5202">
        <v>-8.4388000000000094</v>
      </c>
      <c r="AD5202">
        <v>-1.1152856366439901</v>
      </c>
      <c r="AE5202">
        <v>-4.8994999999999802</v>
      </c>
      <c r="AF5202">
        <v>-3.10448895107662</v>
      </c>
      <c r="AG5202">
        <v>-1.1152856366439901</v>
      </c>
      <c r="AH5202">
        <v>9.1181566760248902</v>
      </c>
      <c r="AI5202">
        <v>96.604730659278204</v>
      </c>
      <c r="AJ5202">
        <v>108.80233811844199</v>
      </c>
      <c r="AK5202">
        <v>9.6965197296348808</v>
      </c>
      <c r="AL5202">
        <v>69.501571403254204</v>
      </c>
      <c r="AM5202">
        <v>113.29298186881</v>
      </c>
      <c r="AN5202">
        <v>1.0000000233998201</v>
      </c>
    </row>
    <row r="5203" spans="1:40" x14ac:dyDescent="0.25">
      <c r="A5203" t="str">
        <f>"20190304164230638"</f>
        <v>20190304164230638</v>
      </c>
      <c r="B5203" t="str">
        <f>"1551688950626419"</f>
        <v>1551688950626419</v>
      </c>
      <c r="C5203" t="s">
        <v>40</v>
      </c>
      <c r="D5203">
        <v>4.4437009999999999</v>
      </c>
      <c r="E5203">
        <v>0.5163333</v>
      </c>
      <c r="F5203" t="s">
        <v>53</v>
      </c>
      <c r="G5203">
        <v>-401.9556</v>
      </c>
      <c r="H5203" s="1">
        <v>-3.714671E-6</v>
      </c>
      <c r="I5203">
        <v>134.38919999999999</v>
      </c>
      <c r="J5203">
        <v>-393.53680000000003</v>
      </c>
      <c r="K5203">
        <v>1.1152759999999999</v>
      </c>
      <c r="L5203">
        <v>139.30779999999999</v>
      </c>
      <c r="M5203">
        <v>-0.97955879999999995</v>
      </c>
      <c r="N5203">
        <v>-1.456084E-2</v>
      </c>
      <c r="O5203">
        <v>-0.20063059999999999</v>
      </c>
      <c r="P5203">
        <v>-0.77381199999999895</v>
      </c>
      <c r="Q5203">
        <v>0.34358539999999999</v>
      </c>
      <c r="R5203">
        <v>-0.53213189999999999</v>
      </c>
      <c r="S5203">
        <v>-2.8936160000000002</v>
      </c>
      <c r="T5203">
        <v>-0.37358429999999998</v>
      </c>
      <c r="U5203">
        <v>-1.6638029999999999</v>
      </c>
      <c r="V5203">
        <v>-0.37002829999999998</v>
      </c>
      <c r="W5203">
        <v>0.35199930000000001</v>
      </c>
      <c r="X5203">
        <v>0.859753199999999</v>
      </c>
      <c r="Y5203">
        <v>-0.31314550000000002</v>
      </c>
      <c r="Z5203">
        <v>-3.8271959999999999E-4</v>
      </c>
      <c r="AA5203">
        <v>0.94970509999999997</v>
      </c>
      <c r="AB5203">
        <v>31</v>
      </c>
      <c r="AC5203">
        <v>-8.4187999999999708</v>
      </c>
      <c r="AD5203">
        <v>-1.1152797146709901</v>
      </c>
      <c r="AE5203">
        <v>-4.9185999999999899</v>
      </c>
      <c r="AF5203">
        <v>-3.08890639347258</v>
      </c>
      <c r="AG5203">
        <v>-1.1152797146709901</v>
      </c>
      <c r="AH5203">
        <v>9.1152489454256393</v>
      </c>
      <c r="AI5203">
        <v>96.609977437060493</v>
      </c>
      <c r="AJ5203">
        <v>108.72010185119601</v>
      </c>
      <c r="AK5203">
        <v>9.6888056481011002</v>
      </c>
      <c r="AL5203">
        <v>69.390350072520604</v>
      </c>
      <c r="AM5203">
        <v>113.286511105434</v>
      </c>
      <c r="AN5203">
        <v>1.0000000074558</v>
      </c>
    </row>
    <row r="5204" spans="1:40" x14ac:dyDescent="0.25">
      <c r="A5204" t="str">
        <f>"20190304164230661"</f>
        <v>20190304164230661</v>
      </c>
      <c r="B5204" t="str">
        <f>"1551688950656675"</f>
        <v>1551688950656675</v>
      </c>
      <c r="C5204" t="s">
        <v>40</v>
      </c>
      <c r="D5204">
        <v>4.433738</v>
      </c>
      <c r="E5204">
        <v>0.51707550000000002</v>
      </c>
      <c r="F5204" t="s">
        <v>53</v>
      </c>
      <c r="G5204">
        <v>-402.26429999999999</v>
      </c>
      <c r="H5204" s="1">
        <v>-3.8153060000000003E-6</v>
      </c>
      <c r="I5204">
        <v>134.24700000000001</v>
      </c>
      <c r="J5204">
        <v>-393.83940000000001</v>
      </c>
      <c r="K5204">
        <v>1.115278</v>
      </c>
      <c r="L5204">
        <v>139.2398</v>
      </c>
      <c r="M5204">
        <v>-0.97839229999999999</v>
      </c>
      <c r="N5204">
        <v>-1.4559219999999999E-2</v>
      </c>
      <c r="O5204">
        <v>-0.2062438</v>
      </c>
      <c r="P5204">
        <v>-0.770401</v>
      </c>
      <c r="Q5204">
        <v>0.34563519999999998</v>
      </c>
      <c r="R5204">
        <v>-0.53574100000000002</v>
      </c>
      <c r="S5204">
        <v>-2.888855</v>
      </c>
      <c r="T5204">
        <v>-0.36916260000000001</v>
      </c>
      <c r="U5204">
        <v>-1.6751560000000001</v>
      </c>
      <c r="V5204">
        <v>-0.36931429999999998</v>
      </c>
      <c r="W5204">
        <v>0.35405589999999998</v>
      </c>
      <c r="X5204">
        <v>0.85921550000000002</v>
      </c>
      <c r="Y5204">
        <v>-0.31123669999999998</v>
      </c>
      <c r="Z5204">
        <v>2.4521630000000003E-4</v>
      </c>
      <c r="AA5204">
        <v>0.95033239999999997</v>
      </c>
      <c r="AB5204">
        <v>31</v>
      </c>
      <c r="AC5204">
        <v>-8.4248999999999796</v>
      </c>
      <c r="AD5204">
        <v>-1.115281815306</v>
      </c>
      <c r="AE5204">
        <v>-4.9927999999999804</v>
      </c>
      <c r="AF5204">
        <v>-3.1073667609824098</v>
      </c>
      <c r="AG5204">
        <v>-1.115281815306</v>
      </c>
      <c r="AH5204">
        <v>9.1548418380385392</v>
      </c>
      <c r="AI5204">
        <v>96.580561138634394</v>
      </c>
      <c r="AJ5204">
        <v>108.74841019727199</v>
      </c>
      <c r="AK5204">
        <v>9.7319428067735494</v>
      </c>
      <c r="AL5204">
        <v>69.264405232136596</v>
      </c>
      <c r="AM5204">
        <v>113.25935459802901</v>
      </c>
      <c r="AN5204">
        <v>0.99999995397477304</v>
      </c>
    </row>
    <row r="5205" spans="1:40" x14ac:dyDescent="0.25">
      <c r="A5205" t="str">
        <f>"20190304164230683"</f>
        <v>20190304164230683</v>
      </c>
      <c r="B5205" t="str">
        <f>"1551688950676702"</f>
        <v>1551688950676702</v>
      </c>
      <c r="C5205" t="s">
        <v>40</v>
      </c>
      <c r="D5205">
        <v>4.429989</v>
      </c>
      <c r="E5205">
        <v>0.51762980000000003</v>
      </c>
      <c r="F5205" t="s">
        <v>53</v>
      </c>
      <c r="G5205">
        <v>-402.59039999999999</v>
      </c>
      <c r="H5205" s="1">
        <v>-3.9326019999999999E-6</v>
      </c>
      <c r="I5205">
        <v>134.11760000000001</v>
      </c>
      <c r="J5205">
        <v>-394.1352</v>
      </c>
      <c r="K5205">
        <v>1.115278</v>
      </c>
      <c r="L5205">
        <v>139.17140000000001</v>
      </c>
      <c r="M5205">
        <v>-0.97721930000000001</v>
      </c>
      <c r="N5205">
        <v>-1.4557499999999999E-2</v>
      </c>
      <c r="O5205">
        <v>-0.211733</v>
      </c>
      <c r="P5205">
        <v>-0.76694549999999995</v>
      </c>
      <c r="Q5205">
        <v>0.34757719999999998</v>
      </c>
      <c r="R5205">
        <v>-0.53943030000000003</v>
      </c>
      <c r="S5205">
        <v>-2.8848569999999998</v>
      </c>
      <c r="T5205">
        <v>-0.36766490000000002</v>
      </c>
      <c r="U5205">
        <v>-1.6885680000000001</v>
      </c>
      <c r="V5205">
        <v>-0.36880649999999998</v>
      </c>
      <c r="W5205">
        <v>0.35600320000000002</v>
      </c>
      <c r="X5205">
        <v>0.85862890000000003</v>
      </c>
      <c r="Y5205">
        <v>-0.309814799999999</v>
      </c>
      <c r="Z5205">
        <v>8.5685500000000001E-4</v>
      </c>
      <c r="AA5205">
        <v>0.95079650000000004</v>
      </c>
      <c r="AB5205">
        <v>31</v>
      </c>
      <c r="AC5205">
        <v>-8.4551999999999907</v>
      </c>
      <c r="AD5205">
        <v>-1.115281932602</v>
      </c>
      <c r="AE5205">
        <v>-5.0537999999999901</v>
      </c>
      <c r="AF5205">
        <v>-3.1089057871478101</v>
      </c>
      <c r="AG5205">
        <v>-1.115281932602</v>
      </c>
      <c r="AH5205">
        <v>9.2154939778834493</v>
      </c>
      <c r="AI5205">
        <v>96.541696269946002</v>
      </c>
      <c r="AJ5205">
        <v>108.642151630386</v>
      </c>
      <c r="AK5205">
        <v>9.7895085800542496</v>
      </c>
      <c r="AL5205">
        <v>69.145060382382795</v>
      </c>
      <c r="AM5205">
        <v>113.244953183996</v>
      </c>
      <c r="AN5205">
        <v>1.00000005038384</v>
      </c>
    </row>
    <row r="5206" spans="1:40" x14ac:dyDescent="0.25">
      <c r="A5206" t="str">
        <f>"20190304164230705"</f>
        <v>20190304164230705</v>
      </c>
      <c r="B5206" t="str">
        <f>"1551688950696222"</f>
        <v>1551688950696222</v>
      </c>
      <c r="C5206" t="s">
        <v>40</v>
      </c>
      <c r="D5206">
        <v>4.430256</v>
      </c>
      <c r="E5206">
        <v>0.51805879999999904</v>
      </c>
      <c r="F5206" t="s">
        <v>53</v>
      </c>
      <c r="G5206">
        <v>-402.94369999999998</v>
      </c>
      <c r="H5206" s="1">
        <v>-4.0313550000000003E-6</v>
      </c>
      <c r="I5206">
        <v>133.96199999999999</v>
      </c>
      <c r="J5206">
        <v>-394.42149999999998</v>
      </c>
      <c r="K5206">
        <v>1.1152690000000001</v>
      </c>
      <c r="L5206">
        <v>139.1035</v>
      </c>
      <c r="M5206">
        <v>-0.97605249999999999</v>
      </c>
      <c r="N5206">
        <v>-1.4555520000000001E-2</v>
      </c>
      <c r="O5206">
        <v>-0.21704799999999999</v>
      </c>
      <c r="P5206">
        <v>-0.76400129999999999</v>
      </c>
      <c r="Q5206">
        <v>0.34886620000000002</v>
      </c>
      <c r="R5206">
        <v>-0.54276559999999996</v>
      </c>
      <c r="S5206">
        <v>-2.879181</v>
      </c>
      <c r="T5206">
        <v>-0.3645467</v>
      </c>
      <c r="U5206">
        <v>-1.7027890000000001</v>
      </c>
      <c r="V5206">
        <v>-0.36800179999999999</v>
      </c>
      <c r="W5206">
        <v>0.35730519999999999</v>
      </c>
      <c r="X5206">
        <v>0.85843320000000001</v>
      </c>
      <c r="Y5206">
        <v>-0.30898910000000002</v>
      </c>
      <c r="Z5206">
        <v>1.377847E-3</v>
      </c>
      <c r="AA5206">
        <v>0.95106460000000004</v>
      </c>
      <c r="AB5206">
        <v>30</v>
      </c>
      <c r="AC5206">
        <v>-8.5221999999999891</v>
      </c>
      <c r="AD5206">
        <v>-1.1152730313549899</v>
      </c>
      <c r="AE5206">
        <v>-5.1414999999999704</v>
      </c>
      <c r="AF5206">
        <v>-3.1296865472871298</v>
      </c>
      <c r="AG5206">
        <v>-1.1152730313549899</v>
      </c>
      <c r="AH5206">
        <v>9.3180679232954908</v>
      </c>
      <c r="AI5206">
        <v>96.473125813750102</v>
      </c>
      <c r="AJ5206">
        <v>108.56580499119799</v>
      </c>
      <c r="AK5206">
        <v>9.89268222687285</v>
      </c>
      <c r="AL5206">
        <v>69.065207718018399</v>
      </c>
      <c r="AM5206">
        <v>113.20433375469401</v>
      </c>
      <c r="AN5206">
        <v>0.99999994480625798</v>
      </c>
    </row>
    <row r="5207" spans="1:40" x14ac:dyDescent="0.25">
      <c r="A5207" t="str">
        <f>"20190304164230727"</f>
        <v>20190304164230727</v>
      </c>
      <c r="B5207" t="str">
        <f>"1551688950716719"</f>
        <v>1551688950716719</v>
      </c>
      <c r="C5207" t="s">
        <v>40</v>
      </c>
      <c r="D5207">
        <v>4.4319110000000004</v>
      </c>
      <c r="E5207">
        <v>0.51827380000000001</v>
      </c>
      <c r="F5207" t="s">
        <v>53</v>
      </c>
      <c r="G5207">
        <v>-403.24239999999998</v>
      </c>
      <c r="H5207" s="1">
        <v>-4.1069399999999998E-6</v>
      </c>
      <c r="I5207">
        <v>133.84010000000001</v>
      </c>
      <c r="J5207">
        <v>-394.71409999999997</v>
      </c>
      <c r="K5207">
        <v>1.115256</v>
      </c>
      <c r="L5207">
        <v>139.0324</v>
      </c>
      <c r="M5207">
        <v>-0.97482829999999998</v>
      </c>
      <c r="N5207">
        <v>-1.455325E-2</v>
      </c>
      <c r="O5207">
        <v>-0.2224816</v>
      </c>
      <c r="P5207">
        <v>-0.76120829999999995</v>
      </c>
      <c r="Q5207">
        <v>0.34961730000000002</v>
      </c>
      <c r="R5207">
        <v>-0.54619589999999996</v>
      </c>
      <c r="S5207">
        <v>-2.8742679999999998</v>
      </c>
      <c r="T5207">
        <v>-0.36340980000000001</v>
      </c>
      <c r="U5207">
        <v>-1.7150570000000001</v>
      </c>
      <c r="V5207">
        <v>-0.36714989999999997</v>
      </c>
      <c r="W5207">
        <v>0.3580738</v>
      </c>
      <c r="X5207">
        <v>0.85847779999999996</v>
      </c>
      <c r="Y5207">
        <v>-0.30744300000000002</v>
      </c>
      <c r="Z5207">
        <v>1.9864819999999999E-3</v>
      </c>
      <c r="AA5207">
        <v>0.95156439999999998</v>
      </c>
      <c r="AB5207">
        <v>30</v>
      </c>
      <c r="AC5207">
        <v>-8.5282999999999998</v>
      </c>
      <c r="AD5207">
        <v>-1.1152601069399899</v>
      </c>
      <c r="AE5207">
        <v>-5.1922999999999799</v>
      </c>
      <c r="AF5207">
        <v>-3.1255502665035899</v>
      </c>
      <c r="AG5207">
        <v>-1.1152601069399899</v>
      </c>
      <c r="AH5207">
        <v>9.3531277079580892</v>
      </c>
      <c r="AI5207">
        <v>96.452269962198002</v>
      </c>
      <c r="AJ5207">
        <v>108.47816756559401</v>
      </c>
      <c r="AK5207">
        <v>9.9244076647397907</v>
      </c>
      <c r="AL5207">
        <v>69.018051792448802</v>
      </c>
      <c r="AM5207">
        <v>113.155207716381</v>
      </c>
      <c r="AN5207">
        <v>1.0000000142046399</v>
      </c>
    </row>
    <row r="5208" spans="1:40" x14ac:dyDescent="0.25">
      <c r="A5208" t="str">
        <f>"20190304164230750"</f>
        <v>20190304164230750</v>
      </c>
      <c r="B5208" t="str">
        <f>"1551688950745998"</f>
        <v>1551688950745998</v>
      </c>
      <c r="C5208" t="s">
        <v>40</v>
      </c>
      <c r="D5208">
        <v>4.4682659999999998</v>
      </c>
      <c r="E5208">
        <v>0.52399470000000004</v>
      </c>
      <c r="F5208" t="s">
        <v>53</v>
      </c>
      <c r="G5208">
        <v>-403.53969999999998</v>
      </c>
      <c r="H5208" s="1">
        <v>-4.1782250000000001E-6</v>
      </c>
      <c r="I5208">
        <v>133.71039999999999</v>
      </c>
      <c r="J5208">
        <v>-395.01069999999999</v>
      </c>
      <c r="K5208">
        <v>1.1152439999999999</v>
      </c>
      <c r="L5208">
        <v>138.95859999999999</v>
      </c>
      <c r="M5208">
        <v>-0.97355480000000005</v>
      </c>
      <c r="N5208">
        <v>-1.455069E-2</v>
      </c>
      <c r="O5208">
        <v>-0.22798979999999999</v>
      </c>
      <c r="P5208">
        <v>-0.75826890000000002</v>
      </c>
      <c r="Q5208">
        <v>0.34984399999999999</v>
      </c>
      <c r="R5208">
        <v>-0.55012490000000003</v>
      </c>
      <c r="S5208">
        <v>-2.8670040000000001</v>
      </c>
      <c r="T5208">
        <v>-0.3622938</v>
      </c>
      <c r="U5208">
        <v>-1.7288509999999999</v>
      </c>
      <c r="V5208">
        <v>-0.36675029999999997</v>
      </c>
      <c r="W5208">
        <v>0.3583134</v>
      </c>
      <c r="X5208">
        <v>0.858548599999999</v>
      </c>
      <c r="Y5208">
        <v>-0.30652259999999998</v>
      </c>
      <c r="Z5208">
        <v>2.5607989999999999E-3</v>
      </c>
      <c r="AA5208">
        <v>0.95186000000000004</v>
      </c>
      <c r="AB5208">
        <v>30</v>
      </c>
      <c r="AC5208">
        <v>-8.5289999999999893</v>
      </c>
      <c r="AD5208">
        <v>-1.1152481782250001</v>
      </c>
      <c r="AE5208">
        <v>-5.24819999999999</v>
      </c>
      <c r="AF5208">
        <v>-3.1264457527257501</v>
      </c>
      <c r="AG5208">
        <v>-1.1152481782250001</v>
      </c>
      <c r="AH5208">
        <v>9.3846015993610408</v>
      </c>
      <c r="AI5208">
        <v>96.432707162434994</v>
      </c>
      <c r="AJ5208">
        <v>108.425306172253</v>
      </c>
      <c r="AK5208">
        <v>9.9543552640289494</v>
      </c>
      <c r="AL5208">
        <v>69.003347493098502</v>
      </c>
      <c r="AM5208">
        <v>113.130950963842</v>
      </c>
      <c r="AN5208">
        <v>0.99999998686580405</v>
      </c>
    </row>
    <row r="5209" spans="1:40" x14ac:dyDescent="0.25">
      <c r="A5209" t="str">
        <f>"20190304164230767"</f>
        <v>20190304164230767</v>
      </c>
      <c r="B5209" t="str">
        <f>"1551688950756735"</f>
        <v>1551688950756735</v>
      </c>
      <c r="C5209" t="s">
        <v>40</v>
      </c>
      <c r="D5209">
        <v>4.4694570000000002</v>
      </c>
      <c r="E5209">
        <v>0.52408520000000003</v>
      </c>
      <c r="F5209" t="s">
        <v>53</v>
      </c>
      <c r="G5209">
        <v>-402.94099999999997</v>
      </c>
      <c r="H5209" s="1">
        <v>-4.175383E-6</v>
      </c>
      <c r="I5209">
        <v>134.273</v>
      </c>
      <c r="J5209">
        <v>-395.22669999999999</v>
      </c>
      <c r="K5209">
        <v>1.1152359999999999</v>
      </c>
      <c r="L5209">
        <v>138.90379999999999</v>
      </c>
      <c r="M5209">
        <v>-0.97260610000000003</v>
      </c>
      <c r="N5209">
        <v>-1.454865E-2</v>
      </c>
      <c r="O5209">
        <v>-0.23200419999999999</v>
      </c>
      <c r="P5209">
        <v>-0.75570909999999902</v>
      </c>
      <c r="Q5209">
        <v>0.35044999999999998</v>
      </c>
      <c r="R5209">
        <v>-0.55325349999999995</v>
      </c>
      <c r="S5209">
        <v>-2.9010310000000001</v>
      </c>
      <c r="T5209">
        <v>-0.40797349999999999</v>
      </c>
      <c r="U5209">
        <v>-1.7140660000000001</v>
      </c>
      <c r="V5209">
        <v>-0.36682029999999999</v>
      </c>
      <c r="W5209">
        <v>0.35892010000000002</v>
      </c>
      <c r="X5209">
        <v>0.85826530000000001</v>
      </c>
      <c r="Y5209">
        <v>-0.29397210000000001</v>
      </c>
      <c r="Z5209">
        <v>4.8505070000000004E-3</v>
      </c>
      <c r="AA5209">
        <v>0.95580169999999998</v>
      </c>
      <c r="AB5209">
        <v>30</v>
      </c>
      <c r="AC5209">
        <v>-7.7142999999999802</v>
      </c>
      <c r="AD5209">
        <v>-1.1152401753829999</v>
      </c>
      <c r="AE5209">
        <v>-4.63079999999999</v>
      </c>
      <c r="AF5209">
        <v>-2.6734079783887399</v>
      </c>
      <c r="AG5209">
        <v>-1.1152401753829999</v>
      </c>
      <c r="AH5209">
        <v>8.4484481160722495</v>
      </c>
      <c r="AI5209">
        <v>97.173219724346893</v>
      </c>
      <c r="AJ5209">
        <v>107.559337808424</v>
      </c>
      <c r="AK5209">
        <v>8.9312455143538401</v>
      </c>
      <c r="AL5209">
        <v>68.966110580585294</v>
      </c>
      <c r="AM5209">
        <v>113.14173418886401</v>
      </c>
      <c r="AN5209">
        <v>1.0000000479300899</v>
      </c>
    </row>
    <row r="5210" spans="1:40" x14ac:dyDescent="0.25">
      <c r="A5210" t="str">
        <f>"20190304164230784"</f>
        <v>20190304164230784</v>
      </c>
      <c r="B5210" t="str">
        <f>"1551688950776254"</f>
        <v>1551688950776254</v>
      </c>
      <c r="C5210" t="s">
        <v>40</v>
      </c>
      <c r="D5210">
        <v>4.4622710000000003</v>
      </c>
      <c r="E5210">
        <v>0.52403599999999995</v>
      </c>
      <c r="F5210" t="s">
        <v>53</v>
      </c>
      <c r="G5210">
        <v>-403.1447</v>
      </c>
      <c r="H5210" s="1">
        <v>-4.2240020000000002E-6</v>
      </c>
      <c r="I5210">
        <v>134.18369999999999</v>
      </c>
      <c r="J5210">
        <v>-395.44979999999998</v>
      </c>
      <c r="K5210">
        <v>1.115243</v>
      </c>
      <c r="L5210">
        <v>138.84620000000001</v>
      </c>
      <c r="M5210">
        <v>-0.97160760000000002</v>
      </c>
      <c r="N5210">
        <v>-1.4546379999999999E-2</v>
      </c>
      <c r="O5210">
        <v>-0.23615050000000001</v>
      </c>
      <c r="P5210">
        <v>-0.75310339999999998</v>
      </c>
      <c r="Q5210">
        <v>0.35168280000000002</v>
      </c>
      <c r="R5210">
        <v>-0.55601659999999997</v>
      </c>
      <c r="S5210">
        <v>-2.8953250000000001</v>
      </c>
      <c r="T5210">
        <v>-0.40780329999999998</v>
      </c>
      <c r="U5210">
        <v>-1.72596699999999</v>
      </c>
      <c r="V5210">
        <v>-0.36644070000000001</v>
      </c>
      <c r="W5210">
        <v>0.36015750000000002</v>
      </c>
      <c r="X5210">
        <v>0.85790900000000003</v>
      </c>
      <c r="Y5210">
        <v>-0.293651</v>
      </c>
      <c r="Z5210">
        <v>5.326005E-3</v>
      </c>
      <c r="AA5210">
        <v>0.95589789999999997</v>
      </c>
      <c r="AB5210">
        <v>30</v>
      </c>
      <c r="AC5210">
        <v>-7.6949000000000103</v>
      </c>
      <c r="AD5210">
        <v>-1.1152472240019999</v>
      </c>
      <c r="AE5210">
        <v>-4.6625000000000201</v>
      </c>
      <c r="AF5210">
        <v>-2.6721956332880099</v>
      </c>
      <c r="AG5210">
        <v>-1.1152472240019999</v>
      </c>
      <c r="AH5210">
        <v>8.4485731535081907</v>
      </c>
      <c r="AI5210">
        <v>97.173462029311906</v>
      </c>
      <c r="AJ5210">
        <v>107.55162013630699</v>
      </c>
      <c r="AK5210">
        <v>8.9310018588838602</v>
      </c>
      <c r="AL5210">
        <v>68.890131753749401</v>
      </c>
      <c r="AM5210">
        <v>113.12889627598</v>
      </c>
      <c r="AN5210">
        <v>1.00000003185186</v>
      </c>
    </row>
    <row r="5211" spans="1:40" x14ac:dyDescent="0.25">
      <c r="A5211" t="str">
        <f>"20190304164230805"</f>
        <v>20190304164230805</v>
      </c>
      <c r="B5211" t="str">
        <f>"1551688950796750"</f>
        <v>1551688950796750</v>
      </c>
      <c r="C5211" t="s">
        <v>40</v>
      </c>
      <c r="D5211">
        <v>4.4458070000000003</v>
      </c>
      <c r="E5211">
        <v>0.52377129999999905</v>
      </c>
      <c r="F5211" t="s">
        <v>53</v>
      </c>
      <c r="G5211">
        <v>-403.35230000000001</v>
      </c>
      <c r="H5211" s="1">
        <v>-4.272963E-6</v>
      </c>
      <c r="I5211">
        <v>134.09139999999999</v>
      </c>
      <c r="J5211">
        <v>-395.73169999999999</v>
      </c>
      <c r="K5211">
        <v>1.1152420000000001</v>
      </c>
      <c r="L5211">
        <v>138.77180000000001</v>
      </c>
      <c r="M5211">
        <v>-0.97031829999999997</v>
      </c>
      <c r="N5211">
        <v>-1.4543459999999999E-2</v>
      </c>
      <c r="O5211">
        <v>-0.241394</v>
      </c>
      <c r="P5211">
        <v>-0.75020819999999999</v>
      </c>
      <c r="Q5211">
        <v>0.35297289999999998</v>
      </c>
      <c r="R5211">
        <v>-0.55910490000000002</v>
      </c>
      <c r="S5211">
        <v>-2.8901370000000002</v>
      </c>
      <c r="T5211">
        <v>-0.4078736</v>
      </c>
      <c r="U5211">
        <v>-1.738953</v>
      </c>
      <c r="V5211">
        <v>-0.3654751</v>
      </c>
      <c r="W5211">
        <v>0.36146349999999999</v>
      </c>
      <c r="X5211">
        <v>0.85777159999999997</v>
      </c>
      <c r="Y5211">
        <v>-0.29244219999999999</v>
      </c>
      <c r="Z5211">
        <v>5.9884129999999997E-3</v>
      </c>
      <c r="AA5211">
        <v>0.95626440000000001</v>
      </c>
      <c r="AB5211">
        <v>30</v>
      </c>
      <c r="AC5211">
        <v>-7.62060000000002</v>
      </c>
      <c r="AD5211">
        <v>-1.1152462729629999</v>
      </c>
      <c r="AE5211">
        <v>-4.6804000000000201</v>
      </c>
      <c r="AF5211">
        <v>-2.6608174929441399</v>
      </c>
      <c r="AG5211">
        <v>-1.1152462729629999</v>
      </c>
      <c r="AH5211">
        <v>8.3945837512499999</v>
      </c>
      <c r="AI5211">
        <v>97.2177113719913</v>
      </c>
      <c r="AJ5211">
        <v>107.58696806948799</v>
      </c>
      <c r="AK5211">
        <v>8.8765286197288908</v>
      </c>
      <c r="AL5211">
        <v>68.809898513784105</v>
      </c>
      <c r="AM5211">
        <v>113.077645311971</v>
      </c>
      <c r="AN5211">
        <v>1.0000000141594101</v>
      </c>
    </row>
    <row r="5212" spans="1:40" x14ac:dyDescent="0.25">
      <c r="A5212" t="str">
        <f>"20190304164230827"</f>
        <v>20190304164230827</v>
      </c>
      <c r="B5212" t="str">
        <f>"1551688950816270"</f>
        <v>1551688950816270</v>
      </c>
      <c r="C5212" t="s">
        <v>40</v>
      </c>
      <c r="D5212">
        <v>4.492254</v>
      </c>
      <c r="E5212">
        <v>0.52386860000000002</v>
      </c>
      <c r="F5212" t="s">
        <v>53</v>
      </c>
      <c r="G5212">
        <v>-403.59840000000003</v>
      </c>
      <c r="H5212" s="1">
        <v>-4.3299480000000003E-6</v>
      </c>
      <c r="I5212">
        <v>133.9796</v>
      </c>
      <c r="J5212">
        <v>-396.02140000000003</v>
      </c>
      <c r="K5212">
        <v>1.1152299999999999</v>
      </c>
      <c r="L5212">
        <v>138.6936</v>
      </c>
      <c r="M5212">
        <v>-0.96896159999999998</v>
      </c>
      <c r="N5212">
        <v>-1.45404E-2</v>
      </c>
      <c r="O5212">
        <v>-0.24678340000000001</v>
      </c>
      <c r="P5212">
        <v>-0.7480658</v>
      </c>
      <c r="Q5212">
        <v>0.3526667</v>
      </c>
      <c r="R5212">
        <v>-0.56215990000000005</v>
      </c>
      <c r="S5212">
        <v>-2.8825379999999998</v>
      </c>
      <c r="T5212">
        <v>-0.40865240000000003</v>
      </c>
      <c r="U5212">
        <v>-1.7559659999999999</v>
      </c>
      <c r="V5212">
        <v>-0.36414999999999997</v>
      </c>
      <c r="W5212">
        <v>0.36118879999999998</v>
      </c>
      <c r="X5212">
        <v>0.85845059999999995</v>
      </c>
      <c r="Y5212">
        <v>-0.29239589999999999</v>
      </c>
      <c r="Z5212">
        <v>6.6063119999999996E-3</v>
      </c>
      <c r="AA5212">
        <v>0.95627450000000003</v>
      </c>
      <c r="AB5212">
        <v>30</v>
      </c>
      <c r="AC5212">
        <v>-7.5769999999999902</v>
      </c>
      <c r="AD5212">
        <v>-1.1152343299480001</v>
      </c>
      <c r="AE5212">
        <v>-4.7139999999999898</v>
      </c>
      <c r="AF5212">
        <v>-2.65660008678464</v>
      </c>
      <c r="AG5212">
        <v>-1.1152343299480001</v>
      </c>
      <c r="AH5212">
        <v>8.3752487735451506</v>
      </c>
      <c r="AI5212">
        <v>97.233650542731894</v>
      </c>
      <c r="AJ5212">
        <v>107.598848110049</v>
      </c>
      <c r="AK5212">
        <v>8.8569782460254594</v>
      </c>
      <c r="AL5212">
        <v>68.826777788955795</v>
      </c>
      <c r="AM5212">
        <v>112.98638842510501</v>
      </c>
      <c r="AN5212">
        <v>1.0000000021928901</v>
      </c>
    </row>
    <row r="5213" spans="1:40" x14ac:dyDescent="0.25">
      <c r="A5213" t="str">
        <f>"20190304164230851"</f>
        <v>20190304164230851</v>
      </c>
      <c r="B5213" t="str">
        <f>"1551688950846527"</f>
        <v>1551688950846527</v>
      </c>
      <c r="C5213" t="s">
        <v>40</v>
      </c>
      <c r="D5213">
        <v>4.471082</v>
      </c>
      <c r="E5213">
        <v>0.52406540000000001</v>
      </c>
      <c r="F5213" t="s">
        <v>53</v>
      </c>
      <c r="G5213">
        <v>-403.79790000000003</v>
      </c>
      <c r="H5213" s="1">
        <v>-4.3855050000000001E-6</v>
      </c>
      <c r="I5213">
        <v>133.9092</v>
      </c>
      <c r="J5213">
        <v>-396.31450000000001</v>
      </c>
      <c r="K5213">
        <v>1.1152150000000001</v>
      </c>
      <c r="L5213">
        <v>138.61279999999999</v>
      </c>
      <c r="M5213">
        <v>-0.96755400000000003</v>
      </c>
      <c r="N5213">
        <v>-1.45373E-2</v>
      </c>
      <c r="O5213">
        <v>-0.25224550000000001</v>
      </c>
      <c r="P5213">
        <v>-0.74588909999999997</v>
      </c>
      <c r="Q5213">
        <v>0.35162139999999997</v>
      </c>
      <c r="R5213">
        <v>-0.56569619999999998</v>
      </c>
      <c r="S5213">
        <v>-2.8753660000000001</v>
      </c>
      <c r="T5213">
        <v>-0.41235830000000001</v>
      </c>
      <c r="U5213">
        <v>-1.769058</v>
      </c>
      <c r="V5213">
        <v>-0.36322409999999999</v>
      </c>
      <c r="W5213">
        <v>0.36016989999999999</v>
      </c>
      <c r="X5213">
        <v>0.8592706</v>
      </c>
      <c r="Y5213">
        <v>-0.2912534</v>
      </c>
      <c r="Z5213">
        <v>7.4102830000000001E-3</v>
      </c>
      <c r="AA5213">
        <v>0.95661719999999895</v>
      </c>
      <c r="AB5213">
        <v>30</v>
      </c>
      <c r="AC5213">
        <v>-7.4834000000000103</v>
      </c>
      <c r="AD5213">
        <v>-1.1152193855050001</v>
      </c>
      <c r="AE5213">
        <v>-4.70359999999999</v>
      </c>
      <c r="AF5213">
        <v>-2.6218756717851002</v>
      </c>
      <c r="AG5213">
        <v>-1.1152193855050001</v>
      </c>
      <c r="AH5213">
        <v>8.2958802879182905</v>
      </c>
      <c r="AI5213">
        <v>97.304409185457999</v>
      </c>
      <c r="AJ5213">
        <v>107.538906653393</v>
      </c>
      <c r="AK5213">
        <v>8.7715207385934999</v>
      </c>
      <c r="AL5213">
        <v>68.889370220276803</v>
      </c>
      <c r="AM5213">
        <v>112.914369889653</v>
      </c>
      <c r="AN5213">
        <v>1.0000000338555799</v>
      </c>
    </row>
    <row r="5214" spans="1:40" x14ac:dyDescent="0.25">
      <c r="A5214" t="str">
        <f>"20190304164230873"</f>
        <v>20190304164230873</v>
      </c>
      <c r="B5214" t="str">
        <f>"1551688950866046"</f>
        <v>1551688950866046</v>
      </c>
      <c r="C5214" t="s">
        <v>40</v>
      </c>
      <c r="D5214">
        <v>4.4601300000000004</v>
      </c>
      <c r="E5214">
        <v>0.5240515</v>
      </c>
      <c r="F5214" t="s">
        <v>53</v>
      </c>
      <c r="G5214">
        <v>-403.91980000000001</v>
      </c>
      <c r="H5214" s="1">
        <v>-4.4271700000000002E-6</v>
      </c>
      <c r="I5214">
        <v>133.8826</v>
      </c>
      <c r="J5214">
        <v>-396.60950000000003</v>
      </c>
      <c r="K5214">
        <v>1.1151990000000001</v>
      </c>
      <c r="L5214">
        <v>138.52969999999999</v>
      </c>
      <c r="M5214">
        <v>-0.96609970000000001</v>
      </c>
      <c r="N5214">
        <v>-1.4534460000000001E-2</v>
      </c>
      <c r="O5214">
        <v>-0.2577604</v>
      </c>
      <c r="P5214">
        <v>-0.74380059999999903</v>
      </c>
      <c r="Q5214">
        <v>0.35016979999999998</v>
      </c>
      <c r="R5214">
        <v>-0.56933469999999997</v>
      </c>
      <c r="S5214">
        <v>-2.8676149999999998</v>
      </c>
      <c r="T5214">
        <v>-0.42049900000000001</v>
      </c>
      <c r="U5214">
        <v>-1.783569</v>
      </c>
      <c r="V5214">
        <v>-0.36232379999999997</v>
      </c>
      <c r="W5214">
        <v>0.35874149999999999</v>
      </c>
      <c r="X5214">
        <v>0.86024769999999995</v>
      </c>
      <c r="Y5214">
        <v>-0.29046270000000002</v>
      </c>
      <c r="Z5214">
        <v>8.3560379999999997E-3</v>
      </c>
      <c r="AA5214">
        <v>0.95684979999999997</v>
      </c>
      <c r="AB5214">
        <v>30</v>
      </c>
      <c r="AC5214">
        <v>-7.3102999999999803</v>
      </c>
      <c r="AD5214">
        <v>-1.11520342717</v>
      </c>
      <c r="AE5214">
        <v>-4.6470999999999902</v>
      </c>
      <c r="AF5214">
        <v>-2.5630498235797701</v>
      </c>
      <c r="AG5214">
        <v>-1.11520342717</v>
      </c>
      <c r="AH5214">
        <v>8.1264963943480701</v>
      </c>
      <c r="AI5214">
        <v>97.456235584241895</v>
      </c>
      <c r="AJ5214">
        <v>107.504972166448</v>
      </c>
      <c r="AK5214">
        <v>8.5937679006054193</v>
      </c>
      <c r="AL5214">
        <v>68.977073825873305</v>
      </c>
      <c r="AM5214">
        <v>112.840117011205</v>
      </c>
      <c r="AN5214">
        <v>1.0000000526119801</v>
      </c>
    </row>
    <row r="5215" spans="1:40" x14ac:dyDescent="0.25">
      <c r="A5215" t="str">
        <f>"20190304164230895"</f>
        <v>20190304164230895</v>
      </c>
      <c r="B5215" t="str">
        <f>"1551688950886543"</f>
        <v>1551688950886543</v>
      </c>
      <c r="C5215" t="s">
        <v>40</v>
      </c>
      <c r="D5215">
        <v>4.4766029999999999</v>
      </c>
      <c r="E5215">
        <v>0.52405479999999904</v>
      </c>
      <c r="F5215" t="s">
        <v>53</v>
      </c>
      <c r="G5215">
        <v>-404.0378</v>
      </c>
      <c r="H5215" s="1">
        <v>-4.4665969999999999E-6</v>
      </c>
      <c r="I5215">
        <v>133.85499999999999</v>
      </c>
      <c r="J5215">
        <v>-396.88209999999998</v>
      </c>
      <c r="K5215">
        <v>1.115202</v>
      </c>
      <c r="L5215">
        <v>138.4512</v>
      </c>
      <c r="M5215">
        <v>-0.96471660000000004</v>
      </c>
      <c r="N5215">
        <v>-1.45325E-2</v>
      </c>
      <c r="O5215">
        <v>-0.26288919999999999</v>
      </c>
      <c r="P5215">
        <v>-0.74114029999999997</v>
      </c>
      <c r="Q5215">
        <v>0.35036040000000002</v>
      </c>
      <c r="R5215">
        <v>-0.57267679999999999</v>
      </c>
      <c r="S5215">
        <v>-2.8584589999999999</v>
      </c>
      <c r="T5215">
        <v>-0.42913790000000002</v>
      </c>
      <c r="U5215">
        <v>-1.798859</v>
      </c>
      <c r="V5215">
        <v>-0.36165530000000001</v>
      </c>
      <c r="W5215">
        <v>0.3589329</v>
      </c>
      <c r="X5215">
        <v>0.86044909999999997</v>
      </c>
      <c r="Y5215">
        <v>-0.29043390000000002</v>
      </c>
      <c r="Z5215">
        <v>9.2503189999999999E-3</v>
      </c>
      <c r="AA5215">
        <v>0.95685030000000004</v>
      </c>
      <c r="AB5215">
        <v>30</v>
      </c>
      <c r="AC5215">
        <v>-7.1557000000000199</v>
      </c>
      <c r="AD5215">
        <v>-1.1152064665970001</v>
      </c>
      <c r="AE5215">
        <v>-4.5961999999999996</v>
      </c>
      <c r="AF5215">
        <v>-2.5099850222426099</v>
      </c>
      <c r="AG5215">
        <v>-1.1152064665970001</v>
      </c>
      <c r="AH5215">
        <v>7.9752376861711101</v>
      </c>
      <c r="AI5215">
        <v>97.597481078009494</v>
      </c>
      <c r="AJ5215">
        <v>107.469950573752</v>
      </c>
      <c r="AK5215">
        <v>8.4349348797691306</v>
      </c>
      <c r="AL5215">
        <v>68.965324182357804</v>
      </c>
      <c r="AM5215">
        <v>112.79749893853599</v>
      </c>
      <c r="AN5215">
        <v>1.0000000182056501</v>
      </c>
    </row>
    <row r="5216" spans="1:40" x14ac:dyDescent="0.25">
      <c r="A5216" t="str">
        <f>"20190304164230917"</f>
        <v>20190304164230917</v>
      </c>
      <c r="B5216" t="str">
        <f>"1551688950906062"</f>
        <v>1551688950906062</v>
      </c>
      <c r="C5216" t="s">
        <v>40</v>
      </c>
      <c r="D5216">
        <v>4.4779809999999998</v>
      </c>
      <c r="E5216">
        <v>0.52414269999999996</v>
      </c>
      <c r="F5216" t="s">
        <v>53</v>
      </c>
      <c r="G5216">
        <v>-404.26049999999998</v>
      </c>
      <c r="H5216" s="1">
        <v>-4.5187870000000001E-6</v>
      </c>
      <c r="I5216">
        <v>133.75530000000001</v>
      </c>
      <c r="J5216">
        <v>-397.16829999999999</v>
      </c>
      <c r="K5216">
        <v>1.1152280000000001</v>
      </c>
      <c r="L5216">
        <v>138.36709999999999</v>
      </c>
      <c r="M5216">
        <v>-0.96321809999999997</v>
      </c>
      <c r="N5216">
        <v>-1.4531530000000001E-2</v>
      </c>
      <c r="O5216">
        <v>-0.2683277</v>
      </c>
      <c r="P5216">
        <v>-0.73822589999999999</v>
      </c>
      <c r="Q5216">
        <v>0.35093150000000001</v>
      </c>
      <c r="R5216">
        <v>-0.57608130000000002</v>
      </c>
      <c r="S5216">
        <v>-2.8498839999999999</v>
      </c>
      <c r="T5216">
        <v>-0.4307454</v>
      </c>
      <c r="U5216">
        <v>-1.8137970000000001</v>
      </c>
      <c r="V5216">
        <v>-0.3608555</v>
      </c>
      <c r="W5216">
        <v>0.35949189999999998</v>
      </c>
      <c r="X5216">
        <v>0.86055149999999903</v>
      </c>
      <c r="Y5216">
        <v>-0.28994379999999997</v>
      </c>
      <c r="Z5216">
        <v>9.9826180000000004E-3</v>
      </c>
      <c r="AA5216">
        <v>0.95699160000000005</v>
      </c>
      <c r="AB5216">
        <v>30</v>
      </c>
      <c r="AC5216">
        <v>-7.0921999999999903</v>
      </c>
      <c r="AD5216">
        <v>-1.115232518787</v>
      </c>
      <c r="AE5216">
        <v>-4.6117999999999801</v>
      </c>
      <c r="AF5216">
        <v>-2.4960264514781501</v>
      </c>
      <c r="AG5216">
        <v>-1.115232518787</v>
      </c>
      <c r="AH5216">
        <v>7.9318180455371197</v>
      </c>
      <c r="AI5216">
        <v>97.638837083462704</v>
      </c>
      <c r="AJ5216">
        <v>107.46802189593799</v>
      </c>
      <c r="AK5216">
        <v>8.3897335550628096</v>
      </c>
      <c r="AL5216">
        <v>68.931004875695294</v>
      </c>
      <c r="AM5216">
        <v>112.749790908508</v>
      </c>
      <c r="AN5216">
        <v>1.00000000109905</v>
      </c>
    </row>
    <row r="5217" spans="1:40" x14ac:dyDescent="0.25">
      <c r="A5217" t="str">
        <f>"20190304164230941"</f>
        <v>20190304164230941</v>
      </c>
      <c r="B5217" t="str">
        <f>"1551688950936318"</f>
        <v>1551688950936318</v>
      </c>
      <c r="C5217" t="s">
        <v>40</v>
      </c>
      <c r="D5217">
        <v>4.4845480000000002</v>
      </c>
      <c r="E5217">
        <v>0.52421229999999996</v>
      </c>
      <c r="F5217" t="s">
        <v>53</v>
      </c>
      <c r="G5217">
        <v>-404.51139999999998</v>
      </c>
      <c r="H5217" s="1">
        <v>-4.5768790000000002E-6</v>
      </c>
      <c r="I5217">
        <v>133.6414</v>
      </c>
      <c r="J5217">
        <v>-397.46640000000002</v>
      </c>
      <c r="K5217">
        <v>1.115281</v>
      </c>
      <c r="L5217">
        <v>138.27760000000001</v>
      </c>
      <c r="M5217">
        <v>-0.9616015</v>
      </c>
      <c r="N5217">
        <v>-1.4531850000000001E-2</v>
      </c>
      <c r="O5217">
        <v>-0.27406459999999999</v>
      </c>
      <c r="P5217">
        <v>-0.73458519999999905</v>
      </c>
      <c r="Q5217">
        <v>0.35258689999999998</v>
      </c>
      <c r="R5217">
        <v>-0.57971280000000003</v>
      </c>
      <c r="S5217">
        <v>-2.8417970000000001</v>
      </c>
      <c r="T5217">
        <v>-0.43159960000000003</v>
      </c>
      <c r="U5217">
        <v>-1.828873</v>
      </c>
      <c r="V5217">
        <v>-0.3602342</v>
      </c>
      <c r="W5217">
        <v>0.3611123</v>
      </c>
      <c r="X5217">
        <v>0.86013329999999999</v>
      </c>
      <c r="Y5217">
        <v>-0.289110799999999</v>
      </c>
      <c r="Z5217">
        <v>1.074868E-2</v>
      </c>
      <c r="AA5217">
        <v>0.95723530000000001</v>
      </c>
      <c r="AB5217">
        <v>30</v>
      </c>
      <c r="AC5217">
        <v>-7.0449999999999502</v>
      </c>
      <c r="AD5217">
        <v>-1.115285576879</v>
      </c>
      <c r="AE5217">
        <v>-4.6361999999999997</v>
      </c>
      <c r="AF5217">
        <v>-2.4842145600394701</v>
      </c>
      <c r="AG5217">
        <v>-1.115285576879</v>
      </c>
      <c r="AH5217">
        <v>7.9076607619496997</v>
      </c>
      <c r="AI5217">
        <v>97.663409962650206</v>
      </c>
      <c r="AJ5217">
        <v>107.440262539917</v>
      </c>
      <c r="AK5217">
        <v>8.3633894220217506</v>
      </c>
      <c r="AL5217">
        <v>68.831478837098103</v>
      </c>
      <c r="AM5217">
        <v>112.7245234162</v>
      </c>
      <c r="AN5217">
        <v>1.0000000329148999</v>
      </c>
    </row>
    <row r="5218" spans="1:40" x14ac:dyDescent="0.25">
      <c r="A5218" t="str">
        <f>"20190304164230962"</f>
        <v>20190304164230962</v>
      </c>
      <c r="B5218" t="str">
        <f>"1551688950956815"</f>
        <v>1551688950956815</v>
      </c>
      <c r="C5218" t="s">
        <v>40</v>
      </c>
      <c r="D5218">
        <v>4.4767390000000002</v>
      </c>
      <c r="E5218">
        <v>0.52427970000000002</v>
      </c>
      <c r="F5218" t="s">
        <v>53</v>
      </c>
      <c r="G5218">
        <v>-404.83359999999999</v>
      </c>
      <c r="H5218" s="1">
        <v>-4.6408999999999999E-6</v>
      </c>
      <c r="I5218">
        <v>133.47239999999999</v>
      </c>
      <c r="J5218">
        <v>-397.74149999999997</v>
      </c>
      <c r="K5218">
        <v>1.1153299999999999</v>
      </c>
      <c r="L5218">
        <v>138.19309999999999</v>
      </c>
      <c r="M5218">
        <v>-0.96005280000000004</v>
      </c>
      <c r="N5218">
        <v>-1.453334E-2</v>
      </c>
      <c r="O5218">
        <v>-0.27944180000000002</v>
      </c>
      <c r="P5218">
        <v>-0.73037109999999905</v>
      </c>
      <c r="Q5218">
        <v>0.35466760000000003</v>
      </c>
      <c r="R5218">
        <v>-0.58375469999999996</v>
      </c>
      <c r="S5218">
        <v>-2.832001</v>
      </c>
      <c r="T5218">
        <v>-0.42872310000000002</v>
      </c>
      <c r="U5218">
        <v>-1.8471219999999999</v>
      </c>
      <c r="V5218">
        <v>-0.36051090000000002</v>
      </c>
      <c r="W5218">
        <v>0.36313469999999998</v>
      </c>
      <c r="X5218">
        <v>0.85916539999999997</v>
      </c>
      <c r="Y5218">
        <v>-0.28963420000000001</v>
      </c>
      <c r="Z5218">
        <v>1.1224110000000001E-2</v>
      </c>
      <c r="AA5218">
        <v>0.95707160000000002</v>
      </c>
      <c r="AB5218">
        <v>30</v>
      </c>
      <c r="AC5218">
        <v>-7.0921000000000101</v>
      </c>
      <c r="AD5218">
        <v>-1.1153346409</v>
      </c>
      <c r="AE5218">
        <v>-4.7206999999999901</v>
      </c>
      <c r="AF5218">
        <v>-2.5075844719200102</v>
      </c>
      <c r="AG5218">
        <v>-1.1153346409</v>
      </c>
      <c r="AH5218">
        <v>7.9918394185232904</v>
      </c>
      <c r="AI5218">
        <v>97.584789079357904</v>
      </c>
      <c r="AJ5218">
        <v>107.420194688938</v>
      </c>
      <c r="AK5218">
        <v>8.4499377829939402</v>
      </c>
      <c r="AL5218">
        <v>68.707167205564801</v>
      </c>
      <c r="AM5218">
        <v>112.763210300951</v>
      </c>
      <c r="AN5218">
        <v>1.0000000519600201</v>
      </c>
    </row>
    <row r="5219" spans="1:40" x14ac:dyDescent="0.25">
      <c r="A5219" t="str">
        <f>"20190304164230980"</f>
        <v>20190304164230980</v>
      </c>
      <c r="B5219" t="str">
        <f>"1551688950976334"</f>
        <v>1551688950976334</v>
      </c>
      <c r="C5219" t="s">
        <v>40</v>
      </c>
      <c r="D5219">
        <v>4.5018969999999996</v>
      </c>
      <c r="E5219">
        <v>0.5252059</v>
      </c>
      <c r="F5219" t="s">
        <v>53</v>
      </c>
      <c r="G5219">
        <v>-405.17959999999999</v>
      </c>
      <c r="H5219" s="1">
        <v>-4.7575699999999996E-6</v>
      </c>
      <c r="I5219">
        <v>133.28030000000001</v>
      </c>
      <c r="J5219">
        <v>-397.96960000000001</v>
      </c>
      <c r="K5219">
        <v>1.11538</v>
      </c>
      <c r="L5219">
        <v>138.1216</v>
      </c>
      <c r="M5219">
        <v>-0.95872599999999997</v>
      </c>
      <c r="N5219">
        <v>-1.4534899999999899E-2</v>
      </c>
      <c r="O5219">
        <v>-0.28395969999999998</v>
      </c>
      <c r="P5219">
        <v>-0.72689499999999996</v>
      </c>
      <c r="Q5219">
        <v>0.35524810000000001</v>
      </c>
      <c r="R5219">
        <v>-0.58772650000000004</v>
      </c>
      <c r="S5219">
        <v>-2.822845</v>
      </c>
      <c r="T5219">
        <v>-0.42328290000000002</v>
      </c>
      <c r="U5219">
        <v>-1.8644559999999999</v>
      </c>
      <c r="V5219">
        <v>-0.36127540000000002</v>
      </c>
      <c r="W5219">
        <v>0.36366330000000002</v>
      </c>
      <c r="X5219">
        <v>0.85862050000000001</v>
      </c>
      <c r="Y5219">
        <v>-0.29067939999999998</v>
      </c>
      <c r="Z5219">
        <v>1.144594E-2</v>
      </c>
      <c r="AA5219">
        <v>0.95675209999999999</v>
      </c>
      <c r="AB5219">
        <v>30</v>
      </c>
      <c r="AC5219">
        <v>-7.2099999999999698</v>
      </c>
      <c r="AD5219">
        <v>-1.11538475757</v>
      </c>
      <c r="AE5219">
        <v>-4.8412999999999897</v>
      </c>
      <c r="AF5219">
        <v>-2.5523049020313402</v>
      </c>
      <c r="AG5219">
        <v>-1.11538475757</v>
      </c>
      <c r="AH5219">
        <v>8.1535327039458707</v>
      </c>
      <c r="AI5219">
        <v>97.437952914474096</v>
      </c>
      <c r="AJ5219">
        <v>107.381714736315</v>
      </c>
      <c r="AK5219">
        <v>8.6161731078633501</v>
      </c>
      <c r="AL5219">
        <v>68.674657788285401</v>
      </c>
      <c r="AM5219">
        <v>112.819537881898</v>
      </c>
      <c r="AN5219">
        <v>1.0000000367161399</v>
      </c>
    </row>
    <row r="5220" spans="1:40" x14ac:dyDescent="0.25">
      <c r="A5220" t="str">
        <f>"20190304164230995"</f>
        <v>20190304164230995</v>
      </c>
      <c r="B5220" t="str">
        <f>"1551688950986095"</f>
        <v>1551688950986095</v>
      </c>
      <c r="C5220" t="s">
        <v>40</v>
      </c>
      <c r="D5220">
        <v>4.5077299999999996</v>
      </c>
      <c r="E5220">
        <v>0.52545900000000001</v>
      </c>
      <c r="F5220" t="s">
        <v>53</v>
      </c>
      <c r="G5220">
        <v>-404.81810000000002</v>
      </c>
      <c r="H5220" s="1">
        <v>-4.6806590000000003E-6</v>
      </c>
      <c r="I5220">
        <v>133.57230000000001</v>
      </c>
      <c r="J5220">
        <v>-398.16030000000001</v>
      </c>
      <c r="K5220">
        <v>1.1153999999999999</v>
      </c>
      <c r="L5220">
        <v>138.0608</v>
      </c>
      <c r="M5220">
        <v>-0.95758770000000004</v>
      </c>
      <c r="N5220">
        <v>-1.4536139999999999E-2</v>
      </c>
      <c r="O5220">
        <v>-0.28777509999999901</v>
      </c>
      <c r="P5220">
        <v>-0.72273290000000001</v>
      </c>
      <c r="Q5220">
        <v>0.35567919999999997</v>
      </c>
      <c r="R5220">
        <v>-0.59257850000000001</v>
      </c>
      <c r="S5220">
        <v>-2.8316650000000001</v>
      </c>
      <c r="T5220">
        <v>-0.46117619999999998</v>
      </c>
      <c r="U5220">
        <v>-1.880997</v>
      </c>
      <c r="V5220">
        <v>-0.36370910000000001</v>
      </c>
      <c r="W5220">
        <v>0.3640235</v>
      </c>
      <c r="X5220">
        <v>0.85743959999999997</v>
      </c>
      <c r="Y5220">
        <v>-0.2893482</v>
      </c>
      <c r="Z5220">
        <v>1.350584E-2</v>
      </c>
      <c r="AA5220">
        <v>0.9571286</v>
      </c>
      <c r="AB5220">
        <v>30</v>
      </c>
      <c r="AC5220">
        <v>-6.6577999999999999</v>
      </c>
      <c r="AD5220">
        <v>-1.1154046806589999</v>
      </c>
      <c r="AE5220">
        <v>-4.4884999999999797</v>
      </c>
      <c r="AF5220">
        <v>-2.33733178212383</v>
      </c>
      <c r="AG5220">
        <v>-1.1154046806589999</v>
      </c>
      <c r="AH5220">
        <v>7.5227502961875903</v>
      </c>
      <c r="AI5220">
        <v>98.059157227170402</v>
      </c>
      <c r="AJ5220">
        <v>107.26011176173699</v>
      </c>
      <c r="AK5220">
        <v>7.9560680917242399</v>
      </c>
      <c r="AL5220">
        <v>68.652501378998394</v>
      </c>
      <c r="AM5220">
        <v>112.985706611895</v>
      </c>
      <c r="AN5220">
        <v>1.0000000428116</v>
      </c>
    </row>
    <row r="5221" spans="1:40" x14ac:dyDescent="0.25">
      <c r="A5221" t="str">
        <f>"20190304164231018"</f>
        <v>20190304164231018</v>
      </c>
      <c r="B5221" t="str">
        <f>"1551688951006590"</f>
        <v>1551688951006590</v>
      </c>
      <c r="C5221" t="s">
        <v>40</v>
      </c>
      <c r="D5221">
        <v>4.493487</v>
      </c>
      <c r="E5221">
        <v>0.52541859999999996</v>
      </c>
      <c r="F5221" t="s">
        <v>53</v>
      </c>
      <c r="G5221">
        <v>-404.94799999999998</v>
      </c>
      <c r="H5221" s="1">
        <v>-4.7064719999999998E-6</v>
      </c>
      <c r="I5221">
        <v>133.5042</v>
      </c>
      <c r="J5221">
        <v>-398.44310000000002</v>
      </c>
      <c r="K5221">
        <v>1.1154250000000001</v>
      </c>
      <c r="L5221">
        <v>137.9692</v>
      </c>
      <c r="M5221">
        <v>-0.95585410000000004</v>
      </c>
      <c r="N5221">
        <v>-1.4537390000000001E-2</v>
      </c>
      <c r="O5221">
        <v>-0.29348210000000002</v>
      </c>
      <c r="P5221">
        <v>-0.71788790000000002</v>
      </c>
      <c r="Q5221">
        <v>0.35362149999999998</v>
      </c>
      <c r="R5221">
        <v>-0.59965769999999996</v>
      </c>
      <c r="S5221">
        <v>-2.824646</v>
      </c>
      <c r="T5221">
        <v>-0.46416439999999998</v>
      </c>
      <c r="U5221">
        <v>-1.896164</v>
      </c>
      <c r="V5221">
        <v>-0.36675609999999997</v>
      </c>
      <c r="W5221">
        <v>0.36189209999999999</v>
      </c>
      <c r="X5221">
        <v>0.85704380000000002</v>
      </c>
      <c r="Y5221">
        <v>-0.28832989999999997</v>
      </c>
      <c r="Z5221">
        <v>1.44257999999999E-2</v>
      </c>
      <c r="AA5221">
        <v>0.95742240000000001</v>
      </c>
      <c r="AB5221">
        <v>30</v>
      </c>
      <c r="AC5221">
        <v>-6.5049000000000197</v>
      </c>
      <c r="AD5221">
        <v>-1.115429706472</v>
      </c>
      <c r="AE5221">
        <v>-4.4649999999999999</v>
      </c>
      <c r="AF5221">
        <v>-2.3128394819676399</v>
      </c>
      <c r="AG5221">
        <v>-1.115429706472</v>
      </c>
      <c r="AH5221">
        <v>7.38139676514679</v>
      </c>
      <c r="AI5221">
        <v>98.205527396442406</v>
      </c>
      <c r="AJ5221">
        <v>107.397525812629</v>
      </c>
      <c r="AK5221">
        <v>7.8152689079741897</v>
      </c>
      <c r="AL5221">
        <v>68.783558130204099</v>
      </c>
      <c r="AM5221">
        <v>113.167611012694</v>
      </c>
      <c r="AN5221">
        <v>1.0000000020240301</v>
      </c>
    </row>
    <row r="5222" spans="1:40" x14ac:dyDescent="0.25">
      <c r="A5222" t="str">
        <f>"20190304164231041"</f>
        <v>20190304164231041</v>
      </c>
      <c r="B5222" t="str">
        <f>"1551688951036846"</f>
        <v>1551688951036846</v>
      </c>
      <c r="C5222" t="s">
        <v>40</v>
      </c>
      <c r="D5222">
        <v>4.5288919999999999</v>
      </c>
      <c r="E5222">
        <v>0.52554799999999902</v>
      </c>
      <c r="F5222" t="s">
        <v>53</v>
      </c>
      <c r="G5222">
        <v>-405.142</v>
      </c>
      <c r="H5222" s="1">
        <v>-4.7861169999999996E-6</v>
      </c>
      <c r="I5222">
        <v>133.3964</v>
      </c>
      <c r="J5222">
        <v>-398.73039999999997</v>
      </c>
      <c r="K5222">
        <v>1.115445</v>
      </c>
      <c r="L5222">
        <v>137.87430000000001</v>
      </c>
      <c r="M5222">
        <v>-0.95403490000000002</v>
      </c>
      <c r="N5222">
        <v>-1.4537949999999999E-2</v>
      </c>
      <c r="O5222">
        <v>-0.29934290000000002</v>
      </c>
      <c r="P5222">
        <v>-0.71314940000000004</v>
      </c>
      <c r="Q5222">
        <v>0.3513676</v>
      </c>
      <c r="R5222">
        <v>-0.60659619999999903</v>
      </c>
      <c r="S5222">
        <v>-2.8081049999999999</v>
      </c>
      <c r="T5222">
        <v>-0.46757409999999999</v>
      </c>
      <c r="U5222">
        <v>-1.9168700000000001</v>
      </c>
      <c r="V5222">
        <v>-0.3694964</v>
      </c>
      <c r="W5222">
        <v>0.35957640000000002</v>
      </c>
      <c r="X5222">
        <v>0.85684139999999998</v>
      </c>
      <c r="Y5222">
        <v>-0.28990959999999899</v>
      </c>
      <c r="Z5222">
        <v>1.5224949999999999E-2</v>
      </c>
      <c r="AA5222">
        <v>0.95693300000000003</v>
      </c>
      <c r="AB5222">
        <v>30</v>
      </c>
      <c r="AC5222">
        <v>-6.4116000000000204</v>
      </c>
      <c r="AD5222">
        <v>-1.1154497861170001</v>
      </c>
      <c r="AE5222">
        <v>-4.4779</v>
      </c>
      <c r="AF5222">
        <v>-2.3061389538286599</v>
      </c>
      <c r="AG5222">
        <v>-1.1154497861170001</v>
      </c>
      <c r="AH5222">
        <v>7.3094047509823801</v>
      </c>
      <c r="AI5222">
        <v>98.280305939258099</v>
      </c>
      <c r="AJ5222">
        <v>107.510640576489</v>
      </c>
      <c r="AK5222">
        <v>7.7453149008544599</v>
      </c>
      <c r="AL5222">
        <v>68.925815995824706</v>
      </c>
      <c r="AM5222">
        <v>113.32719335427301</v>
      </c>
      <c r="AN5222">
        <v>0.99999998090193898</v>
      </c>
    </row>
    <row r="5223" spans="1:40" x14ac:dyDescent="0.25">
      <c r="A5223" t="str">
        <f>"20190304164231064"</f>
        <v>20190304164231064</v>
      </c>
      <c r="B5223" t="str">
        <f>"1551688951056366"</f>
        <v>1551688951056366</v>
      </c>
      <c r="C5223" t="s">
        <v>40</v>
      </c>
      <c r="D5223">
        <v>4.5508459999999999</v>
      </c>
      <c r="E5223">
        <v>0.52562690000000001</v>
      </c>
      <c r="F5223" t="s">
        <v>53</v>
      </c>
      <c r="G5223">
        <v>-405.29070000000002</v>
      </c>
      <c r="H5223" s="1">
        <v>-4.8556029999999996E-6</v>
      </c>
      <c r="I5223">
        <v>133.3279</v>
      </c>
      <c r="J5223">
        <v>-399.01119999999997</v>
      </c>
      <c r="K5223">
        <v>1.115459</v>
      </c>
      <c r="L5223">
        <v>137.77940000000001</v>
      </c>
      <c r="M5223">
        <v>-0.95220079999999996</v>
      </c>
      <c r="N5223">
        <v>-1.453841E-2</v>
      </c>
      <c r="O5223">
        <v>-0.30512719999999999</v>
      </c>
      <c r="P5223">
        <v>-0.70836440000000001</v>
      </c>
      <c r="Q5223">
        <v>0.34942869999999998</v>
      </c>
      <c r="R5223">
        <v>-0.61328640000000001</v>
      </c>
      <c r="S5223">
        <v>-2.7938540000000001</v>
      </c>
      <c r="T5223">
        <v>-0.4750394</v>
      </c>
      <c r="U5223">
        <v>-1.9361569999999999</v>
      </c>
      <c r="V5223">
        <v>-0.37208750000000002</v>
      </c>
      <c r="W5223">
        <v>0.35758139999999999</v>
      </c>
      <c r="X5223">
        <v>0.85655499999999996</v>
      </c>
      <c r="Y5223">
        <v>-0.29086820000000002</v>
      </c>
      <c r="Z5223">
        <v>1.625913E-2</v>
      </c>
      <c r="AA5223">
        <v>0.95662499999999995</v>
      </c>
      <c r="AB5223">
        <v>30</v>
      </c>
      <c r="AC5223">
        <v>-6.2795000000000396</v>
      </c>
      <c r="AD5223">
        <v>-1.1154638556030001</v>
      </c>
      <c r="AE5223">
        <v>-4.4515000000000002</v>
      </c>
      <c r="AF5223">
        <v>-2.2751407625852802</v>
      </c>
      <c r="AG5223">
        <v>-1.1154638556030001</v>
      </c>
      <c r="AH5223">
        <v>7.1874502137457998</v>
      </c>
      <c r="AI5223">
        <v>98.416430663383693</v>
      </c>
      <c r="AJ5223">
        <v>107.564845618964</v>
      </c>
      <c r="AK5223">
        <v>7.62102130149289</v>
      </c>
      <c r="AL5223">
        <v>69.048264755184405</v>
      </c>
      <c r="AM5223">
        <v>113.48012687648399</v>
      </c>
      <c r="AN5223">
        <v>1.0000000166536001</v>
      </c>
    </row>
    <row r="5224" spans="1:40" x14ac:dyDescent="0.25">
      <c r="A5224" t="str">
        <f>"20190304164231085"</f>
        <v>20190304164231085</v>
      </c>
      <c r="B5224" t="str">
        <f>"1551688951075886"</f>
        <v>1551688951075886</v>
      </c>
      <c r="C5224" t="s">
        <v>40</v>
      </c>
      <c r="D5224">
        <v>4.5818479999999999</v>
      </c>
      <c r="E5224">
        <v>0.5043879</v>
      </c>
      <c r="F5224" t="s">
        <v>53</v>
      </c>
      <c r="G5224">
        <v>-405.41469999999998</v>
      </c>
      <c r="H5224" s="1">
        <v>-4.9149049999999997E-6</v>
      </c>
      <c r="I5224">
        <v>133.27379999999999</v>
      </c>
      <c r="J5224">
        <v>-399.28250000000003</v>
      </c>
      <c r="K5224">
        <v>1.1154729999999999</v>
      </c>
      <c r="L5224">
        <v>137.6859</v>
      </c>
      <c r="M5224">
        <v>-0.95037709999999997</v>
      </c>
      <c r="N5224">
        <v>-1.453899E-2</v>
      </c>
      <c r="O5224">
        <v>-0.31076009999999998</v>
      </c>
      <c r="P5224">
        <v>-0.704283199999999</v>
      </c>
      <c r="Q5224">
        <v>0.34840880000000002</v>
      </c>
      <c r="R5224">
        <v>-0.61854399999999998</v>
      </c>
      <c r="S5224">
        <v>-2.7803040000000001</v>
      </c>
      <c r="T5224">
        <v>-0.48431920000000001</v>
      </c>
      <c r="U5224">
        <v>-1.9562679999999999</v>
      </c>
      <c r="V5224">
        <v>-0.37325229999999998</v>
      </c>
      <c r="W5224">
        <v>0.35652660000000003</v>
      </c>
      <c r="X5224">
        <v>0.85648789999999997</v>
      </c>
      <c r="Y5224">
        <v>-0.29204279999999999</v>
      </c>
      <c r="Z5224">
        <v>1.7361789999999998E-2</v>
      </c>
      <c r="AA5224">
        <v>0.95624759999999998</v>
      </c>
      <c r="AB5224">
        <v>30</v>
      </c>
      <c r="AC5224">
        <v>-6.1321999999999504</v>
      </c>
      <c r="AD5224">
        <v>-1.115477914905</v>
      </c>
      <c r="AE5224">
        <v>-4.4120999999999997</v>
      </c>
      <c r="AF5224">
        <v>-2.2389427001715299</v>
      </c>
      <c r="AG5224">
        <v>-1.115477914905</v>
      </c>
      <c r="AH5224">
        <v>7.0461436603960497</v>
      </c>
      <c r="AI5224">
        <v>98.579885039163003</v>
      </c>
      <c r="AJ5224">
        <v>107.62788024359</v>
      </c>
      <c r="AK5224">
        <v>7.4769844105917196</v>
      </c>
      <c r="AL5224">
        <v>69.112964996493304</v>
      </c>
      <c r="AM5224">
        <v>113.547283990398</v>
      </c>
      <c r="AN5224">
        <v>1.00000000940463</v>
      </c>
    </row>
    <row r="5225" spans="1:40" x14ac:dyDescent="0.25">
      <c r="A5225" t="str">
        <f>"20190304164231108"</f>
        <v>20190304164231108</v>
      </c>
      <c r="B5225" t="str">
        <f>"1551688951096382"</f>
        <v>1551688951096382</v>
      </c>
      <c r="C5225" t="s">
        <v>40</v>
      </c>
      <c r="D5225">
        <v>4.5394360000000002</v>
      </c>
      <c r="E5225">
        <v>0.49670809999999999</v>
      </c>
      <c r="F5225" t="s">
        <v>53</v>
      </c>
      <c r="G5225">
        <v>-405.721</v>
      </c>
      <c r="H5225" s="1">
        <v>-4.798419E-6</v>
      </c>
      <c r="I5225">
        <v>132.57679999999999</v>
      </c>
      <c r="J5225">
        <v>-399.56349999999998</v>
      </c>
      <c r="K5225">
        <v>1.1154919999999999</v>
      </c>
      <c r="L5225">
        <v>137.58709999999999</v>
      </c>
      <c r="M5225">
        <v>-0.94843690000000003</v>
      </c>
      <c r="N5225">
        <v>-1.4539689999999999E-2</v>
      </c>
      <c r="O5225">
        <v>-0.31663229999999998</v>
      </c>
      <c r="P5225">
        <v>-0.70082889999999998</v>
      </c>
      <c r="Q5225">
        <v>0.34750439999999999</v>
      </c>
      <c r="R5225">
        <v>-0.62296030000000002</v>
      </c>
      <c r="S5225">
        <v>-2.6437680000000001</v>
      </c>
      <c r="T5225">
        <v>-0.4580361</v>
      </c>
      <c r="U5225">
        <v>-2.0978699999999999</v>
      </c>
      <c r="V5225">
        <v>-0.37320769999999998</v>
      </c>
      <c r="W5225">
        <v>0.3556087</v>
      </c>
      <c r="X5225">
        <v>0.85688880000000001</v>
      </c>
      <c r="Y5225">
        <v>-0.34043040000000002</v>
      </c>
      <c r="Z5225">
        <v>1.327381E-2</v>
      </c>
      <c r="AA5225">
        <v>0.94017600000000001</v>
      </c>
      <c r="AB5225">
        <v>30</v>
      </c>
      <c r="AC5225">
        <v>-6.1575000000000202</v>
      </c>
      <c r="AD5225">
        <v>-1.1154967984189901</v>
      </c>
      <c r="AE5225">
        <v>-5.0103</v>
      </c>
      <c r="AF5225">
        <v>-2.7483188159323202</v>
      </c>
      <c r="AG5225">
        <v>-1.1154967984189901</v>
      </c>
      <c r="AH5225">
        <v>7.2833925253162803</v>
      </c>
      <c r="AI5225">
        <v>98.154634046520798</v>
      </c>
      <c r="AJ5225">
        <v>110.67352134807</v>
      </c>
      <c r="AK5225">
        <v>7.8641843886778098</v>
      </c>
      <c r="AL5225">
        <v>69.169244657215202</v>
      </c>
      <c r="AM5225">
        <v>113.534959173103</v>
      </c>
      <c r="AN5225">
        <v>0.999999975210209</v>
      </c>
    </row>
    <row r="5226" spans="1:40" x14ac:dyDescent="0.25">
      <c r="A5226" t="str">
        <f>"20190304164231131"</f>
        <v>20190304164231131</v>
      </c>
      <c r="B5226" t="str">
        <f>"1551688951126638"</f>
        <v>1551688951126638</v>
      </c>
      <c r="C5226" t="s">
        <v>40</v>
      </c>
      <c r="D5226">
        <v>4.4830740000000002</v>
      </c>
      <c r="E5226">
        <v>0.49307659999999998</v>
      </c>
      <c r="F5226" t="s">
        <v>53</v>
      </c>
      <c r="G5226">
        <v>-406.06259999999997</v>
      </c>
      <c r="H5226" s="1">
        <v>-4.8318650000000004E-6</v>
      </c>
      <c r="I5226">
        <v>132.14940000000001</v>
      </c>
      <c r="J5226">
        <v>-399.83600000000001</v>
      </c>
      <c r="K5226">
        <v>1.1155090000000001</v>
      </c>
      <c r="L5226">
        <v>137.48929999999999</v>
      </c>
      <c r="M5226">
        <v>-0.94650279999999998</v>
      </c>
      <c r="N5226">
        <v>-1.454039E-2</v>
      </c>
      <c r="O5226">
        <v>-0.32236809999999899</v>
      </c>
      <c r="P5226">
        <v>-0.69763310000000001</v>
      </c>
      <c r="Q5226">
        <v>0.34600550000000002</v>
      </c>
      <c r="R5226">
        <v>-0.62736639999999999</v>
      </c>
      <c r="S5226">
        <v>-2.5808719999999998</v>
      </c>
      <c r="T5226">
        <v>-0.44297789999999998</v>
      </c>
      <c r="U5226">
        <v>-2.159348</v>
      </c>
      <c r="V5226">
        <v>-0.37318659999999998</v>
      </c>
      <c r="W5226">
        <v>0.35409780000000002</v>
      </c>
      <c r="X5226">
        <v>0.85752340000000005</v>
      </c>
      <c r="Y5226">
        <v>-0.35895860000000002</v>
      </c>
      <c r="Z5226">
        <v>1.197984E-2</v>
      </c>
      <c r="AA5226">
        <v>0.93327660000000001</v>
      </c>
      <c r="AB5226">
        <v>30</v>
      </c>
      <c r="AC5226">
        <v>-6.2265999999999604</v>
      </c>
      <c r="AD5226">
        <v>-1.115513831865</v>
      </c>
      <c r="AE5226">
        <v>-5.3398999999999699</v>
      </c>
      <c r="AF5226">
        <v>-2.99196161374782</v>
      </c>
      <c r="AG5226">
        <v>-1.115513831865</v>
      </c>
      <c r="AH5226">
        <v>7.4774246474501096</v>
      </c>
      <c r="AI5226">
        <v>97.885736868980899</v>
      </c>
      <c r="AJ5226">
        <v>111.80796032693399</v>
      </c>
      <c r="AK5226">
        <v>8.1306878408605101</v>
      </c>
      <c r="AL5226">
        <v>69.261837848974196</v>
      </c>
      <c r="AM5226">
        <v>113.518249316953</v>
      </c>
      <c r="AN5226">
        <v>0.99999993596597803</v>
      </c>
    </row>
    <row r="5227" spans="1:40" x14ac:dyDescent="0.25">
      <c r="A5227" t="str">
        <f>"20190304164231152"</f>
        <v>20190304164231152</v>
      </c>
      <c r="B5227" t="str">
        <f>"1551688951146158"</f>
        <v>1551688951146158</v>
      </c>
      <c r="C5227" t="s">
        <v>40</v>
      </c>
      <c r="D5227">
        <v>4.4696210000000001</v>
      </c>
      <c r="E5227">
        <v>0.49243409999999899</v>
      </c>
      <c r="F5227" t="s">
        <v>53</v>
      </c>
      <c r="G5227">
        <v>-406.3723</v>
      </c>
      <c r="H5227" s="1">
        <v>-4.9046410000000001E-6</v>
      </c>
      <c r="I5227">
        <v>131.8528</v>
      </c>
      <c r="J5227">
        <v>-400.11270000000002</v>
      </c>
      <c r="K5227">
        <v>1.115534</v>
      </c>
      <c r="L5227">
        <v>137.38810000000001</v>
      </c>
      <c r="M5227">
        <v>-0.94448100000000001</v>
      </c>
      <c r="N5227">
        <v>-1.4541299999999899E-2</v>
      </c>
      <c r="O5227">
        <v>-0.32824399999999998</v>
      </c>
      <c r="P5227">
        <v>-0.69376510000000002</v>
      </c>
      <c r="Q5227">
        <v>0.34611120000000001</v>
      </c>
      <c r="R5227">
        <v>-0.63158329999999996</v>
      </c>
      <c r="S5227">
        <v>-2.5432739999999998</v>
      </c>
      <c r="T5227">
        <v>-0.4340483</v>
      </c>
      <c r="U5227">
        <v>-2.1931609999999999</v>
      </c>
      <c r="V5227">
        <v>-0.3730986</v>
      </c>
      <c r="W5227">
        <v>0.35417910000000002</v>
      </c>
      <c r="X5227">
        <v>0.85752819999999996</v>
      </c>
      <c r="Y5227">
        <v>-0.36704930000000002</v>
      </c>
      <c r="Z5227">
        <v>1.174921E-2</v>
      </c>
      <c r="AA5227">
        <v>0.93012729999999999</v>
      </c>
      <c r="AB5227">
        <v>30</v>
      </c>
      <c r="AC5227">
        <v>-6.2595999999999696</v>
      </c>
      <c r="AD5227">
        <v>-1.115538904641</v>
      </c>
      <c r="AE5227">
        <v>-5.5353000000000003</v>
      </c>
      <c r="AF5227">
        <v>-3.11807236802782</v>
      </c>
      <c r="AG5227">
        <v>-1.115538904641</v>
      </c>
      <c r="AH5227">
        <v>7.5944650731202099</v>
      </c>
      <c r="AI5227">
        <v>97.738044151441201</v>
      </c>
      <c r="AJ5227">
        <v>112.321665212097</v>
      </c>
      <c r="AK5227">
        <v>8.2850891417575596</v>
      </c>
      <c r="AL5227">
        <v>69.256858442868506</v>
      </c>
      <c r="AM5227">
        <v>113.51318830328</v>
      </c>
      <c r="AN5227">
        <v>1.0000000069970001</v>
      </c>
    </row>
    <row r="5228" spans="1:40" x14ac:dyDescent="0.25">
      <c r="A5228" t="str">
        <f>"20190304164231174"</f>
        <v>20190304164231174</v>
      </c>
      <c r="B5228" t="str">
        <f>"1551688951166655"</f>
        <v>1551688951166655</v>
      </c>
      <c r="C5228" t="s">
        <v>40</v>
      </c>
      <c r="D5228">
        <v>4.4197639999999998</v>
      </c>
      <c r="E5228">
        <v>0.49233690000000002</v>
      </c>
      <c r="F5228" t="s">
        <v>53</v>
      </c>
      <c r="G5228">
        <v>-406.68189999999998</v>
      </c>
      <c r="H5228" s="1">
        <v>-5.015328E-6</v>
      </c>
      <c r="I5228">
        <v>131.63759999999999</v>
      </c>
      <c r="J5228">
        <v>-400.38400000000001</v>
      </c>
      <c r="K5228">
        <v>1.115577</v>
      </c>
      <c r="L5228">
        <v>137.2869</v>
      </c>
      <c r="M5228">
        <v>-0.94243670000000002</v>
      </c>
      <c r="N5228">
        <v>-1.4542940000000001E-2</v>
      </c>
      <c r="O5228">
        <v>-0.33406789999999997</v>
      </c>
      <c r="P5228">
        <v>-0.68990669999999898</v>
      </c>
      <c r="Q5228">
        <v>0.34666330000000001</v>
      </c>
      <c r="R5228">
        <v>-0.63549449999999996</v>
      </c>
      <c r="S5228">
        <v>-2.5255429999999999</v>
      </c>
      <c r="T5228">
        <v>-0.42887540000000002</v>
      </c>
      <c r="U5228">
        <v>-2.2108150000000002</v>
      </c>
      <c r="V5228">
        <v>-0.37278080000000002</v>
      </c>
      <c r="W5228">
        <v>0.35470210000000002</v>
      </c>
      <c r="X5228">
        <v>0.85745020000000005</v>
      </c>
      <c r="Y5228">
        <v>-0.36826340000000002</v>
      </c>
      <c r="Z5228">
        <v>1.21534E-2</v>
      </c>
      <c r="AA5228">
        <v>0.92964210000000003</v>
      </c>
      <c r="AB5228">
        <v>30</v>
      </c>
      <c r="AC5228">
        <v>-6.2978999999999701</v>
      </c>
      <c r="AD5228">
        <v>-1.1155820153280001</v>
      </c>
      <c r="AE5228">
        <v>-5.64930000000001</v>
      </c>
      <c r="AF5228">
        <v>-3.1654843203344099</v>
      </c>
      <c r="AG5228">
        <v>-1.1155820153280001</v>
      </c>
      <c r="AH5228">
        <v>7.6897490116256604</v>
      </c>
      <c r="AI5228">
        <v>97.640730681671798</v>
      </c>
      <c r="AJ5228">
        <v>112.37450995005</v>
      </c>
      <c r="AK5228">
        <v>8.3902952318141999</v>
      </c>
      <c r="AL5228">
        <v>69.224811570250793</v>
      </c>
      <c r="AM5228">
        <v>113.497237441495</v>
      </c>
      <c r="AN5228">
        <v>0.99999997503654403</v>
      </c>
    </row>
    <row r="5229" spans="1:40" x14ac:dyDescent="0.25">
      <c r="A5229" t="str">
        <f>"20190304164231196"</f>
        <v>20190304164231196</v>
      </c>
      <c r="B5229" t="str">
        <f>"1551688951186174"</f>
        <v>1551688951186174</v>
      </c>
      <c r="C5229" t="s">
        <v>40</v>
      </c>
      <c r="D5229">
        <v>4.3836329999999997</v>
      </c>
      <c r="E5229">
        <v>0.49255539999999998</v>
      </c>
      <c r="F5229" t="s">
        <v>53</v>
      </c>
      <c r="G5229">
        <v>-406.98610000000002</v>
      </c>
      <c r="H5229" s="1">
        <v>-5.131734E-6</v>
      </c>
      <c r="I5229">
        <v>131.44239999999999</v>
      </c>
      <c r="J5229">
        <v>-400.6549</v>
      </c>
      <c r="K5229">
        <v>1.1156219999999999</v>
      </c>
      <c r="L5229">
        <v>137.18389999999999</v>
      </c>
      <c r="M5229">
        <v>-0.94032969999999905</v>
      </c>
      <c r="N5229">
        <v>-1.4545489999999999E-2</v>
      </c>
      <c r="O5229">
        <v>-0.33995379999999997</v>
      </c>
      <c r="P5229">
        <v>-0.68578709999999998</v>
      </c>
      <c r="Q5229">
        <v>0.34693930000000001</v>
      </c>
      <c r="R5229">
        <v>-0.63978849999999998</v>
      </c>
      <c r="S5229">
        <v>-2.5127869999999999</v>
      </c>
      <c r="T5229">
        <v>-0.42459730000000001</v>
      </c>
      <c r="U5229">
        <v>-2.2244419999999998</v>
      </c>
      <c r="V5229">
        <v>-0.37286219999999998</v>
      </c>
      <c r="W5229">
        <v>0.35493659999999999</v>
      </c>
      <c r="X5229">
        <v>0.85731780000000002</v>
      </c>
      <c r="Y5229">
        <v>-0.36767250000000001</v>
      </c>
      <c r="Z5229">
        <v>1.2717249999999999E-2</v>
      </c>
      <c r="AA5229">
        <v>0.92986829999999998</v>
      </c>
      <c r="AB5229">
        <v>30</v>
      </c>
      <c r="AC5229">
        <v>-6.3312000000000204</v>
      </c>
      <c r="AD5229">
        <v>-1.1156271317340001</v>
      </c>
      <c r="AE5229">
        <v>-5.7415000000000003</v>
      </c>
      <c r="AF5229">
        <v>-3.1925356625212098</v>
      </c>
      <c r="AG5229">
        <v>-1.1156271317340001</v>
      </c>
      <c r="AH5229">
        <v>7.77364698118964</v>
      </c>
      <c r="AI5229">
        <v>97.562059028886793</v>
      </c>
      <c r="AJ5229">
        <v>112.32731806048901</v>
      </c>
      <c r="AK5229">
        <v>8.4774108807872199</v>
      </c>
      <c r="AL5229">
        <v>69.210441429783799</v>
      </c>
      <c r="AM5229">
        <v>113.50504766634501</v>
      </c>
      <c r="AN5229">
        <v>1.0000000102026101</v>
      </c>
    </row>
    <row r="5230" spans="1:40" x14ac:dyDescent="0.25">
      <c r="A5230" t="str">
        <f>"20190304164231220"</f>
        <v>20190304164231220</v>
      </c>
      <c r="B5230" t="str">
        <f>"1551688951216431"</f>
        <v>1551688951216431</v>
      </c>
      <c r="C5230" t="s">
        <v>40</v>
      </c>
      <c r="D5230">
        <v>4.341475</v>
      </c>
      <c r="E5230">
        <v>0.4926875</v>
      </c>
      <c r="F5230" t="s">
        <v>53</v>
      </c>
      <c r="G5230">
        <v>-407.2654</v>
      </c>
      <c r="H5230" s="1">
        <v>-5.2406420000000002E-6</v>
      </c>
      <c r="I5230">
        <v>131.26759999999999</v>
      </c>
      <c r="J5230">
        <v>-400.92579999999998</v>
      </c>
      <c r="K5230">
        <v>1.1156759999999999</v>
      </c>
      <c r="L5230">
        <v>137.0789</v>
      </c>
      <c r="M5230">
        <v>-0.93815150000000003</v>
      </c>
      <c r="N5230">
        <v>-1.4548719999999999E-2</v>
      </c>
      <c r="O5230">
        <v>-0.34591919999999998</v>
      </c>
      <c r="P5230">
        <v>-0.68152559999999995</v>
      </c>
      <c r="Q5230">
        <v>0.34641270000000002</v>
      </c>
      <c r="R5230">
        <v>-0.64460899999999999</v>
      </c>
      <c r="S5230">
        <v>-2.5003359999999999</v>
      </c>
      <c r="T5230">
        <v>-0.42197010000000001</v>
      </c>
      <c r="U5230">
        <v>-2.237762</v>
      </c>
      <c r="V5230">
        <v>-0.37341279999999999</v>
      </c>
      <c r="W5230">
        <v>0.35435870000000003</v>
      </c>
      <c r="X5230">
        <v>0.857317199999999</v>
      </c>
      <c r="Y5230">
        <v>-0.366867</v>
      </c>
      <c r="Z5230">
        <v>1.3371040000000001E-2</v>
      </c>
      <c r="AA5230">
        <v>0.93017729999999998</v>
      </c>
      <c r="AB5230">
        <v>30</v>
      </c>
      <c r="AC5230">
        <v>-6.3396000000000097</v>
      </c>
      <c r="AD5230">
        <v>-1.115681240642</v>
      </c>
      <c r="AE5230">
        <v>-5.8113000000000099</v>
      </c>
      <c r="AF5230">
        <v>-3.20529171182686</v>
      </c>
      <c r="AG5230">
        <v>-1.115681240642</v>
      </c>
      <c r="AH5230">
        <v>7.8268650213610096</v>
      </c>
      <c r="AI5230">
        <v>97.514622248196702</v>
      </c>
      <c r="AJ5230">
        <v>112.270293821463</v>
      </c>
      <c r="AK5230">
        <v>8.5310289913486397</v>
      </c>
      <c r="AL5230">
        <v>69.2458541683595</v>
      </c>
      <c r="AM5230">
        <v>113.535999279492</v>
      </c>
      <c r="AN5230">
        <v>0.99999999444268495</v>
      </c>
    </row>
    <row r="5231" spans="1:40" x14ac:dyDescent="0.25">
      <c r="A5231" t="str">
        <f>"20190304164231242"</f>
        <v>20190304164231242</v>
      </c>
      <c r="B5231" t="str">
        <f>"1551688951235950"</f>
        <v>1551688951235950</v>
      </c>
      <c r="C5231" t="s">
        <v>40</v>
      </c>
      <c r="D5231">
        <v>4.3113929999999998</v>
      </c>
      <c r="E5231">
        <v>0.4927996</v>
      </c>
      <c r="F5231" t="s">
        <v>53</v>
      </c>
      <c r="G5231">
        <v>-407.49130000000002</v>
      </c>
      <c r="H5231" s="1">
        <v>-5.3300559999999996E-6</v>
      </c>
      <c r="I5231">
        <v>131.12909999999999</v>
      </c>
      <c r="J5231">
        <v>-401.2054</v>
      </c>
      <c r="K5231">
        <v>1.115734</v>
      </c>
      <c r="L5231">
        <v>136.9683</v>
      </c>
      <c r="M5231">
        <v>-0.93582310000000002</v>
      </c>
      <c r="N5231">
        <v>-1.4552809999999999E-2</v>
      </c>
      <c r="O5231">
        <v>-0.35216950000000002</v>
      </c>
      <c r="P5231">
        <v>-0.67694189999999999</v>
      </c>
      <c r="Q5231">
        <v>0.34575029999999901</v>
      </c>
      <c r="R5231">
        <v>-0.64977459999999998</v>
      </c>
      <c r="S5231">
        <v>-2.4859010000000001</v>
      </c>
      <c r="T5231">
        <v>-0.42243160000000002</v>
      </c>
      <c r="U5231">
        <v>-2.2527919999999999</v>
      </c>
      <c r="V5231">
        <v>-0.37414389999999997</v>
      </c>
      <c r="W5231">
        <v>0.35363670000000003</v>
      </c>
      <c r="X5231">
        <v>0.85729659999999996</v>
      </c>
      <c r="Y5231">
        <v>-0.3664733</v>
      </c>
      <c r="Z5231">
        <v>1.417935E-2</v>
      </c>
      <c r="AA5231">
        <v>0.93032049999999999</v>
      </c>
      <c r="AB5231">
        <v>29</v>
      </c>
      <c r="AC5231">
        <v>-6.2859000000000202</v>
      </c>
      <c r="AD5231">
        <v>-1.1157393300559999</v>
      </c>
      <c r="AE5231">
        <v>-5.8391999999999999</v>
      </c>
      <c r="AF5231">
        <v>-3.1970319402154699</v>
      </c>
      <c r="AG5231">
        <v>-1.1157393300559999</v>
      </c>
      <c r="AH5231">
        <v>7.8076756505378198</v>
      </c>
      <c r="AI5231">
        <v>97.533401443904907</v>
      </c>
      <c r="AJ5231">
        <v>112.26777210351</v>
      </c>
      <c r="AK5231">
        <v>8.5103282277120709</v>
      </c>
      <c r="AL5231">
        <v>69.290086378078101</v>
      </c>
      <c r="AM5231">
        <v>113.577560335904</v>
      </c>
      <c r="AN5231">
        <v>1.00000001693283</v>
      </c>
    </row>
    <row r="5232" spans="1:40" x14ac:dyDescent="0.25">
      <c r="A5232" t="str">
        <f>"20190304164231264"</f>
        <v>20190304164231264</v>
      </c>
      <c r="B5232" t="str">
        <f>"1551688951256446"</f>
        <v>1551688951256446</v>
      </c>
      <c r="C5232" t="s">
        <v>40</v>
      </c>
      <c r="D5232">
        <v>4.3032089999999998</v>
      </c>
      <c r="E5232">
        <v>0.49289500000000003</v>
      </c>
      <c r="F5232" t="s">
        <v>53</v>
      </c>
      <c r="G5232">
        <v>-407.7192</v>
      </c>
      <c r="H5232" s="1">
        <v>-5.4177839999999996E-6</v>
      </c>
      <c r="I5232">
        <v>130.98400000000001</v>
      </c>
      <c r="J5232">
        <v>-401.47550000000001</v>
      </c>
      <c r="K5232">
        <v>1.115791</v>
      </c>
      <c r="L5232">
        <v>136.85919999999999</v>
      </c>
      <c r="M5232">
        <v>-0.93348660000000006</v>
      </c>
      <c r="N5232">
        <v>-1.4557580000000001E-2</v>
      </c>
      <c r="O5232">
        <v>-0.35831649999999998</v>
      </c>
      <c r="P5232">
        <v>-0.67172569999999998</v>
      </c>
      <c r="Q5232">
        <v>0.34606039999999999</v>
      </c>
      <c r="R5232">
        <v>-0.65500119999999995</v>
      </c>
      <c r="S5232">
        <v>-2.4697879999999999</v>
      </c>
      <c r="T5232">
        <v>-0.42304849999999999</v>
      </c>
      <c r="U5232">
        <v>-2.2690429999999999</v>
      </c>
      <c r="V5232">
        <v>-0.37527129999999997</v>
      </c>
      <c r="W5232">
        <v>0.3538713</v>
      </c>
      <c r="X5232">
        <v>0.85670679999999999</v>
      </c>
      <c r="Y5232">
        <v>-0.36672670000000002</v>
      </c>
      <c r="Z5232">
        <v>1.494112E-2</v>
      </c>
      <c r="AA5232">
        <v>0.9302087</v>
      </c>
      <c r="AB5232">
        <v>29</v>
      </c>
      <c r="AC5232">
        <v>-6.2436999999999898</v>
      </c>
      <c r="AD5232">
        <v>-1.1157964177840001</v>
      </c>
      <c r="AE5232">
        <v>-5.8751999999999702</v>
      </c>
      <c r="AF5232">
        <v>-3.19345214424321</v>
      </c>
      <c r="AG5232">
        <v>-1.1157964177840001</v>
      </c>
      <c r="AH5232">
        <v>7.8022747103236298</v>
      </c>
      <c r="AI5232">
        <v>97.539395818907494</v>
      </c>
      <c r="AJ5232">
        <v>112.25916659792099</v>
      </c>
      <c r="AK5232">
        <v>8.5040360358400893</v>
      </c>
      <c r="AL5232">
        <v>69.2757150381711</v>
      </c>
      <c r="AM5232">
        <v>113.65531098256299</v>
      </c>
      <c r="AN5232">
        <v>0.99999999336681</v>
      </c>
    </row>
    <row r="5233" spans="1:40" x14ac:dyDescent="0.25">
      <c r="A5233" t="str">
        <f>"20190304164231286"</f>
        <v>20190304164231286</v>
      </c>
      <c r="B5233" t="str">
        <f>"1551688951275967"</f>
        <v>1551688951275967</v>
      </c>
      <c r="C5233" t="s">
        <v>40</v>
      </c>
      <c r="D5233">
        <v>4.255782</v>
      </c>
      <c r="E5233">
        <v>0.49296000000000001</v>
      </c>
      <c r="F5233" t="s">
        <v>53</v>
      </c>
      <c r="G5233">
        <v>-407.98770000000002</v>
      </c>
      <c r="H5233" s="1">
        <v>-5.5067960000000003E-6</v>
      </c>
      <c r="I5233">
        <v>130.78229999999999</v>
      </c>
      <c r="J5233">
        <v>-401.73739999999998</v>
      </c>
      <c r="K5233">
        <v>1.11585</v>
      </c>
      <c r="L5233">
        <v>136.75129999999999</v>
      </c>
      <c r="M5233">
        <v>-0.93114479999999999</v>
      </c>
      <c r="N5233">
        <v>-1.456258E-2</v>
      </c>
      <c r="O5233">
        <v>-0.36435879999999998</v>
      </c>
      <c r="P5233">
        <v>-0.66653030000000002</v>
      </c>
      <c r="Q5233">
        <v>0.34540949999999998</v>
      </c>
      <c r="R5233">
        <v>-0.6606284</v>
      </c>
      <c r="S5233">
        <v>-2.451721</v>
      </c>
      <c r="T5233">
        <v>-0.42007539999999999</v>
      </c>
      <c r="U5233">
        <v>-2.287811</v>
      </c>
      <c r="V5233">
        <v>-0.37685269999999998</v>
      </c>
      <c r="W5233">
        <v>0.35314610000000002</v>
      </c>
      <c r="X5233">
        <v>0.85631179999999996</v>
      </c>
      <c r="Y5233">
        <v>-0.36795319999999998</v>
      </c>
      <c r="Z5233">
        <v>1.5422450000000001E-2</v>
      </c>
      <c r="AA5233">
        <v>0.9297164</v>
      </c>
      <c r="AB5233">
        <v>29</v>
      </c>
      <c r="AC5233">
        <v>-6.2503000000000304</v>
      </c>
      <c r="AD5233">
        <v>-1.1158555067960001</v>
      </c>
      <c r="AE5233">
        <v>-5.9689999999999896</v>
      </c>
      <c r="AF5233">
        <v>-3.2272034107622898</v>
      </c>
      <c r="AG5233">
        <v>-1.1158555067960001</v>
      </c>
      <c r="AH5233">
        <v>7.86454155503779</v>
      </c>
      <c r="AI5233">
        <v>97.478046541184298</v>
      </c>
      <c r="AJ5233">
        <v>112.310724754441</v>
      </c>
      <c r="AK5233">
        <v>8.5738549811271501</v>
      </c>
      <c r="AL5233">
        <v>69.320134423665294</v>
      </c>
      <c r="AM5233">
        <v>113.75372712713001</v>
      </c>
      <c r="AN5233">
        <v>1.0000000121308701</v>
      </c>
    </row>
    <row r="5234" spans="1:40" x14ac:dyDescent="0.25">
      <c r="A5234" t="str">
        <f>"20190304164231308"</f>
        <v>20190304164231308</v>
      </c>
      <c r="B5234" t="str">
        <f>"1551688951296463"</f>
        <v>1551688951296463</v>
      </c>
      <c r="C5234" t="s">
        <v>40</v>
      </c>
      <c r="D5234">
        <v>4.247547</v>
      </c>
      <c r="E5234">
        <v>0.49309449999999999</v>
      </c>
      <c r="F5234" t="s">
        <v>53</v>
      </c>
      <c r="G5234">
        <v>-408.19479999999999</v>
      </c>
      <c r="H5234" s="1">
        <v>-5.5794079999999997E-6</v>
      </c>
      <c r="I5234">
        <v>130.6353</v>
      </c>
      <c r="J5234">
        <v>-402.00319999999999</v>
      </c>
      <c r="K5234">
        <v>1.115907</v>
      </c>
      <c r="L5234">
        <v>136.6396</v>
      </c>
      <c r="M5234">
        <v>-0.92868470000000003</v>
      </c>
      <c r="N5234">
        <v>-1.456734E-2</v>
      </c>
      <c r="O5234">
        <v>-0.37058419999999997</v>
      </c>
      <c r="P5234">
        <v>-0.66084089999999995</v>
      </c>
      <c r="Q5234">
        <v>0.3454893</v>
      </c>
      <c r="R5234">
        <v>-0.66627829999999999</v>
      </c>
      <c r="S5234">
        <v>-2.4339900000000001</v>
      </c>
      <c r="T5234">
        <v>-0.42059760000000002</v>
      </c>
      <c r="U5234">
        <v>-2.3052830000000002</v>
      </c>
      <c r="V5234">
        <v>-0.37848349999999997</v>
      </c>
      <c r="W5234">
        <v>0.35314649999999997</v>
      </c>
      <c r="X5234">
        <v>0.85559200000000002</v>
      </c>
      <c r="Y5234">
        <v>-0.36865310000000001</v>
      </c>
      <c r="Z5234">
        <v>1.615722E-2</v>
      </c>
      <c r="AA5234">
        <v>0.92942659999999999</v>
      </c>
      <c r="AB5234">
        <v>29</v>
      </c>
      <c r="AC5234">
        <v>-6.1915999999999896</v>
      </c>
      <c r="AD5234">
        <v>-1.115912579408</v>
      </c>
      <c r="AE5234">
        <v>-6.0042999999999997</v>
      </c>
      <c r="AF5234">
        <v>-3.2279047273784198</v>
      </c>
      <c r="AG5234">
        <v>-1.115912579408</v>
      </c>
      <c r="AH5234">
        <v>7.8446675401141803</v>
      </c>
      <c r="AI5234">
        <v>97.494214374281199</v>
      </c>
      <c r="AJ5234">
        <v>112.36606690263601</v>
      </c>
      <c r="AK5234">
        <v>8.5559008075616507</v>
      </c>
      <c r="AL5234">
        <v>69.320108374544304</v>
      </c>
      <c r="AM5234">
        <v>113.862895873325</v>
      </c>
      <c r="AN5234">
        <v>0.999999940349248</v>
      </c>
    </row>
    <row r="5235" spans="1:40" x14ac:dyDescent="0.25">
      <c r="A5235" t="str">
        <f>"20190304164231330"</f>
        <v>20190304164231330</v>
      </c>
      <c r="B5235" t="str">
        <f>"1551688951326719"</f>
        <v>1551688951326719</v>
      </c>
      <c r="C5235" t="s">
        <v>40</v>
      </c>
      <c r="D5235">
        <v>4.2610700000000001</v>
      </c>
      <c r="E5235">
        <v>0.4934289</v>
      </c>
      <c r="F5235" t="s">
        <v>53</v>
      </c>
      <c r="G5235">
        <v>-408.41840000000002</v>
      </c>
      <c r="H5235" s="1">
        <v>-5.6505000000000004E-6</v>
      </c>
      <c r="I5235">
        <v>130.46100000000001</v>
      </c>
      <c r="J5235">
        <v>-402.2688</v>
      </c>
      <c r="K5235">
        <v>1.1159730000000001</v>
      </c>
      <c r="L5235">
        <v>136.5258</v>
      </c>
      <c r="M5235">
        <v>-0.92613670000000003</v>
      </c>
      <c r="N5235">
        <v>-1.4572460000000001E-2</v>
      </c>
      <c r="O5235">
        <v>-0.37690659999999998</v>
      </c>
      <c r="P5235">
        <v>-0.65575360000000005</v>
      </c>
      <c r="Q5235">
        <v>0.34554610000000002</v>
      </c>
      <c r="R5235">
        <v>-0.67125669999999904</v>
      </c>
      <c r="S5235">
        <v>-2.414612</v>
      </c>
      <c r="T5235">
        <v>-0.42002030000000001</v>
      </c>
      <c r="U5235">
        <v>-2.3255919999999999</v>
      </c>
      <c r="V5235">
        <v>-0.37919009999999997</v>
      </c>
      <c r="W5235">
        <v>0.3531376</v>
      </c>
      <c r="X5235">
        <v>0.85528280000000001</v>
      </c>
      <c r="Y5235">
        <v>-0.37012270000000003</v>
      </c>
      <c r="Z5235">
        <v>1.6780199999999999E-2</v>
      </c>
      <c r="AA5235">
        <v>0.92883130000000003</v>
      </c>
      <c r="AB5235">
        <v>29</v>
      </c>
      <c r="AC5235">
        <v>-6.1496000000000199</v>
      </c>
      <c r="AD5235">
        <v>-1.11597865049999</v>
      </c>
      <c r="AE5235">
        <v>-6.0647999999999902</v>
      </c>
      <c r="AF5235">
        <v>-3.24518207306035</v>
      </c>
      <c r="AG5235">
        <v>-1.11597865049999</v>
      </c>
      <c r="AH5235">
        <v>7.8510108042412696</v>
      </c>
      <c r="AI5235">
        <v>97.483792908370205</v>
      </c>
      <c r="AJ5235">
        <v>112.457547384642</v>
      </c>
      <c r="AK5235">
        <v>8.5682545295992103</v>
      </c>
      <c r="AL5235">
        <v>69.320654330364306</v>
      </c>
      <c r="AM5235">
        <v>113.910130442217</v>
      </c>
      <c r="AN5235">
        <v>0.99999998222380504</v>
      </c>
    </row>
    <row r="5236" spans="1:40" x14ac:dyDescent="0.25">
      <c r="A5236" t="str">
        <f>"20190304164231353"</f>
        <v>20190304164231353</v>
      </c>
      <c r="B5236" t="str">
        <f>"1551688951346238"</f>
        <v>1551688951346238</v>
      </c>
      <c r="C5236" t="s">
        <v>40</v>
      </c>
      <c r="D5236">
        <v>4.2417410000000002</v>
      </c>
      <c r="E5236">
        <v>0.4936046</v>
      </c>
      <c r="F5236" t="s">
        <v>53</v>
      </c>
      <c r="G5236">
        <v>-408.6508</v>
      </c>
      <c r="H5236" s="1">
        <v>-5.728198E-6</v>
      </c>
      <c r="I5236">
        <v>130.2877</v>
      </c>
      <c r="J5236">
        <v>-402.53539999999998</v>
      </c>
      <c r="K5236">
        <v>1.116047</v>
      </c>
      <c r="L5236">
        <v>136.40940000000001</v>
      </c>
      <c r="M5236">
        <v>-0.92347939999999995</v>
      </c>
      <c r="N5236">
        <v>-1.457892E-2</v>
      </c>
      <c r="O5236">
        <v>-0.38337100000000002</v>
      </c>
      <c r="P5236">
        <v>-0.65017159999999996</v>
      </c>
      <c r="Q5236">
        <v>0.34576829999999997</v>
      </c>
      <c r="R5236">
        <v>-0.67655089999999996</v>
      </c>
      <c r="S5236">
        <v>-2.3972169999999999</v>
      </c>
      <c r="T5236">
        <v>-0.41918339999999998</v>
      </c>
      <c r="U5236">
        <v>-2.3431549999999999</v>
      </c>
      <c r="V5236">
        <v>-0.38026270000000001</v>
      </c>
      <c r="W5236">
        <v>0.3532768</v>
      </c>
      <c r="X5236">
        <v>0.85474899999999998</v>
      </c>
      <c r="Y5236">
        <v>-0.37051200000000001</v>
      </c>
      <c r="Z5236">
        <v>1.748307E-2</v>
      </c>
      <c r="AA5236">
        <v>0.92866309999999996</v>
      </c>
      <c r="AB5236">
        <v>29</v>
      </c>
      <c r="AC5236">
        <v>-6.1154000000000197</v>
      </c>
      <c r="AD5236">
        <v>-1.1160527281979999</v>
      </c>
      <c r="AE5236">
        <v>-6.1216999999999997</v>
      </c>
      <c r="AF5236">
        <v>-3.25499906375746</v>
      </c>
      <c r="AG5236">
        <v>-1.1160527281979999</v>
      </c>
      <c r="AH5236">
        <v>7.8643482994648899</v>
      </c>
      <c r="AI5236">
        <v>97.470306845871804</v>
      </c>
      <c r="AJ5236">
        <v>112.484323314297</v>
      </c>
      <c r="AK5236">
        <v>8.5842044926991701</v>
      </c>
      <c r="AL5236">
        <v>69.312130433724505</v>
      </c>
      <c r="AM5236">
        <v>113.983434679639</v>
      </c>
      <c r="AN5236">
        <v>1.0000000357152601</v>
      </c>
    </row>
    <row r="5237" spans="1:40" x14ac:dyDescent="0.25">
      <c r="A5237" t="str">
        <f>"20190304164231375"</f>
        <v>20190304164231375</v>
      </c>
      <c r="B5237" t="str">
        <f>"1551688951366736"</f>
        <v>1551688951366736</v>
      </c>
      <c r="C5237" t="s">
        <v>40</v>
      </c>
      <c r="D5237">
        <v>4.2570709999999998</v>
      </c>
      <c r="E5237">
        <v>0.4937782</v>
      </c>
      <c r="F5237" t="s">
        <v>53</v>
      </c>
      <c r="G5237">
        <v>-408.88589999999999</v>
      </c>
      <c r="H5237" s="1">
        <v>-5.801E-6</v>
      </c>
      <c r="I5237">
        <v>130.1002</v>
      </c>
      <c r="J5237">
        <v>-402.79750000000001</v>
      </c>
      <c r="K5237">
        <v>1.1161319999999999</v>
      </c>
      <c r="L5237">
        <v>136.29259999999999</v>
      </c>
      <c r="M5237">
        <v>-0.92075969999999996</v>
      </c>
      <c r="N5237">
        <v>-1.4587030000000001E-2</v>
      </c>
      <c r="O5237">
        <v>-0.38985769999999997</v>
      </c>
      <c r="P5237">
        <v>-0.64437869999999997</v>
      </c>
      <c r="Q5237">
        <v>0.34590569999999998</v>
      </c>
      <c r="R5237">
        <v>-0.68200119999999997</v>
      </c>
      <c r="S5237">
        <v>-2.3780209999999999</v>
      </c>
      <c r="T5237">
        <v>-0.4179195</v>
      </c>
      <c r="U5237">
        <v>-2.3625340000000001</v>
      </c>
      <c r="V5237">
        <v>-0.38155939999999999</v>
      </c>
      <c r="W5237">
        <v>0.35331469999999998</v>
      </c>
      <c r="X5237">
        <v>0.8541552</v>
      </c>
      <c r="Y5237">
        <v>-0.37156400000000001</v>
      </c>
      <c r="Z5237">
        <v>1.8110439999999998E-2</v>
      </c>
      <c r="AA5237">
        <v>0.92823069999999996</v>
      </c>
      <c r="AB5237">
        <v>29</v>
      </c>
      <c r="AC5237">
        <v>-6.0883999999999698</v>
      </c>
      <c r="AD5237">
        <v>-1.11613780099999</v>
      </c>
      <c r="AE5237">
        <v>-6.1923999999999904</v>
      </c>
      <c r="AF5237">
        <v>-3.2743675384450102</v>
      </c>
      <c r="AG5237">
        <v>-1.11613780099999</v>
      </c>
      <c r="AH5237">
        <v>7.8906163310981299</v>
      </c>
      <c r="AI5237">
        <v>97.443475262068802</v>
      </c>
      <c r="AJ5237">
        <v>112.536974272607</v>
      </c>
      <c r="AK5237">
        <v>8.6156295447422799</v>
      </c>
      <c r="AL5237">
        <v>69.309808013260593</v>
      </c>
      <c r="AM5237">
        <v>114.070778061594</v>
      </c>
      <c r="AN5237">
        <v>0.99999997932574403</v>
      </c>
    </row>
    <row r="5238" spans="1:40" x14ac:dyDescent="0.25">
      <c r="A5238" t="str">
        <f>"20190304164231397"</f>
        <v>20190304164231397</v>
      </c>
      <c r="B5238" t="str">
        <f>"1551688951386255"</f>
        <v>1551688951386255</v>
      </c>
      <c r="C5238" t="s">
        <v>40</v>
      </c>
      <c r="D5238">
        <v>4.2731329999999996</v>
      </c>
      <c r="E5238">
        <v>0.50585369999999996</v>
      </c>
      <c r="F5238" t="s">
        <v>53</v>
      </c>
      <c r="G5238">
        <v>-409.10480000000001</v>
      </c>
      <c r="H5238" s="1">
        <v>-5.8648439999999997E-6</v>
      </c>
      <c r="I5238">
        <v>129.91720000000001</v>
      </c>
      <c r="J5238">
        <v>-403.06330000000003</v>
      </c>
      <c r="K5238">
        <v>1.116247</v>
      </c>
      <c r="L5238">
        <v>136.17169999999999</v>
      </c>
      <c r="M5238">
        <v>-0.91788159999999996</v>
      </c>
      <c r="N5238">
        <v>-1.4597209999999999E-2</v>
      </c>
      <c r="O5238">
        <v>-0.39658589999999999</v>
      </c>
      <c r="P5238">
        <v>-0.63875459999999995</v>
      </c>
      <c r="Q5238">
        <v>0.34597090000000003</v>
      </c>
      <c r="R5238">
        <v>-0.68723849999999997</v>
      </c>
      <c r="S5238">
        <v>-2.3574830000000002</v>
      </c>
      <c r="T5238">
        <v>-0.41718240000000001</v>
      </c>
      <c r="U5238">
        <v>-2.3829349999999998</v>
      </c>
      <c r="V5238">
        <v>-0.38239200000000001</v>
      </c>
      <c r="W5238">
        <v>0.35327320000000001</v>
      </c>
      <c r="X5238">
        <v>0.85379989999999994</v>
      </c>
      <c r="Y5238">
        <v>-0.3728128</v>
      </c>
      <c r="Z5238">
        <v>1.8782739999999999E-2</v>
      </c>
      <c r="AA5238">
        <v>0.92771650000000005</v>
      </c>
      <c r="AB5238">
        <v>29</v>
      </c>
      <c r="AC5238">
        <v>-6.0414999999999797</v>
      </c>
      <c r="AD5238">
        <v>-1.116252864844</v>
      </c>
      <c r="AE5238">
        <v>-6.25449999999997</v>
      </c>
      <c r="AF5238">
        <v>-3.2910441216054598</v>
      </c>
      <c r="AG5238">
        <v>-1.116252864844</v>
      </c>
      <c r="AH5238">
        <v>7.8965656449661497</v>
      </c>
      <c r="AI5238">
        <v>97.433997618434404</v>
      </c>
      <c r="AJ5238">
        <v>112.624862877672</v>
      </c>
      <c r="AK5238">
        <v>8.6274411533134199</v>
      </c>
      <c r="AL5238">
        <v>69.312348679308201</v>
      </c>
      <c r="AM5238">
        <v>114.126211595212</v>
      </c>
      <c r="AN5238">
        <v>0.99999993237112195</v>
      </c>
    </row>
    <row r="5239" spans="1:40" x14ac:dyDescent="0.25">
      <c r="A5239" t="str">
        <f>"20190304164231421"</f>
        <v>20190304164231421</v>
      </c>
      <c r="B5239" t="str">
        <f>"1551688951416511"</f>
        <v>1551688951416511</v>
      </c>
      <c r="C5239" t="s">
        <v>40</v>
      </c>
      <c r="D5239">
        <v>4.2565480000000004</v>
      </c>
      <c r="E5239">
        <v>0.50907729999999995</v>
      </c>
      <c r="F5239" t="s">
        <v>53</v>
      </c>
      <c r="G5239">
        <v>-409.94709999999998</v>
      </c>
      <c r="H5239" s="1">
        <v>-6.2513270000000003E-6</v>
      </c>
      <c r="I5239">
        <v>129.47819999999999</v>
      </c>
      <c r="J5239">
        <v>-403.3272</v>
      </c>
      <c r="K5239">
        <v>1.1163890000000001</v>
      </c>
      <c r="L5239">
        <v>136.04910000000001</v>
      </c>
      <c r="M5239">
        <v>-0.91488860000000005</v>
      </c>
      <c r="N5239">
        <v>-1.460944E-2</v>
      </c>
      <c r="O5239">
        <v>-0.40344180000000002</v>
      </c>
      <c r="P5239">
        <v>-0.63201549999999995</v>
      </c>
      <c r="Q5239">
        <v>0.34801890000000002</v>
      </c>
      <c r="R5239">
        <v>-0.69241540000000001</v>
      </c>
      <c r="S5239">
        <v>-2.398285</v>
      </c>
      <c r="T5239">
        <v>-0.3888952</v>
      </c>
      <c r="U5239">
        <v>-2.331985</v>
      </c>
      <c r="V5239">
        <v>-0.383546</v>
      </c>
      <c r="W5239">
        <v>0.35518349999999999</v>
      </c>
      <c r="X5239">
        <v>0.85248880000000005</v>
      </c>
      <c r="Y5239">
        <v>-0.34801330000000003</v>
      </c>
      <c r="Z5239">
        <v>1.9409650000000001E-2</v>
      </c>
      <c r="AA5239">
        <v>0.93728860000000003</v>
      </c>
      <c r="AB5239">
        <v>29</v>
      </c>
      <c r="AC5239">
        <v>-6.6198999999999701</v>
      </c>
      <c r="AD5239">
        <v>-1.1163952513269999</v>
      </c>
      <c r="AE5239">
        <v>-6.5709000000000204</v>
      </c>
      <c r="AF5239">
        <v>-3.2940639619957701</v>
      </c>
      <c r="AG5239">
        <v>-1.1163952513269999</v>
      </c>
      <c r="AH5239">
        <v>8.5853845479125095</v>
      </c>
      <c r="AI5239">
        <v>96.922113705220397</v>
      </c>
      <c r="AJ5239">
        <v>110.99094659532599</v>
      </c>
      <c r="AK5239">
        <v>9.2631540837038706</v>
      </c>
      <c r="AL5239">
        <v>69.1953089876028</v>
      </c>
      <c r="AM5239">
        <v>114.223611418899</v>
      </c>
      <c r="AN5239">
        <v>1.0000000034568399</v>
      </c>
    </row>
    <row r="5240" spans="1:40" x14ac:dyDescent="0.25">
      <c r="A5240" t="str">
        <f>"20190304164231442"</f>
        <v>20190304164231442</v>
      </c>
      <c r="B5240" t="str">
        <f>"1551688951436031"</f>
        <v>1551688951436031</v>
      </c>
      <c r="C5240" t="s">
        <v>40</v>
      </c>
      <c r="D5240">
        <v>4.2298359999999997</v>
      </c>
      <c r="E5240">
        <v>0.51014769999999998</v>
      </c>
      <c r="F5240" t="s">
        <v>53</v>
      </c>
      <c r="G5240">
        <v>-410.41849999999999</v>
      </c>
      <c r="H5240" s="1">
        <v>-6.074981E-6</v>
      </c>
      <c r="I5240">
        <v>129.13499999999999</v>
      </c>
      <c r="J5240">
        <v>-403.58190000000002</v>
      </c>
      <c r="K5240">
        <v>1.116528</v>
      </c>
      <c r="L5240">
        <v>135.92830000000001</v>
      </c>
      <c r="M5240">
        <v>-0.91185729999999998</v>
      </c>
      <c r="N5240">
        <v>-1.462373E-2</v>
      </c>
      <c r="O5240">
        <v>-0.41024690000000003</v>
      </c>
      <c r="P5240">
        <v>-0.62552419999999997</v>
      </c>
      <c r="Q5240">
        <v>0.35024670000000002</v>
      </c>
      <c r="R5240">
        <v>-0.69717090000000004</v>
      </c>
      <c r="S5240">
        <v>-2.3954770000000001</v>
      </c>
      <c r="T5240">
        <v>-0.37712600000000002</v>
      </c>
      <c r="U5240">
        <v>-2.3356479999999999</v>
      </c>
      <c r="V5240">
        <v>-0.3842933</v>
      </c>
      <c r="W5240">
        <v>0.35727179999999997</v>
      </c>
      <c r="X5240">
        <v>0.85127870000000005</v>
      </c>
      <c r="Y5240">
        <v>-0.34238239999999998</v>
      </c>
      <c r="Z5240">
        <v>1.96565E-2</v>
      </c>
      <c r="AA5240">
        <v>0.9393551</v>
      </c>
      <c r="AB5240">
        <v>29</v>
      </c>
      <c r="AC5240">
        <v>-6.8365999999999696</v>
      </c>
      <c r="AD5240">
        <v>-1.116534074981</v>
      </c>
      <c r="AE5240">
        <v>-6.7933000000000101</v>
      </c>
      <c r="AF5240">
        <v>-3.3452914867133301</v>
      </c>
      <c r="AG5240">
        <v>-1.116534074981</v>
      </c>
      <c r="AH5240">
        <v>8.9024189407544103</v>
      </c>
      <c r="AI5240">
        <v>96.696086784487406</v>
      </c>
      <c r="AJ5240">
        <v>110.594880489912</v>
      </c>
      <c r="AK5240">
        <v>9.57552538863394</v>
      </c>
      <c r="AL5240">
        <v>69.0672568019924</v>
      </c>
      <c r="AM5240">
        <v>114.29587547766199</v>
      </c>
      <c r="AN5240">
        <v>0.99999995228690797</v>
      </c>
    </row>
    <row r="5241" spans="1:40" x14ac:dyDescent="0.25">
      <c r="A5241" t="str">
        <f>"20190304164231464"</f>
        <v>20190304164231464</v>
      </c>
      <c r="B5241" t="str">
        <f>"1551688951456527"</f>
        <v>1551688951456527</v>
      </c>
      <c r="C5241" t="s">
        <v>40</v>
      </c>
      <c r="D5241">
        <v>4.24498</v>
      </c>
      <c r="E5241">
        <v>0.5108203</v>
      </c>
      <c r="F5241" t="s">
        <v>53</v>
      </c>
      <c r="G5241">
        <v>-410.77710000000002</v>
      </c>
      <c r="H5241" s="1">
        <v>-5.9150479999999997E-6</v>
      </c>
      <c r="I5241">
        <v>128.81809999999999</v>
      </c>
      <c r="J5241">
        <v>-403.83409999999998</v>
      </c>
      <c r="K5241">
        <v>1.116665</v>
      </c>
      <c r="L5241">
        <v>135.80600000000001</v>
      </c>
      <c r="M5241">
        <v>-0.90870019999999996</v>
      </c>
      <c r="N5241">
        <v>-1.4640129999999999E-2</v>
      </c>
      <c r="O5241">
        <v>-0.41719270000000003</v>
      </c>
      <c r="P5241">
        <v>-0.6201371</v>
      </c>
      <c r="Q5241">
        <v>0.35086420000000001</v>
      </c>
      <c r="R5241">
        <v>-0.70165840000000002</v>
      </c>
      <c r="S5241">
        <v>-2.3807369999999999</v>
      </c>
      <c r="T5241">
        <v>-0.3694384</v>
      </c>
      <c r="U5241">
        <v>-2.3526310000000001</v>
      </c>
      <c r="V5241">
        <v>-0.3842062</v>
      </c>
      <c r="W5241">
        <v>0.35777059999999999</v>
      </c>
      <c r="X5241">
        <v>0.85110859999999899</v>
      </c>
      <c r="Y5241">
        <v>-0.3415514</v>
      </c>
      <c r="Z5241">
        <v>1.9851980000000002E-2</v>
      </c>
      <c r="AA5241">
        <v>0.93965339999999997</v>
      </c>
      <c r="AB5241">
        <v>29</v>
      </c>
      <c r="AC5241">
        <v>-6.9430000000000396</v>
      </c>
      <c r="AD5241">
        <v>-1.1166709150480001</v>
      </c>
      <c r="AE5241">
        <v>-6.9879000000000202</v>
      </c>
      <c r="AF5241">
        <v>-3.4098885961777001</v>
      </c>
      <c r="AG5241">
        <v>-1.1166709150480001</v>
      </c>
      <c r="AH5241">
        <v>9.10834827784584</v>
      </c>
      <c r="AI5241">
        <v>96.549816399685994</v>
      </c>
      <c r="AJ5241">
        <v>110.52437187770801</v>
      </c>
      <c r="AK5241">
        <v>9.7896017549946492</v>
      </c>
      <c r="AL5241">
        <v>69.036656697278005</v>
      </c>
      <c r="AM5241">
        <v>114.29529882139801</v>
      </c>
      <c r="AN5241">
        <v>1.00000002766837</v>
      </c>
    </row>
    <row r="5242" spans="1:40" x14ac:dyDescent="0.25">
      <c r="A5242" t="str">
        <f>"20190304164231487"</f>
        <v>20190304164231487</v>
      </c>
      <c r="B5242" t="str">
        <f>"1551688951476047"</f>
        <v>1551688951476047</v>
      </c>
      <c r="C5242" t="s">
        <v>40</v>
      </c>
      <c r="D5242">
        <v>4.2603720000000003</v>
      </c>
      <c r="E5242">
        <v>0.51134780000000002</v>
      </c>
      <c r="F5242" t="s">
        <v>53</v>
      </c>
      <c r="G5242">
        <v>-411.00760000000002</v>
      </c>
      <c r="H5242" s="1">
        <v>-5.8115589999999999E-6</v>
      </c>
      <c r="I5242">
        <v>128.61240000000001</v>
      </c>
      <c r="J5242">
        <v>-404.09769999999997</v>
      </c>
      <c r="K5242">
        <v>1.1167899999999999</v>
      </c>
      <c r="L5242">
        <v>135.6754</v>
      </c>
      <c r="M5242">
        <v>-0.90524579999999999</v>
      </c>
      <c r="N5242">
        <v>-1.4658320000000001E-2</v>
      </c>
      <c r="O5242">
        <v>-0.4246354</v>
      </c>
      <c r="P5242">
        <v>-0.61454109999999995</v>
      </c>
      <c r="Q5242">
        <v>0.34943659999999999</v>
      </c>
      <c r="R5242">
        <v>-0.70727189999999995</v>
      </c>
      <c r="S5242">
        <v>-2.3637999999999999</v>
      </c>
      <c r="T5242">
        <v>-0.36796509999999999</v>
      </c>
      <c r="U5242">
        <v>-2.370422</v>
      </c>
      <c r="V5242">
        <v>-0.3847254</v>
      </c>
      <c r="W5242">
        <v>0.35622769999999998</v>
      </c>
      <c r="X5242">
        <v>0.85152109999999903</v>
      </c>
      <c r="Y5242">
        <v>-0.34076709999999999</v>
      </c>
      <c r="Z5242">
        <v>2.0554780000000002E-2</v>
      </c>
      <c r="AA5242">
        <v>0.93992299999999995</v>
      </c>
      <c r="AB5242">
        <v>29</v>
      </c>
      <c r="AC5242">
        <v>-6.9099000000000501</v>
      </c>
      <c r="AD5242">
        <v>-1.116795811559</v>
      </c>
      <c r="AE5242">
        <v>-7.0629999999999802</v>
      </c>
      <c r="AF5242">
        <v>-3.4162923138269199</v>
      </c>
      <c r="AG5242">
        <v>-1.116795811559</v>
      </c>
      <c r="AH5242">
        <v>9.1386085352813904</v>
      </c>
      <c r="AI5242">
        <v>96.530184494576005</v>
      </c>
      <c r="AJ5242">
        <v>110.497285856201</v>
      </c>
      <c r="AK5242">
        <v>9.8200026486425394</v>
      </c>
      <c r="AL5242">
        <v>69.131293858111206</v>
      </c>
      <c r="AM5242">
        <v>114.313908885416</v>
      </c>
      <c r="AN5242">
        <v>0.99999999569882903</v>
      </c>
    </row>
    <row r="5243" spans="1:40" x14ac:dyDescent="0.25">
      <c r="A5243" t="str">
        <f>"20190304164231510"</f>
        <v>20190304164231510</v>
      </c>
      <c r="B5243" t="str">
        <f>"1551688951496544"</f>
        <v>1551688951496544</v>
      </c>
      <c r="C5243" t="s">
        <v>40</v>
      </c>
      <c r="D5243">
        <v>4.2548339999999998</v>
      </c>
      <c r="E5243">
        <v>0.51152470000000005</v>
      </c>
      <c r="F5243" t="s">
        <v>53</v>
      </c>
      <c r="G5243">
        <v>-411.07459999999998</v>
      </c>
      <c r="H5243" s="1">
        <v>-5.7870940000000003E-6</v>
      </c>
      <c r="I5243">
        <v>128.56890000000001</v>
      </c>
      <c r="J5243">
        <v>-404.34969999999998</v>
      </c>
      <c r="K5243">
        <v>1.1169100000000001</v>
      </c>
      <c r="L5243">
        <v>135.54769999999999</v>
      </c>
      <c r="M5243">
        <v>-0.90178670000000005</v>
      </c>
      <c r="N5243">
        <v>-1.467516E-2</v>
      </c>
      <c r="O5243">
        <v>-0.43193219999999999</v>
      </c>
      <c r="P5243">
        <v>-0.60853639999999998</v>
      </c>
      <c r="Q5243">
        <v>0.34794449999999999</v>
      </c>
      <c r="R5243">
        <v>-0.71317459999999999</v>
      </c>
      <c r="S5243">
        <v>-2.3455810000000001</v>
      </c>
      <c r="T5243">
        <v>-0.37545800000000001</v>
      </c>
      <c r="U5243">
        <v>-2.3891450000000001</v>
      </c>
      <c r="V5243">
        <v>-0.38579970000000002</v>
      </c>
      <c r="W5243">
        <v>0.35461779999999998</v>
      </c>
      <c r="X5243">
        <v>0.85170699999999999</v>
      </c>
      <c r="Y5243">
        <v>-0.34053610000000001</v>
      </c>
      <c r="Z5243">
        <v>2.1928900000000001E-2</v>
      </c>
      <c r="AA5243">
        <v>0.93997569999999997</v>
      </c>
      <c r="AB5243">
        <v>29</v>
      </c>
      <c r="AC5243">
        <v>-6.7248999999999901</v>
      </c>
      <c r="AD5243">
        <v>-1.1169157870940001</v>
      </c>
      <c r="AE5243">
        <v>-6.9787999999999704</v>
      </c>
      <c r="AF5243">
        <v>-3.3446314406644801</v>
      </c>
      <c r="AG5243">
        <v>-1.1169157870940001</v>
      </c>
      <c r="AH5243">
        <v>8.9607593605541194</v>
      </c>
      <c r="AI5243">
        <v>96.660598505189199</v>
      </c>
      <c r="AJ5243">
        <v>110.46824602417</v>
      </c>
      <c r="AK5243">
        <v>9.6296037648025603</v>
      </c>
      <c r="AL5243">
        <v>69.229978020539207</v>
      </c>
      <c r="AM5243">
        <v>114.36921069400999</v>
      </c>
      <c r="AN5243">
        <v>1.0000000032229599</v>
      </c>
    </row>
    <row r="5244" spans="1:40" x14ac:dyDescent="0.25">
      <c r="A5244" t="str">
        <f>"20190304164231531"</f>
        <v>20190304164231531</v>
      </c>
      <c r="B5244" t="str">
        <f>"1551688951526799"</f>
        <v>1551688951526799</v>
      </c>
      <c r="C5244" t="s">
        <v>40</v>
      </c>
      <c r="D5244">
        <v>4.2750899999999996</v>
      </c>
      <c r="E5244">
        <v>0.51193169999999999</v>
      </c>
      <c r="F5244" t="s">
        <v>53</v>
      </c>
      <c r="G5244">
        <v>-411.11309999999997</v>
      </c>
      <c r="H5244" s="1">
        <v>-5.772138E-6</v>
      </c>
      <c r="I5244">
        <v>128.5412</v>
      </c>
      <c r="J5244">
        <v>-404.60430000000002</v>
      </c>
      <c r="K5244">
        <v>1.117049</v>
      </c>
      <c r="L5244">
        <v>135.416</v>
      </c>
      <c r="M5244">
        <v>-0.89812080000000005</v>
      </c>
      <c r="N5244">
        <v>-1.469297E-2</v>
      </c>
      <c r="O5244">
        <v>-0.43950329999999899</v>
      </c>
      <c r="P5244">
        <v>-0.60149719999999995</v>
      </c>
      <c r="Q5244">
        <v>0.34743950000000001</v>
      </c>
      <c r="R5244">
        <v>-0.71936560000000005</v>
      </c>
      <c r="S5244">
        <v>-2.325806</v>
      </c>
      <c r="T5244">
        <v>-0.38408510000000001</v>
      </c>
      <c r="U5244">
        <v>-2.4094090000000001</v>
      </c>
      <c r="V5244">
        <v>-0.3873394</v>
      </c>
      <c r="W5244">
        <v>0.35397440000000002</v>
      </c>
      <c r="X5244">
        <v>0.85127569999999997</v>
      </c>
      <c r="Y5244">
        <v>-0.34060249999999997</v>
      </c>
      <c r="Z5244">
        <v>2.344218E-2</v>
      </c>
      <c r="AA5244">
        <v>0.9399151</v>
      </c>
      <c r="AB5244">
        <v>29</v>
      </c>
      <c r="AC5244">
        <v>-6.5087999999999502</v>
      </c>
      <c r="AD5244">
        <v>-1.117054772138</v>
      </c>
      <c r="AE5244">
        <v>-6.8747999999999898</v>
      </c>
      <c r="AF5244">
        <v>-3.2686131995829899</v>
      </c>
      <c r="AG5244">
        <v>-1.117054772138</v>
      </c>
      <c r="AH5244">
        <v>8.7463743069651994</v>
      </c>
      <c r="AI5244">
        <v>96.822165294735896</v>
      </c>
      <c r="AJ5244">
        <v>110.491251100147</v>
      </c>
      <c r="AK5244">
        <v>9.4037602654462393</v>
      </c>
      <c r="AL5244">
        <v>69.269399225574404</v>
      </c>
      <c r="AM5244">
        <v>114.466034538491</v>
      </c>
      <c r="AN5244">
        <v>1.0000000020291</v>
      </c>
    </row>
    <row r="5245" spans="1:40" x14ac:dyDescent="0.25">
      <c r="A5245" t="str">
        <f>"20190304164231554"</f>
        <v>20190304164231554</v>
      </c>
      <c r="B5245" t="str">
        <f>"1551688951546319"</f>
        <v>1551688951546319</v>
      </c>
      <c r="C5245" t="s">
        <v>40</v>
      </c>
      <c r="D5245">
        <v>4.3174000000000001</v>
      </c>
      <c r="E5245">
        <v>0.51218330000000001</v>
      </c>
      <c r="F5245" t="s">
        <v>53</v>
      </c>
      <c r="G5245">
        <v>-411.18009999999998</v>
      </c>
      <c r="H5245" s="1">
        <v>-5.742979E-6</v>
      </c>
      <c r="I5245">
        <v>128.48410000000001</v>
      </c>
      <c r="J5245">
        <v>-404.85469999999998</v>
      </c>
      <c r="K5245">
        <v>1.1171979999999999</v>
      </c>
      <c r="L5245">
        <v>135.2834</v>
      </c>
      <c r="M5245">
        <v>-0.89433569999999996</v>
      </c>
      <c r="N5245">
        <v>-1.4712980000000001E-2</v>
      </c>
      <c r="O5245">
        <v>-0.44715440000000001</v>
      </c>
      <c r="P5245">
        <v>-0.59370269999999903</v>
      </c>
      <c r="Q5245">
        <v>0.34914000000000001</v>
      </c>
      <c r="R5245">
        <v>-0.72499550000000001</v>
      </c>
      <c r="S5245">
        <v>-2.3062740000000002</v>
      </c>
      <c r="T5245">
        <v>-0.39177269999999997</v>
      </c>
      <c r="U5245">
        <v>-2.4311370000000001</v>
      </c>
      <c r="V5245">
        <v>-0.38868469999999999</v>
      </c>
      <c r="W5245">
        <v>0.35552050000000002</v>
      </c>
      <c r="X5245">
        <v>0.85001729999999998</v>
      </c>
      <c r="Y5245">
        <v>-0.34078309999999901</v>
      </c>
      <c r="Z5245">
        <v>2.4902790000000001E-2</v>
      </c>
      <c r="AA5245">
        <v>0.93981210000000004</v>
      </c>
      <c r="AB5245">
        <v>29</v>
      </c>
      <c r="AC5245">
        <v>-6.3254000000000001</v>
      </c>
      <c r="AD5245">
        <v>-1.1172037429789901</v>
      </c>
      <c r="AE5245">
        <v>-6.7992999999999801</v>
      </c>
      <c r="AF5245">
        <v>-3.20637362914951</v>
      </c>
      <c r="AG5245">
        <v>-1.1172037429789901</v>
      </c>
      <c r="AH5245">
        <v>8.5742177700814093</v>
      </c>
      <c r="AI5245">
        <v>96.958179775982899</v>
      </c>
      <c r="AJ5245">
        <v>110.5035467007</v>
      </c>
      <c r="AK5245">
        <v>9.2220489275329403</v>
      </c>
      <c r="AL5245">
        <v>69.174652362675303</v>
      </c>
      <c r="AM5245">
        <v>114.57304544420001</v>
      </c>
      <c r="AN5245">
        <v>1.0000000161168101</v>
      </c>
    </row>
    <row r="5246" spans="1:40" x14ac:dyDescent="0.25">
      <c r="A5246" t="str">
        <f>"20190304164231577"</f>
        <v>20190304164231577</v>
      </c>
      <c r="B5246" t="str">
        <f>"1551688951566816"</f>
        <v>1551688951566816</v>
      </c>
      <c r="C5246" t="s">
        <v>40</v>
      </c>
      <c r="D5246">
        <v>4.4257330000000001</v>
      </c>
      <c r="E5246">
        <v>0.4955618</v>
      </c>
      <c r="F5246" t="s">
        <v>53</v>
      </c>
      <c r="G5246">
        <v>-411.4246</v>
      </c>
      <c r="H5246" s="1">
        <v>-5.6175409999999997E-6</v>
      </c>
      <c r="I5246">
        <v>128.2208</v>
      </c>
      <c r="J5246">
        <v>-405.10680000000002</v>
      </c>
      <c r="K5246">
        <v>1.11737</v>
      </c>
      <c r="L5246">
        <v>135.14699999999999</v>
      </c>
      <c r="M5246">
        <v>-0.89033490000000004</v>
      </c>
      <c r="N5246">
        <v>-1.4735979999999999E-2</v>
      </c>
      <c r="O5246">
        <v>-0.45506780000000002</v>
      </c>
      <c r="P5246">
        <v>-0.58580730000000003</v>
      </c>
      <c r="Q5246">
        <v>0.3512305</v>
      </c>
      <c r="R5246">
        <v>-0.7303885</v>
      </c>
      <c r="S5246">
        <v>-2.283569</v>
      </c>
      <c r="T5246">
        <v>-0.38832220000000001</v>
      </c>
      <c r="U5246">
        <v>-2.4548649999999999</v>
      </c>
      <c r="V5246">
        <v>-0.38964880000000002</v>
      </c>
      <c r="W5246">
        <v>0.35745179999999999</v>
      </c>
      <c r="X5246">
        <v>0.84876499999999999</v>
      </c>
      <c r="Y5246">
        <v>-0.3416671</v>
      </c>
      <c r="Z5246">
        <v>2.5407519999999999E-2</v>
      </c>
      <c r="AA5246">
        <v>0.93947749999999997</v>
      </c>
      <c r="AB5246">
        <v>29</v>
      </c>
      <c r="AC5246">
        <v>-6.3177999999999699</v>
      </c>
      <c r="AD5246">
        <v>-1.1173756175409999</v>
      </c>
      <c r="AE5246">
        <v>-6.9262000000000201</v>
      </c>
      <c r="AF5246">
        <v>-3.2458566133106901</v>
      </c>
      <c r="AG5246">
        <v>-1.1173756175409999</v>
      </c>
      <c r="AH5246">
        <v>8.6548495893538</v>
      </c>
      <c r="AI5246">
        <v>96.892614534926906</v>
      </c>
      <c r="AJ5246">
        <v>110.55771682607499</v>
      </c>
      <c r="AK5246">
        <v>9.3107752007652707</v>
      </c>
      <c r="AL5246">
        <v>69.056215453590795</v>
      </c>
      <c r="AM5246">
        <v>114.658784152123</v>
      </c>
      <c r="AN5246">
        <v>1.00000000094484</v>
      </c>
    </row>
    <row r="5247" spans="1:40" x14ac:dyDescent="0.25">
      <c r="A5247" t="str">
        <f>"20190304164231599"</f>
        <v>20190304164231599</v>
      </c>
      <c r="B5247" t="str">
        <f>"1551688951586335"</f>
        <v>1551688951586335</v>
      </c>
      <c r="C5247" t="s">
        <v>40</v>
      </c>
      <c r="D5247">
        <v>4.258953</v>
      </c>
      <c r="E5247">
        <v>0.44504769999999999</v>
      </c>
      <c r="F5247" t="s">
        <v>53</v>
      </c>
      <c r="G5247">
        <v>-412.07549999999998</v>
      </c>
      <c r="H5247" s="1">
        <v>-5.0488590000000004E-6</v>
      </c>
      <c r="I5247">
        <v>126.8437</v>
      </c>
      <c r="J5247">
        <v>-405.34969999999998</v>
      </c>
      <c r="K5247">
        <v>1.117534</v>
      </c>
      <c r="L5247">
        <v>135.01259999999999</v>
      </c>
      <c r="M5247">
        <v>-0.88629029999999998</v>
      </c>
      <c r="N5247">
        <v>-1.476006E-2</v>
      </c>
      <c r="O5247">
        <v>-0.4628948</v>
      </c>
      <c r="P5247">
        <v>-0.57752650000000005</v>
      </c>
      <c r="Q5247">
        <v>0.35300219999999999</v>
      </c>
      <c r="R5247">
        <v>-0.73610629999999999</v>
      </c>
      <c r="S5247">
        <v>-2.1432190000000002</v>
      </c>
      <c r="T5247">
        <v>-0.34365129999999999</v>
      </c>
      <c r="U5247">
        <v>-2.5537109999999998</v>
      </c>
      <c r="V5247">
        <v>-0.39117790000000002</v>
      </c>
      <c r="W5247">
        <v>0.35905130000000002</v>
      </c>
      <c r="X5247">
        <v>0.84738539999999996</v>
      </c>
      <c r="Y5247">
        <v>-0.38083509999999998</v>
      </c>
      <c r="Z5247">
        <v>2.013655E-2</v>
      </c>
      <c r="AA5247">
        <v>0.92442369999999996</v>
      </c>
      <c r="AB5247">
        <v>29</v>
      </c>
      <c r="AC5247">
        <v>-6.7257999999999898</v>
      </c>
      <c r="AD5247">
        <v>-1.117539048859</v>
      </c>
      <c r="AE5247">
        <v>-8.1688999999999901</v>
      </c>
      <c r="AF5247">
        <v>-4.0816021191605003</v>
      </c>
      <c r="AG5247">
        <v>-1.117539048859</v>
      </c>
      <c r="AH5247">
        <v>9.6359341937469001</v>
      </c>
      <c r="AI5247">
        <v>96.095568479425907</v>
      </c>
      <c r="AJ5247">
        <v>112.95661025078699</v>
      </c>
      <c r="AK5247">
        <v>10.524238555405301</v>
      </c>
      <c r="AL5247">
        <v>68.958055476682404</v>
      </c>
      <c r="AM5247">
        <v>114.77942947366699</v>
      </c>
      <c r="AN5247">
        <v>1.0000000008066201</v>
      </c>
    </row>
    <row r="5248" spans="1:40" x14ac:dyDescent="0.25">
      <c r="A5248" t="str">
        <f>"20190304164231621"</f>
        <v>20190304164231621</v>
      </c>
      <c r="B5248" t="str">
        <f>"1551688951616591"</f>
        <v>1551688951616591</v>
      </c>
      <c r="C5248" t="s">
        <v>40</v>
      </c>
      <c r="D5248">
        <v>4.2609459999999997</v>
      </c>
      <c r="E5248">
        <v>0.43678529999999999</v>
      </c>
      <c r="F5248" t="s">
        <v>41</v>
      </c>
      <c r="G5248">
        <v>-405.82319999999999</v>
      </c>
      <c r="H5248">
        <v>1.057798</v>
      </c>
      <c r="I5248">
        <v>134.262</v>
      </c>
      <c r="J5248">
        <v>-405.59969999999998</v>
      </c>
      <c r="K5248">
        <v>1.1177049999999999</v>
      </c>
      <c r="L5248">
        <v>134.87100000000001</v>
      </c>
      <c r="M5248">
        <v>-0.88192060000000005</v>
      </c>
      <c r="N5248">
        <v>-1.4785970000000001E-2</v>
      </c>
      <c r="O5248">
        <v>-0.47116619999999998</v>
      </c>
      <c r="P5248">
        <v>-0.57013119999999995</v>
      </c>
      <c r="Q5248">
        <v>0.3531048</v>
      </c>
      <c r="R5248">
        <v>-0.74180019999999902</v>
      </c>
      <c r="S5248">
        <v>-1.764618</v>
      </c>
      <c r="T5248">
        <v>-0.22261909999999999</v>
      </c>
      <c r="U5248">
        <v>-2.797806</v>
      </c>
      <c r="V5248">
        <v>-0.39183699999999999</v>
      </c>
      <c r="W5248">
        <v>0.35900500000000002</v>
      </c>
      <c r="X5248">
        <v>0.84710039999999998</v>
      </c>
      <c r="Y5248">
        <v>-0.494002</v>
      </c>
      <c r="Z5248">
        <v>5.5952989999999998E-3</v>
      </c>
      <c r="AA5248">
        <v>0.86944279999999996</v>
      </c>
      <c r="AB5248">
        <v>29</v>
      </c>
      <c r="AC5248">
        <v>-0.223500000000001</v>
      </c>
      <c r="AD5248">
        <v>-5.9906999999999898E-2</v>
      </c>
      <c r="AE5248">
        <v>-0.60900000000000798</v>
      </c>
      <c r="AF5248">
        <v>-0.42817967411426799</v>
      </c>
      <c r="AG5248">
        <v>-5.9906999999999898E-2</v>
      </c>
      <c r="AH5248">
        <v>0.48000885725494202</v>
      </c>
      <c r="AI5248">
        <v>95.320863573125393</v>
      </c>
      <c r="AJ5248">
        <v>131.73374437146899</v>
      </c>
      <c r="AK5248">
        <v>0.64601484891354899</v>
      </c>
      <c r="AL5248">
        <v>68.960896792247397</v>
      </c>
      <c r="AM5248">
        <v>114.823497988784</v>
      </c>
      <c r="AN5248">
        <v>0.99999995613707904</v>
      </c>
    </row>
    <row r="5249" spans="1:40" x14ac:dyDescent="0.25">
      <c r="A5249" t="str">
        <f>"20190304164231643"</f>
        <v>20190304164231643</v>
      </c>
      <c r="B5249" t="str">
        <f>"1551688951636111"</f>
        <v>1551688951636111</v>
      </c>
      <c r="C5249" t="s">
        <v>40</v>
      </c>
      <c r="D5249">
        <v>4.2651240000000001</v>
      </c>
      <c r="E5249">
        <v>0.43654599999999999</v>
      </c>
      <c r="F5249" t="s">
        <v>41</v>
      </c>
      <c r="G5249">
        <v>-406.03579999999999</v>
      </c>
      <c r="H5249">
        <v>1.0639130000000001</v>
      </c>
      <c r="I5249">
        <v>134.13140000000001</v>
      </c>
      <c r="J5249">
        <v>-405.84089999999998</v>
      </c>
      <c r="K5249">
        <v>1.117864</v>
      </c>
      <c r="L5249">
        <v>134.7311</v>
      </c>
      <c r="M5249">
        <v>-0.87748959999999998</v>
      </c>
      <c r="N5249">
        <v>-1.481213E-2</v>
      </c>
      <c r="O5249">
        <v>-0.47936699999999999</v>
      </c>
      <c r="P5249">
        <v>-0.5628649</v>
      </c>
      <c r="Q5249">
        <v>0.35335299999999997</v>
      </c>
      <c r="R5249">
        <v>-0.74721119999999996</v>
      </c>
      <c r="S5249">
        <v>-1.6802979999999901</v>
      </c>
      <c r="T5249">
        <v>-0.20730380000000001</v>
      </c>
      <c r="U5249">
        <v>-2.8514560000000002</v>
      </c>
      <c r="V5249">
        <v>-0.39224819999999999</v>
      </c>
      <c r="W5249">
        <v>0.35911670000000001</v>
      </c>
      <c r="X5249">
        <v>0.84686269999999997</v>
      </c>
      <c r="Y5249">
        <v>-0.51206209999999996</v>
      </c>
      <c r="Z5249">
        <v>4.1901430000000003E-3</v>
      </c>
      <c r="AA5249">
        <v>0.85893819999999999</v>
      </c>
      <c r="AB5249">
        <v>29</v>
      </c>
      <c r="AC5249">
        <v>-0.194900000000018</v>
      </c>
      <c r="AD5249">
        <v>-5.3950999999999999E-2</v>
      </c>
      <c r="AE5249">
        <v>-0.59969999999998402</v>
      </c>
      <c r="AF5249">
        <v>-0.429703818934148</v>
      </c>
      <c r="AG5249">
        <v>-5.3950999999999999E-2</v>
      </c>
      <c r="AH5249">
        <v>0.45521710213944699</v>
      </c>
      <c r="AI5249">
        <v>94.925841174502494</v>
      </c>
      <c r="AJ5249">
        <v>133.34855456317999</v>
      </c>
      <c r="AK5249">
        <v>0.62831416702779097</v>
      </c>
      <c r="AL5249">
        <v>68.954039298338401</v>
      </c>
      <c r="AM5249">
        <v>114.85253591383599</v>
      </c>
      <c r="AN5249">
        <v>0.99999994363670797</v>
      </c>
    </row>
    <row r="5250" spans="1:40" x14ac:dyDescent="0.25">
      <c r="A5250" t="str">
        <f>"20190304164231665"</f>
        <v>20190304164231665</v>
      </c>
      <c r="B5250" t="str">
        <f>"1551688951656608"</f>
        <v>1551688951656608</v>
      </c>
      <c r="C5250" t="s">
        <v>40</v>
      </c>
      <c r="D5250">
        <v>4.2939059999999998</v>
      </c>
      <c r="E5250">
        <v>0.43693300000000002</v>
      </c>
      <c r="F5250" t="s">
        <v>41</v>
      </c>
      <c r="G5250">
        <v>-406.38619999999997</v>
      </c>
      <c r="H5250">
        <v>1.049285</v>
      </c>
      <c r="I5250">
        <v>133.78579999999999</v>
      </c>
      <c r="J5250">
        <v>-406.07960000000003</v>
      </c>
      <c r="K5250">
        <v>1.118015</v>
      </c>
      <c r="L5250">
        <v>134.58930000000001</v>
      </c>
      <c r="M5250">
        <v>-0.87289459999999996</v>
      </c>
      <c r="N5250">
        <v>-1.483875E-2</v>
      </c>
      <c r="O5250">
        <v>-0.48768299999999998</v>
      </c>
      <c r="P5250">
        <v>-0.55550180000000005</v>
      </c>
      <c r="Q5250">
        <v>0.35330519999999999</v>
      </c>
      <c r="R5250">
        <v>-0.7527239</v>
      </c>
      <c r="S5250">
        <v>-1.653656</v>
      </c>
      <c r="T5250">
        <v>-0.2079983</v>
      </c>
      <c r="U5250">
        <v>-2.8676300000000001</v>
      </c>
      <c r="V5250">
        <v>-0.39266590000000001</v>
      </c>
      <c r="W5250">
        <v>0.35894359999999997</v>
      </c>
      <c r="X5250">
        <v>0.84674259999999901</v>
      </c>
      <c r="Y5250">
        <v>-0.51199380000000005</v>
      </c>
      <c r="Z5250">
        <v>4.7180130000000001E-3</v>
      </c>
      <c r="AA5250">
        <v>0.85897619999999897</v>
      </c>
      <c r="AB5250">
        <v>29</v>
      </c>
      <c r="AC5250">
        <v>-0.30659999999994603</v>
      </c>
      <c r="AD5250">
        <v>-6.8729999999999902E-2</v>
      </c>
      <c r="AE5250">
        <v>-0.80350000000001298</v>
      </c>
      <c r="AF5250">
        <v>-0.54840542031752504</v>
      </c>
      <c r="AG5250">
        <v>-6.8729999999999902E-2</v>
      </c>
      <c r="AH5250">
        <v>0.65536968598644596</v>
      </c>
      <c r="AI5250">
        <v>94.598296919896598</v>
      </c>
      <c r="AJ5250">
        <v>129.92218503713801</v>
      </c>
      <c r="AK5250">
        <v>0.85731076235144399</v>
      </c>
      <c r="AL5250">
        <v>68.964667470785201</v>
      </c>
      <c r="AM5250">
        <v>114.878901102573</v>
      </c>
      <c r="AN5250">
        <v>1.0000000238292599</v>
      </c>
    </row>
    <row r="5251" spans="1:40" x14ac:dyDescent="0.25">
      <c r="A5251" t="str">
        <f>"20190304164231688"</f>
        <v>20190304164231688</v>
      </c>
      <c r="B5251" t="str">
        <f>"1551688951676127"</f>
        <v>1551688951676127</v>
      </c>
      <c r="C5251" t="s">
        <v>40</v>
      </c>
      <c r="D5251">
        <v>4.2565720000000002</v>
      </c>
      <c r="E5251">
        <v>0.43864839999999999</v>
      </c>
      <c r="F5251" t="s">
        <v>41</v>
      </c>
      <c r="G5251">
        <v>-406.60410000000002</v>
      </c>
      <c r="H5251">
        <v>1.050001</v>
      </c>
      <c r="I5251">
        <v>133.66319999999999</v>
      </c>
      <c r="J5251">
        <v>-406.32369999999997</v>
      </c>
      <c r="K5251">
        <v>1.118142</v>
      </c>
      <c r="L5251">
        <v>134.4408</v>
      </c>
      <c r="M5251">
        <v>-0.86798989999999998</v>
      </c>
      <c r="N5251">
        <v>-1.4865079999999999E-2</v>
      </c>
      <c r="O5251">
        <v>-0.49635970000000001</v>
      </c>
      <c r="P5251">
        <v>-0.54812069999999902</v>
      </c>
      <c r="Q5251">
        <v>0.35312339999999998</v>
      </c>
      <c r="R5251">
        <v>-0.75820080000000001</v>
      </c>
      <c r="S5251">
        <v>-1.6310420000000001</v>
      </c>
      <c r="T5251">
        <v>-0.2115235</v>
      </c>
      <c r="U5251">
        <v>-2.8811339999999999</v>
      </c>
      <c r="V5251">
        <v>-0.392683</v>
      </c>
      <c r="W5251">
        <v>0.358662799999999</v>
      </c>
      <c r="X5251">
        <v>0.84685359999999998</v>
      </c>
      <c r="Y5251">
        <v>-0.51026519999999997</v>
      </c>
      <c r="Z5251">
        <v>5.5640859999999898E-3</v>
      </c>
      <c r="AA5251">
        <v>0.85999910000000002</v>
      </c>
      <c r="AB5251">
        <v>29</v>
      </c>
      <c r="AC5251">
        <v>-0.280400000000042</v>
      </c>
      <c r="AD5251">
        <v>-6.8140999999999993E-2</v>
      </c>
      <c r="AE5251">
        <v>-0.77760000000000595</v>
      </c>
      <c r="AF5251">
        <v>-0.53221219597563696</v>
      </c>
      <c r="AG5251">
        <v>-6.8140999999999993E-2</v>
      </c>
      <c r="AH5251">
        <v>0.62517478619142897</v>
      </c>
      <c r="AI5251">
        <v>94.744352329332997</v>
      </c>
      <c r="AJ5251">
        <v>130.40779879041</v>
      </c>
      <c r="AK5251">
        <v>0.82385467815368296</v>
      </c>
      <c r="AL5251">
        <v>68.981902901197998</v>
      </c>
      <c r="AM5251">
        <v>114.87698699448499</v>
      </c>
      <c r="AN5251">
        <v>0.99999998121289901</v>
      </c>
    </row>
    <row r="5252" spans="1:40" x14ac:dyDescent="0.25">
      <c r="A5252" t="str">
        <f>"20190304164231711"</f>
        <v>20190304164231711</v>
      </c>
      <c r="B5252" t="str">
        <f>"1551688951696622"</f>
        <v>1551688951696622</v>
      </c>
      <c r="C5252" t="s">
        <v>40</v>
      </c>
      <c r="D5252">
        <v>4.2606219999999997</v>
      </c>
      <c r="E5252">
        <v>0.43957829999999898</v>
      </c>
      <c r="F5252" t="s">
        <v>41</v>
      </c>
      <c r="G5252">
        <v>-406.8252</v>
      </c>
      <c r="H5252">
        <v>1.050859</v>
      </c>
      <c r="I5252">
        <v>133.5438</v>
      </c>
      <c r="J5252">
        <v>-406.56529999999998</v>
      </c>
      <c r="K5252">
        <v>1.1182479999999999</v>
      </c>
      <c r="L5252">
        <v>134.2903</v>
      </c>
      <c r="M5252">
        <v>-0.86292780000000002</v>
      </c>
      <c r="N5252">
        <v>-1.488891E-2</v>
      </c>
      <c r="O5252">
        <v>-0.5051078</v>
      </c>
      <c r="P5252">
        <v>-0.54133219999999904</v>
      </c>
      <c r="Q5252">
        <v>0.35289490000000001</v>
      </c>
      <c r="R5252">
        <v>-0.76316759999999995</v>
      </c>
      <c r="S5252">
        <v>-1.6155090000000001</v>
      </c>
      <c r="T5252">
        <v>-0.2167385</v>
      </c>
      <c r="U5252">
        <v>-2.8898470000000001</v>
      </c>
      <c r="V5252">
        <v>-0.39186140000000003</v>
      </c>
      <c r="W5252">
        <v>0.35836990000000002</v>
      </c>
      <c r="X5252">
        <v>0.84735799999999994</v>
      </c>
      <c r="Y5252">
        <v>-0.50619579999999997</v>
      </c>
      <c r="Z5252">
        <v>6.6815390000000002E-3</v>
      </c>
      <c r="AA5252">
        <v>0.86239270000000001</v>
      </c>
      <c r="AB5252">
        <v>29</v>
      </c>
      <c r="AC5252">
        <v>-0.25990000000001601</v>
      </c>
      <c r="AD5252">
        <v>-6.7388999999999893E-2</v>
      </c>
      <c r="AE5252">
        <v>-0.74649999999999705</v>
      </c>
      <c r="AF5252">
        <v>-0.50925357302240204</v>
      </c>
      <c r="AG5252">
        <v>-6.7388999999999893E-2</v>
      </c>
      <c r="AH5252">
        <v>0.59706496645526996</v>
      </c>
      <c r="AI5252">
        <v>94.908158411913305</v>
      </c>
      <c r="AJ5252">
        <v>130.46179854127899</v>
      </c>
      <c r="AK5252">
        <v>0.78763383188212299</v>
      </c>
      <c r="AL5252">
        <v>68.999879440911599</v>
      </c>
      <c r="AM5252">
        <v>114.818219912412</v>
      </c>
      <c r="AN5252">
        <v>0.99999996109998401</v>
      </c>
    </row>
    <row r="5253" spans="1:40" x14ac:dyDescent="0.25">
      <c r="A5253" t="str">
        <f>"20190304164231733"</f>
        <v>20190304164231733</v>
      </c>
      <c r="B5253" t="str">
        <f>"1551688951725903"</f>
        <v>1551688951725903</v>
      </c>
      <c r="C5253" t="s">
        <v>40</v>
      </c>
      <c r="D5253">
        <v>4.4018490000000003</v>
      </c>
      <c r="E5253">
        <v>0.4412432</v>
      </c>
      <c r="F5253" t="s">
        <v>41</v>
      </c>
      <c r="G5253">
        <v>-407.04329999999999</v>
      </c>
      <c r="H5253">
        <v>1.051874</v>
      </c>
      <c r="I5253">
        <v>133.42070000000001</v>
      </c>
      <c r="J5253">
        <v>-406.80360000000002</v>
      </c>
      <c r="K5253">
        <v>1.118352</v>
      </c>
      <c r="L5253">
        <v>134.13849999999999</v>
      </c>
      <c r="M5253">
        <v>-0.85772619999999899</v>
      </c>
      <c r="N5253">
        <v>-1.491175E-2</v>
      </c>
      <c r="O5253">
        <v>-0.51389070000000003</v>
      </c>
      <c r="P5253">
        <v>-0.5342306</v>
      </c>
      <c r="Q5253">
        <v>0.353776599999999</v>
      </c>
      <c r="R5253">
        <v>-0.76775019999999905</v>
      </c>
      <c r="S5253">
        <v>-1.5948789999999999</v>
      </c>
      <c r="T5253">
        <v>-0.22147819999999999</v>
      </c>
      <c r="U5253">
        <v>-2.9020839999999999</v>
      </c>
      <c r="V5253">
        <v>-0.39082689999999998</v>
      </c>
      <c r="W5253">
        <v>0.35919240000000002</v>
      </c>
      <c r="X5253">
        <v>0.84748760000000001</v>
      </c>
      <c r="Y5253">
        <v>-0.50363670000000005</v>
      </c>
      <c r="Z5253">
        <v>7.7298669999999996E-3</v>
      </c>
      <c r="AA5253">
        <v>0.86388099999999901</v>
      </c>
      <c r="AB5253">
        <v>29</v>
      </c>
      <c r="AC5253">
        <v>-0.23969999999996999</v>
      </c>
      <c r="AD5253">
        <v>-6.6477999999999995E-2</v>
      </c>
      <c r="AE5253">
        <v>-0.71779999999998201</v>
      </c>
      <c r="AF5253">
        <v>-0.48877918626978101</v>
      </c>
      <c r="AG5253">
        <v>-6.6477999999999995E-2</v>
      </c>
      <c r="AH5253">
        <v>0.57013196182402803</v>
      </c>
      <c r="AI5253">
        <v>95.058800520376494</v>
      </c>
      <c r="AJ5253">
        <v>130.60677739208401</v>
      </c>
      <c r="AK5253">
        <v>0.75390640752540605</v>
      </c>
      <c r="AL5253">
        <v>68.949394030458706</v>
      </c>
      <c r="AM5253">
        <v>114.75723486140799</v>
      </c>
      <c r="AN5253">
        <v>1.0000000390675601</v>
      </c>
    </row>
    <row r="5254" spans="1:40" x14ac:dyDescent="0.25">
      <c r="A5254" t="str">
        <f>"20190304164231756"</f>
        <v>20190304164231756</v>
      </c>
      <c r="B5254" t="str">
        <f>"1551688951746400"</f>
        <v>1551688951746400</v>
      </c>
      <c r="C5254" t="s">
        <v>40</v>
      </c>
      <c r="D5254">
        <v>4.2919199999999904</v>
      </c>
      <c r="E5254">
        <v>0.44255090000000002</v>
      </c>
      <c r="F5254" t="s">
        <v>41</v>
      </c>
      <c r="G5254">
        <v>-407.26060000000001</v>
      </c>
      <c r="H5254">
        <v>1.053876</v>
      </c>
      <c r="I5254">
        <v>133.29640000000001</v>
      </c>
      <c r="J5254">
        <v>-407.03660000000002</v>
      </c>
      <c r="K5254">
        <v>1.1184620000000001</v>
      </c>
      <c r="L5254">
        <v>133.98650000000001</v>
      </c>
      <c r="M5254">
        <v>-0.85242450000000003</v>
      </c>
      <c r="N5254">
        <v>-1.493504E-2</v>
      </c>
      <c r="O5254">
        <v>-0.52263709999999997</v>
      </c>
      <c r="P5254">
        <v>-0.5274972</v>
      </c>
      <c r="Q5254">
        <v>0.35394369999999997</v>
      </c>
      <c r="R5254">
        <v>-0.77231499999999997</v>
      </c>
      <c r="S5254">
        <v>-1.579529</v>
      </c>
      <c r="T5254">
        <v>-0.22283040000000001</v>
      </c>
      <c r="U5254">
        <v>-2.9111020000000001</v>
      </c>
      <c r="V5254">
        <v>-0.38959240000000001</v>
      </c>
      <c r="W5254">
        <v>0.35931079999999999</v>
      </c>
      <c r="X5254">
        <v>0.84800560000000003</v>
      </c>
      <c r="Y5254">
        <v>-0.49945349999999999</v>
      </c>
      <c r="Z5254">
        <v>8.5804780000000008E-3</v>
      </c>
      <c r="AA5254">
        <v>0.86629820000000002</v>
      </c>
      <c r="AB5254">
        <v>28</v>
      </c>
      <c r="AC5254">
        <v>-0.22399999999998901</v>
      </c>
      <c r="AD5254">
        <v>-6.4586000000000005E-2</v>
      </c>
      <c r="AE5254">
        <v>-0.69010000000000105</v>
      </c>
      <c r="AF5254">
        <v>-0.46753517727321797</v>
      </c>
      <c r="AG5254">
        <v>-6.4586000000000005E-2</v>
      </c>
      <c r="AH5254">
        <v>0.54733928260354403</v>
      </c>
      <c r="AI5254">
        <v>95.127005577977897</v>
      </c>
      <c r="AJ5254">
        <v>130.50382924942099</v>
      </c>
      <c r="AK5254">
        <v>0.72273147410698901</v>
      </c>
      <c r="AL5254">
        <v>68.942123922968193</v>
      </c>
      <c r="AM5254">
        <v>114.675089379924</v>
      </c>
      <c r="AN5254">
        <v>0.99999999338288004</v>
      </c>
    </row>
    <row r="5255" spans="1:40" x14ac:dyDescent="0.25">
      <c r="A5255" t="str">
        <f>"20190304164231777"</f>
        <v>20190304164231777</v>
      </c>
      <c r="B5255" t="str">
        <f>"1551688951765919"</f>
        <v>1551688951765919</v>
      </c>
      <c r="C5255" t="s">
        <v>40</v>
      </c>
      <c r="D5255">
        <v>4.3119360000000002</v>
      </c>
      <c r="E5255">
        <v>0.4437333</v>
      </c>
      <c r="F5255" t="s">
        <v>41</v>
      </c>
      <c r="G5255">
        <v>-407.47430000000003</v>
      </c>
      <c r="H5255">
        <v>1.056332</v>
      </c>
      <c r="I5255">
        <v>133.1678</v>
      </c>
      <c r="J5255">
        <v>-407.26369999999997</v>
      </c>
      <c r="K5255">
        <v>1.1185719999999999</v>
      </c>
      <c r="L5255">
        <v>133.8347</v>
      </c>
      <c r="M5255">
        <v>-0.84704099999999904</v>
      </c>
      <c r="N5255">
        <v>-1.495923E-2</v>
      </c>
      <c r="O5255">
        <v>-0.53131700000000004</v>
      </c>
      <c r="P5255">
        <v>-0.52057189999999998</v>
      </c>
      <c r="Q5255">
        <v>0.35509590000000002</v>
      </c>
      <c r="R5255">
        <v>-0.77647390000000005</v>
      </c>
      <c r="S5255">
        <v>-1.561523</v>
      </c>
      <c r="T5255">
        <v>-0.2216119</v>
      </c>
      <c r="U5255">
        <v>-2.9194490000000002</v>
      </c>
      <c r="V5255">
        <v>-0.38817869999999999</v>
      </c>
      <c r="W5255">
        <v>0.3604096</v>
      </c>
      <c r="X5255">
        <v>0.84818760000000004</v>
      </c>
      <c r="Y5255">
        <v>-0.49580479999999999</v>
      </c>
      <c r="Z5255">
        <v>9.1858319999999997E-3</v>
      </c>
      <c r="AA5255">
        <v>0.86838539999999997</v>
      </c>
      <c r="AB5255">
        <v>28</v>
      </c>
      <c r="AC5255">
        <v>-0.21060000000005599</v>
      </c>
      <c r="AD5255">
        <v>-6.2239999999999802E-2</v>
      </c>
      <c r="AE5255">
        <v>-0.66689999999999805</v>
      </c>
      <c r="AF5255">
        <v>-0.44948696661771698</v>
      </c>
      <c r="AG5255">
        <v>-6.2239999999999802E-2</v>
      </c>
      <c r="AH5255">
        <v>0.52859519770351004</v>
      </c>
      <c r="AI5255">
        <v>95.125724121845096</v>
      </c>
      <c r="AJ5255">
        <v>130.37592757394</v>
      </c>
      <c r="AK5255">
        <v>0.69665287898235895</v>
      </c>
      <c r="AL5255">
        <v>68.874646776305298</v>
      </c>
      <c r="AM5255">
        <v>114.591516429975</v>
      </c>
      <c r="AN5255">
        <v>0.99999999384980498</v>
      </c>
    </row>
    <row r="5256" spans="1:40" x14ac:dyDescent="0.25">
      <c r="A5256" t="str">
        <f>"20190304164231800"</f>
        <v>20190304164231800</v>
      </c>
      <c r="B5256" t="str">
        <f>"1551688951796175"</f>
        <v>1551688951796175</v>
      </c>
      <c r="C5256" t="s">
        <v>40</v>
      </c>
      <c r="D5256">
        <v>4.3264719999999999</v>
      </c>
      <c r="E5256">
        <v>0.44478630000000002</v>
      </c>
      <c r="F5256" t="s">
        <v>41</v>
      </c>
      <c r="G5256">
        <v>-407.68450000000001</v>
      </c>
      <c r="H5256">
        <v>1.0594319999999999</v>
      </c>
      <c r="I5256">
        <v>133.0352</v>
      </c>
      <c r="J5256">
        <v>-407.49590000000001</v>
      </c>
      <c r="K5256">
        <v>1.1187069999999999</v>
      </c>
      <c r="L5256">
        <v>133.67599999999999</v>
      </c>
      <c r="M5256">
        <v>-0.84131069999999997</v>
      </c>
      <c r="N5256">
        <v>-1.498527E-2</v>
      </c>
      <c r="O5256">
        <v>-0.5403443</v>
      </c>
      <c r="P5256">
        <v>-0.51416859999999998</v>
      </c>
      <c r="Q5256">
        <v>0.35635409999999901</v>
      </c>
      <c r="R5256">
        <v>-0.78015579999999995</v>
      </c>
      <c r="S5256">
        <v>-1.5411680000000001</v>
      </c>
      <c r="T5256">
        <v>-0.21662400000000001</v>
      </c>
      <c r="U5256">
        <v>-2.9294280000000001</v>
      </c>
      <c r="V5256">
        <v>-0.38571840000000002</v>
      </c>
      <c r="W5256">
        <v>0.3616356</v>
      </c>
      <c r="X5256">
        <v>0.84878799999999899</v>
      </c>
      <c r="Y5256">
        <v>-0.49248940000000002</v>
      </c>
      <c r="Z5256">
        <v>9.4250889999999993E-3</v>
      </c>
      <c r="AA5256">
        <v>0.87026749999999997</v>
      </c>
      <c r="AB5256">
        <v>28</v>
      </c>
      <c r="AC5256">
        <v>-0.18860000000000801</v>
      </c>
      <c r="AD5256">
        <v>-5.9274999999999897E-2</v>
      </c>
      <c r="AE5256">
        <v>-0.64080000000001203</v>
      </c>
      <c r="AF5256">
        <v>-0.43383580443533298</v>
      </c>
      <c r="AG5256">
        <v>-5.9274999999999897E-2</v>
      </c>
      <c r="AH5256">
        <v>0.50103511011309798</v>
      </c>
      <c r="AI5256">
        <v>95.110748335704102</v>
      </c>
      <c r="AJ5256">
        <v>130.88860256652799</v>
      </c>
      <c r="AK5256">
        <v>0.66540454792637005</v>
      </c>
      <c r="AL5256">
        <v>68.799322826250901</v>
      </c>
      <c r="AM5256">
        <v>114.438677485382</v>
      </c>
      <c r="AN5256">
        <v>1.0000000301149501</v>
      </c>
    </row>
    <row r="5257" spans="1:40" x14ac:dyDescent="0.25">
      <c r="A5257" t="str">
        <f>"20190304164231823"</f>
        <v>20190304164231823</v>
      </c>
      <c r="B5257" t="str">
        <f>"1551688951816671"</f>
        <v>1551688951816671</v>
      </c>
      <c r="C5257" t="s">
        <v>40</v>
      </c>
      <c r="D5257">
        <v>4.3271879999999996</v>
      </c>
      <c r="E5257">
        <v>0.44553470000000001</v>
      </c>
      <c r="F5257" t="s">
        <v>41</v>
      </c>
      <c r="G5257">
        <v>-407.89589999999998</v>
      </c>
      <c r="H5257">
        <v>1.06192999999999</v>
      </c>
      <c r="I5257">
        <v>132.90350000000001</v>
      </c>
      <c r="J5257">
        <v>-407.73</v>
      </c>
      <c r="K5257">
        <v>1.118838</v>
      </c>
      <c r="L5257">
        <v>133.5119</v>
      </c>
      <c r="M5257">
        <v>-0.83528480000000005</v>
      </c>
      <c r="N5257">
        <v>-1.5012269999999999E-2</v>
      </c>
      <c r="O5257">
        <v>-0.54961249999999995</v>
      </c>
      <c r="P5257">
        <v>-0.50758400000000004</v>
      </c>
      <c r="Q5257">
        <v>0.35770200000000002</v>
      </c>
      <c r="R5257">
        <v>-0.78384169999999997</v>
      </c>
      <c r="S5257">
        <v>-1.5223690000000001</v>
      </c>
      <c r="T5257">
        <v>-0.21611269999999999</v>
      </c>
      <c r="U5257">
        <v>-2.9407649999999999</v>
      </c>
      <c r="V5257">
        <v>-0.38308609999999998</v>
      </c>
      <c r="W5257">
        <v>0.36295569999999999</v>
      </c>
      <c r="X5257">
        <v>0.84941639999999996</v>
      </c>
      <c r="Y5257">
        <v>-0.48864249999999998</v>
      </c>
      <c r="Z5257">
        <v>1.009728E-2</v>
      </c>
      <c r="AA5257">
        <v>0.87242569999999997</v>
      </c>
      <c r="AB5257">
        <v>28</v>
      </c>
      <c r="AC5257">
        <v>-0.16589999999996499</v>
      </c>
      <c r="AD5257">
        <v>-5.6908000000000097E-2</v>
      </c>
      <c r="AE5257">
        <v>-0.60839999999998895</v>
      </c>
      <c r="AF5257">
        <v>-0.41368465266830201</v>
      </c>
      <c r="AG5257">
        <v>-5.6908000000000097E-2</v>
      </c>
      <c r="AH5257">
        <v>0.46919037404160802</v>
      </c>
      <c r="AI5257">
        <v>95.198298414603897</v>
      </c>
      <c r="AJ5257">
        <v>131.402589986652</v>
      </c>
      <c r="AK5257">
        <v>0.62810279366565303</v>
      </c>
      <c r="AL5257">
        <v>68.718173207583007</v>
      </c>
      <c r="AM5257">
        <v>114.275335666312</v>
      </c>
      <c r="AN5257">
        <v>1.0000000103823301</v>
      </c>
    </row>
    <row r="5258" spans="1:40" x14ac:dyDescent="0.25">
      <c r="A5258" t="str">
        <f>"20190304164231844"</f>
        <v>20190304164231844</v>
      </c>
      <c r="B5258" t="str">
        <f>"1551688951836191"</f>
        <v>1551688951836191</v>
      </c>
      <c r="C5258" t="s">
        <v>40</v>
      </c>
      <c r="D5258">
        <v>4.3064229999999997</v>
      </c>
      <c r="E5258">
        <v>0.45616990000000002</v>
      </c>
      <c r="F5258" t="s">
        <v>41</v>
      </c>
      <c r="G5258">
        <v>-408.22160000000002</v>
      </c>
      <c r="H5258">
        <v>1.048657</v>
      </c>
      <c r="I5258">
        <v>132.54490000000001</v>
      </c>
      <c r="J5258">
        <v>-407.947</v>
      </c>
      <c r="K5258">
        <v>1.118954</v>
      </c>
      <c r="L5258">
        <v>133.35589999999999</v>
      </c>
      <c r="M5258">
        <v>-0.82946350000000002</v>
      </c>
      <c r="N5258">
        <v>-1.503737E-2</v>
      </c>
      <c r="O5258">
        <v>-0.55835859999999904</v>
      </c>
      <c r="P5258">
        <v>-0.49958399999999997</v>
      </c>
      <c r="Q5258">
        <v>0.35877759999999997</v>
      </c>
      <c r="R5258">
        <v>-0.78847639999999997</v>
      </c>
      <c r="S5258">
        <v>-1.501312</v>
      </c>
      <c r="T5258">
        <v>-0.21430060000000001</v>
      </c>
      <c r="U5258">
        <v>-2.9528660000000002</v>
      </c>
      <c r="V5258">
        <v>-0.38251180000000001</v>
      </c>
      <c r="W5258">
        <v>0.3639636</v>
      </c>
      <c r="X5258">
        <v>0.84924390000000005</v>
      </c>
      <c r="Y5258">
        <v>-0.4858827</v>
      </c>
      <c r="Z5258">
        <v>1.0555760000000001E-2</v>
      </c>
      <c r="AA5258">
        <v>0.87396030000000002</v>
      </c>
      <c r="AB5258">
        <v>28</v>
      </c>
      <c r="AC5258">
        <v>-0.274600000000077</v>
      </c>
      <c r="AD5258">
        <v>-7.0296999999999998E-2</v>
      </c>
      <c r="AE5258">
        <v>-0.81099999999997796</v>
      </c>
      <c r="AF5258">
        <v>-0.515950532802393</v>
      </c>
      <c r="AG5258">
        <v>-7.0296999999999998E-2</v>
      </c>
      <c r="AH5258">
        <v>0.67611900525671997</v>
      </c>
      <c r="AI5258">
        <v>94.724997108916995</v>
      </c>
      <c r="AJ5258">
        <v>127.347473380401</v>
      </c>
      <c r="AK5258">
        <v>0.85339529514604795</v>
      </c>
      <c r="AL5258">
        <v>68.656184995315499</v>
      </c>
      <c r="AM5258">
        <v>114.247493899524</v>
      </c>
      <c r="AN5258">
        <v>0.99999999047570498</v>
      </c>
    </row>
    <row r="5259" spans="1:40" x14ac:dyDescent="0.25">
      <c r="A5259" t="str">
        <f>"20190304164231867"</f>
        <v>20190304164231867</v>
      </c>
      <c r="B5259" t="str">
        <f>"1551688951856688"</f>
        <v>1551688951856688</v>
      </c>
      <c r="C5259" t="s">
        <v>40</v>
      </c>
      <c r="D5259">
        <v>4.339086</v>
      </c>
      <c r="E5259">
        <v>0.45629890000000001</v>
      </c>
      <c r="F5259" t="s">
        <v>41</v>
      </c>
      <c r="G5259">
        <v>-408.44189999999998</v>
      </c>
      <c r="H5259">
        <v>1.042252</v>
      </c>
      <c r="I5259">
        <v>132.4221</v>
      </c>
      <c r="J5259">
        <v>-408.1721</v>
      </c>
      <c r="K5259">
        <v>1.119046</v>
      </c>
      <c r="L5259">
        <v>133.1901</v>
      </c>
      <c r="M5259">
        <v>-0.82319639999999905</v>
      </c>
      <c r="N5259">
        <v>-1.506187E-2</v>
      </c>
      <c r="O5259">
        <v>-0.56755690000000003</v>
      </c>
      <c r="P5259">
        <v>-0.49064180000000002</v>
      </c>
      <c r="Q5259">
        <v>0.35933739999999997</v>
      </c>
      <c r="R5259">
        <v>-0.79381820000000003</v>
      </c>
      <c r="S5259">
        <v>-1.552551</v>
      </c>
      <c r="T5259">
        <v>-0.2406576</v>
      </c>
      <c r="U5259">
        <v>-2.9306179999999999</v>
      </c>
      <c r="V5259">
        <v>-0.38254300000000002</v>
      </c>
      <c r="W5259">
        <v>0.36445470000000002</v>
      </c>
      <c r="X5259">
        <v>0.84901919999999897</v>
      </c>
      <c r="Y5259">
        <v>-0.46129439999999999</v>
      </c>
      <c r="Z5259">
        <v>1.496901E-2</v>
      </c>
      <c r="AA5259">
        <v>0.88712080000000004</v>
      </c>
      <c r="AB5259">
        <v>28</v>
      </c>
      <c r="AC5259">
        <v>-0.269799999999975</v>
      </c>
      <c r="AD5259">
        <v>-7.6794000000000001E-2</v>
      </c>
      <c r="AE5259">
        <v>-0.76800000000000002</v>
      </c>
      <c r="AF5259">
        <v>-0.47491555987452899</v>
      </c>
      <c r="AG5259">
        <v>-7.6794000000000001E-2</v>
      </c>
      <c r="AH5259">
        <v>0.65225165811268804</v>
      </c>
      <c r="AI5259">
        <v>95.437017913461304</v>
      </c>
      <c r="AJ5259">
        <v>126.059001667865</v>
      </c>
      <c r="AK5259">
        <v>0.81047784236071996</v>
      </c>
      <c r="AL5259">
        <v>68.625971875542902</v>
      </c>
      <c r="AM5259">
        <v>114.254921945717</v>
      </c>
      <c r="AN5259">
        <v>0.99999998858486405</v>
      </c>
    </row>
    <row r="5260" spans="1:40" x14ac:dyDescent="0.25">
      <c r="A5260" t="str">
        <f>"20190304164231890"</f>
        <v>20190304164231890</v>
      </c>
      <c r="B5260" t="str">
        <f>"1551688951886943"</f>
        <v>1551688951886943</v>
      </c>
      <c r="C5260" t="s">
        <v>40</v>
      </c>
      <c r="D5260">
        <v>4.33758</v>
      </c>
      <c r="E5260">
        <v>0.45714670000000002</v>
      </c>
      <c r="F5260" t="s">
        <v>41</v>
      </c>
      <c r="G5260">
        <v>-408.6431</v>
      </c>
      <c r="H5260">
        <v>1.040222</v>
      </c>
      <c r="I5260">
        <v>132.28039999999999</v>
      </c>
      <c r="J5260">
        <v>-408.40260000000001</v>
      </c>
      <c r="K5260">
        <v>1.119111</v>
      </c>
      <c r="L5260">
        <v>133.0162</v>
      </c>
      <c r="M5260">
        <v>-0.81654519999999997</v>
      </c>
      <c r="N5260">
        <v>-1.508395E-2</v>
      </c>
      <c r="O5260">
        <v>-0.57708459999999995</v>
      </c>
      <c r="P5260">
        <v>-0.48166049999999999</v>
      </c>
      <c r="Q5260">
        <v>0.35944910000000002</v>
      </c>
      <c r="R5260">
        <v>-0.79924969999999995</v>
      </c>
      <c r="S5260">
        <v>-1.5274049999999999</v>
      </c>
      <c r="T5260">
        <v>-0.25566670000000002</v>
      </c>
      <c r="U5260">
        <v>-2.9508670000000001</v>
      </c>
      <c r="V5260">
        <v>-0.38227470000000002</v>
      </c>
      <c r="W5260">
        <v>0.36452440000000003</v>
      </c>
      <c r="X5260">
        <v>0.84911009999999998</v>
      </c>
      <c r="Y5260">
        <v>-0.45944220000000002</v>
      </c>
      <c r="Z5260">
        <v>1.736992E-2</v>
      </c>
      <c r="AA5260">
        <v>0.88803779999999999</v>
      </c>
      <c r="AB5260">
        <v>28</v>
      </c>
      <c r="AC5260">
        <v>-0.24049999999999699</v>
      </c>
      <c r="AD5260">
        <v>-7.8888999999999904E-2</v>
      </c>
      <c r="AE5260">
        <v>-0.735800000000011</v>
      </c>
      <c r="AF5260">
        <v>-0.457328013683372</v>
      </c>
      <c r="AG5260">
        <v>-7.8888999999999904E-2</v>
      </c>
      <c r="AH5260">
        <v>0.614684701117028</v>
      </c>
      <c r="AI5260">
        <v>95.878916458587</v>
      </c>
      <c r="AJ5260">
        <v>126.649403229651</v>
      </c>
      <c r="AK5260">
        <v>0.77020105700259101</v>
      </c>
      <c r="AL5260">
        <v>68.621682995199606</v>
      </c>
      <c r="AM5260">
        <v>114.237573259206</v>
      </c>
      <c r="AN5260">
        <v>0.99999997318872902</v>
      </c>
    </row>
    <row r="5261" spans="1:40" x14ac:dyDescent="0.25">
      <c r="A5261" t="str">
        <f>"20190304164231912"</f>
        <v>20190304164231912</v>
      </c>
      <c r="B5261" t="str">
        <f>"1551688951906463"</f>
        <v>1551688951906463</v>
      </c>
      <c r="C5261" t="s">
        <v>40</v>
      </c>
      <c r="D5261">
        <v>4.3350299999999997</v>
      </c>
      <c r="E5261">
        <v>0.4574201</v>
      </c>
      <c r="F5261" t="s">
        <v>41</v>
      </c>
      <c r="G5261">
        <v>-408.84660000000002</v>
      </c>
      <c r="H5261">
        <v>1.039541</v>
      </c>
      <c r="I5261">
        <v>132.1404</v>
      </c>
      <c r="J5261">
        <v>-408.61919999999998</v>
      </c>
      <c r="K5261">
        <v>1.1191500000000001</v>
      </c>
      <c r="L5261">
        <v>132.84870000000001</v>
      </c>
      <c r="M5261">
        <v>-0.81008179999999996</v>
      </c>
      <c r="N5261">
        <v>-1.5101740000000001E-2</v>
      </c>
      <c r="O5261">
        <v>-0.58612249999999999</v>
      </c>
      <c r="P5261">
        <v>-0.4734698</v>
      </c>
      <c r="Q5261">
        <v>0.35835040000000001</v>
      </c>
      <c r="R5261">
        <v>-0.80461899999999997</v>
      </c>
      <c r="S5261">
        <v>-1.5044249999999999</v>
      </c>
      <c r="T5261">
        <v>-0.26962170000000002</v>
      </c>
      <c r="U5261">
        <v>-2.96814</v>
      </c>
      <c r="V5261">
        <v>-0.38192710000000002</v>
      </c>
      <c r="W5261">
        <v>0.36341319999999999</v>
      </c>
      <c r="X5261">
        <v>0.84974269999999996</v>
      </c>
      <c r="Y5261">
        <v>-0.4571384</v>
      </c>
      <c r="Z5261">
        <v>1.9744169999999998E-2</v>
      </c>
      <c r="AA5261">
        <v>0.88917639999999998</v>
      </c>
      <c r="AB5261">
        <v>28</v>
      </c>
      <c r="AC5261">
        <v>-0.22740000000004501</v>
      </c>
      <c r="AD5261">
        <v>-7.9608999999999999E-2</v>
      </c>
      <c r="AE5261">
        <v>-0.70830000000000803</v>
      </c>
      <c r="AF5261">
        <v>-0.435558817055412</v>
      </c>
      <c r="AG5261">
        <v>-7.9608999999999999E-2</v>
      </c>
      <c r="AH5261">
        <v>0.59264444632166302</v>
      </c>
      <c r="AI5261">
        <v>96.177648336848094</v>
      </c>
      <c r="AJ5261">
        <v>126.31369880555999</v>
      </c>
      <c r="AK5261">
        <v>0.73978139727328995</v>
      </c>
      <c r="AL5261">
        <v>68.690040437500002</v>
      </c>
      <c r="AM5261">
        <v>114.202108566947</v>
      </c>
      <c r="AN5261">
        <v>1.00000005992596</v>
      </c>
    </row>
    <row r="5262" spans="1:40" x14ac:dyDescent="0.25">
      <c r="A5262" t="str">
        <f>"20190304164231934"</f>
        <v>20190304164231934</v>
      </c>
      <c r="B5262" t="str">
        <f>"1551688951925984"</f>
        <v>1551688951925984</v>
      </c>
      <c r="C5262" t="s">
        <v>40</v>
      </c>
      <c r="D5262">
        <v>4.3204589999999996</v>
      </c>
      <c r="E5262">
        <v>0.45798499999999998</v>
      </c>
      <c r="F5262" t="s">
        <v>41</v>
      </c>
      <c r="G5262">
        <v>-409.04239999999999</v>
      </c>
      <c r="H5262">
        <v>1.039274</v>
      </c>
      <c r="I5262">
        <v>131.99299999999999</v>
      </c>
      <c r="J5262">
        <v>-408.8295</v>
      </c>
      <c r="K5262">
        <v>1.119167</v>
      </c>
      <c r="L5262">
        <v>132.6824</v>
      </c>
      <c r="M5262">
        <v>-0.80361830000000001</v>
      </c>
      <c r="N5262">
        <v>-1.511612E-2</v>
      </c>
      <c r="O5262">
        <v>-0.59495330000000002</v>
      </c>
      <c r="P5262">
        <v>-0.46506829999999999</v>
      </c>
      <c r="Q5262">
        <v>0.35688500000000001</v>
      </c>
      <c r="R5262">
        <v>-0.81015099999999995</v>
      </c>
      <c r="S5262">
        <v>-1.476135</v>
      </c>
      <c r="T5262">
        <v>-0.27855279999999999</v>
      </c>
      <c r="U5262">
        <v>-2.9838870000000002</v>
      </c>
      <c r="V5262">
        <v>-0.38198460000000001</v>
      </c>
      <c r="W5262">
        <v>0.36194280000000001</v>
      </c>
      <c r="X5262">
        <v>0.850344199999999</v>
      </c>
      <c r="Y5262">
        <v>-0.4560535</v>
      </c>
      <c r="Z5262">
        <v>2.1569330000000001E-2</v>
      </c>
      <c r="AA5262">
        <v>0.88969100000000001</v>
      </c>
      <c r="AB5262">
        <v>28</v>
      </c>
      <c r="AC5262">
        <v>-0.21289999999998999</v>
      </c>
      <c r="AD5262">
        <v>-7.9892999999999895E-2</v>
      </c>
      <c r="AE5262">
        <v>-0.68940000000000601</v>
      </c>
      <c r="AF5262">
        <v>-0.42222095385018099</v>
      </c>
      <c r="AG5262">
        <v>-7.9892999999999895E-2</v>
      </c>
      <c r="AH5262">
        <v>0.57427645679594896</v>
      </c>
      <c r="AI5262">
        <v>96.395334707612406</v>
      </c>
      <c r="AJ5262">
        <v>126.324161267801</v>
      </c>
      <c r="AK5262">
        <v>0.71724952014572096</v>
      </c>
      <c r="AL5262">
        <v>68.780442876280006</v>
      </c>
      <c r="AM5262">
        <v>114.19017597503</v>
      </c>
      <c r="AN5262">
        <v>1.00000004179131</v>
      </c>
    </row>
    <row r="5263" spans="1:40" x14ac:dyDescent="0.25">
      <c r="A5263" t="str">
        <f>"20190304164231955"</f>
        <v>20190304164231955</v>
      </c>
      <c r="B5263" t="str">
        <f>"1551688951946133"</f>
        <v>1551688951946133</v>
      </c>
      <c r="C5263" t="s">
        <v>40</v>
      </c>
      <c r="D5263">
        <v>4.3197950000000001</v>
      </c>
      <c r="E5263">
        <v>0.45853719999999998</v>
      </c>
      <c r="F5263" t="s">
        <v>41</v>
      </c>
      <c r="G5263">
        <v>-409.23540000000003</v>
      </c>
      <c r="H5263">
        <v>1.0390629999999901</v>
      </c>
      <c r="I5263">
        <v>131.8426</v>
      </c>
      <c r="J5263">
        <v>-409.04039999999998</v>
      </c>
      <c r="K5263">
        <v>1.119173</v>
      </c>
      <c r="L5263">
        <v>132.51179999999999</v>
      </c>
      <c r="M5263">
        <v>-0.79695660000000001</v>
      </c>
      <c r="N5263">
        <v>-1.5127730000000001E-2</v>
      </c>
      <c r="O5263">
        <v>-0.60384729999999998</v>
      </c>
      <c r="P5263">
        <v>-0.45635399999999998</v>
      </c>
      <c r="Q5263">
        <v>0.35588249999999999</v>
      </c>
      <c r="R5263">
        <v>-0.81552969999999902</v>
      </c>
      <c r="S5263">
        <v>-1.4479979999999999</v>
      </c>
      <c r="T5263">
        <v>-0.2858444</v>
      </c>
      <c r="U5263">
        <v>-2.997681</v>
      </c>
      <c r="V5263">
        <v>-0.38199060000000001</v>
      </c>
      <c r="W5263">
        <v>0.36094419999999999</v>
      </c>
      <c r="X5263">
        <v>0.85076580000000002</v>
      </c>
      <c r="Y5263">
        <v>-0.45455069999999997</v>
      </c>
      <c r="Z5263">
        <v>2.329378E-2</v>
      </c>
      <c r="AA5263">
        <v>0.89041630000000005</v>
      </c>
      <c r="AB5263">
        <v>28</v>
      </c>
      <c r="AC5263">
        <v>-0.19500000000004999</v>
      </c>
      <c r="AD5263">
        <v>-8.0110000000000098E-2</v>
      </c>
      <c r="AE5263">
        <v>-0.66919999999998903</v>
      </c>
      <c r="AF5263">
        <v>-0.41020230660484103</v>
      </c>
      <c r="AG5263">
        <v>-8.0110000000000098E-2</v>
      </c>
      <c r="AH5263">
        <v>0.55227021190089598</v>
      </c>
      <c r="AI5263">
        <v>96.642079166592396</v>
      </c>
      <c r="AJ5263">
        <v>126.603359905597</v>
      </c>
      <c r="AK5263">
        <v>0.69259362644843403</v>
      </c>
      <c r="AL5263">
        <v>68.841805883367599</v>
      </c>
      <c r="AM5263">
        <v>114.17989844590601</v>
      </c>
      <c r="AN5263">
        <v>0.99999999022581998</v>
      </c>
    </row>
    <row r="5264" spans="1:40" x14ac:dyDescent="0.25">
      <c r="A5264" t="str">
        <f>"20190304164231979"</f>
        <v>20190304164231979</v>
      </c>
      <c r="B5264" t="str">
        <f>"1551688951966629"</f>
        <v>1551688951966629</v>
      </c>
      <c r="C5264" t="s">
        <v>40</v>
      </c>
      <c r="D5264">
        <v>4.327267</v>
      </c>
      <c r="E5264">
        <v>0.46393649999999997</v>
      </c>
      <c r="F5264" t="s">
        <v>41</v>
      </c>
      <c r="G5264">
        <v>-409.43389999999999</v>
      </c>
      <c r="H5264">
        <v>1.0383629999999999</v>
      </c>
      <c r="I5264">
        <v>131.67660000000001</v>
      </c>
      <c r="J5264">
        <v>-409.25510000000003</v>
      </c>
      <c r="K5264">
        <v>1.119157</v>
      </c>
      <c r="L5264">
        <v>132.33410000000001</v>
      </c>
      <c r="M5264">
        <v>-0.78999699999999995</v>
      </c>
      <c r="N5264">
        <v>-1.5137009999999999E-2</v>
      </c>
      <c r="O5264">
        <v>-0.61292389999999997</v>
      </c>
      <c r="P5264">
        <v>-0.44697710000000002</v>
      </c>
      <c r="Q5264">
        <v>0.35563600000000001</v>
      </c>
      <c r="R5264">
        <v>-0.82081329999999997</v>
      </c>
      <c r="S5264">
        <v>-1.4192499999999999</v>
      </c>
      <c r="T5264">
        <v>-0.29145130000000002</v>
      </c>
      <c r="U5264">
        <v>-3.0115810000000001</v>
      </c>
      <c r="V5264">
        <v>-0.38208999999999999</v>
      </c>
      <c r="W5264">
        <v>0.36070370000000002</v>
      </c>
      <c r="X5264">
        <v>0.8508232</v>
      </c>
      <c r="Y5264">
        <v>-0.45291920000000002</v>
      </c>
      <c r="Z5264">
        <v>2.487926E-2</v>
      </c>
      <c r="AA5264">
        <v>0.89120440000000001</v>
      </c>
      <c r="AB5264">
        <v>28</v>
      </c>
      <c r="AC5264">
        <v>-0.17879999999996701</v>
      </c>
      <c r="AD5264">
        <v>-8.0794000000000005E-2</v>
      </c>
      <c r="AE5264">
        <v>-0.65749999999999797</v>
      </c>
      <c r="AF5264">
        <v>-0.40419621580432202</v>
      </c>
      <c r="AG5264">
        <v>-8.0794000000000005E-2</v>
      </c>
      <c r="AH5264">
        <v>0.53676440930190605</v>
      </c>
      <c r="AI5264">
        <v>96.856419197991599</v>
      </c>
      <c r="AJ5264">
        <v>126.980606575026</v>
      </c>
      <c r="AK5264">
        <v>0.67677047985248195</v>
      </c>
      <c r="AL5264">
        <v>68.856581564348602</v>
      </c>
      <c r="AM5264">
        <v>114.18402465258001</v>
      </c>
      <c r="AN5264">
        <v>1.00000002247596</v>
      </c>
    </row>
    <row r="5265" spans="1:40" x14ac:dyDescent="0.25">
      <c r="A5265" t="str">
        <f>"20190304164232001"</f>
        <v>20190304164232001</v>
      </c>
      <c r="B5265" t="str">
        <f>"1551688951996884"</f>
        <v>1551688951996884</v>
      </c>
      <c r="C5265" t="s">
        <v>40</v>
      </c>
      <c r="D5265">
        <v>4.2881410000000004</v>
      </c>
      <c r="E5265">
        <v>0.46430959999999899</v>
      </c>
      <c r="F5265" t="s">
        <v>53</v>
      </c>
      <c r="G5265">
        <v>-414.4092</v>
      </c>
      <c r="H5265" s="1">
        <v>-2.1778449999999999E-6</v>
      </c>
      <c r="I5265">
        <v>121.453</v>
      </c>
      <c r="J5265">
        <v>-409.46600000000001</v>
      </c>
      <c r="K5265">
        <v>1.1191469999999999</v>
      </c>
      <c r="L5265">
        <v>132.15539999999999</v>
      </c>
      <c r="M5265">
        <v>-0.78298100000000004</v>
      </c>
      <c r="N5265">
        <v>-1.5143749999999999E-2</v>
      </c>
      <c r="O5265">
        <v>-0.62186129999999995</v>
      </c>
      <c r="P5265">
        <v>-0.43775599999999998</v>
      </c>
      <c r="Q5265">
        <v>0.35594890000000001</v>
      </c>
      <c r="R5265">
        <v>-0.82563310000000001</v>
      </c>
      <c r="S5265">
        <v>-1.4267879999999999</v>
      </c>
      <c r="T5265">
        <v>-0.3098072</v>
      </c>
      <c r="U5265">
        <v>-3.0121310000000001</v>
      </c>
      <c r="V5265">
        <v>-0.38184459999999998</v>
      </c>
      <c r="W5265">
        <v>0.36103360000000001</v>
      </c>
      <c r="X5265">
        <v>0.85079340000000003</v>
      </c>
      <c r="Y5265">
        <v>-0.44103759999999997</v>
      </c>
      <c r="Z5265">
        <v>2.8615680000000001E-2</v>
      </c>
      <c r="AA5265">
        <v>0.8970323</v>
      </c>
      <c r="AB5265">
        <v>28</v>
      </c>
      <c r="AC5265">
        <v>-4.9431999999999903</v>
      </c>
      <c r="AD5265">
        <v>-1.11914917784499</v>
      </c>
      <c r="AE5265">
        <v>-10.7023999999999</v>
      </c>
      <c r="AF5265">
        <v>-5.2590038548594604</v>
      </c>
      <c r="AG5265">
        <v>-1.11914917784499</v>
      </c>
      <c r="AH5265">
        <v>10.4330216995745</v>
      </c>
      <c r="AI5265">
        <v>95.471585650039302</v>
      </c>
      <c r="AJ5265">
        <v>116.75143639106</v>
      </c>
      <c r="AK5265">
        <v>11.7370165805238</v>
      </c>
      <c r="AL5265">
        <v>68.836313140538806</v>
      </c>
      <c r="AM5265">
        <v>114.171020679021</v>
      </c>
      <c r="AN5265">
        <v>0.99999998418084002</v>
      </c>
    </row>
    <row r="5266" spans="1:40" x14ac:dyDescent="0.25">
      <c r="A5266" t="str">
        <f>"20190304164232024"</f>
        <v>20190304164232024</v>
      </c>
      <c r="B5266" t="str">
        <f>"1551688952016405"</f>
        <v>1551688952016405</v>
      </c>
      <c r="C5266" t="s">
        <v>40</v>
      </c>
      <c r="D5266">
        <v>4.3119949999999996</v>
      </c>
      <c r="E5266">
        <v>0.46840270000000001</v>
      </c>
      <c r="F5266" t="s">
        <v>53</v>
      </c>
      <c r="G5266">
        <v>-414.67169999999999</v>
      </c>
      <c r="H5266" s="1">
        <v>-1.8768950000000001E-6</v>
      </c>
      <c r="I5266">
        <v>120.8479</v>
      </c>
      <c r="J5266">
        <v>-409.67320000000001</v>
      </c>
      <c r="K5266">
        <v>1.119127</v>
      </c>
      <c r="L5266">
        <v>131.97559999999999</v>
      </c>
      <c r="M5266">
        <v>-0.77591690000000002</v>
      </c>
      <c r="N5266">
        <v>-1.5148399999999999E-2</v>
      </c>
      <c r="O5266">
        <v>-0.63065309999999997</v>
      </c>
      <c r="P5266">
        <v>-0.42976219999999998</v>
      </c>
      <c r="Q5266">
        <v>0.35593909999999901</v>
      </c>
      <c r="R5266">
        <v>-0.82982619999999896</v>
      </c>
      <c r="S5266">
        <v>-1.3923650000000001</v>
      </c>
      <c r="T5266">
        <v>-0.2993381</v>
      </c>
      <c r="U5266">
        <v>-3.0244140000000002</v>
      </c>
      <c r="V5266">
        <v>-0.3804477</v>
      </c>
      <c r="W5266">
        <v>0.36107709999999998</v>
      </c>
      <c r="X5266">
        <v>0.85140049999999901</v>
      </c>
      <c r="Y5266">
        <v>-0.44073570000000001</v>
      </c>
      <c r="Z5266">
        <v>2.8122189999999998E-2</v>
      </c>
      <c r="AA5266">
        <v>0.89719629999999995</v>
      </c>
      <c r="AB5266">
        <v>28</v>
      </c>
      <c r="AC5266">
        <v>-4.9984999999999697</v>
      </c>
      <c r="AD5266">
        <v>-1.1191288768950001</v>
      </c>
      <c r="AE5266">
        <v>-11.1276999999999</v>
      </c>
      <c r="AF5266">
        <v>-5.43672288225883</v>
      </c>
      <c r="AG5266">
        <v>-1.1191288768950001</v>
      </c>
      <c r="AH5266">
        <v>10.8064391498735</v>
      </c>
      <c r="AI5266">
        <v>95.285561323516802</v>
      </c>
      <c r="AJ5266">
        <v>116.70698259927499</v>
      </c>
      <c r="AK5266">
        <v>12.148643226364699</v>
      </c>
      <c r="AL5266">
        <v>68.833640129525904</v>
      </c>
      <c r="AM5266">
        <v>114.077445383423</v>
      </c>
      <c r="AN5266">
        <v>0.99999996798997404</v>
      </c>
    </row>
    <row r="5267" spans="1:40" x14ac:dyDescent="0.25">
      <c r="A5267" t="str">
        <f>"20190304164232057"</f>
        <v>20190304164232057</v>
      </c>
      <c r="B5267" t="str">
        <f>"1551688952046281"</f>
        <v>1551688952046281</v>
      </c>
      <c r="C5267" t="s">
        <v>40</v>
      </c>
      <c r="D5267">
        <v>4.3455009999999996</v>
      </c>
      <c r="E5267">
        <v>0.46977819999999998</v>
      </c>
      <c r="F5267" t="s">
        <v>41</v>
      </c>
      <c r="G5267">
        <v>-410.11349999999999</v>
      </c>
      <c r="H5267">
        <v>1.0211399999999999</v>
      </c>
      <c r="I5267">
        <v>131.01660000000001</v>
      </c>
      <c r="J5267">
        <v>-409.98200000000003</v>
      </c>
      <c r="K5267">
        <v>1.119113</v>
      </c>
      <c r="L5267">
        <v>131.69970000000001</v>
      </c>
      <c r="M5267">
        <v>-0.76507269999999905</v>
      </c>
      <c r="N5267">
        <v>-1.5152509999999999E-2</v>
      </c>
      <c r="O5267">
        <v>-0.643765699999999</v>
      </c>
      <c r="P5267">
        <v>-0.41823670000000002</v>
      </c>
      <c r="Q5267">
        <v>0.35456510000000002</v>
      </c>
      <c r="R5267">
        <v>-0.83627839999999998</v>
      </c>
      <c r="S5267">
        <v>-1.3902589999999999</v>
      </c>
      <c r="T5267">
        <v>-0.3093997</v>
      </c>
      <c r="U5267">
        <v>-3.0279240000000001</v>
      </c>
      <c r="V5267">
        <v>-0.37812180000000001</v>
      </c>
      <c r="W5267">
        <v>0.35979929999999999</v>
      </c>
      <c r="X5267">
        <v>0.85297619999999896</v>
      </c>
      <c r="Y5267">
        <v>-0.4263902</v>
      </c>
      <c r="Z5267">
        <v>3.1417300000000002E-2</v>
      </c>
      <c r="AA5267">
        <v>0.90399350000000001</v>
      </c>
      <c r="AB5267">
        <v>28</v>
      </c>
      <c r="AC5267">
        <v>-0.13150000000001599</v>
      </c>
      <c r="AD5267">
        <v>-9.7973000000000005E-2</v>
      </c>
      <c r="AE5267">
        <v>-0.68309999999999504</v>
      </c>
      <c r="AF5267">
        <v>-0.42949698584145501</v>
      </c>
      <c r="AG5267">
        <v>-9.7973000000000005E-2</v>
      </c>
      <c r="AH5267">
        <v>0.52991435560465805</v>
      </c>
      <c r="AI5267">
        <v>98.1735957260167</v>
      </c>
      <c r="AJ5267">
        <v>129.024858126514</v>
      </c>
      <c r="AK5267">
        <v>0.68911217798831204</v>
      </c>
      <c r="AL5267">
        <v>68.912129463161904</v>
      </c>
      <c r="AM5267">
        <v>113.90756673548</v>
      </c>
      <c r="AN5267">
        <v>1.0000000148410799</v>
      </c>
    </row>
    <row r="5268" spans="1:40" x14ac:dyDescent="0.25">
      <c r="A5268" t="str">
        <f>"20190304164232080"</f>
        <v>20190304164232080</v>
      </c>
      <c r="B5268" t="str">
        <f>"1551688952066777"</f>
        <v>1551688952066777</v>
      </c>
      <c r="C5268" t="s">
        <v>40</v>
      </c>
      <c r="D5268">
        <v>4.3152089999999896</v>
      </c>
      <c r="E5268">
        <v>0.47066479999999999</v>
      </c>
      <c r="F5268" t="s">
        <v>53</v>
      </c>
      <c r="G5268">
        <v>-414.84109999999998</v>
      </c>
      <c r="H5268" s="1">
        <v>-1.7893660000000001E-6</v>
      </c>
      <c r="I5268">
        <v>120.7367</v>
      </c>
      <c r="J5268">
        <v>-410.18099999999998</v>
      </c>
      <c r="K5268">
        <v>1.1190960000000001</v>
      </c>
      <c r="L5268">
        <v>131.517</v>
      </c>
      <c r="M5268">
        <v>-0.75787919999999998</v>
      </c>
      <c r="N5268">
        <v>-1.515376E-2</v>
      </c>
      <c r="O5268">
        <v>-0.65221879999999999</v>
      </c>
      <c r="P5268">
        <v>-0.41121049999999998</v>
      </c>
      <c r="Q5268">
        <v>0.35420689999999999</v>
      </c>
      <c r="R5268">
        <v>-0.83990689999999901</v>
      </c>
      <c r="S5268">
        <v>-1.3493040000000001</v>
      </c>
      <c r="T5268">
        <v>-0.31076229999999999</v>
      </c>
      <c r="U5268">
        <v>-3.0442659999999999</v>
      </c>
      <c r="V5268">
        <v>-0.37588110000000002</v>
      </c>
      <c r="W5268">
        <v>0.35952079999999997</v>
      </c>
      <c r="X5268">
        <v>0.85408320000000004</v>
      </c>
      <c r="Y5268">
        <v>-0.42831520000000001</v>
      </c>
      <c r="Z5268">
        <v>3.2374090000000001E-2</v>
      </c>
      <c r="AA5268">
        <v>0.90304930000000005</v>
      </c>
      <c r="AB5268">
        <v>28</v>
      </c>
      <c r="AC5268">
        <v>-4.6600999999999999</v>
      </c>
      <c r="AD5268">
        <v>-1.1190977893659999</v>
      </c>
      <c r="AE5268">
        <v>-10.780299999999899</v>
      </c>
      <c r="AF5268">
        <v>-5.0851777798241597</v>
      </c>
      <c r="AG5268">
        <v>-1.1190977893659999</v>
      </c>
      <c r="AH5268">
        <v>10.4690645609114</v>
      </c>
      <c r="AI5268">
        <v>95.492265320363003</v>
      </c>
      <c r="AJ5268">
        <v>115.907409412362</v>
      </c>
      <c r="AK5268">
        <v>11.6924217207177</v>
      </c>
      <c r="AL5268">
        <v>68.9292294773865</v>
      </c>
      <c r="AM5268">
        <v>113.754243068885</v>
      </c>
      <c r="AN5268">
        <v>0.99999995974604405</v>
      </c>
    </row>
    <row r="5269" spans="1:40" x14ac:dyDescent="0.25">
      <c r="A5269" t="str">
        <f>"20190304164232101"</f>
        <v>20190304164232101</v>
      </c>
      <c r="B5269" t="str">
        <f>"1551688952096056"</f>
        <v>1551688952096056</v>
      </c>
      <c r="C5269" t="s">
        <v>40</v>
      </c>
      <c r="D5269">
        <v>4.320487</v>
      </c>
      <c r="E5269">
        <v>0.47158529999999999</v>
      </c>
      <c r="F5269" t="s">
        <v>53</v>
      </c>
      <c r="G5269">
        <v>-414.91849999999999</v>
      </c>
      <c r="H5269" s="1">
        <v>-1.7256090000000001E-6</v>
      </c>
      <c r="I5269">
        <v>120.6237</v>
      </c>
      <c r="J5269">
        <v>-410.37959999999998</v>
      </c>
      <c r="K5269">
        <v>1.1190869999999999</v>
      </c>
      <c r="L5269">
        <v>131.3306</v>
      </c>
      <c r="M5269">
        <v>-0.75053009999999998</v>
      </c>
      <c r="N5269">
        <v>-1.5154000000000001E-2</v>
      </c>
      <c r="O5269">
        <v>-0.66066259999999999</v>
      </c>
      <c r="P5269">
        <v>-0.40382390000000001</v>
      </c>
      <c r="Q5269">
        <v>0.35327900000000001</v>
      </c>
      <c r="R5269">
        <v>-0.84387199999999996</v>
      </c>
      <c r="S5269">
        <v>-1.328125</v>
      </c>
      <c r="T5269">
        <v>-0.31373379999999901</v>
      </c>
      <c r="U5269">
        <v>-3.0538940000000001</v>
      </c>
      <c r="V5269">
        <v>-0.37405670000000002</v>
      </c>
      <c r="W5269">
        <v>0.35866540000000002</v>
      </c>
      <c r="X5269">
        <v>0.85524299999999998</v>
      </c>
      <c r="Y5269">
        <v>-0.4245352</v>
      </c>
      <c r="Z5269">
        <v>3.3820669999999997E-2</v>
      </c>
      <c r="AA5269">
        <v>0.90477960000000002</v>
      </c>
      <c r="AB5269">
        <v>28</v>
      </c>
      <c r="AC5269">
        <v>-4.5389000000000097</v>
      </c>
      <c r="AD5269">
        <v>-1.1190887256090001</v>
      </c>
      <c r="AE5269">
        <v>-10.706899999999999</v>
      </c>
      <c r="AF5269">
        <v>-4.9915242433448199</v>
      </c>
      <c r="AG5269">
        <v>-1.1190887256090001</v>
      </c>
      <c r="AH5269">
        <v>10.385261407098801</v>
      </c>
      <c r="AI5269">
        <v>95.547264822024204</v>
      </c>
      <c r="AJ5269">
        <v>115.670586906282</v>
      </c>
      <c r="AK5269">
        <v>11.5767581101732</v>
      </c>
      <c r="AL5269">
        <v>68.981742330214104</v>
      </c>
      <c r="AM5269">
        <v>113.623073266619</v>
      </c>
      <c r="AN5269">
        <v>0.99999993651052199</v>
      </c>
    </row>
    <row r="5270" spans="1:40" x14ac:dyDescent="0.25">
      <c r="A5270" t="str">
        <f>"20190304164232124"</f>
        <v>20190304164232124</v>
      </c>
      <c r="B5270" t="str">
        <f>"1551688952116553"</f>
        <v>1551688952116553</v>
      </c>
      <c r="C5270" t="s">
        <v>40</v>
      </c>
      <c r="D5270">
        <v>4.321809</v>
      </c>
      <c r="E5270">
        <v>0.47221570000000002</v>
      </c>
      <c r="F5270" t="s">
        <v>53</v>
      </c>
      <c r="G5270">
        <v>-415.02730000000003</v>
      </c>
      <c r="H5270" s="1">
        <v>-1.61862E-6</v>
      </c>
      <c r="I5270">
        <v>120.4194</v>
      </c>
      <c r="J5270">
        <v>-410.5754</v>
      </c>
      <c r="K5270">
        <v>1.1190610000000001</v>
      </c>
      <c r="L5270">
        <v>131.14230000000001</v>
      </c>
      <c r="M5270">
        <v>-0.74311130000000003</v>
      </c>
      <c r="N5270">
        <v>-1.5153420000000001E-2</v>
      </c>
      <c r="O5270">
        <v>-0.66899629999999999</v>
      </c>
      <c r="P5270">
        <v>-0.39632309999999998</v>
      </c>
      <c r="Q5270">
        <v>0.35198359999999901</v>
      </c>
      <c r="R5270">
        <v>-0.84795959999999904</v>
      </c>
      <c r="S5270">
        <v>-1.3044129999999901</v>
      </c>
      <c r="T5270">
        <v>-0.31408350000000002</v>
      </c>
      <c r="U5270">
        <v>-3.0623320000000001</v>
      </c>
      <c r="V5270">
        <v>-0.37244270000000002</v>
      </c>
      <c r="W5270">
        <v>0.35743839999999999</v>
      </c>
      <c r="X5270">
        <v>0.85646029999999995</v>
      </c>
      <c r="Y5270">
        <v>-0.42128349999999998</v>
      </c>
      <c r="Z5270">
        <v>3.4885380000000001E-2</v>
      </c>
      <c r="AA5270">
        <v>0.9062578</v>
      </c>
      <c r="AB5270">
        <v>28</v>
      </c>
      <c r="AC5270">
        <v>-4.4519000000000197</v>
      </c>
      <c r="AD5270">
        <v>-1.1190626186199999</v>
      </c>
      <c r="AE5270">
        <v>-10.722899999999999</v>
      </c>
      <c r="AF5270">
        <v>-4.9446403035646496</v>
      </c>
      <c r="AG5270">
        <v>-1.1190626186199999</v>
      </c>
      <c r="AH5270">
        <v>10.3865491156409</v>
      </c>
      <c r="AI5270">
        <v>95.556274385468996</v>
      </c>
      <c r="AJ5270">
        <v>115.457339590253</v>
      </c>
      <c r="AK5270">
        <v>11.557775365858699</v>
      </c>
      <c r="AL5270">
        <v>69.0570377272402</v>
      </c>
      <c r="AM5270">
        <v>113.502428362695</v>
      </c>
      <c r="AN5270">
        <v>1.0000000100269699</v>
      </c>
    </row>
    <row r="5271" spans="1:40" x14ac:dyDescent="0.25">
      <c r="A5271" t="str">
        <f>"20190304164232146"</f>
        <v>20190304164232146</v>
      </c>
      <c r="B5271" t="str">
        <f>"1551688952136690"</f>
        <v>1551688952136690</v>
      </c>
      <c r="C5271" t="s">
        <v>40</v>
      </c>
      <c r="D5271">
        <v>4.3084680000000004</v>
      </c>
      <c r="E5271">
        <v>0.47286869999999998</v>
      </c>
      <c r="F5271" t="s">
        <v>41</v>
      </c>
      <c r="G5271">
        <v>-410.9769</v>
      </c>
      <c r="H5271">
        <v>1.0191330000000001</v>
      </c>
      <c r="I5271">
        <v>130.17830000000001</v>
      </c>
      <c r="J5271">
        <v>-410.76740000000001</v>
      </c>
      <c r="K5271">
        <v>1.1190370000000001</v>
      </c>
      <c r="L5271">
        <v>130.95359999999999</v>
      </c>
      <c r="M5271">
        <v>-0.73566409999999904</v>
      </c>
      <c r="N5271">
        <v>-1.5152250000000001E-2</v>
      </c>
      <c r="O5271">
        <v>-0.67717709999999998</v>
      </c>
      <c r="P5271">
        <v>-0.38862530000000001</v>
      </c>
      <c r="Q5271">
        <v>0.35074240000000001</v>
      </c>
      <c r="R5271">
        <v>-0.85202710000000004</v>
      </c>
      <c r="S5271">
        <v>-1.278168</v>
      </c>
      <c r="T5271">
        <v>-0.31830629999999999</v>
      </c>
      <c r="U5271">
        <v>-3.0726170000000002</v>
      </c>
      <c r="V5271">
        <v>-0.37104730000000002</v>
      </c>
      <c r="W5271">
        <v>0.35625970000000001</v>
      </c>
      <c r="X5271">
        <v>0.8575564</v>
      </c>
      <c r="Y5271">
        <v>-0.4189485</v>
      </c>
      <c r="Z5271">
        <v>3.6478289999999997E-2</v>
      </c>
      <c r="AA5271">
        <v>0.90727690000000005</v>
      </c>
      <c r="AB5271">
        <v>28</v>
      </c>
      <c r="AC5271">
        <v>-0.209499999999991</v>
      </c>
      <c r="AD5271">
        <v>-9.9904000000000007E-2</v>
      </c>
      <c r="AE5271">
        <v>-0.775299999999987</v>
      </c>
      <c r="AF5271">
        <v>-0.42201051217383601</v>
      </c>
      <c r="AG5271">
        <v>-9.9904000000000007E-2</v>
      </c>
      <c r="AH5271">
        <v>0.66886457337694505</v>
      </c>
      <c r="AI5271">
        <v>97.1995790984693</v>
      </c>
      <c r="AJ5271">
        <v>122.249288983797</v>
      </c>
      <c r="AK5271">
        <v>0.797153372394514</v>
      </c>
      <c r="AL5271">
        <v>69.129332319779195</v>
      </c>
      <c r="AM5271">
        <v>113.39715850691999</v>
      </c>
      <c r="AN5271">
        <v>1.0000000259311601</v>
      </c>
    </row>
    <row r="5272" spans="1:40" x14ac:dyDescent="0.25">
      <c r="A5272" t="str">
        <f>"20190304164232168"</f>
        <v>20190304164232168</v>
      </c>
      <c r="B5272" t="str">
        <f>"1551688952156210"</f>
        <v>1551688952156210</v>
      </c>
      <c r="C5272" t="s">
        <v>40</v>
      </c>
      <c r="D5272">
        <v>4.3359670000000001</v>
      </c>
      <c r="E5272">
        <v>0.4731939</v>
      </c>
      <c r="F5272" t="s">
        <v>41</v>
      </c>
      <c r="G5272">
        <v>-411.1508</v>
      </c>
      <c r="H5272">
        <v>1.020159</v>
      </c>
      <c r="I5272">
        <v>130.00960000000001</v>
      </c>
      <c r="J5272">
        <v>-410.95639999999997</v>
      </c>
      <c r="K5272">
        <v>1.1190100000000001</v>
      </c>
      <c r="L5272">
        <v>130.76349999999999</v>
      </c>
      <c r="M5272">
        <v>-0.72815949999999996</v>
      </c>
      <c r="N5272">
        <v>-1.515055E-2</v>
      </c>
      <c r="O5272">
        <v>-0.68524039999999997</v>
      </c>
      <c r="P5272">
        <v>-0.37972329999999999</v>
      </c>
      <c r="Q5272">
        <v>0.35126499999999999</v>
      </c>
      <c r="R5272">
        <v>-0.85581759999999996</v>
      </c>
      <c r="S5272">
        <v>-1.252319</v>
      </c>
      <c r="T5272">
        <v>-0.32290239999999998</v>
      </c>
      <c r="U5272">
        <v>-3.082703</v>
      </c>
      <c r="V5272">
        <v>-0.37037100000000001</v>
      </c>
      <c r="W5272">
        <v>0.3568153</v>
      </c>
      <c r="X5272">
        <v>0.85761769999999904</v>
      </c>
      <c r="Y5272">
        <v>-0.41653669999999998</v>
      </c>
      <c r="Z5272">
        <v>3.8147670000000002E-2</v>
      </c>
      <c r="AA5272">
        <v>0.90831819999999996</v>
      </c>
      <c r="AB5272">
        <v>28</v>
      </c>
      <c r="AC5272">
        <v>-0.19440000000002999</v>
      </c>
      <c r="AD5272">
        <v>-9.8850999999999994E-2</v>
      </c>
      <c r="AE5272">
        <v>-0.75389999999998702</v>
      </c>
      <c r="AF5272">
        <v>-0.409199905726501</v>
      </c>
      <c r="AG5272">
        <v>-9.8850999999999994E-2</v>
      </c>
      <c r="AH5272">
        <v>0.64778976092108798</v>
      </c>
      <c r="AI5272">
        <v>97.351300364619604</v>
      </c>
      <c r="AJ5272">
        <v>122.280040318872</v>
      </c>
      <c r="AK5272">
        <v>0.77255916110145095</v>
      </c>
      <c r="AL5272">
        <v>69.095258501010704</v>
      </c>
      <c r="AM5272">
        <v>113.357596665911</v>
      </c>
      <c r="AN5272">
        <v>0.99999997765418902</v>
      </c>
    </row>
    <row r="5273" spans="1:40" x14ac:dyDescent="0.25">
      <c r="A5273" t="str">
        <f>"20190304164232192"</f>
        <v>20190304164232192</v>
      </c>
      <c r="B5273" t="str">
        <f>"1551688952186466"</f>
        <v>1551688952186466</v>
      </c>
      <c r="C5273" t="s">
        <v>40</v>
      </c>
      <c r="D5273">
        <v>4.344678</v>
      </c>
      <c r="E5273">
        <v>0.47899170000000002</v>
      </c>
      <c r="F5273" t="s">
        <v>41</v>
      </c>
      <c r="G5273">
        <v>-411.33769999999998</v>
      </c>
      <c r="H5273">
        <v>1.018775</v>
      </c>
      <c r="I5273">
        <v>129.79769999999999</v>
      </c>
      <c r="J5273">
        <v>-411.1583</v>
      </c>
      <c r="K5273">
        <v>1.1189960000000001</v>
      </c>
      <c r="L5273">
        <v>130.55600000000001</v>
      </c>
      <c r="M5273">
        <v>-0.71995229999999999</v>
      </c>
      <c r="N5273">
        <v>-1.5148119999999999E-2</v>
      </c>
      <c r="O5273">
        <v>-0.69385819999999998</v>
      </c>
      <c r="P5273">
        <v>-0.37021959999999998</v>
      </c>
      <c r="Q5273">
        <v>0.35284900000000002</v>
      </c>
      <c r="R5273">
        <v>-0.85932260000000005</v>
      </c>
      <c r="S5273">
        <v>-1.2211299999999901</v>
      </c>
      <c r="T5273">
        <v>-0.32113229999999998</v>
      </c>
      <c r="U5273">
        <v>-3.0953979999999999</v>
      </c>
      <c r="V5273">
        <v>-0.36920370000000002</v>
      </c>
      <c r="W5273">
        <v>0.35844019999999999</v>
      </c>
      <c r="X5273">
        <v>0.85744349999999903</v>
      </c>
      <c r="Y5273">
        <v>-0.41492970000000001</v>
      </c>
      <c r="Z5273">
        <v>3.8840359999999997E-2</v>
      </c>
      <c r="AA5273">
        <v>0.9090241</v>
      </c>
      <c r="AB5273">
        <v>28</v>
      </c>
      <c r="AC5273">
        <v>-0.17939999999998599</v>
      </c>
      <c r="AD5273">
        <v>-0.10022099999999901</v>
      </c>
      <c r="AE5273">
        <v>-0.75830000000001896</v>
      </c>
      <c r="AF5273">
        <v>-0.41465095291784498</v>
      </c>
      <c r="AG5273">
        <v>-0.10022099999999901</v>
      </c>
      <c r="AH5273">
        <v>0.64472243587015998</v>
      </c>
      <c r="AI5273">
        <v>97.448745871445894</v>
      </c>
      <c r="AJ5273">
        <v>122.746954093814</v>
      </c>
      <c r="AK5273">
        <v>0.77307611585860703</v>
      </c>
      <c r="AL5273">
        <v>68.995566925233305</v>
      </c>
      <c r="AM5273">
        <v>113.296064834975</v>
      </c>
      <c r="AN5273">
        <v>1.00000005238098</v>
      </c>
    </row>
    <row r="5274" spans="1:40" x14ac:dyDescent="0.25">
      <c r="A5274" t="str">
        <f>"20190304164232213"</f>
        <v>20190304164232213</v>
      </c>
      <c r="B5274" t="str">
        <f>"1551688952205986"</f>
        <v>1551688952205986</v>
      </c>
      <c r="C5274" t="s">
        <v>40</v>
      </c>
      <c r="D5274">
        <v>4.3335309999999998</v>
      </c>
      <c r="E5274">
        <v>0.47937859999999999</v>
      </c>
      <c r="F5274" t="s">
        <v>53</v>
      </c>
      <c r="G5274">
        <v>-415.44029999999998</v>
      </c>
      <c r="H5274" s="1">
        <v>-1.263352E-6</v>
      </c>
      <c r="I5274">
        <v>119.777</v>
      </c>
      <c r="J5274">
        <v>-411.33819999999997</v>
      </c>
      <c r="K5274">
        <v>1.118995</v>
      </c>
      <c r="L5274">
        <v>130.36680000000001</v>
      </c>
      <c r="M5274">
        <v>-0.71246129999999996</v>
      </c>
      <c r="N5274">
        <v>-1.5145580000000001E-2</v>
      </c>
      <c r="O5274">
        <v>-0.70154799999999995</v>
      </c>
      <c r="P5274">
        <v>-0.36181410000000003</v>
      </c>
      <c r="Q5274">
        <v>0.35529369999999999</v>
      </c>
      <c r="R5274">
        <v>-0.86189199999999999</v>
      </c>
      <c r="S5274">
        <v>-1.228912</v>
      </c>
      <c r="T5274">
        <v>-0.3211485</v>
      </c>
      <c r="U5274">
        <v>-3.0935519999999999</v>
      </c>
      <c r="V5274">
        <v>-0.3676777</v>
      </c>
      <c r="W5274">
        <v>0.36092819999999998</v>
      </c>
      <c r="X5274">
        <v>0.85705540000000002</v>
      </c>
      <c r="Y5274">
        <v>-0.40301870000000001</v>
      </c>
      <c r="Z5274">
        <v>4.0171659999999998E-2</v>
      </c>
      <c r="AA5274">
        <v>0.9143097</v>
      </c>
      <c r="AB5274">
        <v>28</v>
      </c>
      <c r="AC5274">
        <v>-4.1021000000000001</v>
      </c>
      <c r="AD5274">
        <v>-1.1189962633520001</v>
      </c>
      <c r="AE5274">
        <v>-10.5898</v>
      </c>
      <c r="AF5274">
        <v>-4.6226573978663197</v>
      </c>
      <c r="AG5274">
        <v>-1.1189962633520001</v>
      </c>
      <c r="AH5274">
        <v>10.2534787243516</v>
      </c>
      <c r="AI5274">
        <v>95.681649203238905</v>
      </c>
      <c r="AJ5274">
        <v>114.26765910409</v>
      </c>
      <c r="AK5274">
        <v>11.3028730863518</v>
      </c>
      <c r="AL5274">
        <v>68.842789265479098</v>
      </c>
      <c r="AM5274">
        <v>113.219385018289</v>
      </c>
      <c r="AN5274">
        <v>1.00000000765084</v>
      </c>
    </row>
    <row r="5275" spans="1:40" x14ac:dyDescent="0.25">
      <c r="A5275" t="str">
        <f>"20190304164232235"</f>
        <v>20190304164232235</v>
      </c>
      <c r="B5275" t="str">
        <f>"1551688952226482"</f>
        <v>1551688952226482</v>
      </c>
      <c r="C5275" t="s">
        <v>40</v>
      </c>
      <c r="D5275">
        <v>4.3287279999999999</v>
      </c>
      <c r="E5275">
        <v>0.48019020000000001</v>
      </c>
      <c r="F5275" t="s">
        <v>42</v>
      </c>
      <c r="G5275">
        <v>-415.66489999999999</v>
      </c>
      <c r="H5275" s="1">
        <v>-4.8532079999999998E-6</v>
      </c>
      <c r="I5275">
        <v>119.1532</v>
      </c>
      <c r="J5275">
        <v>-411.5172</v>
      </c>
      <c r="K5275">
        <v>1.1189770000000001</v>
      </c>
      <c r="L5275">
        <v>130.17449999999999</v>
      </c>
      <c r="M5275">
        <v>-0.70483799999999996</v>
      </c>
      <c r="N5275">
        <v>-1.5142630000000001E-2</v>
      </c>
      <c r="O5275">
        <v>-0.70920709999999998</v>
      </c>
      <c r="P5275">
        <v>-0.353661</v>
      </c>
      <c r="Q5275">
        <v>0.3577978</v>
      </c>
      <c r="R5275">
        <v>-0.86423680000000003</v>
      </c>
      <c r="S5275">
        <v>-1.198242</v>
      </c>
      <c r="T5275">
        <v>-0.30989430000000001</v>
      </c>
      <c r="U5275">
        <v>-3.1054689999999998</v>
      </c>
      <c r="V5275">
        <v>-0.36580249999999997</v>
      </c>
      <c r="W5275">
        <v>0.36348340000000001</v>
      </c>
      <c r="X5275">
        <v>0.85677789999999998</v>
      </c>
      <c r="Y5275">
        <v>-0.40217019999999998</v>
      </c>
      <c r="Z5275">
        <v>3.9130949999999998E-2</v>
      </c>
      <c r="AA5275">
        <v>0.91472830000000005</v>
      </c>
      <c r="AB5275">
        <v>28</v>
      </c>
      <c r="AC5275">
        <v>-4.14769999999998</v>
      </c>
      <c r="AD5275">
        <v>-1.118981853208</v>
      </c>
      <c r="AE5275">
        <v>-11.021299999999901</v>
      </c>
      <c r="AF5275">
        <v>-4.7840083212544204</v>
      </c>
      <c r="AG5275">
        <v>-1.118981853208</v>
      </c>
      <c r="AH5275">
        <v>10.6449521492031</v>
      </c>
      <c r="AI5275">
        <v>95.476823875892194</v>
      </c>
      <c r="AJ5275">
        <v>114.199897616984</v>
      </c>
      <c r="AK5275">
        <v>11.7240719148453</v>
      </c>
      <c r="AL5275">
        <v>68.685721920273593</v>
      </c>
      <c r="AM5275">
        <v>113.120125615139</v>
      </c>
      <c r="AN5275">
        <v>1.0000000105051099</v>
      </c>
    </row>
    <row r="5276" spans="1:40" x14ac:dyDescent="0.25">
      <c r="A5276" t="str">
        <f>"20190304164232257"</f>
        <v>20190304164232257</v>
      </c>
      <c r="B5276" t="str">
        <f>"1551688952246105"</f>
        <v>1551688952246105</v>
      </c>
      <c r="C5276" t="s">
        <v>40</v>
      </c>
      <c r="D5276">
        <v>4.3482070000000004</v>
      </c>
      <c r="E5276">
        <v>0.48062290000000002</v>
      </c>
      <c r="F5276" t="s">
        <v>42</v>
      </c>
      <c r="G5276">
        <v>-415.8272</v>
      </c>
      <c r="H5276" s="1">
        <v>-4.6283859999999996E-6</v>
      </c>
      <c r="I5276">
        <v>118.69629999999999</v>
      </c>
      <c r="J5276">
        <v>-411.7004</v>
      </c>
      <c r="K5276">
        <v>1.118968</v>
      </c>
      <c r="L5276">
        <v>129.97319999999999</v>
      </c>
      <c r="M5276">
        <v>-0.69685129999999995</v>
      </c>
      <c r="N5276">
        <v>-1.513923E-2</v>
      </c>
      <c r="O5276">
        <v>-0.71705589999999997</v>
      </c>
      <c r="P5276">
        <v>-0.3444004</v>
      </c>
      <c r="Q5276">
        <v>0.36093730000000002</v>
      </c>
      <c r="R5276">
        <v>-0.86666790000000005</v>
      </c>
      <c r="S5276">
        <v>-1.170776</v>
      </c>
      <c r="T5276">
        <v>-0.3039656</v>
      </c>
      <c r="U5276">
        <v>-3.1179960000000002</v>
      </c>
      <c r="V5276">
        <v>-0.36450090000000002</v>
      </c>
      <c r="W5276">
        <v>0.36665530000000002</v>
      </c>
      <c r="X5276">
        <v>0.85598079999999999</v>
      </c>
      <c r="Y5276">
        <v>-0.40020499999999998</v>
      </c>
      <c r="Z5276">
        <v>3.8968419999999997E-2</v>
      </c>
      <c r="AA5276">
        <v>0.91559669999999904</v>
      </c>
      <c r="AB5276">
        <v>28</v>
      </c>
      <c r="AC5276">
        <v>-4.1268000000000002</v>
      </c>
      <c r="AD5276">
        <v>-1.118972628386</v>
      </c>
      <c r="AE5276">
        <v>-11.2768999999999</v>
      </c>
      <c r="AF5276">
        <v>-4.8575585756669897</v>
      </c>
      <c r="AG5276">
        <v>-1.118972628386</v>
      </c>
      <c r="AH5276">
        <v>10.868814100895801</v>
      </c>
      <c r="AI5276">
        <v>95.369597564188894</v>
      </c>
      <c r="AJ5276">
        <v>114.08112243396</v>
      </c>
      <c r="AK5276">
        <v>11.957386629985001</v>
      </c>
      <c r="AL5276">
        <v>68.490513386001297</v>
      </c>
      <c r="AM5276">
        <v>113.06568034827301</v>
      </c>
      <c r="AN5276">
        <v>1.0000000725437601</v>
      </c>
    </row>
    <row r="5277" spans="1:40" x14ac:dyDescent="0.25">
      <c r="A5277" t="str">
        <f>"20190304164232283"</f>
        <v>20190304164232283</v>
      </c>
      <c r="B5277" t="str">
        <f>"1551688952276361"</f>
        <v>1551688952276361</v>
      </c>
      <c r="C5277" t="s">
        <v>40</v>
      </c>
      <c r="D5277">
        <v>4.3924300000000001</v>
      </c>
      <c r="E5277">
        <v>0.4837996</v>
      </c>
      <c r="F5277" t="s">
        <v>42</v>
      </c>
      <c r="G5277">
        <v>-416.0163</v>
      </c>
      <c r="H5277" s="1">
        <v>-4.3330669999999998E-6</v>
      </c>
      <c r="I5277">
        <v>118.086</v>
      </c>
      <c r="J5277">
        <v>-411.89240000000001</v>
      </c>
      <c r="K5277">
        <v>1.118954</v>
      </c>
      <c r="L5277">
        <v>129.75749999999999</v>
      </c>
      <c r="M5277">
        <v>-0.6882819</v>
      </c>
      <c r="N5277">
        <v>-1.513545E-2</v>
      </c>
      <c r="O5277">
        <v>-0.72528549999999903</v>
      </c>
      <c r="P5277">
        <v>-0.3337465</v>
      </c>
      <c r="Q5277">
        <v>0.3636393</v>
      </c>
      <c r="R5277">
        <v>-0.86970069999999999</v>
      </c>
      <c r="S5277">
        <v>-1.1372679999999999</v>
      </c>
      <c r="T5277">
        <v>-0.29486119999999999</v>
      </c>
      <c r="U5277">
        <v>-3.1323850000000002</v>
      </c>
      <c r="V5277">
        <v>-0.36408679999999999</v>
      </c>
      <c r="W5277">
        <v>0.36936999999999998</v>
      </c>
      <c r="X5277">
        <v>0.8549892</v>
      </c>
      <c r="Y5277">
        <v>-0.39933030000000003</v>
      </c>
      <c r="Z5277">
        <v>3.8214539999999998E-2</v>
      </c>
      <c r="AA5277">
        <v>0.91601030000000006</v>
      </c>
      <c r="AB5277">
        <v>27</v>
      </c>
      <c r="AC5277">
        <v>-4.1238999999999901</v>
      </c>
      <c r="AD5277">
        <v>-1.1189583330670001</v>
      </c>
      <c r="AE5277">
        <v>-11.671499999999901</v>
      </c>
      <c r="AF5277">
        <v>-5.0019827782197996</v>
      </c>
      <c r="AG5277">
        <v>-1.1189583330670001</v>
      </c>
      <c r="AH5277">
        <v>11.213244744653901</v>
      </c>
      <c r="AI5277">
        <v>95.207151967440893</v>
      </c>
      <c r="AJ5277">
        <v>114.04060313546</v>
      </c>
      <c r="AK5277">
        <v>12.3291831508927</v>
      </c>
      <c r="AL5277">
        <v>68.323230364214396</v>
      </c>
      <c r="AM5277">
        <v>113.06614275233299</v>
      </c>
      <c r="AN5277">
        <v>0.99999996347543896</v>
      </c>
    </row>
    <row r="5278" spans="1:40" x14ac:dyDescent="0.25">
      <c r="A5278" t="str">
        <f>"20190304164232304"</f>
        <v>20190304164232304</v>
      </c>
      <c r="B5278" t="str">
        <f>"1551688952296856"</f>
        <v>1551688952296856</v>
      </c>
      <c r="C5278" t="s">
        <v>40</v>
      </c>
      <c r="D5278">
        <v>4.4024590000000003</v>
      </c>
      <c r="E5278">
        <v>0.48538379999999998</v>
      </c>
      <c r="F5278" t="s">
        <v>42</v>
      </c>
      <c r="G5278">
        <v>-415.97190000000001</v>
      </c>
      <c r="H5278" s="1">
        <v>-4.4444500000000003E-6</v>
      </c>
      <c r="I5278">
        <v>118.32729999999999</v>
      </c>
      <c r="J5278">
        <v>-412.0641</v>
      </c>
      <c r="K5278">
        <v>1.1189279999999999</v>
      </c>
      <c r="L5278">
        <v>129.5598</v>
      </c>
      <c r="M5278">
        <v>-0.680421099999999</v>
      </c>
      <c r="N5278">
        <v>-1.5131520000000001E-2</v>
      </c>
      <c r="O5278">
        <v>-0.73266509999999996</v>
      </c>
      <c r="P5278">
        <v>-0.32451049999999998</v>
      </c>
      <c r="Q5278">
        <v>0.36548439999999999</v>
      </c>
      <c r="R5278">
        <v>-0.87241849999999999</v>
      </c>
      <c r="S5278">
        <v>-1.1232599999999999</v>
      </c>
      <c r="T5278">
        <v>-0.30809829999999999</v>
      </c>
      <c r="U5278">
        <v>-3.1472319999999998</v>
      </c>
      <c r="V5278">
        <v>-0.36342000000000002</v>
      </c>
      <c r="W5278">
        <v>0.37123699999999998</v>
      </c>
      <c r="X5278">
        <v>0.85446420000000001</v>
      </c>
      <c r="Y5278">
        <v>-0.39447710000000002</v>
      </c>
      <c r="Z5278">
        <v>4.130516E-2</v>
      </c>
      <c r="AA5278">
        <v>0.91797700000000004</v>
      </c>
      <c r="AB5278">
        <v>27</v>
      </c>
      <c r="AC5278">
        <v>-3.9077999999999999</v>
      </c>
      <c r="AD5278">
        <v>-1.11893244445</v>
      </c>
      <c r="AE5278">
        <v>-11.2325</v>
      </c>
      <c r="AF5278">
        <v>-4.7383255484809004</v>
      </c>
      <c r="AG5278">
        <v>-1.11893244445</v>
      </c>
      <c r="AH5278">
        <v>10.794307215981901</v>
      </c>
      <c r="AI5278">
        <v>95.422114515110707</v>
      </c>
      <c r="AJ5278">
        <v>113.69980400217899</v>
      </c>
      <c r="AK5278">
        <v>11.841486692625599</v>
      </c>
      <c r="AL5278">
        <v>68.208074348491706</v>
      </c>
      <c r="AM5278">
        <v>113.0409793155</v>
      </c>
      <c r="AN5278">
        <v>1.00000003782531</v>
      </c>
    </row>
    <row r="5279" spans="1:40" x14ac:dyDescent="0.25">
      <c r="A5279" t="str">
        <f>"20190304164232325"</f>
        <v>20190304164232325</v>
      </c>
      <c r="B5279" t="str">
        <f>"1551688952316377"</f>
        <v>1551688952316377</v>
      </c>
      <c r="C5279" t="s">
        <v>40</v>
      </c>
      <c r="D5279">
        <v>4.5491029999999997</v>
      </c>
      <c r="E5279">
        <v>0.50191129999999995</v>
      </c>
      <c r="F5279" t="s">
        <v>41</v>
      </c>
      <c r="G5279">
        <v>-412.4375</v>
      </c>
      <c r="H5279">
        <v>1.0179469999999999</v>
      </c>
      <c r="I5279">
        <v>128.4854</v>
      </c>
      <c r="J5279">
        <v>-412.2328</v>
      </c>
      <c r="K5279">
        <v>1.1189100000000001</v>
      </c>
      <c r="L5279">
        <v>129.36109999999999</v>
      </c>
      <c r="M5279">
        <v>-0.67251759999999905</v>
      </c>
      <c r="N5279">
        <v>-1.512747E-2</v>
      </c>
      <c r="O5279">
        <v>-0.7399268</v>
      </c>
      <c r="P5279">
        <v>-0.31578919999999999</v>
      </c>
      <c r="Q5279">
        <v>0.36691240000000003</v>
      </c>
      <c r="R5279">
        <v>-0.87501589999999996</v>
      </c>
      <c r="S5279">
        <v>-1.0965879999999999</v>
      </c>
      <c r="T5279">
        <v>-0.29654819999999998</v>
      </c>
      <c r="U5279">
        <v>-3.1550289999999999</v>
      </c>
      <c r="V5279">
        <v>-0.362377</v>
      </c>
      <c r="W5279">
        <v>0.372699</v>
      </c>
      <c r="X5279">
        <v>0.85427070000000005</v>
      </c>
      <c r="Y5279">
        <v>-0.39223999999999998</v>
      </c>
      <c r="Z5279">
        <v>4.0089270000000003E-2</v>
      </c>
      <c r="AA5279">
        <v>0.9189889</v>
      </c>
      <c r="AB5279">
        <v>27</v>
      </c>
      <c r="AC5279">
        <v>-0.20470000000000199</v>
      </c>
      <c r="AD5279">
        <v>-0.100963</v>
      </c>
      <c r="AE5279">
        <v>-0.87569999999999404</v>
      </c>
      <c r="AF5279">
        <v>-0.43206486394063198</v>
      </c>
      <c r="AG5279">
        <v>-0.100963</v>
      </c>
      <c r="AH5279">
        <v>0.77592817950452397</v>
      </c>
      <c r="AI5279">
        <v>96.4856898437734</v>
      </c>
      <c r="AJ5279">
        <v>119.11064161517101</v>
      </c>
      <c r="AK5279">
        <v>0.89383338143651903</v>
      </c>
      <c r="AL5279">
        <v>68.117832529256205</v>
      </c>
      <c r="AM5279">
        <v>112.986393568045</v>
      </c>
      <c r="AN5279">
        <v>1.0000000318042399</v>
      </c>
    </row>
    <row r="5280" spans="1:40" x14ac:dyDescent="0.25">
      <c r="A5280" t="str">
        <f>"20190304164232347"</f>
        <v>20190304164232347</v>
      </c>
      <c r="B5280" t="str">
        <f>"1551688952336874"</f>
        <v>1551688952336874</v>
      </c>
      <c r="C5280" t="s">
        <v>40</v>
      </c>
      <c r="D5280">
        <v>4.4178119999999996</v>
      </c>
      <c r="E5280">
        <v>0.5161133</v>
      </c>
      <c r="F5280" t="s">
        <v>53</v>
      </c>
      <c r="G5280">
        <v>-415.84629999999999</v>
      </c>
      <c r="H5280" s="1">
        <v>-1.187084E-6</v>
      </c>
      <c r="I5280">
        <v>119.8601</v>
      </c>
      <c r="J5280">
        <v>-412.4033</v>
      </c>
      <c r="K5280">
        <v>1.1189020000000001</v>
      </c>
      <c r="L5280">
        <v>129.1558</v>
      </c>
      <c r="M5280">
        <v>-0.66434169999999904</v>
      </c>
      <c r="N5280">
        <v>-1.5122979999999999E-2</v>
      </c>
      <c r="O5280">
        <v>-0.74727600000000005</v>
      </c>
      <c r="P5280">
        <v>-0.30826779999999998</v>
      </c>
      <c r="Q5280">
        <v>0.36789470000000002</v>
      </c>
      <c r="R5280">
        <v>-0.87728229999999996</v>
      </c>
      <c r="S5280">
        <v>-1.198639</v>
      </c>
      <c r="T5280">
        <v>-0.37115550000000003</v>
      </c>
      <c r="U5280">
        <v>-3.1515810000000002</v>
      </c>
      <c r="V5280">
        <v>-0.36002840000000003</v>
      </c>
      <c r="W5280">
        <v>0.37375239999999998</v>
      </c>
      <c r="X5280">
        <v>0.85480330000000004</v>
      </c>
      <c r="Y5280">
        <v>-0.35552979999999901</v>
      </c>
      <c r="Z5280">
        <v>5.5393640000000001E-2</v>
      </c>
      <c r="AA5280">
        <v>0.93302200000000002</v>
      </c>
      <c r="AB5280">
        <v>27</v>
      </c>
      <c r="AC5280">
        <v>-3.4429999999999801</v>
      </c>
      <c r="AD5280">
        <v>-1.1189031870840001</v>
      </c>
      <c r="AE5280">
        <v>-9.2956999999999894</v>
      </c>
      <c r="AF5280">
        <v>-3.5577342702891901</v>
      </c>
      <c r="AG5280">
        <v>-1.1189031870840001</v>
      </c>
      <c r="AH5280">
        <v>9.1186609240240095</v>
      </c>
      <c r="AI5280">
        <v>96.521303971416501</v>
      </c>
      <c r="AJ5280">
        <v>111.313726741991</v>
      </c>
      <c r="AK5280">
        <v>9.8518726406394102</v>
      </c>
      <c r="AL5280">
        <v>68.052775336883798</v>
      </c>
      <c r="AM5280">
        <v>112.839986186636</v>
      </c>
      <c r="AN5280">
        <v>0.99999999350160496</v>
      </c>
    </row>
    <row r="5281" spans="1:40" x14ac:dyDescent="0.25">
      <c r="A5281" t="str">
        <f>"20190304164232371"</f>
        <v>20190304164232371</v>
      </c>
      <c r="B5281" t="str">
        <f>"1551688952367130"</f>
        <v>1551688952367130</v>
      </c>
      <c r="C5281" t="s">
        <v>40</v>
      </c>
      <c r="D5281">
        <v>4.3802219999999998</v>
      </c>
      <c r="E5281">
        <v>0.52483559999999996</v>
      </c>
      <c r="F5281" t="s">
        <v>53</v>
      </c>
      <c r="G5281">
        <v>-416.12299999999999</v>
      </c>
      <c r="H5281" s="1">
        <v>-1.187427E-6</v>
      </c>
      <c r="I5281">
        <v>120.0538</v>
      </c>
      <c r="J5281">
        <v>-412.57679999999999</v>
      </c>
      <c r="K5281">
        <v>1.1188849999999999</v>
      </c>
      <c r="L5281">
        <v>128.94229999999999</v>
      </c>
      <c r="M5281">
        <v>-0.65582489999999904</v>
      </c>
      <c r="N5281">
        <v>-1.511827E-2</v>
      </c>
      <c r="O5281">
        <v>-0.75476169999999998</v>
      </c>
      <c r="P5281">
        <v>-0.30144860000000001</v>
      </c>
      <c r="Q5281">
        <v>0.36779889999999998</v>
      </c>
      <c r="R5281">
        <v>-0.8796889</v>
      </c>
      <c r="S5281">
        <v>-1.2796940000000001</v>
      </c>
      <c r="T5281">
        <v>-0.38493759999999999</v>
      </c>
      <c r="U5281">
        <v>-3.1313780000000002</v>
      </c>
      <c r="V5281">
        <v>-0.35695290000000002</v>
      </c>
      <c r="W5281">
        <v>0.37375140000000001</v>
      </c>
      <c r="X5281">
        <v>0.85609259999999998</v>
      </c>
      <c r="Y5281">
        <v>-0.32201829999999998</v>
      </c>
      <c r="Z5281">
        <v>6.0169260000000002E-2</v>
      </c>
      <c r="AA5281">
        <v>0.94481950000000003</v>
      </c>
      <c r="AB5281">
        <v>27</v>
      </c>
      <c r="AC5281">
        <v>-3.54620000000005</v>
      </c>
      <c r="AD5281">
        <v>-1.118886187427</v>
      </c>
      <c r="AE5281">
        <v>-8.8884999999999899</v>
      </c>
      <c r="AF5281">
        <v>-3.1106021671136901</v>
      </c>
      <c r="AG5281">
        <v>-1.118886187427</v>
      </c>
      <c r="AH5281">
        <v>8.9135699171972096</v>
      </c>
      <c r="AI5281">
        <v>96.758983282798695</v>
      </c>
      <c r="AJ5281">
        <v>109.237647993365</v>
      </c>
      <c r="AK5281">
        <v>9.5068123370155195</v>
      </c>
      <c r="AL5281">
        <v>68.052837508718696</v>
      </c>
      <c r="AM5281">
        <v>112.633986141387</v>
      </c>
      <c r="AN5281">
        <v>1.00000001079756</v>
      </c>
    </row>
    <row r="5282" spans="1:40" x14ac:dyDescent="0.25">
      <c r="A5282" t="str">
        <f>"20190304164232393"</f>
        <v>20190304164232393</v>
      </c>
      <c r="B5282" t="str">
        <f>"1551688952386649"</f>
        <v>1551688952386649</v>
      </c>
      <c r="C5282" t="s">
        <v>40</v>
      </c>
      <c r="D5282">
        <v>4.3901680000000001</v>
      </c>
      <c r="E5282">
        <v>0.52765050000000002</v>
      </c>
      <c r="F5282" t="s">
        <v>53</v>
      </c>
      <c r="G5282">
        <v>-416.13600000000002</v>
      </c>
      <c r="H5282" s="1">
        <v>-1.3698969999999999E-6</v>
      </c>
      <c r="I5282">
        <v>120.54049999999999</v>
      </c>
      <c r="J5282">
        <v>-412.74810000000002</v>
      </c>
      <c r="K5282">
        <v>1.1188659999999999</v>
      </c>
      <c r="L5282">
        <v>128.72630000000001</v>
      </c>
      <c r="M5282">
        <v>-0.64720200000000006</v>
      </c>
      <c r="N5282">
        <v>-1.5113669999999999E-2</v>
      </c>
      <c r="O5282">
        <v>-0.76216879999999998</v>
      </c>
      <c r="P5282">
        <v>-0.29554279999999999</v>
      </c>
      <c r="Q5282">
        <v>0.36655189999999999</v>
      </c>
      <c r="R5282">
        <v>-0.88220980000000004</v>
      </c>
      <c r="S5282">
        <v>-1.3260190000000001</v>
      </c>
      <c r="T5282">
        <v>-0.41685800000000001</v>
      </c>
      <c r="U5282">
        <v>-3.130188</v>
      </c>
      <c r="V5282">
        <v>-0.3532247</v>
      </c>
      <c r="W5282">
        <v>0.37262279999999998</v>
      </c>
      <c r="X5282">
        <v>0.85812849999999996</v>
      </c>
      <c r="Y5282">
        <v>-0.29937239999999998</v>
      </c>
      <c r="Z5282">
        <v>6.7862169999999999E-2</v>
      </c>
      <c r="AA5282">
        <v>0.95171989999999995</v>
      </c>
      <c r="AB5282">
        <v>27</v>
      </c>
      <c r="AC5282">
        <v>-3.3878999999999402</v>
      </c>
      <c r="AD5282">
        <v>-1.118867369897</v>
      </c>
      <c r="AE5282">
        <v>-8.1858000000000093</v>
      </c>
      <c r="AF5282">
        <v>-2.67338316631673</v>
      </c>
      <c r="AG5282">
        <v>-1.118867369897</v>
      </c>
      <c r="AH5282">
        <v>8.3001889131352602</v>
      </c>
      <c r="AI5282">
        <v>97.311616463169003</v>
      </c>
      <c r="AJ5282">
        <v>107.85307625941201</v>
      </c>
      <c r="AK5282">
        <v>8.7915856214393706</v>
      </c>
      <c r="AL5282">
        <v>68.122536202796695</v>
      </c>
      <c r="AM5282">
        <v>112.373151053553</v>
      </c>
      <c r="AN5282">
        <v>0.99999998114108901</v>
      </c>
    </row>
    <row r="5283" spans="1:40" x14ac:dyDescent="0.25">
      <c r="A5283" t="str">
        <f>"20190304164232414"</f>
        <v>20190304164232414</v>
      </c>
      <c r="B5283" t="str">
        <f>"1551688952406169"</f>
        <v>1551688952406169</v>
      </c>
      <c r="C5283" t="s">
        <v>40</v>
      </c>
      <c r="D5283">
        <v>4.3885759999999996</v>
      </c>
      <c r="E5283">
        <v>0.52970150000000005</v>
      </c>
      <c r="F5283" t="s">
        <v>53</v>
      </c>
      <c r="G5283">
        <v>-416.10579999999999</v>
      </c>
      <c r="H5283" s="1">
        <v>-1.475651E-6</v>
      </c>
      <c r="I5283">
        <v>120.79640000000001</v>
      </c>
      <c r="J5283">
        <v>-412.90339999999998</v>
      </c>
      <c r="K5283">
        <v>1.118851</v>
      </c>
      <c r="L5283">
        <v>128.52629999999999</v>
      </c>
      <c r="M5283">
        <v>-0.63920310000000002</v>
      </c>
      <c r="N5283">
        <v>-1.510947E-2</v>
      </c>
      <c r="O5283">
        <v>-0.76888959999999995</v>
      </c>
      <c r="P5283">
        <v>-0.29007820000000001</v>
      </c>
      <c r="Q5283">
        <v>0.36519049999999997</v>
      </c>
      <c r="R5283">
        <v>-0.88458499999999995</v>
      </c>
      <c r="S5283">
        <v>-1.329224</v>
      </c>
      <c r="T5283">
        <v>-0.442938</v>
      </c>
      <c r="U5283">
        <v>-3.139313</v>
      </c>
      <c r="V5283">
        <v>-0.34985860000000002</v>
      </c>
      <c r="W5283">
        <v>0.37136809999999998</v>
      </c>
      <c r="X5283">
        <v>0.86004919999999996</v>
      </c>
      <c r="Y5283">
        <v>-0.28975919999999999</v>
      </c>
      <c r="Z5283">
        <v>7.4037859999999997E-2</v>
      </c>
      <c r="AA5283">
        <v>0.95423159999999896</v>
      </c>
      <c r="AB5283">
        <v>27</v>
      </c>
      <c r="AC5283">
        <v>-3.2024000000000101</v>
      </c>
      <c r="AD5283">
        <v>-1.1188524756510001</v>
      </c>
      <c r="AE5283">
        <v>-7.7298999999999802</v>
      </c>
      <c r="AF5283">
        <v>-2.4354177089147502</v>
      </c>
      <c r="AG5283">
        <v>-1.1188524756510001</v>
      </c>
      <c r="AH5283">
        <v>7.8509481410947703</v>
      </c>
      <c r="AI5283">
        <v>97.7510780952597</v>
      </c>
      <c r="AJ5283">
        <v>107.23424688351299</v>
      </c>
      <c r="AK5283">
        <v>8.2958108098802104</v>
      </c>
      <c r="AL5283">
        <v>68.199982903229895</v>
      </c>
      <c r="AM5283">
        <v>112.13595361964801</v>
      </c>
      <c r="AN5283">
        <v>0.99999996605610397</v>
      </c>
    </row>
    <row r="5284" spans="1:40" x14ac:dyDescent="0.25">
      <c r="A5284" t="str">
        <f>"20190304164232437"</f>
        <v>20190304164232437</v>
      </c>
      <c r="B5284" t="str">
        <f>"1551688952426665"</f>
        <v>1551688952426665</v>
      </c>
      <c r="C5284" t="s">
        <v>40</v>
      </c>
      <c r="D5284">
        <v>4.3963799999999997</v>
      </c>
      <c r="E5284">
        <v>0.53118089999999996</v>
      </c>
      <c r="F5284" t="s">
        <v>53</v>
      </c>
      <c r="G5284">
        <v>-416.14839999999998</v>
      </c>
      <c r="H5284" s="1">
        <v>-1.4808489999999999E-6</v>
      </c>
      <c r="I5284">
        <v>120.83969999999999</v>
      </c>
      <c r="J5284">
        <v>-413.06200000000001</v>
      </c>
      <c r="K5284">
        <v>1.1188340000000001</v>
      </c>
      <c r="L5284">
        <v>128.31729999999999</v>
      </c>
      <c r="M5284">
        <v>-0.63083290000000003</v>
      </c>
      <c r="N5284">
        <v>-1.510499E-2</v>
      </c>
      <c r="O5284">
        <v>-0.77577189999999996</v>
      </c>
      <c r="P5284">
        <v>-0.28378819999999999</v>
      </c>
      <c r="Q5284">
        <v>0.36581370000000002</v>
      </c>
      <c r="R5284">
        <v>-0.88636619999999999</v>
      </c>
      <c r="S5284">
        <v>-1.327698</v>
      </c>
      <c r="T5284">
        <v>-0.45778200000000002</v>
      </c>
      <c r="U5284">
        <v>-3.1450200000000001</v>
      </c>
      <c r="V5284">
        <v>-0.34645670000000001</v>
      </c>
      <c r="W5284">
        <v>0.372087</v>
      </c>
      <c r="X5284">
        <v>0.86111499999999996</v>
      </c>
      <c r="Y5284">
        <v>-0.28054050000000003</v>
      </c>
      <c r="Z5284">
        <v>7.8252440000000006E-2</v>
      </c>
      <c r="AA5284">
        <v>0.95664700000000003</v>
      </c>
      <c r="AB5284">
        <v>27</v>
      </c>
      <c r="AC5284">
        <v>-3.0864000000000198</v>
      </c>
      <c r="AD5284">
        <v>-1.118835480849</v>
      </c>
      <c r="AE5284">
        <v>-7.47759999999999</v>
      </c>
      <c r="AF5284">
        <v>-2.2794355558541302</v>
      </c>
      <c r="AG5284">
        <v>-1.118835480849</v>
      </c>
      <c r="AH5284">
        <v>7.6033545869828902</v>
      </c>
      <c r="AI5284">
        <v>98.023121973746996</v>
      </c>
      <c r="AJ5284">
        <v>106.68838392783</v>
      </c>
      <c r="AK5284">
        <v>8.0161474700689208</v>
      </c>
      <c r="AL5284">
        <v>68.155614591103102</v>
      </c>
      <c r="AM5284">
        <v>111.916648794018</v>
      </c>
      <c r="AN5284">
        <v>1.0000000118844401</v>
      </c>
    </row>
    <row r="5285" spans="1:40" x14ac:dyDescent="0.25">
      <c r="A5285" t="str">
        <f>"20190304164232458"</f>
        <v>20190304164232458</v>
      </c>
      <c r="B5285" t="str">
        <f>"1551688952446185"</f>
        <v>1551688952446185</v>
      </c>
      <c r="C5285" t="s">
        <v>40</v>
      </c>
      <c r="D5285">
        <v>4.3754419999999996</v>
      </c>
      <c r="E5285">
        <v>0.53195429999999999</v>
      </c>
      <c r="F5285" t="s">
        <v>53</v>
      </c>
      <c r="G5285">
        <v>-416.2328</v>
      </c>
      <c r="H5285" s="1">
        <v>-1.420967E-6</v>
      </c>
      <c r="I5285">
        <v>120.74169999999999</v>
      </c>
      <c r="J5285">
        <v>-413.22179999999997</v>
      </c>
      <c r="K5285">
        <v>1.1188209999999901</v>
      </c>
      <c r="L5285">
        <v>128.102</v>
      </c>
      <c r="M5285">
        <v>-0.62220240000000004</v>
      </c>
      <c r="N5285">
        <v>-1.5100209999999999E-2</v>
      </c>
      <c r="O5285">
        <v>-0.78271109999999999</v>
      </c>
      <c r="P5285">
        <v>-0.27644540000000001</v>
      </c>
      <c r="Q5285">
        <v>0.36705850000000001</v>
      </c>
      <c r="R5285">
        <v>-0.88817049999999997</v>
      </c>
      <c r="S5285">
        <v>-1.32019</v>
      </c>
      <c r="T5285">
        <v>-0.46583629999999998</v>
      </c>
      <c r="U5285">
        <v>-3.1541600000000001</v>
      </c>
      <c r="V5285">
        <v>-0.34371410000000002</v>
      </c>
      <c r="W5285">
        <v>0.37340689999999999</v>
      </c>
      <c r="X5285">
        <v>0.86164249999999998</v>
      </c>
      <c r="Y5285">
        <v>-0.2729374</v>
      </c>
      <c r="Z5285">
        <v>8.1086679999999994E-2</v>
      </c>
      <c r="AA5285">
        <v>0.95860840000000003</v>
      </c>
      <c r="AB5285">
        <v>27</v>
      </c>
      <c r="AC5285">
        <v>-3.0110000000000201</v>
      </c>
      <c r="AD5285">
        <v>-1.1188224209669999</v>
      </c>
      <c r="AE5285">
        <v>-7.3602999999999996</v>
      </c>
      <c r="AF5285">
        <v>-2.1799564476599702</v>
      </c>
      <c r="AG5285">
        <v>-1.1188224209669999</v>
      </c>
      <c r="AH5285">
        <v>7.4871100541193298</v>
      </c>
      <c r="AI5285">
        <v>98.164808637358504</v>
      </c>
      <c r="AJ5285">
        <v>106.233514053051</v>
      </c>
      <c r="AK5285">
        <v>7.8778671406572602</v>
      </c>
      <c r="AL5285">
        <v>68.074115063500301</v>
      </c>
      <c r="AM5285">
        <v>111.74733816926801</v>
      </c>
      <c r="AN5285">
        <v>0.99999994665633296</v>
      </c>
    </row>
    <row r="5286" spans="1:40" x14ac:dyDescent="0.25">
      <c r="A5286" t="str">
        <f>"20190304164232483"</f>
        <v>20190304164232483</v>
      </c>
      <c r="B5286" t="str">
        <f>"1551688952476441"</f>
        <v>1551688952476441</v>
      </c>
      <c r="C5286" t="s">
        <v>40</v>
      </c>
      <c r="D5286">
        <v>4.404922</v>
      </c>
      <c r="E5286">
        <v>0.53337089999999998</v>
      </c>
      <c r="F5286" t="s">
        <v>53</v>
      </c>
      <c r="G5286">
        <v>-416.32229999999998</v>
      </c>
      <c r="H5286" s="1">
        <v>-1.332748E-6</v>
      </c>
      <c r="I5286">
        <v>120.5731</v>
      </c>
      <c r="J5286">
        <v>-413.3854</v>
      </c>
      <c r="K5286">
        <v>1.1188020000000001</v>
      </c>
      <c r="L5286">
        <v>127.8763</v>
      </c>
      <c r="M5286">
        <v>-0.61314109999999999</v>
      </c>
      <c r="N5286">
        <v>-1.5095320000000001E-2</v>
      </c>
      <c r="O5286">
        <v>-0.78982929999999996</v>
      </c>
      <c r="P5286">
        <v>-0.26888040000000002</v>
      </c>
      <c r="Q5286">
        <v>0.36876779999999998</v>
      </c>
      <c r="R5286">
        <v>-0.88978330000000005</v>
      </c>
      <c r="S5286">
        <v>-1.303925</v>
      </c>
      <c r="T5286">
        <v>-0.47052500000000003</v>
      </c>
      <c r="U5286">
        <v>-3.1663359999999998</v>
      </c>
      <c r="V5286">
        <v>-0.3406769</v>
      </c>
      <c r="W5286">
        <v>0.37519629999999998</v>
      </c>
      <c r="X5286">
        <v>0.86207129999999998</v>
      </c>
      <c r="Y5286">
        <v>-0.26744010000000001</v>
      </c>
      <c r="Z5286">
        <v>8.3209099999999994E-2</v>
      </c>
      <c r="AA5286">
        <v>0.95997500000000002</v>
      </c>
      <c r="AB5286">
        <v>27</v>
      </c>
      <c r="AC5286">
        <v>-2.9368999999999699</v>
      </c>
      <c r="AD5286">
        <v>-1.118803332748</v>
      </c>
      <c r="AE5286">
        <v>-7.3032000000000004</v>
      </c>
      <c r="AF5286">
        <v>-2.11574709800826</v>
      </c>
      <c r="AG5286">
        <v>-1.118803332748</v>
      </c>
      <c r="AH5286">
        <v>7.4199832122208598</v>
      </c>
      <c r="AI5286">
        <v>98.250547517221506</v>
      </c>
      <c r="AJ5286">
        <v>105.915063914288</v>
      </c>
      <c r="AK5286">
        <v>7.7964259471720698</v>
      </c>
      <c r="AL5286">
        <v>67.963553411984293</v>
      </c>
      <c r="AM5286">
        <v>111.56314552602799</v>
      </c>
      <c r="AN5286">
        <v>0.99999997000549401</v>
      </c>
    </row>
    <row r="5287" spans="1:40" x14ac:dyDescent="0.25">
      <c r="A5287" t="str">
        <f>"20190304164232504"</f>
        <v>20190304164232504</v>
      </c>
      <c r="B5287" t="str">
        <f>"1551688952496937"</f>
        <v>1551688952496937</v>
      </c>
      <c r="C5287" t="s">
        <v>40</v>
      </c>
      <c r="D5287">
        <v>4.3737909999999998</v>
      </c>
      <c r="E5287">
        <v>0.53414019999999995</v>
      </c>
      <c r="F5287" t="s">
        <v>53</v>
      </c>
      <c r="G5287">
        <v>-416.42919999999998</v>
      </c>
      <c r="H5287" s="1">
        <v>-1.223429E-6</v>
      </c>
      <c r="I5287">
        <v>120.3614</v>
      </c>
      <c r="J5287">
        <v>-413.5369</v>
      </c>
      <c r="K5287">
        <v>1.11879</v>
      </c>
      <c r="L5287">
        <v>127.6619</v>
      </c>
      <c r="M5287">
        <v>-0.60453210000000002</v>
      </c>
      <c r="N5287">
        <v>-1.5090340000000001E-2</v>
      </c>
      <c r="O5287">
        <v>-0.79643799999999998</v>
      </c>
      <c r="P5287">
        <v>-0.26256410000000002</v>
      </c>
      <c r="Q5287">
        <v>0.37004169999999997</v>
      </c>
      <c r="R5287">
        <v>-0.89113929999999997</v>
      </c>
      <c r="S5287">
        <v>-1.2874760000000001</v>
      </c>
      <c r="T5287">
        <v>-0.4732344</v>
      </c>
      <c r="U5287">
        <v>-3.1786799999999999</v>
      </c>
      <c r="V5287">
        <v>-0.3370959</v>
      </c>
      <c r="W5287">
        <v>0.37656659999999997</v>
      </c>
      <c r="X5287">
        <v>0.86288120000000001</v>
      </c>
      <c r="Y5287">
        <v>-0.262609599999999</v>
      </c>
      <c r="Z5287">
        <v>8.4829630000000003E-2</v>
      </c>
      <c r="AA5287">
        <v>0.96116599999999996</v>
      </c>
      <c r="AB5287">
        <v>27</v>
      </c>
      <c r="AC5287">
        <v>-2.8922999999999699</v>
      </c>
      <c r="AD5287">
        <v>-1.1187912234289901</v>
      </c>
      <c r="AE5287">
        <v>-7.3004999999999898</v>
      </c>
      <c r="AF5287">
        <v>-2.06810833410105</v>
      </c>
      <c r="AG5287">
        <v>-1.1187912234289901</v>
      </c>
      <c r="AH5287">
        <v>7.4132619317729196</v>
      </c>
      <c r="AI5287">
        <v>98.270970102592798</v>
      </c>
      <c r="AJ5287">
        <v>105.587727369842</v>
      </c>
      <c r="AK5287">
        <v>7.7772243347015202</v>
      </c>
      <c r="AL5287">
        <v>67.878828755937903</v>
      </c>
      <c r="AM5287">
        <v>111.338756435259</v>
      </c>
      <c r="AN5287">
        <v>1.0000000076729001</v>
      </c>
    </row>
    <row r="5288" spans="1:40" x14ac:dyDescent="0.25">
      <c r="A5288" t="str">
        <f>"20190304164232527"</f>
        <v>20190304164232527</v>
      </c>
      <c r="B5288" t="str">
        <f>"1551688952516458"</f>
        <v>1551688952516458</v>
      </c>
      <c r="C5288" t="s">
        <v>40</v>
      </c>
      <c r="D5288">
        <v>4.3200880000000002</v>
      </c>
      <c r="E5288">
        <v>0.53461930000000002</v>
      </c>
      <c r="F5288" t="s">
        <v>53</v>
      </c>
      <c r="G5288">
        <v>-416.51819999999998</v>
      </c>
      <c r="H5288" s="1">
        <v>-1.1159829999999999E-6</v>
      </c>
      <c r="I5288">
        <v>120.1421</v>
      </c>
      <c r="J5288">
        <v>-413.68619999999999</v>
      </c>
      <c r="K5288">
        <v>1.1187640000000001</v>
      </c>
      <c r="L5288">
        <v>127.4457</v>
      </c>
      <c r="M5288">
        <v>-0.59584040000000005</v>
      </c>
      <c r="N5288">
        <v>-1.508527E-2</v>
      </c>
      <c r="O5288">
        <v>-0.80296119999999904</v>
      </c>
      <c r="P5288">
        <v>-0.25666080000000002</v>
      </c>
      <c r="Q5288">
        <v>0.3697066</v>
      </c>
      <c r="R5288">
        <v>-0.89299619999999902</v>
      </c>
      <c r="S5288">
        <v>-1.2650760000000001</v>
      </c>
      <c r="T5288">
        <v>-0.47472999999999999</v>
      </c>
      <c r="U5288">
        <v>-3.1908569999999998</v>
      </c>
      <c r="V5288">
        <v>-0.33345780000000003</v>
      </c>
      <c r="W5288">
        <v>0.37633820000000001</v>
      </c>
      <c r="X5288">
        <v>0.86439310000000003</v>
      </c>
      <c r="Y5288">
        <v>-0.25925959999999998</v>
      </c>
      <c r="Z5288">
        <v>8.6185960000000006E-2</v>
      </c>
      <c r="AA5288">
        <v>0.96195450000000005</v>
      </c>
      <c r="AB5288">
        <v>27</v>
      </c>
      <c r="AC5288">
        <v>-2.8319999999999901</v>
      </c>
      <c r="AD5288">
        <v>-1.1187651159830001</v>
      </c>
      <c r="AE5288">
        <v>-7.3036000000000003</v>
      </c>
      <c r="AF5288">
        <v>-2.0364913219338701</v>
      </c>
      <c r="AG5288">
        <v>-1.1187651159830001</v>
      </c>
      <c r="AH5288">
        <v>7.4018097855899896</v>
      </c>
      <c r="AI5288">
        <v>98.291473349010204</v>
      </c>
      <c r="AJ5288">
        <v>105.383401709202</v>
      </c>
      <c r="AK5288">
        <v>7.7579456295535003</v>
      </c>
      <c r="AL5288">
        <v>67.892953787347494</v>
      </c>
      <c r="AM5288">
        <v>111.095168650137</v>
      </c>
      <c r="AN5288">
        <v>0.99999998824384395</v>
      </c>
    </row>
    <row r="5289" spans="1:40" x14ac:dyDescent="0.25">
      <c r="A5289" t="str">
        <f>"20190304164232548"</f>
        <v>20190304164232548</v>
      </c>
      <c r="B5289" t="str">
        <f>"1551688952535977"</f>
        <v>1551688952535977</v>
      </c>
      <c r="C5289" t="s">
        <v>40</v>
      </c>
      <c r="D5289">
        <v>4.6966839999999896</v>
      </c>
      <c r="E5289">
        <v>0.53522709999999996</v>
      </c>
      <c r="F5289" t="s">
        <v>53</v>
      </c>
      <c r="G5289">
        <v>-416.56670000000003</v>
      </c>
      <c r="H5289" s="1">
        <v>-1.055871E-6</v>
      </c>
      <c r="I5289">
        <v>120.0184</v>
      </c>
      <c r="J5289">
        <v>-413.83019999999999</v>
      </c>
      <c r="K5289">
        <v>1.118735</v>
      </c>
      <c r="L5289">
        <v>127.2324</v>
      </c>
      <c r="M5289">
        <v>-0.58726389999999995</v>
      </c>
      <c r="N5289">
        <v>-1.507993E-2</v>
      </c>
      <c r="O5289">
        <v>-0.80925530000000001</v>
      </c>
      <c r="P5289">
        <v>-0.25005240000000001</v>
      </c>
      <c r="Q5289">
        <v>0.3680889</v>
      </c>
      <c r="R5289">
        <v>-0.89553609999999995</v>
      </c>
      <c r="S5289">
        <v>-1.2419129999999901</v>
      </c>
      <c r="T5289">
        <v>-0.4823518</v>
      </c>
      <c r="U5289">
        <v>-3.2022400000000002</v>
      </c>
      <c r="V5289">
        <v>-0.330968599999999</v>
      </c>
      <c r="W5289">
        <v>0.37480910000000001</v>
      </c>
      <c r="X5289">
        <v>0.86601269999999997</v>
      </c>
      <c r="Y5289">
        <v>-0.25627549999999999</v>
      </c>
      <c r="Z5289">
        <v>8.8796799999999995E-2</v>
      </c>
      <c r="AA5289">
        <v>0.9625165</v>
      </c>
      <c r="AB5289">
        <v>27</v>
      </c>
      <c r="AC5289">
        <v>-2.7365000000000301</v>
      </c>
      <c r="AD5289">
        <v>-1.118736055871</v>
      </c>
      <c r="AE5289">
        <v>-7.2139999999999898</v>
      </c>
      <c r="AF5289">
        <v>-1.9805841241465301</v>
      </c>
      <c r="AG5289">
        <v>-1.118736055871</v>
      </c>
      <c r="AH5289">
        <v>7.2925412174112303</v>
      </c>
      <c r="AI5289">
        <v>98.421207247699897</v>
      </c>
      <c r="AJ5289">
        <v>105.194472314766</v>
      </c>
      <c r="AK5289">
        <v>7.6390733235889803</v>
      </c>
      <c r="AL5289">
        <v>67.987486290449795</v>
      </c>
      <c r="AM5289">
        <v>110.91561765408601</v>
      </c>
      <c r="AN5289">
        <v>1.0000000360950201</v>
      </c>
    </row>
    <row r="5290" spans="1:40" x14ac:dyDescent="0.25">
      <c r="A5290" t="str">
        <f>"20190304164232571"</f>
        <v>20190304164232571</v>
      </c>
      <c r="B5290" t="str">
        <f>"1551688952566233"</f>
        <v>1551688952566233</v>
      </c>
      <c r="C5290" t="s">
        <v>40</v>
      </c>
      <c r="D5290">
        <v>4.4861810000000002</v>
      </c>
      <c r="E5290">
        <v>0.53599830000000004</v>
      </c>
      <c r="F5290" t="s">
        <v>53</v>
      </c>
      <c r="G5290">
        <v>-416.61219999999997</v>
      </c>
      <c r="H5290" s="1">
        <v>-9.9928569999999991E-7</v>
      </c>
      <c r="I5290">
        <v>119.902</v>
      </c>
      <c r="J5290">
        <v>-413.97789999999998</v>
      </c>
      <c r="K5290">
        <v>1.11869</v>
      </c>
      <c r="L5290">
        <v>127.0082</v>
      </c>
      <c r="M5290">
        <v>-0.57825979999999999</v>
      </c>
      <c r="N5290">
        <v>-1.5073380000000001E-2</v>
      </c>
      <c r="O5290">
        <v>-0.81571359999999904</v>
      </c>
      <c r="P5290">
        <v>-0.2433942</v>
      </c>
      <c r="Q5290">
        <v>0.36656420000000001</v>
      </c>
      <c r="R5290">
        <v>-0.89799249999999997</v>
      </c>
      <c r="S5290">
        <v>-1.218658</v>
      </c>
      <c r="T5290">
        <v>-0.49006549999999999</v>
      </c>
      <c r="U5290">
        <v>-3.21109</v>
      </c>
      <c r="V5290">
        <v>-0.32808229999999999</v>
      </c>
      <c r="W5290">
        <v>0.37338569999999999</v>
      </c>
      <c r="X5290">
        <v>0.8677241</v>
      </c>
      <c r="Y5290">
        <v>-0.252629299999999</v>
      </c>
      <c r="Z5290">
        <v>9.1582070000000002E-2</v>
      </c>
      <c r="AA5290">
        <v>0.96321920000000005</v>
      </c>
      <c r="AB5290">
        <v>27</v>
      </c>
      <c r="AC5290">
        <v>-2.6342999999999899</v>
      </c>
      <c r="AD5290">
        <v>-1.1186909992856999</v>
      </c>
      <c r="AE5290">
        <v>-7.1062000000000003</v>
      </c>
      <c r="AF5290">
        <v>-1.9188102590635101</v>
      </c>
      <c r="AG5290">
        <v>-1.1186909992856999</v>
      </c>
      <c r="AH5290">
        <v>7.1646585352732801</v>
      </c>
      <c r="AI5290">
        <v>98.576980081967406</v>
      </c>
      <c r="AJ5290">
        <v>104.992880116469</v>
      </c>
      <c r="AK5290">
        <v>7.5010422135350296</v>
      </c>
      <c r="AL5290">
        <v>68.075425556535905</v>
      </c>
      <c r="AM5290">
        <v>110.711363623135</v>
      </c>
      <c r="AN5290">
        <v>0.99999999512929405</v>
      </c>
    </row>
    <row r="5291" spans="1:40" x14ac:dyDescent="0.25">
      <c r="A5291" t="str">
        <f>"20190304164232593"</f>
        <v>20190304164232593</v>
      </c>
      <c r="B5291" t="str">
        <f>"1551688952586729"</f>
        <v>1551688952586729</v>
      </c>
      <c r="C5291" t="s">
        <v>40</v>
      </c>
      <c r="D5291">
        <v>4.3587410000000002</v>
      </c>
      <c r="E5291">
        <v>0.53657159999999904</v>
      </c>
      <c r="F5291" t="s">
        <v>53</v>
      </c>
      <c r="G5291">
        <v>-416.64150000000001</v>
      </c>
      <c r="H5291" s="1">
        <v>-9.7006510000000007E-7</v>
      </c>
      <c r="I5291">
        <v>119.8459</v>
      </c>
      <c r="J5291">
        <v>-414.12040000000002</v>
      </c>
      <c r="K5291">
        <v>1.11864599999999</v>
      </c>
      <c r="L5291">
        <v>126.7869</v>
      </c>
      <c r="M5291">
        <v>-0.56938580000000005</v>
      </c>
      <c r="N5291">
        <v>-1.5065459999999999E-2</v>
      </c>
      <c r="O5291">
        <v>-0.82193259999999901</v>
      </c>
      <c r="P5291">
        <v>-0.23458680000000001</v>
      </c>
      <c r="Q5291">
        <v>0.3653342</v>
      </c>
      <c r="R5291">
        <v>-0.90083340000000001</v>
      </c>
      <c r="S5291">
        <v>-1.198029</v>
      </c>
      <c r="T5291">
        <v>-0.50316620000000001</v>
      </c>
      <c r="U5291">
        <v>-3.2214659999999999</v>
      </c>
      <c r="V5291">
        <v>-0.3273954</v>
      </c>
      <c r="W5291">
        <v>0.37220560000000003</v>
      </c>
      <c r="X5291">
        <v>0.86849019999999999</v>
      </c>
      <c r="Y5291">
        <v>-0.2487135</v>
      </c>
      <c r="Z5291">
        <v>9.5447710000000005E-2</v>
      </c>
      <c r="AA5291">
        <v>0.96386269999999996</v>
      </c>
      <c r="AB5291">
        <v>27</v>
      </c>
      <c r="AC5291">
        <v>-2.5210999999999899</v>
      </c>
      <c r="AD5291">
        <v>-1.1186469700650901</v>
      </c>
      <c r="AE5291">
        <v>-6.9409999999999998</v>
      </c>
      <c r="AF5291">
        <v>-1.83796995931706</v>
      </c>
      <c r="AG5291">
        <v>-1.1186469700650901</v>
      </c>
      <c r="AH5291">
        <v>6.9811269550805202</v>
      </c>
      <c r="AI5291">
        <v>98.808397596365495</v>
      </c>
      <c r="AJ5291">
        <v>104.749943343853</v>
      </c>
      <c r="AK5291">
        <v>7.3051788600923198</v>
      </c>
      <c r="AL5291">
        <v>68.148293009536701</v>
      </c>
      <c r="AM5291">
        <v>110.654975452399</v>
      </c>
      <c r="AN5291">
        <v>0.99999999205428003</v>
      </c>
    </row>
    <row r="5292" spans="1:40" x14ac:dyDescent="0.25">
      <c r="A5292" t="str">
        <f>"20190304164232615"</f>
        <v>20190304164232615</v>
      </c>
      <c r="B5292" t="str">
        <f>"1551688952606250"</f>
        <v>1551688952606250</v>
      </c>
      <c r="C5292" t="s">
        <v>40</v>
      </c>
      <c r="D5292">
        <v>4.5422469999999997</v>
      </c>
      <c r="E5292">
        <v>0.53706160000000003</v>
      </c>
      <c r="F5292" t="s">
        <v>53</v>
      </c>
      <c r="G5292">
        <v>-416.68259999999998</v>
      </c>
      <c r="H5292" s="1">
        <v>-9.0967180000000004E-7</v>
      </c>
      <c r="I5292">
        <v>119.71639999999999</v>
      </c>
      <c r="J5292">
        <v>-414.25839999999999</v>
      </c>
      <c r="K5292">
        <v>1.11859</v>
      </c>
      <c r="L5292">
        <v>126.56740000000001</v>
      </c>
      <c r="M5292">
        <v>-0.56061919999999899</v>
      </c>
      <c r="N5292">
        <v>-1.505595E-2</v>
      </c>
      <c r="O5292">
        <v>-0.82793709999999898</v>
      </c>
      <c r="P5292">
        <v>-0.2262419</v>
      </c>
      <c r="Q5292">
        <v>0.36406369999999999</v>
      </c>
      <c r="R5292">
        <v>-0.90347829999999996</v>
      </c>
      <c r="S5292">
        <v>-1.171448</v>
      </c>
      <c r="T5292">
        <v>-0.51144619999999996</v>
      </c>
      <c r="U5292">
        <v>-3.232605</v>
      </c>
      <c r="V5292">
        <v>-0.32641029999999999</v>
      </c>
      <c r="W5292">
        <v>0.37099919999999997</v>
      </c>
      <c r="X5292">
        <v>0.8693767</v>
      </c>
      <c r="Y5292">
        <v>-0.2465859</v>
      </c>
      <c r="Z5292">
        <v>9.8247810000000005E-2</v>
      </c>
      <c r="AA5292">
        <v>0.96412799999999999</v>
      </c>
      <c r="AB5292">
        <v>27</v>
      </c>
      <c r="AC5292">
        <v>-2.4241999999999799</v>
      </c>
      <c r="AD5292">
        <v>-1.1185909096718001</v>
      </c>
      <c r="AE5292">
        <v>-6.8510000000000097</v>
      </c>
      <c r="AF5292">
        <v>-1.79148071032213</v>
      </c>
      <c r="AG5292">
        <v>-1.1185909096718001</v>
      </c>
      <c r="AH5292">
        <v>6.8692981755384697</v>
      </c>
      <c r="AI5292">
        <v>98.954408763159407</v>
      </c>
      <c r="AJ5292">
        <v>104.61689020190001</v>
      </c>
      <c r="AK5292">
        <v>7.1866477709090999</v>
      </c>
      <c r="AL5292">
        <v>68.222745542590999</v>
      </c>
      <c r="AM5292">
        <v>110.57880900966499</v>
      </c>
      <c r="AN5292">
        <v>0.99999996842480898</v>
      </c>
    </row>
    <row r="5293" spans="1:40" x14ac:dyDescent="0.25">
      <c r="A5293" t="str">
        <f>"20190304164232637"</f>
        <v>20190304164232637</v>
      </c>
      <c r="B5293" t="str">
        <f>"1551688952626746"</f>
        <v>1551688952626746</v>
      </c>
      <c r="C5293" t="s">
        <v>40</v>
      </c>
      <c r="D5293">
        <v>4.348611</v>
      </c>
      <c r="E5293">
        <v>0.53763729999999998</v>
      </c>
      <c r="F5293" t="s">
        <v>42</v>
      </c>
      <c r="G5293">
        <v>-416.72980000000001</v>
      </c>
      <c r="H5293" s="1">
        <v>-4.8514370000000002E-6</v>
      </c>
      <c r="I5293">
        <v>119.5894</v>
      </c>
      <c r="J5293">
        <v>-414.3965</v>
      </c>
      <c r="K5293">
        <v>1.11852</v>
      </c>
      <c r="L5293">
        <v>126.34269999999999</v>
      </c>
      <c r="M5293">
        <v>-0.55168269999999997</v>
      </c>
      <c r="N5293">
        <v>-1.504425E-2</v>
      </c>
      <c r="O5293">
        <v>-0.83391849999999901</v>
      </c>
      <c r="P5293">
        <v>-0.21662100000000001</v>
      </c>
      <c r="Q5293">
        <v>0.3634674</v>
      </c>
      <c r="R5293">
        <v>-0.90607230000000005</v>
      </c>
      <c r="S5293">
        <v>-1.1483460000000001</v>
      </c>
      <c r="T5293">
        <v>-0.51976230000000001</v>
      </c>
      <c r="U5293">
        <v>-3.2423860000000002</v>
      </c>
      <c r="V5293">
        <v>-0.32636559999999998</v>
      </c>
      <c r="W5293">
        <v>0.37044880000000002</v>
      </c>
      <c r="X5293">
        <v>0.86962819999999996</v>
      </c>
      <c r="Y5293">
        <v>-0.24328369999999999</v>
      </c>
      <c r="Z5293">
        <v>0.1011388</v>
      </c>
      <c r="AA5293">
        <v>0.96466779999999996</v>
      </c>
      <c r="AB5293">
        <v>27</v>
      </c>
      <c r="AC5293">
        <v>-2.3332999999999999</v>
      </c>
      <c r="AD5293">
        <v>-1.1185248514370001</v>
      </c>
      <c r="AE5293">
        <v>-6.7532999999999896</v>
      </c>
      <c r="AF5293">
        <v>-1.7375172858764401</v>
      </c>
      <c r="AG5293">
        <v>-1.1185248514370001</v>
      </c>
      <c r="AH5293">
        <v>6.7542025706150799</v>
      </c>
      <c r="AI5293">
        <v>99.111640703102594</v>
      </c>
      <c r="AJ5293">
        <v>104.426520527335</v>
      </c>
      <c r="AK5293">
        <v>7.0632369723027804</v>
      </c>
      <c r="AL5293">
        <v>68.256701681514102</v>
      </c>
      <c r="AM5293">
        <v>110.5707746858</v>
      </c>
      <c r="AN5293">
        <v>1.0000000122600099</v>
      </c>
    </row>
    <row r="5294" spans="1:40" x14ac:dyDescent="0.25">
      <c r="A5294" t="str">
        <f>"20190304164232660"</f>
        <v>20190304164232660</v>
      </c>
      <c r="B5294" t="str">
        <f>"1551688952656025"</f>
        <v>1551688952656025</v>
      </c>
      <c r="C5294" t="s">
        <v>40</v>
      </c>
      <c r="D5294">
        <v>4.3438129999999999</v>
      </c>
      <c r="E5294">
        <v>0.53845330000000002</v>
      </c>
      <c r="F5294" t="s">
        <v>42</v>
      </c>
      <c r="G5294">
        <v>-416.78919999999999</v>
      </c>
      <c r="H5294" s="1">
        <v>-4.758736E-6</v>
      </c>
      <c r="I5294">
        <v>119.39790000000001</v>
      </c>
      <c r="J5294">
        <v>-414.53469999999999</v>
      </c>
      <c r="K5294">
        <v>1.118436</v>
      </c>
      <c r="L5294">
        <v>126.1125</v>
      </c>
      <c r="M5294">
        <v>-0.54259639999999998</v>
      </c>
      <c r="N5294">
        <v>-1.503001E-2</v>
      </c>
      <c r="O5294">
        <v>-0.83985940000000003</v>
      </c>
      <c r="P5294">
        <v>-0.2073941</v>
      </c>
      <c r="Q5294">
        <v>0.3624927</v>
      </c>
      <c r="R5294">
        <v>-0.90861820000000004</v>
      </c>
      <c r="S5294">
        <v>-1.120819</v>
      </c>
      <c r="T5294">
        <v>-0.52396299999999996</v>
      </c>
      <c r="U5294">
        <v>-3.2532199999999998</v>
      </c>
      <c r="V5294">
        <v>-0.32588460000000002</v>
      </c>
      <c r="W5294">
        <v>0.36954189999999998</v>
      </c>
      <c r="X5294">
        <v>0.87019419999999903</v>
      </c>
      <c r="Y5294">
        <v>-0.24110419999999999</v>
      </c>
      <c r="Z5294">
        <v>0.10311380000000001</v>
      </c>
      <c r="AA5294">
        <v>0.96500589999999997</v>
      </c>
      <c r="AB5294">
        <v>27</v>
      </c>
      <c r="AC5294">
        <v>-2.2545000000000002</v>
      </c>
      <c r="AD5294">
        <v>-1.1184407587359999</v>
      </c>
      <c r="AE5294">
        <v>-6.7145999999999901</v>
      </c>
      <c r="AF5294">
        <v>-1.70747753089534</v>
      </c>
      <c r="AG5294">
        <v>-1.1184407587359999</v>
      </c>
      <c r="AH5294">
        <v>6.6964078953860096</v>
      </c>
      <c r="AI5294">
        <v>99.193185035527407</v>
      </c>
      <c r="AJ5294">
        <v>104.304696385002</v>
      </c>
      <c r="AK5294">
        <v>7.0005905429972497</v>
      </c>
      <c r="AL5294">
        <v>68.312631399466397</v>
      </c>
      <c r="AM5294">
        <v>110.530744516296</v>
      </c>
      <c r="AN5294">
        <v>0.99999996704320404</v>
      </c>
    </row>
    <row r="5295" spans="1:40" x14ac:dyDescent="0.25">
      <c r="A5295" t="str">
        <f>"20190304164232684"</f>
        <v>20190304164232684</v>
      </c>
      <c r="B5295" t="str">
        <f>"1551688952676521"</f>
        <v>1551688952676521</v>
      </c>
      <c r="C5295" t="s">
        <v>40</v>
      </c>
      <c r="D5295">
        <v>4.4073180000000001</v>
      </c>
      <c r="E5295">
        <v>0.5388754</v>
      </c>
      <c r="F5295" t="s">
        <v>42</v>
      </c>
      <c r="G5295">
        <v>-416.83100000000002</v>
      </c>
      <c r="H5295" s="1">
        <v>-4.6913759999999999E-6</v>
      </c>
      <c r="I5295">
        <v>119.2581</v>
      </c>
      <c r="J5295">
        <v>-414.6721</v>
      </c>
      <c r="K5295">
        <v>1.1183350000000001</v>
      </c>
      <c r="L5295">
        <v>125.8779</v>
      </c>
      <c r="M5295">
        <v>-0.53342609999999901</v>
      </c>
      <c r="N5295">
        <v>-1.5012869999999999E-2</v>
      </c>
      <c r="O5295">
        <v>-0.84571339999999995</v>
      </c>
      <c r="P5295">
        <v>-0.19716739999999999</v>
      </c>
      <c r="Q5295">
        <v>0.36204180000000002</v>
      </c>
      <c r="R5295">
        <v>-0.91107119999999997</v>
      </c>
      <c r="S5295">
        <v>-1.093658</v>
      </c>
      <c r="T5295">
        <v>-0.53268909999999903</v>
      </c>
      <c r="U5295">
        <v>-3.2645870000000001</v>
      </c>
      <c r="V5295">
        <v>-0.32619959999999998</v>
      </c>
      <c r="W5295">
        <v>0.36914669999999999</v>
      </c>
      <c r="X5295">
        <v>0.87024400000000002</v>
      </c>
      <c r="Y5295">
        <v>-0.23887729999999999</v>
      </c>
      <c r="Z5295">
        <v>0.1060642</v>
      </c>
      <c r="AA5295">
        <v>0.96523990000000004</v>
      </c>
      <c r="AB5295">
        <v>27</v>
      </c>
      <c r="AC5295">
        <v>-2.1588999999999601</v>
      </c>
      <c r="AD5295">
        <v>-1.118339691376</v>
      </c>
      <c r="AE5295">
        <v>-6.6197999999999899</v>
      </c>
      <c r="AF5295">
        <v>-1.66266469272321</v>
      </c>
      <c r="AG5295">
        <v>-1.118339691376</v>
      </c>
      <c r="AH5295">
        <v>6.58105956448171</v>
      </c>
      <c r="AI5295">
        <v>99.355791323469006</v>
      </c>
      <c r="AJ5295">
        <v>104.17872913599901</v>
      </c>
      <c r="AK5295">
        <v>6.8793518980345496</v>
      </c>
      <c r="AL5295">
        <v>68.336999273606693</v>
      </c>
      <c r="AM5295">
        <v>110.547854078931</v>
      </c>
      <c r="AN5295">
        <v>1.00000004234852</v>
      </c>
    </row>
    <row r="5296" spans="1:40" x14ac:dyDescent="0.25">
      <c r="A5296" t="str">
        <f>"20190304164232705"</f>
        <v>20190304164232705</v>
      </c>
      <c r="B5296" t="str">
        <f>"1551688952696042"</f>
        <v>1551688952696042</v>
      </c>
      <c r="C5296" t="s">
        <v>40</v>
      </c>
      <c r="D5296">
        <v>4.3832579999999997</v>
      </c>
      <c r="E5296">
        <v>0.5388252</v>
      </c>
      <c r="F5296" t="s">
        <v>42</v>
      </c>
      <c r="G5296">
        <v>-416.87619999999998</v>
      </c>
      <c r="H5296" s="1">
        <v>-4.5948179999999997E-6</v>
      </c>
      <c r="I5296">
        <v>119.0518</v>
      </c>
      <c r="J5296">
        <v>-414.79939999999999</v>
      </c>
      <c r="K5296">
        <v>1.1182369999999999</v>
      </c>
      <c r="L5296">
        <v>125.65519999999999</v>
      </c>
      <c r="M5296">
        <v>-0.52481940000000005</v>
      </c>
      <c r="N5296">
        <v>-1.4994469999999999E-2</v>
      </c>
      <c r="O5296">
        <v>-0.85108169999999905</v>
      </c>
      <c r="P5296">
        <v>-0.18710499999999999</v>
      </c>
      <c r="Q5296">
        <v>0.36122480000000001</v>
      </c>
      <c r="R5296">
        <v>-0.91351459999999995</v>
      </c>
      <c r="S5296">
        <v>-1.0581670000000001</v>
      </c>
      <c r="T5296">
        <v>-0.53690839999999995</v>
      </c>
      <c r="U5296">
        <v>-3.2771910000000002</v>
      </c>
      <c r="V5296">
        <v>-0.32703880000000002</v>
      </c>
      <c r="W5296">
        <v>0.3683768</v>
      </c>
      <c r="X5296">
        <v>0.87025520000000001</v>
      </c>
      <c r="Y5296">
        <v>-0.2396305</v>
      </c>
      <c r="Z5296">
        <v>0.1078646</v>
      </c>
      <c r="AA5296">
        <v>0.96485359999999998</v>
      </c>
      <c r="AB5296">
        <v>27</v>
      </c>
      <c r="AC5296">
        <v>-2.0767999999999902</v>
      </c>
      <c r="AD5296">
        <v>-1.118241594818</v>
      </c>
      <c r="AE5296">
        <v>-6.6033999999999899</v>
      </c>
      <c r="AF5296">
        <v>-1.65506614131978</v>
      </c>
      <c r="AG5296">
        <v>-1.118241594818</v>
      </c>
      <c r="AH5296">
        <v>6.5400622999811002</v>
      </c>
      <c r="AI5296">
        <v>99.411655091189999</v>
      </c>
      <c r="AJ5296">
        <v>104.201448805986</v>
      </c>
      <c r="AK5296">
        <v>6.8382836358371604</v>
      </c>
      <c r="AL5296">
        <v>68.384454391776103</v>
      </c>
      <c r="AM5296">
        <v>110.59604109863299</v>
      </c>
      <c r="AN5296">
        <v>0.99999997830535903</v>
      </c>
    </row>
    <row r="5297" spans="1:40" x14ac:dyDescent="0.25">
      <c r="A5297" t="str">
        <f>"20190304164232728"</f>
        <v>20190304164232728</v>
      </c>
      <c r="B5297" t="str">
        <f>"1551688952716537"</f>
        <v>1551688952716537</v>
      </c>
      <c r="C5297" t="s">
        <v>40</v>
      </c>
      <c r="D5297">
        <v>4.3771639999999996</v>
      </c>
      <c r="E5297">
        <v>0.52638119999999999</v>
      </c>
      <c r="F5297" t="s">
        <v>42</v>
      </c>
      <c r="G5297">
        <v>-416.91899999999998</v>
      </c>
      <c r="H5297" s="1">
        <v>-4.4918820000000001E-6</v>
      </c>
      <c r="I5297">
        <v>118.8295</v>
      </c>
      <c r="J5297">
        <v>-414.92610000000002</v>
      </c>
      <c r="K5297">
        <v>1.1181319999999999</v>
      </c>
      <c r="L5297">
        <v>125.4286</v>
      </c>
      <c r="M5297">
        <v>-0.51613980000000004</v>
      </c>
      <c r="N5297">
        <v>-1.4974799999999899E-2</v>
      </c>
      <c r="O5297">
        <v>-0.85637339999999995</v>
      </c>
      <c r="P5297">
        <v>-0.1770303</v>
      </c>
      <c r="Q5297">
        <v>0.36171700000000001</v>
      </c>
      <c r="R5297">
        <v>-0.91532590000000003</v>
      </c>
      <c r="S5297">
        <v>-1.020996</v>
      </c>
      <c r="T5297">
        <v>-0.53864769999999995</v>
      </c>
      <c r="U5297">
        <v>-3.287903</v>
      </c>
      <c r="V5297">
        <v>-0.32760020000000001</v>
      </c>
      <c r="W5297">
        <v>0.36891449999999998</v>
      </c>
      <c r="X5297">
        <v>0.86981620000000004</v>
      </c>
      <c r="Y5297">
        <v>-0.24062620000000001</v>
      </c>
      <c r="Z5297">
        <v>0.1091719</v>
      </c>
      <c r="AA5297">
        <v>0.96445860000000005</v>
      </c>
      <c r="AB5297">
        <v>27</v>
      </c>
      <c r="AC5297">
        <v>-1.9929000000000101</v>
      </c>
      <c r="AD5297">
        <v>-1.11813649188199</v>
      </c>
      <c r="AE5297">
        <v>-6.5991</v>
      </c>
      <c r="AF5297">
        <v>-1.6560130820114101</v>
      </c>
      <c r="AG5297">
        <v>-1.11813649188199</v>
      </c>
      <c r="AH5297">
        <v>6.5093979386647902</v>
      </c>
      <c r="AI5297">
        <v>99.451360151793807</v>
      </c>
      <c r="AJ5297">
        <v>104.273452568012</v>
      </c>
      <c r="AK5297">
        <v>6.8091754321771196</v>
      </c>
      <c r="AL5297">
        <v>68.351312982236493</v>
      </c>
      <c r="AM5297">
        <v>110.637955746571</v>
      </c>
      <c r="AN5297">
        <v>1.00000001056636</v>
      </c>
    </row>
    <row r="5298" spans="1:40" x14ac:dyDescent="0.25">
      <c r="A5298" t="str">
        <f>"20190304164232749"</f>
        <v>20190304164232749</v>
      </c>
      <c r="B5298" t="str">
        <f>"1551688952746793"</f>
        <v>1551688952746793</v>
      </c>
      <c r="C5298" t="s">
        <v>40</v>
      </c>
      <c r="D5298">
        <v>4.3481509999999997</v>
      </c>
      <c r="E5298">
        <v>0.52662609999999999</v>
      </c>
      <c r="F5298" t="s">
        <v>42</v>
      </c>
      <c r="G5298">
        <v>-417.32679999999999</v>
      </c>
      <c r="H5298" s="1">
        <v>-3.404998E-6</v>
      </c>
      <c r="I5298">
        <v>116.4646</v>
      </c>
      <c r="J5298">
        <v>-415.04919999999998</v>
      </c>
      <c r="K5298">
        <v>1.1180410000000001</v>
      </c>
      <c r="L5298">
        <v>125.2032</v>
      </c>
      <c r="M5298">
        <v>-0.50760419999999995</v>
      </c>
      <c r="N5298">
        <v>-1.495526E-2</v>
      </c>
      <c r="O5298">
        <v>-0.86146060000000002</v>
      </c>
      <c r="P5298">
        <v>-0.16834479999999999</v>
      </c>
      <c r="Q5298">
        <v>0.3620255</v>
      </c>
      <c r="R5298">
        <v>-0.91684149999999998</v>
      </c>
      <c r="S5298">
        <v>-0.87557980000000002</v>
      </c>
      <c r="T5298">
        <v>-0.40780250000000001</v>
      </c>
      <c r="U5298">
        <v>-3.2693180000000002</v>
      </c>
      <c r="V5298">
        <v>-0.32705299999999998</v>
      </c>
      <c r="W5298">
        <v>0.36929469999999998</v>
      </c>
      <c r="X5298">
        <v>0.86986079999999999</v>
      </c>
      <c r="Y5298">
        <v>-0.26812019999999998</v>
      </c>
      <c r="Z5298">
        <v>8.0996680000000001E-2</v>
      </c>
      <c r="AA5298">
        <v>0.95997449999999995</v>
      </c>
      <c r="AB5298">
        <v>27</v>
      </c>
      <c r="AC5298">
        <v>-2.2776000000000001</v>
      </c>
      <c r="AD5298">
        <v>-1.1180444049980001</v>
      </c>
      <c r="AE5298">
        <v>-8.7385999999999893</v>
      </c>
      <c r="AF5298">
        <v>-2.4366151084379202</v>
      </c>
      <c r="AG5298">
        <v>-1.1180444049980001</v>
      </c>
      <c r="AH5298">
        <v>8.5539336601225902</v>
      </c>
      <c r="AI5298">
        <v>97.164774985306096</v>
      </c>
      <c r="AJ5298">
        <v>105.899770815596</v>
      </c>
      <c r="AK5298">
        <v>8.9642008868606595</v>
      </c>
      <c r="AL5298">
        <v>68.3278744012581</v>
      </c>
      <c r="AM5298">
        <v>110.60541454788699</v>
      </c>
      <c r="AN5298">
        <v>1.00000002581686</v>
      </c>
    </row>
    <row r="5299" spans="1:40" x14ac:dyDescent="0.25">
      <c r="A5299" t="str">
        <f>"20190304164232773"</f>
        <v>20190304164232773</v>
      </c>
      <c r="B5299" t="str">
        <f>"1551688952766313"</f>
        <v>1551688952766313</v>
      </c>
      <c r="C5299" t="s">
        <v>40</v>
      </c>
      <c r="D5299">
        <v>4.3399449999999904</v>
      </c>
      <c r="E5299">
        <v>0.52726010000000001</v>
      </c>
      <c r="F5299" t="s">
        <v>42</v>
      </c>
      <c r="G5299">
        <v>-417.36279999999999</v>
      </c>
      <c r="H5299" s="1">
        <v>-3.2978539999999998E-6</v>
      </c>
      <c r="I5299">
        <v>116.22969999999999</v>
      </c>
      <c r="J5299">
        <v>-415.17790000000002</v>
      </c>
      <c r="K5299">
        <v>1.1179319999999999</v>
      </c>
      <c r="L5299">
        <v>124.9622</v>
      </c>
      <c r="M5299">
        <v>-0.498589</v>
      </c>
      <c r="N5299">
        <v>-1.4933480000000001E-2</v>
      </c>
      <c r="O5299">
        <v>-0.86670990000000003</v>
      </c>
      <c r="P5299">
        <v>-0.1600539</v>
      </c>
      <c r="Q5299">
        <v>0.36221249999999999</v>
      </c>
      <c r="R5299">
        <v>-0.91825129999999999</v>
      </c>
      <c r="S5299">
        <v>-0.84521480000000004</v>
      </c>
      <c r="T5299">
        <v>-0.40844200000000003</v>
      </c>
      <c r="U5299">
        <v>-3.2781829999999998</v>
      </c>
      <c r="V5299">
        <v>-0.32569619999999999</v>
      </c>
      <c r="W5299">
        <v>0.36957830000000003</v>
      </c>
      <c r="X5299">
        <v>0.8702493</v>
      </c>
      <c r="Y5299">
        <v>-0.26705289999999998</v>
      </c>
      <c r="Z5299">
        <v>8.1892859999999998E-2</v>
      </c>
      <c r="AA5299">
        <v>0.96019600000000005</v>
      </c>
      <c r="AB5299">
        <v>27</v>
      </c>
      <c r="AC5299">
        <v>-2.1848999999999701</v>
      </c>
      <c r="AD5299">
        <v>-1.117935297854</v>
      </c>
      <c r="AE5299">
        <v>-8.7324999999999999</v>
      </c>
      <c r="AF5299">
        <v>-2.4231545371885699</v>
      </c>
      <c r="AG5299">
        <v>-1.117935297854</v>
      </c>
      <c r="AH5299">
        <v>8.5273541763453498</v>
      </c>
      <c r="AI5299">
        <v>97.187472929243597</v>
      </c>
      <c r="AJ5299">
        <v>105.86316331581899</v>
      </c>
      <c r="AK5299">
        <v>8.9351679609350292</v>
      </c>
      <c r="AL5299">
        <v>68.310387448725805</v>
      </c>
      <c r="AM5299">
        <v>110.518673813719</v>
      </c>
      <c r="AN5299">
        <v>0.99999998933790901</v>
      </c>
    </row>
    <row r="5300" spans="1:40" x14ac:dyDescent="0.25">
      <c r="A5300" t="str">
        <f>"20190304164232794"</f>
        <v>20190304164232794</v>
      </c>
      <c r="B5300" t="str">
        <f>"1551688952786810"</f>
        <v>1551688952786810</v>
      </c>
      <c r="C5300" t="s">
        <v>40</v>
      </c>
      <c r="D5300">
        <v>4.3244610000000003</v>
      </c>
      <c r="E5300">
        <v>0.52815730000000005</v>
      </c>
      <c r="F5300" t="s">
        <v>42</v>
      </c>
      <c r="G5300">
        <v>-417.41550000000001</v>
      </c>
      <c r="H5300" s="1">
        <v>-3.1842719999999998E-6</v>
      </c>
      <c r="I5300">
        <v>115.9867</v>
      </c>
      <c r="J5300">
        <v>-415.29239999999999</v>
      </c>
      <c r="K5300">
        <v>1.1178300000000001</v>
      </c>
      <c r="L5300">
        <v>124.7426</v>
      </c>
      <c r="M5300">
        <v>-0.49048340000000001</v>
      </c>
      <c r="N5300">
        <v>-1.4912089999999999E-2</v>
      </c>
      <c r="O5300">
        <v>-0.87132319999999996</v>
      </c>
      <c r="P5300">
        <v>-0.15231510000000001</v>
      </c>
      <c r="Q5300">
        <v>0.36228640000000001</v>
      </c>
      <c r="R5300">
        <v>-0.91953770000000001</v>
      </c>
      <c r="S5300">
        <v>-0.81915280000000001</v>
      </c>
      <c r="T5300">
        <v>-0.40925129999999998</v>
      </c>
      <c r="U5300">
        <v>-3.2857210000000001</v>
      </c>
      <c r="V5300">
        <v>-0.32479439999999998</v>
      </c>
      <c r="W5300">
        <v>0.3697356</v>
      </c>
      <c r="X5300">
        <v>0.8705195</v>
      </c>
      <c r="Y5300">
        <v>-0.2657697</v>
      </c>
      <c r="Z5300">
        <v>8.275209E-2</v>
      </c>
      <c r="AA5300">
        <v>0.96047830000000001</v>
      </c>
      <c r="AB5300">
        <v>27</v>
      </c>
      <c r="AC5300">
        <v>-2.12310000000002</v>
      </c>
      <c r="AD5300">
        <v>-1.117833184272</v>
      </c>
      <c r="AE5300">
        <v>-8.7558999999999898</v>
      </c>
      <c r="AF5300">
        <v>-2.4079220000982402</v>
      </c>
      <c r="AG5300">
        <v>-1.117833184272</v>
      </c>
      <c r="AH5300">
        <v>8.5400638937393207</v>
      </c>
      <c r="AI5300">
        <v>97.180346695195396</v>
      </c>
      <c r="AJ5300">
        <v>105.746114988795</v>
      </c>
      <c r="AK5300">
        <v>8.9431722948608599</v>
      </c>
      <c r="AL5300">
        <v>68.300688204559407</v>
      </c>
      <c r="AM5300">
        <v>110.46075153279099</v>
      </c>
      <c r="AN5300">
        <v>1.00000000802948</v>
      </c>
    </row>
    <row r="5301" spans="1:40" x14ac:dyDescent="0.25">
      <c r="A5301" t="str">
        <f>"20190304164232817"</f>
        <v>20190304164232817</v>
      </c>
      <c r="B5301" t="str">
        <f>"1551688952806330"</f>
        <v>1551688952806330</v>
      </c>
      <c r="C5301" t="s">
        <v>40</v>
      </c>
      <c r="D5301">
        <v>4.3497250000000003</v>
      </c>
      <c r="E5301">
        <v>0.52908089999999997</v>
      </c>
      <c r="F5301" t="s">
        <v>42</v>
      </c>
      <c r="G5301">
        <v>-417.46199999999999</v>
      </c>
      <c r="H5301" s="1">
        <v>-3.0923960000000001E-6</v>
      </c>
      <c r="I5301">
        <v>115.79179999999999</v>
      </c>
      <c r="J5301">
        <v>-415.41399999999999</v>
      </c>
      <c r="K5301">
        <v>1.117707</v>
      </c>
      <c r="L5301">
        <v>124.5044</v>
      </c>
      <c r="M5301">
        <v>-0.4818115</v>
      </c>
      <c r="N5301">
        <v>-1.4887320000000001E-2</v>
      </c>
      <c r="O5301">
        <v>-0.8761485</v>
      </c>
      <c r="P5301">
        <v>-0.1441586</v>
      </c>
      <c r="Q5301">
        <v>0.36206749999999999</v>
      </c>
      <c r="R5301">
        <v>-0.92093749999999996</v>
      </c>
      <c r="S5301">
        <v>-0.79803469999999999</v>
      </c>
      <c r="T5301">
        <v>-0.41116849999999999</v>
      </c>
      <c r="U5301">
        <v>-3.2923279999999999</v>
      </c>
      <c r="V5301">
        <v>-0.32379210000000003</v>
      </c>
      <c r="W5301">
        <v>0.36961329999999998</v>
      </c>
      <c r="X5301">
        <v>0.87094470000000002</v>
      </c>
      <c r="Y5301">
        <v>-0.26248909999999998</v>
      </c>
      <c r="Z5301">
        <v>8.3963899999999994E-2</v>
      </c>
      <c r="AA5301">
        <v>0.96127499999999999</v>
      </c>
      <c r="AB5301">
        <v>27</v>
      </c>
      <c r="AC5301">
        <v>-2.048</v>
      </c>
      <c r="AD5301">
        <v>-1.1177100923959999</v>
      </c>
      <c r="AE5301">
        <v>-8.7126000000000001</v>
      </c>
      <c r="AF5301">
        <v>-2.3668324735983002</v>
      </c>
      <c r="AG5301">
        <v>-1.1177100923959999</v>
      </c>
      <c r="AH5301">
        <v>8.48884639055915</v>
      </c>
      <c r="AI5301">
        <v>97.228260006431896</v>
      </c>
      <c r="AJ5301">
        <v>105.579360111973</v>
      </c>
      <c r="AK5301">
        <v>8.8832249127910998</v>
      </c>
      <c r="AL5301">
        <v>68.308229365994507</v>
      </c>
      <c r="AM5301">
        <v>110.39368124145901</v>
      </c>
      <c r="AN5301">
        <v>0.99999999300869502</v>
      </c>
    </row>
    <row r="5302" spans="1:40" x14ac:dyDescent="0.25">
      <c r="A5302" t="str">
        <f>"20190304164232839"</f>
        <v>20190304164232839</v>
      </c>
      <c r="B5302" t="str">
        <f>"1551688952836586"</f>
        <v>1551688952836586</v>
      </c>
      <c r="C5302" t="s">
        <v>40</v>
      </c>
      <c r="D5302">
        <v>4.3578849999999996</v>
      </c>
      <c r="E5302">
        <v>0.52992010000000001</v>
      </c>
      <c r="F5302" t="s">
        <v>42</v>
      </c>
      <c r="G5302">
        <v>-417.50490000000002</v>
      </c>
      <c r="H5302" s="1">
        <v>-3.005828E-6</v>
      </c>
      <c r="I5302">
        <v>115.60769999999999</v>
      </c>
      <c r="J5302">
        <v>-415.5301</v>
      </c>
      <c r="K5302">
        <v>1.1175870000000001</v>
      </c>
      <c r="L5302">
        <v>124.2718</v>
      </c>
      <c r="M5302">
        <v>-0.47346319999999997</v>
      </c>
      <c r="N5302">
        <v>-1.4860760000000001E-2</v>
      </c>
      <c r="O5302">
        <v>-0.88068840000000004</v>
      </c>
      <c r="P5302">
        <v>-0.13638839999999999</v>
      </c>
      <c r="Q5302">
        <v>0.36228359999999998</v>
      </c>
      <c r="R5302">
        <v>-0.92203559999999996</v>
      </c>
      <c r="S5302">
        <v>-0.7753601</v>
      </c>
      <c r="T5302">
        <v>-0.4144775</v>
      </c>
      <c r="U5302">
        <v>-3.2991329999999999</v>
      </c>
      <c r="V5302">
        <v>-0.32270310000000002</v>
      </c>
      <c r="W5302">
        <v>0.3699248</v>
      </c>
      <c r="X5302">
        <v>0.87121669999999996</v>
      </c>
      <c r="Y5302">
        <v>-0.26005200000000001</v>
      </c>
      <c r="Z5302">
        <v>8.5445499999999994E-2</v>
      </c>
      <c r="AA5302">
        <v>0.96180670000000001</v>
      </c>
      <c r="AB5302">
        <v>26</v>
      </c>
      <c r="AC5302">
        <v>-1.9748000000000101</v>
      </c>
      <c r="AD5302">
        <v>-1.1175900058279999</v>
      </c>
      <c r="AE5302">
        <v>-8.6640999999999995</v>
      </c>
      <c r="AF5302">
        <v>-2.32641294255889</v>
      </c>
      <c r="AG5302">
        <v>-1.1175900058279999</v>
      </c>
      <c r="AH5302">
        <v>8.43292906427242</v>
      </c>
      <c r="AI5302">
        <v>97.280363249562498</v>
      </c>
      <c r="AJ5302">
        <v>105.42271493401999</v>
      </c>
      <c r="AK5302">
        <v>8.8190417395249199</v>
      </c>
      <c r="AL5302">
        <v>68.289022549908907</v>
      </c>
      <c r="AM5302">
        <v>110.324886125726</v>
      </c>
      <c r="AN5302">
        <v>1.0000000933817601</v>
      </c>
    </row>
    <row r="5303" spans="1:40" x14ac:dyDescent="0.25">
      <c r="A5303" t="str">
        <f>"20190304164232862"</f>
        <v>20190304164232862</v>
      </c>
      <c r="B5303" t="str">
        <f>"1551688952856105"</f>
        <v>1551688952856105</v>
      </c>
      <c r="C5303" t="s">
        <v>40</v>
      </c>
      <c r="D5303">
        <v>4.3361450000000001</v>
      </c>
      <c r="E5303">
        <v>0.5375006</v>
      </c>
      <c r="F5303" t="s">
        <v>42</v>
      </c>
      <c r="G5303">
        <v>-417.54610000000002</v>
      </c>
      <c r="H5303" s="1">
        <v>-2.9155939999999999E-6</v>
      </c>
      <c r="I5303">
        <v>115.4144</v>
      </c>
      <c r="J5303">
        <v>-415.6474</v>
      </c>
      <c r="K5303">
        <v>1.1174550000000001</v>
      </c>
      <c r="L5303">
        <v>124.0313</v>
      </c>
      <c r="M5303">
        <v>-0.46495989999999998</v>
      </c>
      <c r="N5303">
        <v>-1.4831220000000001E-2</v>
      </c>
      <c r="O5303">
        <v>-0.88520739999999998</v>
      </c>
      <c r="P5303">
        <v>-0.12844529999999901</v>
      </c>
      <c r="Q5303">
        <v>0.36283749999999998</v>
      </c>
      <c r="R5303">
        <v>-0.92295749999999999</v>
      </c>
      <c r="S5303">
        <v>-0.75253300000000001</v>
      </c>
      <c r="T5303">
        <v>-0.41717120000000002</v>
      </c>
      <c r="U5303">
        <v>-3.3062589999999998</v>
      </c>
      <c r="V5303">
        <v>-0.3215981</v>
      </c>
      <c r="W5303">
        <v>0.37057329999999999</v>
      </c>
      <c r="X5303">
        <v>0.87134959999999995</v>
      </c>
      <c r="Y5303">
        <v>-0.25754389999999999</v>
      </c>
      <c r="Z5303">
        <v>8.6780590000000005E-2</v>
      </c>
      <c r="AA5303">
        <v>0.96236180000000004</v>
      </c>
      <c r="AB5303">
        <v>26</v>
      </c>
      <c r="AC5303">
        <v>-1.89870000000002</v>
      </c>
      <c r="AD5303">
        <v>-1.1174579155940001</v>
      </c>
      <c r="AE5303">
        <v>-8.6168999999999993</v>
      </c>
      <c r="AF5303">
        <v>-2.2893081174234502</v>
      </c>
      <c r="AG5303">
        <v>-1.1174579155940001</v>
      </c>
      <c r="AH5303">
        <v>8.3771412153793108</v>
      </c>
      <c r="AI5303">
        <v>97.332263403608195</v>
      </c>
      <c r="AJ5303">
        <v>105.284609917023</v>
      </c>
      <c r="AK5303">
        <v>8.7559202138913594</v>
      </c>
      <c r="AL5303">
        <v>68.249021870840707</v>
      </c>
      <c r="AM5303">
        <v>110.258117603645</v>
      </c>
      <c r="AN5303">
        <v>1.0000000170083201</v>
      </c>
    </row>
    <row r="5304" spans="1:40" x14ac:dyDescent="0.25">
      <c r="A5304" t="str">
        <f>"20190304164232883"</f>
        <v>20190304164232883</v>
      </c>
      <c r="B5304" t="str">
        <f>"1551688952876601"</f>
        <v>1551688952876601</v>
      </c>
      <c r="C5304" t="s">
        <v>40</v>
      </c>
      <c r="D5304">
        <v>4.3585659999999997</v>
      </c>
      <c r="E5304">
        <v>0.53800689999999995</v>
      </c>
      <c r="F5304" t="s">
        <v>42</v>
      </c>
      <c r="G5304">
        <v>-417.67559999999997</v>
      </c>
      <c r="H5304" s="1">
        <v>-2.9109890000000001E-6</v>
      </c>
      <c r="I5304">
        <v>115.4573</v>
      </c>
      <c r="J5304">
        <v>-415.75450000000001</v>
      </c>
      <c r="K5304">
        <v>1.1173379999999999</v>
      </c>
      <c r="L5304">
        <v>123.8064</v>
      </c>
      <c r="M5304">
        <v>-0.4571344</v>
      </c>
      <c r="N5304">
        <v>-1.480303E-2</v>
      </c>
      <c r="O5304">
        <v>-0.88927449999999997</v>
      </c>
      <c r="P5304">
        <v>-0.1213576</v>
      </c>
      <c r="Q5304">
        <v>0.36309760000000002</v>
      </c>
      <c r="R5304">
        <v>-0.92381440000000004</v>
      </c>
      <c r="S5304">
        <v>-0.78326419999999997</v>
      </c>
      <c r="T5304">
        <v>-0.43153259999999999</v>
      </c>
      <c r="U5304">
        <v>-3.3110659999999998</v>
      </c>
      <c r="V5304">
        <v>-0.32044440000000002</v>
      </c>
      <c r="W5304">
        <v>0.37092310000000001</v>
      </c>
      <c r="X5304">
        <v>0.87162580000000001</v>
      </c>
      <c r="Y5304">
        <v>-0.2409211</v>
      </c>
      <c r="Z5304">
        <v>9.1035190000000002E-2</v>
      </c>
      <c r="AA5304">
        <v>0.96626579999999995</v>
      </c>
      <c r="AB5304">
        <v>26</v>
      </c>
      <c r="AC5304">
        <v>-1.9210999999999601</v>
      </c>
      <c r="AD5304">
        <v>-1.117340910989</v>
      </c>
      <c r="AE5304">
        <v>-8.3490999999999893</v>
      </c>
      <c r="AF5304">
        <v>-2.07324206566074</v>
      </c>
      <c r="AG5304">
        <v>-1.117340910989</v>
      </c>
      <c r="AH5304">
        <v>8.1648731215498795</v>
      </c>
      <c r="AI5304">
        <v>97.555500604420004</v>
      </c>
      <c r="AJ5304">
        <v>104.247550690938</v>
      </c>
      <c r="AK5304">
        <v>8.4977606735658604</v>
      </c>
      <c r="AL5304">
        <v>68.227442570822205</v>
      </c>
      <c r="AM5304">
        <v>110.185440406322</v>
      </c>
      <c r="AN5304">
        <v>1.0000000474152999</v>
      </c>
    </row>
    <row r="5305" spans="1:40" x14ac:dyDescent="0.25">
      <c r="A5305" t="str">
        <f>"20190304164232906"</f>
        <v>20190304164232906</v>
      </c>
      <c r="B5305" t="str">
        <f>"1551688952896122"</f>
        <v>1551688952896122</v>
      </c>
      <c r="C5305" t="s">
        <v>40</v>
      </c>
      <c r="D5305">
        <v>4.3352659999999998</v>
      </c>
      <c r="E5305">
        <v>0.53866369999999997</v>
      </c>
      <c r="F5305" t="s">
        <v>42</v>
      </c>
      <c r="G5305">
        <v>-417.72669999999999</v>
      </c>
      <c r="H5305" s="1">
        <v>-2.7935250000000001E-6</v>
      </c>
      <c r="I5305">
        <v>115.2046</v>
      </c>
      <c r="J5305">
        <v>-415.86649999999997</v>
      </c>
      <c r="K5305">
        <v>1.1172299999999999</v>
      </c>
      <c r="L5305">
        <v>123.56570000000001</v>
      </c>
      <c r="M5305">
        <v>-0.44886559999999998</v>
      </c>
      <c r="N5305">
        <v>-1.4773059999999999E-2</v>
      </c>
      <c r="O5305">
        <v>-0.89347730000000003</v>
      </c>
      <c r="P5305">
        <v>-0.11457489999999999</v>
      </c>
      <c r="Q5305">
        <v>0.36289310000000002</v>
      </c>
      <c r="R5305">
        <v>-0.92476029999999998</v>
      </c>
      <c r="S5305">
        <v>-0.76049800000000001</v>
      </c>
      <c r="T5305">
        <v>-0.43084509999999998</v>
      </c>
      <c r="U5305">
        <v>-3.3168329999999999</v>
      </c>
      <c r="V5305">
        <v>-0.31867489999999998</v>
      </c>
      <c r="W5305">
        <v>0.37081639999999999</v>
      </c>
      <c r="X5305">
        <v>0.87231959999999997</v>
      </c>
      <c r="Y5305">
        <v>-0.23859659999999999</v>
      </c>
      <c r="Z5305">
        <v>9.1567250000000003E-2</v>
      </c>
      <c r="AA5305">
        <v>0.96679219999999999</v>
      </c>
      <c r="AB5305">
        <v>26</v>
      </c>
      <c r="AC5305">
        <v>-1.8602000000000201</v>
      </c>
      <c r="AD5305">
        <v>-1.1172327935249999</v>
      </c>
      <c r="AE5305">
        <v>-8.3611000000000004</v>
      </c>
      <c r="AF5305">
        <v>-2.0562095209367701</v>
      </c>
      <c r="AG5305">
        <v>-1.1172327935249999</v>
      </c>
      <c r="AH5305">
        <v>8.1673871855437294</v>
      </c>
      <c r="AI5305">
        <v>97.556318721774602</v>
      </c>
      <c r="AJ5305">
        <v>104.131034515198</v>
      </c>
      <c r="AK5305">
        <v>8.4960237845419595</v>
      </c>
      <c r="AL5305">
        <v>68.234024166300998</v>
      </c>
      <c r="AM5305">
        <v>110.068207719147</v>
      </c>
      <c r="AN5305">
        <v>0.99999998947156499</v>
      </c>
    </row>
    <row r="5306" spans="1:40" x14ac:dyDescent="0.25">
      <c r="A5306" t="str">
        <f>"20190304164232929"</f>
        <v>20190304164232929</v>
      </c>
      <c r="B5306" t="str">
        <f>"1551688952916618"</f>
        <v>1551688952916618</v>
      </c>
      <c r="C5306" t="s">
        <v>40</v>
      </c>
      <c r="D5306">
        <v>4.2886920000000002</v>
      </c>
      <c r="E5306">
        <v>0.53926339999999995</v>
      </c>
      <c r="F5306" t="s">
        <v>42</v>
      </c>
      <c r="G5306">
        <v>-417.76459999999997</v>
      </c>
      <c r="H5306" s="1">
        <v>-2.713419E-6</v>
      </c>
      <c r="I5306">
        <v>115.0335</v>
      </c>
      <c r="J5306">
        <v>-415.97379999999998</v>
      </c>
      <c r="K5306">
        <v>1.117132</v>
      </c>
      <c r="L5306">
        <v>123.3302</v>
      </c>
      <c r="M5306">
        <v>-0.44086969999999998</v>
      </c>
      <c r="N5306">
        <v>-1.474015E-2</v>
      </c>
      <c r="O5306">
        <v>-0.89745030000000003</v>
      </c>
      <c r="P5306">
        <v>-0.108449</v>
      </c>
      <c r="Q5306">
        <v>0.36246630000000002</v>
      </c>
      <c r="R5306">
        <v>-0.92566570000000004</v>
      </c>
      <c r="S5306">
        <v>-0.73925779999999996</v>
      </c>
      <c r="T5306">
        <v>-0.43515369999999998</v>
      </c>
      <c r="U5306">
        <v>-3.3232270000000002</v>
      </c>
      <c r="V5306">
        <v>-0.31662760000000001</v>
      </c>
      <c r="W5306">
        <v>0.37047930000000001</v>
      </c>
      <c r="X5306">
        <v>0.87320789999999904</v>
      </c>
      <c r="Y5306">
        <v>-0.23624290000000001</v>
      </c>
      <c r="Z5306">
        <v>9.3248579999999998E-2</v>
      </c>
      <c r="AA5306">
        <v>0.9672094</v>
      </c>
      <c r="AB5306">
        <v>26</v>
      </c>
      <c r="AC5306">
        <v>-1.79079999999999</v>
      </c>
      <c r="AD5306">
        <v>-1.1171347134189999</v>
      </c>
      <c r="AE5306">
        <v>-8.2966999999999995</v>
      </c>
      <c r="AF5306">
        <v>-2.0159103342656302</v>
      </c>
      <c r="AG5306">
        <v>-1.1171347134189999</v>
      </c>
      <c r="AH5306">
        <v>8.0960306210224608</v>
      </c>
      <c r="AI5306">
        <v>97.626374565826296</v>
      </c>
      <c r="AJ5306">
        <v>103.982296754161</v>
      </c>
      <c r="AK5306">
        <v>8.4176954245362303</v>
      </c>
      <c r="AL5306">
        <v>68.254819846861594</v>
      </c>
      <c r="AM5306">
        <v>109.93078469091</v>
      </c>
      <c r="AN5306">
        <v>0.999999992716329</v>
      </c>
    </row>
    <row r="5307" spans="1:40" x14ac:dyDescent="0.25">
      <c r="A5307" t="str">
        <f>"20190304164232951"</f>
        <v>20190304164232951</v>
      </c>
      <c r="B5307" t="str">
        <f>"1551688952946874"</f>
        <v>1551688952946874</v>
      </c>
      <c r="C5307" t="s">
        <v>40</v>
      </c>
      <c r="D5307">
        <v>4.5706920000000002</v>
      </c>
      <c r="E5307">
        <v>0.54259959999999996</v>
      </c>
      <c r="F5307" t="s">
        <v>42</v>
      </c>
      <c r="G5307">
        <v>-417.80079999999998</v>
      </c>
      <c r="H5307" s="1">
        <v>-2.6387159999999998E-6</v>
      </c>
      <c r="I5307">
        <v>114.87430000000001</v>
      </c>
      <c r="J5307">
        <v>-416.07819999999998</v>
      </c>
      <c r="K5307">
        <v>1.11704</v>
      </c>
      <c r="L5307">
        <v>123.09569999999999</v>
      </c>
      <c r="M5307">
        <v>-0.43300050000000001</v>
      </c>
      <c r="N5307">
        <v>-1.470512E-2</v>
      </c>
      <c r="O5307">
        <v>-0.90127369999999996</v>
      </c>
      <c r="P5307">
        <v>-0.102661</v>
      </c>
      <c r="Q5307">
        <v>0.36256179999999999</v>
      </c>
      <c r="R5307">
        <v>-0.926288</v>
      </c>
      <c r="S5307">
        <v>-0.7192383</v>
      </c>
      <c r="T5307">
        <v>-0.4397855</v>
      </c>
      <c r="U5307">
        <v>-3.3288570000000002</v>
      </c>
      <c r="V5307">
        <v>-0.31433470000000002</v>
      </c>
      <c r="W5307">
        <v>0.37065870000000001</v>
      </c>
      <c r="X5307">
        <v>0.87395990000000001</v>
      </c>
      <c r="Y5307">
        <v>-0.23367270000000001</v>
      </c>
      <c r="Z5307">
        <v>9.5018500000000006E-2</v>
      </c>
      <c r="AA5307">
        <v>0.9676614</v>
      </c>
      <c r="AB5307">
        <v>26</v>
      </c>
      <c r="AC5307">
        <v>-1.7225999999999999</v>
      </c>
      <c r="AD5307">
        <v>-1.117042638716</v>
      </c>
      <c r="AE5307">
        <v>-8.2213999999999796</v>
      </c>
      <c r="AF5307">
        <v>-1.9726680438884701</v>
      </c>
      <c r="AG5307">
        <v>-1.117042638716</v>
      </c>
      <c r="AH5307">
        <v>8.0147646595019708</v>
      </c>
      <c r="AI5307">
        <v>97.707248593121093</v>
      </c>
      <c r="AJ5307">
        <v>103.827322417441</v>
      </c>
      <c r="AK5307">
        <v>8.3292050049983803</v>
      </c>
      <c r="AL5307">
        <v>68.243754192824497</v>
      </c>
      <c r="AM5307">
        <v>109.781993632553</v>
      </c>
      <c r="AN5307">
        <v>1.0000000411588901</v>
      </c>
    </row>
    <row r="5308" spans="1:40" x14ac:dyDescent="0.25">
      <c r="A5308" t="str">
        <f>"20190304164232974"</f>
        <v>20190304164232974</v>
      </c>
      <c r="B5308" t="str">
        <f>"1551688952966394"</f>
        <v>1551688952966394</v>
      </c>
      <c r="C5308" t="s">
        <v>40</v>
      </c>
      <c r="D5308">
        <v>4.311604</v>
      </c>
      <c r="E5308">
        <v>0.54345080000000001</v>
      </c>
      <c r="F5308" t="s">
        <v>42</v>
      </c>
      <c r="G5308">
        <v>-417.79899999999998</v>
      </c>
      <c r="H5308" s="1">
        <v>-2.7570110000000001E-6</v>
      </c>
      <c r="I5308">
        <v>115.1493</v>
      </c>
      <c r="J5308">
        <v>-416.18459999999999</v>
      </c>
      <c r="K5308">
        <v>1.116941</v>
      </c>
      <c r="L5308">
        <v>122.851</v>
      </c>
      <c r="M5308">
        <v>-0.42489260000000001</v>
      </c>
      <c r="N5308">
        <v>-1.4668560000000001E-2</v>
      </c>
      <c r="O5308">
        <v>-0.90512499999999996</v>
      </c>
      <c r="P5308">
        <v>-9.6996520000000003E-2</v>
      </c>
      <c r="Q5308">
        <v>0.36360239999999999</v>
      </c>
      <c r="R5308">
        <v>-0.92649049999999999</v>
      </c>
      <c r="S5308">
        <v>-0.72381589999999996</v>
      </c>
      <c r="T5308">
        <v>-0.46985660000000001</v>
      </c>
      <c r="U5308">
        <v>-3.342438</v>
      </c>
      <c r="V5308">
        <v>-0.31156990000000001</v>
      </c>
      <c r="W5308">
        <v>0.37178949999999999</v>
      </c>
      <c r="X5308">
        <v>0.87446939999999995</v>
      </c>
      <c r="Y5308">
        <v>-0.2246512</v>
      </c>
      <c r="Z5308">
        <v>0.10282579999999999</v>
      </c>
      <c r="AA5308">
        <v>0.96899880000000005</v>
      </c>
      <c r="AB5308">
        <v>26</v>
      </c>
      <c r="AC5308">
        <v>-1.61440000000004</v>
      </c>
      <c r="AD5308">
        <v>-1.1169437570109999</v>
      </c>
      <c r="AE5308">
        <v>-7.7016999999999998</v>
      </c>
      <c r="AF5308">
        <v>-1.7755832786022101</v>
      </c>
      <c r="AG5308">
        <v>-1.1169437570109999</v>
      </c>
      <c r="AH5308">
        <v>7.5065355817106196</v>
      </c>
      <c r="AI5308">
        <v>98.239190691304898</v>
      </c>
      <c r="AJ5308">
        <v>103.30804875403</v>
      </c>
      <c r="AK5308">
        <v>7.7941218732494404</v>
      </c>
      <c r="AL5308">
        <v>68.173976827988398</v>
      </c>
      <c r="AM5308">
        <v>109.6107771507</v>
      </c>
      <c r="AN5308">
        <v>0.99999998321630901</v>
      </c>
    </row>
    <row r="5309" spans="1:40" x14ac:dyDescent="0.25">
      <c r="A5309" t="str">
        <f>"20190304164232995"</f>
        <v>20190304164232995</v>
      </c>
      <c r="B5309" t="str">
        <f>"1551688952986889"</f>
        <v>1551688952986889</v>
      </c>
      <c r="C5309" t="s">
        <v>40</v>
      </c>
      <c r="D5309">
        <v>4.4517309999999997</v>
      </c>
      <c r="E5309">
        <v>0.54034139999999997</v>
      </c>
      <c r="F5309" t="s">
        <v>42</v>
      </c>
      <c r="G5309">
        <v>-417.8664</v>
      </c>
      <c r="H5309" s="1">
        <v>-2.6317059999999999E-6</v>
      </c>
      <c r="I5309">
        <v>114.88509999999999</v>
      </c>
      <c r="J5309">
        <v>-416.28109999999998</v>
      </c>
      <c r="K5309">
        <v>1.1168499999999999</v>
      </c>
      <c r="L5309">
        <v>122.62430000000001</v>
      </c>
      <c r="M5309">
        <v>-0.41747840000000003</v>
      </c>
      <c r="N5309">
        <v>-1.463212E-2</v>
      </c>
      <c r="O5309">
        <v>-0.90856919999999997</v>
      </c>
      <c r="P5309">
        <v>-9.207746E-2</v>
      </c>
      <c r="Q5309">
        <v>0.36460619999999999</v>
      </c>
      <c r="R5309">
        <v>-0.92659809999999998</v>
      </c>
      <c r="S5309">
        <v>-0.70690920000000002</v>
      </c>
      <c r="T5309">
        <v>-0.46948459999999997</v>
      </c>
      <c r="U5309">
        <v>-3.3482669999999999</v>
      </c>
      <c r="V5309">
        <v>-0.3088091</v>
      </c>
      <c r="W5309">
        <v>0.37288130000000003</v>
      </c>
      <c r="X5309">
        <v>0.87498369999999903</v>
      </c>
      <c r="Y5309">
        <v>-0.221724</v>
      </c>
      <c r="Z5309">
        <v>0.1033352</v>
      </c>
      <c r="AA5309">
        <v>0.9696186</v>
      </c>
      <c r="AB5309">
        <v>26</v>
      </c>
      <c r="AC5309">
        <v>-1.5853000000000099</v>
      </c>
      <c r="AD5309">
        <v>-1.1168526317059999</v>
      </c>
      <c r="AE5309">
        <v>-7.7392000000000101</v>
      </c>
      <c r="AF5309">
        <v>-1.7556943657887001</v>
      </c>
      <c r="AG5309">
        <v>-1.1168526317059999</v>
      </c>
      <c r="AH5309">
        <v>7.54347791116657</v>
      </c>
      <c r="AI5309">
        <v>98.205559669714901</v>
      </c>
      <c r="AJ5309">
        <v>103.101960290004</v>
      </c>
      <c r="AK5309">
        <v>7.8252080805093396</v>
      </c>
      <c r="AL5309">
        <v>68.106575357468998</v>
      </c>
      <c r="AM5309">
        <v>109.439529606934</v>
      </c>
      <c r="AN5309">
        <v>0.99999999969909403</v>
      </c>
    </row>
    <row r="5310" spans="1:40" x14ac:dyDescent="0.25">
      <c r="A5310" t="str">
        <f>"20190304164233018"</f>
        <v>20190304164233018</v>
      </c>
      <c r="B5310" t="str">
        <f>"1551688953006410"</f>
        <v>1551688953006410</v>
      </c>
      <c r="C5310" t="s">
        <v>40</v>
      </c>
      <c r="D5310">
        <v>4.3903319999999999</v>
      </c>
      <c r="E5310">
        <v>0.51815149999999999</v>
      </c>
      <c r="F5310" t="s">
        <v>42</v>
      </c>
      <c r="G5310">
        <v>-417.93950000000001</v>
      </c>
      <c r="H5310" s="1">
        <v>-2.333285E-6</v>
      </c>
      <c r="I5310">
        <v>114.2197</v>
      </c>
      <c r="J5310">
        <v>-416.38040000000001</v>
      </c>
      <c r="K5310">
        <v>1.116749</v>
      </c>
      <c r="L5310">
        <v>122.3857</v>
      </c>
      <c r="M5310">
        <v>-0.40978330000000002</v>
      </c>
      <c r="N5310">
        <v>-1.4589100000000001E-2</v>
      </c>
      <c r="O5310">
        <v>-0.91206620000000005</v>
      </c>
      <c r="P5310">
        <v>-8.7125350000000004E-2</v>
      </c>
      <c r="Q5310">
        <v>0.36504599999999998</v>
      </c>
      <c r="R5310">
        <v>-0.92690410000000001</v>
      </c>
      <c r="S5310">
        <v>-0.66046139999999998</v>
      </c>
      <c r="T5310">
        <v>-0.44477929999999999</v>
      </c>
      <c r="U5310">
        <v>-3.3470610000000001</v>
      </c>
      <c r="V5310">
        <v>-0.30590309999999998</v>
      </c>
      <c r="W5310">
        <v>0.37341970000000002</v>
      </c>
      <c r="X5310">
        <v>0.87577450000000001</v>
      </c>
      <c r="Y5310">
        <v>-0.2262142</v>
      </c>
      <c r="Z5310">
        <v>9.8017110000000005E-2</v>
      </c>
      <c r="AA5310">
        <v>0.96913360000000004</v>
      </c>
      <c r="AB5310">
        <v>26</v>
      </c>
      <c r="AC5310">
        <v>-1.5590999999999999</v>
      </c>
      <c r="AD5310">
        <v>-1.1167513332850001</v>
      </c>
      <c r="AE5310">
        <v>-8.1659999999999897</v>
      </c>
      <c r="AF5310">
        <v>-1.8903818954654401</v>
      </c>
      <c r="AG5310">
        <v>-1.1167513332850001</v>
      </c>
      <c r="AH5310">
        <v>7.9443351690639901</v>
      </c>
      <c r="AI5310">
        <v>97.787106656189906</v>
      </c>
      <c r="AJ5310">
        <v>103.384809027812</v>
      </c>
      <c r="AK5310">
        <v>8.2421561820633098</v>
      </c>
      <c r="AL5310">
        <v>68.073325188912307</v>
      </c>
      <c r="AM5310">
        <v>109.25402068746</v>
      </c>
      <c r="AN5310">
        <v>0.99999997689397402</v>
      </c>
    </row>
    <row r="5311" spans="1:40" x14ac:dyDescent="0.25">
      <c r="A5311" t="str">
        <f>"20190304164233041"</f>
        <v>20190304164233041</v>
      </c>
      <c r="B5311" t="str">
        <f>"1551688953036666"</f>
        <v>1551688953036666</v>
      </c>
      <c r="C5311" t="s">
        <v>40</v>
      </c>
      <c r="D5311">
        <v>4.3878899999999996</v>
      </c>
      <c r="E5311">
        <v>0.51802060000000005</v>
      </c>
      <c r="F5311" t="s">
        <v>42</v>
      </c>
      <c r="G5311">
        <v>-417.91239999999999</v>
      </c>
      <c r="H5311" s="1">
        <v>-1.1185209999999999E-6</v>
      </c>
      <c r="I5311">
        <v>111.3026</v>
      </c>
      <c r="J5311">
        <v>-416.48059999999998</v>
      </c>
      <c r="K5311">
        <v>1.1166160000000001</v>
      </c>
      <c r="L5311">
        <v>122.1396</v>
      </c>
      <c r="M5311">
        <v>-0.40197840000000001</v>
      </c>
      <c r="N5311">
        <v>-1.453838E-2</v>
      </c>
      <c r="O5311">
        <v>-0.91553379999999995</v>
      </c>
      <c r="P5311">
        <v>-8.1631090000000003E-2</v>
      </c>
      <c r="Q5311">
        <v>0.36562630000000002</v>
      </c>
      <c r="R5311">
        <v>-0.92717550000000004</v>
      </c>
      <c r="S5311">
        <v>-0.4596558</v>
      </c>
      <c r="T5311">
        <v>-0.33506639999999999</v>
      </c>
      <c r="U5311">
        <v>-3.3253330000000001</v>
      </c>
      <c r="V5311">
        <v>-0.30339870000000002</v>
      </c>
      <c r="W5311">
        <v>0.37409239999999999</v>
      </c>
      <c r="X5311">
        <v>0.87635839999999998</v>
      </c>
      <c r="Y5311">
        <v>-0.2729663</v>
      </c>
      <c r="Z5311">
        <v>7.1340609999999999E-2</v>
      </c>
      <c r="AA5311">
        <v>0.95937470000000002</v>
      </c>
      <c r="AB5311">
        <v>26</v>
      </c>
      <c r="AC5311">
        <v>-1.4318</v>
      </c>
      <c r="AD5311">
        <v>-1.1166171185210001</v>
      </c>
      <c r="AE5311">
        <v>-10.837</v>
      </c>
      <c r="AF5311">
        <v>-3.01424791530714</v>
      </c>
      <c r="AG5311">
        <v>-1.1166171185210001</v>
      </c>
      <c r="AH5311">
        <v>10.3898872313033</v>
      </c>
      <c r="AI5311">
        <v>95.892953718540696</v>
      </c>
      <c r="AJ5311">
        <v>106.178164371485</v>
      </c>
      <c r="AK5311">
        <v>10.8757657644649</v>
      </c>
      <c r="AL5311">
        <v>68.031770584495604</v>
      </c>
      <c r="AM5311">
        <v>109.09605320933601</v>
      </c>
      <c r="AN5311">
        <v>0.99999997007500396</v>
      </c>
    </row>
    <row r="5312" spans="1:40" x14ac:dyDescent="0.25">
      <c r="A5312" t="str">
        <f>"20190304164233063"</f>
        <v>20190304164233063</v>
      </c>
      <c r="B5312" t="str">
        <f>"1551688953056186"</f>
        <v>1551688953056186</v>
      </c>
      <c r="C5312" t="s">
        <v>40</v>
      </c>
      <c r="D5312">
        <v>4.3890289999999998</v>
      </c>
      <c r="E5312">
        <v>0.51872379999999996</v>
      </c>
      <c r="F5312" t="s">
        <v>42</v>
      </c>
      <c r="G5312">
        <v>-417.96179999999998</v>
      </c>
      <c r="H5312" s="1">
        <v>-9.6709220000000011E-7</v>
      </c>
      <c r="I5312">
        <v>110.8963</v>
      </c>
      <c r="J5312">
        <v>-416.57560000000001</v>
      </c>
      <c r="K5312">
        <v>1.1164700000000001</v>
      </c>
      <c r="L5312">
        <v>121.901</v>
      </c>
      <c r="M5312">
        <v>-0.39457320000000001</v>
      </c>
      <c r="N5312">
        <v>-1.447878E-2</v>
      </c>
      <c r="O5312">
        <v>-0.91875030000000002</v>
      </c>
      <c r="P5312">
        <v>-7.6389949999999998E-2</v>
      </c>
      <c r="Q5312">
        <v>0.36660589999999998</v>
      </c>
      <c r="R5312">
        <v>-0.92723489999999997</v>
      </c>
      <c r="S5312">
        <v>-0.43835449999999998</v>
      </c>
      <c r="T5312">
        <v>-0.33045210000000003</v>
      </c>
      <c r="U5312">
        <v>-3.3273470000000001</v>
      </c>
      <c r="V5312">
        <v>-0.30099670000000001</v>
      </c>
      <c r="W5312">
        <v>0.37515880000000001</v>
      </c>
      <c r="X5312">
        <v>0.87673080000000003</v>
      </c>
      <c r="Y5312">
        <v>-0.27130799999999999</v>
      </c>
      <c r="Z5312">
        <v>7.0675279999999993E-2</v>
      </c>
      <c r="AA5312">
        <v>0.95989420000000003</v>
      </c>
      <c r="AB5312">
        <v>26</v>
      </c>
      <c r="AC5312">
        <v>-1.3861999999999699</v>
      </c>
      <c r="AD5312">
        <v>-1.1164709670922</v>
      </c>
      <c r="AE5312">
        <v>-11.0047</v>
      </c>
      <c r="AF5312">
        <v>-3.0381273300396101</v>
      </c>
      <c r="AG5312">
        <v>-1.1164709670922</v>
      </c>
      <c r="AH5312">
        <v>10.5517355895359</v>
      </c>
      <c r="AI5312">
        <v>95.805794129748506</v>
      </c>
      <c r="AJ5312">
        <v>106.062526970823</v>
      </c>
      <c r="AK5312">
        <v>11.037021747073499</v>
      </c>
      <c r="AL5312">
        <v>67.965872413282995</v>
      </c>
      <c r="AM5312">
        <v>108.948224071919</v>
      </c>
      <c r="AN5312">
        <v>1.00000001714848</v>
      </c>
    </row>
    <row r="5313" spans="1:40" x14ac:dyDescent="0.25">
      <c r="A5313" t="str">
        <f>"20190304164233085"</f>
        <v>20190304164233085</v>
      </c>
      <c r="B5313" t="str">
        <f>"1551688953076681"</f>
        <v>1551688953076681</v>
      </c>
      <c r="C5313" t="s">
        <v>40</v>
      </c>
      <c r="D5313">
        <v>4.3848880000000001</v>
      </c>
      <c r="E5313">
        <v>0.51933739999999995</v>
      </c>
      <c r="F5313" t="s">
        <v>42</v>
      </c>
      <c r="G5313">
        <v>-418.02030000000002</v>
      </c>
      <c r="H5313" s="1">
        <v>-8.5535430000000003E-7</v>
      </c>
      <c r="I5313">
        <v>110.61369999999999</v>
      </c>
      <c r="J5313">
        <v>-416.6671</v>
      </c>
      <c r="K5313">
        <v>1.116325</v>
      </c>
      <c r="L5313">
        <v>121.6657</v>
      </c>
      <c r="M5313">
        <v>-0.3874534</v>
      </c>
      <c r="N5313">
        <v>-1.440964E-2</v>
      </c>
      <c r="O5313">
        <v>-0.92177699999999996</v>
      </c>
      <c r="P5313">
        <v>-7.0573330000000004E-2</v>
      </c>
      <c r="Q5313">
        <v>0.36697570000000002</v>
      </c>
      <c r="R5313">
        <v>-0.92754979999999998</v>
      </c>
      <c r="S5313">
        <v>-0.42630000000000001</v>
      </c>
      <c r="T5313">
        <v>-0.32943869999999997</v>
      </c>
      <c r="U5313">
        <v>-3.3305509999999998</v>
      </c>
      <c r="V5313">
        <v>-0.29951420000000001</v>
      </c>
      <c r="W5313">
        <v>0.37559989999999999</v>
      </c>
      <c r="X5313">
        <v>0.87704959999999899</v>
      </c>
      <c r="Y5313">
        <v>-0.267403</v>
      </c>
      <c r="Z5313">
        <v>7.0895250000000007E-2</v>
      </c>
      <c r="AA5313">
        <v>0.96097319999999997</v>
      </c>
      <c r="AB5313">
        <v>26</v>
      </c>
      <c r="AC5313">
        <v>-1.35320000000001</v>
      </c>
      <c r="AD5313">
        <v>-1.1163258553543001</v>
      </c>
      <c r="AE5313">
        <v>-11.052</v>
      </c>
      <c r="AF5313">
        <v>-3.0048963271509002</v>
      </c>
      <c r="AG5313">
        <v>-1.1163258553543001</v>
      </c>
      <c r="AH5313">
        <v>10.606279589432701</v>
      </c>
      <c r="AI5313">
        <v>95.782387264187506</v>
      </c>
      <c r="AJ5313">
        <v>105.818112691058</v>
      </c>
      <c r="AK5313">
        <v>11.080106140352299</v>
      </c>
      <c r="AL5313">
        <v>67.938605316968193</v>
      </c>
      <c r="AM5313">
        <v>108.855139104689</v>
      </c>
      <c r="AN5313">
        <v>1.0000000208708999</v>
      </c>
    </row>
    <row r="5314" spans="1:40" x14ac:dyDescent="0.25">
      <c r="A5314" t="str">
        <f>"20190304164233107"</f>
        <v>20190304164233107</v>
      </c>
      <c r="B5314" t="str">
        <f>"1551688953096201"</f>
        <v>1551688953096201</v>
      </c>
      <c r="C5314" t="s">
        <v>40</v>
      </c>
      <c r="D5314">
        <v>4.3479349999999997</v>
      </c>
      <c r="E5314">
        <v>0.51989449999999904</v>
      </c>
      <c r="F5314" t="s">
        <v>42</v>
      </c>
      <c r="G5314">
        <v>-418.06950000000001</v>
      </c>
      <c r="H5314" s="1">
        <v>-7.5831040000000004E-7</v>
      </c>
      <c r="I5314">
        <v>110.367</v>
      </c>
      <c r="J5314">
        <v>-416.75990000000002</v>
      </c>
      <c r="K5314">
        <v>1.1161669999999999</v>
      </c>
      <c r="L5314">
        <v>121.4221</v>
      </c>
      <c r="M5314">
        <v>-0.38024819999999998</v>
      </c>
      <c r="N5314">
        <v>-1.4335820000000001E-2</v>
      </c>
      <c r="O5314">
        <v>-0.92477350000000003</v>
      </c>
      <c r="P5314">
        <v>-6.5422939999999999E-2</v>
      </c>
      <c r="Q5314">
        <v>0.3666259</v>
      </c>
      <c r="R5314">
        <v>-0.92806580000000005</v>
      </c>
      <c r="S5314">
        <v>-0.41369630000000002</v>
      </c>
      <c r="T5314">
        <v>-0.32931690000000002</v>
      </c>
      <c r="U5314">
        <v>-3.3331300000000001</v>
      </c>
      <c r="V5314">
        <v>-0.29743389999999997</v>
      </c>
      <c r="W5314">
        <v>0.37533329999999998</v>
      </c>
      <c r="X5314">
        <v>0.87787130000000002</v>
      </c>
      <c r="Y5314">
        <v>-0.26356099999999999</v>
      </c>
      <c r="Z5314">
        <v>7.1356219999999998E-2</v>
      </c>
      <c r="AA5314">
        <v>0.96199999999999997</v>
      </c>
      <c r="AB5314">
        <v>26</v>
      </c>
      <c r="AC5314">
        <v>-1.3095999999999799</v>
      </c>
      <c r="AD5314">
        <v>-1.1161677583103999</v>
      </c>
      <c r="AE5314">
        <v>-11.0550999999999</v>
      </c>
      <c r="AF5314">
        <v>-2.9631184518255802</v>
      </c>
      <c r="AG5314">
        <v>-1.1161677583103999</v>
      </c>
      <c r="AH5314">
        <v>10.615819832260399</v>
      </c>
      <c r="AI5314">
        <v>95.782681535969999</v>
      </c>
      <c r="AJ5314">
        <v>105.59563538644301</v>
      </c>
      <c r="AK5314">
        <v>11.077975091832201</v>
      </c>
      <c r="AL5314">
        <v>67.955086045998399</v>
      </c>
      <c r="AM5314">
        <v>108.717030314927</v>
      </c>
      <c r="AN5314">
        <v>1.0000000151608901</v>
      </c>
    </row>
    <row r="5315" spans="1:40" x14ac:dyDescent="0.25">
      <c r="A5315" t="str">
        <f>"20190304164233144"</f>
        <v>20190304164233144</v>
      </c>
      <c r="B5315" t="str">
        <f>"1551688953136218"</f>
        <v>1551688953136218</v>
      </c>
      <c r="C5315" t="s">
        <v>40</v>
      </c>
      <c r="D5315">
        <v>4.3748399999999998</v>
      </c>
      <c r="E5315">
        <v>0.52105999999999997</v>
      </c>
      <c r="F5315" t="s">
        <v>42</v>
      </c>
      <c r="G5315">
        <v>-418.10770000000002</v>
      </c>
      <c r="H5315" s="1">
        <v>-7.0391089999999999E-7</v>
      </c>
      <c r="I5315">
        <v>110.23699999999999</v>
      </c>
      <c r="J5315">
        <v>-416.90269999999998</v>
      </c>
      <c r="K5315">
        <v>1.1159030000000001</v>
      </c>
      <c r="L5315">
        <v>121.038</v>
      </c>
      <c r="M5315">
        <v>-0.36925809999999998</v>
      </c>
      <c r="N5315">
        <v>-1.422139E-2</v>
      </c>
      <c r="O5315">
        <v>-0.92921810000000005</v>
      </c>
      <c r="P5315">
        <v>-5.5203549999999997E-2</v>
      </c>
      <c r="Q5315">
        <v>0.36530550000000001</v>
      </c>
      <c r="R5315">
        <v>-0.92924960000000001</v>
      </c>
      <c r="S5315">
        <v>-0.401947</v>
      </c>
      <c r="T5315">
        <v>-0.3328719</v>
      </c>
      <c r="U5315">
        <v>-3.335693</v>
      </c>
      <c r="V5315">
        <v>-0.29663529999999999</v>
      </c>
      <c r="W5315">
        <v>0.37410749999999998</v>
      </c>
      <c r="X5315">
        <v>0.87866440000000001</v>
      </c>
      <c r="Y5315">
        <v>-0.2555675</v>
      </c>
      <c r="Z5315">
        <v>7.3068449999999993E-2</v>
      </c>
      <c r="AA5315">
        <v>0.9640261</v>
      </c>
      <c r="AB5315">
        <v>26</v>
      </c>
      <c r="AC5315">
        <v>-1.20500000000004</v>
      </c>
      <c r="AD5315">
        <v>-1.1159037039108901</v>
      </c>
      <c r="AE5315">
        <v>-10.800999999999901</v>
      </c>
      <c r="AF5315">
        <v>-2.8390080412625398</v>
      </c>
      <c r="AG5315">
        <v>-1.1159037039108901</v>
      </c>
      <c r="AH5315">
        <v>10.373139135093799</v>
      </c>
      <c r="AI5315">
        <v>95.923831426293901</v>
      </c>
      <c r="AJ5315">
        <v>105.306363254347</v>
      </c>
      <c r="AK5315">
        <v>10.812364369127099</v>
      </c>
      <c r="AL5315">
        <v>68.030838954684199</v>
      </c>
      <c r="AM5315">
        <v>108.654576829234</v>
      </c>
      <c r="AN5315">
        <v>1.00000002529484</v>
      </c>
    </row>
    <row r="5316" spans="1:40" x14ac:dyDescent="0.25">
      <c r="A5316" t="str">
        <f>"20190304164233163"</f>
        <v>20190304164233163</v>
      </c>
      <c r="B5316" t="str">
        <f>"1551688953156714"</f>
        <v>1551688953156714</v>
      </c>
      <c r="C5316" t="s">
        <v>40</v>
      </c>
      <c r="D5316">
        <v>4.3748589999999998</v>
      </c>
      <c r="E5316">
        <v>0.52162039999999998</v>
      </c>
      <c r="F5316" t="s">
        <v>42</v>
      </c>
      <c r="G5316">
        <v>-418.13389999999998</v>
      </c>
      <c r="H5316" s="1">
        <v>-6.7254309999999998E-7</v>
      </c>
      <c r="I5316">
        <v>110.1653</v>
      </c>
      <c r="J5316">
        <v>-416.98219999999998</v>
      </c>
      <c r="K5316">
        <v>1.115742</v>
      </c>
      <c r="L5316">
        <v>120.81829999999999</v>
      </c>
      <c r="M5316">
        <v>-0.36322559999999998</v>
      </c>
      <c r="N5316">
        <v>-1.4152639999999999E-2</v>
      </c>
      <c r="O5316">
        <v>-0.93159369999999997</v>
      </c>
      <c r="P5316">
        <v>-4.891773E-2</v>
      </c>
      <c r="Q5316">
        <v>0.3643807</v>
      </c>
      <c r="R5316">
        <v>-0.92996480000000004</v>
      </c>
      <c r="S5316">
        <v>-0.37829590000000002</v>
      </c>
      <c r="T5316">
        <v>-0.34287079999999998</v>
      </c>
      <c r="U5316">
        <v>-3.3407290000000001</v>
      </c>
      <c r="V5316">
        <v>-0.29686360000000001</v>
      </c>
      <c r="W5316">
        <v>0.37323030000000001</v>
      </c>
      <c r="X5316">
        <v>0.87896030000000003</v>
      </c>
      <c r="Y5316">
        <v>-0.25622279999999997</v>
      </c>
      <c r="Z5316">
        <v>7.5947870000000001E-2</v>
      </c>
      <c r="AA5316">
        <v>0.96362950000000003</v>
      </c>
      <c r="AB5316">
        <v>26</v>
      </c>
      <c r="AC5316">
        <v>-1.1516999999999999</v>
      </c>
      <c r="AD5316">
        <v>-1.1157426725430999</v>
      </c>
      <c r="AE5316">
        <v>-10.652999999999899</v>
      </c>
      <c r="AF5316">
        <v>-2.7668063560683098</v>
      </c>
      <c r="AG5316">
        <v>-1.1157426725430999</v>
      </c>
      <c r="AH5316">
        <v>10.232680838065701</v>
      </c>
      <c r="AI5316">
        <v>96.008676804736695</v>
      </c>
      <c r="AJ5316">
        <v>105.130357270594</v>
      </c>
      <c r="AK5316">
        <v>10.658698619298301</v>
      </c>
      <c r="AL5316">
        <v>68.085023991782194</v>
      </c>
      <c r="AM5316">
        <v>108.662090304616</v>
      </c>
      <c r="AN5316">
        <v>1.0000000314095601</v>
      </c>
    </row>
    <row r="5317" spans="1:40" x14ac:dyDescent="0.25">
      <c r="A5317" t="str">
        <f>"20190304164233185"</f>
        <v>20190304164233185</v>
      </c>
      <c r="B5317" t="str">
        <f>"1551688953176234"</f>
        <v>1551688953176234</v>
      </c>
      <c r="C5317" t="s">
        <v>40</v>
      </c>
      <c r="D5317">
        <v>4.3658260000000002</v>
      </c>
      <c r="E5317">
        <v>0.52718730000000003</v>
      </c>
      <c r="F5317" t="s">
        <v>42</v>
      </c>
      <c r="G5317">
        <v>-418.14060000000001</v>
      </c>
      <c r="H5317" s="1">
        <v>-6.5159589999999999E-7</v>
      </c>
      <c r="I5317">
        <v>110.10899999999999</v>
      </c>
      <c r="J5317">
        <v>-417.065</v>
      </c>
      <c r="K5317">
        <v>1.1155740000000001</v>
      </c>
      <c r="L5317">
        <v>120.5853</v>
      </c>
      <c r="M5317">
        <v>-0.35700609999999999</v>
      </c>
      <c r="N5317">
        <v>-1.40809E-2</v>
      </c>
      <c r="O5317">
        <v>-0.9339961</v>
      </c>
      <c r="P5317">
        <v>-4.3469239999999999E-2</v>
      </c>
      <c r="Q5317">
        <v>0.36330240000000003</v>
      </c>
      <c r="R5317">
        <v>-0.93065690000000001</v>
      </c>
      <c r="S5317">
        <v>-0.36163329999999999</v>
      </c>
      <c r="T5317">
        <v>-0.34832980000000002</v>
      </c>
      <c r="U5317">
        <v>-3.3433989999999998</v>
      </c>
      <c r="V5317">
        <v>-0.29614249999999998</v>
      </c>
      <c r="W5317">
        <v>0.37221759999999998</v>
      </c>
      <c r="X5317">
        <v>0.87963269999999905</v>
      </c>
      <c r="Y5317">
        <v>-0.25462200000000001</v>
      </c>
      <c r="Z5317">
        <v>7.7755459999999998E-2</v>
      </c>
      <c r="AA5317">
        <v>0.96390960000000003</v>
      </c>
      <c r="AB5317">
        <v>26</v>
      </c>
      <c r="AC5317">
        <v>-1.0755999999999999</v>
      </c>
      <c r="AD5317">
        <v>-1.1155746515959</v>
      </c>
      <c r="AE5317">
        <v>-10.4763</v>
      </c>
      <c r="AF5317">
        <v>-2.7054104360150499</v>
      </c>
      <c r="AG5317">
        <v>-1.1155746515959</v>
      </c>
      <c r="AH5317">
        <v>10.0569773366528</v>
      </c>
      <c r="AI5317">
        <v>96.114057798525593</v>
      </c>
      <c r="AJ5317">
        <v>105.05660275504501</v>
      </c>
      <c r="AK5317">
        <v>10.4740892482607</v>
      </c>
      <c r="AL5317">
        <v>68.1475525194639</v>
      </c>
      <c r="AM5317">
        <v>108.606634152759</v>
      </c>
      <c r="AN5317">
        <v>1.00000000448265</v>
      </c>
    </row>
    <row r="5318" spans="1:40" x14ac:dyDescent="0.25">
      <c r="A5318" t="str">
        <f>"20190304164233208"</f>
        <v>20190304164233208</v>
      </c>
      <c r="B5318" t="str">
        <f>"1551688953196730"</f>
        <v>1551688953196730</v>
      </c>
      <c r="C5318" t="s">
        <v>40</v>
      </c>
      <c r="D5318">
        <v>4.387772</v>
      </c>
      <c r="E5318">
        <v>0.52800150000000001</v>
      </c>
      <c r="F5318" t="s">
        <v>42</v>
      </c>
      <c r="G5318">
        <v>-418.22800000000001</v>
      </c>
      <c r="H5318" s="1">
        <v>-7.6296520000000001E-7</v>
      </c>
      <c r="I5318">
        <v>110.5046</v>
      </c>
      <c r="J5318">
        <v>-417.15</v>
      </c>
      <c r="K5318">
        <v>1.115391</v>
      </c>
      <c r="L5318">
        <v>120.3415</v>
      </c>
      <c r="M5318">
        <v>-0.35071950000000002</v>
      </c>
      <c r="N5318">
        <v>-1.4004870000000001E-2</v>
      </c>
      <c r="O5318">
        <v>-0.93637590000000004</v>
      </c>
      <c r="P5318">
        <v>-3.797238E-2</v>
      </c>
      <c r="Q5318">
        <v>0.36209960000000002</v>
      </c>
      <c r="R5318">
        <v>-0.93136600000000003</v>
      </c>
      <c r="S5318">
        <v>-0.38650509999999999</v>
      </c>
      <c r="T5318">
        <v>-0.37074639999999998</v>
      </c>
      <c r="U5318">
        <v>-3.3502040000000002</v>
      </c>
      <c r="V5318">
        <v>-0.29541230000000002</v>
      </c>
      <c r="W5318">
        <v>0.37108869999999999</v>
      </c>
      <c r="X5318">
        <v>0.88035490000000005</v>
      </c>
      <c r="Y5318">
        <v>-0.2413023</v>
      </c>
      <c r="Z5318">
        <v>8.4017410000000001E-2</v>
      </c>
      <c r="AA5318">
        <v>0.96680619999999995</v>
      </c>
      <c r="AB5318">
        <v>26</v>
      </c>
      <c r="AC5318">
        <v>-1.07800000000003</v>
      </c>
      <c r="AD5318">
        <v>-1.1153917629651999</v>
      </c>
      <c r="AE5318">
        <v>-9.8369</v>
      </c>
      <c r="AF5318">
        <v>-2.4101985470751401</v>
      </c>
      <c r="AG5318">
        <v>-1.1153917629651999</v>
      </c>
      <c r="AH5318">
        <v>9.4697442899698405</v>
      </c>
      <c r="AI5318">
        <v>96.511883449993505</v>
      </c>
      <c r="AJ5318">
        <v>104.279494371071</v>
      </c>
      <c r="AK5318">
        <v>9.83510105380876</v>
      </c>
      <c r="AL5318">
        <v>68.217224097059201</v>
      </c>
      <c r="AM5318">
        <v>108.54971673166401</v>
      </c>
      <c r="AN5318">
        <v>1.0000000001064899</v>
      </c>
    </row>
    <row r="5319" spans="1:40" x14ac:dyDescent="0.25">
      <c r="A5319" t="str">
        <f>"20190304164233230"</f>
        <v>20190304164233230</v>
      </c>
      <c r="B5319" t="str">
        <f>"1551688953226986"</f>
        <v>1551688953226986</v>
      </c>
      <c r="C5319" t="s">
        <v>40</v>
      </c>
      <c r="D5319">
        <v>4.4116759999999999</v>
      </c>
      <c r="E5319">
        <v>0.52827440000000003</v>
      </c>
      <c r="F5319" t="s">
        <v>42</v>
      </c>
      <c r="G5319">
        <v>-418.24259999999998</v>
      </c>
      <c r="H5319" s="1">
        <v>-7.5219750000000001E-7</v>
      </c>
      <c r="I5319">
        <v>110.48439999999999</v>
      </c>
      <c r="J5319">
        <v>-417.23480000000001</v>
      </c>
      <c r="K5319">
        <v>1.115205</v>
      </c>
      <c r="L5319">
        <v>120.0942</v>
      </c>
      <c r="M5319">
        <v>-0.34458460000000002</v>
      </c>
      <c r="N5319">
        <v>-1.3928090000000001E-2</v>
      </c>
      <c r="O5319">
        <v>-0.93865220000000005</v>
      </c>
      <c r="P5319">
        <v>-3.398002E-2</v>
      </c>
      <c r="Q5319">
        <v>0.36264800000000003</v>
      </c>
      <c r="R5319">
        <v>-0.93130690000000005</v>
      </c>
      <c r="S5319">
        <v>-0.37170409999999998</v>
      </c>
      <c r="T5319">
        <v>-0.37946010000000002</v>
      </c>
      <c r="U5319">
        <v>-3.3534389999999998</v>
      </c>
      <c r="V5319">
        <v>-0.29317530000000003</v>
      </c>
      <c r="W5319">
        <v>0.37173329999999999</v>
      </c>
      <c r="X5319">
        <v>0.88083060000000002</v>
      </c>
      <c r="Y5319">
        <v>-0.23929439999999999</v>
      </c>
      <c r="Z5319">
        <v>8.6680380000000001E-2</v>
      </c>
      <c r="AA5319">
        <v>0.96707019999999999</v>
      </c>
      <c r="AB5319">
        <v>26</v>
      </c>
      <c r="AC5319">
        <v>-1.0077999999999701</v>
      </c>
      <c r="AD5319">
        <v>-1.1152057521975001</v>
      </c>
      <c r="AE5319">
        <v>-9.6097999999999999</v>
      </c>
      <c r="AF5319">
        <v>-2.3345462216545898</v>
      </c>
      <c r="AG5319">
        <v>-1.1152057521975001</v>
      </c>
      <c r="AH5319">
        <v>9.2452839584821103</v>
      </c>
      <c r="AI5319">
        <v>96.6706261630612</v>
      </c>
      <c r="AJ5319">
        <v>104.171630186662</v>
      </c>
      <c r="AK5319">
        <v>9.6004721448344892</v>
      </c>
      <c r="AL5319">
        <v>68.177445250278595</v>
      </c>
      <c r="AM5319">
        <v>108.40948483260399</v>
      </c>
      <c r="AN5319">
        <v>0.99999997437766897</v>
      </c>
    </row>
    <row r="5320" spans="1:40" x14ac:dyDescent="0.25">
      <c r="A5320" t="str">
        <f>"20190304164233253"</f>
        <v>20190304164233253</v>
      </c>
      <c r="B5320" t="str">
        <f>"1551688953246506"</f>
        <v>1551688953246506</v>
      </c>
      <c r="C5320" t="s">
        <v>40</v>
      </c>
      <c r="D5320">
        <v>4.3717550000000003</v>
      </c>
      <c r="E5320">
        <v>0.51736300000000002</v>
      </c>
      <c r="F5320" t="s">
        <v>42</v>
      </c>
      <c r="G5320">
        <v>-418.27499999999998</v>
      </c>
      <c r="H5320" s="1">
        <v>-6.6129180000000003E-7</v>
      </c>
      <c r="I5320">
        <v>110.2426</v>
      </c>
      <c r="J5320">
        <v>-417.3175</v>
      </c>
      <c r="K5320">
        <v>1.11502099999999</v>
      </c>
      <c r="L5320">
        <v>119.8485</v>
      </c>
      <c r="M5320">
        <v>-0.33873320000000001</v>
      </c>
      <c r="N5320">
        <v>-1.3855350000000001E-2</v>
      </c>
      <c r="O5320">
        <v>-0.94078039999999996</v>
      </c>
      <c r="P5320">
        <v>-3.0609589999999999E-2</v>
      </c>
      <c r="Q5320">
        <v>0.36237150000000001</v>
      </c>
      <c r="R5320">
        <v>-0.93153090000000005</v>
      </c>
      <c r="S5320">
        <v>-0.35440060000000001</v>
      </c>
      <c r="T5320">
        <v>-0.37993670000000002</v>
      </c>
      <c r="U5320">
        <v>-3.3563079999999998</v>
      </c>
      <c r="V5320">
        <v>-0.29072340000000002</v>
      </c>
      <c r="W5320">
        <v>0.3715656</v>
      </c>
      <c r="X5320">
        <v>0.88171369999999905</v>
      </c>
      <c r="Y5320">
        <v>-0.23827280000000001</v>
      </c>
      <c r="Z5320">
        <v>8.7166729999999998E-2</v>
      </c>
      <c r="AA5320">
        <v>0.96727870000000005</v>
      </c>
      <c r="AB5320">
        <v>26</v>
      </c>
      <c r="AC5320">
        <v>-0.95749999999998103</v>
      </c>
      <c r="AD5320">
        <v>-1.11502166129179</v>
      </c>
      <c r="AE5320">
        <v>-9.6059000000000001</v>
      </c>
      <c r="AF5320">
        <v>-2.3222838216887798</v>
      </c>
      <c r="AG5320">
        <v>-1.11502166129179</v>
      </c>
      <c r="AH5320">
        <v>9.2390184628809795</v>
      </c>
      <c r="AI5320">
        <v>96.675828593495098</v>
      </c>
      <c r="AJ5320">
        <v>104.10934939960001</v>
      </c>
      <c r="AK5320">
        <v>9.5914408516699403</v>
      </c>
      <c r="AL5320">
        <v>68.187797261792099</v>
      </c>
      <c r="AM5320">
        <v>108.248700327525</v>
      </c>
      <c r="AN5320">
        <v>1.0000000695893001</v>
      </c>
    </row>
    <row r="5321" spans="1:40" x14ac:dyDescent="0.25">
      <c r="A5321" t="str">
        <f>"20190304164233274"</f>
        <v>20190304164233274</v>
      </c>
      <c r="B5321" t="str">
        <f>"1551688953266026"</f>
        <v>1551688953266026</v>
      </c>
      <c r="C5321" t="s">
        <v>40</v>
      </c>
      <c r="D5321">
        <v>4.3741649999999996</v>
      </c>
      <c r="E5321">
        <v>0.51733850000000003</v>
      </c>
      <c r="F5321" t="s">
        <v>42</v>
      </c>
      <c r="G5321">
        <v>-418.17169999999999</v>
      </c>
      <c r="H5321" s="1">
        <v>-4.4551900000000003E-6</v>
      </c>
      <c r="I5321">
        <v>108.37</v>
      </c>
      <c r="J5321">
        <v>-417.39550000000003</v>
      </c>
      <c r="K5321">
        <v>1.114843</v>
      </c>
      <c r="L5321">
        <v>119.6127</v>
      </c>
      <c r="M5321">
        <v>-0.33333940000000001</v>
      </c>
      <c r="N5321">
        <v>-1.3790419999999999E-2</v>
      </c>
      <c r="O5321">
        <v>-0.94270609999999999</v>
      </c>
      <c r="P5321">
        <v>-2.7409070000000001E-2</v>
      </c>
      <c r="Q5321">
        <v>0.36329549999999999</v>
      </c>
      <c r="R5321">
        <v>-0.93127110000000002</v>
      </c>
      <c r="S5321">
        <v>-0.24844359999999999</v>
      </c>
      <c r="T5321">
        <v>-0.3243026</v>
      </c>
      <c r="U5321">
        <v>-3.3384860000000001</v>
      </c>
      <c r="V5321">
        <v>-0.288414</v>
      </c>
      <c r="W5321">
        <v>0.3725871</v>
      </c>
      <c r="X5321">
        <v>0.88204099999999996</v>
      </c>
      <c r="Y5321">
        <v>-0.26246130000000001</v>
      </c>
      <c r="Z5321">
        <v>7.3064130000000005E-2</v>
      </c>
      <c r="AA5321">
        <v>0.96217240000000004</v>
      </c>
      <c r="AB5321">
        <v>26</v>
      </c>
      <c r="AC5321">
        <v>-0.77619999999996003</v>
      </c>
      <c r="AD5321">
        <v>-1.1148474551899901</v>
      </c>
      <c r="AE5321">
        <v>-11.242699999999999</v>
      </c>
      <c r="AF5321">
        <v>-2.9869613301376599</v>
      </c>
      <c r="AG5321">
        <v>-1.1148474551899901</v>
      </c>
      <c r="AH5321">
        <v>10.75309731606</v>
      </c>
      <c r="AI5321">
        <v>95.704610704319506</v>
      </c>
      <c r="AJ5321">
        <v>105.524060805625</v>
      </c>
      <c r="AK5321">
        <v>11.215789081680301</v>
      </c>
      <c r="AL5321">
        <v>68.124742063141596</v>
      </c>
      <c r="AM5321">
        <v>108.106957972529</v>
      </c>
      <c r="AN5321">
        <v>1.0000000540817</v>
      </c>
    </row>
    <row r="5322" spans="1:40" x14ac:dyDescent="0.25">
      <c r="A5322" t="str">
        <f>"20190304164233297"</f>
        <v>20190304164233297</v>
      </c>
      <c r="B5322" t="str">
        <f>"1551688953286523"</f>
        <v>1551688953286523</v>
      </c>
      <c r="C5322" t="s">
        <v>40</v>
      </c>
      <c r="D5322">
        <v>4.3609369999999998</v>
      </c>
      <c r="E5322">
        <v>0.51775709999999997</v>
      </c>
      <c r="F5322" t="s">
        <v>42</v>
      </c>
      <c r="G5322">
        <v>-418.20920000000001</v>
      </c>
      <c r="H5322" s="1">
        <v>-4.2437020000000002E-6</v>
      </c>
      <c r="I5322">
        <v>107.9367</v>
      </c>
      <c r="J5322">
        <v>-417.4742</v>
      </c>
      <c r="K5322">
        <v>1.114668</v>
      </c>
      <c r="L5322">
        <v>119.3712</v>
      </c>
      <c r="M5322">
        <v>-0.32803549999999998</v>
      </c>
      <c r="N5322">
        <v>-1.3729E-2</v>
      </c>
      <c r="O5322">
        <v>-0.94456580000000001</v>
      </c>
      <c r="P5322">
        <v>-2.3519689999999999E-2</v>
      </c>
      <c r="Q5322">
        <v>0.36628430000000001</v>
      </c>
      <c r="R5322">
        <v>-0.93020579999999997</v>
      </c>
      <c r="S5322">
        <v>-0.2326965</v>
      </c>
      <c r="T5322">
        <v>-0.31880530000000001</v>
      </c>
      <c r="U5322">
        <v>-3.3389129999999998</v>
      </c>
      <c r="V5322">
        <v>-0.286612799999999</v>
      </c>
      <c r="W5322">
        <v>0.37565379999999998</v>
      </c>
      <c r="X5322">
        <v>0.88132699999999997</v>
      </c>
      <c r="Y5322">
        <v>-0.26156049999999997</v>
      </c>
      <c r="Z5322">
        <v>7.1929129999999994E-2</v>
      </c>
      <c r="AA5322">
        <v>0.96250309999999994</v>
      </c>
      <c r="AB5322">
        <v>26</v>
      </c>
      <c r="AC5322">
        <v>-0.73500000000001298</v>
      </c>
      <c r="AD5322">
        <v>-1.114672243702</v>
      </c>
      <c r="AE5322">
        <v>-11.4345</v>
      </c>
      <c r="AF5322">
        <v>-3.02829425599709</v>
      </c>
      <c r="AG5322">
        <v>-1.114672243702</v>
      </c>
      <c r="AH5322">
        <v>10.9392548764325</v>
      </c>
      <c r="AI5322">
        <v>95.608642658601397</v>
      </c>
      <c r="AJ5322">
        <v>105.47358926787599</v>
      </c>
      <c r="AK5322">
        <v>11.405277618863</v>
      </c>
      <c r="AL5322">
        <v>67.935272055016995</v>
      </c>
      <c r="AM5322">
        <v>108.014834638956</v>
      </c>
      <c r="AN5322">
        <v>0.99999997775363902</v>
      </c>
    </row>
    <row r="5323" spans="1:40" x14ac:dyDescent="0.25">
      <c r="A5323" t="str">
        <f>"20190304164233321"</f>
        <v>20190304164233321</v>
      </c>
      <c r="B5323" t="str">
        <f>"1551688953316778"</f>
        <v>1551688953316778</v>
      </c>
      <c r="C5323" t="s">
        <v>40</v>
      </c>
      <c r="D5323">
        <v>4.645969</v>
      </c>
      <c r="E5323">
        <v>0.51819059999999995</v>
      </c>
      <c r="F5323" t="s">
        <v>42</v>
      </c>
      <c r="G5323">
        <v>-418.28640000000001</v>
      </c>
      <c r="H5323" s="1">
        <v>-3.8639730000000001E-6</v>
      </c>
      <c r="I5323">
        <v>107.16240000000001</v>
      </c>
      <c r="J5323">
        <v>-417.55590000000001</v>
      </c>
      <c r="K5323">
        <v>1.114503</v>
      </c>
      <c r="L5323">
        <v>119.1164</v>
      </c>
      <c r="M5323">
        <v>-0.3226755</v>
      </c>
      <c r="N5323">
        <v>-1.366915E-2</v>
      </c>
      <c r="O5323">
        <v>-0.94641109999999995</v>
      </c>
      <c r="P5323">
        <v>-1.954558E-2</v>
      </c>
      <c r="Q5323">
        <v>0.36872650000000001</v>
      </c>
      <c r="R5323">
        <v>-0.92933259999999995</v>
      </c>
      <c r="S5323">
        <v>-0.222168</v>
      </c>
      <c r="T5323">
        <v>-0.30490050000000002</v>
      </c>
      <c r="U5323">
        <v>-3.3395389999999998</v>
      </c>
      <c r="V5323">
        <v>-0.28492030000000002</v>
      </c>
      <c r="W5323">
        <v>0.3781757</v>
      </c>
      <c r="X5323">
        <v>0.8807971</v>
      </c>
      <c r="Y5323">
        <v>-0.25911709999999999</v>
      </c>
      <c r="Z5323">
        <v>6.8548799999999993E-2</v>
      </c>
      <c r="AA5323">
        <v>0.96341030000000005</v>
      </c>
      <c r="AB5323">
        <v>26</v>
      </c>
      <c r="AC5323">
        <v>-0.73050000000000603</v>
      </c>
      <c r="AD5323">
        <v>-1.114506863973</v>
      </c>
      <c r="AE5323">
        <v>-11.953999999999899</v>
      </c>
      <c r="AF5323">
        <v>-3.1390208963597601</v>
      </c>
      <c r="AG5323">
        <v>-1.114506863973</v>
      </c>
      <c r="AH5323">
        <v>11.451023750252499</v>
      </c>
      <c r="AI5323">
        <v>95.362371784422606</v>
      </c>
      <c r="AJ5323">
        <v>105.329673763584</v>
      </c>
      <c r="AK5323">
        <v>11.925666550196301</v>
      </c>
      <c r="AL5323">
        <v>67.779272624870998</v>
      </c>
      <c r="AM5323">
        <v>107.92536007949001</v>
      </c>
      <c r="AN5323">
        <v>0.99999998439549398</v>
      </c>
    </row>
    <row r="5324" spans="1:40" x14ac:dyDescent="0.25">
      <c r="A5324" t="str">
        <f>"20190304164233344"</f>
        <v>20190304164233344</v>
      </c>
      <c r="B5324" t="str">
        <f>"1551688953336297"</f>
        <v>1551688953336297</v>
      </c>
      <c r="C5324" t="s">
        <v>40</v>
      </c>
      <c r="D5324">
        <v>4.323569</v>
      </c>
      <c r="E5324">
        <v>0.51871319999999999</v>
      </c>
      <c r="F5324" t="s">
        <v>42</v>
      </c>
      <c r="G5324">
        <v>-418.35309999999998</v>
      </c>
      <c r="H5324" s="1">
        <v>-3.552513E-6</v>
      </c>
      <c r="I5324">
        <v>106.52849999999999</v>
      </c>
      <c r="J5324">
        <v>-417.63499999999999</v>
      </c>
      <c r="K5324">
        <v>1.1143299999999901</v>
      </c>
      <c r="L5324">
        <v>118.8657</v>
      </c>
      <c r="M5324">
        <v>-0.31764920000000002</v>
      </c>
      <c r="N5324">
        <v>-1.361455E-2</v>
      </c>
      <c r="O5324">
        <v>-0.94811060000000003</v>
      </c>
      <c r="P5324">
        <v>-1.6376640000000001E-2</v>
      </c>
      <c r="Q5324">
        <v>0.3707066</v>
      </c>
      <c r="R5324">
        <v>-0.92860560000000003</v>
      </c>
      <c r="S5324">
        <v>-0.2115784</v>
      </c>
      <c r="T5324">
        <v>-0.29580649999999997</v>
      </c>
      <c r="U5324">
        <v>-3.3410190000000002</v>
      </c>
      <c r="V5324">
        <v>-0.28284900000000002</v>
      </c>
      <c r="W5324">
        <v>0.38024059999999998</v>
      </c>
      <c r="X5324">
        <v>0.88057569999999996</v>
      </c>
      <c r="Y5324">
        <v>-0.25705990000000001</v>
      </c>
      <c r="Z5324">
        <v>6.638173E-2</v>
      </c>
      <c r="AA5324">
        <v>0.96411290000000005</v>
      </c>
      <c r="AB5324">
        <v>26</v>
      </c>
      <c r="AC5324">
        <v>-0.71809999999999197</v>
      </c>
      <c r="AD5324">
        <v>-1.11433355251299</v>
      </c>
      <c r="AE5324">
        <v>-12.337199999999999</v>
      </c>
      <c r="AF5324">
        <v>-3.2122456685063399</v>
      </c>
      <c r="AG5324">
        <v>-1.11433355251299</v>
      </c>
      <c r="AH5324">
        <v>11.8300521674838</v>
      </c>
      <c r="AI5324">
        <v>95.194115962477198</v>
      </c>
      <c r="AJ5324">
        <v>105.19139233591299</v>
      </c>
      <c r="AK5324">
        <v>12.3089559178056</v>
      </c>
      <c r="AL5324">
        <v>67.651413632985694</v>
      </c>
      <c r="AM5324">
        <v>107.807495164662</v>
      </c>
      <c r="AN5324">
        <v>1.0000000170599199</v>
      </c>
    </row>
    <row r="5325" spans="1:40" x14ac:dyDescent="0.25">
      <c r="A5325" t="str">
        <f>"20190304164233364"</f>
        <v>20190304164233364</v>
      </c>
      <c r="B5325" t="str">
        <f>"1551688953356794"</f>
        <v>1551688953356794</v>
      </c>
      <c r="C5325" t="s">
        <v>40</v>
      </c>
      <c r="D5325">
        <v>4.332058</v>
      </c>
      <c r="E5325">
        <v>0.51929159999999996</v>
      </c>
      <c r="F5325" t="s">
        <v>42</v>
      </c>
      <c r="G5325">
        <v>-418.41090000000003</v>
      </c>
      <c r="H5325" s="1">
        <v>-3.3357469999999999E-6</v>
      </c>
      <c r="I5325">
        <v>106.0916</v>
      </c>
      <c r="J5325">
        <v>-417.70909999999998</v>
      </c>
      <c r="K5325">
        <v>1.1141639999999999</v>
      </c>
      <c r="L5325">
        <v>118.6271</v>
      </c>
      <c r="M5325">
        <v>-0.313087</v>
      </c>
      <c r="N5325">
        <v>-1.3560880000000001E-2</v>
      </c>
      <c r="O5325">
        <v>-0.94962760000000002</v>
      </c>
      <c r="P5325">
        <v>-1.379083E-2</v>
      </c>
      <c r="Q5325">
        <v>0.37092750000000002</v>
      </c>
      <c r="R5325">
        <v>-0.92855909999999997</v>
      </c>
      <c r="S5325">
        <v>-0.20309450000000001</v>
      </c>
      <c r="T5325">
        <v>-0.2916666</v>
      </c>
      <c r="U5325">
        <v>-3.3434910000000002</v>
      </c>
      <c r="V5325">
        <v>-0.28088109999999999</v>
      </c>
      <c r="W5325">
        <v>0.38054670000000002</v>
      </c>
      <c r="X5325">
        <v>0.8810732</v>
      </c>
      <c r="Y5325">
        <v>-0.25489650000000003</v>
      </c>
      <c r="Z5325">
        <v>6.5485570000000007E-2</v>
      </c>
      <c r="AA5325">
        <v>0.96474839999999995</v>
      </c>
      <c r="AB5325">
        <v>26</v>
      </c>
      <c r="AC5325">
        <v>-0.70180000000004805</v>
      </c>
      <c r="AD5325">
        <v>-1.1141673357470001</v>
      </c>
      <c r="AE5325">
        <v>-12.535500000000001</v>
      </c>
      <c r="AF5325">
        <v>-3.2330920992256602</v>
      </c>
      <c r="AG5325">
        <v>-1.1141673357470001</v>
      </c>
      <c r="AH5325">
        <v>12.0301572803192</v>
      </c>
      <c r="AI5325">
        <v>95.1109838348914</v>
      </c>
      <c r="AJ5325">
        <v>105.04274446830701</v>
      </c>
      <c r="AK5325">
        <v>12.5067556769667</v>
      </c>
      <c r="AL5325">
        <v>67.632448989762494</v>
      </c>
      <c r="AM5325">
        <v>107.681984221562</v>
      </c>
      <c r="AN5325">
        <v>0.99999998348816899</v>
      </c>
    </row>
    <row r="5326" spans="1:40" x14ac:dyDescent="0.25">
      <c r="A5326" t="str">
        <f>"20190304164233387"</f>
        <v>20190304164233387</v>
      </c>
      <c r="B5326" t="str">
        <f>"1551688953376314"</f>
        <v>1551688953376314</v>
      </c>
      <c r="C5326" t="s">
        <v>40</v>
      </c>
      <c r="D5326">
        <v>4.3452960000000003</v>
      </c>
      <c r="E5326">
        <v>0.51982919999999999</v>
      </c>
      <c r="F5326" t="s">
        <v>42</v>
      </c>
      <c r="G5326">
        <v>-418.44779999999997</v>
      </c>
      <c r="H5326" s="1">
        <v>-3.2542830000000001E-6</v>
      </c>
      <c r="I5326">
        <v>105.9332</v>
      </c>
      <c r="J5326">
        <v>-417.78300000000002</v>
      </c>
      <c r="K5326">
        <v>1.1140080000000001</v>
      </c>
      <c r="L5326">
        <v>118.3862</v>
      </c>
      <c r="M5326">
        <v>-0.3086467</v>
      </c>
      <c r="N5326">
        <v>-1.3507129999999999E-2</v>
      </c>
      <c r="O5326">
        <v>-0.95108099999999995</v>
      </c>
      <c r="P5326">
        <v>-1.1618969999999999E-2</v>
      </c>
      <c r="Q5326">
        <v>0.36987140000000002</v>
      </c>
      <c r="R5326">
        <v>-0.92901049999999996</v>
      </c>
      <c r="S5326">
        <v>-0.1946716</v>
      </c>
      <c r="T5326">
        <v>-0.29361300000000001</v>
      </c>
      <c r="U5326">
        <v>-3.3452000000000002</v>
      </c>
      <c r="V5326">
        <v>-0.27879949999999998</v>
      </c>
      <c r="W5326">
        <v>0.37957200000000002</v>
      </c>
      <c r="X5326">
        <v>0.8821542</v>
      </c>
      <c r="Y5326">
        <v>-0.25283260000000002</v>
      </c>
      <c r="Z5326">
        <v>6.6232029999999997E-2</v>
      </c>
      <c r="AA5326">
        <v>0.9652404</v>
      </c>
      <c r="AB5326">
        <v>26</v>
      </c>
      <c r="AC5326">
        <v>-0.66479999999995698</v>
      </c>
      <c r="AD5326">
        <v>-1.1140112542830001</v>
      </c>
      <c r="AE5326">
        <v>-12.452999999999999</v>
      </c>
      <c r="AF5326">
        <v>-3.1861660521897002</v>
      </c>
      <c r="AG5326">
        <v>-1.1140112542830001</v>
      </c>
      <c r="AH5326">
        <v>11.954700678751999</v>
      </c>
      <c r="AI5326">
        <v>95.145202749787899</v>
      </c>
      <c r="AJ5326">
        <v>104.92356795373099</v>
      </c>
      <c r="AK5326">
        <v>12.422058746655001</v>
      </c>
      <c r="AL5326">
        <v>67.692827262860206</v>
      </c>
      <c r="AM5326">
        <v>107.538825795113</v>
      </c>
      <c r="AN5326">
        <v>1.0000000484809399</v>
      </c>
    </row>
    <row r="5327" spans="1:40" x14ac:dyDescent="0.25">
      <c r="A5327" t="str">
        <f>"20190304164233410"</f>
        <v>20190304164233410</v>
      </c>
      <c r="B5327" t="str">
        <f>"1551688953396810"</f>
        <v>1551688953396810</v>
      </c>
      <c r="C5327" t="s">
        <v>40</v>
      </c>
      <c r="D5327">
        <v>4.3141669999999896</v>
      </c>
      <c r="E5327">
        <v>0.52415319999999999</v>
      </c>
      <c r="F5327" t="s">
        <v>42</v>
      </c>
      <c r="G5327">
        <v>-418.47669999999999</v>
      </c>
      <c r="H5327" s="1">
        <v>-3.2717529999999999E-6</v>
      </c>
      <c r="I5327">
        <v>105.98090000000001</v>
      </c>
      <c r="J5327">
        <v>-417.85809999999998</v>
      </c>
      <c r="K5327">
        <v>1.1138619999999999</v>
      </c>
      <c r="L5327">
        <v>118.1375</v>
      </c>
      <c r="M5327">
        <v>-0.30423139999999999</v>
      </c>
      <c r="N5327">
        <v>-1.3454529999999999E-2</v>
      </c>
      <c r="O5327">
        <v>-0.95250310000000005</v>
      </c>
      <c r="P5327">
        <v>-1.008208E-2</v>
      </c>
      <c r="Q5327">
        <v>0.36846709999999999</v>
      </c>
      <c r="R5327">
        <v>-0.92958600000000002</v>
      </c>
      <c r="S5327">
        <v>-0.18713379999999999</v>
      </c>
      <c r="T5327">
        <v>-0.30052450000000003</v>
      </c>
      <c r="U5327">
        <v>-3.3465419999999999</v>
      </c>
      <c r="V5327">
        <v>-0.27618409999999999</v>
      </c>
      <c r="W5327">
        <v>0.37825039999999999</v>
      </c>
      <c r="X5327">
        <v>0.88354339999999998</v>
      </c>
      <c r="Y5327">
        <v>-0.25053979999999998</v>
      </c>
      <c r="Z5327">
        <v>6.832655E-2</v>
      </c>
      <c r="AA5327">
        <v>0.96569210000000005</v>
      </c>
      <c r="AB5327">
        <v>26</v>
      </c>
      <c r="AC5327">
        <v>-0.61860000000001403</v>
      </c>
      <c r="AD5327">
        <v>-1.113865271753</v>
      </c>
      <c r="AE5327">
        <v>-12.1565999999999</v>
      </c>
      <c r="AF5327">
        <v>-3.0836609099483501</v>
      </c>
      <c r="AG5327">
        <v>-1.113865271753</v>
      </c>
      <c r="AH5327">
        <v>11.6707350467533</v>
      </c>
      <c r="AI5327">
        <v>95.271995770087898</v>
      </c>
      <c r="AJ5327">
        <v>104.800549311373</v>
      </c>
      <c r="AK5327">
        <v>12.1225293145728</v>
      </c>
      <c r="AL5327">
        <v>67.7746491141951</v>
      </c>
      <c r="AM5327">
        <v>107.358561003158</v>
      </c>
      <c r="AN5327">
        <v>0.99999998093826403</v>
      </c>
    </row>
    <row r="5328" spans="1:40" x14ac:dyDescent="0.25">
      <c r="A5328" t="str">
        <f>"20190304164233431"</f>
        <v>20190304164233431</v>
      </c>
      <c r="B5328" t="str">
        <f>"1551688953426090"</f>
        <v>1551688953426090</v>
      </c>
      <c r="C5328" t="s">
        <v>40</v>
      </c>
      <c r="D5328">
        <v>4.3264459999999998</v>
      </c>
      <c r="E5328">
        <v>0.52459669999999903</v>
      </c>
      <c r="F5328" t="s">
        <v>42</v>
      </c>
      <c r="G5328">
        <v>-418.5641</v>
      </c>
      <c r="H5328" s="1">
        <v>-3.667438E-6</v>
      </c>
      <c r="I5328">
        <v>106.85080000000001</v>
      </c>
      <c r="J5328">
        <v>-417.93130000000002</v>
      </c>
      <c r="K5328">
        <v>1.113739</v>
      </c>
      <c r="L5328">
        <v>117.8918</v>
      </c>
      <c r="M5328">
        <v>-0.30003190000000002</v>
      </c>
      <c r="N5328">
        <v>-1.340185E-2</v>
      </c>
      <c r="O5328">
        <v>-0.95383510000000005</v>
      </c>
      <c r="P5328">
        <v>-9.3689719999999997E-3</v>
      </c>
      <c r="Q5328">
        <v>0.36744969999999999</v>
      </c>
      <c r="R5328">
        <v>-0.92999639999999995</v>
      </c>
      <c r="S5328">
        <v>-0.20996090000000001</v>
      </c>
      <c r="T5328">
        <v>-0.3312271</v>
      </c>
      <c r="U5328">
        <v>-3.3562769999999902</v>
      </c>
      <c r="V5328">
        <v>-0.27294869999999999</v>
      </c>
      <c r="W5328">
        <v>0.3773108</v>
      </c>
      <c r="X5328">
        <v>0.88494950000000006</v>
      </c>
      <c r="Y5328">
        <v>-0.2399027</v>
      </c>
      <c r="Z5328">
        <v>7.6717659999999993E-2</v>
      </c>
      <c r="AA5328">
        <v>0.96776090000000003</v>
      </c>
      <c r="AB5328">
        <v>26</v>
      </c>
      <c r="AC5328">
        <v>-0.63279999999997405</v>
      </c>
      <c r="AD5328">
        <v>-1.113742667438</v>
      </c>
      <c r="AE5328">
        <v>-11.040999999999899</v>
      </c>
      <c r="AF5328">
        <v>-2.6821062383803902</v>
      </c>
      <c r="AG5328">
        <v>-1.113742667438</v>
      </c>
      <c r="AH5328">
        <v>10.6144625425499</v>
      </c>
      <c r="AI5328">
        <v>95.808686702587295</v>
      </c>
      <c r="AJ5328">
        <v>104.18089472190501</v>
      </c>
      <c r="AK5328">
        <v>11.004586846875499</v>
      </c>
      <c r="AL5328">
        <v>67.832794006405905</v>
      </c>
      <c r="AM5328">
        <v>107.141552386295</v>
      </c>
      <c r="AN5328">
        <v>1.00000002508928</v>
      </c>
    </row>
    <row r="5329" spans="1:40" x14ac:dyDescent="0.25">
      <c r="A5329" t="str">
        <f>"20190304164233453"</f>
        <v>20190304164233453</v>
      </c>
      <c r="B5329" t="str">
        <f>"1551688953446586"</f>
        <v>1551688953446586</v>
      </c>
      <c r="C5329" t="s">
        <v>40</v>
      </c>
      <c r="D5329">
        <v>4.3187709999999999</v>
      </c>
      <c r="E5329">
        <v>0.52516609999999997</v>
      </c>
      <c r="F5329" t="s">
        <v>42</v>
      </c>
      <c r="G5329">
        <v>-418.60950000000003</v>
      </c>
      <c r="H5329" s="1">
        <v>-3.6355589999999999E-6</v>
      </c>
      <c r="I5329">
        <v>106.8004</v>
      </c>
      <c r="J5329">
        <v>-418.0018</v>
      </c>
      <c r="K5329">
        <v>1.1136379999999999</v>
      </c>
      <c r="L5329">
        <v>117.65179999999999</v>
      </c>
      <c r="M5329">
        <v>-0.29606959999999999</v>
      </c>
      <c r="N5329">
        <v>-1.3351160000000001E-2</v>
      </c>
      <c r="O5329">
        <v>-0.95507319999999996</v>
      </c>
      <c r="P5329">
        <v>-8.92924199999999E-3</v>
      </c>
      <c r="Q5329">
        <v>0.36729400000000001</v>
      </c>
      <c r="R5329">
        <v>-0.93006250000000001</v>
      </c>
      <c r="S5329">
        <v>-0.2052612</v>
      </c>
      <c r="T5329">
        <v>-0.3370881</v>
      </c>
      <c r="U5329">
        <v>-3.3569490000000002</v>
      </c>
      <c r="V5329">
        <v>-0.26958919999999997</v>
      </c>
      <c r="W5329">
        <v>0.37722119999999998</v>
      </c>
      <c r="X5329">
        <v>0.88601679999999905</v>
      </c>
      <c r="Y5329">
        <v>-0.23724210000000001</v>
      </c>
      <c r="Z5329">
        <v>7.8543390000000005E-2</v>
      </c>
      <c r="AA5329">
        <v>0.96827019999999997</v>
      </c>
      <c r="AB5329">
        <v>26</v>
      </c>
      <c r="AC5329">
        <v>-0.607700000000022</v>
      </c>
      <c r="AD5329">
        <v>-1.113641635559</v>
      </c>
      <c r="AE5329">
        <v>-10.8513999999999</v>
      </c>
      <c r="AF5329">
        <v>-2.6052526789582902</v>
      </c>
      <c r="AG5329">
        <v>-1.113641635559</v>
      </c>
      <c r="AH5329">
        <v>10.435179352690399</v>
      </c>
      <c r="AI5329">
        <v>95.911443237572698</v>
      </c>
      <c r="AJ5329">
        <v>104.01793733855</v>
      </c>
      <c r="AK5329">
        <v>10.812978652364301</v>
      </c>
      <c r="AL5329">
        <v>67.838336051165896</v>
      </c>
      <c r="AM5329">
        <v>106.92348328053301</v>
      </c>
      <c r="AN5329">
        <v>0.99999997018415898</v>
      </c>
    </row>
    <row r="5330" spans="1:40" x14ac:dyDescent="0.25">
      <c r="A5330" t="str">
        <f>"20190304164233475"</f>
        <v>20190304164233475</v>
      </c>
      <c r="B5330" t="str">
        <f>"1551688953466106"</f>
        <v>1551688953466106</v>
      </c>
      <c r="C5330" t="s">
        <v>40</v>
      </c>
      <c r="D5330">
        <v>4.3066040000000001</v>
      </c>
      <c r="E5330">
        <v>0.52556150000000001</v>
      </c>
      <c r="F5330" t="s">
        <v>42</v>
      </c>
      <c r="G5330">
        <v>-418.66910000000001</v>
      </c>
      <c r="H5330" s="1">
        <v>-3.5391530000000001E-6</v>
      </c>
      <c r="I5330">
        <v>106.61879999999999</v>
      </c>
      <c r="J5330">
        <v>-418.0727</v>
      </c>
      <c r="K5330">
        <v>1.1135469999999901</v>
      </c>
      <c r="L5330">
        <v>117.4074</v>
      </c>
      <c r="M5330">
        <v>-0.29214390000000001</v>
      </c>
      <c r="N5330">
        <v>-1.330025E-2</v>
      </c>
      <c r="O5330">
        <v>-0.95628190000000002</v>
      </c>
      <c r="P5330">
        <v>-8.3465669999999992E-3</v>
      </c>
      <c r="Q5330">
        <v>0.36802420000000002</v>
      </c>
      <c r="R5330">
        <v>-0.92977880000000002</v>
      </c>
      <c r="S5330">
        <v>-0.20306399999999999</v>
      </c>
      <c r="T5330">
        <v>-0.33889390000000003</v>
      </c>
      <c r="U5330">
        <v>-3.3574679999999999</v>
      </c>
      <c r="V5330">
        <v>-0.26631719999999998</v>
      </c>
      <c r="W5330">
        <v>0.37800050000000002</v>
      </c>
      <c r="X5330">
        <v>0.88667399999999996</v>
      </c>
      <c r="Y5330">
        <v>-0.23389740000000001</v>
      </c>
      <c r="Z5330">
        <v>7.9286690000000007E-2</v>
      </c>
      <c r="AA5330">
        <v>0.96902299999999997</v>
      </c>
      <c r="AB5330">
        <v>26</v>
      </c>
      <c r="AC5330">
        <v>-0.59640000000001603</v>
      </c>
      <c r="AD5330">
        <v>-1.1135505391529901</v>
      </c>
      <c r="AE5330">
        <v>-10.788600000000001</v>
      </c>
      <c r="AF5330">
        <v>-2.5545931993301099</v>
      </c>
      <c r="AG5330">
        <v>-1.1135505391529901</v>
      </c>
      <c r="AH5330">
        <v>10.3818401353988</v>
      </c>
      <c r="AI5330">
        <v>95.9460719535995</v>
      </c>
      <c r="AJ5330">
        <v>103.823776804484</v>
      </c>
      <c r="AK5330">
        <v>10.7493509485126</v>
      </c>
      <c r="AL5330">
        <v>67.790116230867696</v>
      </c>
      <c r="AM5330">
        <v>106.717916638053</v>
      </c>
      <c r="AN5330">
        <v>1.0000000056460401</v>
      </c>
    </row>
    <row r="5331" spans="1:40" x14ac:dyDescent="0.25">
      <c r="A5331" t="str">
        <f>"20190304164233499"</f>
        <v>20190304164233499</v>
      </c>
      <c r="B5331" t="str">
        <f>"1551688953486602"</f>
        <v>1551688953486602</v>
      </c>
      <c r="C5331" t="s">
        <v>40</v>
      </c>
      <c r="D5331">
        <v>4.3015610000000004</v>
      </c>
      <c r="E5331">
        <v>0.52583649999999904</v>
      </c>
      <c r="F5331" t="s">
        <v>42</v>
      </c>
      <c r="G5331">
        <v>-418.7296</v>
      </c>
      <c r="H5331" s="1">
        <v>-3.3855750000000002E-6</v>
      </c>
      <c r="I5331">
        <v>106.31659999999999</v>
      </c>
      <c r="J5331">
        <v>-418.14389999999997</v>
      </c>
      <c r="K5331">
        <v>1.1134729999999999</v>
      </c>
      <c r="L5331">
        <v>117.15860000000001</v>
      </c>
      <c r="M5331">
        <v>-0.28822769999999998</v>
      </c>
      <c r="N5331">
        <v>-1.3240419999999999E-2</v>
      </c>
      <c r="O5331">
        <v>-0.9574705</v>
      </c>
      <c r="P5331">
        <v>-7.7709429999999998E-3</v>
      </c>
      <c r="Q5331">
        <v>0.36946790000000002</v>
      </c>
      <c r="R5331">
        <v>-0.92921109999999896</v>
      </c>
      <c r="S5331">
        <v>-0.1989136</v>
      </c>
      <c r="T5331">
        <v>-0.33718130000000002</v>
      </c>
      <c r="U5331">
        <v>-3.3582610000000002</v>
      </c>
      <c r="V5331">
        <v>-0.26299430000000001</v>
      </c>
      <c r="W5331">
        <v>0.37946600000000003</v>
      </c>
      <c r="X5331">
        <v>0.88703969999999899</v>
      </c>
      <c r="Y5331">
        <v>-0.23112759999999999</v>
      </c>
      <c r="Z5331">
        <v>7.9069899999999999E-2</v>
      </c>
      <c r="AA5331">
        <v>0.96970509999999999</v>
      </c>
      <c r="AB5331">
        <v>26</v>
      </c>
      <c r="AC5331">
        <v>-0.58570000000003097</v>
      </c>
      <c r="AD5331">
        <v>-1.1134763855749901</v>
      </c>
      <c r="AE5331">
        <v>-10.842000000000001</v>
      </c>
      <c r="AF5331">
        <v>-2.5377104634279801</v>
      </c>
      <c r="AG5331">
        <v>-1.1134763855749901</v>
      </c>
      <c r="AH5331">
        <v>10.4408309044841</v>
      </c>
      <c r="AI5331">
        <v>95.916399494610602</v>
      </c>
      <c r="AJ5331">
        <v>103.66119778888999</v>
      </c>
      <c r="AK5331">
        <v>10.8023494682155</v>
      </c>
      <c r="AL5331">
        <v>67.699389151768202</v>
      </c>
      <c r="AM5331">
        <v>106.514320070363</v>
      </c>
      <c r="AN5331">
        <v>0.99999993818228705</v>
      </c>
    </row>
    <row r="5332" spans="1:40" x14ac:dyDescent="0.25">
      <c r="A5332" t="str">
        <f>"20190304164233521"</f>
        <v>20190304164233521</v>
      </c>
      <c r="B5332" t="str">
        <f>"1551688953516859"</f>
        <v>1551688953516859</v>
      </c>
      <c r="C5332" t="s">
        <v>40</v>
      </c>
      <c r="D5332">
        <v>4.2841899999999997</v>
      </c>
      <c r="E5332">
        <v>0.52621850000000003</v>
      </c>
      <c r="F5332" t="s">
        <v>42</v>
      </c>
      <c r="G5332">
        <v>-418.7955</v>
      </c>
      <c r="H5332" s="1">
        <v>-3.1806530000000001E-6</v>
      </c>
      <c r="I5332">
        <v>105.9079</v>
      </c>
      <c r="J5332">
        <v>-418.21289999999999</v>
      </c>
      <c r="K5332">
        <v>1.1134310000000001</v>
      </c>
      <c r="L5332">
        <v>116.914</v>
      </c>
      <c r="M5332">
        <v>-0.28443190000000002</v>
      </c>
      <c r="N5332">
        <v>-1.31697999999999E-2</v>
      </c>
      <c r="O5332">
        <v>-0.95860590000000001</v>
      </c>
      <c r="P5332">
        <v>-7.493296E-3</v>
      </c>
      <c r="Q5332">
        <v>0.37137049999999999</v>
      </c>
      <c r="R5332">
        <v>-0.92845469999999997</v>
      </c>
      <c r="S5332">
        <v>-0.19454959999999999</v>
      </c>
      <c r="T5332">
        <v>-0.33244790000000002</v>
      </c>
      <c r="U5332">
        <v>-3.3591000000000002</v>
      </c>
      <c r="V5332">
        <v>-0.2594783</v>
      </c>
      <c r="W5332">
        <v>0.38136140000000002</v>
      </c>
      <c r="X5332">
        <v>0.88726229999999995</v>
      </c>
      <c r="Y5332">
        <v>-0.22854289999999999</v>
      </c>
      <c r="Z5332">
        <v>7.8029829999999994E-2</v>
      </c>
      <c r="AA5332">
        <v>0.97040170000000003</v>
      </c>
      <c r="AB5332">
        <v>26</v>
      </c>
      <c r="AC5332">
        <v>-0.582600000000013</v>
      </c>
      <c r="AD5332">
        <v>-1.1134341806529999</v>
      </c>
      <c r="AE5332">
        <v>-11.0061</v>
      </c>
      <c r="AF5332">
        <v>-2.5462385338863198</v>
      </c>
      <c r="AG5332">
        <v>-1.1134341806529999</v>
      </c>
      <c r="AH5332">
        <v>10.608878612769301</v>
      </c>
      <c r="AI5332">
        <v>95.827133803057805</v>
      </c>
      <c r="AJ5332">
        <v>103.496283090755</v>
      </c>
      <c r="AK5332">
        <v>10.966830525113799</v>
      </c>
      <c r="AL5332">
        <v>67.5819623250608</v>
      </c>
      <c r="AM5332">
        <v>106.30146618298301</v>
      </c>
      <c r="AN5332">
        <v>0.999999947291068</v>
      </c>
    </row>
    <row r="5333" spans="1:40" x14ac:dyDescent="0.25">
      <c r="A5333" t="str">
        <f>"20190304164233545"</f>
        <v>20190304164233545</v>
      </c>
      <c r="B5333" t="str">
        <f>"1551688953536378"</f>
        <v>1551688953536378</v>
      </c>
      <c r="C5333" t="s">
        <v>40</v>
      </c>
      <c r="D5333">
        <v>4.8834839999999904</v>
      </c>
      <c r="E5333">
        <v>0.52633909999999995</v>
      </c>
      <c r="F5333" t="s">
        <v>42</v>
      </c>
      <c r="G5333">
        <v>-418.87090000000001</v>
      </c>
      <c r="H5333" s="1">
        <v>-2.973606E-6</v>
      </c>
      <c r="I5333">
        <v>105.49809999999999</v>
      </c>
      <c r="J5333">
        <v>-418.28399999999999</v>
      </c>
      <c r="K5333">
        <v>1.113405</v>
      </c>
      <c r="L5333">
        <v>116.65779999999999</v>
      </c>
      <c r="M5333">
        <v>-0.2804893</v>
      </c>
      <c r="N5333">
        <v>-1.3081489999999999E-2</v>
      </c>
      <c r="O5333">
        <v>-0.95976819999999896</v>
      </c>
      <c r="P5333">
        <v>-7.3145509999999999E-3</v>
      </c>
      <c r="Q5333">
        <v>0.37327349999999998</v>
      </c>
      <c r="R5333">
        <v>-0.92769270000000004</v>
      </c>
      <c r="S5333">
        <v>-0.1937256</v>
      </c>
      <c r="T5333">
        <v>-0.32778600000000002</v>
      </c>
      <c r="U5333">
        <v>-3.3607330000000002</v>
      </c>
      <c r="V5333">
        <v>-0.25575720000000002</v>
      </c>
      <c r="W5333">
        <v>0.38322879999999998</v>
      </c>
      <c r="X5333">
        <v>0.887538099999999</v>
      </c>
      <c r="Y5333">
        <v>-0.22480639999999999</v>
      </c>
      <c r="Z5333">
        <v>7.7016119999999993E-2</v>
      </c>
      <c r="AA5333">
        <v>0.97135499999999997</v>
      </c>
      <c r="AB5333">
        <v>26</v>
      </c>
      <c r="AC5333">
        <v>-0.58690000000001397</v>
      </c>
      <c r="AD5333">
        <v>-1.1134079736059901</v>
      </c>
      <c r="AE5333">
        <v>-11.159700000000001</v>
      </c>
      <c r="AF5333">
        <v>-2.54187528032744</v>
      </c>
      <c r="AG5333">
        <v>-1.1134079736059901</v>
      </c>
      <c r="AH5333">
        <v>10.7693688830604</v>
      </c>
      <c r="AI5333">
        <v>95.745862259042795</v>
      </c>
      <c r="AJ5333">
        <v>103.28036945053201</v>
      </c>
      <c r="AK5333">
        <v>11.121156117771999</v>
      </c>
      <c r="AL5333">
        <v>67.466173324100396</v>
      </c>
      <c r="AM5333">
        <v>106.075116967466</v>
      </c>
      <c r="AN5333">
        <v>0.99999996872644403</v>
      </c>
    </row>
    <row r="5334" spans="1:40" x14ac:dyDescent="0.25">
      <c r="A5334" t="str">
        <f>"20190304164233565"</f>
        <v>20190304164233565</v>
      </c>
      <c r="B5334" t="str">
        <f>"1551688953556874"</f>
        <v>1551688953556874</v>
      </c>
      <c r="C5334" t="s">
        <v>40</v>
      </c>
      <c r="D5334">
        <v>4.247681</v>
      </c>
      <c r="E5334">
        <v>0.52713949999999998</v>
      </c>
      <c r="F5334" t="s">
        <v>42</v>
      </c>
      <c r="G5334">
        <v>-418.94490000000002</v>
      </c>
      <c r="H5334" s="1">
        <v>-2.730304E-6</v>
      </c>
      <c r="I5334">
        <v>105.0112</v>
      </c>
      <c r="J5334">
        <v>-418.34800000000001</v>
      </c>
      <c r="K5334">
        <v>1.1133839999999999</v>
      </c>
      <c r="L5334">
        <v>116.4237</v>
      </c>
      <c r="M5334">
        <v>-0.27689449999999999</v>
      </c>
      <c r="N5334">
        <v>-1.2988049999999999E-2</v>
      </c>
      <c r="O5334">
        <v>-0.96081269999999996</v>
      </c>
      <c r="P5334">
        <v>-7.8730620000000001E-3</v>
      </c>
      <c r="Q5334">
        <v>0.37475459999999999</v>
      </c>
      <c r="R5334">
        <v>-0.927091</v>
      </c>
      <c r="S5334">
        <v>-0.1907654</v>
      </c>
      <c r="T5334">
        <v>-0.32136959999999998</v>
      </c>
      <c r="U5334">
        <v>-3.3616329999999999</v>
      </c>
      <c r="V5334">
        <v>-0.25171510000000002</v>
      </c>
      <c r="W5334">
        <v>0.38466329999999999</v>
      </c>
      <c r="X5334">
        <v>0.88807309999999995</v>
      </c>
      <c r="Y5334">
        <v>-0.22202549999999999</v>
      </c>
      <c r="Z5334">
        <v>7.5515280000000004E-2</v>
      </c>
      <c r="AA5334">
        <v>0.97211219999999998</v>
      </c>
      <c r="AB5334">
        <v>26</v>
      </c>
      <c r="AC5334">
        <v>-0.59690000000000498</v>
      </c>
      <c r="AD5334">
        <v>-1.1133867303039999</v>
      </c>
      <c r="AE5334">
        <v>-11.4124999999999</v>
      </c>
      <c r="AF5334">
        <v>-2.5624452179240098</v>
      </c>
      <c r="AG5334">
        <v>-1.1133867303039999</v>
      </c>
      <c r="AH5334">
        <v>11.026827170784999</v>
      </c>
      <c r="AI5334">
        <v>95.616981534891806</v>
      </c>
      <c r="AJ5334">
        <v>103.08236314238199</v>
      </c>
      <c r="AK5334">
        <v>11.375265841308501</v>
      </c>
      <c r="AL5334">
        <v>67.377163003013095</v>
      </c>
      <c r="AM5334">
        <v>105.824830904015</v>
      </c>
      <c r="AN5334">
        <v>1.0000000884392499</v>
      </c>
    </row>
    <row r="5335" spans="1:40" x14ac:dyDescent="0.25">
      <c r="A5335" t="str">
        <f>"20190304164233588"</f>
        <v>20190304164233588</v>
      </c>
      <c r="B5335" t="str">
        <f>"1551688953576394"</f>
        <v>1551688953576394</v>
      </c>
      <c r="C5335" t="s">
        <v>40</v>
      </c>
      <c r="D5335">
        <v>4.2600920000000002</v>
      </c>
      <c r="E5335">
        <v>0.52936949999999905</v>
      </c>
      <c r="F5335" t="s">
        <v>42</v>
      </c>
      <c r="G5335">
        <v>-419.15539999999999</v>
      </c>
      <c r="H5335" s="1">
        <v>-1.6305079999999999E-6</v>
      </c>
      <c r="I5335">
        <v>102.7636</v>
      </c>
      <c r="J5335">
        <v>-418.41480000000001</v>
      </c>
      <c r="K5335">
        <v>1.1133649999999999</v>
      </c>
      <c r="L5335">
        <v>116.176</v>
      </c>
      <c r="M5335">
        <v>-0.2730841</v>
      </c>
      <c r="N5335">
        <v>-1.288455E-2</v>
      </c>
      <c r="O5335">
        <v>-0.96190390000000003</v>
      </c>
      <c r="P5335">
        <v>-7.8276679999999994E-3</v>
      </c>
      <c r="Q5335">
        <v>0.37496109999999999</v>
      </c>
      <c r="R5335">
        <v>-0.92700760000000004</v>
      </c>
      <c r="S5335">
        <v>-0.19766239999999999</v>
      </c>
      <c r="T5335">
        <v>-0.27259329999999998</v>
      </c>
      <c r="U5335">
        <v>-3.3444519999999902</v>
      </c>
      <c r="V5335">
        <v>-0.248197</v>
      </c>
      <c r="W5335">
        <v>0.38481159999999998</v>
      </c>
      <c r="X5335">
        <v>0.88899850000000002</v>
      </c>
      <c r="Y5335">
        <v>-0.21585270000000001</v>
      </c>
      <c r="Z5335">
        <v>6.2856019999999999E-2</v>
      </c>
      <c r="AA5335">
        <v>0.97440070000000001</v>
      </c>
      <c r="AB5335">
        <v>26</v>
      </c>
      <c r="AC5335">
        <v>-0.74059999999997195</v>
      </c>
      <c r="AD5335">
        <v>-1.1133666305080001</v>
      </c>
      <c r="AE5335">
        <v>-13.4124</v>
      </c>
      <c r="AF5335">
        <v>-2.9304405955443</v>
      </c>
      <c r="AG5335">
        <v>-1.1133666305080001</v>
      </c>
      <c r="AH5335">
        <v>13.015361096086499</v>
      </c>
      <c r="AI5335">
        <v>94.770472333878004</v>
      </c>
      <c r="AJ5335">
        <v>102.688697731446</v>
      </c>
      <c r="AK5335">
        <v>13.3875573499972</v>
      </c>
      <c r="AL5335">
        <v>67.3679559523883</v>
      </c>
      <c r="AM5335">
        <v>105.59905287310301</v>
      </c>
      <c r="AN5335">
        <v>1.0000000256529</v>
      </c>
    </row>
    <row r="5336" spans="1:40" x14ac:dyDescent="0.25">
      <c r="A5336" t="str">
        <f>"20190304164233610"</f>
        <v>20190304164233610</v>
      </c>
      <c r="B5336" t="str">
        <f>"1551688953606651"</f>
        <v>1551688953606651</v>
      </c>
      <c r="C5336" t="s">
        <v>40</v>
      </c>
      <c r="D5336">
        <v>4.2247139999999996</v>
      </c>
      <c r="E5336">
        <v>0.52912569999999903</v>
      </c>
      <c r="F5336" t="s">
        <v>42</v>
      </c>
      <c r="G5336">
        <v>-419.13549999999998</v>
      </c>
      <c r="H5336" s="1">
        <v>-2.54111E-6</v>
      </c>
      <c r="I5336">
        <v>104.6825</v>
      </c>
      <c r="J5336">
        <v>-418.48</v>
      </c>
      <c r="K5336">
        <v>1.1133500000000001</v>
      </c>
      <c r="L5336">
        <v>115.9301</v>
      </c>
      <c r="M5336">
        <v>-0.26928550000000001</v>
      </c>
      <c r="N5336">
        <v>-1.2775949999999999E-2</v>
      </c>
      <c r="O5336">
        <v>-0.96297569999999999</v>
      </c>
      <c r="P5336">
        <v>-7.5075469999999998E-3</v>
      </c>
      <c r="Q5336">
        <v>0.37447920000000001</v>
      </c>
      <c r="R5336">
        <v>-0.92720519999999995</v>
      </c>
      <c r="S5336">
        <v>-0.2110901</v>
      </c>
      <c r="T5336">
        <v>-0.32609369999999999</v>
      </c>
      <c r="U5336">
        <v>-3.366333</v>
      </c>
      <c r="V5336">
        <v>-0.24502989999999999</v>
      </c>
      <c r="W5336">
        <v>0.38426440000000001</v>
      </c>
      <c r="X5336">
        <v>0.89011309999999999</v>
      </c>
      <c r="Y5336">
        <v>-0.20854120000000001</v>
      </c>
      <c r="Z5336">
        <v>7.7336199999999994E-2</v>
      </c>
      <c r="AA5336">
        <v>0.97495109999999996</v>
      </c>
      <c r="AB5336">
        <v>26</v>
      </c>
      <c r="AC5336">
        <v>-0.65549999999996</v>
      </c>
      <c r="AD5336">
        <v>-1.11335254111</v>
      </c>
      <c r="AE5336">
        <v>-11.247599999999901</v>
      </c>
      <c r="AF5336">
        <v>-2.3745926463949298</v>
      </c>
      <c r="AG5336">
        <v>-1.11335254111</v>
      </c>
      <c r="AH5336">
        <v>10.902120606864999</v>
      </c>
      <c r="AI5336">
        <v>95.698287033630095</v>
      </c>
      <c r="AJ5336">
        <v>102.287687487019</v>
      </c>
      <c r="AK5336">
        <v>11.213138625904</v>
      </c>
      <c r="AL5336">
        <v>67.401920425223906</v>
      </c>
      <c r="AM5336">
        <v>105.391139082907</v>
      </c>
      <c r="AN5336">
        <v>1.0000000558964799</v>
      </c>
    </row>
    <row r="5337" spans="1:40" x14ac:dyDescent="0.25">
      <c r="A5337" t="str">
        <f>"20190304164233633"</f>
        <v>20190304164233633</v>
      </c>
      <c r="B5337" t="str">
        <f>"1551688953626170"</f>
        <v>1551688953626170</v>
      </c>
      <c r="C5337" t="s">
        <v>40</v>
      </c>
      <c r="D5337">
        <v>4.2041879999999896</v>
      </c>
      <c r="E5337">
        <v>0.52902519999999997</v>
      </c>
      <c r="F5337" t="s">
        <v>42</v>
      </c>
      <c r="G5337">
        <v>-419.17439999999999</v>
      </c>
      <c r="H5337" s="1">
        <v>-2.513708E-6</v>
      </c>
      <c r="I5337">
        <v>104.6391</v>
      </c>
      <c r="J5337">
        <v>-418.54689999999999</v>
      </c>
      <c r="K5337">
        <v>1.1133309999999901</v>
      </c>
      <c r="L5337">
        <v>115.67319999999999</v>
      </c>
      <c r="M5337">
        <v>-0.26530090000000001</v>
      </c>
      <c r="N5337">
        <v>-1.2656290000000001E-2</v>
      </c>
      <c r="O5337">
        <v>-0.96408269999999996</v>
      </c>
      <c r="P5337">
        <v>-4.816692E-3</v>
      </c>
      <c r="Q5337">
        <v>0.37340610000000002</v>
      </c>
      <c r="R5337">
        <v>-0.92765560000000002</v>
      </c>
      <c r="S5337">
        <v>-0.20715330000000001</v>
      </c>
      <c r="T5337">
        <v>-0.33210240000000002</v>
      </c>
      <c r="U5337">
        <v>-3.3679809999999999</v>
      </c>
      <c r="V5337">
        <v>-0.2440378</v>
      </c>
      <c r="W5337">
        <v>0.38309660000000001</v>
      </c>
      <c r="X5337">
        <v>0.89088860000000003</v>
      </c>
      <c r="Y5337">
        <v>-0.20567099999999999</v>
      </c>
      <c r="Z5337">
        <v>7.9244839999999997E-2</v>
      </c>
      <c r="AA5337">
        <v>0.97540740000000004</v>
      </c>
      <c r="AB5337">
        <v>26</v>
      </c>
      <c r="AC5337">
        <v>-0.62749999999999695</v>
      </c>
      <c r="AD5337">
        <v>-1.1133335137079901</v>
      </c>
      <c r="AE5337">
        <v>-11.034099999999899</v>
      </c>
      <c r="AF5337">
        <v>-2.2992481102233602</v>
      </c>
      <c r="AG5337">
        <v>-1.1133335137079901</v>
      </c>
      <c r="AH5337">
        <v>10.6965781982876</v>
      </c>
      <c r="AI5337">
        <v>95.810352331365806</v>
      </c>
      <c r="AJ5337">
        <v>102.131237293327</v>
      </c>
      <c r="AK5337">
        <v>10.9974014447592</v>
      </c>
      <c r="AL5337">
        <v>67.474373823177402</v>
      </c>
      <c r="AM5337">
        <v>105.31904125236299</v>
      </c>
      <c r="AN5337">
        <v>0.99999997518517902</v>
      </c>
    </row>
    <row r="5338" spans="1:40" x14ac:dyDescent="0.25">
      <c r="A5338" t="str">
        <f>"20190304164233654"</f>
        <v>20190304164233654</v>
      </c>
      <c r="B5338" t="str">
        <f>"1551688953646666"</f>
        <v>1551688953646666</v>
      </c>
      <c r="C5338" t="s">
        <v>40</v>
      </c>
      <c r="D5338">
        <v>4.2013420000000004</v>
      </c>
      <c r="E5338">
        <v>0.52904580000000001</v>
      </c>
      <c r="F5338" t="s">
        <v>42</v>
      </c>
      <c r="G5338">
        <v>-419.1995</v>
      </c>
      <c r="H5338" s="1">
        <v>-2.4797990000000001E-6</v>
      </c>
      <c r="I5338">
        <v>104.57680000000001</v>
      </c>
      <c r="J5338">
        <v>-418.60719999999998</v>
      </c>
      <c r="K5338">
        <v>1.1133120000000001</v>
      </c>
      <c r="L5338">
        <v>115.4384</v>
      </c>
      <c r="M5338">
        <v>-0.26165169999999999</v>
      </c>
      <c r="N5338">
        <v>-1.254358E-2</v>
      </c>
      <c r="O5338">
        <v>-0.96508099999999997</v>
      </c>
      <c r="P5338">
        <v>-3.8223749999999998E-3</v>
      </c>
      <c r="Q5338">
        <v>0.37225340000000001</v>
      </c>
      <c r="R5338">
        <v>-0.9281237</v>
      </c>
      <c r="S5338">
        <v>-0.19812009999999999</v>
      </c>
      <c r="T5338">
        <v>-0.33801969999999998</v>
      </c>
      <c r="U5338">
        <v>-3.3689879999999999</v>
      </c>
      <c r="V5338">
        <v>-0.24172389999999999</v>
      </c>
      <c r="W5338">
        <v>0.38187140000000003</v>
      </c>
      <c r="X5338">
        <v>0.89204470000000002</v>
      </c>
      <c r="Y5338">
        <v>-0.2046007</v>
      </c>
      <c r="Z5338">
        <v>8.1109849999999997E-2</v>
      </c>
      <c r="AA5338">
        <v>0.97547919999999999</v>
      </c>
      <c r="AB5338">
        <v>26</v>
      </c>
      <c r="AC5338">
        <v>-0.59230000000002203</v>
      </c>
      <c r="AD5338">
        <v>-1.113314479799</v>
      </c>
      <c r="AE5338">
        <v>-10.8615999999999</v>
      </c>
      <c r="AF5338">
        <v>-2.2469795726139301</v>
      </c>
      <c r="AG5338">
        <v>-1.113314479799</v>
      </c>
      <c r="AH5338">
        <v>10.527855058353699</v>
      </c>
      <c r="AI5338">
        <v>95.904543152187699</v>
      </c>
      <c r="AJ5338">
        <v>102.047973867555</v>
      </c>
      <c r="AK5338">
        <v>10.8223896834469</v>
      </c>
      <c r="AL5338">
        <v>67.550349740065897</v>
      </c>
      <c r="AM5338">
        <v>105.16175489164701</v>
      </c>
      <c r="AN5338">
        <v>0.99999997838362897</v>
      </c>
    </row>
    <row r="5339" spans="1:40" x14ac:dyDescent="0.25">
      <c r="A5339" t="str">
        <f>"20190304164233672"</f>
        <v>20190304164233672</v>
      </c>
      <c r="B5339" t="str">
        <f>"1551688953666186"</f>
        <v>1551688953666186</v>
      </c>
      <c r="C5339" t="s">
        <v>40</v>
      </c>
      <c r="D5339">
        <v>4.1689769999999999</v>
      </c>
      <c r="E5339">
        <v>0.52901629999999999</v>
      </c>
      <c r="F5339" t="s">
        <v>42</v>
      </c>
      <c r="G5339">
        <v>-419.25</v>
      </c>
      <c r="H5339" s="1">
        <v>-2.4085910000000001E-6</v>
      </c>
      <c r="I5339">
        <v>104.4451</v>
      </c>
      <c r="J5339">
        <v>-418.65390000000002</v>
      </c>
      <c r="K5339">
        <v>1.1132959999999901</v>
      </c>
      <c r="L5339">
        <v>115.25409999999999</v>
      </c>
      <c r="M5339">
        <v>-0.25879059999999998</v>
      </c>
      <c r="N5339">
        <v>-1.2453830000000001E-2</v>
      </c>
      <c r="O5339">
        <v>-0.96585319999999997</v>
      </c>
      <c r="P5339">
        <v>-2.0493389999999998E-3</v>
      </c>
      <c r="Q5339">
        <v>0.37168970000000001</v>
      </c>
      <c r="R5339">
        <v>-0.92835469999999998</v>
      </c>
      <c r="S5339">
        <v>-0.19692989999999999</v>
      </c>
      <c r="T5339">
        <v>-0.34111849999999999</v>
      </c>
      <c r="U5339">
        <v>-3.368347</v>
      </c>
      <c r="V5339">
        <v>-0.2408315</v>
      </c>
      <c r="W5339">
        <v>0.38124059999999999</v>
      </c>
      <c r="X5339">
        <v>0.89255569999999895</v>
      </c>
      <c r="Y5339">
        <v>-0.202039</v>
      </c>
      <c r="Z5339">
        <v>8.2207920000000004E-2</v>
      </c>
      <c r="AA5339">
        <v>0.97592120000000004</v>
      </c>
      <c r="AB5339">
        <v>26</v>
      </c>
      <c r="AC5339">
        <v>-0.59609999999997798</v>
      </c>
      <c r="AD5339">
        <v>-1.1132984085909901</v>
      </c>
      <c r="AE5339">
        <v>-10.8089999999999</v>
      </c>
      <c r="AF5339">
        <v>-2.1984433428530599</v>
      </c>
      <c r="AG5339">
        <v>-1.1132984085909901</v>
      </c>
      <c r="AH5339">
        <v>10.484110590717201</v>
      </c>
      <c r="AI5339">
        <v>95.933378133010606</v>
      </c>
      <c r="AJ5339">
        <v>101.842924631309</v>
      </c>
      <c r="AK5339">
        <v>10.769826431131399</v>
      </c>
      <c r="AL5339">
        <v>67.589449164661701</v>
      </c>
      <c r="AM5339">
        <v>105.100089112231</v>
      </c>
      <c r="AN5339">
        <v>0.99999994204154796</v>
      </c>
    </row>
    <row r="5340" spans="1:40" x14ac:dyDescent="0.25">
      <c r="A5340" t="str">
        <f>"20190304164233688"</f>
        <v>20190304164233688</v>
      </c>
      <c r="B5340" t="str">
        <f>"1551688953676923"</f>
        <v>1551688953676923</v>
      </c>
      <c r="C5340" t="s">
        <v>40</v>
      </c>
      <c r="D5340">
        <v>4.1593</v>
      </c>
      <c r="E5340">
        <v>0.52903069999999996</v>
      </c>
      <c r="F5340" t="s">
        <v>42</v>
      </c>
      <c r="G5340">
        <v>-419.27839999999998</v>
      </c>
      <c r="H5340" s="1">
        <v>-2.332275E-6</v>
      </c>
      <c r="I5340">
        <v>104.29430000000001</v>
      </c>
      <c r="J5340">
        <v>-418.70190000000002</v>
      </c>
      <c r="K5340">
        <v>1.1132690000000001</v>
      </c>
      <c r="L5340">
        <v>115.0617</v>
      </c>
      <c r="M5340">
        <v>-0.2558126</v>
      </c>
      <c r="N5340">
        <v>-1.2360619999999999E-2</v>
      </c>
      <c r="O5340">
        <v>-0.96664740000000005</v>
      </c>
      <c r="P5340">
        <v>-8.6225660000000003E-4</v>
      </c>
      <c r="Q5340">
        <v>0.37068089999999998</v>
      </c>
      <c r="R5340">
        <v>-0.92876000000000003</v>
      </c>
      <c r="S5340">
        <v>-0.19192500000000001</v>
      </c>
      <c r="T5340">
        <v>-0.34213100000000002</v>
      </c>
      <c r="U5340">
        <v>-3.3680880000000002</v>
      </c>
      <c r="V5340">
        <v>-0.23930380000000001</v>
      </c>
      <c r="W5340">
        <v>0.3801718</v>
      </c>
      <c r="X5340">
        <v>0.8934221</v>
      </c>
      <c r="Y5340">
        <v>-0.20046549999999999</v>
      </c>
      <c r="Z5340">
        <v>8.2721359999999994E-2</v>
      </c>
      <c r="AA5340">
        <v>0.97620220000000002</v>
      </c>
      <c r="AB5340">
        <v>26</v>
      </c>
      <c r="AC5340">
        <v>-0.57649999999995305</v>
      </c>
      <c r="AD5340">
        <v>-1.1132713322750001</v>
      </c>
      <c r="AE5340">
        <v>-10.767399999999901</v>
      </c>
      <c r="AF5340">
        <v>-2.1741567143729799</v>
      </c>
      <c r="AG5340">
        <v>-1.1132713322750001</v>
      </c>
      <c r="AH5340">
        <v>10.4452203858625</v>
      </c>
      <c r="AI5340">
        <v>95.956995496579694</v>
      </c>
      <c r="AJ5340">
        <v>101.75813764282699</v>
      </c>
      <c r="AK5340">
        <v>10.727020060909499</v>
      </c>
      <c r="AL5340">
        <v>67.6556747208557</v>
      </c>
      <c r="AM5340">
        <v>104.99473858911399</v>
      </c>
      <c r="AN5340">
        <v>0.99999997748904401</v>
      </c>
    </row>
    <row r="5341" spans="1:40" x14ac:dyDescent="0.25">
      <c r="A5341" t="str">
        <f>"20190304164233711"</f>
        <v>20190304164233711</v>
      </c>
      <c r="B5341" t="str">
        <f>"1551688953706202"</f>
        <v>1551688953706202</v>
      </c>
      <c r="C5341" t="s">
        <v>40</v>
      </c>
      <c r="D5341">
        <v>4.16378</v>
      </c>
      <c r="E5341">
        <v>0.52902229999999995</v>
      </c>
      <c r="F5341" t="s">
        <v>42</v>
      </c>
      <c r="G5341">
        <v>-419.31330000000003</v>
      </c>
      <c r="H5341" s="1">
        <v>-2.3003799999999999E-6</v>
      </c>
      <c r="I5341">
        <v>104.23990000000001</v>
      </c>
      <c r="J5341">
        <v>-418.76490000000001</v>
      </c>
      <c r="K5341">
        <v>1.1132359999999999</v>
      </c>
      <c r="L5341">
        <v>114.8062</v>
      </c>
      <c r="M5341">
        <v>-0.25188949999999999</v>
      </c>
      <c r="N5341">
        <v>-1.224284E-2</v>
      </c>
      <c r="O5341">
        <v>-0.96767860000000006</v>
      </c>
      <c r="P5341">
        <v>2.2427200000000001E-3</v>
      </c>
      <c r="Q5341">
        <v>0.37011719999999998</v>
      </c>
      <c r="R5341">
        <v>-0.92898259999999999</v>
      </c>
      <c r="S5341">
        <v>-0.1902771</v>
      </c>
      <c r="T5341">
        <v>-0.34650389999999998</v>
      </c>
      <c r="U5341">
        <v>-3.3682400000000001</v>
      </c>
      <c r="V5341">
        <v>-0.23870050000000001</v>
      </c>
      <c r="W5341">
        <v>0.3795212</v>
      </c>
      <c r="X5341">
        <v>0.89385999999999999</v>
      </c>
      <c r="Y5341">
        <v>-0.1969784</v>
      </c>
      <c r="Z5341">
        <v>8.4228310000000001E-2</v>
      </c>
      <c r="AA5341">
        <v>0.97678299999999996</v>
      </c>
      <c r="AB5341">
        <v>26</v>
      </c>
      <c r="AC5341">
        <v>-0.54840000000001499</v>
      </c>
      <c r="AD5341">
        <v>-1.1132383003799999</v>
      </c>
      <c r="AE5341">
        <v>-10.566299999999901</v>
      </c>
      <c r="AF5341">
        <v>-2.1076917797485701</v>
      </c>
      <c r="AG5341">
        <v>-1.1132383003799999</v>
      </c>
      <c r="AH5341">
        <v>10.2502211621138</v>
      </c>
      <c r="AI5341">
        <v>96.072321743421497</v>
      </c>
      <c r="AJ5341">
        <v>101.61943429786599</v>
      </c>
      <c r="AK5341">
        <v>10.5237207310009</v>
      </c>
      <c r="AL5341">
        <v>67.695971800536896</v>
      </c>
      <c r="AM5341">
        <v>104.95163247959201</v>
      </c>
      <c r="AN5341">
        <v>0.99999998477484398</v>
      </c>
    </row>
    <row r="5342" spans="1:40" x14ac:dyDescent="0.25">
      <c r="A5342" t="str">
        <f>"20190304164233726"</f>
        <v>20190304164233726</v>
      </c>
      <c r="B5342" t="str">
        <f>"1551688953716939"</f>
        <v>1551688953716939</v>
      </c>
      <c r="C5342" t="s">
        <v>40</v>
      </c>
      <c r="D5342">
        <v>4.178877</v>
      </c>
      <c r="E5342">
        <v>0.52909269999999997</v>
      </c>
      <c r="F5342" t="s">
        <v>42</v>
      </c>
      <c r="G5342">
        <v>-419.35090000000002</v>
      </c>
      <c r="H5342" s="1">
        <v>-2.2080420000000002E-6</v>
      </c>
      <c r="I5342">
        <v>104.0587</v>
      </c>
      <c r="J5342">
        <v>-418.80579999999998</v>
      </c>
      <c r="K5342">
        <v>1.11321</v>
      </c>
      <c r="L5342">
        <v>114.6379</v>
      </c>
      <c r="M5342">
        <v>-0.24932470000000001</v>
      </c>
      <c r="N5342">
        <v>-1.217041E-2</v>
      </c>
      <c r="O5342">
        <v>-0.96834359999999997</v>
      </c>
      <c r="P5342">
        <v>4.558632E-3</v>
      </c>
      <c r="Q5342">
        <v>0.37011939999999999</v>
      </c>
      <c r="R5342">
        <v>-0.9289731</v>
      </c>
      <c r="S5342">
        <v>-0.1836853</v>
      </c>
      <c r="T5342">
        <v>-0.34894419999999998</v>
      </c>
      <c r="U5342">
        <v>-3.368805</v>
      </c>
      <c r="V5342">
        <v>-0.23854529999999999</v>
      </c>
      <c r="W5342">
        <v>0.37946869999999999</v>
      </c>
      <c r="X5342">
        <v>0.89392380000000005</v>
      </c>
      <c r="Y5342">
        <v>-0.19629949999999999</v>
      </c>
      <c r="Z5342">
        <v>8.5065929999999998E-2</v>
      </c>
      <c r="AA5342">
        <v>0.97684709999999997</v>
      </c>
      <c r="AB5342">
        <v>26</v>
      </c>
      <c r="AC5342">
        <v>-0.54510000000004699</v>
      </c>
      <c r="AD5342">
        <v>-1.1132122080419999</v>
      </c>
      <c r="AE5342">
        <v>-10.5792</v>
      </c>
      <c r="AF5342">
        <v>-2.0869212787784699</v>
      </c>
      <c r="AG5342">
        <v>-1.1132122080419999</v>
      </c>
      <c r="AH5342">
        <v>10.2675870112881</v>
      </c>
      <c r="AI5342">
        <v>96.064786754145999</v>
      </c>
      <c r="AJ5342">
        <v>101.489052741272</v>
      </c>
      <c r="AK5342">
        <v>10.536499650183799</v>
      </c>
      <c r="AL5342">
        <v>67.699224746770696</v>
      </c>
      <c r="AM5342">
        <v>104.941327330964</v>
      </c>
      <c r="AN5342">
        <v>1.0000000573190999</v>
      </c>
    </row>
    <row r="5343" spans="1:40" x14ac:dyDescent="0.25">
      <c r="A5343" t="str">
        <f>"20190304164233745"</f>
        <v>20190304164233745</v>
      </c>
      <c r="B5343" t="str">
        <f>"1551688953736458"</f>
        <v>1551688953736458</v>
      </c>
      <c r="C5343" t="s">
        <v>40</v>
      </c>
      <c r="D5343">
        <v>4.1645659999999998</v>
      </c>
      <c r="E5343">
        <v>0.52124369999999998</v>
      </c>
      <c r="F5343" t="s">
        <v>42</v>
      </c>
      <c r="G5343">
        <v>-419.37869999999998</v>
      </c>
      <c r="H5343" s="1">
        <v>-2.1020919999999999E-6</v>
      </c>
      <c r="I5343">
        <v>103.845</v>
      </c>
      <c r="J5343">
        <v>-418.8553</v>
      </c>
      <c r="K5343">
        <v>1.113184</v>
      </c>
      <c r="L5343">
        <v>114.4318</v>
      </c>
      <c r="M5343">
        <v>-0.24621580000000001</v>
      </c>
      <c r="N5343">
        <v>-1.208849E-2</v>
      </c>
      <c r="O5343">
        <v>-0.9691398</v>
      </c>
      <c r="P5343">
        <v>7.7064319999999896E-3</v>
      </c>
      <c r="Q5343">
        <v>0.37018119999999999</v>
      </c>
      <c r="R5343">
        <v>-0.92892819999999998</v>
      </c>
      <c r="S5343">
        <v>-0.1788025</v>
      </c>
      <c r="T5343">
        <v>-0.34745749999999997</v>
      </c>
      <c r="U5343">
        <v>-3.3686829999999999</v>
      </c>
      <c r="V5343">
        <v>-0.23867830000000001</v>
      </c>
      <c r="W5343">
        <v>0.37946869999999999</v>
      </c>
      <c r="X5343">
        <v>0.89388819999999902</v>
      </c>
      <c r="Y5343">
        <v>-0.19456419999999999</v>
      </c>
      <c r="Z5343">
        <v>8.4880109999999995E-2</v>
      </c>
      <c r="AA5343">
        <v>0.97721040000000003</v>
      </c>
      <c r="AB5343">
        <v>26</v>
      </c>
      <c r="AC5343">
        <v>-0.52339999999998099</v>
      </c>
      <c r="AD5343">
        <v>-1.113186102092</v>
      </c>
      <c r="AE5343">
        <v>-10.586799999999901</v>
      </c>
      <c r="AF5343">
        <v>-2.0766389841694299</v>
      </c>
      <c r="AG5343">
        <v>-1.113186102092</v>
      </c>
      <c r="AH5343">
        <v>10.2763754680826</v>
      </c>
      <c r="AI5343">
        <v>96.060872822305498</v>
      </c>
      <c r="AJ5343">
        <v>101.424419296487</v>
      </c>
      <c r="AK5343">
        <v>10.543031135753701</v>
      </c>
      <c r="AL5343">
        <v>67.699222686225497</v>
      </c>
      <c r="AM5343">
        <v>104.94985366269</v>
      </c>
      <c r="AN5343">
        <v>0.999999969634909</v>
      </c>
    </row>
    <row r="5344" spans="1:40" x14ac:dyDescent="0.25">
      <c r="A5344" t="str">
        <f>"20190304164233767"</f>
        <v>20190304164233767</v>
      </c>
      <c r="B5344" t="str">
        <f>"1551688953756955"</f>
        <v>1551688953756955</v>
      </c>
      <c r="C5344" t="s">
        <v>40</v>
      </c>
      <c r="D5344">
        <v>4.1491199999999999</v>
      </c>
      <c r="E5344">
        <v>0.51958599999999999</v>
      </c>
      <c r="F5344" t="s">
        <v>42</v>
      </c>
      <c r="G5344">
        <v>-419.2731</v>
      </c>
      <c r="H5344" s="1">
        <v>-1.222395E-6</v>
      </c>
      <c r="I5344">
        <v>101.9444</v>
      </c>
      <c r="J5344">
        <v>-418.91390000000001</v>
      </c>
      <c r="K5344">
        <v>1.11314</v>
      </c>
      <c r="L5344">
        <v>114.184</v>
      </c>
      <c r="M5344">
        <v>-0.2425331</v>
      </c>
      <c r="N5344">
        <v>-1.199913E-2</v>
      </c>
      <c r="O5344">
        <v>-0.97006890000000001</v>
      </c>
      <c r="P5344">
        <v>1.180083E-2</v>
      </c>
      <c r="Q5344">
        <v>0.37017939999999999</v>
      </c>
      <c r="R5344">
        <v>-0.92888559999999998</v>
      </c>
      <c r="S5344">
        <v>-0.11206049999999999</v>
      </c>
      <c r="T5344">
        <v>-0.2985853</v>
      </c>
      <c r="U5344">
        <v>-3.3494419999999998</v>
      </c>
      <c r="V5344">
        <v>-0.23919399999999999</v>
      </c>
      <c r="W5344">
        <v>0.3794013</v>
      </c>
      <c r="X5344">
        <v>0.89377899999999999</v>
      </c>
      <c r="Y5344">
        <v>-0.20992520000000001</v>
      </c>
      <c r="Z5344">
        <v>7.1905200000000002E-2</v>
      </c>
      <c r="AA5344">
        <v>0.97506979999999999</v>
      </c>
      <c r="AB5344">
        <v>26</v>
      </c>
      <c r="AC5344">
        <v>-0.35919999999998697</v>
      </c>
      <c r="AD5344">
        <v>-1.1131412223949999</v>
      </c>
      <c r="AE5344">
        <v>-12.2395999999999</v>
      </c>
      <c r="AF5344">
        <v>-2.5987717357122602</v>
      </c>
      <c r="AG5344">
        <v>-1.1131412223949999</v>
      </c>
      <c r="AH5344">
        <v>11.863196700956401</v>
      </c>
      <c r="AI5344">
        <v>95.236983635753006</v>
      </c>
      <c r="AJ5344">
        <v>102.35612831624</v>
      </c>
      <c r="AK5344">
        <v>12.195414461219199</v>
      </c>
      <c r="AL5344">
        <v>67.703397462310406</v>
      </c>
      <c r="AM5344">
        <v>104.982452371481</v>
      </c>
      <c r="AN5344">
        <v>1.0000000084593399</v>
      </c>
    </row>
    <row r="5345" spans="1:40" x14ac:dyDescent="0.25">
      <c r="A5345" t="str">
        <f>"20190304164233789"</f>
        <v>20190304164233789</v>
      </c>
      <c r="B5345" t="str">
        <f>"1551688953776474"</f>
        <v>1551688953776474</v>
      </c>
      <c r="C5345" t="s">
        <v>40</v>
      </c>
      <c r="D5345">
        <v>4.4546539999999997</v>
      </c>
      <c r="E5345">
        <v>0.51916220000000002</v>
      </c>
      <c r="F5345" t="s">
        <v>42</v>
      </c>
      <c r="G5345">
        <v>-419.25959999999998</v>
      </c>
      <c r="H5345" s="1">
        <v>-8.8430750000000005E-7</v>
      </c>
      <c r="I5345">
        <v>101.22410000000001</v>
      </c>
      <c r="J5345">
        <v>-418.97179999999997</v>
      </c>
      <c r="K5345">
        <v>1.1130910000000001</v>
      </c>
      <c r="L5345">
        <v>113.93510000000001</v>
      </c>
      <c r="M5345">
        <v>-0.2388953</v>
      </c>
      <c r="N5345">
        <v>-1.191832E-2</v>
      </c>
      <c r="O5345">
        <v>-0.97097239999999996</v>
      </c>
      <c r="P5345">
        <v>1.624925E-2</v>
      </c>
      <c r="Q5345">
        <v>0.3693804</v>
      </c>
      <c r="R5345">
        <v>-0.92913650000000003</v>
      </c>
      <c r="S5345">
        <v>-8.9233399999999893E-2</v>
      </c>
      <c r="T5345">
        <v>-0.28733409999999998</v>
      </c>
      <c r="U5345">
        <v>-3.3453059999999999</v>
      </c>
      <c r="V5345">
        <v>-0.24016480000000001</v>
      </c>
      <c r="W5345">
        <v>0.37854640000000001</v>
      </c>
      <c r="X5345">
        <v>0.89388109999999998</v>
      </c>
      <c r="Y5345">
        <v>-0.21286450000000001</v>
      </c>
      <c r="Z5345">
        <v>6.9031040000000002E-2</v>
      </c>
      <c r="AA5345">
        <v>0.97464010000000001</v>
      </c>
      <c r="AB5345">
        <v>26</v>
      </c>
      <c r="AC5345">
        <v>-0.287800000000004</v>
      </c>
      <c r="AD5345">
        <v>-1.1130918843074999</v>
      </c>
      <c r="AE5345">
        <v>-12.711</v>
      </c>
      <c r="AF5345">
        <v>-2.73637481529309</v>
      </c>
      <c r="AG5345">
        <v>-1.1130918843074999</v>
      </c>
      <c r="AH5345">
        <v>12.3172584347789</v>
      </c>
      <c r="AI5345">
        <v>95.041453143851598</v>
      </c>
      <c r="AJ5345">
        <v>102.52528926162699</v>
      </c>
      <c r="AK5345">
        <v>12.6665534389515</v>
      </c>
      <c r="AL5345">
        <v>67.756326812469396</v>
      </c>
      <c r="AM5345">
        <v>105.038870396474</v>
      </c>
      <c r="AN5345">
        <v>0.99999996452460405</v>
      </c>
    </row>
    <row r="5346" spans="1:40" x14ac:dyDescent="0.25">
      <c r="A5346" t="str">
        <f>"20190304164233811"</f>
        <v>20190304164233811</v>
      </c>
      <c r="B5346" t="str">
        <f>"1551688953806730"</f>
        <v>1551688953806730</v>
      </c>
      <c r="C5346" t="s">
        <v>40</v>
      </c>
      <c r="D5346">
        <v>4.1518860000000002</v>
      </c>
      <c r="E5346">
        <v>0.51916530000000005</v>
      </c>
      <c r="F5346" t="s">
        <v>42</v>
      </c>
      <c r="G5346">
        <v>-419.26580000000001</v>
      </c>
      <c r="H5346" s="1">
        <v>-6.5154300000000005E-7</v>
      </c>
      <c r="I5346">
        <v>100.7341</v>
      </c>
      <c r="J5346">
        <v>-419.0301</v>
      </c>
      <c r="K5346">
        <v>1.1130549999999999</v>
      </c>
      <c r="L5346">
        <v>113.68040000000001</v>
      </c>
      <c r="M5346">
        <v>-0.2352371</v>
      </c>
      <c r="N5346">
        <v>-1.1844779999999999E-2</v>
      </c>
      <c r="O5346">
        <v>-0.97186600000000001</v>
      </c>
      <c r="P5346">
        <v>2.1290779999999999E-2</v>
      </c>
      <c r="Q5346">
        <v>0.36843120000000001</v>
      </c>
      <c r="R5346">
        <v>-0.9294114</v>
      </c>
      <c r="S5346">
        <v>-7.4432369999999998E-2</v>
      </c>
      <c r="T5346">
        <v>-0.2818058</v>
      </c>
      <c r="U5346">
        <v>-3.3421479999999999</v>
      </c>
      <c r="V5346">
        <v>-0.24170220000000001</v>
      </c>
      <c r="W5346">
        <v>0.37754399999999999</v>
      </c>
      <c r="X5346">
        <v>0.89389069999999904</v>
      </c>
      <c r="Y5346">
        <v>-0.2134749</v>
      </c>
      <c r="Z5346">
        <v>6.7735439999999994E-2</v>
      </c>
      <c r="AA5346">
        <v>0.97459759999999995</v>
      </c>
      <c r="AB5346">
        <v>26</v>
      </c>
      <c r="AC5346">
        <v>-0.23570000000000799</v>
      </c>
      <c r="AD5346">
        <v>-1.1130556515429999</v>
      </c>
      <c r="AE5346">
        <v>-12.946300000000001</v>
      </c>
      <c r="AF5346">
        <v>-2.79591874352439</v>
      </c>
      <c r="AG5346">
        <v>-1.1130556515429999</v>
      </c>
      <c r="AH5346">
        <v>12.545695917048601</v>
      </c>
      <c r="AI5346">
        <v>94.949224178287395</v>
      </c>
      <c r="AJ5346">
        <v>102.563559880661</v>
      </c>
      <c r="AK5346">
        <v>12.9015712433359</v>
      </c>
      <c r="AL5346">
        <v>67.818365004339498</v>
      </c>
      <c r="AM5346">
        <v>105.130584921462</v>
      </c>
      <c r="AN5346">
        <v>1.0000000044836601</v>
      </c>
    </row>
    <row r="5347" spans="1:40" x14ac:dyDescent="0.25">
      <c r="A5347" t="str">
        <f>"20190304164233834"</f>
        <v>20190304164233834</v>
      </c>
      <c r="B5347" t="str">
        <f>"1551688953826250"</f>
        <v>1551688953826250</v>
      </c>
      <c r="C5347" t="s">
        <v>40</v>
      </c>
      <c r="D5347">
        <v>4.1870089999999998</v>
      </c>
      <c r="E5347">
        <v>0.51917919999999995</v>
      </c>
      <c r="F5347" t="s">
        <v>42</v>
      </c>
      <c r="G5347">
        <v>-419.28609999999998</v>
      </c>
      <c r="H5347" s="1">
        <v>-3.3890899999999998E-7</v>
      </c>
      <c r="I5347">
        <v>100.03230000000001</v>
      </c>
      <c r="J5347">
        <v>-419.08550000000002</v>
      </c>
      <c r="K5347">
        <v>1.1130089999999999</v>
      </c>
      <c r="L5347">
        <v>113.4346</v>
      </c>
      <c r="M5347">
        <v>-0.23176450000000001</v>
      </c>
      <c r="N5347">
        <v>-1.178214E-2</v>
      </c>
      <c r="O5347">
        <v>-0.97270069999999997</v>
      </c>
      <c r="P5347">
        <v>2.627705E-2</v>
      </c>
      <c r="Q5347">
        <v>0.36686859999999999</v>
      </c>
      <c r="R5347">
        <v>-0.92990209999999995</v>
      </c>
      <c r="S5347">
        <v>-6.2591549999999996E-2</v>
      </c>
      <c r="T5347">
        <v>-0.27215909999999999</v>
      </c>
      <c r="U5347">
        <v>-3.3371729999999999</v>
      </c>
      <c r="V5347">
        <v>-0.2434133</v>
      </c>
      <c r="W5347">
        <v>0.37593840000000001</v>
      </c>
      <c r="X5347">
        <v>0.89410309999999904</v>
      </c>
      <c r="Y5347">
        <v>-0.2134115</v>
      </c>
      <c r="Z5347">
        <v>6.5304099999999907E-2</v>
      </c>
      <c r="AA5347">
        <v>0.97477729999999996</v>
      </c>
      <c r="AB5347">
        <v>26</v>
      </c>
      <c r="AC5347">
        <v>-0.20059999999995101</v>
      </c>
      <c r="AD5347">
        <v>-1.1130093389089999</v>
      </c>
      <c r="AE5347">
        <v>-13.402299999999901</v>
      </c>
      <c r="AF5347">
        <v>-2.8913193175635801</v>
      </c>
      <c r="AG5347">
        <v>-1.1130093389089999</v>
      </c>
      <c r="AH5347">
        <v>12.9942283307733</v>
      </c>
      <c r="AI5347">
        <v>94.7793492584197</v>
      </c>
      <c r="AJ5347">
        <v>102.54440824248501</v>
      </c>
      <c r="AK5347">
        <v>13.358461254833401</v>
      </c>
      <c r="AL5347">
        <v>67.917677235683001</v>
      </c>
      <c r="AM5347">
        <v>105.229289065665</v>
      </c>
      <c r="AN5347">
        <v>1.00000003432052</v>
      </c>
    </row>
    <row r="5348" spans="1:40" x14ac:dyDescent="0.25">
      <c r="A5348" t="str">
        <f>"20190304164233856"</f>
        <v>20190304164233856</v>
      </c>
      <c r="B5348" t="str">
        <f>"1551688953846750"</f>
        <v>1551688953846750</v>
      </c>
      <c r="C5348" t="s">
        <v>40</v>
      </c>
      <c r="D5348">
        <v>4.1704850000000002</v>
      </c>
      <c r="E5348">
        <v>0.51940640000000005</v>
      </c>
      <c r="F5348" t="s">
        <v>42</v>
      </c>
      <c r="G5348">
        <v>-419.27850000000001</v>
      </c>
      <c r="H5348" s="1">
        <v>-3.6269070000000003E-7</v>
      </c>
      <c r="I5348">
        <v>100.089</v>
      </c>
      <c r="J5348">
        <v>-419.14060000000001</v>
      </c>
      <c r="K5348">
        <v>1.112968</v>
      </c>
      <c r="L5348">
        <v>113.1862</v>
      </c>
      <c r="M5348">
        <v>-0.2283018</v>
      </c>
      <c r="N5348">
        <v>-1.17232E-2</v>
      </c>
      <c r="O5348">
        <v>-0.97351989999999999</v>
      </c>
      <c r="P5348">
        <v>3.1463199999999997E-2</v>
      </c>
      <c r="Q5348">
        <v>0.36586990000000003</v>
      </c>
      <c r="R5348">
        <v>-0.93013429999999997</v>
      </c>
      <c r="S5348">
        <v>-4.8278809999999998E-2</v>
      </c>
      <c r="T5348">
        <v>-0.27833069999999999</v>
      </c>
      <c r="U5348">
        <v>-3.3373409999999999</v>
      </c>
      <c r="V5348">
        <v>-0.245281</v>
      </c>
      <c r="W5348">
        <v>0.37489270000000002</v>
      </c>
      <c r="X5348">
        <v>0.89403169999999899</v>
      </c>
      <c r="Y5348">
        <v>-0.21411450000000001</v>
      </c>
      <c r="Z5348">
        <v>6.7186850000000006E-2</v>
      </c>
      <c r="AA5348">
        <v>0.97449520000000001</v>
      </c>
      <c r="AB5348">
        <v>26</v>
      </c>
      <c r="AC5348">
        <v>-0.13790000000000099</v>
      </c>
      <c r="AD5348">
        <v>-1.1129683626907001</v>
      </c>
      <c r="AE5348">
        <v>-13.097200000000001</v>
      </c>
      <c r="AF5348">
        <v>-2.83558795811564</v>
      </c>
      <c r="AG5348">
        <v>-1.1129683626907001</v>
      </c>
      <c r="AH5348">
        <v>12.6911104196083</v>
      </c>
      <c r="AI5348">
        <v>94.891818925518194</v>
      </c>
      <c r="AJ5348">
        <v>102.594791465171</v>
      </c>
      <c r="AK5348">
        <v>13.0515723699197</v>
      </c>
      <c r="AL5348">
        <v>67.982318639982495</v>
      </c>
      <c r="AM5348">
        <v>105.341824496661</v>
      </c>
      <c r="AN5348">
        <v>0.99999999303958897</v>
      </c>
    </row>
    <row r="5349" spans="1:40" x14ac:dyDescent="0.25">
      <c r="A5349" t="str">
        <f>"20190304164233872"</f>
        <v>20190304164233872</v>
      </c>
      <c r="B5349" t="str">
        <f>"1551688953866270"</f>
        <v>1551688953866270</v>
      </c>
      <c r="C5349" t="s">
        <v>40</v>
      </c>
      <c r="D5349">
        <v>4.2189030000000001</v>
      </c>
      <c r="E5349">
        <v>0.51962010000000003</v>
      </c>
      <c r="F5349" t="s">
        <v>42</v>
      </c>
      <c r="G5349">
        <v>-419.2713</v>
      </c>
      <c r="H5349" s="1">
        <v>-3.3466600000000001E-7</v>
      </c>
      <c r="I5349">
        <v>100.0111</v>
      </c>
      <c r="J5349">
        <v>-419.17899999999997</v>
      </c>
      <c r="K5349">
        <v>1.1129420000000001</v>
      </c>
      <c r="L5349">
        <v>113.0103</v>
      </c>
      <c r="M5349">
        <v>-0.2258743</v>
      </c>
      <c r="N5349">
        <v>-1.168281E-2</v>
      </c>
      <c r="O5349">
        <v>-0.97408640000000002</v>
      </c>
      <c r="P5349">
        <v>3.4077419999999997E-2</v>
      </c>
      <c r="Q5349">
        <v>0.36555149999999997</v>
      </c>
      <c r="R5349">
        <v>-0.93016710000000002</v>
      </c>
      <c r="S5349">
        <v>-3.311157E-2</v>
      </c>
      <c r="T5349">
        <v>-0.28192270000000003</v>
      </c>
      <c r="U5349">
        <v>-3.3373409999999999</v>
      </c>
      <c r="V5349">
        <v>-0.24557760000000001</v>
      </c>
      <c r="W5349">
        <v>0.37454690000000002</v>
      </c>
      <c r="X5349">
        <v>0.89409519999999998</v>
      </c>
      <c r="Y5349">
        <v>-0.21610550000000001</v>
      </c>
      <c r="Z5349">
        <v>6.828687E-2</v>
      </c>
      <c r="AA5349">
        <v>0.97397909999999999</v>
      </c>
      <c r="AB5349">
        <v>26</v>
      </c>
      <c r="AC5349">
        <v>-9.2299999999966006E-2</v>
      </c>
      <c r="AD5349">
        <v>-1.1129423346659999</v>
      </c>
      <c r="AE5349">
        <v>-12.9992</v>
      </c>
      <c r="AF5349">
        <v>-2.82575912765427</v>
      </c>
      <c r="AG5349">
        <v>-1.1129423346659999</v>
      </c>
      <c r="AH5349">
        <v>12.5917630646254</v>
      </c>
      <c r="AI5349">
        <v>94.929083094345003</v>
      </c>
      <c r="AJ5349">
        <v>102.64838393111501</v>
      </c>
      <c r="AK5349">
        <v>12.9528395482797</v>
      </c>
      <c r="AL5349">
        <v>68.003688326001296</v>
      </c>
      <c r="AM5349">
        <v>105.358461256442</v>
      </c>
      <c r="AN5349">
        <v>0.99999998229220399</v>
      </c>
    </row>
    <row r="5350" spans="1:40" x14ac:dyDescent="0.25">
      <c r="A5350" t="str">
        <f>"20190304164233889"</f>
        <v>20190304164233889</v>
      </c>
      <c r="B5350" t="str">
        <f>"1551688953886766"</f>
        <v>1551688953886766</v>
      </c>
      <c r="C5350" t="s">
        <v>40</v>
      </c>
      <c r="D5350">
        <v>4.1720100000000002</v>
      </c>
      <c r="E5350">
        <v>0.51976350000000004</v>
      </c>
      <c r="F5350" t="s">
        <v>42</v>
      </c>
      <c r="G5350">
        <v>-419.274</v>
      </c>
      <c r="H5350" s="1">
        <v>-3.0122640000000002E-7</v>
      </c>
      <c r="I5350">
        <v>99.925870000000003</v>
      </c>
      <c r="J5350">
        <v>-419.221</v>
      </c>
      <c r="K5350">
        <v>1.1129260000000001</v>
      </c>
      <c r="L5350">
        <v>112.8163</v>
      </c>
      <c r="M5350">
        <v>-0.2232092</v>
      </c>
      <c r="N5350">
        <v>-1.1638839999999999E-2</v>
      </c>
      <c r="O5350">
        <v>-0.97470129999999999</v>
      </c>
      <c r="P5350">
        <v>3.7764939999999997E-2</v>
      </c>
      <c r="Q5350">
        <v>0.36537629999999999</v>
      </c>
      <c r="R5350">
        <v>-0.93009370000000002</v>
      </c>
      <c r="S5350">
        <v>-2.4230959999999999E-2</v>
      </c>
      <c r="T5350">
        <v>-0.2838968</v>
      </c>
      <c r="U5350">
        <v>-3.3376769999999998</v>
      </c>
      <c r="V5350">
        <v>-0.2466835</v>
      </c>
      <c r="W5350">
        <v>0.37433119999999998</v>
      </c>
      <c r="X5350">
        <v>0.89388109999999998</v>
      </c>
      <c r="Y5350">
        <v>-0.21602730000000001</v>
      </c>
      <c r="Z5350">
        <v>6.8954459999999995E-2</v>
      </c>
      <c r="AA5350">
        <v>0.97394939999999997</v>
      </c>
      <c r="AB5350">
        <v>26</v>
      </c>
      <c r="AC5350">
        <v>-5.2999999999997202E-2</v>
      </c>
      <c r="AD5350">
        <v>-1.1129263012263999</v>
      </c>
      <c r="AE5350">
        <v>-12.89043</v>
      </c>
      <c r="AF5350">
        <v>-2.8048865020823301</v>
      </c>
      <c r="AG5350">
        <v>-1.1129263012263999</v>
      </c>
      <c r="AH5350">
        <v>12.4839425430833</v>
      </c>
      <c r="AI5350">
        <v>94.971089068487004</v>
      </c>
      <c r="AJ5350">
        <v>102.662906172584</v>
      </c>
      <c r="AK5350">
        <v>12.8434736212806</v>
      </c>
      <c r="AL5350">
        <v>68.017017251260697</v>
      </c>
      <c r="AM5350">
        <v>105.42785618158599</v>
      </c>
      <c r="AN5350">
        <v>1.00000000870145</v>
      </c>
    </row>
    <row r="5351" spans="1:40" x14ac:dyDescent="0.25">
      <c r="A5351" t="str">
        <f>"20190304164233912"</f>
        <v>20190304164233912</v>
      </c>
      <c r="B5351" t="str">
        <f>"1551688953906286"</f>
        <v>1551688953906286</v>
      </c>
      <c r="C5351" t="s">
        <v>40</v>
      </c>
      <c r="D5351">
        <v>4.2230049999999997</v>
      </c>
      <c r="E5351">
        <v>0.52012380000000003</v>
      </c>
      <c r="F5351" t="s">
        <v>42</v>
      </c>
      <c r="G5351">
        <v>-419.26409999999998</v>
      </c>
      <c r="H5351" s="1">
        <v>-2.3887340000000002E-7</v>
      </c>
      <c r="I5351">
        <v>99.756600000000006</v>
      </c>
      <c r="J5351">
        <v>-419.27789999999999</v>
      </c>
      <c r="K5351">
        <v>1.1129180000000001</v>
      </c>
      <c r="L5351">
        <v>112.5489</v>
      </c>
      <c r="M5351">
        <v>-0.2195512</v>
      </c>
      <c r="N5351">
        <v>-1.1576589999999999E-2</v>
      </c>
      <c r="O5351">
        <v>-0.97553250000000002</v>
      </c>
      <c r="P5351">
        <v>4.1855610000000001E-2</v>
      </c>
      <c r="Q5351">
        <v>0.3661951</v>
      </c>
      <c r="R5351">
        <v>-0.92959650000000005</v>
      </c>
      <c r="S5351">
        <v>-1.101685E-2</v>
      </c>
      <c r="T5351">
        <v>-0.2844294</v>
      </c>
      <c r="U5351">
        <v>-3.3376619999999999</v>
      </c>
      <c r="V5351">
        <v>-0.2471902</v>
      </c>
      <c r="W5351">
        <v>0.37509110000000001</v>
      </c>
      <c r="X5351">
        <v>0.89342239999999995</v>
      </c>
      <c r="Y5351">
        <v>-0.21622069999999999</v>
      </c>
      <c r="Z5351">
        <v>6.9265950000000007E-2</v>
      </c>
      <c r="AA5351">
        <v>0.97388439999999998</v>
      </c>
      <c r="AB5351">
        <v>26</v>
      </c>
      <c r="AC5351">
        <v>1.3800000000003299E-2</v>
      </c>
      <c r="AD5351">
        <v>-1.1129182388734</v>
      </c>
      <c r="AE5351">
        <v>-12.7922999999999</v>
      </c>
      <c r="AF5351">
        <v>-2.80101530327142</v>
      </c>
      <c r="AG5351">
        <v>-1.1129182388734</v>
      </c>
      <c r="AH5351">
        <v>12.3833804670357</v>
      </c>
      <c r="AI5351">
        <v>95.009600163207907</v>
      </c>
      <c r="AJ5351">
        <v>102.745344839419</v>
      </c>
      <c r="AK5351">
        <v>12.744896450224299</v>
      </c>
      <c r="AL5351">
        <v>67.9700555087975</v>
      </c>
      <c r="AM5351">
        <v>105.465588280313</v>
      </c>
      <c r="AN5351">
        <v>0.99999995654850404</v>
      </c>
    </row>
    <row r="5352" spans="1:40" x14ac:dyDescent="0.25">
      <c r="A5352" t="str">
        <f>"20190304164233927"</f>
        <v>20190304164233927</v>
      </c>
      <c r="B5352" t="str">
        <f>"1551688953916046"</f>
        <v>1551688953916046</v>
      </c>
      <c r="C5352" t="s">
        <v>40</v>
      </c>
      <c r="D5352">
        <v>4.3899039999999996</v>
      </c>
      <c r="E5352">
        <v>0.52032409999999996</v>
      </c>
      <c r="F5352" t="s">
        <v>42</v>
      </c>
      <c r="G5352">
        <v>-419.26900000000001</v>
      </c>
      <c r="H5352" s="1">
        <v>-4.3255049999999998E-6</v>
      </c>
      <c r="I5352">
        <v>99.413359999999997</v>
      </c>
      <c r="J5352">
        <v>-419.31229999999999</v>
      </c>
      <c r="K5352">
        <v>1.112908</v>
      </c>
      <c r="L5352">
        <v>112.3848</v>
      </c>
      <c r="M5352">
        <v>-0.2173098</v>
      </c>
      <c r="N5352">
        <v>-1.1536080000000001E-2</v>
      </c>
      <c r="O5352">
        <v>-0.97603470000000003</v>
      </c>
      <c r="P5352">
        <v>4.4106979999999997E-2</v>
      </c>
      <c r="Q5352">
        <v>0.36682920000000002</v>
      </c>
      <c r="R5352">
        <v>-0.92924229999999997</v>
      </c>
      <c r="S5352">
        <v>2.2583009999999999E-3</v>
      </c>
      <c r="T5352">
        <v>-0.28285860000000002</v>
      </c>
      <c r="U5352">
        <v>-3.3385159999999998</v>
      </c>
      <c r="V5352">
        <v>-0.24724950000000001</v>
      </c>
      <c r="W5352">
        <v>0.37568649999999998</v>
      </c>
      <c r="X5352">
        <v>0.8931559</v>
      </c>
      <c r="Y5352">
        <v>-0.21785119999999999</v>
      </c>
      <c r="Z5352">
        <v>6.8885180000000004E-2</v>
      </c>
      <c r="AA5352">
        <v>0.97354799999999997</v>
      </c>
      <c r="AB5352">
        <v>26</v>
      </c>
      <c r="AC5352">
        <v>4.3299999999987897E-2</v>
      </c>
      <c r="AD5352">
        <v>-1.112912325505</v>
      </c>
      <c r="AE5352">
        <v>-12.971439999999999</v>
      </c>
      <c r="AF5352">
        <v>-2.8403650946317498</v>
      </c>
      <c r="AG5352">
        <v>-1.112912325505</v>
      </c>
      <c r="AH5352">
        <v>12.559553920122299</v>
      </c>
      <c r="AI5352">
        <v>94.939696318069196</v>
      </c>
      <c r="AJ5352">
        <v>102.743178588215</v>
      </c>
      <c r="AK5352">
        <v>12.924729876772</v>
      </c>
      <c r="AL5352">
        <v>67.933252351900904</v>
      </c>
      <c r="AM5352">
        <v>105.473515283682</v>
      </c>
      <c r="AN5352">
        <v>1.00000006161865</v>
      </c>
    </row>
    <row r="5353" spans="1:40" x14ac:dyDescent="0.25">
      <c r="A5353" t="str">
        <f>"20190304164233946"</f>
        <v>20190304164233946</v>
      </c>
      <c r="B5353" t="str">
        <f>"1551688953936542"</f>
        <v>1551688953936542</v>
      </c>
      <c r="C5353" t="s">
        <v>40</v>
      </c>
      <c r="D5353">
        <v>4.2203150000000003</v>
      </c>
      <c r="E5353">
        <v>0.52066579999999996</v>
      </c>
      <c r="F5353" t="s">
        <v>42</v>
      </c>
      <c r="G5353">
        <v>-419.27330000000001</v>
      </c>
      <c r="H5353" s="1">
        <v>-4.1816680000000001E-6</v>
      </c>
      <c r="I5353">
        <v>99.079849999999993</v>
      </c>
      <c r="J5353">
        <v>-419.3569</v>
      </c>
      <c r="K5353">
        <v>1.1128960000000001</v>
      </c>
      <c r="L5353">
        <v>112.1696</v>
      </c>
      <c r="M5353">
        <v>-0.21437120000000001</v>
      </c>
      <c r="N5353">
        <v>-1.147928E-2</v>
      </c>
      <c r="O5353">
        <v>-0.97668500000000003</v>
      </c>
      <c r="P5353">
        <v>4.6770289999999999E-2</v>
      </c>
      <c r="Q5353">
        <v>0.36715199999999998</v>
      </c>
      <c r="R5353">
        <v>-0.92898460000000005</v>
      </c>
      <c r="S5353">
        <v>9.7961430000000002E-3</v>
      </c>
      <c r="T5353">
        <v>-0.27922940000000002</v>
      </c>
      <c r="U5353">
        <v>-3.3382109999999998</v>
      </c>
      <c r="V5353">
        <v>-0.2470966</v>
      </c>
      <c r="W5353">
        <v>0.37595780000000001</v>
      </c>
      <c r="X5353">
        <v>0.89308399999999999</v>
      </c>
      <c r="Y5353">
        <v>-0.217115</v>
      </c>
      <c r="Z5353">
        <v>6.8008579999999999E-2</v>
      </c>
      <c r="AA5353">
        <v>0.97377409999999998</v>
      </c>
      <c r="AB5353">
        <v>26</v>
      </c>
      <c r="AC5353">
        <v>8.3599999999989905E-2</v>
      </c>
      <c r="AD5353">
        <v>-1.112900181668</v>
      </c>
      <c r="AE5353">
        <v>-13.08975</v>
      </c>
      <c r="AF5353">
        <v>-2.8671813734110598</v>
      </c>
      <c r="AG5353">
        <v>-1.112900181668</v>
      </c>
      <c r="AH5353">
        <v>12.6758558822608</v>
      </c>
      <c r="AI5353">
        <v>94.894499732060098</v>
      </c>
      <c r="AJ5353">
        <v>102.74539050446801</v>
      </c>
      <c r="AK5353">
        <v>13.0436420600321</v>
      </c>
      <c r="AL5353">
        <v>67.916477230156403</v>
      </c>
      <c r="AM5353">
        <v>105.46558993632701</v>
      </c>
      <c r="AN5353">
        <v>1.00000001408419</v>
      </c>
    </row>
    <row r="5354" spans="1:40" x14ac:dyDescent="0.25">
      <c r="A5354" t="str">
        <f>"20190304164233968"</f>
        <v>20190304164233968</v>
      </c>
      <c r="B5354" t="str">
        <f>"1551688953956652"</f>
        <v>1551688953956652</v>
      </c>
      <c r="C5354" t="s">
        <v>40</v>
      </c>
      <c r="D5354">
        <v>4.239058</v>
      </c>
      <c r="E5354">
        <v>0.52110029999999996</v>
      </c>
      <c r="F5354" t="s">
        <v>42</v>
      </c>
      <c r="G5354">
        <v>-419.28820000000002</v>
      </c>
      <c r="H5354" s="1">
        <v>-4.0402790000000001E-6</v>
      </c>
      <c r="I5354">
        <v>98.756450000000001</v>
      </c>
      <c r="J5354">
        <v>-419.40699999999998</v>
      </c>
      <c r="K5354">
        <v>1.112894</v>
      </c>
      <c r="L5354">
        <v>111.9234</v>
      </c>
      <c r="M5354">
        <v>-0.21100630000000001</v>
      </c>
      <c r="N5354">
        <v>-1.140937E-2</v>
      </c>
      <c r="O5354">
        <v>-0.97741820000000001</v>
      </c>
      <c r="P5354">
        <v>4.8720689999999997E-2</v>
      </c>
      <c r="Q5354">
        <v>0.36707889999999999</v>
      </c>
      <c r="R5354">
        <v>-0.92891330000000005</v>
      </c>
      <c r="S5354">
        <v>1.7089839999999999E-2</v>
      </c>
      <c r="T5354">
        <v>-0.27695049999999999</v>
      </c>
      <c r="U5354">
        <v>-3.3379210000000001</v>
      </c>
      <c r="V5354">
        <v>-0.2458989</v>
      </c>
      <c r="W5354">
        <v>0.37583090000000002</v>
      </c>
      <c r="X5354">
        <v>0.89346789999999998</v>
      </c>
      <c r="Y5354">
        <v>-0.21588399999999999</v>
      </c>
      <c r="Z5354">
        <v>6.753932E-2</v>
      </c>
      <c r="AA5354">
        <v>0.97408039999999996</v>
      </c>
      <c r="AB5354">
        <v>26</v>
      </c>
      <c r="AC5354">
        <v>0.118799999999964</v>
      </c>
      <c r="AD5354">
        <v>-1.1128980402789901</v>
      </c>
      <c r="AE5354">
        <v>-13.16695</v>
      </c>
      <c r="AF5354">
        <v>-2.8740841100738899</v>
      </c>
      <c r="AG5354">
        <v>-1.1128980402789901</v>
      </c>
      <c r="AH5354">
        <v>12.754275119270099</v>
      </c>
      <c r="AI5354">
        <v>94.865425168402496</v>
      </c>
      <c r="AJ5354">
        <v>102.69907688159</v>
      </c>
      <c r="AK5354">
        <v>13.121373226071601</v>
      </c>
      <c r="AL5354">
        <v>67.924323426293199</v>
      </c>
      <c r="AM5354">
        <v>105.38788981598</v>
      </c>
      <c r="AN5354">
        <v>1.0000000113732099</v>
      </c>
    </row>
    <row r="5355" spans="1:40" x14ac:dyDescent="0.25">
      <c r="A5355" t="str">
        <f>"20190304164233991"</f>
        <v>20190304164233991</v>
      </c>
      <c r="B5355" t="str">
        <f>"1551688953986908"</f>
        <v>1551688953986908</v>
      </c>
      <c r="C5355" t="s">
        <v>40</v>
      </c>
      <c r="D5355">
        <v>4.2736169999999998</v>
      </c>
      <c r="E5355">
        <v>0.52145280000000005</v>
      </c>
      <c r="F5355" t="s">
        <v>42</v>
      </c>
      <c r="G5355">
        <v>-419.3184</v>
      </c>
      <c r="H5355" s="1">
        <v>-3.946952E-6</v>
      </c>
      <c r="I5355">
        <v>98.551379999999995</v>
      </c>
      <c r="J5355">
        <v>-419.45929999999998</v>
      </c>
      <c r="K5355">
        <v>1.1128849999999999</v>
      </c>
      <c r="L5355">
        <v>111.66200000000001</v>
      </c>
      <c r="M5355">
        <v>-0.207427</v>
      </c>
      <c r="N5355">
        <v>-1.132993E-2</v>
      </c>
      <c r="O5355">
        <v>-0.97818490000000002</v>
      </c>
      <c r="P5355">
        <v>5.0465900000000001E-2</v>
      </c>
      <c r="Q5355">
        <v>0.36637599999999998</v>
      </c>
      <c r="R5355">
        <v>-0.92909739999999996</v>
      </c>
      <c r="S5355">
        <v>2.2125240000000001E-2</v>
      </c>
      <c r="T5355">
        <v>-0.27782560000000001</v>
      </c>
      <c r="U5355">
        <v>-3.3382109999999998</v>
      </c>
      <c r="V5355">
        <v>-0.2443563</v>
      </c>
      <c r="W5355">
        <v>0.3750713</v>
      </c>
      <c r="X5355">
        <v>0.89420999999999995</v>
      </c>
      <c r="Y5355">
        <v>-0.21377979999999999</v>
      </c>
      <c r="Z5355">
        <v>6.7971899999999905E-2</v>
      </c>
      <c r="AA5355">
        <v>0.9745142</v>
      </c>
      <c r="AB5355">
        <v>26</v>
      </c>
      <c r="AC5355">
        <v>0.14089999999998701</v>
      </c>
      <c r="AD5355">
        <v>-1.112888946952</v>
      </c>
      <c r="AE5355">
        <v>-13.1106199999999</v>
      </c>
      <c r="AF5355">
        <v>-2.8370664054533901</v>
      </c>
      <c r="AG5355">
        <v>-1.112888946952</v>
      </c>
      <c r="AH5355">
        <v>12.704673719860899</v>
      </c>
      <c r="AI5355">
        <v>94.886401188540404</v>
      </c>
      <c r="AJ5355">
        <v>102.588124786984</v>
      </c>
      <c r="AK5355">
        <v>13.065075657083799</v>
      </c>
      <c r="AL5355">
        <v>67.971280384271907</v>
      </c>
      <c r="AM5355">
        <v>105.283791583853</v>
      </c>
      <c r="AN5355">
        <v>1.00000000276669</v>
      </c>
    </row>
    <row r="5356" spans="1:40" x14ac:dyDescent="0.25">
      <c r="A5356" t="str">
        <f>"20190304164234013"</f>
        <v>20190304164234013</v>
      </c>
      <c r="B5356" t="str">
        <f>"1551688954006427"</f>
        <v>1551688954006427</v>
      </c>
      <c r="C5356" t="s">
        <v>40</v>
      </c>
      <c r="D5356">
        <v>4.2704040000000001</v>
      </c>
      <c r="E5356">
        <v>0.52198339999999999</v>
      </c>
      <c r="F5356" t="s">
        <v>42</v>
      </c>
      <c r="G5356">
        <v>-419.35489999999999</v>
      </c>
      <c r="H5356" s="1">
        <v>-3.8849940000000003E-6</v>
      </c>
      <c r="I5356">
        <v>98.422070000000005</v>
      </c>
      <c r="J5356">
        <v>-419.50850000000003</v>
      </c>
      <c r="K5356">
        <v>1.112886</v>
      </c>
      <c r="L5356">
        <v>111.4111</v>
      </c>
      <c r="M5356">
        <v>-0.203983</v>
      </c>
      <c r="N5356">
        <v>-1.124878E-2</v>
      </c>
      <c r="O5356">
        <v>-0.9789099</v>
      </c>
      <c r="P5356">
        <v>5.2169649999999998E-2</v>
      </c>
      <c r="Q5356">
        <v>0.36556549999999999</v>
      </c>
      <c r="R5356">
        <v>-0.9293228</v>
      </c>
      <c r="S5356">
        <v>2.630615E-2</v>
      </c>
      <c r="T5356">
        <v>-0.28059020000000001</v>
      </c>
      <c r="U5356">
        <v>-3.338165</v>
      </c>
      <c r="V5356">
        <v>-0.2429057</v>
      </c>
      <c r="W5356">
        <v>0.37420249999999999</v>
      </c>
      <c r="X5356">
        <v>0.89496889999999996</v>
      </c>
      <c r="Y5356">
        <v>-0.21156230000000001</v>
      </c>
      <c r="Z5356">
        <v>6.8947410000000001E-2</v>
      </c>
      <c r="AA5356">
        <v>0.97492959999999995</v>
      </c>
      <c r="AB5356">
        <v>26</v>
      </c>
      <c r="AC5356">
        <v>0.15360000000003901</v>
      </c>
      <c r="AD5356">
        <v>-1.1128898849940001</v>
      </c>
      <c r="AE5356">
        <v>-12.98903</v>
      </c>
      <c r="AF5356">
        <v>-2.7796762092598901</v>
      </c>
      <c r="AG5356">
        <v>-1.1128898849940001</v>
      </c>
      <c r="AH5356">
        <v>12.592134574395301</v>
      </c>
      <c r="AI5356">
        <v>94.932521991722396</v>
      </c>
      <c r="AJ5356">
        <v>102.44823739260799</v>
      </c>
      <c r="AK5356">
        <v>12.9432212707706</v>
      </c>
      <c r="AL5356">
        <v>68.024969207883601</v>
      </c>
      <c r="AM5356">
        <v>105.18497684206</v>
      </c>
      <c r="AN5356">
        <v>1.0000000110329701</v>
      </c>
    </row>
    <row r="5357" spans="1:40" x14ac:dyDescent="0.25">
      <c r="A5357" t="str">
        <f>"20190304164234027"</f>
        <v>20190304164234027</v>
      </c>
      <c r="B5357" t="str">
        <f>"1551688954016188"</f>
        <v>1551688954016188</v>
      </c>
      <c r="C5357" t="s">
        <v>40</v>
      </c>
      <c r="D5357">
        <v>4.2764069999999998</v>
      </c>
      <c r="E5357">
        <v>0.52214119999999997</v>
      </c>
      <c r="F5357" t="s">
        <v>42</v>
      </c>
      <c r="G5357">
        <v>-419.40219999999999</v>
      </c>
      <c r="H5357" s="1">
        <v>-3.8535749999999998E-6</v>
      </c>
      <c r="I5357">
        <v>98.368359999999996</v>
      </c>
      <c r="J5357">
        <v>-419.5419</v>
      </c>
      <c r="K5357">
        <v>1.112879</v>
      </c>
      <c r="L5357">
        <v>111.2384</v>
      </c>
      <c r="M5357">
        <v>-0.20161129999999999</v>
      </c>
      <c r="N5357">
        <v>-1.119032E-2</v>
      </c>
      <c r="O5357">
        <v>-0.97940170000000004</v>
      </c>
      <c r="P5357">
        <v>5.3719179999999998E-2</v>
      </c>
      <c r="Q5357">
        <v>0.36552810000000002</v>
      </c>
      <c r="R5357">
        <v>-0.92924899999999999</v>
      </c>
      <c r="S5357">
        <v>2.7221680000000002E-2</v>
      </c>
      <c r="T5357">
        <v>-0.28487849999999998</v>
      </c>
      <c r="U5357">
        <v>-3.3386840000000002</v>
      </c>
      <c r="V5357">
        <v>-0.24223169999999999</v>
      </c>
      <c r="W5357">
        <v>0.37411759999999999</v>
      </c>
      <c r="X5357">
        <v>0.89518699999999995</v>
      </c>
      <c r="Y5357">
        <v>-0.20946010000000001</v>
      </c>
      <c r="Z5357">
        <v>7.0292430000000003E-2</v>
      </c>
      <c r="AA5357">
        <v>0.97528740000000003</v>
      </c>
      <c r="AB5357">
        <v>26</v>
      </c>
      <c r="AC5357">
        <v>0.13970000000000399</v>
      </c>
      <c r="AD5357">
        <v>-1.1128828535749999</v>
      </c>
      <c r="AE5357">
        <v>-12.870039999999999</v>
      </c>
      <c r="AF5357">
        <v>-2.7114671179640499</v>
      </c>
      <c r="AG5357">
        <v>-1.1128828535749999</v>
      </c>
      <c r="AH5357">
        <v>12.4842252215043</v>
      </c>
      <c r="AI5357">
        <v>94.978591513132798</v>
      </c>
      <c r="AJ5357">
        <v>102.253839810567</v>
      </c>
      <c r="AK5357">
        <v>12.823667242985699</v>
      </c>
      <c r="AL5357">
        <v>68.030213677388303</v>
      </c>
      <c r="AM5357">
        <v>105.14125992220799</v>
      </c>
      <c r="AN5357">
        <v>0.99999997004182395</v>
      </c>
    </row>
    <row r="5358" spans="1:40" x14ac:dyDescent="0.25">
      <c r="A5358" t="str">
        <f>"20190304164234046"</f>
        <v>20190304164234046</v>
      </c>
      <c r="B5358" t="str">
        <f>"1551688954036684"</f>
        <v>1551688954036684</v>
      </c>
      <c r="C5358" t="s">
        <v>40</v>
      </c>
      <c r="D5358">
        <v>4.2684470000000001</v>
      </c>
      <c r="E5358">
        <v>0.52247520000000003</v>
      </c>
      <c r="F5358" t="s">
        <v>42</v>
      </c>
      <c r="G5358">
        <v>-419.42259999999999</v>
      </c>
      <c r="H5358" s="1">
        <v>-3.7884259999999999E-6</v>
      </c>
      <c r="I5358">
        <v>98.224950000000007</v>
      </c>
      <c r="J5358">
        <v>-419.58</v>
      </c>
      <c r="K5358">
        <v>1.112876</v>
      </c>
      <c r="L5358">
        <v>111.0385</v>
      </c>
      <c r="M5358">
        <v>-0.19886599999999999</v>
      </c>
      <c r="N5358">
        <v>-1.112085E-2</v>
      </c>
      <c r="O5358">
        <v>-0.97996380000000005</v>
      </c>
      <c r="P5358">
        <v>5.4349170000000002E-2</v>
      </c>
      <c r="Q5358">
        <v>0.36592590000000003</v>
      </c>
      <c r="R5358">
        <v>-0.92905610000000005</v>
      </c>
      <c r="S5358">
        <v>3.0609129999999998E-2</v>
      </c>
      <c r="T5358">
        <v>-0.28554239999999997</v>
      </c>
      <c r="U5358">
        <v>-3.3389739999999999</v>
      </c>
      <c r="V5358">
        <v>-0.24029339999999999</v>
      </c>
      <c r="W5358">
        <v>0.3744673</v>
      </c>
      <c r="X5358">
        <v>0.89556309999999995</v>
      </c>
      <c r="Y5358">
        <v>-0.2077098</v>
      </c>
      <c r="Z5358">
        <v>7.0629479999999994E-2</v>
      </c>
      <c r="AA5358">
        <v>0.97563730000000004</v>
      </c>
      <c r="AB5358">
        <v>26</v>
      </c>
      <c r="AC5358">
        <v>0.15739999999999499</v>
      </c>
      <c r="AD5358">
        <v>-1.112879788426</v>
      </c>
      <c r="AE5358">
        <v>-12.8135499999999</v>
      </c>
      <c r="AF5358">
        <v>-2.68236167983873</v>
      </c>
      <c r="AG5358">
        <v>-1.112879788426</v>
      </c>
      <c r="AH5358">
        <v>12.432518443842801</v>
      </c>
      <c r="AI5358">
        <v>95.000658010444297</v>
      </c>
      <c r="AJ5358">
        <v>102.175148854694</v>
      </c>
      <c r="AK5358">
        <v>12.7671876488695</v>
      </c>
      <c r="AL5358">
        <v>68.008606783318399</v>
      </c>
      <c r="AM5358">
        <v>105.01957652460401</v>
      </c>
      <c r="AN5358">
        <v>0.99999997146722897</v>
      </c>
    </row>
    <row r="5359" spans="1:40" x14ac:dyDescent="0.25">
      <c r="A5359" t="str">
        <f>"20190304164234060"</f>
        <v>20190304164234060</v>
      </c>
      <c r="B5359" t="str">
        <f>"1551688954056790"</f>
        <v>1551688954056790</v>
      </c>
      <c r="C5359" t="s">
        <v>40</v>
      </c>
      <c r="D5359">
        <v>4.2840959999999999</v>
      </c>
      <c r="E5359">
        <v>0.52264889999999997</v>
      </c>
      <c r="F5359" t="s">
        <v>42</v>
      </c>
      <c r="G5359">
        <v>-419.46550000000002</v>
      </c>
      <c r="H5359" s="1">
        <v>-3.6727239999999998E-6</v>
      </c>
      <c r="I5359">
        <v>97.972980000000007</v>
      </c>
      <c r="J5359">
        <v>-419.61259999999999</v>
      </c>
      <c r="K5359">
        <v>1.1128640000000001</v>
      </c>
      <c r="L5359">
        <v>110.86490000000001</v>
      </c>
      <c r="M5359">
        <v>-0.1964863</v>
      </c>
      <c r="N5359">
        <v>-1.106124E-2</v>
      </c>
      <c r="O5359">
        <v>-0.98044430000000005</v>
      </c>
      <c r="P5359">
        <v>5.5447950000000003E-2</v>
      </c>
      <c r="Q5359">
        <v>0.36645</v>
      </c>
      <c r="R5359">
        <v>-0.92878439999999995</v>
      </c>
      <c r="S5359">
        <v>2.9266360000000002E-2</v>
      </c>
      <c r="T5359">
        <v>-0.28444039999999998</v>
      </c>
      <c r="U5359">
        <v>-3.3394010000000001</v>
      </c>
      <c r="V5359">
        <v>-0.23913570000000001</v>
      </c>
      <c r="W5359">
        <v>0.37494569999999999</v>
      </c>
      <c r="X5359">
        <v>0.89567289999999899</v>
      </c>
      <c r="Y5359">
        <v>-0.20494380000000001</v>
      </c>
      <c r="Z5359">
        <v>7.0451760000000002E-2</v>
      </c>
      <c r="AA5359">
        <v>0.97623490000000002</v>
      </c>
      <c r="AB5359">
        <v>26</v>
      </c>
      <c r="AC5359">
        <v>0.14709999999996601</v>
      </c>
      <c r="AD5359">
        <v>-1.1128676727239999</v>
      </c>
      <c r="AE5359">
        <v>-12.891920000000001</v>
      </c>
      <c r="AF5359">
        <v>-2.65767106401068</v>
      </c>
      <c r="AG5359">
        <v>-1.1128676727239999</v>
      </c>
      <c r="AH5359">
        <v>12.518405858001399</v>
      </c>
      <c r="AI5359">
        <v>94.969960321711</v>
      </c>
      <c r="AJ5359">
        <v>101.98599392736401</v>
      </c>
      <c r="AK5359">
        <v>12.8457064876603</v>
      </c>
      <c r="AL5359">
        <v>67.979044407714895</v>
      </c>
      <c r="AM5359">
        <v>104.948711051042</v>
      </c>
      <c r="AN5359">
        <v>1.0000000523786901</v>
      </c>
    </row>
    <row r="5360" spans="1:40" x14ac:dyDescent="0.25">
      <c r="A5360" t="str">
        <f>"20190304164234074"</f>
        <v>20190304164234074</v>
      </c>
      <c r="B5360" t="str">
        <f>"1551688954066550"</f>
        <v>1551688954066550</v>
      </c>
      <c r="C5360" t="s">
        <v>40</v>
      </c>
      <c r="D5360">
        <v>4.2699319999999998</v>
      </c>
      <c r="E5360">
        <v>0.52844599999999997</v>
      </c>
      <c r="F5360" t="s">
        <v>42</v>
      </c>
      <c r="G5360">
        <v>-419.4862</v>
      </c>
      <c r="H5360" s="1">
        <v>-3.5637420000000002E-6</v>
      </c>
      <c r="I5360">
        <v>97.727509999999995</v>
      </c>
      <c r="J5360">
        <v>-419.64190000000002</v>
      </c>
      <c r="K5360">
        <v>1.112851</v>
      </c>
      <c r="L5360">
        <v>110.7068</v>
      </c>
      <c r="M5360">
        <v>-0.19432659999999999</v>
      </c>
      <c r="N5360">
        <v>-1.100747E-2</v>
      </c>
      <c r="O5360">
        <v>-0.98087519999999995</v>
      </c>
      <c r="P5360">
        <v>5.6601489999999997E-2</v>
      </c>
      <c r="Q5360">
        <v>0.3666143</v>
      </c>
      <c r="R5360">
        <v>-0.92864990000000003</v>
      </c>
      <c r="S5360">
        <v>3.2135009999999999E-2</v>
      </c>
      <c r="T5360">
        <v>-0.28291119999999997</v>
      </c>
      <c r="U5360">
        <v>-3.3397519999999998</v>
      </c>
      <c r="V5360">
        <v>-0.2382582</v>
      </c>
      <c r="W5360">
        <v>0.37506990000000001</v>
      </c>
      <c r="X5360">
        <v>0.895854699999999</v>
      </c>
      <c r="Y5360">
        <v>-0.2036279</v>
      </c>
      <c r="Z5360">
        <v>7.0126399999999894E-2</v>
      </c>
      <c r="AA5360">
        <v>0.97653369999999995</v>
      </c>
      <c r="AB5360">
        <v>26</v>
      </c>
      <c r="AC5360">
        <v>0.15570000000002401</v>
      </c>
      <c r="AD5360">
        <v>-1.112854563742</v>
      </c>
      <c r="AE5360">
        <v>-12.979290000000001</v>
      </c>
      <c r="AF5360">
        <v>-2.6555857488137402</v>
      </c>
      <c r="AG5360">
        <v>-1.112854563742</v>
      </c>
      <c r="AH5360">
        <v>12.608894846640201</v>
      </c>
      <c r="AI5360">
        <v>94.936090640455404</v>
      </c>
      <c r="AJ5360">
        <v>101.89336411429301</v>
      </c>
      <c r="AK5360">
        <v>12.933476338671399</v>
      </c>
      <c r="AL5360">
        <v>67.971367352821602</v>
      </c>
      <c r="AM5360">
        <v>104.89341151158899</v>
      </c>
      <c r="AN5360">
        <v>1.0000000216326601</v>
      </c>
    </row>
    <row r="5361" spans="1:40" x14ac:dyDescent="0.25">
      <c r="A5361" t="str">
        <f>"20190304164234091"</f>
        <v>20190304164234091</v>
      </c>
      <c r="B5361" t="str">
        <f>"1551688954087046"</f>
        <v>1551688954087046</v>
      </c>
      <c r="C5361" t="s">
        <v>40</v>
      </c>
      <c r="D5361">
        <v>4.284421</v>
      </c>
      <c r="E5361">
        <v>0.52842100000000003</v>
      </c>
      <c r="F5361" t="s">
        <v>42</v>
      </c>
      <c r="G5361">
        <v>-419.67840000000001</v>
      </c>
      <c r="H5361" s="1">
        <v>-3.7098550000000001E-6</v>
      </c>
      <c r="I5361">
        <v>98.147570000000002</v>
      </c>
      <c r="J5361">
        <v>-419.6773</v>
      </c>
      <c r="K5361">
        <v>1.1128370000000001</v>
      </c>
      <c r="L5361">
        <v>110.5133</v>
      </c>
      <c r="M5361">
        <v>-0.19169420000000001</v>
      </c>
      <c r="N5361">
        <v>-1.0942800000000001E-2</v>
      </c>
      <c r="O5361">
        <v>-0.98139379999999998</v>
      </c>
      <c r="P5361">
        <v>5.7522450000000003E-2</v>
      </c>
      <c r="Q5361">
        <v>0.36720710000000001</v>
      </c>
      <c r="R5361">
        <v>-0.9283593</v>
      </c>
      <c r="S5361">
        <v>-9.7351069999999998E-3</v>
      </c>
      <c r="T5361">
        <v>-0.29668099999999997</v>
      </c>
      <c r="U5361">
        <v>-3.3482210000000001</v>
      </c>
      <c r="V5361">
        <v>-0.2366888</v>
      </c>
      <c r="W5361">
        <v>0.37561929999999999</v>
      </c>
      <c r="X5361">
        <v>0.89604050000000002</v>
      </c>
      <c r="Y5361">
        <v>-0.1887491</v>
      </c>
      <c r="Z5361">
        <v>7.4115E-2</v>
      </c>
      <c r="AA5361">
        <v>0.9792246</v>
      </c>
      <c r="AB5361">
        <v>26</v>
      </c>
      <c r="AC5361">
        <v>-1.1000000000080899E-3</v>
      </c>
      <c r="AD5361">
        <v>-1.1128407098549999</v>
      </c>
      <c r="AE5361">
        <v>-12.365729999999999</v>
      </c>
      <c r="AF5361">
        <v>-2.3504646218023799</v>
      </c>
      <c r="AG5361">
        <v>-1.1128407098549999</v>
      </c>
      <c r="AH5361">
        <v>12.039083626455501</v>
      </c>
      <c r="AI5361">
        <v>95.183841850418702</v>
      </c>
      <c r="AJ5361">
        <v>101.047244483451</v>
      </c>
      <c r="AK5361">
        <v>12.3167622753971</v>
      </c>
      <c r="AL5361">
        <v>67.9374057560333</v>
      </c>
      <c r="AM5361">
        <v>104.79669390125299</v>
      </c>
      <c r="AN5361">
        <v>1.00000001210909</v>
      </c>
    </row>
    <row r="5362" spans="1:40" x14ac:dyDescent="0.25">
      <c r="A5362" t="str">
        <f>"20190304164234113"</f>
        <v>20190304164234113</v>
      </c>
      <c r="B5362" t="str">
        <f>"1551688954106565"</f>
        <v>1551688954106565</v>
      </c>
      <c r="C5362" t="s">
        <v>40</v>
      </c>
      <c r="D5362">
        <v>4.6181729999999996</v>
      </c>
      <c r="E5362">
        <v>0.52846939999999998</v>
      </c>
      <c r="F5362" t="s">
        <v>42</v>
      </c>
      <c r="G5362">
        <v>-419.70780000000002</v>
      </c>
      <c r="H5362" s="1">
        <v>-3.613163E-6</v>
      </c>
      <c r="I5362">
        <v>97.93432</v>
      </c>
      <c r="J5362">
        <v>-419.72289999999998</v>
      </c>
      <c r="K5362">
        <v>1.1128169999999999</v>
      </c>
      <c r="L5362">
        <v>110.2598</v>
      </c>
      <c r="M5362">
        <v>-0.18827540000000001</v>
      </c>
      <c r="N5362">
        <v>-1.0862190000000001E-2</v>
      </c>
      <c r="O5362">
        <v>-0.98205609999999999</v>
      </c>
      <c r="P5362">
        <v>5.8828610000000003E-2</v>
      </c>
      <c r="Q5362">
        <v>0.3684539</v>
      </c>
      <c r="R5362">
        <v>-0.92778289999999997</v>
      </c>
      <c r="S5362">
        <v>-8.1176759999999903E-3</v>
      </c>
      <c r="T5362">
        <v>-0.29629929999999999</v>
      </c>
      <c r="U5362">
        <v>-3.3492130000000002</v>
      </c>
      <c r="V5362">
        <v>-0.23472129999999999</v>
      </c>
      <c r="W5362">
        <v>0.37681350000000002</v>
      </c>
      <c r="X5362">
        <v>0.89605669999999904</v>
      </c>
      <c r="Y5362">
        <v>-0.185805</v>
      </c>
      <c r="Z5362">
        <v>7.4173240000000001E-2</v>
      </c>
      <c r="AA5362">
        <v>0.97978310000000002</v>
      </c>
      <c r="AB5362">
        <v>26</v>
      </c>
      <c r="AC5362">
        <v>1.50999999999612E-2</v>
      </c>
      <c r="AD5362">
        <v>-1.1128206131629901</v>
      </c>
      <c r="AE5362">
        <v>-12.325480000000001</v>
      </c>
      <c r="AF5362">
        <v>-2.3166672412784401</v>
      </c>
      <c r="AG5362">
        <v>-1.1128206131629901</v>
      </c>
      <c r="AH5362">
        <v>12.0043307557495</v>
      </c>
      <c r="AI5362">
        <v>95.200850475223703</v>
      </c>
      <c r="AJ5362">
        <v>100.922998020487</v>
      </c>
      <c r="AK5362">
        <v>12.276370543337601</v>
      </c>
      <c r="AL5362">
        <v>67.863558667734395</v>
      </c>
      <c r="AM5362">
        <v>104.678773651832</v>
      </c>
      <c r="AN5362">
        <v>1.0000000560354101</v>
      </c>
    </row>
    <row r="5363" spans="1:40" x14ac:dyDescent="0.25">
      <c r="A5363" t="str">
        <f>"20190304164234135"</f>
        <v>20190304164234135</v>
      </c>
      <c r="B5363" t="str">
        <f>"1551688954126085"</f>
        <v>1551688954126085</v>
      </c>
      <c r="C5363" t="s">
        <v>40</v>
      </c>
      <c r="D5363">
        <v>4.2667549999999999</v>
      </c>
      <c r="E5363">
        <v>0.52865859999999998</v>
      </c>
      <c r="F5363" t="s">
        <v>42</v>
      </c>
      <c r="G5363">
        <v>-419.75229999999999</v>
      </c>
      <c r="H5363" s="1">
        <v>-3.4014000000000002E-6</v>
      </c>
      <c r="I5363">
        <v>97.459090000000003</v>
      </c>
      <c r="J5363">
        <v>-419.76710000000003</v>
      </c>
      <c r="K5363">
        <v>1.1127940000000001</v>
      </c>
      <c r="L5363">
        <v>110.0097</v>
      </c>
      <c r="M5363">
        <v>-0.1849413</v>
      </c>
      <c r="N5363">
        <v>-1.078635E-2</v>
      </c>
      <c r="O5363">
        <v>-0.98269050000000002</v>
      </c>
      <c r="P5363">
        <v>6.1292720000000002E-2</v>
      </c>
      <c r="Q5363">
        <v>0.37127480000000002</v>
      </c>
      <c r="R5363">
        <v>-0.92649820000000005</v>
      </c>
      <c r="S5363">
        <v>-7.6904299999999998E-3</v>
      </c>
      <c r="T5363">
        <v>-0.2911975</v>
      </c>
      <c r="U5363">
        <v>-3.34964</v>
      </c>
      <c r="V5363">
        <v>-0.23384579999999999</v>
      </c>
      <c r="W5363">
        <v>0.3795733</v>
      </c>
      <c r="X5363">
        <v>0.89512029999999998</v>
      </c>
      <c r="Y5363">
        <v>-0.1825987</v>
      </c>
      <c r="Z5363">
        <v>7.2892429999999994E-2</v>
      </c>
      <c r="AA5363">
        <v>0.98048170000000001</v>
      </c>
      <c r="AB5363">
        <v>26</v>
      </c>
      <c r="AC5363">
        <v>1.4800000000036499E-2</v>
      </c>
      <c r="AD5363">
        <v>-1.1127974013999999</v>
      </c>
      <c r="AE5363">
        <v>-12.550609999999899</v>
      </c>
      <c r="AF5363">
        <v>-2.3175859862716801</v>
      </c>
      <c r="AG5363">
        <v>-1.1127974013999999</v>
      </c>
      <c r="AH5363">
        <v>12.2351579977545</v>
      </c>
      <c r="AI5363">
        <v>95.106488810657694</v>
      </c>
      <c r="AJ5363">
        <v>100.725900649449</v>
      </c>
      <c r="AK5363">
        <v>12.5023443437757</v>
      </c>
      <c r="AL5363">
        <v>67.692746785609302</v>
      </c>
      <c r="AM5363">
        <v>104.64101819396301</v>
      </c>
      <c r="AN5363">
        <v>1.0000000498613</v>
      </c>
    </row>
    <row r="5364" spans="1:40" x14ac:dyDescent="0.25">
      <c r="A5364" t="str">
        <f>"20190304164234158"</f>
        <v>20190304164234158</v>
      </c>
      <c r="B5364" t="str">
        <f>"1551688954146582"</f>
        <v>1551688954146582</v>
      </c>
      <c r="C5364" t="s">
        <v>40</v>
      </c>
      <c r="D5364">
        <v>4.2623189999999997</v>
      </c>
      <c r="E5364">
        <v>0.52875719999999904</v>
      </c>
      <c r="F5364" t="s">
        <v>42</v>
      </c>
      <c r="G5364">
        <v>-419.78590000000003</v>
      </c>
      <c r="H5364" s="1">
        <v>-3.1157180000000002E-6</v>
      </c>
      <c r="I5364">
        <v>96.807050000000004</v>
      </c>
      <c r="J5364">
        <v>-419.81189999999998</v>
      </c>
      <c r="K5364">
        <v>1.1127579999999999</v>
      </c>
      <c r="L5364">
        <v>109.7512</v>
      </c>
      <c r="M5364">
        <v>-0.18154690000000001</v>
      </c>
      <c r="N5364">
        <v>-1.0710249999999999E-2</v>
      </c>
      <c r="O5364">
        <v>-0.98332410000000003</v>
      </c>
      <c r="P5364">
        <v>6.3518169999999999E-2</v>
      </c>
      <c r="Q5364">
        <v>0.37302550000000001</v>
      </c>
      <c r="R5364">
        <v>-0.92564429999999998</v>
      </c>
      <c r="S5364">
        <v>-4.7607420000000001E-3</v>
      </c>
      <c r="T5364">
        <v>-0.2824836</v>
      </c>
      <c r="U5364">
        <v>-3.3515009999999998</v>
      </c>
      <c r="V5364">
        <v>-0.2327553</v>
      </c>
      <c r="W5364">
        <v>0.38127420000000001</v>
      </c>
      <c r="X5364">
        <v>0.89468150000000002</v>
      </c>
      <c r="Y5364">
        <v>-0.18006639999999999</v>
      </c>
      <c r="Z5364">
        <v>7.0534490000000005E-2</v>
      </c>
      <c r="AA5364">
        <v>0.9811223</v>
      </c>
      <c r="AB5364">
        <v>26</v>
      </c>
      <c r="AC5364">
        <v>2.5999999999953598E-2</v>
      </c>
      <c r="AD5364">
        <v>-1.112761115718</v>
      </c>
      <c r="AE5364">
        <v>-12.944149999999899</v>
      </c>
      <c r="AF5364">
        <v>-2.35824481383866</v>
      </c>
      <c r="AG5364">
        <v>-1.112761115718</v>
      </c>
      <c r="AH5364">
        <v>12.630957461095599</v>
      </c>
      <c r="AI5364">
        <v>94.9495495576504</v>
      </c>
      <c r="AJ5364">
        <v>100.57556645494699</v>
      </c>
      <c r="AK5364">
        <v>12.897311436367501</v>
      </c>
      <c r="AL5364">
        <v>67.587368482644493</v>
      </c>
      <c r="AM5364">
        <v>104.582500471104</v>
      </c>
      <c r="AN5364">
        <v>1.00000001585298</v>
      </c>
    </row>
    <row r="5365" spans="1:40" x14ac:dyDescent="0.25">
      <c r="A5365" t="str">
        <f>"20190304164234180"</f>
        <v>20190304164234180</v>
      </c>
      <c r="B5365" t="str">
        <f>"1551688954176839"</f>
        <v>1551688954176839</v>
      </c>
      <c r="C5365" t="s">
        <v>40</v>
      </c>
      <c r="D5365">
        <v>4.250184</v>
      </c>
      <c r="E5365">
        <v>0.5257233</v>
      </c>
      <c r="F5365" t="s">
        <v>42</v>
      </c>
      <c r="G5365">
        <v>-419.81670000000003</v>
      </c>
      <c r="H5365" s="1">
        <v>-2.905477E-6</v>
      </c>
      <c r="I5365">
        <v>96.329700000000003</v>
      </c>
      <c r="J5365">
        <v>-419.85680000000002</v>
      </c>
      <c r="K5365">
        <v>1.112714</v>
      </c>
      <c r="L5365">
        <v>109.4873</v>
      </c>
      <c r="M5365">
        <v>-0.1781459</v>
      </c>
      <c r="N5365">
        <v>-1.0633510000000001E-2</v>
      </c>
      <c r="O5365">
        <v>-0.98394669999999895</v>
      </c>
      <c r="P5365">
        <v>6.5620529999999996E-2</v>
      </c>
      <c r="Q5365">
        <v>0.37241099999999999</v>
      </c>
      <c r="R5365">
        <v>-0.92574540000000005</v>
      </c>
      <c r="S5365">
        <v>-1.190186E-3</v>
      </c>
      <c r="T5365">
        <v>-0.27800009999999997</v>
      </c>
      <c r="U5365">
        <v>-3.3530880000000001</v>
      </c>
      <c r="V5365">
        <v>-0.23169429999999999</v>
      </c>
      <c r="W5365">
        <v>0.38062380000000001</v>
      </c>
      <c r="X5365">
        <v>0.89523359999999996</v>
      </c>
      <c r="Y5365">
        <v>-0.1777137</v>
      </c>
      <c r="Z5365">
        <v>6.9385749999999996E-2</v>
      </c>
      <c r="AA5365">
        <v>0.98163310000000004</v>
      </c>
      <c r="AB5365">
        <v>26</v>
      </c>
      <c r="AC5365">
        <v>4.0099999999995299E-2</v>
      </c>
      <c r="AD5365">
        <v>-1.1127169054770001</v>
      </c>
      <c r="AE5365">
        <v>-13.1576</v>
      </c>
      <c r="AF5365">
        <v>-2.36663775989522</v>
      </c>
      <c r="AG5365">
        <v>-1.1127169054770001</v>
      </c>
      <c r="AH5365">
        <v>12.848077955610201</v>
      </c>
      <c r="AI5365">
        <v>94.868292183499307</v>
      </c>
      <c r="AJ5365">
        <v>100.436986059077</v>
      </c>
      <c r="AK5365">
        <v>13.1115300538013</v>
      </c>
      <c r="AL5365">
        <v>67.627671493794395</v>
      </c>
      <c r="AM5365">
        <v>104.510266525936</v>
      </c>
      <c r="AN5365">
        <v>0.99999996217394405</v>
      </c>
    </row>
    <row r="5366" spans="1:40" x14ac:dyDescent="0.25">
      <c r="A5366" t="str">
        <f>"20190304164234203"</f>
        <v>20190304164234203</v>
      </c>
      <c r="B5366" t="str">
        <f>"1551688954196357"</f>
        <v>1551688954196357</v>
      </c>
      <c r="C5366" t="s">
        <v>40</v>
      </c>
      <c r="D5366">
        <v>4.2566930000000003</v>
      </c>
      <c r="E5366">
        <v>0.52450220000000003</v>
      </c>
      <c r="F5366" t="s">
        <v>42</v>
      </c>
      <c r="G5366">
        <v>-419.73919999999998</v>
      </c>
      <c r="H5366" s="1">
        <v>-2.742608E-6</v>
      </c>
      <c r="I5366">
        <v>95.918030000000002</v>
      </c>
      <c r="J5366">
        <v>-419.8997</v>
      </c>
      <c r="K5366">
        <v>1.1126510000000001</v>
      </c>
      <c r="L5366">
        <v>109.2303</v>
      </c>
      <c r="M5366">
        <v>-0.17490739999999999</v>
      </c>
      <c r="N5366">
        <v>-1.056113E-2</v>
      </c>
      <c r="O5366">
        <v>-0.98452819999999996</v>
      </c>
      <c r="P5366">
        <v>6.7052589999999995E-2</v>
      </c>
      <c r="Q5366">
        <v>0.3717009</v>
      </c>
      <c r="R5366">
        <v>-0.92592770000000002</v>
      </c>
      <c r="S5366">
        <v>2.9022220000000001E-2</v>
      </c>
      <c r="T5366">
        <v>-0.27463090000000001</v>
      </c>
      <c r="U5366">
        <v>-3.3490449999999998</v>
      </c>
      <c r="V5366">
        <v>-0.2301329</v>
      </c>
      <c r="W5366">
        <v>0.37988820000000001</v>
      </c>
      <c r="X5366">
        <v>0.89594850000000004</v>
      </c>
      <c r="Y5366">
        <v>-0.18332660000000001</v>
      </c>
      <c r="Z5366">
        <v>6.8607650000000006E-2</v>
      </c>
      <c r="AA5366">
        <v>0.9806551</v>
      </c>
      <c r="AB5366">
        <v>26</v>
      </c>
      <c r="AC5366">
        <v>0.16050000000001299</v>
      </c>
      <c r="AD5366">
        <v>-1.1126537426080001</v>
      </c>
      <c r="AE5366">
        <v>-13.3122699999999</v>
      </c>
      <c r="AF5366">
        <v>-2.4693224223727799</v>
      </c>
      <c r="AG5366">
        <v>-1.1126537426080001</v>
      </c>
      <c r="AH5366">
        <v>12.988242560502499</v>
      </c>
      <c r="AI5366">
        <v>94.810605022217501</v>
      </c>
      <c r="AJ5366">
        <v>100.764593285522</v>
      </c>
      <c r="AK5366">
        <v>13.2676296446284</v>
      </c>
      <c r="AL5366">
        <v>67.673241268835596</v>
      </c>
      <c r="AM5366">
        <v>104.405544822891</v>
      </c>
      <c r="AN5366">
        <v>0.99999995540694897</v>
      </c>
    </row>
    <row r="5367" spans="1:40" x14ac:dyDescent="0.25">
      <c r="A5367" t="str">
        <f>"20190304164234224"</f>
        <v>20190304164234224</v>
      </c>
      <c r="B5367" t="str">
        <f>"1551688954216854"</f>
        <v>1551688954216854</v>
      </c>
      <c r="C5367" t="s">
        <v>40</v>
      </c>
      <c r="D5367">
        <v>4.562271</v>
      </c>
      <c r="E5367">
        <v>0.52374419999999999</v>
      </c>
      <c r="F5367" t="s">
        <v>42</v>
      </c>
      <c r="G5367">
        <v>-419.71530000000001</v>
      </c>
      <c r="H5367" s="1">
        <v>-2.665664E-6</v>
      </c>
      <c r="I5367">
        <v>95.72878</v>
      </c>
      <c r="J5367">
        <v>-419.94060000000002</v>
      </c>
      <c r="K5367">
        <v>1.1125989999999999</v>
      </c>
      <c r="L5367">
        <v>108.9804</v>
      </c>
      <c r="M5367">
        <v>-0.1718295</v>
      </c>
      <c r="N5367">
        <v>-1.0491729999999999E-2</v>
      </c>
      <c r="O5367">
        <v>-0.98507080000000002</v>
      </c>
      <c r="P5367">
        <v>6.7505209999999996E-2</v>
      </c>
      <c r="Q5367">
        <v>0.37071700000000002</v>
      </c>
      <c r="R5367">
        <v>-0.92628940000000004</v>
      </c>
      <c r="S5367">
        <v>4.5715329999999998E-2</v>
      </c>
      <c r="T5367">
        <v>-0.27585890000000002</v>
      </c>
      <c r="U5367">
        <v>-3.3474119999999998</v>
      </c>
      <c r="V5367">
        <v>-0.22778229999999999</v>
      </c>
      <c r="W5367">
        <v>0.37888939999999999</v>
      </c>
      <c r="X5367">
        <v>0.89697159999999998</v>
      </c>
      <c r="Y5367">
        <v>-0.18514659999999999</v>
      </c>
      <c r="Z5367">
        <v>6.911312E-2</v>
      </c>
      <c r="AA5367">
        <v>0.98027759999999997</v>
      </c>
      <c r="AB5367">
        <v>26</v>
      </c>
      <c r="AC5367">
        <v>0.225300000000004</v>
      </c>
      <c r="AD5367">
        <v>-1.1126016656640001</v>
      </c>
      <c r="AE5367">
        <v>-13.251620000000001</v>
      </c>
      <c r="AF5367">
        <v>-2.48160498086814</v>
      </c>
      <c r="AG5367">
        <v>-1.1126016656640001</v>
      </c>
      <c r="AH5367">
        <v>12.9247046975158</v>
      </c>
      <c r="AI5367">
        <v>94.832245638563705</v>
      </c>
      <c r="AJ5367">
        <v>100.868789044195</v>
      </c>
      <c r="AK5367">
        <v>13.2077339943494</v>
      </c>
      <c r="AL5367">
        <v>67.735093562778104</v>
      </c>
      <c r="AM5367">
        <v>104.248831894593</v>
      </c>
      <c r="AN5367">
        <v>1.0000000024161</v>
      </c>
    </row>
    <row r="5368" spans="1:40" x14ac:dyDescent="0.25">
      <c r="A5368" t="str">
        <f>"20190304164234246"</f>
        <v>20190304164234246</v>
      </c>
      <c r="B5368" t="str">
        <f>"1551688954236374"</f>
        <v>1551688954236374</v>
      </c>
      <c r="C5368" t="s">
        <v>40</v>
      </c>
      <c r="D5368">
        <v>4.2555949999999996</v>
      </c>
      <c r="E5368">
        <v>0.52325809999999995</v>
      </c>
      <c r="F5368" t="s">
        <v>42</v>
      </c>
      <c r="G5368">
        <v>-419.70659999999998</v>
      </c>
      <c r="H5368" s="1">
        <v>-2.5984899999999999E-6</v>
      </c>
      <c r="I5368">
        <v>95.56859</v>
      </c>
      <c r="J5368">
        <v>-419.9819</v>
      </c>
      <c r="K5368">
        <v>1.112554</v>
      </c>
      <c r="L5368">
        <v>108.7234</v>
      </c>
      <c r="M5368">
        <v>-0.16872179999999901</v>
      </c>
      <c r="N5368">
        <v>-1.042362E-2</v>
      </c>
      <c r="O5368">
        <v>-0.9856087</v>
      </c>
      <c r="P5368">
        <v>6.7774119999999993E-2</v>
      </c>
      <c r="Q5368">
        <v>0.37015310000000001</v>
      </c>
      <c r="R5368">
        <v>-0.92649539999999997</v>
      </c>
      <c r="S5368">
        <v>5.8380130000000002E-2</v>
      </c>
      <c r="T5368">
        <v>-0.27754089999999998</v>
      </c>
      <c r="U5368">
        <v>-3.345596</v>
      </c>
      <c r="V5368">
        <v>-0.22520100000000001</v>
      </c>
      <c r="W5368">
        <v>0.37830809999999998</v>
      </c>
      <c r="X5368">
        <v>0.89786829999999995</v>
      </c>
      <c r="Y5368">
        <v>-0.18576319999999999</v>
      </c>
      <c r="Z5368">
        <v>6.9762779999999996E-2</v>
      </c>
      <c r="AA5368">
        <v>0.98011490000000001</v>
      </c>
      <c r="AB5368">
        <v>26</v>
      </c>
      <c r="AC5368">
        <v>0.27530000000001498</v>
      </c>
      <c r="AD5368">
        <v>-1.1125565984899899</v>
      </c>
      <c r="AE5368">
        <v>-13.1548099999999</v>
      </c>
      <c r="AF5368">
        <v>-2.4732931817189598</v>
      </c>
      <c r="AG5368">
        <v>-1.1125565984899899</v>
      </c>
      <c r="AH5368">
        <v>12.828030674363299</v>
      </c>
      <c r="AI5368">
        <v>94.867573345238398</v>
      </c>
      <c r="AJ5368">
        <v>100.91293620371999</v>
      </c>
      <c r="AK5368">
        <v>13.1115724583281</v>
      </c>
      <c r="AL5368">
        <v>67.771078131467405</v>
      </c>
      <c r="AM5368">
        <v>104.08031408489001</v>
      </c>
      <c r="AN5368">
        <v>0.99999999653575</v>
      </c>
    </row>
    <row r="5369" spans="1:40" x14ac:dyDescent="0.25">
      <c r="A5369" t="str">
        <f>"20190304164234269"</f>
        <v>20190304164234269</v>
      </c>
      <c r="B5369" t="str">
        <f>"1551688954256400"</f>
        <v>1551688954256400</v>
      </c>
      <c r="C5369" t="s">
        <v>40</v>
      </c>
      <c r="D5369">
        <v>4.2306689999999998</v>
      </c>
      <c r="E5369">
        <v>0.52283840000000004</v>
      </c>
      <c r="F5369" t="s">
        <v>42</v>
      </c>
      <c r="G5369">
        <v>-419.69839999999999</v>
      </c>
      <c r="H5369" s="1">
        <v>-2.463731E-6</v>
      </c>
      <c r="I5369">
        <v>95.251080000000002</v>
      </c>
      <c r="J5369">
        <v>-420.02319999999997</v>
      </c>
      <c r="K5369">
        <v>1.1125130000000001</v>
      </c>
      <c r="L5369">
        <v>108.46169999999999</v>
      </c>
      <c r="M5369">
        <v>-0.165617299999999</v>
      </c>
      <c r="N5369">
        <v>-1.035907E-2</v>
      </c>
      <c r="O5369">
        <v>-0.98613589999999995</v>
      </c>
      <c r="P5369">
        <v>6.8339499999999997E-2</v>
      </c>
      <c r="Q5369">
        <v>0.37080619999999997</v>
      </c>
      <c r="R5369">
        <v>-0.92619289999999999</v>
      </c>
      <c r="S5369">
        <v>7.0343020000000006E-2</v>
      </c>
      <c r="T5369">
        <v>-0.27608389999999999</v>
      </c>
      <c r="U5369">
        <v>-3.3431850000000001</v>
      </c>
      <c r="V5369">
        <v>-0.2228396</v>
      </c>
      <c r="W5369">
        <v>0.37893749999999998</v>
      </c>
      <c r="X5369">
        <v>0.89819199999999999</v>
      </c>
      <c r="Y5369">
        <v>-0.1861884</v>
      </c>
      <c r="Z5369">
        <v>6.9521970000000002E-2</v>
      </c>
      <c r="AA5369">
        <v>0.98005129999999996</v>
      </c>
      <c r="AB5369">
        <v>26</v>
      </c>
      <c r="AC5369">
        <v>0.32479999999998199</v>
      </c>
      <c r="AD5369">
        <v>-1.112515463731</v>
      </c>
      <c r="AE5369">
        <v>-13.210619999999899</v>
      </c>
      <c r="AF5369">
        <v>-2.4906850812323702</v>
      </c>
      <c r="AG5369">
        <v>-1.112515463731</v>
      </c>
      <c r="AH5369">
        <v>12.8830568125338</v>
      </c>
      <c r="AI5369">
        <v>94.846231202784097</v>
      </c>
      <c r="AJ5369">
        <v>100.942017199646</v>
      </c>
      <c r="AK5369">
        <v>13.168688456558201</v>
      </c>
      <c r="AL5369">
        <v>67.732115341930097</v>
      </c>
      <c r="AM5369">
        <v>103.933629137181</v>
      </c>
      <c r="AN5369">
        <v>0.99999999254920502</v>
      </c>
    </row>
    <row r="5370" spans="1:40" x14ac:dyDescent="0.25">
      <c r="A5370" t="str">
        <f>"20190304164234292"</f>
        <v>20190304164234292</v>
      </c>
      <c r="B5370" t="str">
        <f>"1551688954286656"</f>
        <v>1551688954286656</v>
      </c>
      <c r="C5370" t="s">
        <v>40</v>
      </c>
      <c r="D5370">
        <v>4.2333239999999996</v>
      </c>
      <c r="E5370">
        <v>0.52250620000000003</v>
      </c>
      <c r="F5370" t="s">
        <v>42</v>
      </c>
      <c r="G5370">
        <v>-419.6936</v>
      </c>
      <c r="H5370" s="1">
        <v>-2.313831E-6</v>
      </c>
      <c r="I5370">
        <v>94.899680000000004</v>
      </c>
      <c r="J5370">
        <v>-420.06509999999997</v>
      </c>
      <c r="K5370">
        <v>1.1124750000000001</v>
      </c>
      <c r="L5370">
        <v>108.1909</v>
      </c>
      <c r="M5370">
        <v>-0.16246329999999901</v>
      </c>
      <c r="N5370">
        <v>-1.0291460000000001E-2</v>
      </c>
      <c r="O5370">
        <v>-0.98666109999999896</v>
      </c>
      <c r="P5370">
        <v>6.8388889999999994E-2</v>
      </c>
      <c r="Q5370">
        <v>0.3716815</v>
      </c>
      <c r="R5370">
        <v>-0.92583819999999994</v>
      </c>
      <c r="S5370">
        <v>8.1237790000000004E-2</v>
      </c>
      <c r="T5370">
        <v>-0.27422170000000001</v>
      </c>
      <c r="U5370">
        <v>-3.3428800000000001</v>
      </c>
      <c r="V5370">
        <v>-0.21992039999999999</v>
      </c>
      <c r="W5370">
        <v>0.37978770000000001</v>
      </c>
      <c r="X5370">
        <v>0.89855239999999903</v>
      </c>
      <c r="Y5370">
        <v>-0.18624309999999999</v>
      </c>
      <c r="Z5370">
        <v>6.9119529999999998E-2</v>
      </c>
      <c r="AA5370">
        <v>0.98006939999999998</v>
      </c>
      <c r="AB5370">
        <v>26</v>
      </c>
      <c r="AC5370">
        <v>0.37149999999996902</v>
      </c>
      <c r="AD5370">
        <v>-1.112477313831</v>
      </c>
      <c r="AE5370">
        <v>-13.2912199999999</v>
      </c>
      <c r="AF5370">
        <v>-2.5084535755206501</v>
      </c>
      <c r="AG5370">
        <v>-1.112477313831</v>
      </c>
      <c r="AH5370">
        <v>12.963515750454899</v>
      </c>
      <c r="AI5370">
        <v>94.815977704901599</v>
      </c>
      <c r="AJ5370">
        <v>100.951446915593</v>
      </c>
      <c r="AK5370">
        <v>13.250761703638901</v>
      </c>
      <c r="AL5370">
        <v>67.679468186960406</v>
      </c>
      <c r="AM5370">
        <v>103.75276902581901</v>
      </c>
      <c r="AN5370">
        <v>1.0000000474766</v>
      </c>
    </row>
    <row r="5371" spans="1:40" x14ac:dyDescent="0.25">
      <c r="A5371" t="str">
        <f>"20190304164234313"</f>
        <v>20190304164234313</v>
      </c>
      <c r="B5371" t="str">
        <f>"1551688954306180"</f>
        <v>1551688954306180</v>
      </c>
      <c r="C5371" t="s">
        <v>40</v>
      </c>
      <c r="D5371">
        <v>4.2307540000000001</v>
      </c>
      <c r="E5371">
        <v>0.52239269999999904</v>
      </c>
      <c r="F5371" t="s">
        <v>42</v>
      </c>
      <c r="G5371">
        <v>-419.70150000000001</v>
      </c>
      <c r="H5371" s="1">
        <v>-2.1391570000000001E-6</v>
      </c>
      <c r="I5371">
        <v>94.495769999999993</v>
      </c>
      <c r="J5371">
        <v>-420.1035</v>
      </c>
      <c r="K5371">
        <v>1.1124320000000001</v>
      </c>
      <c r="L5371">
        <v>107.938</v>
      </c>
      <c r="M5371">
        <v>-0.1595693</v>
      </c>
      <c r="N5371">
        <v>-1.022641E-2</v>
      </c>
      <c r="O5371">
        <v>-0.9871337</v>
      </c>
      <c r="P5371">
        <v>6.7690009999999995E-2</v>
      </c>
      <c r="Q5371">
        <v>0.37201620000000002</v>
      </c>
      <c r="R5371">
        <v>-0.92575490000000005</v>
      </c>
      <c r="S5371">
        <v>8.8745119999999997E-2</v>
      </c>
      <c r="T5371">
        <v>-0.27153749999999999</v>
      </c>
      <c r="U5371">
        <v>-3.3427579999999999</v>
      </c>
      <c r="V5371">
        <v>-0.21654519999999999</v>
      </c>
      <c r="W5371">
        <v>0.38010339999999998</v>
      </c>
      <c r="X5371">
        <v>0.89923829999999905</v>
      </c>
      <c r="Y5371">
        <v>-0.1855656</v>
      </c>
      <c r="Z5371">
        <v>6.8473389999999995E-2</v>
      </c>
      <c r="AA5371">
        <v>0.98024319999999998</v>
      </c>
      <c r="AB5371">
        <v>27</v>
      </c>
      <c r="AC5371">
        <v>0.40199999999998598</v>
      </c>
      <c r="AD5371">
        <v>-1.1124341391569901</v>
      </c>
      <c r="AE5371">
        <v>-13.442229999999901</v>
      </c>
      <c r="AF5371">
        <v>-2.5246529937739801</v>
      </c>
      <c r="AG5371">
        <v>-1.1124341391569901</v>
      </c>
      <c r="AH5371">
        <v>13.1160753490154</v>
      </c>
      <c r="AI5371">
        <v>94.760931155714005</v>
      </c>
      <c r="AJ5371">
        <v>100.89534544288701</v>
      </c>
      <c r="AK5371">
        <v>13.403089756245899</v>
      </c>
      <c r="AL5371">
        <v>67.6599116387371</v>
      </c>
      <c r="AM5371">
        <v>103.539584601817</v>
      </c>
      <c r="AN5371">
        <v>0.99999996926074397</v>
      </c>
    </row>
    <row r="5372" spans="1:40" x14ac:dyDescent="0.25">
      <c r="A5372" t="str">
        <f>"20190304164234336"</f>
        <v>20190304164234336</v>
      </c>
      <c r="B5372" t="str">
        <f>"1551688954326673"</f>
        <v>1551688954326673</v>
      </c>
      <c r="C5372" t="s">
        <v>40</v>
      </c>
      <c r="D5372">
        <v>4.2209839999999996</v>
      </c>
      <c r="E5372">
        <v>0.5222774</v>
      </c>
      <c r="F5372" t="s">
        <v>42</v>
      </c>
      <c r="G5372">
        <v>-419.72910000000002</v>
      </c>
      <c r="H5372" s="1">
        <v>-2.0208000000000002E-6</v>
      </c>
      <c r="I5372">
        <v>94.231309999999993</v>
      </c>
      <c r="J5372">
        <v>-420.14240000000001</v>
      </c>
      <c r="K5372">
        <v>1.1123860000000001</v>
      </c>
      <c r="L5372">
        <v>107.6773</v>
      </c>
      <c r="M5372">
        <v>-0.156642</v>
      </c>
      <c r="N5372">
        <v>-1.0159359999999999E-2</v>
      </c>
      <c r="O5372">
        <v>-0.98760320000000001</v>
      </c>
      <c r="P5372">
        <v>6.7201060000000007E-2</v>
      </c>
      <c r="Q5372">
        <v>0.37155110000000002</v>
      </c>
      <c r="R5372">
        <v>-0.92597759999999996</v>
      </c>
      <c r="S5372">
        <v>9.1308589999999995E-2</v>
      </c>
      <c r="T5372">
        <v>-0.27131499999999997</v>
      </c>
      <c r="U5372">
        <v>-3.3429570000000002</v>
      </c>
      <c r="V5372">
        <v>-0.21338560000000001</v>
      </c>
      <c r="W5372">
        <v>0.37962089999999998</v>
      </c>
      <c r="X5372">
        <v>0.90019699999999903</v>
      </c>
      <c r="Y5372">
        <v>-0.18340329999999999</v>
      </c>
      <c r="Z5372">
        <v>6.8543880000000001E-2</v>
      </c>
      <c r="AA5372">
        <v>0.98064519999999999</v>
      </c>
      <c r="AB5372">
        <v>27</v>
      </c>
      <c r="AC5372">
        <v>0.41329999999999201</v>
      </c>
      <c r="AD5372">
        <v>-1.1123880207999901</v>
      </c>
      <c r="AE5372">
        <v>-13.44599</v>
      </c>
      <c r="AF5372">
        <v>-2.49743593677261</v>
      </c>
      <c r="AG5372">
        <v>-1.1123880207999901</v>
      </c>
      <c r="AH5372">
        <v>13.1254949426712</v>
      </c>
      <c r="AI5372">
        <v>94.7592678207982</v>
      </c>
      <c r="AJ5372">
        <v>100.773099474734</v>
      </c>
      <c r="AK5372">
        <v>13.4072074220245</v>
      </c>
      <c r="AL5372">
        <v>67.689798637754393</v>
      </c>
      <c r="AM5372">
        <v>103.33544202293</v>
      </c>
      <c r="AN5372">
        <v>1.0000000404065801</v>
      </c>
    </row>
    <row r="5373" spans="1:40" x14ac:dyDescent="0.25">
      <c r="A5373" t="str">
        <f>"20190304164234359"</f>
        <v>20190304164234359</v>
      </c>
      <c r="B5373" t="str">
        <f>"1551688954346475"</f>
        <v>1551688954346475</v>
      </c>
      <c r="C5373" t="s">
        <v>40</v>
      </c>
      <c r="D5373">
        <v>4.2624680000000001</v>
      </c>
      <c r="E5373">
        <v>0.52219720000000003</v>
      </c>
      <c r="F5373" t="s">
        <v>42</v>
      </c>
      <c r="G5373">
        <v>-419.76549999999997</v>
      </c>
      <c r="H5373" s="1">
        <v>-1.9606400000000002E-6</v>
      </c>
      <c r="I5373">
        <v>94.106120000000004</v>
      </c>
      <c r="J5373">
        <v>-420.18209999999999</v>
      </c>
      <c r="K5373">
        <v>1.112336</v>
      </c>
      <c r="L5373">
        <v>107.4062</v>
      </c>
      <c r="M5373">
        <v>-0.15366299999999999</v>
      </c>
      <c r="N5373">
        <v>-1.0091030000000001E-2</v>
      </c>
      <c r="O5373">
        <v>-0.9880719</v>
      </c>
      <c r="P5373">
        <v>6.7024899999999901E-2</v>
      </c>
      <c r="Q5373">
        <v>0.37114829999999999</v>
      </c>
      <c r="R5373">
        <v>-0.92615179999999997</v>
      </c>
      <c r="S5373">
        <v>9.2834470000000002E-2</v>
      </c>
      <c r="T5373">
        <v>-0.27401769999999998</v>
      </c>
      <c r="U5373">
        <v>-3.3430330000000001</v>
      </c>
      <c r="V5373">
        <v>-0.21047080000000001</v>
      </c>
      <c r="W5373">
        <v>0.37920140000000002</v>
      </c>
      <c r="X5373">
        <v>0.90105959999999996</v>
      </c>
      <c r="Y5373">
        <v>-0.18088419999999999</v>
      </c>
      <c r="Z5373">
        <v>6.9465699999999894E-2</v>
      </c>
      <c r="AA5373">
        <v>0.98104809999999998</v>
      </c>
      <c r="AB5373">
        <v>27</v>
      </c>
      <c r="AC5373">
        <v>0.41660000000001601</v>
      </c>
      <c r="AD5373">
        <v>-1.1123379606399999</v>
      </c>
      <c r="AE5373">
        <v>-13.300079999999999</v>
      </c>
      <c r="AF5373">
        <v>-2.4384463693455598</v>
      </c>
      <c r="AG5373">
        <v>-1.1123379606399999</v>
      </c>
      <c r="AH5373">
        <v>12.9873311217963</v>
      </c>
      <c r="AI5373">
        <v>94.811646963058493</v>
      </c>
      <c r="AJ5373">
        <v>100.633811521209</v>
      </c>
      <c r="AK5373">
        <v>13.2609986841879</v>
      </c>
      <c r="AL5373">
        <v>67.715776420034501</v>
      </c>
      <c r="AM5373">
        <v>103.14750310625401</v>
      </c>
      <c r="AN5373">
        <v>1.0000000310833701</v>
      </c>
    </row>
    <row r="5374" spans="1:40" x14ac:dyDescent="0.25">
      <c r="A5374" t="str">
        <f>"20190304164234382"</f>
        <v>20190304164234382</v>
      </c>
      <c r="B5374" t="str">
        <f>"1551688954376732"</f>
        <v>1551688954376732</v>
      </c>
      <c r="C5374" t="s">
        <v>40</v>
      </c>
      <c r="D5374">
        <v>4.2611189999999999</v>
      </c>
      <c r="E5374">
        <v>0.52207190000000003</v>
      </c>
      <c r="F5374" t="s">
        <v>42</v>
      </c>
      <c r="G5374">
        <v>-419.8107</v>
      </c>
      <c r="H5374" s="1">
        <v>-1.875649E-6</v>
      </c>
      <c r="I5374">
        <v>93.926680000000005</v>
      </c>
      <c r="J5374">
        <v>-420.22019999999998</v>
      </c>
      <c r="K5374">
        <v>1.1122780000000001</v>
      </c>
      <c r="L5374">
        <v>107.1404</v>
      </c>
      <c r="M5374">
        <v>-0.15082139999999999</v>
      </c>
      <c r="N5374">
        <v>-1.0028530000000001E-2</v>
      </c>
      <c r="O5374">
        <v>-0.98851040000000001</v>
      </c>
      <c r="P5374">
        <v>6.661686E-2</v>
      </c>
      <c r="Q5374">
        <v>0.370813</v>
      </c>
      <c r="R5374">
        <v>-0.92631560000000002</v>
      </c>
      <c r="S5374">
        <v>9.2102050000000005E-2</v>
      </c>
      <c r="T5374">
        <v>-0.27587319999999999</v>
      </c>
      <c r="U5374">
        <v>-3.3430789999999999</v>
      </c>
      <c r="V5374">
        <v>-0.2074415</v>
      </c>
      <c r="W5374">
        <v>0.37885849999999999</v>
      </c>
      <c r="X5374">
        <v>0.90190590000000004</v>
      </c>
      <c r="Y5374">
        <v>-0.17784079999999999</v>
      </c>
      <c r="Z5374">
        <v>7.0140170000000002E-2</v>
      </c>
      <c r="AA5374">
        <v>0.9815564</v>
      </c>
      <c r="AB5374">
        <v>27</v>
      </c>
      <c r="AC5374">
        <v>0.40949999999997899</v>
      </c>
      <c r="AD5374">
        <v>-1.112279875649</v>
      </c>
      <c r="AE5374">
        <v>-13.213719999999901</v>
      </c>
      <c r="AF5374">
        <v>-2.3809722843621599</v>
      </c>
      <c r="AG5374">
        <v>-1.112279875649</v>
      </c>
      <c r="AH5374">
        <v>12.9094055507649</v>
      </c>
      <c r="AI5374">
        <v>94.843178996733002</v>
      </c>
      <c r="AJ5374">
        <v>100.450026046283</v>
      </c>
      <c r="AK5374">
        <v>13.1741772879673</v>
      </c>
      <c r="AL5374">
        <v>67.737006466844093</v>
      </c>
      <c r="AM5374">
        <v>102.952954148302</v>
      </c>
      <c r="AN5374">
        <v>0.99999999569965503</v>
      </c>
    </row>
    <row r="5375" spans="1:40" x14ac:dyDescent="0.25">
      <c r="A5375" t="str">
        <f>"20190304164234405"</f>
        <v>20190304164234405</v>
      </c>
      <c r="B5375" t="str">
        <f>"1551688954396251"</f>
        <v>1551688954396251</v>
      </c>
      <c r="C5375" t="s">
        <v>40</v>
      </c>
      <c r="D5375">
        <v>4.2709109999999999</v>
      </c>
      <c r="E5375">
        <v>0.52206779999999997</v>
      </c>
      <c r="F5375" t="s">
        <v>42</v>
      </c>
      <c r="G5375">
        <v>-419.85989999999998</v>
      </c>
      <c r="H5375" s="1">
        <v>-1.767952E-6</v>
      </c>
      <c r="I5375">
        <v>93.695970000000003</v>
      </c>
      <c r="J5375">
        <v>-420.2568</v>
      </c>
      <c r="K5375">
        <v>1.1121989999999999</v>
      </c>
      <c r="L5375">
        <v>106.8807</v>
      </c>
      <c r="M5375">
        <v>-0.148147</v>
      </c>
      <c r="N5375">
        <v>-9.9680510000000003E-3</v>
      </c>
      <c r="O5375">
        <v>-0.98891510000000005</v>
      </c>
      <c r="P5375">
        <v>6.5858739999999999E-2</v>
      </c>
      <c r="Q5375">
        <v>0.36977579999999999</v>
      </c>
      <c r="R5375">
        <v>-0.92678389999999999</v>
      </c>
      <c r="S5375">
        <v>8.9599609999999996E-2</v>
      </c>
      <c r="T5375">
        <v>-0.27656560000000002</v>
      </c>
      <c r="U5375">
        <v>-3.3429259999999998</v>
      </c>
      <c r="V5375">
        <v>-0.2042477</v>
      </c>
      <c r="W5375">
        <v>0.3778243</v>
      </c>
      <c r="X5375">
        <v>0.90306790000000003</v>
      </c>
      <c r="Y5375">
        <v>-0.1744465</v>
      </c>
      <c r="Z5375">
        <v>7.0481050000000003E-2</v>
      </c>
      <c r="AA5375">
        <v>0.98214100000000004</v>
      </c>
      <c r="AB5375">
        <v>27</v>
      </c>
      <c r="AC5375">
        <v>0.39690000000001602</v>
      </c>
      <c r="AD5375">
        <v>-1.1122007679519901</v>
      </c>
      <c r="AE5375">
        <v>-13.18473</v>
      </c>
      <c r="AF5375">
        <v>-2.3293350998056899</v>
      </c>
      <c r="AG5375">
        <v>-1.1122007679519901</v>
      </c>
      <c r="AH5375">
        <v>12.8887930556926</v>
      </c>
      <c r="AI5375">
        <v>94.853710882199493</v>
      </c>
      <c r="AJ5375">
        <v>100.244238759932</v>
      </c>
      <c r="AK5375">
        <v>13.144724378544</v>
      </c>
      <c r="AL5375">
        <v>67.801019745457197</v>
      </c>
      <c r="AM5375">
        <v>102.74422365266</v>
      </c>
      <c r="AN5375">
        <v>0.99999997831809395</v>
      </c>
    </row>
    <row r="5376" spans="1:40" x14ac:dyDescent="0.25">
      <c r="A5376" t="str">
        <f>"20190304164234426"</f>
        <v>20190304164234426</v>
      </c>
      <c r="B5376" t="str">
        <f>"1551688954416747"</f>
        <v>1551688954416747</v>
      </c>
      <c r="C5376" t="s">
        <v>40</v>
      </c>
      <c r="D5376">
        <v>4.2630339999999904</v>
      </c>
      <c r="E5376">
        <v>0.52201120000000001</v>
      </c>
      <c r="F5376" t="s">
        <v>42</v>
      </c>
      <c r="G5376">
        <v>-419.91860000000003</v>
      </c>
      <c r="H5376" s="1">
        <v>-1.7256020000000001E-6</v>
      </c>
      <c r="I5376">
        <v>93.621539999999996</v>
      </c>
      <c r="J5376">
        <v>-420.29320000000001</v>
      </c>
      <c r="K5376">
        <v>1.112114</v>
      </c>
      <c r="L5376">
        <v>106.6186</v>
      </c>
      <c r="M5376">
        <v>-0.14555839999999901</v>
      </c>
      <c r="N5376">
        <v>-9.9084900000000007E-3</v>
      </c>
      <c r="O5376">
        <v>-0.98930019999999996</v>
      </c>
      <c r="P5376">
        <v>6.4565449999999996E-2</v>
      </c>
      <c r="Q5376">
        <v>0.36804160000000002</v>
      </c>
      <c r="R5376">
        <v>-0.92756499999999997</v>
      </c>
      <c r="S5376">
        <v>8.5266110000000006E-2</v>
      </c>
      <c r="T5376">
        <v>-0.28040290000000001</v>
      </c>
      <c r="U5376">
        <v>-3.3428339999999999</v>
      </c>
      <c r="V5376">
        <v>-0.20063310000000001</v>
      </c>
      <c r="W5376">
        <v>0.37610359999999998</v>
      </c>
      <c r="X5376">
        <v>0.90459520000000004</v>
      </c>
      <c r="Y5376">
        <v>-0.17059579999999999</v>
      </c>
      <c r="Z5376">
        <v>7.1731149999999994E-2</v>
      </c>
      <c r="AA5376">
        <v>0.98272669999999995</v>
      </c>
      <c r="AB5376">
        <v>27</v>
      </c>
      <c r="AC5376">
        <v>0.374599999999986</v>
      </c>
      <c r="AD5376">
        <v>-1.112115725602</v>
      </c>
      <c r="AE5376">
        <v>-12.997059999999999</v>
      </c>
      <c r="AF5376">
        <v>-2.2461022755666198</v>
      </c>
      <c r="AG5376">
        <v>-1.112115725602</v>
      </c>
      <c r="AH5376">
        <v>12.7111052632262</v>
      </c>
      <c r="AI5376">
        <v>94.924266898949895</v>
      </c>
      <c r="AJ5376">
        <v>100.020945096373</v>
      </c>
      <c r="AK5376">
        <v>12.9558470904937</v>
      </c>
      <c r="AL5376">
        <v>67.9074619159463</v>
      </c>
      <c r="AM5376">
        <v>102.50538334654</v>
      </c>
      <c r="AN5376">
        <v>1.0000000173057999</v>
      </c>
    </row>
    <row r="5377" spans="1:40" x14ac:dyDescent="0.25">
      <c r="A5377" t="str">
        <f>"20190304164234447"</f>
        <v>20190304164234447</v>
      </c>
      <c r="B5377" t="str">
        <f>"1551688954436267"</f>
        <v>1551688954436267</v>
      </c>
      <c r="C5377" t="s">
        <v>40</v>
      </c>
      <c r="D5377">
        <v>4.2828210000000002</v>
      </c>
      <c r="E5377">
        <v>0.52196209999999998</v>
      </c>
      <c r="F5377" t="s">
        <v>42</v>
      </c>
      <c r="G5377">
        <v>-419.97809999999998</v>
      </c>
      <c r="H5377" s="1">
        <v>-1.7366239999999901E-6</v>
      </c>
      <c r="I5377">
        <v>93.650810000000007</v>
      </c>
      <c r="J5377">
        <v>-420.32830000000001</v>
      </c>
      <c r="K5377">
        <v>1.1120369999999999</v>
      </c>
      <c r="L5377">
        <v>106.3609</v>
      </c>
      <c r="M5377">
        <v>-0.1431085</v>
      </c>
      <c r="N5377">
        <v>-9.8546799999999993E-3</v>
      </c>
      <c r="O5377">
        <v>-0.98965829999999999</v>
      </c>
      <c r="P5377">
        <v>6.2685560000000001E-2</v>
      </c>
      <c r="Q5377">
        <v>0.36645909999999998</v>
      </c>
      <c r="R5377">
        <v>-0.92832049999999999</v>
      </c>
      <c r="S5377">
        <v>8.1207280000000007E-2</v>
      </c>
      <c r="T5377">
        <v>-0.28664040000000002</v>
      </c>
      <c r="U5377">
        <v>-3.3423609999999999</v>
      </c>
      <c r="V5377">
        <v>-0.19655919999999999</v>
      </c>
      <c r="W5377">
        <v>0.37453940000000002</v>
      </c>
      <c r="X5377">
        <v>0.90613719999999998</v>
      </c>
      <c r="Y5377">
        <v>-0.166963</v>
      </c>
      <c r="Z5377">
        <v>7.3675660000000004E-2</v>
      </c>
      <c r="AA5377">
        <v>0.98320660000000004</v>
      </c>
      <c r="AB5377">
        <v>27</v>
      </c>
      <c r="AC5377">
        <v>0.35020000000002899</v>
      </c>
      <c r="AD5377">
        <v>-1.1120387366240001</v>
      </c>
      <c r="AE5377">
        <v>-12.710089999999999</v>
      </c>
      <c r="AF5377">
        <v>-2.1491653614137198</v>
      </c>
      <c r="AG5377">
        <v>-1.1120387366240001</v>
      </c>
      <c r="AH5377">
        <v>12.4340237499792</v>
      </c>
      <c r="AI5377">
        <v>95.0363732649067</v>
      </c>
      <c r="AJ5377">
        <v>99.806427603031906</v>
      </c>
      <c r="AK5377">
        <v>12.6672999695081</v>
      </c>
      <c r="AL5377">
        <v>68.0041511069862</v>
      </c>
      <c r="AM5377">
        <v>102.238981120369</v>
      </c>
      <c r="AN5377">
        <v>0.99999995324041802</v>
      </c>
    </row>
    <row r="5378" spans="1:40" x14ac:dyDescent="0.25">
      <c r="A5378" t="str">
        <f>"20190304164234470"</f>
        <v>20190304164234470</v>
      </c>
      <c r="B5378" t="str">
        <f>"1551688954466523"</f>
        <v>1551688954466523</v>
      </c>
      <c r="C5378" t="s">
        <v>40</v>
      </c>
      <c r="D5378">
        <v>4.2855889999999999</v>
      </c>
      <c r="E5378">
        <v>0.52182609999999996</v>
      </c>
      <c r="F5378" t="s">
        <v>42</v>
      </c>
      <c r="G5378">
        <v>-420.04340000000002</v>
      </c>
      <c r="H5378" s="1">
        <v>-1.7515179999999999E-6</v>
      </c>
      <c r="I5378">
        <v>93.645039999999995</v>
      </c>
      <c r="J5378">
        <v>-420.36380000000003</v>
      </c>
      <c r="K5378">
        <v>1.111958</v>
      </c>
      <c r="L5378">
        <v>106.09739999999999</v>
      </c>
      <c r="M5378">
        <v>-0.14071359999999999</v>
      </c>
      <c r="N5378">
        <v>-9.805668E-3</v>
      </c>
      <c r="O5378">
        <v>-0.99000189999999999</v>
      </c>
      <c r="P5378">
        <v>6.1417609999999997E-2</v>
      </c>
      <c r="Q5378">
        <v>0.36478339999999998</v>
      </c>
      <c r="R5378">
        <v>-0.92906460000000002</v>
      </c>
      <c r="S5378">
        <v>7.4890139999999994E-2</v>
      </c>
      <c r="T5378">
        <v>-0.29226269999999999</v>
      </c>
      <c r="U5378">
        <v>-3.3419490000000001</v>
      </c>
      <c r="V5378">
        <v>-0.19313369999999999</v>
      </c>
      <c r="W5378">
        <v>0.3728822</v>
      </c>
      <c r="X5378">
        <v>0.90755620000000004</v>
      </c>
      <c r="Y5378">
        <v>-0.16271969999999999</v>
      </c>
      <c r="Z5378">
        <v>7.5441499999999995E-2</v>
      </c>
      <c r="AA5378">
        <v>0.98378399999999999</v>
      </c>
      <c r="AB5378">
        <v>27</v>
      </c>
      <c r="AC5378">
        <v>0.32040000000000601</v>
      </c>
      <c r="AD5378">
        <v>-1.111959751518</v>
      </c>
      <c r="AE5378">
        <v>-12.452359999999899</v>
      </c>
      <c r="AF5378">
        <v>-2.0531513266502199</v>
      </c>
      <c r="AG5378">
        <v>-1.111959751518</v>
      </c>
      <c r="AH5378">
        <v>12.1862559556984</v>
      </c>
      <c r="AI5378">
        <v>95.141565968273895</v>
      </c>
      <c r="AJ5378">
        <v>99.563430663894906</v>
      </c>
      <c r="AK5378">
        <v>12.4079296853632</v>
      </c>
      <c r="AL5378">
        <v>68.106519989410103</v>
      </c>
      <c r="AM5378">
        <v>102.01369111108001</v>
      </c>
      <c r="AN5378">
        <v>1.0000000086554801</v>
      </c>
    </row>
    <row r="5379" spans="1:40" x14ac:dyDescent="0.25">
      <c r="A5379" t="str">
        <f>"20190304164234492"</f>
        <v>20190304164234492</v>
      </c>
      <c r="B5379" t="str">
        <f>"1551688954487020"</f>
        <v>1551688954487020</v>
      </c>
      <c r="C5379" t="s">
        <v>40</v>
      </c>
      <c r="D5379">
        <v>4.3472689999999998</v>
      </c>
      <c r="E5379">
        <v>0.52189549999999996</v>
      </c>
      <c r="F5379" t="s">
        <v>42</v>
      </c>
      <c r="G5379">
        <v>-420.0958</v>
      </c>
      <c r="H5379" s="1">
        <v>-1.7588199999999999E-6</v>
      </c>
      <c r="I5379">
        <v>93.629519999999999</v>
      </c>
      <c r="J5379">
        <v>-420.40030000000002</v>
      </c>
      <c r="K5379">
        <v>1.111866</v>
      </c>
      <c r="L5379">
        <v>105.82170000000001</v>
      </c>
      <c r="M5379">
        <v>-0.1383453</v>
      </c>
      <c r="N5379">
        <v>-9.7599939999999993E-3</v>
      </c>
      <c r="O5379">
        <v>-0.99033610000000005</v>
      </c>
      <c r="P5379">
        <v>5.9855230000000002E-2</v>
      </c>
      <c r="Q5379">
        <v>0.36260880000000001</v>
      </c>
      <c r="R5379">
        <v>-0.93001750000000005</v>
      </c>
      <c r="S5379">
        <v>7.1807860000000001E-2</v>
      </c>
      <c r="T5379">
        <v>-0.29799690000000001</v>
      </c>
      <c r="U5379">
        <v>-3.3413089999999999</v>
      </c>
      <c r="V5379">
        <v>-0.1894555</v>
      </c>
      <c r="W5379">
        <v>0.37073450000000002</v>
      </c>
      <c r="X5379">
        <v>0.90920979999999996</v>
      </c>
      <c r="Y5379">
        <v>-0.1594537</v>
      </c>
      <c r="Z5379">
        <v>7.7234159999999996E-2</v>
      </c>
      <c r="AA5379">
        <v>0.98417960000000004</v>
      </c>
      <c r="AB5379">
        <v>27</v>
      </c>
      <c r="AC5379">
        <v>0.30450000000001798</v>
      </c>
      <c r="AD5379">
        <v>-1.1118677588200001</v>
      </c>
      <c r="AE5379">
        <v>-12.19218</v>
      </c>
      <c r="AF5379">
        <v>-1.9719926149629701</v>
      </c>
      <c r="AG5379">
        <v>-1.1118677588200001</v>
      </c>
      <c r="AH5379">
        <v>11.9336166111172</v>
      </c>
      <c r="AI5379">
        <v>95.252122459970593</v>
      </c>
      <c r="AJ5379">
        <v>99.383153447473205</v>
      </c>
      <c r="AK5379">
        <v>12.146448460669699</v>
      </c>
      <c r="AL5379">
        <v>68.239076116465995</v>
      </c>
      <c r="AM5379">
        <v>101.77051097517101</v>
      </c>
      <c r="AN5379">
        <v>0.99999995819326903</v>
      </c>
    </row>
    <row r="5380" spans="1:40" x14ac:dyDescent="0.25">
      <c r="A5380" t="str">
        <f>"20190304164234514"</f>
        <v>20190304164234514</v>
      </c>
      <c r="B5380" t="str">
        <f>"1551688954506539"</f>
        <v>1551688954506539</v>
      </c>
      <c r="C5380" t="s">
        <v>40</v>
      </c>
      <c r="D5380">
        <v>4.3005019999999998</v>
      </c>
      <c r="E5380">
        <v>0.54936059999999998</v>
      </c>
      <c r="F5380" t="s">
        <v>42</v>
      </c>
      <c r="G5380">
        <v>-420.15719999999999</v>
      </c>
      <c r="H5380" s="1">
        <v>-1.7973980000000001E-6</v>
      </c>
      <c r="I5380">
        <v>93.681380000000004</v>
      </c>
      <c r="J5380">
        <v>-420.43349999999998</v>
      </c>
      <c r="K5380">
        <v>1.1117699999999999</v>
      </c>
      <c r="L5380">
        <v>105.5672</v>
      </c>
      <c r="M5380">
        <v>-0.1362949</v>
      </c>
      <c r="N5380">
        <v>-9.7221819999999994E-3</v>
      </c>
      <c r="O5380">
        <v>-0.99062090000000003</v>
      </c>
      <c r="P5380">
        <v>5.907743E-2</v>
      </c>
      <c r="Q5380">
        <v>0.3602843</v>
      </c>
      <c r="R5380">
        <v>-0.93097010000000002</v>
      </c>
      <c r="S5380">
        <v>6.6894529999999994E-2</v>
      </c>
      <c r="T5380">
        <v>-0.30596010000000001</v>
      </c>
      <c r="U5380">
        <v>-3.3407290000000001</v>
      </c>
      <c r="V5380">
        <v>-0.18683959999999999</v>
      </c>
      <c r="W5380">
        <v>0.36843880000000001</v>
      </c>
      <c r="X5380">
        <v>0.91068320000000003</v>
      </c>
      <c r="Y5380">
        <v>-0.155962299999999</v>
      </c>
      <c r="Z5380">
        <v>7.9661289999999996E-2</v>
      </c>
      <c r="AA5380">
        <v>0.98454549999999996</v>
      </c>
      <c r="AB5380">
        <v>27</v>
      </c>
      <c r="AC5380">
        <v>0.276299999999992</v>
      </c>
      <c r="AD5380">
        <v>-1.1117717973979999</v>
      </c>
      <c r="AE5380">
        <v>-11.885819999999899</v>
      </c>
      <c r="AF5380">
        <v>-1.8773574677406</v>
      </c>
      <c r="AG5380">
        <v>-1.1117717973979999</v>
      </c>
      <c r="AH5380">
        <v>11.635487376269699</v>
      </c>
      <c r="AI5380">
        <v>95.388772285523203</v>
      </c>
      <c r="AJ5380">
        <v>99.165543185675702</v>
      </c>
      <c r="AK5380">
        <v>11.838288477415301</v>
      </c>
      <c r="AL5380">
        <v>68.380634651900706</v>
      </c>
      <c r="AM5380">
        <v>101.594155068418</v>
      </c>
      <c r="AN5380">
        <v>1.0000000381179099</v>
      </c>
    </row>
    <row r="5381" spans="1:40" x14ac:dyDescent="0.25">
      <c r="A5381" t="str">
        <f>"20190304164234537"</f>
        <v>20190304164234537</v>
      </c>
      <c r="B5381" t="str">
        <f>"1551688954527036"</f>
        <v>1551688954527036</v>
      </c>
      <c r="C5381" t="s">
        <v>40</v>
      </c>
      <c r="D5381">
        <v>4.210324</v>
      </c>
      <c r="E5381">
        <v>0.55370980000000003</v>
      </c>
      <c r="F5381" t="s">
        <v>42</v>
      </c>
      <c r="G5381">
        <v>-420.92570000000001</v>
      </c>
      <c r="H5381" s="1">
        <v>-2.4298940000000001E-6</v>
      </c>
      <c r="I5381">
        <v>94.679119999999998</v>
      </c>
      <c r="J5381">
        <v>-420.46850000000001</v>
      </c>
      <c r="K5381">
        <v>1.1116520000000001</v>
      </c>
      <c r="L5381">
        <v>105.2967</v>
      </c>
      <c r="M5381">
        <v>-0.1342575</v>
      </c>
      <c r="N5381">
        <v>-9.6864810000000003E-3</v>
      </c>
      <c r="O5381">
        <v>-0.99089939999999999</v>
      </c>
      <c r="P5381">
        <v>5.8688669999999998E-2</v>
      </c>
      <c r="Q5381">
        <v>0.35769899999999999</v>
      </c>
      <c r="R5381">
        <v>-0.93199129999999997</v>
      </c>
      <c r="S5381">
        <v>-0.1520996</v>
      </c>
      <c r="T5381">
        <v>-0.34360469999999999</v>
      </c>
      <c r="U5381">
        <v>-3.3650820000000001</v>
      </c>
      <c r="V5381">
        <v>-0.18461259999999999</v>
      </c>
      <c r="W5381">
        <v>0.36588769999999998</v>
      </c>
      <c r="X5381">
        <v>0.91216470000000005</v>
      </c>
      <c r="Y5381">
        <v>-8.951887E-2</v>
      </c>
      <c r="Z5381">
        <v>9.0339180000000005E-2</v>
      </c>
      <c r="AA5381">
        <v>0.99187959999999997</v>
      </c>
      <c r="AB5381">
        <v>27</v>
      </c>
      <c r="AC5381">
        <v>-0.4572</v>
      </c>
      <c r="AD5381">
        <v>-1.1116544298940001</v>
      </c>
      <c r="AE5381">
        <v>-10.61758</v>
      </c>
      <c r="AF5381">
        <v>-0.96197033935482401</v>
      </c>
      <c r="AG5381">
        <v>-1.1116544298940001</v>
      </c>
      <c r="AH5381">
        <v>10.468289229833999</v>
      </c>
      <c r="AI5381">
        <v>96.036423456725302</v>
      </c>
      <c r="AJ5381">
        <v>95.250378223713597</v>
      </c>
      <c r="AK5381">
        <v>10.571009502633199</v>
      </c>
      <c r="AL5381">
        <v>68.537777199031197</v>
      </c>
      <c r="AM5381">
        <v>101.44151690228</v>
      </c>
      <c r="AN5381">
        <v>1.0000000305080601</v>
      </c>
    </row>
    <row r="5382" spans="1:40" x14ac:dyDescent="0.25">
      <c r="A5382" t="str">
        <f>"20190304164234560"</f>
        <v>20190304164234560</v>
      </c>
      <c r="B5382" t="str">
        <f>"1551688954556316"</f>
        <v>1551688954556316</v>
      </c>
      <c r="C5382" t="s">
        <v>40</v>
      </c>
      <c r="D5382">
        <v>4.2177220000000002</v>
      </c>
      <c r="E5382">
        <v>0.55589709999999903</v>
      </c>
      <c r="F5382" t="s">
        <v>42</v>
      </c>
      <c r="G5382">
        <v>-421.06049999999999</v>
      </c>
      <c r="H5382" s="1">
        <v>-2.4636309999999998E-6</v>
      </c>
      <c r="I5382">
        <v>94.674139999999994</v>
      </c>
      <c r="J5382">
        <v>-420.50310000000002</v>
      </c>
      <c r="K5382">
        <v>1.1115379999999999</v>
      </c>
      <c r="L5382">
        <v>105.0258</v>
      </c>
      <c r="M5382">
        <v>-0.13235930000000001</v>
      </c>
      <c r="N5382">
        <v>-9.6552180000000001E-3</v>
      </c>
      <c r="O5382">
        <v>-0.9911548</v>
      </c>
      <c r="P5382">
        <v>5.8253230000000003E-2</v>
      </c>
      <c r="Q5382">
        <v>0.35409099999999999</v>
      </c>
      <c r="R5382">
        <v>-0.93339499999999997</v>
      </c>
      <c r="S5382">
        <v>-0.1875916</v>
      </c>
      <c r="T5382">
        <v>-0.35224250000000001</v>
      </c>
      <c r="U5382">
        <v>-3.3659059999999998</v>
      </c>
      <c r="V5382">
        <v>-0.1825088</v>
      </c>
      <c r="W5382">
        <v>0.36232150000000002</v>
      </c>
      <c r="X5382">
        <v>0.91400970000000004</v>
      </c>
      <c r="Y5382">
        <v>-7.7202850000000003E-2</v>
      </c>
      <c r="Z5382">
        <v>9.2906820000000001E-2</v>
      </c>
      <c r="AA5382">
        <v>0.99267720000000004</v>
      </c>
      <c r="AB5382">
        <v>27</v>
      </c>
      <c r="AC5382">
        <v>-0.55739999999997203</v>
      </c>
      <c r="AD5382">
        <v>-1.111540463631</v>
      </c>
      <c r="AE5382">
        <v>-10.351659999999899</v>
      </c>
      <c r="AF5382">
        <v>-0.80841280419388095</v>
      </c>
      <c r="AG5382">
        <v>-1.111540463631</v>
      </c>
      <c r="AH5382">
        <v>10.216895476301101</v>
      </c>
      <c r="AI5382">
        <v>96.189841057770906</v>
      </c>
      <c r="AJ5382">
        <v>94.524108108556106</v>
      </c>
      <c r="AK5382">
        <v>10.3089284912612</v>
      </c>
      <c r="AL5382">
        <v>68.757164794412404</v>
      </c>
      <c r="AM5382">
        <v>101.292262319602</v>
      </c>
      <c r="AN5382">
        <v>1.00000003156688</v>
      </c>
    </row>
    <row r="5383" spans="1:40" x14ac:dyDescent="0.25">
      <c r="A5383" t="str">
        <f>"20190304164234582"</f>
        <v>20190304164234582</v>
      </c>
      <c r="B5383" t="str">
        <f>"1551688954576811"</f>
        <v>1551688954576811</v>
      </c>
      <c r="C5383" t="s">
        <v>40</v>
      </c>
      <c r="D5383">
        <v>4.1882609999999998</v>
      </c>
      <c r="E5383">
        <v>0.55662270000000003</v>
      </c>
      <c r="F5383" t="s">
        <v>42</v>
      </c>
      <c r="G5383">
        <v>-421.13130000000001</v>
      </c>
      <c r="H5383" s="1">
        <v>-2.4890479999999999E-6</v>
      </c>
      <c r="I5383">
        <v>94.689480000000003</v>
      </c>
      <c r="J5383">
        <v>-420.5378</v>
      </c>
      <c r="K5383">
        <v>1.1114219999999999</v>
      </c>
      <c r="L5383">
        <v>104.7499</v>
      </c>
      <c r="M5383">
        <v>-0.13056189999999901</v>
      </c>
      <c r="N5383">
        <v>-9.6277900000000007E-3</v>
      </c>
      <c r="O5383">
        <v>-0.99139339999999998</v>
      </c>
      <c r="P5383">
        <v>5.814983E-2</v>
      </c>
      <c r="Q5383">
        <v>0.34934860000000001</v>
      </c>
      <c r="R5383">
        <v>-0.93518670000000004</v>
      </c>
      <c r="S5383">
        <v>-0.20446780000000001</v>
      </c>
      <c r="T5383">
        <v>-0.36176190000000003</v>
      </c>
      <c r="U5383">
        <v>-3.3640750000000001</v>
      </c>
      <c r="V5383">
        <v>-0.1808746</v>
      </c>
      <c r="W5383">
        <v>0.35762319999999997</v>
      </c>
      <c r="X5383">
        <v>0.91618230000000001</v>
      </c>
      <c r="Y5383">
        <v>-7.0419919999999997E-2</v>
      </c>
      <c r="Z5383">
        <v>9.5784419999999995E-2</v>
      </c>
      <c r="AA5383">
        <v>0.99290809999999996</v>
      </c>
      <c r="AB5383">
        <v>27</v>
      </c>
      <c r="AC5383">
        <v>-0.59350000000000502</v>
      </c>
      <c r="AD5383">
        <v>-1.1114244890479901</v>
      </c>
      <c r="AE5383">
        <v>-10.060419999999899</v>
      </c>
      <c r="AF5383">
        <v>-0.71643561624386298</v>
      </c>
      <c r="AG5383">
        <v>-1.1114244890479901</v>
      </c>
      <c r="AH5383">
        <v>9.9310037455239293</v>
      </c>
      <c r="AI5383">
        <v>96.369247942686201</v>
      </c>
      <c r="AJ5383">
        <v>94.126244312881099</v>
      </c>
      <c r="AK5383">
        <v>10.018651594934701</v>
      </c>
      <c r="AL5383">
        <v>69.045699633809093</v>
      </c>
      <c r="AM5383">
        <v>101.167838384194</v>
      </c>
      <c r="AN5383">
        <v>0.99999999046834498</v>
      </c>
    </row>
    <row r="5384" spans="1:40" x14ac:dyDescent="0.25">
      <c r="A5384" t="str">
        <f>"20190304164234604"</f>
        <v>20190304164234604</v>
      </c>
      <c r="B5384" t="str">
        <f>"1551688954596331"</f>
        <v>1551688954596331</v>
      </c>
      <c r="C5384" t="s">
        <v>40</v>
      </c>
      <c r="D5384">
        <v>4.1923170000000001</v>
      </c>
      <c r="E5384">
        <v>0.55696769999999995</v>
      </c>
      <c r="F5384" t="s">
        <v>42</v>
      </c>
      <c r="G5384">
        <v>-421.15390000000002</v>
      </c>
      <c r="H5384" s="1">
        <v>-2.550111E-6</v>
      </c>
      <c r="I5384">
        <v>94.817790000000002</v>
      </c>
      <c r="J5384">
        <v>-420.57029999999997</v>
      </c>
      <c r="K5384">
        <v>1.1113299999999999</v>
      </c>
      <c r="L5384">
        <v>104.49</v>
      </c>
      <c r="M5384">
        <v>-0.12898270000000001</v>
      </c>
      <c r="N5384">
        <v>-9.6057829999999997E-3</v>
      </c>
      <c r="O5384">
        <v>-0.99160060000000005</v>
      </c>
      <c r="P5384">
        <v>5.7333090000000003E-2</v>
      </c>
      <c r="Q5384">
        <v>0.34382410000000002</v>
      </c>
      <c r="R5384">
        <v>-0.93728270000000002</v>
      </c>
      <c r="S5384">
        <v>-0.20849609999999999</v>
      </c>
      <c r="T5384">
        <v>-0.3761466</v>
      </c>
      <c r="U5384">
        <v>-3.361389</v>
      </c>
      <c r="V5384">
        <v>-0.1787878</v>
      </c>
      <c r="W5384">
        <v>0.35214210000000001</v>
      </c>
      <c r="X5384">
        <v>0.91871150000000001</v>
      </c>
      <c r="Y5384">
        <v>-6.7623890000000006E-2</v>
      </c>
      <c r="Z5384">
        <v>0.10007580000000001</v>
      </c>
      <c r="AA5384">
        <v>0.99267910000000004</v>
      </c>
      <c r="AB5384">
        <v>27</v>
      </c>
      <c r="AC5384">
        <v>-0.58360000000004597</v>
      </c>
      <c r="AD5384">
        <v>-1.1113325501110001</v>
      </c>
      <c r="AE5384">
        <v>-9.6722099999999909</v>
      </c>
      <c r="AF5384">
        <v>-0.66019609339736796</v>
      </c>
      <c r="AG5384">
        <v>-1.1113325501110001</v>
      </c>
      <c r="AH5384">
        <v>9.5411819669120899</v>
      </c>
      <c r="AI5384">
        <v>96.628022535621497</v>
      </c>
      <c r="AJ5384">
        <v>93.958236359394604</v>
      </c>
      <c r="AK5384">
        <v>9.6283473267431408</v>
      </c>
      <c r="AL5384">
        <v>69.381607912812001</v>
      </c>
      <c r="AM5384">
        <v>101.012521691518</v>
      </c>
      <c r="AN5384">
        <v>0.99999997812674901</v>
      </c>
    </row>
    <row r="5385" spans="1:40" x14ac:dyDescent="0.25">
      <c r="A5385" t="str">
        <f>"20190304164234626"</f>
        <v>20190304164234626</v>
      </c>
      <c r="B5385" t="str">
        <f>"1551688954616828"</f>
        <v>1551688954616828</v>
      </c>
      <c r="C5385" t="s">
        <v>40</v>
      </c>
      <c r="D5385">
        <v>4.1710580000000004</v>
      </c>
      <c r="E5385">
        <v>0.55741580000000002</v>
      </c>
      <c r="F5385" t="s">
        <v>41</v>
      </c>
      <c r="G5385">
        <v>-420.62909999999999</v>
      </c>
      <c r="H5385">
        <v>1.002894</v>
      </c>
      <c r="I5385">
        <v>103.55929999999999</v>
      </c>
      <c r="J5385">
        <v>-420.60289999999998</v>
      </c>
      <c r="K5385">
        <v>1.1112599999999999</v>
      </c>
      <c r="L5385">
        <v>104.2256</v>
      </c>
      <c r="M5385">
        <v>-0.1274516</v>
      </c>
      <c r="N5385">
        <v>-9.5867000000000001E-3</v>
      </c>
      <c r="O5385">
        <v>-0.99179859999999997</v>
      </c>
      <c r="P5385">
        <v>5.8128010000000001E-2</v>
      </c>
      <c r="Q5385">
        <v>0.34118939999999998</v>
      </c>
      <c r="R5385">
        <v>-0.93819580000000002</v>
      </c>
      <c r="S5385">
        <v>-0.21112059999999999</v>
      </c>
      <c r="T5385">
        <v>-0.39125450000000001</v>
      </c>
      <c r="U5385">
        <v>-3.3571780000000002</v>
      </c>
      <c r="V5385">
        <v>-0.17821329999999999</v>
      </c>
      <c r="W5385">
        <v>0.3495259</v>
      </c>
      <c r="X5385">
        <v>0.91982160000000002</v>
      </c>
      <c r="Y5385">
        <v>-6.5262909999999993E-2</v>
      </c>
      <c r="Z5385">
        <v>0.1046253</v>
      </c>
      <c r="AA5385">
        <v>0.99236800000000003</v>
      </c>
      <c r="AB5385">
        <v>27</v>
      </c>
      <c r="AC5385">
        <v>-2.6200000000017099E-2</v>
      </c>
      <c r="AD5385">
        <v>-0.108366</v>
      </c>
      <c r="AE5385">
        <v>-0.666300000000006</v>
      </c>
      <c r="AF5385">
        <v>-5.7422037285458201E-2</v>
      </c>
      <c r="AG5385">
        <v>-0.108366</v>
      </c>
      <c r="AH5385">
        <v>0.64711449697541401</v>
      </c>
      <c r="AI5385">
        <v>99.4700279601429</v>
      </c>
      <c r="AJ5385">
        <v>95.070888878590495</v>
      </c>
      <c r="AK5385">
        <v>0.65863316991915599</v>
      </c>
      <c r="AL5385">
        <v>69.541681395836605</v>
      </c>
      <c r="AM5385">
        <v>100.96506850738901</v>
      </c>
      <c r="AN5385">
        <v>1.00000005544712</v>
      </c>
    </row>
    <row r="5386" spans="1:40" x14ac:dyDescent="0.25">
      <c r="A5386" t="str">
        <f>"20190304164234649"</f>
        <v>20190304164234649</v>
      </c>
      <c r="B5386" t="str">
        <f>"1551688954636347"</f>
        <v>1551688954636347</v>
      </c>
      <c r="C5386" t="s">
        <v>40</v>
      </c>
      <c r="D5386">
        <v>4.1886089999999996</v>
      </c>
      <c r="E5386">
        <v>0.55771159999999997</v>
      </c>
      <c r="F5386" t="s">
        <v>41</v>
      </c>
      <c r="G5386">
        <v>-420.66019999999997</v>
      </c>
      <c r="H5386">
        <v>1.0045770000000001</v>
      </c>
      <c r="I5386">
        <v>103.3176</v>
      </c>
      <c r="J5386">
        <v>-420.63589999999999</v>
      </c>
      <c r="K5386">
        <v>1.111221</v>
      </c>
      <c r="L5386">
        <v>103.95569999999999</v>
      </c>
      <c r="M5386">
        <v>-0.1259422</v>
      </c>
      <c r="N5386">
        <v>-9.5733810000000006E-3</v>
      </c>
      <c r="O5386">
        <v>-0.99199159999999997</v>
      </c>
      <c r="P5386">
        <v>5.7641900000000003E-2</v>
      </c>
      <c r="Q5386">
        <v>0.34015519999999999</v>
      </c>
      <c r="R5386">
        <v>-0.93860129999999997</v>
      </c>
      <c r="S5386">
        <v>-0.21087649999999999</v>
      </c>
      <c r="T5386">
        <v>-0.39416849999999998</v>
      </c>
      <c r="U5386">
        <v>-3.3540339999999902</v>
      </c>
      <c r="V5386">
        <v>-0.1763439</v>
      </c>
      <c r="W5386">
        <v>0.34850710000000001</v>
      </c>
      <c r="X5386">
        <v>0.9205681</v>
      </c>
      <c r="Y5386">
        <v>-6.376532E-2</v>
      </c>
      <c r="Z5386">
        <v>0.10562299999999999</v>
      </c>
      <c r="AA5386">
        <v>0.99235969999999996</v>
      </c>
      <c r="AB5386">
        <v>27</v>
      </c>
      <c r="AC5386">
        <v>-2.4299999999982402E-2</v>
      </c>
      <c r="AD5386">
        <v>-0.106643999999999</v>
      </c>
      <c r="AE5386">
        <v>-0.63809999999999401</v>
      </c>
      <c r="AF5386">
        <v>-5.4734287550484297E-2</v>
      </c>
      <c r="AG5386">
        <v>-0.106643999999999</v>
      </c>
      <c r="AH5386">
        <v>0.61881967469897103</v>
      </c>
      <c r="AI5386">
        <v>99.740701472892297</v>
      </c>
      <c r="AJ5386">
        <v>95.0546288198844</v>
      </c>
      <c r="AK5386">
        <v>0.63032259579059902</v>
      </c>
      <c r="AL5386">
        <v>69.603970123332502</v>
      </c>
      <c r="AM5386">
        <v>100.84420200405199</v>
      </c>
      <c r="AN5386">
        <v>0.99999999827761499</v>
      </c>
    </row>
    <row r="5387" spans="1:40" x14ac:dyDescent="0.25">
      <c r="A5387" t="str">
        <f>"20190304164234662"</f>
        <v>20190304164234662</v>
      </c>
      <c r="B5387" t="str">
        <f>"1551688954656844"</f>
        <v>1551688954656844</v>
      </c>
      <c r="C5387" t="s">
        <v>40</v>
      </c>
      <c r="D5387">
        <v>4.8378489999999896</v>
      </c>
      <c r="E5387">
        <v>0.55788149999999903</v>
      </c>
      <c r="F5387" t="s">
        <v>41</v>
      </c>
      <c r="G5387">
        <v>-420.6925</v>
      </c>
      <c r="H5387">
        <v>1.0085459999999999</v>
      </c>
      <c r="I5387">
        <v>103.0744</v>
      </c>
      <c r="J5387">
        <v>-420.65640000000002</v>
      </c>
      <c r="K5387">
        <v>1.1112040000000001</v>
      </c>
      <c r="L5387">
        <v>103.78660000000001</v>
      </c>
      <c r="M5387">
        <v>-0.12501199999999901</v>
      </c>
      <c r="N5387">
        <v>-9.5709990000000002E-3</v>
      </c>
      <c r="O5387">
        <v>-0.99210920000000002</v>
      </c>
      <c r="P5387">
        <v>5.7376120000000003E-2</v>
      </c>
      <c r="Q5387">
        <v>0.340526</v>
      </c>
      <c r="R5387">
        <v>-0.93848310000000001</v>
      </c>
      <c r="S5387">
        <v>-0.21417240000000001</v>
      </c>
      <c r="T5387">
        <v>-0.39050960000000001</v>
      </c>
      <c r="U5387">
        <v>-3.3509220000000002</v>
      </c>
      <c r="V5387">
        <v>-0.17518839999999999</v>
      </c>
      <c r="W5387">
        <v>0.34888560000000002</v>
      </c>
      <c r="X5387">
        <v>0.92064539999999995</v>
      </c>
      <c r="Y5387">
        <v>-6.1794780000000001E-2</v>
      </c>
      <c r="Z5387">
        <v>0.1046989</v>
      </c>
      <c r="AA5387">
        <v>0.99258230000000003</v>
      </c>
      <c r="AB5387">
        <v>27</v>
      </c>
      <c r="AC5387">
        <v>-3.60999999999762E-2</v>
      </c>
      <c r="AD5387">
        <v>-0.102658</v>
      </c>
      <c r="AE5387">
        <v>-0.71220000000000905</v>
      </c>
      <c r="AF5387">
        <v>-5.2140295038974702E-2</v>
      </c>
      <c r="AG5387">
        <v>-0.102658</v>
      </c>
      <c r="AH5387">
        <v>0.69668763690720403</v>
      </c>
      <c r="AI5387">
        <v>98.359256139237502</v>
      </c>
      <c r="AJ5387">
        <v>94.280052899288293</v>
      </c>
      <c r="AK5387">
        <v>0.70613804510881295</v>
      </c>
      <c r="AL5387">
        <v>69.580832380799905</v>
      </c>
      <c r="AM5387">
        <v>100.773930218827</v>
      </c>
      <c r="AN5387">
        <v>1.0000000449615301</v>
      </c>
    </row>
    <row r="5388" spans="1:40" x14ac:dyDescent="0.25">
      <c r="A5388" t="str">
        <f>"20190304164234683"</f>
        <v>20190304164234683</v>
      </c>
      <c r="B5388" t="str">
        <f>"1551688954676363"</f>
        <v>1551688954676363</v>
      </c>
      <c r="C5388" t="s">
        <v>40</v>
      </c>
      <c r="D5388">
        <v>4.1871720000000003</v>
      </c>
      <c r="E5388">
        <v>0.55819149999999995</v>
      </c>
      <c r="F5388" t="s">
        <v>41</v>
      </c>
      <c r="G5388">
        <v>-420.71780000000001</v>
      </c>
      <c r="H5388">
        <v>1.001735</v>
      </c>
      <c r="I5388">
        <v>102.836</v>
      </c>
      <c r="J5388">
        <v>-420.68610000000001</v>
      </c>
      <c r="K5388">
        <v>1.1112120000000001</v>
      </c>
      <c r="L5388">
        <v>103.5394</v>
      </c>
      <c r="M5388">
        <v>-0.12366679999999999</v>
      </c>
      <c r="N5388">
        <v>-9.5770990000000004E-3</v>
      </c>
      <c r="O5388">
        <v>-0.99227770000000004</v>
      </c>
      <c r="P5388">
        <v>5.6668219999999998E-2</v>
      </c>
      <c r="Q5388">
        <v>0.34118310000000002</v>
      </c>
      <c r="R5388">
        <v>-0.93828739999999999</v>
      </c>
      <c r="S5388">
        <v>-0.2156372</v>
      </c>
      <c r="T5388">
        <v>-0.38589469999999998</v>
      </c>
      <c r="U5388">
        <v>-3.3498540000000001</v>
      </c>
      <c r="V5388">
        <v>-0.17320260000000001</v>
      </c>
      <c r="W5388">
        <v>0.34955890000000001</v>
      </c>
      <c r="X5388">
        <v>0.92076559999999996</v>
      </c>
      <c r="Y5388">
        <v>-5.9981859999999998E-2</v>
      </c>
      <c r="Z5388">
        <v>0.1034287</v>
      </c>
      <c r="AA5388">
        <v>0.9928266</v>
      </c>
      <c r="AB5388">
        <v>27</v>
      </c>
      <c r="AC5388">
        <v>-3.17000000000007E-2</v>
      </c>
      <c r="AD5388">
        <v>-0.109477</v>
      </c>
      <c r="AE5388">
        <v>-0.70340000000000202</v>
      </c>
      <c r="AF5388">
        <v>-5.4223725829592E-2</v>
      </c>
      <c r="AG5388">
        <v>-0.109477</v>
      </c>
      <c r="AH5388">
        <v>0.68535234032976</v>
      </c>
      <c r="AI5388">
        <v>99.047850637869004</v>
      </c>
      <c r="AJ5388">
        <v>94.523705849968906</v>
      </c>
      <c r="AK5388">
        <v>0.69615605748088005</v>
      </c>
      <c r="AL5388">
        <v>69.539660605933804</v>
      </c>
      <c r="AM5388">
        <v>100.653257690365</v>
      </c>
      <c r="AN5388">
        <v>0.99999992767966195</v>
      </c>
    </row>
    <row r="5389" spans="1:40" x14ac:dyDescent="0.25">
      <c r="A5389" t="str">
        <f>"20190304164234695"</f>
        <v>20190304164234695</v>
      </c>
      <c r="B5389" t="str">
        <f>"1551688954686123"</f>
        <v>1551688954686123</v>
      </c>
      <c r="C5389" t="s">
        <v>40</v>
      </c>
      <c r="D5389">
        <v>4.2860060000000004</v>
      </c>
      <c r="E5389">
        <v>0.55830559999999996</v>
      </c>
      <c r="F5389" t="s">
        <v>41</v>
      </c>
      <c r="G5389">
        <v>-420.74829999999997</v>
      </c>
      <c r="H5389">
        <v>1.0046520000000001</v>
      </c>
      <c r="I5389">
        <v>102.59220000000001</v>
      </c>
      <c r="J5389">
        <v>-420.70580000000001</v>
      </c>
      <c r="K5389">
        <v>1.111213</v>
      </c>
      <c r="L5389">
        <v>103.3732</v>
      </c>
      <c r="M5389">
        <v>-0.1227642</v>
      </c>
      <c r="N5389">
        <v>-9.5832369999999997E-3</v>
      </c>
      <c r="O5389">
        <v>-0.99238959999999998</v>
      </c>
      <c r="P5389">
        <v>5.6293210000000003E-2</v>
      </c>
      <c r="Q5389">
        <v>0.34081689999999998</v>
      </c>
      <c r="R5389">
        <v>-0.93844300000000003</v>
      </c>
      <c r="S5389">
        <v>-0.2189941</v>
      </c>
      <c r="T5389">
        <v>-0.37671510000000002</v>
      </c>
      <c r="U5389">
        <v>-3.347534</v>
      </c>
      <c r="V5389">
        <v>-0.17200650000000001</v>
      </c>
      <c r="W5389">
        <v>0.34920559999999901</v>
      </c>
      <c r="X5389">
        <v>0.9211239</v>
      </c>
      <c r="Y5389">
        <v>-5.8022959999999998E-2</v>
      </c>
      <c r="Z5389">
        <v>0.10086489999999999</v>
      </c>
      <c r="AA5389">
        <v>0.9932067</v>
      </c>
      <c r="AB5389">
        <v>27</v>
      </c>
      <c r="AC5389">
        <v>-4.2499999999961298E-2</v>
      </c>
      <c r="AD5389">
        <v>-0.106560999999999</v>
      </c>
      <c r="AE5389">
        <v>-0.78099999999999103</v>
      </c>
      <c r="AF5389">
        <v>-5.2726079198934302E-2</v>
      </c>
      <c r="AG5389">
        <v>-0.106560999999999</v>
      </c>
      <c r="AH5389">
        <v>0.76608989740382405</v>
      </c>
      <c r="AI5389">
        <v>97.900422093344901</v>
      </c>
      <c r="AJ5389">
        <v>93.937168901769894</v>
      </c>
      <c r="AK5389">
        <v>0.77526061234458099</v>
      </c>
      <c r="AL5389">
        <v>69.561266514628599</v>
      </c>
      <c r="AM5389">
        <v>100.577332511176</v>
      </c>
      <c r="AN5389">
        <v>1.00000001313241</v>
      </c>
    </row>
    <row r="5390" spans="1:40" x14ac:dyDescent="0.25">
      <c r="A5390" t="str">
        <f>"20190304164234715"</f>
        <v>20190304164234715</v>
      </c>
      <c r="B5390" t="str">
        <f>"1551688954706619"</f>
        <v>1551688954706619</v>
      </c>
      <c r="C5390" t="s">
        <v>40</v>
      </c>
      <c r="D5390">
        <v>4.1694959999999996</v>
      </c>
      <c r="E5390">
        <v>0.55845419999999901</v>
      </c>
      <c r="F5390" t="s">
        <v>42</v>
      </c>
      <c r="G5390">
        <v>-421.36219999999997</v>
      </c>
      <c r="H5390" s="1">
        <v>-1.9868460000000002E-6</v>
      </c>
      <c r="I5390">
        <v>93.375640000000004</v>
      </c>
      <c r="J5390">
        <v>-420.733</v>
      </c>
      <c r="K5390">
        <v>1.1112109999999999</v>
      </c>
      <c r="L5390">
        <v>103.1422</v>
      </c>
      <c r="M5390">
        <v>-0.121506</v>
      </c>
      <c r="N5390">
        <v>-9.5919330000000004E-3</v>
      </c>
      <c r="O5390">
        <v>-0.99254439999999999</v>
      </c>
      <c r="P5390">
        <v>5.6007519999999998E-2</v>
      </c>
      <c r="Q5390">
        <v>0.33872980000000003</v>
      </c>
      <c r="R5390">
        <v>-0.93921560000000004</v>
      </c>
      <c r="S5390">
        <v>-0.21960450000000001</v>
      </c>
      <c r="T5390">
        <v>-0.37179230000000002</v>
      </c>
      <c r="U5390">
        <v>-3.3450009999999999</v>
      </c>
      <c r="V5390">
        <v>-0.17063979999999901</v>
      </c>
      <c r="W5390">
        <v>0.34713949999999999</v>
      </c>
      <c r="X5390">
        <v>0.92215849999999999</v>
      </c>
      <c r="Y5390">
        <v>-5.6520250000000001E-2</v>
      </c>
      <c r="Z5390">
        <v>9.9541119999999997E-2</v>
      </c>
      <c r="AA5390">
        <v>0.9934269</v>
      </c>
      <c r="AB5390">
        <v>27</v>
      </c>
      <c r="AC5390">
        <v>-0.62919999999996801</v>
      </c>
      <c r="AD5390">
        <v>-1.1112129868459999</v>
      </c>
      <c r="AE5390">
        <v>-9.7665599999999895</v>
      </c>
      <c r="AF5390">
        <v>-0.55505687262538295</v>
      </c>
      <c r="AG5390">
        <v>-1.1112129868459999</v>
      </c>
      <c r="AH5390">
        <v>9.6462872827185908</v>
      </c>
      <c r="AI5390">
        <v>96.560518298090798</v>
      </c>
      <c r="AJ5390">
        <v>93.293224214363207</v>
      </c>
      <c r="AK5390">
        <v>9.7259313577015494</v>
      </c>
      <c r="AL5390">
        <v>69.687547140784204</v>
      </c>
      <c r="AM5390">
        <v>100.483649857028</v>
      </c>
      <c r="AN5390">
        <v>1.00000003646326</v>
      </c>
    </row>
    <row r="5391" spans="1:40" x14ac:dyDescent="0.25">
      <c r="A5391" t="str">
        <f>"20190304164234738"</f>
        <v>20190304164234738</v>
      </c>
      <c r="B5391" t="str">
        <f>"1551688954726139"</f>
        <v>1551688954726139</v>
      </c>
      <c r="C5391" t="s">
        <v>40</v>
      </c>
      <c r="D5391">
        <v>4.693022</v>
      </c>
      <c r="E5391">
        <v>0.55855030000000006</v>
      </c>
      <c r="F5391" t="s">
        <v>42</v>
      </c>
      <c r="G5391">
        <v>-421.3997</v>
      </c>
      <c r="H5391" s="1">
        <v>-1.857529E-6</v>
      </c>
      <c r="I5391">
        <v>93.050929999999994</v>
      </c>
      <c r="J5391">
        <v>-420.76530000000002</v>
      </c>
      <c r="K5391">
        <v>1.1112089999999999</v>
      </c>
      <c r="L5391">
        <v>102.86490000000001</v>
      </c>
      <c r="M5391">
        <v>-0.1199867</v>
      </c>
      <c r="N5391">
        <v>-9.6026459999999994E-3</v>
      </c>
      <c r="O5391">
        <v>-0.99272919999999998</v>
      </c>
      <c r="P5391">
        <v>5.7115899999999997E-2</v>
      </c>
      <c r="Q5391">
        <v>0.33617709999999901</v>
      </c>
      <c r="R5391">
        <v>-0.94006540000000005</v>
      </c>
      <c r="S5391">
        <v>-0.22064210000000001</v>
      </c>
      <c r="T5391">
        <v>-0.3677841</v>
      </c>
      <c r="U5391">
        <v>-3.339966</v>
      </c>
      <c r="V5391">
        <v>-0.17042189999999999</v>
      </c>
      <c r="W5391">
        <v>0.34460540000000001</v>
      </c>
      <c r="X5391">
        <v>0.92314870000000004</v>
      </c>
      <c r="Y5391">
        <v>-5.4581659999999997E-2</v>
      </c>
      <c r="Z5391">
        <v>9.8563059999999994E-2</v>
      </c>
      <c r="AA5391">
        <v>0.99363279999999998</v>
      </c>
      <c r="AB5391">
        <v>27</v>
      </c>
      <c r="AC5391">
        <v>-0.63439999999997099</v>
      </c>
      <c r="AD5391">
        <v>-1.1112108575290001</v>
      </c>
      <c r="AE5391">
        <v>-9.8139699999999905</v>
      </c>
      <c r="AF5391">
        <v>-0.540878198363135</v>
      </c>
      <c r="AG5391">
        <v>-1.1112108575290001</v>
      </c>
      <c r="AH5391">
        <v>9.6954032306617801</v>
      </c>
      <c r="AI5391">
        <v>96.528199626489496</v>
      </c>
      <c r="AJ5391">
        <v>93.193054287309295</v>
      </c>
      <c r="AK5391">
        <v>9.77385198376167</v>
      </c>
      <c r="AL5391">
        <v>69.842290511162204</v>
      </c>
      <c r="AM5391">
        <v>100.45957584333399</v>
      </c>
      <c r="AN5391">
        <v>1.0000000140102301</v>
      </c>
    </row>
    <row r="5392" spans="1:40" x14ac:dyDescent="0.25">
      <c r="A5392" t="str">
        <f>"20190304164234761"</f>
        <v>20190304164234761</v>
      </c>
      <c r="B5392" t="str">
        <f>"1551688954756395"</f>
        <v>1551688954756395</v>
      </c>
      <c r="C5392" t="s">
        <v>40</v>
      </c>
      <c r="D5392">
        <v>4.2138359999999997</v>
      </c>
      <c r="E5392">
        <v>0.55239879999999997</v>
      </c>
      <c r="F5392" t="s">
        <v>42</v>
      </c>
      <c r="G5392">
        <v>-421.4255</v>
      </c>
      <c r="H5392" s="1">
        <v>-1.7647339999999999E-6</v>
      </c>
      <c r="I5392">
        <v>92.818629999999999</v>
      </c>
      <c r="J5392">
        <v>-420.79689999999999</v>
      </c>
      <c r="K5392">
        <v>1.1112089999999999</v>
      </c>
      <c r="L5392">
        <v>102.5894</v>
      </c>
      <c r="M5392">
        <v>-0.1184653</v>
      </c>
      <c r="N5392">
        <v>-9.6139520000000003E-3</v>
      </c>
      <c r="O5392">
        <v>-0.99291169999999995</v>
      </c>
      <c r="P5392">
        <v>5.8910539999999997E-2</v>
      </c>
      <c r="Q5392">
        <v>0.33482190000000001</v>
      </c>
      <c r="R5392">
        <v>-0.94043829999999995</v>
      </c>
      <c r="S5392">
        <v>-0.21926880000000001</v>
      </c>
      <c r="T5392">
        <v>-0.36905549999999998</v>
      </c>
      <c r="U5392">
        <v>-3.3365779999999998</v>
      </c>
      <c r="V5392">
        <v>-0.17082800000000001</v>
      </c>
      <c r="W5392">
        <v>0.3432617</v>
      </c>
      <c r="X5392">
        <v>0.92357409999999995</v>
      </c>
      <c r="Y5392">
        <v>-5.3396119999999998E-2</v>
      </c>
      <c r="Z5392">
        <v>9.9064280000000005E-2</v>
      </c>
      <c r="AA5392">
        <v>0.99364739999999996</v>
      </c>
      <c r="AB5392">
        <v>27</v>
      </c>
      <c r="AC5392">
        <v>-0.62860000000000504</v>
      </c>
      <c r="AD5392">
        <v>-1.1112107647339999</v>
      </c>
      <c r="AE5392">
        <v>-9.7707700000000006</v>
      </c>
      <c r="AF5392">
        <v>-0.52659458983009899</v>
      </c>
      <c r="AG5392">
        <v>-1.1112107647339999</v>
      </c>
      <c r="AH5392">
        <v>9.6521040378415108</v>
      </c>
      <c r="AI5392">
        <v>96.557669642239205</v>
      </c>
      <c r="AJ5392">
        <v>93.122818117040495</v>
      </c>
      <c r="AK5392">
        <v>9.7301183745633502</v>
      </c>
      <c r="AL5392">
        <v>69.924279608702307</v>
      </c>
      <c r="AM5392">
        <v>100.47922615067201</v>
      </c>
      <c r="AN5392">
        <v>0.99999995923084894</v>
      </c>
    </row>
    <row r="5393" spans="1:40" x14ac:dyDescent="0.25">
      <c r="A5393" t="str">
        <f>"20190304164234783"</f>
        <v>20190304164234783</v>
      </c>
      <c r="B5393" t="str">
        <f>"1551688954776892"</f>
        <v>1551688954776892</v>
      </c>
      <c r="C5393" t="s">
        <v>40</v>
      </c>
      <c r="D5393">
        <v>4.1873659999999999</v>
      </c>
      <c r="E5393">
        <v>0.551257</v>
      </c>
      <c r="F5393" t="s">
        <v>42</v>
      </c>
      <c r="G5393">
        <v>-421.52499999999998</v>
      </c>
      <c r="H5393" s="1">
        <v>-4.2093490000000004E-6</v>
      </c>
      <c r="I5393">
        <v>88.561260000000004</v>
      </c>
      <c r="J5393">
        <v>-420.82799999999997</v>
      </c>
      <c r="K5393">
        <v>1.111208</v>
      </c>
      <c r="L5393">
        <v>102.31480000000001</v>
      </c>
      <c r="M5393">
        <v>-0.1169432</v>
      </c>
      <c r="N5393">
        <v>-9.6257180000000001E-3</v>
      </c>
      <c r="O5393">
        <v>-0.99309210000000003</v>
      </c>
      <c r="P5393">
        <v>6.0530250000000001E-2</v>
      </c>
      <c r="Q5393">
        <v>0.33480670000000001</v>
      </c>
      <c r="R5393">
        <v>-0.94034079999999998</v>
      </c>
      <c r="S5393">
        <v>-0.170929</v>
      </c>
      <c r="T5393">
        <v>-0.26089440000000003</v>
      </c>
      <c r="U5393">
        <v>-3.2935789999999998</v>
      </c>
      <c r="V5393">
        <v>-0.17100760000000001</v>
      </c>
      <c r="W5393">
        <v>0.34325499999999998</v>
      </c>
      <c r="X5393">
        <v>0.92354340000000001</v>
      </c>
      <c r="Y5393">
        <v>-6.5413239999999997E-2</v>
      </c>
      <c r="Z5393">
        <v>6.8447910000000001E-2</v>
      </c>
      <c r="AA5393">
        <v>0.9955079</v>
      </c>
      <c r="AB5393">
        <v>27</v>
      </c>
      <c r="AC5393">
        <v>-0.696999999999945</v>
      </c>
      <c r="AD5393">
        <v>-1.111212209349</v>
      </c>
      <c r="AE5393">
        <v>-13.753539999999999</v>
      </c>
      <c r="AF5393">
        <v>-0.91031300813687299</v>
      </c>
      <c r="AG5393">
        <v>-1.111212209349</v>
      </c>
      <c r="AH5393">
        <v>13.651788465335899</v>
      </c>
      <c r="AI5393">
        <v>94.643169628645495</v>
      </c>
      <c r="AJ5393">
        <v>93.814884506506004</v>
      </c>
      <c r="AK5393">
        <v>13.7271552278419</v>
      </c>
      <c r="AL5393">
        <v>69.924689239678898</v>
      </c>
      <c r="AM5393">
        <v>100.490340014545</v>
      </c>
      <c r="AN5393">
        <v>1.0000000029831599</v>
      </c>
    </row>
    <row r="5394" spans="1:40" x14ac:dyDescent="0.25">
      <c r="A5394" t="str">
        <f>"20190304164234805"</f>
        <v>20190304164234805</v>
      </c>
      <c r="B5394" t="str">
        <f>"1551688954796411"</f>
        <v>1551688954796411</v>
      </c>
      <c r="C5394" t="s">
        <v>40</v>
      </c>
      <c r="D5394">
        <v>4.2257339999999903</v>
      </c>
      <c r="E5394">
        <v>0.55152679999999998</v>
      </c>
      <c r="F5394" t="s">
        <v>42</v>
      </c>
      <c r="G5394">
        <v>-421.43119999999999</v>
      </c>
      <c r="H5394" s="1">
        <v>-4.496627E-6</v>
      </c>
      <c r="I5394">
        <v>89.454300000000003</v>
      </c>
      <c r="J5394">
        <v>-420.85730000000001</v>
      </c>
      <c r="K5394">
        <v>1.111216</v>
      </c>
      <c r="L5394">
        <v>102.05240000000001</v>
      </c>
      <c r="M5394">
        <v>-0.1154902</v>
      </c>
      <c r="N5394">
        <v>-9.6364850000000002E-3</v>
      </c>
      <c r="O5394">
        <v>-0.99326179999999997</v>
      </c>
      <c r="P5394">
        <v>6.2116369999999997E-2</v>
      </c>
      <c r="Q5394">
        <v>0.3349356</v>
      </c>
      <c r="R5394">
        <v>-0.94019129999999995</v>
      </c>
      <c r="S5394">
        <v>-0.15487670000000001</v>
      </c>
      <c r="T5394">
        <v>-0.285298</v>
      </c>
      <c r="U5394">
        <v>-3.3018800000000001</v>
      </c>
      <c r="V5394">
        <v>-0.1712108</v>
      </c>
      <c r="W5394">
        <v>0.34339199999999998</v>
      </c>
      <c r="X5394">
        <v>0.92345480000000002</v>
      </c>
      <c r="Y5394">
        <v>-6.8930400000000003E-2</v>
      </c>
      <c r="Z5394">
        <v>7.5494560000000002E-2</v>
      </c>
      <c r="AA5394">
        <v>0.99476089999999995</v>
      </c>
      <c r="AB5394">
        <v>28</v>
      </c>
      <c r="AC5394">
        <v>-0.57389999999997998</v>
      </c>
      <c r="AD5394">
        <v>-1.1112204966270001</v>
      </c>
      <c r="AE5394">
        <v>-12.598100000000001</v>
      </c>
      <c r="AF5394">
        <v>-0.87814729121132595</v>
      </c>
      <c r="AG5394">
        <v>-1.1112204966270001</v>
      </c>
      <c r="AH5394">
        <v>12.483156123732201</v>
      </c>
      <c r="AI5394">
        <v>95.074449501255103</v>
      </c>
      <c r="AJ5394">
        <v>94.023932979498596</v>
      </c>
      <c r="AK5394">
        <v>12.563245618336699</v>
      </c>
      <c r="AL5394">
        <v>69.916331362214095</v>
      </c>
      <c r="AM5394">
        <v>100.503513213628</v>
      </c>
      <c r="AN5394">
        <v>0.99999998567183901</v>
      </c>
    </row>
    <row r="5395" spans="1:40" x14ac:dyDescent="0.25">
      <c r="A5395" t="str">
        <f>"20190304164234819"</f>
        <v>20190304164234819</v>
      </c>
      <c r="B5395" t="str">
        <f>"1551688954806171"</f>
        <v>1551688954806171</v>
      </c>
      <c r="C5395" t="s">
        <v>40</v>
      </c>
      <c r="D5395">
        <v>4.2240219999999997</v>
      </c>
      <c r="E5395">
        <v>0.55165750000000002</v>
      </c>
      <c r="F5395" t="s">
        <v>42</v>
      </c>
      <c r="G5395">
        <v>-421.42180000000002</v>
      </c>
      <c r="H5395" s="1">
        <v>-4.5473450000000003E-6</v>
      </c>
      <c r="I5395">
        <v>89.608239999999995</v>
      </c>
      <c r="J5395">
        <v>-420.87740000000002</v>
      </c>
      <c r="K5395">
        <v>1.111216</v>
      </c>
      <c r="L5395">
        <v>101.8708</v>
      </c>
      <c r="M5395">
        <v>-0.1144878</v>
      </c>
      <c r="N5395">
        <v>-9.6436339999999999E-3</v>
      </c>
      <c r="O5395">
        <v>-0.99337819999999999</v>
      </c>
      <c r="P5395">
        <v>6.3237139999999997E-2</v>
      </c>
      <c r="Q5395">
        <v>0.33454430000000002</v>
      </c>
      <c r="R5395">
        <v>-0.94025610000000004</v>
      </c>
      <c r="S5395">
        <v>-0.1499634</v>
      </c>
      <c r="T5395">
        <v>-0.295207</v>
      </c>
      <c r="U5395">
        <v>-3.3059080000000001</v>
      </c>
      <c r="V5395">
        <v>-0.1713953</v>
      </c>
      <c r="W5395">
        <v>0.34300819999999999</v>
      </c>
      <c r="X5395">
        <v>0.92356320000000003</v>
      </c>
      <c r="Y5395">
        <v>-6.9464369999999998E-2</v>
      </c>
      <c r="Z5395">
        <v>7.8330979999999995E-2</v>
      </c>
      <c r="AA5395">
        <v>0.99450439999999996</v>
      </c>
      <c r="AB5395">
        <v>28</v>
      </c>
      <c r="AC5395">
        <v>-0.544399999999996</v>
      </c>
      <c r="AD5395">
        <v>-1.1112205473450001</v>
      </c>
      <c r="AE5395">
        <v>-12.262559999999899</v>
      </c>
      <c r="AF5395">
        <v>-0.85614162602419497</v>
      </c>
      <c r="AG5395">
        <v>-1.1112205473450001</v>
      </c>
      <c r="AH5395">
        <v>12.1447182034817</v>
      </c>
      <c r="AI5395">
        <v>95.215036674834593</v>
      </c>
      <c r="AJ5395">
        <v>94.032393750930694</v>
      </c>
      <c r="AK5395">
        <v>12.225463992447599</v>
      </c>
      <c r="AL5395">
        <v>69.939743346803397</v>
      </c>
      <c r="AM5395">
        <v>100.513373115768</v>
      </c>
      <c r="AN5395">
        <v>0.99999997926178397</v>
      </c>
    </row>
    <row r="5396" spans="1:40" x14ac:dyDescent="0.25">
      <c r="A5396" t="str">
        <f>"20190304164234838"</f>
        <v>20190304164234838</v>
      </c>
      <c r="B5396" t="str">
        <f>"1551688954826667"</f>
        <v>1551688954826667</v>
      </c>
      <c r="C5396" t="s">
        <v>40</v>
      </c>
      <c r="D5396">
        <v>4.2094649999999998</v>
      </c>
      <c r="E5396">
        <v>0.55181569999999902</v>
      </c>
      <c r="F5396" t="s">
        <v>42</v>
      </c>
      <c r="G5396">
        <v>-421.42250000000001</v>
      </c>
      <c r="H5396" s="1">
        <v>-4.5387259999999997E-6</v>
      </c>
      <c r="I5396">
        <v>89.582579999999993</v>
      </c>
      <c r="J5396">
        <v>-420.90249999999997</v>
      </c>
      <c r="K5396">
        <v>1.1112070000000001</v>
      </c>
      <c r="L5396">
        <v>101.64190000000001</v>
      </c>
      <c r="M5396">
        <v>-0.1132333</v>
      </c>
      <c r="N5396">
        <v>-9.6522210000000008E-3</v>
      </c>
      <c r="O5396">
        <v>-0.9935216</v>
      </c>
      <c r="P5396">
        <v>6.5327300000000005E-2</v>
      </c>
      <c r="Q5396">
        <v>0.33314959999999999</v>
      </c>
      <c r="R5396">
        <v>-0.94060860000000002</v>
      </c>
      <c r="S5396">
        <v>-0.14666750000000001</v>
      </c>
      <c r="T5396">
        <v>-0.29904120000000001</v>
      </c>
      <c r="U5396">
        <v>-3.3068849999999999</v>
      </c>
      <c r="V5396">
        <v>-0.1723346</v>
      </c>
      <c r="W5396">
        <v>0.34162340000000002</v>
      </c>
      <c r="X5396">
        <v>0.92390170000000005</v>
      </c>
      <c r="Y5396">
        <v>-6.9210859999999999E-2</v>
      </c>
      <c r="Z5396">
        <v>7.9451259999999996E-2</v>
      </c>
      <c r="AA5396">
        <v>0.99443320000000002</v>
      </c>
      <c r="AB5396">
        <v>28</v>
      </c>
      <c r="AC5396">
        <v>-0.52000000000003799</v>
      </c>
      <c r="AD5396">
        <v>-1.111211538726</v>
      </c>
      <c r="AE5396">
        <v>-12.05932</v>
      </c>
      <c r="AF5396">
        <v>-0.84179066592868301</v>
      </c>
      <c r="AG5396">
        <v>-1.111211538726</v>
      </c>
      <c r="AH5396">
        <v>11.939449266714901</v>
      </c>
      <c r="AI5396">
        <v>95.3041426074453</v>
      </c>
      <c r="AJ5396">
        <v>94.032964229925099</v>
      </c>
      <c r="AK5396">
        <v>12.0205595294687</v>
      </c>
      <c r="AL5396">
        <v>70.024189908658101</v>
      </c>
      <c r="AM5396">
        <v>100.565909477471</v>
      </c>
      <c r="AN5396">
        <v>1.0000000565238001</v>
      </c>
    </row>
    <row r="5397" spans="1:40" x14ac:dyDescent="0.25">
      <c r="A5397" t="str">
        <f>"20190304164234853"</f>
        <v>20190304164234853</v>
      </c>
      <c r="B5397" t="str">
        <f>"1551688954846189"</f>
        <v>1551688954846189</v>
      </c>
      <c r="C5397" t="s">
        <v>40</v>
      </c>
      <c r="D5397">
        <v>4.1787580000000002</v>
      </c>
      <c r="E5397">
        <v>0.55195280000000002</v>
      </c>
      <c r="F5397" t="s">
        <v>42</v>
      </c>
      <c r="G5397">
        <v>-421.41699999999997</v>
      </c>
      <c r="H5397" s="1">
        <v>-4.5266890000000001E-6</v>
      </c>
      <c r="I5397">
        <v>89.550049999999999</v>
      </c>
      <c r="J5397">
        <v>-420.92239999999998</v>
      </c>
      <c r="K5397">
        <v>1.111199</v>
      </c>
      <c r="L5397">
        <v>101.4577</v>
      </c>
      <c r="M5397">
        <v>-0.11223909999999999</v>
      </c>
      <c r="N5397">
        <v>-9.6586699999999994E-3</v>
      </c>
      <c r="O5397">
        <v>-0.99363449999999998</v>
      </c>
      <c r="P5397">
        <v>6.6747000000000001E-2</v>
      </c>
      <c r="Q5397">
        <v>0.33256049999999998</v>
      </c>
      <c r="R5397">
        <v>-0.94071709999999997</v>
      </c>
      <c r="S5397">
        <v>-0.1407166</v>
      </c>
      <c r="T5397">
        <v>-0.30388890000000002</v>
      </c>
      <c r="U5397">
        <v>-3.3068240000000002</v>
      </c>
      <c r="V5397">
        <v>-0.1728227</v>
      </c>
      <c r="W5397">
        <v>0.34104289999999998</v>
      </c>
      <c r="X5397">
        <v>0.92402490000000004</v>
      </c>
      <c r="Y5397">
        <v>-7.0001980000000005E-2</v>
      </c>
      <c r="Z5397">
        <v>8.0894450000000007E-2</v>
      </c>
      <c r="AA5397">
        <v>0.99426139999999996</v>
      </c>
      <c r="AB5397">
        <v>28</v>
      </c>
      <c r="AC5397">
        <v>-0.49459999999999099</v>
      </c>
      <c r="AD5397">
        <v>-1.1112035266889999</v>
      </c>
      <c r="AE5397">
        <v>-11.90765</v>
      </c>
      <c r="AF5397">
        <v>-0.83780818778051702</v>
      </c>
      <c r="AG5397">
        <v>-1.1112035266889999</v>
      </c>
      <c r="AH5397">
        <v>11.785462324906501</v>
      </c>
      <c r="AI5397">
        <v>95.372784682276404</v>
      </c>
      <c r="AJ5397">
        <v>94.066217739729495</v>
      </c>
      <c r="AK5397">
        <v>11.867342501547199</v>
      </c>
      <c r="AL5397">
        <v>70.059573688388298</v>
      </c>
      <c r="AM5397">
        <v>100.593777787569</v>
      </c>
      <c r="AN5397">
        <v>0.99999998054785399</v>
      </c>
    </row>
    <row r="5398" spans="1:40" x14ac:dyDescent="0.25">
      <c r="A5398" t="str">
        <f>"20190304164234873"</f>
        <v>20190304164234873</v>
      </c>
      <c r="B5398" t="str">
        <f>"1551688954866683"</f>
        <v>1551688954866683</v>
      </c>
      <c r="C5398" t="s">
        <v>40</v>
      </c>
      <c r="D5398">
        <v>4.2016070000000001</v>
      </c>
      <c r="E5398">
        <v>0.55222320000000003</v>
      </c>
      <c r="F5398" t="s">
        <v>42</v>
      </c>
      <c r="G5398">
        <v>-421.41860000000003</v>
      </c>
      <c r="H5398" s="1">
        <v>-4.4963289999999998E-6</v>
      </c>
      <c r="I5398">
        <v>89.459990000000005</v>
      </c>
      <c r="J5398">
        <v>-420.94819999999999</v>
      </c>
      <c r="K5398">
        <v>1.111178</v>
      </c>
      <c r="L5398">
        <v>101.2171</v>
      </c>
      <c r="M5398">
        <v>-0.1109636</v>
      </c>
      <c r="N5398">
        <v>-9.6666240000000004E-3</v>
      </c>
      <c r="O5398">
        <v>-0.99377760000000004</v>
      </c>
      <c r="P5398">
        <v>6.8952840000000001E-2</v>
      </c>
      <c r="Q5398">
        <v>0.33187929999999999</v>
      </c>
      <c r="R5398">
        <v>-0.94079869999999999</v>
      </c>
      <c r="S5398">
        <v>-0.13677979999999901</v>
      </c>
      <c r="T5398">
        <v>-0.30629109999999998</v>
      </c>
      <c r="U5398">
        <v>-3.3070369999999998</v>
      </c>
      <c r="V5398">
        <v>-0.17381869999999999</v>
      </c>
      <c r="W5398">
        <v>0.3403736</v>
      </c>
      <c r="X5398">
        <v>0.92408489999999999</v>
      </c>
      <c r="Y5398">
        <v>-6.9907949999999996E-2</v>
      </c>
      <c r="Z5398">
        <v>8.1612009999999999E-2</v>
      </c>
      <c r="AA5398">
        <v>0.99420940000000002</v>
      </c>
      <c r="AB5398">
        <v>28</v>
      </c>
      <c r="AC5398">
        <v>-0.47040000000004001</v>
      </c>
      <c r="AD5398">
        <v>-1.111182496329</v>
      </c>
      <c r="AE5398">
        <v>-11.7571099999999</v>
      </c>
      <c r="AF5398">
        <v>-0.82977718464235595</v>
      </c>
      <c r="AG5398">
        <v>-1.111182496329</v>
      </c>
      <c r="AH5398">
        <v>11.6329520941081</v>
      </c>
      <c r="AI5398">
        <v>95.442607636557099</v>
      </c>
      <c r="AJ5398">
        <v>94.079991369655204</v>
      </c>
      <c r="AK5398">
        <v>11.715324628029601</v>
      </c>
      <c r="AL5398">
        <v>70.100362887350101</v>
      </c>
      <c r="AM5398">
        <v>100.652761607031</v>
      </c>
      <c r="AN5398">
        <v>1.0000000152273201</v>
      </c>
    </row>
    <row r="5399" spans="1:40" x14ac:dyDescent="0.25">
      <c r="A5399" t="str">
        <f>"20190304164234894"</f>
        <v>20190304164234894</v>
      </c>
      <c r="B5399" t="str">
        <f>"1551688954886203"</f>
        <v>1551688954886203</v>
      </c>
      <c r="C5399" t="s">
        <v>40</v>
      </c>
      <c r="D5399">
        <v>4.2199369999999998</v>
      </c>
      <c r="E5399">
        <v>0.55251569999999905</v>
      </c>
      <c r="F5399" t="s">
        <v>42</v>
      </c>
      <c r="G5399">
        <v>-421.42930000000001</v>
      </c>
      <c r="H5399" s="1">
        <v>-4.4177199999999998E-6</v>
      </c>
      <c r="I5399">
        <v>89.223429999999993</v>
      </c>
      <c r="J5399">
        <v>-420.97629999999998</v>
      </c>
      <c r="K5399">
        <v>1.111154</v>
      </c>
      <c r="L5399">
        <v>100.952</v>
      </c>
      <c r="M5399">
        <v>-0.1095969</v>
      </c>
      <c r="N5399">
        <v>-9.6747320000000001E-3</v>
      </c>
      <c r="O5399">
        <v>-0.99392899999999995</v>
      </c>
      <c r="P5399">
        <v>7.1516150000000001E-2</v>
      </c>
      <c r="Q5399">
        <v>0.33182139999999999</v>
      </c>
      <c r="R5399">
        <v>-0.94062760000000001</v>
      </c>
      <c r="S5399">
        <v>-0.13262939999999901</v>
      </c>
      <c r="T5399">
        <v>-0.30634650000000002</v>
      </c>
      <c r="U5399">
        <v>-3.3065799999999999</v>
      </c>
      <c r="V5399">
        <v>-0.17505190000000001</v>
      </c>
      <c r="W5399">
        <v>0.34032829999999997</v>
      </c>
      <c r="X5399">
        <v>0.92386880000000005</v>
      </c>
      <c r="Y5399">
        <v>-6.9776550000000007E-2</v>
      </c>
      <c r="Z5399">
        <v>8.1655549999999993E-2</v>
      </c>
      <c r="AA5399">
        <v>0.99421510000000002</v>
      </c>
      <c r="AB5399">
        <v>28</v>
      </c>
      <c r="AC5399">
        <v>-0.45300000000003099</v>
      </c>
      <c r="AD5399">
        <v>-1.11115841772</v>
      </c>
      <c r="AE5399">
        <v>-11.728569999999999</v>
      </c>
      <c r="AF5399">
        <v>-0.82778541578041298</v>
      </c>
      <c r="AG5399">
        <v>-1.11115841772</v>
      </c>
      <c r="AH5399">
        <v>11.603568087156299</v>
      </c>
      <c r="AI5399">
        <v>95.456186039052696</v>
      </c>
      <c r="AJ5399">
        <v>94.080503227094198</v>
      </c>
      <c r="AK5399">
        <v>11.686004196350501</v>
      </c>
      <c r="AL5399">
        <v>70.103123684032099</v>
      </c>
      <c r="AM5399">
        <v>100.72904337608701</v>
      </c>
      <c r="AN5399">
        <v>1.0000000395439601</v>
      </c>
    </row>
    <row r="5400" spans="1:40" x14ac:dyDescent="0.25">
      <c r="A5400" t="str">
        <f>"20190304164234908"</f>
        <v>20190304164234908</v>
      </c>
      <c r="B5400" t="str">
        <f>"1551688954896939"</f>
        <v>1551688954896939</v>
      </c>
      <c r="C5400" t="s">
        <v>40</v>
      </c>
      <c r="D5400">
        <v>4.2138140000000002</v>
      </c>
      <c r="E5400">
        <v>0.55264060000000004</v>
      </c>
      <c r="F5400" t="s">
        <v>42</v>
      </c>
      <c r="G5400">
        <v>-421.43920000000003</v>
      </c>
      <c r="H5400" s="1">
        <v>-4.321684E-6</v>
      </c>
      <c r="I5400">
        <v>88.936070000000001</v>
      </c>
      <c r="J5400">
        <v>-420.99470000000002</v>
      </c>
      <c r="K5400">
        <v>1.1111310000000001</v>
      </c>
      <c r="L5400">
        <v>100.7771</v>
      </c>
      <c r="M5400">
        <v>-0.1087205</v>
      </c>
      <c r="N5400">
        <v>-9.679656E-3</v>
      </c>
      <c r="O5400">
        <v>-0.9940253</v>
      </c>
      <c r="P5400">
        <v>7.3120389999999993E-2</v>
      </c>
      <c r="Q5400">
        <v>0.33166770000000001</v>
      </c>
      <c r="R5400">
        <v>-0.94055829999999996</v>
      </c>
      <c r="S5400">
        <v>-0.12738039999999901</v>
      </c>
      <c r="T5400">
        <v>-0.30580210000000002</v>
      </c>
      <c r="U5400">
        <v>-3.306915</v>
      </c>
      <c r="V5400">
        <v>-0.17580419999999999</v>
      </c>
      <c r="W5400">
        <v>0.34018530000000002</v>
      </c>
      <c r="X5400">
        <v>0.92377860000000001</v>
      </c>
      <c r="Y5400">
        <v>-7.0475759999999998E-2</v>
      </c>
      <c r="Z5400">
        <v>8.1493270000000007E-2</v>
      </c>
      <c r="AA5400">
        <v>0.99417909999999998</v>
      </c>
      <c r="AB5400">
        <v>28</v>
      </c>
      <c r="AC5400">
        <v>-0.444500000000005</v>
      </c>
      <c r="AD5400">
        <v>-1.1111353216840001</v>
      </c>
      <c r="AE5400">
        <v>-11.84103</v>
      </c>
      <c r="AF5400">
        <v>-0.83818771901500499</v>
      </c>
      <c r="AG5400">
        <v>-1.1111353216840001</v>
      </c>
      <c r="AH5400">
        <v>11.71614102531</v>
      </c>
      <c r="AI5400">
        <v>95.403883930594503</v>
      </c>
      <c r="AJ5400">
        <v>94.092041641518406</v>
      </c>
      <c r="AK5400">
        <v>11.7985228261996</v>
      </c>
      <c r="AL5400">
        <v>70.111836643909996</v>
      </c>
      <c r="AM5400">
        <v>100.775102641967</v>
      </c>
      <c r="AN5400">
        <v>1.0000000284458399</v>
      </c>
    </row>
    <row r="5401" spans="1:40" x14ac:dyDescent="0.25">
      <c r="A5401" t="str">
        <f>"20190304164234928"</f>
        <v>20190304164234928</v>
      </c>
      <c r="B5401" t="str">
        <f>"1551688954916459"</f>
        <v>1551688954916459</v>
      </c>
      <c r="C5401" t="s">
        <v>40</v>
      </c>
      <c r="D5401">
        <v>4.2421550000000003</v>
      </c>
      <c r="E5401">
        <v>0.55279840000000002</v>
      </c>
      <c r="F5401" t="s">
        <v>42</v>
      </c>
      <c r="G5401">
        <v>-421.43979999999999</v>
      </c>
      <c r="H5401" s="1">
        <v>-4.2670050000000003E-6</v>
      </c>
      <c r="I5401">
        <v>88.775069999999999</v>
      </c>
      <c r="J5401">
        <v>-421.01960000000003</v>
      </c>
      <c r="K5401">
        <v>1.1110960000000001</v>
      </c>
      <c r="L5401">
        <v>100.5377</v>
      </c>
      <c r="M5401">
        <v>-0.107557399999999</v>
      </c>
      <c r="N5401">
        <v>-9.6859389999999993E-3</v>
      </c>
      <c r="O5401">
        <v>-0.99415169999999997</v>
      </c>
      <c r="P5401">
        <v>7.4818339999999997E-2</v>
      </c>
      <c r="Q5401">
        <v>0.33136080000000001</v>
      </c>
      <c r="R5401">
        <v>-0.94053310000000001</v>
      </c>
      <c r="S5401">
        <v>-0.1226501</v>
      </c>
      <c r="T5401">
        <v>-0.30616700000000002</v>
      </c>
      <c r="U5401">
        <v>-3.3070979999999999</v>
      </c>
      <c r="V5401">
        <v>-0.17637839999999999</v>
      </c>
      <c r="W5401">
        <v>0.33989609999999998</v>
      </c>
      <c r="X5401">
        <v>0.92377560000000003</v>
      </c>
      <c r="Y5401">
        <v>-7.0730920000000003E-2</v>
      </c>
      <c r="Z5401">
        <v>8.1607970000000002E-2</v>
      </c>
      <c r="AA5401">
        <v>0.99415149999999997</v>
      </c>
      <c r="AB5401">
        <v>28</v>
      </c>
      <c r="AC5401">
        <v>-0.42019999999996499</v>
      </c>
      <c r="AD5401">
        <v>-1.1111002670050001</v>
      </c>
      <c r="AE5401">
        <v>-11.76263</v>
      </c>
      <c r="AF5401">
        <v>-0.83996983390568902</v>
      </c>
      <c r="AG5401">
        <v>-1.1111002670050001</v>
      </c>
      <c r="AH5401">
        <v>11.635893269277799</v>
      </c>
      <c r="AI5401">
        <v>95.440508698877096</v>
      </c>
      <c r="AJ5401">
        <v>94.128895672926603</v>
      </c>
      <c r="AK5401">
        <v>11.7189634908227</v>
      </c>
      <c r="AL5401">
        <v>70.1294565506373</v>
      </c>
      <c r="AM5401">
        <v>100.809501988522</v>
      </c>
      <c r="AN5401">
        <v>1.00000002896856</v>
      </c>
    </row>
    <row r="5402" spans="1:40" x14ac:dyDescent="0.25">
      <c r="A5402" t="str">
        <f>"20190304164234950"</f>
        <v>20190304164234950</v>
      </c>
      <c r="B5402" t="str">
        <f>"1551688954946716"</f>
        <v>1551688954946716</v>
      </c>
      <c r="C5402" t="s">
        <v>40</v>
      </c>
      <c r="D5402">
        <v>4.2659310000000001</v>
      </c>
      <c r="E5402">
        <v>0.53540679999999996</v>
      </c>
      <c r="F5402" t="s">
        <v>42</v>
      </c>
      <c r="G5402">
        <v>-421.43880000000001</v>
      </c>
      <c r="H5402" s="1">
        <v>-4.2044080000000001E-6</v>
      </c>
      <c r="I5402">
        <v>88.591639999999998</v>
      </c>
      <c r="J5402">
        <v>-421.04860000000002</v>
      </c>
      <c r="K5402">
        <v>1.1110629999999999</v>
      </c>
      <c r="L5402">
        <v>100.2569</v>
      </c>
      <c r="M5402">
        <v>-0.10625320000000001</v>
      </c>
      <c r="N5402">
        <v>-9.6929129999999992E-3</v>
      </c>
      <c r="O5402">
        <v>-0.99429199999999995</v>
      </c>
      <c r="P5402">
        <v>7.6677709999999996E-2</v>
      </c>
      <c r="Q5402">
        <v>0.33027459999999997</v>
      </c>
      <c r="R5402">
        <v>-0.94076590000000004</v>
      </c>
      <c r="S5402">
        <v>-0.1160583</v>
      </c>
      <c r="T5402">
        <v>-0.30760900000000002</v>
      </c>
      <c r="U5402">
        <v>-3.3072810000000001</v>
      </c>
      <c r="V5402">
        <v>-0.1770002</v>
      </c>
      <c r="W5402">
        <v>0.33883439999999998</v>
      </c>
      <c r="X5402">
        <v>0.92404660000000005</v>
      </c>
      <c r="Y5402">
        <v>-7.1403969999999997E-2</v>
      </c>
      <c r="Z5402">
        <v>8.2041580000000003E-2</v>
      </c>
      <c r="AA5402">
        <v>0.9940677</v>
      </c>
      <c r="AB5402">
        <v>28</v>
      </c>
      <c r="AC5402">
        <v>-0.390199999999993</v>
      </c>
      <c r="AD5402">
        <v>-1.1110672044080001</v>
      </c>
      <c r="AE5402">
        <v>-11.66526</v>
      </c>
      <c r="AF5402">
        <v>-0.84389132284903801</v>
      </c>
      <c r="AG5402">
        <v>-1.1110672044080001</v>
      </c>
      <c r="AH5402">
        <v>11.5361437093718</v>
      </c>
      <c r="AI5402">
        <v>95.486722876032701</v>
      </c>
      <c r="AJ5402">
        <v>94.183845322093902</v>
      </c>
      <c r="AK5402">
        <v>11.6202080265703</v>
      </c>
      <c r="AL5402">
        <v>70.194124055260104</v>
      </c>
      <c r="AM5402">
        <v>100.843601446066</v>
      </c>
      <c r="AN5402">
        <v>0.99999997019747899</v>
      </c>
    </row>
    <row r="5403" spans="1:40" x14ac:dyDescent="0.25">
      <c r="A5403" t="str">
        <f>"20190304164234974"</f>
        <v>20190304164234974</v>
      </c>
      <c r="B5403" t="str">
        <f>"1551688954966235"</f>
        <v>1551688954966235</v>
      </c>
      <c r="C5403" t="s">
        <v>40</v>
      </c>
      <c r="D5403">
        <v>4.8391729999999997</v>
      </c>
      <c r="E5403">
        <v>0.53411239999999904</v>
      </c>
      <c r="F5403" t="s">
        <v>42</v>
      </c>
      <c r="G5403">
        <v>-420.9384</v>
      </c>
      <c r="H5403" s="1">
        <v>-3.7563369999999999E-6</v>
      </c>
      <c r="I5403">
        <v>87.763229999999993</v>
      </c>
      <c r="J5403">
        <v>-421.07740000000001</v>
      </c>
      <c r="K5403">
        <v>1.111019</v>
      </c>
      <c r="L5403">
        <v>99.974459999999993</v>
      </c>
      <c r="M5403">
        <v>-0.1050031</v>
      </c>
      <c r="N5403">
        <v>-9.6995310000000008E-3</v>
      </c>
      <c r="O5403">
        <v>-0.99442489999999994</v>
      </c>
      <c r="P5403">
        <v>7.8668119999999994E-2</v>
      </c>
      <c r="Q5403">
        <v>0.32961869999999999</v>
      </c>
      <c r="R5403">
        <v>-0.94083139999999998</v>
      </c>
      <c r="S5403">
        <v>2.9022220000000001E-2</v>
      </c>
      <c r="T5403">
        <v>-0.29251050000000001</v>
      </c>
      <c r="U5403">
        <v>-3.289215</v>
      </c>
      <c r="V5403">
        <v>-0.17778469999999999</v>
      </c>
      <c r="W5403">
        <v>0.3382018</v>
      </c>
      <c r="X5403">
        <v>0.92412780000000005</v>
      </c>
      <c r="Y5403">
        <v>-0.1136955</v>
      </c>
      <c r="Z5403">
        <v>7.7887899999999996E-2</v>
      </c>
      <c r="AA5403">
        <v>0.9904579</v>
      </c>
      <c r="AB5403">
        <v>28</v>
      </c>
      <c r="AC5403">
        <v>0.13900000000001</v>
      </c>
      <c r="AD5403">
        <v>-1.1110227563370001</v>
      </c>
      <c r="AE5403">
        <v>-12.211229999999899</v>
      </c>
      <c r="AF5403">
        <v>-1.4088474797828601</v>
      </c>
      <c r="AG5403">
        <v>-1.1110227563370001</v>
      </c>
      <c r="AH5403">
        <v>12.0295544596858</v>
      </c>
      <c r="AI5403">
        <v>95.241120843221196</v>
      </c>
      <c r="AJ5403">
        <v>96.6797955765674</v>
      </c>
      <c r="AK5403">
        <v>12.1626232073897</v>
      </c>
      <c r="AL5403">
        <v>70.232644669846493</v>
      </c>
      <c r="AM5403">
        <v>100.889581594698</v>
      </c>
      <c r="AN5403">
        <v>1.0000000239050799</v>
      </c>
    </row>
    <row r="5404" spans="1:40" x14ac:dyDescent="0.25">
      <c r="A5404" t="str">
        <f>"20190304164234994"</f>
        <v>20190304164234994</v>
      </c>
      <c r="B5404" t="str">
        <f>"1551688954986732"</f>
        <v>1551688954986732</v>
      </c>
      <c r="C5404" t="s">
        <v>40</v>
      </c>
      <c r="D5404">
        <v>4.2686390000000003</v>
      </c>
      <c r="E5404">
        <v>0.53378019999999904</v>
      </c>
      <c r="F5404" t="s">
        <v>42</v>
      </c>
      <c r="G5404">
        <v>-420.89319999999998</v>
      </c>
      <c r="H5404" s="1">
        <v>-3.4401759999999999E-6</v>
      </c>
      <c r="I5404">
        <v>87.054280000000006</v>
      </c>
      <c r="J5404">
        <v>-421.10410000000002</v>
      </c>
      <c r="K5404">
        <v>1.1109789999999999</v>
      </c>
      <c r="L5404">
        <v>99.710080000000005</v>
      </c>
      <c r="M5404">
        <v>-0.1038863</v>
      </c>
      <c r="N5404">
        <v>-9.7053850000000004E-3</v>
      </c>
      <c r="O5404">
        <v>-0.99454189999999998</v>
      </c>
      <c r="P5404">
        <v>8.0721199999999896E-2</v>
      </c>
      <c r="Q5404">
        <v>0.32856200000000002</v>
      </c>
      <c r="R5404">
        <v>-0.94102669999999999</v>
      </c>
      <c r="S5404">
        <v>4.6813960000000002E-2</v>
      </c>
      <c r="T5404">
        <v>-0.28236620000000001</v>
      </c>
      <c r="U5404">
        <v>-3.2836609999999999</v>
      </c>
      <c r="V5404">
        <v>-0.17877399999999999</v>
      </c>
      <c r="W5404">
        <v>0.3371654</v>
      </c>
      <c r="X5404">
        <v>0.92431560000000001</v>
      </c>
      <c r="Y5404">
        <v>-0.1179621</v>
      </c>
      <c r="Z5404">
        <v>7.4996030000000005E-2</v>
      </c>
      <c r="AA5404">
        <v>0.99018209999999995</v>
      </c>
      <c r="AB5404">
        <v>28</v>
      </c>
      <c r="AC5404">
        <v>0.210900000000037</v>
      </c>
      <c r="AD5404">
        <v>-1.110982440176</v>
      </c>
      <c r="AE5404">
        <v>-12.655799999999999</v>
      </c>
      <c r="AF5404">
        <v>-1.5129292523981099</v>
      </c>
      <c r="AG5404">
        <v>-1.110982440176</v>
      </c>
      <c r="AH5404">
        <v>12.469341199485701</v>
      </c>
      <c r="AI5404">
        <v>95.054569907377399</v>
      </c>
      <c r="AJ5404">
        <v>96.917992249336507</v>
      </c>
      <c r="AK5404">
        <v>12.609825805868001</v>
      </c>
      <c r="AL5404">
        <v>70.295731063234797</v>
      </c>
      <c r="AM5404">
        <v>100.946546414959</v>
      </c>
      <c r="AN5404">
        <v>0.99999998921825894</v>
      </c>
    </row>
    <row r="5405" spans="1:40" x14ac:dyDescent="0.25">
      <c r="A5405" t="str">
        <f>"20190304164235017"</f>
        <v>20190304164235017</v>
      </c>
      <c r="B5405" t="str">
        <f>"1551688955006252"</f>
        <v>1551688955006252</v>
      </c>
      <c r="C5405" t="s">
        <v>40</v>
      </c>
      <c r="D5405">
        <v>4.8520009999999996</v>
      </c>
      <c r="E5405">
        <v>0.53377289999999999</v>
      </c>
      <c r="F5405" t="s">
        <v>42</v>
      </c>
      <c r="G5405">
        <v>-420.87439999999998</v>
      </c>
      <c r="H5405" s="1">
        <v>-3.155871E-6</v>
      </c>
      <c r="I5405">
        <v>86.403169999999903</v>
      </c>
      <c r="J5405">
        <v>-421.1318</v>
      </c>
      <c r="K5405">
        <v>1.1109500000000001</v>
      </c>
      <c r="L5405">
        <v>99.432400000000001</v>
      </c>
      <c r="M5405">
        <v>-0.10275860000000001</v>
      </c>
      <c r="N5405">
        <v>-9.7147259999999999E-3</v>
      </c>
      <c r="O5405">
        <v>-0.99465890000000001</v>
      </c>
      <c r="P5405">
        <v>8.2318080000000002E-2</v>
      </c>
      <c r="Q5405">
        <v>0.32732810000000001</v>
      </c>
      <c r="R5405">
        <v>-0.94131830000000005</v>
      </c>
      <c r="S5405">
        <v>5.6579589999999999E-2</v>
      </c>
      <c r="T5405">
        <v>-0.27373979999999998</v>
      </c>
      <c r="U5405">
        <v>-3.2787480000000002</v>
      </c>
      <c r="V5405">
        <v>-0.17931150000000001</v>
      </c>
      <c r="W5405">
        <v>0.33595619999999998</v>
      </c>
      <c r="X5405">
        <v>0.92465169999999997</v>
      </c>
      <c r="Y5405">
        <v>-0.1198094</v>
      </c>
      <c r="Z5405">
        <v>7.2540170000000001E-2</v>
      </c>
      <c r="AA5405">
        <v>0.9901432</v>
      </c>
      <c r="AB5405">
        <v>28</v>
      </c>
      <c r="AC5405">
        <v>0.257400000000018</v>
      </c>
      <c r="AD5405">
        <v>-1.110953155871</v>
      </c>
      <c r="AE5405">
        <v>-13.02923</v>
      </c>
      <c r="AF5405">
        <v>-1.5834581050633101</v>
      </c>
      <c r="AG5405">
        <v>-1.110953155871</v>
      </c>
      <c r="AH5405">
        <v>12.840481546125</v>
      </c>
      <c r="AI5405">
        <v>94.907899769778396</v>
      </c>
      <c r="AJ5405">
        <v>97.030088594017698</v>
      </c>
      <c r="AK5405">
        <v>12.985358016682</v>
      </c>
      <c r="AL5405">
        <v>70.369305017417702</v>
      </c>
      <c r="AM5405">
        <v>100.974765942798</v>
      </c>
      <c r="AN5405">
        <v>0.999999974331789</v>
      </c>
    </row>
    <row r="5406" spans="1:40" x14ac:dyDescent="0.25">
      <c r="A5406" t="str">
        <f>"20190304164235040"</f>
        <v>20190304164235040</v>
      </c>
      <c r="B5406" t="str">
        <f>"1551688955036508"</f>
        <v>1551688955036508</v>
      </c>
      <c r="C5406" t="s">
        <v>40</v>
      </c>
      <c r="D5406">
        <v>4.2358440000000002</v>
      </c>
      <c r="E5406">
        <v>0.53421070000000004</v>
      </c>
      <c r="F5406" t="s">
        <v>42</v>
      </c>
      <c r="G5406">
        <v>-420.87779999999998</v>
      </c>
      <c r="H5406" s="1">
        <v>-3.089207E-6</v>
      </c>
      <c r="I5406">
        <v>86.245689999999996</v>
      </c>
      <c r="J5406">
        <v>-421.16</v>
      </c>
      <c r="K5406">
        <v>1.1109279999999999</v>
      </c>
      <c r="L5406">
        <v>99.148470000000003</v>
      </c>
      <c r="M5406">
        <v>-0.1016383</v>
      </c>
      <c r="N5406">
        <v>-9.7289149999999994E-3</v>
      </c>
      <c r="O5406">
        <v>-0.99477400000000005</v>
      </c>
      <c r="P5406">
        <v>8.3350569999999999E-2</v>
      </c>
      <c r="Q5406">
        <v>0.32643739999999999</v>
      </c>
      <c r="R5406">
        <v>-0.94153679999999995</v>
      </c>
      <c r="S5406">
        <v>6.3140870000000002E-2</v>
      </c>
      <c r="T5406">
        <v>-0.27612219999999998</v>
      </c>
      <c r="U5406">
        <v>-3.2774960000000002</v>
      </c>
      <c r="V5406">
        <v>-0.17929419999999999</v>
      </c>
      <c r="W5406">
        <v>0.3350919</v>
      </c>
      <c r="X5406">
        <v>0.92496869999999998</v>
      </c>
      <c r="Y5406">
        <v>-0.1206773</v>
      </c>
      <c r="Z5406">
        <v>7.3276359999999999E-2</v>
      </c>
      <c r="AA5406">
        <v>0.98998359999999996</v>
      </c>
      <c r="AB5406">
        <v>28</v>
      </c>
      <c r="AC5406">
        <v>0.28220000000004503</v>
      </c>
      <c r="AD5406">
        <v>-1.1109310892069999</v>
      </c>
      <c r="AE5406">
        <v>-12.9027799999999</v>
      </c>
      <c r="AF5406">
        <v>-1.58050590115498</v>
      </c>
      <c r="AG5406">
        <v>-1.1109310892069999</v>
      </c>
      <c r="AH5406">
        <v>12.713072002551099</v>
      </c>
      <c r="AI5406">
        <v>94.956140959057294</v>
      </c>
      <c r="AJ5406">
        <v>97.086725932936901</v>
      </c>
      <c r="AK5406">
        <v>12.8590188790048</v>
      </c>
      <c r="AL5406">
        <v>70.421874461217996</v>
      </c>
      <c r="AM5406">
        <v>100.970063201567</v>
      </c>
      <c r="AN5406">
        <v>1.0000000437894601</v>
      </c>
    </row>
    <row r="5407" spans="1:40" x14ac:dyDescent="0.25">
      <c r="A5407" t="str">
        <f>"20190304164235063"</f>
        <v>20190304164235063</v>
      </c>
      <c r="B5407" t="str">
        <f>"1551688955057004"</f>
        <v>1551688955057004</v>
      </c>
      <c r="C5407" t="s">
        <v>40</v>
      </c>
      <c r="D5407">
        <v>4.2250110000000003</v>
      </c>
      <c r="E5407">
        <v>0.53442599999999996</v>
      </c>
      <c r="F5407" t="s">
        <v>42</v>
      </c>
      <c r="G5407">
        <v>-420.89400000000001</v>
      </c>
      <c r="H5407" s="1">
        <v>-2.859856E-6</v>
      </c>
      <c r="I5407">
        <v>85.701009999999997</v>
      </c>
      <c r="J5407">
        <v>-421.18799999999999</v>
      </c>
      <c r="K5407">
        <v>1.1109180000000001</v>
      </c>
      <c r="L5407">
        <v>98.862430000000003</v>
      </c>
      <c r="M5407">
        <v>-0.1005315</v>
      </c>
      <c r="N5407">
        <v>-9.7445710000000005E-3</v>
      </c>
      <c r="O5407">
        <v>-0.99488650000000001</v>
      </c>
      <c r="P5407">
        <v>8.3697369999999993E-2</v>
      </c>
      <c r="Q5407">
        <v>0.32612419999999998</v>
      </c>
      <c r="R5407">
        <v>-0.94161459999999997</v>
      </c>
      <c r="S5407">
        <v>6.4758300000000005E-2</v>
      </c>
      <c r="T5407">
        <v>-0.27050069999999998</v>
      </c>
      <c r="U5407">
        <v>-3.2743229999999999</v>
      </c>
      <c r="V5407">
        <v>-0.17860309999999999</v>
      </c>
      <c r="W5407">
        <v>0.33480300000000002</v>
      </c>
      <c r="X5407">
        <v>0.925207</v>
      </c>
      <c r="Y5407">
        <v>-0.1200837</v>
      </c>
      <c r="Z5407">
        <v>7.1676089999999998E-2</v>
      </c>
      <c r="AA5407">
        <v>0.99017290000000002</v>
      </c>
      <c r="AB5407">
        <v>28</v>
      </c>
      <c r="AC5407">
        <v>0.29400000000003901</v>
      </c>
      <c r="AD5407">
        <v>-1.1109208598559901</v>
      </c>
      <c r="AE5407">
        <v>-13.16142</v>
      </c>
      <c r="AF5407">
        <v>-1.6042858822030199</v>
      </c>
      <c r="AG5407">
        <v>-1.1109208598559901</v>
      </c>
      <c r="AH5407">
        <v>12.9727986965417</v>
      </c>
      <c r="AI5407">
        <v>94.857737011464394</v>
      </c>
      <c r="AJ5407">
        <v>97.049711499218603</v>
      </c>
      <c r="AK5407">
        <v>13.118741722043801</v>
      </c>
      <c r="AL5407">
        <v>70.439442184247</v>
      </c>
      <c r="AM5407">
        <v>100.926051430558</v>
      </c>
      <c r="AN5407">
        <v>1.0000000544937999</v>
      </c>
    </row>
    <row r="5408" spans="1:40" x14ac:dyDescent="0.25">
      <c r="A5408" t="str">
        <f>"20190304164235076"</f>
        <v>20190304164235076</v>
      </c>
      <c r="B5408" t="str">
        <f>"1551688955066764"</f>
        <v>1551688955066764</v>
      </c>
      <c r="C5408" t="s">
        <v>40</v>
      </c>
      <c r="D5408">
        <v>4.2168359999999998</v>
      </c>
      <c r="E5408">
        <v>0.53457330000000003</v>
      </c>
      <c r="F5408" t="s">
        <v>42</v>
      </c>
      <c r="G5408">
        <v>-420.9169</v>
      </c>
      <c r="H5408" s="1">
        <v>-2.821461E-6</v>
      </c>
      <c r="I5408">
        <v>85.597309999999993</v>
      </c>
      <c r="J5408">
        <v>-421.20479999999998</v>
      </c>
      <c r="K5408">
        <v>1.1109070000000001</v>
      </c>
      <c r="L5408">
        <v>98.688999999999993</v>
      </c>
      <c r="M5408">
        <v>-9.9864540000000002E-2</v>
      </c>
      <c r="N5408">
        <v>-9.7535469999999996E-3</v>
      </c>
      <c r="O5408">
        <v>-0.99495319999999998</v>
      </c>
      <c r="P5408">
        <v>8.3703520000000003E-2</v>
      </c>
      <c r="Q5408">
        <v>0.32598359999999998</v>
      </c>
      <c r="R5408">
        <v>-0.94166249999999996</v>
      </c>
      <c r="S5408">
        <v>6.692505E-2</v>
      </c>
      <c r="T5408">
        <v>-0.27427770000000001</v>
      </c>
      <c r="U5408">
        <v>-3.275055</v>
      </c>
      <c r="V5408">
        <v>-0.1779887</v>
      </c>
      <c r="W5408">
        <v>0.334675</v>
      </c>
      <c r="X5408">
        <v>0.92537159999999996</v>
      </c>
      <c r="Y5408">
        <v>-0.1200663</v>
      </c>
      <c r="Z5408">
        <v>7.2786100000000006E-2</v>
      </c>
      <c r="AA5408">
        <v>0.99009409999999998</v>
      </c>
      <c r="AB5408">
        <v>28</v>
      </c>
      <c r="AC5408">
        <v>0.28789999999997901</v>
      </c>
      <c r="AD5408">
        <v>-1.11090982146099</v>
      </c>
      <c r="AE5408">
        <v>-13.09169</v>
      </c>
      <c r="AF5408">
        <v>-1.5825289169740899</v>
      </c>
      <c r="AG5408">
        <v>-1.11090982146099</v>
      </c>
      <c r="AH5408">
        <v>12.904611082812201</v>
      </c>
      <c r="AI5408">
        <v>94.883841813179998</v>
      </c>
      <c r="AJ5408">
        <v>96.991435157014607</v>
      </c>
      <c r="AK5408">
        <v>13.0486591496259</v>
      </c>
      <c r="AL5408">
        <v>70.447223218490294</v>
      </c>
      <c r="AM5408">
        <v>100.88747491234901</v>
      </c>
      <c r="AN5408">
        <v>0.999999965519624</v>
      </c>
    </row>
    <row r="5409" spans="1:40" x14ac:dyDescent="0.25">
      <c r="A5409" t="str">
        <f>"20190304164235090"</f>
        <v>20190304164235090</v>
      </c>
      <c r="B5409" t="str">
        <f>"1551688955076526"</f>
        <v>1551688955076526</v>
      </c>
      <c r="C5409" t="s">
        <v>40</v>
      </c>
      <c r="D5409">
        <v>4.7311560000000004</v>
      </c>
      <c r="E5409">
        <v>0.53475059999999996</v>
      </c>
      <c r="F5409" t="s">
        <v>42</v>
      </c>
      <c r="G5409">
        <v>-420.93459999999999</v>
      </c>
      <c r="H5409" s="1">
        <v>-2.7714900000000002E-6</v>
      </c>
      <c r="I5409">
        <v>85.469880000000003</v>
      </c>
      <c r="J5409">
        <v>-421.22089999999997</v>
      </c>
      <c r="K5409">
        <v>1.110905</v>
      </c>
      <c r="L5409">
        <v>98.52158</v>
      </c>
      <c r="M5409">
        <v>-9.92204E-2</v>
      </c>
      <c r="N5409">
        <v>-9.7619330000000004E-3</v>
      </c>
      <c r="O5409">
        <v>-0.99501759999999995</v>
      </c>
      <c r="P5409">
        <v>8.378041E-2</v>
      </c>
      <c r="Q5409">
        <v>0.32543539999999999</v>
      </c>
      <c r="R5409">
        <v>-0.94184540000000005</v>
      </c>
      <c r="S5409">
        <v>6.6955570000000006E-2</v>
      </c>
      <c r="T5409">
        <v>-0.27523959999999997</v>
      </c>
      <c r="U5409">
        <v>-3.2751769999999998</v>
      </c>
      <c r="V5409">
        <v>-0.17748039999999901</v>
      </c>
      <c r="W5409">
        <v>0.33413880000000001</v>
      </c>
      <c r="X5409">
        <v>0.92566300000000001</v>
      </c>
      <c r="Y5409">
        <v>-0.1194317</v>
      </c>
      <c r="Z5409">
        <v>7.3073609999999997E-2</v>
      </c>
      <c r="AA5409">
        <v>0.99014959999999996</v>
      </c>
      <c r="AB5409">
        <v>28</v>
      </c>
      <c r="AC5409">
        <v>0.28629999999998201</v>
      </c>
      <c r="AD5409">
        <v>-1.11090777149</v>
      </c>
      <c r="AE5409">
        <v>-13.051699999999901</v>
      </c>
      <c r="AF5409">
        <v>-1.5685852087262999</v>
      </c>
      <c r="AG5409">
        <v>-1.11090777149</v>
      </c>
      <c r="AH5409">
        <v>12.865718088655999</v>
      </c>
      <c r="AI5409">
        <v>94.898943700832206</v>
      </c>
      <c r="AJ5409">
        <v>96.951181146270301</v>
      </c>
      <c r="AK5409">
        <v>13.008507891782299</v>
      </c>
      <c r="AL5409">
        <v>70.479822866204699</v>
      </c>
      <c r="AM5409">
        <v>100.85378581726</v>
      </c>
      <c r="AN5409">
        <v>1.0000000098093</v>
      </c>
    </row>
    <row r="5410" spans="1:40" x14ac:dyDescent="0.25">
      <c r="A5410" t="str">
        <f>"20190304164235103"</f>
        <v>20190304164235103</v>
      </c>
      <c r="B5410" t="str">
        <f>"1551688955097020"</f>
        <v>1551688955097020</v>
      </c>
      <c r="C5410" t="s">
        <v>40</v>
      </c>
      <c r="D5410">
        <v>4.7962939999999996</v>
      </c>
      <c r="E5410">
        <v>0.53511109999999995</v>
      </c>
      <c r="F5410" t="s">
        <v>42</v>
      </c>
      <c r="G5410">
        <v>-420.95429999999999</v>
      </c>
      <c r="H5410" s="1">
        <v>-2.710043E-6</v>
      </c>
      <c r="I5410">
        <v>85.31438</v>
      </c>
      <c r="J5410">
        <v>-421.23759999999999</v>
      </c>
      <c r="K5410">
        <v>1.110905</v>
      </c>
      <c r="L5410">
        <v>98.347409999999996</v>
      </c>
      <c r="M5410">
        <v>-9.8548419999999998E-2</v>
      </c>
      <c r="N5410">
        <v>-9.7704349999999992E-3</v>
      </c>
      <c r="O5410">
        <v>-0.99508450000000004</v>
      </c>
      <c r="P5410">
        <v>8.3613240000000005E-2</v>
      </c>
      <c r="Q5410">
        <v>0.32553910000000003</v>
      </c>
      <c r="R5410">
        <v>-0.94182480000000002</v>
      </c>
      <c r="S5410">
        <v>6.6101069999999998E-2</v>
      </c>
      <c r="T5410">
        <v>-0.2754335</v>
      </c>
      <c r="U5410">
        <v>-3.2745359999999999</v>
      </c>
      <c r="V5410">
        <v>-0.17668539999999999</v>
      </c>
      <c r="W5410">
        <v>0.3342521</v>
      </c>
      <c r="X5410">
        <v>0.92577419999999999</v>
      </c>
      <c r="Y5410">
        <v>-0.1185071</v>
      </c>
      <c r="Z5410">
        <v>7.3152679999999998E-2</v>
      </c>
      <c r="AA5410">
        <v>0.99025490000000005</v>
      </c>
      <c r="AB5410">
        <v>28</v>
      </c>
      <c r="AC5410">
        <v>0.283299999999997</v>
      </c>
      <c r="AD5410">
        <v>-1.110907710043</v>
      </c>
      <c r="AE5410">
        <v>-13.033029999999901</v>
      </c>
      <c r="AF5410">
        <v>-1.5550733532085801</v>
      </c>
      <c r="AG5410">
        <v>-1.110907710043</v>
      </c>
      <c r="AH5410">
        <v>12.8483568422459</v>
      </c>
      <c r="AI5410">
        <v>94.906049118623599</v>
      </c>
      <c r="AJ5410">
        <v>96.901104615144106</v>
      </c>
      <c r="AK5410">
        <v>12.989712953709899</v>
      </c>
      <c r="AL5410">
        <v>70.472935716618196</v>
      </c>
      <c r="AM5410">
        <v>100.80504753853</v>
      </c>
      <c r="AN5410">
        <v>1.0000000331565999</v>
      </c>
    </row>
    <row r="5411" spans="1:40" x14ac:dyDescent="0.25">
      <c r="A5411" t="str">
        <f>"20190304164235117"</f>
        <v>20190304164235117</v>
      </c>
      <c r="B5411" t="str">
        <f>"1551688955106780"</f>
        <v>1551688955106780</v>
      </c>
      <c r="C5411" t="s">
        <v>40</v>
      </c>
      <c r="D5411">
        <v>4.8613400000000002</v>
      </c>
      <c r="E5411">
        <v>0.53526850000000004</v>
      </c>
      <c r="F5411" t="s">
        <v>42</v>
      </c>
      <c r="G5411">
        <v>-420.97969999999998</v>
      </c>
      <c r="H5411" s="1">
        <v>-2.544097E-6</v>
      </c>
      <c r="I5411">
        <v>84.911829999999995</v>
      </c>
      <c r="J5411">
        <v>-421.25349999999997</v>
      </c>
      <c r="K5411">
        <v>1.1109180000000001</v>
      </c>
      <c r="L5411">
        <v>98.179900000000004</v>
      </c>
      <c r="M5411">
        <v>-9.7894170000000003E-2</v>
      </c>
      <c r="N5411">
        <v>-9.7783890000000002E-3</v>
      </c>
      <c r="O5411">
        <v>-0.9951487</v>
      </c>
      <c r="P5411">
        <v>8.3141779999999998E-2</v>
      </c>
      <c r="Q5411">
        <v>0.32586219999999999</v>
      </c>
      <c r="R5411">
        <v>-0.9417546</v>
      </c>
      <c r="S5411">
        <v>6.283569E-2</v>
      </c>
      <c r="T5411">
        <v>-0.27064820000000001</v>
      </c>
      <c r="U5411">
        <v>-3.273285</v>
      </c>
      <c r="V5411">
        <v>-0.17560390000000001</v>
      </c>
      <c r="W5411">
        <v>0.33458369999999998</v>
      </c>
      <c r="X5411">
        <v>0.92586020000000002</v>
      </c>
      <c r="Y5411">
        <v>-0.1168778</v>
      </c>
      <c r="Z5411">
        <v>7.1761359999999996E-2</v>
      </c>
      <c r="AA5411">
        <v>0.99055029999999999</v>
      </c>
      <c r="AB5411">
        <v>28</v>
      </c>
      <c r="AC5411">
        <v>0.27379999999999399</v>
      </c>
      <c r="AD5411">
        <v>-1.110920544097</v>
      </c>
      <c r="AE5411">
        <v>-13.2680699999999</v>
      </c>
      <c r="AF5411">
        <v>-1.5604785678927899</v>
      </c>
      <c r="AG5411">
        <v>-1.110920544097</v>
      </c>
      <c r="AH5411">
        <v>13.0858308996928</v>
      </c>
      <c r="AI5411">
        <v>94.818508049509603</v>
      </c>
      <c r="AJ5411">
        <v>96.800378624059803</v>
      </c>
      <c r="AK5411">
        <v>13.225286694491899</v>
      </c>
      <c r="AL5411">
        <v>70.452775983497403</v>
      </c>
      <c r="AM5411">
        <v>100.739477973245</v>
      </c>
      <c r="AN5411">
        <v>1.0000000459724601</v>
      </c>
    </row>
    <row r="5412" spans="1:40" x14ac:dyDescent="0.25">
      <c r="A5412" t="str">
        <f>"20190304164235140"</f>
        <v>20190304164235140</v>
      </c>
      <c r="B5412" t="str">
        <f>"1551688955137037"</f>
        <v>1551688955137037</v>
      </c>
      <c r="C5412" t="s">
        <v>40</v>
      </c>
      <c r="D5412">
        <v>4.2365279999999998</v>
      </c>
      <c r="E5412">
        <v>0.53567640000000005</v>
      </c>
      <c r="F5412" t="s">
        <v>42</v>
      </c>
      <c r="G5412">
        <v>-421.00869999999998</v>
      </c>
      <c r="H5412" s="1">
        <v>-2.4204749999999999E-6</v>
      </c>
      <c r="I5412">
        <v>84.605669999999904</v>
      </c>
      <c r="J5412">
        <v>-421.28019999999998</v>
      </c>
      <c r="K5412">
        <v>1.1109389999999999</v>
      </c>
      <c r="L5412">
        <v>97.896850000000001</v>
      </c>
      <c r="M5412">
        <v>-9.6770380000000003E-2</v>
      </c>
      <c r="N5412">
        <v>-9.7914079999999997E-3</v>
      </c>
      <c r="O5412">
        <v>-0.99525859999999999</v>
      </c>
      <c r="P5412">
        <v>8.2228010000000004E-2</v>
      </c>
      <c r="Q5412">
        <v>0.32697949999999998</v>
      </c>
      <c r="R5412">
        <v>-0.94144749999999999</v>
      </c>
      <c r="S5412">
        <v>5.9020999999999997E-2</v>
      </c>
      <c r="T5412">
        <v>-0.2678643</v>
      </c>
      <c r="U5412">
        <v>-3.2730100000000002</v>
      </c>
      <c r="V5412">
        <v>-0.17362900000000001</v>
      </c>
      <c r="W5412">
        <v>0.33571089999999998</v>
      </c>
      <c r="X5412">
        <v>0.9258246</v>
      </c>
      <c r="Y5412">
        <v>-0.11460620000000001</v>
      </c>
      <c r="Z5412">
        <v>7.0947330000000003E-2</v>
      </c>
      <c r="AA5412">
        <v>0.99087429999999999</v>
      </c>
      <c r="AB5412">
        <v>28</v>
      </c>
      <c r="AC5412">
        <v>0.27150000000000302</v>
      </c>
      <c r="AD5412">
        <v>-1.1109414204750001</v>
      </c>
      <c r="AE5412">
        <v>-13.291180000000001</v>
      </c>
      <c r="AF5412">
        <v>-1.5456854985499799</v>
      </c>
      <c r="AG5412">
        <v>-1.1109414204750001</v>
      </c>
      <c r="AH5412">
        <v>13.110959956981199</v>
      </c>
      <c r="AI5412">
        <v>94.810165500571699</v>
      </c>
      <c r="AJ5412">
        <v>96.723714292743097</v>
      </c>
      <c r="AK5412">
        <v>13.248418980909401</v>
      </c>
      <c r="AL5412">
        <v>70.384227089233804</v>
      </c>
      <c r="AM5412">
        <v>100.621860557967</v>
      </c>
      <c r="AN5412">
        <v>1.0000000139924801</v>
      </c>
    </row>
    <row r="5413" spans="1:40" x14ac:dyDescent="0.25">
      <c r="A5413" t="str">
        <f>"20190304164235164"</f>
        <v>20190304164235164</v>
      </c>
      <c r="B5413" t="str">
        <f>"1551688955156556"</f>
        <v>1551688955156556</v>
      </c>
      <c r="C5413" t="s">
        <v>40</v>
      </c>
      <c r="D5413">
        <v>4.2035429999999998</v>
      </c>
      <c r="E5413">
        <v>0.53583959999999997</v>
      </c>
      <c r="F5413" t="s">
        <v>42</v>
      </c>
      <c r="G5413">
        <v>-421.0598</v>
      </c>
      <c r="H5413" s="1">
        <v>-2.1879170000000001E-6</v>
      </c>
      <c r="I5413">
        <v>84.031909999999996</v>
      </c>
      <c r="J5413">
        <v>-421.30700000000002</v>
      </c>
      <c r="K5413">
        <v>1.1109629999999999</v>
      </c>
      <c r="L5413">
        <v>97.606570000000005</v>
      </c>
      <c r="M5413">
        <v>-9.558316E-2</v>
      </c>
      <c r="N5413">
        <v>-9.8040909999999992E-3</v>
      </c>
      <c r="O5413">
        <v>-0.99537350000000002</v>
      </c>
      <c r="P5413">
        <v>8.1908140000000004E-2</v>
      </c>
      <c r="Q5413">
        <v>0.32755250000000002</v>
      </c>
      <c r="R5413">
        <v>-0.94127609999999995</v>
      </c>
      <c r="S5413">
        <v>5.2032469999999997E-2</v>
      </c>
      <c r="T5413">
        <v>-0.26226270000000002</v>
      </c>
      <c r="U5413">
        <v>-3.2731319999999999</v>
      </c>
      <c r="V5413">
        <v>-0.17220439999999901</v>
      </c>
      <c r="W5413">
        <v>0.33628980000000003</v>
      </c>
      <c r="X5413">
        <v>0.92588060000000005</v>
      </c>
      <c r="Y5413">
        <v>-0.1113093</v>
      </c>
      <c r="Z5413">
        <v>6.9284589999999993E-2</v>
      </c>
      <c r="AA5413">
        <v>0.99136769999999996</v>
      </c>
      <c r="AB5413">
        <v>28</v>
      </c>
      <c r="AC5413">
        <v>0.247199999999963</v>
      </c>
      <c r="AD5413">
        <v>-1.1109651879169999</v>
      </c>
      <c r="AE5413">
        <v>-13.5746599999999</v>
      </c>
      <c r="AF5413">
        <v>-1.53337183509482</v>
      </c>
      <c r="AG5413">
        <v>-1.1109651879169999</v>
      </c>
      <c r="AH5413">
        <v>13.3991551419619</v>
      </c>
      <c r="AI5413">
        <v>94.709132406048397</v>
      </c>
      <c r="AJ5413">
        <v>96.528411563635302</v>
      </c>
      <c r="AK5413">
        <v>13.5322884743043</v>
      </c>
      <c r="AL5413">
        <v>70.349011608622305</v>
      </c>
      <c r="AM5413">
        <v>100.53604620038701</v>
      </c>
      <c r="AN5413">
        <v>1.0000000352098699</v>
      </c>
    </row>
    <row r="5414" spans="1:40" x14ac:dyDescent="0.25">
      <c r="A5414" t="str">
        <f>"20190304164235184"</f>
        <v>20190304164235184</v>
      </c>
      <c r="B5414" t="str">
        <f>"1551688955177052"</f>
        <v>1551688955177052</v>
      </c>
      <c r="C5414" t="s">
        <v>40</v>
      </c>
      <c r="D5414">
        <v>4.221527</v>
      </c>
      <c r="E5414">
        <v>0.5360066</v>
      </c>
      <c r="F5414" t="s">
        <v>42</v>
      </c>
      <c r="G5414">
        <v>-421.0958</v>
      </c>
      <c r="H5414" s="1">
        <v>-2.0319579999999999E-6</v>
      </c>
      <c r="I5414">
        <v>83.646000000000001</v>
      </c>
      <c r="J5414">
        <v>-421.33170000000001</v>
      </c>
      <c r="K5414">
        <v>1.110986</v>
      </c>
      <c r="L5414">
        <v>97.336669999999998</v>
      </c>
      <c r="M5414">
        <v>-9.4446119999999995E-2</v>
      </c>
      <c r="N5414">
        <v>-9.8151820000000004E-3</v>
      </c>
      <c r="O5414">
        <v>-0.99548159999999997</v>
      </c>
      <c r="P5414">
        <v>8.2205039999999993E-2</v>
      </c>
      <c r="Q5414">
        <v>0.32761400000000002</v>
      </c>
      <c r="R5414">
        <v>-0.94122890000000003</v>
      </c>
      <c r="S5414">
        <v>4.9530030000000003E-2</v>
      </c>
      <c r="T5414">
        <v>-0.26050099999999998</v>
      </c>
      <c r="U5414">
        <v>-3.2734990000000002</v>
      </c>
      <c r="V5414">
        <v>-0.17145450000000001</v>
      </c>
      <c r="W5414">
        <v>0.33635409999999999</v>
      </c>
      <c r="X5414">
        <v>0.92599640000000005</v>
      </c>
      <c r="Y5414">
        <v>-0.10941620000000001</v>
      </c>
      <c r="Z5414">
        <v>6.8758760000000002E-2</v>
      </c>
      <c r="AA5414">
        <v>0.99161500000000002</v>
      </c>
      <c r="AB5414">
        <v>28</v>
      </c>
      <c r="AC5414">
        <v>0.23590000000001499</v>
      </c>
      <c r="AD5414">
        <v>-1.1109880319580001</v>
      </c>
      <c r="AE5414">
        <v>-13.6906699999999</v>
      </c>
      <c r="AF5414">
        <v>-1.5179453385571899</v>
      </c>
      <c r="AG5414">
        <v>-1.1109880319580001</v>
      </c>
      <c r="AH5414">
        <v>13.518191882728299</v>
      </c>
      <c r="AI5414">
        <v>94.669062814761205</v>
      </c>
      <c r="AJ5414">
        <v>96.406852698731498</v>
      </c>
      <c r="AK5414">
        <v>13.6484418244818</v>
      </c>
      <c r="AL5414">
        <v>70.34509948729</v>
      </c>
      <c r="AM5414">
        <v>100.48990276834</v>
      </c>
      <c r="AN5414">
        <v>1.000000029485</v>
      </c>
    </row>
    <row r="5415" spans="1:40" x14ac:dyDescent="0.25">
      <c r="A5415" t="str">
        <f>"20190304164235207"</f>
        <v>20190304164235207</v>
      </c>
      <c r="B5415" t="str">
        <f>"1551688955196573"</f>
        <v>1551688955196573</v>
      </c>
      <c r="C5415" t="s">
        <v>40</v>
      </c>
      <c r="D5415">
        <v>4.2013499999999997</v>
      </c>
      <c r="E5415">
        <v>0.53618189999999999</v>
      </c>
      <c r="F5415" t="s">
        <v>42</v>
      </c>
      <c r="G5415">
        <v>-421.12119999999999</v>
      </c>
      <c r="H5415" s="1">
        <v>-1.9001020000000001E-6</v>
      </c>
      <c r="I5415">
        <v>83.322859999999906</v>
      </c>
      <c r="J5415">
        <v>-421.3569</v>
      </c>
      <c r="K5415">
        <v>1.1110100000000001</v>
      </c>
      <c r="L5415">
        <v>97.057339999999996</v>
      </c>
      <c r="M5415">
        <v>-9.3241069999999995E-2</v>
      </c>
      <c r="N5415">
        <v>-9.8269470000000008E-3</v>
      </c>
      <c r="O5415">
        <v>-0.99559540000000002</v>
      </c>
      <c r="P5415">
        <v>8.354723E-2</v>
      </c>
      <c r="Q5415">
        <v>0.32753549999999998</v>
      </c>
      <c r="R5415">
        <v>-0.94113829999999998</v>
      </c>
      <c r="S5415">
        <v>4.9163819999999997E-2</v>
      </c>
      <c r="T5415">
        <v>-0.25950689999999998</v>
      </c>
      <c r="U5415">
        <v>-3.2733759999999998</v>
      </c>
      <c r="V5415">
        <v>-0.1716782</v>
      </c>
      <c r="W5415">
        <v>0.33627590000000002</v>
      </c>
      <c r="X5415">
        <v>0.92598329999999995</v>
      </c>
      <c r="Y5415">
        <v>-0.10810359999999999</v>
      </c>
      <c r="Z5415">
        <v>6.8471149999999995E-2</v>
      </c>
      <c r="AA5415">
        <v>0.99177890000000002</v>
      </c>
      <c r="AB5415">
        <v>28</v>
      </c>
      <c r="AC5415">
        <v>0.23570000000000799</v>
      </c>
      <c r="AD5415">
        <v>-1.111011900102</v>
      </c>
      <c r="AE5415">
        <v>-13.73448</v>
      </c>
      <c r="AF5415">
        <v>-1.5055036834634701</v>
      </c>
      <c r="AG5415">
        <v>-1.111011900102</v>
      </c>
      <c r="AH5415">
        <v>13.563932816425201</v>
      </c>
      <c r="AI5415">
        <v>94.654148476155797</v>
      </c>
      <c r="AJ5415">
        <v>96.333515632949201</v>
      </c>
      <c r="AK5415">
        <v>13.6923760623052</v>
      </c>
      <c r="AL5415">
        <v>70.3498561117718</v>
      </c>
      <c r="AM5415">
        <v>100.503430056121</v>
      </c>
      <c r="AN5415">
        <v>0.99999997857746903</v>
      </c>
    </row>
    <row r="5416" spans="1:40" x14ac:dyDescent="0.25">
      <c r="A5416" t="str">
        <f>"20190304164235230"</f>
        <v>20190304164235230</v>
      </c>
      <c r="B5416" t="str">
        <f>"1551688955217069"</f>
        <v>1551688955217069</v>
      </c>
      <c r="C5416" t="s">
        <v>40</v>
      </c>
      <c r="D5416">
        <v>4.188434</v>
      </c>
      <c r="E5416">
        <v>0.53634179999999998</v>
      </c>
      <c r="F5416" t="s">
        <v>42</v>
      </c>
      <c r="G5416">
        <v>-421.13389999999998</v>
      </c>
      <c r="H5416" s="1">
        <v>-1.747992E-6</v>
      </c>
      <c r="I5416">
        <v>82.960480000000004</v>
      </c>
      <c r="J5416">
        <v>-421.38260000000002</v>
      </c>
      <c r="K5416">
        <v>1.1110370000000001</v>
      </c>
      <c r="L5416">
        <v>96.767880000000005</v>
      </c>
      <c r="M5416">
        <v>-9.1962520000000006E-2</v>
      </c>
      <c r="N5416">
        <v>-9.8437809999999994E-3</v>
      </c>
      <c r="O5416">
        <v>-0.99571390000000004</v>
      </c>
      <c r="P5416">
        <v>8.5719000000000004E-2</v>
      </c>
      <c r="Q5416">
        <v>0.32817629999999998</v>
      </c>
      <c r="R5416">
        <v>-0.94071939999999998</v>
      </c>
      <c r="S5416">
        <v>5.178833E-2</v>
      </c>
      <c r="T5416">
        <v>-0.2579379</v>
      </c>
      <c r="U5416">
        <v>-3.2727970000000002</v>
      </c>
      <c r="V5416">
        <v>-0.17262910000000001</v>
      </c>
      <c r="W5416">
        <v>0.33691670000000001</v>
      </c>
      <c r="X5416">
        <v>0.92557350000000005</v>
      </c>
      <c r="Y5416">
        <v>-0.1076257</v>
      </c>
      <c r="Z5416">
        <v>6.8012619999999996E-2</v>
      </c>
      <c r="AA5416">
        <v>0.99186240000000003</v>
      </c>
      <c r="AB5416">
        <v>28</v>
      </c>
      <c r="AC5416">
        <v>0.248700000000042</v>
      </c>
      <c r="AD5416">
        <v>-1.1110387479920001</v>
      </c>
      <c r="AE5416">
        <v>-13.807399999999999</v>
      </c>
      <c r="AF5416">
        <v>-1.5077115854919001</v>
      </c>
      <c r="AG5416">
        <v>-1.1110387479920001</v>
      </c>
      <c r="AH5416">
        <v>13.637738196205101</v>
      </c>
      <c r="AI5416">
        <v>94.629403378704296</v>
      </c>
      <c r="AJ5416">
        <v>96.308680047362202</v>
      </c>
      <c r="AK5416">
        <v>13.765736610613899</v>
      </c>
      <c r="AL5416">
        <v>70.310866016331204</v>
      </c>
      <c r="AM5416">
        <v>100.564872200827</v>
      </c>
      <c r="AN5416">
        <v>0.99999998640397503</v>
      </c>
    </row>
    <row r="5417" spans="1:40" x14ac:dyDescent="0.25">
      <c r="A5417" t="str">
        <f>"20190304164235252"</f>
        <v>20190304164235252</v>
      </c>
      <c r="B5417" t="str">
        <f>"1551688955246347"</f>
        <v>1551688955246347</v>
      </c>
      <c r="C5417" t="s">
        <v>40</v>
      </c>
      <c r="D5417">
        <v>4.8529260000000001</v>
      </c>
      <c r="E5417">
        <v>0.53656090000000001</v>
      </c>
      <c r="F5417" t="s">
        <v>42</v>
      </c>
      <c r="G5417">
        <v>-421.13549999999998</v>
      </c>
      <c r="H5417" s="1">
        <v>-1.532096E-6</v>
      </c>
      <c r="I5417">
        <v>82.45617</v>
      </c>
      <c r="J5417">
        <v>-421.40730000000002</v>
      </c>
      <c r="K5417">
        <v>1.111057</v>
      </c>
      <c r="L5417">
        <v>96.485659999999996</v>
      </c>
      <c r="M5417">
        <v>-9.0687619999999997E-2</v>
      </c>
      <c r="N5417">
        <v>-9.8624049999999994E-3</v>
      </c>
      <c r="O5417">
        <v>-0.99583069999999896</v>
      </c>
      <c r="P5417">
        <v>8.8895199999999994E-2</v>
      </c>
      <c r="Q5417">
        <v>0.32828859999999999</v>
      </c>
      <c r="R5417">
        <v>-0.94038560000000004</v>
      </c>
      <c r="S5417">
        <v>5.6488040000000003E-2</v>
      </c>
      <c r="T5417">
        <v>-0.25405050000000001</v>
      </c>
      <c r="U5417">
        <v>-3.2725219999999999</v>
      </c>
      <c r="V5417">
        <v>-0.174591</v>
      </c>
      <c r="W5417">
        <v>0.33702840000000001</v>
      </c>
      <c r="X5417">
        <v>0.92516480000000001</v>
      </c>
      <c r="Y5417">
        <v>-0.1077801</v>
      </c>
      <c r="Z5417">
        <v>6.6845009999999996E-2</v>
      </c>
      <c r="AA5417">
        <v>0.99192499999999995</v>
      </c>
      <c r="AB5417">
        <v>28</v>
      </c>
      <c r="AC5417">
        <v>0.27180000000004101</v>
      </c>
      <c r="AD5417">
        <v>-1.111058532096</v>
      </c>
      <c r="AE5417">
        <v>-14.0294899999999</v>
      </c>
      <c r="AF5417">
        <v>-1.5334289552609299</v>
      </c>
      <c r="AG5417">
        <v>-1.111058532096</v>
      </c>
      <c r="AH5417">
        <v>13.8601292817348</v>
      </c>
      <c r="AI5417">
        <v>94.555478333174406</v>
      </c>
      <c r="AJ5417">
        <v>96.313299200416097</v>
      </c>
      <c r="AK5417">
        <v>13.988889846195001</v>
      </c>
      <c r="AL5417">
        <v>70.304069487026496</v>
      </c>
      <c r="AM5417">
        <v>100.686802339008</v>
      </c>
      <c r="AN5417">
        <v>1.0000000334232899</v>
      </c>
    </row>
    <row r="5418" spans="1:40" x14ac:dyDescent="0.25">
      <c r="A5418" t="str">
        <f>"20190304164235273"</f>
        <v>20190304164235273</v>
      </c>
      <c r="B5418" t="str">
        <f>"1551688955266844"</f>
        <v>1551688955266844</v>
      </c>
      <c r="C5418" t="s">
        <v>40</v>
      </c>
      <c r="D5418">
        <v>4.2061890000000002</v>
      </c>
      <c r="E5418">
        <v>0.53656839999999995</v>
      </c>
      <c r="F5418" t="s">
        <v>42</v>
      </c>
      <c r="G5418">
        <v>-421.1216</v>
      </c>
      <c r="H5418" s="1">
        <v>-1.3519839999999999E-6</v>
      </c>
      <c r="I5418">
        <v>82.045009999999905</v>
      </c>
      <c r="J5418">
        <v>-421.43110000000001</v>
      </c>
      <c r="K5418">
        <v>1.111078</v>
      </c>
      <c r="L5418">
        <v>96.209289999999996</v>
      </c>
      <c r="M5418">
        <v>-8.9413800000000002E-2</v>
      </c>
      <c r="N5418">
        <v>-9.8828240000000001E-3</v>
      </c>
      <c r="O5418">
        <v>-0.99594570000000004</v>
      </c>
      <c r="P5418">
        <v>9.2459600000000003E-2</v>
      </c>
      <c r="Q5418">
        <v>0.32786859999999901</v>
      </c>
      <c r="R5418">
        <v>-0.94018809999999997</v>
      </c>
      <c r="S5418">
        <v>6.4758300000000005E-2</v>
      </c>
      <c r="T5418">
        <v>-0.25174200000000002</v>
      </c>
      <c r="U5418">
        <v>-3.2719420000000001</v>
      </c>
      <c r="V5418">
        <v>-0.17695229999999901</v>
      </c>
      <c r="W5418">
        <v>0.33660959999999901</v>
      </c>
      <c r="X5418">
        <v>0.92486860000000004</v>
      </c>
      <c r="Y5418">
        <v>-0.1090184</v>
      </c>
      <c r="Z5418">
        <v>6.6150039999999993E-2</v>
      </c>
      <c r="AA5418">
        <v>0.99183619999999995</v>
      </c>
      <c r="AB5418">
        <v>28</v>
      </c>
      <c r="AC5418">
        <v>0.30950000000001399</v>
      </c>
      <c r="AD5418">
        <v>-1.1110793519840001</v>
      </c>
      <c r="AE5418">
        <v>-14.16428</v>
      </c>
      <c r="AF5418">
        <v>-1.56517767910897</v>
      </c>
      <c r="AG5418">
        <v>-1.1110793519840001</v>
      </c>
      <c r="AH5418">
        <v>13.9937998573778</v>
      </c>
      <c r="AI5418">
        <v>94.511630186466405</v>
      </c>
      <c r="AJ5418">
        <v>96.381890676939605</v>
      </c>
      <c r="AK5418">
        <v>14.1248261207681</v>
      </c>
      <c r="AL5418">
        <v>70.329554032984802</v>
      </c>
      <c r="AM5418">
        <v>100.831329520631</v>
      </c>
      <c r="AN5418">
        <v>1.0000000332767001</v>
      </c>
    </row>
    <row r="5419" spans="1:40" x14ac:dyDescent="0.25">
      <c r="A5419" t="str">
        <f>"20190304164235296"</f>
        <v>20190304164235296</v>
      </c>
      <c r="B5419" t="str">
        <f>"1551688955286363"</f>
        <v>1551688955286363</v>
      </c>
      <c r="C5419" t="s">
        <v>40</v>
      </c>
      <c r="D5419">
        <v>4.241835</v>
      </c>
      <c r="E5419">
        <v>0.53665689999999999</v>
      </c>
      <c r="F5419" t="s">
        <v>42</v>
      </c>
      <c r="G5419">
        <v>-421.0915</v>
      </c>
      <c r="H5419" s="1">
        <v>-1.213074E-6</v>
      </c>
      <c r="I5419">
        <v>81.739850000000004</v>
      </c>
      <c r="J5419">
        <v>-421.45490000000001</v>
      </c>
      <c r="K5419">
        <v>1.111103</v>
      </c>
      <c r="L5419">
        <v>95.929169999999999</v>
      </c>
      <c r="M5419">
        <v>-8.8099650000000002E-2</v>
      </c>
      <c r="N5419">
        <v>-9.9071880000000008E-3</v>
      </c>
      <c r="O5419">
        <v>-0.99606249999999996</v>
      </c>
      <c r="P5419">
        <v>9.608804E-2</v>
      </c>
      <c r="Q5419">
        <v>0.3270112</v>
      </c>
      <c r="R5419">
        <v>-0.94012309999999999</v>
      </c>
      <c r="S5419">
        <v>7.6782230000000007E-2</v>
      </c>
      <c r="T5419">
        <v>-0.251164</v>
      </c>
      <c r="U5419">
        <v>-3.2708740000000001</v>
      </c>
      <c r="V5419">
        <v>-0.17935139999999999</v>
      </c>
      <c r="W5419">
        <v>0.335758099999999</v>
      </c>
      <c r="X5419">
        <v>0.92471590000000004</v>
      </c>
      <c r="Y5419">
        <v>-0.1113565</v>
      </c>
      <c r="Z5419">
        <v>6.5975679999999995E-2</v>
      </c>
      <c r="AA5419">
        <v>0.99158809999999997</v>
      </c>
      <c r="AB5419">
        <v>28</v>
      </c>
      <c r="AC5419">
        <v>0.36340000000001199</v>
      </c>
      <c r="AD5419">
        <v>-1.1111042130740001</v>
      </c>
      <c r="AE5419">
        <v>-14.189319999999899</v>
      </c>
      <c r="AF5419">
        <v>-1.6023036618276201</v>
      </c>
      <c r="AG5419">
        <v>-1.1111042130740001</v>
      </c>
      <c r="AH5419">
        <v>14.0162366759732</v>
      </c>
      <c r="AI5419">
        <v>94.5033013249313</v>
      </c>
      <c r="AJ5419">
        <v>96.521609643325206</v>
      </c>
      <c r="AK5419">
        <v>14.1512126743228</v>
      </c>
      <c r="AL5419">
        <v>70.381355004707004</v>
      </c>
      <c r="AM5419">
        <v>100.976405111467</v>
      </c>
      <c r="AN5419">
        <v>0.99999996105518896</v>
      </c>
    </row>
    <row r="5420" spans="1:40" x14ac:dyDescent="0.25">
      <c r="A5420" t="str">
        <f>"20190304164235319"</f>
        <v>20190304164235319</v>
      </c>
      <c r="B5420" t="str">
        <f>"1551688955306860"</f>
        <v>1551688955306860</v>
      </c>
      <c r="C5420" t="s">
        <v>40</v>
      </c>
      <c r="D5420">
        <v>4.2017559999999996</v>
      </c>
      <c r="E5420">
        <v>0.55314859999999999</v>
      </c>
      <c r="F5420" t="s">
        <v>42</v>
      </c>
      <c r="G5420">
        <v>-421.06709999999998</v>
      </c>
      <c r="H5420" s="1">
        <v>-1.169762E-6</v>
      </c>
      <c r="I5420">
        <v>81.653980000000004</v>
      </c>
      <c r="J5420">
        <v>-421.47859999999997</v>
      </c>
      <c r="K5420">
        <v>1.1111230000000001</v>
      </c>
      <c r="L5420">
        <v>95.644350000000003</v>
      </c>
      <c r="M5420">
        <v>-8.6739629999999998E-2</v>
      </c>
      <c r="N5420">
        <v>-9.9329420000000002E-3</v>
      </c>
      <c r="O5420">
        <v>-0.99618150000000005</v>
      </c>
      <c r="P5420">
        <v>9.960128E-2</v>
      </c>
      <c r="Q5420">
        <v>0.32662160000000001</v>
      </c>
      <c r="R5420">
        <v>-0.93989259999999997</v>
      </c>
      <c r="S5420">
        <v>8.8836670000000006E-2</v>
      </c>
      <c r="T5420">
        <v>-0.25456119999999999</v>
      </c>
      <c r="U5420">
        <v>-3.2705380000000002</v>
      </c>
      <c r="V5420">
        <v>-0.18158150000000001</v>
      </c>
      <c r="W5420">
        <v>0.33537499999999998</v>
      </c>
      <c r="X5420">
        <v>0.92441969999999996</v>
      </c>
      <c r="Y5420">
        <v>-0.11365069999999999</v>
      </c>
      <c r="Z5420">
        <v>6.6977389999999998E-2</v>
      </c>
      <c r="AA5420">
        <v>0.99126060000000005</v>
      </c>
      <c r="AB5420">
        <v>28</v>
      </c>
      <c r="AC5420">
        <v>0.41149999999998899</v>
      </c>
      <c r="AD5420">
        <v>-1.11112416976199</v>
      </c>
      <c r="AE5420">
        <v>-13.99037</v>
      </c>
      <c r="AF5420">
        <v>-1.6133605928474899</v>
      </c>
      <c r="AG5420">
        <v>-1.11112416976199</v>
      </c>
      <c r="AH5420">
        <v>13.8148762612981</v>
      </c>
      <c r="AI5420">
        <v>94.567466156992595</v>
      </c>
      <c r="AJ5420">
        <v>96.661074094680799</v>
      </c>
      <c r="AK5420">
        <v>13.953076199826301</v>
      </c>
      <c r="AL5420">
        <v>70.404657030082106</v>
      </c>
      <c r="AM5420">
        <v>101.11298437500299</v>
      </c>
      <c r="AN5420">
        <v>1.00000000675767</v>
      </c>
    </row>
    <row r="5421" spans="1:40" x14ac:dyDescent="0.25">
      <c r="A5421" t="str">
        <f>"20190304164235341"</f>
        <v>20190304164235341</v>
      </c>
      <c r="B5421" t="str">
        <f>"1551688955336143"</f>
        <v>1551688955336143</v>
      </c>
      <c r="C5421" t="s">
        <v>40</v>
      </c>
      <c r="D5421">
        <v>4.1667050000000003</v>
      </c>
      <c r="E5421">
        <v>0.55486359999999901</v>
      </c>
      <c r="F5421" t="s">
        <v>42</v>
      </c>
      <c r="G5421">
        <v>-421.59750000000003</v>
      </c>
      <c r="H5421" s="1">
        <v>-1.424212E-6</v>
      </c>
      <c r="I5421">
        <v>81.918149999999997</v>
      </c>
      <c r="J5421">
        <v>-421.50229999999999</v>
      </c>
      <c r="K5421">
        <v>1.1111489999999999</v>
      </c>
      <c r="L5421">
        <v>95.355189999999993</v>
      </c>
      <c r="M5421">
        <v>-8.5332359999999996E-2</v>
      </c>
      <c r="N5421">
        <v>-9.9578189999999997E-3</v>
      </c>
      <c r="O5421">
        <v>-0.9963031</v>
      </c>
      <c r="P5421">
        <v>0.1024717</v>
      </c>
      <c r="Q5421">
        <v>0.32679550000000002</v>
      </c>
      <c r="R5421">
        <v>-0.93952380000000002</v>
      </c>
      <c r="S5421">
        <v>-2.8472899999999999E-2</v>
      </c>
      <c r="T5421">
        <v>-0.26610850000000003</v>
      </c>
      <c r="U5421">
        <v>-3.2873540000000001</v>
      </c>
      <c r="V5421">
        <v>-0.18311910000000001</v>
      </c>
      <c r="W5421">
        <v>0.33555370000000001</v>
      </c>
      <c r="X5421">
        <v>0.92405150000000003</v>
      </c>
      <c r="Y5421">
        <v>-7.6690259999999996E-2</v>
      </c>
      <c r="Z5421">
        <v>7.0198369999999996E-2</v>
      </c>
      <c r="AA5421">
        <v>0.99458069999999998</v>
      </c>
      <c r="AB5421">
        <v>28</v>
      </c>
      <c r="AC5421">
        <v>-9.5200000000033896E-2</v>
      </c>
      <c r="AD5421">
        <v>-1.1111504242119901</v>
      </c>
      <c r="AE5421">
        <v>-13.43704</v>
      </c>
      <c r="AF5421">
        <v>-1.0446748116389699</v>
      </c>
      <c r="AG5421">
        <v>-1.1111504242119901</v>
      </c>
      <c r="AH5421">
        <v>13.305170012193599</v>
      </c>
      <c r="AI5421">
        <v>94.759266646531501</v>
      </c>
      <c r="AJ5421">
        <v>94.489451163038197</v>
      </c>
      <c r="AK5421">
        <v>13.3922944180852</v>
      </c>
      <c r="AL5421">
        <v>70.393788998585407</v>
      </c>
      <c r="AM5421">
        <v>101.20906746771</v>
      </c>
      <c r="AN5421">
        <v>1.00000003251037</v>
      </c>
    </row>
    <row r="5422" spans="1:40" x14ac:dyDescent="0.25">
      <c r="A5422" t="str">
        <f>"20190304164235365"</f>
        <v>20190304164235365</v>
      </c>
      <c r="B5422" t="str">
        <f>"1551688955356636"</f>
        <v>1551688955356636</v>
      </c>
      <c r="C5422" t="s">
        <v>40</v>
      </c>
      <c r="D5422">
        <v>4.1644670000000001</v>
      </c>
      <c r="E5422">
        <v>0.55543509999999996</v>
      </c>
      <c r="F5422" t="s">
        <v>42</v>
      </c>
      <c r="G5422">
        <v>-421.63459999999998</v>
      </c>
      <c r="H5422" s="1">
        <v>-1.2963439999999999E-6</v>
      </c>
      <c r="I5422">
        <v>81.597110000000001</v>
      </c>
      <c r="J5422">
        <v>-421.52589999999998</v>
      </c>
      <c r="K5422">
        <v>1.111183</v>
      </c>
      <c r="L5422">
        <v>95.061160000000001</v>
      </c>
      <c r="M5422">
        <v>-8.385977E-2</v>
      </c>
      <c r="N5422">
        <v>-9.9811850000000001E-3</v>
      </c>
      <c r="O5422">
        <v>-0.99642790000000003</v>
      </c>
      <c r="P5422">
        <v>0.1045209</v>
      </c>
      <c r="Q5422">
        <v>0.32604379999999999</v>
      </c>
      <c r="R5422">
        <v>-0.93955929999999999</v>
      </c>
      <c r="S5422">
        <v>-3.1616209999999999E-2</v>
      </c>
      <c r="T5422">
        <v>-0.26562619999999998</v>
      </c>
      <c r="U5422">
        <v>-3.2889400000000002</v>
      </c>
      <c r="V5422">
        <v>-0.18381620000000001</v>
      </c>
      <c r="W5422">
        <v>0.33480979999999999</v>
      </c>
      <c r="X5422">
        <v>0.92418290000000003</v>
      </c>
      <c r="Y5422">
        <v>-7.4271139999999999E-2</v>
      </c>
      <c r="Z5422">
        <v>7.0014740000000006E-2</v>
      </c>
      <c r="AA5422">
        <v>0.99477720000000003</v>
      </c>
      <c r="AB5422">
        <v>29</v>
      </c>
      <c r="AC5422">
        <v>-0.10869999999999801</v>
      </c>
      <c r="AD5422">
        <v>-1.111184296344</v>
      </c>
      <c r="AE5422">
        <v>-13.46405</v>
      </c>
      <c r="AF5422">
        <v>-1.01392539240727</v>
      </c>
      <c r="AG5422">
        <v>-1.111184296344</v>
      </c>
      <c r="AH5422">
        <v>13.3349148226637</v>
      </c>
      <c r="AI5422">
        <v>94.749744364609398</v>
      </c>
      <c r="AJ5422">
        <v>94.348140159687802</v>
      </c>
      <c r="AK5422">
        <v>13.419490622579699</v>
      </c>
      <c r="AL5422">
        <v>70.439027908238202</v>
      </c>
      <c r="AM5422">
        <v>101.24909301268799</v>
      </c>
      <c r="AN5422">
        <v>1.00000001510544</v>
      </c>
    </row>
    <row r="5423" spans="1:40" x14ac:dyDescent="0.25">
      <c r="A5423" t="str">
        <f>"20190304164235386"</f>
        <v>20190304164235386</v>
      </c>
      <c r="B5423" t="str">
        <f>"1551688955376156"</f>
        <v>1551688955376156</v>
      </c>
      <c r="C5423" t="s">
        <v>40</v>
      </c>
      <c r="D5423">
        <v>4.1697340000000001</v>
      </c>
      <c r="E5423">
        <v>0.55581289999999905</v>
      </c>
      <c r="F5423" t="s">
        <v>42</v>
      </c>
      <c r="G5423">
        <v>-421.64429999999999</v>
      </c>
      <c r="H5423" s="1">
        <v>-1.275703E-6</v>
      </c>
      <c r="I5423">
        <v>81.54298</v>
      </c>
      <c r="J5423">
        <v>-421.54809999999998</v>
      </c>
      <c r="K5423">
        <v>1.11121</v>
      </c>
      <c r="L5423">
        <v>94.779300000000006</v>
      </c>
      <c r="M5423">
        <v>-8.2403660000000004E-2</v>
      </c>
      <c r="N5423">
        <v>-1.000235E-2</v>
      </c>
      <c r="O5423">
        <v>-0.99654880000000001</v>
      </c>
      <c r="P5423">
        <v>0.1057748</v>
      </c>
      <c r="Q5423">
        <v>0.3250614</v>
      </c>
      <c r="R5423">
        <v>-0.9397586</v>
      </c>
      <c r="S5423">
        <v>-2.8808589999999999E-2</v>
      </c>
      <c r="T5423">
        <v>-0.27043859999999997</v>
      </c>
      <c r="U5423">
        <v>-3.2900390000000002</v>
      </c>
      <c r="V5423">
        <v>-0.18375269999999999</v>
      </c>
      <c r="W5423">
        <v>0.33383550000000001</v>
      </c>
      <c r="X5423">
        <v>0.92454789999999998</v>
      </c>
      <c r="Y5423">
        <v>-7.3666540000000003E-2</v>
      </c>
      <c r="Z5423">
        <v>7.1423429999999996E-2</v>
      </c>
      <c r="AA5423">
        <v>0.99472210000000005</v>
      </c>
      <c r="AB5423">
        <v>29</v>
      </c>
      <c r="AC5423">
        <v>-9.6200000000010194E-2</v>
      </c>
      <c r="AD5423">
        <v>-1.1112112757029999</v>
      </c>
      <c r="AE5423">
        <v>-13.236319999999999</v>
      </c>
      <c r="AF5423">
        <v>-0.98794050491362395</v>
      </c>
      <c r="AG5423">
        <v>-1.1112112757029999</v>
      </c>
      <c r="AH5423">
        <v>13.1068561284805</v>
      </c>
      <c r="AI5423">
        <v>94.832357239698496</v>
      </c>
      <c r="AJ5423">
        <v>94.310567254159395</v>
      </c>
      <c r="AK5423">
        <v>13.190924702733501</v>
      </c>
      <c r="AL5423">
        <v>70.498259297530296</v>
      </c>
      <c r="AM5423">
        <v>101.240979580054</v>
      </c>
      <c r="AN5423">
        <v>1.0000000076059701</v>
      </c>
    </row>
    <row r="5424" spans="1:40" x14ac:dyDescent="0.25">
      <c r="A5424" t="str">
        <f>"20190304164235410"</f>
        <v>20190304164235410</v>
      </c>
      <c r="B5424" t="str">
        <f>"1551688955396653"</f>
        <v>1551688955396653</v>
      </c>
      <c r="C5424" t="s">
        <v>40</v>
      </c>
      <c r="D5424">
        <v>4.1827329999999998</v>
      </c>
      <c r="E5424">
        <v>0.55616330000000003</v>
      </c>
      <c r="F5424" t="s">
        <v>42</v>
      </c>
      <c r="G5424">
        <v>-421.65460000000002</v>
      </c>
      <c r="H5424" s="1">
        <v>-1.2431589999999999E-6</v>
      </c>
      <c r="I5424">
        <v>81.460700000000003</v>
      </c>
      <c r="J5424">
        <v>-421.56990000000002</v>
      </c>
      <c r="K5424">
        <v>1.1112550000000001</v>
      </c>
      <c r="L5424">
        <v>94.495999999999995</v>
      </c>
      <c r="M5424">
        <v>-8.0899349999999995E-2</v>
      </c>
      <c r="N5424">
        <v>-1.0022150000000001E-2</v>
      </c>
      <c r="O5424">
        <v>-0.99667220000000001</v>
      </c>
      <c r="P5424">
        <v>0.1047515</v>
      </c>
      <c r="Q5424">
        <v>0.32510939999999999</v>
      </c>
      <c r="R5424">
        <v>-0.93985719999999995</v>
      </c>
      <c r="S5424">
        <v>-2.630615E-2</v>
      </c>
      <c r="T5424">
        <v>-0.27451320000000001</v>
      </c>
      <c r="U5424">
        <v>-3.290222</v>
      </c>
      <c r="V5424">
        <v>-0.18137039999999999</v>
      </c>
      <c r="W5424">
        <v>0.33389609999999997</v>
      </c>
      <c r="X5424">
        <v>0.92499629999999999</v>
      </c>
      <c r="Y5424">
        <v>-7.2918689999999994E-2</v>
      </c>
      <c r="Z5424">
        <v>7.2635530000000004E-2</v>
      </c>
      <c r="AA5424">
        <v>0.9946893</v>
      </c>
      <c r="AB5424">
        <v>29</v>
      </c>
      <c r="AC5424">
        <v>-8.4699999999997999E-2</v>
      </c>
      <c r="AD5424">
        <v>-1.1112562431589901</v>
      </c>
      <c r="AE5424">
        <v>-13.035299999999999</v>
      </c>
      <c r="AF5424">
        <v>-0.96317796323913596</v>
      </c>
      <c r="AG5424">
        <v>-1.1112562431589901</v>
      </c>
      <c r="AH5424">
        <v>12.9056341044736</v>
      </c>
      <c r="AI5424">
        <v>94.907805669655801</v>
      </c>
      <c r="AJ5424">
        <v>94.268206502998794</v>
      </c>
      <c r="AK5424">
        <v>12.989149081652</v>
      </c>
      <c r="AL5424">
        <v>70.494575486621599</v>
      </c>
      <c r="AM5424">
        <v>101.09363810035801</v>
      </c>
      <c r="AN5424">
        <v>0.99999999130253003</v>
      </c>
    </row>
    <row r="5425" spans="1:40" x14ac:dyDescent="0.25">
      <c r="A5425" t="str">
        <f>"20190304164235432"</f>
        <v>20190304164235432</v>
      </c>
      <c r="B5425" t="str">
        <f>"1551688955426908"</f>
        <v>1551688955426908</v>
      </c>
      <c r="C5425" t="s">
        <v>40</v>
      </c>
      <c r="D5425">
        <v>4.1633659999999999</v>
      </c>
      <c r="E5425">
        <v>0.55665369999999903</v>
      </c>
      <c r="F5425" t="s">
        <v>42</v>
      </c>
      <c r="G5425">
        <v>-421.6934</v>
      </c>
      <c r="H5425" s="1">
        <v>-1.1117220000000001E-6</v>
      </c>
      <c r="I5425">
        <v>81.130250000000004</v>
      </c>
      <c r="J5425">
        <v>-421.59230000000002</v>
      </c>
      <c r="K5425">
        <v>1.1113059999999999</v>
      </c>
      <c r="L5425">
        <v>94.199309999999997</v>
      </c>
      <c r="M5425">
        <v>-7.92654E-2</v>
      </c>
      <c r="N5425">
        <v>-1.004115E-2</v>
      </c>
      <c r="O5425">
        <v>-0.99680329999999995</v>
      </c>
      <c r="P5425">
        <v>0.1037975</v>
      </c>
      <c r="Q5425">
        <v>0.32502950000000003</v>
      </c>
      <c r="R5425">
        <v>-0.93999080000000002</v>
      </c>
      <c r="S5425">
        <v>-3.0395510000000001E-2</v>
      </c>
      <c r="T5425">
        <v>-0.2735379</v>
      </c>
      <c r="U5425">
        <v>-3.2900089999999902</v>
      </c>
      <c r="V5425">
        <v>-0.1789433</v>
      </c>
      <c r="W5425">
        <v>0.33382650000000003</v>
      </c>
      <c r="X5425">
        <v>0.92549400000000004</v>
      </c>
      <c r="Y5425">
        <v>-7.004792E-2</v>
      </c>
      <c r="Z5425">
        <v>7.2354940000000006E-2</v>
      </c>
      <c r="AA5425">
        <v>0.99491609999999997</v>
      </c>
      <c r="AB5425">
        <v>29</v>
      </c>
      <c r="AC5425">
        <v>-0.101099999999974</v>
      </c>
      <c r="AD5425">
        <v>-1.1113071117219999</v>
      </c>
      <c r="AE5425">
        <v>-13.069059999999901</v>
      </c>
      <c r="AF5425">
        <v>-0.92848114517445401</v>
      </c>
      <c r="AG5425">
        <v>-1.1113071117219999</v>
      </c>
      <c r="AH5425">
        <v>12.942372212764599</v>
      </c>
      <c r="AI5425">
        <v>94.895190811802806</v>
      </c>
      <c r="AJ5425">
        <v>94.103348928430094</v>
      </c>
      <c r="AK5425">
        <v>13.0231363053318</v>
      </c>
      <c r="AL5425">
        <v>70.498805992266497</v>
      </c>
      <c r="AM5425">
        <v>100.943048346053</v>
      </c>
      <c r="AN5425">
        <v>0.99999999037656995</v>
      </c>
    </row>
    <row r="5426" spans="1:40" x14ac:dyDescent="0.25">
      <c r="A5426" t="str">
        <f>"20190304164235453"</f>
        <v>20190304164235453</v>
      </c>
      <c r="B5426" t="str">
        <f>"1551688955446428"</f>
        <v>1551688955446428</v>
      </c>
      <c r="C5426" t="s">
        <v>40</v>
      </c>
      <c r="D5426">
        <v>4.1490929999999997</v>
      </c>
      <c r="E5426">
        <v>0.556903699999999</v>
      </c>
      <c r="F5426" t="s">
        <v>42</v>
      </c>
      <c r="G5426">
        <v>-421.7371</v>
      </c>
      <c r="H5426" s="1">
        <v>-9.9084039999999991E-7</v>
      </c>
      <c r="I5426">
        <v>80.821380000000005</v>
      </c>
      <c r="J5426">
        <v>-421.61200000000002</v>
      </c>
      <c r="K5426">
        <v>1.1113569999999999</v>
      </c>
      <c r="L5426">
        <v>93.930689999999998</v>
      </c>
      <c r="M5426">
        <v>-7.7719220000000006E-2</v>
      </c>
      <c r="N5426">
        <v>-1.0057109999999999E-2</v>
      </c>
      <c r="O5426">
        <v>-0.9969249</v>
      </c>
      <c r="P5426">
        <v>0.1027463</v>
      </c>
      <c r="Q5426">
        <v>0.32544089999999998</v>
      </c>
      <c r="R5426">
        <v>-0.93996409999999997</v>
      </c>
      <c r="S5426">
        <v>-3.5614010000000001E-2</v>
      </c>
      <c r="T5426">
        <v>-0.2732966</v>
      </c>
      <c r="U5426">
        <v>-3.2899479999999999</v>
      </c>
      <c r="V5426">
        <v>-0.1764927</v>
      </c>
      <c r="W5426">
        <v>0.3342427</v>
      </c>
      <c r="X5426">
        <v>0.92581429999999998</v>
      </c>
      <c r="Y5426">
        <v>-6.6923640000000006E-2</v>
      </c>
      <c r="Z5426">
        <v>7.2292220000000004E-2</v>
      </c>
      <c r="AA5426">
        <v>0.99513569999999996</v>
      </c>
      <c r="AB5426">
        <v>29</v>
      </c>
      <c r="AC5426">
        <v>-0.12510000000003099</v>
      </c>
      <c r="AD5426">
        <v>-1.1113579908404001</v>
      </c>
      <c r="AE5426">
        <v>-13.109309999999899</v>
      </c>
      <c r="AF5426">
        <v>-0.88779495070631198</v>
      </c>
      <c r="AG5426">
        <v>-1.1113579908404001</v>
      </c>
      <c r="AH5426">
        <v>12.9860548564751</v>
      </c>
      <c r="AI5426">
        <v>94.880168494862104</v>
      </c>
      <c r="AJ5426">
        <v>93.9109551300145</v>
      </c>
      <c r="AK5426">
        <v>13.063725241817</v>
      </c>
      <c r="AL5426">
        <v>70.473506222977903</v>
      </c>
      <c r="AM5426">
        <v>100.793083587472</v>
      </c>
      <c r="AN5426">
        <v>0.99999998687053404</v>
      </c>
    </row>
    <row r="5427" spans="1:40" x14ac:dyDescent="0.25">
      <c r="A5427" t="str">
        <f>"20190304164235475"</f>
        <v>20190304164235475</v>
      </c>
      <c r="B5427" t="str">
        <f>"1551688955466547"</f>
        <v>1551688955466547</v>
      </c>
      <c r="C5427" t="s">
        <v>40</v>
      </c>
      <c r="D5427">
        <v>4.1683859999999999</v>
      </c>
      <c r="E5427">
        <v>0.55710909999999902</v>
      </c>
      <c r="F5427" t="s">
        <v>42</v>
      </c>
      <c r="G5427">
        <v>-421.7867</v>
      </c>
      <c r="H5427" s="1">
        <v>-8.2247930000000005E-7</v>
      </c>
      <c r="I5427">
        <v>80.398139999999998</v>
      </c>
      <c r="J5427">
        <v>-421.63209999999998</v>
      </c>
      <c r="K5427">
        <v>1.111413</v>
      </c>
      <c r="L5427">
        <v>93.650480000000002</v>
      </c>
      <c r="M5427">
        <v>-7.6028910000000005E-2</v>
      </c>
      <c r="N5427">
        <v>-1.007279E-2</v>
      </c>
      <c r="O5427">
        <v>-0.99705469999999896</v>
      </c>
      <c r="P5427">
        <v>0.10248889999999999</v>
      </c>
      <c r="Q5427">
        <v>0.32501479999999999</v>
      </c>
      <c r="R5427">
        <v>-0.9401389</v>
      </c>
      <c r="S5427">
        <v>-4.2480469999999999E-2</v>
      </c>
      <c r="T5427">
        <v>-0.27017609999999997</v>
      </c>
      <c r="U5427">
        <v>-3.289825</v>
      </c>
      <c r="V5427">
        <v>-0.1747224</v>
      </c>
      <c r="W5427">
        <v>0.33381519999999998</v>
      </c>
      <c r="X5427">
        <v>0.92630420000000002</v>
      </c>
      <c r="Y5427">
        <v>-6.3155669999999997E-2</v>
      </c>
      <c r="Z5427">
        <v>7.1371009999999999E-2</v>
      </c>
      <c r="AA5427">
        <v>0.99544840000000001</v>
      </c>
      <c r="AB5427">
        <v>29</v>
      </c>
      <c r="AC5427">
        <v>-0.154600000000016</v>
      </c>
      <c r="AD5427">
        <v>-1.1114138224793</v>
      </c>
      <c r="AE5427">
        <v>-13.25234</v>
      </c>
      <c r="AF5427">
        <v>-0.84749962723615702</v>
      </c>
      <c r="AG5427">
        <v>-1.1114138224793</v>
      </c>
      <c r="AH5427">
        <v>13.133373434378599</v>
      </c>
      <c r="AI5427">
        <v>94.827147073525396</v>
      </c>
      <c r="AJ5427">
        <v>93.692190644595001</v>
      </c>
      <c r="AK5427">
        <v>13.2075355032574</v>
      </c>
      <c r="AL5427">
        <v>70.499492783462401</v>
      </c>
      <c r="AM5427">
        <v>100.68180787142801</v>
      </c>
      <c r="AN5427">
        <v>0.99999998787521904</v>
      </c>
    </row>
    <row r="5428" spans="1:40" x14ac:dyDescent="0.25">
      <c r="A5428" t="str">
        <f>"20190304164235497"</f>
        <v>20190304164235497</v>
      </c>
      <c r="B5428" t="str">
        <f>"1551688955487043"</f>
        <v>1551688955487043</v>
      </c>
      <c r="C5428" t="s">
        <v>40</v>
      </c>
      <c r="D5428">
        <v>4.1818660000000003</v>
      </c>
      <c r="E5428">
        <v>0.55727769999999899</v>
      </c>
      <c r="F5428" t="s">
        <v>42</v>
      </c>
      <c r="G5428">
        <v>-421.81970000000001</v>
      </c>
      <c r="H5428" s="1">
        <v>-7.35926E-7</v>
      </c>
      <c r="I5428">
        <v>80.175919999999905</v>
      </c>
      <c r="J5428">
        <v>-421.65179999999998</v>
      </c>
      <c r="K5428">
        <v>1.111477</v>
      </c>
      <c r="L5428">
        <v>93.367919999999998</v>
      </c>
      <c r="M5428">
        <v>-7.424E-2</v>
      </c>
      <c r="N5428">
        <v>-1.008763E-2</v>
      </c>
      <c r="O5428">
        <v>-0.99718929999999995</v>
      </c>
      <c r="P5428">
        <v>0.1028541</v>
      </c>
      <c r="Q5428">
        <v>0.32442939999999998</v>
      </c>
      <c r="R5428">
        <v>-0.94030150000000001</v>
      </c>
      <c r="S5428">
        <v>-4.5806880000000001E-2</v>
      </c>
      <c r="T5428">
        <v>-0.2713526</v>
      </c>
      <c r="U5428">
        <v>-3.289825</v>
      </c>
      <c r="V5428">
        <v>-0.17348420000000001</v>
      </c>
      <c r="W5428">
        <v>0.33322370000000001</v>
      </c>
      <c r="X5428">
        <v>0.92674979999999996</v>
      </c>
      <c r="Y5428">
        <v>-6.0360129999999998E-2</v>
      </c>
      <c r="Z5428">
        <v>7.1732089999999998E-2</v>
      </c>
      <c r="AA5428">
        <v>0.99559589999999998</v>
      </c>
      <c r="AB5428">
        <v>29</v>
      </c>
      <c r="AC5428">
        <v>-0.167900000000031</v>
      </c>
      <c r="AD5428">
        <v>-1.111477735926</v>
      </c>
      <c r="AE5428">
        <v>-13.192</v>
      </c>
      <c r="AF5428">
        <v>-0.80626485326961295</v>
      </c>
      <c r="AG5428">
        <v>-1.111477735926</v>
      </c>
      <c r="AH5428">
        <v>13.075254636112501</v>
      </c>
      <c r="AI5428">
        <v>94.849648424149194</v>
      </c>
      <c r="AJ5428">
        <v>93.528585620152299</v>
      </c>
      <c r="AK5428">
        <v>13.147156710492901</v>
      </c>
      <c r="AL5428">
        <v>70.535441730517505</v>
      </c>
      <c r="AM5428">
        <v>100.602848558785</v>
      </c>
      <c r="AN5428">
        <v>0.99999999684568397</v>
      </c>
    </row>
    <row r="5429" spans="1:40" x14ac:dyDescent="0.25">
      <c r="A5429" t="str">
        <f>"20190304164235520"</f>
        <v>20190304164235520</v>
      </c>
      <c r="B5429" t="str">
        <f>"1551688955516323"</f>
        <v>1551688955516323</v>
      </c>
      <c r="C5429" t="s">
        <v>40</v>
      </c>
      <c r="D5429">
        <v>4.184501</v>
      </c>
      <c r="E5429">
        <v>0.55733159999999904</v>
      </c>
      <c r="F5429" t="s">
        <v>42</v>
      </c>
      <c r="G5429">
        <v>-421.84519999999998</v>
      </c>
      <c r="H5429" s="1">
        <v>-6.5139969999999904E-7</v>
      </c>
      <c r="I5429">
        <v>79.963119999999904</v>
      </c>
      <c r="J5429">
        <v>-421.67140000000001</v>
      </c>
      <c r="K5429">
        <v>1.1115469999999901</v>
      </c>
      <c r="L5429">
        <v>93.077240000000003</v>
      </c>
      <c r="M5429">
        <v>-7.2313009999999997E-2</v>
      </c>
      <c r="N5429">
        <v>-1.010169E-2</v>
      </c>
      <c r="O5429">
        <v>-0.99733090000000002</v>
      </c>
      <c r="P5429">
        <v>0.1038862</v>
      </c>
      <c r="Q5429">
        <v>0.32413950000000002</v>
      </c>
      <c r="R5429">
        <v>-0.94028800000000001</v>
      </c>
      <c r="S5429">
        <v>-4.7454830000000003E-2</v>
      </c>
      <c r="T5429">
        <v>-0.272775299999999</v>
      </c>
      <c r="U5429">
        <v>-3.2897639999999999</v>
      </c>
      <c r="V5429">
        <v>-0.17277329999999999</v>
      </c>
      <c r="W5429">
        <v>0.33292100000000002</v>
      </c>
      <c r="X5429">
        <v>0.92699129999999996</v>
      </c>
      <c r="Y5429">
        <v>-5.7933749999999999E-2</v>
      </c>
      <c r="Z5429">
        <v>7.2169010000000006E-2</v>
      </c>
      <c r="AA5429">
        <v>0.9957085</v>
      </c>
      <c r="AB5429">
        <v>29</v>
      </c>
      <c r="AC5429">
        <v>-0.17379999999997101</v>
      </c>
      <c r="AD5429">
        <v>-1.11154765139969</v>
      </c>
      <c r="AE5429">
        <v>-13.11412</v>
      </c>
      <c r="AF5429">
        <v>-0.769497623519246</v>
      </c>
      <c r="AG5429">
        <v>-1.11154765139969</v>
      </c>
      <c r="AH5429">
        <v>12.998981440538</v>
      </c>
      <c r="AI5429">
        <v>94.878993876926501</v>
      </c>
      <c r="AJ5429">
        <v>93.387771164938002</v>
      </c>
      <c r="AK5429">
        <v>13.069092671849299</v>
      </c>
      <c r="AL5429">
        <v>70.553834226044501</v>
      </c>
      <c r="AM5429">
        <v>100.557690364273</v>
      </c>
      <c r="AN5429">
        <v>0.99999993785478802</v>
      </c>
    </row>
    <row r="5430" spans="1:40" x14ac:dyDescent="0.25">
      <c r="A5430" t="str">
        <f>"20190304164235543"</f>
        <v>20190304164235543</v>
      </c>
      <c r="B5430" t="str">
        <f>"1551688955536819"</f>
        <v>1551688955536819</v>
      </c>
      <c r="C5430" t="s">
        <v>40</v>
      </c>
      <c r="D5430">
        <v>4.1468089999999904</v>
      </c>
      <c r="E5430">
        <v>0.55736629999999998</v>
      </c>
      <c r="F5430" t="s">
        <v>42</v>
      </c>
      <c r="G5430">
        <v>-421.85550000000001</v>
      </c>
      <c r="H5430" s="1">
        <v>-5.2568799999999999E-7</v>
      </c>
      <c r="I5430">
        <v>79.663690000000003</v>
      </c>
      <c r="J5430">
        <v>-421.69080000000002</v>
      </c>
      <c r="K5430">
        <v>1.1116079999999999</v>
      </c>
      <c r="L5430">
        <v>92.779539999999997</v>
      </c>
      <c r="M5430">
        <v>-7.0253979999999994E-2</v>
      </c>
      <c r="N5430">
        <v>-1.01148E-2</v>
      </c>
      <c r="O5430">
        <v>-0.99747799999999998</v>
      </c>
      <c r="P5430">
        <v>0.10578460000000001</v>
      </c>
      <c r="Q5430">
        <v>0.32439200000000001</v>
      </c>
      <c r="R5430">
        <v>-0.93998919999999997</v>
      </c>
      <c r="S5430">
        <v>-4.5135500000000002E-2</v>
      </c>
      <c r="T5430">
        <v>-0.27258919999999998</v>
      </c>
      <c r="U5430">
        <v>-3.2894589999999901</v>
      </c>
      <c r="V5430">
        <v>-0.1727805</v>
      </c>
      <c r="W5430">
        <v>0.33315669999999997</v>
      </c>
      <c r="X5430">
        <v>0.92690530000000004</v>
      </c>
      <c r="Y5430">
        <v>-5.6573949999999998E-2</v>
      </c>
      <c r="Z5430">
        <v>7.2129170000000006E-2</v>
      </c>
      <c r="AA5430">
        <v>0.99578949999999999</v>
      </c>
      <c r="AB5430">
        <v>29</v>
      </c>
      <c r="AC5430">
        <v>-0.164699999999982</v>
      </c>
      <c r="AD5430">
        <v>-1.1116085256879999</v>
      </c>
      <c r="AE5430">
        <v>-13.115849999999901</v>
      </c>
      <c r="AF5430">
        <v>-0.751795305328115</v>
      </c>
      <c r="AG5430">
        <v>-1.1116085256879999</v>
      </c>
      <c r="AH5430">
        <v>13.001633553593599</v>
      </c>
      <c r="AI5430">
        <v>94.878658164751997</v>
      </c>
      <c r="AJ5430">
        <v>93.309337013393801</v>
      </c>
      <c r="AK5430">
        <v>13.0707055952396</v>
      </c>
      <c r="AL5430">
        <v>70.539512478060004</v>
      </c>
      <c r="AM5430">
        <v>100.55907801664701</v>
      </c>
      <c r="AN5430">
        <v>0.99999996155161397</v>
      </c>
    </row>
    <row r="5431" spans="1:40" x14ac:dyDescent="0.25">
      <c r="A5431" t="str">
        <f>"20190304164235565"</f>
        <v>20190304164235565</v>
      </c>
      <c r="B5431" t="str">
        <f>"1551688955556339"</f>
        <v>1551688955556339</v>
      </c>
      <c r="C5431" t="s">
        <v>40</v>
      </c>
      <c r="D5431">
        <v>4.0770650000000002</v>
      </c>
      <c r="E5431">
        <v>0.55741419999999997</v>
      </c>
      <c r="F5431" t="s">
        <v>42</v>
      </c>
      <c r="G5431">
        <v>-421.85419999999999</v>
      </c>
      <c r="H5431" s="1">
        <v>-4.4990450000000002E-6</v>
      </c>
      <c r="I5431">
        <v>79.24091</v>
      </c>
      <c r="J5431">
        <v>-421.70839999999998</v>
      </c>
      <c r="K5431">
        <v>1.111664</v>
      </c>
      <c r="L5431">
        <v>92.500119999999995</v>
      </c>
      <c r="M5431">
        <v>-6.8255540000000003E-2</v>
      </c>
      <c r="N5431">
        <v>-1.0125790000000001E-2</v>
      </c>
      <c r="O5431">
        <v>-0.99761639999999996</v>
      </c>
      <c r="P5431">
        <v>0.1076956</v>
      </c>
      <c r="Q5431">
        <v>0.324322</v>
      </c>
      <c r="R5431">
        <v>-0.93979639999999998</v>
      </c>
      <c r="S5431">
        <v>-3.9703370000000002E-2</v>
      </c>
      <c r="T5431">
        <v>-0.27006400000000003</v>
      </c>
      <c r="U5431">
        <v>-3.2891849999999998</v>
      </c>
      <c r="V5431">
        <v>-0.17285210000000001</v>
      </c>
      <c r="W5431">
        <v>0.33307530000000002</v>
      </c>
      <c r="X5431">
        <v>0.9269212</v>
      </c>
      <c r="Y5431">
        <v>-5.6216670000000003E-2</v>
      </c>
      <c r="Z5431">
        <v>7.1385909999999997E-2</v>
      </c>
      <c r="AA5431">
        <v>0.99586330000000001</v>
      </c>
      <c r="AB5431">
        <v>29</v>
      </c>
      <c r="AC5431">
        <v>-0.14580000000000801</v>
      </c>
      <c r="AD5431">
        <v>-1.1116684990449901</v>
      </c>
      <c r="AE5431">
        <v>-13.2592099999999</v>
      </c>
      <c r="AF5431">
        <v>-0.75429947819371901</v>
      </c>
      <c r="AG5431">
        <v>-1.1116684990449901</v>
      </c>
      <c r="AH5431">
        <v>13.1458412284814</v>
      </c>
      <c r="AI5431">
        <v>94.825775685829001</v>
      </c>
      <c r="AJ5431">
        <v>93.283992176455499</v>
      </c>
      <c r="AK5431">
        <v>13.214307252331301</v>
      </c>
      <c r="AL5431">
        <v>70.544458780823902</v>
      </c>
      <c r="AM5431">
        <v>100.563178100165</v>
      </c>
      <c r="AN5431">
        <v>0.99999995747696901</v>
      </c>
    </row>
    <row r="5432" spans="1:40" x14ac:dyDescent="0.25">
      <c r="A5432" t="str">
        <f>"20190304164235587"</f>
        <v>20190304164235587</v>
      </c>
      <c r="B5432" t="str">
        <f>"1551688955576835"</f>
        <v>1551688955576835</v>
      </c>
      <c r="C5432" t="s">
        <v>40</v>
      </c>
      <c r="D5432">
        <v>4.1376189999999999</v>
      </c>
      <c r="E5432">
        <v>0.55609350000000002</v>
      </c>
      <c r="F5432" t="s">
        <v>42</v>
      </c>
      <c r="G5432">
        <v>-421.8537</v>
      </c>
      <c r="H5432" s="1">
        <v>-4.3817800000000004E-6</v>
      </c>
      <c r="I5432">
        <v>78.896590000000003</v>
      </c>
      <c r="J5432">
        <v>-421.72559999999999</v>
      </c>
      <c r="K5432">
        <v>1.1117060000000001</v>
      </c>
      <c r="L5432">
        <v>92.216800000000006</v>
      </c>
      <c r="M5432">
        <v>-6.6186060000000005E-2</v>
      </c>
      <c r="N5432">
        <v>-1.013589E-2</v>
      </c>
      <c r="O5432">
        <v>-0.99775590000000003</v>
      </c>
      <c r="P5432">
        <v>0.10989450000000001</v>
      </c>
      <c r="Q5432">
        <v>0.32432759999999999</v>
      </c>
      <c r="R5432">
        <v>-0.93954009999999999</v>
      </c>
      <c r="S5432">
        <v>-3.5125730000000001E-2</v>
      </c>
      <c r="T5432">
        <v>-0.26876939999999999</v>
      </c>
      <c r="U5432">
        <v>-3.2889400000000002</v>
      </c>
      <c r="V5432">
        <v>-0.17313029999999999</v>
      </c>
      <c r="W5432">
        <v>0.333072599999999</v>
      </c>
      <c r="X5432">
        <v>0.92687030000000004</v>
      </c>
      <c r="Y5432">
        <v>-5.553077E-2</v>
      </c>
      <c r="Z5432">
        <v>7.1012140000000001E-2</v>
      </c>
      <c r="AA5432">
        <v>0.99592849999999999</v>
      </c>
      <c r="AB5432">
        <v>29</v>
      </c>
      <c r="AC5432">
        <v>-0.12810000000001701</v>
      </c>
      <c r="AD5432">
        <v>-1.11171038177999</v>
      </c>
      <c r="AE5432">
        <v>-13.320209999999999</v>
      </c>
      <c r="AF5432">
        <v>-0.74862418271498499</v>
      </c>
      <c r="AG5432">
        <v>-1.11171038177999</v>
      </c>
      <c r="AH5432">
        <v>13.207488493863201</v>
      </c>
      <c r="AI5432">
        <v>94.803726235943401</v>
      </c>
      <c r="AJ5432">
        <v>93.244156415901202</v>
      </c>
      <c r="AK5432">
        <v>13.2753188457164</v>
      </c>
      <c r="AL5432">
        <v>70.544623816151102</v>
      </c>
      <c r="AM5432">
        <v>100.580363556447</v>
      </c>
      <c r="AN5432">
        <v>1.0000000053354701</v>
      </c>
    </row>
    <row r="5433" spans="1:40" x14ac:dyDescent="0.25">
      <c r="A5433" t="str">
        <f>"20190304164235610"</f>
        <v>20190304164235610</v>
      </c>
      <c r="B5433" t="str">
        <f>"1551688955596356"</f>
        <v>1551688955596356</v>
      </c>
      <c r="C5433" t="s">
        <v>40</v>
      </c>
      <c r="D5433">
        <v>4.1684340000000004</v>
      </c>
      <c r="E5433">
        <v>0.55770489999999995</v>
      </c>
      <c r="F5433" t="s">
        <v>42</v>
      </c>
      <c r="G5433">
        <v>-421.84769999999997</v>
      </c>
      <c r="H5433" s="1">
        <v>-2.9004300000000002E-6</v>
      </c>
      <c r="I5433">
        <v>75.204089999999994</v>
      </c>
      <c r="J5433">
        <v>-421.74270000000001</v>
      </c>
      <c r="K5433">
        <v>1.1117269999999999</v>
      </c>
      <c r="L5433">
        <v>91.924959999999999</v>
      </c>
      <c r="M5433">
        <v>-6.4027639999999997E-2</v>
      </c>
      <c r="N5433">
        <v>-1.014519E-2</v>
      </c>
      <c r="O5433">
        <v>-0.99789660000000002</v>
      </c>
      <c r="P5433">
        <v>0.11234570000000001</v>
      </c>
      <c r="Q5433">
        <v>0.32466109999999998</v>
      </c>
      <c r="R5433">
        <v>-0.93913460000000004</v>
      </c>
      <c r="S5433">
        <v>-2.3468019999999999E-2</v>
      </c>
      <c r="T5433">
        <v>-0.21365200000000001</v>
      </c>
      <c r="U5433">
        <v>-3.2695620000000001</v>
      </c>
      <c r="V5433">
        <v>-0.1735602</v>
      </c>
      <c r="W5433">
        <v>0.33340029999999998</v>
      </c>
      <c r="X5433">
        <v>0.92667200000000005</v>
      </c>
      <c r="Y5433">
        <v>-5.6855419999999997E-2</v>
      </c>
      <c r="Z5433">
        <v>5.4827969999999997E-2</v>
      </c>
      <c r="AA5433">
        <v>0.99687579999999998</v>
      </c>
      <c r="AB5433">
        <v>29</v>
      </c>
      <c r="AC5433">
        <v>-0.104999999999961</v>
      </c>
      <c r="AD5433">
        <v>-1.1117299004300001</v>
      </c>
      <c r="AE5433">
        <v>-16.720869999999898</v>
      </c>
      <c r="AF5433">
        <v>-0.96161761123832301</v>
      </c>
      <c r="AG5433">
        <v>-1.1117299004300001</v>
      </c>
      <c r="AH5433">
        <v>16.6198140027346</v>
      </c>
      <c r="AI5433">
        <v>93.820548107278299</v>
      </c>
      <c r="AJ5433">
        <v>93.311425184966893</v>
      </c>
      <c r="AK5433">
        <v>16.6846896670944</v>
      </c>
      <c r="AL5433">
        <v>70.524708632796404</v>
      </c>
      <c r="AM5433">
        <v>100.608258415328</v>
      </c>
      <c r="AN5433">
        <v>0.999999949324063</v>
      </c>
    </row>
    <row r="5434" spans="1:40" x14ac:dyDescent="0.25">
      <c r="A5434" t="str">
        <f>"20190304164235632"</f>
        <v>20190304164235632</v>
      </c>
      <c r="B5434" t="str">
        <f>"1551688955626611"</f>
        <v>1551688955626611</v>
      </c>
      <c r="C5434" t="s">
        <v>40</v>
      </c>
      <c r="D5434">
        <v>4.1322850000000004</v>
      </c>
      <c r="E5434">
        <v>0.55852179999999996</v>
      </c>
      <c r="F5434" t="s">
        <v>42</v>
      </c>
      <c r="G5434">
        <v>-421.85829999999999</v>
      </c>
      <c r="H5434" s="1">
        <v>-3.7970019999999999E-6</v>
      </c>
      <c r="I5434">
        <v>77.287450000000007</v>
      </c>
      <c r="J5434">
        <v>-421.75920000000002</v>
      </c>
      <c r="K5434">
        <v>1.1117440000000001</v>
      </c>
      <c r="L5434">
        <v>91.631379999999993</v>
      </c>
      <c r="M5434">
        <v>-6.1843269999999999E-2</v>
      </c>
      <c r="N5434">
        <v>-1.015128E-2</v>
      </c>
      <c r="O5434">
        <v>-0.99803439999999999</v>
      </c>
      <c r="P5434">
        <v>0.1141689</v>
      </c>
      <c r="Q5434">
        <v>0.325016799999999</v>
      </c>
      <c r="R5434">
        <v>-0.93879170000000001</v>
      </c>
      <c r="S5434">
        <v>-2.5939940000000002E-2</v>
      </c>
      <c r="T5434">
        <v>-0.2494035</v>
      </c>
      <c r="U5434">
        <v>-3.2837519999999998</v>
      </c>
      <c r="V5434">
        <v>-0.1733365</v>
      </c>
      <c r="W5434">
        <v>0.33375500000000002</v>
      </c>
      <c r="X5434">
        <v>0.92658629999999997</v>
      </c>
      <c r="Y5434">
        <v>-5.3953609999999999E-2</v>
      </c>
      <c r="Z5434">
        <v>6.5335550000000006E-2</v>
      </c>
      <c r="AA5434">
        <v>0.9964037</v>
      </c>
      <c r="AB5434">
        <v>29</v>
      </c>
      <c r="AC5434">
        <v>-9.9099999999964397E-2</v>
      </c>
      <c r="AD5434">
        <v>-1.111747797002</v>
      </c>
      <c r="AE5434">
        <v>-14.343929999999901</v>
      </c>
      <c r="AF5434">
        <v>-0.78350433320297297</v>
      </c>
      <c r="AG5434">
        <v>-1.111747797002</v>
      </c>
      <c r="AH5434">
        <v>14.2370783437082</v>
      </c>
      <c r="AI5434">
        <v>94.458344371563498</v>
      </c>
      <c r="AJ5434">
        <v>93.149961898616695</v>
      </c>
      <c r="AK5434">
        <v>14.301897145804601</v>
      </c>
      <c r="AL5434">
        <v>70.503153237481101</v>
      </c>
      <c r="AM5434">
        <v>100.59585302436</v>
      </c>
      <c r="AN5434">
        <v>1.0000000568024601</v>
      </c>
    </row>
    <row r="5435" spans="1:40" x14ac:dyDescent="0.25">
      <c r="A5435" t="str">
        <f>"20190304164235647"</f>
        <v>20190304164235647</v>
      </c>
      <c r="B5435" t="str">
        <f>"1551688955636371"</f>
        <v>1551688955636371</v>
      </c>
      <c r="C5435" t="s">
        <v>40</v>
      </c>
      <c r="D5435">
        <v>4.1549870000000002</v>
      </c>
      <c r="E5435">
        <v>0.5586584</v>
      </c>
      <c r="F5435" t="s">
        <v>42</v>
      </c>
      <c r="G5435">
        <v>-421.87670000000003</v>
      </c>
      <c r="H5435" s="1">
        <v>-3.6408759999999999E-6</v>
      </c>
      <c r="I5435">
        <v>76.912099999999995</v>
      </c>
      <c r="J5435">
        <v>-421.76949999999999</v>
      </c>
      <c r="K5435">
        <v>1.1117520000000001</v>
      </c>
      <c r="L5435">
        <v>91.442499999999995</v>
      </c>
      <c r="M5435">
        <v>-6.043627E-2</v>
      </c>
      <c r="N5435">
        <v>-1.0152049999999999E-2</v>
      </c>
      <c r="O5435">
        <v>-0.99812040000000002</v>
      </c>
      <c r="P5435">
        <v>0.1152661</v>
      </c>
      <c r="Q5435">
        <v>0.32513570000000003</v>
      </c>
      <c r="R5435">
        <v>-0.93861620000000001</v>
      </c>
      <c r="S5435">
        <v>-2.62145999999999E-2</v>
      </c>
      <c r="T5435">
        <v>-0.24809110000000001</v>
      </c>
      <c r="U5435">
        <v>-3.2846679999999999</v>
      </c>
      <c r="V5435">
        <v>-0.173116299999999</v>
      </c>
      <c r="W5435">
        <v>0.33387280000000003</v>
      </c>
      <c r="X5435">
        <v>0.92658499999999999</v>
      </c>
      <c r="Y5435">
        <v>-5.2465360000000003E-2</v>
      </c>
      <c r="Z5435">
        <v>6.4931520000000006E-2</v>
      </c>
      <c r="AA5435">
        <v>0.9965096</v>
      </c>
      <c r="AB5435">
        <v>29</v>
      </c>
      <c r="AC5435">
        <v>-0.107200000000034</v>
      </c>
      <c r="AD5435">
        <v>-1.1117556408759901</v>
      </c>
      <c r="AE5435">
        <v>-14.5304</v>
      </c>
      <c r="AF5435">
        <v>-0.76671621244444499</v>
      </c>
      <c r="AG5435">
        <v>-1.1117556408759901</v>
      </c>
      <c r="AH5435">
        <v>14.425869084919301</v>
      </c>
      <c r="AI5435">
        <v>94.400705151973398</v>
      </c>
      <c r="AJ5435">
        <v>93.042333801668505</v>
      </c>
      <c r="AK5435">
        <v>14.488945897154601</v>
      </c>
      <c r="AL5435">
        <v>70.495992559037205</v>
      </c>
      <c r="AM5435">
        <v>100.582711217666</v>
      </c>
      <c r="AN5435">
        <v>1.0000000310652599</v>
      </c>
    </row>
    <row r="5436" spans="1:40" x14ac:dyDescent="0.25">
      <c r="A5436" t="str">
        <f>"20190304164235660"</f>
        <v>20190304164235660</v>
      </c>
      <c r="B5436" t="str">
        <f>"1551688955656868"</f>
        <v>1551688955656868</v>
      </c>
      <c r="C5436" t="s">
        <v>40</v>
      </c>
      <c r="D5436">
        <v>4.1060860000000003</v>
      </c>
      <c r="E5436">
        <v>0.55898400000000004</v>
      </c>
      <c r="F5436" t="s">
        <v>42</v>
      </c>
      <c r="G5436">
        <v>-421.87009999999998</v>
      </c>
      <c r="H5436" s="1">
        <v>-3.5772569999999999E-6</v>
      </c>
      <c r="I5436">
        <v>76.767870000000002</v>
      </c>
      <c r="J5436">
        <v>-421.7792</v>
      </c>
      <c r="K5436">
        <v>1.1117600000000001</v>
      </c>
      <c r="L5436">
        <v>91.260859999999994</v>
      </c>
      <c r="M5436">
        <v>-5.908381E-2</v>
      </c>
      <c r="N5436">
        <v>-1.0150879999999999E-2</v>
      </c>
      <c r="O5436">
        <v>-0.99820169999999997</v>
      </c>
      <c r="P5436">
        <v>0.11609510000000001</v>
      </c>
      <c r="Q5436">
        <v>0.32505209999999901</v>
      </c>
      <c r="R5436">
        <v>-0.93854340000000003</v>
      </c>
      <c r="S5436">
        <v>-2.2521969999999999E-2</v>
      </c>
      <c r="T5436">
        <v>-0.24888460000000001</v>
      </c>
      <c r="U5436">
        <v>-3.2851560000000002</v>
      </c>
      <c r="V5436">
        <v>-0.172683</v>
      </c>
      <c r="W5436">
        <v>0.33378869999999999</v>
      </c>
      <c r="X5436">
        <v>0.92669610000000002</v>
      </c>
      <c r="Y5436">
        <v>-5.2233630000000003E-2</v>
      </c>
      <c r="Z5436">
        <v>6.5169950000000004E-2</v>
      </c>
      <c r="AA5436">
        <v>0.99650620000000001</v>
      </c>
      <c r="AB5436">
        <v>29</v>
      </c>
      <c r="AC5436">
        <v>-9.0899999999976402E-2</v>
      </c>
      <c r="AD5436">
        <v>-1.111763577257</v>
      </c>
      <c r="AE5436">
        <v>-14.492989999999899</v>
      </c>
      <c r="AF5436">
        <v>-0.76112510190180505</v>
      </c>
      <c r="AG5436">
        <v>-1.111763577257</v>
      </c>
      <c r="AH5436">
        <v>14.3883745866731</v>
      </c>
      <c r="AI5436">
        <v>94.412217160486193</v>
      </c>
      <c r="AJ5436">
        <v>93.028045119721497</v>
      </c>
      <c r="AK5436">
        <v>14.451320109902801</v>
      </c>
      <c r="AL5436">
        <v>70.501103515094897</v>
      </c>
      <c r="AM5436">
        <v>100.55558226218901</v>
      </c>
      <c r="AN5436">
        <v>0.99999998824595004</v>
      </c>
    </row>
    <row r="5437" spans="1:40" x14ac:dyDescent="0.25">
      <c r="A5437" t="str">
        <f>"20190304164235674"</f>
        <v>20190304164235674</v>
      </c>
      <c r="B5437" t="str">
        <f>"1551688955666628"</f>
        <v>1551688955666628</v>
      </c>
      <c r="C5437" t="s">
        <v>40</v>
      </c>
      <c r="D5437">
        <v>4.1400880000000004</v>
      </c>
      <c r="E5437">
        <v>0.55917910000000004</v>
      </c>
      <c r="F5437" t="s">
        <v>42</v>
      </c>
      <c r="G5437">
        <v>-421.8725</v>
      </c>
      <c r="H5437" s="1">
        <v>-3.5438109999999999E-6</v>
      </c>
      <c r="I5437">
        <v>76.688469999999995</v>
      </c>
      <c r="J5437">
        <v>-421.78840000000002</v>
      </c>
      <c r="K5437">
        <v>1.1117619999999999</v>
      </c>
      <c r="L5437">
        <v>91.082639999999998</v>
      </c>
      <c r="M5437">
        <v>-5.7760319999999997E-2</v>
      </c>
      <c r="N5437">
        <v>-1.014907E-2</v>
      </c>
      <c r="O5437">
        <v>-0.99827920000000003</v>
      </c>
      <c r="P5437">
        <v>0.1173202</v>
      </c>
      <c r="Q5437">
        <v>0.32533640000000003</v>
      </c>
      <c r="R5437">
        <v>-0.93829269999999998</v>
      </c>
      <c r="S5437">
        <v>-2.1026610000000001E-2</v>
      </c>
      <c r="T5437">
        <v>-0.25068600000000002</v>
      </c>
      <c r="U5437">
        <v>-3.2858580000000002</v>
      </c>
      <c r="V5437">
        <v>-0.17266219999999999</v>
      </c>
      <c r="W5437">
        <v>0.33406910000000001</v>
      </c>
      <c r="X5437">
        <v>0.9265989</v>
      </c>
      <c r="Y5437">
        <v>-5.1365010000000003E-2</v>
      </c>
      <c r="Z5437">
        <v>6.5708359999999993E-2</v>
      </c>
      <c r="AA5437">
        <v>0.99651590000000001</v>
      </c>
      <c r="AB5437">
        <v>29</v>
      </c>
      <c r="AC5437">
        <v>-8.4099999999977998E-2</v>
      </c>
      <c r="AD5437">
        <v>-1.1117655438109999</v>
      </c>
      <c r="AE5437">
        <v>-14.394170000000001</v>
      </c>
      <c r="AF5437">
        <v>-0.74306220075462304</v>
      </c>
      <c r="AG5437">
        <v>-1.1117655438109999</v>
      </c>
      <c r="AH5437">
        <v>14.289750226108399</v>
      </c>
      <c r="AI5437">
        <v>94.442763598137503</v>
      </c>
      <c r="AJ5437">
        <v>92.976680230068993</v>
      </c>
      <c r="AK5437">
        <v>14.352181910189101</v>
      </c>
      <c r="AL5437">
        <v>70.484058847556099</v>
      </c>
      <c r="AM5437">
        <v>100.555421658905</v>
      </c>
      <c r="AN5437">
        <v>0.99999996018242898</v>
      </c>
    </row>
    <row r="5438" spans="1:40" x14ac:dyDescent="0.25">
      <c r="A5438" t="str">
        <f>"20190304164235688"</f>
        <v>20190304164235688</v>
      </c>
      <c r="B5438" t="str">
        <f>"1551688955676388"</f>
        <v>1551688955676388</v>
      </c>
      <c r="C5438" t="s">
        <v>40</v>
      </c>
      <c r="D5438">
        <v>4.1029210000000003</v>
      </c>
      <c r="E5438">
        <v>0.55928120000000003</v>
      </c>
      <c r="F5438" t="s">
        <v>42</v>
      </c>
      <c r="G5438">
        <v>-421.86540000000002</v>
      </c>
      <c r="H5438" s="1">
        <v>-3.4560789999999999E-6</v>
      </c>
      <c r="I5438">
        <v>76.48836</v>
      </c>
      <c r="J5438">
        <v>-421.79660000000001</v>
      </c>
      <c r="K5438">
        <v>1.1117669999999999</v>
      </c>
      <c r="L5438">
        <v>90.920100000000005</v>
      </c>
      <c r="M5438">
        <v>-5.6554779999999999E-2</v>
      </c>
      <c r="N5438">
        <v>-1.014615E-2</v>
      </c>
      <c r="O5438">
        <v>-0.99834780000000001</v>
      </c>
      <c r="P5438">
        <v>0.1179682</v>
      </c>
      <c r="Q5438">
        <v>0.32543329999999998</v>
      </c>
      <c r="R5438">
        <v>-0.93817720000000004</v>
      </c>
      <c r="S5438">
        <v>-1.7333979999999999E-2</v>
      </c>
      <c r="T5438">
        <v>-0.25034079999999997</v>
      </c>
      <c r="U5438">
        <v>-3.2862550000000001</v>
      </c>
      <c r="V5438">
        <v>-0.1721828</v>
      </c>
      <c r="W5438">
        <v>0.33416439999999997</v>
      </c>
      <c r="X5438">
        <v>0.92665379999999997</v>
      </c>
      <c r="Y5438">
        <v>-5.1279569999999997E-2</v>
      </c>
      <c r="Z5438">
        <v>6.560618E-2</v>
      </c>
      <c r="AA5438">
        <v>0.9965271</v>
      </c>
      <c r="AB5438">
        <v>29</v>
      </c>
      <c r="AC5438">
        <v>-6.8800000000010103E-2</v>
      </c>
      <c r="AD5438">
        <v>-1.111770456079</v>
      </c>
      <c r="AE5438">
        <v>-14.43174</v>
      </c>
      <c r="AF5438">
        <v>-0.74312606598542996</v>
      </c>
      <c r="AG5438">
        <v>-1.111770456079</v>
      </c>
      <c r="AH5438">
        <v>14.327504397092101</v>
      </c>
      <c r="AI5438">
        <v>94.431153034685195</v>
      </c>
      <c r="AJ5438">
        <v>92.969105192218606</v>
      </c>
      <c r="AK5438">
        <v>14.389775958841399</v>
      </c>
      <c r="AL5438">
        <v>70.478266725530403</v>
      </c>
      <c r="AM5438">
        <v>100.526160563258</v>
      </c>
      <c r="AN5438">
        <v>1.0000000139488101</v>
      </c>
    </row>
    <row r="5439" spans="1:40" x14ac:dyDescent="0.25">
      <c r="A5439" t="str">
        <f>"20190304164235704"</f>
        <v>20190304164235704</v>
      </c>
      <c r="B5439" t="str">
        <f>"1551688955696883"</f>
        <v>1551688955696883</v>
      </c>
      <c r="C5439" t="s">
        <v>40</v>
      </c>
      <c r="D5439">
        <v>4.0303009999999997</v>
      </c>
      <c r="E5439">
        <v>0.55933199999999905</v>
      </c>
      <c r="F5439" t="s">
        <v>42</v>
      </c>
      <c r="G5439">
        <v>-421.86349999999999</v>
      </c>
      <c r="H5439" s="1">
        <v>-3.3923550000000002E-6</v>
      </c>
      <c r="I5439">
        <v>76.340969999999999</v>
      </c>
      <c r="J5439">
        <v>-421.80739999999997</v>
      </c>
      <c r="K5439">
        <v>1.1117669999999999</v>
      </c>
      <c r="L5439">
        <v>90.702240000000003</v>
      </c>
      <c r="M5439">
        <v>-5.4942270000000001E-2</v>
      </c>
      <c r="N5439">
        <v>-1.013967E-2</v>
      </c>
      <c r="O5439">
        <v>-0.99843820000000005</v>
      </c>
      <c r="P5439">
        <v>0.1192019</v>
      </c>
      <c r="Q5439">
        <v>0.32593889999999998</v>
      </c>
      <c r="R5439">
        <v>-0.93784579999999995</v>
      </c>
      <c r="S5439">
        <v>-1.5075679999999999E-2</v>
      </c>
      <c r="T5439">
        <v>-0.25062299999999998</v>
      </c>
      <c r="U5439">
        <v>-3.28653</v>
      </c>
      <c r="V5439">
        <v>-0.1718991</v>
      </c>
      <c r="W5439">
        <v>0.33466240000000003</v>
      </c>
      <c r="X5439">
        <v>0.92652670000000004</v>
      </c>
      <c r="Y5439">
        <v>-5.035216E-2</v>
      </c>
      <c r="Z5439">
        <v>6.5703209999999998E-2</v>
      </c>
      <c r="AA5439">
        <v>0.99656800000000001</v>
      </c>
      <c r="AB5439">
        <v>29</v>
      </c>
      <c r="AC5439">
        <v>-5.6100000000014902E-2</v>
      </c>
      <c r="AD5439">
        <v>-1.111770392355</v>
      </c>
      <c r="AE5439">
        <v>-14.361269999999999</v>
      </c>
      <c r="AF5439">
        <v>-0.72869893583904399</v>
      </c>
      <c r="AG5439">
        <v>-1.111770392355</v>
      </c>
      <c r="AH5439">
        <v>14.257215728988401</v>
      </c>
      <c r="AI5439">
        <v>94.453083133542293</v>
      </c>
      <c r="AJ5439">
        <v>92.925892068243101</v>
      </c>
      <c r="AK5439">
        <v>14.3190515009663</v>
      </c>
      <c r="AL5439">
        <v>70.447989498345393</v>
      </c>
      <c r="AM5439">
        <v>100.510613161439</v>
      </c>
      <c r="AN5439">
        <v>0.99999997418372899</v>
      </c>
    </row>
    <row r="5440" spans="1:40" x14ac:dyDescent="0.25">
      <c r="A5440" t="str">
        <f>"20190304164235717"</f>
        <v>20190304164235717</v>
      </c>
      <c r="B5440" t="str">
        <f>"1551688955706644"</f>
        <v>1551688955706644</v>
      </c>
      <c r="C5440" t="s">
        <v>40</v>
      </c>
      <c r="D5440">
        <v>4.0341209999999998</v>
      </c>
      <c r="E5440">
        <v>0.55853269999999899</v>
      </c>
      <c r="F5440" t="s">
        <v>42</v>
      </c>
      <c r="G5440">
        <v>-421.8569</v>
      </c>
      <c r="H5440" s="1">
        <v>-3.2610869999999999E-6</v>
      </c>
      <c r="I5440">
        <v>76.039059999999907</v>
      </c>
      <c r="J5440">
        <v>-421.81580000000002</v>
      </c>
      <c r="K5440">
        <v>1.1117649999999999</v>
      </c>
      <c r="L5440">
        <v>90.524839999999998</v>
      </c>
      <c r="M5440">
        <v>-5.363267E-2</v>
      </c>
      <c r="N5440">
        <v>-1.01324E-2</v>
      </c>
      <c r="O5440">
        <v>-0.99850930000000004</v>
      </c>
      <c r="P5440">
        <v>0.1204262</v>
      </c>
      <c r="Q5440">
        <v>0.32573190000000002</v>
      </c>
      <c r="R5440">
        <v>-0.93776139999999997</v>
      </c>
      <c r="S5440">
        <v>-1.1108399999999999E-2</v>
      </c>
      <c r="T5440">
        <v>-0.2492096</v>
      </c>
      <c r="U5440">
        <v>-3.286835</v>
      </c>
      <c r="V5440">
        <v>-0.1718993</v>
      </c>
      <c r="W5440">
        <v>0.33444800000000002</v>
      </c>
      <c r="X5440">
        <v>0.92660410000000004</v>
      </c>
      <c r="Y5440">
        <v>-5.024559E-2</v>
      </c>
      <c r="Z5440">
        <v>6.5286170000000004E-2</v>
      </c>
      <c r="AA5440">
        <v>0.99660070000000001</v>
      </c>
      <c r="AB5440">
        <v>29</v>
      </c>
      <c r="AC5440">
        <v>-4.1099999999971701E-2</v>
      </c>
      <c r="AD5440">
        <v>-1.1117682610870001</v>
      </c>
      <c r="AE5440">
        <v>-14.48578</v>
      </c>
      <c r="AF5440">
        <v>-0.73160073536566805</v>
      </c>
      <c r="AG5440">
        <v>-1.1117682610870001</v>
      </c>
      <c r="AH5440">
        <v>14.3824158643407</v>
      </c>
      <c r="AI5440">
        <v>94.4145185160545</v>
      </c>
      <c r="AJ5440">
        <v>92.911995907739893</v>
      </c>
      <c r="AK5440">
        <v>14.443862170388799</v>
      </c>
      <c r="AL5440">
        <v>70.461025307056303</v>
      </c>
      <c r="AM5440">
        <v>100.509766718894</v>
      </c>
      <c r="AN5440">
        <v>0.99999999609065005</v>
      </c>
    </row>
    <row r="5441" spans="1:40" x14ac:dyDescent="0.25">
      <c r="A5441" t="str">
        <f>"20190304164235732"</f>
        <v>20190304164235732</v>
      </c>
      <c r="B5441" t="str">
        <f>"1551688955726163"</f>
        <v>1551688955726163</v>
      </c>
      <c r="C5441" t="s">
        <v>40</v>
      </c>
      <c r="D5441">
        <v>4.1231530000000003</v>
      </c>
      <c r="E5441">
        <v>0.55833069999999996</v>
      </c>
      <c r="F5441" t="s">
        <v>42</v>
      </c>
      <c r="G5441">
        <v>-421.83300000000003</v>
      </c>
      <c r="H5441" s="1">
        <v>-2.2596330000000002E-6</v>
      </c>
      <c r="I5441">
        <v>73.719470000000001</v>
      </c>
      <c r="J5441">
        <v>-421.82490000000001</v>
      </c>
      <c r="K5441">
        <v>1.1117600000000001</v>
      </c>
      <c r="L5441">
        <v>90.329009999999997</v>
      </c>
      <c r="M5441">
        <v>-5.2188640000000001E-2</v>
      </c>
      <c r="N5441">
        <v>-1.012418E-2</v>
      </c>
      <c r="O5441">
        <v>-0.99858610000000003</v>
      </c>
      <c r="P5441">
        <v>0.1209628</v>
      </c>
      <c r="Q5441">
        <v>0.32597409999999999</v>
      </c>
      <c r="R5441">
        <v>-0.93760840000000001</v>
      </c>
      <c r="S5441">
        <v>-3.3569339999999998E-3</v>
      </c>
      <c r="T5441">
        <v>-0.2166448</v>
      </c>
      <c r="U5441">
        <v>-3.2747799999999998</v>
      </c>
      <c r="V5441">
        <v>-0.1710855</v>
      </c>
      <c r="W5441">
        <v>0.33468530000000002</v>
      </c>
      <c r="X5441">
        <v>0.92666899999999996</v>
      </c>
      <c r="Y5441">
        <v>-5.1149359999999998E-2</v>
      </c>
      <c r="Z5441">
        <v>5.5727949999999998E-2</v>
      </c>
      <c r="AA5441">
        <v>0.99713499999999999</v>
      </c>
      <c r="AB5441">
        <v>29</v>
      </c>
      <c r="AC5441">
        <v>-8.1000000000130898E-3</v>
      </c>
      <c r="AD5441">
        <v>-1.1117622596329999</v>
      </c>
      <c r="AE5441">
        <v>-16.6095399999999</v>
      </c>
      <c r="AF5441">
        <v>-0.85495415450762102</v>
      </c>
      <c r="AG5441">
        <v>-1.1117622596329999</v>
      </c>
      <c r="AH5441">
        <v>16.513340724839701</v>
      </c>
      <c r="AI5441">
        <v>93.846495200285801</v>
      </c>
      <c r="AJ5441">
        <v>92.963759270410605</v>
      </c>
      <c r="AK5441">
        <v>16.572790465787701</v>
      </c>
      <c r="AL5441">
        <v>70.446596985712702</v>
      </c>
      <c r="AM5441">
        <v>100.46039616653</v>
      </c>
      <c r="AN5441">
        <v>0.999999966953669</v>
      </c>
    </row>
    <row r="5442" spans="1:40" x14ac:dyDescent="0.25">
      <c r="A5442" t="str">
        <f>"20190304164235747"</f>
        <v>20190304164235747</v>
      </c>
      <c r="B5442" t="str">
        <f>"1551688955736899"</f>
        <v>1551688955736899</v>
      </c>
      <c r="C5442" t="s">
        <v>40</v>
      </c>
      <c r="D5442">
        <v>4.0986529999999997</v>
      </c>
      <c r="E5442">
        <v>0.5595232</v>
      </c>
      <c r="F5442" t="s">
        <v>42</v>
      </c>
      <c r="G5442">
        <v>-421.82530000000003</v>
      </c>
      <c r="H5442" s="1">
        <v>-2.083836E-6</v>
      </c>
      <c r="I5442">
        <v>73.314449999999994</v>
      </c>
      <c r="J5442">
        <v>-421.83339999999998</v>
      </c>
      <c r="K5442">
        <v>1.1117509999999999</v>
      </c>
      <c r="L5442">
        <v>90.139340000000004</v>
      </c>
      <c r="M5442">
        <v>-5.0791169999999997E-2</v>
      </c>
      <c r="N5442">
        <v>-1.011635E-2</v>
      </c>
      <c r="O5442">
        <v>-0.99865839999999995</v>
      </c>
      <c r="P5442">
        <v>0.1216667</v>
      </c>
      <c r="Q5442">
        <v>0.32577</v>
      </c>
      <c r="R5442">
        <v>-0.93758830000000004</v>
      </c>
      <c r="S5442" s="1">
        <v>-9.1552730000000004E-5</v>
      </c>
      <c r="T5442">
        <v>-0.21393019999999999</v>
      </c>
      <c r="U5442">
        <v>-3.2740170000000002</v>
      </c>
      <c r="V5442">
        <v>-0.17048729999999901</v>
      </c>
      <c r="W5442">
        <v>0.33447719999999997</v>
      </c>
      <c r="X5442">
        <v>0.92685439999999997</v>
      </c>
      <c r="Y5442">
        <v>-5.0746439999999997E-2</v>
      </c>
      <c r="Z5442">
        <v>5.4936470000000001E-2</v>
      </c>
      <c r="AA5442">
        <v>0.99719950000000002</v>
      </c>
      <c r="AB5442">
        <v>29</v>
      </c>
      <c r="AC5442">
        <v>8.0999999999562498E-3</v>
      </c>
      <c r="AD5442">
        <v>-1.1117530838359999</v>
      </c>
      <c r="AE5442">
        <v>-16.82489</v>
      </c>
      <c r="AF5442">
        <v>-0.85893846117720196</v>
      </c>
      <c r="AG5442">
        <v>-1.1117530838359999</v>
      </c>
      <c r="AH5442">
        <v>16.729713696902198</v>
      </c>
      <c r="AI5442">
        <v>93.796945946838903</v>
      </c>
      <c r="AJ5442">
        <v>92.939104360667301</v>
      </c>
      <c r="AK5442">
        <v>16.7886000184597</v>
      </c>
      <c r="AL5442">
        <v>70.459250064932604</v>
      </c>
      <c r="AM5442">
        <v>100.42258507046201</v>
      </c>
      <c r="AN5442">
        <v>0.99999999779024396</v>
      </c>
    </row>
    <row r="5443" spans="1:40" x14ac:dyDescent="0.25">
      <c r="A5443" t="str">
        <f>"20190304164235766"</f>
        <v>20190304164235766</v>
      </c>
      <c r="B5443" t="str">
        <f>"1551688955756419"</f>
        <v>1551688955756419</v>
      </c>
      <c r="C5443" t="s">
        <v>40</v>
      </c>
      <c r="D5443">
        <v>4.1832039999999999</v>
      </c>
      <c r="E5443">
        <v>0.5595852</v>
      </c>
      <c r="F5443" t="s">
        <v>42</v>
      </c>
      <c r="G5443">
        <v>-421.85629999999998</v>
      </c>
      <c r="H5443" s="1">
        <v>-2.8472809999999999E-6</v>
      </c>
      <c r="I5443">
        <v>75.074839999999995</v>
      </c>
      <c r="J5443">
        <v>-421.84379999999999</v>
      </c>
      <c r="K5443">
        <v>1.1117549999999901</v>
      </c>
      <c r="L5443">
        <v>89.898989999999998</v>
      </c>
      <c r="M5443">
        <v>-4.9022019999999999E-2</v>
      </c>
      <c r="N5443">
        <v>-1.010701E-2</v>
      </c>
      <c r="O5443">
        <v>-0.99874680000000005</v>
      </c>
      <c r="P5443">
        <v>0.12183239999999899</v>
      </c>
      <c r="Q5443">
        <v>0.32561069999999998</v>
      </c>
      <c r="R5443">
        <v>-0.93762210000000001</v>
      </c>
      <c r="S5443">
        <v>-5.0048829999999999E-3</v>
      </c>
      <c r="T5443">
        <v>-0.24240039999999999</v>
      </c>
      <c r="U5443">
        <v>-3.2845759999999999</v>
      </c>
      <c r="V5443">
        <v>-0.169008299999999</v>
      </c>
      <c r="W5443">
        <v>0.33431680000000003</v>
      </c>
      <c r="X5443">
        <v>0.92718310000000004</v>
      </c>
      <c r="Y5443">
        <v>-4.7485409999999999E-2</v>
      </c>
      <c r="Z5443">
        <v>6.3342300000000004E-2</v>
      </c>
      <c r="AA5443">
        <v>0.99686149999999996</v>
      </c>
      <c r="AB5443">
        <v>29</v>
      </c>
      <c r="AC5443">
        <v>-1.24999999999886E-2</v>
      </c>
      <c r="AD5443">
        <v>-1.1117578472809999</v>
      </c>
      <c r="AE5443">
        <v>-14.8241499999999</v>
      </c>
      <c r="AF5443">
        <v>-0.71026688895745205</v>
      </c>
      <c r="AG5443">
        <v>-1.1117578472809999</v>
      </c>
      <c r="AH5443">
        <v>14.7241227128159</v>
      </c>
      <c r="AI5443">
        <v>94.312978779634705</v>
      </c>
      <c r="AJ5443">
        <v>92.761711155957599</v>
      </c>
      <c r="AK5443">
        <v>14.7831077323613</v>
      </c>
      <c r="AL5443">
        <v>70.469002027599103</v>
      </c>
      <c r="AM5443">
        <v>100.330539501019</v>
      </c>
      <c r="AN5443">
        <v>1.0000000145783701</v>
      </c>
    </row>
    <row r="5444" spans="1:40" x14ac:dyDescent="0.25">
      <c r="A5444" t="str">
        <f>"20190304164235788"</f>
        <v>20190304164235788</v>
      </c>
      <c r="B5444" t="str">
        <f>"1551688955776915"</f>
        <v>1551688955776915</v>
      </c>
      <c r="C5444" t="s">
        <v>40</v>
      </c>
      <c r="D5444">
        <v>4.1275769999999996</v>
      </c>
      <c r="E5444">
        <v>0.54618040000000001</v>
      </c>
      <c r="F5444" t="s">
        <v>42</v>
      </c>
      <c r="G5444">
        <v>-421.85719999999998</v>
      </c>
      <c r="H5444" s="1">
        <v>-2.9364960000000001E-6</v>
      </c>
      <c r="I5444">
        <v>75.282269999999997</v>
      </c>
      <c r="J5444">
        <v>-421.85579999999999</v>
      </c>
      <c r="K5444">
        <v>1.111758</v>
      </c>
      <c r="L5444">
        <v>89.607819999999904</v>
      </c>
      <c r="M5444">
        <v>-4.6879329999999997E-2</v>
      </c>
      <c r="N5444">
        <v>-1.0095170000000001E-2</v>
      </c>
      <c r="O5444">
        <v>-0.99884969999999995</v>
      </c>
      <c r="P5444">
        <v>0.1220123</v>
      </c>
      <c r="Q5444">
        <v>0.32551529999999901</v>
      </c>
      <c r="R5444">
        <v>-0.93763149999999995</v>
      </c>
      <c r="S5444">
        <v>-3.0212400000000001E-3</v>
      </c>
      <c r="T5444">
        <v>-0.24999440000000001</v>
      </c>
      <c r="U5444">
        <v>-3.2867739999999999</v>
      </c>
      <c r="V5444">
        <v>-0.16719439999999999</v>
      </c>
      <c r="W5444">
        <v>0.33422020000000002</v>
      </c>
      <c r="X5444">
        <v>0.92754669999999895</v>
      </c>
      <c r="Y5444">
        <v>-4.5945430000000002E-2</v>
      </c>
      <c r="Z5444">
        <v>6.5606910000000004E-2</v>
      </c>
      <c r="AA5444">
        <v>0.99678719999999998</v>
      </c>
      <c r="AB5444">
        <v>29</v>
      </c>
      <c r="AC5444">
        <v>-1.39999999998963E-3</v>
      </c>
      <c r="AD5444">
        <v>-1.1117609364959999</v>
      </c>
      <c r="AE5444">
        <v>-14.3255499999999</v>
      </c>
      <c r="AF5444">
        <v>-0.66619546710950595</v>
      </c>
      <c r="AG5444">
        <v>-1.1117609364959999</v>
      </c>
      <c r="AH5444">
        <v>14.224194123292699</v>
      </c>
      <c r="AI5444">
        <v>94.464270121890706</v>
      </c>
      <c r="AJ5444">
        <v>92.681509792736506</v>
      </c>
      <c r="AK5444">
        <v>14.2831203606715</v>
      </c>
      <c r="AL5444">
        <v>70.474874206574995</v>
      </c>
      <c r="AM5444">
        <v>100.21809326146099</v>
      </c>
      <c r="AN5444">
        <v>0.99999999508014403</v>
      </c>
    </row>
    <row r="5445" spans="1:40" x14ac:dyDescent="0.25">
      <c r="A5445" t="str">
        <f>"20190304164235811"</f>
        <v>20190304164235811</v>
      </c>
      <c r="B5445" t="str">
        <f>"1551688955796436"</f>
        <v>1551688955796436</v>
      </c>
      <c r="C5445" t="s">
        <v>40</v>
      </c>
      <c r="D5445">
        <v>4.0877049999999997</v>
      </c>
      <c r="E5445">
        <v>0.54446709999999998</v>
      </c>
      <c r="F5445" t="s">
        <v>42</v>
      </c>
      <c r="G5445">
        <v>-421.39710000000002</v>
      </c>
      <c r="H5445" s="1">
        <v>-2.7755229999999999E-6</v>
      </c>
      <c r="I5445">
        <v>75.19238</v>
      </c>
      <c r="J5445">
        <v>-421.86709999999999</v>
      </c>
      <c r="K5445">
        <v>1.111756</v>
      </c>
      <c r="L5445">
        <v>89.319819999999893</v>
      </c>
      <c r="M5445">
        <v>-4.4760750000000002E-2</v>
      </c>
      <c r="N5445">
        <v>-1.007927E-2</v>
      </c>
      <c r="O5445">
        <v>-0.99894700000000003</v>
      </c>
      <c r="P5445">
        <v>0.1221767</v>
      </c>
      <c r="Q5445">
        <v>0.32544790000000001</v>
      </c>
      <c r="R5445">
        <v>-0.93763350000000001</v>
      </c>
      <c r="S5445">
        <v>0.1041565</v>
      </c>
      <c r="T5445">
        <v>-0.25247360000000002</v>
      </c>
      <c r="U5445">
        <v>-3.2736510000000001</v>
      </c>
      <c r="V5445">
        <v>-0.16538649999999999</v>
      </c>
      <c r="W5445">
        <v>0.33414739999999998</v>
      </c>
      <c r="X5445">
        <v>0.92789699999999997</v>
      </c>
      <c r="Y5445">
        <v>-7.6404620000000006E-2</v>
      </c>
      <c r="Z5445">
        <v>6.6586850000000003E-2</v>
      </c>
      <c r="AA5445">
        <v>0.99485100000000004</v>
      </c>
      <c r="AB5445">
        <v>29</v>
      </c>
      <c r="AC5445">
        <v>0.46999999999997</v>
      </c>
      <c r="AD5445">
        <v>-1.1117587755230001</v>
      </c>
      <c r="AE5445">
        <v>-14.127439999999901</v>
      </c>
      <c r="AF5445">
        <v>-1.0951411466505401</v>
      </c>
      <c r="AG5445">
        <v>-1.1117587755230001</v>
      </c>
      <c r="AH5445">
        <v>14.0056010925202</v>
      </c>
      <c r="AI5445">
        <v>94.524844196881403</v>
      </c>
      <c r="AJ5445">
        <v>94.471036317886401</v>
      </c>
      <c r="AK5445">
        <v>14.0922746094746</v>
      </c>
      <c r="AL5445">
        <v>70.479300096973205</v>
      </c>
      <c r="AM5445">
        <v>100.106156569503</v>
      </c>
      <c r="AN5445">
        <v>1.0000000109589999</v>
      </c>
    </row>
    <row r="5446" spans="1:40" x14ac:dyDescent="0.25">
      <c r="A5446" t="str">
        <f>"20190304164235834"</f>
        <v>20190304164235834</v>
      </c>
      <c r="B5446" t="str">
        <f>"1551688955826691"</f>
        <v>1551688955826691</v>
      </c>
      <c r="C5446" t="s">
        <v>40</v>
      </c>
      <c r="D5446">
        <v>4.1085820000000002</v>
      </c>
      <c r="E5446">
        <v>0.54259099999999905</v>
      </c>
      <c r="F5446" t="s">
        <v>42</v>
      </c>
      <c r="G5446">
        <v>-421.32299999999998</v>
      </c>
      <c r="H5446" s="1">
        <v>-2.3251040000000001E-6</v>
      </c>
      <c r="I5446">
        <v>74.188429999999997</v>
      </c>
      <c r="J5446">
        <v>-421.87849999999997</v>
      </c>
      <c r="K5446">
        <v>1.1117539999999999</v>
      </c>
      <c r="L5446">
        <v>89.009519999999995</v>
      </c>
      <c r="M5446">
        <v>-4.2480570000000002E-2</v>
      </c>
      <c r="N5446">
        <v>-1.006047E-2</v>
      </c>
      <c r="O5446">
        <v>-0.99904680000000001</v>
      </c>
      <c r="P5446">
        <v>0.1219483</v>
      </c>
      <c r="Q5446">
        <v>0.3255093</v>
      </c>
      <c r="R5446">
        <v>-0.93764230000000004</v>
      </c>
      <c r="S5446">
        <v>0.11749270000000001</v>
      </c>
      <c r="T5446">
        <v>-0.2400786</v>
      </c>
      <c r="U5446">
        <v>-3.2675480000000001</v>
      </c>
      <c r="V5446">
        <v>-0.16303529999999999</v>
      </c>
      <c r="W5446">
        <v>0.33420359999999899</v>
      </c>
      <c r="X5446">
        <v>0.92829280000000003</v>
      </c>
      <c r="Y5446">
        <v>-7.8252600000000005E-2</v>
      </c>
      <c r="Z5446">
        <v>6.2996269999999993E-2</v>
      </c>
      <c r="AA5446">
        <v>0.99494119999999997</v>
      </c>
      <c r="AB5446">
        <v>29</v>
      </c>
      <c r="AC5446">
        <v>0.55549999999993804</v>
      </c>
      <c r="AD5446">
        <v>-1.1117563251039999</v>
      </c>
      <c r="AE5446">
        <v>-14.8210899999999</v>
      </c>
      <c r="AF5446">
        <v>-1.1780194681562599</v>
      </c>
      <c r="AG5446">
        <v>-1.1117563251039999</v>
      </c>
      <c r="AH5446">
        <v>14.7015045058467</v>
      </c>
      <c r="AI5446">
        <v>94.310822285390302</v>
      </c>
      <c r="AJ5446">
        <v>94.581275458488093</v>
      </c>
      <c r="AK5446">
        <v>14.7904687798999</v>
      </c>
      <c r="AL5446">
        <v>70.475884234565001</v>
      </c>
      <c r="AM5446">
        <v>99.961219723031107</v>
      </c>
      <c r="AN5446">
        <v>1.00000003891544</v>
      </c>
    </row>
    <row r="5447" spans="1:40" x14ac:dyDescent="0.25">
      <c r="A5447" t="str">
        <f>"20190304164235854"</f>
        <v>20190304164235854</v>
      </c>
      <c r="B5447" t="str">
        <f>"1551688955846211"</f>
        <v>1551688955846211</v>
      </c>
      <c r="C5447" t="s">
        <v>40</v>
      </c>
      <c r="D5447">
        <v>4.1070820000000001</v>
      </c>
      <c r="E5447">
        <v>0.54223719999999997</v>
      </c>
      <c r="F5447" t="s">
        <v>42</v>
      </c>
      <c r="G5447">
        <v>-421.24849999999998</v>
      </c>
      <c r="H5447" s="1">
        <v>-1.949358E-6</v>
      </c>
      <c r="I5447">
        <v>73.358760000000004</v>
      </c>
      <c r="J5447">
        <v>-421.88810000000001</v>
      </c>
      <c r="K5447">
        <v>1.11175</v>
      </c>
      <c r="L5447">
        <v>88.734340000000003</v>
      </c>
      <c r="M5447">
        <v>-4.0466200000000001E-2</v>
      </c>
      <c r="N5447">
        <v>-1.004501E-2</v>
      </c>
      <c r="O5447">
        <v>-0.99913039999999997</v>
      </c>
      <c r="P5447">
        <v>0.1209332</v>
      </c>
      <c r="Q5447">
        <v>0.32612370000000002</v>
      </c>
      <c r="R5447">
        <v>-0.93756010000000001</v>
      </c>
      <c r="S5447">
        <v>0.13134770000000001</v>
      </c>
      <c r="T5447">
        <v>-0.2317796</v>
      </c>
      <c r="U5447">
        <v>-3.2628780000000002</v>
      </c>
      <c r="V5447">
        <v>-0.16014059999999999</v>
      </c>
      <c r="W5447">
        <v>0.33481880000000003</v>
      </c>
      <c r="X5447">
        <v>0.92857489999999998</v>
      </c>
      <c r="Y5447">
        <v>-8.0518229999999996E-2</v>
      </c>
      <c r="Z5447">
        <v>6.0594700000000001E-2</v>
      </c>
      <c r="AA5447">
        <v>0.99490959999999995</v>
      </c>
      <c r="AB5447">
        <v>29</v>
      </c>
      <c r="AC5447">
        <v>0.63960000000002903</v>
      </c>
      <c r="AD5447">
        <v>-1.1117519493579999</v>
      </c>
      <c r="AE5447">
        <v>-15.375579999999999</v>
      </c>
      <c r="AF5447">
        <v>-1.25474999188944</v>
      </c>
      <c r="AG5447">
        <v>-1.1117519493579999</v>
      </c>
      <c r="AH5447">
        <v>15.2574698081088</v>
      </c>
      <c r="AI5447">
        <v>94.153580528980697</v>
      </c>
      <c r="AJ5447">
        <v>94.701333989813705</v>
      </c>
      <c r="AK5447">
        <v>15.349292325198499</v>
      </c>
      <c r="AL5447">
        <v>70.438480206396207</v>
      </c>
      <c r="AM5447">
        <v>99.7848925221179</v>
      </c>
      <c r="AN5447">
        <v>0.99999999275590401</v>
      </c>
    </row>
    <row r="5448" spans="1:40" x14ac:dyDescent="0.25">
      <c r="A5448" t="str">
        <f>"20190304164235870"</f>
        <v>20190304164235870</v>
      </c>
      <c r="B5448" t="str">
        <f>"1551688955856948"</f>
        <v>1551688955856948</v>
      </c>
      <c r="C5448" t="s">
        <v>40</v>
      </c>
      <c r="D5448">
        <v>4.1011089999999903</v>
      </c>
      <c r="E5448">
        <v>0.54208389999999995</v>
      </c>
      <c r="F5448" t="s">
        <v>42</v>
      </c>
      <c r="G5448">
        <v>-421.2457</v>
      </c>
      <c r="H5448" s="1">
        <v>-1.717635E-6</v>
      </c>
      <c r="I5448">
        <v>72.820340000000002</v>
      </c>
      <c r="J5448">
        <v>-421.89460000000003</v>
      </c>
      <c r="K5448">
        <v>1.1117440000000001</v>
      </c>
      <c r="L5448">
        <v>88.539829999999995</v>
      </c>
      <c r="M5448">
        <v>-3.9053160000000003E-2</v>
      </c>
      <c r="N5448">
        <v>-1.0034939999999999E-2</v>
      </c>
      <c r="O5448">
        <v>-0.99918660000000004</v>
      </c>
      <c r="P5448">
        <v>0.1208453</v>
      </c>
      <c r="Q5448">
        <v>0.32595229999999997</v>
      </c>
      <c r="R5448">
        <v>-0.93763070000000004</v>
      </c>
      <c r="S5448">
        <v>0.131683299999999</v>
      </c>
      <c r="T5448">
        <v>-0.22788910000000001</v>
      </c>
      <c r="U5448">
        <v>-3.2620849999999999</v>
      </c>
      <c r="V5448">
        <v>-0.15873329999999999</v>
      </c>
      <c r="W5448">
        <v>0.33464840000000001</v>
      </c>
      <c r="X5448">
        <v>0.92887790000000003</v>
      </c>
      <c r="Y5448">
        <v>-7.9224290000000003E-2</v>
      </c>
      <c r="Z5448">
        <v>5.9450719999999999E-2</v>
      </c>
      <c r="AA5448">
        <v>0.99508249999999998</v>
      </c>
      <c r="AB5448">
        <v>29</v>
      </c>
      <c r="AC5448">
        <v>0.64890000000002601</v>
      </c>
      <c r="AD5448">
        <v>-1.1117457176350001</v>
      </c>
      <c r="AE5448">
        <v>-15.71949</v>
      </c>
      <c r="AF5448">
        <v>-1.2560597020973301</v>
      </c>
      <c r="AG5448">
        <v>-1.1117457176350001</v>
      </c>
      <c r="AH5448">
        <v>15.604236176069399</v>
      </c>
      <c r="AI5448">
        <v>94.062137529305502</v>
      </c>
      <c r="AJ5448">
        <v>94.602089202471205</v>
      </c>
      <c r="AK5448">
        <v>15.694134291335301</v>
      </c>
      <c r="AL5448">
        <v>70.448840892101103</v>
      </c>
      <c r="AM5448">
        <v>99.697440468086896</v>
      </c>
      <c r="AN5448">
        <v>0.99999998262992895</v>
      </c>
    </row>
    <row r="5449" spans="1:40" x14ac:dyDescent="0.25">
      <c r="A5449" t="str">
        <f>"20190304164235884"</f>
        <v>20190304164235884</v>
      </c>
      <c r="B5449" t="str">
        <f>"1551688955876469"</f>
        <v>1551688955876469</v>
      </c>
      <c r="C5449" t="s">
        <v>40</v>
      </c>
      <c r="D5449">
        <v>4.0991839999999904</v>
      </c>
      <c r="E5449">
        <v>0.54179219999999995</v>
      </c>
      <c r="F5449" t="s">
        <v>42</v>
      </c>
      <c r="G5449">
        <v>-421.24900000000002</v>
      </c>
      <c r="H5449" s="1">
        <v>-1.6493020000000001E-6</v>
      </c>
      <c r="I5449">
        <v>72.658999999999907</v>
      </c>
      <c r="J5449">
        <v>-421.9006</v>
      </c>
      <c r="K5449">
        <v>1.1117300000000001</v>
      </c>
      <c r="L5449">
        <v>88.351529999999997</v>
      </c>
      <c r="M5449">
        <v>-3.7695779999999998E-2</v>
      </c>
      <c r="N5449">
        <v>-1.0025640000000001E-2</v>
      </c>
      <c r="O5449">
        <v>-0.99923919999999999</v>
      </c>
      <c r="P5449">
        <v>0.121021</v>
      </c>
      <c r="Q5449">
        <v>0.32561869999999998</v>
      </c>
      <c r="R5449">
        <v>-0.93772409999999995</v>
      </c>
      <c r="S5449">
        <v>0.13259889999999999</v>
      </c>
      <c r="T5449">
        <v>-0.22834679999999999</v>
      </c>
      <c r="U5449">
        <v>-3.261841</v>
      </c>
      <c r="V5449">
        <v>-0.1576389</v>
      </c>
      <c r="W5449">
        <v>0.33431630000000001</v>
      </c>
      <c r="X5449">
        <v>0.9291838</v>
      </c>
      <c r="Y5449">
        <v>-7.815192E-2</v>
      </c>
      <c r="Z5449">
        <v>5.9612390000000001E-2</v>
      </c>
      <c r="AA5449">
        <v>0.99515759999999998</v>
      </c>
      <c r="AB5449">
        <v>29</v>
      </c>
      <c r="AC5449">
        <v>0.65159999999997298</v>
      </c>
      <c r="AD5449">
        <v>-1.111731649302</v>
      </c>
      <c r="AE5449">
        <v>-15.69253</v>
      </c>
      <c r="AF5449">
        <v>-1.23651325618287</v>
      </c>
      <c r="AG5449">
        <v>-1.111731649302</v>
      </c>
      <c r="AH5449">
        <v>15.578757170123099</v>
      </c>
      <c r="AI5449">
        <v>94.069069250873</v>
      </c>
      <c r="AJ5449">
        <v>94.538152448969598</v>
      </c>
      <c r="AK5449">
        <v>15.6672456819455</v>
      </c>
      <c r="AL5449">
        <v>70.469031573566298</v>
      </c>
      <c r="AM5449">
        <v>99.628725855413705</v>
      </c>
      <c r="AN5449">
        <v>0.99999997271066898</v>
      </c>
    </row>
    <row r="5450" spans="1:40" x14ac:dyDescent="0.25">
      <c r="A5450" t="str">
        <f>"20190304164235897"</f>
        <v>20190304164235897</v>
      </c>
      <c r="B5450" t="str">
        <f>"1551688955886228"</f>
        <v>1551688955886228</v>
      </c>
      <c r="C5450" t="s">
        <v>40</v>
      </c>
      <c r="D5450">
        <v>4.1112570000000002</v>
      </c>
      <c r="E5450">
        <v>0.54163729999999999</v>
      </c>
      <c r="F5450" t="s">
        <v>42</v>
      </c>
      <c r="G5450">
        <v>-421.24200000000002</v>
      </c>
      <c r="H5450" s="1">
        <v>-1.59477E-6</v>
      </c>
      <c r="I5450">
        <v>72.536199999999994</v>
      </c>
      <c r="J5450">
        <v>-421.90600000000001</v>
      </c>
      <c r="K5450">
        <v>1.111715</v>
      </c>
      <c r="L5450">
        <v>88.172849999999997</v>
      </c>
      <c r="M5450">
        <v>-3.6425890000000002E-2</v>
      </c>
      <c r="N5450">
        <v>-1.001724E-2</v>
      </c>
      <c r="O5450">
        <v>-0.99928629999999996</v>
      </c>
      <c r="P5450">
        <v>0.1212377</v>
      </c>
      <c r="Q5450">
        <v>0.325107599999999</v>
      </c>
      <c r="R5450">
        <v>-0.93787350000000003</v>
      </c>
      <c r="S5450">
        <v>0.13580320000000001</v>
      </c>
      <c r="T5450">
        <v>-0.22925329999999999</v>
      </c>
      <c r="U5450">
        <v>-3.2613219999999998</v>
      </c>
      <c r="V5450">
        <v>-0.15666289999999999</v>
      </c>
      <c r="W5450">
        <v>0.33380989999999999</v>
      </c>
      <c r="X5450">
        <v>0.92953090000000005</v>
      </c>
      <c r="Y5450">
        <v>-7.7866840000000007E-2</v>
      </c>
      <c r="Z5450">
        <v>5.9911470000000001E-2</v>
      </c>
      <c r="AA5450">
        <v>0.99516199999999999</v>
      </c>
      <c r="AB5450">
        <v>29</v>
      </c>
      <c r="AC5450">
        <v>0.664000000000044</v>
      </c>
      <c r="AD5450">
        <v>-1.1117165947700001</v>
      </c>
      <c r="AE5450">
        <v>-15.636649999999999</v>
      </c>
      <c r="AF5450">
        <v>-1.226975776345</v>
      </c>
      <c r="AG5450">
        <v>-1.1117165947700001</v>
      </c>
      <c r="AH5450">
        <v>15.5237561511191</v>
      </c>
      <c r="AI5450">
        <v>94.083488983913796</v>
      </c>
      <c r="AJ5450">
        <v>94.5191825799442</v>
      </c>
      <c r="AK5450">
        <v>15.6118028549631</v>
      </c>
      <c r="AL5450">
        <v>70.499815252973093</v>
      </c>
      <c r="AM5450">
        <v>99.566709291031501</v>
      </c>
      <c r="AN5450">
        <v>1.00000000381461</v>
      </c>
    </row>
    <row r="5451" spans="1:40" x14ac:dyDescent="0.25">
      <c r="A5451" t="str">
        <f>"20190304164235911"</f>
        <v>20190304164235911</v>
      </c>
      <c r="B5451" t="str">
        <f>"1551688955906724"</f>
        <v>1551688955906724</v>
      </c>
      <c r="C5451" t="s">
        <v>40</v>
      </c>
      <c r="D5451">
        <v>4.0745529999999999</v>
      </c>
      <c r="E5451">
        <v>0.54151050000000001</v>
      </c>
      <c r="F5451" t="s">
        <v>42</v>
      </c>
      <c r="G5451">
        <v>-421.2473</v>
      </c>
      <c r="H5451" s="1">
        <v>-1.5831130000000001E-6</v>
      </c>
      <c r="I5451">
        <v>72.505750000000006</v>
      </c>
      <c r="J5451">
        <v>-421.91140000000001</v>
      </c>
      <c r="K5451">
        <v>1.1116919999999999</v>
      </c>
      <c r="L5451">
        <v>87.990809999999996</v>
      </c>
      <c r="M5451">
        <v>-3.5152089999999997E-2</v>
      </c>
      <c r="N5451">
        <v>-1.0006940000000001E-2</v>
      </c>
      <c r="O5451">
        <v>-0.999332</v>
      </c>
      <c r="P5451">
        <v>0.1209625</v>
      </c>
      <c r="Q5451">
        <v>0.32459959999999999</v>
      </c>
      <c r="R5451">
        <v>-0.93808510000000001</v>
      </c>
      <c r="S5451">
        <v>0.1371155</v>
      </c>
      <c r="T5451">
        <v>-0.2314126</v>
      </c>
      <c r="U5451">
        <v>-3.2612299999999999</v>
      </c>
      <c r="V5451">
        <v>-0.15518979999999999</v>
      </c>
      <c r="W5451">
        <v>0.33330859999999901</v>
      </c>
      <c r="X5451">
        <v>0.92995779999999995</v>
      </c>
      <c r="Y5451">
        <v>-7.6995350000000004E-2</v>
      </c>
      <c r="Z5451">
        <v>6.0586260000000003E-2</v>
      </c>
      <c r="AA5451">
        <v>0.99518899999999999</v>
      </c>
      <c r="AB5451">
        <v>29</v>
      </c>
      <c r="AC5451">
        <v>0.66410000000001901</v>
      </c>
      <c r="AD5451">
        <v>-1.1116935831129999</v>
      </c>
      <c r="AE5451">
        <v>-15.485059999999899</v>
      </c>
      <c r="AF5451">
        <v>-1.20186589345155</v>
      </c>
      <c r="AG5451">
        <v>-1.1116935831129999</v>
      </c>
      <c r="AH5451">
        <v>15.3730559411597</v>
      </c>
      <c r="AI5451">
        <v>94.123572103127202</v>
      </c>
      <c r="AJ5451">
        <v>94.470292606312796</v>
      </c>
      <c r="AK5451">
        <v>15.459986844063</v>
      </c>
      <c r="AL5451">
        <v>70.530282503865095</v>
      </c>
      <c r="AM5451">
        <v>99.474121172751396</v>
      </c>
      <c r="AN5451">
        <v>1.0000000033194201</v>
      </c>
    </row>
    <row r="5452" spans="1:40" x14ac:dyDescent="0.25">
      <c r="A5452" t="str">
        <f>"20190304164235933"</f>
        <v>20190304164235933</v>
      </c>
      <c r="B5452" t="str">
        <f>"1551688955926243"</f>
        <v>1551688955926243</v>
      </c>
      <c r="C5452" t="s">
        <v>40</v>
      </c>
      <c r="D5452">
        <v>4.1428979999999997</v>
      </c>
      <c r="E5452">
        <v>0.54154230000000003</v>
      </c>
      <c r="F5452" t="s">
        <v>42</v>
      </c>
      <c r="G5452">
        <v>-421.2604</v>
      </c>
      <c r="H5452" s="1">
        <v>-1.5707799999999999E-6</v>
      </c>
      <c r="I5452">
        <v>72.468919999999997</v>
      </c>
      <c r="J5452">
        <v>-421.9194</v>
      </c>
      <c r="K5452">
        <v>1.111648</v>
      </c>
      <c r="L5452">
        <v>87.705839999999995</v>
      </c>
      <c r="M5452">
        <v>-3.3208010000000003E-2</v>
      </c>
      <c r="N5452">
        <v>-9.9883939999999994E-3</v>
      </c>
      <c r="O5452">
        <v>-0.99939880000000003</v>
      </c>
      <c r="P5452">
        <v>0.121503</v>
      </c>
      <c r="Q5452">
        <v>0.32523999999999997</v>
      </c>
      <c r="R5452">
        <v>-0.9377934</v>
      </c>
      <c r="S5452">
        <v>0.13677979999999901</v>
      </c>
      <c r="T5452">
        <v>-0.23357049999999999</v>
      </c>
      <c r="U5452">
        <v>-3.2612000000000001</v>
      </c>
      <c r="V5452">
        <v>-0.15387490000000001</v>
      </c>
      <c r="W5452">
        <v>0.33395140000000001</v>
      </c>
      <c r="X5452">
        <v>0.92994569999999999</v>
      </c>
      <c r="Y5452">
        <v>-7.4952669999999999E-2</v>
      </c>
      <c r="Z5452">
        <v>6.1273910000000001E-2</v>
      </c>
      <c r="AA5452">
        <v>0.99530280000000004</v>
      </c>
      <c r="AB5452">
        <v>29</v>
      </c>
      <c r="AC5452">
        <v>0.65899999999999104</v>
      </c>
      <c r="AD5452">
        <v>-1.11164957078</v>
      </c>
      <c r="AE5452">
        <v>-15.23692</v>
      </c>
      <c r="AF5452">
        <v>-1.1584944684637399</v>
      </c>
      <c r="AG5452">
        <v>-1.11164957078</v>
      </c>
      <c r="AH5452">
        <v>15.1262662581359</v>
      </c>
      <c r="AI5452">
        <v>94.190957667971901</v>
      </c>
      <c r="AJ5452">
        <v>94.379634324325195</v>
      </c>
      <c r="AK5452">
        <v>15.2112394338429</v>
      </c>
      <c r="AL5452">
        <v>70.491214540135701</v>
      </c>
      <c r="AM5452">
        <v>99.395405618105997</v>
      </c>
      <c r="AN5452">
        <v>1.0000000136802201</v>
      </c>
    </row>
    <row r="5453" spans="1:40" x14ac:dyDescent="0.25">
      <c r="A5453" t="str">
        <f>"20190304164235956"</f>
        <v>20190304164235956</v>
      </c>
      <c r="B5453" t="str">
        <f>"1551688955946739"</f>
        <v>1551688955946739</v>
      </c>
      <c r="C5453" t="s">
        <v>40</v>
      </c>
      <c r="D5453">
        <v>4.0837029999999999</v>
      </c>
      <c r="E5453">
        <v>0.54152730000000004</v>
      </c>
      <c r="F5453" t="s">
        <v>42</v>
      </c>
      <c r="G5453">
        <v>-421.2482</v>
      </c>
      <c r="H5453" s="1">
        <v>-1.29555E-6</v>
      </c>
      <c r="I5453">
        <v>71.834900000000005</v>
      </c>
      <c r="J5453">
        <v>-421.9271</v>
      </c>
      <c r="K5453">
        <v>1.1115839999999999</v>
      </c>
      <c r="L5453">
        <v>87.412260000000003</v>
      </c>
      <c r="M5453">
        <v>-3.1292140000000003E-2</v>
      </c>
      <c r="N5453">
        <v>-9.9683099999999993E-3</v>
      </c>
      <c r="O5453">
        <v>-0.99946060000000003</v>
      </c>
      <c r="P5453">
        <v>0.1218534</v>
      </c>
      <c r="Q5453">
        <v>0.3253876</v>
      </c>
      <c r="R5453">
        <v>-0.93769650000000004</v>
      </c>
      <c r="S5453">
        <v>0.13787839999999901</v>
      </c>
      <c r="T5453">
        <v>-0.2283646</v>
      </c>
      <c r="U5453">
        <v>-3.260345</v>
      </c>
      <c r="V5453">
        <v>-0.15238640000000001</v>
      </c>
      <c r="W5453">
        <v>0.33410959999999901</v>
      </c>
      <c r="X5453">
        <v>0.93013389999999996</v>
      </c>
      <c r="Y5453">
        <v>-7.3391970000000001E-2</v>
      </c>
      <c r="Z5453">
        <v>5.9741330000000002E-2</v>
      </c>
      <c r="AA5453">
        <v>0.99551219999999996</v>
      </c>
      <c r="AB5453">
        <v>30</v>
      </c>
      <c r="AC5453">
        <v>0.67889999999999795</v>
      </c>
      <c r="AD5453">
        <v>-1.1115852955500001</v>
      </c>
      <c r="AE5453">
        <v>-15.577360000000001</v>
      </c>
      <c r="AF5453">
        <v>-1.1601442494151899</v>
      </c>
      <c r="AG5453">
        <v>-1.1115852955500001</v>
      </c>
      <c r="AH5453">
        <v>15.4698605191789</v>
      </c>
      <c r="AI5453">
        <v>94.098449477177397</v>
      </c>
      <c r="AJ5453">
        <v>94.288802378592905</v>
      </c>
      <c r="AK5453">
        <v>15.553074970294</v>
      </c>
      <c r="AL5453">
        <v>70.481596820312902</v>
      </c>
      <c r="AM5453">
        <v>99.304267244917497</v>
      </c>
      <c r="AN5453">
        <v>0.99999995582316303</v>
      </c>
    </row>
    <row r="5454" spans="1:40" x14ac:dyDescent="0.25">
      <c r="A5454" t="str">
        <f>"20190304164235978"</f>
        <v>20190304164235978</v>
      </c>
      <c r="B5454" t="str">
        <f>"1551688955966766"</f>
        <v>1551688955966766</v>
      </c>
      <c r="C5454" t="s">
        <v>40</v>
      </c>
      <c r="D5454">
        <v>4.0647679999999999</v>
      </c>
      <c r="E5454">
        <v>0.54151930000000004</v>
      </c>
      <c r="F5454" t="s">
        <v>42</v>
      </c>
      <c r="G5454">
        <v>-421.24380000000002</v>
      </c>
      <c r="H5454" s="1">
        <v>-1.0954660000000001E-6</v>
      </c>
      <c r="I5454">
        <v>71.37124</v>
      </c>
      <c r="J5454">
        <v>-421.93450000000001</v>
      </c>
      <c r="K5454">
        <v>1.111502</v>
      </c>
      <c r="L5454">
        <v>87.113950000000003</v>
      </c>
      <c r="M5454">
        <v>-2.946004E-2</v>
      </c>
      <c r="N5454">
        <v>-9.9491779999999995E-3</v>
      </c>
      <c r="O5454">
        <v>-0.99951639999999997</v>
      </c>
      <c r="P5454">
        <v>0.1224071</v>
      </c>
      <c r="Q5454">
        <v>0.324735</v>
      </c>
      <c r="R5454">
        <v>-0.93785079999999998</v>
      </c>
      <c r="S5454">
        <v>0.13885500000000001</v>
      </c>
      <c r="T5454">
        <v>-0.22588359999999999</v>
      </c>
      <c r="U5454">
        <v>-3.259674</v>
      </c>
      <c r="V5454">
        <v>-0.151168</v>
      </c>
      <c r="W5454">
        <v>0.33347589999999999</v>
      </c>
      <c r="X5454">
        <v>0.9305601</v>
      </c>
      <c r="Y5454">
        <v>-7.1872909999999998E-2</v>
      </c>
      <c r="Z5454">
        <v>5.9030020000000002E-2</v>
      </c>
      <c r="AA5454">
        <v>0.99566549999999998</v>
      </c>
      <c r="AB5454">
        <v>30</v>
      </c>
      <c r="AC5454">
        <v>0.69069999999999199</v>
      </c>
      <c r="AD5454">
        <v>-1.1115030954659999</v>
      </c>
      <c r="AE5454">
        <v>-15.742710000000001</v>
      </c>
      <c r="AF5454">
        <v>-1.1484898345772501</v>
      </c>
      <c r="AG5454">
        <v>-1.1115030954659999</v>
      </c>
      <c r="AH5454">
        <v>15.6377235003461</v>
      </c>
      <c r="AI5454">
        <v>94.054765821231598</v>
      </c>
      <c r="AJ5454">
        <v>94.200463569287606</v>
      </c>
      <c r="AK5454">
        <v>15.7191877749658</v>
      </c>
      <c r="AL5454">
        <v>70.520115568356701</v>
      </c>
      <c r="AM5454">
        <v>99.227005857643405</v>
      </c>
      <c r="AN5454">
        <v>1.0000000199084</v>
      </c>
    </row>
    <row r="5455" spans="1:40" x14ac:dyDescent="0.25">
      <c r="A5455" t="str">
        <f>"20190304164236001"</f>
        <v>20190304164236001</v>
      </c>
      <c r="B5455" t="str">
        <f>"1551688955997022"</f>
        <v>1551688955997022</v>
      </c>
      <c r="C5455" t="s">
        <v>40</v>
      </c>
      <c r="D5455">
        <v>4.0897819999999996</v>
      </c>
      <c r="E5455">
        <v>0.54152540000000005</v>
      </c>
      <c r="F5455" t="s">
        <v>42</v>
      </c>
      <c r="G5455">
        <v>-421.24779999999998</v>
      </c>
      <c r="H5455" s="1">
        <v>-1.016956E-6</v>
      </c>
      <c r="I5455">
        <v>71.185719999999904</v>
      </c>
      <c r="J5455">
        <v>-421.94150000000002</v>
      </c>
      <c r="K5455">
        <v>1.1113930000000001</v>
      </c>
      <c r="L5455">
        <v>86.812349999999995</v>
      </c>
      <c r="M5455">
        <v>-2.775588E-2</v>
      </c>
      <c r="N5455">
        <v>-9.931456E-3</v>
      </c>
      <c r="O5455">
        <v>-0.9995655</v>
      </c>
      <c r="P5455">
        <v>0.1231598</v>
      </c>
      <c r="Q5455">
        <v>0.32355529999999999</v>
      </c>
      <c r="R5455">
        <v>-0.93816010000000005</v>
      </c>
      <c r="S5455">
        <v>0.14050289999999999</v>
      </c>
      <c r="T5455">
        <v>-0.22743450000000001</v>
      </c>
      <c r="U5455">
        <v>-3.2592159999999999</v>
      </c>
      <c r="V5455">
        <v>-0.15025150000000001</v>
      </c>
      <c r="W5455">
        <v>0.33232479999999998</v>
      </c>
      <c r="X5455">
        <v>0.93112019999999995</v>
      </c>
      <c r="Y5455">
        <v>-7.0679850000000002E-2</v>
      </c>
      <c r="Z5455">
        <v>5.9536569999999997E-2</v>
      </c>
      <c r="AA5455">
        <v>0.99572070000000001</v>
      </c>
      <c r="AB5455">
        <v>30</v>
      </c>
      <c r="AC5455">
        <v>0.69370000000003496</v>
      </c>
      <c r="AD5455">
        <v>-1.1113940169559999</v>
      </c>
      <c r="AE5455">
        <v>-15.62663</v>
      </c>
      <c r="AF5455">
        <v>-1.1215230720159199</v>
      </c>
      <c r="AG5455">
        <v>-1.1113940169559999</v>
      </c>
      <c r="AH5455">
        <v>15.522988099939599</v>
      </c>
      <c r="AI5455">
        <v>94.084587629359604</v>
      </c>
      <c r="AJ5455">
        <v>94.132392454362602</v>
      </c>
      <c r="AK5455">
        <v>15.6030820741562</v>
      </c>
      <c r="AL5455">
        <v>70.590058863749206</v>
      </c>
      <c r="AM5455">
        <v>99.166594511717193</v>
      </c>
      <c r="AN5455">
        <v>1.0000000563976601</v>
      </c>
    </row>
    <row r="5456" spans="1:40" x14ac:dyDescent="0.25">
      <c r="A5456" t="str">
        <f>"20190304164236023"</f>
        <v>20190304164236023</v>
      </c>
      <c r="B5456" t="str">
        <f>"1551688956016542"</f>
        <v>1551688956016542</v>
      </c>
      <c r="C5456" t="s">
        <v>40</v>
      </c>
      <c r="D5456">
        <v>4.0690569999999999</v>
      </c>
      <c r="E5456">
        <v>0.54149789999999998</v>
      </c>
      <c r="F5456" t="s">
        <v>42</v>
      </c>
      <c r="G5456">
        <v>-421.25029999999998</v>
      </c>
      <c r="H5456" s="1">
        <v>-9.567235E-7</v>
      </c>
      <c r="I5456">
        <v>71.043769999999995</v>
      </c>
      <c r="J5456">
        <v>-421.94819999999999</v>
      </c>
      <c r="K5456">
        <v>1.111262</v>
      </c>
      <c r="L5456">
        <v>86.514589999999998</v>
      </c>
      <c r="M5456">
        <v>-2.6262859999999999E-2</v>
      </c>
      <c r="N5456">
        <v>-9.9155839999999999E-3</v>
      </c>
      <c r="O5456">
        <v>-0.99960610000000005</v>
      </c>
      <c r="P5456">
        <v>0.12332170000000001</v>
      </c>
      <c r="Q5456">
        <v>0.32283879999999998</v>
      </c>
      <c r="R5456">
        <v>-0.93838549999999998</v>
      </c>
      <c r="S5456">
        <v>0.14282230000000001</v>
      </c>
      <c r="T5456">
        <v>-0.2296417</v>
      </c>
      <c r="U5456">
        <v>-3.2581790000000002</v>
      </c>
      <c r="V5456">
        <v>-0.1489229</v>
      </c>
      <c r="W5456">
        <v>0.3316461</v>
      </c>
      <c r="X5456">
        <v>0.9315755</v>
      </c>
      <c r="Y5456">
        <v>-6.9909269999999996E-2</v>
      </c>
      <c r="Z5456">
        <v>6.0251079999999999E-2</v>
      </c>
      <c r="AA5456">
        <v>0.99573210000000001</v>
      </c>
      <c r="AB5456">
        <v>30</v>
      </c>
      <c r="AC5456">
        <v>0.69790000000000396</v>
      </c>
      <c r="AD5456">
        <v>-1.1112629567235</v>
      </c>
      <c r="AE5456">
        <v>-15.47082</v>
      </c>
      <c r="AF5456">
        <v>-1.0983317958043699</v>
      </c>
      <c r="AG5456">
        <v>-1.1112629567235</v>
      </c>
      <c r="AH5456">
        <v>15.368023228276</v>
      </c>
      <c r="AI5456">
        <v>94.125377992257796</v>
      </c>
      <c r="AJ5456">
        <v>94.087901162514996</v>
      </c>
      <c r="AK5456">
        <v>15.4472449335632</v>
      </c>
      <c r="AL5456">
        <v>70.631283238063304</v>
      </c>
      <c r="AM5456">
        <v>99.082529962227994</v>
      </c>
      <c r="AN5456">
        <v>1.00000003899493</v>
      </c>
    </row>
    <row r="5457" spans="1:40" x14ac:dyDescent="0.25">
      <c r="A5457" t="str">
        <f>"20190304164236038"</f>
        <v>20190304164236038</v>
      </c>
      <c r="B5457" t="str">
        <f>"1551688956026302"</f>
        <v>1551688956026302</v>
      </c>
      <c r="C5457" t="s">
        <v>40</v>
      </c>
      <c r="D5457">
        <v>4.0904610000000003</v>
      </c>
      <c r="E5457">
        <v>0.54146110000000003</v>
      </c>
      <c r="F5457" t="s">
        <v>42</v>
      </c>
      <c r="G5457">
        <v>-421.25880000000001</v>
      </c>
      <c r="H5457" s="1">
        <v>-9.1369119999999998E-7</v>
      </c>
      <c r="I5457">
        <v>70.938209999999998</v>
      </c>
      <c r="J5457">
        <v>-421.95240000000001</v>
      </c>
      <c r="K5457">
        <v>1.1111690000000001</v>
      </c>
      <c r="L5457">
        <v>86.32123</v>
      </c>
      <c r="M5457">
        <v>-2.5407349999999999E-2</v>
      </c>
      <c r="N5457">
        <v>-9.9061949999999996E-3</v>
      </c>
      <c r="O5457">
        <v>-0.99962819999999997</v>
      </c>
      <c r="P5457">
        <v>0.1234209</v>
      </c>
      <c r="Q5457">
        <v>0.3222505</v>
      </c>
      <c r="R5457">
        <v>-0.93857469999999998</v>
      </c>
      <c r="S5457">
        <v>0.14419560000000001</v>
      </c>
      <c r="T5457">
        <v>-0.23243459999999999</v>
      </c>
      <c r="U5457">
        <v>-3.2579959999999999</v>
      </c>
      <c r="V5457">
        <v>-0.14815139999999999</v>
      </c>
      <c r="W5457">
        <v>0.33108729999999997</v>
      </c>
      <c r="X5457">
        <v>0.93189719999999998</v>
      </c>
      <c r="Y5457">
        <v>-6.9474460000000002E-2</v>
      </c>
      <c r="Z5457">
        <v>6.1116810000000001E-2</v>
      </c>
      <c r="AA5457">
        <v>0.99570979999999998</v>
      </c>
      <c r="AB5457">
        <v>30</v>
      </c>
      <c r="AC5457">
        <v>0.69360000000000299</v>
      </c>
      <c r="AD5457">
        <v>-1.1111699136912001</v>
      </c>
      <c r="AE5457">
        <v>-15.38302</v>
      </c>
      <c r="AF5457">
        <v>-1.0786205005460701</v>
      </c>
      <c r="AG5457">
        <v>-1.1111699136912001</v>
      </c>
      <c r="AH5457">
        <v>15.2808612481897</v>
      </c>
      <c r="AI5457">
        <v>94.148738809075695</v>
      </c>
      <c r="AJ5457">
        <v>94.037604182456207</v>
      </c>
      <c r="AK5457">
        <v>15.359128922166001</v>
      </c>
      <c r="AL5457">
        <v>70.665216832078201</v>
      </c>
      <c r="AM5457">
        <v>99.033187980149805</v>
      </c>
      <c r="AN5457">
        <v>1.0000000144555401</v>
      </c>
    </row>
    <row r="5458" spans="1:40" x14ac:dyDescent="0.25">
      <c r="A5458" t="str">
        <f>"20190304164236056"</f>
        <v>20190304164236056</v>
      </c>
      <c r="B5458" t="str">
        <f>"1551688956046798"</f>
        <v>1551688956046798</v>
      </c>
      <c r="C5458" t="s">
        <v>40</v>
      </c>
      <c r="D5458">
        <v>4.2274269999999996</v>
      </c>
      <c r="E5458">
        <v>0.54211100000000001</v>
      </c>
      <c r="F5458" t="s">
        <v>42</v>
      </c>
      <c r="G5458">
        <v>-421.26170000000002</v>
      </c>
      <c r="H5458" s="1">
        <v>-8.942128E-7</v>
      </c>
      <c r="I5458">
        <v>70.890969999999996</v>
      </c>
      <c r="J5458">
        <v>-421.95740000000001</v>
      </c>
      <c r="K5458">
        <v>1.1110519999999999</v>
      </c>
      <c r="L5458">
        <v>86.081850000000003</v>
      </c>
      <c r="M5458">
        <v>-2.4444629999999998E-2</v>
      </c>
      <c r="N5458">
        <v>-9.8956919999999993E-3</v>
      </c>
      <c r="O5458">
        <v>-0.99965250000000005</v>
      </c>
      <c r="P5458">
        <v>0.12323389999999999</v>
      </c>
      <c r="Q5458">
        <v>0.32216610000000001</v>
      </c>
      <c r="R5458">
        <v>-0.93862860000000004</v>
      </c>
      <c r="S5458">
        <v>0.145813</v>
      </c>
      <c r="T5458">
        <v>-0.23459640000000001</v>
      </c>
      <c r="U5458">
        <v>-3.2577210000000001</v>
      </c>
      <c r="V5458">
        <v>-0.1469751</v>
      </c>
      <c r="W5458">
        <v>0.33103729999999998</v>
      </c>
      <c r="X5458">
        <v>0.93210119999999996</v>
      </c>
      <c r="Y5458">
        <v>-6.9008970000000003E-2</v>
      </c>
      <c r="Z5458">
        <v>6.1793870000000001E-2</v>
      </c>
      <c r="AA5458">
        <v>0.99570040000000004</v>
      </c>
      <c r="AB5458">
        <v>30</v>
      </c>
      <c r="AC5458">
        <v>0.695699999999987</v>
      </c>
      <c r="AD5458">
        <v>-1.1110528942128</v>
      </c>
      <c r="AE5458">
        <v>-15.19088</v>
      </c>
      <c r="AF5458">
        <v>-1.0611808291987399</v>
      </c>
      <c r="AG5458">
        <v>-1.1110528942128</v>
      </c>
      <c r="AH5458">
        <v>15.0887865998729</v>
      </c>
      <c r="AI5458">
        <v>94.200997418172307</v>
      </c>
      <c r="AJ5458">
        <v>94.022936786473693</v>
      </c>
      <c r="AK5458">
        <v>15.1668066626598</v>
      </c>
      <c r="AL5458">
        <v>70.6682527449546</v>
      </c>
      <c r="AM5458">
        <v>98.960704914809796</v>
      </c>
      <c r="AN5458">
        <v>1.00000001052636</v>
      </c>
    </row>
    <row r="5459" spans="1:40" x14ac:dyDescent="0.25">
      <c r="A5459" t="str">
        <f>"20190304164236079"</f>
        <v>20190304164236079</v>
      </c>
      <c r="B5459" t="str">
        <f>"1551688956066318"</f>
        <v>1551688956066318</v>
      </c>
      <c r="C5459" t="s">
        <v>40</v>
      </c>
      <c r="D5459">
        <v>4.2323779999999998</v>
      </c>
      <c r="E5459">
        <v>0.55678609999999995</v>
      </c>
      <c r="F5459" t="s">
        <v>42</v>
      </c>
      <c r="G5459">
        <v>-421.30070000000001</v>
      </c>
      <c r="H5459" s="1">
        <v>-8.9110069999999897E-7</v>
      </c>
      <c r="I5459">
        <v>70.859579999999994</v>
      </c>
      <c r="J5459">
        <v>-421.96350000000001</v>
      </c>
      <c r="K5459">
        <v>1.110914</v>
      </c>
      <c r="L5459">
        <v>85.788089999999997</v>
      </c>
      <c r="M5459">
        <v>-2.3428480000000002E-2</v>
      </c>
      <c r="N5459">
        <v>-9.8843360000000005E-3</v>
      </c>
      <c r="O5459">
        <v>-0.99967689999999998</v>
      </c>
      <c r="P5459">
        <v>0.1226955</v>
      </c>
      <c r="Q5459">
        <v>0.32217129999999999</v>
      </c>
      <c r="R5459">
        <v>-0.93869729999999996</v>
      </c>
      <c r="S5459">
        <v>0.140625</v>
      </c>
      <c r="T5459">
        <v>-0.23789469999999999</v>
      </c>
      <c r="U5459">
        <v>-3.2593380000000001</v>
      </c>
      <c r="V5459">
        <v>-0.14537429999999901</v>
      </c>
      <c r="W5459">
        <v>0.33108769999999998</v>
      </c>
      <c r="X5459">
        <v>0.93233429999999995</v>
      </c>
      <c r="Y5459">
        <v>-6.6388879999999997E-2</v>
      </c>
      <c r="Z5459">
        <v>6.2784430000000002E-2</v>
      </c>
      <c r="AA5459">
        <v>0.99581660000000005</v>
      </c>
      <c r="AB5459">
        <v>30</v>
      </c>
      <c r="AC5459">
        <v>0.66280000000000405</v>
      </c>
      <c r="AD5459">
        <v>-1.1109148911007001</v>
      </c>
      <c r="AE5459">
        <v>-14.9285099999999</v>
      </c>
      <c r="AF5459">
        <v>-1.0068228473340199</v>
      </c>
      <c r="AG5459">
        <v>-1.1109148911007001</v>
      </c>
      <c r="AH5459">
        <v>14.8269373524804</v>
      </c>
      <c r="AI5459">
        <v>94.275097099669395</v>
      </c>
      <c r="AJ5459">
        <v>93.884705040067999</v>
      </c>
      <c r="AK5459">
        <v>14.902546607729899</v>
      </c>
      <c r="AL5459">
        <v>70.665192244743196</v>
      </c>
      <c r="AM5459">
        <v>98.862485360536596</v>
      </c>
      <c r="AN5459">
        <v>0.99999999957413399</v>
      </c>
    </row>
    <row r="5460" spans="1:40" x14ac:dyDescent="0.25">
      <c r="A5460" t="str">
        <f>"20190304164236093"</f>
        <v>20190304164236093</v>
      </c>
      <c r="B5460" t="str">
        <f>"1551688956086814"</f>
        <v>1551688956086814</v>
      </c>
      <c r="C5460" t="s">
        <v>40</v>
      </c>
      <c r="D5460">
        <v>4.1773530000000001</v>
      </c>
      <c r="E5460">
        <v>0.55436209999999997</v>
      </c>
      <c r="F5460" t="s">
        <v>41</v>
      </c>
      <c r="G5460">
        <v>-421.94569999999999</v>
      </c>
      <c r="H5460">
        <v>0.91282680000000005</v>
      </c>
      <c r="I5460">
        <v>85.067700000000002</v>
      </c>
      <c r="J5460">
        <v>-421.96769999999998</v>
      </c>
      <c r="K5460">
        <v>1.1108119999999999</v>
      </c>
      <c r="L5460">
        <v>85.582949999999997</v>
      </c>
      <c r="M5460">
        <v>-2.2851030000000001E-2</v>
      </c>
      <c r="N5460">
        <v>-9.8775219999999997E-3</v>
      </c>
      <c r="O5460">
        <v>-0.99969050000000004</v>
      </c>
      <c r="P5460">
        <v>0.1225292</v>
      </c>
      <c r="Q5460">
        <v>0.322237</v>
      </c>
      <c r="R5460">
        <v>-0.93869639999999999</v>
      </c>
      <c r="S5460">
        <v>8.8439939999999995E-2</v>
      </c>
      <c r="T5460">
        <v>-0.96689119999999995</v>
      </c>
      <c r="U5460">
        <v>-3.5162049999999998</v>
      </c>
      <c r="V5460">
        <v>-0.14458660000000001</v>
      </c>
      <c r="W5460">
        <v>0.33118530000000002</v>
      </c>
      <c r="X5460">
        <v>0.93242210000000003</v>
      </c>
      <c r="Y5460">
        <v>-4.7082249999999999E-2</v>
      </c>
      <c r="Z5460">
        <v>0.25531039999999999</v>
      </c>
      <c r="AA5460">
        <v>0.96571209999999996</v>
      </c>
      <c r="AB5460">
        <v>30</v>
      </c>
      <c r="AC5460">
        <v>2.1999999999991301E-2</v>
      </c>
      <c r="AD5460">
        <v>-0.1979852</v>
      </c>
      <c r="AE5460">
        <v>-0.51524999999999399</v>
      </c>
      <c r="AF5460">
        <v>-2.9431242434296401E-2</v>
      </c>
      <c r="AG5460">
        <v>-0.1979852</v>
      </c>
      <c r="AH5460">
        <v>0.44851114686297699</v>
      </c>
      <c r="AI5460">
        <v>113.77254475382399</v>
      </c>
      <c r="AJ5460">
        <v>93.754358969958105</v>
      </c>
      <c r="AK5460">
        <v>0.49114823252314499</v>
      </c>
      <c r="AL5460">
        <v>70.659265435438599</v>
      </c>
      <c r="AM5460">
        <v>98.814403827456204</v>
      </c>
      <c r="AN5460">
        <v>0.99999998020202896</v>
      </c>
    </row>
    <row r="5461" spans="1:40" x14ac:dyDescent="0.25">
      <c r="A5461" t="str">
        <f>"20190304164236113"</f>
        <v>20190304164236113</v>
      </c>
      <c r="B5461" t="str">
        <f>"1551688956106334"</f>
        <v>1551688956106334</v>
      </c>
      <c r="C5461" t="s">
        <v>40</v>
      </c>
      <c r="D5461">
        <v>4.1100979999999998</v>
      </c>
      <c r="E5461">
        <v>0.55080280000000004</v>
      </c>
      <c r="F5461" t="s">
        <v>41</v>
      </c>
      <c r="G5461">
        <v>-421.94310000000002</v>
      </c>
      <c r="H5461">
        <v>0.88387000000000004</v>
      </c>
      <c r="I5461">
        <v>84.812960000000004</v>
      </c>
      <c r="J5461">
        <v>-421.97280000000001</v>
      </c>
      <c r="K5461">
        <v>1.1106879999999999</v>
      </c>
      <c r="L5461">
        <v>85.328980000000001</v>
      </c>
      <c r="M5461">
        <v>-2.2262669999999998E-2</v>
      </c>
      <c r="N5461">
        <v>-9.8700479999999993E-3</v>
      </c>
      <c r="O5461">
        <v>-0.99970369999999997</v>
      </c>
      <c r="P5461">
        <v>0.12149740000000001</v>
      </c>
      <c r="Q5461">
        <v>0.32245059999999998</v>
      </c>
      <c r="R5461">
        <v>-0.93875710000000001</v>
      </c>
      <c r="S5461">
        <v>0.11502080000000001</v>
      </c>
      <c r="T5461">
        <v>-1.0430759999999999</v>
      </c>
      <c r="U5461">
        <v>-3.5390009999999998</v>
      </c>
      <c r="V5461">
        <v>-0.14290329999999901</v>
      </c>
      <c r="W5461">
        <v>0.33144089999999998</v>
      </c>
      <c r="X5461">
        <v>0.93259080000000005</v>
      </c>
      <c r="Y5461">
        <v>-5.3413629999999997E-2</v>
      </c>
      <c r="Z5461">
        <v>0.27285300000000001</v>
      </c>
      <c r="AA5461">
        <v>0.96057179999999998</v>
      </c>
      <c r="AB5461">
        <v>30</v>
      </c>
      <c r="AC5461">
        <v>2.9699999999991102E-2</v>
      </c>
      <c r="AD5461">
        <v>-0.22681799999999899</v>
      </c>
      <c r="AE5461">
        <v>-0.51601999999999704</v>
      </c>
      <c r="AF5461">
        <v>-3.4531493573105899E-2</v>
      </c>
      <c r="AG5461">
        <v>-0.22681799999999899</v>
      </c>
      <c r="AH5461">
        <v>0.43203453919655599</v>
      </c>
      <c r="AI5461">
        <v>117.624444345949</v>
      </c>
      <c r="AJ5461">
        <v>94.569800684735</v>
      </c>
      <c r="AK5461">
        <v>0.48917550248471098</v>
      </c>
      <c r="AL5461">
        <v>70.643744632298905</v>
      </c>
      <c r="AM5461">
        <v>98.7118170826122</v>
      </c>
      <c r="AN5461">
        <v>1.0000000117941701</v>
      </c>
    </row>
    <row r="5462" spans="1:40" x14ac:dyDescent="0.25">
      <c r="A5462" t="str">
        <f>"20190304164236134"</f>
        <v>20190304164236134</v>
      </c>
      <c r="B5462" t="str">
        <f>"1551688956126830"</f>
        <v>1551688956126830</v>
      </c>
      <c r="C5462" t="s">
        <v>40</v>
      </c>
      <c r="D5462">
        <v>4.144825</v>
      </c>
      <c r="E5462">
        <v>0.54923540000000004</v>
      </c>
      <c r="F5462" t="s">
        <v>41</v>
      </c>
      <c r="G5462">
        <v>-421.9402</v>
      </c>
      <c r="H5462">
        <v>0.86827840000000001</v>
      </c>
      <c r="I5462">
        <v>84.552080000000004</v>
      </c>
      <c r="J5462">
        <v>-421.97859999999997</v>
      </c>
      <c r="K5462">
        <v>1.110552</v>
      </c>
      <c r="L5462">
        <v>85.042419999999893</v>
      </c>
      <c r="M5462">
        <v>-2.1761450000000002E-2</v>
      </c>
      <c r="N5462">
        <v>-9.8628989999999996E-3</v>
      </c>
      <c r="O5462">
        <v>-0.99971460000000001</v>
      </c>
      <c r="P5462">
        <v>0.1200051</v>
      </c>
      <c r="Q5462">
        <v>0.32238289999999997</v>
      </c>
      <c r="R5462">
        <v>-0.93897180000000002</v>
      </c>
      <c r="S5462">
        <v>0.1494751</v>
      </c>
      <c r="T5462">
        <v>-1.1100920000000001</v>
      </c>
      <c r="U5462">
        <v>-3.5576780000000001</v>
      </c>
      <c r="V5462">
        <v>-0.14083389999999901</v>
      </c>
      <c r="W5462">
        <v>0.33142110000000002</v>
      </c>
      <c r="X5462">
        <v>0.93291259999999998</v>
      </c>
      <c r="Y5462">
        <v>-6.1833470000000001E-2</v>
      </c>
      <c r="Z5462">
        <v>0.28791809999999901</v>
      </c>
      <c r="AA5462">
        <v>0.95565670000000003</v>
      </c>
      <c r="AB5462">
        <v>30</v>
      </c>
      <c r="AC5462">
        <v>3.8399999999967301E-2</v>
      </c>
      <c r="AD5462">
        <v>-0.24227360000000001</v>
      </c>
      <c r="AE5462">
        <v>-0.49033999999998901</v>
      </c>
      <c r="AF5462">
        <v>-3.94820207867898E-2</v>
      </c>
      <c r="AG5462">
        <v>-0.24227360000000001</v>
      </c>
      <c r="AH5462">
        <v>0.393829459963215</v>
      </c>
      <c r="AI5462">
        <v>121.471035150448</v>
      </c>
      <c r="AJ5462">
        <v>95.724863841398502</v>
      </c>
      <c r="AK5462">
        <v>0.46406569659616698</v>
      </c>
      <c r="AL5462">
        <v>70.644947337471905</v>
      </c>
      <c r="AM5462">
        <v>98.584636513418999</v>
      </c>
      <c r="AN5462">
        <v>1.00000002607658</v>
      </c>
    </row>
    <row r="5463" spans="1:40" x14ac:dyDescent="0.25">
      <c r="A5463" t="str">
        <f>"20190304164236157"</f>
        <v>20190304164236157</v>
      </c>
      <c r="B5463" t="str">
        <f>"1551688956146350"</f>
        <v>1551688956146350</v>
      </c>
      <c r="C5463" t="s">
        <v>40</v>
      </c>
      <c r="D5463">
        <v>4.1062760000000003</v>
      </c>
      <c r="E5463">
        <v>0.54857440000000002</v>
      </c>
      <c r="F5463" t="s">
        <v>41</v>
      </c>
      <c r="G5463">
        <v>-421.9443</v>
      </c>
      <c r="H5463">
        <v>0.86772669999999996</v>
      </c>
      <c r="I5463">
        <v>84.284840000000003</v>
      </c>
      <c r="J5463">
        <v>-421.98469999999998</v>
      </c>
      <c r="K5463">
        <v>1.110417</v>
      </c>
      <c r="L5463">
        <v>84.742219999999904</v>
      </c>
      <c r="M5463">
        <v>-2.139456E-2</v>
      </c>
      <c r="N5463">
        <v>-9.8567329999999995E-3</v>
      </c>
      <c r="O5463">
        <v>-0.99972249999999996</v>
      </c>
      <c r="P5463">
        <v>0.1186955</v>
      </c>
      <c r="Q5463">
        <v>0.32202960000000003</v>
      </c>
      <c r="R5463">
        <v>-0.93925959999999997</v>
      </c>
      <c r="S5463">
        <v>0.16363529999999901</v>
      </c>
      <c r="T5463">
        <v>-1.143181</v>
      </c>
      <c r="U5463">
        <v>-3.566589</v>
      </c>
      <c r="V5463">
        <v>-0.13907729999999999</v>
      </c>
      <c r="W5463">
        <v>0.3311134</v>
      </c>
      <c r="X5463">
        <v>0.93328529999999998</v>
      </c>
      <c r="Y5463">
        <v>-6.5043050000000005E-2</v>
      </c>
      <c r="Z5463">
        <v>0.29524850000000002</v>
      </c>
      <c r="AA5463">
        <v>0.95320389999999999</v>
      </c>
      <c r="AB5463">
        <v>30</v>
      </c>
      <c r="AC5463">
        <v>4.0399999999976899E-2</v>
      </c>
      <c r="AD5463">
        <v>-0.2426903</v>
      </c>
      <c r="AE5463">
        <v>-0.45737999999998602</v>
      </c>
      <c r="AF5463">
        <v>-3.9219916889803398E-2</v>
      </c>
      <c r="AG5463">
        <v>-0.2426903</v>
      </c>
      <c r="AH5463">
        <v>0.35674742412662502</v>
      </c>
      <c r="AI5463">
        <v>124.067025583587</v>
      </c>
      <c r="AJ5463">
        <v>96.273759807240097</v>
      </c>
      <c r="AK5463">
        <v>0.43324993735246498</v>
      </c>
      <c r="AL5463">
        <v>70.663632035176093</v>
      </c>
      <c r="AM5463">
        <v>98.475790863561102</v>
      </c>
      <c r="AN5463">
        <v>1.00000001511546</v>
      </c>
    </row>
    <row r="5464" spans="1:40" x14ac:dyDescent="0.25">
      <c r="A5464" t="str">
        <f>"20190304164236179"</f>
        <v>20190304164236179</v>
      </c>
      <c r="B5464" t="str">
        <f>"1551688956176606"</f>
        <v>1551688956176606</v>
      </c>
      <c r="C5464" t="s">
        <v>40</v>
      </c>
      <c r="D5464">
        <v>4.130179</v>
      </c>
      <c r="E5464">
        <v>0.54827300000000001</v>
      </c>
      <c r="F5464" t="s">
        <v>41</v>
      </c>
      <c r="G5464">
        <v>-421.95100000000002</v>
      </c>
      <c r="H5464">
        <v>0.87413700000000005</v>
      </c>
      <c r="I5464">
        <v>84.014449999999997</v>
      </c>
      <c r="J5464">
        <v>-421.99090000000001</v>
      </c>
      <c r="K5464">
        <v>1.1102860000000001</v>
      </c>
      <c r="L5464">
        <v>84.435000000000002</v>
      </c>
      <c r="M5464">
        <v>-2.116258E-2</v>
      </c>
      <c r="N5464">
        <v>-9.8517039999999993E-3</v>
      </c>
      <c r="O5464">
        <v>-0.99972780000000006</v>
      </c>
      <c r="P5464">
        <v>0.11723020000000001</v>
      </c>
      <c r="Q5464">
        <v>0.32160889999999998</v>
      </c>
      <c r="R5464">
        <v>-0.93958799999999998</v>
      </c>
      <c r="S5464">
        <v>0.1665344</v>
      </c>
      <c r="T5464">
        <v>-1.159181</v>
      </c>
      <c r="U5464">
        <v>-3.5704039999999999</v>
      </c>
      <c r="V5464">
        <v>-0.13730519999999999</v>
      </c>
      <c r="W5464">
        <v>0.33073409999999998</v>
      </c>
      <c r="X5464">
        <v>0.93368209999999996</v>
      </c>
      <c r="Y5464">
        <v>-6.5483410000000006E-2</v>
      </c>
      <c r="Z5464">
        <v>0.29881859999999999</v>
      </c>
      <c r="AA5464">
        <v>0.95206060000000003</v>
      </c>
      <c r="AB5464">
        <v>30</v>
      </c>
      <c r="AC5464">
        <v>3.9900000000045503E-2</v>
      </c>
      <c r="AD5464">
        <v>-0.236149</v>
      </c>
      <c r="AE5464">
        <v>-0.42055000000000498</v>
      </c>
      <c r="AF5464">
        <v>-3.7174510813728599E-2</v>
      </c>
      <c r="AG5464">
        <v>-0.236149</v>
      </c>
      <c r="AH5464">
        <v>0.31970475822250999</v>
      </c>
      <c r="AI5464">
        <v>126.267636977761</v>
      </c>
      <c r="AJ5464">
        <v>96.632433086488206</v>
      </c>
      <c r="AK5464">
        <v>0.39919848056493601</v>
      </c>
      <c r="AL5464">
        <v>70.686661848125993</v>
      </c>
      <c r="AM5464">
        <v>98.365826587630394</v>
      </c>
      <c r="AN5464">
        <v>1.0000000133551299</v>
      </c>
    </row>
    <row r="5465" spans="1:40" x14ac:dyDescent="0.25">
      <c r="A5465" t="str">
        <f>"20190304164236202"</f>
        <v>20190304164236202</v>
      </c>
      <c r="B5465" t="str">
        <f>"1551688956197102"</f>
        <v>1551688956197102</v>
      </c>
      <c r="C5465" t="s">
        <v>40</v>
      </c>
      <c r="D5465">
        <v>4.1401219999999999</v>
      </c>
      <c r="E5465">
        <v>0.54831640000000004</v>
      </c>
      <c r="F5465" t="s">
        <v>41</v>
      </c>
      <c r="G5465">
        <v>-421.9588</v>
      </c>
      <c r="H5465">
        <v>0.88348939999999998</v>
      </c>
      <c r="I5465">
        <v>83.742429999999999</v>
      </c>
      <c r="J5465">
        <v>-421.9973</v>
      </c>
      <c r="K5465">
        <v>1.110177</v>
      </c>
      <c r="L5465">
        <v>84.128360000000001</v>
      </c>
      <c r="M5465">
        <v>-2.1049080000000001E-2</v>
      </c>
      <c r="N5465">
        <v>-9.8478249999999993E-3</v>
      </c>
      <c r="O5465">
        <v>-0.99973020000000001</v>
      </c>
      <c r="P5465">
        <v>0.11568870000000001</v>
      </c>
      <c r="Q5465">
        <v>0.32032559999999999</v>
      </c>
      <c r="R5465">
        <v>-0.94021679999999996</v>
      </c>
      <c r="S5465">
        <v>0.16665650000000001</v>
      </c>
      <c r="T5465">
        <v>-1.169869</v>
      </c>
      <c r="U5465">
        <v>-3.5725099999999999</v>
      </c>
      <c r="V5465">
        <v>-0.13559109999999999</v>
      </c>
      <c r="W5465">
        <v>0.32948729999999998</v>
      </c>
      <c r="X5465">
        <v>0.93437309999999996</v>
      </c>
      <c r="Y5465">
        <v>-6.5340410000000002E-2</v>
      </c>
      <c r="Z5465">
        <v>0.30123460000000002</v>
      </c>
      <c r="AA5465">
        <v>0.95130870000000001</v>
      </c>
      <c r="AB5465">
        <v>30</v>
      </c>
      <c r="AC5465">
        <v>3.8499999999999E-2</v>
      </c>
      <c r="AD5465">
        <v>-0.22668759999999999</v>
      </c>
      <c r="AE5465">
        <v>-0.38593000000000099</v>
      </c>
      <c r="AF5465">
        <v>-3.4745668078569998E-2</v>
      </c>
      <c r="AG5465">
        <v>-0.22668759999999999</v>
      </c>
      <c r="AH5465">
        <v>0.28699281639046198</v>
      </c>
      <c r="AI5465">
        <v>128.10163139333</v>
      </c>
      <c r="AJ5465">
        <v>96.903093294064107</v>
      </c>
      <c r="AK5465">
        <v>0.36736821596827801</v>
      </c>
      <c r="AL5465">
        <v>70.7623395211142</v>
      </c>
      <c r="AM5465">
        <v>98.256813287362803</v>
      </c>
      <c r="AN5465">
        <v>0.99999995863205404</v>
      </c>
    </row>
    <row r="5466" spans="1:40" x14ac:dyDescent="0.25">
      <c r="A5466" t="str">
        <f>"20190304164236224"</f>
        <v>20190304164236224</v>
      </c>
      <c r="B5466" t="str">
        <f>"1551688956216622"</f>
        <v>1551688956216622</v>
      </c>
      <c r="C5466" t="s">
        <v>40</v>
      </c>
      <c r="D5466">
        <v>4.2057010000000004</v>
      </c>
      <c r="E5466">
        <v>0.54826750000000002</v>
      </c>
      <c r="F5466" t="s">
        <v>41</v>
      </c>
      <c r="G5466">
        <v>-421.95690000000002</v>
      </c>
      <c r="H5466">
        <v>0.81544179999999999</v>
      </c>
      <c r="I5466">
        <v>83.233379999999997</v>
      </c>
      <c r="J5466">
        <v>-422.00330000000002</v>
      </c>
      <c r="K5466">
        <v>1.1101049999999999</v>
      </c>
      <c r="L5466">
        <v>83.836789999999993</v>
      </c>
      <c r="M5466">
        <v>-2.1017170000000002E-2</v>
      </c>
      <c r="N5466">
        <v>-9.8450880000000001E-3</v>
      </c>
      <c r="O5466">
        <v>-0.99973089999999998</v>
      </c>
      <c r="P5466">
        <v>0.1135925</v>
      </c>
      <c r="Q5466">
        <v>0.31928610000000002</v>
      </c>
      <c r="R5466">
        <v>-0.94082600000000005</v>
      </c>
      <c r="S5466">
        <v>0.162323</v>
      </c>
      <c r="T5466">
        <v>-1.1761509999999999</v>
      </c>
      <c r="U5466">
        <v>-3.5715029999999999</v>
      </c>
      <c r="V5466">
        <v>-0.13342270000000001</v>
      </c>
      <c r="W5466">
        <v>0.32847459999999901</v>
      </c>
      <c r="X5466">
        <v>0.93504169999999998</v>
      </c>
      <c r="Y5466">
        <v>-6.414744E-2</v>
      </c>
      <c r="Z5466">
        <v>0.30284749999999999</v>
      </c>
      <c r="AA5466">
        <v>0.95087770000000005</v>
      </c>
      <c r="AB5466">
        <v>30</v>
      </c>
      <c r="AC5466">
        <v>4.6400000000005499E-2</v>
      </c>
      <c r="AD5466">
        <v>-0.29466319999999901</v>
      </c>
      <c r="AE5466">
        <v>-0.60340999999999601</v>
      </c>
      <c r="AF5466">
        <v>-4.77520260370203E-2</v>
      </c>
      <c r="AG5466">
        <v>-0.29466319999999901</v>
      </c>
      <c r="AH5466">
        <v>0.48687962809543101</v>
      </c>
      <c r="AI5466">
        <v>121.0612917606</v>
      </c>
      <c r="AJ5466">
        <v>95.601522385354997</v>
      </c>
      <c r="AK5466">
        <v>0.57110281883319902</v>
      </c>
      <c r="AL5466">
        <v>70.823785548993399</v>
      </c>
      <c r="AM5466">
        <v>98.120813161065797</v>
      </c>
      <c r="AN5466">
        <v>1.00000008022966</v>
      </c>
    </row>
    <row r="5467" spans="1:40" x14ac:dyDescent="0.25">
      <c r="A5467" t="str">
        <f>"20190304164236245"</f>
        <v>20190304164236245</v>
      </c>
      <c r="B5467" t="str">
        <f>"1551688956237118"</f>
        <v>1551688956237118</v>
      </c>
      <c r="C5467" t="s">
        <v>40</v>
      </c>
      <c r="D5467">
        <v>4.552346</v>
      </c>
      <c r="E5467">
        <v>0.5482165</v>
      </c>
      <c r="F5467" t="s">
        <v>41</v>
      </c>
      <c r="G5467">
        <v>-421.96440000000001</v>
      </c>
      <c r="H5467">
        <v>0.82036790000000004</v>
      </c>
      <c r="I5467">
        <v>82.962209999999999</v>
      </c>
      <c r="J5467">
        <v>-422.0093</v>
      </c>
      <c r="K5467">
        <v>1.11006</v>
      </c>
      <c r="L5467">
        <v>83.547419999999903</v>
      </c>
      <c r="M5467">
        <v>-2.1023E-2</v>
      </c>
      <c r="N5467">
        <v>-9.8430919999999995E-3</v>
      </c>
      <c r="O5467">
        <v>-0.99973080000000003</v>
      </c>
      <c r="P5467">
        <v>0.11154119999999999</v>
      </c>
      <c r="Q5467">
        <v>0.31894919999999999</v>
      </c>
      <c r="R5467">
        <v>-0.94118590000000002</v>
      </c>
      <c r="S5467">
        <v>0.1583862</v>
      </c>
      <c r="T5467">
        <v>-1.183055</v>
      </c>
      <c r="U5467">
        <v>-3.5710449999999998</v>
      </c>
      <c r="V5467">
        <v>-0.13134749999999901</v>
      </c>
      <c r="W5467">
        <v>0.32815569999999999</v>
      </c>
      <c r="X5467">
        <v>0.93544729999999998</v>
      </c>
      <c r="Y5467">
        <v>-6.3089619999999999E-2</v>
      </c>
      <c r="Z5467">
        <v>0.30456070000000002</v>
      </c>
      <c r="AA5467">
        <v>0.95040119999999895</v>
      </c>
      <c r="AB5467">
        <v>30</v>
      </c>
      <c r="AC5467">
        <v>4.4899999999984098E-2</v>
      </c>
      <c r="AD5467">
        <v>-0.28969210000000001</v>
      </c>
      <c r="AE5467">
        <v>-0.58520999999998902</v>
      </c>
      <c r="AF5467">
        <v>-4.5989813762474803E-2</v>
      </c>
      <c r="AG5467">
        <v>-0.28969210000000001</v>
      </c>
      <c r="AH5467">
        <v>0.46970929865653099</v>
      </c>
      <c r="AI5467">
        <v>121.54212114868599</v>
      </c>
      <c r="AJ5467">
        <v>95.592075847973604</v>
      </c>
      <c r="AK5467">
        <v>0.553771975651285</v>
      </c>
      <c r="AL5467">
        <v>70.843127644108407</v>
      </c>
      <c r="AM5467">
        <v>97.992729552108003</v>
      </c>
      <c r="AN5467">
        <v>0.99999999013801499</v>
      </c>
    </row>
    <row r="5468" spans="1:40" x14ac:dyDescent="0.25">
      <c r="A5468" t="str">
        <f>"20190304164236268"</f>
        <v>20190304164236268</v>
      </c>
      <c r="B5468" t="str">
        <f>"1551688956256638"</f>
        <v>1551688956256638</v>
      </c>
      <c r="C5468" t="s">
        <v>40</v>
      </c>
      <c r="D5468">
        <v>4.1633779999999998</v>
      </c>
      <c r="E5468">
        <v>0.54820780000000002</v>
      </c>
      <c r="F5468" t="s">
        <v>41</v>
      </c>
      <c r="G5468">
        <v>-421.97269999999997</v>
      </c>
      <c r="H5468">
        <v>0.82534159999999901</v>
      </c>
      <c r="I5468">
        <v>82.690719999999999</v>
      </c>
      <c r="J5468">
        <v>-422.01560000000001</v>
      </c>
      <c r="K5468">
        <v>1.1100300000000001</v>
      </c>
      <c r="L5468">
        <v>83.24503</v>
      </c>
      <c r="M5468">
        <v>-2.1048770000000001E-2</v>
      </c>
      <c r="N5468">
        <v>-9.8404400000000006E-3</v>
      </c>
      <c r="O5468">
        <v>-0.99973009999999995</v>
      </c>
      <c r="P5468">
        <v>0.10949879999999999</v>
      </c>
      <c r="Q5468">
        <v>0.3182953</v>
      </c>
      <c r="R5468">
        <v>-0.94164650000000005</v>
      </c>
      <c r="S5468">
        <v>0.15350339999999901</v>
      </c>
      <c r="T5468">
        <v>-1.186941</v>
      </c>
      <c r="U5468">
        <v>-3.5715029999999999</v>
      </c>
      <c r="V5468">
        <v>-0.1293156</v>
      </c>
      <c r="W5468">
        <v>0.32751360000000002</v>
      </c>
      <c r="X5468">
        <v>0.93595530000000005</v>
      </c>
      <c r="Y5468">
        <v>-6.1802339999999997E-2</v>
      </c>
      <c r="Z5468">
        <v>0.30547990000000003</v>
      </c>
      <c r="AA5468">
        <v>0.9501908</v>
      </c>
      <c r="AB5468">
        <v>30</v>
      </c>
      <c r="AC5468">
        <v>4.2900000000031399E-2</v>
      </c>
      <c r="AD5468">
        <v>-0.28468839999999901</v>
      </c>
      <c r="AE5468">
        <v>-0.55431000000000097</v>
      </c>
      <c r="AF5468">
        <v>-4.3224843074125899E-2</v>
      </c>
      <c r="AG5468">
        <v>-0.28468839999999901</v>
      </c>
      <c r="AH5468">
        <v>0.43834737920664701</v>
      </c>
      <c r="AI5468">
        <v>122.87554437280799</v>
      </c>
      <c r="AJ5468">
        <v>95.631653093410804</v>
      </c>
      <c r="AK5468">
        <v>0.52446572529640001</v>
      </c>
      <c r="AL5468">
        <v>70.882069633022795</v>
      </c>
      <c r="AM5468">
        <v>97.866427961324007</v>
      </c>
      <c r="AN5468">
        <v>1.0000000030931999</v>
      </c>
    </row>
    <row r="5469" spans="1:40" x14ac:dyDescent="0.25">
      <c r="A5469" t="str">
        <f>"20190304164236291"</f>
        <v>20190304164236291</v>
      </c>
      <c r="B5469" t="str">
        <f>"1551688956286895"</f>
        <v>1551688956286895</v>
      </c>
      <c r="C5469" t="s">
        <v>40</v>
      </c>
      <c r="D5469">
        <v>4.2277690000000003</v>
      </c>
      <c r="E5469">
        <v>0.54829059999999996</v>
      </c>
      <c r="F5469" t="s">
        <v>41</v>
      </c>
      <c r="G5469">
        <v>-421.98110000000003</v>
      </c>
      <c r="H5469">
        <v>0.83404089999999997</v>
      </c>
      <c r="I5469">
        <v>82.417289999999994</v>
      </c>
      <c r="J5469">
        <v>-422.0222</v>
      </c>
      <c r="K5469">
        <v>1.110007</v>
      </c>
      <c r="L5469">
        <v>82.935029999999998</v>
      </c>
      <c r="M5469">
        <v>-2.108032E-2</v>
      </c>
      <c r="N5469">
        <v>-9.8331500000000006E-3</v>
      </c>
      <c r="O5469">
        <v>-0.99972939999999999</v>
      </c>
      <c r="P5469">
        <v>0.1078908</v>
      </c>
      <c r="Q5469">
        <v>0.31889060000000002</v>
      </c>
      <c r="R5469">
        <v>-0.94163090000000005</v>
      </c>
      <c r="S5469">
        <v>0.1486816</v>
      </c>
      <c r="T5469">
        <v>-1.190709</v>
      </c>
      <c r="U5469">
        <v>-3.5711059999999999</v>
      </c>
      <c r="V5469">
        <v>-0.12772329999999901</v>
      </c>
      <c r="W5469">
        <v>0.32810790000000001</v>
      </c>
      <c r="X5469">
        <v>0.93596579999999996</v>
      </c>
      <c r="Y5469">
        <v>-6.054673E-2</v>
      </c>
      <c r="Z5469">
        <v>0.30644139999999997</v>
      </c>
      <c r="AA5469">
        <v>0.94996199999999997</v>
      </c>
      <c r="AB5469">
        <v>30</v>
      </c>
      <c r="AC5469">
        <v>4.1099999999971701E-2</v>
      </c>
      <c r="AD5469">
        <v>-0.27596609999999899</v>
      </c>
      <c r="AE5469">
        <v>-0.51773999999998899</v>
      </c>
      <c r="AF5469">
        <v>-4.0555430801585801E-2</v>
      </c>
      <c r="AG5469">
        <v>-0.27596609999999899</v>
      </c>
      <c r="AH5469">
        <v>0.40298344982171502</v>
      </c>
      <c r="AI5469">
        <v>124.269178611531</v>
      </c>
      <c r="AJ5469">
        <v>95.746781145831207</v>
      </c>
      <c r="AK5469">
        <v>0.490099675726197</v>
      </c>
      <c r="AL5469">
        <v>70.846027246353998</v>
      </c>
      <c r="AM5469">
        <v>97.770670936715405</v>
      </c>
      <c r="AN5469">
        <v>1.0000000070874699</v>
      </c>
    </row>
    <row r="5470" spans="1:40" x14ac:dyDescent="0.25">
      <c r="A5470" t="str">
        <f>"20190304164236313"</f>
        <v>20190304164236313</v>
      </c>
      <c r="B5470" t="str">
        <f>"1551688956306414"</f>
        <v>1551688956306414</v>
      </c>
      <c r="C5470" t="s">
        <v>40</v>
      </c>
      <c r="D5470">
        <v>4.2248769999999896</v>
      </c>
      <c r="E5470">
        <v>0.54839369999999998</v>
      </c>
      <c r="F5470" t="s">
        <v>41</v>
      </c>
      <c r="G5470">
        <v>-421.9907</v>
      </c>
      <c r="H5470">
        <v>0.84617699999999996</v>
      </c>
      <c r="I5470">
        <v>82.142110000000002</v>
      </c>
      <c r="J5470">
        <v>-422.02839999999998</v>
      </c>
      <c r="K5470">
        <v>1.109999</v>
      </c>
      <c r="L5470">
        <v>82.637999999999906</v>
      </c>
      <c r="M5470">
        <v>-2.1106159999999999E-2</v>
      </c>
      <c r="N5470">
        <v>-9.824302E-3</v>
      </c>
      <c r="O5470">
        <v>-0.99972890000000003</v>
      </c>
      <c r="P5470">
        <v>0.1069652</v>
      </c>
      <c r="Q5470">
        <v>0.3186388</v>
      </c>
      <c r="R5470">
        <v>-0.94182149999999998</v>
      </c>
      <c r="S5470">
        <v>0.14273069999999999</v>
      </c>
      <c r="T5470">
        <v>-1.188566</v>
      </c>
      <c r="U5470">
        <v>-3.5721440000000002</v>
      </c>
      <c r="V5470">
        <v>-0.1268184</v>
      </c>
      <c r="W5470">
        <v>0.32785249999999999</v>
      </c>
      <c r="X5470">
        <v>0.93617830000000002</v>
      </c>
      <c r="Y5470">
        <v>-5.8991309999999998E-2</v>
      </c>
      <c r="Z5470">
        <v>0.30587809999999999</v>
      </c>
      <c r="AA5470">
        <v>0.95024129999999996</v>
      </c>
      <c r="AB5470">
        <v>30</v>
      </c>
      <c r="AC5470">
        <v>3.7699999999972499E-2</v>
      </c>
      <c r="AD5470">
        <v>-0.263821999999999</v>
      </c>
      <c r="AE5470">
        <v>-0.49588999999998801</v>
      </c>
      <c r="AF5470">
        <v>-3.7582213583097802E-2</v>
      </c>
      <c r="AG5470">
        <v>-0.263821999999999</v>
      </c>
      <c r="AH5470">
        <v>0.38627883372347499</v>
      </c>
      <c r="AI5470">
        <v>124.20682927263501</v>
      </c>
      <c r="AJ5470">
        <v>95.5569863932987</v>
      </c>
      <c r="AK5470">
        <v>0.46928222621848098</v>
      </c>
      <c r="AL5470">
        <v>70.861517072003906</v>
      </c>
      <c r="AM5470">
        <v>97.714552120358107</v>
      </c>
      <c r="AN5470">
        <v>0.99999998886284902</v>
      </c>
    </row>
    <row r="5471" spans="1:40" x14ac:dyDescent="0.25">
      <c r="A5471" t="str">
        <f>"20190304164236335"</f>
        <v>20190304164236335</v>
      </c>
      <c r="B5471" t="str">
        <f>"1551688956326910"</f>
        <v>1551688956326910</v>
      </c>
      <c r="C5471" t="s">
        <v>40</v>
      </c>
      <c r="D5471">
        <v>4.2299899999999999</v>
      </c>
      <c r="E5471">
        <v>0.54836669999999998</v>
      </c>
      <c r="F5471" t="s">
        <v>41</v>
      </c>
      <c r="G5471">
        <v>-421.99869999999999</v>
      </c>
      <c r="H5471">
        <v>0.85391079999999997</v>
      </c>
      <c r="I5471">
        <v>81.868390000000005</v>
      </c>
      <c r="J5471">
        <v>-422.03489999999999</v>
      </c>
      <c r="K5471">
        <v>1.109993</v>
      </c>
      <c r="L5471">
        <v>82.332549999999998</v>
      </c>
      <c r="M5471">
        <v>-2.1124179999999999E-2</v>
      </c>
      <c r="N5471">
        <v>-9.8156170000000004E-3</v>
      </c>
      <c r="O5471">
        <v>-0.99972870000000003</v>
      </c>
      <c r="P5471">
        <v>0.10699880000000001</v>
      </c>
      <c r="Q5471">
        <v>0.31921690000000003</v>
      </c>
      <c r="R5471">
        <v>-0.94162210000000002</v>
      </c>
      <c r="S5471">
        <v>0.13797000000000001</v>
      </c>
      <c r="T5471">
        <v>-1.1884589999999999</v>
      </c>
      <c r="U5471">
        <v>-3.5717159999999999</v>
      </c>
      <c r="V5471">
        <v>-0.12685969999999999</v>
      </c>
      <c r="W5471">
        <v>0.32842270000000001</v>
      </c>
      <c r="X5471">
        <v>0.93597280000000005</v>
      </c>
      <c r="Y5471">
        <v>-5.775098E-2</v>
      </c>
      <c r="Z5471">
        <v>0.30591380000000001</v>
      </c>
      <c r="AA5471">
        <v>0.95030610000000004</v>
      </c>
      <c r="AB5471">
        <v>30</v>
      </c>
      <c r="AC5471">
        <v>3.6200000000007997E-2</v>
      </c>
      <c r="AD5471">
        <v>-0.25608219999999998</v>
      </c>
      <c r="AE5471">
        <v>-0.46415999999999202</v>
      </c>
      <c r="AF5471">
        <v>-3.5313481101778801E-2</v>
      </c>
      <c r="AG5471">
        <v>-0.25608219999999998</v>
      </c>
      <c r="AH5471">
        <v>0.35568194367610401</v>
      </c>
      <c r="AI5471">
        <v>125.61981003457799</v>
      </c>
      <c r="AJ5471">
        <v>95.669965485333407</v>
      </c>
      <c r="AK5471">
        <v>0.43969851052917702</v>
      </c>
      <c r="AL5471">
        <v>70.826931623481997</v>
      </c>
      <c r="AM5471">
        <v>97.718708102454897</v>
      </c>
      <c r="AN5471">
        <v>0.99999996784960898</v>
      </c>
    </row>
    <row r="5472" spans="1:40" x14ac:dyDescent="0.25">
      <c r="A5472" t="str">
        <f>"20190304164236358"</f>
        <v>20190304164236358</v>
      </c>
      <c r="B5472" t="str">
        <f>"1551688956346431"</f>
        <v>1551688956346431</v>
      </c>
      <c r="C5472" t="s">
        <v>40</v>
      </c>
      <c r="D5472">
        <v>4.2165929999999996</v>
      </c>
      <c r="E5472">
        <v>0.5484637</v>
      </c>
      <c r="F5472" t="s">
        <v>41</v>
      </c>
      <c r="G5472">
        <v>-422.00700000000001</v>
      </c>
      <c r="H5472">
        <v>0.86430720000000005</v>
      </c>
      <c r="I5472">
        <v>81.593180000000004</v>
      </c>
      <c r="J5472">
        <v>-422.0412</v>
      </c>
      <c r="K5472">
        <v>1.109993</v>
      </c>
      <c r="L5472">
        <v>82.033690000000007</v>
      </c>
      <c r="M5472">
        <v>-2.1134070000000001E-2</v>
      </c>
      <c r="N5472">
        <v>-9.8080349999999997E-3</v>
      </c>
      <c r="O5472">
        <v>-0.99972890000000003</v>
      </c>
      <c r="P5472">
        <v>0.1079118</v>
      </c>
      <c r="Q5472">
        <v>0.32004090000000002</v>
      </c>
      <c r="R5472">
        <v>-0.94123860000000004</v>
      </c>
      <c r="S5472">
        <v>0.13589479999999901</v>
      </c>
      <c r="T5472">
        <v>-1.1872579999999999</v>
      </c>
      <c r="U5472">
        <v>-3.573029</v>
      </c>
      <c r="V5472">
        <v>-0.1277701</v>
      </c>
      <c r="W5472">
        <v>0.32923639999999998</v>
      </c>
      <c r="X5472">
        <v>0.93556300000000003</v>
      </c>
      <c r="Y5472">
        <v>-5.7202040000000003E-2</v>
      </c>
      <c r="Z5472">
        <v>0.3055368</v>
      </c>
      <c r="AA5472">
        <v>0.95046050000000004</v>
      </c>
      <c r="AB5472">
        <v>30</v>
      </c>
      <c r="AC5472">
        <v>3.4200000000055297E-2</v>
      </c>
      <c r="AD5472">
        <v>-0.24568579999999901</v>
      </c>
      <c r="AE5472">
        <v>-0.44051000000000301</v>
      </c>
      <c r="AF5472">
        <v>-3.3228378434424499E-2</v>
      </c>
      <c r="AG5472">
        <v>-0.24568579999999901</v>
      </c>
      <c r="AH5472">
        <v>0.33584553320081401</v>
      </c>
      <c r="AI5472">
        <v>126.054227624839</v>
      </c>
      <c r="AJ5472">
        <v>95.650424466251906</v>
      </c>
      <c r="AK5472">
        <v>0.41744204343352898</v>
      </c>
      <c r="AL5472">
        <v>70.777564683238197</v>
      </c>
      <c r="AM5472">
        <v>97.776789310234705</v>
      </c>
      <c r="AN5472">
        <v>0.99999996625398402</v>
      </c>
    </row>
    <row r="5473" spans="1:40" x14ac:dyDescent="0.25">
      <c r="A5473" t="str">
        <f>"20190304164236380"</f>
        <v>20190304164236380</v>
      </c>
      <c r="B5473" t="str">
        <f>"1551688956376686"</f>
        <v>1551688956376686</v>
      </c>
      <c r="C5473" t="s">
        <v>40</v>
      </c>
      <c r="D5473">
        <v>4.2529589999999997</v>
      </c>
      <c r="E5473">
        <v>0.54861119999999997</v>
      </c>
      <c r="F5473" t="s">
        <v>41</v>
      </c>
      <c r="G5473">
        <v>-422.01389999999998</v>
      </c>
      <c r="H5473">
        <v>0.87319059999999904</v>
      </c>
      <c r="I5473">
        <v>81.318179999999998</v>
      </c>
      <c r="J5473">
        <v>-422.0478</v>
      </c>
      <c r="K5473">
        <v>1.1099920000000001</v>
      </c>
      <c r="L5473">
        <v>81.721100000000007</v>
      </c>
      <c r="M5473">
        <v>-2.113787E-2</v>
      </c>
      <c r="N5473">
        <v>-9.8010249999999997E-3</v>
      </c>
      <c r="O5473">
        <v>-0.99972870000000003</v>
      </c>
      <c r="P5473">
        <v>0.1091386</v>
      </c>
      <c r="Q5473">
        <v>0.3210307</v>
      </c>
      <c r="R5473">
        <v>-0.94075940000000002</v>
      </c>
      <c r="S5473">
        <v>0.1364746</v>
      </c>
      <c r="T5473">
        <v>-1.1827639999999999</v>
      </c>
      <c r="U5473">
        <v>-3.5737920000000001</v>
      </c>
      <c r="V5473">
        <v>-0.12898799999999999</v>
      </c>
      <c r="W5473">
        <v>0.33021600000000001</v>
      </c>
      <c r="X5473">
        <v>0.93505050000000001</v>
      </c>
      <c r="Y5473">
        <v>-5.7366140000000003E-2</v>
      </c>
      <c r="Z5473">
        <v>0.30440309999999998</v>
      </c>
      <c r="AA5473">
        <v>0.9508143</v>
      </c>
      <c r="AB5473">
        <v>30</v>
      </c>
      <c r="AC5473">
        <v>3.3900000000016903E-2</v>
      </c>
      <c r="AD5473">
        <v>-0.2368014</v>
      </c>
      <c r="AE5473">
        <v>-0.40292000000000799</v>
      </c>
      <c r="AF5473">
        <v>-3.1578830459418603E-2</v>
      </c>
      <c r="AG5473">
        <v>-0.2368014</v>
      </c>
      <c r="AH5473">
        <v>0.29941896840826898</v>
      </c>
      <c r="AI5473">
        <v>128.18531788703899</v>
      </c>
      <c r="AJ5473">
        <v>96.020558927180105</v>
      </c>
      <c r="AK5473">
        <v>0.38304548583401499</v>
      </c>
      <c r="AL5473">
        <v>70.718113150301207</v>
      </c>
      <c r="AM5473">
        <v>97.854246376390194</v>
      </c>
      <c r="AN5473">
        <v>0.99999997417512398</v>
      </c>
    </row>
    <row r="5474" spans="1:40" x14ac:dyDescent="0.25">
      <c r="A5474" t="str">
        <f>"20190304164236404"</f>
        <v>20190304164236404</v>
      </c>
      <c r="B5474" t="str">
        <f>"1551688956397182"</f>
        <v>1551688956397182</v>
      </c>
      <c r="C5474" t="s">
        <v>40</v>
      </c>
      <c r="D5474">
        <v>4.0760399999999999</v>
      </c>
      <c r="E5474">
        <v>0.55190119999999998</v>
      </c>
      <c r="F5474" t="s">
        <v>41</v>
      </c>
      <c r="G5474">
        <v>-422.02140000000003</v>
      </c>
      <c r="H5474">
        <v>0.88618220000000003</v>
      </c>
      <c r="I5474">
        <v>81.041110000000003</v>
      </c>
      <c r="J5474">
        <v>-422.05430000000001</v>
      </c>
      <c r="K5474">
        <v>1.1099840000000001</v>
      </c>
      <c r="L5474">
        <v>81.413019999999904</v>
      </c>
      <c r="M5474">
        <v>-2.1137900000000001E-2</v>
      </c>
      <c r="N5474">
        <v>-9.7950659999999998E-3</v>
      </c>
      <c r="O5474">
        <v>-0.99972890000000003</v>
      </c>
      <c r="P5474">
        <v>0.1109415</v>
      </c>
      <c r="Q5474">
        <v>0.321436</v>
      </c>
      <c r="R5474">
        <v>-0.94041019999999997</v>
      </c>
      <c r="S5474">
        <v>0.1387939</v>
      </c>
      <c r="T5474">
        <v>-1.1764159999999999</v>
      </c>
      <c r="U5474">
        <v>-3.574249</v>
      </c>
      <c r="V5474">
        <v>-0.13078229999999999</v>
      </c>
      <c r="W5474">
        <v>0.33061210000000002</v>
      </c>
      <c r="X5474">
        <v>0.93466130000000003</v>
      </c>
      <c r="Y5474">
        <v>-5.799642E-2</v>
      </c>
      <c r="Z5474">
        <v>0.30283969999999999</v>
      </c>
      <c r="AA5474">
        <v>0.95127519999999999</v>
      </c>
      <c r="AB5474">
        <v>30</v>
      </c>
      <c r="AC5474">
        <v>3.2899999999983699E-2</v>
      </c>
      <c r="AD5474">
        <v>-0.2238018</v>
      </c>
      <c r="AE5474">
        <v>-0.37190999999998497</v>
      </c>
      <c r="AF5474">
        <v>-2.9981755352063998E-2</v>
      </c>
      <c r="AG5474">
        <v>-0.2238018</v>
      </c>
      <c r="AH5474">
        <v>0.27302981496908402</v>
      </c>
      <c r="AI5474">
        <v>129.17312636147</v>
      </c>
      <c r="AJ5474">
        <v>96.266615074830796</v>
      </c>
      <c r="AK5474">
        <v>0.35430415069440502</v>
      </c>
      <c r="AL5474">
        <v>70.694069497012293</v>
      </c>
      <c r="AM5474">
        <v>97.965384806427707</v>
      </c>
      <c r="AN5474">
        <v>1.0000000581886901</v>
      </c>
    </row>
    <row r="5475" spans="1:40" x14ac:dyDescent="0.25">
      <c r="A5475" t="str">
        <f>"20190304164236424"</f>
        <v>20190304164236424</v>
      </c>
      <c r="B5475" t="str">
        <f>"1551688956416702"</f>
        <v>1551688956416702</v>
      </c>
      <c r="C5475" t="s">
        <v>40</v>
      </c>
      <c r="D5475">
        <v>4.1192000000000002</v>
      </c>
      <c r="E5475">
        <v>0.55162949999999999</v>
      </c>
      <c r="F5475" t="s">
        <v>41</v>
      </c>
      <c r="G5475">
        <v>-422.0274</v>
      </c>
      <c r="H5475">
        <v>0.84333419999999903</v>
      </c>
      <c r="I5475">
        <v>80.514930000000007</v>
      </c>
      <c r="J5475">
        <v>-422.06049999999999</v>
      </c>
      <c r="K5475">
        <v>1.1099859999999999</v>
      </c>
      <c r="L5475">
        <v>81.120059999999995</v>
      </c>
      <c r="M5475">
        <v>-2.1136640000000002E-2</v>
      </c>
      <c r="N5475">
        <v>-9.7904719999999997E-3</v>
      </c>
      <c r="O5475">
        <v>-0.99972870000000003</v>
      </c>
      <c r="P5475">
        <v>0.1128128</v>
      </c>
      <c r="Q5475">
        <v>0.32239630000000002</v>
      </c>
      <c r="R5475">
        <v>-0.93985850000000004</v>
      </c>
      <c r="S5475">
        <v>0.1068115</v>
      </c>
      <c r="T5475">
        <v>-1.0499579999999999</v>
      </c>
      <c r="U5475">
        <v>-3.5363769999999999</v>
      </c>
      <c r="V5475">
        <v>-0.13264000000000001</v>
      </c>
      <c r="W5475">
        <v>0.33156279999999999</v>
      </c>
      <c r="X5475">
        <v>0.93406250000000002</v>
      </c>
      <c r="Y5475">
        <v>-5.0071930000000001E-2</v>
      </c>
      <c r="Z5475">
        <v>0.27488629999999997</v>
      </c>
      <c r="AA5475">
        <v>0.96017209999999997</v>
      </c>
      <c r="AB5475">
        <v>30</v>
      </c>
      <c r="AC5475">
        <v>3.3099999999990297E-2</v>
      </c>
      <c r="AD5475">
        <v>-0.26665179999999999</v>
      </c>
      <c r="AE5475">
        <v>-0.60512999999998796</v>
      </c>
      <c r="AF5475">
        <v>-3.8441540741775998E-2</v>
      </c>
      <c r="AG5475">
        <v>-0.26665179999999999</v>
      </c>
      <c r="AH5475">
        <v>0.50628154915803003</v>
      </c>
      <c r="AI5475">
        <v>117.707336007774</v>
      </c>
      <c r="AJ5475">
        <v>94.342089708295205</v>
      </c>
      <c r="AK5475">
        <v>0.57349973105110996</v>
      </c>
      <c r="AL5475">
        <v>70.636341575311206</v>
      </c>
      <c r="AM5475">
        <v>98.082156034469094</v>
      </c>
      <c r="AN5475">
        <v>1.0000000069250401</v>
      </c>
    </row>
    <row r="5476" spans="1:40" x14ac:dyDescent="0.25">
      <c r="A5476" t="str">
        <f>"20190304164236446"</f>
        <v>20190304164236446</v>
      </c>
      <c r="B5476" t="str">
        <f>"1551688956437199"</f>
        <v>1551688956437199</v>
      </c>
      <c r="C5476" t="s">
        <v>40</v>
      </c>
      <c r="D5476">
        <v>4.1217189999999997</v>
      </c>
      <c r="E5476">
        <v>0.55150949999999999</v>
      </c>
      <c r="F5476" t="s">
        <v>41</v>
      </c>
      <c r="G5476">
        <v>-422.03160000000003</v>
      </c>
      <c r="H5476">
        <v>0.84873569999999998</v>
      </c>
      <c r="I5476">
        <v>80.239850000000004</v>
      </c>
      <c r="J5476">
        <v>-422.0668</v>
      </c>
      <c r="K5476">
        <v>1.10999</v>
      </c>
      <c r="L5476">
        <v>80.820369999999997</v>
      </c>
      <c r="M5476">
        <v>-2.1135170000000002E-2</v>
      </c>
      <c r="N5476">
        <v>-9.7866370000000008E-3</v>
      </c>
      <c r="O5476">
        <v>-0.99972890000000003</v>
      </c>
      <c r="P5476">
        <v>0.11477469999999999</v>
      </c>
      <c r="Q5476">
        <v>0.32248719999999997</v>
      </c>
      <c r="R5476">
        <v>-0.93959009999999998</v>
      </c>
      <c r="S5476">
        <v>0.1161804</v>
      </c>
      <c r="T5476">
        <v>-1.0501780000000001</v>
      </c>
      <c r="U5476">
        <v>-3.5382690000000001</v>
      </c>
      <c r="V5476">
        <v>-0.13459479999999999</v>
      </c>
      <c r="W5476">
        <v>0.33164690000000002</v>
      </c>
      <c r="X5476">
        <v>0.93375300000000006</v>
      </c>
      <c r="Y5476">
        <v>-5.2591859999999997E-2</v>
      </c>
      <c r="Z5476">
        <v>0.27477499999999999</v>
      </c>
      <c r="AA5476">
        <v>0.96006919999999996</v>
      </c>
      <c r="AB5476">
        <v>30</v>
      </c>
      <c r="AC5476">
        <v>3.51999999999748E-2</v>
      </c>
      <c r="AD5476">
        <v>-0.26125429999999999</v>
      </c>
      <c r="AE5476">
        <v>-0.58051999999999204</v>
      </c>
      <c r="AF5476">
        <v>-3.9492863191976597E-2</v>
      </c>
      <c r="AG5476">
        <v>-0.26125429999999999</v>
      </c>
      <c r="AH5476">
        <v>0.48231931645759002</v>
      </c>
      <c r="AI5476">
        <v>118.362649712002</v>
      </c>
      <c r="AJ5476">
        <v>94.681002002138101</v>
      </c>
      <c r="AK5476">
        <v>0.54995037825217197</v>
      </c>
      <c r="AL5476">
        <v>70.631234787445706</v>
      </c>
      <c r="AM5476">
        <v>98.202340597628506</v>
      </c>
      <c r="AN5476">
        <v>1.00000004573782</v>
      </c>
    </row>
    <row r="5477" spans="1:40" x14ac:dyDescent="0.25">
      <c r="A5477" t="str">
        <f>"20190304164236469"</f>
        <v>20190304164236469</v>
      </c>
      <c r="B5477" t="str">
        <f>"1551688956466478"</f>
        <v>1551688956466478</v>
      </c>
      <c r="C5477" t="s">
        <v>40</v>
      </c>
      <c r="D5477">
        <v>4.3018090000000004</v>
      </c>
      <c r="E5477">
        <v>0.55131019999999997</v>
      </c>
      <c r="F5477" t="s">
        <v>41</v>
      </c>
      <c r="G5477">
        <v>-422.03699999999998</v>
      </c>
      <c r="H5477">
        <v>0.85519669999999903</v>
      </c>
      <c r="I5477">
        <v>79.964069999999893</v>
      </c>
      <c r="J5477">
        <v>-422.07319999999999</v>
      </c>
      <c r="K5477">
        <v>1.1099920000000001</v>
      </c>
      <c r="L5477">
        <v>80.513669999999905</v>
      </c>
      <c r="M5477">
        <v>-2.1133869999999999E-2</v>
      </c>
      <c r="N5477">
        <v>-9.7835379999999996E-3</v>
      </c>
      <c r="O5477">
        <v>-0.99972890000000003</v>
      </c>
      <c r="P5477">
        <v>0.11687069999999999</v>
      </c>
      <c r="Q5477">
        <v>0.3226909</v>
      </c>
      <c r="R5477">
        <v>-0.93926160000000003</v>
      </c>
      <c r="S5477">
        <v>0.1234741</v>
      </c>
      <c r="T5477">
        <v>-1.053107</v>
      </c>
      <c r="U5477">
        <v>-3.5392760000000001</v>
      </c>
      <c r="V5477">
        <v>-0.13668279999999999</v>
      </c>
      <c r="W5477">
        <v>0.33184399999999997</v>
      </c>
      <c r="X5477">
        <v>0.93337950000000003</v>
      </c>
      <c r="Y5477">
        <v>-5.4548180000000002E-2</v>
      </c>
      <c r="Z5477">
        <v>0.27540920000000002</v>
      </c>
      <c r="AA5477">
        <v>0.95977820000000003</v>
      </c>
      <c r="AB5477">
        <v>30</v>
      </c>
      <c r="AC5477">
        <v>3.6200000000007997E-2</v>
      </c>
      <c r="AD5477">
        <v>-0.2547953</v>
      </c>
      <c r="AE5477">
        <v>-0.54959999999999798</v>
      </c>
      <c r="AF5477">
        <v>-3.93803375585643E-2</v>
      </c>
      <c r="AG5477">
        <v>-0.2547953</v>
      </c>
      <c r="AH5477">
        <v>0.451987762507712</v>
      </c>
      <c r="AI5477">
        <v>119.318311518801</v>
      </c>
      <c r="AJ5477">
        <v>94.979434938419502</v>
      </c>
      <c r="AK5477">
        <v>0.52035026025269204</v>
      </c>
      <c r="AL5477">
        <v>70.619262127332803</v>
      </c>
      <c r="AM5477">
        <v>98.331099846183903</v>
      </c>
      <c r="AN5477">
        <v>0.99999995958604404</v>
      </c>
    </row>
    <row r="5478" spans="1:40" x14ac:dyDescent="0.25">
      <c r="A5478" t="str">
        <f>"20190304164236492"</f>
        <v>20190304164236492</v>
      </c>
      <c r="B5478" t="str">
        <f>"1551688956486974"</f>
        <v>1551688956486974</v>
      </c>
      <c r="C5478" t="s">
        <v>40</v>
      </c>
      <c r="D5478">
        <v>4.1467409999999996</v>
      </c>
      <c r="E5478">
        <v>0.55137829999999999</v>
      </c>
      <c r="F5478" t="s">
        <v>41</v>
      </c>
      <c r="G5478">
        <v>-422.04250000000002</v>
      </c>
      <c r="H5478">
        <v>0.86371580000000003</v>
      </c>
      <c r="I5478">
        <v>79.687060000000002</v>
      </c>
      <c r="J5478">
        <v>-422.08</v>
      </c>
      <c r="K5478">
        <v>1.1099920000000001</v>
      </c>
      <c r="L5478">
        <v>80.194519999999997</v>
      </c>
      <c r="M5478">
        <v>-2.1132769999999999E-2</v>
      </c>
      <c r="N5478">
        <v>-9.7815239999999998E-3</v>
      </c>
      <c r="O5478">
        <v>-0.99972890000000003</v>
      </c>
      <c r="P5478">
        <v>0.1185857</v>
      </c>
      <c r="Q5478">
        <v>0.32238660000000002</v>
      </c>
      <c r="R5478">
        <v>-0.93915130000000002</v>
      </c>
      <c r="S5478">
        <v>0.1305847</v>
      </c>
      <c r="T5478">
        <v>-1.0547070000000001</v>
      </c>
      <c r="U5478">
        <v>-3.5400999999999998</v>
      </c>
      <c r="V5478">
        <v>-0.13839409999999999</v>
      </c>
      <c r="W5478">
        <v>0.33153680000000002</v>
      </c>
      <c r="X5478">
        <v>0.93323650000000002</v>
      </c>
      <c r="Y5478">
        <v>-5.6458130000000002E-2</v>
      </c>
      <c r="Z5478">
        <v>0.27572360000000001</v>
      </c>
      <c r="AA5478">
        <v>0.95957749999999997</v>
      </c>
      <c r="AB5478">
        <v>31</v>
      </c>
      <c r="AC5478">
        <v>3.7499999999965797E-2</v>
      </c>
      <c r="AD5478">
        <v>-0.246276199999999</v>
      </c>
      <c r="AE5478">
        <v>-0.50745999999999403</v>
      </c>
      <c r="AF5478">
        <v>-3.9065218649941502E-2</v>
      </c>
      <c r="AG5478">
        <v>-0.246276199999999</v>
      </c>
      <c r="AH5478">
        <v>0.41041516729458799</v>
      </c>
      <c r="AI5478">
        <v>120.852660353955</v>
      </c>
      <c r="AJ5478">
        <v>95.437296606790198</v>
      </c>
      <c r="AK5478">
        <v>0.48022772466825803</v>
      </c>
      <c r="AL5478">
        <v>70.6379198501904</v>
      </c>
      <c r="AM5478">
        <v>98.435189713039094</v>
      </c>
      <c r="AN5478">
        <v>0.99999997080064895</v>
      </c>
    </row>
    <row r="5479" spans="1:40" x14ac:dyDescent="0.25">
      <c r="A5479" t="str">
        <f>"20190304164236514"</f>
        <v>20190304164236514</v>
      </c>
      <c r="B5479" t="str">
        <f>"1551688956506494"</f>
        <v>1551688956506494</v>
      </c>
      <c r="C5479" t="s">
        <v>40</v>
      </c>
      <c r="D5479">
        <v>4.2203200000000001</v>
      </c>
      <c r="E5479">
        <v>0.55118489999999998</v>
      </c>
      <c r="F5479" t="s">
        <v>41</v>
      </c>
      <c r="G5479">
        <v>-422.05029999999999</v>
      </c>
      <c r="H5479">
        <v>0.87526979999999999</v>
      </c>
      <c r="I5479">
        <v>79.408559999999994</v>
      </c>
      <c r="J5479">
        <v>-422.08620000000002</v>
      </c>
      <c r="K5479">
        <v>1.1099889999999999</v>
      </c>
      <c r="L5479">
        <v>79.901179999999997</v>
      </c>
      <c r="M5479">
        <v>-2.113195E-2</v>
      </c>
      <c r="N5479">
        <v>-9.7805589999999994E-3</v>
      </c>
      <c r="O5479">
        <v>-0.99972919999999998</v>
      </c>
      <c r="P5479">
        <v>0.11961479999999999</v>
      </c>
      <c r="Q5479">
        <v>0.32274760000000002</v>
      </c>
      <c r="R5479">
        <v>-0.93889670000000003</v>
      </c>
      <c r="S5479">
        <v>0.1346436</v>
      </c>
      <c r="T5479">
        <v>-1.057293</v>
      </c>
      <c r="U5479">
        <v>-3.540314</v>
      </c>
      <c r="V5479">
        <v>-0.13941719999999999</v>
      </c>
      <c r="W5479">
        <v>0.33189390000000002</v>
      </c>
      <c r="X5479">
        <v>0.93295729999999999</v>
      </c>
      <c r="Y5479">
        <v>-5.7545100000000002E-2</v>
      </c>
      <c r="Z5479">
        <v>0.27633790000000003</v>
      </c>
      <c r="AA5479">
        <v>0.95933619999999997</v>
      </c>
      <c r="AB5479">
        <v>31</v>
      </c>
      <c r="AC5479">
        <v>3.5900000000026397E-2</v>
      </c>
      <c r="AD5479">
        <v>-0.23471919999999899</v>
      </c>
      <c r="AE5479">
        <v>-0.49262000000001599</v>
      </c>
      <c r="AF5479">
        <v>-3.7772506864803698E-2</v>
      </c>
      <c r="AG5479">
        <v>-0.23471919999999899</v>
      </c>
      <c r="AH5479">
        <v>0.40115934467636699</v>
      </c>
      <c r="AI5479">
        <v>120.221894388395</v>
      </c>
      <c r="AJ5479">
        <v>95.379017740579599</v>
      </c>
      <c r="AK5479">
        <v>0.466313933895035</v>
      </c>
      <c r="AL5479">
        <v>70.616232516259799</v>
      </c>
      <c r="AM5479">
        <v>98.499146822703096</v>
      </c>
      <c r="AN5479">
        <v>1.00000002006816</v>
      </c>
    </row>
    <row r="5480" spans="1:40" x14ac:dyDescent="0.25">
      <c r="A5480" t="str">
        <f>"20190304164236535"</f>
        <v>20190304164236535</v>
      </c>
      <c r="B5480" t="str">
        <f>"1551688956526990"</f>
        <v>1551688956526990</v>
      </c>
      <c r="C5480" t="s">
        <v>40</v>
      </c>
      <c r="D5480">
        <v>4.2230730000000003</v>
      </c>
      <c r="E5480">
        <v>0.55083599999999999</v>
      </c>
      <c r="F5480" t="s">
        <v>41</v>
      </c>
      <c r="G5480">
        <v>-422.05549999999999</v>
      </c>
      <c r="H5480">
        <v>0.87984699999999905</v>
      </c>
      <c r="I5480">
        <v>79.132530000000003</v>
      </c>
      <c r="J5480">
        <v>-422.0926</v>
      </c>
      <c r="K5480">
        <v>1.109979</v>
      </c>
      <c r="L5480">
        <v>79.597440000000006</v>
      </c>
      <c r="M5480">
        <v>-2.1131210000000001E-2</v>
      </c>
      <c r="N5480">
        <v>-9.7802589999999995E-3</v>
      </c>
      <c r="O5480">
        <v>-0.99972919999999998</v>
      </c>
      <c r="P5480">
        <v>0.12082900000000001</v>
      </c>
      <c r="Q5480">
        <v>0.32255650000000002</v>
      </c>
      <c r="R5480">
        <v>-0.9388069</v>
      </c>
      <c r="S5480">
        <v>0.14105219999999999</v>
      </c>
      <c r="T5480">
        <v>-1.060478</v>
      </c>
      <c r="U5480">
        <v>-3.5418090000000002</v>
      </c>
      <c r="V5480">
        <v>-0.140628799999999</v>
      </c>
      <c r="W5480">
        <v>0.33170129999999998</v>
      </c>
      <c r="X5480">
        <v>0.93284389999999995</v>
      </c>
      <c r="Y5480">
        <v>-5.92516999999999E-2</v>
      </c>
      <c r="Z5480">
        <v>0.2769953</v>
      </c>
      <c r="AA5480">
        <v>0.95904270000000003</v>
      </c>
      <c r="AB5480">
        <v>31</v>
      </c>
      <c r="AC5480">
        <v>3.7100000000009403E-2</v>
      </c>
      <c r="AD5480">
        <v>-0.230132</v>
      </c>
      <c r="AE5480">
        <v>-0.46491000000000299</v>
      </c>
      <c r="AF5480">
        <v>-3.77298994528577E-2</v>
      </c>
      <c r="AG5480">
        <v>-0.230132</v>
      </c>
      <c r="AH5480">
        <v>0.37316482238588999</v>
      </c>
      <c r="AI5480">
        <v>121.532242166424</v>
      </c>
      <c r="AJ5480">
        <v>95.773433880144296</v>
      </c>
      <c r="AK5480">
        <v>0.44004121102803001</v>
      </c>
      <c r="AL5480">
        <v>70.627929487069807</v>
      </c>
      <c r="AM5480">
        <v>98.572942291519297</v>
      </c>
      <c r="AN5480">
        <v>0.99999997678916897</v>
      </c>
    </row>
    <row r="5481" spans="1:40" x14ac:dyDescent="0.25">
      <c r="A5481" t="str">
        <f>"20190304164236559"</f>
        <v>20190304164236559</v>
      </c>
      <c r="B5481" t="str">
        <f>"1551688956546510"</f>
        <v>1551688956546510</v>
      </c>
      <c r="C5481" t="s">
        <v>40</v>
      </c>
      <c r="D5481">
        <v>4.2532079999999999</v>
      </c>
      <c r="E5481">
        <v>0.55072829999999995</v>
      </c>
      <c r="F5481" t="s">
        <v>41</v>
      </c>
      <c r="G5481">
        <v>-422.06189999999998</v>
      </c>
      <c r="H5481">
        <v>0.88622129999999999</v>
      </c>
      <c r="I5481">
        <v>78.85548</v>
      </c>
      <c r="J5481">
        <v>-422.0992</v>
      </c>
      <c r="K5481">
        <v>1.10998</v>
      </c>
      <c r="L5481">
        <v>79.284090000000006</v>
      </c>
      <c r="M5481">
        <v>-2.113056E-2</v>
      </c>
      <c r="N5481">
        <v>-9.7805940000000001E-3</v>
      </c>
      <c r="O5481">
        <v>-0.99972890000000003</v>
      </c>
      <c r="P5481">
        <v>0.1221159</v>
      </c>
      <c r="Q5481">
        <v>0.32229140000000001</v>
      </c>
      <c r="R5481">
        <v>-0.93873119999999999</v>
      </c>
      <c r="S5481">
        <v>0.14718629999999999</v>
      </c>
      <c r="T5481">
        <v>-1.0687120000000001</v>
      </c>
      <c r="U5481">
        <v>-3.543793</v>
      </c>
      <c r="V5481">
        <v>-0.14191309999999999</v>
      </c>
      <c r="W5481">
        <v>0.33143549999999999</v>
      </c>
      <c r="X5481">
        <v>0.93274389999999996</v>
      </c>
      <c r="Y5481">
        <v>-6.0861220000000001E-2</v>
      </c>
      <c r="Z5481">
        <v>0.2788678</v>
      </c>
      <c r="AA5481">
        <v>0.958399</v>
      </c>
      <c r="AB5481">
        <v>31</v>
      </c>
      <c r="AC5481">
        <v>3.7300000000016098E-2</v>
      </c>
      <c r="AD5481">
        <v>-0.2237587</v>
      </c>
      <c r="AE5481">
        <v>-0.42861000000000599</v>
      </c>
      <c r="AF5481">
        <v>-3.6480969309602901E-2</v>
      </c>
      <c r="AG5481">
        <v>-0.2237587</v>
      </c>
      <c r="AH5481">
        <v>0.33666108878511403</v>
      </c>
      <c r="AI5481">
        <v>123.45563905765199</v>
      </c>
      <c r="AJ5481">
        <v>96.184503191741101</v>
      </c>
      <c r="AK5481">
        <v>0.40588114719636398</v>
      </c>
      <c r="AL5481">
        <v>70.644072343988199</v>
      </c>
      <c r="AM5481">
        <v>98.650969471364405</v>
      </c>
      <c r="AN5481">
        <v>1.00000000079953</v>
      </c>
    </row>
    <row r="5482" spans="1:40" x14ac:dyDescent="0.25">
      <c r="A5482" t="str">
        <f>"20190304164236581"</f>
        <v>20190304164236581</v>
      </c>
      <c r="B5482" t="str">
        <f>"1551688956576767"</f>
        <v>1551688956576767</v>
      </c>
      <c r="C5482" t="s">
        <v>40</v>
      </c>
      <c r="D5482">
        <v>4.15557</v>
      </c>
      <c r="E5482">
        <v>0.55079199999999995</v>
      </c>
      <c r="F5482" t="s">
        <v>41</v>
      </c>
      <c r="G5482">
        <v>-422.06880000000001</v>
      </c>
      <c r="H5482">
        <v>0.89602969999999904</v>
      </c>
      <c r="I5482">
        <v>78.576639999999998</v>
      </c>
      <c r="J5482">
        <v>-422.10570000000001</v>
      </c>
      <c r="K5482">
        <v>1.1099779999999999</v>
      </c>
      <c r="L5482">
        <v>78.973140000000001</v>
      </c>
      <c r="M5482">
        <v>-2.1129999999999999E-2</v>
      </c>
      <c r="N5482">
        <v>-9.7814749999999995E-3</v>
      </c>
      <c r="O5482">
        <v>-0.99972890000000003</v>
      </c>
      <c r="P5482">
        <v>0.12279950000000001</v>
      </c>
      <c r="Q5482">
        <v>0.32260899999999998</v>
      </c>
      <c r="R5482">
        <v>-0.93853279999999994</v>
      </c>
      <c r="S5482">
        <v>0.15176389999999901</v>
      </c>
      <c r="T5482">
        <v>-1.0718259999999999</v>
      </c>
      <c r="U5482">
        <v>-3.5440369999999999</v>
      </c>
      <c r="V5482">
        <v>-0.14259189999999999</v>
      </c>
      <c r="W5482">
        <v>0.33175179999999999</v>
      </c>
      <c r="X5482">
        <v>0.93252789999999997</v>
      </c>
      <c r="Y5482">
        <v>-6.2082239999999997E-2</v>
      </c>
      <c r="Z5482">
        <v>0.27960230000000003</v>
      </c>
      <c r="AA5482">
        <v>0.95810660000000003</v>
      </c>
      <c r="AB5482">
        <v>31</v>
      </c>
      <c r="AC5482">
        <v>3.6900000000002799E-2</v>
      </c>
      <c r="AD5482">
        <v>-0.21394830000000001</v>
      </c>
      <c r="AE5482">
        <v>-0.39650000000000302</v>
      </c>
      <c r="AF5482">
        <v>-3.5129684139704097E-2</v>
      </c>
      <c r="AG5482">
        <v>-0.21394830000000001</v>
      </c>
      <c r="AH5482">
        <v>0.30701025909284901</v>
      </c>
      <c r="AI5482">
        <v>124.697136386267</v>
      </c>
      <c r="AJ5482">
        <v>96.527685712619004</v>
      </c>
      <c r="AK5482">
        <v>0.37585006181841102</v>
      </c>
      <c r="AL5482">
        <v>70.624862754087602</v>
      </c>
      <c r="AM5482">
        <v>98.6937009102612</v>
      </c>
      <c r="AN5482">
        <v>0.99999999551362995</v>
      </c>
    </row>
    <row r="5483" spans="1:40" x14ac:dyDescent="0.25">
      <c r="A5483" t="str">
        <f>"20190304164236605"</f>
        <v>20190304164236605</v>
      </c>
      <c r="B5483" t="str">
        <f>"1551688956596286"</f>
        <v>1551688956596286</v>
      </c>
      <c r="C5483" t="s">
        <v>40</v>
      </c>
      <c r="D5483">
        <v>4.249441</v>
      </c>
      <c r="E5483">
        <v>0.55066559999999998</v>
      </c>
      <c r="F5483" t="s">
        <v>41</v>
      </c>
      <c r="G5483">
        <v>-422.07659999999998</v>
      </c>
      <c r="H5483">
        <v>0.9058503</v>
      </c>
      <c r="I5483">
        <v>78.297519999999906</v>
      </c>
      <c r="J5483">
        <v>-422.11239999999998</v>
      </c>
      <c r="K5483">
        <v>1.1099779999999999</v>
      </c>
      <c r="L5483">
        <v>78.661529999999999</v>
      </c>
      <c r="M5483">
        <v>-2.11288E-2</v>
      </c>
      <c r="N5483">
        <v>-9.7828780000000001E-3</v>
      </c>
      <c r="O5483">
        <v>-0.99972919999999998</v>
      </c>
      <c r="P5483">
        <v>0.123796</v>
      </c>
      <c r="Q5483">
        <v>0.32305080000000003</v>
      </c>
      <c r="R5483">
        <v>-0.93825000000000003</v>
      </c>
      <c r="S5483">
        <v>0.15356449999999999</v>
      </c>
      <c r="T5483">
        <v>-1.070894</v>
      </c>
      <c r="U5483">
        <v>-3.5444949999999902</v>
      </c>
      <c r="V5483">
        <v>-0.14358080000000001</v>
      </c>
      <c r="W5483">
        <v>0.33219159999999998</v>
      </c>
      <c r="X5483">
        <v>0.93221960000000004</v>
      </c>
      <c r="Y5483">
        <v>-6.2564309999999998E-2</v>
      </c>
      <c r="Z5483">
        <v>0.27932839999999998</v>
      </c>
      <c r="AA5483">
        <v>0.95815519999999998</v>
      </c>
      <c r="AB5483">
        <v>31</v>
      </c>
      <c r="AC5483">
        <v>3.5799999999994697E-2</v>
      </c>
      <c r="AD5483">
        <v>-0.2041277</v>
      </c>
      <c r="AE5483">
        <v>-0.36401000000000699</v>
      </c>
      <c r="AF5483">
        <v>-3.3156634376021503E-2</v>
      </c>
      <c r="AG5483">
        <v>-0.2041277</v>
      </c>
      <c r="AH5483">
        <v>0.27692296241592301</v>
      </c>
      <c r="AI5483">
        <v>126.20041843495299</v>
      </c>
      <c r="AJ5483">
        <v>96.827654863988997</v>
      </c>
      <c r="AK5483">
        <v>0.34562090131189399</v>
      </c>
      <c r="AL5483">
        <v>70.598150099322396</v>
      </c>
      <c r="AM5483">
        <v>98.755912600184899</v>
      </c>
      <c r="AN5483">
        <v>1.0000000439316701</v>
      </c>
    </row>
    <row r="5484" spans="1:40" x14ac:dyDescent="0.25">
      <c r="A5484" t="str">
        <f>"20190304164236626"</f>
        <v>20190304164236626</v>
      </c>
      <c r="B5484" t="str">
        <f>"1551688956616782"</f>
        <v>1551688956616782</v>
      </c>
      <c r="C5484" t="s">
        <v>40</v>
      </c>
      <c r="D5484">
        <v>4.2720570000000002</v>
      </c>
      <c r="E5484">
        <v>0.55057749999999905</v>
      </c>
      <c r="F5484" t="s">
        <v>41</v>
      </c>
      <c r="G5484">
        <v>-422.07279999999997</v>
      </c>
      <c r="H5484">
        <v>0.84106349999999996</v>
      </c>
      <c r="I5484">
        <v>77.77319</v>
      </c>
      <c r="J5484">
        <v>-422.11880000000002</v>
      </c>
      <c r="K5484">
        <v>1.109982</v>
      </c>
      <c r="L5484">
        <v>78.355620000000002</v>
      </c>
      <c r="M5484">
        <v>-2.1119590000000001E-2</v>
      </c>
      <c r="N5484">
        <v>-9.7846679999999998E-3</v>
      </c>
      <c r="O5484">
        <v>-0.99972919999999998</v>
      </c>
      <c r="P5484">
        <v>0.1245117</v>
      </c>
      <c r="Q5484">
        <v>0.32394879999999998</v>
      </c>
      <c r="R5484">
        <v>-0.93784579999999995</v>
      </c>
      <c r="S5484">
        <v>0.15917970000000001</v>
      </c>
      <c r="T5484">
        <v>-1.073434</v>
      </c>
      <c r="U5484">
        <v>-3.5460509999999998</v>
      </c>
      <c r="V5484">
        <v>-0.14428239999999901</v>
      </c>
      <c r="W5484">
        <v>0.33308559999999998</v>
      </c>
      <c r="X5484">
        <v>0.93179210000000001</v>
      </c>
      <c r="Y5484">
        <v>-6.404224E-2</v>
      </c>
      <c r="Z5484">
        <v>0.27981640000000002</v>
      </c>
      <c r="AA5484">
        <v>0.95791510000000002</v>
      </c>
      <c r="AB5484">
        <v>31</v>
      </c>
      <c r="AC5484">
        <v>4.6000000000049099E-2</v>
      </c>
      <c r="AD5484">
        <v>-0.26891849999999901</v>
      </c>
      <c r="AE5484">
        <v>-0.582430000000002</v>
      </c>
      <c r="AF5484">
        <v>-4.8100364727322299E-2</v>
      </c>
      <c r="AG5484">
        <v>-0.26891849999999901</v>
      </c>
      <c r="AH5484">
        <v>0.47969858234023099</v>
      </c>
      <c r="AI5484">
        <v>119.152853017815</v>
      </c>
      <c r="AJ5484">
        <v>95.726026239809698</v>
      </c>
      <c r="AK5484">
        <v>0.552033997710629</v>
      </c>
      <c r="AL5484">
        <v>70.543833204327598</v>
      </c>
      <c r="AM5484">
        <v>98.802003382390097</v>
      </c>
      <c r="AN5484">
        <v>0.99999997274976404</v>
      </c>
    </row>
    <row r="5485" spans="1:40" x14ac:dyDescent="0.25">
      <c r="A5485" t="str">
        <f>"20190304164236648"</f>
        <v>20190304164236648</v>
      </c>
      <c r="B5485" t="str">
        <f>"1551688956636302"</f>
        <v>1551688956636302</v>
      </c>
      <c r="C5485" t="s">
        <v>40</v>
      </c>
      <c r="D5485">
        <v>4.2671140000000003</v>
      </c>
      <c r="E5485">
        <v>0.55046759999999995</v>
      </c>
      <c r="F5485" t="s">
        <v>41</v>
      </c>
      <c r="G5485">
        <v>-422.0795</v>
      </c>
      <c r="H5485">
        <v>0.84915509999999905</v>
      </c>
      <c r="I5485">
        <v>77.493709999999993</v>
      </c>
      <c r="J5485">
        <v>-422.12520000000001</v>
      </c>
      <c r="K5485">
        <v>1.1100030000000001</v>
      </c>
      <c r="L5485">
        <v>78.052369999999996</v>
      </c>
      <c r="M5485">
        <v>-2.1098869999999999E-2</v>
      </c>
      <c r="N5485">
        <v>-9.7866959999999992E-3</v>
      </c>
      <c r="O5485">
        <v>-0.99972939999999999</v>
      </c>
      <c r="P5485">
        <v>0.12481109999999999</v>
      </c>
      <c r="Q5485">
        <v>0.32487110000000002</v>
      </c>
      <c r="R5485">
        <v>-0.93748629999999999</v>
      </c>
      <c r="S5485">
        <v>0.16244510000000001</v>
      </c>
      <c r="T5485">
        <v>-1.073715</v>
      </c>
      <c r="U5485">
        <v>-3.5481259999999999</v>
      </c>
      <c r="V5485">
        <v>-0.144561299999999</v>
      </c>
      <c r="W5485">
        <v>0.33400400000000002</v>
      </c>
      <c r="X5485">
        <v>0.93142009999999997</v>
      </c>
      <c r="Y5485">
        <v>-6.4876240000000002E-2</v>
      </c>
      <c r="Z5485">
        <v>0.27971560000000001</v>
      </c>
      <c r="AA5485">
        <v>0.95788839999999997</v>
      </c>
      <c r="AB5485">
        <v>31</v>
      </c>
      <c r="AC5485">
        <v>4.5700000000010697E-2</v>
      </c>
      <c r="AD5485">
        <v>-0.26084790000000002</v>
      </c>
      <c r="AE5485">
        <v>-0.55866000000000304</v>
      </c>
      <c r="AF5485">
        <v>-4.7245818691611402E-2</v>
      </c>
      <c r="AG5485">
        <v>-0.26084790000000002</v>
      </c>
      <c r="AH5485">
        <v>0.45831711180585399</v>
      </c>
      <c r="AI5485">
        <v>119.51605284789299</v>
      </c>
      <c r="AJ5485">
        <v>95.885571204008698</v>
      </c>
      <c r="AK5485">
        <v>0.52946045111255502</v>
      </c>
      <c r="AL5485">
        <v>70.4880173641818</v>
      </c>
      <c r="AM5485">
        <v>98.822217315581298</v>
      </c>
      <c r="AN5485">
        <v>1.0000000220788401</v>
      </c>
    </row>
    <row r="5486" spans="1:40" x14ac:dyDescent="0.25">
      <c r="A5486" t="str">
        <f>"20190304164236663"</f>
        <v>20190304164236663</v>
      </c>
      <c r="B5486" t="str">
        <f>"1551688956656798"</f>
        <v>1551688956656798</v>
      </c>
      <c r="C5486" t="s">
        <v>40</v>
      </c>
      <c r="D5486">
        <v>4.2692170000000003</v>
      </c>
      <c r="E5486">
        <v>0.55040029999999995</v>
      </c>
      <c r="F5486" t="s">
        <v>41</v>
      </c>
      <c r="G5486">
        <v>-422.0865</v>
      </c>
      <c r="H5486">
        <v>0.85640720000000004</v>
      </c>
      <c r="I5486">
        <v>77.214280000000002</v>
      </c>
      <c r="J5486">
        <v>-422.12970000000001</v>
      </c>
      <c r="K5486">
        <v>1.110017</v>
      </c>
      <c r="L5486">
        <v>77.839510000000004</v>
      </c>
      <c r="M5486">
        <v>-2.107171E-2</v>
      </c>
      <c r="N5486">
        <v>-9.7883050000000006E-3</v>
      </c>
      <c r="O5486">
        <v>-0.99973029999999996</v>
      </c>
      <c r="P5486">
        <v>0.1246858</v>
      </c>
      <c r="Q5486">
        <v>0.32564029999999999</v>
      </c>
      <c r="R5486">
        <v>-0.93723650000000003</v>
      </c>
      <c r="S5486">
        <v>0.16513059999999999</v>
      </c>
      <c r="T5486">
        <v>-1.0742879999999999</v>
      </c>
      <c r="U5486">
        <v>-3.550354</v>
      </c>
      <c r="V5486">
        <v>-0.1444127</v>
      </c>
      <c r="W5486">
        <v>0.33476879999999998</v>
      </c>
      <c r="X5486">
        <v>0.93116849999999995</v>
      </c>
      <c r="Y5486">
        <v>-6.5544110000000003E-2</v>
      </c>
      <c r="Z5486">
        <v>0.27967829999999999</v>
      </c>
      <c r="AA5486">
        <v>0.95785390000000004</v>
      </c>
      <c r="AB5486">
        <v>31</v>
      </c>
      <c r="AC5486">
        <v>4.3200000000012999E-2</v>
      </c>
      <c r="AD5486">
        <v>-0.2536098</v>
      </c>
      <c r="AE5486">
        <v>-0.62523000000000195</v>
      </c>
      <c r="AF5486">
        <v>-4.8434501094751101E-2</v>
      </c>
      <c r="AG5486">
        <v>-0.2536098</v>
      </c>
      <c r="AH5486">
        <v>0.53635254392383203</v>
      </c>
      <c r="AI5486">
        <v>115.216936145042</v>
      </c>
      <c r="AJ5486">
        <v>95.160012487481197</v>
      </c>
      <c r="AK5486">
        <v>0.59526286876127599</v>
      </c>
      <c r="AL5486">
        <v>70.441520109890007</v>
      </c>
      <c r="AM5486">
        <v>98.815635005616898</v>
      </c>
      <c r="AN5486">
        <v>0.99999997638348903</v>
      </c>
    </row>
    <row r="5487" spans="1:40" x14ac:dyDescent="0.25">
      <c r="A5487" t="str">
        <f>"20190304164236678"</f>
        <v>20190304164236678</v>
      </c>
      <c r="B5487" t="str">
        <f>"1551688956666559"</f>
        <v>1551688956666559</v>
      </c>
      <c r="C5487" t="s">
        <v>40</v>
      </c>
      <c r="D5487">
        <v>4.3065530000000001</v>
      </c>
      <c r="E5487">
        <v>0.55040029999999995</v>
      </c>
      <c r="F5487" t="s">
        <v>41</v>
      </c>
      <c r="G5487">
        <v>-422.08800000000002</v>
      </c>
      <c r="H5487">
        <v>0.83931610000000001</v>
      </c>
      <c r="I5487">
        <v>76.944559999999996</v>
      </c>
      <c r="J5487">
        <v>-422.13409999999999</v>
      </c>
      <c r="K5487">
        <v>1.1100399999999999</v>
      </c>
      <c r="L5487">
        <v>77.62576</v>
      </c>
      <c r="M5487">
        <v>-2.1023119999999999E-2</v>
      </c>
      <c r="N5487">
        <v>-9.790132E-3</v>
      </c>
      <c r="O5487">
        <v>-0.99973129999999999</v>
      </c>
      <c r="P5487">
        <v>0.1244007</v>
      </c>
      <c r="Q5487">
        <v>0.32638479999999997</v>
      </c>
      <c r="R5487">
        <v>-0.93701540000000005</v>
      </c>
      <c r="S5487">
        <v>0.16647339999999999</v>
      </c>
      <c r="T5487">
        <v>-1.0744069999999999</v>
      </c>
      <c r="U5487">
        <v>-3.5520320000000001</v>
      </c>
      <c r="V5487">
        <v>-0.14409140000000001</v>
      </c>
      <c r="W5487">
        <v>0.335507</v>
      </c>
      <c r="X5487">
        <v>0.93095260000000002</v>
      </c>
      <c r="Y5487">
        <v>-6.583688E-2</v>
      </c>
      <c r="Z5487">
        <v>0.27957579999999999</v>
      </c>
      <c r="AA5487">
        <v>0.95786369999999998</v>
      </c>
      <c r="AB5487">
        <v>31</v>
      </c>
      <c r="AC5487">
        <v>4.6099999999967098E-2</v>
      </c>
      <c r="AD5487">
        <v>-0.27072389999999902</v>
      </c>
      <c r="AE5487">
        <v>-0.68120000000000402</v>
      </c>
      <c r="AF5487">
        <v>-5.2203748949084201E-2</v>
      </c>
      <c r="AG5487">
        <v>-0.27072389999999902</v>
      </c>
      <c r="AH5487">
        <v>0.58768232623311201</v>
      </c>
      <c r="AI5487">
        <v>114.64834890729099</v>
      </c>
      <c r="AJ5487">
        <v>95.076253234911604</v>
      </c>
      <c r="AK5487">
        <v>0.64914341866979597</v>
      </c>
      <c r="AL5487">
        <v>70.396628930969399</v>
      </c>
      <c r="AM5487">
        <v>98.798336478830294</v>
      </c>
      <c r="AN5487">
        <v>1.0000000110248599</v>
      </c>
    </row>
    <row r="5488" spans="1:40" x14ac:dyDescent="0.25">
      <c r="A5488" t="str">
        <f>"20190304164236693"</f>
        <v>20190304164236693</v>
      </c>
      <c r="B5488" t="str">
        <f>"1551688956687054"</f>
        <v>1551688956687054</v>
      </c>
      <c r="C5488" t="s">
        <v>40</v>
      </c>
      <c r="D5488">
        <v>4.2737109999999996</v>
      </c>
      <c r="E5488">
        <v>0.55275769999999902</v>
      </c>
      <c r="F5488" t="s">
        <v>41</v>
      </c>
      <c r="G5488">
        <v>-422.10169999999999</v>
      </c>
      <c r="H5488">
        <v>0.89738039999999997</v>
      </c>
      <c r="I5488">
        <v>76.920640000000006</v>
      </c>
      <c r="J5488">
        <v>-422.13819999999998</v>
      </c>
      <c r="K5488">
        <v>1.11007099999999</v>
      </c>
      <c r="L5488">
        <v>77.427459999999996</v>
      </c>
      <c r="M5488">
        <v>-2.0953019999999999E-2</v>
      </c>
      <c r="N5488">
        <v>-9.7946149999999996E-3</v>
      </c>
      <c r="O5488">
        <v>-0.99973250000000002</v>
      </c>
      <c r="P5488">
        <v>0.1243165</v>
      </c>
      <c r="Q5488">
        <v>0.32749210000000001</v>
      </c>
      <c r="R5488">
        <v>-0.93663980000000002</v>
      </c>
      <c r="S5488">
        <v>0.1647034</v>
      </c>
      <c r="T5488">
        <v>-1.07158</v>
      </c>
      <c r="U5488">
        <v>-3.5530400000000002</v>
      </c>
      <c r="V5488">
        <v>-0.143952</v>
      </c>
      <c r="W5488">
        <v>0.33660780000000001</v>
      </c>
      <c r="X5488">
        <v>0.93057670000000003</v>
      </c>
      <c r="Y5488">
        <v>-6.5289550000000002E-2</v>
      </c>
      <c r="Z5488">
        <v>0.27880660000000002</v>
      </c>
      <c r="AA5488">
        <v>0.95812540000000002</v>
      </c>
      <c r="AB5488">
        <v>31</v>
      </c>
      <c r="AC5488">
        <v>3.6499999999989499E-2</v>
      </c>
      <c r="AD5488">
        <v>-0.21269059999999901</v>
      </c>
      <c r="AE5488">
        <v>-0.50681999999998995</v>
      </c>
      <c r="AF5488">
        <v>-4.0088299958377399E-2</v>
      </c>
      <c r="AG5488">
        <v>-0.21269059999999901</v>
      </c>
      <c r="AH5488">
        <v>0.430516042640671</v>
      </c>
      <c r="AI5488">
        <v>116.19296069526</v>
      </c>
      <c r="AJ5488">
        <v>95.3198624594569</v>
      </c>
      <c r="AK5488">
        <v>0.481859342643573</v>
      </c>
      <c r="AL5488">
        <v>70.329662710331803</v>
      </c>
      <c r="AM5488">
        <v>98.7934527538293</v>
      </c>
      <c r="AN5488">
        <v>0.99999999195386502</v>
      </c>
    </row>
    <row r="5489" spans="1:40" x14ac:dyDescent="0.25">
      <c r="A5489" t="str">
        <f>"20190304164236715"</f>
        <v>20190304164236715</v>
      </c>
      <c r="B5489" t="str">
        <f>"1551688956706574"</f>
        <v>1551688956706574</v>
      </c>
      <c r="C5489" t="s">
        <v>40</v>
      </c>
      <c r="D5489">
        <v>4.2173109999999996</v>
      </c>
      <c r="E5489">
        <v>0.55424340000000005</v>
      </c>
      <c r="F5489" t="s">
        <v>41</v>
      </c>
      <c r="G5489">
        <v>-422.11009999999999</v>
      </c>
      <c r="H5489">
        <v>0.9139292</v>
      </c>
      <c r="I5489">
        <v>76.636769999999999</v>
      </c>
      <c r="J5489">
        <v>-422.14429999999999</v>
      </c>
      <c r="K5489">
        <v>1.1101240000000001</v>
      </c>
      <c r="L5489">
        <v>77.130459999999999</v>
      </c>
      <c r="M5489">
        <v>-2.0804219999999998E-2</v>
      </c>
      <c r="N5489">
        <v>-9.8105180000000007E-3</v>
      </c>
      <c r="O5489">
        <v>-0.9997357</v>
      </c>
      <c r="P5489">
        <v>0.1238223</v>
      </c>
      <c r="Q5489">
        <v>0.32809389999999999</v>
      </c>
      <c r="R5489">
        <v>-0.93649479999999996</v>
      </c>
      <c r="S5489">
        <v>0.12637329999999999</v>
      </c>
      <c r="T5489">
        <v>-0.86549889999999996</v>
      </c>
      <c r="U5489">
        <v>-3.4887999999999999</v>
      </c>
      <c r="V5489">
        <v>-0.143350799999999</v>
      </c>
      <c r="W5489">
        <v>0.33720800000000001</v>
      </c>
      <c r="X5489">
        <v>0.93045219999999995</v>
      </c>
      <c r="Y5489">
        <v>-5.5932700000000002E-2</v>
      </c>
      <c r="Z5489">
        <v>0.2309022</v>
      </c>
      <c r="AA5489">
        <v>0.97136800000000001</v>
      </c>
      <c r="AB5489">
        <v>31</v>
      </c>
      <c r="AC5489">
        <v>3.4199999999998398E-2</v>
      </c>
      <c r="AD5489">
        <v>-0.196194799999999</v>
      </c>
      <c r="AE5489">
        <v>-0.49369000000000002</v>
      </c>
      <c r="AF5489">
        <v>-3.84245018218283E-2</v>
      </c>
      <c r="AG5489">
        <v>-0.196194799999999</v>
      </c>
      <c r="AH5489">
        <v>0.42592609745938997</v>
      </c>
      <c r="AI5489">
        <v>114.644142964377</v>
      </c>
      <c r="AJ5489">
        <v>95.154927752887005</v>
      </c>
      <c r="AK5489">
        <v>0.47051236156373299</v>
      </c>
      <c r="AL5489">
        <v>70.293138485937504</v>
      </c>
      <c r="AM5489">
        <v>98.758451913467596</v>
      </c>
      <c r="AN5489">
        <v>0.99999999180473897</v>
      </c>
    </row>
    <row r="5490" spans="1:40" x14ac:dyDescent="0.25">
      <c r="A5490" t="str">
        <f>"20190304164236729"</f>
        <v>20190304164236729</v>
      </c>
      <c r="B5490" t="str">
        <f>"1551688956716335"</f>
        <v>1551688956716335</v>
      </c>
      <c r="C5490" t="s">
        <v>40</v>
      </c>
      <c r="D5490">
        <v>4.3460150000000004</v>
      </c>
      <c r="E5490">
        <v>0.55450549999999998</v>
      </c>
      <c r="F5490" t="s">
        <v>42</v>
      </c>
      <c r="G5490">
        <v>-421.92689999999999</v>
      </c>
      <c r="H5490" s="1">
        <v>-3.1112069999999999E-6</v>
      </c>
      <c r="I5490">
        <v>65.646289999999993</v>
      </c>
      <c r="J5490">
        <v>-422.14830000000001</v>
      </c>
      <c r="K5490">
        <v>1.110166</v>
      </c>
      <c r="L5490">
        <v>76.935819999999893</v>
      </c>
      <c r="M5490">
        <v>-2.0672880000000001E-2</v>
      </c>
      <c r="N5490">
        <v>-9.8301819999999998E-3</v>
      </c>
      <c r="O5490">
        <v>-0.99973800000000002</v>
      </c>
      <c r="P5490">
        <v>0.123658</v>
      </c>
      <c r="Q5490">
        <v>0.32821400000000001</v>
      </c>
      <c r="R5490">
        <v>-0.93647440000000004</v>
      </c>
      <c r="S5490">
        <v>6.2622070000000002E-2</v>
      </c>
      <c r="T5490">
        <v>-0.31969229999999998</v>
      </c>
      <c r="U5490">
        <v>-3.3071899999999999</v>
      </c>
      <c r="V5490">
        <v>-0.14309050000000001</v>
      </c>
      <c r="W5490">
        <v>0.337335099999999</v>
      </c>
      <c r="X5490">
        <v>0.9304462</v>
      </c>
      <c r="Y5490">
        <v>-3.9506439999999997E-2</v>
      </c>
      <c r="Z5490">
        <v>8.6349289999999995E-2</v>
      </c>
      <c r="AA5490">
        <v>0.99548130000000001</v>
      </c>
      <c r="AB5490">
        <v>31</v>
      </c>
      <c r="AC5490">
        <v>0.221400000000016</v>
      </c>
      <c r="AD5490">
        <v>-1.110169111207</v>
      </c>
      <c r="AE5490">
        <v>-11.2895299999999</v>
      </c>
      <c r="AF5490">
        <v>-0.45039737975084099</v>
      </c>
      <c r="AG5490">
        <v>-1.110169111207</v>
      </c>
      <c r="AH5490">
        <v>11.1745237979432</v>
      </c>
      <c r="AI5490">
        <v>95.669043634733498</v>
      </c>
      <c r="AJ5490">
        <v>92.308099092946605</v>
      </c>
      <c r="AK5490">
        <v>11.238563759038</v>
      </c>
      <c r="AL5490">
        <v>70.285403032877795</v>
      </c>
      <c r="AM5490">
        <v>98.742849541713497</v>
      </c>
      <c r="AN5490">
        <v>0.99999999598834899</v>
      </c>
    </row>
    <row r="5491" spans="1:40" x14ac:dyDescent="0.25">
      <c r="A5491" t="str">
        <f>"20190304164236743"</f>
        <v>20190304164236743</v>
      </c>
      <c r="B5491" t="str">
        <f>"1551688956736831"</f>
        <v>1551688956736831</v>
      </c>
      <c r="C5491" t="s">
        <v>40</v>
      </c>
      <c r="D5491">
        <v>4.332624</v>
      </c>
      <c r="E5491">
        <v>0.55491859999999904</v>
      </c>
      <c r="F5491" t="s">
        <v>41</v>
      </c>
      <c r="G5491">
        <v>-422.13240000000002</v>
      </c>
      <c r="H5491">
        <v>1.0253730000000001</v>
      </c>
      <c r="I5491">
        <v>76.025450000000006</v>
      </c>
      <c r="J5491">
        <v>-422.15219999999999</v>
      </c>
      <c r="K5491">
        <v>1.110206</v>
      </c>
      <c r="L5491">
        <v>76.735320000000002</v>
      </c>
      <c r="M5491">
        <v>-2.0514040000000001E-2</v>
      </c>
      <c r="N5491">
        <v>-9.8582459999999993E-3</v>
      </c>
      <c r="O5491">
        <v>-0.99974099999999999</v>
      </c>
      <c r="P5491">
        <v>0.12360549999999999</v>
      </c>
      <c r="Q5491">
        <v>0.32858680000000001</v>
      </c>
      <c r="R5491">
        <v>-0.93635060000000003</v>
      </c>
      <c r="S5491">
        <v>5.8837889999999997E-2</v>
      </c>
      <c r="T5491">
        <v>-0.30778179999999999</v>
      </c>
      <c r="U5491">
        <v>-3.3036189999999999</v>
      </c>
      <c r="V5491">
        <v>-0.14291690000000001</v>
      </c>
      <c r="W5491">
        <v>0.33772069999999998</v>
      </c>
      <c r="X5491">
        <v>0.93033299999999997</v>
      </c>
      <c r="Y5491">
        <v>-3.823464E-2</v>
      </c>
      <c r="Z5491">
        <v>8.2870819999999998E-2</v>
      </c>
      <c r="AA5491">
        <v>0.99582649999999995</v>
      </c>
      <c r="AB5491">
        <v>31</v>
      </c>
      <c r="AC5491">
        <v>1.9799999999975101E-2</v>
      </c>
      <c r="AD5491">
        <v>-8.4833000000000103E-2</v>
      </c>
      <c r="AE5491">
        <v>-0.709869999999995</v>
      </c>
      <c r="AF5491">
        <v>-3.3875427851808901E-2</v>
      </c>
      <c r="AG5491">
        <v>-8.4833000000000103E-2</v>
      </c>
      <c r="AH5491">
        <v>0.69933466417523005</v>
      </c>
      <c r="AI5491">
        <v>96.908466610408794</v>
      </c>
      <c r="AJ5491">
        <v>92.773211781977295</v>
      </c>
      <c r="AK5491">
        <v>0.70527523352108801</v>
      </c>
      <c r="AL5491">
        <v>70.261932526511004</v>
      </c>
      <c r="AM5491">
        <v>98.733452300720401</v>
      </c>
      <c r="AN5491">
        <v>1.00000000120155</v>
      </c>
    </row>
    <row r="5492" spans="1:40" x14ac:dyDescent="0.25">
      <c r="A5492" t="str">
        <f>"20190304164236756"</f>
        <v>20190304164236756</v>
      </c>
      <c r="B5492" t="str">
        <f>"1551688956746591"</f>
        <v>1551688956746591</v>
      </c>
      <c r="C5492" t="s">
        <v>40</v>
      </c>
      <c r="D5492">
        <v>4.2836540000000003</v>
      </c>
      <c r="E5492">
        <v>0.55515800000000004</v>
      </c>
      <c r="F5492" t="s">
        <v>41</v>
      </c>
      <c r="G5492">
        <v>-422.13690000000003</v>
      </c>
      <c r="H5492">
        <v>1.023425</v>
      </c>
      <c r="I5492">
        <v>75.751599999999996</v>
      </c>
      <c r="J5492">
        <v>-422.15589999999997</v>
      </c>
      <c r="K5492">
        <v>1.11025</v>
      </c>
      <c r="L5492">
        <v>76.549189999999996</v>
      </c>
      <c r="M5492">
        <v>-2.0334660000000001E-2</v>
      </c>
      <c r="N5492">
        <v>-9.9001450000000008E-3</v>
      </c>
      <c r="O5492">
        <v>-0.99974439999999998</v>
      </c>
      <c r="P5492">
        <v>0.1239157</v>
      </c>
      <c r="Q5492">
        <v>0.32870719999999998</v>
      </c>
      <c r="R5492">
        <v>-0.93626739999999997</v>
      </c>
      <c r="S5492">
        <v>5.2764890000000002E-2</v>
      </c>
      <c r="T5492">
        <v>-0.29110520000000001</v>
      </c>
      <c r="U5492">
        <v>-3.2991030000000001</v>
      </c>
      <c r="V5492">
        <v>-0.14308499999999999</v>
      </c>
      <c r="W5492">
        <v>0.3378678</v>
      </c>
      <c r="X5492">
        <v>0.93025369999999996</v>
      </c>
      <c r="Y5492">
        <v>-3.6255089999999997E-2</v>
      </c>
      <c r="Z5492">
        <v>7.7966720000000003E-2</v>
      </c>
      <c r="AA5492">
        <v>0.99629650000000003</v>
      </c>
      <c r="AB5492">
        <v>31</v>
      </c>
      <c r="AC5492">
        <v>1.89999999999486E-2</v>
      </c>
      <c r="AD5492">
        <v>-8.6824999999999902E-2</v>
      </c>
      <c r="AE5492">
        <v>-0.79758999999999902</v>
      </c>
      <c r="AF5492">
        <v>-3.48033868118309E-2</v>
      </c>
      <c r="AG5492">
        <v>-8.6824999999999902E-2</v>
      </c>
      <c r="AH5492">
        <v>0.78770937212140202</v>
      </c>
      <c r="AI5492">
        <v>96.283935066791202</v>
      </c>
      <c r="AJ5492">
        <v>92.529855789609002</v>
      </c>
      <c r="AK5492">
        <v>0.793243916640063</v>
      </c>
      <c r="AL5492">
        <v>70.252977057681406</v>
      </c>
      <c r="AM5492">
        <v>98.744299838299</v>
      </c>
      <c r="AN5492">
        <v>0.999999956932764</v>
      </c>
    </row>
    <row r="5493" spans="1:40" x14ac:dyDescent="0.25">
      <c r="A5493" t="str">
        <f>"20190304164236771"</f>
        <v>20190304164236771</v>
      </c>
      <c r="B5493" t="str">
        <f>"1551688956767087"</f>
        <v>1551688956767087</v>
      </c>
      <c r="C5493" t="s">
        <v>40</v>
      </c>
      <c r="D5493">
        <v>4.3019069999999999</v>
      </c>
      <c r="E5493">
        <v>0.55552519999999905</v>
      </c>
      <c r="F5493" t="s">
        <v>42</v>
      </c>
      <c r="G5493">
        <v>-421.96140000000003</v>
      </c>
      <c r="H5493" s="1">
        <v>-2.3185260000000002E-6</v>
      </c>
      <c r="I5493">
        <v>63.777140000000003</v>
      </c>
      <c r="J5493">
        <v>-422.15989999999999</v>
      </c>
      <c r="K5493">
        <v>1.1102920000000001</v>
      </c>
      <c r="L5493">
        <v>76.345669999999998</v>
      </c>
      <c r="M5493">
        <v>-2.011727E-2</v>
      </c>
      <c r="N5493">
        <v>-9.9588599999999999E-3</v>
      </c>
      <c r="O5493">
        <v>-0.99974790000000002</v>
      </c>
      <c r="P5493">
        <v>0.1238192</v>
      </c>
      <c r="Q5493">
        <v>0.32912069999999999</v>
      </c>
      <c r="R5493">
        <v>-0.93613489999999999</v>
      </c>
      <c r="S5493">
        <v>5.0231930000000001E-2</v>
      </c>
      <c r="T5493">
        <v>-0.28670820000000002</v>
      </c>
      <c r="U5493">
        <v>-3.2982179999999999</v>
      </c>
      <c r="V5493">
        <v>-0.14280999999999999</v>
      </c>
      <c r="W5493">
        <v>0.3383237</v>
      </c>
      <c r="X5493">
        <v>0.93013029999999997</v>
      </c>
      <c r="Y5493">
        <v>-3.52793E-2</v>
      </c>
      <c r="Z5493">
        <v>7.6616169999999997E-2</v>
      </c>
      <c r="AA5493">
        <v>0.99643630000000005</v>
      </c>
      <c r="AB5493">
        <v>31</v>
      </c>
      <c r="AC5493">
        <v>0.19849999999996701</v>
      </c>
      <c r="AD5493">
        <v>-1.1102943185259999</v>
      </c>
      <c r="AE5493">
        <v>-12.5685299999999</v>
      </c>
      <c r="AF5493">
        <v>-0.44782304872933798</v>
      </c>
      <c r="AG5493">
        <v>-1.1102943185259999</v>
      </c>
      <c r="AH5493">
        <v>12.4647443734835</v>
      </c>
      <c r="AI5493">
        <v>95.086910066008002</v>
      </c>
      <c r="AJ5493">
        <v>92.057590498338996</v>
      </c>
      <c r="AK5493">
        <v>12.522106502222901</v>
      </c>
      <c r="AL5493">
        <v>70.225222285721003</v>
      </c>
      <c r="AM5493">
        <v>98.728892955958798</v>
      </c>
      <c r="AN5493">
        <v>0.99999999852988997</v>
      </c>
    </row>
    <row r="5494" spans="1:40" x14ac:dyDescent="0.25">
      <c r="A5494" t="str">
        <f>"20190304164236787"</f>
        <v>20190304164236787</v>
      </c>
      <c r="B5494" t="str">
        <f>"1551688956776846"</f>
        <v>1551688956776846</v>
      </c>
      <c r="C5494" t="s">
        <v>40</v>
      </c>
      <c r="D5494">
        <v>4.3266460000000002</v>
      </c>
      <c r="E5494">
        <v>0.55577169999999998</v>
      </c>
      <c r="F5494" t="s">
        <v>42</v>
      </c>
      <c r="G5494">
        <v>-421.98160000000001</v>
      </c>
      <c r="H5494" s="1">
        <v>-2.1483740000000002E-6</v>
      </c>
      <c r="I5494">
        <v>63.36795</v>
      </c>
      <c r="J5494">
        <v>-422.16390000000001</v>
      </c>
      <c r="K5494">
        <v>1.1103430000000001</v>
      </c>
      <c r="L5494">
        <v>76.130129999999994</v>
      </c>
      <c r="M5494">
        <v>-1.9865150000000002E-2</v>
      </c>
      <c r="N5494">
        <v>-1.0039319999999999E-2</v>
      </c>
      <c r="O5494">
        <v>-0.99975230000000004</v>
      </c>
      <c r="P5494">
        <v>0.1240158</v>
      </c>
      <c r="Q5494">
        <v>0.32895439999999998</v>
      </c>
      <c r="R5494">
        <v>-0.93616719999999998</v>
      </c>
      <c r="S5494">
        <v>4.5288090000000003E-2</v>
      </c>
      <c r="T5494">
        <v>-0.28214409999999901</v>
      </c>
      <c r="U5494">
        <v>-3.2978519999999998</v>
      </c>
      <c r="V5494">
        <v>-0.1427969</v>
      </c>
      <c r="W5494">
        <v>0.33822239999999998</v>
      </c>
      <c r="X5494">
        <v>0.93016920000000003</v>
      </c>
      <c r="Y5494">
        <v>-3.3537909999999997E-2</v>
      </c>
      <c r="Z5494">
        <v>7.518089E-2</v>
      </c>
      <c r="AA5494">
        <v>0.99660579999999999</v>
      </c>
      <c r="AB5494">
        <v>31</v>
      </c>
      <c r="AC5494">
        <v>0.18229999999999699</v>
      </c>
      <c r="AD5494">
        <v>-1.1103451483739999</v>
      </c>
      <c r="AE5494">
        <v>-12.762180000000001</v>
      </c>
      <c r="AF5494">
        <v>-0.43252607924924102</v>
      </c>
      <c r="AG5494">
        <v>-1.1103451483739999</v>
      </c>
      <c r="AH5494">
        <v>12.6602279250839</v>
      </c>
      <c r="AI5494">
        <v>95.009302653275299</v>
      </c>
      <c r="AJ5494">
        <v>91.956701255916499</v>
      </c>
      <c r="AK5494">
        <v>12.7161832431285</v>
      </c>
      <c r="AL5494">
        <v>70.231390871450301</v>
      </c>
      <c r="AM5494">
        <v>98.727745190728996</v>
      </c>
      <c r="AN5494">
        <v>1.0000000435700001</v>
      </c>
    </row>
    <row r="5495" spans="1:40" x14ac:dyDescent="0.25">
      <c r="A5495" t="str">
        <f>"20190304164236806"</f>
        <v>20190304164236806</v>
      </c>
      <c r="B5495" t="str">
        <f>"1551688956796367"</f>
        <v>1551688956796367</v>
      </c>
      <c r="C5495" t="s">
        <v>40</v>
      </c>
      <c r="D5495">
        <v>4.3297210000000002</v>
      </c>
      <c r="E5495">
        <v>0.55606180000000005</v>
      </c>
      <c r="F5495" t="s">
        <v>42</v>
      </c>
      <c r="G5495">
        <v>-421.99259999999998</v>
      </c>
      <c r="H5495" s="1">
        <v>-2.1068299999999999E-6</v>
      </c>
      <c r="I5495">
        <v>63.26435</v>
      </c>
      <c r="J5495">
        <v>-422.16879999999998</v>
      </c>
      <c r="K5495">
        <v>1.1103940000000001</v>
      </c>
      <c r="L5495">
        <v>75.869749999999996</v>
      </c>
      <c r="M5495">
        <v>-1.9531690000000001E-2</v>
      </c>
      <c r="N5495">
        <v>-1.0171700000000001E-2</v>
      </c>
      <c r="O5495">
        <v>-0.99975760000000002</v>
      </c>
      <c r="P5495">
        <v>0.1241223</v>
      </c>
      <c r="Q5495">
        <v>0.32913890000000001</v>
      </c>
      <c r="R5495">
        <v>-0.93608829999999998</v>
      </c>
      <c r="S5495">
        <v>4.3945310000000001E-2</v>
      </c>
      <c r="T5495">
        <v>-0.28469070000000002</v>
      </c>
      <c r="U5495">
        <v>-3.2987669999999998</v>
      </c>
      <c r="V5495">
        <v>-0.1426161</v>
      </c>
      <c r="W5495">
        <v>0.33851900000000001</v>
      </c>
      <c r="X5495">
        <v>0.93008900000000005</v>
      </c>
      <c r="Y5495">
        <v>-3.279456E-2</v>
      </c>
      <c r="Z5495">
        <v>7.5791250000000004E-2</v>
      </c>
      <c r="AA5495">
        <v>0.99658429999999998</v>
      </c>
      <c r="AB5495">
        <v>31</v>
      </c>
      <c r="AC5495">
        <v>0.176199999999994</v>
      </c>
      <c r="AD5495">
        <v>-1.1103961068299999</v>
      </c>
      <c r="AE5495">
        <v>-12.6053999999999</v>
      </c>
      <c r="AF5495">
        <v>-0.41913217417258902</v>
      </c>
      <c r="AG5495">
        <v>-1.1103961068299999</v>
      </c>
      <c r="AH5495">
        <v>12.502556846128099</v>
      </c>
      <c r="AI5495">
        <v>95.072488822593598</v>
      </c>
      <c r="AJ5495">
        <v>91.920048422466394</v>
      </c>
      <c r="AK5495">
        <v>12.5587650262339</v>
      </c>
      <c r="AL5495">
        <v>70.213330923436999</v>
      </c>
      <c r="AM5495">
        <v>98.717604624289095</v>
      </c>
      <c r="AN5495">
        <v>1.0000000066306001</v>
      </c>
    </row>
    <row r="5496" spans="1:40" x14ac:dyDescent="0.25">
      <c r="A5496" t="str">
        <f>"20190304164236828"</f>
        <v>20190304164236828</v>
      </c>
      <c r="B5496" t="str">
        <f>"1551688956816862"</f>
        <v>1551688956816862</v>
      </c>
      <c r="C5496" t="s">
        <v>40</v>
      </c>
      <c r="D5496">
        <v>4.3456549999999998</v>
      </c>
      <c r="E5496">
        <v>0.55625029999999998</v>
      </c>
      <c r="F5496" t="s">
        <v>41</v>
      </c>
      <c r="G5496">
        <v>-422.15649999999999</v>
      </c>
      <c r="H5496">
        <v>1.0273829999999999</v>
      </c>
      <c r="I5496">
        <v>74.915599999999998</v>
      </c>
      <c r="J5496">
        <v>-422.17439999999999</v>
      </c>
      <c r="K5496">
        <v>1.1104620000000001</v>
      </c>
      <c r="L5496">
        <v>75.560389999999998</v>
      </c>
      <c r="M5496">
        <v>-1.9112560000000001E-2</v>
      </c>
      <c r="N5496">
        <v>-1.037768E-2</v>
      </c>
      <c r="O5496">
        <v>-0.99976359999999997</v>
      </c>
      <c r="P5496">
        <v>0.12533150000000001</v>
      </c>
      <c r="Q5496">
        <v>0.32826230000000001</v>
      </c>
      <c r="R5496">
        <v>-0.93623520000000005</v>
      </c>
      <c r="S5496">
        <v>4.3243410000000003E-2</v>
      </c>
      <c r="T5496">
        <v>-0.28713490000000003</v>
      </c>
      <c r="U5496">
        <v>-3.300049</v>
      </c>
      <c r="V5496">
        <v>-0.143459</v>
      </c>
      <c r="W5496">
        <v>0.3378256</v>
      </c>
      <c r="X5496">
        <v>0.93021149999999997</v>
      </c>
      <c r="Y5496">
        <v>-3.2157850000000002E-2</v>
      </c>
      <c r="Z5496">
        <v>7.6287359999999999E-2</v>
      </c>
      <c r="AA5496">
        <v>0.99656719999999999</v>
      </c>
      <c r="AB5496">
        <v>31</v>
      </c>
      <c r="AC5496">
        <v>1.78999999999973E-2</v>
      </c>
      <c r="AD5496">
        <v>-8.3079000000000097E-2</v>
      </c>
      <c r="AE5496">
        <v>-0.64478999999999997</v>
      </c>
      <c r="AF5496">
        <v>-2.9727834722021899E-2</v>
      </c>
      <c r="AG5496">
        <v>-8.3079000000000097E-2</v>
      </c>
      <c r="AH5496">
        <v>0.63381591755215105</v>
      </c>
      <c r="AI5496">
        <v>97.459505395749204</v>
      </c>
      <c r="AJ5496">
        <v>92.685372921948101</v>
      </c>
      <c r="AK5496">
        <v>0.639928497365709</v>
      </c>
      <c r="AL5496">
        <v>70.255547445578799</v>
      </c>
      <c r="AM5496">
        <v>98.767192876698502</v>
      </c>
      <c r="AN5496">
        <v>1.0000000277143</v>
      </c>
    </row>
    <row r="5497" spans="1:40" x14ac:dyDescent="0.25">
      <c r="A5497" t="str">
        <f>"20190304164236850"</f>
        <v>20190304164236850</v>
      </c>
      <c r="B5497" t="str">
        <f>"1551688956847119"</f>
        <v>1551688956847119</v>
      </c>
      <c r="C5497" t="s">
        <v>40</v>
      </c>
      <c r="D5497">
        <v>4.3881059999999996</v>
      </c>
      <c r="E5497">
        <v>0.55611449999999996</v>
      </c>
      <c r="F5497" t="s">
        <v>41</v>
      </c>
      <c r="G5497">
        <v>-422.16129999999998</v>
      </c>
      <c r="H5497">
        <v>1.027917</v>
      </c>
      <c r="I5497">
        <v>74.632419999999996</v>
      </c>
      <c r="J5497">
        <v>-422.17959999999999</v>
      </c>
      <c r="K5497">
        <v>1.1105290000000001</v>
      </c>
      <c r="L5497">
        <v>75.267240000000001</v>
      </c>
      <c r="M5497">
        <v>-1.8711080000000001E-2</v>
      </c>
      <c r="N5497">
        <v>-1.0623779999999999E-2</v>
      </c>
      <c r="O5497">
        <v>-0.99976869999999995</v>
      </c>
      <c r="P5497">
        <v>0.12670870000000001</v>
      </c>
      <c r="Q5497">
        <v>0.32762170000000002</v>
      </c>
      <c r="R5497">
        <v>-0.93627419999999995</v>
      </c>
      <c r="S5497">
        <v>4.6783449999999997E-2</v>
      </c>
      <c r="T5497">
        <v>-0.29365980000000003</v>
      </c>
      <c r="U5497">
        <v>-3.3010250000000001</v>
      </c>
      <c r="V5497">
        <v>-0.1444742</v>
      </c>
      <c r="W5497">
        <v>0.33740819999999999</v>
      </c>
      <c r="X5497">
        <v>0.93020579999999997</v>
      </c>
      <c r="Y5497">
        <v>-3.2818220000000002E-2</v>
      </c>
      <c r="Z5497">
        <v>7.7970330000000004E-2</v>
      </c>
      <c r="AA5497">
        <v>0.99641539999999995</v>
      </c>
      <c r="AB5497">
        <v>31</v>
      </c>
      <c r="AC5497">
        <v>1.8300000000010599E-2</v>
      </c>
      <c r="AD5497">
        <v>-8.2612000000000102E-2</v>
      </c>
      <c r="AE5497">
        <v>-0.63482000000000405</v>
      </c>
      <c r="AF5497">
        <v>-2.96735277727583E-2</v>
      </c>
      <c r="AG5497">
        <v>-8.2612000000000102E-2</v>
      </c>
      <c r="AH5497">
        <v>0.62381095529971198</v>
      </c>
      <c r="AI5497">
        <v>97.535426371772303</v>
      </c>
      <c r="AJ5497">
        <v>92.723400878312503</v>
      </c>
      <c r="AK5497">
        <v>0.629956640370129</v>
      </c>
      <c r="AL5497">
        <v>70.2809531063306</v>
      </c>
      <c r="AM5497">
        <v>98.828313949044798</v>
      </c>
      <c r="AN5497">
        <v>0.99999995912325901</v>
      </c>
    </row>
    <row r="5498" spans="1:40" x14ac:dyDescent="0.25">
      <c r="A5498" t="str">
        <f>"20190304164236872"</f>
        <v>20190304164236872</v>
      </c>
      <c r="B5498" t="str">
        <f>"1551688956866641"</f>
        <v>1551688956866641</v>
      </c>
      <c r="C5498" t="s">
        <v>40</v>
      </c>
      <c r="D5498">
        <v>4.3891429999999998</v>
      </c>
      <c r="E5498">
        <v>0.55606899999999904</v>
      </c>
      <c r="F5498" t="s">
        <v>42</v>
      </c>
      <c r="G5498">
        <v>-421.98090000000002</v>
      </c>
      <c r="H5498" s="1">
        <v>-1.911331E-6</v>
      </c>
      <c r="I5498">
        <v>62.815829999999998</v>
      </c>
      <c r="J5498">
        <v>-422.18509999999998</v>
      </c>
      <c r="K5498">
        <v>1.110592</v>
      </c>
      <c r="L5498">
        <v>74.948459999999997</v>
      </c>
      <c r="M5498">
        <v>-1.8268989999999999E-2</v>
      </c>
      <c r="N5498">
        <v>-1.0950959999999999E-2</v>
      </c>
      <c r="O5498">
        <v>-0.99977320000000003</v>
      </c>
      <c r="P5498">
        <v>0.12754979999999999</v>
      </c>
      <c r="Q5498">
        <v>0.32731949999999999</v>
      </c>
      <c r="R5498">
        <v>-0.93626529999999997</v>
      </c>
      <c r="S5498">
        <v>5.264282E-2</v>
      </c>
      <c r="T5498">
        <v>-0.294328599999999</v>
      </c>
      <c r="U5498">
        <v>-3.300049</v>
      </c>
      <c r="V5498">
        <v>-0.14490610000000001</v>
      </c>
      <c r="W5498">
        <v>0.33740910000000002</v>
      </c>
      <c r="X5498">
        <v>0.93013829999999997</v>
      </c>
      <c r="Y5498">
        <v>-3.4148030000000003E-2</v>
      </c>
      <c r="Z5498">
        <v>7.7868209999999993E-2</v>
      </c>
      <c r="AA5498">
        <v>0.99637869999999995</v>
      </c>
      <c r="AB5498">
        <v>31</v>
      </c>
      <c r="AC5498">
        <v>0.204199999999957</v>
      </c>
      <c r="AD5498">
        <v>-1.1105939113309999</v>
      </c>
      <c r="AE5498">
        <v>-12.132629999999899</v>
      </c>
      <c r="AF5498">
        <v>-0.42229263298956299</v>
      </c>
      <c r="AG5498">
        <v>-1.1105939113309999</v>
      </c>
      <c r="AH5498">
        <v>12.0261337628273</v>
      </c>
      <c r="AI5498">
        <v>95.272975664712703</v>
      </c>
      <c r="AJ5498">
        <v>92.011090909179202</v>
      </c>
      <c r="AK5498">
        <v>12.084686308927401</v>
      </c>
      <c r="AL5498">
        <v>70.280898507107196</v>
      </c>
      <c r="AM5498">
        <v>98.854920646073396</v>
      </c>
      <c r="AN5498">
        <v>0.99999996785345402</v>
      </c>
    </row>
    <row r="5499" spans="1:40" x14ac:dyDescent="0.25">
      <c r="A5499" t="str">
        <f>"20190304164236887"</f>
        <v>20190304164236887</v>
      </c>
      <c r="B5499" t="str">
        <f>"1551688956876401"</f>
        <v>1551688956876401</v>
      </c>
      <c r="C5499" t="s">
        <v>40</v>
      </c>
      <c r="D5499">
        <v>4.4051729999999996</v>
      </c>
      <c r="E5499">
        <v>0.55606250000000002</v>
      </c>
      <c r="F5499" t="s">
        <v>42</v>
      </c>
      <c r="G5499">
        <v>-421.97280000000001</v>
      </c>
      <c r="H5499" s="1">
        <v>-1.8863409999999999E-6</v>
      </c>
      <c r="I5499">
        <v>62.762599999999999</v>
      </c>
      <c r="J5499">
        <v>-422.18860000000001</v>
      </c>
      <c r="K5499">
        <v>1.1106320000000001</v>
      </c>
      <c r="L5499">
        <v>74.739140000000006</v>
      </c>
      <c r="M5499">
        <v>-1.7975370000000001E-2</v>
      </c>
      <c r="N5499">
        <v>-1.1182620000000001E-2</v>
      </c>
      <c r="O5499">
        <v>-0.99977579999999999</v>
      </c>
      <c r="P5499">
        <v>0.12781529999999999</v>
      </c>
      <c r="Q5499">
        <v>0.32708090000000001</v>
      </c>
      <c r="R5499">
        <v>-0.9363127</v>
      </c>
      <c r="S5499">
        <v>5.7495119999999997E-2</v>
      </c>
      <c r="T5499">
        <v>-0.30089870000000002</v>
      </c>
      <c r="U5499">
        <v>-3.3015750000000001</v>
      </c>
      <c r="V5499">
        <v>-0.14489759999999999</v>
      </c>
      <c r="W5499">
        <v>0.337387099999999</v>
      </c>
      <c r="X5499">
        <v>0.93014759999999996</v>
      </c>
      <c r="Y5499">
        <v>-3.5307350000000001E-2</v>
      </c>
      <c r="Z5499">
        <v>7.9560779999999998E-2</v>
      </c>
      <c r="AA5499">
        <v>0.9962046</v>
      </c>
      <c r="AB5499">
        <v>31</v>
      </c>
      <c r="AC5499">
        <v>0.21580000000000099</v>
      </c>
      <c r="AD5499">
        <v>-1.1106338863409999</v>
      </c>
      <c r="AE5499">
        <v>-11.97654</v>
      </c>
      <c r="AF5499">
        <v>-0.42738717540103799</v>
      </c>
      <c r="AG5499">
        <v>-1.1106338863409999</v>
      </c>
      <c r="AH5499">
        <v>11.868692300849499</v>
      </c>
      <c r="AI5499">
        <v>95.342543353433896</v>
      </c>
      <c r="AJ5499">
        <v>92.062308527765296</v>
      </c>
      <c r="AK5499">
        <v>11.9282028973115</v>
      </c>
      <c r="AL5499">
        <v>70.282237447885805</v>
      </c>
      <c r="AM5499">
        <v>98.854322331607506</v>
      </c>
      <c r="AN5499">
        <v>0.99999996375896405</v>
      </c>
    </row>
    <row r="5500" spans="1:40" x14ac:dyDescent="0.25">
      <c r="A5500" t="str">
        <f>"20190304164236901"</f>
        <v>20190304164236901</v>
      </c>
      <c r="B5500" t="str">
        <f>"1551688956896897"</f>
        <v>1551688956896897</v>
      </c>
      <c r="C5500" t="s">
        <v>40</v>
      </c>
      <c r="D5500">
        <v>4.3899889999999999</v>
      </c>
      <c r="E5500">
        <v>0.55600050000000001</v>
      </c>
      <c r="F5500" t="s">
        <v>41</v>
      </c>
      <c r="G5500">
        <v>-422.1721</v>
      </c>
      <c r="H5500">
        <v>1.025004</v>
      </c>
      <c r="I5500">
        <v>73.808840000000004</v>
      </c>
      <c r="J5500">
        <v>-422.19200000000001</v>
      </c>
      <c r="K5500">
        <v>1.1106640000000001</v>
      </c>
      <c r="L5500">
        <v>74.535709999999995</v>
      </c>
      <c r="M5500">
        <v>-1.768832E-2</v>
      </c>
      <c r="N5500">
        <v>-1.140971E-2</v>
      </c>
      <c r="O5500">
        <v>-0.99977870000000002</v>
      </c>
      <c r="P5500">
        <v>0.1280424</v>
      </c>
      <c r="Q5500">
        <v>0.32692749999999998</v>
      </c>
      <c r="R5500">
        <v>-0.93633529999999998</v>
      </c>
      <c r="S5500">
        <v>5.960083E-2</v>
      </c>
      <c r="T5500">
        <v>-0.30399720000000002</v>
      </c>
      <c r="U5500">
        <v>-3.3021240000000001</v>
      </c>
      <c r="V5500">
        <v>-0.14485479999999901</v>
      </c>
      <c r="W5500">
        <v>0.33744639999999998</v>
      </c>
      <c r="X5500">
        <v>0.93013279999999998</v>
      </c>
      <c r="Y5500">
        <v>-3.5650790000000002E-2</v>
      </c>
      <c r="Z5500">
        <v>8.0245960000000005E-2</v>
      </c>
      <c r="AA5500">
        <v>0.9961373</v>
      </c>
      <c r="AB5500">
        <v>31</v>
      </c>
      <c r="AC5500">
        <v>1.9899999999949999E-2</v>
      </c>
      <c r="AD5500">
        <v>-8.5659999999999806E-2</v>
      </c>
      <c r="AE5500">
        <v>-0.72686999999999002</v>
      </c>
      <c r="AF5500">
        <v>-3.2306489567190601E-2</v>
      </c>
      <c r="AG5500">
        <v>-8.5659999999999806E-2</v>
      </c>
      <c r="AH5500">
        <v>0.71646141459077906</v>
      </c>
      <c r="AI5500">
        <v>96.811054150946703</v>
      </c>
      <c r="AJ5500">
        <v>92.581817320595604</v>
      </c>
      <c r="AK5500">
        <v>0.722286856772</v>
      </c>
      <c r="AL5500">
        <v>70.278629004993107</v>
      </c>
      <c r="AM5500">
        <v>98.851886972489297</v>
      </c>
      <c r="AN5500">
        <v>1.00000000579592</v>
      </c>
    </row>
    <row r="5501" spans="1:40" x14ac:dyDescent="0.25">
      <c r="A5501" t="str">
        <f>"20190304164236915"</f>
        <v>20190304164236915</v>
      </c>
      <c r="B5501" t="str">
        <f>"1551688956906658"</f>
        <v>1551688956906658</v>
      </c>
      <c r="C5501" t="s">
        <v>40</v>
      </c>
      <c r="D5501">
        <v>4.3952849999999897</v>
      </c>
      <c r="E5501">
        <v>0.55598000000000003</v>
      </c>
      <c r="F5501" t="s">
        <v>42</v>
      </c>
      <c r="G5501">
        <v>-421.97050000000002</v>
      </c>
      <c r="H5501" s="1">
        <v>-1.8330000000000001E-6</v>
      </c>
      <c r="I5501">
        <v>62.639690000000002</v>
      </c>
      <c r="J5501">
        <v>-422.19510000000002</v>
      </c>
      <c r="K5501">
        <v>1.1106959999999999</v>
      </c>
      <c r="L5501">
        <v>74.344480000000004</v>
      </c>
      <c r="M5501">
        <v>-1.7420649999999999E-2</v>
      </c>
      <c r="N5501">
        <v>-1.1612920000000001E-2</v>
      </c>
      <c r="O5501">
        <v>-0.99978109999999998</v>
      </c>
      <c r="P5501">
        <v>0.1285539</v>
      </c>
      <c r="Q5501">
        <v>0.326548</v>
      </c>
      <c r="R5501">
        <v>-0.93639799999999995</v>
      </c>
      <c r="S5501">
        <v>6.149292E-2</v>
      </c>
      <c r="T5501">
        <v>-0.30840679999999998</v>
      </c>
      <c r="U5501">
        <v>-3.3032530000000002</v>
      </c>
      <c r="V5501">
        <v>-0.14511669999999999</v>
      </c>
      <c r="W5501">
        <v>0.33725690000000003</v>
      </c>
      <c r="X5501">
        <v>0.93016069999999995</v>
      </c>
      <c r="Y5501">
        <v>-3.5945020000000001E-2</v>
      </c>
      <c r="Z5501">
        <v>8.1330340000000001E-2</v>
      </c>
      <c r="AA5501">
        <v>0.9960388</v>
      </c>
      <c r="AB5501">
        <v>31</v>
      </c>
      <c r="AC5501">
        <v>0.22460000000000899</v>
      </c>
      <c r="AD5501">
        <v>-1.1106978329999999</v>
      </c>
      <c r="AE5501">
        <v>-11.704789999999999</v>
      </c>
      <c r="AF5501">
        <v>-0.424662146113922</v>
      </c>
      <c r="AG5501">
        <v>-1.1106978329999999</v>
      </c>
      <c r="AH5501">
        <v>11.594733061150301</v>
      </c>
      <c r="AI5501">
        <v>95.468211650895199</v>
      </c>
      <c r="AJ5501">
        <v>92.097545305393098</v>
      </c>
      <c r="AK5501">
        <v>11.6555489949597</v>
      </c>
      <c r="AL5501">
        <v>70.290162565494498</v>
      </c>
      <c r="AM5501">
        <v>98.867375452748405</v>
      </c>
      <c r="AN5501">
        <v>1.0000000005204901</v>
      </c>
    </row>
    <row r="5502" spans="1:40" x14ac:dyDescent="0.25">
      <c r="A5502" t="str">
        <f>"20190304164236932"</f>
        <v>20190304164236932</v>
      </c>
      <c r="B5502" t="str">
        <f>"1551688956927154"</f>
        <v>1551688956927154</v>
      </c>
      <c r="C5502" t="s">
        <v>40</v>
      </c>
      <c r="D5502">
        <v>4.3929280000000004</v>
      </c>
      <c r="E5502">
        <v>0.55595509999999904</v>
      </c>
      <c r="F5502" t="s">
        <v>42</v>
      </c>
      <c r="G5502">
        <v>-421.96879999999999</v>
      </c>
      <c r="H5502" s="1">
        <v>-1.795309E-6</v>
      </c>
      <c r="I5502">
        <v>62.55294</v>
      </c>
      <c r="J5502">
        <v>-422.1986</v>
      </c>
      <c r="K5502">
        <v>1.1107279999999999</v>
      </c>
      <c r="L5502">
        <v>74.126800000000003</v>
      </c>
      <c r="M5502">
        <v>-1.7119990000000002E-2</v>
      </c>
      <c r="N5502">
        <v>-1.183502E-2</v>
      </c>
      <c r="O5502">
        <v>-0.99978350000000005</v>
      </c>
      <c r="P5502">
        <v>0.12876469999999901</v>
      </c>
      <c r="Q5502">
        <v>0.32617469999999998</v>
      </c>
      <c r="R5502">
        <v>-0.93649910000000003</v>
      </c>
      <c r="S5502">
        <v>6.3415529999999998E-2</v>
      </c>
      <c r="T5502">
        <v>-0.31117990000000001</v>
      </c>
      <c r="U5502">
        <v>-3.3035890000000001</v>
      </c>
      <c r="V5502">
        <v>-0.1450487</v>
      </c>
      <c r="W5502">
        <v>0.33709220000000001</v>
      </c>
      <c r="X5502">
        <v>0.93023100000000003</v>
      </c>
      <c r="Y5502">
        <v>-3.622036E-2</v>
      </c>
      <c r="Z5502">
        <v>8.1928070000000006E-2</v>
      </c>
      <c r="AA5502">
        <v>0.99597979999999997</v>
      </c>
      <c r="AB5502">
        <v>31</v>
      </c>
      <c r="AC5502">
        <v>0.229800000000011</v>
      </c>
      <c r="AD5502">
        <v>-1.1107297953090001</v>
      </c>
      <c r="AE5502">
        <v>-11.57386</v>
      </c>
      <c r="AF5502">
        <v>-0.42402084148368102</v>
      </c>
      <c r="AG5502">
        <v>-1.1107297953090001</v>
      </c>
      <c r="AH5502">
        <v>11.462699033421799</v>
      </c>
      <c r="AI5502">
        <v>95.530893579797194</v>
      </c>
      <c r="AJ5502">
        <v>92.118482950583697</v>
      </c>
      <c r="AK5502">
        <v>11.524191229019401</v>
      </c>
      <c r="AL5502">
        <v>70.300186026411197</v>
      </c>
      <c r="AM5502">
        <v>98.862627102764904</v>
      </c>
      <c r="AN5502">
        <v>0.99999999501676495</v>
      </c>
    </row>
    <row r="5503" spans="1:40" x14ac:dyDescent="0.25">
      <c r="A5503" t="str">
        <f>"20190304164236945"</f>
        <v>20190304164236945</v>
      </c>
      <c r="B5503" t="str">
        <f>"1551688956936914"</f>
        <v>1551688956936914</v>
      </c>
      <c r="C5503" t="s">
        <v>40</v>
      </c>
      <c r="D5503">
        <v>4.4251889999999996</v>
      </c>
      <c r="E5503">
        <v>0.555961699999999</v>
      </c>
      <c r="F5503" t="s">
        <v>41</v>
      </c>
      <c r="G5503">
        <v>-422.18189999999998</v>
      </c>
      <c r="H5503">
        <v>1.026737</v>
      </c>
      <c r="I5503">
        <v>73.247380000000007</v>
      </c>
      <c r="J5503">
        <v>-422.20170000000002</v>
      </c>
      <c r="K5503">
        <v>1.110741</v>
      </c>
      <c r="L5503">
        <v>73.933199999999999</v>
      </c>
      <c r="M5503">
        <v>-1.6856090000000001E-2</v>
      </c>
      <c r="N5503">
        <v>-1.202364E-2</v>
      </c>
      <c r="O5503">
        <v>-0.99978579999999995</v>
      </c>
      <c r="P5503">
        <v>0.1288328</v>
      </c>
      <c r="Q5503">
        <v>0.32611770000000001</v>
      </c>
      <c r="R5503">
        <v>-0.93650929999999999</v>
      </c>
      <c r="S5503">
        <v>6.4056399999999999E-2</v>
      </c>
      <c r="T5503">
        <v>-0.31568839999999998</v>
      </c>
      <c r="U5503">
        <v>-3.3045650000000002</v>
      </c>
      <c r="V5503">
        <v>-0.14487139999999901</v>
      </c>
      <c r="W5503">
        <v>0.33721069999999997</v>
      </c>
      <c r="X5503">
        <v>0.93021569999999998</v>
      </c>
      <c r="Y5503">
        <v>-3.614158E-2</v>
      </c>
      <c r="Z5503">
        <v>8.3059850000000005E-2</v>
      </c>
      <c r="AA5503">
        <v>0.99588889999999997</v>
      </c>
      <c r="AB5503">
        <v>31</v>
      </c>
      <c r="AC5503">
        <v>1.9800000000032E-2</v>
      </c>
      <c r="AD5503">
        <v>-8.4003999999999898E-2</v>
      </c>
      <c r="AE5503">
        <v>-0.68581999999999199</v>
      </c>
      <c r="AF5503">
        <v>-3.0895128686393599E-2</v>
      </c>
      <c r="AG5503">
        <v>-8.4003999999999898E-2</v>
      </c>
      <c r="AH5503">
        <v>0.67526615751957497</v>
      </c>
      <c r="AI5503">
        <v>97.083904571356996</v>
      </c>
      <c r="AJ5503">
        <v>92.619599480339502</v>
      </c>
      <c r="AK5503">
        <v>0.68117219884827995</v>
      </c>
      <c r="AL5503">
        <v>70.292974610782494</v>
      </c>
      <c r="AM5503">
        <v>98.8521088436366</v>
      </c>
      <c r="AN5503">
        <v>1.00000001362947</v>
      </c>
    </row>
    <row r="5504" spans="1:40" x14ac:dyDescent="0.25">
      <c r="A5504" t="str">
        <f>"20190304164236959"</f>
        <v>20190304164236959</v>
      </c>
      <c r="B5504" t="str">
        <f>"1551688956946674"</f>
        <v>1551688956946674</v>
      </c>
      <c r="C5504" t="s">
        <v>40</v>
      </c>
      <c r="D5504">
        <v>4.4457459999999998</v>
      </c>
      <c r="E5504">
        <v>0.55598429999999999</v>
      </c>
      <c r="F5504" t="s">
        <v>41</v>
      </c>
      <c r="G5504">
        <v>-422.18310000000002</v>
      </c>
      <c r="H5504">
        <v>1.019711</v>
      </c>
      <c r="I5504">
        <v>72.984759999999994</v>
      </c>
      <c r="J5504">
        <v>-422.20460000000003</v>
      </c>
      <c r="K5504">
        <v>1.1107590000000001</v>
      </c>
      <c r="L5504">
        <v>73.744019999999907</v>
      </c>
      <c r="M5504">
        <v>-1.6601350000000001E-2</v>
      </c>
      <c r="N5504">
        <v>-1.219782E-2</v>
      </c>
      <c r="O5504">
        <v>-0.99978800000000001</v>
      </c>
      <c r="P5504">
        <v>0.1288916</v>
      </c>
      <c r="Q5504">
        <v>0.325891599999999</v>
      </c>
      <c r="R5504">
        <v>-0.93658010000000003</v>
      </c>
      <c r="S5504">
        <v>6.4453129999999997E-2</v>
      </c>
      <c r="T5504">
        <v>-0.31719370000000002</v>
      </c>
      <c r="U5504">
        <v>-3.3049620000000002</v>
      </c>
      <c r="V5504">
        <v>-0.1446952</v>
      </c>
      <c r="W5504">
        <v>0.3371479</v>
      </c>
      <c r="X5504">
        <v>0.93026589999999998</v>
      </c>
      <c r="Y5504">
        <v>-3.6003350000000003E-2</v>
      </c>
      <c r="Z5504">
        <v>8.3325200000000002E-2</v>
      </c>
      <c r="AA5504">
        <v>0.99587179999999997</v>
      </c>
      <c r="AB5504">
        <v>31</v>
      </c>
      <c r="AC5504">
        <v>2.15000000000031E-2</v>
      </c>
      <c r="AD5504">
        <v>-9.1048000000000004E-2</v>
      </c>
      <c r="AE5504">
        <v>-0.75925999999999705</v>
      </c>
      <c r="AF5504">
        <v>-3.3619648475377302E-2</v>
      </c>
      <c r="AG5504">
        <v>-9.1048000000000004E-2</v>
      </c>
      <c r="AH5504">
        <v>0.74805003095735401</v>
      </c>
      <c r="AI5504">
        <v>96.932622609122106</v>
      </c>
      <c r="AJ5504">
        <v>92.573315309265098</v>
      </c>
      <c r="AK5504">
        <v>0.75432013620405702</v>
      </c>
      <c r="AL5504">
        <v>70.296796854278895</v>
      </c>
      <c r="AM5504">
        <v>98.841043085364902</v>
      </c>
      <c r="AN5504">
        <v>1.0000000260401201</v>
      </c>
    </row>
    <row r="5505" spans="1:40" x14ac:dyDescent="0.25">
      <c r="A5505" t="str">
        <f>"20190304164236972"</f>
        <v>20190304164236972</v>
      </c>
      <c r="B5505" t="str">
        <f>"1551688956967170"</f>
        <v>1551688956967170</v>
      </c>
      <c r="C5505" t="s">
        <v>40</v>
      </c>
      <c r="D5505">
        <v>4.4273829999999998</v>
      </c>
      <c r="E5505">
        <v>0.55603049999999998</v>
      </c>
      <c r="F5505" t="s">
        <v>42</v>
      </c>
      <c r="G5505">
        <v>-421.98250000000002</v>
      </c>
      <c r="H5505" s="1">
        <v>-1.668479E-6</v>
      </c>
      <c r="I5505">
        <v>62.248739999999998</v>
      </c>
      <c r="J5505">
        <v>-422.2072</v>
      </c>
      <c r="K5505">
        <v>1.110773</v>
      </c>
      <c r="L5505">
        <v>73.566559999999996</v>
      </c>
      <c r="M5505">
        <v>-1.6363949999999999E-2</v>
      </c>
      <c r="N5505">
        <v>-1.2350450000000001E-2</v>
      </c>
      <c r="O5505">
        <v>-0.99978990000000001</v>
      </c>
      <c r="P5505">
        <v>0.1282519</v>
      </c>
      <c r="Q5505">
        <v>0.32608569999999998</v>
      </c>
      <c r="R5505">
        <v>-0.93660030000000005</v>
      </c>
      <c r="S5505">
        <v>6.3842769999999993E-2</v>
      </c>
      <c r="T5505">
        <v>-0.31940380000000002</v>
      </c>
      <c r="U5505">
        <v>-3.3055110000000001</v>
      </c>
      <c r="V5505">
        <v>-0.14383560000000001</v>
      </c>
      <c r="W5505">
        <v>0.33748460000000002</v>
      </c>
      <c r="X5505">
        <v>0.93027709999999997</v>
      </c>
      <c r="Y5505">
        <v>-3.5578070000000003E-2</v>
      </c>
      <c r="Z5505">
        <v>8.3818550000000006E-2</v>
      </c>
      <c r="AA5505">
        <v>0.99584569999999994</v>
      </c>
      <c r="AB5505">
        <v>31</v>
      </c>
      <c r="AC5505">
        <v>0.224699999999984</v>
      </c>
      <c r="AD5505">
        <v>-1.1107746684790001</v>
      </c>
      <c r="AE5505">
        <v>-11.3178199999999</v>
      </c>
      <c r="AF5505">
        <v>-0.405979319952324</v>
      </c>
      <c r="AG5505">
        <v>-1.1107746684790001</v>
      </c>
      <c r="AH5505">
        <v>11.2047430516915</v>
      </c>
      <c r="AI5505">
        <v>95.657792156226094</v>
      </c>
      <c r="AJ5505">
        <v>92.075079313084601</v>
      </c>
      <c r="AK5505">
        <v>11.266983022388599</v>
      </c>
      <c r="AL5505">
        <v>70.276303975612095</v>
      </c>
      <c r="AM5505">
        <v>98.789238880859898</v>
      </c>
      <c r="AN5505">
        <v>1.0000000089244601</v>
      </c>
    </row>
    <row r="5506" spans="1:40" x14ac:dyDescent="0.25">
      <c r="A5506" t="str">
        <f>"20190304164236987"</f>
        <v>20190304164236987</v>
      </c>
      <c r="B5506" t="str">
        <f>"1551688956976930"</f>
        <v>1551688956976930</v>
      </c>
      <c r="C5506" t="s">
        <v>40</v>
      </c>
      <c r="D5506">
        <v>4.3896670000000002</v>
      </c>
      <c r="E5506">
        <v>0.55609989999999998</v>
      </c>
      <c r="F5506" t="s">
        <v>41</v>
      </c>
      <c r="G5506">
        <v>-422.19170000000003</v>
      </c>
      <c r="H5506">
        <v>1.0269159999999999</v>
      </c>
      <c r="I5506">
        <v>72.701999999999998</v>
      </c>
      <c r="J5506">
        <v>-422.21050000000002</v>
      </c>
      <c r="K5506">
        <v>1.1107910000000001</v>
      </c>
      <c r="L5506">
        <v>73.353999999999999</v>
      </c>
      <c r="M5506">
        <v>-1.6079880000000001E-2</v>
      </c>
      <c r="N5506">
        <v>-1.25238E-2</v>
      </c>
      <c r="O5506">
        <v>-0.99979229999999997</v>
      </c>
      <c r="P5506">
        <v>0.12823609999999999</v>
      </c>
      <c r="Q5506">
        <v>0.32522139999999999</v>
      </c>
      <c r="R5506">
        <v>-0.93690260000000003</v>
      </c>
      <c r="S5506">
        <v>6.063843E-2</v>
      </c>
      <c r="T5506">
        <v>-0.32076589999999999</v>
      </c>
      <c r="U5506">
        <v>-3.3064269999999998</v>
      </c>
      <c r="V5506">
        <v>-0.14355979999999999</v>
      </c>
      <c r="W5506">
        <v>0.33678560000000002</v>
      </c>
      <c r="X5506">
        <v>0.93057299999999998</v>
      </c>
      <c r="Y5506">
        <v>-3.432412E-2</v>
      </c>
      <c r="Z5506">
        <v>8.4029610000000005E-2</v>
      </c>
      <c r="AA5506">
        <v>0.99587190000000003</v>
      </c>
      <c r="AB5506">
        <v>31</v>
      </c>
      <c r="AC5506">
        <v>1.87999999999988E-2</v>
      </c>
      <c r="AD5506">
        <v>-8.3875000000000102E-2</v>
      </c>
      <c r="AE5506">
        <v>-0.65200000000000102</v>
      </c>
      <c r="AF5506">
        <v>-2.8806157731067299E-2</v>
      </c>
      <c r="AG5506">
        <v>-8.3875000000000102E-2</v>
      </c>
      <c r="AH5506">
        <v>0.64101408087574696</v>
      </c>
      <c r="AI5506">
        <v>97.447218817336605</v>
      </c>
      <c r="AJ5506">
        <v>92.573050475040006</v>
      </c>
      <c r="AK5506">
        <v>0.64711966608132598</v>
      </c>
      <c r="AL5506">
        <v>70.318844670592597</v>
      </c>
      <c r="AM5506">
        <v>98.769902091988499</v>
      </c>
      <c r="AN5506">
        <v>1.00000003243619</v>
      </c>
    </row>
    <row r="5507" spans="1:40" x14ac:dyDescent="0.25">
      <c r="A5507" t="str">
        <f>"20190304164237006"</f>
        <v>20190304164237006</v>
      </c>
      <c r="B5507" t="str">
        <f>"1551688956996449"</f>
        <v>1551688956996449</v>
      </c>
      <c r="C5507" t="s">
        <v>40</v>
      </c>
      <c r="D5507">
        <v>4.5936469999999998</v>
      </c>
      <c r="E5507">
        <v>0.572457199999999</v>
      </c>
      <c r="F5507" t="s">
        <v>41</v>
      </c>
      <c r="G5507">
        <v>-422.19389999999999</v>
      </c>
      <c r="H5507">
        <v>1.020605</v>
      </c>
      <c r="I5507">
        <v>72.434359999999998</v>
      </c>
      <c r="J5507">
        <v>-422.21409999999997</v>
      </c>
      <c r="K5507">
        <v>1.1108</v>
      </c>
      <c r="L5507">
        <v>73.107209999999995</v>
      </c>
      <c r="M5507">
        <v>-1.574921E-2</v>
      </c>
      <c r="N5507">
        <v>-1.2709059999999999E-2</v>
      </c>
      <c r="O5507">
        <v>-0.9997954</v>
      </c>
      <c r="P5507">
        <v>0.12832089999999999</v>
      </c>
      <c r="Q5507">
        <v>0.32543499999999997</v>
      </c>
      <c r="R5507">
        <v>-0.93681720000000002</v>
      </c>
      <c r="S5507">
        <v>5.9570310000000001E-2</v>
      </c>
      <c r="T5507">
        <v>-0.32427640000000002</v>
      </c>
      <c r="U5507">
        <v>-3.3064580000000001</v>
      </c>
      <c r="V5507">
        <v>-0.14333460000000001</v>
      </c>
      <c r="W5507">
        <v>0.3371712</v>
      </c>
      <c r="X5507">
        <v>0.93046799999999996</v>
      </c>
      <c r="Y5507">
        <v>-3.3670369999999998E-2</v>
      </c>
      <c r="Z5507">
        <v>8.4893689999999994E-2</v>
      </c>
      <c r="AA5507">
        <v>0.99582090000000001</v>
      </c>
      <c r="AB5507">
        <v>31</v>
      </c>
      <c r="AC5507">
        <v>2.0199999999988401E-2</v>
      </c>
      <c r="AD5507">
        <v>-9.0194999999999997E-2</v>
      </c>
      <c r="AE5507">
        <v>-0.67284999999999595</v>
      </c>
      <c r="AF5507">
        <v>-3.0252088096772801E-2</v>
      </c>
      <c r="AG5507">
        <v>-9.0194999999999997E-2</v>
      </c>
      <c r="AH5507">
        <v>0.66058882096895599</v>
      </c>
      <c r="AI5507">
        <v>97.766892399615301</v>
      </c>
      <c r="AJ5507">
        <v>92.622064905265901</v>
      </c>
      <c r="AK5507">
        <v>0.66740386367504001</v>
      </c>
      <c r="AL5507">
        <v>70.295377527035896</v>
      </c>
      <c r="AM5507">
        <v>98.757331067150005</v>
      </c>
      <c r="AN5507">
        <v>0.99999996234529898</v>
      </c>
    </row>
    <row r="5508" spans="1:40" x14ac:dyDescent="0.25">
      <c r="A5508" t="str">
        <f>"20190304164237028"</f>
        <v>20190304164237028</v>
      </c>
      <c r="B5508" t="str">
        <f>"1551688957016946"</f>
        <v>1551688957016946</v>
      </c>
      <c r="C5508" t="s">
        <v>40</v>
      </c>
      <c r="D5508">
        <v>4.4921769999999999</v>
      </c>
      <c r="E5508">
        <v>0.57805039999999996</v>
      </c>
      <c r="F5508" t="s">
        <v>41</v>
      </c>
      <c r="G5508">
        <v>-422.23349999999999</v>
      </c>
      <c r="H5508">
        <v>1.0116940000000001</v>
      </c>
      <c r="I5508">
        <v>72.167500000000004</v>
      </c>
      <c r="J5508">
        <v>-422.21850000000001</v>
      </c>
      <c r="K5508">
        <v>1.110819</v>
      </c>
      <c r="L5508">
        <v>72.798739999999995</v>
      </c>
      <c r="M5508">
        <v>-1.5333400000000001E-2</v>
      </c>
      <c r="N5508">
        <v>-1.29157E-2</v>
      </c>
      <c r="O5508">
        <v>-0.99979899999999999</v>
      </c>
      <c r="P5508">
        <v>0.12853539999999999</v>
      </c>
      <c r="Q5508">
        <v>0.32579540000000001</v>
      </c>
      <c r="R5508">
        <v>-0.93666229999999995</v>
      </c>
      <c r="S5508">
        <v>-6.8145750000000005E-2</v>
      </c>
      <c r="T5508">
        <v>-0.35164459999999997</v>
      </c>
      <c r="U5508">
        <v>-3.3338320000000001</v>
      </c>
      <c r="V5508">
        <v>-0.1431576</v>
      </c>
      <c r="W5508">
        <v>0.337723299999999</v>
      </c>
      <c r="X5508">
        <v>0.93029510000000004</v>
      </c>
      <c r="Y5508">
        <v>5.0119250000000004E-3</v>
      </c>
      <c r="Z5508">
        <v>9.2014609999999997E-2</v>
      </c>
      <c r="AA5508">
        <v>0.99574510000000005</v>
      </c>
      <c r="AB5508">
        <v>31</v>
      </c>
      <c r="AC5508">
        <v>-1.49999999999863E-2</v>
      </c>
      <c r="AD5508">
        <v>-9.9124999999999894E-2</v>
      </c>
      <c r="AE5508">
        <v>-0.63124000000000502</v>
      </c>
      <c r="AF5508">
        <v>5.1904535512611498E-3</v>
      </c>
      <c r="AG5508">
        <v>-9.9124999999999894E-2</v>
      </c>
      <c r="AH5508">
        <v>0.61620920259480705</v>
      </c>
      <c r="AI5508">
        <v>99.138140095692506</v>
      </c>
      <c r="AJ5508">
        <v>89.517397585164403</v>
      </c>
      <c r="AK5508">
        <v>0.62415261578847503</v>
      </c>
      <c r="AL5508">
        <v>70.261775250329706</v>
      </c>
      <c r="AM5508">
        <v>98.7482846795928</v>
      </c>
      <c r="AN5508">
        <v>1.00000004944232</v>
      </c>
    </row>
    <row r="5509" spans="1:40" x14ac:dyDescent="0.25">
      <c r="A5509" t="str">
        <f>"20190304164237050"</f>
        <v>20190304164237050</v>
      </c>
      <c r="B5509" t="str">
        <f>"1551688957047203"</f>
        <v>1551688957047203</v>
      </c>
      <c r="C5509" t="s">
        <v>40</v>
      </c>
      <c r="D5509">
        <v>4.4042120000000002</v>
      </c>
      <c r="E5509">
        <v>0.58123309999999995</v>
      </c>
      <c r="F5509" t="s">
        <v>41</v>
      </c>
      <c r="G5509">
        <v>-422.24869999999999</v>
      </c>
      <c r="H5509">
        <v>1.0147809999999999</v>
      </c>
      <c r="I5509">
        <v>71.892069999999904</v>
      </c>
      <c r="J5509">
        <v>-422.22269999999997</v>
      </c>
      <c r="K5509">
        <v>1.1108420000000001</v>
      </c>
      <c r="L5509">
        <v>72.497039999999998</v>
      </c>
      <c r="M5509">
        <v>-1.492507E-2</v>
      </c>
      <c r="N5509">
        <v>-1.3094339999999999E-2</v>
      </c>
      <c r="O5509">
        <v>-0.999803</v>
      </c>
      <c r="P5509">
        <v>0.1295367</v>
      </c>
      <c r="Q5509">
        <v>0.32683600000000002</v>
      </c>
      <c r="R5509">
        <v>-0.93616160000000004</v>
      </c>
      <c r="S5509">
        <v>-0.1113586</v>
      </c>
      <c r="T5509">
        <v>-0.35390060000000001</v>
      </c>
      <c r="U5509">
        <v>-3.3412480000000002</v>
      </c>
      <c r="V5509">
        <v>-0.14376949999999999</v>
      </c>
      <c r="W5509">
        <v>0.33892359999999999</v>
      </c>
      <c r="X5509">
        <v>0.92976400000000003</v>
      </c>
      <c r="Y5509">
        <v>1.8231870000000001E-2</v>
      </c>
      <c r="Z5509">
        <v>9.2247019999999999E-2</v>
      </c>
      <c r="AA5509">
        <v>0.99556920000000004</v>
      </c>
      <c r="AB5509">
        <v>31</v>
      </c>
      <c r="AC5509">
        <v>-2.60000000000104E-2</v>
      </c>
      <c r="AD5509">
        <v>-9.6061000000000105E-2</v>
      </c>
      <c r="AE5509">
        <v>-0.604970000000008</v>
      </c>
      <c r="AF5509">
        <v>1.6550588307457099E-2</v>
      </c>
      <c r="AG5509">
        <v>-9.6061000000000105E-2</v>
      </c>
      <c r="AH5509">
        <v>0.59043151599573596</v>
      </c>
      <c r="AI5509">
        <v>99.237275703252493</v>
      </c>
      <c r="AJ5509">
        <v>88.394342819058494</v>
      </c>
      <c r="AK5509">
        <v>0.59842377357132603</v>
      </c>
      <c r="AL5509">
        <v>70.188692168271103</v>
      </c>
      <c r="AM5509">
        <v>98.790035334193306</v>
      </c>
      <c r="AN5509">
        <v>0.99999998573160498</v>
      </c>
    </row>
    <row r="5510" spans="1:40" x14ac:dyDescent="0.25">
      <c r="A5510" t="str">
        <f>"20190304164237065"</f>
        <v>20190304164237065</v>
      </c>
      <c r="B5510" t="str">
        <f>"1551688957056961"</f>
        <v>1551688957056961</v>
      </c>
      <c r="C5510" t="s">
        <v>40</v>
      </c>
      <c r="D5510">
        <v>4.4280359999999996</v>
      </c>
      <c r="E5510">
        <v>0.58177259999999997</v>
      </c>
      <c r="F5510" t="s">
        <v>41</v>
      </c>
      <c r="G5510">
        <v>-422.25799999999998</v>
      </c>
      <c r="H5510">
        <v>1.0179260000000001</v>
      </c>
      <c r="I5510">
        <v>71.616720000000001</v>
      </c>
      <c r="J5510">
        <v>-422.22550000000001</v>
      </c>
      <c r="K5510">
        <v>1.110849</v>
      </c>
      <c r="L5510">
        <v>72.287509999999997</v>
      </c>
      <c r="M5510">
        <v>-1.464115E-2</v>
      </c>
      <c r="N5510">
        <v>-1.3206600000000001E-2</v>
      </c>
      <c r="O5510">
        <v>-0.99980590000000003</v>
      </c>
      <c r="P5510">
        <v>0.13007389999999999</v>
      </c>
      <c r="Q5510">
        <v>0.32693410000000001</v>
      </c>
      <c r="R5510">
        <v>-0.93605300000000002</v>
      </c>
      <c r="S5510">
        <v>-0.13314819999999999</v>
      </c>
      <c r="T5510">
        <v>-0.35324609999999901</v>
      </c>
      <c r="U5510">
        <v>-3.3463129999999999</v>
      </c>
      <c r="V5510">
        <v>-0.144039</v>
      </c>
      <c r="W5510">
        <v>0.33912550000000002</v>
      </c>
      <c r="X5510">
        <v>0.92964869999999999</v>
      </c>
      <c r="Y5510">
        <v>2.4935559999999999E-2</v>
      </c>
      <c r="Z5510">
        <v>9.1766310000000004E-2</v>
      </c>
      <c r="AA5510">
        <v>0.99546829999999997</v>
      </c>
      <c r="AB5510">
        <v>31</v>
      </c>
      <c r="AC5510">
        <v>-3.2500000000027202E-2</v>
      </c>
      <c r="AD5510">
        <v>-9.2922999999999797E-2</v>
      </c>
      <c r="AE5510">
        <v>-0.670789999999996</v>
      </c>
      <c r="AF5510">
        <v>2.2248576594957201E-2</v>
      </c>
      <c r="AG5510">
        <v>-9.2922999999999797E-2</v>
      </c>
      <c r="AH5510">
        <v>0.65858535998378198</v>
      </c>
      <c r="AI5510">
        <v>98.026606161390504</v>
      </c>
      <c r="AJ5510">
        <v>88.065148403174007</v>
      </c>
      <c r="AK5510">
        <v>0.665480547780677</v>
      </c>
      <c r="AL5510">
        <v>70.176396682764803</v>
      </c>
      <c r="AM5510">
        <v>98.807329544453495</v>
      </c>
      <c r="AN5510">
        <v>1.00000002184146</v>
      </c>
    </row>
    <row r="5511" spans="1:40" x14ac:dyDescent="0.25">
      <c r="A5511" t="str">
        <f>"20190304164237084"</f>
        <v>20190304164237084</v>
      </c>
      <c r="B5511" t="str">
        <f>"1551688957076481"</f>
        <v>1551688957076481</v>
      </c>
      <c r="C5511" t="s">
        <v>40</v>
      </c>
      <c r="D5511">
        <v>4.4096950000000001</v>
      </c>
      <c r="E5511">
        <v>0.58231509999999997</v>
      </c>
      <c r="F5511" t="s">
        <v>41</v>
      </c>
      <c r="G5511">
        <v>-422.2636</v>
      </c>
      <c r="H5511">
        <v>1.0112030000000001</v>
      </c>
      <c r="I5511">
        <v>71.346440000000001</v>
      </c>
      <c r="J5511">
        <v>-422.22879999999998</v>
      </c>
      <c r="K5511">
        <v>1.1108530000000001</v>
      </c>
      <c r="L5511">
        <v>72.03528</v>
      </c>
      <c r="M5511">
        <v>-1.4299589999999999E-2</v>
      </c>
      <c r="N5511">
        <v>-1.332814E-2</v>
      </c>
      <c r="O5511">
        <v>-0.99980899999999995</v>
      </c>
      <c r="P5511">
        <v>0.131165</v>
      </c>
      <c r="Q5511">
        <v>0.3266348</v>
      </c>
      <c r="R5511">
        <v>-0.93600510000000003</v>
      </c>
      <c r="S5511">
        <v>-0.1357727</v>
      </c>
      <c r="T5511">
        <v>-0.35447070000000003</v>
      </c>
      <c r="U5511">
        <v>-3.347626</v>
      </c>
      <c r="V5511">
        <v>-0.1448091</v>
      </c>
      <c r="W5511">
        <v>0.33893889999999999</v>
      </c>
      <c r="X5511">
        <v>0.92959709999999995</v>
      </c>
      <c r="Y5511">
        <v>2.6038849999999999E-2</v>
      </c>
      <c r="Z5511">
        <v>9.1962279999999993E-2</v>
      </c>
      <c r="AA5511">
        <v>0.99542200000000003</v>
      </c>
      <c r="AB5511">
        <v>31</v>
      </c>
      <c r="AC5511">
        <v>-3.4800000000018302E-2</v>
      </c>
      <c r="AD5511">
        <v>-9.9650000000000002E-2</v>
      </c>
      <c r="AE5511">
        <v>-0.68883999999999901</v>
      </c>
      <c r="AF5511">
        <v>2.44353674799462E-2</v>
      </c>
      <c r="AG5511">
        <v>-9.9650000000000002E-2</v>
      </c>
      <c r="AH5511">
        <v>0.67517348731333304</v>
      </c>
      <c r="AI5511">
        <v>98.390354062690406</v>
      </c>
      <c r="AJ5511">
        <v>87.9272991728797</v>
      </c>
      <c r="AK5511">
        <v>0.68292492095012003</v>
      </c>
      <c r="AL5511">
        <v>70.187760910591095</v>
      </c>
      <c r="AM5511">
        <v>98.854157237200695</v>
      </c>
      <c r="AN5511">
        <v>1.00000001085221</v>
      </c>
    </row>
    <row r="5512" spans="1:40" x14ac:dyDescent="0.25">
      <c r="A5512" t="str">
        <f>"20190304164237098"</f>
        <v>20190304164237098</v>
      </c>
      <c r="B5512" t="str">
        <f>"1551688957086242"</f>
        <v>1551688957086242</v>
      </c>
      <c r="C5512" t="s">
        <v>40</v>
      </c>
      <c r="D5512">
        <v>4.4140889999999997</v>
      </c>
      <c r="E5512">
        <v>0.58255579999999996</v>
      </c>
      <c r="F5512" t="s">
        <v>41</v>
      </c>
      <c r="G5512">
        <v>-422.2681</v>
      </c>
      <c r="H5512">
        <v>1.0077160000000001</v>
      </c>
      <c r="I5512">
        <v>71.074869999999905</v>
      </c>
      <c r="J5512">
        <v>-422.23149999999998</v>
      </c>
      <c r="K5512">
        <v>1.1108579999999999</v>
      </c>
      <c r="L5512">
        <v>71.825900000000004</v>
      </c>
      <c r="M5512">
        <v>-1.401633E-2</v>
      </c>
      <c r="N5512">
        <v>-1.341845E-2</v>
      </c>
      <c r="O5512">
        <v>-0.99981180000000003</v>
      </c>
      <c r="P5512">
        <v>0.1313976</v>
      </c>
      <c r="Q5512">
        <v>0.32629619999999998</v>
      </c>
      <c r="R5512">
        <v>-0.93609050000000005</v>
      </c>
      <c r="S5512">
        <v>-0.13595579999999999</v>
      </c>
      <c r="T5512">
        <v>-0.35977439999999999</v>
      </c>
      <c r="U5512">
        <v>-3.349701</v>
      </c>
      <c r="V5512">
        <v>-0.1447774</v>
      </c>
      <c r="W5512">
        <v>0.3386863</v>
      </c>
      <c r="X5512">
        <v>0.92969409999999997</v>
      </c>
      <c r="Y5512">
        <v>2.6345440000000001E-2</v>
      </c>
      <c r="Z5512">
        <v>9.3365539999999997E-2</v>
      </c>
      <c r="AA5512">
        <v>0.99528320000000003</v>
      </c>
      <c r="AB5512">
        <v>31</v>
      </c>
      <c r="AC5512">
        <v>-3.6600000000021199E-2</v>
      </c>
      <c r="AD5512">
        <v>-0.103141999999999</v>
      </c>
      <c r="AE5512">
        <v>-0.75103000000001396</v>
      </c>
      <c r="AF5512">
        <v>2.55873226524964E-2</v>
      </c>
      <c r="AG5512">
        <v>-0.103141999999999</v>
      </c>
      <c r="AH5512">
        <v>0.73759077702053399</v>
      </c>
      <c r="AI5512">
        <v>97.955689556511501</v>
      </c>
      <c r="AJ5512">
        <v>88.013182952693995</v>
      </c>
      <c r="AK5512">
        <v>0.74520677505661304</v>
      </c>
      <c r="AL5512">
        <v>70.203143687272998</v>
      </c>
      <c r="AM5512">
        <v>98.851340707258998</v>
      </c>
      <c r="AN5512">
        <v>1.00000001246663</v>
      </c>
    </row>
    <row r="5513" spans="1:40" x14ac:dyDescent="0.25">
      <c r="A5513" t="str">
        <f>"20190304164237113"</f>
        <v>20190304164237113</v>
      </c>
      <c r="B5513" t="str">
        <f>"1551688957106737"</f>
        <v>1551688957106737</v>
      </c>
      <c r="C5513" t="s">
        <v>40</v>
      </c>
      <c r="D5513">
        <v>4.4019820000000003</v>
      </c>
      <c r="E5513">
        <v>0.58286389999999999</v>
      </c>
      <c r="F5513" t="s">
        <v>41</v>
      </c>
      <c r="G5513">
        <v>-422.26280000000003</v>
      </c>
      <c r="H5513">
        <v>1.028637</v>
      </c>
      <c r="I5513">
        <v>71.064440000000005</v>
      </c>
      <c r="J5513">
        <v>-422.23399999999998</v>
      </c>
      <c r="K5513">
        <v>1.110857</v>
      </c>
      <c r="L5513">
        <v>71.623109999999997</v>
      </c>
      <c r="M5513">
        <v>-1.374215E-2</v>
      </c>
      <c r="N5513">
        <v>-1.3497469999999999E-2</v>
      </c>
      <c r="O5513">
        <v>-0.99981450000000005</v>
      </c>
      <c r="P5513">
        <v>0.13179440000000001</v>
      </c>
      <c r="Q5513">
        <v>0.32583640000000003</v>
      </c>
      <c r="R5513">
        <v>-0.93619509999999995</v>
      </c>
      <c r="S5513">
        <v>-0.13677979999999901</v>
      </c>
      <c r="T5513">
        <v>-0.36180289999999998</v>
      </c>
      <c r="U5513">
        <v>-3.3501280000000002</v>
      </c>
      <c r="V5513">
        <v>-0.14491879999999999</v>
      </c>
      <c r="W5513">
        <v>0.33830179999999999</v>
      </c>
      <c r="X5513">
        <v>0.92981199999999997</v>
      </c>
      <c r="Y5513">
        <v>2.68562E-2</v>
      </c>
      <c r="Z5513">
        <v>9.3868229999999997E-2</v>
      </c>
      <c r="AA5513">
        <v>0.9952223</v>
      </c>
      <c r="AB5513">
        <v>31</v>
      </c>
      <c r="AC5513">
        <v>-2.8799999999989698E-2</v>
      </c>
      <c r="AD5513">
        <v>-8.2219999999999904E-2</v>
      </c>
      <c r="AE5513">
        <v>-0.55866999999999201</v>
      </c>
      <c r="AF5513">
        <v>2.0672684909012098E-2</v>
      </c>
      <c r="AG5513">
        <v>-8.2219999999999904E-2</v>
      </c>
      <c r="AH5513">
        <v>0.54719265402141803</v>
      </c>
      <c r="AI5513">
        <v>98.539212627432605</v>
      </c>
      <c r="AJ5513">
        <v>87.836420962426999</v>
      </c>
      <c r="AK5513">
        <v>0.55372130979072098</v>
      </c>
      <c r="AL5513">
        <v>70.226554914239301</v>
      </c>
      <c r="AM5513">
        <v>98.858742869409696</v>
      </c>
      <c r="AN5513">
        <v>0.99999996091033905</v>
      </c>
    </row>
    <row r="5514" spans="1:40" x14ac:dyDescent="0.25">
      <c r="A5514" t="str">
        <f>"20190304164237126"</f>
        <v>20190304164237126</v>
      </c>
      <c r="B5514" t="str">
        <f>"1551688957116498"</f>
        <v>1551688957116498</v>
      </c>
      <c r="C5514" t="s">
        <v>40</v>
      </c>
      <c r="D5514">
        <v>4.3915309999999996</v>
      </c>
      <c r="E5514">
        <v>0.58297030000000005</v>
      </c>
      <c r="F5514" t="s">
        <v>41</v>
      </c>
      <c r="G5514">
        <v>-422.26799999999997</v>
      </c>
      <c r="H5514">
        <v>1.0204869999999999</v>
      </c>
      <c r="I5514">
        <v>70.795519999999996</v>
      </c>
      <c r="J5514">
        <v>-422.23610000000002</v>
      </c>
      <c r="K5514">
        <v>1.11086</v>
      </c>
      <c r="L5514">
        <v>71.45035</v>
      </c>
      <c r="M5514">
        <v>-1.3508559999999999E-2</v>
      </c>
      <c r="N5514">
        <v>-1.35602E-2</v>
      </c>
      <c r="O5514">
        <v>-0.99981710000000001</v>
      </c>
      <c r="P5514">
        <v>0.13212189999999999</v>
      </c>
      <c r="Q5514">
        <v>0.3253548</v>
      </c>
      <c r="R5514">
        <v>-0.9363167</v>
      </c>
      <c r="S5514">
        <v>-0.13684079999999901</v>
      </c>
      <c r="T5514">
        <v>-0.36598069999999999</v>
      </c>
      <c r="U5514">
        <v>-3.3511350000000002</v>
      </c>
      <c r="V5514">
        <v>-0.14502860000000001</v>
      </c>
      <c r="W5514">
        <v>0.33788079999999998</v>
      </c>
      <c r="X5514">
        <v>0.929948</v>
      </c>
      <c r="Y5514">
        <v>2.709073E-2</v>
      </c>
      <c r="Z5514">
        <v>9.4999749999999994E-2</v>
      </c>
      <c r="AA5514">
        <v>0.99510860000000001</v>
      </c>
      <c r="AB5514">
        <v>31</v>
      </c>
      <c r="AC5514">
        <v>-3.1900000000007298E-2</v>
      </c>
      <c r="AD5514">
        <v>-9.0372999999999801E-2</v>
      </c>
      <c r="AE5514">
        <v>-0.65483000000000402</v>
      </c>
      <c r="AF5514">
        <v>2.2620638659073201E-2</v>
      </c>
      <c r="AG5514">
        <v>-9.0372999999999801E-2</v>
      </c>
      <c r="AH5514">
        <v>0.64298346831338704</v>
      </c>
      <c r="AI5514">
        <v>97.995778633421807</v>
      </c>
      <c r="AJ5514">
        <v>87.985122669498693</v>
      </c>
      <c r="AK5514">
        <v>0.64969740106195395</v>
      </c>
      <c r="AL5514">
        <v>70.252186686822398</v>
      </c>
      <c r="AM5514">
        <v>98.864072337022904</v>
      </c>
      <c r="AN5514">
        <v>1.0000000062652901</v>
      </c>
    </row>
    <row r="5515" spans="1:40" x14ac:dyDescent="0.25">
      <c r="A5515" t="str">
        <f>"20190304164237138"</f>
        <v>20190304164237138</v>
      </c>
      <c r="B5515" t="str">
        <f>"1551688957136994"</f>
        <v>1551688957136994</v>
      </c>
      <c r="C5515" t="s">
        <v>40</v>
      </c>
      <c r="D5515">
        <v>4.4307619999999996</v>
      </c>
      <c r="E5515">
        <v>0.58310550000000005</v>
      </c>
      <c r="F5515" t="s">
        <v>41</v>
      </c>
      <c r="G5515">
        <v>-422.27409999999998</v>
      </c>
      <c r="H5515">
        <v>1.00946</v>
      </c>
      <c r="I5515">
        <v>70.528379999999999</v>
      </c>
      <c r="J5515">
        <v>-422.23829999999998</v>
      </c>
      <c r="K5515">
        <v>1.110862</v>
      </c>
      <c r="L5515">
        <v>71.276759999999996</v>
      </c>
      <c r="M5515">
        <v>-1.327388E-2</v>
      </c>
      <c r="N5515">
        <v>-1.361825E-2</v>
      </c>
      <c r="O5515">
        <v>-0.99981920000000002</v>
      </c>
      <c r="P5515">
        <v>0.132473799999999</v>
      </c>
      <c r="Q5515">
        <v>0.32560489999999997</v>
      </c>
      <c r="R5515">
        <v>-0.93617969999999895</v>
      </c>
      <c r="S5515">
        <v>-0.1364746</v>
      </c>
      <c r="T5515">
        <v>-0.36869049999999998</v>
      </c>
      <c r="U5515">
        <v>-3.35141</v>
      </c>
      <c r="V5515">
        <v>-0.1451595</v>
      </c>
      <c r="W5515">
        <v>0.33818330000000002</v>
      </c>
      <c r="X5515">
        <v>0.92981760000000002</v>
      </c>
      <c r="Y5515">
        <v>2.721028E-2</v>
      </c>
      <c r="Z5515">
        <v>9.572841E-2</v>
      </c>
      <c r="AA5515">
        <v>0.99503549999999996</v>
      </c>
      <c r="AB5515">
        <v>31</v>
      </c>
      <c r="AC5515">
        <v>-3.5799999999994697E-2</v>
      </c>
      <c r="AD5515">
        <v>-0.10140200000000001</v>
      </c>
      <c r="AE5515">
        <v>-0.74837999999999705</v>
      </c>
      <c r="AF5515">
        <v>2.5396822803918102E-2</v>
      </c>
      <c r="AG5515">
        <v>-0.10140200000000001</v>
      </c>
      <c r="AH5515">
        <v>0.73532038774533603</v>
      </c>
      <c r="AI5515">
        <v>97.8470485177331</v>
      </c>
      <c r="AJ5515">
        <v>88.021879187350194</v>
      </c>
      <c r="AK5515">
        <v>0.74271356312274595</v>
      </c>
      <c r="AL5515">
        <v>70.233770456254902</v>
      </c>
      <c r="AM5515">
        <v>98.873170086261695</v>
      </c>
      <c r="AN5515">
        <v>0.99999999705444997</v>
      </c>
    </row>
    <row r="5516" spans="1:40" x14ac:dyDescent="0.25">
      <c r="A5516" t="str">
        <f>"20190304164237174"</f>
        <v>20190304164237174</v>
      </c>
      <c r="B5516" t="str">
        <f>"1551688957166279"</f>
        <v>1551688957166279</v>
      </c>
      <c r="C5516" t="s">
        <v>40</v>
      </c>
      <c r="D5516">
        <v>4.3612769999999896</v>
      </c>
      <c r="E5516">
        <v>0.58478669999999899</v>
      </c>
      <c r="F5516" t="s">
        <v>41</v>
      </c>
      <c r="G5516">
        <v>-422.2697</v>
      </c>
      <c r="H5516">
        <v>1.027784</v>
      </c>
      <c r="I5516">
        <v>70.519239999999996</v>
      </c>
      <c r="J5516">
        <v>-422.24369999999999</v>
      </c>
      <c r="K5516">
        <v>1.1108750000000001</v>
      </c>
      <c r="L5516">
        <v>70.814639999999997</v>
      </c>
      <c r="M5516">
        <v>-1.2648980000000001E-2</v>
      </c>
      <c r="N5516">
        <v>-1.374975E-2</v>
      </c>
      <c r="O5516">
        <v>-0.99982559999999998</v>
      </c>
      <c r="P5516">
        <v>0.13259670000000001</v>
      </c>
      <c r="Q5516">
        <v>0.32708110000000001</v>
      </c>
      <c r="R5516">
        <v>-0.93564740000000002</v>
      </c>
      <c r="S5516">
        <v>-0.1368713</v>
      </c>
      <c r="T5516">
        <v>-0.3677087</v>
      </c>
      <c r="U5516">
        <v>-3.3517760000000001</v>
      </c>
      <c r="V5516">
        <v>-0.14469170000000001</v>
      </c>
      <c r="W5516">
        <v>0.33977629999999998</v>
      </c>
      <c r="X5516">
        <v>0.92930959999999996</v>
      </c>
      <c r="Y5516">
        <v>2.7949060000000001E-2</v>
      </c>
      <c r="Z5516">
        <v>9.529762E-2</v>
      </c>
      <c r="AA5516">
        <v>0.99505639999999995</v>
      </c>
      <c r="AB5516">
        <v>31</v>
      </c>
      <c r="AC5516">
        <v>-2.60000000000104E-2</v>
      </c>
      <c r="AD5516">
        <v>-8.3090999999999998E-2</v>
      </c>
      <c r="AE5516">
        <v>-0.2954</v>
      </c>
      <c r="AF5516">
        <v>2.0640530687574699E-2</v>
      </c>
      <c r="AG5516">
        <v>-8.3090999999999998E-2</v>
      </c>
      <c r="AH5516">
        <v>0.27417895454765601</v>
      </c>
      <c r="AI5516">
        <v>106.814753125205</v>
      </c>
      <c r="AJ5516">
        <v>85.694823482422095</v>
      </c>
      <c r="AK5516">
        <v>0.28723552166281702</v>
      </c>
      <c r="AL5516">
        <v>70.136753883757805</v>
      </c>
      <c r="AM5516">
        <v>98.849786276176303</v>
      </c>
      <c r="AN5516">
        <v>0.99999997737136903</v>
      </c>
    </row>
    <row r="5517" spans="1:40" x14ac:dyDescent="0.25">
      <c r="A5517" t="str">
        <f>"20190304164237195"</f>
        <v>20190304164237195</v>
      </c>
      <c r="B5517" t="str">
        <f>"1551688957186769"</f>
        <v>1551688957186769</v>
      </c>
      <c r="C5517" t="s">
        <v>40</v>
      </c>
      <c r="D5517">
        <v>4.3671309999999997</v>
      </c>
      <c r="E5517">
        <v>0.58472380000000002</v>
      </c>
      <c r="F5517" t="s">
        <v>41</v>
      </c>
      <c r="G5517">
        <v>-422.2851</v>
      </c>
      <c r="H5517">
        <v>1.045358</v>
      </c>
      <c r="I5517">
        <v>69.964650000000006</v>
      </c>
      <c r="J5517">
        <v>-422.24689999999998</v>
      </c>
      <c r="K5517">
        <v>1.1108750000000001</v>
      </c>
      <c r="L5517">
        <v>70.523380000000003</v>
      </c>
      <c r="M5517">
        <v>-1.2254620000000001E-2</v>
      </c>
      <c r="N5517">
        <v>-1.3819049999999999E-2</v>
      </c>
      <c r="O5517">
        <v>-0.99982939999999998</v>
      </c>
      <c r="P5517">
        <v>0.1322932</v>
      </c>
      <c r="Q5517">
        <v>0.32618370000000002</v>
      </c>
      <c r="R5517">
        <v>-0.93600360000000005</v>
      </c>
      <c r="S5517">
        <v>-0.16043089999999999</v>
      </c>
      <c r="T5517">
        <v>-0.25584669999999998</v>
      </c>
      <c r="U5517">
        <v>-3.3185120000000001</v>
      </c>
      <c r="V5517">
        <v>-0.1440225</v>
      </c>
      <c r="W5517">
        <v>0.33895009999999998</v>
      </c>
      <c r="X5517">
        <v>0.92971519999999996</v>
      </c>
      <c r="Y5517">
        <v>3.5924209999999998E-2</v>
      </c>
      <c r="Z5517">
        <v>6.3009270000000006E-2</v>
      </c>
      <c r="AA5517">
        <v>0.99736619999999998</v>
      </c>
      <c r="AB5517">
        <v>30</v>
      </c>
      <c r="AC5517">
        <v>-3.8200000000017498E-2</v>
      </c>
      <c r="AD5517">
        <v>-6.5517000000000006E-2</v>
      </c>
      <c r="AE5517">
        <v>-0.55872999999999695</v>
      </c>
      <c r="AF5517">
        <v>3.0926195168235499E-2</v>
      </c>
      <c r="AG5517">
        <v>-6.5517000000000006E-2</v>
      </c>
      <c r="AH5517">
        <v>0.55160687835357103</v>
      </c>
      <c r="AI5517">
        <v>96.7630391076965</v>
      </c>
      <c r="AJ5517">
        <v>86.791034685683897</v>
      </c>
      <c r="AK5517">
        <v>0.55634436735133297</v>
      </c>
      <c r="AL5517">
        <v>70.187078638917299</v>
      </c>
      <c r="AM5517">
        <v>98.805716438813405</v>
      </c>
      <c r="AN5517">
        <v>1.0000000019536499</v>
      </c>
    </row>
    <row r="5518" spans="1:40" x14ac:dyDescent="0.25">
      <c r="A5518" t="str">
        <f>"20190304164237218"</f>
        <v>20190304164237218</v>
      </c>
      <c r="B5518" t="str">
        <f>"1551688957206290"</f>
        <v>1551688957206290</v>
      </c>
      <c r="C5518" t="s">
        <v>40</v>
      </c>
      <c r="D5518">
        <v>4.3587730000000002</v>
      </c>
      <c r="E5518">
        <v>0.58466379999999996</v>
      </c>
      <c r="F5518" t="s">
        <v>41</v>
      </c>
      <c r="G5518">
        <v>-422.28699999999998</v>
      </c>
      <c r="H5518">
        <v>1.0456129999999999</v>
      </c>
      <c r="I5518">
        <v>69.692669999999893</v>
      </c>
      <c r="J5518">
        <v>-422.25029999999998</v>
      </c>
      <c r="K5518">
        <v>1.110876</v>
      </c>
      <c r="L5518">
        <v>70.212069999999997</v>
      </c>
      <c r="M5518">
        <v>-1.1832840000000001E-2</v>
      </c>
      <c r="N5518">
        <v>-1.388317E-2</v>
      </c>
      <c r="O5518">
        <v>-0.99983350000000004</v>
      </c>
      <c r="P5518">
        <v>0.1322169</v>
      </c>
      <c r="Q5518">
        <v>0.3249898</v>
      </c>
      <c r="R5518">
        <v>-0.93642970000000003</v>
      </c>
      <c r="S5518">
        <v>-0.1602478</v>
      </c>
      <c r="T5518">
        <v>-0.26070989999999999</v>
      </c>
      <c r="U5518">
        <v>-3.3186040000000001</v>
      </c>
      <c r="V5518">
        <v>-0.1435554</v>
      </c>
      <c r="W5518">
        <v>0.3378234</v>
      </c>
      <c r="X5518">
        <v>0.93019739999999995</v>
      </c>
      <c r="Y5518">
        <v>3.6284539999999997E-2</v>
      </c>
      <c r="Z5518">
        <v>6.4395380000000002E-2</v>
      </c>
      <c r="AA5518">
        <v>0.99726459999999995</v>
      </c>
      <c r="AB5518">
        <v>30</v>
      </c>
      <c r="AC5518">
        <v>-3.6699999999996097E-2</v>
      </c>
      <c r="AD5518">
        <v>-6.5263000000000002E-2</v>
      </c>
      <c r="AE5518">
        <v>-0.51940000000000397</v>
      </c>
      <c r="AF5518">
        <v>3.00783389415436E-2</v>
      </c>
      <c r="AG5518">
        <v>-6.5263000000000002E-2</v>
      </c>
      <c r="AH5518">
        <v>0.51175837694033699</v>
      </c>
      <c r="AI5518">
        <v>97.255142842391393</v>
      </c>
      <c r="AJ5518">
        <v>86.636339258344293</v>
      </c>
      <c r="AK5518">
        <v>0.51677906498917903</v>
      </c>
      <c r="AL5518">
        <v>70.255680855638801</v>
      </c>
      <c r="AM5518">
        <v>98.773123451392294</v>
      </c>
      <c r="AN5518">
        <v>1.0000000027117399</v>
      </c>
    </row>
    <row r="5519" spans="1:40" x14ac:dyDescent="0.25">
      <c r="A5519" t="str">
        <f>"20190304164237239"</f>
        <v>20190304164237239</v>
      </c>
      <c r="B5519" t="str">
        <f>"1551688957236546"</f>
        <v>1551688957236546</v>
      </c>
      <c r="C5519" t="s">
        <v>40</v>
      </c>
      <c r="D5519">
        <v>4.3115870000000003</v>
      </c>
      <c r="E5519">
        <v>0.58477209999999902</v>
      </c>
      <c r="F5519" t="s">
        <v>41</v>
      </c>
      <c r="G5519">
        <v>-422.28899999999999</v>
      </c>
      <c r="H5519">
        <v>1.047291</v>
      </c>
      <c r="I5519">
        <v>69.419730000000001</v>
      </c>
      <c r="J5519">
        <v>-422.2534</v>
      </c>
      <c r="K5519">
        <v>1.1108880000000001</v>
      </c>
      <c r="L5519">
        <v>69.913790000000006</v>
      </c>
      <c r="M5519">
        <v>-1.1428550000000001E-2</v>
      </c>
      <c r="N5519">
        <v>-1.3936E-2</v>
      </c>
      <c r="O5519">
        <v>-0.9998378</v>
      </c>
      <c r="P5519">
        <v>0.1327091</v>
      </c>
      <c r="Q5519">
        <v>0.32529340000000001</v>
      </c>
      <c r="R5519">
        <v>-0.9362549</v>
      </c>
      <c r="S5519">
        <v>-0.16058349999999999</v>
      </c>
      <c r="T5519">
        <v>-0.2664243</v>
      </c>
      <c r="U5519">
        <v>-3.3188170000000001</v>
      </c>
      <c r="V5519">
        <v>-0.1436674</v>
      </c>
      <c r="W5519">
        <v>0.3381748</v>
      </c>
      <c r="X5519">
        <v>0.9300524</v>
      </c>
      <c r="Y5519">
        <v>3.6780090000000001E-2</v>
      </c>
      <c r="Z5519">
        <v>6.6042859999999995E-2</v>
      </c>
      <c r="AA5519">
        <v>0.99713870000000004</v>
      </c>
      <c r="AB5519">
        <v>30</v>
      </c>
      <c r="AC5519">
        <v>-3.5599999999988002E-2</v>
      </c>
      <c r="AD5519">
        <v>-6.3596999999999904E-2</v>
      </c>
      <c r="AE5519">
        <v>-0.494060000000004</v>
      </c>
      <c r="AF5519">
        <v>2.9465033971240701E-2</v>
      </c>
      <c r="AG5519">
        <v>-6.3596999999999904E-2</v>
      </c>
      <c r="AH5519">
        <v>0.48641649317781499</v>
      </c>
      <c r="AI5519">
        <v>97.435462665539205</v>
      </c>
      <c r="AJ5519">
        <v>86.533502222121299</v>
      </c>
      <c r="AK5519">
        <v>0.49144050654309102</v>
      </c>
      <c r="AL5519">
        <v>70.234287855973704</v>
      </c>
      <c r="AM5519">
        <v>98.781209010830594</v>
      </c>
      <c r="AN5519">
        <v>0.99999999196178002</v>
      </c>
    </row>
    <row r="5520" spans="1:40" x14ac:dyDescent="0.25">
      <c r="A5520" t="str">
        <f>"20190304164237262"</f>
        <v>20190304164237262</v>
      </c>
      <c r="B5520" t="str">
        <f>"1551688957257041"</f>
        <v>1551688957257041</v>
      </c>
      <c r="C5520" t="s">
        <v>40</v>
      </c>
      <c r="D5520">
        <v>4.321523</v>
      </c>
      <c r="E5520">
        <v>0.58491499999999996</v>
      </c>
      <c r="F5520" t="s">
        <v>41</v>
      </c>
      <c r="G5520">
        <v>-422.29020000000003</v>
      </c>
      <c r="H5520">
        <v>1.049153</v>
      </c>
      <c r="I5520">
        <v>69.146919999999994</v>
      </c>
      <c r="J5520">
        <v>-422.25650000000002</v>
      </c>
      <c r="K5520">
        <v>1.1109</v>
      </c>
      <c r="L5520">
        <v>69.605219999999903</v>
      </c>
      <c r="M5520">
        <v>-1.101018E-2</v>
      </c>
      <c r="N5520">
        <v>-1.3982720000000001E-2</v>
      </c>
      <c r="O5520">
        <v>-0.9998418</v>
      </c>
      <c r="P5520">
        <v>0.13277079999999999</v>
      </c>
      <c r="Q5520">
        <v>0.32686700000000002</v>
      </c>
      <c r="R5520">
        <v>-0.93569789999999997</v>
      </c>
      <c r="S5520">
        <v>-0.15957639999999901</v>
      </c>
      <c r="T5520">
        <v>-0.26723980000000003</v>
      </c>
      <c r="U5520">
        <v>-3.3197329999999998</v>
      </c>
      <c r="V5520">
        <v>-0.143332399999999</v>
      </c>
      <c r="W5520">
        <v>0.3397849</v>
      </c>
      <c r="X5520">
        <v>0.92951709999999999</v>
      </c>
      <c r="Y5520">
        <v>3.6882400000000003E-2</v>
      </c>
      <c r="Z5520">
        <v>6.6218470000000001E-2</v>
      </c>
      <c r="AA5520">
        <v>0.99712319999999999</v>
      </c>
      <c r="AB5520">
        <v>30</v>
      </c>
      <c r="AC5520">
        <v>-3.3700000000010201E-2</v>
      </c>
      <c r="AD5520">
        <v>-6.1747000000000003E-2</v>
      </c>
      <c r="AE5520">
        <v>-0.45829999999999399</v>
      </c>
      <c r="AF5520">
        <v>2.8143378945572301E-2</v>
      </c>
      <c r="AG5520">
        <v>-6.1747000000000003E-2</v>
      </c>
      <c r="AH5520">
        <v>0.450509484512638</v>
      </c>
      <c r="AI5520">
        <v>97.789356612626904</v>
      </c>
      <c r="AJ5520">
        <v>86.425371295634207</v>
      </c>
      <c r="AK5520">
        <v>0.45559141500177203</v>
      </c>
      <c r="AL5520">
        <v>70.136230379561198</v>
      </c>
      <c r="AM5520">
        <v>98.766018310304801</v>
      </c>
      <c r="AN5520">
        <v>0.99999999717508903</v>
      </c>
    </row>
    <row r="5521" spans="1:40" x14ac:dyDescent="0.25">
      <c r="A5521" t="str">
        <f>"20190304164237284"</f>
        <v>20190304164237284</v>
      </c>
      <c r="B5521" t="str">
        <f>"1551688957276335"</f>
        <v>1551688957276335</v>
      </c>
      <c r="C5521" t="s">
        <v>40</v>
      </c>
      <c r="D5521">
        <v>4.3267579999999999</v>
      </c>
      <c r="E5521">
        <v>0.58498450000000002</v>
      </c>
      <c r="F5521" t="s">
        <v>41</v>
      </c>
      <c r="G5521">
        <v>-422.30430000000001</v>
      </c>
      <c r="H5521">
        <v>1.033407</v>
      </c>
      <c r="I5521">
        <v>68.617440000000002</v>
      </c>
      <c r="J5521">
        <v>-422.2593</v>
      </c>
      <c r="K5521">
        <v>1.1109089999999999</v>
      </c>
      <c r="L5521">
        <v>69.309200000000004</v>
      </c>
      <c r="M5521">
        <v>-1.060877E-2</v>
      </c>
      <c r="N5521">
        <v>-1.4020670000000001E-2</v>
      </c>
      <c r="O5521">
        <v>-0.9998456</v>
      </c>
      <c r="P5521">
        <v>0.1331552</v>
      </c>
      <c r="Q5521">
        <v>0.32821420000000001</v>
      </c>
      <c r="R5521">
        <v>-0.93517159999999999</v>
      </c>
      <c r="S5521">
        <v>-0.1607971</v>
      </c>
      <c r="T5521">
        <v>-0.26044850000000003</v>
      </c>
      <c r="U5521">
        <v>-3.3199459999999998</v>
      </c>
      <c r="V5521">
        <v>-0.14333660000000001</v>
      </c>
      <c r="W5521">
        <v>0.3411612</v>
      </c>
      <c r="X5521">
        <v>0.92901219999999995</v>
      </c>
      <c r="Y5521">
        <v>3.7652789999999998E-2</v>
      </c>
      <c r="Z5521">
        <v>6.4147640000000006E-2</v>
      </c>
      <c r="AA5521">
        <v>0.99722980000000006</v>
      </c>
      <c r="AB5521">
        <v>30</v>
      </c>
      <c r="AC5521">
        <v>-4.5000000000015902E-2</v>
      </c>
      <c r="AD5521">
        <v>-7.7501999999999904E-2</v>
      </c>
      <c r="AE5521">
        <v>-0.69176000000000204</v>
      </c>
      <c r="AF5521">
        <v>3.7193141055437501E-2</v>
      </c>
      <c r="AG5521">
        <v>-7.7501999999999904E-2</v>
      </c>
      <c r="AH5521">
        <v>0.683653408524035</v>
      </c>
      <c r="AI5521">
        <v>96.458223535405196</v>
      </c>
      <c r="AJ5521">
        <v>86.885978632304898</v>
      </c>
      <c r="AK5521">
        <v>0.68903691681367896</v>
      </c>
      <c r="AL5521">
        <v>70.052363694961002</v>
      </c>
      <c r="AM5521">
        <v>98.770961420316198</v>
      </c>
      <c r="AN5521">
        <v>1.0000000065169199</v>
      </c>
    </row>
    <row r="5522" spans="1:40" x14ac:dyDescent="0.25">
      <c r="A5522" t="str">
        <f>"20190304164237306"</f>
        <v>20190304164237306</v>
      </c>
      <c r="B5522" t="str">
        <f>"1551688957296828"</f>
        <v>1551688957296828</v>
      </c>
      <c r="C5522" t="s">
        <v>40</v>
      </c>
      <c r="D5522">
        <v>4.3233280000000001</v>
      </c>
      <c r="E5522">
        <v>0.5850689</v>
      </c>
      <c r="F5522" t="s">
        <v>41</v>
      </c>
      <c r="G5522">
        <v>-422.3057</v>
      </c>
      <c r="H5522">
        <v>1.036732</v>
      </c>
      <c r="I5522">
        <v>68.345730000000003</v>
      </c>
      <c r="J5522">
        <v>-422.26209999999998</v>
      </c>
      <c r="K5522">
        <v>1.1109089999999999</v>
      </c>
      <c r="L5522">
        <v>69.007570000000001</v>
      </c>
      <c r="M5522">
        <v>-1.0199679999999999E-2</v>
      </c>
      <c r="N5522">
        <v>-1.4053670000000001E-2</v>
      </c>
      <c r="O5522">
        <v>-0.99984919999999999</v>
      </c>
      <c r="P5522">
        <v>0.13323889999999999</v>
      </c>
      <c r="Q5522">
        <v>0.32830379999999998</v>
      </c>
      <c r="R5522">
        <v>-0.93512790000000001</v>
      </c>
      <c r="S5522">
        <v>-0.15972900000000001</v>
      </c>
      <c r="T5522">
        <v>-0.2556562</v>
      </c>
      <c r="U5522">
        <v>-3.3204349999999998</v>
      </c>
      <c r="V5522">
        <v>-0.1430372</v>
      </c>
      <c r="W5522">
        <v>0.34128229999999998</v>
      </c>
      <c r="X5522">
        <v>0.92901389999999995</v>
      </c>
      <c r="Y5522">
        <v>3.7739269999999998E-2</v>
      </c>
      <c r="Z5522">
        <v>6.2673839999999995E-2</v>
      </c>
      <c r="AA5522">
        <v>0.99732030000000005</v>
      </c>
      <c r="AB5522">
        <v>30</v>
      </c>
      <c r="AC5522">
        <v>-4.3600000000026201E-2</v>
      </c>
      <c r="AD5522">
        <v>-7.4176999999999896E-2</v>
      </c>
      <c r="AE5522">
        <v>-0.66183999999999699</v>
      </c>
      <c r="AF5522">
        <v>3.63913630767825E-2</v>
      </c>
      <c r="AG5522">
        <v>-7.4176999999999896E-2</v>
      </c>
      <c r="AH5522">
        <v>0.65406988800080301</v>
      </c>
      <c r="AI5522">
        <v>96.460269940331997</v>
      </c>
      <c r="AJ5522">
        <v>86.815441273917799</v>
      </c>
      <c r="AK5522">
        <v>0.65926775821737904</v>
      </c>
      <c r="AL5522">
        <v>70.044982804433204</v>
      </c>
      <c r="AM5522">
        <v>98.752908964354603</v>
      </c>
      <c r="AN5522">
        <v>1.0000000376351601</v>
      </c>
    </row>
    <row r="5523" spans="1:40" x14ac:dyDescent="0.25">
      <c r="A5523" t="str">
        <f>"20190304164237329"</f>
        <v>20190304164237329</v>
      </c>
      <c r="B5523" t="str">
        <f>"1551688957316347"</f>
        <v>1551688957316347</v>
      </c>
      <c r="C5523" t="s">
        <v>40</v>
      </c>
      <c r="D5523">
        <v>4.3043820000000004</v>
      </c>
      <c r="E5523">
        <v>0.58512559999999902</v>
      </c>
      <c r="F5523" t="s">
        <v>41</v>
      </c>
      <c r="G5523">
        <v>-422.30689999999998</v>
      </c>
      <c r="H5523">
        <v>1.0388500000000001</v>
      </c>
      <c r="I5523">
        <v>68.074939999999998</v>
      </c>
      <c r="J5523">
        <v>-422.26459999999997</v>
      </c>
      <c r="K5523">
        <v>1.11091299999999</v>
      </c>
      <c r="L5523">
        <v>68.710269999999994</v>
      </c>
      <c r="M5523">
        <v>-9.7963770000000002E-3</v>
      </c>
      <c r="N5523">
        <v>-1.4081410000000001E-2</v>
      </c>
      <c r="O5523">
        <v>-0.99985299999999999</v>
      </c>
      <c r="P5523">
        <v>0.1337161</v>
      </c>
      <c r="Q5523">
        <v>0.32787909999999998</v>
      </c>
      <c r="R5523">
        <v>-0.93520899999999996</v>
      </c>
      <c r="S5523">
        <v>-0.15893550000000001</v>
      </c>
      <c r="T5523">
        <v>-0.25661420000000001</v>
      </c>
      <c r="U5523">
        <v>-3.320862</v>
      </c>
      <c r="V5523">
        <v>-0.14313789999999901</v>
      </c>
      <c r="W5523">
        <v>0.340885099999999</v>
      </c>
      <c r="X5523">
        <v>0.92914410000000003</v>
      </c>
      <c r="Y5523">
        <v>3.7897470000000003E-2</v>
      </c>
      <c r="Z5523">
        <v>6.2922800000000001E-2</v>
      </c>
      <c r="AA5523">
        <v>0.99729860000000004</v>
      </c>
      <c r="AB5523">
        <v>30</v>
      </c>
      <c r="AC5523">
        <v>-4.2300000000011502E-2</v>
      </c>
      <c r="AD5523">
        <v>-7.2062999999999697E-2</v>
      </c>
      <c r="AE5523">
        <v>-0.63532999999999595</v>
      </c>
      <c r="AF5523">
        <v>3.5617211150760303E-2</v>
      </c>
      <c r="AG5523">
        <v>-7.2062999999999697E-2</v>
      </c>
      <c r="AH5523">
        <v>0.62767424406369499</v>
      </c>
      <c r="AI5523">
        <v>96.538998946241705</v>
      </c>
      <c r="AJ5523">
        <v>86.752248840228404</v>
      </c>
      <c r="AK5523">
        <v>0.63280061501241303</v>
      </c>
      <c r="AL5523">
        <v>70.069190320927405</v>
      </c>
      <c r="AM5523">
        <v>98.757767240114902</v>
      </c>
      <c r="AN5523">
        <v>0.99999993419161204</v>
      </c>
    </row>
    <row r="5524" spans="1:40" x14ac:dyDescent="0.25">
      <c r="A5524" t="str">
        <f>"20190304164237352"</f>
        <v>20190304164237352</v>
      </c>
      <c r="B5524" t="str">
        <f>"1551688957346603"</f>
        <v>1551688957346603</v>
      </c>
      <c r="C5524" t="s">
        <v>40</v>
      </c>
      <c r="D5524">
        <v>4.2884890000000002</v>
      </c>
      <c r="E5524">
        <v>0.58523649999999905</v>
      </c>
      <c r="F5524" t="s">
        <v>41</v>
      </c>
      <c r="G5524">
        <v>-422.3082</v>
      </c>
      <c r="H5524">
        <v>1.040327</v>
      </c>
      <c r="I5524">
        <v>67.804789999999997</v>
      </c>
      <c r="J5524">
        <v>-422.2672</v>
      </c>
      <c r="K5524">
        <v>1.110919</v>
      </c>
      <c r="L5524">
        <v>68.396509999999907</v>
      </c>
      <c r="M5524">
        <v>-9.3706459999999998E-3</v>
      </c>
      <c r="N5524">
        <v>-1.4106169999999999E-2</v>
      </c>
      <c r="O5524">
        <v>-0.99985659999999998</v>
      </c>
      <c r="P5524">
        <v>0.13390879999999999</v>
      </c>
      <c r="Q5524">
        <v>0.32838309999999998</v>
      </c>
      <c r="R5524">
        <v>-0.93500419999999995</v>
      </c>
      <c r="S5524">
        <v>-0.15878299999999901</v>
      </c>
      <c r="T5524">
        <v>-0.25894980000000001</v>
      </c>
      <c r="U5524">
        <v>-3.3213499999999998</v>
      </c>
      <c r="V5524">
        <v>-0.14293040000000001</v>
      </c>
      <c r="W5524">
        <v>0.34141050000000001</v>
      </c>
      <c r="X5524">
        <v>0.92898320000000001</v>
      </c>
      <c r="Y5524">
        <v>3.8267750000000003E-2</v>
      </c>
      <c r="Z5524">
        <v>6.3583580000000001E-2</v>
      </c>
      <c r="AA5524">
        <v>0.99724259999999998</v>
      </c>
      <c r="AB5524">
        <v>30</v>
      </c>
      <c r="AC5524">
        <v>-4.0999999999996803E-2</v>
      </c>
      <c r="AD5524">
        <v>-7.0591999999999905E-2</v>
      </c>
      <c r="AE5524">
        <v>-0.59171999999999503</v>
      </c>
      <c r="AF5524">
        <v>3.4957694147523401E-2</v>
      </c>
      <c r="AG5524">
        <v>-7.0591999999999905E-2</v>
      </c>
      <c r="AH5524">
        <v>0.583808942274051</v>
      </c>
      <c r="AI5524">
        <v>96.882312459542803</v>
      </c>
      <c r="AJ5524">
        <v>86.573297313793901</v>
      </c>
      <c r="AK5524">
        <v>0.58909944145556503</v>
      </c>
      <c r="AL5524">
        <v>70.037167485715997</v>
      </c>
      <c r="AM5524">
        <v>98.746759197754201</v>
      </c>
      <c r="AN5524">
        <v>1.00000000731832</v>
      </c>
    </row>
    <row r="5525" spans="1:40" x14ac:dyDescent="0.25">
      <c r="A5525" t="str">
        <f>"20190304164237374"</f>
        <v>20190304164237374</v>
      </c>
      <c r="B5525" t="str">
        <f>"1551688957366642"</f>
        <v>1551688957366642</v>
      </c>
      <c r="C5525" t="s">
        <v>40</v>
      </c>
      <c r="D5525">
        <v>4.302575</v>
      </c>
      <c r="E5525">
        <v>0.58529249999999999</v>
      </c>
      <c r="F5525" t="s">
        <v>41</v>
      </c>
      <c r="G5525">
        <v>-422.30860000000001</v>
      </c>
      <c r="H5525">
        <v>1.043887</v>
      </c>
      <c r="I5525">
        <v>67.532679999999999</v>
      </c>
      <c r="J5525">
        <v>-422.26960000000003</v>
      </c>
      <c r="K5525">
        <v>1.1109290000000001</v>
      </c>
      <c r="L5525">
        <v>68.100560000000002</v>
      </c>
      <c r="M5525">
        <v>-8.9688749999999994E-3</v>
      </c>
      <c r="N5525">
        <v>-1.4125840000000001E-2</v>
      </c>
      <c r="O5525">
        <v>-0.99986019999999998</v>
      </c>
      <c r="P5525">
        <v>0.13358349999999999</v>
      </c>
      <c r="Q5525">
        <v>0.32959709999999998</v>
      </c>
      <c r="R5525">
        <v>-0.93462389999999995</v>
      </c>
      <c r="S5525">
        <v>-0.15942379999999901</v>
      </c>
      <c r="T5525">
        <v>-0.25778309999999999</v>
      </c>
      <c r="U5525">
        <v>-3.32193</v>
      </c>
      <c r="V5525">
        <v>-0.14222699999999999</v>
      </c>
      <c r="W5525">
        <v>0.34263909999999997</v>
      </c>
      <c r="X5525">
        <v>0.92863879999999999</v>
      </c>
      <c r="Y5525">
        <v>3.8853779999999997E-2</v>
      </c>
      <c r="Z5525">
        <v>6.3201519999999997E-2</v>
      </c>
      <c r="AA5525">
        <v>0.99724420000000003</v>
      </c>
      <c r="AB5525">
        <v>30</v>
      </c>
      <c r="AC5525">
        <v>-3.8999999999987198E-2</v>
      </c>
      <c r="AD5525">
        <v>-6.7042000000000004E-2</v>
      </c>
      <c r="AE5525">
        <v>-0.56788000000000205</v>
      </c>
      <c r="AF5525">
        <v>3.3440790417795699E-2</v>
      </c>
      <c r="AG5525">
        <v>-6.7042000000000004E-2</v>
      </c>
      <c r="AH5525">
        <v>0.56043268598721896</v>
      </c>
      <c r="AI5525">
        <v>96.809617865356699</v>
      </c>
      <c r="AJ5525">
        <v>86.585233014864599</v>
      </c>
      <c r="AK5525">
        <v>0.56541817423091001</v>
      </c>
      <c r="AL5525">
        <v>69.962256866259395</v>
      </c>
      <c r="AM5525">
        <v>98.707553515014695</v>
      </c>
      <c r="AN5525">
        <v>1.0000000466216199</v>
      </c>
    </row>
    <row r="5526" spans="1:40" x14ac:dyDescent="0.25">
      <c r="A5526" t="str">
        <f>"20190304164237396"</f>
        <v>20190304164237396</v>
      </c>
      <c r="B5526" t="str">
        <f>"1551688957387140"</f>
        <v>1551688957387140</v>
      </c>
      <c r="C5526" t="s">
        <v>40</v>
      </c>
      <c r="D5526">
        <v>4.3205359999999997</v>
      </c>
      <c r="E5526">
        <v>0.58528649999999904</v>
      </c>
      <c r="F5526" t="s">
        <v>41</v>
      </c>
      <c r="G5526">
        <v>-422.31040000000002</v>
      </c>
      <c r="H5526">
        <v>1.0466470000000001</v>
      </c>
      <c r="I5526">
        <v>67.261420000000001</v>
      </c>
      <c r="J5526">
        <v>-422.27179999999998</v>
      </c>
      <c r="K5526">
        <v>1.1109370000000001</v>
      </c>
      <c r="L5526">
        <v>67.804869999999994</v>
      </c>
      <c r="M5526">
        <v>-8.5673580000000006E-3</v>
      </c>
      <c r="N5526">
        <v>-1.414234E-2</v>
      </c>
      <c r="O5526">
        <v>-0.99986330000000001</v>
      </c>
      <c r="P5526">
        <v>0.13345479999999901</v>
      </c>
      <c r="Q5526">
        <v>0.33128960000000002</v>
      </c>
      <c r="R5526">
        <v>-0.93404339999999997</v>
      </c>
      <c r="S5526">
        <v>-0.15997310000000001</v>
      </c>
      <c r="T5526">
        <v>-0.2546022</v>
      </c>
      <c r="U5526">
        <v>-3.3225099999999999</v>
      </c>
      <c r="V5526">
        <v>-0.14171900000000001</v>
      </c>
      <c r="W5526">
        <v>0.34433989999999998</v>
      </c>
      <c r="X5526">
        <v>0.92808710000000005</v>
      </c>
      <c r="Y5526">
        <v>3.9414030000000003E-2</v>
      </c>
      <c r="Z5526">
        <v>6.2221890000000002E-2</v>
      </c>
      <c r="AA5526">
        <v>0.99728380000000005</v>
      </c>
      <c r="AB5526">
        <v>30</v>
      </c>
      <c r="AC5526">
        <v>-3.8600000000030797E-2</v>
      </c>
      <c r="AD5526">
        <v>-6.4290000000000097E-2</v>
      </c>
      <c r="AE5526">
        <v>-0.543449999999992</v>
      </c>
      <c r="AF5526">
        <v>3.3476046772951303E-2</v>
      </c>
      <c r="AG5526">
        <v>-6.4290000000000097E-2</v>
      </c>
      <c r="AH5526">
        <v>0.53629312626890302</v>
      </c>
      <c r="AI5526">
        <v>96.8227554202942</v>
      </c>
      <c r="AJ5526">
        <v>86.428164446913001</v>
      </c>
      <c r="AK5526">
        <v>0.54116925918867398</v>
      </c>
      <c r="AL5526">
        <v>69.858492996701798</v>
      </c>
      <c r="AM5526">
        <v>98.682005858038096</v>
      </c>
      <c r="AN5526">
        <v>0.99999995343970804</v>
      </c>
    </row>
    <row r="5527" spans="1:40" x14ac:dyDescent="0.25">
      <c r="A5527" t="str">
        <f>"20190304164237419"</f>
        <v>20190304164237419</v>
      </c>
      <c r="B5527" t="str">
        <f>"1551688957406659"</f>
        <v>1551688957406659</v>
      </c>
      <c r="C5527" t="s">
        <v>40</v>
      </c>
      <c r="D5527">
        <v>4.3191379999999997</v>
      </c>
      <c r="E5527">
        <v>0.58527640000000003</v>
      </c>
      <c r="F5527" t="s">
        <v>41</v>
      </c>
      <c r="G5527">
        <v>-422.31130000000002</v>
      </c>
      <c r="H5527">
        <v>1.049563</v>
      </c>
      <c r="I5527">
        <v>66.990279999999998</v>
      </c>
      <c r="J5527">
        <v>-422.27390000000003</v>
      </c>
      <c r="K5527">
        <v>1.1109500000000001</v>
      </c>
      <c r="L5527">
        <v>67.503999999999905</v>
      </c>
      <c r="M5527">
        <v>-8.1587499999999993E-3</v>
      </c>
      <c r="N5527">
        <v>-1.4156500000000001E-2</v>
      </c>
      <c r="O5527">
        <v>-0.99986679999999994</v>
      </c>
      <c r="P5527">
        <v>0.133107</v>
      </c>
      <c r="Q5527">
        <v>0.33187699999999998</v>
      </c>
      <c r="R5527">
        <v>-0.93388479999999996</v>
      </c>
      <c r="S5527">
        <v>-0.16058349999999999</v>
      </c>
      <c r="T5527">
        <v>-0.2504497</v>
      </c>
      <c r="U5527">
        <v>-3.3236080000000001</v>
      </c>
      <c r="V5527">
        <v>-0.14098840000000001</v>
      </c>
      <c r="W5527">
        <v>0.34494019999999997</v>
      </c>
      <c r="X5527">
        <v>0.92797549999999995</v>
      </c>
      <c r="Y5527">
        <v>3.9993019999999997E-2</v>
      </c>
      <c r="Z5527">
        <v>6.094314E-2</v>
      </c>
      <c r="AA5527">
        <v>0.99733970000000005</v>
      </c>
      <c r="AB5527">
        <v>30</v>
      </c>
      <c r="AC5527">
        <v>-3.7399999999991003E-2</v>
      </c>
      <c r="AD5527">
        <v>-6.1386999999999997E-2</v>
      </c>
      <c r="AE5527">
        <v>-0.51371999999999196</v>
      </c>
      <c r="AF5527">
        <v>3.2741963268529302E-2</v>
      </c>
      <c r="AG5527">
        <v>-6.1386999999999997E-2</v>
      </c>
      <c r="AH5527">
        <v>0.50680945320058202</v>
      </c>
      <c r="AI5527">
        <v>96.892045769056907</v>
      </c>
      <c r="AJ5527">
        <v>86.303595169188597</v>
      </c>
      <c r="AK5527">
        <v>0.51156252968835703</v>
      </c>
      <c r="AL5527">
        <v>69.821854594205305</v>
      </c>
      <c r="AM5527">
        <v>98.638947721049306</v>
      </c>
      <c r="AN5527">
        <v>0.99999999955542496</v>
      </c>
    </row>
    <row r="5528" spans="1:40" x14ac:dyDescent="0.25">
      <c r="A5528" t="str">
        <f>"20190304164237442"</f>
        <v>20190304164237442</v>
      </c>
      <c r="B5528" t="str">
        <f>"1551688957436915"</f>
        <v>1551688957436915</v>
      </c>
      <c r="C5528" t="s">
        <v>40</v>
      </c>
      <c r="D5528">
        <v>4.3282759999999998</v>
      </c>
      <c r="E5528">
        <v>0.58529379999999998</v>
      </c>
      <c r="F5528" t="s">
        <v>42</v>
      </c>
      <c r="G5528">
        <v>-422.99400000000003</v>
      </c>
      <c r="H5528" s="1">
        <v>-2.1427759999999998E-6</v>
      </c>
      <c r="I5528">
        <v>52.727040000000002</v>
      </c>
      <c r="J5528">
        <v>-422.27600000000001</v>
      </c>
      <c r="K5528">
        <v>1.110954</v>
      </c>
      <c r="L5528">
        <v>67.189610000000002</v>
      </c>
      <c r="M5528">
        <v>-7.7316719999999898E-3</v>
      </c>
      <c r="N5528">
        <v>-1.416883E-2</v>
      </c>
      <c r="O5528">
        <v>-0.99986989999999998</v>
      </c>
      <c r="P5528">
        <v>0.1323251</v>
      </c>
      <c r="Q5528">
        <v>0.33205030000000002</v>
      </c>
      <c r="R5528">
        <v>-0.9339345</v>
      </c>
      <c r="S5528">
        <v>-0.161987299999999</v>
      </c>
      <c r="T5528">
        <v>-0.24992619999999999</v>
      </c>
      <c r="U5528">
        <v>-3.3243100000000001</v>
      </c>
      <c r="V5528">
        <v>-0.13980809999999999</v>
      </c>
      <c r="W5528">
        <v>0.34512730000000003</v>
      </c>
      <c r="X5528">
        <v>0.92808449999999998</v>
      </c>
      <c r="Y5528">
        <v>4.0829860000000003E-2</v>
      </c>
      <c r="Z5528">
        <v>6.0757169999999999E-2</v>
      </c>
      <c r="AA5528">
        <v>0.99731709999999996</v>
      </c>
      <c r="AB5528">
        <v>30</v>
      </c>
      <c r="AC5528">
        <v>-0.71800000000001696</v>
      </c>
      <c r="AD5528">
        <v>-1.110956142776</v>
      </c>
      <c r="AE5528">
        <v>-14.462569999999999</v>
      </c>
      <c r="AF5528">
        <v>0.60260046401784095</v>
      </c>
      <c r="AG5528">
        <v>-1.110956142776</v>
      </c>
      <c r="AH5528">
        <v>14.3830283801124</v>
      </c>
      <c r="AI5528">
        <v>94.412944067304394</v>
      </c>
      <c r="AJ5528">
        <v>87.600902820724201</v>
      </c>
      <c r="AK5528">
        <v>14.438450618176599</v>
      </c>
      <c r="AL5528">
        <v>69.810433146744302</v>
      </c>
      <c r="AM5528">
        <v>98.5667122193002</v>
      </c>
      <c r="AN5528">
        <v>0.99999999858557398</v>
      </c>
    </row>
    <row r="5529" spans="1:40" x14ac:dyDescent="0.25">
      <c r="A5529" t="str">
        <f>"20190304164237463"</f>
        <v>20190304164237463</v>
      </c>
      <c r="B5529" t="str">
        <f>"1551688957456434"</f>
        <v>1551688957456434</v>
      </c>
      <c r="C5529" t="s">
        <v>40</v>
      </c>
      <c r="D5529">
        <v>4.3816660000000001</v>
      </c>
      <c r="E5529">
        <v>0.58548710000000004</v>
      </c>
      <c r="F5529" t="s">
        <v>41</v>
      </c>
      <c r="G5529">
        <v>-422.3252</v>
      </c>
      <c r="H5529">
        <v>1.036127</v>
      </c>
      <c r="I5529">
        <v>66.197239999999994</v>
      </c>
      <c r="J5529">
        <v>-422.27780000000001</v>
      </c>
      <c r="K5529">
        <v>1.1109629999999999</v>
      </c>
      <c r="L5529">
        <v>66.901609999999906</v>
      </c>
      <c r="M5529">
        <v>-7.3403599999999998E-3</v>
      </c>
      <c r="N5529">
        <v>-1.4178E-2</v>
      </c>
      <c r="O5529">
        <v>-0.9998726</v>
      </c>
      <c r="P5529">
        <v>0.1307709</v>
      </c>
      <c r="Q5529">
        <v>0.33279049999999999</v>
      </c>
      <c r="R5529">
        <v>-0.93388930000000003</v>
      </c>
      <c r="S5529">
        <v>-0.16403199999999901</v>
      </c>
      <c r="T5529">
        <v>-0.25075579999999997</v>
      </c>
      <c r="U5529">
        <v>-3.3246150000000001</v>
      </c>
      <c r="V5529">
        <v>-0.13788819999999999</v>
      </c>
      <c r="W5529">
        <v>0.34587810000000002</v>
      </c>
      <c r="X5529">
        <v>0.92809219999999903</v>
      </c>
      <c r="Y5529">
        <v>4.18269E-2</v>
      </c>
      <c r="Z5529">
        <v>6.0986140000000001E-2</v>
      </c>
      <c r="AA5529">
        <v>0.99726179999999998</v>
      </c>
      <c r="AB5529">
        <v>30</v>
      </c>
      <c r="AC5529">
        <v>-4.7399999999981901E-2</v>
      </c>
      <c r="AD5529">
        <v>-7.4835999999999903E-2</v>
      </c>
      <c r="AE5529">
        <v>-0.70436999999998295</v>
      </c>
      <c r="AF5529">
        <v>4.1758624931214003E-2</v>
      </c>
      <c r="AG5529">
        <v>-7.4835999999999903E-2</v>
      </c>
      <c r="AH5529">
        <v>0.69686815807721003</v>
      </c>
      <c r="AI5529">
        <v>96.118556216454706</v>
      </c>
      <c r="AJ5529">
        <v>86.570749689823998</v>
      </c>
      <c r="AK5529">
        <v>0.70211782443836901</v>
      </c>
      <c r="AL5529">
        <v>69.764591979177197</v>
      </c>
      <c r="AM5529">
        <v>98.450711940375697</v>
      </c>
      <c r="AN5529">
        <v>0.99999997372984395</v>
      </c>
    </row>
    <row r="5530" spans="1:40" x14ac:dyDescent="0.25">
      <c r="A5530" t="str">
        <f>"20190304164237484"</f>
        <v>20190304164237484</v>
      </c>
      <c r="B5530" t="str">
        <f>"1551688957477110"</f>
        <v>1551688957477110</v>
      </c>
      <c r="C5530" t="s">
        <v>40</v>
      </c>
      <c r="D5530">
        <v>4.5108779999999999</v>
      </c>
      <c r="E5530">
        <v>0.58623829999999999</v>
      </c>
      <c r="F5530" t="s">
        <v>41</v>
      </c>
      <c r="G5530">
        <v>-422.32690000000002</v>
      </c>
      <c r="H5530">
        <v>1.036319</v>
      </c>
      <c r="I5530">
        <v>65.929990000000004</v>
      </c>
      <c r="J5530">
        <v>-422.27949999999998</v>
      </c>
      <c r="K5530">
        <v>1.1109659999999999</v>
      </c>
      <c r="L5530">
        <v>66.613039999999998</v>
      </c>
      <c r="M5530">
        <v>-6.9483699999999997E-3</v>
      </c>
      <c r="N5530">
        <v>-1.418546E-2</v>
      </c>
      <c r="O5530">
        <v>-0.99987539999999997</v>
      </c>
      <c r="P5530">
        <v>0.1300839</v>
      </c>
      <c r="Q5530">
        <v>0.33359030000000001</v>
      </c>
      <c r="R5530">
        <v>-0.93370039999999999</v>
      </c>
      <c r="S5530">
        <v>-0.16763310000000001</v>
      </c>
      <c r="T5530">
        <v>-0.25561689999999998</v>
      </c>
      <c r="U5530">
        <v>-3.3269350000000002</v>
      </c>
      <c r="V5530">
        <v>-0.13683389999999901</v>
      </c>
      <c r="W5530">
        <v>0.3466842</v>
      </c>
      <c r="X5530">
        <v>0.92794750000000004</v>
      </c>
      <c r="Y5530">
        <v>4.3255439999999999E-2</v>
      </c>
      <c r="Z5530">
        <v>6.2370889999999998E-2</v>
      </c>
      <c r="AA5530">
        <v>0.99711530000000004</v>
      </c>
      <c r="AB5530">
        <v>30</v>
      </c>
      <c r="AC5530">
        <v>-4.7400000000038703E-2</v>
      </c>
      <c r="AD5530">
        <v>-7.4646999999999894E-2</v>
      </c>
      <c r="AE5530">
        <v>-0.68304999999999405</v>
      </c>
      <c r="AF5530">
        <v>4.2151287110213598E-2</v>
      </c>
      <c r="AG5530">
        <v>-7.4646999999999894E-2</v>
      </c>
      <c r="AH5530">
        <v>0.67533589499747204</v>
      </c>
      <c r="AI5530">
        <v>96.295326768838706</v>
      </c>
      <c r="AJ5530">
        <v>86.428500174324697</v>
      </c>
      <c r="AK5530">
        <v>0.68075507834028304</v>
      </c>
      <c r="AL5530">
        <v>69.715360596569198</v>
      </c>
      <c r="AM5530">
        <v>98.388309134815799</v>
      </c>
      <c r="AN5530">
        <v>1.0000000067375401</v>
      </c>
    </row>
    <row r="5531" spans="1:40" x14ac:dyDescent="0.25">
      <c r="A5531" t="str">
        <f>"20190304164237508"</f>
        <v>20190304164237508</v>
      </c>
      <c r="B5531" t="str">
        <f>"1551688957496631"</f>
        <v>1551688957496631</v>
      </c>
      <c r="C5531" t="s">
        <v>40</v>
      </c>
      <c r="D5531">
        <v>4.5127100000000002</v>
      </c>
      <c r="E5531">
        <v>0.58677950000000001</v>
      </c>
      <c r="F5531" t="s">
        <v>41</v>
      </c>
      <c r="G5531">
        <v>-422.3295</v>
      </c>
      <c r="H5531">
        <v>1.0369520000000001</v>
      </c>
      <c r="I5531">
        <v>65.66283</v>
      </c>
      <c r="J5531">
        <v>-422.28109999999998</v>
      </c>
      <c r="K5531">
        <v>1.1109830000000001</v>
      </c>
      <c r="L5531">
        <v>66.312740000000005</v>
      </c>
      <c r="M5531">
        <v>-6.5430449999999999E-3</v>
      </c>
      <c r="N5531">
        <v>-1.419166E-2</v>
      </c>
      <c r="O5531">
        <v>-0.99987800000000004</v>
      </c>
      <c r="P5531">
        <v>0.12971469999999999</v>
      </c>
      <c r="Q5531">
        <v>0.33408890000000002</v>
      </c>
      <c r="R5531">
        <v>-0.9335734</v>
      </c>
      <c r="S5531">
        <v>-0.17422489999999999</v>
      </c>
      <c r="T5531">
        <v>-0.25942799999999999</v>
      </c>
      <c r="U5531">
        <v>-3.329987</v>
      </c>
      <c r="V5531">
        <v>-0.1360847</v>
      </c>
      <c r="W5531">
        <v>0.34718870000000002</v>
      </c>
      <c r="X5531">
        <v>0.92786900000000005</v>
      </c>
      <c r="Y5531">
        <v>4.5577689999999997E-2</v>
      </c>
      <c r="Z5531">
        <v>6.3421489999999997E-2</v>
      </c>
      <c r="AA5531">
        <v>0.99694550000000004</v>
      </c>
      <c r="AB5531">
        <v>30</v>
      </c>
      <c r="AC5531">
        <v>-4.8400000000015098E-2</v>
      </c>
      <c r="AD5531">
        <v>-7.4030999999999902E-2</v>
      </c>
      <c r="AE5531">
        <v>-0.64991000000000498</v>
      </c>
      <c r="AF5531">
        <v>4.35837480434157E-2</v>
      </c>
      <c r="AG5531">
        <v>-7.4030999999999902E-2</v>
      </c>
      <c r="AH5531">
        <v>0.64192944834641896</v>
      </c>
      <c r="AI5531">
        <v>96.563638076506805</v>
      </c>
      <c r="AJ5531">
        <v>86.115868611967599</v>
      </c>
      <c r="AK5531">
        <v>0.647652336295369</v>
      </c>
      <c r="AL5531">
        <v>69.684539613969704</v>
      </c>
      <c r="AM5531">
        <v>98.343725146277706</v>
      </c>
      <c r="AN5531">
        <v>0.99999996007138903</v>
      </c>
    </row>
    <row r="5532" spans="1:40" x14ac:dyDescent="0.25">
      <c r="A5532" t="str">
        <f>"20190304164237530"</f>
        <v>20190304164237530</v>
      </c>
      <c r="B5532" t="str">
        <f>"1551688957526887"</f>
        <v>1551688957526887</v>
      </c>
      <c r="C5532" t="s">
        <v>40</v>
      </c>
      <c r="D5532">
        <v>4.4421879999999998</v>
      </c>
      <c r="E5532">
        <v>0.58765249999999902</v>
      </c>
      <c r="F5532" t="s">
        <v>41</v>
      </c>
      <c r="G5532">
        <v>-422.3306</v>
      </c>
      <c r="H5532">
        <v>1.038729</v>
      </c>
      <c r="I5532">
        <v>65.395399999999995</v>
      </c>
      <c r="J5532">
        <v>-422.28269999999998</v>
      </c>
      <c r="K5532">
        <v>1.110984</v>
      </c>
      <c r="L5532">
        <v>66.013549999999995</v>
      </c>
      <c r="M5532">
        <v>-6.1476369999999897E-3</v>
      </c>
      <c r="N5532">
        <v>-1.4196540000000001E-2</v>
      </c>
      <c r="O5532">
        <v>-0.99988060000000001</v>
      </c>
      <c r="P5532">
        <v>0.12913730000000001</v>
      </c>
      <c r="Q5532">
        <v>0.3351172</v>
      </c>
      <c r="R5532">
        <v>-0.93328489999999997</v>
      </c>
      <c r="S5532">
        <v>-0.17974849999999901</v>
      </c>
      <c r="T5532">
        <v>-0.2624822</v>
      </c>
      <c r="U5532">
        <v>-3.3323670000000001</v>
      </c>
      <c r="V5532">
        <v>-0.13513259999999999</v>
      </c>
      <c r="W5532">
        <v>0.34822059999999999</v>
      </c>
      <c r="X5532">
        <v>0.92762149999999999</v>
      </c>
      <c r="Y5532">
        <v>4.7578849999999999E-2</v>
      </c>
      <c r="Z5532">
        <v>6.4262639999999996E-2</v>
      </c>
      <c r="AA5532">
        <v>0.99679819999999997</v>
      </c>
      <c r="AB5532">
        <v>30</v>
      </c>
      <c r="AC5532">
        <v>-4.79000000000269E-2</v>
      </c>
      <c r="AD5532">
        <v>-7.2254999999999903E-2</v>
      </c>
      <c r="AE5532">
        <v>-0.61814999999999998</v>
      </c>
      <c r="AF5532">
        <v>4.3507651225666299E-2</v>
      </c>
      <c r="AG5532">
        <v>-7.2254999999999903E-2</v>
      </c>
      <c r="AH5532">
        <v>0.61014611158668597</v>
      </c>
      <c r="AI5532">
        <v>96.736705759958497</v>
      </c>
      <c r="AJ5532">
        <v>85.921316960211001</v>
      </c>
      <c r="AK5532">
        <v>0.61594803208105697</v>
      </c>
      <c r="AL5532">
        <v>69.621482942054399</v>
      </c>
      <c r="AM5532">
        <v>98.288342778717904</v>
      </c>
      <c r="AN5532">
        <v>1.00000002655468</v>
      </c>
    </row>
    <row r="5533" spans="1:40" x14ac:dyDescent="0.25">
      <c r="A5533" t="str">
        <f>"20190304164237552"</f>
        <v>20190304164237552</v>
      </c>
      <c r="B5533" t="str">
        <f>"1551688957546407"</f>
        <v>1551688957546407</v>
      </c>
      <c r="C5533" t="s">
        <v>40</v>
      </c>
      <c r="D5533">
        <v>4.461481</v>
      </c>
      <c r="E5533">
        <v>0.58809480000000003</v>
      </c>
      <c r="F5533" t="s">
        <v>41</v>
      </c>
      <c r="G5533">
        <v>-422.33319999999998</v>
      </c>
      <c r="H5533">
        <v>1.0406820000000001</v>
      </c>
      <c r="I5533">
        <v>65.128219999999999</v>
      </c>
      <c r="J5533">
        <v>-422.28410000000002</v>
      </c>
      <c r="K5533">
        <v>1.11097</v>
      </c>
      <c r="L5533">
        <v>65.71414</v>
      </c>
      <c r="M5533">
        <v>-5.7714079999999996E-3</v>
      </c>
      <c r="N5533">
        <v>-1.4200269999999999E-2</v>
      </c>
      <c r="O5533">
        <v>-0.99988279999999996</v>
      </c>
      <c r="P5533">
        <v>0.1282083</v>
      </c>
      <c r="Q5533">
        <v>0.33541100000000001</v>
      </c>
      <c r="R5533">
        <v>-0.93330749999999996</v>
      </c>
      <c r="S5533">
        <v>-0.1886902</v>
      </c>
      <c r="T5533">
        <v>-0.2649589</v>
      </c>
      <c r="U5533">
        <v>-3.3357239999999999</v>
      </c>
      <c r="V5533">
        <v>-0.1338425</v>
      </c>
      <c r="W5533">
        <v>0.3485241</v>
      </c>
      <c r="X5533">
        <v>0.92769460000000004</v>
      </c>
      <c r="Y5533">
        <v>5.055983E-2</v>
      </c>
      <c r="Z5533">
        <v>6.4904519999999993E-2</v>
      </c>
      <c r="AA5533">
        <v>0.99660979999999999</v>
      </c>
      <c r="AB5533">
        <v>30</v>
      </c>
      <c r="AC5533">
        <v>-4.9099999999953001E-2</v>
      </c>
      <c r="AD5533">
        <v>-7.02880000000001E-2</v>
      </c>
      <c r="AE5533">
        <v>-0.585920000000001</v>
      </c>
      <c r="AF5533">
        <v>4.50731421816227E-2</v>
      </c>
      <c r="AG5533">
        <v>-7.02880000000001E-2</v>
      </c>
      <c r="AH5533">
        <v>0.57793468458678499</v>
      </c>
      <c r="AI5533">
        <v>96.913427364755094</v>
      </c>
      <c r="AJ5533">
        <v>85.540527436014401</v>
      </c>
      <c r="AK5533">
        <v>0.58393534808106196</v>
      </c>
      <c r="AL5533">
        <v>69.602932405121393</v>
      </c>
      <c r="AM5533">
        <v>98.209660363190196</v>
      </c>
      <c r="AN5533">
        <v>1.0000000669781</v>
      </c>
    </row>
    <row r="5534" spans="1:40" x14ac:dyDescent="0.25">
      <c r="A5534" t="str">
        <f>"20190304164237574"</f>
        <v>20190304164237574</v>
      </c>
      <c r="B5534" t="str">
        <f>"1551688957566268"</f>
        <v>1551688957566268</v>
      </c>
      <c r="C5534" t="s">
        <v>40</v>
      </c>
      <c r="D5534">
        <v>4.4757860000000003</v>
      </c>
      <c r="E5534">
        <v>0.5884954</v>
      </c>
      <c r="F5534" t="s">
        <v>41</v>
      </c>
      <c r="G5534">
        <v>-422.33409999999998</v>
      </c>
      <c r="H5534">
        <v>1.042419</v>
      </c>
      <c r="I5534">
        <v>64.861419999999995</v>
      </c>
      <c r="J5534">
        <v>-422.28539999999998</v>
      </c>
      <c r="K5534">
        <v>1.1109500000000001</v>
      </c>
      <c r="L5534">
        <v>65.424130000000005</v>
      </c>
      <c r="M5534">
        <v>-5.4389109999999899E-3</v>
      </c>
      <c r="N5534">
        <v>-1.4202950000000001E-2</v>
      </c>
      <c r="O5534">
        <v>-0.99988460000000001</v>
      </c>
      <c r="P5534">
        <v>0.127225</v>
      </c>
      <c r="Q5534">
        <v>0.33535859999999901</v>
      </c>
      <c r="R5534">
        <v>-0.93346079999999998</v>
      </c>
      <c r="S5534">
        <v>-0.19509889999999999</v>
      </c>
      <c r="T5534">
        <v>-0.26834940000000002</v>
      </c>
      <c r="U5534">
        <v>-3.3376160000000001</v>
      </c>
      <c r="V5534">
        <v>-0.13253099999999901</v>
      </c>
      <c r="W5534">
        <v>0.34848519999999999</v>
      </c>
      <c r="X5534">
        <v>0.92789739999999998</v>
      </c>
      <c r="Y5534">
        <v>5.2761830000000003E-2</v>
      </c>
      <c r="Z5534">
        <v>6.5854339999999997E-2</v>
      </c>
      <c r="AA5534">
        <v>0.99643329999999997</v>
      </c>
      <c r="AB5534">
        <v>30</v>
      </c>
      <c r="AC5534">
        <v>-4.86999999999966E-2</v>
      </c>
      <c r="AD5534">
        <v>-6.8531000000000106E-2</v>
      </c>
      <c r="AE5534">
        <v>-0.56271000000000904</v>
      </c>
      <c r="AF5534">
        <v>4.49763049920643E-2</v>
      </c>
      <c r="AG5534">
        <v>-6.8531000000000106E-2</v>
      </c>
      <c r="AH5534">
        <v>0.554798879271585</v>
      </c>
      <c r="AI5534">
        <v>97.0189405207026</v>
      </c>
      <c r="AJ5534">
        <v>85.365294564092594</v>
      </c>
      <c r="AK5534">
        <v>0.56082186335122997</v>
      </c>
      <c r="AL5534">
        <v>69.605308706074595</v>
      </c>
      <c r="AM5534">
        <v>98.128542841397604</v>
      </c>
      <c r="AN5534">
        <v>0.99999999275340001</v>
      </c>
    </row>
    <row r="5535" spans="1:40" x14ac:dyDescent="0.25">
      <c r="A5535" t="str">
        <f>"20190304164237597"</f>
        <v>20190304164237597</v>
      </c>
      <c r="B5535" t="str">
        <f>"1551688957586761"</f>
        <v>1551688957586761</v>
      </c>
      <c r="C5535" t="s">
        <v>40</v>
      </c>
      <c r="D5535">
        <v>4.484629</v>
      </c>
      <c r="E5535">
        <v>0.58887639999999997</v>
      </c>
      <c r="F5535" t="s">
        <v>41</v>
      </c>
      <c r="G5535">
        <v>-422.33580000000001</v>
      </c>
      <c r="H5535">
        <v>1.0432840000000001</v>
      </c>
      <c r="I5535">
        <v>64.595060000000004</v>
      </c>
      <c r="J5535">
        <v>-422.2867</v>
      </c>
      <c r="K5535">
        <v>1.110914</v>
      </c>
      <c r="L5535">
        <v>65.122500000000002</v>
      </c>
      <c r="M5535">
        <v>-5.1409239999999998E-3</v>
      </c>
      <c r="N5535">
        <v>-1.4204909999999999E-2</v>
      </c>
      <c r="O5535">
        <v>-0.99988600000000005</v>
      </c>
      <c r="P5535">
        <v>0.12586629999999999</v>
      </c>
      <c r="Q5535">
        <v>0.335252299999999</v>
      </c>
      <c r="R5535">
        <v>-0.93368289999999998</v>
      </c>
      <c r="S5535">
        <v>-0.20126340000000001</v>
      </c>
      <c r="T5535">
        <v>-0.2725881</v>
      </c>
      <c r="U5535">
        <v>-3.3392029999999999</v>
      </c>
      <c r="V5535">
        <v>-0.1308656</v>
      </c>
      <c r="W5535">
        <v>0.3483967</v>
      </c>
      <c r="X5535">
        <v>0.92816699999999996</v>
      </c>
      <c r="Y5535">
        <v>5.485806E-2</v>
      </c>
      <c r="Z5535">
        <v>6.7062120000000003E-2</v>
      </c>
      <c r="AA5535">
        <v>0.99623949999999994</v>
      </c>
      <c r="AB5535">
        <v>30</v>
      </c>
      <c r="AC5535">
        <v>-4.91000000000099E-2</v>
      </c>
      <c r="AD5535">
        <v>-6.7629999999999801E-2</v>
      </c>
      <c r="AE5535">
        <v>-0.52743999999999802</v>
      </c>
      <c r="AF5535">
        <v>4.5643562674549699E-2</v>
      </c>
      <c r="AG5535">
        <v>-6.7629999999999801E-2</v>
      </c>
      <c r="AH5535">
        <v>0.51922219690347504</v>
      </c>
      <c r="AI5535">
        <v>97.392946377104195</v>
      </c>
      <c r="AJ5535">
        <v>84.976181498118507</v>
      </c>
      <c r="AK5535">
        <v>0.52559379892736202</v>
      </c>
      <c r="AL5535">
        <v>69.610719045614999</v>
      </c>
      <c r="AM5535">
        <v>98.025437078641602</v>
      </c>
      <c r="AN5535">
        <v>1.0000000228616199</v>
      </c>
    </row>
    <row r="5536" spans="1:40" x14ac:dyDescent="0.25">
      <c r="A5536" t="str">
        <f>"20190304164237619"</f>
        <v>20190304164237619</v>
      </c>
      <c r="B5536" t="str">
        <f>"1551688957617017"</f>
        <v>1551688957617017</v>
      </c>
      <c r="C5536" t="s">
        <v>40</v>
      </c>
      <c r="D5536">
        <v>4.4382739999999998</v>
      </c>
      <c r="E5536">
        <v>0.58941639999999995</v>
      </c>
      <c r="F5536" t="s">
        <v>41</v>
      </c>
      <c r="G5536">
        <v>-422.33670000000001</v>
      </c>
      <c r="H5536">
        <v>1.045204</v>
      </c>
      <c r="I5536">
        <v>64.32799</v>
      </c>
      <c r="J5536">
        <v>-422.28789999999998</v>
      </c>
      <c r="K5536">
        <v>1.110881</v>
      </c>
      <c r="L5536">
        <v>64.824010000000001</v>
      </c>
      <c r="M5536">
        <v>-4.9068719999999996E-3</v>
      </c>
      <c r="N5536">
        <v>-1.4206140000000001E-2</v>
      </c>
      <c r="O5536">
        <v>-0.99988710000000003</v>
      </c>
      <c r="P5536">
        <v>0.12439219999999999</v>
      </c>
      <c r="Q5536">
        <v>0.33494259999999998</v>
      </c>
      <c r="R5536">
        <v>-0.93399160000000003</v>
      </c>
      <c r="S5536">
        <v>-0.20892330000000001</v>
      </c>
      <c r="T5536">
        <v>-0.27632069999999997</v>
      </c>
      <c r="U5536">
        <v>-3.3404539999999998</v>
      </c>
      <c r="V5536">
        <v>-0.12913630000000001</v>
      </c>
      <c r="W5536">
        <v>0.34810839999999998</v>
      </c>
      <c r="X5536">
        <v>0.92851729999999999</v>
      </c>
      <c r="Y5536">
        <v>5.7338449999999999E-2</v>
      </c>
      <c r="Z5536">
        <v>6.8124840000000006E-2</v>
      </c>
      <c r="AA5536">
        <v>0.99602780000000002</v>
      </c>
      <c r="AB5536">
        <v>30</v>
      </c>
      <c r="AC5536">
        <v>-4.88000000000283E-2</v>
      </c>
      <c r="AD5536">
        <v>-6.5676999999999902E-2</v>
      </c>
      <c r="AE5536">
        <v>-0.49602000000000102</v>
      </c>
      <c r="AF5536">
        <v>4.5573923670447603E-2</v>
      </c>
      <c r="AG5536">
        <v>-6.5676999999999902E-2</v>
      </c>
      <c r="AH5536">
        <v>0.48778372705455902</v>
      </c>
      <c r="AI5536">
        <v>97.635537968117106</v>
      </c>
      <c r="AJ5536">
        <v>84.662316631015401</v>
      </c>
      <c r="AK5536">
        <v>0.49429082049635198</v>
      </c>
      <c r="AL5536">
        <v>69.628340219637195</v>
      </c>
      <c r="AM5536">
        <v>97.917790880844905</v>
      </c>
      <c r="AN5536">
        <v>1.00000000926377</v>
      </c>
    </row>
    <row r="5537" spans="1:40" x14ac:dyDescent="0.25">
      <c r="A5537" t="str">
        <f>"20190304164237643"</f>
        <v>20190304164237643</v>
      </c>
      <c r="B5537" t="str">
        <f>"1551688957636537"</f>
        <v>1551688957636537</v>
      </c>
      <c r="C5537" t="s">
        <v>40</v>
      </c>
      <c r="D5537">
        <v>4.4528919999999896</v>
      </c>
      <c r="E5537">
        <v>0.58968199999999904</v>
      </c>
      <c r="F5537" t="s">
        <v>41</v>
      </c>
      <c r="G5537">
        <v>-422.3381</v>
      </c>
      <c r="H5537">
        <v>1.0465439999999999</v>
      </c>
      <c r="I5537">
        <v>64.061750000000004</v>
      </c>
      <c r="J5537">
        <v>-422.28919999999999</v>
      </c>
      <c r="K5537">
        <v>1.110825</v>
      </c>
      <c r="L5537">
        <v>64.515199999999993</v>
      </c>
      <c r="M5537">
        <v>-4.7397259999999997E-3</v>
      </c>
      <c r="N5537">
        <v>-1.4206740000000001E-2</v>
      </c>
      <c r="O5537">
        <v>-0.999888</v>
      </c>
      <c r="P5537">
        <v>0.1225208</v>
      </c>
      <c r="Q5537">
        <v>0.3352424</v>
      </c>
      <c r="R5537">
        <v>-0.9341315</v>
      </c>
      <c r="S5537">
        <v>-0.21847530000000001</v>
      </c>
      <c r="T5537">
        <v>-0.28212619999999999</v>
      </c>
      <c r="U5537">
        <v>-3.342285</v>
      </c>
      <c r="V5537">
        <v>-0.1270628</v>
      </c>
      <c r="W5537">
        <v>0.348429299999999</v>
      </c>
      <c r="X5537">
        <v>0.92868300000000004</v>
      </c>
      <c r="Y5537">
        <v>6.0295840000000003E-2</v>
      </c>
      <c r="Z5537">
        <v>6.9782440000000001E-2</v>
      </c>
      <c r="AA5537">
        <v>0.99573829999999997</v>
      </c>
      <c r="AB5537">
        <v>30</v>
      </c>
      <c r="AC5537">
        <v>-4.8900000000003198E-2</v>
      </c>
      <c r="AD5537">
        <v>-6.4280999999999797E-2</v>
      </c>
      <c r="AE5537">
        <v>-0.45344999999998897</v>
      </c>
      <c r="AF5537">
        <v>4.5839412869281303E-2</v>
      </c>
      <c r="AG5537">
        <v>-6.4280999999999797E-2</v>
      </c>
      <c r="AH5537">
        <v>0.44484002750514301</v>
      </c>
      <c r="AI5537">
        <v>98.1798072216951</v>
      </c>
      <c r="AJ5537">
        <v>84.116610017522504</v>
      </c>
      <c r="AK5537">
        <v>0.451791930875239</v>
      </c>
      <c r="AL5537">
        <v>69.608726353461904</v>
      </c>
      <c r="AM5537">
        <v>97.790858553864595</v>
      </c>
      <c r="AN5537">
        <v>1.0000000233656601</v>
      </c>
    </row>
    <row r="5538" spans="1:40" x14ac:dyDescent="0.25">
      <c r="A5538" t="str">
        <f>"20190304164237663"</f>
        <v>20190304164237663</v>
      </c>
      <c r="B5538" t="str">
        <f>"1551688957657032"</f>
        <v>1551688957657032</v>
      </c>
      <c r="C5538" t="s">
        <v>40</v>
      </c>
      <c r="D5538">
        <v>4.4303290000000004</v>
      </c>
      <c r="E5538">
        <v>0.59002410000000005</v>
      </c>
      <c r="F5538" t="s">
        <v>41</v>
      </c>
      <c r="G5538">
        <v>-422.35509999999999</v>
      </c>
      <c r="H5538">
        <v>1.0280800000000001</v>
      </c>
      <c r="I5538">
        <v>63.543520000000001</v>
      </c>
      <c r="J5538">
        <v>-422.29050000000001</v>
      </c>
      <c r="K5538">
        <v>1.1107830000000001</v>
      </c>
      <c r="L5538">
        <v>64.236359999999905</v>
      </c>
      <c r="M5538">
        <v>-4.6521970000000003E-3</v>
      </c>
      <c r="N5538">
        <v>-1.420687E-2</v>
      </c>
      <c r="O5538">
        <v>-0.9998882</v>
      </c>
      <c r="P5538">
        <v>0.1214546</v>
      </c>
      <c r="Q5538">
        <v>0.33503060000000001</v>
      </c>
      <c r="R5538">
        <v>-0.93434640000000002</v>
      </c>
      <c r="S5538">
        <v>-0.22595209999999999</v>
      </c>
      <c r="T5538">
        <v>-0.28472700000000001</v>
      </c>
      <c r="U5538">
        <v>-3.343353</v>
      </c>
      <c r="V5538">
        <v>-0.1258745</v>
      </c>
      <c r="W5538">
        <v>0.3482362</v>
      </c>
      <c r="X5538">
        <v>0.9289172</v>
      </c>
      <c r="Y5538">
        <v>6.2573950000000003E-2</v>
      </c>
      <c r="Z5538">
        <v>7.0512530000000004E-2</v>
      </c>
      <c r="AA5538">
        <v>0.9955463</v>
      </c>
      <c r="AB5538">
        <v>30</v>
      </c>
      <c r="AC5538">
        <v>-6.4599999999984406E-2</v>
      </c>
      <c r="AD5538">
        <v>-8.2703000000000096E-2</v>
      </c>
      <c r="AE5538">
        <v>-0.69283999999999601</v>
      </c>
      <c r="AF5538">
        <v>6.0520833444539401E-2</v>
      </c>
      <c r="AG5538">
        <v>-8.2703000000000096E-2</v>
      </c>
      <c r="AH5538">
        <v>0.68347828979291503</v>
      </c>
      <c r="AI5538">
        <v>96.872792098724005</v>
      </c>
      <c r="AJ5538">
        <v>84.939754647490801</v>
      </c>
      <c r="AK5538">
        <v>0.69111875253683397</v>
      </c>
      <c r="AL5538">
        <v>69.620528938584698</v>
      </c>
      <c r="AM5538">
        <v>97.716957726814798</v>
      </c>
      <c r="AN5538">
        <v>1.0000000025982601</v>
      </c>
    </row>
    <row r="5539" spans="1:40" x14ac:dyDescent="0.25">
      <c r="A5539" t="str">
        <f>"20190304164237686"</f>
        <v>20190304164237686</v>
      </c>
      <c r="B5539" t="str">
        <f>"1551688957676553"</f>
        <v>1551688957676553</v>
      </c>
      <c r="C5539" t="s">
        <v>40</v>
      </c>
      <c r="D5539">
        <v>4.435441</v>
      </c>
      <c r="E5539">
        <v>0.59031449999999996</v>
      </c>
      <c r="F5539" t="s">
        <v>41</v>
      </c>
      <c r="G5539">
        <v>-422.3569</v>
      </c>
      <c r="H5539">
        <v>1.028319</v>
      </c>
      <c r="I5539">
        <v>63.279249999999998</v>
      </c>
      <c r="J5539">
        <v>-422.29169999999999</v>
      </c>
      <c r="K5539">
        <v>1.110749</v>
      </c>
      <c r="L5539">
        <v>63.946170000000002</v>
      </c>
      <c r="M5539">
        <v>-4.6085859999999996E-3</v>
      </c>
      <c r="N5539">
        <v>-1.420657E-2</v>
      </c>
      <c r="O5539">
        <v>-0.99988840000000001</v>
      </c>
      <c r="P5539">
        <v>0.1200208</v>
      </c>
      <c r="Q5539">
        <v>0.33531670000000002</v>
      </c>
      <c r="R5539">
        <v>-0.93442899999999995</v>
      </c>
      <c r="S5539">
        <v>-0.2320557</v>
      </c>
      <c r="T5539">
        <v>-0.28814879999999998</v>
      </c>
      <c r="U5539">
        <v>-3.3442989999999999</v>
      </c>
      <c r="V5539">
        <v>-0.124365</v>
      </c>
      <c r="W5539">
        <v>0.34853620000000002</v>
      </c>
      <c r="X5539">
        <v>0.92900799999999994</v>
      </c>
      <c r="Y5539">
        <v>6.4400319999999997E-2</v>
      </c>
      <c r="Z5539">
        <v>7.1489860000000002E-2</v>
      </c>
      <c r="AA5539">
        <v>0.99536009999999997</v>
      </c>
      <c r="AB5539">
        <v>30</v>
      </c>
      <c r="AC5539">
        <v>-6.5200000000004296E-2</v>
      </c>
      <c r="AD5539">
        <v>-8.2429999999999906E-2</v>
      </c>
      <c r="AE5539">
        <v>-0.66691999999999696</v>
      </c>
      <c r="AF5539">
        <v>6.1199379071872999E-2</v>
      </c>
      <c r="AG5539">
        <v>-8.2429999999999906E-2</v>
      </c>
      <c r="AH5539">
        <v>0.657267749371094</v>
      </c>
      <c r="AI5539">
        <v>97.117850338921201</v>
      </c>
      <c r="AJ5539">
        <v>84.680425045485293</v>
      </c>
      <c r="AK5539">
        <v>0.66523752394323499</v>
      </c>
      <c r="AL5539">
        <v>69.602191320923794</v>
      </c>
      <c r="AM5539">
        <v>97.624774058072205</v>
      </c>
      <c r="AN5539">
        <v>0.999999999999719</v>
      </c>
    </row>
    <row r="5540" spans="1:40" x14ac:dyDescent="0.25">
      <c r="A5540" t="str">
        <f>"20190304164237699"</f>
        <v>20190304164237699</v>
      </c>
      <c r="B5540" t="str">
        <f>"1551688957697049"</f>
        <v>1551688957697049</v>
      </c>
      <c r="C5540" t="s">
        <v>40</v>
      </c>
      <c r="D5540">
        <v>4.4396620000000002</v>
      </c>
      <c r="E5540">
        <v>0.59056809999999904</v>
      </c>
      <c r="F5540" t="s">
        <v>41</v>
      </c>
      <c r="G5540">
        <v>-422.35849999999999</v>
      </c>
      <c r="H5540">
        <v>1.0300119999999999</v>
      </c>
      <c r="I5540">
        <v>63.014580000000002</v>
      </c>
      <c r="J5540">
        <v>-422.29250000000002</v>
      </c>
      <c r="K5540">
        <v>1.1107340000000001</v>
      </c>
      <c r="L5540">
        <v>63.767209999999999</v>
      </c>
      <c r="M5540">
        <v>-4.5988309999999899E-3</v>
      </c>
      <c r="N5540">
        <v>-1.42062E-2</v>
      </c>
      <c r="O5540">
        <v>-0.99988889999999997</v>
      </c>
      <c r="P5540">
        <v>0.119174</v>
      </c>
      <c r="Q5540">
        <v>0.33574870000000001</v>
      </c>
      <c r="R5540">
        <v>-0.93438279999999996</v>
      </c>
      <c r="S5540">
        <v>-0.23834230000000001</v>
      </c>
      <c r="T5540">
        <v>-0.28993679999999999</v>
      </c>
      <c r="U5540">
        <v>-3.345154</v>
      </c>
      <c r="V5540">
        <v>-0.1234922</v>
      </c>
      <c r="W5540">
        <v>0.34897280000000003</v>
      </c>
      <c r="X5540">
        <v>0.92896060000000003</v>
      </c>
      <c r="Y5540">
        <v>6.6249710000000003E-2</v>
      </c>
      <c r="Z5540">
        <v>7.1985759999999996E-2</v>
      </c>
      <c r="AA5540">
        <v>0.99520299999999995</v>
      </c>
      <c r="AB5540">
        <v>30</v>
      </c>
      <c r="AC5540">
        <v>-6.5999999999973996E-2</v>
      </c>
      <c r="AD5540">
        <v>-8.0721999999999905E-2</v>
      </c>
      <c r="AE5540">
        <v>-0.75262999999999602</v>
      </c>
      <c r="AF5540">
        <v>6.1831895566473997E-2</v>
      </c>
      <c r="AG5540">
        <v>-8.0721999999999905E-2</v>
      </c>
      <c r="AH5540">
        <v>0.74442760116567097</v>
      </c>
      <c r="AI5540">
        <v>96.167613277879198</v>
      </c>
      <c r="AJ5540">
        <v>85.251931450781299</v>
      </c>
      <c r="AK5540">
        <v>0.75133992172026798</v>
      </c>
      <c r="AL5540">
        <v>69.575501594486099</v>
      </c>
      <c r="AM5540">
        <v>97.572267889608597</v>
      </c>
      <c r="AN5540">
        <v>1.0000000674765099</v>
      </c>
    </row>
    <row r="5541" spans="1:40" x14ac:dyDescent="0.25">
      <c r="A5541" t="str">
        <f>"20190304164237712"</f>
        <v>20190304164237712</v>
      </c>
      <c r="B5541" t="str">
        <f>"1551688957706809"</f>
        <v>1551688957706809</v>
      </c>
      <c r="C5541" t="s">
        <v>40</v>
      </c>
      <c r="D5541">
        <v>4.447279</v>
      </c>
      <c r="E5541">
        <v>0.59070040000000001</v>
      </c>
      <c r="F5541" t="s">
        <v>41</v>
      </c>
      <c r="G5541">
        <v>-422.34800000000001</v>
      </c>
      <c r="H5541">
        <v>1.0445770000000001</v>
      </c>
      <c r="I5541">
        <v>63.00658</v>
      </c>
      <c r="J5541">
        <v>-422.29329999999999</v>
      </c>
      <c r="K5541">
        <v>1.110727</v>
      </c>
      <c r="L5541">
        <v>63.596339999999998</v>
      </c>
      <c r="M5541">
        <v>-4.6005309999999997E-3</v>
      </c>
      <c r="N5541">
        <v>-1.420568E-2</v>
      </c>
      <c r="O5541">
        <v>-0.99988869999999996</v>
      </c>
      <c r="P5541">
        <v>0.1182024</v>
      </c>
      <c r="Q5541">
        <v>0.3361519</v>
      </c>
      <c r="R5541">
        <v>-0.9343612</v>
      </c>
      <c r="S5541">
        <v>-0.2424316</v>
      </c>
      <c r="T5541">
        <v>-0.29106579999999999</v>
      </c>
      <c r="U5541">
        <v>-3.3461910000000001</v>
      </c>
      <c r="V5541">
        <v>-0.12251099999999999</v>
      </c>
      <c r="W5541">
        <v>0.34937980000000002</v>
      </c>
      <c r="X5541">
        <v>0.92893740000000002</v>
      </c>
      <c r="Y5541">
        <v>6.7433510000000002E-2</v>
      </c>
      <c r="Z5541">
        <v>7.2285890000000005E-2</v>
      </c>
      <c r="AA5541">
        <v>0.99510169999999998</v>
      </c>
      <c r="AB5541">
        <v>30</v>
      </c>
      <c r="AC5541">
        <v>-5.4700000000025201E-2</v>
      </c>
      <c r="AD5541">
        <v>-6.6149999999999903E-2</v>
      </c>
      <c r="AE5541">
        <v>-0.58975999999999795</v>
      </c>
      <c r="AF5541">
        <v>5.1345479686985197E-2</v>
      </c>
      <c r="AG5541">
        <v>-6.6149999999999903E-2</v>
      </c>
      <c r="AH5541">
        <v>0.58273665456010304</v>
      </c>
      <c r="AI5541">
        <v>96.451488761067907</v>
      </c>
      <c r="AJ5541">
        <v>84.964618415957304</v>
      </c>
      <c r="AK5541">
        <v>0.58872250623888001</v>
      </c>
      <c r="AL5541">
        <v>69.550613137695905</v>
      </c>
      <c r="AM5541">
        <v>97.512978322927395</v>
      </c>
      <c r="AN5541">
        <v>0.99999994144389803</v>
      </c>
    </row>
    <row r="5542" spans="1:40" x14ac:dyDescent="0.25">
      <c r="A5542" t="str">
        <f>"20190304164237725"</f>
        <v>20190304164237725</v>
      </c>
      <c r="B5542" t="str">
        <f>"1551688957716570"</f>
        <v>1551688957716570</v>
      </c>
      <c r="C5542" t="s">
        <v>40</v>
      </c>
      <c r="D5542">
        <v>4.4401029999999997</v>
      </c>
      <c r="E5542">
        <v>0.59081490000000003</v>
      </c>
      <c r="F5542" t="s">
        <v>41</v>
      </c>
      <c r="G5542">
        <v>-422.35599999999999</v>
      </c>
      <c r="H5542">
        <v>1.0369469999999901</v>
      </c>
      <c r="I5542">
        <v>62.747579999999999</v>
      </c>
      <c r="J5542">
        <v>-422.29410000000001</v>
      </c>
      <c r="K5542">
        <v>1.110722</v>
      </c>
      <c r="L5542">
        <v>63.427889999999998</v>
      </c>
      <c r="M5542">
        <v>-4.6064590000000002E-3</v>
      </c>
      <c r="N5542">
        <v>-1.420509E-2</v>
      </c>
      <c r="O5542">
        <v>-0.99988869999999996</v>
      </c>
      <c r="P5542">
        <v>0.1173732</v>
      </c>
      <c r="Q5542">
        <v>0.33660240000000002</v>
      </c>
      <c r="R5542">
        <v>-0.93430349999999995</v>
      </c>
      <c r="S5542">
        <v>-0.2462463</v>
      </c>
      <c r="T5542">
        <v>-0.29092610000000002</v>
      </c>
      <c r="U5542">
        <v>-3.3465579999999999</v>
      </c>
      <c r="V5542">
        <v>-0.12167799999999999</v>
      </c>
      <c r="W5542">
        <v>0.34983189999999997</v>
      </c>
      <c r="X5542">
        <v>0.92887679999999995</v>
      </c>
      <c r="Y5542">
        <v>6.8547520000000001E-2</v>
      </c>
      <c r="Z5542">
        <v>7.2229070000000006E-2</v>
      </c>
      <c r="AA5542">
        <v>0.99502970000000002</v>
      </c>
      <c r="AB5542">
        <v>30</v>
      </c>
      <c r="AC5542">
        <v>-6.1899999999979999E-2</v>
      </c>
      <c r="AD5542">
        <v>-7.3775000000000104E-2</v>
      </c>
      <c r="AE5542">
        <v>-0.68030999999999797</v>
      </c>
      <c r="AF5542">
        <v>5.8087708927847398E-2</v>
      </c>
      <c r="AG5542">
        <v>-7.3775000000000104E-2</v>
      </c>
      <c r="AH5542">
        <v>0.67274151526473502</v>
      </c>
      <c r="AI5542">
        <v>96.2352161791664</v>
      </c>
      <c r="AJ5542">
        <v>85.065049061208995</v>
      </c>
      <c r="AK5542">
        <v>0.67926289381518401</v>
      </c>
      <c r="AL5542">
        <v>69.522966322249701</v>
      </c>
      <c r="AM5542">
        <v>97.462953711738194</v>
      </c>
      <c r="AN5542">
        <v>1.00000000175992</v>
      </c>
    </row>
    <row r="5543" spans="1:40" x14ac:dyDescent="0.25">
      <c r="A5543" t="str">
        <f>"20190304164237739"</f>
        <v>20190304164237739</v>
      </c>
      <c r="B5543" t="str">
        <f>"1551688957737065"</f>
        <v>1551688957737065</v>
      </c>
      <c r="C5543" t="s">
        <v>40</v>
      </c>
      <c r="D5543">
        <v>4.44611</v>
      </c>
      <c r="E5543">
        <v>0.59104699999999999</v>
      </c>
      <c r="F5543" t="s">
        <v>41</v>
      </c>
      <c r="G5543">
        <v>-422.36430000000001</v>
      </c>
      <c r="H5543">
        <v>1.029088</v>
      </c>
      <c r="I5543">
        <v>62.488329999999998</v>
      </c>
      <c r="J5543">
        <v>-422.29489999999998</v>
      </c>
      <c r="K5543">
        <v>1.110719</v>
      </c>
      <c r="L5543">
        <v>63.248289999999997</v>
      </c>
      <c r="M5543">
        <v>-4.6183880000000002E-3</v>
      </c>
      <c r="N5543">
        <v>-1.4204349999999999E-2</v>
      </c>
      <c r="O5543">
        <v>-0.99988869999999996</v>
      </c>
      <c r="P5543">
        <v>0.1167504</v>
      </c>
      <c r="Q5543">
        <v>0.337101599999999</v>
      </c>
      <c r="R5543">
        <v>-0.93420170000000002</v>
      </c>
      <c r="S5543">
        <v>-0.24838260000000001</v>
      </c>
      <c r="T5543">
        <v>-0.29084680000000002</v>
      </c>
      <c r="U5543">
        <v>-3.3469540000000002</v>
      </c>
      <c r="V5543">
        <v>-0.1210595</v>
      </c>
      <c r="W5543">
        <v>0.35033130000000001</v>
      </c>
      <c r="X5543">
        <v>0.92876939999999997</v>
      </c>
      <c r="Y5543">
        <v>6.915839E-2</v>
      </c>
      <c r="Z5543">
        <v>7.2192450000000005E-2</v>
      </c>
      <c r="AA5543">
        <v>0.99499009999999999</v>
      </c>
      <c r="AB5543">
        <v>29</v>
      </c>
      <c r="AC5543">
        <v>-6.9400000000030104E-2</v>
      </c>
      <c r="AD5543">
        <v>-8.1630999999999995E-2</v>
      </c>
      <c r="AE5543">
        <v>-0.75995999999999897</v>
      </c>
      <c r="AF5543">
        <v>6.5143707592178607E-2</v>
      </c>
      <c r="AG5543">
        <v>-8.1630999999999995E-2</v>
      </c>
      <c r="AH5543">
        <v>0.751671420210972</v>
      </c>
      <c r="AI5543">
        <v>96.175025847193197</v>
      </c>
      <c r="AJ5543">
        <v>85.046829438032205</v>
      </c>
      <c r="AK5543">
        <v>0.75889211799954404</v>
      </c>
      <c r="AL5543">
        <v>69.492419985326706</v>
      </c>
      <c r="AM5543">
        <v>97.426292331853006</v>
      </c>
      <c r="AN5543">
        <v>1.0000000103381499</v>
      </c>
    </row>
    <row r="5544" spans="1:40" x14ac:dyDescent="0.25">
      <c r="A5544" t="str">
        <f>"20190304164237753"</f>
        <v>20190304164237753</v>
      </c>
      <c r="B5544" t="str">
        <f>"1551688957746825"</f>
        <v>1551688957746825</v>
      </c>
      <c r="C5544" t="s">
        <v>40</v>
      </c>
      <c r="D5544">
        <v>4.4438700000000004</v>
      </c>
      <c r="E5544">
        <v>0.59114440000000001</v>
      </c>
      <c r="F5544" t="s">
        <v>41</v>
      </c>
      <c r="G5544">
        <v>-422.35309999999998</v>
      </c>
      <c r="H5544">
        <v>1.0439879999999999</v>
      </c>
      <c r="I5544">
        <v>62.480499999999999</v>
      </c>
      <c r="J5544">
        <v>-422.29579999999999</v>
      </c>
      <c r="K5544">
        <v>1.1107100000000001</v>
      </c>
      <c r="L5544">
        <v>63.056060000000002</v>
      </c>
      <c r="M5544">
        <v>-4.6328130000000004E-3</v>
      </c>
      <c r="N5544">
        <v>-1.420342E-2</v>
      </c>
      <c r="O5544">
        <v>-0.99988840000000001</v>
      </c>
      <c r="P5544">
        <v>0.1153995</v>
      </c>
      <c r="Q5544">
        <v>0.33774690000000002</v>
      </c>
      <c r="R5544">
        <v>-0.93413619999999997</v>
      </c>
      <c r="S5544">
        <v>-0.25149539999999998</v>
      </c>
      <c r="T5544">
        <v>-0.2910142</v>
      </c>
      <c r="U5544">
        <v>-3.3477480000000002</v>
      </c>
      <c r="V5544">
        <v>-0.1197172</v>
      </c>
      <c r="W5544">
        <v>0.35097610000000001</v>
      </c>
      <c r="X5544">
        <v>0.92869990000000002</v>
      </c>
      <c r="Y5544">
        <v>7.004581E-2</v>
      </c>
      <c r="Z5544">
        <v>7.2216849999999999E-2</v>
      </c>
      <c r="AA5544">
        <v>0.99492630000000004</v>
      </c>
      <c r="AB5544">
        <v>29</v>
      </c>
      <c r="AC5544">
        <v>-5.7299999999997901E-2</v>
      </c>
      <c r="AD5544">
        <v>-6.6722000000000101E-2</v>
      </c>
      <c r="AE5544">
        <v>-0.57555999999999496</v>
      </c>
      <c r="AF5544">
        <v>5.3915215026623602E-2</v>
      </c>
      <c r="AG5544">
        <v>-6.6722000000000101E-2</v>
      </c>
      <c r="AH5544">
        <v>0.56825761742507397</v>
      </c>
      <c r="AI5544">
        <v>96.667055767098702</v>
      </c>
      <c r="AJ5544">
        <v>84.580108269728797</v>
      </c>
      <c r="AK5544">
        <v>0.57469591564321199</v>
      </c>
      <c r="AL5544">
        <v>69.452969931157995</v>
      </c>
      <c r="AM5544">
        <v>97.345397819726003</v>
      </c>
      <c r="AN5544">
        <v>0.99999996750352904</v>
      </c>
    </row>
    <row r="5545" spans="1:40" x14ac:dyDescent="0.25">
      <c r="A5545" t="str">
        <f>"20190304164237767"</f>
        <v>20190304164237767</v>
      </c>
      <c r="B5545" t="str">
        <f>"1551688957756584"</f>
        <v>1551688957756584</v>
      </c>
      <c r="C5545" t="s">
        <v>40</v>
      </c>
      <c r="D5545">
        <v>4.4284410000000003</v>
      </c>
      <c r="E5545">
        <v>0.59123709999999996</v>
      </c>
      <c r="F5545" t="s">
        <v>41</v>
      </c>
      <c r="G5545">
        <v>-422.35980000000001</v>
      </c>
      <c r="H5545">
        <v>1.0383560000000001</v>
      </c>
      <c r="I5545">
        <v>62.220779999999998</v>
      </c>
      <c r="J5545">
        <v>-422.29669999999999</v>
      </c>
      <c r="K5545">
        <v>1.110706</v>
      </c>
      <c r="L5545">
        <v>62.867130000000003</v>
      </c>
      <c r="M5545">
        <v>-4.6464719999999996E-3</v>
      </c>
      <c r="N5545">
        <v>-1.420244E-2</v>
      </c>
      <c r="O5545">
        <v>-0.99988840000000001</v>
      </c>
      <c r="P5545">
        <v>0.11508259999999999</v>
      </c>
      <c r="Q5545">
        <v>0.33813959999999998</v>
      </c>
      <c r="R5545">
        <v>-0.93403290000000005</v>
      </c>
      <c r="S5545">
        <v>-0.25640869999999999</v>
      </c>
      <c r="T5545">
        <v>-0.29001519999999997</v>
      </c>
      <c r="U5545">
        <v>-3.3480530000000002</v>
      </c>
      <c r="V5545">
        <v>-0.11940969999999999</v>
      </c>
      <c r="W5545">
        <v>0.35136770000000001</v>
      </c>
      <c r="X5545">
        <v>0.92859139999999996</v>
      </c>
      <c r="Y5545">
        <v>7.1477910000000006E-2</v>
      </c>
      <c r="Z5545">
        <v>7.1906360000000002E-2</v>
      </c>
      <c r="AA5545">
        <v>0.99484689999999998</v>
      </c>
      <c r="AB5545">
        <v>29</v>
      </c>
      <c r="AC5545">
        <v>-6.3100000000019904E-2</v>
      </c>
      <c r="AD5545">
        <v>-7.2349999999999901E-2</v>
      </c>
      <c r="AE5545">
        <v>-0.64634999999999798</v>
      </c>
      <c r="AF5545">
        <v>5.9359037828982497E-2</v>
      </c>
      <c r="AG5545">
        <v>-7.2349999999999901E-2</v>
      </c>
      <c r="AH5545">
        <v>0.63870894770741704</v>
      </c>
      <c r="AI5545">
        <v>96.435157143309695</v>
      </c>
      <c r="AJ5545">
        <v>84.690412375768005</v>
      </c>
      <c r="AK5545">
        <v>0.64552857237576899</v>
      </c>
      <c r="AL5545">
        <v>69.429006603982501</v>
      </c>
      <c r="AM5545">
        <v>97.327582819364906</v>
      </c>
      <c r="AN5545">
        <v>0.99999996260566903</v>
      </c>
    </row>
    <row r="5546" spans="1:40" x14ac:dyDescent="0.25">
      <c r="A5546" t="str">
        <f>"20190304164237781"</f>
        <v>20190304164237781</v>
      </c>
      <c r="B5546" t="str">
        <f>"1551688957776613"</f>
        <v>1551688957776613</v>
      </c>
      <c r="C5546" t="s">
        <v>40</v>
      </c>
      <c r="D5546">
        <v>4.4549620000000001</v>
      </c>
      <c r="E5546">
        <v>0.59135179999999998</v>
      </c>
      <c r="F5546" t="s">
        <v>41</v>
      </c>
      <c r="G5546">
        <v>-422.36680000000001</v>
      </c>
      <c r="H5546">
        <v>1.032338</v>
      </c>
      <c r="I5546">
        <v>61.96123</v>
      </c>
      <c r="J5546">
        <v>-422.29750000000001</v>
      </c>
      <c r="K5546">
        <v>1.1107089999999999</v>
      </c>
      <c r="L5546">
        <v>62.693019999999997</v>
      </c>
      <c r="M5546">
        <v>-4.657947E-3</v>
      </c>
      <c r="N5546">
        <v>-1.4201510000000001E-2</v>
      </c>
      <c r="O5546">
        <v>-0.99988840000000001</v>
      </c>
      <c r="P5546">
        <v>0.114623</v>
      </c>
      <c r="Q5546">
        <v>0.33811649999999999</v>
      </c>
      <c r="R5546">
        <v>-0.93409810000000004</v>
      </c>
      <c r="S5546">
        <v>-0.25784299999999999</v>
      </c>
      <c r="T5546">
        <v>-0.2897074</v>
      </c>
      <c r="U5546">
        <v>-3.348541</v>
      </c>
      <c r="V5546">
        <v>-0.1189591</v>
      </c>
      <c r="W5546">
        <v>0.35134530000000003</v>
      </c>
      <c r="X5546">
        <v>0.92865770000000003</v>
      </c>
      <c r="Y5546">
        <v>7.1879399999999996E-2</v>
      </c>
      <c r="Z5546">
        <v>7.1801470000000006E-2</v>
      </c>
      <c r="AA5546">
        <v>0.99482550000000003</v>
      </c>
      <c r="AB5546">
        <v>29</v>
      </c>
      <c r="AC5546">
        <v>-6.9299999999998294E-2</v>
      </c>
      <c r="AD5546">
        <v>-7.8370999999999899E-2</v>
      </c>
      <c r="AE5546">
        <v>-0.73178999999998895</v>
      </c>
      <c r="AF5546">
        <v>6.5149684210281195E-2</v>
      </c>
      <c r="AG5546">
        <v>-7.8370999999999899E-2</v>
      </c>
      <c r="AH5546">
        <v>0.72387630932123603</v>
      </c>
      <c r="AI5546">
        <v>96.154418219080199</v>
      </c>
      <c r="AJ5546">
        <v>84.857171344426007</v>
      </c>
      <c r="AK5546">
        <v>0.73101532555086302</v>
      </c>
      <c r="AL5546">
        <v>69.430377279051399</v>
      </c>
      <c r="AM5546">
        <v>97.299715004520195</v>
      </c>
      <c r="AN5546">
        <v>0.99999995553709398</v>
      </c>
    </row>
    <row r="5547" spans="1:40" x14ac:dyDescent="0.25">
      <c r="A5547" t="str">
        <f>"20190304164237795"</f>
        <v>20190304164237795</v>
      </c>
      <c r="B5547" t="str">
        <f>"1551688957786373"</f>
        <v>1551688957786373</v>
      </c>
      <c r="C5547" t="s">
        <v>40</v>
      </c>
      <c r="D5547">
        <v>4.4829379999999999</v>
      </c>
      <c r="E5547">
        <v>0.59143559999999995</v>
      </c>
      <c r="F5547" t="s">
        <v>41</v>
      </c>
      <c r="G5547">
        <v>-422.35539999999997</v>
      </c>
      <c r="H5547">
        <v>1.0461800000000001</v>
      </c>
      <c r="I5547">
        <v>61.953009999999999</v>
      </c>
      <c r="J5547">
        <v>-422.29829999999998</v>
      </c>
      <c r="K5547">
        <v>1.1107070000000001</v>
      </c>
      <c r="L5547">
        <v>62.517119999999998</v>
      </c>
      <c r="M5547">
        <v>-4.6660900000000003E-3</v>
      </c>
      <c r="N5547">
        <v>-1.420042E-2</v>
      </c>
      <c r="O5547">
        <v>-0.99988840000000001</v>
      </c>
      <c r="P5547">
        <v>0.1145007</v>
      </c>
      <c r="Q5547">
        <v>0.33812700000000001</v>
      </c>
      <c r="R5547">
        <v>-0.93410950000000004</v>
      </c>
      <c r="S5547">
        <v>-0.26046750000000002</v>
      </c>
      <c r="T5547">
        <v>-0.29209479999999999</v>
      </c>
      <c r="U5547">
        <v>-3.349335</v>
      </c>
      <c r="V5547">
        <v>-0.1188435</v>
      </c>
      <c r="W5547">
        <v>0.35135519999999998</v>
      </c>
      <c r="X5547">
        <v>0.92866879999999996</v>
      </c>
      <c r="Y5547">
        <v>7.2623419999999994E-2</v>
      </c>
      <c r="Z5547">
        <v>7.2481139999999999E-2</v>
      </c>
      <c r="AA5547">
        <v>0.9947222</v>
      </c>
      <c r="AB5547">
        <v>29</v>
      </c>
      <c r="AC5547">
        <v>-5.7099999999991199E-2</v>
      </c>
      <c r="AD5547">
        <v>-6.4527000000000001E-2</v>
      </c>
      <c r="AE5547">
        <v>-0.564109999999999</v>
      </c>
      <c r="AF5547">
        <v>5.3770503231184499E-2</v>
      </c>
      <c r="AG5547">
        <v>-6.4527000000000001E-2</v>
      </c>
      <c r="AH5547">
        <v>0.55715419876149497</v>
      </c>
      <c r="AI5547">
        <v>96.576013479901604</v>
      </c>
      <c r="AJ5547">
        <v>84.487502650809006</v>
      </c>
      <c r="AK5547">
        <v>0.563449910767851</v>
      </c>
      <c r="AL5547">
        <v>69.429772317146302</v>
      </c>
      <c r="AM5547">
        <v>97.292611588745004</v>
      </c>
      <c r="AN5547">
        <v>0.999999997076365</v>
      </c>
    </row>
    <row r="5548" spans="1:40" x14ac:dyDescent="0.25">
      <c r="A5548" t="str">
        <f>"20190304164237810"</f>
        <v>20190304164237810</v>
      </c>
      <c r="B5548" t="str">
        <f>"1551688957806869"</f>
        <v>1551688957806869</v>
      </c>
      <c r="C5548" t="s">
        <v>40</v>
      </c>
      <c r="D5548">
        <v>4.6653409999999997</v>
      </c>
      <c r="E5548">
        <v>0.59131109999999998</v>
      </c>
      <c r="F5548" t="s">
        <v>41</v>
      </c>
      <c r="G5548">
        <v>-422.36259999999999</v>
      </c>
      <c r="H5548">
        <v>1.0389060000000001</v>
      </c>
      <c r="I5548">
        <v>61.695650000000001</v>
      </c>
      <c r="J5548">
        <v>-422.29919999999998</v>
      </c>
      <c r="K5548">
        <v>1.1107049999999901</v>
      </c>
      <c r="L5548">
        <v>62.321170000000002</v>
      </c>
      <c r="M5548">
        <v>-4.6727870000000003E-3</v>
      </c>
      <c r="N5548">
        <v>-1.4199140000000001E-2</v>
      </c>
      <c r="O5548">
        <v>-0.9998882</v>
      </c>
      <c r="P5548">
        <v>0.1143441</v>
      </c>
      <c r="Q5548">
        <v>0.33856029999999998</v>
      </c>
      <c r="R5548">
        <v>-0.93397129999999995</v>
      </c>
      <c r="S5548">
        <v>-0.26202389999999998</v>
      </c>
      <c r="T5548">
        <v>-0.2927765</v>
      </c>
      <c r="U5548">
        <v>-3.3497309999999998</v>
      </c>
      <c r="V5548">
        <v>-0.11869150000000001</v>
      </c>
      <c r="W5548">
        <v>0.35178549999999997</v>
      </c>
      <c r="X5548">
        <v>0.9285253</v>
      </c>
      <c r="Y5548">
        <v>7.3065530000000004E-2</v>
      </c>
      <c r="Z5548">
        <v>7.2670159999999998E-2</v>
      </c>
      <c r="AA5548">
        <v>0.99467609999999995</v>
      </c>
      <c r="AB5548">
        <v>29</v>
      </c>
      <c r="AC5548">
        <v>-6.34000000000014E-2</v>
      </c>
      <c r="AD5548">
        <v>-7.1798999999999905E-2</v>
      </c>
      <c r="AE5548">
        <v>-0.62551999999999397</v>
      </c>
      <c r="AF5548">
        <v>5.9697566565748997E-2</v>
      </c>
      <c r="AG5548">
        <v>-7.1798999999999905E-2</v>
      </c>
      <c r="AH5548">
        <v>0.61775324567386602</v>
      </c>
      <c r="AI5548">
        <v>96.599047111353002</v>
      </c>
      <c r="AJ5548">
        <v>84.480270953686102</v>
      </c>
      <c r="AK5548">
        <v>0.62477033251865299</v>
      </c>
      <c r="AL5548">
        <v>69.403436165137805</v>
      </c>
      <c r="AM5548">
        <v>97.284498138237794</v>
      </c>
      <c r="AN5548">
        <v>0.99999997146129405</v>
      </c>
    </row>
    <row r="5549" spans="1:40" x14ac:dyDescent="0.25">
      <c r="A5549" t="str">
        <f>"20190304164237827"</f>
        <v>20190304164237827</v>
      </c>
      <c r="B5549" t="str">
        <f>"1551688957816629"</f>
        <v>1551688957816629</v>
      </c>
      <c r="C5549" t="s">
        <v>40</v>
      </c>
      <c r="D5549">
        <v>5.1852109999999998</v>
      </c>
      <c r="E5549">
        <v>0.59131109999999998</v>
      </c>
      <c r="F5549" t="s">
        <v>41</v>
      </c>
      <c r="G5549">
        <v>-422.36869999999999</v>
      </c>
      <c r="H5549">
        <v>1.0334159999999999</v>
      </c>
      <c r="I5549">
        <v>61.436459999999997</v>
      </c>
      <c r="J5549">
        <v>-422.30020000000002</v>
      </c>
      <c r="K5549">
        <v>1.110706</v>
      </c>
      <c r="L5549">
        <v>62.108699999999999</v>
      </c>
      <c r="M5549">
        <v>-4.6771929999999996E-3</v>
      </c>
      <c r="N5549">
        <v>-1.4197670000000001E-2</v>
      </c>
      <c r="O5549">
        <v>-0.99988840000000001</v>
      </c>
      <c r="P5549">
        <v>0.1142478</v>
      </c>
      <c r="Q5549">
        <v>0.3386111</v>
      </c>
      <c r="R5549">
        <v>-0.93396500000000005</v>
      </c>
      <c r="S5549">
        <v>-0.2619629</v>
      </c>
      <c r="T5549">
        <v>-0.29271979999999997</v>
      </c>
      <c r="U5549">
        <v>-3.3502809999999998</v>
      </c>
      <c r="V5549">
        <v>-0.1185983</v>
      </c>
      <c r="W5549">
        <v>0.35183550000000002</v>
      </c>
      <c r="X5549">
        <v>0.92851830000000002</v>
      </c>
      <c r="Y5549">
        <v>7.3030670000000006E-2</v>
      </c>
      <c r="Z5549">
        <v>7.2641020000000001E-2</v>
      </c>
      <c r="AA5549">
        <v>0.99468080000000003</v>
      </c>
      <c r="AB5549">
        <v>29</v>
      </c>
      <c r="AC5549">
        <v>-6.8499999999971806E-2</v>
      </c>
      <c r="AD5549">
        <v>-7.7289999999999998E-2</v>
      </c>
      <c r="AE5549">
        <v>-0.67224000000000195</v>
      </c>
      <c r="AF5549">
        <v>6.4510735252021695E-2</v>
      </c>
      <c r="AG5549">
        <v>-7.7289999999999998E-2</v>
      </c>
      <c r="AH5549">
        <v>0.66386759682012197</v>
      </c>
      <c r="AI5549">
        <v>96.609840322893902</v>
      </c>
      <c r="AJ5549">
        <v>84.449760446870599</v>
      </c>
      <c r="AK5549">
        <v>0.67145779105650505</v>
      </c>
      <c r="AL5549">
        <v>69.400376440286607</v>
      </c>
      <c r="AM5549">
        <v>97.278893794460998</v>
      </c>
      <c r="AN5549">
        <v>1.0000000046290101</v>
      </c>
    </row>
    <row r="5550" spans="1:40" x14ac:dyDescent="0.25">
      <c r="A5550" t="str">
        <f>"20190304164237844"</f>
        <v>20190304164237844</v>
      </c>
      <c r="B5550" t="str">
        <f>"1551688957837125"</f>
        <v>1551688957837125</v>
      </c>
      <c r="C5550" t="s">
        <v>40</v>
      </c>
      <c r="D5550">
        <v>4.4711100000000004</v>
      </c>
      <c r="E5550">
        <v>0.5263215</v>
      </c>
      <c r="F5550" t="s">
        <v>41</v>
      </c>
      <c r="G5550">
        <v>-422.3734</v>
      </c>
      <c r="H5550">
        <v>1.02939</v>
      </c>
      <c r="I5550">
        <v>61.176850000000002</v>
      </c>
      <c r="J5550">
        <v>-422.30130000000003</v>
      </c>
      <c r="K5550">
        <v>1.1107020000000001</v>
      </c>
      <c r="L5550">
        <v>61.876890000000003</v>
      </c>
      <c r="M5550">
        <v>-4.6796279999999999E-3</v>
      </c>
      <c r="N5550">
        <v>-1.419601E-2</v>
      </c>
      <c r="O5550">
        <v>-0.99988840000000001</v>
      </c>
      <c r="P5550">
        <v>0.114492</v>
      </c>
      <c r="Q5550">
        <v>0.33839229999999998</v>
      </c>
      <c r="R5550">
        <v>-0.93401420000000002</v>
      </c>
      <c r="S5550">
        <v>-0.26254270000000002</v>
      </c>
      <c r="T5550">
        <v>-0.2923654</v>
      </c>
      <c r="U5550">
        <v>-3.3502200000000002</v>
      </c>
      <c r="V5550">
        <v>-0.1188448</v>
      </c>
      <c r="W5550">
        <v>0.35161550000000003</v>
      </c>
      <c r="X5550">
        <v>0.92857020000000001</v>
      </c>
      <c r="Y5550">
        <v>7.3201260000000004E-2</v>
      </c>
      <c r="Z5550">
        <v>7.2538710000000006E-2</v>
      </c>
      <c r="AA5550">
        <v>0.99467570000000005</v>
      </c>
      <c r="AB5550">
        <v>29</v>
      </c>
      <c r="AC5550">
        <v>-7.2099999999977599E-2</v>
      </c>
      <c r="AD5550">
        <v>-8.1311999999999995E-2</v>
      </c>
      <c r="AE5550">
        <v>-0.70004000000000099</v>
      </c>
      <c r="AF5550">
        <v>6.7916272299848396E-2</v>
      </c>
      <c r="AG5550">
        <v>-8.1311999999999995E-2</v>
      </c>
      <c r="AH5550">
        <v>0.69114301627822095</v>
      </c>
      <c r="AI5550">
        <v>96.678050577084207</v>
      </c>
      <c r="AJ5550">
        <v>84.387756983742506</v>
      </c>
      <c r="AK5550">
        <v>0.69921593970479801</v>
      </c>
      <c r="AL5550">
        <v>69.413843563121901</v>
      </c>
      <c r="AM5550">
        <v>97.293456536852602</v>
      </c>
      <c r="AN5550">
        <v>1.0000000813276599</v>
      </c>
    </row>
    <row r="5551" spans="1:40" x14ac:dyDescent="0.25">
      <c r="A5551" t="str">
        <f>"20190304164237865"</f>
        <v>20190304164237865</v>
      </c>
      <c r="B5551" t="str">
        <f>"1551688957856645"</f>
        <v>1551688957856645</v>
      </c>
      <c r="C5551" t="s">
        <v>40</v>
      </c>
      <c r="D5551">
        <v>4.401688</v>
      </c>
      <c r="E5551">
        <v>0.50695170000000001</v>
      </c>
      <c r="F5551" t="s">
        <v>42</v>
      </c>
      <c r="G5551">
        <v>-421.29640000000001</v>
      </c>
      <c r="H5551" s="1">
        <v>-4.2509869999999999E-6</v>
      </c>
      <c r="I5551">
        <v>48.802750000000003</v>
      </c>
      <c r="J5551">
        <v>-422.30259999999998</v>
      </c>
      <c r="K5551">
        <v>1.110703</v>
      </c>
      <c r="L5551">
        <v>61.595179999999999</v>
      </c>
      <c r="M5551">
        <v>-4.6804860000000002E-3</v>
      </c>
      <c r="N5551">
        <v>-1.4193860000000001E-2</v>
      </c>
      <c r="O5551">
        <v>-0.99988840000000001</v>
      </c>
      <c r="P5551">
        <v>0.1148549</v>
      </c>
      <c r="Q5551">
        <v>0.33770230000000001</v>
      </c>
      <c r="R5551">
        <v>-0.93421960000000004</v>
      </c>
      <c r="S5551">
        <v>0.25225829999999999</v>
      </c>
      <c r="T5551">
        <v>-0.27882400000000002</v>
      </c>
      <c r="U5551">
        <v>-3.2820429999999998</v>
      </c>
      <c r="V5551">
        <v>-0.1192102</v>
      </c>
      <c r="W5551">
        <v>0.35092600000000002</v>
      </c>
      <c r="X5551">
        <v>0.9287841</v>
      </c>
      <c r="Y5551">
        <v>-8.1054329999999994E-2</v>
      </c>
      <c r="Z5551">
        <v>7.0231199999999994E-2</v>
      </c>
      <c r="AA5551">
        <v>0.99423220000000001</v>
      </c>
      <c r="AB5551">
        <v>29</v>
      </c>
      <c r="AC5551">
        <v>1.00619999999997</v>
      </c>
      <c r="AD5551">
        <v>-1.110707250987</v>
      </c>
      <c r="AE5551">
        <v>-12.79243</v>
      </c>
      <c r="AF5551">
        <v>-1.0581418877395801</v>
      </c>
      <c r="AG5551">
        <v>-1.110707250987</v>
      </c>
      <c r="AH5551">
        <v>12.6924841111282</v>
      </c>
      <c r="AI5551">
        <v>94.983957177711702</v>
      </c>
      <c r="AJ5551">
        <v>94.765591253296506</v>
      </c>
      <c r="AK5551">
        <v>12.784853842075201</v>
      </c>
      <c r="AL5551">
        <v>69.456036494122102</v>
      </c>
      <c r="AM5551">
        <v>97.313971870591203</v>
      </c>
      <c r="AN5551">
        <v>1.00000001683642</v>
      </c>
    </row>
    <row r="5552" spans="1:40" x14ac:dyDescent="0.25">
      <c r="A5552" t="str">
        <f>"20190304164237881"</f>
        <v>20190304164237881</v>
      </c>
      <c r="B5552" t="str">
        <f>"1551688957877141"</f>
        <v>1551688957877141</v>
      </c>
      <c r="C5552" t="s">
        <v>40</v>
      </c>
      <c r="D5552">
        <v>4.3290839999999999</v>
      </c>
      <c r="E5552">
        <v>0.49919839999999999</v>
      </c>
      <c r="F5552" t="s">
        <v>42</v>
      </c>
      <c r="G5552">
        <v>-420.64870000000002</v>
      </c>
      <c r="H5552" s="1">
        <v>-3.9262629999999996E-6</v>
      </c>
      <c r="I5552">
        <v>48.338999999999999</v>
      </c>
      <c r="J5552">
        <v>-422.30360000000002</v>
      </c>
      <c r="K5552">
        <v>1.110711</v>
      </c>
      <c r="L5552">
        <v>61.387970000000003</v>
      </c>
      <c r="M5552">
        <v>-4.6805329999999997E-3</v>
      </c>
      <c r="N5552">
        <v>-1.419221E-2</v>
      </c>
      <c r="O5552">
        <v>-0.99988840000000001</v>
      </c>
      <c r="P5552">
        <v>0.1150415</v>
      </c>
      <c r="Q5552">
        <v>0.33744350000000001</v>
      </c>
      <c r="R5552">
        <v>-0.93428999999999995</v>
      </c>
      <c r="S5552">
        <v>0.4067383</v>
      </c>
      <c r="T5552">
        <v>-0.2731441</v>
      </c>
      <c r="U5552">
        <v>-3.2599490000000002</v>
      </c>
      <c r="V5552">
        <v>-0.11939760000000001</v>
      </c>
      <c r="W5552">
        <v>0.35066659999999999</v>
      </c>
      <c r="X5552">
        <v>0.92885799999999996</v>
      </c>
      <c r="Y5552">
        <v>-0.1280714</v>
      </c>
      <c r="Z5552">
        <v>6.8675849999999997E-2</v>
      </c>
      <c r="AA5552">
        <v>0.98938440000000005</v>
      </c>
      <c r="AB5552">
        <v>29</v>
      </c>
      <c r="AC5552">
        <v>1.65489999999999</v>
      </c>
      <c r="AD5552">
        <v>-1.1107149262630001</v>
      </c>
      <c r="AE5552">
        <v>-13.048969999999899</v>
      </c>
      <c r="AF5552">
        <v>-1.7038150088297199</v>
      </c>
      <c r="AG5552">
        <v>-1.1107149262630001</v>
      </c>
      <c r="AH5552">
        <v>12.948748708917799</v>
      </c>
      <c r="AI5552">
        <v>94.861006890896903</v>
      </c>
      <c r="AJ5552">
        <v>97.495998059109596</v>
      </c>
      <c r="AK5552">
        <v>13.107508014814901</v>
      </c>
      <c r="AL5552">
        <v>69.471907618019898</v>
      </c>
      <c r="AM5552">
        <v>97.324768266710194</v>
      </c>
      <c r="AN5552">
        <v>1.00000001770265</v>
      </c>
    </row>
    <row r="5553" spans="1:40" x14ac:dyDescent="0.25">
      <c r="A5553" t="str">
        <f>"20190304164237898"</f>
        <v>20190304164237898</v>
      </c>
      <c r="B5553" t="str">
        <f>"1551688957886902"</f>
        <v>1551688957886902</v>
      </c>
      <c r="C5553" t="s">
        <v>40</v>
      </c>
      <c r="D5553">
        <v>4.2836619999999996</v>
      </c>
      <c r="E5553">
        <v>0.49708000000000002</v>
      </c>
      <c r="F5553" t="s">
        <v>42</v>
      </c>
      <c r="G5553">
        <v>-420.3913</v>
      </c>
      <c r="H5553" s="1">
        <v>-3.7639059999999998E-6</v>
      </c>
      <c r="I5553">
        <v>48.120170000000002</v>
      </c>
      <c r="J5553">
        <v>-422.30459999999999</v>
      </c>
      <c r="K5553">
        <v>1.1107129999999901</v>
      </c>
      <c r="L5553">
        <v>61.16046</v>
      </c>
      <c r="M5553">
        <v>-4.6802909999999996E-3</v>
      </c>
      <c r="N5553">
        <v>-1.4190390000000001E-2</v>
      </c>
      <c r="O5553">
        <v>-0.99988840000000001</v>
      </c>
      <c r="P5553">
        <v>0.11529150000000001</v>
      </c>
      <c r="Q5553">
        <v>0.33734259999999999</v>
      </c>
      <c r="R5553">
        <v>-0.9342956</v>
      </c>
      <c r="S5553">
        <v>0.46865839999999998</v>
      </c>
      <c r="T5553">
        <v>-0.27220949999999999</v>
      </c>
      <c r="U5553">
        <v>-3.251617</v>
      </c>
      <c r="V5553">
        <v>-0.1196483</v>
      </c>
      <c r="W5553">
        <v>0.35056399999999999</v>
      </c>
      <c r="X5553">
        <v>0.92886449999999998</v>
      </c>
      <c r="Y5553">
        <v>-0.14685319999999999</v>
      </c>
      <c r="Z5553">
        <v>6.8391830000000001E-2</v>
      </c>
      <c r="AA5553">
        <v>0.98679110000000003</v>
      </c>
      <c r="AB5553">
        <v>29</v>
      </c>
      <c r="AC5553">
        <v>1.91329999999999</v>
      </c>
      <c r="AD5553">
        <v>-1.1107167639059901</v>
      </c>
      <c r="AE5553">
        <v>-13.040290000000001</v>
      </c>
      <c r="AF5553">
        <v>-1.96039476477724</v>
      </c>
      <c r="AG5553">
        <v>-1.1107167639059901</v>
      </c>
      <c r="AH5553">
        <v>12.9392962518543</v>
      </c>
      <c r="AI5553">
        <v>94.851182684623396</v>
      </c>
      <c r="AJ5553">
        <v>98.615195113130198</v>
      </c>
      <c r="AK5553">
        <v>13.134010311273499</v>
      </c>
      <c r="AL5553">
        <v>69.478185251648597</v>
      </c>
      <c r="AM5553">
        <v>97.339929786221504</v>
      </c>
      <c r="AN5553">
        <v>1.00000004657456</v>
      </c>
    </row>
    <row r="5554" spans="1:40" x14ac:dyDescent="0.25">
      <c r="A5554" t="str">
        <f>"20190304164237915"</f>
        <v>20190304164237915</v>
      </c>
      <c r="B5554" t="str">
        <f>"1551688957906422"</f>
        <v>1551688957906422</v>
      </c>
      <c r="C5554" t="s">
        <v>40</v>
      </c>
      <c r="D5554">
        <v>4.2841849999999999</v>
      </c>
      <c r="E5554">
        <v>0.49375049999999998</v>
      </c>
      <c r="F5554" t="s">
        <v>42</v>
      </c>
      <c r="G5554">
        <v>-420.30529999999999</v>
      </c>
      <c r="H5554" s="1">
        <v>-3.6208370000000001E-6</v>
      </c>
      <c r="I5554">
        <v>47.840029999999999</v>
      </c>
      <c r="J5554">
        <v>-422.30560000000003</v>
      </c>
      <c r="K5554">
        <v>1.1107100000000001</v>
      </c>
      <c r="L5554">
        <v>60.946840000000002</v>
      </c>
      <c r="M5554">
        <v>-4.6799019999999997E-3</v>
      </c>
      <c r="N5554">
        <v>-1.4188600000000001E-2</v>
      </c>
      <c r="O5554">
        <v>-0.99988840000000001</v>
      </c>
      <c r="P5554">
        <v>0.1154724</v>
      </c>
      <c r="Q5554">
        <v>0.33761809999999998</v>
      </c>
      <c r="R5554">
        <v>-0.93417380000000005</v>
      </c>
      <c r="S5554">
        <v>0.48760989999999999</v>
      </c>
      <c r="T5554">
        <v>-0.27088489999999998</v>
      </c>
      <c r="U5554">
        <v>-3.2486269999999999</v>
      </c>
      <c r="V5554">
        <v>-0.1198288</v>
      </c>
      <c r="W5554">
        <v>0.35083589999999998</v>
      </c>
      <c r="X5554">
        <v>0.92873850000000002</v>
      </c>
      <c r="Y5554">
        <v>-0.15261359999999999</v>
      </c>
      <c r="Z5554">
        <v>6.7997899999999903E-2</v>
      </c>
      <c r="AA5554">
        <v>0.98594389999999998</v>
      </c>
      <c r="AB5554">
        <v>29</v>
      </c>
      <c r="AC5554">
        <v>2.0003000000000299</v>
      </c>
      <c r="AD5554">
        <v>-1.1107136208370001</v>
      </c>
      <c r="AE5554">
        <v>-13.106809999999999</v>
      </c>
      <c r="AF5554">
        <v>-2.04725529681517</v>
      </c>
      <c r="AG5554">
        <v>-1.1107136208370001</v>
      </c>
      <c r="AH5554">
        <v>13.006028511375099</v>
      </c>
      <c r="AI5554">
        <v>94.822121762141194</v>
      </c>
      <c r="AJ5554">
        <v>98.945425114722696</v>
      </c>
      <c r="AK5554">
        <v>13.2129374719081</v>
      </c>
      <c r="AL5554">
        <v>69.461548682615998</v>
      </c>
      <c r="AM5554">
        <v>97.351868066728599</v>
      </c>
      <c r="AN5554">
        <v>0.99999998571024995</v>
      </c>
    </row>
    <row r="5555" spans="1:40" x14ac:dyDescent="0.25">
      <c r="A5555" t="str">
        <f>"20190304164237929"</f>
        <v>20190304164237929</v>
      </c>
      <c r="B5555" t="str">
        <f>"1551688957917157"</f>
        <v>1551688957917157</v>
      </c>
      <c r="C5555" t="s">
        <v>40</v>
      </c>
      <c r="D5555">
        <v>4.2839140000000002</v>
      </c>
      <c r="E5555">
        <v>0.49258879999999999</v>
      </c>
      <c r="F5555" t="s">
        <v>42</v>
      </c>
      <c r="G5555">
        <v>-420.14159999999998</v>
      </c>
      <c r="H5555" s="1">
        <v>-3.3364069999999999E-6</v>
      </c>
      <c r="I5555">
        <v>47.278509999999997</v>
      </c>
      <c r="J5555">
        <v>-422.30650000000003</v>
      </c>
      <c r="K5555">
        <v>1.1107149999999999</v>
      </c>
      <c r="L5555">
        <v>60.758389999999999</v>
      </c>
      <c r="M5555">
        <v>-4.6794640000000004E-3</v>
      </c>
      <c r="N5555">
        <v>-1.4186890000000001E-2</v>
      </c>
      <c r="O5555">
        <v>-0.99988840000000001</v>
      </c>
      <c r="P5555">
        <v>0.11561970000000001</v>
      </c>
      <c r="Q5555">
        <v>0.33801769999999998</v>
      </c>
      <c r="R5555">
        <v>-0.93401080000000003</v>
      </c>
      <c r="S5555">
        <v>0.51345829999999903</v>
      </c>
      <c r="T5555">
        <v>-0.26354549999999999</v>
      </c>
      <c r="U5555">
        <v>-3.2431640000000002</v>
      </c>
      <c r="V5555">
        <v>-0.1199754</v>
      </c>
      <c r="W5555">
        <v>0.35123149999999997</v>
      </c>
      <c r="X5555">
        <v>0.92857000000000001</v>
      </c>
      <c r="Y5555">
        <v>-0.160547</v>
      </c>
      <c r="Z5555">
        <v>6.5819489999999994E-2</v>
      </c>
      <c r="AA5555">
        <v>0.98483120000000002</v>
      </c>
      <c r="AB5555">
        <v>29</v>
      </c>
      <c r="AC5555">
        <v>2.1649000000000398</v>
      </c>
      <c r="AD5555">
        <v>-1.1107183364069999</v>
      </c>
      <c r="AE5555">
        <v>-13.47988</v>
      </c>
      <c r="AF5555">
        <v>-2.2133118942451402</v>
      </c>
      <c r="AG5555">
        <v>-1.1107183364069999</v>
      </c>
      <c r="AH5555">
        <v>13.3810350494622</v>
      </c>
      <c r="AI5555">
        <v>94.681743306221705</v>
      </c>
      <c r="AJ5555">
        <v>99.392064234723506</v>
      </c>
      <c r="AK5555">
        <v>13.608252781271201</v>
      </c>
      <c r="AL5555">
        <v>69.437341348054005</v>
      </c>
      <c r="AM5555">
        <v>97.362084897119601</v>
      </c>
      <c r="AN5555">
        <v>0.99999995404870401</v>
      </c>
    </row>
    <row r="5556" spans="1:40" x14ac:dyDescent="0.25">
      <c r="A5556" t="str">
        <f>"20190304164237943"</f>
        <v>20190304164237943</v>
      </c>
      <c r="B5556" t="str">
        <f>"1551688957936677"</f>
        <v>1551688957936677</v>
      </c>
      <c r="C5556" t="s">
        <v>40</v>
      </c>
      <c r="D5556">
        <v>4.2386569999999999</v>
      </c>
      <c r="E5556">
        <v>0.49080940000000001</v>
      </c>
      <c r="F5556" t="s">
        <v>42</v>
      </c>
      <c r="G5556">
        <v>-420.072</v>
      </c>
      <c r="H5556" s="1">
        <v>-3.1545020000000001E-6</v>
      </c>
      <c r="I5556">
        <v>46.897680000000001</v>
      </c>
      <c r="J5556">
        <v>-422.30739999999997</v>
      </c>
      <c r="K5556">
        <v>1.1107180000000001</v>
      </c>
      <c r="L5556">
        <v>60.570950000000003</v>
      </c>
      <c r="M5556">
        <v>-4.6789659999999997E-3</v>
      </c>
      <c r="N5556">
        <v>-1.4185089999999999E-2</v>
      </c>
      <c r="O5556">
        <v>-0.99988869999999996</v>
      </c>
      <c r="P5556">
        <v>0.1161708</v>
      </c>
      <c r="Q5556">
        <v>0.33903359999999999</v>
      </c>
      <c r="R5556">
        <v>-0.93357460000000003</v>
      </c>
      <c r="S5556">
        <v>0.52252200000000004</v>
      </c>
      <c r="T5556">
        <v>-0.259737</v>
      </c>
      <c r="U5556">
        <v>-3.2412719999999999</v>
      </c>
      <c r="V5556">
        <v>-0.1205249</v>
      </c>
      <c r="W5556">
        <v>0.35223900000000002</v>
      </c>
      <c r="X5556">
        <v>0.92811719999999998</v>
      </c>
      <c r="Y5556">
        <v>-0.16333129999999901</v>
      </c>
      <c r="Z5556">
        <v>6.4681489999999994E-2</v>
      </c>
      <c r="AA5556">
        <v>0.98444869999999995</v>
      </c>
      <c r="AB5556">
        <v>29</v>
      </c>
      <c r="AC5556">
        <v>2.2354000000000198</v>
      </c>
      <c r="AD5556">
        <v>-1.1107211545019999</v>
      </c>
      <c r="AE5556">
        <v>-13.67327</v>
      </c>
      <c r="AF5556">
        <v>-2.2846750504088198</v>
      </c>
      <c r="AG5556">
        <v>-1.1107211545019999</v>
      </c>
      <c r="AH5556">
        <v>13.5754103979489</v>
      </c>
      <c r="AI5556">
        <v>94.612858423549895</v>
      </c>
      <c r="AJ5556">
        <v>99.553078837635297</v>
      </c>
      <c r="AK5556">
        <v>13.8110538715103</v>
      </c>
      <c r="AL5556">
        <v>69.375677442927099</v>
      </c>
      <c r="AM5556">
        <v>97.398999628070399</v>
      </c>
      <c r="AN5556">
        <v>1.0000000507884199</v>
      </c>
    </row>
    <row r="5557" spans="1:40" x14ac:dyDescent="0.25">
      <c r="A5557" t="str">
        <f>"20190304164237959"</f>
        <v>20190304164237959</v>
      </c>
      <c r="B5557" t="str">
        <f>"1551688957946438"</f>
        <v>1551688957946438</v>
      </c>
      <c r="C5557" t="s">
        <v>40</v>
      </c>
      <c r="D5557">
        <v>4.2671530000000004</v>
      </c>
      <c r="E5557">
        <v>0.49010730000000002</v>
      </c>
      <c r="F5557" t="s">
        <v>42</v>
      </c>
      <c r="G5557">
        <v>-419.94170000000003</v>
      </c>
      <c r="H5557" s="1">
        <v>-2.877884E-6</v>
      </c>
      <c r="I5557">
        <v>46.317070000000001</v>
      </c>
      <c r="J5557">
        <v>-422.30829999999997</v>
      </c>
      <c r="K5557">
        <v>1.1107209999999901</v>
      </c>
      <c r="L5557">
        <v>60.374020000000002</v>
      </c>
      <c r="M5557">
        <v>-4.6783969999999999E-3</v>
      </c>
      <c r="N5557">
        <v>-1.418323E-2</v>
      </c>
      <c r="O5557">
        <v>-0.99988840000000001</v>
      </c>
      <c r="P5557">
        <v>0.1166601</v>
      </c>
      <c r="Q5557">
        <v>0.33928429999999998</v>
      </c>
      <c r="R5557">
        <v>-0.93342210000000003</v>
      </c>
      <c r="S5557">
        <v>0.53744510000000001</v>
      </c>
      <c r="T5557">
        <v>-0.25233529999999998</v>
      </c>
      <c r="U5557">
        <v>-3.2382200000000001</v>
      </c>
      <c r="V5557">
        <v>-0.12101290000000001</v>
      </c>
      <c r="W5557">
        <v>0.35248570000000001</v>
      </c>
      <c r="X5557">
        <v>0.92796000000000001</v>
      </c>
      <c r="Y5557">
        <v>-0.16791589999999901</v>
      </c>
      <c r="Z5557">
        <v>6.2460950000000001E-2</v>
      </c>
      <c r="AA5557">
        <v>0.98382060000000005</v>
      </c>
      <c r="AB5557">
        <v>29</v>
      </c>
      <c r="AC5557">
        <v>2.3665999999999401</v>
      </c>
      <c r="AD5557">
        <v>-1.1107238778839901</v>
      </c>
      <c r="AE5557">
        <v>-14.056949999999899</v>
      </c>
      <c r="AF5557">
        <v>-2.4176660037124198</v>
      </c>
      <c r="AG5557">
        <v>-1.1107238778839901</v>
      </c>
      <c r="AH5557">
        <v>13.9609600487008</v>
      </c>
      <c r="AI5557">
        <v>94.482392543086107</v>
      </c>
      <c r="AJ5557">
        <v>99.824663855354999</v>
      </c>
      <c r="AK5557">
        <v>14.212220865150799</v>
      </c>
      <c r="AL5557">
        <v>69.360573355984698</v>
      </c>
      <c r="AM5557">
        <v>97.429868284200197</v>
      </c>
      <c r="AN5557">
        <v>1.00000002613544</v>
      </c>
    </row>
    <row r="5558" spans="1:40" x14ac:dyDescent="0.25">
      <c r="A5558" t="str">
        <f>"20190304164237973"</f>
        <v>20190304164237973</v>
      </c>
      <c r="B5558" t="str">
        <f>"1551688957966934"</f>
        <v>1551688957966934</v>
      </c>
      <c r="C5558" t="s">
        <v>40</v>
      </c>
      <c r="D5558">
        <v>4.2820739999999997</v>
      </c>
      <c r="E5558">
        <v>0.48917549999999999</v>
      </c>
      <c r="F5558" t="s">
        <v>42</v>
      </c>
      <c r="G5558">
        <v>-419.89499999999998</v>
      </c>
      <c r="H5558" s="1">
        <v>-2.7476289999999999E-6</v>
      </c>
      <c r="I5558">
        <v>45.994160000000001</v>
      </c>
      <c r="J5558">
        <v>-422.30919999999998</v>
      </c>
      <c r="K5558">
        <v>1.1107229999999999</v>
      </c>
      <c r="L5558">
        <v>60.187710000000003</v>
      </c>
      <c r="M5558">
        <v>-4.6778929999999998E-3</v>
      </c>
      <c r="N5558">
        <v>-1.4181539999999999E-2</v>
      </c>
      <c r="O5558">
        <v>-0.99988840000000001</v>
      </c>
      <c r="P5558">
        <v>0.11695270000000001</v>
      </c>
      <c r="Q5558">
        <v>0.33901340000000002</v>
      </c>
      <c r="R5558">
        <v>-0.93348410000000004</v>
      </c>
      <c r="S5558">
        <v>0.54324340000000004</v>
      </c>
      <c r="T5558">
        <v>-0.25002859999999999</v>
      </c>
      <c r="U5558">
        <v>-3.2369690000000002</v>
      </c>
      <c r="V5558">
        <v>-0.12130539999999899</v>
      </c>
      <c r="W5558">
        <v>0.35221439999999998</v>
      </c>
      <c r="X5558">
        <v>0.92802479999999998</v>
      </c>
      <c r="Y5558">
        <v>-0.16969790000000001</v>
      </c>
      <c r="Z5558">
        <v>6.1771680000000002E-2</v>
      </c>
      <c r="AA5558">
        <v>0.9835583</v>
      </c>
      <c r="AB5558">
        <v>29</v>
      </c>
      <c r="AC5558">
        <v>2.4141999999999899</v>
      </c>
      <c r="AD5558">
        <v>-1.110725747629</v>
      </c>
      <c r="AE5558">
        <v>-14.193549999999901</v>
      </c>
      <c r="AF5558">
        <v>-2.4658997312188902</v>
      </c>
      <c r="AG5558">
        <v>-1.110725747629</v>
      </c>
      <c r="AH5558">
        <v>14.098191129752999</v>
      </c>
      <c r="AI5558">
        <v>94.437647785296804</v>
      </c>
      <c r="AJ5558">
        <v>99.921183363780401</v>
      </c>
      <c r="AK5558">
        <v>14.3552557031185</v>
      </c>
      <c r="AL5558">
        <v>69.377182476281106</v>
      </c>
      <c r="AM5558">
        <v>97.447111434370598</v>
      </c>
      <c r="AN5558">
        <v>1.0000000065257799</v>
      </c>
    </row>
    <row r="5559" spans="1:40" x14ac:dyDescent="0.25">
      <c r="A5559" t="str">
        <f>"20190304164237987"</f>
        <v>20190304164237987</v>
      </c>
      <c r="B5559" t="str">
        <f>"1551688957976693"</f>
        <v>1551688957976693</v>
      </c>
      <c r="C5559" t="s">
        <v>40</v>
      </c>
      <c r="D5559">
        <v>4.2701000000000002</v>
      </c>
      <c r="E5559">
        <v>0.48870950000000002</v>
      </c>
      <c r="F5559" t="s">
        <v>42</v>
      </c>
      <c r="G5559">
        <v>-419.85680000000002</v>
      </c>
      <c r="H5559" s="1">
        <v>-2.6768860000000002E-6</v>
      </c>
      <c r="I5559">
        <v>45.813420000000001</v>
      </c>
      <c r="J5559">
        <v>-422.31</v>
      </c>
      <c r="K5559">
        <v>1.110725</v>
      </c>
      <c r="L5559">
        <v>60.009309999999999</v>
      </c>
      <c r="M5559">
        <v>-4.6774540000000002E-3</v>
      </c>
      <c r="N5559">
        <v>-1.417995E-2</v>
      </c>
      <c r="O5559">
        <v>-0.99988889999999997</v>
      </c>
      <c r="P5559">
        <v>0.11765920000000001</v>
      </c>
      <c r="Q5559">
        <v>0.33887489999999998</v>
      </c>
      <c r="R5559">
        <v>-0.93344590000000005</v>
      </c>
      <c r="S5559">
        <v>0.55200199999999999</v>
      </c>
      <c r="T5559">
        <v>-0.2500057</v>
      </c>
      <c r="U5559">
        <v>-3.2354129999999999</v>
      </c>
      <c r="V5559">
        <v>-0.12201140000000001</v>
      </c>
      <c r="W5559">
        <v>0.35207379999999999</v>
      </c>
      <c r="X5559">
        <v>0.92798550000000002</v>
      </c>
      <c r="Y5559">
        <v>-0.17236080000000001</v>
      </c>
      <c r="Z5559">
        <v>6.1767490000000001E-2</v>
      </c>
      <c r="AA5559">
        <v>0.98309530000000001</v>
      </c>
      <c r="AB5559">
        <v>29</v>
      </c>
      <c r="AC5559">
        <v>2.4531999999999798</v>
      </c>
      <c r="AD5559">
        <v>-1.1107276768859999</v>
      </c>
      <c r="AE5559">
        <v>-14.19589</v>
      </c>
      <c r="AF5559">
        <v>-2.5046914670509302</v>
      </c>
      <c r="AG5559">
        <v>-1.1107276768859999</v>
      </c>
      <c r="AH5559">
        <v>14.100439708284499</v>
      </c>
      <c r="AI5559">
        <v>94.434893697201304</v>
      </c>
      <c r="AJ5559">
        <v>100.072509735648</v>
      </c>
      <c r="AK5559">
        <v>14.364177501141</v>
      </c>
      <c r="AL5559">
        <v>69.385787618015996</v>
      </c>
      <c r="AM5559">
        <v>97.4902766786239</v>
      </c>
      <c r="AN5559">
        <v>0.999999915293321</v>
      </c>
    </row>
    <row r="5560" spans="1:40" x14ac:dyDescent="0.25">
      <c r="A5560" t="str">
        <f>"20190304164237999"</f>
        <v>20190304164237999</v>
      </c>
      <c r="B5560" t="str">
        <f>"1551688957986453"</f>
        <v>1551688957986453</v>
      </c>
      <c r="C5560" t="s">
        <v>40</v>
      </c>
      <c r="D5560">
        <v>4.2768930000000003</v>
      </c>
      <c r="E5560">
        <v>0.48832569999999997</v>
      </c>
      <c r="F5560" t="s">
        <v>42</v>
      </c>
      <c r="G5560">
        <v>-419.83089999999999</v>
      </c>
      <c r="H5560" s="1">
        <v>-2.5987339999999999E-6</v>
      </c>
      <c r="I5560">
        <v>45.620559999999998</v>
      </c>
      <c r="J5560">
        <v>-422.31079999999997</v>
      </c>
      <c r="K5560">
        <v>1.1107229999999999</v>
      </c>
      <c r="L5560">
        <v>59.848140000000001</v>
      </c>
      <c r="M5560">
        <v>-4.6771109999999899E-3</v>
      </c>
      <c r="N5560">
        <v>-1.417853E-2</v>
      </c>
      <c r="O5560">
        <v>-0.99988889999999997</v>
      </c>
      <c r="P5560">
        <v>0.1190383</v>
      </c>
      <c r="Q5560">
        <v>0.33827299999999999</v>
      </c>
      <c r="R5560">
        <v>-0.93348909999999996</v>
      </c>
      <c r="S5560">
        <v>0.55725100000000005</v>
      </c>
      <c r="T5560">
        <v>-0.2496678</v>
      </c>
      <c r="U5560">
        <v>-3.234283</v>
      </c>
      <c r="V5560">
        <v>-0.12339029999999999</v>
      </c>
      <c r="W5560">
        <v>0.35147119999999998</v>
      </c>
      <c r="X5560">
        <v>0.92803170000000001</v>
      </c>
      <c r="Y5560">
        <v>-0.17396719999999999</v>
      </c>
      <c r="Z5560">
        <v>6.167164E-2</v>
      </c>
      <c r="AA5560">
        <v>0.98281839999999998</v>
      </c>
      <c r="AB5560">
        <v>29</v>
      </c>
      <c r="AC5560">
        <v>2.4798999999999798</v>
      </c>
      <c r="AD5560">
        <v>-1.1107255987339999</v>
      </c>
      <c r="AE5560">
        <v>-14.22758</v>
      </c>
      <c r="AF5560">
        <v>-2.5314500221179501</v>
      </c>
      <c r="AG5560">
        <v>-1.1107255987339999</v>
      </c>
      <c r="AH5560">
        <v>14.132232502290901</v>
      </c>
      <c r="AI5560">
        <v>94.423810032707195</v>
      </c>
      <c r="AJ5560">
        <v>100.155460380096</v>
      </c>
      <c r="AK5560">
        <v>14.4000675716808</v>
      </c>
      <c r="AL5560">
        <v>69.422673365930606</v>
      </c>
      <c r="AM5560">
        <v>97.573577329384506</v>
      </c>
      <c r="AN5560">
        <v>1.00000000338421</v>
      </c>
    </row>
    <row r="5561" spans="1:40" x14ac:dyDescent="0.25">
      <c r="A5561" t="str">
        <f>"20190304164238023"</f>
        <v>20190304164238023</v>
      </c>
      <c r="B5561" t="str">
        <f>"1551688958016709"</f>
        <v>1551688958016709</v>
      </c>
      <c r="C5561" t="s">
        <v>40</v>
      </c>
      <c r="D5561">
        <v>4.3093250000000003</v>
      </c>
      <c r="E5561">
        <v>0.48739280000000001</v>
      </c>
      <c r="F5561" t="s">
        <v>42</v>
      </c>
      <c r="G5561">
        <v>-419.80779999999999</v>
      </c>
      <c r="H5561" s="1">
        <v>-2.563648E-6</v>
      </c>
      <c r="I5561">
        <v>45.529209999999999</v>
      </c>
      <c r="J5561">
        <v>-422.31209999999999</v>
      </c>
      <c r="K5561">
        <v>1.110722</v>
      </c>
      <c r="L5561">
        <v>59.550960000000003</v>
      </c>
      <c r="M5561">
        <v>-4.676698E-3</v>
      </c>
      <c r="N5561">
        <v>-1.417585E-2</v>
      </c>
      <c r="O5561">
        <v>-0.99988889999999997</v>
      </c>
      <c r="P5561">
        <v>0.1200302</v>
      </c>
      <c r="Q5561">
        <v>0.33764670000000002</v>
      </c>
      <c r="R5561">
        <v>-0.933589</v>
      </c>
      <c r="S5561">
        <v>0.56506350000000005</v>
      </c>
      <c r="T5561">
        <v>-0.25075219999999998</v>
      </c>
      <c r="U5561">
        <v>-3.2325740000000001</v>
      </c>
      <c r="V5561">
        <v>-0.1243826</v>
      </c>
      <c r="W5561">
        <v>0.35084399999999999</v>
      </c>
      <c r="X5561">
        <v>0.92813659999999998</v>
      </c>
      <c r="Y5561">
        <v>-0.17635339999999999</v>
      </c>
      <c r="Z5561">
        <v>6.2009599999999998E-2</v>
      </c>
      <c r="AA5561">
        <v>0.98237169999999896</v>
      </c>
      <c r="AB5561">
        <v>29</v>
      </c>
      <c r="AC5561">
        <v>2.5043000000000002</v>
      </c>
      <c r="AD5561">
        <v>-1.1107245636480001</v>
      </c>
      <c r="AE5561">
        <v>-14.0217499999999</v>
      </c>
      <c r="AF5561">
        <v>-2.55432196426991</v>
      </c>
      <c r="AG5561">
        <v>-1.1107245636480001</v>
      </c>
      <c r="AH5561">
        <v>13.925205133387999</v>
      </c>
      <c r="AI5561">
        <v>94.485930866278096</v>
      </c>
      <c r="AJ5561">
        <v>100.394302138776</v>
      </c>
      <c r="AK5561">
        <v>14.2010424885069</v>
      </c>
      <c r="AL5561">
        <v>69.461054376130207</v>
      </c>
      <c r="AM5561">
        <v>97.632915714936203</v>
      </c>
      <c r="AN5561">
        <v>1.00000004588915</v>
      </c>
    </row>
    <row r="5562" spans="1:40" x14ac:dyDescent="0.25">
      <c r="A5562" t="str">
        <f>"20190304164238045"</f>
        <v>20190304164238045</v>
      </c>
      <c r="B5562" t="str">
        <f>"1551688958037206"</f>
        <v>1551688958037206</v>
      </c>
      <c r="C5562" t="s">
        <v>40</v>
      </c>
      <c r="D5562">
        <v>4.3244300000000004</v>
      </c>
      <c r="E5562">
        <v>0.48683710000000002</v>
      </c>
      <c r="F5562" t="s">
        <v>42</v>
      </c>
      <c r="G5562">
        <v>-419.76870000000002</v>
      </c>
      <c r="H5562" s="1">
        <v>-2.4584090000000001E-6</v>
      </c>
      <c r="I5562">
        <v>45.26773</v>
      </c>
      <c r="J5562">
        <v>-422.31349999999998</v>
      </c>
      <c r="K5562">
        <v>1.1107290000000001</v>
      </c>
      <c r="L5562">
        <v>59.262970000000003</v>
      </c>
      <c r="M5562">
        <v>-4.6765089999999997E-3</v>
      </c>
      <c r="N5562">
        <v>-1.4173170000000001E-2</v>
      </c>
      <c r="O5562">
        <v>-0.99988889999999997</v>
      </c>
      <c r="P5562">
        <v>0.12139759999999999</v>
      </c>
      <c r="Q5562">
        <v>0.33783350000000001</v>
      </c>
      <c r="R5562">
        <v>-0.93334459999999997</v>
      </c>
      <c r="S5562">
        <v>0.57522580000000001</v>
      </c>
      <c r="T5562">
        <v>-0.2512008</v>
      </c>
      <c r="U5562">
        <v>-3.230286</v>
      </c>
      <c r="V5562">
        <v>-0.12574850000000001</v>
      </c>
      <c r="W5562">
        <v>0.35102440000000001</v>
      </c>
      <c r="X5562">
        <v>0.9278843</v>
      </c>
      <c r="Y5562">
        <v>-0.17946379999999901</v>
      </c>
      <c r="Z5562">
        <v>6.215851E-2</v>
      </c>
      <c r="AA5562">
        <v>0.98179890000000003</v>
      </c>
      <c r="AB5562">
        <v>29</v>
      </c>
      <c r="AC5562">
        <v>2.5447999999999502</v>
      </c>
      <c r="AD5562">
        <v>-1.110731458409</v>
      </c>
      <c r="AE5562">
        <v>-13.9952399999999</v>
      </c>
      <c r="AF5562">
        <v>-2.5944089569779898</v>
      </c>
      <c r="AG5562">
        <v>-1.110731458409</v>
      </c>
      <c r="AH5562">
        <v>13.898443360349001</v>
      </c>
      <c r="AI5562">
        <v>94.491968949384201</v>
      </c>
      <c r="AJ5562">
        <v>100.573654333446</v>
      </c>
      <c r="AK5562">
        <v>14.1820805966394</v>
      </c>
      <c r="AL5562">
        <v>69.450016159155794</v>
      </c>
      <c r="AM5562">
        <v>97.717804491005694</v>
      </c>
      <c r="AN5562">
        <v>1.00000004441704</v>
      </c>
    </row>
    <row r="5563" spans="1:40" x14ac:dyDescent="0.25">
      <c r="A5563" t="str">
        <f>"20190304164238067"</f>
        <v>20190304164238067</v>
      </c>
      <c r="B5563" t="str">
        <f>"1551688958056726"</f>
        <v>1551688958056726</v>
      </c>
      <c r="C5563" t="s">
        <v>40</v>
      </c>
      <c r="D5563">
        <v>4.2342089999999999</v>
      </c>
      <c r="E5563">
        <v>0.43548429999999999</v>
      </c>
      <c r="F5563" t="s">
        <v>42</v>
      </c>
      <c r="G5563">
        <v>-419.7133</v>
      </c>
      <c r="H5563" s="1">
        <v>-2.3084920000000002E-6</v>
      </c>
      <c r="I5563">
        <v>44.895389999999999</v>
      </c>
      <c r="J5563">
        <v>-422.31490000000002</v>
      </c>
      <c r="K5563">
        <v>1.110733</v>
      </c>
      <c r="L5563">
        <v>58.9754</v>
      </c>
      <c r="M5563">
        <v>-4.6764370000000003E-3</v>
      </c>
      <c r="N5563">
        <v>-1.4170439999999999E-2</v>
      </c>
      <c r="O5563">
        <v>-0.99988869999999996</v>
      </c>
      <c r="P5563">
        <v>0.1227457</v>
      </c>
      <c r="Q5563">
        <v>0.33829100000000001</v>
      </c>
      <c r="R5563">
        <v>-0.93300209999999995</v>
      </c>
      <c r="S5563">
        <v>0.58428959999999996</v>
      </c>
      <c r="T5563">
        <v>-0.24959529999999999</v>
      </c>
      <c r="U5563">
        <v>-3.228577</v>
      </c>
      <c r="V5563">
        <v>-0.12709480000000001</v>
      </c>
      <c r="W5563">
        <v>0.35147479999999998</v>
      </c>
      <c r="X5563">
        <v>0.92753019999999997</v>
      </c>
      <c r="Y5563">
        <v>-0.182227</v>
      </c>
      <c r="Z5563">
        <v>6.1677129999999997E-2</v>
      </c>
      <c r="AA5563">
        <v>0.98132010000000003</v>
      </c>
      <c r="AB5563">
        <v>29</v>
      </c>
      <c r="AC5563">
        <v>2.6016000000000101</v>
      </c>
      <c r="AD5563">
        <v>-1.110735308492</v>
      </c>
      <c r="AE5563">
        <v>-14.08001</v>
      </c>
      <c r="AF5563">
        <v>-2.65146652275725</v>
      </c>
      <c r="AG5563">
        <v>-1.110735308492</v>
      </c>
      <c r="AH5563">
        <v>13.9835388643254</v>
      </c>
      <c r="AI5563">
        <v>94.462381320364202</v>
      </c>
      <c r="AJ5563">
        <v>100.73658748984801</v>
      </c>
      <c r="AK5563">
        <v>14.2759716592928</v>
      </c>
      <c r="AL5563">
        <v>69.422451843507702</v>
      </c>
      <c r="AM5563">
        <v>97.802362744281595</v>
      </c>
      <c r="AN5563">
        <v>0.99999994756705801</v>
      </c>
    </row>
    <row r="5564" spans="1:40" x14ac:dyDescent="0.25">
      <c r="A5564" t="str">
        <f>"20190304164238088"</f>
        <v>20190304164238088</v>
      </c>
      <c r="B5564" t="str">
        <f>"1551688958077222"</f>
        <v>1551688958077222</v>
      </c>
      <c r="C5564" t="s">
        <v>40</v>
      </c>
      <c r="D5564">
        <v>4.2670070000000004</v>
      </c>
      <c r="E5564">
        <v>0.37041550000000001</v>
      </c>
      <c r="F5564" t="s">
        <v>57</v>
      </c>
      <c r="G5564">
        <v>-413.94729999999998</v>
      </c>
      <c r="H5564" s="1">
        <v>-5.643704E-6</v>
      </c>
      <c r="I5564">
        <v>32.309649999999998</v>
      </c>
      <c r="J5564">
        <v>-422.31610000000001</v>
      </c>
      <c r="K5564">
        <v>1.110727</v>
      </c>
      <c r="L5564">
        <v>58.70044</v>
      </c>
      <c r="M5564">
        <v>-4.6764149999999997E-3</v>
      </c>
      <c r="N5564">
        <v>-1.4167849999999999E-2</v>
      </c>
      <c r="O5564">
        <v>-0.99988889999999997</v>
      </c>
      <c r="P5564">
        <v>0.124332</v>
      </c>
      <c r="Q5564">
        <v>0.33829029999999999</v>
      </c>
      <c r="R5564">
        <v>-0.93279239999999997</v>
      </c>
      <c r="S5564">
        <v>0.98324579999999995</v>
      </c>
      <c r="T5564">
        <v>-0.13051869999999999</v>
      </c>
      <c r="U5564">
        <v>-3.1333920000000002</v>
      </c>
      <c r="V5564">
        <v>-0.12868009999999999</v>
      </c>
      <c r="W5564">
        <v>0.35146850000000002</v>
      </c>
      <c r="X5564">
        <v>0.92731399999999997</v>
      </c>
      <c r="Y5564">
        <v>-0.30364960000000002</v>
      </c>
      <c r="Z5564">
        <v>2.5512360000000001E-2</v>
      </c>
      <c r="AA5564">
        <v>0.95244209999999996</v>
      </c>
      <c r="AB5564">
        <v>29</v>
      </c>
      <c r="AC5564">
        <v>8.3688000000000198</v>
      </c>
      <c r="AD5564">
        <v>-1.1107326437039999</v>
      </c>
      <c r="AE5564">
        <v>-26.390789999999999</v>
      </c>
      <c r="AF5564">
        <v>-8.4784886830721096</v>
      </c>
      <c r="AG5564">
        <v>-1.1107326437039999</v>
      </c>
      <c r="AH5564">
        <v>26.3090161414619</v>
      </c>
      <c r="AI5564">
        <v>92.3011129795171</v>
      </c>
      <c r="AJ5564">
        <v>107.862341310793</v>
      </c>
      <c r="AK5564">
        <v>27.663745727693399</v>
      </c>
      <c r="AL5564">
        <v>69.422837773062298</v>
      </c>
      <c r="AM5564">
        <v>97.900281828782795</v>
      </c>
      <c r="AN5564">
        <v>0.99999996461212903</v>
      </c>
    </row>
    <row r="5565" spans="1:40" x14ac:dyDescent="0.25">
      <c r="A5565" t="str">
        <f>"20190304164238111"</f>
        <v>20190304164238111</v>
      </c>
      <c r="B5565" t="str">
        <f>"1551688958106501"</f>
        <v>1551688958106501</v>
      </c>
      <c r="C5565" t="s">
        <v>40</v>
      </c>
      <c r="D5565">
        <v>4.2870540000000004</v>
      </c>
      <c r="E5565">
        <v>0.35969580000000001</v>
      </c>
      <c r="F5565" t="s">
        <v>58</v>
      </c>
      <c r="G5565">
        <v>-393.72899999999998</v>
      </c>
      <c r="H5565">
        <v>0.69251609999999997</v>
      </c>
      <c r="I5565">
        <v>0.74456409999999995</v>
      </c>
      <c r="J5565">
        <v>-422.3175</v>
      </c>
      <c r="K5565">
        <v>1.1107359999999999</v>
      </c>
      <c r="L5565">
        <v>58.406649999999999</v>
      </c>
      <c r="M5565">
        <v>-4.6763899999999999E-3</v>
      </c>
      <c r="N5565">
        <v>-1.416506E-2</v>
      </c>
      <c r="O5565">
        <v>-0.99988889999999997</v>
      </c>
      <c r="P5565">
        <v>0.12517239999999999</v>
      </c>
      <c r="Q5565">
        <v>0.33832590000000001</v>
      </c>
      <c r="R5565">
        <v>-0.93266700000000002</v>
      </c>
      <c r="S5565">
        <v>1.4921879999999901</v>
      </c>
      <c r="T5565">
        <v>-2.1831039999999999E-2</v>
      </c>
      <c r="U5565">
        <v>-3.0251769999999998</v>
      </c>
      <c r="V5565">
        <v>-0.12951989999999999</v>
      </c>
      <c r="W5565">
        <v>0.35149979999999997</v>
      </c>
      <c r="X5565">
        <v>0.92718529999999999</v>
      </c>
      <c r="Y5565">
        <v>-0.44648330000000003</v>
      </c>
      <c r="Z5565">
        <v>-7.7160869999999999E-3</v>
      </c>
      <c r="AA5565">
        <v>0.89475869999999902</v>
      </c>
      <c r="AB5565">
        <v>29</v>
      </c>
      <c r="AC5565">
        <v>28.5884999999999</v>
      </c>
      <c r="AD5565">
        <v>-0.41821989999999998</v>
      </c>
      <c r="AE5565">
        <v>-57.662085899999902</v>
      </c>
      <c r="AF5565">
        <v>-28.8566462633196</v>
      </c>
      <c r="AG5565">
        <v>-0.41821989999999998</v>
      </c>
      <c r="AH5565">
        <v>57.525321862712403</v>
      </c>
      <c r="AI5565">
        <v>90.372325730243602</v>
      </c>
      <c r="AJ5565">
        <v>116.63989046834</v>
      </c>
      <c r="AK5565">
        <v>64.358710341800403</v>
      </c>
      <c r="AL5565">
        <v>69.420923966006498</v>
      </c>
      <c r="AM5565">
        <v>97.952273374003994</v>
      </c>
      <c r="AN5565">
        <v>1.00000004721606</v>
      </c>
    </row>
    <row r="5566" spans="1:40" x14ac:dyDescent="0.25">
      <c r="A5566" t="str">
        <f>"20190304164238126"</f>
        <v>20190304164238126</v>
      </c>
      <c r="B5566" t="str">
        <f>"1551688958116262"</f>
        <v>1551688958116262</v>
      </c>
      <c r="C5566" t="s">
        <v>40</v>
      </c>
      <c r="D5566">
        <v>4.1767510000000003</v>
      </c>
      <c r="E5566">
        <v>0.35931649999999998</v>
      </c>
      <c r="F5566" t="s">
        <v>49</v>
      </c>
      <c r="G5566">
        <v>-408.72660000000002</v>
      </c>
      <c r="H5566">
        <v>0.72904290000000005</v>
      </c>
      <c r="I5566">
        <v>32.455779999999997</v>
      </c>
      <c r="J5566">
        <v>-422.3184</v>
      </c>
      <c r="K5566">
        <v>1.1107400000000001</v>
      </c>
      <c r="L5566">
        <v>58.216160000000002</v>
      </c>
      <c r="M5566">
        <v>-4.6763519999999999E-3</v>
      </c>
      <c r="N5566">
        <v>-1.4163210000000001E-2</v>
      </c>
      <c r="O5566">
        <v>-0.99988889999999997</v>
      </c>
      <c r="P5566">
        <v>0.1252877</v>
      </c>
      <c r="Q5566">
        <v>0.3382482</v>
      </c>
      <c r="R5566">
        <v>-0.93267979999999995</v>
      </c>
      <c r="S5566">
        <v>1.5818479999999999</v>
      </c>
      <c r="T5566">
        <v>-4.4425249999999999E-2</v>
      </c>
      <c r="U5566">
        <v>-3.020416</v>
      </c>
      <c r="V5566">
        <v>-0.129635</v>
      </c>
      <c r="W5566">
        <v>0.35142030000000002</v>
      </c>
      <c r="X5566">
        <v>0.92719929999999995</v>
      </c>
      <c r="Y5566">
        <v>-0.46799679999999999</v>
      </c>
      <c r="Z5566">
        <v>-1.1661E-3</v>
      </c>
      <c r="AA5566">
        <v>0.8837294</v>
      </c>
      <c r="AB5566">
        <v>29</v>
      </c>
      <c r="AC5566">
        <v>13.5917999999999</v>
      </c>
      <c r="AD5566">
        <v>-0.38169709999999901</v>
      </c>
      <c r="AE5566">
        <v>-25.760380000000001</v>
      </c>
      <c r="AF5566">
        <v>-13.7097735142716</v>
      </c>
      <c r="AG5566">
        <v>-0.38169709999999901</v>
      </c>
      <c r="AH5566">
        <v>25.692119509023499</v>
      </c>
      <c r="AI5566">
        <v>90.750944281250398</v>
      </c>
      <c r="AJ5566">
        <v>118.085176892543</v>
      </c>
      <c r="AK5566">
        <v>29.1236774352883</v>
      </c>
      <c r="AL5566">
        <v>69.425788389930801</v>
      </c>
      <c r="AM5566">
        <v>97.959131128841193</v>
      </c>
      <c r="AN5566">
        <v>1.00000000119879</v>
      </c>
    </row>
    <row r="5567" spans="1:40" x14ac:dyDescent="0.25">
      <c r="A5567" t="str">
        <f>"20190304164238139"</f>
        <v>20190304164238139</v>
      </c>
      <c r="B5567" t="str">
        <f>"1551688958126998"</f>
        <v>1551688958126998</v>
      </c>
      <c r="C5567" t="s">
        <v>40</v>
      </c>
      <c r="D5567">
        <v>4.2389029999999996</v>
      </c>
      <c r="E5567">
        <v>0.35882389999999997</v>
      </c>
      <c r="F5567" t="s">
        <v>58</v>
      </c>
      <c r="G5567">
        <v>-392.15969999999999</v>
      </c>
      <c r="H5567">
        <v>0.24478510000000001</v>
      </c>
      <c r="I5567">
        <v>0.76052469999999905</v>
      </c>
      <c r="J5567">
        <v>-422.31920000000002</v>
      </c>
      <c r="K5567">
        <v>1.110743</v>
      </c>
      <c r="L5567">
        <v>58.050289999999997</v>
      </c>
      <c r="M5567">
        <v>-4.6763070000000002E-3</v>
      </c>
      <c r="N5567">
        <v>-1.41615E-2</v>
      </c>
      <c r="O5567">
        <v>-0.99988909999999998</v>
      </c>
      <c r="P5567">
        <v>0.12535560000000001</v>
      </c>
      <c r="Q5567">
        <v>0.33787899999999998</v>
      </c>
      <c r="R5567">
        <v>-0.93280459999999998</v>
      </c>
      <c r="S5567">
        <v>1.5852660000000001</v>
      </c>
      <c r="T5567">
        <v>-4.5519589999999999E-2</v>
      </c>
      <c r="U5567">
        <v>-3.020111</v>
      </c>
      <c r="V5567">
        <v>-0.12970319999999999</v>
      </c>
      <c r="W5567">
        <v>0.35105160000000002</v>
      </c>
      <c r="X5567">
        <v>0.92732939999999997</v>
      </c>
      <c r="Y5567">
        <v>-0.46881679999999998</v>
      </c>
      <c r="Z5567">
        <v>-8.4905799999999997E-4</v>
      </c>
      <c r="AA5567">
        <v>0.883295099999999</v>
      </c>
      <c r="AB5567">
        <v>29</v>
      </c>
      <c r="AC5567">
        <v>30.159500000000001</v>
      </c>
      <c r="AD5567">
        <v>-0.86595789999999995</v>
      </c>
      <c r="AE5567">
        <v>-57.289765299999999</v>
      </c>
      <c r="AF5567">
        <v>-30.421659153843599</v>
      </c>
      <c r="AG5567">
        <v>-0.86595789999999995</v>
      </c>
      <c r="AH5567">
        <v>57.137867818950802</v>
      </c>
      <c r="AI5567">
        <v>90.766435197811603</v>
      </c>
      <c r="AJ5567">
        <v>118.031976574544</v>
      </c>
      <c r="AK5567">
        <v>64.737648765251805</v>
      </c>
      <c r="AL5567">
        <v>69.448350434337897</v>
      </c>
      <c r="AM5567">
        <v>97.962161786695304</v>
      </c>
      <c r="AN5567">
        <v>0.99999998102857901</v>
      </c>
    </row>
    <row r="5568" spans="1:40" x14ac:dyDescent="0.25">
      <c r="A5568" t="str">
        <f>"20190304164238155"</f>
        <v>20190304164238155</v>
      </c>
      <c r="B5568" t="str">
        <f>"1551688958146517"</f>
        <v>1551688958146517</v>
      </c>
      <c r="C5568" t="s">
        <v>40</v>
      </c>
      <c r="D5568">
        <v>4.198931</v>
      </c>
      <c r="E5568">
        <v>0.35854809999999998</v>
      </c>
      <c r="F5568" t="s">
        <v>58</v>
      </c>
      <c r="G5568">
        <v>-392.15190000000001</v>
      </c>
      <c r="H5568">
        <v>0.236377</v>
      </c>
      <c r="I5568">
        <v>0.76060490000000003</v>
      </c>
      <c r="J5568">
        <v>-422.32010000000002</v>
      </c>
      <c r="K5568">
        <v>1.110743</v>
      </c>
      <c r="L5568">
        <v>57.839359999999999</v>
      </c>
      <c r="M5568">
        <v>-4.676248E-3</v>
      </c>
      <c r="N5568">
        <v>-1.415931E-2</v>
      </c>
      <c r="O5568">
        <v>-0.99988889999999997</v>
      </c>
      <c r="P5568">
        <v>0.12571489999999999</v>
      </c>
      <c r="Q5568">
        <v>0.33758850000000001</v>
      </c>
      <c r="R5568">
        <v>-0.93286119999999995</v>
      </c>
      <c r="S5568">
        <v>1.5898129999999999</v>
      </c>
      <c r="T5568">
        <v>-4.6080349999999999E-2</v>
      </c>
      <c r="U5568">
        <v>-3.0191650000000001</v>
      </c>
      <c r="V5568">
        <v>-0.13006329999999999</v>
      </c>
      <c r="W5568">
        <v>0.35076000000000002</v>
      </c>
      <c r="X5568">
        <v>0.92738929999999997</v>
      </c>
      <c r="Y5568">
        <v>-0.46997169999999999</v>
      </c>
      <c r="Z5568">
        <v>-6.878314E-4</v>
      </c>
      <c r="AA5568">
        <v>0.8826813</v>
      </c>
      <c r="AB5568">
        <v>29</v>
      </c>
      <c r="AC5568">
        <v>30.168199999999999</v>
      </c>
      <c r="AD5568">
        <v>-0.87436599999999998</v>
      </c>
      <c r="AE5568">
        <v>-57.078755099999903</v>
      </c>
      <c r="AF5568">
        <v>-30.429229891107902</v>
      </c>
      <c r="AG5568">
        <v>-0.87436599999999998</v>
      </c>
      <c r="AH5568">
        <v>56.926601268798798</v>
      </c>
      <c r="AI5568">
        <v>90.776067830462907</v>
      </c>
      <c r="AJ5568">
        <v>118.12603925915001</v>
      </c>
      <c r="AK5568">
        <v>64.554941558990393</v>
      </c>
      <c r="AL5568">
        <v>69.466192350541107</v>
      </c>
      <c r="AM5568">
        <v>97.9834737456179</v>
      </c>
      <c r="AN5568">
        <v>0.99999997668068896</v>
      </c>
    </row>
    <row r="5569" spans="1:40" x14ac:dyDescent="0.25">
      <c r="A5569" t="str">
        <f>"20190304164238170"</f>
        <v>20190304164238170</v>
      </c>
      <c r="B5569" t="str">
        <f>"1551688958167014"</f>
        <v>1551688958167014</v>
      </c>
      <c r="C5569" t="s">
        <v>40</v>
      </c>
      <c r="D5569">
        <v>4.1660069999999996</v>
      </c>
      <c r="E5569">
        <v>0.35845260000000001</v>
      </c>
      <c r="F5569" t="s">
        <v>58</v>
      </c>
      <c r="G5569">
        <v>-392.18900000000002</v>
      </c>
      <c r="H5569">
        <v>0.1924942</v>
      </c>
      <c r="I5569">
        <v>0.76022529999999999</v>
      </c>
      <c r="J5569">
        <v>-422.32100000000003</v>
      </c>
      <c r="K5569">
        <v>1.110743</v>
      </c>
      <c r="L5569">
        <v>57.646790000000003</v>
      </c>
      <c r="M5569">
        <v>-4.676202E-3</v>
      </c>
      <c r="N5569">
        <v>-1.4157339999999999E-2</v>
      </c>
      <c r="O5569">
        <v>-0.99988889999999997</v>
      </c>
      <c r="P5569">
        <v>0.12619919999999901</v>
      </c>
      <c r="Q5569">
        <v>0.33768619999999999</v>
      </c>
      <c r="R5569">
        <v>-0.93276049999999999</v>
      </c>
      <c r="S5569">
        <v>1.5935360000000001</v>
      </c>
      <c r="T5569">
        <v>-4.8564669999999997E-2</v>
      </c>
      <c r="U5569">
        <v>-3.0187379999999999</v>
      </c>
      <c r="V5569">
        <v>-0.13054649999999901</v>
      </c>
      <c r="W5569">
        <v>0.3508542</v>
      </c>
      <c r="X5569">
        <v>0.92728580000000005</v>
      </c>
      <c r="Y5569">
        <v>-0.47087240000000002</v>
      </c>
      <c r="Z5569" s="1">
        <v>3.5516799999999998E-5</v>
      </c>
      <c r="AA5569">
        <v>0.88220129999999997</v>
      </c>
      <c r="AB5569">
        <v>29</v>
      </c>
      <c r="AC5569">
        <v>30.131999999999898</v>
      </c>
      <c r="AD5569">
        <v>-0.91824879999999998</v>
      </c>
      <c r="AE5569">
        <v>-56.886564700000001</v>
      </c>
      <c r="AF5569">
        <v>-30.391526456924002</v>
      </c>
      <c r="AG5569">
        <v>-0.91824879999999998</v>
      </c>
      <c r="AH5569">
        <v>56.733481647196598</v>
      </c>
      <c r="AI5569">
        <v>90.817393241277699</v>
      </c>
      <c r="AJ5569">
        <v>118.177483550506</v>
      </c>
      <c r="AK5569">
        <v>64.367507339133596</v>
      </c>
      <c r="AL5569">
        <v>69.460429443717103</v>
      </c>
      <c r="AM5569">
        <v>98.013631489109301</v>
      </c>
      <c r="AN5569">
        <v>1.0000000066007599</v>
      </c>
    </row>
    <row r="5570" spans="1:40" x14ac:dyDescent="0.25">
      <c r="A5570" t="str">
        <f>"20190304164238184"</f>
        <v>20190304164238184</v>
      </c>
      <c r="B5570" t="str">
        <f>"1551688958176773"</f>
        <v>1551688958176773</v>
      </c>
      <c r="C5570" t="s">
        <v>40</v>
      </c>
      <c r="D5570">
        <v>4.1998790000000001</v>
      </c>
      <c r="E5570">
        <v>0.35832439999999999</v>
      </c>
      <c r="F5570" t="s">
        <v>58</v>
      </c>
      <c r="G5570">
        <v>-392.27539999999999</v>
      </c>
      <c r="H5570">
        <v>0.1200335</v>
      </c>
      <c r="I5570">
        <v>0.75934409999999997</v>
      </c>
      <c r="J5570">
        <v>-422.3218</v>
      </c>
      <c r="K5570">
        <v>1.1107419999999999</v>
      </c>
      <c r="L5570">
        <v>57.466369999999998</v>
      </c>
      <c r="M5570">
        <v>-4.676164E-3</v>
      </c>
      <c r="N5570">
        <v>-1.415551E-2</v>
      </c>
      <c r="O5570">
        <v>-0.99988889999999997</v>
      </c>
      <c r="P5570">
        <v>0.1271601</v>
      </c>
      <c r="Q5570">
        <v>0.33773379999999997</v>
      </c>
      <c r="R5570">
        <v>-0.93261269999999996</v>
      </c>
      <c r="S5570">
        <v>1.5947880000000001</v>
      </c>
      <c r="T5570">
        <v>-5.2587269999999998E-2</v>
      </c>
      <c r="U5570">
        <v>-3.0195310000000002</v>
      </c>
      <c r="V5570">
        <v>-0.1315067</v>
      </c>
      <c r="W5570">
        <v>0.35089789999999998</v>
      </c>
      <c r="X5570">
        <v>0.9271336</v>
      </c>
      <c r="Y5570">
        <v>-0.47105849999999999</v>
      </c>
      <c r="Z5570">
        <v>1.2083489999999901E-3</v>
      </c>
      <c r="AA5570">
        <v>0.88210119999999903</v>
      </c>
      <c r="AB5570">
        <v>29</v>
      </c>
      <c r="AC5570">
        <v>30.046399999999998</v>
      </c>
      <c r="AD5570">
        <v>-0.99070849999999999</v>
      </c>
      <c r="AE5570">
        <v>-56.707025899999998</v>
      </c>
      <c r="AF5570">
        <v>-30.304047365593899</v>
      </c>
      <c r="AG5570">
        <v>-0.99070849999999999</v>
      </c>
      <c r="AH5570">
        <v>56.552412393176503</v>
      </c>
      <c r="AI5570">
        <v>90.884645734611894</v>
      </c>
      <c r="AJ5570">
        <v>118.184975783307</v>
      </c>
      <c r="AK5570">
        <v>64.167687643829296</v>
      </c>
      <c r="AL5570">
        <v>69.457756130701199</v>
      </c>
      <c r="AM5570">
        <v>98.073107217426198</v>
      </c>
      <c r="AN5570">
        <v>1.0000000303091201</v>
      </c>
    </row>
    <row r="5571" spans="1:40" x14ac:dyDescent="0.25">
      <c r="A5571" t="str">
        <f>"20190304164238197"</f>
        <v>20190304164238197</v>
      </c>
      <c r="B5571" t="str">
        <f>"1551688958186534"</f>
        <v>1551688958186534</v>
      </c>
      <c r="C5571" t="s">
        <v>40</v>
      </c>
      <c r="D5571">
        <v>4.2390689999999998</v>
      </c>
      <c r="E5571">
        <v>0.35801919999999998</v>
      </c>
      <c r="F5571" t="s">
        <v>43</v>
      </c>
      <c r="G5571">
        <v>-387.79520000000002</v>
      </c>
      <c r="H5571">
        <v>-0.05</v>
      </c>
      <c r="I5571">
        <v>-7.7119749999999998</v>
      </c>
      <c r="J5571">
        <v>-422.32260000000002</v>
      </c>
      <c r="K5571">
        <v>1.1107400000000001</v>
      </c>
      <c r="L5571">
        <v>57.298740000000002</v>
      </c>
      <c r="M5571">
        <v>-4.6761329999999999E-3</v>
      </c>
      <c r="N5571">
        <v>-1.4153819999999999E-2</v>
      </c>
      <c r="O5571">
        <v>-0.99988889999999997</v>
      </c>
      <c r="P5571">
        <v>0.1275261</v>
      </c>
      <c r="Q5571">
        <v>0.33811439999999998</v>
      </c>
      <c r="R5571">
        <v>-0.93242499999999995</v>
      </c>
      <c r="S5571">
        <v>1.598846</v>
      </c>
      <c r="T5571">
        <v>-5.3751109999999998E-2</v>
      </c>
      <c r="U5571">
        <v>-3.0182500000000001</v>
      </c>
      <c r="V5571">
        <v>-0.1318723</v>
      </c>
      <c r="W5571">
        <v>0.35127429999999998</v>
      </c>
      <c r="X5571">
        <v>0.92693910000000002</v>
      </c>
      <c r="Y5571">
        <v>-0.4721381</v>
      </c>
      <c r="Z5571">
        <v>1.5467759999999999E-3</v>
      </c>
      <c r="AA5571">
        <v>0.88152330000000001</v>
      </c>
      <c r="AB5571">
        <v>29</v>
      </c>
      <c r="AC5571">
        <v>34.5274</v>
      </c>
      <c r="AD5571">
        <v>-1.1607399999999899</v>
      </c>
      <c r="AE5571">
        <v>-65.010715000000005</v>
      </c>
      <c r="AF5571">
        <v>-34.822393053417997</v>
      </c>
      <c r="AG5571">
        <v>-1.1607399999999899</v>
      </c>
      <c r="AH5571">
        <v>64.832412631388607</v>
      </c>
      <c r="AI5571">
        <v>90.9036258144979</v>
      </c>
      <c r="AJ5571">
        <v>118.24086563681399</v>
      </c>
      <c r="AK5571">
        <v>73.601549595922094</v>
      </c>
      <c r="AL5571">
        <v>69.434723534582304</v>
      </c>
      <c r="AM5571">
        <v>98.096930163289102</v>
      </c>
      <c r="AN5571">
        <v>1.00000001622829</v>
      </c>
    </row>
    <row r="5572" spans="1:40" x14ac:dyDescent="0.25">
      <c r="A5572" t="str">
        <f>"20190304164238211"</f>
        <v>20190304164238211</v>
      </c>
      <c r="B5572" t="str">
        <f>"1551688958207029"</f>
        <v>1551688958207029</v>
      </c>
      <c r="C5572" t="s">
        <v>40</v>
      </c>
      <c r="D5572">
        <v>4.1294069999999996</v>
      </c>
      <c r="E5572">
        <v>0.35762159999999998</v>
      </c>
      <c r="F5572" t="s">
        <v>43</v>
      </c>
      <c r="G5572">
        <v>-388.16109999999998</v>
      </c>
      <c r="H5572">
        <v>-0.05</v>
      </c>
      <c r="I5572">
        <v>-7.0529630000000001</v>
      </c>
      <c r="J5572">
        <v>-422.32339999999999</v>
      </c>
      <c r="K5572">
        <v>1.1107450000000001</v>
      </c>
      <c r="L5572">
        <v>57.118929999999999</v>
      </c>
      <c r="M5572">
        <v>-4.676108E-3</v>
      </c>
      <c r="N5572">
        <v>-1.4152E-2</v>
      </c>
      <c r="O5572">
        <v>-0.99988909999999998</v>
      </c>
      <c r="P5572">
        <v>0.12861880000000001</v>
      </c>
      <c r="Q5572">
        <v>0.3381381</v>
      </c>
      <c r="R5572">
        <v>-0.93226629999999999</v>
      </c>
      <c r="S5572">
        <v>1.602142</v>
      </c>
      <c r="T5572">
        <v>-5.4437640000000002E-2</v>
      </c>
      <c r="U5572">
        <v>-3.0180359999999999</v>
      </c>
      <c r="V5572">
        <v>-0.13296379999999999</v>
      </c>
      <c r="W5572">
        <v>0.35129440000000001</v>
      </c>
      <c r="X5572">
        <v>0.92677549999999997</v>
      </c>
      <c r="Y5572">
        <v>-0.4729141</v>
      </c>
      <c r="Z5572">
        <v>1.7429489999999999E-3</v>
      </c>
      <c r="AA5572">
        <v>0.88110679999999997</v>
      </c>
      <c r="AB5572">
        <v>29</v>
      </c>
      <c r="AC5572">
        <v>34.162300000000002</v>
      </c>
      <c r="AD5572">
        <v>-1.1607449999999999</v>
      </c>
      <c r="AE5572">
        <v>-64.171892999999997</v>
      </c>
      <c r="AF5572">
        <v>-34.453247964402401</v>
      </c>
      <c r="AG5572">
        <v>-1.1607449999999999</v>
      </c>
      <c r="AH5572">
        <v>63.995114417900801</v>
      </c>
      <c r="AI5572">
        <v>90.914969995590297</v>
      </c>
      <c r="AJ5572">
        <v>118.296827299353</v>
      </c>
      <c r="AK5572">
        <v>72.689396019033197</v>
      </c>
      <c r="AL5572">
        <v>69.433492664969094</v>
      </c>
      <c r="AM5572">
        <v>98.164469991665399</v>
      </c>
      <c r="AN5572">
        <v>0.99999997749102398</v>
      </c>
    </row>
    <row r="5573" spans="1:40" x14ac:dyDescent="0.25">
      <c r="A5573" t="str">
        <f>"20190304164238235"</f>
        <v>20190304164238235</v>
      </c>
      <c r="B5573" t="str">
        <f>"1551688958226550"</f>
        <v>1551688958226550</v>
      </c>
      <c r="C5573" t="s">
        <v>40</v>
      </c>
      <c r="D5573">
        <v>4.1194110000000004</v>
      </c>
      <c r="E5573">
        <v>0.35733690000000001</v>
      </c>
      <c r="F5573" t="s">
        <v>43</v>
      </c>
      <c r="G5573">
        <v>-389.23680000000002</v>
      </c>
      <c r="H5573">
        <v>-0.05</v>
      </c>
      <c r="I5573">
        <v>-4.943085</v>
      </c>
      <c r="J5573">
        <v>-422.32479999999998</v>
      </c>
      <c r="K5573">
        <v>1.1107309999999999</v>
      </c>
      <c r="L5573">
        <v>56.825560000000003</v>
      </c>
      <c r="M5573">
        <v>-4.6760509999999996E-3</v>
      </c>
      <c r="N5573">
        <v>-1.414895E-2</v>
      </c>
      <c r="O5573">
        <v>-0.99988889999999997</v>
      </c>
      <c r="P5573">
        <v>0.1294797</v>
      </c>
      <c r="Q5573">
        <v>0.33728819999999998</v>
      </c>
      <c r="R5573">
        <v>-0.93245460000000002</v>
      </c>
      <c r="S5573">
        <v>1.608185</v>
      </c>
      <c r="T5573">
        <v>-5.6418299999999998E-2</v>
      </c>
      <c r="U5573">
        <v>-3.0165410000000001</v>
      </c>
      <c r="V5573">
        <v>-0.13382549999999999</v>
      </c>
      <c r="W5573">
        <v>0.35044429999999999</v>
      </c>
      <c r="X5573">
        <v>0.9269733</v>
      </c>
      <c r="Y5573">
        <v>-0.47446700000000003</v>
      </c>
      <c r="Z5573">
        <v>2.3173769999999998E-3</v>
      </c>
      <c r="AA5573">
        <v>0.880270199999999</v>
      </c>
      <c r="AB5573">
        <v>29</v>
      </c>
      <c r="AC5573">
        <v>33.087999999999901</v>
      </c>
      <c r="AD5573">
        <v>-1.160731</v>
      </c>
      <c r="AE5573">
        <v>-61.7686449999999</v>
      </c>
      <c r="AF5573">
        <v>-33.367344841748498</v>
      </c>
      <c r="AG5573">
        <v>-1.160731</v>
      </c>
      <c r="AH5573">
        <v>61.596331571618897</v>
      </c>
      <c r="AI5573">
        <v>90.949259307799096</v>
      </c>
      <c r="AJ5573">
        <v>118.444845361342</v>
      </c>
      <c r="AK5573">
        <v>70.063079159592604</v>
      </c>
      <c r="AL5573">
        <v>69.485506797715203</v>
      </c>
      <c r="AM5573">
        <v>98.214932012048806</v>
      </c>
      <c r="AN5573">
        <v>0.99999998538281398</v>
      </c>
    </row>
    <row r="5574" spans="1:40" x14ac:dyDescent="0.25">
      <c r="A5574" t="str">
        <f>"20190304164238255"</f>
        <v>20190304164238255</v>
      </c>
      <c r="B5574" t="str">
        <f>"1551688958247045"</f>
        <v>1551688958247045</v>
      </c>
      <c r="C5574" t="s">
        <v>40</v>
      </c>
      <c r="D5574">
        <v>4.1510259999999999</v>
      </c>
      <c r="E5574">
        <v>0.35685480000000003</v>
      </c>
      <c r="F5574" t="s">
        <v>43</v>
      </c>
      <c r="G5574">
        <v>-390.56540000000001</v>
      </c>
      <c r="H5574">
        <v>-0.05</v>
      </c>
      <c r="I5574">
        <v>-2.5237270000000001</v>
      </c>
      <c r="J5574">
        <v>-422.32600000000002</v>
      </c>
      <c r="K5574">
        <v>1.1107290000000001</v>
      </c>
      <c r="L5574">
        <v>56.554259999999999</v>
      </c>
      <c r="M5574">
        <v>-4.6759770000000004E-3</v>
      </c>
      <c r="N5574">
        <v>-1.414609E-2</v>
      </c>
      <c r="O5574">
        <v>-0.99988940000000004</v>
      </c>
      <c r="P5574">
        <v>0.13040450000000001</v>
      </c>
      <c r="Q5574">
        <v>0.33648440000000002</v>
      </c>
      <c r="R5574">
        <v>-0.93261660000000002</v>
      </c>
      <c r="S5574">
        <v>1.6132200000000001</v>
      </c>
      <c r="T5574">
        <v>-5.8959360000000002E-2</v>
      </c>
      <c r="U5574">
        <v>-3.0146480000000002</v>
      </c>
      <c r="V5574">
        <v>-0.13475090000000001</v>
      </c>
      <c r="W5574">
        <v>0.34964030000000001</v>
      </c>
      <c r="X5574">
        <v>0.92714289999999999</v>
      </c>
      <c r="Y5574">
        <v>-0.47583599999999998</v>
      </c>
      <c r="Z5574">
        <v>3.0588490000000002E-3</v>
      </c>
      <c r="AA5574">
        <v>0.87952870000000005</v>
      </c>
      <c r="AB5574">
        <v>29</v>
      </c>
      <c r="AC5574">
        <v>31.760599999999901</v>
      </c>
      <c r="AD5574">
        <v>-1.1607289999999999</v>
      </c>
      <c r="AE5574">
        <v>-59.077987</v>
      </c>
      <c r="AF5574">
        <v>-32.0269364970179</v>
      </c>
      <c r="AG5574">
        <v>-1.1607289999999999</v>
      </c>
      <c r="AH5574">
        <v>58.911172329671501</v>
      </c>
      <c r="AI5574">
        <v>90.991710305888404</v>
      </c>
      <c r="AJ5574">
        <v>118.53062245493599</v>
      </c>
      <c r="AK5574">
        <v>67.064134814755604</v>
      </c>
      <c r="AL5574">
        <v>69.534685244906996</v>
      </c>
      <c r="AM5574">
        <v>98.269462756547199</v>
      </c>
      <c r="AN5574">
        <v>1.0000000507276501</v>
      </c>
    </row>
    <row r="5575" spans="1:40" x14ac:dyDescent="0.25">
      <c r="A5575" t="str">
        <f>"20190304164238279"</f>
        <v>20190304164238279</v>
      </c>
      <c r="B5575" t="str">
        <f>"1551688958266565"</f>
        <v>1551688958266565</v>
      </c>
      <c r="C5575" t="s">
        <v>40</v>
      </c>
      <c r="D5575">
        <v>4.2142109999999997</v>
      </c>
      <c r="E5575">
        <v>0.3562439</v>
      </c>
      <c r="F5575" t="s">
        <v>42</v>
      </c>
      <c r="G5575">
        <v>-394.56909999999999</v>
      </c>
      <c r="H5575">
        <v>7.9985459999999994E-2</v>
      </c>
      <c r="I5575">
        <v>4.960089</v>
      </c>
      <c r="J5575">
        <v>-422.32740000000001</v>
      </c>
      <c r="K5575">
        <v>1.1107340000000001</v>
      </c>
      <c r="L5575">
        <v>56.268279999999997</v>
      </c>
      <c r="M5575">
        <v>-4.6758909999999997E-3</v>
      </c>
      <c r="N5575">
        <v>-1.4143040000000001E-2</v>
      </c>
      <c r="O5575">
        <v>-0.99988909999999998</v>
      </c>
      <c r="P5575">
        <v>0.13074469999999999</v>
      </c>
      <c r="Q5575">
        <v>0.3360552</v>
      </c>
      <c r="R5575">
        <v>-0.93272359999999999</v>
      </c>
      <c r="S5575">
        <v>1.6203609999999999</v>
      </c>
      <c r="T5575">
        <v>-6.0171479999999999E-2</v>
      </c>
      <c r="U5575">
        <v>-3.0119020000000001</v>
      </c>
      <c r="V5575">
        <v>-0.13509189999999999</v>
      </c>
      <c r="W5575">
        <v>0.34920959999999901</v>
      </c>
      <c r="X5575">
        <v>0.92725550000000001</v>
      </c>
      <c r="Y5575">
        <v>-0.47778500000000002</v>
      </c>
      <c r="Z5575">
        <v>3.410798E-3</v>
      </c>
      <c r="AA5575">
        <v>0.87847019999999998</v>
      </c>
      <c r="AB5575">
        <v>29</v>
      </c>
      <c r="AC5575">
        <v>27.758299999999998</v>
      </c>
      <c r="AD5575">
        <v>-1.03074854</v>
      </c>
      <c r="AE5575">
        <v>-51.308191000000001</v>
      </c>
      <c r="AF5575">
        <v>-27.989193676774502</v>
      </c>
      <c r="AG5575">
        <v>-1.03074854</v>
      </c>
      <c r="AH5575">
        <v>51.161849355543197</v>
      </c>
      <c r="AI5575">
        <v>91.012584579670701</v>
      </c>
      <c r="AJ5575">
        <v>118.68181588864699</v>
      </c>
      <c r="AK5575">
        <v>58.326599718379001</v>
      </c>
      <c r="AL5575">
        <v>69.561020889827404</v>
      </c>
      <c r="AM5575">
        <v>98.289106224787304</v>
      </c>
      <c r="AN5575">
        <v>0.99999996422900905</v>
      </c>
    </row>
    <row r="5576" spans="1:40" x14ac:dyDescent="0.25">
      <c r="A5576" t="str">
        <f>"20190304164238300"</f>
        <v>20190304164238300</v>
      </c>
      <c r="B5576" t="str">
        <f>"1551688958296821"</f>
        <v>1551688958296821</v>
      </c>
      <c r="C5576" t="s">
        <v>40</v>
      </c>
      <c r="D5576">
        <v>4.0876150000000004</v>
      </c>
      <c r="E5576">
        <v>0.35530980000000001</v>
      </c>
      <c r="F5576" t="s">
        <v>43</v>
      </c>
      <c r="G5576">
        <v>-390.74310000000003</v>
      </c>
      <c r="H5576">
        <v>-0.05</v>
      </c>
      <c r="I5576">
        <v>-2.1570740000000002</v>
      </c>
      <c r="J5576">
        <v>-422.32870000000003</v>
      </c>
      <c r="K5576">
        <v>1.1107290000000001</v>
      </c>
      <c r="L5576">
        <v>55.98068</v>
      </c>
      <c r="M5576">
        <v>-4.6758099999999999E-3</v>
      </c>
      <c r="N5576">
        <v>-1.413993E-2</v>
      </c>
      <c r="O5576">
        <v>-0.99988940000000004</v>
      </c>
      <c r="P5576">
        <v>0.13122690000000001</v>
      </c>
      <c r="Q5576">
        <v>0.33641140000000003</v>
      </c>
      <c r="R5576">
        <v>-0.93252740000000001</v>
      </c>
      <c r="S5576">
        <v>1.6271059999999999</v>
      </c>
      <c r="T5576">
        <v>-5.979669E-2</v>
      </c>
      <c r="U5576">
        <v>-3.0098569999999998</v>
      </c>
      <c r="V5576">
        <v>-0.1355731</v>
      </c>
      <c r="W5576">
        <v>0.34955989999999998</v>
      </c>
      <c r="X5576">
        <v>0.92705329999999997</v>
      </c>
      <c r="Y5576">
        <v>-0.47955779999999998</v>
      </c>
      <c r="Z5576">
        <v>3.2971849999999998E-3</v>
      </c>
      <c r="AA5576">
        <v>0.87750409999999901</v>
      </c>
      <c r="AB5576">
        <v>29</v>
      </c>
      <c r="AC5576">
        <v>31.585599999999999</v>
      </c>
      <c r="AD5576">
        <v>-1.1607289999999999</v>
      </c>
      <c r="AE5576">
        <v>-58.137754000000001</v>
      </c>
      <c r="AF5576">
        <v>-31.847321310265801</v>
      </c>
      <c r="AG5576">
        <v>-1.1607289999999999</v>
      </c>
      <c r="AH5576">
        <v>57.971573660754402</v>
      </c>
      <c r="AI5576">
        <v>91.005361120037406</v>
      </c>
      <c r="AJ5576">
        <v>118.78267685602999</v>
      </c>
      <c r="AK5576">
        <v>66.153628163200807</v>
      </c>
      <c r="AL5576">
        <v>69.539601106931102</v>
      </c>
      <c r="AM5576">
        <v>98.320008656741905</v>
      </c>
      <c r="AN5576">
        <v>1.0000000050862501</v>
      </c>
    </row>
    <row r="5577" spans="1:40" x14ac:dyDescent="0.25">
      <c r="A5577" t="str">
        <f>"20190304164238324"</f>
        <v>20190304164238324</v>
      </c>
      <c r="B5577" t="str">
        <f>"1551688958317318"</f>
        <v>1551688958317318</v>
      </c>
      <c r="C5577" t="s">
        <v>40</v>
      </c>
      <c r="D5577">
        <v>4.0811260000000003</v>
      </c>
      <c r="E5577">
        <v>0.35459689999999999</v>
      </c>
      <c r="F5577" t="s">
        <v>43</v>
      </c>
      <c r="G5577">
        <v>-388.911</v>
      </c>
      <c r="H5577">
        <v>-0.05</v>
      </c>
      <c r="I5577">
        <v>-5.451721</v>
      </c>
      <c r="J5577">
        <v>-422.33</v>
      </c>
      <c r="K5577">
        <v>1.110733</v>
      </c>
      <c r="L5577">
        <v>55.696109999999997</v>
      </c>
      <c r="M5577">
        <v>-4.6757439999999999E-3</v>
      </c>
      <c r="N5577">
        <v>-1.4136859999999999E-2</v>
      </c>
      <c r="O5577">
        <v>-0.99988940000000004</v>
      </c>
      <c r="P5577">
        <v>0.13144149999999999</v>
      </c>
      <c r="Q5577">
        <v>0.33634619999999998</v>
      </c>
      <c r="R5577">
        <v>-0.93252089999999999</v>
      </c>
      <c r="S5577">
        <v>1.6359250000000001</v>
      </c>
      <c r="T5577">
        <v>-5.682218E-2</v>
      </c>
      <c r="U5577">
        <v>-3.007355</v>
      </c>
      <c r="V5577">
        <v>-0.13578760000000001</v>
      </c>
      <c r="W5577">
        <v>0.34949200000000002</v>
      </c>
      <c r="X5577">
        <v>0.92704750000000002</v>
      </c>
      <c r="Y5577">
        <v>-0.48185329999999899</v>
      </c>
      <c r="Z5577">
        <v>2.422277E-3</v>
      </c>
      <c r="AA5577">
        <v>0.87624849999999999</v>
      </c>
      <c r="AB5577">
        <v>29</v>
      </c>
      <c r="AC5577">
        <v>33.418999999999897</v>
      </c>
      <c r="AD5577">
        <v>-1.160733</v>
      </c>
      <c r="AE5577">
        <v>-61.147830999999996</v>
      </c>
      <c r="AF5577">
        <v>-33.695225729857299</v>
      </c>
      <c r="AG5577">
        <v>-1.160733</v>
      </c>
      <c r="AH5577">
        <v>60.973970502704397</v>
      </c>
      <c r="AI5577">
        <v>90.954555062449202</v>
      </c>
      <c r="AJ5577">
        <v>118.925766558712</v>
      </c>
      <c r="AK5577">
        <v>69.674533489274197</v>
      </c>
      <c r="AL5577">
        <v>69.543753254521405</v>
      </c>
      <c r="AM5577">
        <v>98.333039045229299</v>
      </c>
      <c r="AN5577">
        <v>0.99999999881700496</v>
      </c>
    </row>
    <row r="5578" spans="1:40" x14ac:dyDescent="0.25">
      <c r="A5578" t="str">
        <f>"20190304164238345"</f>
        <v>20190304164238345</v>
      </c>
      <c r="B5578" t="str">
        <f>"1551688958336837"</f>
        <v>1551688958336837</v>
      </c>
      <c r="C5578" t="s">
        <v>40</v>
      </c>
      <c r="D5578">
        <v>4.1198160000000001</v>
      </c>
      <c r="E5578">
        <v>0.35406959999999998</v>
      </c>
      <c r="F5578" t="s">
        <v>43</v>
      </c>
      <c r="G5578">
        <v>-388.67970000000003</v>
      </c>
      <c r="H5578">
        <v>-0.05</v>
      </c>
      <c r="I5578">
        <v>-5.9313659999999997</v>
      </c>
      <c r="J5578">
        <v>-422.33139999999997</v>
      </c>
      <c r="K5578">
        <v>1.110738</v>
      </c>
      <c r="L5578">
        <v>55.418849999999999</v>
      </c>
      <c r="M5578">
        <v>-4.6756640000000004E-3</v>
      </c>
      <c r="N5578">
        <v>-1.413383E-2</v>
      </c>
      <c r="O5578">
        <v>-0.99988940000000004</v>
      </c>
      <c r="P5578">
        <v>0.13155929999999999</v>
      </c>
      <c r="Q5578">
        <v>0.33674290000000001</v>
      </c>
      <c r="R5578">
        <v>-0.93236090000000005</v>
      </c>
      <c r="S5578">
        <v>1.6414489999999999</v>
      </c>
      <c r="T5578">
        <v>-5.6620120000000003E-2</v>
      </c>
      <c r="U5578">
        <v>-3.0061650000000002</v>
      </c>
      <c r="V5578">
        <v>-0.13590429999999901</v>
      </c>
      <c r="W5578">
        <v>0.34988370000000002</v>
      </c>
      <c r="X5578">
        <v>0.9268826</v>
      </c>
      <c r="Y5578">
        <v>-0.48323939999999999</v>
      </c>
      <c r="Z5578">
        <v>2.3585530000000002E-3</v>
      </c>
      <c r="AA5578">
        <v>0.87548510000000002</v>
      </c>
      <c r="AB5578">
        <v>28</v>
      </c>
      <c r="AC5578">
        <v>33.651699999999899</v>
      </c>
      <c r="AD5578">
        <v>-1.1607379999999901</v>
      </c>
      <c r="AE5578">
        <v>-61.350216000000003</v>
      </c>
      <c r="AF5578">
        <v>-33.928877448903997</v>
      </c>
      <c r="AG5578">
        <v>-1.1607379999999901</v>
      </c>
      <c r="AH5578">
        <v>61.1753518796435</v>
      </c>
      <c r="AI5578">
        <v>90.950611548792494</v>
      </c>
      <c r="AJ5578">
        <v>119.013486216205</v>
      </c>
      <c r="AK5578">
        <v>69.963845772267206</v>
      </c>
      <c r="AL5578">
        <v>69.519797465983004</v>
      </c>
      <c r="AM5578">
        <v>98.341562916392903</v>
      </c>
      <c r="AN5578">
        <v>0.99999996823346904</v>
      </c>
    </row>
    <row r="5579" spans="1:40" x14ac:dyDescent="0.25">
      <c r="A5579" t="str">
        <f>"20190304164238368"</f>
        <v>20190304164238368</v>
      </c>
      <c r="B5579" t="str">
        <f>"1551688958357334"</f>
        <v>1551688958357334</v>
      </c>
      <c r="C5579" t="s">
        <v>40</v>
      </c>
      <c r="D5579">
        <v>4.1468280000000002</v>
      </c>
      <c r="E5579">
        <v>0.35378419999999999</v>
      </c>
      <c r="F5579" t="s">
        <v>58</v>
      </c>
      <c r="G5579">
        <v>-392.38799999999998</v>
      </c>
      <c r="H5579">
        <v>0.14316199999999901</v>
      </c>
      <c r="I5579">
        <v>0.75819969999999903</v>
      </c>
      <c r="J5579">
        <v>-422.33269999999999</v>
      </c>
      <c r="K5579">
        <v>1.1107400000000001</v>
      </c>
      <c r="L5579">
        <v>55.131740000000001</v>
      </c>
      <c r="M5579">
        <v>-4.6732249999999996E-3</v>
      </c>
      <c r="N5579">
        <v>-1.4130759999999999E-2</v>
      </c>
      <c r="O5579">
        <v>-0.99988940000000004</v>
      </c>
      <c r="P5579">
        <v>0.1300916</v>
      </c>
      <c r="Q5579">
        <v>0.33637139999999999</v>
      </c>
      <c r="R5579">
        <v>-0.93270090000000005</v>
      </c>
      <c r="S5579">
        <v>1.6459349999999999</v>
      </c>
      <c r="T5579">
        <v>-5.3187369999999998E-2</v>
      </c>
      <c r="U5579">
        <v>-3.0046080000000002</v>
      </c>
      <c r="V5579">
        <v>-0.13443669999999999</v>
      </c>
      <c r="W5579">
        <v>0.34951379999999999</v>
      </c>
      <c r="X5579">
        <v>0.92723610000000001</v>
      </c>
      <c r="Y5579">
        <v>-0.48443760000000002</v>
      </c>
      <c r="Z5579">
        <v>1.3572E-3</v>
      </c>
      <c r="AA5579">
        <v>0.87482479999999996</v>
      </c>
      <c r="AB5579">
        <v>28</v>
      </c>
      <c r="AC5579">
        <v>29.944699999999902</v>
      </c>
      <c r="AD5579">
        <v>-0.96757800000000005</v>
      </c>
      <c r="AE5579">
        <v>-54.373540299999902</v>
      </c>
      <c r="AF5579">
        <v>-30.191162498344699</v>
      </c>
      <c r="AG5579">
        <v>-0.96757800000000005</v>
      </c>
      <c r="AH5579">
        <v>54.2198203396526</v>
      </c>
      <c r="AI5579">
        <v>90.893243831514795</v>
      </c>
      <c r="AJ5579">
        <v>119.11032398332399</v>
      </c>
      <c r="AK5579">
        <v>62.066346902743902</v>
      </c>
      <c r="AL5579">
        <v>69.542419174025198</v>
      </c>
      <c r="AM5579">
        <v>98.2496286447399</v>
      </c>
      <c r="AN5579">
        <v>0.99999995392026897</v>
      </c>
    </row>
    <row r="5580" spans="1:40" x14ac:dyDescent="0.25">
      <c r="A5580" t="str">
        <f>"20190304164238391"</f>
        <v>20190304164238391</v>
      </c>
      <c r="B5580" t="str">
        <f>"1551688958376854"</f>
        <v>1551688958376854</v>
      </c>
      <c r="C5580" t="s">
        <v>40</v>
      </c>
      <c r="D5580">
        <v>4.6607760000000003</v>
      </c>
      <c r="E5580">
        <v>0.35436839999999997</v>
      </c>
      <c r="F5580" t="s">
        <v>58</v>
      </c>
      <c r="G5580">
        <v>-392.58260000000001</v>
      </c>
      <c r="H5580">
        <v>0.16708110000000001</v>
      </c>
      <c r="I5580">
        <v>0.75622180000000006</v>
      </c>
      <c r="J5580">
        <v>-422.334</v>
      </c>
      <c r="K5580">
        <v>1.1107389999999999</v>
      </c>
      <c r="L5580">
        <v>54.837159999999997</v>
      </c>
      <c r="M5580">
        <v>-4.6534360000000004E-3</v>
      </c>
      <c r="N5580">
        <v>-1.412764E-2</v>
      </c>
      <c r="O5580">
        <v>-0.99988960000000005</v>
      </c>
      <c r="P5580">
        <v>0.12795109999999901</v>
      </c>
      <c r="Q5580">
        <v>0.3355457</v>
      </c>
      <c r="R5580">
        <v>-0.93329419999999996</v>
      </c>
      <c r="S5580">
        <v>1.6445919999999901</v>
      </c>
      <c r="T5580">
        <v>-5.2167060000000001E-2</v>
      </c>
      <c r="U5580">
        <v>-3.00589</v>
      </c>
      <c r="V5580">
        <v>-0.13228790000000001</v>
      </c>
      <c r="W5580">
        <v>0.34869080000000002</v>
      </c>
      <c r="X5580">
        <v>0.92785490000000004</v>
      </c>
      <c r="Y5580">
        <v>-0.48396349999999999</v>
      </c>
      <c r="Z5580">
        <v>1.060992E-3</v>
      </c>
      <c r="AA5580">
        <v>0.87508750000000002</v>
      </c>
      <c r="AB5580">
        <v>28</v>
      </c>
      <c r="AC5580">
        <v>29.751399999999901</v>
      </c>
      <c r="AD5580">
        <v>-0.94365790000000005</v>
      </c>
      <c r="AE5580">
        <v>-54.080938199999999</v>
      </c>
      <c r="AF5580">
        <v>-29.995754116998899</v>
      </c>
      <c r="AG5580">
        <v>-0.94365790000000005</v>
      </c>
      <c r="AH5580">
        <v>53.929287564840401</v>
      </c>
      <c r="AI5580">
        <v>90.876089412982196</v>
      </c>
      <c r="AJ5580">
        <v>119.083042590784</v>
      </c>
      <c r="AK5580">
        <v>61.717127383984298</v>
      </c>
      <c r="AL5580">
        <v>69.592741342501597</v>
      </c>
      <c r="AM5580">
        <v>98.114198176674705</v>
      </c>
      <c r="AN5580">
        <v>1.0000000389725201</v>
      </c>
    </row>
    <row r="5581" spans="1:40" x14ac:dyDescent="0.25">
      <c r="A5581" t="str">
        <f>"20190304164238413"</f>
        <v>20190304164238413</v>
      </c>
      <c r="B5581" t="str">
        <f>"1551688958407110"</f>
        <v>1551688958407110</v>
      </c>
      <c r="C5581" t="s">
        <v>40</v>
      </c>
      <c r="D5581">
        <v>4.9154679999999997</v>
      </c>
      <c r="E5581">
        <v>0.54992249999999998</v>
      </c>
      <c r="F5581" t="s">
        <v>58</v>
      </c>
      <c r="G5581">
        <v>-392.99360000000001</v>
      </c>
      <c r="H5581">
        <v>0.17533609999999999</v>
      </c>
      <c r="I5581">
        <v>0.75204280000000001</v>
      </c>
      <c r="J5581">
        <v>-422.33530000000002</v>
      </c>
      <c r="K5581">
        <v>1.1107450000000001</v>
      </c>
      <c r="L5581">
        <v>54.556730000000002</v>
      </c>
      <c r="M5581">
        <v>-4.5953569999999996E-3</v>
      </c>
      <c r="N5581">
        <v>-1.4124660000000001E-2</v>
      </c>
      <c r="O5581">
        <v>-0.99988960000000005</v>
      </c>
      <c r="P5581">
        <v>0.126585999999999</v>
      </c>
      <c r="Q5581">
        <v>0.33405689999999999</v>
      </c>
      <c r="R5581">
        <v>-0.93401409999999996</v>
      </c>
      <c r="S5581">
        <v>1.6325069999999999</v>
      </c>
      <c r="T5581">
        <v>-5.2047370000000003E-2</v>
      </c>
      <c r="U5581">
        <v>-3.0093079999999999</v>
      </c>
      <c r="V5581">
        <v>-0.1308907</v>
      </c>
      <c r="W5581">
        <v>0.34720259999999997</v>
      </c>
      <c r="X5581">
        <v>0.92861079999999996</v>
      </c>
      <c r="Y5581">
        <v>-0.48078110000000002</v>
      </c>
      <c r="Z5581">
        <v>1.042096E-3</v>
      </c>
      <c r="AA5581">
        <v>0.87684010000000001</v>
      </c>
      <c r="AB5581">
        <v>28</v>
      </c>
      <c r="AC5581">
        <v>29.341699999999999</v>
      </c>
      <c r="AD5581">
        <v>-0.93540889999999999</v>
      </c>
      <c r="AE5581">
        <v>-53.804687199999996</v>
      </c>
      <c r="AF5581">
        <v>-29.581775033374701</v>
      </c>
      <c r="AG5581">
        <v>-0.93540889999999999</v>
      </c>
      <c r="AH5581">
        <v>53.656769760872201</v>
      </c>
      <c r="AI5581">
        <v>90.874652855460397</v>
      </c>
      <c r="AJ5581">
        <v>118.868601541762</v>
      </c>
      <c r="AK5581">
        <v>61.278098412945603</v>
      </c>
      <c r="AL5581">
        <v>69.683691630818302</v>
      </c>
      <c r="AM5581">
        <v>98.023170031498097</v>
      </c>
      <c r="AN5581">
        <v>1.0000000193349401</v>
      </c>
    </row>
    <row r="5582" spans="1:40" x14ac:dyDescent="0.25">
      <c r="A5582" t="str">
        <f>"20190304164238435"</f>
        <v>20190304164238435</v>
      </c>
      <c r="B5582" t="str">
        <f>"1551688958426629"</f>
        <v>1551688958426629</v>
      </c>
      <c r="C5582" t="s">
        <v>40</v>
      </c>
      <c r="D5582">
        <v>4.4956310000000004</v>
      </c>
      <c r="E5582">
        <v>0.56855369999999905</v>
      </c>
      <c r="F5582" t="s">
        <v>57</v>
      </c>
      <c r="G5582">
        <v>-421.8075</v>
      </c>
      <c r="H5582" s="1">
        <v>-2.5942090000000001E-6</v>
      </c>
      <c r="I5582">
        <v>35.937690000000003</v>
      </c>
      <c r="J5582">
        <v>-422.3365</v>
      </c>
      <c r="K5582">
        <v>1.110779</v>
      </c>
      <c r="L5582">
        <v>54.2804</v>
      </c>
      <c r="M5582">
        <v>-4.4705379999999996E-3</v>
      </c>
      <c r="N5582">
        <v>-1.412178E-2</v>
      </c>
      <c r="O5582">
        <v>-0.99989030000000001</v>
      </c>
      <c r="P5582">
        <v>0.12585550000000001</v>
      </c>
      <c r="Q5582">
        <v>0.33354790000000001</v>
      </c>
      <c r="R5582">
        <v>-0.93429459999999998</v>
      </c>
      <c r="S5582">
        <v>9.2681879999999994E-2</v>
      </c>
      <c r="T5582">
        <v>-0.19502520000000001</v>
      </c>
      <c r="U5582">
        <v>-3.2691349999999999</v>
      </c>
      <c r="V5582">
        <v>-0.13008219999999901</v>
      </c>
      <c r="W5582">
        <v>0.34668110000000002</v>
      </c>
      <c r="X5582">
        <v>0.92891919999999994</v>
      </c>
      <c r="Y5582">
        <v>-3.2761789999999999E-2</v>
      </c>
      <c r="Z5582">
        <v>4.5418300000000002E-2</v>
      </c>
      <c r="AA5582">
        <v>0.9984307</v>
      </c>
      <c r="AB5582">
        <v>28</v>
      </c>
      <c r="AC5582">
        <v>0.52899999999999603</v>
      </c>
      <c r="AD5582">
        <v>-1.110781594209</v>
      </c>
      <c r="AE5582">
        <v>-18.34271</v>
      </c>
      <c r="AF5582">
        <v>-0.60877405257251405</v>
      </c>
      <c r="AG5582">
        <v>-1.110781594209</v>
      </c>
      <c r="AH5582">
        <v>18.273206357738399</v>
      </c>
      <c r="AI5582">
        <v>93.476659786803296</v>
      </c>
      <c r="AJ5582">
        <v>91.908110012059396</v>
      </c>
      <c r="AK5582">
        <v>18.317055227017601</v>
      </c>
      <c r="AL5582">
        <v>69.715550280182299</v>
      </c>
      <c r="AM5582">
        <v>97.9716376711755</v>
      </c>
      <c r="AN5582">
        <v>1.0000000219913401</v>
      </c>
    </row>
    <row r="5583" spans="1:40" x14ac:dyDescent="0.25">
      <c r="A5583" t="str">
        <f>"20190304164238457"</f>
        <v>20190304164238457</v>
      </c>
      <c r="B5583" t="str">
        <f>"1551688958447127"</f>
        <v>1551688958447127</v>
      </c>
      <c r="C5583" t="s">
        <v>40</v>
      </c>
      <c r="D5583">
        <v>4.5566839999999997</v>
      </c>
      <c r="E5583">
        <v>0.57813729999999997</v>
      </c>
      <c r="F5583" t="s">
        <v>41</v>
      </c>
      <c r="G5583">
        <v>-422.3494</v>
      </c>
      <c r="H5583">
        <v>1.043226</v>
      </c>
      <c r="I5583">
        <v>53.458309999999997</v>
      </c>
      <c r="J5583">
        <v>-422.33749999999998</v>
      </c>
      <c r="K5583">
        <v>1.11087</v>
      </c>
      <c r="L5583">
        <v>54.002139999999997</v>
      </c>
      <c r="M5583">
        <v>-4.2432099999999999E-3</v>
      </c>
      <c r="N5583">
        <v>-1.4119039999999999E-2</v>
      </c>
      <c r="O5583">
        <v>-0.99989130000000004</v>
      </c>
      <c r="P5583">
        <v>0.12579699999999999</v>
      </c>
      <c r="Q5583">
        <v>0.335520599999999</v>
      </c>
      <c r="R5583">
        <v>-0.93359599999999998</v>
      </c>
      <c r="S5583">
        <v>-5.1086430000000002E-2</v>
      </c>
      <c r="T5583">
        <v>-0.27246199999999998</v>
      </c>
      <c r="U5583">
        <v>-3.3151250000000001</v>
      </c>
      <c r="V5583">
        <v>-0.12987019999999999</v>
      </c>
      <c r="W5583">
        <v>0.34861930000000002</v>
      </c>
      <c r="X5583">
        <v>0.92822320000000003</v>
      </c>
      <c r="Y5583">
        <v>1.112195E-2</v>
      </c>
      <c r="Z5583">
        <v>6.7823629999999996E-2</v>
      </c>
      <c r="AA5583">
        <v>0.9976353</v>
      </c>
      <c r="AB5583">
        <v>28</v>
      </c>
      <c r="AC5583">
        <v>-1.19000000000255E-2</v>
      </c>
      <c r="AD5583">
        <v>-6.7643999999999996E-2</v>
      </c>
      <c r="AE5583">
        <v>-0.54383000000000603</v>
      </c>
      <c r="AF5583">
        <v>9.4460040262837001E-3</v>
      </c>
      <c r="AG5583">
        <v>-6.7643999999999996E-2</v>
      </c>
      <c r="AH5583">
        <v>0.53559314240245404</v>
      </c>
      <c r="AI5583">
        <v>97.197086806074097</v>
      </c>
      <c r="AJ5583">
        <v>88.989606070329202</v>
      </c>
      <c r="AK5583">
        <v>0.53993050656228003</v>
      </c>
      <c r="AL5583">
        <v>69.597111368422503</v>
      </c>
      <c r="AM5583">
        <v>97.964703712521001</v>
      </c>
      <c r="AN5583">
        <v>0.99999999709938403</v>
      </c>
    </row>
    <row r="5584" spans="1:40" x14ac:dyDescent="0.25">
      <c r="A5584" t="str">
        <f>"20190304164238480"</f>
        <v>20190304164238480</v>
      </c>
      <c r="B5584" t="str">
        <f>"1551688958476406"</f>
        <v>1551688958476406</v>
      </c>
      <c r="C5584" t="s">
        <v>40</v>
      </c>
      <c r="D5584">
        <v>4.4709180000000002</v>
      </c>
      <c r="E5584">
        <v>0.58495169999999996</v>
      </c>
      <c r="F5584" t="s">
        <v>41</v>
      </c>
      <c r="G5584">
        <v>-422.36669999999998</v>
      </c>
      <c r="H5584">
        <v>1.035682</v>
      </c>
      <c r="I5584">
        <v>53.215859999999999</v>
      </c>
      <c r="J5584">
        <v>-422.33839999999998</v>
      </c>
      <c r="K5584">
        <v>1.1109830000000001</v>
      </c>
      <c r="L5584">
        <v>53.722529999999999</v>
      </c>
      <c r="M5584">
        <v>-3.8790600000000001E-3</v>
      </c>
      <c r="N5584">
        <v>-1.41166E-2</v>
      </c>
      <c r="O5584">
        <v>-0.99989309999999998</v>
      </c>
      <c r="P5584">
        <v>0.12540499999999999</v>
      </c>
      <c r="Q5584">
        <v>0.33823320000000001</v>
      </c>
      <c r="R5584">
        <v>-0.93266939999999998</v>
      </c>
      <c r="S5584">
        <v>-0.1235962</v>
      </c>
      <c r="T5584">
        <v>-0.31989590000000001</v>
      </c>
      <c r="U5584">
        <v>-3.3450009999999999</v>
      </c>
      <c r="V5584">
        <v>-0.12922049999999999</v>
      </c>
      <c r="W5584">
        <v>0.35128599999999999</v>
      </c>
      <c r="X5584">
        <v>0.92730800000000002</v>
      </c>
      <c r="Y5584">
        <v>3.2900169999999999E-2</v>
      </c>
      <c r="Z5584">
        <v>8.1079680000000001E-2</v>
      </c>
      <c r="AA5584">
        <v>0.99616450000000001</v>
      </c>
      <c r="AB5584">
        <v>28</v>
      </c>
      <c r="AC5584">
        <v>-2.8300000000001501E-2</v>
      </c>
      <c r="AD5584">
        <v>-7.5301000000000007E-2</v>
      </c>
      <c r="AE5584">
        <v>-0.50667000000000595</v>
      </c>
      <c r="AF5584">
        <v>2.5766827651512999E-2</v>
      </c>
      <c r="AG5584">
        <v>-7.5301000000000007E-2</v>
      </c>
      <c r="AH5584">
        <v>0.495857667359202</v>
      </c>
      <c r="AI5584">
        <v>98.623508516225201</v>
      </c>
      <c r="AJ5584">
        <v>87.025348422599706</v>
      </c>
      <c r="AK5584">
        <v>0.50220413806253295</v>
      </c>
      <c r="AL5584">
        <v>69.434006316951496</v>
      </c>
      <c r="AM5584">
        <v>97.933088690023197</v>
      </c>
      <c r="AN5584">
        <v>0.99999995914012396</v>
      </c>
    </row>
    <row r="5585" spans="1:40" x14ac:dyDescent="0.25">
      <c r="A5585" t="str">
        <f>"20190304164238502"</f>
        <v>20190304164238502</v>
      </c>
      <c r="B5585" t="str">
        <f>"1551688958496901"</f>
        <v>1551688958496901</v>
      </c>
      <c r="C5585" t="s">
        <v>40</v>
      </c>
      <c r="D5585">
        <v>4.4649260000000002</v>
      </c>
      <c r="E5585">
        <v>0.58708549999999904</v>
      </c>
      <c r="F5585" t="s">
        <v>41</v>
      </c>
      <c r="G5585">
        <v>-422.37909999999999</v>
      </c>
      <c r="H5585">
        <v>1.034983</v>
      </c>
      <c r="I5585">
        <v>52.964709999999997</v>
      </c>
      <c r="J5585">
        <v>-422.339</v>
      </c>
      <c r="K5585">
        <v>1.1111120000000001</v>
      </c>
      <c r="L5585">
        <v>53.437130000000003</v>
      </c>
      <c r="M5585">
        <v>-3.3370330000000001E-3</v>
      </c>
      <c r="N5585">
        <v>-1.411461E-2</v>
      </c>
      <c r="O5585">
        <v>-0.99989479999999997</v>
      </c>
      <c r="P5585">
        <v>0.1243349</v>
      </c>
      <c r="Q5585">
        <v>0.33842559999999999</v>
      </c>
      <c r="R5585">
        <v>-0.93274279999999998</v>
      </c>
      <c r="S5585">
        <v>-0.17883299999999999</v>
      </c>
      <c r="T5585">
        <v>-0.3373834</v>
      </c>
      <c r="U5585">
        <v>-3.3629760000000002</v>
      </c>
      <c r="V5585">
        <v>-0.1277529</v>
      </c>
      <c r="W5585">
        <v>0.35144049999999999</v>
      </c>
      <c r="X5585">
        <v>0.92745290000000002</v>
      </c>
      <c r="Y5585">
        <v>4.953395E-2</v>
      </c>
      <c r="Z5585">
        <v>8.5637110000000002E-2</v>
      </c>
      <c r="AA5585">
        <v>0.99509429999999999</v>
      </c>
      <c r="AB5585">
        <v>28</v>
      </c>
      <c r="AC5585">
        <v>-4.0099999999995299E-2</v>
      </c>
      <c r="AD5585">
        <v>-7.6129000000000099E-2</v>
      </c>
      <c r="AE5585">
        <v>-0.472420000000006</v>
      </c>
      <c r="AF5585">
        <v>3.75548780145415E-2</v>
      </c>
      <c r="AG5585">
        <v>-7.6129000000000099E-2</v>
      </c>
      <c r="AH5585">
        <v>0.46067385162629299</v>
      </c>
      <c r="AI5585">
        <v>99.353172102216803</v>
      </c>
      <c r="AJ5585">
        <v>85.339461379779905</v>
      </c>
      <c r="AK5585">
        <v>0.46842970772133102</v>
      </c>
      <c r="AL5585">
        <v>69.424553320601206</v>
      </c>
      <c r="AM5585">
        <v>97.842907631044298</v>
      </c>
      <c r="AN5585">
        <v>1.00000005510853</v>
      </c>
    </row>
    <row r="5586" spans="1:40" x14ac:dyDescent="0.25">
      <c r="A5586" t="str">
        <f>"20190304164238524"</f>
        <v>20190304164238524</v>
      </c>
      <c r="B5586" t="str">
        <f>"1551688958516425"</f>
        <v>1551688958516425</v>
      </c>
      <c r="C5586" t="s">
        <v>40</v>
      </c>
      <c r="D5586">
        <v>4.4912460000000003</v>
      </c>
      <c r="E5586">
        <v>0.58817359999999996</v>
      </c>
      <c r="F5586" t="s">
        <v>41</v>
      </c>
      <c r="G5586">
        <v>-422.39569999999998</v>
      </c>
      <c r="H5586">
        <v>1.0115879999999999</v>
      </c>
      <c r="I5586">
        <v>52.474319999999999</v>
      </c>
      <c r="J5586">
        <v>-422.33909999999997</v>
      </c>
      <c r="K5586">
        <v>1.1112379999999999</v>
      </c>
      <c r="L5586">
        <v>53.163020000000003</v>
      </c>
      <c r="M5586">
        <v>-2.622681E-3</v>
      </c>
      <c r="N5586">
        <v>-1.411331E-2</v>
      </c>
      <c r="O5586">
        <v>-0.99989720000000004</v>
      </c>
      <c r="P5586">
        <v>0.1229297</v>
      </c>
      <c r="Q5586">
        <v>0.33584160000000002</v>
      </c>
      <c r="R5586">
        <v>-0.93386270000000005</v>
      </c>
      <c r="S5586">
        <v>-0.19781489999999999</v>
      </c>
      <c r="T5586">
        <v>-0.3482922</v>
      </c>
      <c r="U5586">
        <v>-3.369049</v>
      </c>
      <c r="V5586">
        <v>-0.1257955</v>
      </c>
      <c r="W5586">
        <v>0.34883380000000003</v>
      </c>
      <c r="X5586">
        <v>0.92870370000000002</v>
      </c>
      <c r="Y5586">
        <v>5.5718999999999998E-2</v>
      </c>
      <c r="Z5586">
        <v>8.8616360000000005E-2</v>
      </c>
      <c r="AA5586">
        <v>0.99450620000000001</v>
      </c>
      <c r="AB5586">
        <v>28</v>
      </c>
      <c r="AC5586">
        <v>-5.6600000000003002E-2</v>
      </c>
      <c r="AD5586">
        <v>-9.9650000000000002E-2</v>
      </c>
      <c r="AE5586">
        <v>-0.68869999999999698</v>
      </c>
      <c r="AF5586">
        <v>5.36771382871171E-2</v>
      </c>
      <c r="AG5586">
        <v>-9.9650000000000002E-2</v>
      </c>
      <c r="AH5586">
        <v>0.67481296372455202</v>
      </c>
      <c r="AI5586">
        <v>98.374116603209004</v>
      </c>
      <c r="AJ5586">
        <v>85.452055939080196</v>
      </c>
      <c r="AK5586">
        <v>0.68423964638524704</v>
      </c>
      <c r="AL5586">
        <v>69.583999264762895</v>
      </c>
      <c r="AM5586">
        <v>97.713924408013895</v>
      </c>
      <c r="AN5586">
        <v>1.0000000451181801</v>
      </c>
    </row>
    <row r="5587" spans="1:40" x14ac:dyDescent="0.25">
      <c r="A5587" t="str">
        <f>"20190304164238546"</f>
        <v>20190304164238546</v>
      </c>
      <c r="B5587" t="str">
        <f>"1551688958536918"</f>
        <v>1551688958536918</v>
      </c>
      <c r="C5587" t="s">
        <v>40</v>
      </c>
      <c r="D5587">
        <v>4.5012309999999998</v>
      </c>
      <c r="E5587">
        <v>0.58893830000000003</v>
      </c>
      <c r="F5587" t="s">
        <v>41</v>
      </c>
      <c r="G5587">
        <v>-422.39839999999998</v>
      </c>
      <c r="H5587">
        <v>1.0091870000000001</v>
      </c>
      <c r="I5587">
        <v>52.224980000000002</v>
      </c>
      <c r="J5587">
        <v>-422.339</v>
      </c>
      <c r="K5587">
        <v>1.1113649999999999</v>
      </c>
      <c r="L5587">
        <v>52.882109999999997</v>
      </c>
      <c r="M5587">
        <v>-1.7333400000000001E-3</v>
      </c>
      <c r="N5587">
        <v>-1.411226E-2</v>
      </c>
      <c r="O5587">
        <v>-0.99989910000000004</v>
      </c>
      <c r="P5587">
        <v>0.1212218</v>
      </c>
      <c r="Q5587">
        <v>0.33393460000000003</v>
      </c>
      <c r="R5587">
        <v>-0.93476930000000003</v>
      </c>
      <c r="S5587">
        <v>-0.21105960000000001</v>
      </c>
      <c r="T5587">
        <v>-0.36710799999999999</v>
      </c>
      <c r="U5587">
        <v>-3.3722530000000002</v>
      </c>
      <c r="V5587">
        <v>-0.1233641</v>
      </c>
      <c r="W5587">
        <v>0.34690520000000002</v>
      </c>
      <c r="X5587">
        <v>0.92975160000000001</v>
      </c>
      <c r="Y5587">
        <v>6.0405809999999997E-2</v>
      </c>
      <c r="Z5587">
        <v>9.3979019999999996E-2</v>
      </c>
      <c r="AA5587">
        <v>0.99373999999999996</v>
      </c>
      <c r="AB5587">
        <v>28</v>
      </c>
      <c r="AC5587">
        <v>-5.93999999999823E-2</v>
      </c>
      <c r="AD5587">
        <v>-0.10217799999999901</v>
      </c>
      <c r="AE5587">
        <v>-0.657129999999995</v>
      </c>
      <c r="AF5587">
        <v>5.6896303753443997E-2</v>
      </c>
      <c r="AG5587">
        <v>-0.10217799999999901</v>
      </c>
      <c r="AH5587">
        <v>0.64183964551279005</v>
      </c>
      <c r="AI5587">
        <v>99.010578374879501</v>
      </c>
      <c r="AJ5587">
        <v>84.934218754937305</v>
      </c>
      <c r="AK5587">
        <v>0.65240759009746996</v>
      </c>
      <c r="AL5587">
        <v>69.701859820878198</v>
      </c>
      <c r="AM5587">
        <v>97.558142903626901</v>
      </c>
      <c r="AN5587">
        <v>0.99999997832920395</v>
      </c>
    </row>
    <row r="5588" spans="1:40" x14ac:dyDescent="0.25">
      <c r="A5588" t="str">
        <f>"20190304164238569"</f>
        <v>20190304164238569</v>
      </c>
      <c r="B5588" t="str">
        <f>"1551688958556437"</f>
        <v>1551688958556437</v>
      </c>
      <c r="C5588" t="s">
        <v>40</v>
      </c>
      <c r="D5588">
        <v>4.501538</v>
      </c>
      <c r="E5588">
        <v>0.58954600000000001</v>
      </c>
      <c r="F5588" t="s">
        <v>41</v>
      </c>
      <c r="G5588">
        <v>-422.39980000000003</v>
      </c>
      <c r="H5588">
        <v>1.0085660000000001</v>
      </c>
      <c r="I5588">
        <v>51.975079999999998</v>
      </c>
      <c r="J5588">
        <v>-422.33839999999998</v>
      </c>
      <c r="K5588">
        <v>1.1114790000000001</v>
      </c>
      <c r="L5588">
        <v>52.606200000000001</v>
      </c>
      <c r="M5588">
        <v>-7.0899679999999901E-4</v>
      </c>
      <c r="N5588">
        <v>-1.411099E-2</v>
      </c>
      <c r="O5588">
        <v>-0.99990049999999997</v>
      </c>
      <c r="P5588">
        <v>0.11867279999999999</v>
      </c>
      <c r="Q5588">
        <v>0.33474280000000001</v>
      </c>
      <c r="R5588">
        <v>-0.93480719999999995</v>
      </c>
      <c r="S5588">
        <v>-0.22579959999999999</v>
      </c>
      <c r="T5588">
        <v>-0.38260889999999997</v>
      </c>
      <c r="U5588">
        <v>-3.375305</v>
      </c>
      <c r="V5588">
        <v>-0.1199524</v>
      </c>
      <c r="W5588">
        <v>0.34768729999999998</v>
      </c>
      <c r="X5588">
        <v>0.92990589999999995</v>
      </c>
      <c r="Y5588">
        <v>6.5658170000000002E-2</v>
      </c>
      <c r="Z5588">
        <v>9.8356260000000001E-2</v>
      </c>
      <c r="AA5588">
        <v>0.9929829</v>
      </c>
      <c r="AB5588">
        <v>28</v>
      </c>
      <c r="AC5588">
        <v>-6.14000000000487E-2</v>
      </c>
      <c r="AD5588">
        <v>-0.102913</v>
      </c>
      <c r="AE5588">
        <v>-0.63112000000000201</v>
      </c>
      <c r="AF5588">
        <v>5.9388159297672799E-2</v>
      </c>
      <c r="AG5588">
        <v>-0.102913</v>
      </c>
      <c r="AH5588">
        <v>0.61496484497710902</v>
      </c>
      <c r="AI5588">
        <v>99.457091781228499</v>
      </c>
      <c r="AJ5588">
        <v>84.4839582545235</v>
      </c>
      <c r="AK5588">
        <v>0.62633840660739104</v>
      </c>
      <c r="AL5588">
        <v>69.654075077777193</v>
      </c>
      <c r="AM5588">
        <v>97.350230393712707</v>
      </c>
      <c r="AN5588">
        <v>1.0000000098509201</v>
      </c>
    </row>
    <row r="5589" spans="1:40" x14ac:dyDescent="0.25">
      <c r="A5589" t="str">
        <f>"20190304164238591"</f>
        <v>20190304164238591</v>
      </c>
      <c r="B5589" t="str">
        <f>"1551688958586693"</f>
        <v>1551688958586693</v>
      </c>
      <c r="C5589" t="s">
        <v>40</v>
      </c>
      <c r="D5589">
        <v>4.5340619999999996</v>
      </c>
      <c r="E5589">
        <v>0.59014489999999997</v>
      </c>
      <c r="F5589" t="s">
        <v>41</v>
      </c>
      <c r="G5589">
        <v>-422.40159999999997</v>
      </c>
      <c r="H5589">
        <v>1.010904</v>
      </c>
      <c r="I5589">
        <v>51.724020000000003</v>
      </c>
      <c r="J5589">
        <v>-422.33730000000003</v>
      </c>
      <c r="K5589">
        <v>1.1115900000000001</v>
      </c>
      <c r="L5589">
        <v>52.318019999999997</v>
      </c>
      <c r="M5589">
        <v>5.1073099999999897E-4</v>
      </c>
      <c r="N5589">
        <v>-1.4109460000000001E-2</v>
      </c>
      <c r="O5589">
        <v>-0.99990049999999997</v>
      </c>
      <c r="P5589">
        <v>0.11507530000000001</v>
      </c>
      <c r="Q5589">
        <v>0.3371866</v>
      </c>
      <c r="R5589">
        <v>-0.9343785</v>
      </c>
      <c r="S5589">
        <v>-0.2409973</v>
      </c>
      <c r="T5589">
        <v>-0.38519639999999999</v>
      </c>
      <c r="U5589">
        <v>-3.3777469999999998</v>
      </c>
      <c r="V5589">
        <v>-0.1153045</v>
      </c>
      <c r="W5589">
        <v>0.35010570000000002</v>
      </c>
      <c r="X5589">
        <v>0.92958640000000003</v>
      </c>
      <c r="Y5589">
        <v>7.1263209999999994E-2</v>
      </c>
      <c r="Z5589">
        <v>9.8988960000000001E-2</v>
      </c>
      <c r="AA5589">
        <v>0.99253349999999996</v>
      </c>
      <c r="AB5589">
        <v>28</v>
      </c>
      <c r="AC5589">
        <v>-6.4299999999945998E-2</v>
      </c>
      <c r="AD5589">
        <v>-0.100685999999999</v>
      </c>
      <c r="AE5589">
        <v>-0.59400000000000097</v>
      </c>
      <c r="AF5589">
        <v>6.2819376936494503E-2</v>
      </c>
      <c r="AG5589">
        <v>-0.100685999999999</v>
      </c>
      <c r="AH5589">
        <v>0.577564712749006</v>
      </c>
      <c r="AI5589">
        <v>99.832066966153207</v>
      </c>
      <c r="AJ5589">
        <v>83.792571168680595</v>
      </c>
      <c r="AK5589">
        <v>0.58963119161687105</v>
      </c>
      <c r="AL5589">
        <v>69.506219709061796</v>
      </c>
      <c r="AM5589">
        <v>97.070767427731695</v>
      </c>
      <c r="AN5589">
        <v>1.00000000197885</v>
      </c>
    </row>
    <row r="5590" spans="1:40" x14ac:dyDescent="0.25">
      <c r="A5590" t="str">
        <f>"20190304164238613"</f>
        <v>20190304164238613</v>
      </c>
      <c r="B5590" t="str">
        <f>"1551688958607190"</f>
        <v>1551688958607190</v>
      </c>
      <c r="C5590" t="s">
        <v>40</v>
      </c>
      <c r="D5590">
        <v>4.5438199999999904</v>
      </c>
      <c r="E5590">
        <v>0.59035029999999999</v>
      </c>
      <c r="F5590" t="s">
        <v>41</v>
      </c>
      <c r="G5590">
        <v>-422.40230000000003</v>
      </c>
      <c r="H5590">
        <v>1.0154430000000001</v>
      </c>
      <c r="I5590">
        <v>51.47222</v>
      </c>
      <c r="J5590">
        <v>-422.33580000000001</v>
      </c>
      <c r="K5590">
        <v>1.11168</v>
      </c>
      <c r="L5590">
        <v>52.045560000000002</v>
      </c>
      <c r="M5590">
        <v>1.775376E-3</v>
      </c>
      <c r="N5590">
        <v>-1.4107979999999999E-2</v>
      </c>
      <c r="O5590">
        <v>-0.99989899999999998</v>
      </c>
      <c r="P5590">
        <v>0.1097622</v>
      </c>
      <c r="Q5590">
        <v>0.33888879999999999</v>
      </c>
      <c r="R5590">
        <v>-0.93440210000000001</v>
      </c>
      <c r="S5590">
        <v>-0.25912479999999999</v>
      </c>
      <c r="T5590">
        <v>-0.38450119999999999</v>
      </c>
      <c r="U5590">
        <v>-3.3813780000000002</v>
      </c>
      <c r="V5590">
        <v>-0.1088827</v>
      </c>
      <c r="W5590">
        <v>0.3517998</v>
      </c>
      <c r="X5590">
        <v>0.92972120000000003</v>
      </c>
      <c r="Y5590">
        <v>7.7736639999999996E-2</v>
      </c>
      <c r="Z5590">
        <v>9.8619059999999995E-2</v>
      </c>
      <c r="AA5590">
        <v>0.99208430000000003</v>
      </c>
      <c r="AB5590">
        <v>28</v>
      </c>
      <c r="AC5590">
        <v>-6.6500000000019099E-2</v>
      </c>
      <c r="AD5590">
        <v>-9.6236999999999906E-2</v>
      </c>
      <c r="AE5590">
        <v>-0.57333999999999397</v>
      </c>
      <c r="AF5590">
        <v>6.5691616168471398E-2</v>
      </c>
      <c r="AG5590">
        <v>-9.6236999999999906E-2</v>
      </c>
      <c r="AH5590">
        <v>0.55771611194714998</v>
      </c>
      <c r="AI5590">
        <v>99.724365682936494</v>
      </c>
      <c r="AJ5590">
        <v>83.282264015592204</v>
      </c>
      <c r="AK5590">
        <v>0.56975802770059403</v>
      </c>
      <c r="AL5590">
        <v>69.402562053410605</v>
      </c>
      <c r="AM5590">
        <v>96.679669234838599</v>
      </c>
      <c r="AN5590">
        <v>1.00000002568438</v>
      </c>
    </row>
    <row r="5591" spans="1:40" x14ac:dyDescent="0.25">
      <c r="A5591" t="str">
        <f>"20190304164238636"</f>
        <v>20190304164238636</v>
      </c>
      <c r="B5591" t="str">
        <f>"1551688958626710"</f>
        <v>1551688958626710</v>
      </c>
      <c r="C5591" t="s">
        <v>40</v>
      </c>
      <c r="D5591">
        <v>4.5430349999999997</v>
      </c>
      <c r="E5591">
        <v>0.59041709999999903</v>
      </c>
      <c r="F5591" t="s">
        <v>41</v>
      </c>
      <c r="G5591">
        <v>-422.4049</v>
      </c>
      <c r="H5591">
        <v>1.0184420000000001</v>
      </c>
      <c r="I5591">
        <v>51.221490000000003</v>
      </c>
      <c r="J5591">
        <v>-422.33390000000003</v>
      </c>
      <c r="K5591">
        <v>1.111742</v>
      </c>
      <c r="L5591">
        <v>51.765560000000001</v>
      </c>
      <c r="M5591">
        <v>3.15103E-3</v>
      </c>
      <c r="N5591">
        <v>-1.410635E-2</v>
      </c>
      <c r="O5591">
        <v>-0.9998958</v>
      </c>
      <c r="P5591">
        <v>0.1038235</v>
      </c>
      <c r="Q5591">
        <v>0.33895320000000001</v>
      </c>
      <c r="R5591">
        <v>-0.93505720000000003</v>
      </c>
      <c r="S5591">
        <v>-0.28091430000000001</v>
      </c>
      <c r="T5591">
        <v>-0.38305899999999998</v>
      </c>
      <c r="U5591">
        <v>-3.3825379999999998</v>
      </c>
      <c r="V5591">
        <v>-0.10171280000000001</v>
      </c>
      <c r="W5591">
        <v>0.35187390000000002</v>
      </c>
      <c r="X5591">
        <v>0.93050489999999997</v>
      </c>
      <c r="Y5591">
        <v>8.5427790000000003E-2</v>
      </c>
      <c r="Z5591">
        <v>9.8099729999999996E-2</v>
      </c>
      <c r="AA5591">
        <v>0.99150320000000003</v>
      </c>
      <c r="AB5591">
        <v>28</v>
      </c>
      <c r="AC5591">
        <v>-7.0999999999969504E-2</v>
      </c>
      <c r="AD5591">
        <v>-9.3299999999999897E-2</v>
      </c>
      <c r="AE5591">
        <v>-0.54406999999999694</v>
      </c>
      <c r="AF5591">
        <v>7.0670767849150107E-2</v>
      </c>
      <c r="AG5591">
        <v>-9.3299999999999897E-2</v>
      </c>
      <c r="AH5591">
        <v>0.52856034017049103</v>
      </c>
      <c r="AI5591">
        <v>99.924037135928103</v>
      </c>
      <c r="AJ5591">
        <v>82.3844764760413</v>
      </c>
      <c r="AK5591">
        <v>0.54136427720115998</v>
      </c>
      <c r="AL5591">
        <v>69.398027002867096</v>
      </c>
      <c r="AM5591">
        <v>96.2381920990168</v>
      </c>
      <c r="AN5591">
        <v>1.00000005205452</v>
      </c>
    </row>
    <row r="5592" spans="1:40" x14ac:dyDescent="0.25">
      <c r="A5592" t="str">
        <f>"20190304164238658"</f>
        <v>20190304164238658</v>
      </c>
      <c r="B5592" t="str">
        <f>"1551688958647206"</f>
        <v>1551688958647206</v>
      </c>
      <c r="C5592" t="s">
        <v>40</v>
      </c>
      <c r="D5592">
        <v>4.5501009999999997</v>
      </c>
      <c r="E5592">
        <v>0.59038559999999995</v>
      </c>
      <c r="F5592" t="s">
        <v>41</v>
      </c>
      <c r="G5592">
        <v>-422.40559999999999</v>
      </c>
      <c r="H5592">
        <v>1.0208360000000001</v>
      </c>
      <c r="I5592">
        <v>50.971380000000003</v>
      </c>
      <c r="J5592">
        <v>-422.33159999999998</v>
      </c>
      <c r="K5592">
        <v>1.111777</v>
      </c>
      <c r="L5592">
        <v>51.486539999999998</v>
      </c>
      <c r="M5592">
        <v>4.5662080000000004E-3</v>
      </c>
      <c r="N5592">
        <v>-1.4104399999999901E-2</v>
      </c>
      <c r="O5592">
        <v>-0.99989019999999995</v>
      </c>
      <c r="P5592">
        <v>9.5649600000000001E-2</v>
      </c>
      <c r="Q5592">
        <v>0.33762530000000002</v>
      </c>
      <c r="R5592">
        <v>-0.93640829999999997</v>
      </c>
      <c r="S5592">
        <v>-0.30508420000000003</v>
      </c>
      <c r="T5592">
        <v>-0.3872756</v>
      </c>
      <c r="U5592">
        <v>-3.3826290000000001</v>
      </c>
      <c r="V5592">
        <v>-9.2244010000000001E-2</v>
      </c>
      <c r="W5592">
        <v>0.35057690000000002</v>
      </c>
      <c r="X5592">
        <v>0.93198009999999998</v>
      </c>
      <c r="Y5592">
        <v>9.3845769999999995E-2</v>
      </c>
      <c r="Z5592">
        <v>9.923949E-2</v>
      </c>
      <c r="AA5592">
        <v>0.99062839999999996</v>
      </c>
      <c r="AB5592">
        <v>28</v>
      </c>
      <c r="AC5592">
        <v>-7.4000000000012195E-2</v>
      </c>
      <c r="AD5592">
        <v>-9.0940999999999897E-2</v>
      </c>
      <c r="AE5592">
        <v>-0.51516000000000794</v>
      </c>
      <c r="AF5592">
        <v>7.4089633202322799E-2</v>
      </c>
      <c r="AG5592">
        <v>-9.0940999999999897E-2</v>
      </c>
      <c r="AH5592">
        <v>0.49956366685159798</v>
      </c>
      <c r="AI5592">
        <v>100.207928260847</v>
      </c>
      <c r="AJ5592">
        <v>81.564030343976697</v>
      </c>
      <c r="AK5592">
        <v>0.51315046182115998</v>
      </c>
      <c r="AL5592">
        <v>69.477395341082897</v>
      </c>
      <c r="AM5592">
        <v>95.652518452477807</v>
      </c>
      <c r="AN5592">
        <v>1.00000001349525</v>
      </c>
    </row>
    <row r="5593" spans="1:40" x14ac:dyDescent="0.25">
      <c r="A5593" t="str">
        <f>"20190304164238681"</f>
        <v>20190304164238681</v>
      </c>
      <c r="B5593" t="str">
        <f>"1551688958676485"</f>
        <v>1551688958676485</v>
      </c>
      <c r="C5593" t="s">
        <v>40</v>
      </c>
      <c r="D5593">
        <v>4.4774310000000002</v>
      </c>
      <c r="E5593">
        <v>0.59010549999999995</v>
      </c>
      <c r="F5593" t="s">
        <v>41</v>
      </c>
      <c r="G5593">
        <v>-422.40730000000002</v>
      </c>
      <c r="H5593">
        <v>1.021968</v>
      </c>
      <c r="I5593">
        <v>50.722169999999998</v>
      </c>
      <c r="J5593">
        <v>-422.32889999999998</v>
      </c>
      <c r="K5593">
        <v>1.1117870000000001</v>
      </c>
      <c r="L5593">
        <v>51.211089999999999</v>
      </c>
      <c r="M5593">
        <v>5.9799919999999999E-3</v>
      </c>
      <c r="N5593">
        <v>-1.410206E-2</v>
      </c>
      <c r="O5593">
        <v>-0.99988290000000002</v>
      </c>
      <c r="P5593">
        <v>8.7187990000000007E-2</v>
      </c>
      <c r="Q5593">
        <v>0.33650439999999998</v>
      </c>
      <c r="R5593">
        <v>-0.93763739999999995</v>
      </c>
      <c r="S5593">
        <v>-0.3345032</v>
      </c>
      <c r="T5593">
        <v>-0.39733089999999999</v>
      </c>
      <c r="U5593">
        <v>-3.3811650000000002</v>
      </c>
      <c r="V5593">
        <v>-8.246589E-2</v>
      </c>
      <c r="W5593">
        <v>0.34949239999999998</v>
      </c>
      <c r="X5593">
        <v>0.93330299999999999</v>
      </c>
      <c r="Y5593">
        <v>0.1037901</v>
      </c>
      <c r="Z5593">
        <v>0.1020904</v>
      </c>
      <c r="AA5593">
        <v>0.98934580000000005</v>
      </c>
      <c r="AB5593">
        <v>28</v>
      </c>
      <c r="AC5593">
        <v>-7.8400000000044601E-2</v>
      </c>
      <c r="AD5593">
        <v>-8.9819000000000093E-2</v>
      </c>
      <c r="AE5593">
        <v>-0.48892000000000702</v>
      </c>
      <c r="AF5593">
        <v>7.8732106934935597E-2</v>
      </c>
      <c r="AG5593">
        <v>-8.9819000000000093E-2</v>
      </c>
      <c r="AH5593">
        <v>0.47288312725306503</v>
      </c>
      <c r="AI5593">
        <v>100.61190791981601</v>
      </c>
      <c r="AJ5593">
        <v>80.547315123767106</v>
      </c>
      <c r="AK5593">
        <v>0.48773419960471598</v>
      </c>
      <c r="AL5593">
        <v>69.543729358411696</v>
      </c>
      <c r="AM5593">
        <v>95.049494431283705</v>
      </c>
      <c r="AN5593">
        <v>1.00000002524012</v>
      </c>
    </row>
    <row r="5594" spans="1:40" x14ac:dyDescent="0.25">
      <c r="A5594" t="str">
        <f>"20190304164238703"</f>
        <v>20190304164238703</v>
      </c>
      <c r="B5594" t="str">
        <f>"1551688958696981"</f>
        <v>1551688958696981</v>
      </c>
      <c r="C5594" t="s">
        <v>40</v>
      </c>
      <c r="D5594">
        <v>4.5557550000000004</v>
      </c>
      <c r="E5594">
        <v>0.58998260000000002</v>
      </c>
      <c r="F5594" t="s">
        <v>41</v>
      </c>
      <c r="G5594">
        <v>-422.40809999999999</v>
      </c>
      <c r="H5594">
        <v>1.022178</v>
      </c>
      <c r="I5594">
        <v>50.473709999999997</v>
      </c>
      <c r="J5594">
        <v>-422.32560000000001</v>
      </c>
      <c r="K5594">
        <v>1.111785</v>
      </c>
      <c r="L5594">
        <v>50.929499999999997</v>
      </c>
      <c r="M5594">
        <v>7.4166969999999999E-3</v>
      </c>
      <c r="N5594">
        <v>-1.40993E-2</v>
      </c>
      <c r="O5594">
        <v>-0.99987340000000002</v>
      </c>
      <c r="P5594">
        <v>8.1299270000000007E-2</v>
      </c>
      <c r="Q5594">
        <v>0.33680330000000003</v>
      </c>
      <c r="R5594">
        <v>-0.93805890000000003</v>
      </c>
      <c r="S5594">
        <v>-0.36206050000000001</v>
      </c>
      <c r="T5594">
        <v>-0.41098669999999998</v>
      </c>
      <c r="U5594">
        <v>-3.3807070000000001</v>
      </c>
      <c r="V5594">
        <v>-7.5226050000000003E-2</v>
      </c>
      <c r="W5594">
        <v>0.34981449999999997</v>
      </c>
      <c r="X5594">
        <v>0.93379380000000001</v>
      </c>
      <c r="Y5594">
        <v>0.1131525</v>
      </c>
      <c r="Z5594">
        <v>0.1059351</v>
      </c>
      <c r="AA5594">
        <v>0.98791410000000002</v>
      </c>
      <c r="AB5594">
        <v>28</v>
      </c>
      <c r="AC5594">
        <v>-8.2499999999981796E-2</v>
      </c>
      <c r="AD5594">
        <v>-8.9606999999999895E-2</v>
      </c>
      <c r="AE5594">
        <v>-0.45578999999999997</v>
      </c>
      <c r="AF5594">
        <v>8.2780518120327107E-2</v>
      </c>
      <c r="AG5594">
        <v>-8.9606999999999895E-2</v>
      </c>
      <c r="AH5594">
        <v>0.43874576619945999</v>
      </c>
      <c r="AI5594">
        <v>101.348133943931</v>
      </c>
      <c r="AJ5594">
        <v>79.315302213218601</v>
      </c>
      <c r="AK5594">
        <v>0.45538980663517398</v>
      </c>
      <c r="AL5594">
        <v>69.524030513000696</v>
      </c>
      <c r="AM5594">
        <v>94.605778355800396</v>
      </c>
      <c r="AN5594">
        <v>1.0000000019636399</v>
      </c>
    </row>
    <row r="5595" spans="1:40" x14ac:dyDescent="0.25">
      <c r="A5595" t="str">
        <f>"20190304164238724"</f>
        <v>20190304164238724</v>
      </c>
      <c r="B5595" t="str">
        <f>"1551688958716502"</f>
        <v>1551688958716502</v>
      </c>
      <c r="C5595" t="s">
        <v>40</v>
      </c>
      <c r="D5595">
        <v>4.5515030000000003</v>
      </c>
      <c r="E5595">
        <v>0.58976200000000001</v>
      </c>
      <c r="F5595" t="s">
        <v>41</v>
      </c>
      <c r="G5595">
        <v>-422.43119999999999</v>
      </c>
      <c r="H5595">
        <v>0.99646880000000004</v>
      </c>
      <c r="I5595">
        <v>49.98995</v>
      </c>
      <c r="J5595">
        <v>-422.32209999999998</v>
      </c>
      <c r="K5595">
        <v>1.111769</v>
      </c>
      <c r="L5595">
        <v>50.662260000000003</v>
      </c>
      <c r="M5595">
        <v>8.7536369999999999E-3</v>
      </c>
      <c r="N5595">
        <v>-1.4096279999999999E-2</v>
      </c>
      <c r="O5595">
        <v>-0.99986260000000005</v>
      </c>
      <c r="P5595">
        <v>7.2182789999999997E-2</v>
      </c>
      <c r="Q5595">
        <v>0.33705810000000003</v>
      </c>
      <c r="R5595">
        <v>-0.93871300000000002</v>
      </c>
      <c r="S5595">
        <v>-0.37838749999999999</v>
      </c>
      <c r="T5595">
        <v>-0.41498210000000002</v>
      </c>
      <c r="U5595">
        <v>-3.379883</v>
      </c>
      <c r="V5595">
        <v>-6.4835359999999995E-2</v>
      </c>
      <c r="W5595">
        <v>0.35010479999999999</v>
      </c>
      <c r="X5595">
        <v>0.93446399999999996</v>
      </c>
      <c r="Y5595">
        <v>0.1191999</v>
      </c>
      <c r="Z5595">
        <v>0.10704039999999999</v>
      </c>
      <c r="AA5595">
        <v>0.98708340000000006</v>
      </c>
      <c r="AB5595">
        <v>28</v>
      </c>
      <c r="AC5595">
        <v>-0.10910000000001201</v>
      </c>
      <c r="AD5595">
        <v>-0.11530019999999901</v>
      </c>
      <c r="AE5595">
        <v>-0.67230999999999597</v>
      </c>
      <c r="AF5595">
        <v>0.111778316213844</v>
      </c>
      <c r="AG5595">
        <v>-0.11530019999999901</v>
      </c>
      <c r="AH5595">
        <v>0.65262672228665397</v>
      </c>
      <c r="AI5595">
        <v>99.878167641005803</v>
      </c>
      <c r="AJ5595">
        <v>80.280997235893807</v>
      </c>
      <c r="AK5595">
        <v>0.67209386750532396</v>
      </c>
      <c r="AL5595">
        <v>69.506274312103102</v>
      </c>
      <c r="AM5595">
        <v>93.968958405090603</v>
      </c>
      <c r="AN5595">
        <v>0.99999998109268395</v>
      </c>
    </row>
    <row r="5596" spans="1:40" x14ac:dyDescent="0.25">
      <c r="A5596" t="str">
        <f>"20190304164238738"</f>
        <v>20190304164238738</v>
      </c>
      <c r="B5596" t="str">
        <f>"1551688958727238"</f>
        <v>1551688958727238</v>
      </c>
      <c r="C5596" t="s">
        <v>40</v>
      </c>
      <c r="D5596">
        <v>4.5321239999999996</v>
      </c>
      <c r="E5596">
        <v>0.58963719999999997</v>
      </c>
      <c r="F5596" t="s">
        <v>41</v>
      </c>
      <c r="G5596">
        <v>-422.43329999999997</v>
      </c>
      <c r="H5596">
        <v>0.99753150000000002</v>
      </c>
      <c r="I5596">
        <v>49.74174</v>
      </c>
      <c r="J5596">
        <v>-422.31970000000001</v>
      </c>
      <c r="K5596">
        <v>1.1117539999999999</v>
      </c>
      <c r="L5596">
        <v>50.483890000000002</v>
      </c>
      <c r="M5596">
        <v>9.6302799999999997E-3</v>
      </c>
      <c r="N5596">
        <v>-1.409434E-2</v>
      </c>
      <c r="O5596">
        <v>-0.99985460000000004</v>
      </c>
      <c r="P5596">
        <v>6.8711880000000003E-2</v>
      </c>
      <c r="Q5596">
        <v>0.33738810000000002</v>
      </c>
      <c r="R5596">
        <v>-0.93885490000000005</v>
      </c>
      <c r="S5596">
        <v>-0.40664670000000003</v>
      </c>
      <c r="T5596">
        <v>-0.41929860000000002</v>
      </c>
      <c r="U5596">
        <v>-3.3776860000000002</v>
      </c>
      <c r="V5596">
        <v>-6.052826E-2</v>
      </c>
      <c r="W5596">
        <v>0.35044789999999998</v>
      </c>
      <c r="X5596">
        <v>0.93462429999999996</v>
      </c>
      <c r="Y5596">
        <v>0.12825909999999999</v>
      </c>
      <c r="Z5596">
        <v>0.1082325</v>
      </c>
      <c r="AA5596">
        <v>0.9858171</v>
      </c>
      <c r="AB5596">
        <v>28</v>
      </c>
      <c r="AC5596">
        <v>-0.113599999999962</v>
      </c>
      <c r="AD5596">
        <v>-0.1142225</v>
      </c>
      <c r="AE5596">
        <v>-0.74215000000000197</v>
      </c>
      <c r="AF5596">
        <v>0.11801115415596899</v>
      </c>
      <c r="AG5596">
        <v>-0.1142225</v>
      </c>
      <c r="AH5596">
        <v>0.72425833366620895</v>
      </c>
      <c r="AI5596">
        <v>98.847479878461201</v>
      </c>
      <c r="AJ5596">
        <v>80.745515274907206</v>
      </c>
      <c r="AK5596">
        <v>0.74264631278720294</v>
      </c>
      <c r="AL5596">
        <v>69.485286697876802</v>
      </c>
      <c r="AM5596">
        <v>93.705422131917203</v>
      </c>
      <c r="AN5596">
        <v>0.999999991511763</v>
      </c>
    </row>
    <row r="5597" spans="1:40" x14ac:dyDescent="0.25">
      <c r="A5597" t="str">
        <f>"20190304164238753"</f>
        <v>20190304164238753</v>
      </c>
      <c r="B5597" t="str">
        <f>"1551688958746758"</f>
        <v>1551688958746758</v>
      </c>
      <c r="C5597" t="s">
        <v>40</v>
      </c>
      <c r="D5597">
        <v>4.5529919999999997</v>
      </c>
      <c r="E5597">
        <v>0.58939799999999998</v>
      </c>
      <c r="F5597" t="s">
        <v>41</v>
      </c>
      <c r="G5597">
        <v>-422.4126</v>
      </c>
      <c r="H5597">
        <v>1.018146</v>
      </c>
      <c r="I5597">
        <v>49.732140000000001</v>
      </c>
      <c r="J5597">
        <v>-422.31720000000001</v>
      </c>
      <c r="K5597">
        <v>1.1117360000000001</v>
      </c>
      <c r="L5597">
        <v>50.316220000000001</v>
      </c>
      <c r="M5597">
        <v>1.0439479999999999E-2</v>
      </c>
      <c r="N5597">
        <v>-1.409257E-2</v>
      </c>
      <c r="O5597">
        <v>-0.99984609999999996</v>
      </c>
      <c r="P5597">
        <v>6.5468360000000003E-2</v>
      </c>
      <c r="Q5597">
        <v>0.33755810000000003</v>
      </c>
      <c r="R5597">
        <v>-0.93902529999999995</v>
      </c>
      <c r="S5597">
        <v>-0.4159851</v>
      </c>
      <c r="T5597">
        <v>-0.42066379999999998</v>
      </c>
      <c r="U5597">
        <v>-3.377014</v>
      </c>
      <c r="V5597">
        <v>-5.6511270000000002E-2</v>
      </c>
      <c r="W5597">
        <v>0.35063100000000003</v>
      </c>
      <c r="X5597">
        <v>0.9348071</v>
      </c>
      <c r="Y5597">
        <v>0.13176160000000001</v>
      </c>
      <c r="Z5597">
        <v>0.1085999</v>
      </c>
      <c r="AA5597">
        <v>0.98531460000000004</v>
      </c>
      <c r="AB5597">
        <v>28</v>
      </c>
      <c r="AC5597">
        <v>-9.5399999999983706E-2</v>
      </c>
      <c r="AD5597">
        <v>-9.3590000000000007E-2</v>
      </c>
      <c r="AE5597">
        <v>-0.58408000000000004</v>
      </c>
      <c r="AF5597">
        <v>9.9016682864178196E-2</v>
      </c>
      <c r="AG5597">
        <v>-9.3590000000000007E-2</v>
      </c>
      <c r="AH5597">
        <v>0.56882688338573095</v>
      </c>
      <c r="AI5597">
        <v>99.207228251137593</v>
      </c>
      <c r="AJ5597">
        <v>80.125367835407104</v>
      </c>
      <c r="AK5597">
        <v>0.58491658794032197</v>
      </c>
      <c r="AL5597">
        <v>69.474084570486397</v>
      </c>
      <c r="AM5597">
        <v>93.459453462405094</v>
      </c>
      <c r="AN5597">
        <v>0.99999996800421098</v>
      </c>
    </row>
    <row r="5598" spans="1:40" x14ac:dyDescent="0.25">
      <c r="A5598" t="str">
        <f>"20190304164238766"</f>
        <v>20190304164238766</v>
      </c>
      <c r="B5598" t="str">
        <f>"1551688958756518"</f>
        <v>1551688958756518</v>
      </c>
      <c r="C5598" t="s">
        <v>40</v>
      </c>
      <c r="D5598">
        <v>4.5440930000000002</v>
      </c>
      <c r="E5598">
        <v>0.58928239999999998</v>
      </c>
      <c r="F5598" t="s">
        <v>41</v>
      </c>
      <c r="G5598">
        <v>-422.42140000000001</v>
      </c>
      <c r="H5598">
        <v>1.008205</v>
      </c>
      <c r="I5598">
        <v>49.489539999999998</v>
      </c>
      <c r="J5598">
        <v>-422.31459999999998</v>
      </c>
      <c r="K5598">
        <v>1.1117140000000001</v>
      </c>
      <c r="L5598">
        <v>50.150390000000002</v>
      </c>
      <c r="M5598">
        <v>1.1230810000000001E-2</v>
      </c>
      <c r="N5598">
        <v>-1.409087E-2</v>
      </c>
      <c r="O5598">
        <v>-0.99983770000000005</v>
      </c>
      <c r="P5598">
        <v>6.2750319999999998E-2</v>
      </c>
      <c r="Q5598">
        <v>0.33793640000000003</v>
      </c>
      <c r="R5598">
        <v>-0.93907479999999999</v>
      </c>
      <c r="S5598">
        <v>-0.42468260000000002</v>
      </c>
      <c r="T5598">
        <v>-0.42295189999999999</v>
      </c>
      <c r="U5598">
        <v>-3.376465</v>
      </c>
      <c r="V5598">
        <v>-5.3038299999999997E-2</v>
      </c>
      <c r="W5598">
        <v>0.35101850000000001</v>
      </c>
      <c r="X5598">
        <v>0.93486519999999995</v>
      </c>
      <c r="Y5598">
        <v>0.1350517</v>
      </c>
      <c r="Z5598">
        <v>0.1092299</v>
      </c>
      <c r="AA5598">
        <v>0.98479939999999999</v>
      </c>
      <c r="AB5598">
        <v>28</v>
      </c>
      <c r="AC5598">
        <v>-0.106800000000021</v>
      </c>
      <c r="AD5598">
        <v>-0.103508999999999</v>
      </c>
      <c r="AE5598">
        <v>-0.66084999999999605</v>
      </c>
      <c r="AF5598">
        <v>0.11154890787133601</v>
      </c>
      <c r="AG5598">
        <v>-0.103508999999999</v>
      </c>
      <c r="AH5598">
        <v>0.64420669688605303</v>
      </c>
      <c r="AI5598">
        <v>98.996438789754706</v>
      </c>
      <c r="AJ5598">
        <v>80.176244027679004</v>
      </c>
      <c r="AK5598">
        <v>0.66193620556751998</v>
      </c>
      <c r="AL5598">
        <v>69.450376123687306</v>
      </c>
      <c r="AM5598">
        <v>93.247116926573696</v>
      </c>
      <c r="AN5598">
        <v>0.99999999539008899</v>
      </c>
    </row>
    <row r="5599" spans="1:40" x14ac:dyDescent="0.25">
      <c r="A5599" t="str">
        <f>"20190304164238779"</f>
        <v>20190304164238779</v>
      </c>
      <c r="B5599" t="str">
        <f>"1551688958767254"</f>
        <v>1551688958767254</v>
      </c>
      <c r="C5599" t="s">
        <v>40</v>
      </c>
      <c r="D5599">
        <v>4.4761899999999999</v>
      </c>
      <c r="E5599">
        <v>0.58915930000000005</v>
      </c>
      <c r="F5599" t="s">
        <v>41</v>
      </c>
      <c r="G5599">
        <v>-422.43049999999999</v>
      </c>
      <c r="H5599">
        <v>0.99858959999999997</v>
      </c>
      <c r="I5599">
        <v>49.24691</v>
      </c>
      <c r="J5599">
        <v>-422.31200000000001</v>
      </c>
      <c r="K5599">
        <v>1.1117010000000001</v>
      </c>
      <c r="L5599">
        <v>49.983429999999998</v>
      </c>
      <c r="M5599">
        <v>1.201608E-2</v>
      </c>
      <c r="N5599">
        <v>-1.40892E-2</v>
      </c>
      <c r="O5599">
        <v>-0.99982879999999996</v>
      </c>
      <c r="P5599">
        <v>6.0600359999999999E-2</v>
      </c>
      <c r="Q5599">
        <v>0.33797939999999999</v>
      </c>
      <c r="R5599">
        <v>-0.93920079999999995</v>
      </c>
      <c r="S5599">
        <v>-0.43228149999999999</v>
      </c>
      <c r="T5599">
        <v>-0.42277490000000001</v>
      </c>
      <c r="U5599">
        <v>-3.3756710000000001</v>
      </c>
      <c r="V5599">
        <v>-5.0138099999999998E-2</v>
      </c>
      <c r="W5599">
        <v>0.3510703</v>
      </c>
      <c r="X5599">
        <v>0.9350058</v>
      </c>
      <c r="Y5599">
        <v>0.13803750000000001</v>
      </c>
      <c r="Z5599">
        <v>0.10916380000000001</v>
      </c>
      <c r="AA5599">
        <v>0.98439259999999995</v>
      </c>
      <c r="AB5599">
        <v>28</v>
      </c>
      <c r="AC5599">
        <v>-0.11850000000004</v>
      </c>
      <c r="AD5599">
        <v>-0.113111399999999</v>
      </c>
      <c r="AE5599">
        <v>-0.73651999999999795</v>
      </c>
      <c r="AF5599">
        <v>0.124480558138994</v>
      </c>
      <c r="AG5599">
        <v>-0.113111399999999</v>
      </c>
      <c r="AH5599">
        <v>0.71852369944348804</v>
      </c>
      <c r="AI5599">
        <v>98.816966740535804</v>
      </c>
      <c r="AJ5599">
        <v>80.171355819156204</v>
      </c>
      <c r="AK5599">
        <v>0.73794708809406595</v>
      </c>
      <c r="AL5599">
        <v>69.447206910791195</v>
      </c>
      <c r="AM5599">
        <v>93.069449214812707</v>
      </c>
      <c r="AN5599">
        <v>1.0000000153236599</v>
      </c>
    </row>
    <row r="5600" spans="1:40" x14ac:dyDescent="0.25">
      <c r="A5600" t="str">
        <f>"20190304164238792"</f>
        <v>20190304164238792</v>
      </c>
      <c r="B5600" t="str">
        <f>"1551688958786774"</f>
        <v>1551688958786774</v>
      </c>
      <c r="C5600" t="s">
        <v>40</v>
      </c>
      <c r="D5600">
        <v>4.4628540000000001</v>
      </c>
      <c r="E5600">
        <v>0.58889999999999998</v>
      </c>
      <c r="F5600" t="s">
        <v>41</v>
      </c>
      <c r="G5600">
        <v>-422.40890000000002</v>
      </c>
      <c r="H5600">
        <v>1.018057</v>
      </c>
      <c r="I5600">
        <v>49.238</v>
      </c>
      <c r="J5600">
        <v>-422.30919999999998</v>
      </c>
      <c r="K5600">
        <v>1.111688</v>
      </c>
      <c r="L5600">
        <v>49.821350000000002</v>
      </c>
      <c r="M5600">
        <v>1.2768140000000001E-2</v>
      </c>
      <c r="N5600">
        <v>-1.4087550000000001E-2</v>
      </c>
      <c r="O5600">
        <v>-0.99981940000000002</v>
      </c>
      <c r="P5600">
        <v>5.6336249999999997E-2</v>
      </c>
      <c r="Q5600">
        <v>0.33818720000000002</v>
      </c>
      <c r="R5600">
        <v>-0.93939159999999999</v>
      </c>
      <c r="S5600">
        <v>-0.43820189999999998</v>
      </c>
      <c r="T5600">
        <v>-0.42411209999999999</v>
      </c>
      <c r="U5600">
        <v>-3.375092</v>
      </c>
      <c r="V5600">
        <v>-4.5157339999999997E-2</v>
      </c>
      <c r="W5600">
        <v>0.35129179999999999</v>
      </c>
      <c r="X5600">
        <v>0.93517640000000002</v>
      </c>
      <c r="Y5600">
        <v>0.140493799999999</v>
      </c>
      <c r="Z5600">
        <v>0.1095328</v>
      </c>
      <c r="AA5600">
        <v>0.98400410000000005</v>
      </c>
      <c r="AB5600">
        <v>28</v>
      </c>
      <c r="AC5600">
        <v>-9.97000000000412E-2</v>
      </c>
      <c r="AD5600">
        <v>-9.3631000000000006E-2</v>
      </c>
      <c r="AE5600">
        <v>-0.58335000000000203</v>
      </c>
      <c r="AF5600">
        <v>0.104524557298659</v>
      </c>
      <c r="AG5600">
        <v>-9.3631000000000006E-2</v>
      </c>
      <c r="AH5600">
        <v>0.56781635938529396</v>
      </c>
      <c r="AI5600">
        <v>99.211566417777405</v>
      </c>
      <c r="AJ5600">
        <v>79.569668005237503</v>
      </c>
      <c r="AK5600">
        <v>0.58489961978535199</v>
      </c>
      <c r="AL5600">
        <v>69.433652400768693</v>
      </c>
      <c r="AM5600">
        <v>92.764523210338197</v>
      </c>
      <c r="AN5600">
        <v>1.0000000066100301</v>
      </c>
    </row>
    <row r="5601" spans="1:40" x14ac:dyDescent="0.25">
      <c r="A5601" t="str">
        <f>"20190304164238809"</f>
        <v>20190304164238809</v>
      </c>
      <c r="B5601" t="str">
        <f>"1551688958796534"</f>
        <v>1551688958796534</v>
      </c>
      <c r="C5601" t="s">
        <v>40</v>
      </c>
      <c r="D5601">
        <v>4.4781700000000004</v>
      </c>
      <c r="E5601">
        <v>0.58875819999999901</v>
      </c>
      <c r="F5601" t="s">
        <v>41</v>
      </c>
      <c r="G5601">
        <v>-422.41879999999998</v>
      </c>
      <c r="H5601">
        <v>1.007495</v>
      </c>
      <c r="I5601">
        <v>48.996169999999999</v>
      </c>
      <c r="J5601">
        <v>-422.3057</v>
      </c>
      <c r="K5601">
        <v>1.1116779999999999</v>
      </c>
      <c r="L5601">
        <v>49.623019999999997</v>
      </c>
      <c r="M5601">
        <v>1.368374E-2</v>
      </c>
      <c r="N5601">
        <v>-1.4085520000000001E-2</v>
      </c>
      <c r="O5601">
        <v>-0.99980720000000001</v>
      </c>
      <c r="P5601">
        <v>5.622245E-2</v>
      </c>
      <c r="Q5601">
        <v>0.33810489999999999</v>
      </c>
      <c r="R5601">
        <v>-0.93942789999999998</v>
      </c>
      <c r="S5601">
        <v>-0.44836429999999999</v>
      </c>
      <c r="T5601">
        <v>-0.42596349999999999</v>
      </c>
      <c r="U5601">
        <v>-3.3738100000000002</v>
      </c>
      <c r="V5601">
        <v>-4.4174560000000002E-2</v>
      </c>
      <c r="W5601">
        <v>0.35121180000000002</v>
      </c>
      <c r="X5601">
        <v>0.93525340000000001</v>
      </c>
      <c r="Y5601">
        <v>0.1443487</v>
      </c>
      <c r="Z5601">
        <v>0.1100508</v>
      </c>
      <c r="AA5601">
        <v>0.98338820000000005</v>
      </c>
      <c r="AB5601">
        <v>28</v>
      </c>
      <c r="AC5601">
        <v>-0.113099999999974</v>
      </c>
      <c r="AD5601">
        <v>-0.104183</v>
      </c>
      <c r="AE5601">
        <v>-0.62685000000000402</v>
      </c>
      <c r="AF5601">
        <v>0.11849787398209</v>
      </c>
      <c r="AG5601">
        <v>-0.104183</v>
      </c>
      <c r="AH5601">
        <v>0.60895289498491401</v>
      </c>
      <c r="AI5601">
        <v>99.533040015361095</v>
      </c>
      <c r="AJ5601">
        <v>78.9882666259969</v>
      </c>
      <c r="AK5601">
        <v>0.62906237523617903</v>
      </c>
      <c r="AL5601">
        <v>69.438548319809996</v>
      </c>
      <c r="AM5601">
        <v>92.704225606105794</v>
      </c>
      <c r="AN5601">
        <v>1.0000000212109901</v>
      </c>
    </row>
    <row r="5602" spans="1:40" x14ac:dyDescent="0.25">
      <c r="A5602" t="str">
        <f>"20190304164238826"</f>
        <v>20190304164238826</v>
      </c>
      <c r="B5602" t="str">
        <f>"1551688958817030"</f>
        <v>1551688958817030</v>
      </c>
      <c r="C5602" t="s">
        <v>40</v>
      </c>
      <c r="D5602">
        <v>4.4620579999999999</v>
      </c>
      <c r="E5602">
        <v>0.58850040000000003</v>
      </c>
      <c r="F5602" t="s">
        <v>41</v>
      </c>
      <c r="G5602">
        <v>-422.42110000000002</v>
      </c>
      <c r="H5602">
        <v>1.001436</v>
      </c>
      <c r="I5602">
        <v>48.752580000000002</v>
      </c>
      <c r="J5602">
        <v>-422.30180000000001</v>
      </c>
      <c r="K5602">
        <v>1.111672</v>
      </c>
      <c r="L5602">
        <v>49.417819999999999</v>
      </c>
      <c r="M5602">
        <v>1.463035E-2</v>
      </c>
      <c r="N5602">
        <v>-1.4083429999999999E-2</v>
      </c>
      <c r="O5602">
        <v>-0.99979410000000002</v>
      </c>
      <c r="P5602">
        <v>5.64758E-2</v>
      </c>
      <c r="Q5602">
        <v>0.3381361</v>
      </c>
      <c r="R5602">
        <v>-0.93940129999999999</v>
      </c>
      <c r="S5602">
        <v>-0.44616699999999998</v>
      </c>
      <c r="T5602">
        <v>-0.4275061</v>
      </c>
      <c r="U5602">
        <v>-3.373993</v>
      </c>
      <c r="V5602">
        <v>-4.3534929999999999E-2</v>
      </c>
      <c r="W5602">
        <v>0.35124359999999999</v>
      </c>
      <c r="X5602">
        <v>0.93527139999999997</v>
      </c>
      <c r="Y5602">
        <v>0.14464199999999999</v>
      </c>
      <c r="Z5602">
        <v>0.1104884</v>
      </c>
      <c r="AA5602">
        <v>0.98329599999999995</v>
      </c>
      <c r="AB5602">
        <v>28</v>
      </c>
      <c r="AC5602">
        <v>-0.119300000000009</v>
      </c>
      <c r="AD5602">
        <v>-0.110235999999999</v>
      </c>
      <c r="AE5602">
        <v>-0.66523999999999694</v>
      </c>
      <c r="AF5602">
        <v>0.12567739483434201</v>
      </c>
      <c r="AG5602">
        <v>-0.110235999999999</v>
      </c>
      <c r="AH5602">
        <v>0.64623104152066702</v>
      </c>
      <c r="AI5602">
        <v>99.505752130659303</v>
      </c>
      <c r="AJ5602">
        <v>78.994634431676303</v>
      </c>
      <c r="AK5602">
        <v>0.66750381444096096</v>
      </c>
      <c r="AL5602">
        <v>69.436601324321003</v>
      </c>
      <c r="AM5602">
        <v>92.665075149941799</v>
      </c>
      <c r="AN5602">
        <v>0.99999997416451203</v>
      </c>
    </row>
    <row r="5603" spans="1:40" x14ac:dyDescent="0.25">
      <c r="A5603" t="str">
        <f>"20190304164238843"</f>
        <v>20190304164238843</v>
      </c>
      <c r="B5603" t="str">
        <f>"1551688958836549"</f>
        <v>1551688958836549</v>
      </c>
      <c r="C5603" t="s">
        <v>40</v>
      </c>
      <c r="D5603">
        <v>4.3858920000000001</v>
      </c>
      <c r="E5603">
        <v>0.58826199999999995</v>
      </c>
      <c r="F5603" t="s">
        <v>41</v>
      </c>
      <c r="G5603">
        <v>-422.42110000000002</v>
      </c>
      <c r="H5603">
        <v>0.99614329999999995</v>
      </c>
      <c r="I5603">
        <v>48.508949999999999</v>
      </c>
      <c r="J5603">
        <v>-422.29759999999999</v>
      </c>
      <c r="K5603">
        <v>1.1116740000000001</v>
      </c>
      <c r="L5603">
        <v>49.203400000000002</v>
      </c>
      <c r="M5603">
        <v>1.5628220000000002E-2</v>
      </c>
      <c r="N5603">
        <v>-1.4081379999999999E-2</v>
      </c>
      <c r="O5603">
        <v>-0.99977899999999997</v>
      </c>
      <c r="P5603">
        <v>5.9352420000000003E-2</v>
      </c>
      <c r="Q5603">
        <v>0.33773579999999997</v>
      </c>
      <c r="R5603">
        <v>-0.93936799999999998</v>
      </c>
      <c r="S5603">
        <v>-0.44296259999999998</v>
      </c>
      <c r="T5603">
        <v>-0.42892999999999998</v>
      </c>
      <c r="U5603">
        <v>-3.3745419999999999</v>
      </c>
      <c r="V5603">
        <v>-4.5474639999999997E-2</v>
      </c>
      <c r="W5603">
        <v>0.3508368</v>
      </c>
      <c r="X5603">
        <v>0.93533180000000005</v>
      </c>
      <c r="Y5603">
        <v>0.1446846</v>
      </c>
      <c r="Z5603">
        <v>0.110883</v>
      </c>
      <c r="AA5603">
        <v>0.98324529999999999</v>
      </c>
      <c r="AB5603">
        <v>28</v>
      </c>
      <c r="AC5603">
        <v>-0.123500000000035</v>
      </c>
      <c r="AD5603">
        <v>-0.1155307</v>
      </c>
      <c r="AE5603">
        <v>-0.69445000000000301</v>
      </c>
      <c r="AF5603">
        <v>0.13082910495573799</v>
      </c>
      <c r="AG5603">
        <v>-0.1155307</v>
      </c>
      <c r="AH5603">
        <v>0.67434352268004105</v>
      </c>
      <c r="AI5603">
        <v>99.547066374185107</v>
      </c>
      <c r="AJ5603">
        <v>79.020469173605704</v>
      </c>
      <c r="AK5603">
        <v>0.69656498901863895</v>
      </c>
      <c r="AL5603">
        <v>69.4614936998057</v>
      </c>
      <c r="AM5603">
        <v>92.783455995367206</v>
      </c>
      <c r="AN5603">
        <v>0.99999998960430403</v>
      </c>
    </row>
    <row r="5604" spans="1:40" x14ac:dyDescent="0.25">
      <c r="A5604" t="str">
        <f>"20190304164238859"</f>
        <v>20190304164238859</v>
      </c>
      <c r="B5604" t="str">
        <f>"1551688958847286"</f>
        <v>1551688958847286</v>
      </c>
      <c r="C5604" t="s">
        <v>40</v>
      </c>
      <c r="D5604">
        <v>4.4838779999999998</v>
      </c>
      <c r="E5604">
        <v>0.58815340000000005</v>
      </c>
      <c r="F5604" t="s">
        <v>41</v>
      </c>
      <c r="G5604">
        <v>-422.41849999999999</v>
      </c>
      <c r="H5604">
        <v>0.99215339999999996</v>
      </c>
      <c r="I5604">
        <v>48.265059999999998</v>
      </c>
      <c r="J5604">
        <v>-422.29349999999999</v>
      </c>
      <c r="K5604">
        <v>1.111691</v>
      </c>
      <c r="L5604">
        <v>49.00018</v>
      </c>
      <c r="M5604">
        <v>1.659644E-2</v>
      </c>
      <c r="N5604">
        <v>-1.4079629999999999E-2</v>
      </c>
      <c r="O5604">
        <v>-0.99976330000000002</v>
      </c>
      <c r="P5604">
        <v>6.4205120000000004E-2</v>
      </c>
      <c r="Q5604">
        <v>0.3371152</v>
      </c>
      <c r="R5604">
        <v>-0.93927190000000005</v>
      </c>
      <c r="S5604">
        <v>-0.43316650000000001</v>
      </c>
      <c r="T5604">
        <v>-0.43018820000000002</v>
      </c>
      <c r="U5604">
        <v>-3.3756710000000001</v>
      </c>
      <c r="V5604">
        <v>-4.9426230000000002E-2</v>
      </c>
      <c r="W5604">
        <v>0.35020489999999999</v>
      </c>
      <c r="X5604">
        <v>0.93536819999999998</v>
      </c>
      <c r="Y5604">
        <v>0.14279029999999901</v>
      </c>
      <c r="Z5604">
        <v>0.1112416</v>
      </c>
      <c r="AA5604">
        <v>0.98348170000000001</v>
      </c>
      <c r="AB5604">
        <v>28</v>
      </c>
      <c r="AC5604">
        <v>-0.125</v>
      </c>
      <c r="AD5604">
        <v>-0.11953759999999999</v>
      </c>
      <c r="AE5604">
        <v>-0.73512000000000199</v>
      </c>
      <c r="AF5604">
        <v>0.13374721349360699</v>
      </c>
      <c r="AG5604">
        <v>-0.11953759999999999</v>
      </c>
      <c r="AH5604">
        <v>0.714580086877597</v>
      </c>
      <c r="AI5604">
        <v>99.337496876504403</v>
      </c>
      <c r="AJ5604">
        <v>79.398668708806397</v>
      </c>
      <c r="AK5604">
        <v>0.73675114895944305</v>
      </c>
      <c r="AL5604">
        <v>69.500152781685998</v>
      </c>
      <c r="AM5604">
        <v>93.024779981236193</v>
      </c>
      <c r="AN5604">
        <v>1.0000000468836301</v>
      </c>
    </row>
    <row r="5605" spans="1:40" x14ac:dyDescent="0.25">
      <c r="A5605" t="str">
        <f>"20190304164238903"</f>
        <v>20190304164238903</v>
      </c>
      <c r="B5605" t="str">
        <f>"1551688958897062"</f>
        <v>1551688958897062</v>
      </c>
      <c r="C5605" t="s">
        <v>40</v>
      </c>
      <c r="D5605">
        <v>4.420884</v>
      </c>
      <c r="E5605">
        <v>0.52204410000000001</v>
      </c>
      <c r="F5605" t="s">
        <v>41</v>
      </c>
      <c r="G5605">
        <v>-422.38580000000002</v>
      </c>
      <c r="H5605">
        <v>1.0163059999999999</v>
      </c>
      <c r="I5605">
        <v>48.254440000000002</v>
      </c>
      <c r="J5605">
        <v>-422.28100000000001</v>
      </c>
      <c r="K5605">
        <v>1.111799</v>
      </c>
      <c r="L5605">
        <v>48.457920000000001</v>
      </c>
      <c r="M5605">
        <v>1.9414549999999999E-2</v>
      </c>
      <c r="N5605">
        <v>-1.407621E-2</v>
      </c>
      <c r="O5605">
        <v>-0.99971239999999995</v>
      </c>
      <c r="P5605">
        <v>7.4615650000000006E-2</v>
      </c>
      <c r="Q5605">
        <v>0.3375068</v>
      </c>
      <c r="R5605">
        <v>-0.93836129999999995</v>
      </c>
      <c r="S5605">
        <v>-0.41589359999999997</v>
      </c>
      <c r="T5605">
        <v>-0.43231960000000003</v>
      </c>
      <c r="U5605">
        <v>-3.3775629999999999</v>
      </c>
      <c r="V5605">
        <v>-5.7290430000000003E-2</v>
      </c>
      <c r="W5605">
        <v>0.3505528</v>
      </c>
      <c r="X5605">
        <v>0.93478910000000004</v>
      </c>
      <c r="Y5605">
        <v>0.14055210000000001</v>
      </c>
      <c r="Z5605">
        <v>0.1118358</v>
      </c>
      <c r="AA5605">
        <v>0.98373670000000002</v>
      </c>
      <c r="AB5605">
        <v>27</v>
      </c>
      <c r="AC5605">
        <v>-0.104800000000011</v>
      </c>
      <c r="AD5605">
        <v>-9.5492999999999995E-2</v>
      </c>
      <c r="AE5605">
        <v>-0.203479999999999</v>
      </c>
      <c r="AF5605">
        <v>9.2610590959197395E-2</v>
      </c>
      <c r="AG5605">
        <v>-9.5492999999999995E-2</v>
      </c>
      <c r="AH5605">
        <v>0.17154614383090799</v>
      </c>
      <c r="AI5605">
        <v>116.09735999077699</v>
      </c>
      <c r="AJ5605">
        <v>61.637244751152501</v>
      </c>
      <c r="AK5605">
        <v>0.21707997160048201</v>
      </c>
      <c r="AL5605">
        <v>69.478870738793006</v>
      </c>
      <c r="AM5605">
        <v>93.507100463671506</v>
      </c>
      <c r="AN5605">
        <v>1.0000000602181101</v>
      </c>
    </row>
    <row r="5606" spans="1:40" x14ac:dyDescent="0.25">
      <c r="A5606" t="str">
        <f>"20190304164238919"</f>
        <v>20190304164238919</v>
      </c>
      <c r="B5606" t="str">
        <f>"1551688958906822"</f>
        <v>1551688958906822</v>
      </c>
      <c r="C5606" t="s">
        <v>40</v>
      </c>
      <c r="D5606">
        <v>4.4652710000000004</v>
      </c>
      <c r="E5606">
        <v>0.51452370000000003</v>
      </c>
      <c r="F5606" t="s">
        <v>41</v>
      </c>
      <c r="G5606">
        <v>-422.2398</v>
      </c>
      <c r="H5606">
        <v>1.0273890000000001</v>
      </c>
      <c r="I5606">
        <v>47.51323</v>
      </c>
      <c r="J5606">
        <v>-422.27609999999999</v>
      </c>
      <c r="K5606">
        <v>1.1118669999999999</v>
      </c>
      <c r="L5606">
        <v>48.266509999999997</v>
      </c>
      <c r="M5606">
        <v>2.053292E-2</v>
      </c>
      <c r="N5606">
        <v>-1.4075809999999999E-2</v>
      </c>
      <c r="O5606">
        <v>-0.99969010000000003</v>
      </c>
      <c r="P5606">
        <v>7.6917780000000005E-2</v>
      </c>
      <c r="Q5606">
        <v>0.33796140000000002</v>
      </c>
      <c r="R5606">
        <v>-0.93801159999999995</v>
      </c>
      <c r="S5606">
        <v>0.14431759999999999</v>
      </c>
      <c r="T5606">
        <v>-0.29423929999999998</v>
      </c>
      <c r="U5606">
        <v>-3.2914119999999998</v>
      </c>
      <c r="V5606">
        <v>-5.860576E-2</v>
      </c>
      <c r="W5606">
        <v>0.35099039999999998</v>
      </c>
      <c r="X5606">
        <v>0.93454329999999997</v>
      </c>
      <c r="Y5606">
        <v>-2.3140069999999999E-2</v>
      </c>
      <c r="Z5606">
        <v>7.4936139999999998E-2</v>
      </c>
      <c r="AA5606">
        <v>0.99691980000000002</v>
      </c>
      <c r="AB5606">
        <v>27</v>
      </c>
      <c r="AC5606">
        <v>3.6299999999982901E-2</v>
      </c>
      <c r="AD5606">
        <v>-8.4477999999999998E-2</v>
      </c>
      <c r="AE5606">
        <v>-0.75327999999999595</v>
      </c>
      <c r="AF5606">
        <v>-2.0565721162547901E-2</v>
      </c>
      <c r="AG5606">
        <v>-8.4477999999999998E-2</v>
      </c>
      <c r="AH5606">
        <v>0.74452444720903099</v>
      </c>
      <c r="AI5606">
        <v>96.470973516973402</v>
      </c>
      <c r="AJ5606">
        <v>91.582257607131794</v>
      </c>
      <c r="AK5606">
        <v>0.74958397385673103</v>
      </c>
      <c r="AL5606">
        <v>69.452096445229003</v>
      </c>
      <c r="AM5606">
        <v>93.588353081101303</v>
      </c>
      <c r="AN5606">
        <v>1.00000003778611</v>
      </c>
    </row>
    <row r="5607" spans="1:40" x14ac:dyDescent="0.25">
      <c r="A5607" t="str">
        <f>"20190304164238934"</f>
        <v>20190304164238934</v>
      </c>
      <c r="B5607" t="str">
        <f>"1551688958927319"</f>
        <v>1551688958927319</v>
      </c>
      <c r="C5607" t="s">
        <v>40</v>
      </c>
      <c r="D5607">
        <v>4.3958510000000004</v>
      </c>
      <c r="E5607">
        <v>0.50800179999999995</v>
      </c>
      <c r="F5607" t="s">
        <v>57</v>
      </c>
      <c r="G5607">
        <v>-421.4425</v>
      </c>
      <c r="H5607" s="1">
        <v>-2.8680860000000002E-6</v>
      </c>
      <c r="I5607">
        <v>35.426859999999998</v>
      </c>
      <c r="J5607">
        <v>-422.2713</v>
      </c>
      <c r="K5607">
        <v>1.111939</v>
      </c>
      <c r="L5607">
        <v>48.091000000000001</v>
      </c>
      <c r="M5607">
        <v>2.163986E-2</v>
      </c>
      <c r="N5607">
        <v>-1.4075890000000001E-2</v>
      </c>
      <c r="O5607">
        <v>-0.99966699999999997</v>
      </c>
      <c r="P5607">
        <v>7.969205E-2</v>
      </c>
      <c r="Q5607">
        <v>0.33891710000000003</v>
      </c>
      <c r="R5607">
        <v>-0.93743549999999998</v>
      </c>
      <c r="S5607">
        <v>0.2131653</v>
      </c>
      <c r="T5607">
        <v>-0.28431400000000001</v>
      </c>
      <c r="U5607">
        <v>-3.2832029999999999</v>
      </c>
      <c r="V5607">
        <v>-6.0417209999999999E-2</v>
      </c>
      <c r="W5607">
        <v>0.35192479999999998</v>
      </c>
      <c r="X5607">
        <v>0.93407640000000003</v>
      </c>
      <c r="Y5607">
        <v>-4.2978870000000002E-2</v>
      </c>
      <c r="Z5607">
        <v>7.2091479999999999E-2</v>
      </c>
      <c r="AA5607">
        <v>0.99647160000000001</v>
      </c>
      <c r="AB5607">
        <v>27</v>
      </c>
      <c r="AC5607">
        <v>0.82880000000000098</v>
      </c>
      <c r="AD5607">
        <v>-1.111941868086</v>
      </c>
      <c r="AE5607">
        <v>-12.66414</v>
      </c>
      <c r="AF5607">
        <v>-0.550304238417754</v>
      </c>
      <c r="AG5607">
        <v>-1.111941868086</v>
      </c>
      <c r="AH5607">
        <v>12.5825224858617</v>
      </c>
      <c r="AI5607">
        <v>95.045421267878694</v>
      </c>
      <c r="AJ5607">
        <v>92.504269692682499</v>
      </c>
      <c r="AK5607">
        <v>12.643540705832301</v>
      </c>
      <c r="AL5607">
        <v>69.394910514551</v>
      </c>
      <c r="AM5607">
        <v>93.700806235892102</v>
      </c>
      <c r="AN5607">
        <v>1.0000000125780899</v>
      </c>
    </row>
    <row r="5608" spans="1:40" x14ac:dyDescent="0.25">
      <c r="A5608" t="str">
        <f>"20190304164238947"</f>
        <v>20190304164238947</v>
      </c>
      <c r="B5608" t="str">
        <f>"1551688958937078"</f>
        <v>1551688958937078</v>
      </c>
      <c r="C5608" t="s">
        <v>40</v>
      </c>
      <c r="D5608">
        <v>4.4582199999999998</v>
      </c>
      <c r="E5608">
        <v>0.5068011</v>
      </c>
      <c r="F5608" t="s">
        <v>57</v>
      </c>
      <c r="G5608">
        <v>-421.14429999999999</v>
      </c>
      <c r="H5608" s="1">
        <v>-3.3032800000000001E-6</v>
      </c>
      <c r="I5608">
        <v>34.676879999999997</v>
      </c>
      <c r="J5608">
        <v>-422.26659999999998</v>
      </c>
      <c r="K5608">
        <v>1.112025</v>
      </c>
      <c r="L5608">
        <v>47.924590000000002</v>
      </c>
      <c r="M5608">
        <v>2.27674E-2</v>
      </c>
      <c r="N5608">
        <v>-1.407631E-2</v>
      </c>
      <c r="O5608">
        <v>-0.99964200000000003</v>
      </c>
      <c r="P5608">
        <v>8.2261039999999994E-2</v>
      </c>
      <c r="Q5608">
        <v>0.3391325</v>
      </c>
      <c r="R5608">
        <v>-0.93713590000000002</v>
      </c>
      <c r="S5608">
        <v>0.27514650000000002</v>
      </c>
      <c r="T5608">
        <v>-0.27147520000000003</v>
      </c>
      <c r="U5608">
        <v>-3.274994</v>
      </c>
      <c r="V5608">
        <v>-6.2006319999999997E-2</v>
      </c>
      <c r="W5608">
        <v>0.35212070000000001</v>
      </c>
      <c r="X5608">
        <v>0.93389840000000002</v>
      </c>
      <c r="Y5608">
        <v>-6.0770949999999997E-2</v>
      </c>
      <c r="Z5608">
        <v>6.8334530000000004E-2</v>
      </c>
      <c r="AA5608">
        <v>0.99580990000000003</v>
      </c>
      <c r="AB5608">
        <v>27</v>
      </c>
      <c r="AC5608">
        <v>1.1222999999999901</v>
      </c>
      <c r="AD5608">
        <v>-1.11202830328</v>
      </c>
      <c r="AE5608">
        <v>-13.24771</v>
      </c>
      <c r="AF5608">
        <v>-0.814664008658599</v>
      </c>
      <c r="AG5608">
        <v>-1.11202830328</v>
      </c>
      <c r="AH5608">
        <v>13.1776401445092</v>
      </c>
      <c r="AI5608">
        <v>94.814471869670996</v>
      </c>
      <c r="AJ5608">
        <v>93.537619775788798</v>
      </c>
      <c r="AK5608">
        <v>13.249546564787799</v>
      </c>
      <c r="AL5608">
        <v>69.382918341483503</v>
      </c>
      <c r="AM5608">
        <v>93.798586365829095</v>
      </c>
      <c r="AN5608">
        <v>0.99999999630549596</v>
      </c>
    </row>
    <row r="5609" spans="1:40" x14ac:dyDescent="0.25">
      <c r="A5609" t="str">
        <f>"20190304164238959"</f>
        <v>20190304164238959</v>
      </c>
      <c r="B5609" t="str">
        <f>"1551688958946838"</f>
        <v>1551688958946838</v>
      </c>
      <c r="C5609" t="s">
        <v>40</v>
      </c>
      <c r="D5609">
        <v>4.3391760000000001</v>
      </c>
      <c r="E5609">
        <v>0.50629460000000004</v>
      </c>
      <c r="F5609" t="s">
        <v>57</v>
      </c>
      <c r="G5609">
        <v>-421.03359999999998</v>
      </c>
      <c r="H5609" s="1">
        <v>-3.4739369999999999E-6</v>
      </c>
      <c r="I5609">
        <v>34.191200000000002</v>
      </c>
      <c r="J5609">
        <v>-422.26209999999998</v>
      </c>
      <c r="K5609">
        <v>1.112117</v>
      </c>
      <c r="L5609">
        <v>47.776670000000003</v>
      </c>
      <c r="M5609">
        <v>2.3847690000000001E-2</v>
      </c>
      <c r="N5609">
        <v>-1.4076989999999999E-2</v>
      </c>
      <c r="O5609">
        <v>-0.99961639999999996</v>
      </c>
      <c r="P5609">
        <v>8.6753640000000007E-2</v>
      </c>
      <c r="Q5609">
        <v>0.33993879999999999</v>
      </c>
      <c r="R5609">
        <v>-0.93643770000000004</v>
      </c>
      <c r="S5609">
        <v>0.2937012</v>
      </c>
      <c r="T5609">
        <v>-0.26488800000000001</v>
      </c>
      <c r="U5609">
        <v>-3.2713320000000001</v>
      </c>
      <c r="V5609">
        <v>-6.5580029999999997E-2</v>
      </c>
      <c r="W5609">
        <v>0.3528944</v>
      </c>
      <c r="X5609">
        <v>0.93336209999999997</v>
      </c>
      <c r="Y5609">
        <v>-6.5399739999999998E-2</v>
      </c>
      <c r="Z5609">
        <v>6.6402820000000001E-2</v>
      </c>
      <c r="AA5609">
        <v>0.99564730000000001</v>
      </c>
      <c r="AB5609">
        <v>27</v>
      </c>
      <c r="AC5609">
        <v>1.2284999999999899</v>
      </c>
      <c r="AD5609">
        <v>-1.1121204739370001</v>
      </c>
      <c r="AE5609">
        <v>-13.585470000000001</v>
      </c>
      <c r="AF5609">
        <v>-0.89816633907300203</v>
      </c>
      <c r="AG5609">
        <v>-1.1121204739370001</v>
      </c>
      <c r="AH5609">
        <v>13.521032753863199</v>
      </c>
      <c r="AI5609">
        <v>94.691765480330602</v>
      </c>
      <c r="AJ5609">
        <v>93.800423302576505</v>
      </c>
      <c r="AK5609">
        <v>13.5963907509396</v>
      </c>
      <c r="AL5609">
        <v>69.335547995117295</v>
      </c>
      <c r="AM5609">
        <v>94.019119646304603</v>
      </c>
      <c r="AN5609">
        <v>1.00000000380128</v>
      </c>
    </row>
    <row r="5610" spans="1:40" x14ac:dyDescent="0.25">
      <c r="A5610" t="str">
        <f>"20190304164238975"</f>
        <v>20190304164238975</v>
      </c>
      <c r="B5610" t="str">
        <f>"1551688958966358"</f>
        <v>1551688958966358</v>
      </c>
      <c r="C5610" t="s">
        <v>40</v>
      </c>
      <c r="D5610">
        <v>4.3354990000000004</v>
      </c>
      <c r="E5610">
        <v>0.50553249999999905</v>
      </c>
      <c r="F5610" t="s">
        <v>57</v>
      </c>
      <c r="G5610">
        <v>-420.9135</v>
      </c>
      <c r="H5610" s="1">
        <v>-3.6857889999999998E-6</v>
      </c>
      <c r="I5610">
        <v>33.72578</v>
      </c>
      <c r="J5610">
        <v>-422.25599999999997</v>
      </c>
      <c r="K5610">
        <v>1.112258</v>
      </c>
      <c r="L5610">
        <v>47.587710000000001</v>
      </c>
      <c r="M5610">
        <v>2.5388419999999998E-2</v>
      </c>
      <c r="N5610">
        <v>-1.407953E-2</v>
      </c>
      <c r="O5610">
        <v>-0.99957850000000004</v>
      </c>
      <c r="P5610">
        <v>8.9885640000000003E-2</v>
      </c>
      <c r="Q5610">
        <v>0.3405743</v>
      </c>
      <c r="R5610">
        <v>-0.9359111</v>
      </c>
      <c r="S5610">
        <v>0.31372070000000002</v>
      </c>
      <c r="T5610">
        <v>-0.25869730000000002</v>
      </c>
      <c r="U5610">
        <v>-3.2684630000000001</v>
      </c>
      <c r="V5610">
        <v>-6.7398890000000003E-2</v>
      </c>
      <c r="W5610">
        <v>0.3534989</v>
      </c>
      <c r="X5610">
        <v>0.93300369999999999</v>
      </c>
      <c r="Y5610">
        <v>-6.9994410000000007E-2</v>
      </c>
      <c r="Z5610">
        <v>6.456199E-2</v>
      </c>
      <c r="AA5610">
        <v>0.99545589999999995</v>
      </c>
      <c r="AB5610">
        <v>27</v>
      </c>
      <c r="AC5610">
        <v>1.3424999999999701</v>
      </c>
      <c r="AD5610">
        <v>-1.112261685789</v>
      </c>
      <c r="AE5610">
        <v>-13.8619299999999</v>
      </c>
      <c r="AF5610">
        <v>-0.983824553177296</v>
      </c>
      <c r="AG5610">
        <v>-1.112261685789</v>
      </c>
      <c r="AH5610">
        <v>13.803503890214699</v>
      </c>
      <c r="AI5610">
        <v>94.595231467527199</v>
      </c>
      <c r="AJ5610">
        <v>94.076778987428298</v>
      </c>
      <c r="AK5610">
        <v>13.883146489765201</v>
      </c>
      <c r="AL5610">
        <v>69.298526411675695</v>
      </c>
      <c r="AM5610">
        <v>94.131790285258305</v>
      </c>
      <c r="AN5610">
        <v>0.99999999344406598</v>
      </c>
    </row>
    <row r="5611" spans="1:40" x14ac:dyDescent="0.25">
      <c r="A5611" t="str">
        <f>"20190304164238989"</f>
        <v>20190304164238989</v>
      </c>
      <c r="B5611" t="str">
        <f>"1551688958977093"</f>
        <v>1551688958977093</v>
      </c>
      <c r="C5611" t="s">
        <v>40</v>
      </c>
      <c r="D5611">
        <v>4.3214300000000003</v>
      </c>
      <c r="E5611">
        <v>0.50543090000000002</v>
      </c>
      <c r="F5611" t="s">
        <v>57</v>
      </c>
      <c r="G5611">
        <v>-420.83580000000001</v>
      </c>
      <c r="H5611" s="1">
        <v>-3.7665529999999998E-6</v>
      </c>
      <c r="I5611">
        <v>33.558430000000001</v>
      </c>
      <c r="J5611">
        <v>-422.25009999999997</v>
      </c>
      <c r="K5611">
        <v>1.1124019999999999</v>
      </c>
      <c r="L5611">
        <v>47.41751</v>
      </c>
      <c r="M5611">
        <v>2.689538E-2</v>
      </c>
      <c r="N5611">
        <v>-1.4082829999999999E-2</v>
      </c>
      <c r="O5611">
        <v>-0.99953910000000001</v>
      </c>
      <c r="P5611">
        <v>9.3181829999999993E-2</v>
      </c>
      <c r="Q5611">
        <v>0.34074729999999998</v>
      </c>
      <c r="R5611">
        <v>-0.93552579999999996</v>
      </c>
      <c r="S5611">
        <v>0.33081050000000001</v>
      </c>
      <c r="T5611">
        <v>-0.25908740000000002</v>
      </c>
      <c r="U5611">
        <v>-3.267944</v>
      </c>
      <c r="V5611">
        <v>-6.9407839999999998E-2</v>
      </c>
      <c r="W5611">
        <v>0.35364259999999997</v>
      </c>
      <c r="X5611">
        <v>0.93280200000000002</v>
      </c>
      <c r="Y5611">
        <v>-7.3657630000000002E-2</v>
      </c>
      <c r="Z5611">
        <v>6.465593E-2</v>
      </c>
      <c r="AA5611">
        <v>0.99518549999999995</v>
      </c>
      <c r="AB5611">
        <v>27</v>
      </c>
      <c r="AC5611">
        <v>1.4142999999999599</v>
      </c>
      <c r="AD5611">
        <v>-1.1124057665530001</v>
      </c>
      <c r="AE5611">
        <v>-13.859080000000001</v>
      </c>
      <c r="AF5611">
        <v>-1.0344105544667399</v>
      </c>
      <c r="AG5611">
        <v>-1.1124057665530001</v>
      </c>
      <c r="AH5611">
        <v>13.804090529411701</v>
      </c>
      <c r="AI5611">
        <v>94.594411516282904</v>
      </c>
      <c r="AJ5611">
        <v>94.285454170742497</v>
      </c>
      <c r="AK5611">
        <v>13.887417583152301</v>
      </c>
      <c r="AL5611">
        <v>69.289725782940295</v>
      </c>
      <c r="AM5611">
        <v>94.255416897759602</v>
      </c>
      <c r="AN5611">
        <v>1.00000005399611</v>
      </c>
    </row>
    <row r="5612" spans="1:40" x14ac:dyDescent="0.25">
      <c r="A5612" t="str">
        <f>"20190304164239004"</f>
        <v>20190304164239004</v>
      </c>
      <c r="B5612" t="str">
        <f>"1551688958996614"</f>
        <v>1551688958996614</v>
      </c>
      <c r="C5612" t="s">
        <v>40</v>
      </c>
      <c r="D5612">
        <v>4.3985370000000001</v>
      </c>
      <c r="E5612">
        <v>0.50552609999999998</v>
      </c>
      <c r="F5612" t="s">
        <v>57</v>
      </c>
      <c r="G5612">
        <v>-420.77949999999998</v>
      </c>
      <c r="H5612" s="1">
        <v>-3.83774E-6</v>
      </c>
      <c r="I5612">
        <v>33.412309999999998</v>
      </c>
      <c r="J5612">
        <v>-422.24349999999998</v>
      </c>
      <c r="K5612">
        <v>1.112573</v>
      </c>
      <c r="L5612">
        <v>47.235410000000002</v>
      </c>
      <c r="M5612">
        <v>2.8630559999999999E-2</v>
      </c>
      <c r="N5612">
        <v>-1.4087199999999999E-2</v>
      </c>
      <c r="O5612">
        <v>-0.99949069999999995</v>
      </c>
      <c r="P5612">
        <v>9.9914340000000004E-2</v>
      </c>
      <c r="Q5612">
        <v>0.34278960000000003</v>
      </c>
      <c r="R5612">
        <v>-0.93408389999999997</v>
      </c>
      <c r="S5612">
        <v>0.34304810000000002</v>
      </c>
      <c r="T5612">
        <v>-0.25949860000000002</v>
      </c>
      <c r="U5612">
        <v>-3.26709</v>
      </c>
      <c r="V5612">
        <v>-7.4693499999999996E-2</v>
      </c>
      <c r="W5612">
        <v>0.35562339999999998</v>
      </c>
      <c r="X5612">
        <v>0.93163989999999997</v>
      </c>
      <c r="Y5612">
        <v>-7.5638549999999999E-2</v>
      </c>
      <c r="Z5612">
        <v>6.4771599999999999E-2</v>
      </c>
      <c r="AA5612">
        <v>0.99502939999999995</v>
      </c>
      <c r="AB5612">
        <v>27</v>
      </c>
      <c r="AC5612">
        <v>1.46399999999999</v>
      </c>
      <c r="AD5612">
        <v>-1.1125768377399901</v>
      </c>
      <c r="AE5612">
        <v>-13.823099999999901</v>
      </c>
      <c r="AF5612">
        <v>-1.0608015507202</v>
      </c>
      <c r="AG5612">
        <v>-1.1125768377399901</v>
      </c>
      <c r="AH5612">
        <v>13.771130062412199</v>
      </c>
      <c r="AI5612">
        <v>94.605339865952402</v>
      </c>
      <c r="AJ5612">
        <v>94.404842668573195</v>
      </c>
      <c r="AK5612">
        <v>13.8566644740269</v>
      </c>
      <c r="AL5612">
        <v>69.168344313908406</v>
      </c>
      <c r="AM5612">
        <v>94.583839573408298</v>
      </c>
      <c r="AN5612">
        <v>1.0000000124209001</v>
      </c>
    </row>
    <row r="5613" spans="1:40" x14ac:dyDescent="0.25">
      <c r="A5613" t="str">
        <f>"20190304164239020"</f>
        <v>20190304164239020</v>
      </c>
      <c r="B5613" t="str">
        <f>"1551688959006375"</f>
        <v>1551688959006375</v>
      </c>
      <c r="C5613" t="s">
        <v>40</v>
      </c>
      <c r="D5613">
        <v>4.363124</v>
      </c>
      <c r="E5613">
        <v>0.50558359999999902</v>
      </c>
      <c r="F5613" t="s">
        <v>57</v>
      </c>
      <c r="G5613">
        <v>-420.66559999999998</v>
      </c>
      <c r="H5613" s="1">
        <v>-4.0029390000000003E-6</v>
      </c>
      <c r="I5613">
        <v>33.075109999999903</v>
      </c>
      <c r="J5613">
        <v>-422.23590000000002</v>
      </c>
      <c r="K5613">
        <v>1.112749</v>
      </c>
      <c r="L5613">
        <v>47.042819999999999</v>
      </c>
      <c r="M5613">
        <v>3.0636380000000001E-2</v>
      </c>
      <c r="N5613">
        <v>-1.4092850000000001E-2</v>
      </c>
      <c r="O5613">
        <v>-0.99943139999999997</v>
      </c>
      <c r="P5613">
        <v>0.10501539999999999</v>
      </c>
      <c r="Q5613">
        <v>0.34346650000000001</v>
      </c>
      <c r="R5613">
        <v>-0.93327539999999998</v>
      </c>
      <c r="S5613">
        <v>0.36404419999999998</v>
      </c>
      <c r="T5613">
        <v>-0.25668619999999998</v>
      </c>
      <c r="U5613">
        <v>-3.2669679999999999</v>
      </c>
      <c r="V5613">
        <v>-7.8085619999999994E-2</v>
      </c>
      <c r="W5613">
        <v>0.35625259999999997</v>
      </c>
      <c r="X5613">
        <v>0.93112119999999998</v>
      </c>
      <c r="Y5613">
        <v>-7.9965430000000004E-2</v>
      </c>
      <c r="Z5613">
        <v>6.3875189999999998E-2</v>
      </c>
      <c r="AA5613">
        <v>0.99474899999999999</v>
      </c>
      <c r="AB5613">
        <v>27</v>
      </c>
      <c r="AC5613">
        <v>1.57030000000003</v>
      </c>
      <c r="AD5613">
        <v>-1.112753002939</v>
      </c>
      <c r="AE5613">
        <v>-13.96771</v>
      </c>
      <c r="AF5613">
        <v>-1.13448986078395</v>
      </c>
      <c r="AG5613">
        <v>-1.112753002939</v>
      </c>
      <c r="AH5613">
        <v>13.922009462457099</v>
      </c>
      <c r="AI5613">
        <v>94.554766237163193</v>
      </c>
      <c r="AJ5613">
        <v>94.658678906537702</v>
      </c>
      <c r="AK5613">
        <v>14.012409998373499</v>
      </c>
      <c r="AL5613">
        <v>69.129766770446395</v>
      </c>
      <c r="AM5613">
        <v>94.793717804138893</v>
      </c>
      <c r="AN5613">
        <v>0.999999984073492</v>
      </c>
    </row>
    <row r="5614" spans="1:40" x14ac:dyDescent="0.25">
      <c r="A5614" t="str">
        <f>"20190304164239036"</f>
        <v>20190304164239036</v>
      </c>
      <c r="B5614" t="str">
        <f>"1551688959026870"</f>
        <v>1551688959026870</v>
      </c>
      <c r="C5614" t="s">
        <v>40</v>
      </c>
      <c r="D5614">
        <v>4.3948460000000003</v>
      </c>
      <c r="E5614">
        <v>0.50620909999999997</v>
      </c>
      <c r="F5614" t="s">
        <v>57</v>
      </c>
      <c r="G5614">
        <v>-420.57979999999998</v>
      </c>
      <c r="H5614" s="1">
        <v>-4.1111499999999996E-6</v>
      </c>
      <c r="I5614">
        <v>32.852969999999999</v>
      </c>
      <c r="J5614">
        <v>-422.22750000000002</v>
      </c>
      <c r="K5614">
        <v>1.11291299999999</v>
      </c>
      <c r="L5614">
        <v>46.846310000000003</v>
      </c>
      <c r="M5614">
        <v>3.2857909999999997E-2</v>
      </c>
      <c r="N5614">
        <v>-1.4098899999999999E-2</v>
      </c>
      <c r="O5614">
        <v>-0.99936049999999998</v>
      </c>
      <c r="P5614">
        <v>0.1100817</v>
      </c>
      <c r="Q5614">
        <v>0.34458699999999998</v>
      </c>
      <c r="R5614">
        <v>-0.93227800000000005</v>
      </c>
      <c r="S5614">
        <v>0.38116460000000002</v>
      </c>
      <c r="T5614">
        <v>-0.25610359999999999</v>
      </c>
      <c r="U5614">
        <v>-3.2658390000000002</v>
      </c>
      <c r="V5614">
        <v>-8.1246789999999999E-2</v>
      </c>
      <c r="W5614">
        <v>0.35732309999999901</v>
      </c>
      <c r="X5614">
        <v>0.9304403</v>
      </c>
      <c r="Y5614">
        <v>-8.2934519999999998E-2</v>
      </c>
      <c r="Z5614">
        <v>6.3682180000000005E-2</v>
      </c>
      <c r="AA5614">
        <v>0.99451820000000002</v>
      </c>
      <c r="AB5614">
        <v>27</v>
      </c>
      <c r="AC5614">
        <v>1.6477000000000399</v>
      </c>
      <c r="AD5614">
        <v>-1.11291711114999</v>
      </c>
      <c r="AE5614">
        <v>-13.9933399999999</v>
      </c>
      <c r="AF5614">
        <v>-1.17961306894489</v>
      </c>
      <c r="AG5614">
        <v>-1.11291711114999</v>
      </c>
      <c r="AH5614">
        <v>13.9528783500981</v>
      </c>
      <c r="AI5614">
        <v>94.544259677493201</v>
      </c>
      <c r="AJ5614">
        <v>94.8324446730783</v>
      </c>
      <c r="AK5614">
        <v>14.046810518454</v>
      </c>
      <c r="AL5614">
        <v>69.064110738788898</v>
      </c>
      <c r="AM5614">
        <v>94.990454965549702</v>
      </c>
      <c r="AN5614">
        <v>0.99999999527150196</v>
      </c>
    </row>
    <row r="5615" spans="1:40" x14ac:dyDescent="0.25">
      <c r="A5615" t="str">
        <f>"20190304164239053"</f>
        <v>20190304164239053</v>
      </c>
      <c r="B5615" t="str">
        <f>"1551688959036630"</f>
        <v>1551688959036630</v>
      </c>
      <c r="C5615" t="s">
        <v>40</v>
      </c>
      <c r="D5615">
        <v>4.4077820000000001</v>
      </c>
      <c r="E5615">
        <v>0.50655939999999999</v>
      </c>
      <c r="F5615" t="s">
        <v>57</v>
      </c>
      <c r="G5615">
        <v>-420.51979999999998</v>
      </c>
      <c r="H5615" s="1">
        <v>-4.1838149999999999E-6</v>
      </c>
      <c r="I5615">
        <v>32.703530000000001</v>
      </c>
      <c r="J5615">
        <v>-422.21910000000003</v>
      </c>
      <c r="K5615">
        <v>1.1130719999999901</v>
      </c>
      <c r="L5615">
        <v>46.661439999999999</v>
      </c>
      <c r="M5615">
        <v>3.50894E-2</v>
      </c>
      <c r="N5615">
        <v>-1.4104419999999999E-2</v>
      </c>
      <c r="O5615">
        <v>-0.99928459999999997</v>
      </c>
      <c r="P5615">
        <v>0.1194886</v>
      </c>
      <c r="Q5615">
        <v>0.3462964</v>
      </c>
      <c r="R5615">
        <v>-0.93048470000000005</v>
      </c>
      <c r="S5615">
        <v>0.39440920000000002</v>
      </c>
      <c r="T5615">
        <v>-0.2570347</v>
      </c>
      <c r="U5615">
        <v>-3.2663570000000002</v>
      </c>
      <c r="V5615">
        <v>-8.8758110000000001E-2</v>
      </c>
      <c r="W5615">
        <v>0.35894939999999997</v>
      </c>
      <c r="X5615">
        <v>0.92912720000000004</v>
      </c>
      <c r="Y5615">
        <v>-8.4664450000000002E-2</v>
      </c>
      <c r="Z5615">
        <v>6.3915330000000006E-2</v>
      </c>
      <c r="AA5615">
        <v>0.99435750000000001</v>
      </c>
      <c r="AB5615">
        <v>27</v>
      </c>
      <c r="AC5615">
        <v>1.69930000000005</v>
      </c>
      <c r="AD5615">
        <v>-1.1130761838149901</v>
      </c>
      <c r="AE5615">
        <v>-13.957909999999901</v>
      </c>
      <c r="AF5615">
        <v>-1.2009045243630301</v>
      </c>
      <c r="AG5615">
        <v>-1.1130761838149901</v>
      </c>
      <c r="AH5615">
        <v>13.921706835881301</v>
      </c>
      <c r="AI5615">
        <v>94.554379120284906</v>
      </c>
      <c r="AJ5615">
        <v>94.930204004515701</v>
      </c>
      <c r="AK5615">
        <v>14.017668546938699</v>
      </c>
      <c r="AL5615">
        <v>68.964311207261403</v>
      </c>
      <c r="AM5615">
        <v>95.456819898900406</v>
      </c>
      <c r="AN5615">
        <v>1.0000000138154801</v>
      </c>
    </row>
    <row r="5616" spans="1:40" x14ac:dyDescent="0.25">
      <c r="A5616" t="str">
        <f>"20190304164239074"</f>
        <v>20190304164239074</v>
      </c>
      <c r="B5616" t="str">
        <f>"1551688959066886"</f>
        <v>1551688959066886</v>
      </c>
      <c r="C5616" t="s">
        <v>40</v>
      </c>
      <c r="D5616">
        <v>4.4784899999999999</v>
      </c>
      <c r="E5616">
        <v>0.50755050000000002</v>
      </c>
      <c r="F5616" t="s">
        <v>57</v>
      </c>
      <c r="G5616">
        <v>-420.3614</v>
      </c>
      <c r="H5616" s="1">
        <v>-4.3714670000000001E-6</v>
      </c>
      <c r="I5616">
        <v>32.3172</v>
      </c>
      <c r="J5616">
        <v>-422.20620000000002</v>
      </c>
      <c r="K5616">
        <v>1.113272</v>
      </c>
      <c r="L5616">
        <v>46.397709999999996</v>
      </c>
      <c r="M5616">
        <v>3.8507020000000003E-2</v>
      </c>
      <c r="N5616">
        <v>-1.4112349999999999E-2</v>
      </c>
      <c r="O5616">
        <v>-0.99915869999999996</v>
      </c>
      <c r="P5616">
        <v>0.1304148</v>
      </c>
      <c r="Q5616">
        <v>0.34721649999999998</v>
      </c>
      <c r="R5616">
        <v>-0.92867239999999995</v>
      </c>
      <c r="S5616">
        <v>0.42272949999999998</v>
      </c>
      <c r="T5616">
        <v>-0.25328810000000002</v>
      </c>
      <c r="U5616">
        <v>-3.2641300000000002</v>
      </c>
      <c r="V5616">
        <v>-9.6727240000000006E-2</v>
      </c>
      <c r="W5616">
        <v>0.35977179999999997</v>
      </c>
      <c r="X5616">
        <v>0.92801299999999998</v>
      </c>
      <c r="Y5616">
        <v>-8.9837020000000004E-2</v>
      </c>
      <c r="Z5616">
        <v>6.2760880000000005E-2</v>
      </c>
      <c r="AA5616">
        <v>0.99397709999999995</v>
      </c>
      <c r="AB5616">
        <v>27</v>
      </c>
      <c r="AC5616">
        <v>1.84480000000002</v>
      </c>
      <c r="AD5616">
        <v>-1.113276371467</v>
      </c>
      <c r="AE5616">
        <v>-14.080509999999901</v>
      </c>
      <c r="AF5616">
        <v>-1.29323110660414</v>
      </c>
      <c r="AG5616">
        <v>-1.113276371467</v>
      </c>
      <c r="AH5616">
        <v>14.054732256431601</v>
      </c>
      <c r="AI5616">
        <v>94.509974139309193</v>
      </c>
      <c r="AJ5616">
        <v>95.257206196499695</v>
      </c>
      <c r="AK5616">
        <v>14.1579422860222</v>
      </c>
      <c r="AL5616">
        <v>68.9138182430695</v>
      </c>
      <c r="AM5616">
        <v>95.950479991386601</v>
      </c>
      <c r="AN5616">
        <v>1.0000000176011199</v>
      </c>
    </row>
    <row r="5617" spans="1:40" x14ac:dyDescent="0.25">
      <c r="A5617" t="str">
        <f>"20190304164239094"</f>
        <v>20190304164239094</v>
      </c>
      <c r="B5617" t="str">
        <f>"1551688959086409"</f>
        <v>1551688959086409</v>
      </c>
      <c r="C5617" t="s">
        <v>40</v>
      </c>
      <c r="D5617">
        <v>4.4787699999999999</v>
      </c>
      <c r="E5617">
        <v>0.50843050000000001</v>
      </c>
      <c r="F5617" t="s">
        <v>57</v>
      </c>
      <c r="G5617">
        <v>-420.2056</v>
      </c>
      <c r="H5617" s="1">
        <v>-4.5799169999999998E-6</v>
      </c>
      <c r="I5617">
        <v>31.890350000000002</v>
      </c>
      <c r="J5617">
        <v>-422.19290000000001</v>
      </c>
      <c r="K5617">
        <v>1.113442</v>
      </c>
      <c r="L5617">
        <v>46.149839999999998</v>
      </c>
      <c r="M5617">
        <v>4.1953400000000002E-2</v>
      </c>
      <c r="N5617">
        <v>-1.4120260000000001E-2</v>
      </c>
      <c r="O5617">
        <v>-0.99901980000000001</v>
      </c>
      <c r="P5617">
        <v>0.14213529999999999</v>
      </c>
      <c r="Q5617">
        <v>0.3467113</v>
      </c>
      <c r="R5617">
        <v>-0.92714030000000003</v>
      </c>
      <c r="S5617">
        <v>0.44967649999999998</v>
      </c>
      <c r="T5617">
        <v>-0.25023250000000002</v>
      </c>
      <c r="U5617">
        <v>-3.260834</v>
      </c>
      <c r="V5617">
        <v>-0.1054272</v>
      </c>
      <c r="W5617">
        <v>0.35916880000000001</v>
      </c>
      <c r="X5617">
        <v>0.92729870000000003</v>
      </c>
      <c r="Y5617">
        <v>-9.4603499999999993E-2</v>
      </c>
      <c r="Z5617">
        <v>6.1838400000000002E-2</v>
      </c>
      <c r="AA5617">
        <v>0.99359260000000005</v>
      </c>
      <c r="AB5617">
        <v>27</v>
      </c>
      <c r="AC5617">
        <v>1.9873000000000001</v>
      </c>
      <c r="AD5617">
        <v>-1.1134465799169999</v>
      </c>
      <c r="AE5617">
        <v>-14.25949</v>
      </c>
      <c r="AF5617">
        <v>-1.3790083469105201</v>
      </c>
      <c r="AG5617">
        <v>-1.1134465799169999</v>
      </c>
      <c r="AH5617">
        <v>14.245114772277301</v>
      </c>
      <c r="AI5617">
        <v>94.448633602272196</v>
      </c>
      <c r="AJ5617">
        <v>95.529328742397297</v>
      </c>
      <c r="AK5617">
        <v>14.354954621402699</v>
      </c>
      <c r="AL5617">
        <v>68.950842039538401</v>
      </c>
      <c r="AM5617">
        <v>96.486266890694196</v>
      </c>
      <c r="AN5617">
        <v>1.00000000020748</v>
      </c>
    </row>
    <row r="5618" spans="1:40" x14ac:dyDescent="0.25">
      <c r="A5618" t="str">
        <f>"20190304164239110"</f>
        <v>20190304164239110</v>
      </c>
      <c r="B5618" t="str">
        <f>"1551688959097142"</f>
        <v>1551688959097142</v>
      </c>
      <c r="C5618" t="s">
        <v>40</v>
      </c>
      <c r="D5618">
        <v>4.4671880000000002</v>
      </c>
      <c r="E5618">
        <v>0.50843050000000001</v>
      </c>
      <c r="F5618" t="s">
        <v>57</v>
      </c>
      <c r="G5618">
        <v>-420.08819999999997</v>
      </c>
      <c r="H5618" s="1">
        <v>-4.6084690000000002E-6</v>
      </c>
      <c r="I5618">
        <v>31.82094</v>
      </c>
      <c r="J5618">
        <v>-422.18200000000002</v>
      </c>
      <c r="K5618">
        <v>1.113556</v>
      </c>
      <c r="L5618">
        <v>45.958129999999997</v>
      </c>
      <c r="M5618">
        <v>4.4758810000000003E-2</v>
      </c>
      <c r="N5618">
        <v>-1.412649E-2</v>
      </c>
      <c r="O5618">
        <v>-0.99889799999999995</v>
      </c>
      <c r="P5618">
        <v>0.1492897</v>
      </c>
      <c r="Q5618">
        <v>0.34600730000000002</v>
      </c>
      <c r="R5618">
        <v>-0.9262785</v>
      </c>
      <c r="S5618">
        <v>0.47842410000000002</v>
      </c>
      <c r="T5618">
        <v>-0.25309599999999999</v>
      </c>
      <c r="U5618">
        <v>-3.2570800000000002</v>
      </c>
      <c r="V5618">
        <v>-0.11009620000000001</v>
      </c>
      <c r="W5618">
        <v>0.35840460000000002</v>
      </c>
      <c r="X5618">
        <v>0.92705179999999998</v>
      </c>
      <c r="Y5618">
        <v>-0.10054390000000001</v>
      </c>
      <c r="Z5618">
        <v>6.2705209999999997E-2</v>
      </c>
      <c r="AA5618">
        <v>0.99295469999999997</v>
      </c>
      <c r="AB5618">
        <v>27</v>
      </c>
      <c r="AC5618">
        <v>2.0937999999999799</v>
      </c>
      <c r="AD5618">
        <v>-1.113560608469</v>
      </c>
      <c r="AE5618">
        <v>-14.137189999999899</v>
      </c>
      <c r="AF5618">
        <v>-1.45007057252257</v>
      </c>
      <c r="AG5618">
        <v>-1.113560608469</v>
      </c>
      <c r="AH5618">
        <v>14.130951996451399</v>
      </c>
      <c r="AI5618">
        <v>94.482323327969297</v>
      </c>
      <c r="AJ5618">
        <v>95.858991438907907</v>
      </c>
      <c r="AK5618">
        <v>14.248737706198501</v>
      </c>
      <c r="AL5618">
        <v>68.997751442841803</v>
      </c>
      <c r="AM5618">
        <v>96.7726962042222</v>
      </c>
      <c r="AN5618">
        <v>1.0000000352194101</v>
      </c>
    </row>
    <row r="5619" spans="1:40" x14ac:dyDescent="0.25">
      <c r="A5619" t="str">
        <f>"20190304164239124"</f>
        <v>20190304164239124</v>
      </c>
      <c r="B5619" t="str">
        <f>"1551688959116663"</f>
        <v>1551688959116663</v>
      </c>
      <c r="C5619" t="s">
        <v>40</v>
      </c>
      <c r="D5619">
        <v>4.5112920000000001</v>
      </c>
      <c r="E5619">
        <v>0.52177489999999904</v>
      </c>
      <c r="F5619" t="s">
        <v>57</v>
      </c>
      <c r="G5619">
        <v>-419.99520000000001</v>
      </c>
      <c r="H5619" s="1">
        <v>-4.6236040000000002E-6</v>
      </c>
      <c r="I5619">
        <v>31.780650000000001</v>
      </c>
      <c r="J5619">
        <v>-422.17160000000001</v>
      </c>
      <c r="K5619">
        <v>1.1136600000000001</v>
      </c>
      <c r="L5619">
        <v>45.785339999999998</v>
      </c>
      <c r="M5619">
        <v>4.7373810000000002E-2</v>
      </c>
      <c r="N5619">
        <v>-1.4132E-2</v>
      </c>
      <c r="O5619">
        <v>-0.99877740000000004</v>
      </c>
      <c r="P5619">
        <v>0.1564381</v>
      </c>
      <c r="Q5619">
        <v>0.34494079999999999</v>
      </c>
      <c r="R5619">
        <v>-0.92549630000000005</v>
      </c>
      <c r="S5619">
        <v>0.50180049999999998</v>
      </c>
      <c r="T5619">
        <v>-0.25553289999999901</v>
      </c>
      <c r="U5619">
        <v>-3.2533569999999998</v>
      </c>
      <c r="V5619">
        <v>-0.11491700000000001</v>
      </c>
      <c r="W5619">
        <v>0.3572803</v>
      </c>
      <c r="X5619">
        <v>0.92690070000000002</v>
      </c>
      <c r="Y5619">
        <v>-0.1050672</v>
      </c>
      <c r="Z5619">
        <v>6.3454140000000006E-2</v>
      </c>
      <c r="AA5619">
        <v>0.99243859999999995</v>
      </c>
      <c r="AB5619">
        <v>27</v>
      </c>
      <c r="AC5619">
        <v>2.1764000000000001</v>
      </c>
      <c r="AD5619">
        <v>-1.113664623604</v>
      </c>
      <c r="AE5619">
        <v>-14.00469</v>
      </c>
      <c r="AF5619">
        <v>-1.50116536485263</v>
      </c>
      <c r="AG5619">
        <v>-1.113664623604</v>
      </c>
      <c r="AH5619">
        <v>14.005600650477</v>
      </c>
      <c r="AI5619">
        <v>94.5205619527393</v>
      </c>
      <c r="AJ5619">
        <v>96.117789887140702</v>
      </c>
      <c r="AK5619">
        <v>14.1297769241819</v>
      </c>
      <c r="AL5619">
        <v>69.066736827602696</v>
      </c>
      <c r="AM5619">
        <v>97.067457493554897</v>
      </c>
      <c r="AN5619">
        <v>1.0000000186587801</v>
      </c>
    </row>
    <row r="5620" spans="1:40" x14ac:dyDescent="0.25">
      <c r="A5620" t="str">
        <f>"20190304164239138"</f>
        <v>20190304164239138</v>
      </c>
      <c r="B5620" t="str">
        <f>"1551688959126422"</f>
        <v>1551688959126422</v>
      </c>
      <c r="C5620" t="s">
        <v>40</v>
      </c>
      <c r="D5620">
        <v>4.4712719999999999</v>
      </c>
      <c r="E5620">
        <v>0.52235220000000004</v>
      </c>
      <c r="F5620" t="s">
        <v>57</v>
      </c>
      <c r="G5620">
        <v>-420.73110000000003</v>
      </c>
      <c r="H5620" s="1">
        <v>-3.249783E-6</v>
      </c>
      <c r="I5620">
        <v>34.670529999999999</v>
      </c>
      <c r="J5620">
        <v>-422.16109999999998</v>
      </c>
      <c r="K5620">
        <v>1.1137520000000001</v>
      </c>
      <c r="L5620">
        <v>45.620699999999999</v>
      </c>
      <c r="M5620">
        <v>4.9961329999999998E-2</v>
      </c>
      <c r="N5620">
        <v>-1.413733E-2</v>
      </c>
      <c r="O5620">
        <v>-0.99865130000000002</v>
      </c>
      <c r="P5620">
        <v>0.16356419999999999</v>
      </c>
      <c r="Q5620">
        <v>0.34466049999999998</v>
      </c>
      <c r="R5620">
        <v>-0.92436799999999997</v>
      </c>
      <c r="S5620">
        <v>0.42669679999999999</v>
      </c>
      <c r="T5620">
        <v>-0.32987899999999998</v>
      </c>
      <c r="U5620">
        <v>-3.2923279999999999</v>
      </c>
      <c r="V5620">
        <v>-0.1197565</v>
      </c>
      <c r="W5620">
        <v>0.3569369</v>
      </c>
      <c r="X5620">
        <v>0.92642020000000003</v>
      </c>
      <c r="Y5620">
        <v>-7.8288670000000005E-2</v>
      </c>
      <c r="Z5620">
        <v>8.4916790000000006E-2</v>
      </c>
      <c r="AA5620">
        <v>0.99330759999999996</v>
      </c>
      <c r="AB5620">
        <v>27</v>
      </c>
      <c r="AC5620">
        <v>1.42999999999995</v>
      </c>
      <c r="AD5620">
        <v>-1.1137552497829999</v>
      </c>
      <c r="AE5620">
        <v>-10.95017</v>
      </c>
      <c r="AF5620">
        <v>-0.87220238533090699</v>
      </c>
      <c r="AG5620">
        <v>-1.1137552497829999</v>
      </c>
      <c r="AH5620">
        <v>10.8971019125479</v>
      </c>
      <c r="AI5620">
        <v>95.817264310711707</v>
      </c>
      <c r="AJ5620">
        <v>94.576189879960396</v>
      </c>
      <c r="AK5620">
        <v>10.988540296593101</v>
      </c>
      <c r="AL5620">
        <v>69.087800235837307</v>
      </c>
      <c r="AM5620">
        <v>97.365665606684999</v>
      </c>
      <c r="AN5620">
        <v>0.99999997842094901</v>
      </c>
    </row>
    <row r="5621" spans="1:40" x14ac:dyDescent="0.25">
      <c r="A5621" t="str">
        <f>"20190304164239153"</f>
        <v>20190304164239153</v>
      </c>
      <c r="B5621" t="str">
        <f>"1551688959146918"</f>
        <v>1551688959146918</v>
      </c>
      <c r="C5621" t="s">
        <v>40</v>
      </c>
      <c r="D5621">
        <v>4.5132149999999998</v>
      </c>
      <c r="E5621">
        <v>0.52370530000000004</v>
      </c>
      <c r="F5621" t="s">
        <v>57</v>
      </c>
      <c r="G5621">
        <v>-420.6705</v>
      </c>
      <c r="H5621" s="1">
        <v>-3.2639409999999999E-6</v>
      </c>
      <c r="I5621">
        <v>34.634970000000003</v>
      </c>
      <c r="J5621">
        <v>-422.14890000000003</v>
      </c>
      <c r="K5621">
        <v>1.113856</v>
      </c>
      <c r="L5621">
        <v>45.439729999999997</v>
      </c>
      <c r="M5621">
        <v>5.2894450000000003E-2</v>
      </c>
      <c r="N5621">
        <v>-1.4143340000000001E-2</v>
      </c>
      <c r="O5621">
        <v>-0.99850000000000005</v>
      </c>
      <c r="P5621">
        <v>0.1769134</v>
      </c>
      <c r="Q5621">
        <v>0.34498899999999999</v>
      </c>
      <c r="R5621">
        <v>-0.92178340000000003</v>
      </c>
      <c r="S5621">
        <v>0.44653320000000002</v>
      </c>
      <c r="T5621">
        <v>-0.3336345</v>
      </c>
      <c r="U5621">
        <v>-3.2908629999999999</v>
      </c>
      <c r="V5621">
        <v>-0.13057650000000001</v>
      </c>
      <c r="W5621">
        <v>0.357139599999999</v>
      </c>
      <c r="X5621">
        <v>0.92487900000000001</v>
      </c>
      <c r="Y5621">
        <v>-8.1284690000000007E-2</v>
      </c>
      <c r="Z5621">
        <v>8.6002389999999998E-2</v>
      </c>
      <c r="AA5621">
        <v>0.99297349999999995</v>
      </c>
      <c r="AB5621">
        <v>27</v>
      </c>
      <c r="AC5621">
        <v>1.4784000000000199</v>
      </c>
      <c r="AD5621">
        <v>-1.1138592639410001</v>
      </c>
      <c r="AE5621">
        <v>-10.8047599999999</v>
      </c>
      <c r="AF5621">
        <v>-0.89541983755238397</v>
      </c>
      <c r="AG5621">
        <v>-1.1138592639410001</v>
      </c>
      <c r="AH5621">
        <v>10.7556338496065</v>
      </c>
      <c r="AI5621">
        <v>95.892265717104493</v>
      </c>
      <c r="AJ5621">
        <v>94.758970403982602</v>
      </c>
      <c r="AK5621">
        <v>10.850166756882199</v>
      </c>
      <c r="AL5621">
        <v>69.075368255387701</v>
      </c>
      <c r="AM5621">
        <v>98.036035484810498</v>
      </c>
      <c r="AN5621">
        <v>1.0000000404406999</v>
      </c>
    </row>
    <row r="5622" spans="1:40" x14ac:dyDescent="0.25">
      <c r="A5622" t="str">
        <f>"20190304164239167"</f>
        <v>20190304164239167</v>
      </c>
      <c r="B5622" t="str">
        <f>"1551688959156679"</f>
        <v>1551688959156679</v>
      </c>
      <c r="C5622" t="s">
        <v>40</v>
      </c>
      <c r="D5622">
        <v>4.7345649999999999</v>
      </c>
      <c r="E5622">
        <v>0.52370530000000004</v>
      </c>
      <c r="F5622" t="s">
        <v>57</v>
      </c>
      <c r="G5622">
        <v>-420.54360000000003</v>
      </c>
      <c r="H5622" s="1">
        <v>-3.3163910000000001E-6</v>
      </c>
      <c r="I5622">
        <v>34.44847</v>
      </c>
      <c r="J5622">
        <v>-422.13709999999998</v>
      </c>
      <c r="K5622">
        <v>1.1139479999999999</v>
      </c>
      <c r="L5622">
        <v>45.271970000000003</v>
      </c>
      <c r="M5622">
        <v>5.5685829999999999E-2</v>
      </c>
      <c r="N5622">
        <v>-1.414896E-2</v>
      </c>
      <c r="O5622">
        <v>-0.99834809999999996</v>
      </c>
      <c r="P5622">
        <v>0.18948470000000001</v>
      </c>
      <c r="Q5622">
        <v>0.34592250000000002</v>
      </c>
      <c r="R5622">
        <v>-0.91893040000000004</v>
      </c>
      <c r="S5622">
        <v>0.48010249999999999</v>
      </c>
      <c r="T5622">
        <v>-0.33311439999999998</v>
      </c>
      <c r="U5622">
        <v>-3.2870789999999999</v>
      </c>
      <c r="V5622">
        <v>-0.1407737</v>
      </c>
      <c r="W5622">
        <v>0.35794559999999997</v>
      </c>
      <c r="X5622">
        <v>0.92306980000000005</v>
      </c>
      <c r="Y5622">
        <v>-8.8587669999999993E-2</v>
      </c>
      <c r="Z5622">
        <v>8.583768E-2</v>
      </c>
      <c r="AA5622">
        <v>0.99236290000000005</v>
      </c>
      <c r="AB5622">
        <v>27</v>
      </c>
      <c r="AC5622">
        <v>1.59349999999994</v>
      </c>
      <c r="AD5622">
        <v>-1.113951316391</v>
      </c>
      <c r="AE5622">
        <v>-10.823499999999999</v>
      </c>
      <c r="AF5622">
        <v>-0.97811023469761105</v>
      </c>
      <c r="AG5622">
        <v>-1.113951316391</v>
      </c>
      <c r="AH5622">
        <v>10.783644499232</v>
      </c>
      <c r="AI5622">
        <v>95.873796855712499</v>
      </c>
      <c r="AJ5622">
        <v>95.182724335715903</v>
      </c>
      <c r="AK5622">
        <v>10.885062050917499</v>
      </c>
      <c r="AL5622">
        <v>69.0259197925172</v>
      </c>
      <c r="AM5622">
        <v>98.671138450910405</v>
      </c>
      <c r="AN5622">
        <v>1.00000007142154</v>
      </c>
    </row>
    <row r="5623" spans="1:40" x14ac:dyDescent="0.25">
      <c r="A5623" t="str">
        <f>"20190304164239182"</f>
        <v>20190304164239182</v>
      </c>
      <c r="B5623" t="str">
        <f>"1551688959177175"</f>
        <v>1551688959177175</v>
      </c>
      <c r="C5623" t="s">
        <v>40</v>
      </c>
      <c r="D5623">
        <v>4.0871729999999999</v>
      </c>
      <c r="E5623">
        <v>0.48413479999999998</v>
      </c>
      <c r="F5623" t="s">
        <v>57</v>
      </c>
      <c r="G5623">
        <v>-420.37490000000003</v>
      </c>
      <c r="H5623" s="1">
        <v>-3.4260479999999999E-6</v>
      </c>
      <c r="I5623">
        <v>34.174199999999999</v>
      </c>
      <c r="J5623">
        <v>-422.12400000000002</v>
      </c>
      <c r="K5623">
        <v>1.1140479999999999</v>
      </c>
      <c r="L5623">
        <v>45.093110000000003</v>
      </c>
      <c r="M5623">
        <v>5.8742179999999998E-2</v>
      </c>
      <c r="N5623">
        <v>-1.4155030000000001E-2</v>
      </c>
      <c r="O5623">
        <v>-0.99817290000000003</v>
      </c>
      <c r="P5623">
        <v>0.19778589999999999</v>
      </c>
      <c r="Q5623">
        <v>0.34649829999999998</v>
      </c>
      <c r="R5623">
        <v>-0.91696219999999995</v>
      </c>
      <c r="S5623">
        <v>0.52102660000000001</v>
      </c>
      <c r="T5623">
        <v>-0.32935619999999999</v>
      </c>
      <c r="U5623">
        <v>-3.2812190000000001</v>
      </c>
      <c r="V5623">
        <v>-0.1464239</v>
      </c>
      <c r="W5623">
        <v>0.35843439999999999</v>
      </c>
      <c r="X5623">
        <v>0.9220005</v>
      </c>
      <c r="Y5623">
        <v>-9.7891000000000006E-2</v>
      </c>
      <c r="Z5623">
        <v>8.4735160000000004E-2</v>
      </c>
      <c r="AA5623">
        <v>0.9915832</v>
      </c>
      <c r="AB5623">
        <v>27</v>
      </c>
      <c r="AC5623">
        <v>1.7490999999999901</v>
      </c>
      <c r="AD5623">
        <v>-1.1140514260479999</v>
      </c>
      <c r="AE5623">
        <v>-10.918909999999901</v>
      </c>
      <c r="AF5623">
        <v>-1.0935155053908201</v>
      </c>
      <c r="AG5623">
        <v>-1.1140514260479999</v>
      </c>
      <c r="AH5623">
        <v>10.892255704845899</v>
      </c>
      <c r="AI5623">
        <v>95.810851740765003</v>
      </c>
      <c r="AJ5623">
        <v>95.732934886877601</v>
      </c>
      <c r="AK5623">
        <v>11.0035503852238</v>
      </c>
      <c r="AL5623">
        <v>68.995922836635501</v>
      </c>
      <c r="AM5623">
        <v>99.023845169363099</v>
      </c>
      <c r="AN5623">
        <v>1.0000000497974</v>
      </c>
    </row>
    <row r="5624" spans="1:40" x14ac:dyDescent="0.25">
      <c r="A5624" t="str">
        <f>"20190304164239193"</f>
        <v>20190304164239193</v>
      </c>
      <c r="B5624" t="str">
        <f>"1551688959186934"</f>
        <v>1551688959186934</v>
      </c>
      <c r="C5624" t="s">
        <v>40</v>
      </c>
      <c r="D5624">
        <v>4.3450319999999998</v>
      </c>
      <c r="E5624">
        <v>0.415632</v>
      </c>
      <c r="F5624" t="s">
        <v>57</v>
      </c>
      <c r="G5624">
        <v>-418.43759999999997</v>
      </c>
      <c r="H5624" s="1">
        <v>-5.2152649999999999E-6</v>
      </c>
      <c r="I5624">
        <v>31.276730000000001</v>
      </c>
      <c r="J5624">
        <v>-422.113</v>
      </c>
      <c r="K5624">
        <v>1.11412</v>
      </c>
      <c r="L5624">
        <v>44.951929999999997</v>
      </c>
      <c r="M5624">
        <v>6.1248810000000001E-2</v>
      </c>
      <c r="N5624">
        <v>-1.4160580000000001E-2</v>
      </c>
      <c r="O5624">
        <v>-0.99802210000000002</v>
      </c>
      <c r="P5624">
        <v>0.2110252</v>
      </c>
      <c r="Q5624">
        <v>0.3477962</v>
      </c>
      <c r="R5624">
        <v>-0.91351309999999997</v>
      </c>
      <c r="S5624">
        <v>0.84991459999999996</v>
      </c>
      <c r="T5624">
        <v>-0.2568473</v>
      </c>
      <c r="U5624">
        <v>-3.1853940000000001</v>
      </c>
      <c r="V5624">
        <v>-0.15759879999999901</v>
      </c>
      <c r="W5624">
        <v>0.35958759999999901</v>
      </c>
      <c r="X5624">
        <v>0.91970620000000003</v>
      </c>
      <c r="Y5624">
        <v>-0.1974745</v>
      </c>
      <c r="Z5624">
        <v>6.398935E-2</v>
      </c>
      <c r="AA5624">
        <v>0.97821740000000001</v>
      </c>
      <c r="AB5624">
        <v>27</v>
      </c>
      <c r="AC5624">
        <v>3.6754000000000802</v>
      </c>
      <c r="AD5624">
        <v>-1.1141252152650001</v>
      </c>
      <c r="AE5624">
        <v>-13.675199999999901</v>
      </c>
      <c r="AF5624">
        <v>-2.8134086459353198</v>
      </c>
      <c r="AG5624">
        <v>-1.1141252152650001</v>
      </c>
      <c r="AH5624">
        <v>13.7892967463875</v>
      </c>
      <c r="AI5624">
        <v>94.526405598128406</v>
      </c>
      <c r="AJ5624">
        <v>101.53169453739601</v>
      </c>
      <c r="AK5624">
        <v>14.1174093928117</v>
      </c>
      <c r="AL5624">
        <v>68.925130010548102</v>
      </c>
      <c r="AM5624">
        <v>99.7236374824558</v>
      </c>
      <c r="AN5624">
        <v>1.0000000590768101</v>
      </c>
    </row>
    <row r="5625" spans="1:40" x14ac:dyDescent="0.25">
      <c r="A5625" t="str">
        <f>"20190304164239217"</f>
        <v>20190304164239217</v>
      </c>
      <c r="B5625" t="str">
        <f>"1551688959206455"</f>
        <v>1551688959206455</v>
      </c>
      <c r="C5625" t="s">
        <v>40</v>
      </c>
      <c r="D5625">
        <v>4.3268380000000004</v>
      </c>
      <c r="E5625">
        <v>0.41006779999999998</v>
      </c>
      <c r="F5625" t="s">
        <v>57</v>
      </c>
      <c r="G5625">
        <v>-412.00670000000002</v>
      </c>
      <c r="H5625" s="1">
        <v>-9.4293010000000007E-6</v>
      </c>
      <c r="I5625">
        <v>23.382490000000001</v>
      </c>
      <c r="J5625">
        <v>-422.09140000000002</v>
      </c>
      <c r="K5625">
        <v>1.114252</v>
      </c>
      <c r="L5625">
        <v>44.685850000000002</v>
      </c>
      <c r="M5625">
        <v>6.6087240000000005E-2</v>
      </c>
      <c r="N5625">
        <v>-1.417128E-2</v>
      </c>
      <c r="O5625">
        <v>-0.99771310000000002</v>
      </c>
      <c r="P5625">
        <v>0.2250028</v>
      </c>
      <c r="Q5625">
        <v>0.34762779999999999</v>
      </c>
      <c r="R5625">
        <v>-0.91023549999999998</v>
      </c>
      <c r="S5625">
        <v>1.413513</v>
      </c>
      <c r="T5625">
        <v>-0.15582799999999999</v>
      </c>
      <c r="U5625">
        <v>-3.0168149999999998</v>
      </c>
      <c r="V5625">
        <v>-0.16740099999999999</v>
      </c>
      <c r="W5625">
        <v>0.35926900000000001</v>
      </c>
      <c r="X5625">
        <v>0.91809730000000001</v>
      </c>
      <c r="Y5625">
        <v>-0.36312139999999998</v>
      </c>
      <c r="Z5625">
        <v>3.3248390000000003E-2</v>
      </c>
      <c r="AA5625">
        <v>0.93114839999999999</v>
      </c>
      <c r="AB5625">
        <v>27</v>
      </c>
      <c r="AC5625">
        <v>10.0846999999999</v>
      </c>
      <c r="AD5625">
        <v>-1.114261429301</v>
      </c>
      <c r="AE5625">
        <v>-21.303360000000001</v>
      </c>
      <c r="AF5625">
        <v>-8.63532774545933</v>
      </c>
      <c r="AG5625">
        <v>-1.114261429301</v>
      </c>
      <c r="AH5625">
        <v>21.874427508318199</v>
      </c>
      <c r="AI5625">
        <v>92.712683618596898</v>
      </c>
      <c r="AJ5625">
        <v>111.542528941676</v>
      </c>
      <c r="AK5625">
        <v>23.543598761043199</v>
      </c>
      <c r="AL5625">
        <v>68.944689971098995</v>
      </c>
      <c r="AM5625">
        <v>100.333491411962</v>
      </c>
      <c r="AN5625">
        <v>0.99999998071464402</v>
      </c>
    </row>
    <row r="5626" spans="1:40" x14ac:dyDescent="0.25">
      <c r="A5626" t="str">
        <f>"20190304164239240"</f>
        <v>20190304164239240</v>
      </c>
      <c r="B5626" t="str">
        <f>"1551688959226950"</f>
        <v>1551688959226950</v>
      </c>
      <c r="C5626" t="s">
        <v>40</v>
      </c>
      <c r="D5626">
        <v>4.2518659999999997</v>
      </c>
      <c r="E5626">
        <v>0.4079932</v>
      </c>
      <c r="F5626" t="s">
        <v>57</v>
      </c>
      <c r="G5626">
        <v>-412.49200000000002</v>
      </c>
      <c r="H5626" s="1">
        <v>-9.4643220000000004E-6</v>
      </c>
      <c r="I5626">
        <v>25.49954</v>
      </c>
      <c r="J5626">
        <v>-422.06790000000001</v>
      </c>
      <c r="K5626">
        <v>1.114401</v>
      </c>
      <c r="L5626">
        <v>44.416559999999997</v>
      </c>
      <c r="M5626">
        <v>7.1194519999999997E-2</v>
      </c>
      <c r="N5626">
        <v>-1.4182760000000001E-2</v>
      </c>
      <c r="O5626">
        <v>-0.99736170000000002</v>
      </c>
      <c r="P5626">
        <v>0.2394377</v>
      </c>
      <c r="Q5626">
        <v>0.34725299999999998</v>
      </c>
      <c r="R5626">
        <v>-0.90668919999999997</v>
      </c>
      <c r="S5626">
        <v>1.4970399999999999</v>
      </c>
      <c r="T5626">
        <v>-0.17377210000000001</v>
      </c>
      <c r="U5626">
        <v>-2.9921570000000002</v>
      </c>
      <c r="V5626">
        <v>-0.17744960000000001</v>
      </c>
      <c r="W5626">
        <v>0.35873270000000002</v>
      </c>
      <c r="X5626">
        <v>0.91641830000000002</v>
      </c>
      <c r="Y5626">
        <v>-0.38213150000000001</v>
      </c>
      <c r="Z5626">
        <v>3.853906E-2</v>
      </c>
      <c r="AA5626">
        <v>0.92330400000000001</v>
      </c>
      <c r="AB5626">
        <v>27</v>
      </c>
      <c r="AC5626">
        <v>9.5759000000000398</v>
      </c>
      <c r="AD5626">
        <v>-1.1144104643220001</v>
      </c>
      <c r="AE5626">
        <v>-18.917020000000001</v>
      </c>
      <c r="AF5626">
        <v>-8.1820688581994698</v>
      </c>
      <c r="AG5626">
        <v>-1.1144104643220001</v>
      </c>
      <c r="AH5626">
        <v>19.496966150712399</v>
      </c>
      <c r="AI5626">
        <v>93.016994671586801</v>
      </c>
      <c r="AJ5626">
        <v>112.76577439283599</v>
      </c>
      <c r="AK5626">
        <v>21.173564899783202</v>
      </c>
      <c r="AL5626">
        <v>68.977612946673801</v>
      </c>
      <c r="AM5626">
        <v>100.95878220215199</v>
      </c>
      <c r="AN5626">
        <v>1.0000000055821701</v>
      </c>
    </row>
    <row r="5627" spans="1:40" x14ac:dyDescent="0.25">
      <c r="A5627" t="str">
        <f>"20190304164239263"</f>
        <v>20190304164239263</v>
      </c>
      <c r="B5627" t="str">
        <f>"1551688959257206"</f>
        <v>1551688959257206</v>
      </c>
      <c r="C5627" t="s">
        <v>40</v>
      </c>
      <c r="D5627">
        <v>4.2138839999999904</v>
      </c>
      <c r="E5627">
        <v>0.40808080000000002</v>
      </c>
      <c r="F5627" t="s">
        <v>57</v>
      </c>
      <c r="G5627">
        <v>-413.49329999999998</v>
      </c>
      <c r="H5627" s="1">
        <v>-9.3758070000000001E-6</v>
      </c>
      <c r="I5627">
        <v>28.014299999999999</v>
      </c>
      <c r="J5627">
        <v>-422.0428</v>
      </c>
      <c r="K5627">
        <v>1.1145659999999999</v>
      </c>
      <c r="L5627">
        <v>44.147030000000001</v>
      </c>
      <c r="M5627">
        <v>7.6548210000000005E-2</v>
      </c>
      <c r="N5627">
        <v>-1.419553E-2</v>
      </c>
      <c r="O5627">
        <v>-0.99696490000000004</v>
      </c>
      <c r="P5627">
        <v>0.25431279999999901</v>
      </c>
      <c r="Q5627">
        <v>0.34675909999999999</v>
      </c>
      <c r="R5627">
        <v>-0.90281960000000006</v>
      </c>
      <c r="S5627">
        <v>1.55545</v>
      </c>
      <c r="T5627">
        <v>-0.20215620000000001</v>
      </c>
      <c r="U5627">
        <v>-2.975403</v>
      </c>
      <c r="V5627">
        <v>-0.18776129999999999</v>
      </c>
      <c r="W5627">
        <v>0.3580623</v>
      </c>
      <c r="X5627">
        <v>0.91462399999999999</v>
      </c>
      <c r="Y5627">
        <v>-0.393376</v>
      </c>
      <c r="Z5627">
        <v>4.6959830000000001E-2</v>
      </c>
      <c r="AA5627">
        <v>0.91817760000000004</v>
      </c>
      <c r="AB5627">
        <v>27</v>
      </c>
      <c r="AC5627">
        <v>8.5495000000000196</v>
      </c>
      <c r="AD5627">
        <v>-1.1145753758069901</v>
      </c>
      <c r="AE5627">
        <v>-16.132729999999999</v>
      </c>
      <c r="AF5627">
        <v>-7.26229045781926</v>
      </c>
      <c r="AG5627">
        <v>-1.1145753758069901</v>
      </c>
      <c r="AH5627">
        <v>16.6777494829749</v>
      </c>
      <c r="AI5627">
        <v>93.506297996261395</v>
      </c>
      <c r="AJ5627">
        <v>113.53061456891901</v>
      </c>
      <c r="AK5627">
        <v>18.224447008865798</v>
      </c>
      <c r="AL5627">
        <v>69.018756928848305</v>
      </c>
      <c r="AM5627">
        <v>101.60095911067801</v>
      </c>
      <c r="AN5627">
        <v>0.99999998891748898</v>
      </c>
    </row>
    <row r="5628" spans="1:40" x14ac:dyDescent="0.25">
      <c r="A5628" t="str">
        <f>"20190304164239284"</f>
        <v>20190304164239284</v>
      </c>
      <c r="B5628" t="str">
        <f>"1551688959277299"</f>
        <v>1551688959277299</v>
      </c>
      <c r="C5628" t="s">
        <v>40</v>
      </c>
      <c r="D5628">
        <v>4.2103349999999997</v>
      </c>
      <c r="E5628">
        <v>0.40937200000000001</v>
      </c>
      <c r="F5628" t="s">
        <v>41</v>
      </c>
      <c r="G5628">
        <v>-421.53910000000002</v>
      </c>
      <c r="H5628">
        <v>1.0469010000000001</v>
      </c>
      <c r="I5628">
        <v>43.215530000000001</v>
      </c>
      <c r="J5628">
        <v>-422.01679999999999</v>
      </c>
      <c r="K5628">
        <v>1.1147499999999999</v>
      </c>
      <c r="L5628">
        <v>43.886839999999999</v>
      </c>
      <c r="M5628">
        <v>8.1994349999999994E-2</v>
      </c>
      <c r="N5628">
        <v>-1.421063E-2</v>
      </c>
      <c r="O5628">
        <v>-0.99653150000000001</v>
      </c>
      <c r="P5628">
        <v>0.2684858</v>
      </c>
      <c r="Q5628">
        <v>0.34728249999999999</v>
      </c>
      <c r="R5628">
        <v>-0.89850459999999999</v>
      </c>
      <c r="S5628">
        <v>1.598236</v>
      </c>
      <c r="T5628">
        <v>-0.2146643</v>
      </c>
      <c r="U5628">
        <v>-2.9552</v>
      </c>
      <c r="V5628">
        <v>-0.1973656</v>
      </c>
      <c r="W5628">
        <v>0.35839969999999999</v>
      </c>
      <c r="X5628">
        <v>0.91246719999999903</v>
      </c>
      <c r="Y5628">
        <v>-0.40115840000000003</v>
      </c>
      <c r="Z5628">
        <v>5.0750440000000001E-2</v>
      </c>
      <c r="AA5628">
        <v>0.91460169999999996</v>
      </c>
      <c r="AB5628">
        <v>27</v>
      </c>
      <c r="AC5628">
        <v>0.47769999999996998</v>
      </c>
      <c r="AD5628">
        <v>-6.7848999999999798E-2</v>
      </c>
      <c r="AE5628">
        <v>-0.67130999999999796</v>
      </c>
      <c r="AF5628">
        <v>-0.41820601313003097</v>
      </c>
      <c r="AG5628">
        <v>-6.7848999999999798E-2</v>
      </c>
      <c r="AH5628">
        <v>0.70345147360672799</v>
      </c>
      <c r="AI5628">
        <v>94.739371903722599</v>
      </c>
      <c r="AJ5628">
        <v>120.731730788307</v>
      </c>
      <c r="AK5628">
        <v>0.82118434711007104</v>
      </c>
      <c r="AL5628">
        <v>68.998050472858694</v>
      </c>
      <c r="AM5628">
        <v>102.204991402847</v>
      </c>
      <c r="AN5628">
        <v>0.99999995804964303</v>
      </c>
    </row>
    <row r="5629" spans="1:40" x14ac:dyDescent="0.25">
      <c r="A5629" t="str">
        <f>"20190304164239305"</f>
        <v>20190304164239305</v>
      </c>
      <c r="B5629" t="str">
        <f>"1551688959296819"</f>
        <v>1551688959296819</v>
      </c>
      <c r="C5629" t="s">
        <v>40</v>
      </c>
      <c r="D5629">
        <v>4.3702579999999998</v>
      </c>
      <c r="E5629">
        <v>0.41244330000000001</v>
      </c>
      <c r="F5629" t="s">
        <v>41</v>
      </c>
      <c r="G5629">
        <v>-421.50850000000003</v>
      </c>
      <c r="H5629">
        <v>1.0474030000000001</v>
      </c>
      <c r="I5629">
        <v>42.970730000000003</v>
      </c>
      <c r="J5629">
        <v>-421.98930000000001</v>
      </c>
      <c r="K5629">
        <v>1.114933</v>
      </c>
      <c r="L5629">
        <v>43.628300000000003</v>
      </c>
      <c r="M5629">
        <v>8.7621190000000002E-2</v>
      </c>
      <c r="N5629">
        <v>-1.422728E-2</v>
      </c>
      <c r="O5629">
        <v>-0.99605220000000005</v>
      </c>
      <c r="P5629">
        <v>0.28096270000000001</v>
      </c>
      <c r="Q5629">
        <v>0.3485183</v>
      </c>
      <c r="R5629">
        <v>-0.89420069999999996</v>
      </c>
      <c r="S5629">
        <v>1.6289670000000001</v>
      </c>
      <c r="T5629">
        <v>-0.21580779999999999</v>
      </c>
      <c r="U5629">
        <v>-2.9355470000000001</v>
      </c>
      <c r="V5629">
        <v>-0.2051403</v>
      </c>
      <c r="W5629">
        <v>0.35946600000000001</v>
      </c>
      <c r="X5629">
        <v>0.91033050000000004</v>
      </c>
      <c r="Y5629">
        <v>-0.40587760000000001</v>
      </c>
      <c r="Z5629">
        <v>5.1212140000000003E-2</v>
      </c>
      <c r="AA5629">
        <v>0.91249150000000001</v>
      </c>
      <c r="AB5629">
        <v>27</v>
      </c>
      <c r="AC5629">
        <v>0.48079999999998702</v>
      </c>
      <c r="AD5629">
        <v>-6.7529999999999799E-2</v>
      </c>
      <c r="AE5629">
        <v>-0.65757000000000598</v>
      </c>
      <c r="AF5629">
        <v>-0.41845173240942501</v>
      </c>
      <c r="AG5629">
        <v>-6.7529999999999799E-2</v>
      </c>
      <c r="AH5629">
        <v>0.69241436817789304</v>
      </c>
      <c r="AI5629">
        <v>94.771400556681101</v>
      </c>
      <c r="AJ5629">
        <v>121.146128227525</v>
      </c>
      <c r="AK5629">
        <v>0.81184962309262698</v>
      </c>
      <c r="AL5629">
        <v>68.932594752849894</v>
      </c>
      <c r="AM5629">
        <v>102.69930887544101</v>
      </c>
      <c r="AN5629">
        <v>0.99999998353516895</v>
      </c>
    </row>
    <row r="5630" spans="1:40" x14ac:dyDescent="0.25">
      <c r="A5630" t="str">
        <f>"20190304164239329"</f>
        <v>20190304164239329</v>
      </c>
      <c r="B5630" t="str">
        <f>"1551688959317316"</f>
        <v>1551688959317316</v>
      </c>
      <c r="C5630" t="s">
        <v>40</v>
      </c>
      <c r="D5630">
        <v>4.1668770000000004</v>
      </c>
      <c r="E5630">
        <v>0.41422639999999999</v>
      </c>
      <c r="F5630" t="s">
        <v>41</v>
      </c>
      <c r="G5630">
        <v>-421.46719999999999</v>
      </c>
      <c r="H5630">
        <v>1.0461849999999999</v>
      </c>
      <c r="I5630">
        <v>42.701099999999997</v>
      </c>
      <c r="J5630">
        <v>-421.9597</v>
      </c>
      <c r="K5630">
        <v>1.1150979999999999</v>
      </c>
      <c r="L5630">
        <v>43.366759999999999</v>
      </c>
      <c r="M5630">
        <v>9.3540709999999999E-2</v>
      </c>
      <c r="N5630">
        <v>-1.424369E-2</v>
      </c>
      <c r="O5630">
        <v>-0.99551369999999895</v>
      </c>
      <c r="P5630">
        <v>0.29277589999999998</v>
      </c>
      <c r="Q5630">
        <v>0.35079199999999999</v>
      </c>
      <c r="R5630">
        <v>-0.88950989999999996</v>
      </c>
      <c r="S5630">
        <v>1.64529399999999</v>
      </c>
      <c r="T5630">
        <v>-0.2166903</v>
      </c>
      <c r="U5630">
        <v>-2.9224549999999998</v>
      </c>
      <c r="V5630">
        <v>-0.21205689999999999</v>
      </c>
      <c r="W5630">
        <v>0.36157119999999998</v>
      </c>
      <c r="X5630">
        <v>0.90790870000000001</v>
      </c>
      <c r="Y5630">
        <v>-0.40604839999999998</v>
      </c>
      <c r="Z5630">
        <v>5.1601319999999999E-2</v>
      </c>
      <c r="AA5630">
        <v>0.91239360000000003</v>
      </c>
      <c r="AB5630">
        <v>27</v>
      </c>
      <c r="AC5630">
        <v>0.49250000000000599</v>
      </c>
      <c r="AD5630">
        <v>-6.8912999999999697E-2</v>
      </c>
      <c r="AE5630">
        <v>-0.66566000000000203</v>
      </c>
      <c r="AF5630">
        <v>-0.42512307623934897</v>
      </c>
      <c r="AG5630">
        <v>-6.8912999999999697E-2</v>
      </c>
      <c r="AH5630">
        <v>0.70393865243346398</v>
      </c>
      <c r="AI5630">
        <v>94.790200074955806</v>
      </c>
      <c r="AJ5630">
        <v>121.128644178017</v>
      </c>
      <c r="AK5630">
        <v>0.82523224483174995</v>
      </c>
      <c r="AL5630">
        <v>68.803280578756898</v>
      </c>
      <c r="AM5630">
        <v>103.14668190717499</v>
      </c>
      <c r="AN5630">
        <v>1.00000003452136</v>
      </c>
    </row>
    <row r="5631" spans="1:40" x14ac:dyDescent="0.25">
      <c r="A5631" t="str">
        <f>"20190304164239352"</f>
        <v>20190304164239352</v>
      </c>
      <c r="B5631" t="str">
        <f>"1551688959346595"</f>
        <v>1551688959346595</v>
      </c>
      <c r="C5631" t="s">
        <v>40</v>
      </c>
      <c r="D5631">
        <v>4.2485339999999896</v>
      </c>
      <c r="E5631">
        <v>0.41609010000000002</v>
      </c>
      <c r="F5631" t="s">
        <v>41</v>
      </c>
      <c r="G5631">
        <v>-421.42610000000002</v>
      </c>
      <c r="H5631">
        <v>1.04786</v>
      </c>
      <c r="I5631">
        <v>42.439010000000003</v>
      </c>
      <c r="J5631">
        <v>-421.92579999999998</v>
      </c>
      <c r="K5631">
        <v>1.115265</v>
      </c>
      <c r="L5631">
        <v>43.085389999999997</v>
      </c>
      <c r="M5631">
        <v>0.1001856</v>
      </c>
      <c r="N5631">
        <v>-1.426156E-2</v>
      </c>
      <c r="O5631">
        <v>-0.99486660000000005</v>
      </c>
      <c r="P5631">
        <v>0.30628139999999998</v>
      </c>
      <c r="Q5631">
        <v>0.35248559999999901</v>
      </c>
      <c r="R5631">
        <v>-0.88427730000000004</v>
      </c>
      <c r="S5631">
        <v>1.6721189999999999</v>
      </c>
      <c r="T5631">
        <v>-0.21056440000000001</v>
      </c>
      <c r="U5631">
        <v>-2.9053339999999999</v>
      </c>
      <c r="V5631">
        <v>-0.2200839</v>
      </c>
      <c r="W5631">
        <v>0.36307329999999999</v>
      </c>
      <c r="X5631">
        <v>0.90539539999999996</v>
      </c>
      <c r="Y5631">
        <v>-0.40864289999999998</v>
      </c>
      <c r="Z5631">
        <v>4.9857829999999999E-2</v>
      </c>
      <c r="AA5631">
        <v>0.91133149999999996</v>
      </c>
      <c r="AB5631">
        <v>27</v>
      </c>
      <c r="AC5631">
        <v>0.49969999999996101</v>
      </c>
      <c r="AD5631">
        <v>-6.7404999999999896E-2</v>
      </c>
      <c r="AE5631">
        <v>-0.64638000000000695</v>
      </c>
      <c r="AF5631">
        <v>-0.429497424339643</v>
      </c>
      <c r="AG5631">
        <v>-6.7404999999999896E-2</v>
      </c>
      <c r="AH5631">
        <v>0.68850869969801298</v>
      </c>
      <c r="AI5631">
        <v>94.748287131425698</v>
      </c>
      <c r="AJ5631">
        <v>121.956256101577</v>
      </c>
      <c r="AK5631">
        <v>0.81428232272304402</v>
      </c>
      <c r="AL5631">
        <v>68.710941415716604</v>
      </c>
      <c r="AM5631">
        <v>103.662499212873</v>
      </c>
      <c r="AN5631">
        <v>0.99999998727662898</v>
      </c>
    </row>
    <row r="5632" spans="1:40" x14ac:dyDescent="0.25">
      <c r="A5632" t="str">
        <f>"20190304164239373"</f>
        <v>20190304164239373</v>
      </c>
      <c r="B5632" t="str">
        <f>"1551688959367091"</f>
        <v>1551688959367091</v>
      </c>
      <c r="C5632" t="s">
        <v>40</v>
      </c>
      <c r="D5632">
        <v>4.1016839999999997</v>
      </c>
      <c r="E5632">
        <v>0.37001519999999999</v>
      </c>
      <c r="F5632" t="s">
        <v>57</v>
      </c>
      <c r="G5632">
        <v>-412.70839999999998</v>
      </c>
      <c r="H5632" s="1">
        <v>-9.5902220000000003E-6</v>
      </c>
      <c r="I5632">
        <v>27.47101</v>
      </c>
      <c r="J5632">
        <v>-421.89389999999997</v>
      </c>
      <c r="K5632">
        <v>1.11541</v>
      </c>
      <c r="L5632">
        <v>42.83475</v>
      </c>
      <c r="M5632">
        <v>0.1063452</v>
      </c>
      <c r="N5632">
        <v>-1.427908E-2</v>
      </c>
      <c r="O5632">
        <v>-0.99422690000000002</v>
      </c>
      <c r="P5632">
        <v>0.32167299999999999</v>
      </c>
      <c r="Q5632">
        <v>0.35311740000000003</v>
      </c>
      <c r="R5632">
        <v>-0.87854149999999998</v>
      </c>
      <c r="S5632">
        <v>1.7030029999999901</v>
      </c>
      <c r="T5632">
        <v>-0.2060564</v>
      </c>
      <c r="U5632">
        <v>-2.8848880000000001</v>
      </c>
      <c r="V5632">
        <v>-0.23049510000000001</v>
      </c>
      <c r="W5632">
        <v>0.36348520000000001</v>
      </c>
      <c r="X5632">
        <v>0.90263530000000003</v>
      </c>
      <c r="Y5632">
        <v>-0.4130762</v>
      </c>
      <c r="Z5632">
        <v>4.8609920000000001E-2</v>
      </c>
      <c r="AA5632">
        <v>0.90939829999999999</v>
      </c>
      <c r="AB5632">
        <v>27</v>
      </c>
      <c r="AC5632">
        <v>9.1854999999999905</v>
      </c>
      <c r="AD5632">
        <v>-1.1154195902220001</v>
      </c>
      <c r="AE5632">
        <v>-15.36374</v>
      </c>
      <c r="AF5632">
        <v>-7.4703676220010697</v>
      </c>
      <c r="AG5632">
        <v>-1.1154195902220001</v>
      </c>
      <c r="AH5632">
        <v>16.1906646314714</v>
      </c>
      <c r="AI5632">
        <v>93.579480877379694</v>
      </c>
      <c r="AJ5632">
        <v>114.76858541864</v>
      </c>
      <c r="AK5632">
        <v>17.865838196929701</v>
      </c>
      <c r="AL5632">
        <v>68.685610606969803</v>
      </c>
      <c r="AM5632">
        <v>104.324807054977</v>
      </c>
      <c r="AN5632">
        <v>0.99999998327456896</v>
      </c>
    </row>
    <row r="5633" spans="1:40" x14ac:dyDescent="0.25">
      <c r="A5633" t="str">
        <f>"20190304164239395"</f>
        <v>20190304164239395</v>
      </c>
      <c r="B5633" t="str">
        <f>"1551688959386611"</f>
        <v>1551688959386611</v>
      </c>
      <c r="C5633" t="s">
        <v>40</v>
      </c>
      <c r="D5633">
        <v>4.1122889999999996</v>
      </c>
      <c r="E5633">
        <v>0.34384979999999998</v>
      </c>
      <c r="F5633" t="s">
        <v>57</v>
      </c>
      <c r="G5633">
        <v>-403.90230000000003</v>
      </c>
      <c r="H5633" s="1">
        <v>-6.3906399999999997E-6</v>
      </c>
      <c r="I5633">
        <v>19.503080000000001</v>
      </c>
      <c r="J5633">
        <v>-421.85939999999999</v>
      </c>
      <c r="K5633">
        <v>1.115556</v>
      </c>
      <c r="L5633">
        <v>42.579560000000001</v>
      </c>
      <c r="M5633">
        <v>0.1128357</v>
      </c>
      <c r="N5633">
        <v>-1.429825E-2</v>
      </c>
      <c r="O5633">
        <v>-0.99351080000000003</v>
      </c>
      <c r="P5633">
        <v>0.33815800000000001</v>
      </c>
      <c r="Q5633">
        <v>0.35250009999999998</v>
      </c>
      <c r="R5633">
        <v>-0.87257839999999998</v>
      </c>
      <c r="S5633">
        <v>2.0846559999999998</v>
      </c>
      <c r="T5633">
        <v>-0.1292413</v>
      </c>
      <c r="U5633">
        <v>-2.7033999999999998</v>
      </c>
      <c r="V5633">
        <v>-0.24174090000000001</v>
      </c>
      <c r="W5633">
        <v>0.36263440000000002</v>
      </c>
      <c r="X5633">
        <v>0.90003199999999906</v>
      </c>
      <c r="Y5633">
        <v>-0.51702769999999998</v>
      </c>
      <c r="Z5633">
        <v>2.5029510000000001E-2</v>
      </c>
      <c r="AA5633">
        <v>0.85560259999999999</v>
      </c>
      <c r="AB5633">
        <v>27</v>
      </c>
      <c r="AC5633">
        <v>17.957099999999901</v>
      </c>
      <c r="AD5633">
        <v>-1.1155623906399901</v>
      </c>
      <c r="AE5633">
        <v>-23.07648</v>
      </c>
      <c r="AF5633">
        <v>-15.2161313652855</v>
      </c>
      <c r="AG5633">
        <v>-1.1155623906399901</v>
      </c>
      <c r="AH5633">
        <v>24.919213083646</v>
      </c>
      <c r="AI5633">
        <v>92.188057143278996</v>
      </c>
      <c r="AJ5633">
        <v>121.40900918568001</v>
      </c>
      <c r="AK5633">
        <v>29.218869141039502</v>
      </c>
      <c r="AL5633">
        <v>68.737927729192407</v>
      </c>
      <c r="AM5633">
        <v>105.034328094442</v>
      </c>
      <c r="AN5633">
        <v>0.99999998591008399</v>
      </c>
    </row>
    <row r="5634" spans="1:40" x14ac:dyDescent="0.25">
      <c r="A5634" t="str">
        <f>"20190304164239417"</f>
        <v>20190304164239417</v>
      </c>
      <c r="B5634" t="str">
        <f>"1551688959407107"</f>
        <v>1551688959407107</v>
      </c>
      <c r="C5634" t="s">
        <v>40</v>
      </c>
      <c r="D5634">
        <v>4.0951769999999996</v>
      </c>
      <c r="E5634">
        <v>0.33534960000000003</v>
      </c>
      <c r="F5634" t="s">
        <v>42</v>
      </c>
      <c r="G5634">
        <v>-398.83789999999999</v>
      </c>
      <c r="H5634" s="1">
        <v>-1.139712E-6</v>
      </c>
      <c r="I5634">
        <v>16.950769999999999</v>
      </c>
      <c r="J5634">
        <v>-421.8227</v>
      </c>
      <c r="K5634">
        <v>1.1156980000000001</v>
      </c>
      <c r="L5634">
        <v>42.321840000000002</v>
      </c>
      <c r="M5634">
        <v>0.1195918</v>
      </c>
      <c r="N5634">
        <v>-1.431748E-2</v>
      </c>
      <c r="O5634">
        <v>-0.99272009999999999</v>
      </c>
      <c r="P5634">
        <v>0.35388130000000001</v>
      </c>
      <c r="Q5634">
        <v>0.35214649999999997</v>
      </c>
      <c r="R5634">
        <v>-0.86646499999999904</v>
      </c>
      <c r="S5634">
        <v>2.3211059999999999</v>
      </c>
      <c r="T5634">
        <v>-0.1124744</v>
      </c>
      <c r="U5634">
        <v>-2.5839840000000001</v>
      </c>
      <c r="V5634">
        <v>-0.2520405</v>
      </c>
      <c r="W5634">
        <v>0.36205530000000002</v>
      </c>
      <c r="X5634">
        <v>0.89743609999999896</v>
      </c>
      <c r="Y5634">
        <v>-0.57418469999999999</v>
      </c>
      <c r="Z5634">
        <v>1.9686289999999999E-2</v>
      </c>
      <c r="AA5634">
        <v>0.81848909999999997</v>
      </c>
      <c r="AB5634">
        <v>27</v>
      </c>
      <c r="AC5634">
        <v>22.9848</v>
      </c>
      <c r="AD5634">
        <v>-1.115699139712</v>
      </c>
      <c r="AE5634">
        <v>-25.37107</v>
      </c>
      <c r="AF5634">
        <v>-19.764333316849601</v>
      </c>
      <c r="AG5634">
        <v>-1.115699139712</v>
      </c>
      <c r="AH5634">
        <v>27.908381251326301</v>
      </c>
      <c r="AI5634">
        <v>91.868591535790898</v>
      </c>
      <c r="AJ5634">
        <v>125.305603365058</v>
      </c>
      <c r="AK5634">
        <v>34.216244681426801</v>
      </c>
      <c r="AL5634">
        <v>68.773527286088296</v>
      </c>
      <c r="AM5634">
        <v>105.687135215425</v>
      </c>
      <c r="AN5634">
        <v>1.0000000037407699</v>
      </c>
    </row>
    <row r="5635" spans="1:40" x14ac:dyDescent="0.25">
      <c r="A5635" t="str">
        <f>"20190304164239442"</f>
        <v>20190304164239442</v>
      </c>
      <c r="B5635" t="str">
        <f>"1551688959438339"</f>
        <v>1551688959438339</v>
      </c>
      <c r="C5635" t="s">
        <v>40</v>
      </c>
      <c r="D5635">
        <v>4.1022869999999996</v>
      </c>
      <c r="E5635">
        <v>0.33467799999999998</v>
      </c>
      <c r="F5635" t="s">
        <v>42</v>
      </c>
      <c r="G5635">
        <v>-398.4785</v>
      </c>
      <c r="H5635" s="1">
        <v>-9.8195319999999994E-7</v>
      </c>
      <c r="I5635">
        <v>18.062329999999999</v>
      </c>
      <c r="J5635">
        <v>-421.78160000000003</v>
      </c>
      <c r="K5635">
        <v>1.11582</v>
      </c>
      <c r="L5635">
        <v>42.048220000000001</v>
      </c>
      <c r="M5635">
        <v>0.12695329999999999</v>
      </c>
      <c r="N5635">
        <v>-1.433621E-2</v>
      </c>
      <c r="O5635">
        <v>-0.9918053</v>
      </c>
      <c r="P5635">
        <v>0.36923230000000001</v>
      </c>
      <c r="Q5635">
        <v>0.35035149999999998</v>
      </c>
      <c r="R5635">
        <v>-0.86076799999999998</v>
      </c>
      <c r="S5635">
        <v>2.424255</v>
      </c>
      <c r="T5635">
        <v>-0.1158638</v>
      </c>
      <c r="U5635">
        <v>-2.5193180000000002</v>
      </c>
      <c r="V5635">
        <v>-0.26138030000000001</v>
      </c>
      <c r="W5635">
        <v>0.36005690000000001</v>
      </c>
      <c r="X5635">
        <v>0.89556650000000004</v>
      </c>
      <c r="Y5635">
        <v>-0.59596479999999996</v>
      </c>
      <c r="Z5635">
        <v>2.0630860000000001E-2</v>
      </c>
      <c r="AA5635">
        <v>0.8027455</v>
      </c>
      <c r="AB5635">
        <v>27</v>
      </c>
      <c r="AC5635">
        <v>23.303100000000001</v>
      </c>
      <c r="AD5635">
        <v>-1.1158209819531999</v>
      </c>
      <c r="AE5635">
        <v>-23.985889999999898</v>
      </c>
      <c r="AF5635">
        <v>-20.046790557417001</v>
      </c>
      <c r="AG5635">
        <v>-1.1158209819531999</v>
      </c>
      <c r="AH5635">
        <v>26.720733827602601</v>
      </c>
      <c r="AI5635">
        <v>91.913148277107993</v>
      </c>
      <c r="AJ5635">
        <v>126.878460195968</v>
      </c>
      <c r="AK5635">
        <v>33.4232925428106</v>
      </c>
      <c r="AL5635">
        <v>68.896309383538494</v>
      </c>
      <c r="AM5635">
        <v>106.270428316096</v>
      </c>
      <c r="AN5635">
        <v>0.99999999419397501</v>
      </c>
    </row>
    <row r="5636" spans="1:40" x14ac:dyDescent="0.25">
      <c r="A5636" t="str">
        <f>"20190304164239464"</f>
        <v>20190304164239464</v>
      </c>
      <c r="B5636" t="str">
        <f>"1551688959456883"</f>
        <v>1551688959456883</v>
      </c>
      <c r="C5636" t="s">
        <v>40</v>
      </c>
      <c r="D5636">
        <v>4.1048339999999897</v>
      </c>
      <c r="E5636">
        <v>0.33636070000000001</v>
      </c>
      <c r="F5636" t="s">
        <v>57</v>
      </c>
      <c r="G5636">
        <v>-400.86169999999998</v>
      </c>
      <c r="H5636" s="1">
        <v>-5.9915150000000004E-6</v>
      </c>
      <c r="I5636">
        <v>21.024650000000001</v>
      </c>
      <c r="J5636">
        <v>-421.74059999999997</v>
      </c>
      <c r="K5636">
        <v>1.1159079999999999</v>
      </c>
      <c r="L5636">
        <v>41.790770000000002</v>
      </c>
      <c r="M5636">
        <v>0.13404479999999999</v>
      </c>
      <c r="N5636">
        <v>-1.435166E-2</v>
      </c>
      <c r="O5636">
        <v>-0.99087130000000001</v>
      </c>
      <c r="P5636">
        <v>0.38418400000000003</v>
      </c>
      <c r="Q5636">
        <v>0.34832920000000001</v>
      </c>
      <c r="R5636">
        <v>-0.8550257</v>
      </c>
      <c r="S5636">
        <v>2.4679570000000002</v>
      </c>
      <c r="T5636">
        <v>-0.13163629999999901</v>
      </c>
      <c r="U5636">
        <v>-2.480194</v>
      </c>
      <c r="V5636">
        <v>-0.2705747</v>
      </c>
      <c r="W5636">
        <v>0.35784759999999999</v>
      </c>
      <c r="X5636">
        <v>0.89371939999999905</v>
      </c>
      <c r="Y5636">
        <v>-0.60354830000000004</v>
      </c>
      <c r="Z5636">
        <v>2.5381709999999998E-2</v>
      </c>
      <c r="AA5636">
        <v>0.79692229999999997</v>
      </c>
      <c r="AB5636">
        <v>27</v>
      </c>
      <c r="AC5636">
        <v>20.878899999999899</v>
      </c>
      <c r="AD5636">
        <v>-1.11591399151499</v>
      </c>
      <c r="AE5636">
        <v>-20.766120000000001</v>
      </c>
      <c r="AF5636">
        <v>-17.880879980065501</v>
      </c>
      <c r="AG5636">
        <v>-1.11591399151499</v>
      </c>
      <c r="AH5636">
        <v>23.344146216316599</v>
      </c>
      <c r="AI5636">
        <v>92.173294308425696</v>
      </c>
      <c r="AJ5636">
        <v>127.450976309513</v>
      </c>
      <c r="AK5636">
        <v>29.426523672814898</v>
      </c>
      <c r="AL5636">
        <v>69.0319308546093</v>
      </c>
      <c r="AM5636">
        <v>106.843755805575</v>
      </c>
      <c r="AN5636">
        <v>0.99999996952110404</v>
      </c>
    </row>
    <row r="5637" spans="1:40" x14ac:dyDescent="0.25">
      <c r="A5637" t="str">
        <f>"20190304164239484"</f>
        <v>20190304164239484</v>
      </c>
      <c r="B5637" t="str">
        <f>"1551688959476943"</f>
        <v>1551688959476943</v>
      </c>
      <c r="C5637" t="s">
        <v>40</v>
      </c>
      <c r="D5637">
        <v>4.0851040000000003</v>
      </c>
      <c r="E5637">
        <v>0.33859129999999998</v>
      </c>
      <c r="F5637" t="s">
        <v>57</v>
      </c>
      <c r="G5637">
        <v>-403.03489999999999</v>
      </c>
      <c r="H5637" s="1">
        <v>-5.4062769999999998E-6</v>
      </c>
      <c r="I5637">
        <v>23.42389</v>
      </c>
      <c r="J5637">
        <v>-421.69940000000003</v>
      </c>
      <c r="K5637">
        <v>1.1159589999999999</v>
      </c>
      <c r="L5637">
        <v>41.543370000000003</v>
      </c>
      <c r="M5637">
        <v>0.14097570000000001</v>
      </c>
      <c r="N5637">
        <v>-1.4364750000000001E-2</v>
      </c>
      <c r="O5637">
        <v>-0.98990880000000003</v>
      </c>
      <c r="P5637">
        <v>0.39942830000000001</v>
      </c>
      <c r="Q5637">
        <v>0.34545330000000002</v>
      </c>
      <c r="R5637">
        <v>-0.84918769999999999</v>
      </c>
      <c r="S5637">
        <v>2.4938959999999999</v>
      </c>
      <c r="T5637">
        <v>-0.1487771</v>
      </c>
      <c r="U5637">
        <v>-2.4487299999999999</v>
      </c>
      <c r="V5637">
        <v>-0.28021649999999998</v>
      </c>
      <c r="W5637">
        <v>0.35479119999999997</v>
      </c>
      <c r="X5637">
        <v>0.89196520000000001</v>
      </c>
      <c r="Y5637">
        <v>-0.60709449999999998</v>
      </c>
      <c r="Z5637">
        <v>3.0608150000000001E-2</v>
      </c>
      <c r="AA5637">
        <v>0.79403990000000002</v>
      </c>
      <c r="AB5637">
        <v>26</v>
      </c>
      <c r="AC5637">
        <v>18.6645</v>
      </c>
      <c r="AD5637">
        <v>-1.115964406277</v>
      </c>
      <c r="AE5637">
        <v>-18.119479999999999</v>
      </c>
      <c r="AF5637">
        <v>-15.894138001698501</v>
      </c>
      <c r="AG5637">
        <v>-1.115964406277</v>
      </c>
      <c r="AH5637">
        <v>20.5322088198001</v>
      </c>
      <c r="AI5637">
        <v>92.461007537271499</v>
      </c>
      <c r="AJ5637">
        <v>127.74372470395799</v>
      </c>
      <c r="AK5637">
        <v>25.989240050316798</v>
      </c>
      <c r="AL5637">
        <v>69.219351948147306</v>
      </c>
      <c r="AM5637">
        <v>107.440440612543</v>
      </c>
      <c r="AN5637">
        <v>1.00000000024036</v>
      </c>
    </row>
    <row r="5638" spans="1:40" x14ac:dyDescent="0.25">
      <c r="A5638" t="str">
        <f>"20190304164239508"</f>
        <v>20190304164239508</v>
      </c>
      <c r="B5638" t="str">
        <f>"1551688959496463"</f>
        <v>1551688959496463</v>
      </c>
      <c r="C5638" t="s">
        <v>40</v>
      </c>
      <c r="D5638">
        <v>4.083564</v>
      </c>
      <c r="E5638">
        <v>0.34100229999999998</v>
      </c>
      <c r="F5638" t="s">
        <v>57</v>
      </c>
      <c r="G5638">
        <v>-404.58030000000002</v>
      </c>
      <c r="H5638" s="1">
        <v>-4.9889790000000001E-6</v>
      </c>
      <c r="I5638">
        <v>25.123480000000001</v>
      </c>
      <c r="J5638">
        <v>-421.65359999999998</v>
      </c>
      <c r="K5638">
        <v>1.1160049999999999</v>
      </c>
      <c r="L5638">
        <v>41.281010000000002</v>
      </c>
      <c r="M5638">
        <v>0.14841499999999999</v>
      </c>
      <c r="N5638">
        <v>-1.4376770000000001E-2</v>
      </c>
      <c r="O5638">
        <v>-0.9888209</v>
      </c>
      <c r="P5638">
        <v>0.4143772</v>
      </c>
      <c r="Q5638">
        <v>0.34211940000000002</v>
      </c>
      <c r="R5638">
        <v>-0.8433543</v>
      </c>
      <c r="S5638">
        <v>2.5180359999999999</v>
      </c>
      <c r="T5638">
        <v>-0.1641464</v>
      </c>
      <c r="U5638">
        <v>-2.4151919999999998</v>
      </c>
      <c r="V5638">
        <v>-0.2891127</v>
      </c>
      <c r="W5638">
        <v>0.35129939999999998</v>
      </c>
      <c r="X5638">
        <v>0.89050689999999999</v>
      </c>
      <c r="Y5638">
        <v>-0.61028230000000006</v>
      </c>
      <c r="Z5638">
        <v>3.5373050000000003E-2</v>
      </c>
      <c r="AA5638">
        <v>0.79139389999999998</v>
      </c>
      <c r="AB5638">
        <v>26</v>
      </c>
      <c r="AC5638">
        <v>17.0732999999999</v>
      </c>
      <c r="AD5638">
        <v>-1.1160099889789901</v>
      </c>
      <c r="AE5638">
        <v>-16.157529999999898</v>
      </c>
      <c r="AF5638">
        <v>-14.453331920146599</v>
      </c>
      <c r="AG5638">
        <v>-1.1160099889789901</v>
      </c>
      <c r="AH5638">
        <v>18.471112178048301</v>
      </c>
      <c r="AI5638">
        <v>92.724269221822695</v>
      </c>
      <c r="AJ5638">
        <v>128.04257719253999</v>
      </c>
      <c r="AK5638">
        <v>23.480337880521901</v>
      </c>
      <c r="AL5638">
        <v>69.433186745449404</v>
      </c>
      <c r="AM5638">
        <v>107.986582821567</v>
      </c>
      <c r="AN5638">
        <v>0.999999980344629</v>
      </c>
    </row>
    <row r="5639" spans="1:40" x14ac:dyDescent="0.25">
      <c r="A5639" t="str">
        <f>"20190304164239529"</f>
        <v>20190304164239529</v>
      </c>
      <c r="B5639" t="str">
        <f>"1551688959516959"</f>
        <v>1551688959516959</v>
      </c>
      <c r="C5639" t="s">
        <v>40</v>
      </c>
      <c r="D5639">
        <v>4.0798180000000004</v>
      </c>
      <c r="E5639">
        <v>0.3435532</v>
      </c>
      <c r="F5639" t="s">
        <v>57</v>
      </c>
      <c r="G5639">
        <v>-405.91890000000001</v>
      </c>
      <c r="H5639" s="1">
        <v>-4.5791400000000002E-6</v>
      </c>
      <c r="I5639">
        <v>26.526109999999999</v>
      </c>
      <c r="J5639">
        <v>-421.60820000000001</v>
      </c>
      <c r="K5639">
        <v>1.1160289999999999</v>
      </c>
      <c r="L5639">
        <v>41.032350000000001</v>
      </c>
      <c r="M5639">
        <v>0.15553169999999999</v>
      </c>
      <c r="N5639">
        <v>-1.4386410000000001E-2</v>
      </c>
      <c r="O5639">
        <v>-0.9877262</v>
      </c>
      <c r="P5639">
        <v>0.4283978</v>
      </c>
      <c r="Q5639">
        <v>0.34056730000000002</v>
      </c>
      <c r="R5639">
        <v>-0.83695259999999905</v>
      </c>
      <c r="S5639">
        <v>2.540314</v>
      </c>
      <c r="T5639">
        <v>-0.180177</v>
      </c>
      <c r="U5639">
        <v>-2.3821409999999998</v>
      </c>
      <c r="V5639">
        <v>-0.29751149999999998</v>
      </c>
      <c r="W5639">
        <v>0.3495933</v>
      </c>
      <c r="X5639">
        <v>0.88840949999999996</v>
      </c>
      <c r="Y5639">
        <v>-0.6133459</v>
      </c>
      <c r="Z5639">
        <v>4.0369009999999997E-2</v>
      </c>
      <c r="AA5639">
        <v>0.78878210000000004</v>
      </c>
      <c r="AB5639">
        <v>26</v>
      </c>
      <c r="AC5639">
        <v>15.689299999999999</v>
      </c>
      <c r="AD5639">
        <v>-1.11603357914</v>
      </c>
      <c r="AE5639">
        <v>-14.50624</v>
      </c>
      <c r="AF5639">
        <v>-13.205897354586799</v>
      </c>
      <c r="AG5639">
        <v>-1.11603357914</v>
      </c>
      <c r="AH5639">
        <v>16.724488117491202</v>
      </c>
      <c r="AI5639">
        <v>92.997957883202204</v>
      </c>
      <c r="AJ5639">
        <v>128.29513112017099</v>
      </c>
      <c r="AK5639">
        <v>21.338925902719598</v>
      </c>
      <c r="AL5639">
        <v>69.537558532901599</v>
      </c>
      <c r="AM5639">
        <v>108.514721242295</v>
      </c>
      <c r="AN5639">
        <v>1.00000000386369</v>
      </c>
    </row>
    <row r="5640" spans="1:40" x14ac:dyDescent="0.25">
      <c r="A5640" t="str">
        <f>"20190304164239553"</f>
        <v>20190304164239553</v>
      </c>
      <c r="B5640" t="str">
        <f>"1551688959547215"</f>
        <v>1551688959547215</v>
      </c>
      <c r="C5640" t="s">
        <v>40</v>
      </c>
      <c r="D5640">
        <v>4.0443920000000002</v>
      </c>
      <c r="E5640">
        <v>0.34610039999999997</v>
      </c>
      <c r="F5640" t="s">
        <v>57</v>
      </c>
      <c r="G5640">
        <v>-406.40789999999998</v>
      </c>
      <c r="H5640" s="1">
        <v>-4.4315239999999997E-6</v>
      </c>
      <c r="I5640">
        <v>27.078980000000001</v>
      </c>
      <c r="J5640">
        <v>-421.55779999999999</v>
      </c>
      <c r="K5640">
        <v>1.116055</v>
      </c>
      <c r="L5640">
        <v>40.767119999999998</v>
      </c>
      <c r="M5640">
        <v>0.16319129999999901</v>
      </c>
      <c r="N5640">
        <v>-1.439557E-2</v>
      </c>
      <c r="O5640">
        <v>-0.98648950000000002</v>
      </c>
      <c r="P5640">
        <v>0.44150830000000002</v>
      </c>
      <c r="Q5640">
        <v>0.3397095</v>
      </c>
      <c r="R5640">
        <v>-0.8304629</v>
      </c>
      <c r="S5640">
        <v>2.560425</v>
      </c>
      <c r="T5640">
        <v>-0.18799009999999999</v>
      </c>
      <c r="U5640">
        <v>-2.3503720000000001</v>
      </c>
      <c r="V5640">
        <v>-0.30457990000000001</v>
      </c>
      <c r="W5640">
        <v>0.34859959999999901</v>
      </c>
      <c r="X5640">
        <v>0.88640249999999998</v>
      </c>
      <c r="Y5640">
        <v>-0.61551239999999996</v>
      </c>
      <c r="Z5640">
        <v>4.2947109999999997E-2</v>
      </c>
      <c r="AA5640">
        <v>0.78695619999999999</v>
      </c>
      <c r="AB5640">
        <v>26</v>
      </c>
      <c r="AC5640">
        <v>15.149900000000001</v>
      </c>
      <c r="AD5640">
        <v>-1.116059431524</v>
      </c>
      <c r="AE5640">
        <v>-13.688139999999899</v>
      </c>
      <c r="AF5640">
        <v>-12.674877543221699</v>
      </c>
      <c r="AG5640">
        <v>-1.116059431524</v>
      </c>
      <c r="AH5640">
        <v>15.9295972706885</v>
      </c>
      <c r="AI5640">
        <v>93.138073543403493</v>
      </c>
      <c r="AJ5640">
        <v>128.50859874702601</v>
      </c>
      <c r="AK5640">
        <v>20.387500548048699</v>
      </c>
      <c r="AL5640">
        <v>69.598315582112505</v>
      </c>
      <c r="AM5640">
        <v>108.96341512482699</v>
      </c>
      <c r="AN5640">
        <v>0.99999999430520903</v>
      </c>
    </row>
    <row r="5641" spans="1:40" x14ac:dyDescent="0.25">
      <c r="A5641" t="str">
        <f>"20190304164239574"</f>
        <v>20190304164239574</v>
      </c>
      <c r="B5641" t="str">
        <f>"1551688959566735"</f>
        <v>1551688959566735</v>
      </c>
      <c r="C5641" t="s">
        <v>40</v>
      </c>
      <c r="D5641">
        <v>4.0742699999999896</v>
      </c>
      <c r="E5641">
        <v>0.3725407</v>
      </c>
      <c r="F5641" t="s">
        <v>57</v>
      </c>
      <c r="G5641">
        <v>-406.54579999999999</v>
      </c>
      <c r="H5641" s="1">
        <v>-4.3938210000000001E-6</v>
      </c>
      <c r="I5641">
        <v>27.257210000000001</v>
      </c>
      <c r="J5641">
        <v>-421.50810000000001</v>
      </c>
      <c r="K5641">
        <v>1.1160909999999999</v>
      </c>
      <c r="L5641">
        <v>40.516449999999999</v>
      </c>
      <c r="M5641">
        <v>0.1704997</v>
      </c>
      <c r="N5641">
        <v>-1.4404190000000001E-2</v>
      </c>
      <c r="O5641">
        <v>-0.98525260000000003</v>
      </c>
      <c r="P5641">
        <v>0.45316980000000001</v>
      </c>
      <c r="Q5641">
        <v>0.33891359999999998</v>
      </c>
      <c r="R5641">
        <v>-0.82448489999999997</v>
      </c>
      <c r="S5641">
        <v>2.5781860000000001</v>
      </c>
      <c r="T5641">
        <v>-0.1916745</v>
      </c>
      <c r="U5641">
        <v>-2.3202210000000001</v>
      </c>
      <c r="V5641">
        <v>-0.31049339999999997</v>
      </c>
      <c r="W5641">
        <v>0.34768369999999998</v>
      </c>
      <c r="X5641">
        <v>0.88470890000000002</v>
      </c>
      <c r="Y5641">
        <v>-0.61738909999999902</v>
      </c>
      <c r="Z5641">
        <v>4.4299190000000002E-2</v>
      </c>
      <c r="AA5641">
        <v>0.78540959999999904</v>
      </c>
      <c r="AB5641">
        <v>26</v>
      </c>
      <c r="AC5641">
        <v>14.962300000000001</v>
      </c>
      <c r="AD5641">
        <v>-1.1160953938210001</v>
      </c>
      <c r="AE5641">
        <v>-13.25924</v>
      </c>
      <c r="AF5641">
        <v>-12.443459243795999</v>
      </c>
      <c r="AG5641">
        <v>-1.1160953938210001</v>
      </c>
      <c r="AH5641">
        <v>15.567865933063</v>
      </c>
      <c r="AI5641">
        <v>93.205287315797193</v>
      </c>
      <c r="AJ5641">
        <v>128.635488116971</v>
      </c>
      <c r="AK5641">
        <v>19.961057000819</v>
      </c>
      <c r="AL5641">
        <v>69.654294267828803</v>
      </c>
      <c r="AM5641">
        <v>109.33880014394801</v>
      </c>
      <c r="AN5641">
        <v>0.99999997221422898</v>
      </c>
    </row>
    <row r="5642" spans="1:40" x14ac:dyDescent="0.25">
      <c r="A5642" t="str">
        <f>"20190304164239596"</f>
        <v>20190304164239596</v>
      </c>
      <c r="B5642" t="str">
        <f>"1551688959587230"</f>
        <v>1551688959587230</v>
      </c>
      <c r="C5642" t="s">
        <v>40</v>
      </c>
      <c r="D5642">
        <v>4.0685460000000004</v>
      </c>
      <c r="E5642">
        <v>0.37404730000000003</v>
      </c>
      <c r="F5642" t="s">
        <v>41</v>
      </c>
      <c r="G5642">
        <v>-420.81830000000002</v>
      </c>
      <c r="H5642">
        <v>1.062573</v>
      </c>
      <c r="I5642">
        <v>39.838830000000002</v>
      </c>
      <c r="J5642">
        <v>-421.45699999999999</v>
      </c>
      <c r="K5642">
        <v>1.1161289999999999</v>
      </c>
      <c r="L5642">
        <v>40.268799999999999</v>
      </c>
      <c r="M5642">
        <v>0.17779829999999999</v>
      </c>
      <c r="N5642">
        <v>-1.4413240000000001E-2</v>
      </c>
      <c r="O5642">
        <v>-0.98396150000000004</v>
      </c>
      <c r="P5642">
        <v>0.4653564</v>
      </c>
      <c r="Q5642">
        <v>0.3382444</v>
      </c>
      <c r="R5642">
        <v>-0.81794500000000003</v>
      </c>
      <c r="S5642">
        <v>2.425964</v>
      </c>
      <c r="T5642">
        <v>-0.18817529999999999</v>
      </c>
      <c r="U5642">
        <v>-2.382568</v>
      </c>
      <c r="V5642">
        <v>-0.31707380000000002</v>
      </c>
      <c r="W5642">
        <v>0.3468734</v>
      </c>
      <c r="X5642">
        <v>0.8826908</v>
      </c>
      <c r="Y5642">
        <v>-0.57656229999999997</v>
      </c>
      <c r="Z5642">
        <v>4.4145719999999999E-2</v>
      </c>
      <c r="AA5642">
        <v>0.81585969999999997</v>
      </c>
      <c r="AB5642">
        <v>26</v>
      </c>
      <c r="AC5642">
        <v>0.63869999999997096</v>
      </c>
      <c r="AD5642">
        <v>-5.3556000000000097E-2</v>
      </c>
      <c r="AE5642">
        <v>-0.42996999999999702</v>
      </c>
      <c r="AF5642">
        <v>-0.549407325687157</v>
      </c>
      <c r="AG5642">
        <v>-5.3556000000000097E-2</v>
      </c>
      <c r="AH5642">
        <v>0.53410519288262903</v>
      </c>
      <c r="AI5642">
        <v>93.998184176514897</v>
      </c>
      <c r="AJ5642">
        <v>135.80911787341699</v>
      </c>
      <c r="AK5642">
        <v>0.76810481818493004</v>
      </c>
      <c r="AL5642">
        <v>69.703802897518997</v>
      </c>
      <c r="AM5642">
        <v>109.758935894362</v>
      </c>
      <c r="AN5642">
        <v>0.99999999933932004</v>
      </c>
    </row>
    <row r="5643" spans="1:40" x14ac:dyDescent="0.25">
      <c r="A5643" t="str">
        <f>"20190304164239619"</f>
        <v>20190304164239619</v>
      </c>
      <c r="B5643" t="str">
        <f>"1551688959606751"</f>
        <v>1551688959606751</v>
      </c>
      <c r="C5643" t="s">
        <v>40</v>
      </c>
      <c r="D5643">
        <v>4.0469140000000001</v>
      </c>
      <c r="E5643">
        <v>0.37569249999999998</v>
      </c>
      <c r="F5643" t="s">
        <v>41</v>
      </c>
      <c r="G5643">
        <v>-420.77390000000003</v>
      </c>
      <c r="H5643">
        <v>1.0623640000000001</v>
      </c>
      <c r="I5643">
        <v>39.61356</v>
      </c>
      <c r="J5643">
        <v>-421.40249999999997</v>
      </c>
      <c r="K5643">
        <v>1.116193</v>
      </c>
      <c r="L5643">
        <v>40.014650000000003</v>
      </c>
      <c r="M5643">
        <v>0.1853832</v>
      </c>
      <c r="N5643">
        <v>-1.442331E-2</v>
      </c>
      <c r="O5643">
        <v>-0.98256049999999995</v>
      </c>
      <c r="P5643">
        <v>0.47739470000000001</v>
      </c>
      <c r="Q5643">
        <v>0.33822479999999999</v>
      </c>
      <c r="R5643">
        <v>-0.81098599999999998</v>
      </c>
      <c r="S5643">
        <v>2.4520870000000001</v>
      </c>
      <c r="T5643">
        <v>-0.19302710000000001</v>
      </c>
      <c r="U5643">
        <v>-2.3524780000000001</v>
      </c>
      <c r="V5643">
        <v>-0.32338539999999999</v>
      </c>
      <c r="W5643">
        <v>0.34670220000000002</v>
      </c>
      <c r="X5643">
        <v>0.88046550000000001</v>
      </c>
      <c r="Y5643">
        <v>-0.57974890000000001</v>
      </c>
      <c r="Z5643">
        <v>4.5794420000000002E-2</v>
      </c>
      <c r="AA5643">
        <v>0.81350730000000004</v>
      </c>
      <c r="AB5643">
        <v>26</v>
      </c>
      <c r="AC5643">
        <v>0.62859999999994898</v>
      </c>
      <c r="AD5643">
        <v>-5.3829000000000099E-2</v>
      </c>
      <c r="AE5643">
        <v>-0.401090000000003</v>
      </c>
      <c r="AF5643">
        <v>-0.540521833360041</v>
      </c>
      <c r="AG5643">
        <v>-5.3829000000000099E-2</v>
      </c>
      <c r="AH5643">
        <v>0.50803263777959695</v>
      </c>
      <c r="AI5643">
        <v>94.150438705640298</v>
      </c>
      <c r="AJ5643">
        <v>136.77472746413201</v>
      </c>
      <c r="AK5643">
        <v>0.74374631066593899</v>
      </c>
      <c r="AL5643">
        <v>69.714261244444501</v>
      </c>
      <c r="AM5643">
        <v>110.167734546323</v>
      </c>
      <c r="AN5643">
        <v>1.0000000145541199</v>
      </c>
    </row>
    <row r="5644" spans="1:40" x14ac:dyDescent="0.25">
      <c r="A5644" t="str">
        <f>"20190304164239642"</f>
        <v>20190304164239642</v>
      </c>
      <c r="B5644" t="str">
        <f>"1551688959637007"</f>
        <v>1551688959637007</v>
      </c>
      <c r="C5644" t="s">
        <v>40</v>
      </c>
      <c r="D5644">
        <v>4.0740800000000004</v>
      </c>
      <c r="E5644">
        <v>0.37704910000000003</v>
      </c>
      <c r="F5644" t="s">
        <v>41</v>
      </c>
      <c r="G5644">
        <v>-420.73250000000002</v>
      </c>
      <c r="H5644">
        <v>1.0656559999999999</v>
      </c>
      <c r="I5644">
        <v>39.387030000000003</v>
      </c>
      <c r="J5644">
        <v>-421.34379999999999</v>
      </c>
      <c r="K5644">
        <v>1.1162780000000001</v>
      </c>
      <c r="L5644">
        <v>39.751950000000001</v>
      </c>
      <c r="M5644">
        <v>0.1933483</v>
      </c>
      <c r="N5644">
        <v>-1.443492E-2</v>
      </c>
      <c r="O5644">
        <v>-0.98102420000000001</v>
      </c>
      <c r="P5644">
        <v>0.48864449999999998</v>
      </c>
      <c r="Q5644">
        <v>0.3400281</v>
      </c>
      <c r="R5644">
        <v>-0.80349759999999903</v>
      </c>
      <c r="S5644">
        <v>2.4764710000000001</v>
      </c>
      <c r="T5644">
        <v>-0.1867511</v>
      </c>
      <c r="U5644">
        <v>-2.3192750000000002</v>
      </c>
      <c r="V5644">
        <v>-0.328762099999999</v>
      </c>
      <c r="W5644">
        <v>0.34834890000000002</v>
      </c>
      <c r="X5644">
        <v>0.87782039999999995</v>
      </c>
      <c r="Y5644">
        <v>-0.5829915</v>
      </c>
      <c r="Z5644">
        <v>4.409714E-2</v>
      </c>
      <c r="AA5644">
        <v>0.81128069999999997</v>
      </c>
      <c r="AB5644">
        <v>26</v>
      </c>
      <c r="AC5644">
        <v>0.61129999999997098</v>
      </c>
      <c r="AD5644">
        <v>-5.0622000000000097E-2</v>
      </c>
      <c r="AE5644">
        <v>-0.36492000000000502</v>
      </c>
      <c r="AF5644">
        <v>-0.52653636237504298</v>
      </c>
      <c r="AG5644">
        <v>-5.0622000000000097E-2</v>
      </c>
      <c r="AH5644">
        <v>0.47384300104308402</v>
      </c>
      <c r="AI5644">
        <v>94.087642143937501</v>
      </c>
      <c r="AJ5644">
        <v>138.015175848403</v>
      </c>
      <c r="AK5644">
        <v>0.71016217684741501</v>
      </c>
      <c r="AL5644">
        <v>69.613641703477697</v>
      </c>
      <c r="AM5644">
        <v>110.531976105879</v>
      </c>
      <c r="AN5644">
        <v>1.0000000645918801</v>
      </c>
    </row>
    <row r="5645" spans="1:40" x14ac:dyDescent="0.25">
      <c r="A5645" t="str">
        <f>"20190304164239665"</f>
        <v>20190304164239665</v>
      </c>
      <c r="B5645" t="str">
        <f>"1551688959656527"</f>
        <v>1551688959656527</v>
      </c>
      <c r="C5645" t="s">
        <v>40</v>
      </c>
      <c r="D5645">
        <v>4.0893389999999998</v>
      </c>
      <c r="E5645">
        <v>0.38852170000000003</v>
      </c>
      <c r="F5645" t="s">
        <v>57</v>
      </c>
      <c r="G5645">
        <v>-405.28620000000001</v>
      </c>
      <c r="H5645" s="1">
        <v>-4.6406070000000001E-6</v>
      </c>
      <c r="I5645">
        <v>25.08278</v>
      </c>
      <c r="J5645">
        <v>-421.28429999999997</v>
      </c>
      <c r="K5645">
        <v>1.1163719999999999</v>
      </c>
      <c r="L5645">
        <v>39.496459999999999</v>
      </c>
      <c r="M5645">
        <v>0.20124929999999999</v>
      </c>
      <c r="N5645">
        <v>-1.444778E-2</v>
      </c>
      <c r="O5645">
        <v>-0.97943349999999996</v>
      </c>
      <c r="P5645">
        <v>0.49931160000000002</v>
      </c>
      <c r="Q5645">
        <v>0.34167180000000003</v>
      </c>
      <c r="R5645">
        <v>-0.79620869999999999</v>
      </c>
      <c r="S5645">
        <v>2.502014</v>
      </c>
      <c r="T5645">
        <v>-0.17393339999999999</v>
      </c>
      <c r="U5645">
        <v>-2.2856749999999999</v>
      </c>
      <c r="V5645">
        <v>-0.33364300000000002</v>
      </c>
      <c r="W5645">
        <v>0.34983819999999999</v>
      </c>
      <c r="X5645">
        <v>0.87538309999999997</v>
      </c>
      <c r="Y5645">
        <v>-0.58662019999999904</v>
      </c>
      <c r="Z5645">
        <v>4.0362229999999999E-2</v>
      </c>
      <c r="AA5645">
        <v>0.80885569999999996</v>
      </c>
      <c r="AB5645">
        <v>26</v>
      </c>
      <c r="AC5645">
        <v>15.9980999999999</v>
      </c>
      <c r="AD5645">
        <v>-1.1163766406069999</v>
      </c>
      <c r="AE5645">
        <v>-14.413679999999999</v>
      </c>
      <c r="AF5645">
        <v>-12.7354350934949</v>
      </c>
      <c r="AG5645">
        <v>-1.1163766406069999</v>
      </c>
      <c r="AH5645">
        <v>17.2921799514756</v>
      </c>
      <c r="AI5645">
        <v>92.975725804785</v>
      </c>
      <c r="AJ5645">
        <v>126.371097186651</v>
      </c>
      <c r="AK5645">
        <v>21.504815537421599</v>
      </c>
      <c r="AL5645">
        <v>69.522580860441593</v>
      </c>
      <c r="AM5645">
        <v>110.86381546775</v>
      </c>
      <c r="AN5645">
        <v>0.99999999469692402</v>
      </c>
    </row>
    <row r="5646" spans="1:40" x14ac:dyDescent="0.25">
      <c r="A5646" t="str">
        <f>"20190304164239685"</f>
        <v>20190304164239685</v>
      </c>
      <c r="B5646" t="str">
        <f>"1551688959677025"</f>
        <v>1551688959677025</v>
      </c>
      <c r="C5646" t="s">
        <v>40</v>
      </c>
      <c r="D5646">
        <v>4.1022850000000002</v>
      </c>
      <c r="E5646">
        <v>0.39083240000000002</v>
      </c>
      <c r="F5646" t="s">
        <v>57</v>
      </c>
      <c r="G5646">
        <v>-404.27980000000002</v>
      </c>
      <c r="H5646" s="1">
        <v>-4.8564050000000001E-6</v>
      </c>
      <c r="I5646">
        <v>23.592410000000001</v>
      </c>
      <c r="J5646">
        <v>-421.22710000000001</v>
      </c>
      <c r="K5646">
        <v>1.1164510000000001</v>
      </c>
      <c r="L5646">
        <v>39.259369999999997</v>
      </c>
      <c r="M5646">
        <v>0.20869260000000001</v>
      </c>
      <c r="N5646">
        <v>-1.4460010000000001E-2</v>
      </c>
      <c r="O5646">
        <v>-0.97787449999999998</v>
      </c>
      <c r="P5646">
        <v>0.50705619999999996</v>
      </c>
      <c r="Q5646">
        <v>0.34283780000000003</v>
      </c>
      <c r="R5646">
        <v>-0.79079500000000003</v>
      </c>
      <c r="S5646">
        <v>2.4558719999999998</v>
      </c>
      <c r="T5646">
        <v>-0.1612324</v>
      </c>
      <c r="U5646">
        <v>-2.2969360000000001</v>
      </c>
      <c r="V5646">
        <v>-0.33571770000000001</v>
      </c>
      <c r="W5646">
        <v>0.35091230000000001</v>
      </c>
      <c r="X5646">
        <v>0.87415919999999903</v>
      </c>
      <c r="Y5646">
        <v>-0.57098689999999996</v>
      </c>
      <c r="Z5646">
        <v>3.679404E-2</v>
      </c>
      <c r="AA5646">
        <v>0.82013429999999998</v>
      </c>
      <c r="AB5646">
        <v>26</v>
      </c>
      <c r="AC5646">
        <v>16.947299999999899</v>
      </c>
      <c r="AD5646">
        <v>-1.116455856405</v>
      </c>
      <c r="AE5646">
        <v>-15.66696</v>
      </c>
      <c r="AF5646">
        <v>-13.273083353918601</v>
      </c>
      <c r="AG5646">
        <v>-1.116455856405</v>
      </c>
      <c r="AH5646">
        <v>18.815037792827098</v>
      </c>
      <c r="AI5646">
        <v>92.775954591145407</v>
      </c>
      <c r="AJ5646">
        <v>125.201086247943</v>
      </c>
      <c r="AK5646">
        <v>23.052697511243402</v>
      </c>
      <c r="AL5646">
        <v>69.456875717352304</v>
      </c>
      <c r="AM5646">
        <v>111.009106635184</v>
      </c>
      <c r="AN5646">
        <v>1.0000000616646001</v>
      </c>
    </row>
    <row r="5647" spans="1:40" x14ac:dyDescent="0.25">
      <c r="A5647" t="str">
        <f>"20190304164239709"</f>
        <v>20190304164239709</v>
      </c>
      <c r="B5647" t="str">
        <f>"1551688959696543"</f>
        <v>1551688959696543</v>
      </c>
      <c r="C5647" t="s">
        <v>40</v>
      </c>
      <c r="D5647">
        <v>4.1176430000000002</v>
      </c>
      <c r="E5647">
        <v>0.39265240000000001</v>
      </c>
      <c r="F5647" t="s">
        <v>41</v>
      </c>
      <c r="G5647">
        <v>-420.44470000000001</v>
      </c>
      <c r="H5647">
        <v>1.06549</v>
      </c>
      <c r="I5647">
        <v>38.53407</v>
      </c>
      <c r="J5647">
        <v>-421.16379999999998</v>
      </c>
      <c r="K5647">
        <v>1.116522</v>
      </c>
      <c r="L5647">
        <v>39.006929999999997</v>
      </c>
      <c r="M5647">
        <v>0.21674550000000001</v>
      </c>
      <c r="N5647">
        <v>-1.447239E-2</v>
      </c>
      <c r="O5647">
        <v>-0.97612089999999996</v>
      </c>
      <c r="P5647">
        <v>0.51817199999999997</v>
      </c>
      <c r="Q5647">
        <v>0.34339429999999999</v>
      </c>
      <c r="R5647">
        <v>-0.78331240000000002</v>
      </c>
      <c r="S5647">
        <v>2.4635929999999999</v>
      </c>
      <c r="T5647">
        <v>-0.16045009999999901</v>
      </c>
      <c r="U5647">
        <v>-2.283569</v>
      </c>
      <c r="V5647">
        <v>-0.34099980000000002</v>
      </c>
      <c r="W5647">
        <v>0.35131760000000001</v>
      </c>
      <c r="X5647">
        <v>0.87194899999999997</v>
      </c>
      <c r="Y5647">
        <v>-0.5678955</v>
      </c>
      <c r="Z5647">
        <v>3.6662760000000003E-2</v>
      </c>
      <c r="AA5647">
        <v>0.82228369999999995</v>
      </c>
      <c r="AB5647">
        <v>26</v>
      </c>
      <c r="AC5647">
        <v>0.71909999999996899</v>
      </c>
      <c r="AD5647">
        <v>-5.1031999999999897E-2</v>
      </c>
      <c r="AE5647">
        <v>-0.472859999999997</v>
      </c>
      <c r="AF5647">
        <v>-0.59740059876507601</v>
      </c>
      <c r="AG5647">
        <v>-5.1031999999999897E-2</v>
      </c>
      <c r="AH5647">
        <v>0.61533139468965303</v>
      </c>
      <c r="AI5647">
        <v>93.405305919290697</v>
      </c>
      <c r="AJ5647">
        <v>134.152917477561</v>
      </c>
      <c r="AK5647">
        <v>0.85914170293356495</v>
      </c>
      <c r="AL5647">
        <v>69.432073158915998</v>
      </c>
      <c r="AM5647">
        <v>111.359359267234</v>
      </c>
      <c r="AN5647">
        <v>0.999999989135399</v>
      </c>
    </row>
    <row r="5648" spans="1:40" x14ac:dyDescent="0.25">
      <c r="A5648" t="str">
        <f>"20190304164239722"</f>
        <v>20190304164239722</v>
      </c>
      <c r="B5648" t="str">
        <f>"1551688959717039"</f>
        <v>1551688959717039</v>
      </c>
      <c r="C5648" t="s">
        <v>40</v>
      </c>
      <c r="D5648">
        <v>4.1795999999999998</v>
      </c>
      <c r="E5648">
        <v>0.37426730000000002</v>
      </c>
      <c r="F5648" t="s">
        <v>41</v>
      </c>
      <c r="G5648">
        <v>-420.39859999999999</v>
      </c>
      <c r="H5648">
        <v>1.0658589999999999</v>
      </c>
      <c r="I5648">
        <v>38.311109999999999</v>
      </c>
      <c r="J5648">
        <v>-421.1259</v>
      </c>
      <c r="K5648">
        <v>1.11656</v>
      </c>
      <c r="L5648">
        <v>38.858919999999998</v>
      </c>
      <c r="M5648">
        <v>0.22151560000000001</v>
      </c>
      <c r="N5648">
        <v>-1.4479290000000001E-2</v>
      </c>
      <c r="O5648">
        <v>-0.97504939999999996</v>
      </c>
      <c r="P5648">
        <v>0.52455850000000004</v>
      </c>
      <c r="Q5648">
        <v>0.34320699999999998</v>
      </c>
      <c r="R5648">
        <v>-0.77913269999999901</v>
      </c>
      <c r="S5648">
        <v>2.4841920000000002</v>
      </c>
      <c r="T5648">
        <v>-0.1644552</v>
      </c>
      <c r="U5648">
        <v>-2.258667</v>
      </c>
      <c r="V5648">
        <v>-0.34389189999999997</v>
      </c>
      <c r="W5648">
        <v>0.35104800000000003</v>
      </c>
      <c r="X5648">
        <v>0.870921099999999</v>
      </c>
      <c r="Y5648">
        <v>-0.57172630000000002</v>
      </c>
      <c r="Z5648">
        <v>3.8016290000000001E-2</v>
      </c>
      <c r="AA5648">
        <v>0.81956319999999905</v>
      </c>
      <c r="AB5648">
        <v>26</v>
      </c>
      <c r="AC5648">
        <v>0.72730000000001305</v>
      </c>
      <c r="AD5648">
        <v>-5.0700999999999802E-2</v>
      </c>
      <c r="AE5648">
        <v>-0.54780999999999802</v>
      </c>
      <c r="AF5648">
        <v>-0.58604944379114998</v>
      </c>
      <c r="AG5648">
        <v>-5.0700999999999802E-2</v>
      </c>
      <c r="AH5648">
        <v>0.69317369066455803</v>
      </c>
      <c r="AI5648">
        <v>93.196975791935699</v>
      </c>
      <c r="AJ5648">
        <v>130.21312602333001</v>
      </c>
      <c r="AK5648">
        <v>0.90912832284471301</v>
      </c>
      <c r="AL5648">
        <v>69.448570048104898</v>
      </c>
      <c r="AM5648">
        <v>111.547080487751</v>
      </c>
      <c r="AN5648">
        <v>0.99999994980740803</v>
      </c>
    </row>
    <row r="5649" spans="1:40" x14ac:dyDescent="0.25">
      <c r="A5649" t="str">
        <f>"20190304164239734"</f>
        <v>20190304164239734</v>
      </c>
      <c r="B5649" t="str">
        <f>"1551688959726799"</f>
        <v>1551688959726799</v>
      </c>
      <c r="C5649" t="s">
        <v>40</v>
      </c>
      <c r="D5649">
        <v>4.0951139999999997</v>
      </c>
      <c r="E5649">
        <v>0.36531010000000003</v>
      </c>
      <c r="F5649" t="s">
        <v>42</v>
      </c>
      <c r="G5649">
        <v>-397.87869999999998</v>
      </c>
      <c r="H5649" s="1">
        <v>-1.034486E-6</v>
      </c>
      <c r="I5649">
        <v>19.809000000000001</v>
      </c>
      <c r="J5649">
        <v>-421.08690000000001</v>
      </c>
      <c r="K5649">
        <v>1.1165989999999999</v>
      </c>
      <c r="L5649">
        <v>38.711579999999998</v>
      </c>
      <c r="M5649">
        <v>0.22633710000000001</v>
      </c>
      <c r="N5649">
        <v>-1.448668E-2</v>
      </c>
      <c r="O5649">
        <v>-0.97394139999999996</v>
      </c>
      <c r="P5649">
        <v>0.53115880000000004</v>
      </c>
      <c r="Q5649">
        <v>0.34266540000000001</v>
      </c>
      <c r="R5649">
        <v>-0.77488760000000001</v>
      </c>
      <c r="S5649">
        <v>2.6165470000000002</v>
      </c>
      <c r="T5649">
        <v>-0.1256728</v>
      </c>
      <c r="U5649">
        <v>-2.1441349999999999</v>
      </c>
      <c r="V5649">
        <v>-0.34696919999999998</v>
      </c>
      <c r="W5649">
        <v>0.35042279999999998</v>
      </c>
      <c r="X5649">
        <v>0.86995180000000005</v>
      </c>
      <c r="Y5649">
        <v>-0.60948310000000006</v>
      </c>
      <c r="Z5649">
        <v>2.603107E-2</v>
      </c>
      <c r="AA5649">
        <v>0.79237159999999995</v>
      </c>
      <c r="AB5649">
        <v>26</v>
      </c>
      <c r="AC5649">
        <v>23.208200000000001</v>
      </c>
      <c r="AD5649">
        <v>-1.1166000344860001</v>
      </c>
      <c r="AE5649">
        <v>-18.90258</v>
      </c>
      <c r="AF5649">
        <v>-18.3015241860037</v>
      </c>
      <c r="AG5649">
        <v>-1.1166000344860001</v>
      </c>
      <c r="AH5649">
        <v>23.632475423974899</v>
      </c>
      <c r="AI5649">
        <v>92.139369269056303</v>
      </c>
      <c r="AJ5649">
        <v>127.75501168923</v>
      </c>
      <c r="AK5649">
        <v>29.9113101991984</v>
      </c>
      <c r="AL5649">
        <v>69.486821289975794</v>
      </c>
      <c r="AM5649">
        <v>111.743955794276</v>
      </c>
      <c r="AN5649">
        <v>0.99999994941585801</v>
      </c>
    </row>
    <row r="5650" spans="1:40" x14ac:dyDescent="0.25">
      <c r="A5650" t="str">
        <f>"20190304164239747"</f>
        <v>20190304164239747</v>
      </c>
      <c r="B5650" t="str">
        <f>"1551688959736559"</f>
        <v>1551688959736559</v>
      </c>
      <c r="C5650" t="s">
        <v>40</v>
      </c>
      <c r="D5650">
        <v>4.1836190000000002</v>
      </c>
      <c r="E5650">
        <v>0.35695539999999998</v>
      </c>
      <c r="F5650" t="s">
        <v>42</v>
      </c>
      <c r="G5650">
        <v>-394.67380000000003</v>
      </c>
      <c r="H5650" s="1">
        <v>-2.7287529999999998E-6</v>
      </c>
      <c r="I5650">
        <v>18.316669999999998</v>
      </c>
      <c r="J5650">
        <v>-421.05220000000003</v>
      </c>
      <c r="K5650">
        <v>1.1166309999999999</v>
      </c>
      <c r="L5650">
        <v>38.582279999999997</v>
      </c>
      <c r="M5650">
        <v>0.2305942</v>
      </c>
      <c r="N5650">
        <v>-1.4493199999999999E-2</v>
      </c>
      <c r="O5650">
        <v>-0.97294210000000003</v>
      </c>
      <c r="P5650">
        <v>0.53729899999999997</v>
      </c>
      <c r="Q5650">
        <v>0.34179510000000002</v>
      </c>
      <c r="R5650">
        <v>-0.77102890000000002</v>
      </c>
      <c r="S5650">
        <v>2.6905519999999998</v>
      </c>
      <c r="T5650">
        <v>-0.113742</v>
      </c>
      <c r="U5650">
        <v>-2.077515</v>
      </c>
      <c r="V5650">
        <v>-0.35002030000000001</v>
      </c>
      <c r="W5650">
        <v>0.34947399999999901</v>
      </c>
      <c r="X5650">
        <v>0.86911079999999996</v>
      </c>
      <c r="Y5650">
        <v>-0.62885639999999998</v>
      </c>
      <c r="Z5650">
        <v>2.2356170000000002E-2</v>
      </c>
      <c r="AA5650">
        <v>0.7772</v>
      </c>
      <c r="AB5650">
        <v>26</v>
      </c>
      <c r="AC5650">
        <v>26.378399999999999</v>
      </c>
      <c r="AD5650">
        <v>-1.1166337287529999</v>
      </c>
      <c r="AE5650">
        <v>-20.265609999999899</v>
      </c>
      <c r="AF5650">
        <v>-20.970098013351102</v>
      </c>
      <c r="AG5650">
        <v>-1.1166337287529999</v>
      </c>
      <c r="AH5650">
        <v>25.773637530254501</v>
      </c>
      <c r="AI5650">
        <v>91.924777023944898</v>
      </c>
      <c r="AJ5650">
        <v>129.13269349577499</v>
      </c>
      <c r="AK5650">
        <v>33.245635399472903</v>
      </c>
      <c r="AL5650">
        <v>69.544852621476807</v>
      </c>
      <c r="AM5650">
        <v>111.936312689481</v>
      </c>
      <c r="AN5650">
        <v>0.99999993488236205</v>
      </c>
    </row>
    <row r="5651" spans="1:40" x14ac:dyDescent="0.25">
      <c r="A5651" t="str">
        <f>"20190304164239759"</f>
        <v>20190304164239759</v>
      </c>
      <c r="B5651" t="str">
        <f>"1551688959757056"</f>
        <v>1551688959757056</v>
      </c>
      <c r="C5651" t="s">
        <v>40</v>
      </c>
      <c r="D5651">
        <v>4.1394919999999997</v>
      </c>
      <c r="E5651">
        <v>0.35097719999999999</v>
      </c>
      <c r="F5651" t="s">
        <v>42</v>
      </c>
      <c r="G5651">
        <v>-391.86439999999999</v>
      </c>
      <c r="H5651" s="1">
        <v>-4.2427519999999998E-6</v>
      </c>
      <c r="I5651">
        <v>17.268160000000002</v>
      </c>
      <c r="J5651">
        <v>-421.01280000000003</v>
      </c>
      <c r="K5651">
        <v>1.116668</v>
      </c>
      <c r="L5651">
        <v>38.438139999999997</v>
      </c>
      <c r="M5651">
        <v>0.23537759999999999</v>
      </c>
      <c r="N5651">
        <v>-1.450067E-2</v>
      </c>
      <c r="O5651">
        <v>-0.97179599999999999</v>
      </c>
      <c r="P5651">
        <v>0.54363059999999996</v>
      </c>
      <c r="Q5651">
        <v>0.34126450000000003</v>
      </c>
      <c r="R5651">
        <v>-0.76681449999999995</v>
      </c>
      <c r="S5651">
        <v>2.7592159999999999</v>
      </c>
      <c r="T5651">
        <v>-0.1055591</v>
      </c>
      <c r="U5651">
        <v>-2.0148929999999998</v>
      </c>
      <c r="V5651">
        <v>-0.3528869</v>
      </c>
      <c r="W5651">
        <v>0.34886240000000002</v>
      </c>
      <c r="X5651">
        <v>0.86819690000000005</v>
      </c>
      <c r="Y5651">
        <v>-0.64575159999999998</v>
      </c>
      <c r="Z5651">
        <v>1.98383E-2</v>
      </c>
      <c r="AA5651">
        <v>0.76328980000000002</v>
      </c>
      <c r="AB5651">
        <v>26</v>
      </c>
      <c r="AC5651">
        <v>29.148399999999999</v>
      </c>
      <c r="AD5651">
        <v>-1.1166722427519999</v>
      </c>
      <c r="AE5651">
        <v>-21.169979999999999</v>
      </c>
      <c r="AF5651">
        <v>-23.323400223523699</v>
      </c>
      <c r="AG5651">
        <v>-1.1166722427519999</v>
      </c>
      <c r="AH5651">
        <v>27.410325676714901</v>
      </c>
      <c r="AI5651">
        <v>91.777144337642696</v>
      </c>
      <c r="AJ5651">
        <v>130.39440447244101</v>
      </c>
      <c r="AK5651">
        <v>36.007692352995598</v>
      </c>
      <c r="AL5651">
        <v>69.582249753103994</v>
      </c>
      <c r="AM5651">
        <v>112.11975190275599</v>
      </c>
      <c r="AN5651">
        <v>0.99999999774749004</v>
      </c>
    </row>
    <row r="5652" spans="1:40" x14ac:dyDescent="0.25">
      <c r="A5652" t="str">
        <f>"20190304164239772"</f>
        <v>20190304164239772</v>
      </c>
      <c r="B5652" t="str">
        <f>"1551688959766815"</f>
        <v>1551688959766815</v>
      </c>
      <c r="C5652" t="s">
        <v>40</v>
      </c>
      <c r="D5652">
        <v>4.1625870000000003</v>
      </c>
      <c r="E5652">
        <v>0.3501764</v>
      </c>
      <c r="F5652" t="s">
        <v>42</v>
      </c>
      <c r="G5652">
        <v>-393.06959999999998</v>
      </c>
      <c r="H5652" s="1">
        <v>-3.3799200000000002E-6</v>
      </c>
      <c r="I5652">
        <v>18.920670000000001</v>
      </c>
      <c r="J5652">
        <v>-420.97199999999998</v>
      </c>
      <c r="K5652">
        <v>1.1167100000000001</v>
      </c>
      <c r="L5652">
        <v>38.292850000000001</v>
      </c>
      <c r="M5652">
        <v>0.24025820000000001</v>
      </c>
      <c r="N5652">
        <v>-1.450857E-2</v>
      </c>
      <c r="O5652">
        <v>-0.97060069999999998</v>
      </c>
      <c r="P5652">
        <v>0.54968509999999904</v>
      </c>
      <c r="Q5652">
        <v>0.34070129999999998</v>
      </c>
      <c r="R5652">
        <v>-0.76273789999999997</v>
      </c>
      <c r="S5652">
        <v>2.8153380000000001</v>
      </c>
      <c r="T5652">
        <v>-0.1125072</v>
      </c>
      <c r="U5652">
        <v>-1.966431</v>
      </c>
      <c r="V5652">
        <v>-0.35537740000000001</v>
      </c>
      <c r="W5652">
        <v>0.348224599999999</v>
      </c>
      <c r="X5652">
        <v>0.86743680000000001</v>
      </c>
      <c r="Y5652">
        <v>-0.65784259999999894</v>
      </c>
      <c r="Z5652">
        <v>2.1969229999999999E-2</v>
      </c>
      <c r="AA5652">
        <v>0.75283500000000003</v>
      </c>
      <c r="AB5652">
        <v>26</v>
      </c>
      <c r="AC5652">
        <v>27.9024</v>
      </c>
      <c r="AD5652">
        <v>-1.11671337992</v>
      </c>
      <c r="AE5652">
        <v>-19.37218</v>
      </c>
      <c r="AF5652">
        <v>-22.405906090260402</v>
      </c>
      <c r="AG5652">
        <v>-1.11671337992</v>
      </c>
      <c r="AH5652">
        <v>25.481573656956598</v>
      </c>
      <c r="AI5652">
        <v>91.884979929261704</v>
      </c>
      <c r="AJ5652">
        <v>131.32511342656201</v>
      </c>
      <c r="AK5652">
        <v>33.949702097859003</v>
      </c>
      <c r="AL5652">
        <v>69.621238641840193</v>
      </c>
      <c r="AM5652">
        <v>112.278264499526</v>
      </c>
      <c r="AN5652">
        <v>1.00000003523507</v>
      </c>
    </row>
    <row r="5653" spans="1:40" x14ac:dyDescent="0.25">
      <c r="A5653" t="str">
        <f>"20190304164239786"</f>
        <v>20190304164239786</v>
      </c>
      <c r="B5653" t="str">
        <f>"1551688959776575"</f>
        <v>1551688959776575</v>
      </c>
      <c r="C5653" t="s">
        <v>40</v>
      </c>
      <c r="D5653">
        <v>4.142277</v>
      </c>
      <c r="E5653">
        <v>0.34998829999999997</v>
      </c>
      <c r="F5653" t="s">
        <v>42</v>
      </c>
      <c r="G5653">
        <v>-393.57639999999998</v>
      </c>
      <c r="H5653" s="1">
        <v>-3.03099E-6</v>
      </c>
      <c r="I5653">
        <v>19.537040000000001</v>
      </c>
      <c r="J5653">
        <v>-420.93009999999998</v>
      </c>
      <c r="K5653">
        <v>1.1167560000000001</v>
      </c>
      <c r="L5653">
        <v>38.145719999999997</v>
      </c>
      <c r="M5653">
        <v>0.24523449999999999</v>
      </c>
      <c r="N5653">
        <v>-1.4516599999999999E-2</v>
      </c>
      <c r="O5653">
        <v>-0.96935530000000003</v>
      </c>
      <c r="P5653">
        <v>0.5575753</v>
      </c>
      <c r="Q5653">
        <v>0.34069949999999999</v>
      </c>
      <c r="R5653">
        <v>-0.75698980000000005</v>
      </c>
      <c r="S5653">
        <v>2.8355709999999998</v>
      </c>
      <c r="T5653">
        <v>-0.1155851</v>
      </c>
      <c r="U5653">
        <v>-1.9413149999999999</v>
      </c>
      <c r="V5653">
        <v>-0.35999109999999901</v>
      </c>
      <c r="W5653">
        <v>0.34809859999999998</v>
      </c>
      <c r="X5653">
        <v>0.86558289999999904</v>
      </c>
      <c r="Y5653">
        <v>-0.66100029999999999</v>
      </c>
      <c r="Z5653">
        <v>2.2981930000000001E-2</v>
      </c>
      <c r="AA5653">
        <v>0.75003359999999997</v>
      </c>
      <c r="AB5653">
        <v>26</v>
      </c>
      <c r="AC5653">
        <v>27.3537</v>
      </c>
      <c r="AD5653">
        <v>-1.11675903099</v>
      </c>
      <c r="AE5653">
        <v>-18.60868</v>
      </c>
      <c r="AF5653">
        <v>-21.929285213257199</v>
      </c>
      <c r="AG5653">
        <v>-1.11675903099</v>
      </c>
      <c r="AH5653">
        <v>24.720927983759299</v>
      </c>
      <c r="AI5653">
        <v>91.935539293472502</v>
      </c>
      <c r="AJ5653">
        <v>131.575389111101</v>
      </c>
      <c r="AK5653">
        <v>33.064557778320498</v>
      </c>
      <c r="AL5653">
        <v>69.628938814112004</v>
      </c>
      <c r="AM5653">
        <v>112.582153579853</v>
      </c>
      <c r="AN5653">
        <v>0.99999999208678902</v>
      </c>
    </row>
    <row r="5654" spans="1:40" x14ac:dyDescent="0.25">
      <c r="A5654" t="str">
        <f>"20190304164239799"</f>
        <v>20190304164239799</v>
      </c>
      <c r="B5654" t="str">
        <f>"1551688959797071"</f>
        <v>1551688959797071</v>
      </c>
      <c r="C5654" t="s">
        <v>40</v>
      </c>
      <c r="D5654">
        <v>4.222728</v>
      </c>
      <c r="E5654">
        <v>0.35114889999999999</v>
      </c>
      <c r="F5654" t="s">
        <v>42</v>
      </c>
      <c r="G5654">
        <v>-394.15480000000002</v>
      </c>
      <c r="H5654" s="1">
        <v>-2.901896E-6</v>
      </c>
      <c r="I5654">
        <v>20.211500000000001</v>
      </c>
      <c r="J5654">
        <v>-420.88920000000002</v>
      </c>
      <c r="K5654">
        <v>1.1167990000000001</v>
      </c>
      <c r="L5654">
        <v>38.00497</v>
      </c>
      <c r="M5654">
        <v>0.25003940000000002</v>
      </c>
      <c r="N5654">
        <v>-1.452444E-2</v>
      </c>
      <c r="O5654">
        <v>-0.96812690000000001</v>
      </c>
      <c r="P5654">
        <v>0.56288839999999996</v>
      </c>
      <c r="Q5654">
        <v>0.34107710000000002</v>
      </c>
      <c r="R5654">
        <v>-0.75287660000000001</v>
      </c>
      <c r="S5654">
        <v>2.8560490000000001</v>
      </c>
      <c r="T5654">
        <v>-0.11912159999999999</v>
      </c>
      <c r="U5654">
        <v>-1.9129940000000001</v>
      </c>
      <c r="V5654">
        <v>-0.36188320000000002</v>
      </c>
      <c r="W5654">
        <v>0.34840520000000003</v>
      </c>
      <c r="X5654">
        <v>0.864670099999999</v>
      </c>
      <c r="Y5654">
        <v>-0.66486599999999996</v>
      </c>
      <c r="Z5654">
        <v>2.415612E-2</v>
      </c>
      <c r="AA5654">
        <v>0.74657189999999995</v>
      </c>
      <c r="AB5654">
        <v>26</v>
      </c>
      <c r="AC5654">
        <v>26.734399999999901</v>
      </c>
      <c r="AD5654">
        <v>-1.11680190189599</v>
      </c>
      <c r="AE5654">
        <v>-17.793469999999999</v>
      </c>
      <c r="AF5654">
        <v>-21.409588850360802</v>
      </c>
      <c r="AG5654">
        <v>-1.11680190189599</v>
      </c>
      <c r="AH5654">
        <v>23.884623674503601</v>
      </c>
      <c r="AI5654">
        <v>91.994106007355498</v>
      </c>
      <c r="AJ5654">
        <v>131.87226798253599</v>
      </c>
      <c r="AK5654">
        <v>32.0950617588163</v>
      </c>
      <c r="AL5654">
        <v>69.610199158240206</v>
      </c>
      <c r="AM5654">
        <v>112.710368119089</v>
      </c>
      <c r="AN5654">
        <v>1.00000000783164</v>
      </c>
    </row>
    <row r="5655" spans="1:40" x14ac:dyDescent="0.25">
      <c r="A5655" t="str">
        <f>"20190304164239813"</f>
        <v>20190304164239813</v>
      </c>
      <c r="B5655" t="str">
        <f>"1551688959806831"</f>
        <v>1551688959806831</v>
      </c>
      <c r="C5655" t="s">
        <v>40</v>
      </c>
      <c r="D5655">
        <v>4.1701509999999997</v>
      </c>
      <c r="E5655">
        <v>0.35176970000000002</v>
      </c>
      <c r="F5655" t="s">
        <v>42</v>
      </c>
      <c r="G5655">
        <v>-395.75830000000002</v>
      </c>
      <c r="H5655" s="1">
        <v>-2.4363759999999998E-6</v>
      </c>
      <c r="I5655">
        <v>21.310680000000001</v>
      </c>
      <c r="J5655">
        <v>-420.84469999999999</v>
      </c>
      <c r="K5655">
        <v>1.116846</v>
      </c>
      <c r="L5655">
        <v>37.855319999999999</v>
      </c>
      <c r="M5655">
        <v>0.2552063</v>
      </c>
      <c r="N5655">
        <v>-1.453307E-2</v>
      </c>
      <c r="O5655">
        <v>-0.96677760000000001</v>
      </c>
      <c r="P5655">
        <v>0.56837530000000003</v>
      </c>
      <c r="Q5655">
        <v>0.34105360000000001</v>
      </c>
      <c r="R5655">
        <v>-0.74875400000000003</v>
      </c>
      <c r="S5655">
        <v>2.8629760000000002</v>
      </c>
      <c r="T5655">
        <v>-0.12722890000000001</v>
      </c>
      <c r="U5655">
        <v>-1.9018550000000001</v>
      </c>
      <c r="V5655">
        <v>-0.36362909999999998</v>
      </c>
      <c r="W5655">
        <v>0.34831309999999999</v>
      </c>
      <c r="X5655">
        <v>0.86397449999999998</v>
      </c>
      <c r="Y5655">
        <v>-0.66366269999999905</v>
      </c>
      <c r="Z5655">
        <v>2.6717000000000001E-2</v>
      </c>
      <c r="AA5655">
        <v>0.74755469999999902</v>
      </c>
      <c r="AB5655">
        <v>26</v>
      </c>
      <c r="AC5655">
        <v>25.086399999999902</v>
      </c>
      <c r="AD5655">
        <v>-1.1168484363760001</v>
      </c>
      <c r="AE5655">
        <v>-16.544640000000001</v>
      </c>
      <c r="AF5655">
        <v>-20.0051526405821</v>
      </c>
      <c r="AG5655">
        <v>-1.1168484363760001</v>
      </c>
      <c r="AH5655">
        <v>22.3686589651691</v>
      </c>
      <c r="AI5655">
        <v>92.131372823520707</v>
      </c>
      <c r="AJ5655">
        <v>131.80749127153399</v>
      </c>
      <c r="AK5655">
        <v>30.030157950015301</v>
      </c>
      <c r="AL5655">
        <v>69.615829357325197</v>
      </c>
      <c r="AM5655">
        <v>112.825224608075</v>
      </c>
      <c r="AN5655">
        <v>1.0000000373243301</v>
      </c>
    </row>
    <row r="5656" spans="1:40" x14ac:dyDescent="0.25">
      <c r="A5656" t="str">
        <f>"20190304164239833"</f>
        <v>20190304164239833</v>
      </c>
      <c r="B5656" t="str">
        <f>"1551688959827327"</f>
        <v>1551688959827327</v>
      </c>
      <c r="C5656" t="s">
        <v>40</v>
      </c>
      <c r="D5656">
        <v>4.1700619999999997</v>
      </c>
      <c r="E5656">
        <v>0.35316189999999997</v>
      </c>
      <c r="F5656" t="s">
        <v>42</v>
      </c>
      <c r="G5656">
        <v>-396.45600000000002</v>
      </c>
      <c r="H5656" s="1">
        <v>-2.248494E-6</v>
      </c>
      <c r="I5656">
        <v>21.844059999999999</v>
      </c>
      <c r="J5656">
        <v>-420.77850000000001</v>
      </c>
      <c r="K5656">
        <v>1.1169150000000001</v>
      </c>
      <c r="L5656">
        <v>37.638120000000001</v>
      </c>
      <c r="M5656">
        <v>0.26278669999999998</v>
      </c>
      <c r="N5656">
        <v>-1.454573E-2</v>
      </c>
      <c r="O5656">
        <v>-0.96474439999999995</v>
      </c>
      <c r="P5656">
        <v>0.5764456</v>
      </c>
      <c r="Q5656">
        <v>0.34153610000000001</v>
      </c>
      <c r="R5656">
        <v>-0.74233680000000002</v>
      </c>
      <c r="S5656">
        <v>2.872681</v>
      </c>
      <c r="T5656">
        <v>-0.131550799999999</v>
      </c>
      <c r="U5656">
        <v>-1.8859250000000001</v>
      </c>
      <c r="V5656">
        <v>-0.36633660000000001</v>
      </c>
      <c r="W5656">
        <v>0.3486863</v>
      </c>
      <c r="X5656">
        <v>0.86267919999999998</v>
      </c>
      <c r="Y5656">
        <v>-0.66181020000000002</v>
      </c>
      <c r="Z5656">
        <v>2.81339E-2</v>
      </c>
      <c r="AA5656">
        <v>0.74914340000000001</v>
      </c>
      <c r="AB5656">
        <v>26</v>
      </c>
      <c r="AC5656">
        <v>24.322500000000002</v>
      </c>
      <c r="AD5656">
        <v>-1.116917248494</v>
      </c>
      <c r="AE5656">
        <v>-15.79406</v>
      </c>
      <c r="AF5656">
        <v>-19.287958849995299</v>
      </c>
      <c r="AG5656">
        <v>-1.116917248494</v>
      </c>
      <c r="AH5656">
        <v>21.599109077509599</v>
      </c>
      <c r="AI5656">
        <v>92.208842407053794</v>
      </c>
      <c r="AJ5656">
        <v>131.764786532492</v>
      </c>
      <c r="AK5656">
        <v>28.979205884241399</v>
      </c>
      <c r="AL5656">
        <v>69.593016060291106</v>
      </c>
      <c r="AM5656">
        <v>113.008497473801</v>
      </c>
      <c r="AN5656">
        <v>1.00000002120994</v>
      </c>
    </row>
    <row r="5657" spans="1:40" x14ac:dyDescent="0.25">
      <c r="A5657" t="str">
        <f>"20190304164239847"</f>
        <v>20190304164239847</v>
      </c>
      <c r="B5657" t="str">
        <f>"1551688959837087"</f>
        <v>1551688959837087</v>
      </c>
      <c r="C5657" t="s">
        <v>40</v>
      </c>
      <c r="D5657">
        <v>4.1696920000000004</v>
      </c>
      <c r="E5657">
        <v>0.354014099999999</v>
      </c>
      <c r="F5657" t="s">
        <v>42</v>
      </c>
      <c r="G5657">
        <v>-397.10899999999998</v>
      </c>
      <c r="H5657" s="1">
        <v>-2.0686579999999999E-6</v>
      </c>
      <c r="I5657">
        <v>22.328379999999999</v>
      </c>
      <c r="J5657">
        <v>-420.7303</v>
      </c>
      <c r="K5657">
        <v>1.116954</v>
      </c>
      <c r="L5657">
        <v>37.483699999999999</v>
      </c>
      <c r="M5657">
        <v>0.26823979999999997</v>
      </c>
      <c r="N5657">
        <v>-1.4554940000000001E-2</v>
      </c>
      <c r="O5657">
        <v>-0.9632423</v>
      </c>
      <c r="P5657">
        <v>0.58199679999999998</v>
      </c>
      <c r="Q5657">
        <v>0.34190540000000003</v>
      </c>
      <c r="R5657">
        <v>-0.73782169999999903</v>
      </c>
      <c r="S5657">
        <v>2.8833009999999999</v>
      </c>
      <c r="T5657">
        <v>-0.1360575</v>
      </c>
      <c r="U5657">
        <v>-1.86496</v>
      </c>
      <c r="V5657">
        <v>-0.3680291</v>
      </c>
      <c r="W5657">
        <v>0.34898129999999999</v>
      </c>
      <c r="X5657">
        <v>0.86183920000000003</v>
      </c>
      <c r="Y5657">
        <v>-0.66262460000000001</v>
      </c>
      <c r="Z5657">
        <v>2.963387E-2</v>
      </c>
      <c r="AA5657">
        <v>0.74836519999999995</v>
      </c>
      <c r="AB5657">
        <v>26</v>
      </c>
      <c r="AC5657">
        <v>23.621299999999898</v>
      </c>
      <c r="AD5657">
        <v>-1.116956068658</v>
      </c>
      <c r="AE5657">
        <v>-15.15532</v>
      </c>
      <c r="AF5657">
        <v>-18.6601969126421</v>
      </c>
      <c r="AG5657">
        <v>-1.116956068658</v>
      </c>
      <c r="AH5657">
        <v>20.903524183565199</v>
      </c>
      <c r="AI5657">
        <v>92.282704517494906</v>
      </c>
      <c r="AJ5657">
        <v>131.75471117642701</v>
      </c>
      <c r="AK5657">
        <v>28.0429645895505</v>
      </c>
      <c r="AL5657">
        <v>69.574982312722796</v>
      </c>
      <c r="AM5657">
        <v>113.12381823935399</v>
      </c>
      <c r="AN5657">
        <v>1.0000000864265599</v>
      </c>
    </row>
    <row r="5658" spans="1:40" x14ac:dyDescent="0.25">
      <c r="A5658" t="str">
        <f>"20190304164239862"</f>
        <v>20190304164239862</v>
      </c>
      <c r="B5658" t="str">
        <f>"1551688959856607"</f>
        <v>1551688959856607</v>
      </c>
      <c r="C5658" t="s">
        <v>40</v>
      </c>
      <c r="D5658">
        <v>4.1538599999999999</v>
      </c>
      <c r="E5658">
        <v>0.35544500000000001</v>
      </c>
      <c r="F5658" t="s">
        <v>42</v>
      </c>
      <c r="G5658">
        <v>-397.25700000000001</v>
      </c>
      <c r="H5658" s="1">
        <v>-2.0377180000000001E-6</v>
      </c>
      <c r="I5658">
        <v>22.474900000000002</v>
      </c>
      <c r="J5658">
        <v>-420.67829999999998</v>
      </c>
      <c r="K5658">
        <v>1.1170059999999999</v>
      </c>
      <c r="L5658">
        <v>37.320250000000001</v>
      </c>
      <c r="M5658">
        <v>0.27406259999999999</v>
      </c>
      <c r="N5658">
        <v>-1.4564799999999999E-2</v>
      </c>
      <c r="O5658">
        <v>-0.96160159999999995</v>
      </c>
      <c r="P5658">
        <v>0.58753319999999998</v>
      </c>
      <c r="Q5658">
        <v>0.34247440000000001</v>
      </c>
      <c r="R5658">
        <v>-0.73315529999999995</v>
      </c>
      <c r="S5658">
        <v>2.891632</v>
      </c>
      <c r="T5658">
        <v>-0.13759579999999999</v>
      </c>
      <c r="U5658">
        <v>-1.8489070000000001</v>
      </c>
      <c r="V5658">
        <v>-0.36943480000000001</v>
      </c>
      <c r="W5658">
        <v>0.34947899999999998</v>
      </c>
      <c r="X5658">
        <v>0.86103560000000001</v>
      </c>
      <c r="Y5658">
        <v>-0.66200519999999996</v>
      </c>
      <c r="Z5658">
        <v>3.019413E-2</v>
      </c>
      <c r="AA5658">
        <v>0.74889079999999997</v>
      </c>
      <c r="AB5658">
        <v>26</v>
      </c>
      <c r="AC5658">
        <v>23.421299999999999</v>
      </c>
      <c r="AD5658">
        <v>-1.1170080377179901</v>
      </c>
      <c r="AE5658">
        <v>-14.84535</v>
      </c>
      <c r="AF5658">
        <v>-18.425463519403198</v>
      </c>
      <c r="AG5658">
        <v>-1.1170080377179901</v>
      </c>
      <c r="AH5658">
        <v>20.662880996530902</v>
      </c>
      <c r="AI5658">
        <v>92.310472757323794</v>
      </c>
      <c r="AJ5658">
        <v>131.72396341622201</v>
      </c>
      <c r="AK5658">
        <v>27.707400887452199</v>
      </c>
      <c r="AL5658">
        <v>69.544547692144505</v>
      </c>
      <c r="AM5658">
        <v>113.222171898528</v>
      </c>
      <c r="AN5658">
        <v>0.99999997367969895</v>
      </c>
    </row>
    <row r="5659" spans="1:40" x14ac:dyDescent="0.25">
      <c r="A5659" t="str">
        <f>"20190304164239876"</f>
        <v>20190304164239876</v>
      </c>
      <c r="B5659" t="str">
        <f>"1551688959867343"</f>
        <v>1551688959867343</v>
      </c>
      <c r="C5659" t="s">
        <v>40</v>
      </c>
      <c r="D5659">
        <v>4.175745</v>
      </c>
      <c r="E5659">
        <v>0.35616910000000002</v>
      </c>
      <c r="F5659" t="s">
        <v>42</v>
      </c>
      <c r="G5659">
        <v>-397.17619999999999</v>
      </c>
      <c r="H5659" s="1">
        <v>-2.065716E-6</v>
      </c>
      <c r="I5659">
        <v>22.436699999999998</v>
      </c>
      <c r="J5659">
        <v>-420.62819999999999</v>
      </c>
      <c r="K5659">
        <v>1.1170530000000001</v>
      </c>
      <c r="L5659">
        <v>37.167360000000002</v>
      </c>
      <c r="M5659">
        <v>0.27958850000000002</v>
      </c>
      <c r="N5659">
        <v>-1.4574480000000001E-2</v>
      </c>
      <c r="O5659">
        <v>-0.96000920000000001</v>
      </c>
      <c r="P5659">
        <v>0.59334790000000004</v>
      </c>
      <c r="Q5659">
        <v>0.34386609999999901</v>
      </c>
      <c r="R5659">
        <v>-0.72780109999999998</v>
      </c>
      <c r="S5659">
        <v>2.8970340000000001</v>
      </c>
      <c r="T5659">
        <v>-0.13769049999999999</v>
      </c>
      <c r="U5659">
        <v>-1.8346560000000001</v>
      </c>
      <c r="V5659">
        <v>-0.37158999999999998</v>
      </c>
      <c r="W5659">
        <v>0.35078150000000002</v>
      </c>
      <c r="X5659">
        <v>0.85957739999999905</v>
      </c>
      <c r="Y5659">
        <v>-0.6609507</v>
      </c>
      <c r="Z5659">
        <v>3.0315160000000001E-2</v>
      </c>
      <c r="AA5659">
        <v>0.74981679999999995</v>
      </c>
      <c r="AB5659">
        <v>26</v>
      </c>
      <c r="AC5659">
        <v>23.452000000000002</v>
      </c>
      <c r="AD5659">
        <v>-1.1170550657160001</v>
      </c>
      <c r="AE5659">
        <v>-14.730659999999901</v>
      </c>
      <c r="AF5659">
        <v>-18.3676861058931</v>
      </c>
      <c r="AG5659">
        <v>-1.1170550657160001</v>
      </c>
      <c r="AH5659">
        <v>20.667056106629602</v>
      </c>
      <c r="AI5659">
        <v>92.313516534508693</v>
      </c>
      <c r="AJ5659">
        <v>131.628845830476</v>
      </c>
      <c r="AK5659">
        <v>27.672132426306401</v>
      </c>
      <c r="AL5659">
        <v>69.464878434518297</v>
      </c>
      <c r="AM5659">
        <v>113.378530089636</v>
      </c>
      <c r="AN5659">
        <v>1.0000000477165001</v>
      </c>
    </row>
    <row r="5660" spans="1:40" x14ac:dyDescent="0.25">
      <c r="A5660" t="str">
        <f>"20190304164239890"</f>
        <v>20190304164239890</v>
      </c>
      <c r="B5660" t="str">
        <f>"1551688959886863"</f>
        <v>1551688959886863</v>
      </c>
      <c r="C5660" t="s">
        <v>40</v>
      </c>
      <c r="D5660">
        <v>4.1557649999999997</v>
      </c>
      <c r="E5660">
        <v>0.3573788</v>
      </c>
      <c r="F5660" t="s">
        <v>42</v>
      </c>
      <c r="G5660">
        <v>-396.40010000000001</v>
      </c>
      <c r="H5660" s="1">
        <v>-2.32932E-6</v>
      </c>
      <c r="I5660">
        <v>22.048639999999999</v>
      </c>
      <c r="J5660">
        <v>-420.57859999999999</v>
      </c>
      <c r="K5660">
        <v>1.1170990000000001</v>
      </c>
      <c r="L5660">
        <v>37.018430000000002</v>
      </c>
      <c r="M5660">
        <v>0.28501490000000002</v>
      </c>
      <c r="N5660">
        <v>-1.4583830000000001E-2</v>
      </c>
      <c r="O5660">
        <v>-0.95841229999999999</v>
      </c>
      <c r="P5660">
        <v>0.5980164</v>
      </c>
      <c r="Q5660">
        <v>0.34486840000000002</v>
      </c>
      <c r="R5660">
        <v>-0.72349379999999996</v>
      </c>
      <c r="S5660">
        <v>2.9079899999999999</v>
      </c>
      <c r="T5660">
        <v>-0.13407539999999901</v>
      </c>
      <c r="U5660">
        <v>-1.8146359999999999</v>
      </c>
      <c r="V5660">
        <v>-0.37245040000000001</v>
      </c>
      <c r="W5660">
        <v>0.351726599999999</v>
      </c>
      <c r="X5660">
        <v>0.85881849999999904</v>
      </c>
      <c r="Y5660">
        <v>-0.66171899999999995</v>
      </c>
      <c r="Z5660">
        <v>2.9282099999999998E-2</v>
      </c>
      <c r="AA5660">
        <v>0.74917999999999996</v>
      </c>
      <c r="AB5660">
        <v>26</v>
      </c>
      <c r="AC5660">
        <v>24.1784999999999</v>
      </c>
      <c r="AD5660">
        <v>-1.1171013293200001</v>
      </c>
      <c r="AE5660">
        <v>-14.96979</v>
      </c>
      <c r="AF5660">
        <v>-18.8792334997833</v>
      </c>
      <c r="AG5660">
        <v>-1.1171013293200001</v>
      </c>
      <c r="AH5660">
        <v>21.2079926394211</v>
      </c>
      <c r="AI5660">
        <v>92.253038882062398</v>
      </c>
      <c r="AJ5660">
        <v>131.675293046946</v>
      </c>
      <c r="AK5660">
        <v>28.415705599422498</v>
      </c>
      <c r="AL5660">
        <v>69.407043163327998</v>
      </c>
      <c r="AM5660">
        <v>113.445300424287</v>
      </c>
      <c r="AN5660">
        <v>1.00000005877498</v>
      </c>
    </row>
    <row r="5661" spans="1:40" x14ac:dyDescent="0.25">
      <c r="A5661" t="str">
        <f>"20190304164239904"</f>
        <v>20190304164239904</v>
      </c>
      <c r="B5661" t="str">
        <f>"1551688959896623"</f>
        <v>1551688959896623</v>
      </c>
      <c r="C5661" t="s">
        <v>40</v>
      </c>
      <c r="D5661">
        <v>4.144285</v>
      </c>
      <c r="E5661">
        <v>0.35797990000000002</v>
      </c>
      <c r="F5661" t="s">
        <v>42</v>
      </c>
      <c r="G5661">
        <v>-395.52269999999999</v>
      </c>
      <c r="H5661" s="1">
        <v>-2.605865E-6</v>
      </c>
      <c r="I5661">
        <v>21.52909</v>
      </c>
      <c r="J5661">
        <v>-420.52910000000003</v>
      </c>
      <c r="K5661">
        <v>1.117146</v>
      </c>
      <c r="L5661">
        <v>36.872219999999999</v>
      </c>
      <c r="M5661">
        <v>0.29038069999999999</v>
      </c>
      <c r="N5661">
        <v>-1.4592900000000001E-2</v>
      </c>
      <c r="O5661">
        <v>-0.95679999999999998</v>
      </c>
      <c r="P5661">
        <v>0.60270360000000001</v>
      </c>
      <c r="Q5661">
        <v>0.34552480000000002</v>
      </c>
      <c r="R5661">
        <v>-0.71927859999999999</v>
      </c>
      <c r="S5661">
        <v>2.9129330000000002</v>
      </c>
      <c r="T5661">
        <v>-0.1298714</v>
      </c>
      <c r="U5661">
        <v>-1.80075099999999</v>
      </c>
      <c r="V5661">
        <v>-0.37336130000000001</v>
      </c>
      <c r="W5661">
        <v>0.3523268</v>
      </c>
      <c r="X5661">
        <v>0.85817659999999996</v>
      </c>
      <c r="Y5661">
        <v>-0.66070299999999904</v>
      </c>
      <c r="Z5661">
        <v>2.8062589999999998E-2</v>
      </c>
      <c r="AA5661">
        <v>0.75012270000000003</v>
      </c>
      <c r="AB5661">
        <v>26</v>
      </c>
      <c r="AC5661">
        <v>25.006399999999999</v>
      </c>
      <c r="AD5661">
        <v>-1.117148605865</v>
      </c>
      <c r="AE5661">
        <v>-15.34313</v>
      </c>
      <c r="AF5661">
        <v>-19.4446529550444</v>
      </c>
      <c r="AG5661">
        <v>-1.117148605865</v>
      </c>
      <c r="AH5661">
        <v>21.9122460473845</v>
      </c>
      <c r="AI5661">
        <v>92.183828645903404</v>
      </c>
      <c r="AJ5661">
        <v>131.58544871442399</v>
      </c>
      <c r="AK5661">
        <v>29.317044127790599</v>
      </c>
      <c r="AL5661">
        <v>69.370300237955306</v>
      </c>
      <c r="AM5661">
        <v>113.51209867131099</v>
      </c>
      <c r="AN5661">
        <v>0.99999995556174304</v>
      </c>
    </row>
    <row r="5662" spans="1:40" x14ac:dyDescent="0.25">
      <c r="A5662" t="str">
        <f>"20190304164239916"</f>
        <v>20190304164239916</v>
      </c>
      <c r="B5662" t="str">
        <f>"1551688959907359"</f>
        <v>1551688959907359</v>
      </c>
      <c r="C5662" t="s">
        <v>40</v>
      </c>
      <c r="D5662">
        <v>4.1486179999999999</v>
      </c>
      <c r="E5662">
        <v>0.35864590000000002</v>
      </c>
      <c r="F5662" t="s">
        <v>42</v>
      </c>
      <c r="G5662">
        <v>-395.07679999999999</v>
      </c>
      <c r="H5662" s="1">
        <v>-2.7640180000000002E-6</v>
      </c>
      <c r="I5662">
        <v>21.331320000000002</v>
      </c>
      <c r="J5662">
        <v>-420.48099999999999</v>
      </c>
      <c r="K5662">
        <v>1.1171960000000001</v>
      </c>
      <c r="L5662">
        <v>36.733669999999996</v>
      </c>
      <c r="M5662">
        <v>0.29553020000000002</v>
      </c>
      <c r="N5662">
        <v>-1.460172E-2</v>
      </c>
      <c r="O5662">
        <v>-0.95522209999999996</v>
      </c>
      <c r="P5662">
        <v>0.60720090000000004</v>
      </c>
      <c r="Q5662">
        <v>0.34642840000000003</v>
      </c>
      <c r="R5662">
        <v>-0.71504919999999905</v>
      </c>
      <c r="S5662">
        <v>2.9219059999999999</v>
      </c>
      <c r="T5662">
        <v>-0.12824820000000001</v>
      </c>
      <c r="U5662">
        <v>-1.7840879999999999</v>
      </c>
      <c r="V5662">
        <v>-0.37430380000000002</v>
      </c>
      <c r="W5662">
        <v>0.35317330000000002</v>
      </c>
      <c r="X5662">
        <v>0.85741780000000001</v>
      </c>
      <c r="Y5662">
        <v>-0.66081250000000002</v>
      </c>
      <c r="Z5662">
        <v>2.762937E-2</v>
      </c>
      <c r="AA5662">
        <v>0.75004230000000005</v>
      </c>
      <c r="AB5662">
        <v>26</v>
      </c>
      <c r="AC5662">
        <v>25.404199999999999</v>
      </c>
      <c r="AD5662">
        <v>-1.1171987640179999</v>
      </c>
      <c r="AE5662">
        <v>-15.40235</v>
      </c>
      <c r="AF5662">
        <v>-19.689046933998402</v>
      </c>
      <c r="AG5662">
        <v>-1.1171987640179999</v>
      </c>
      <c r="AH5662">
        <v>22.1913544651057</v>
      </c>
      <c r="AI5662">
        <v>92.156642946837195</v>
      </c>
      <c r="AJ5662">
        <v>131.580705738923</v>
      </c>
      <c r="AK5662">
        <v>29.687756992462099</v>
      </c>
      <c r="AL5662">
        <v>69.318468359566197</v>
      </c>
      <c r="AM5662">
        <v>113.583566537506</v>
      </c>
      <c r="AN5662">
        <v>0.99999999914208504</v>
      </c>
    </row>
    <row r="5663" spans="1:40" x14ac:dyDescent="0.25">
      <c r="A5663" t="str">
        <f>"20190304164239929"</f>
        <v>20190304164239929</v>
      </c>
      <c r="B5663" t="str">
        <f>"1551688959926878"</f>
        <v>1551688959926878</v>
      </c>
      <c r="C5663" t="s">
        <v>40</v>
      </c>
      <c r="D5663">
        <v>4.1637110000000002</v>
      </c>
      <c r="E5663">
        <v>0.35983759999999998</v>
      </c>
      <c r="F5663" t="s">
        <v>42</v>
      </c>
      <c r="G5663">
        <v>-394.46469999999999</v>
      </c>
      <c r="H5663" s="1">
        <v>-2.9736580000000001E-6</v>
      </c>
      <c r="I5663">
        <v>21.03181</v>
      </c>
      <c r="J5663">
        <v>-420.43509999999998</v>
      </c>
      <c r="K5663">
        <v>1.11724</v>
      </c>
      <c r="L5663">
        <v>36.603549999999998</v>
      </c>
      <c r="M5663">
        <v>0.30040820000000001</v>
      </c>
      <c r="N5663">
        <v>-1.461029E-2</v>
      </c>
      <c r="O5663">
        <v>-0.95369890000000002</v>
      </c>
      <c r="P5663">
        <v>0.61129140000000004</v>
      </c>
      <c r="Q5663">
        <v>0.34686889999999998</v>
      </c>
      <c r="R5663">
        <v>-0.71134049999999904</v>
      </c>
      <c r="S5663">
        <v>2.9300540000000002</v>
      </c>
      <c r="T5663">
        <v>-0.12582299999999999</v>
      </c>
      <c r="U5663">
        <v>-1.768402</v>
      </c>
      <c r="V5663">
        <v>-0.37494939999999999</v>
      </c>
      <c r="W5663">
        <v>0.35356670000000001</v>
      </c>
      <c r="X5663">
        <v>0.85697350000000005</v>
      </c>
      <c r="Y5663">
        <v>-0.66086140000000004</v>
      </c>
      <c r="Z5663">
        <v>2.694233E-2</v>
      </c>
      <c r="AA5663">
        <v>0.75002429999999998</v>
      </c>
      <c r="AB5663">
        <v>26</v>
      </c>
      <c r="AC5663">
        <v>25.970399999999898</v>
      </c>
      <c r="AD5663">
        <v>-1.1172429736579901</v>
      </c>
      <c r="AE5663">
        <v>-15.571739999999901</v>
      </c>
      <c r="AF5663">
        <v>-20.064892345802001</v>
      </c>
      <c r="AG5663">
        <v>-1.1172429736579901</v>
      </c>
      <c r="AH5663">
        <v>22.6240907581602</v>
      </c>
      <c r="AI5663">
        <v>92.115889284914999</v>
      </c>
      <c r="AJ5663">
        <v>131.56923234977901</v>
      </c>
      <c r="AK5663">
        <v>30.2604960194687</v>
      </c>
      <c r="AL5663">
        <v>69.294374190763193</v>
      </c>
      <c r="AM5663">
        <v>113.63069611894601</v>
      </c>
      <c r="AN5663">
        <v>1.0000000218057401</v>
      </c>
    </row>
    <row r="5664" spans="1:40" x14ac:dyDescent="0.25">
      <c r="A5664" t="str">
        <f>"20190304164239944"</f>
        <v>20190304164239944</v>
      </c>
      <c r="B5664" t="str">
        <f>"1551688959936639"</f>
        <v>1551688959936639</v>
      </c>
      <c r="C5664" t="s">
        <v>40</v>
      </c>
      <c r="D5664">
        <v>4.1670730000000002</v>
      </c>
      <c r="E5664">
        <v>0.36037999999999998</v>
      </c>
      <c r="F5664" t="s">
        <v>42</v>
      </c>
      <c r="G5664">
        <v>-394.5419</v>
      </c>
      <c r="H5664" s="1">
        <v>-2.9511789999999999E-6</v>
      </c>
      <c r="I5664">
        <v>21.084499999999998</v>
      </c>
      <c r="J5664">
        <v>-420.37880000000001</v>
      </c>
      <c r="K5664">
        <v>1.117294</v>
      </c>
      <c r="L5664">
        <v>36.44623</v>
      </c>
      <c r="M5664">
        <v>0.30635190000000001</v>
      </c>
      <c r="N5664">
        <v>-1.4620899999999999E-2</v>
      </c>
      <c r="O5664">
        <v>-0.95180609999999999</v>
      </c>
      <c r="P5664">
        <v>0.61655269999999995</v>
      </c>
      <c r="Q5664">
        <v>0.34773759999999998</v>
      </c>
      <c r="R5664">
        <v>-0.70635809999999999</v>
      </c>
      <c r="S5664">
        <v>2.9335330000000002</v>
      </c>
      <c r="T5664">
        <v>-0.12657650000000001</v>
      </c>
      <c r="U5664">
        <v>-1.7582089999999999</v>
      </c>
      <c r="V5664">
        <v>-0.37615700000000002</v>
      </c>
      <c r="W5664">
        <v>0.35436630000000002</v>
      </c>
      <c r="X5664">
        <v>0.85611360000000003</v>
      </c>
      <c r="Y5664">
        <v>-0.65847880000000003</v>
      </c>
      <c r="Z5664">
        <v>2.7239139999999998E-2</v>
      </c>
      <c r="AA5664">
        <v>0.75210619999999995</v>
      </c>
      <c r="AB5664">
        <v>26</v>
      </c>
      <c r="AC5664">
        <v>25.8369</v>
      </c>
      <c r="AD5664">
        <v>-1.1172969511790001</v>
      </c>
      <c r="AE5664">
        <v>-15.36173</v>
      </c>
      <c r="AF5664">
        <v>-19.860308750092202</v>
      </c>
      <c r="AG5664">
        <v>-1.1172969511790001</v>
      </c>
      <c r="AH5664">
        <v>22.507881873086401</v>
      </c>
      <c r="AI5664">
        <v>92.131668077707801</v>
      </c>
      <c r="AJ5664">
        <v>131.424256706688</v>
      </c>
      <c r="AK5664">
        <v>30.0380585680719</v>
      </c>
      <c r="AL5664">
        <v>69.245389267273097</v>
      </c>
      <c r="AM5664">
        <v>113.71960309404</v>
      </c>
      <c r="AN5664">
        <v>1.0000000296648199</v>
      </c>
    </row>
    <row r="5665" spans="1:40" x14ac:dyDescent="0.25">
      <c r="A5665" t="str">
        <f>"20190304164239957"</f>
        <v>20190304164239957</v>
      </c>
      <c r="B5665" t="str">
        <f>"1551688959946400"</f>
        <v>1551688959946400</v>
      </c>
      <c r="C5665" t="s">
        <v>40</v>
      </c>
      <c r="D5665">
        <v>4.158601</v>
      </c>
      <c r="E5665">
        <v>0.36091139999999999</v>
      </c>
      <c r="F5665" t="s">
        <v>42</v>
      </c>
      <c r="G5665">
        <v>-394.2543</v>
      </c>
      <c r="H5665" s="1">
        <v>-3.0648179999999999E-6</v>
      </c>
      <c r="I5665">
        <v>21.000610000000002</v>
      </c>
      <c r="J5665">
        <v>-420.32819999999998</v>
      </c>
      <c r="K5665">
        <v>1.117348</v>
      </c>
      <c r="L5665">
        <v>36.30856</v>
      </c>
      <c r="M5665">
        <v>0.31162620000000002</v>
      </c>
      <c r="N5665">
        <v>-1.463103E-2</v>
      </c>
      <c r="O5665">
        <v>-0.9500923</v>
      </c>
      <c r="P5665">
        <v>0.62059519999999901</v>
      </c>
      <c r="Q5665">
        <v>0.348358</v>
      </c>
      <c r="R5665">
        <v>-0.70250170000000001</v>
      </c>
      <c r="S5665">
        <v>2.943146</v>
      </c>
      <c r="T5665">
        <v>-0.12587319999999999</v>
      </c>
      <c r="U5665">
        <v>-1.7400819999999999</v>
      </c>
      <c r="V5665">
        <v>-0.37647049999999999</v>
      </c>
      <c r="W5665">
        <v>0.35494009999999998</v>
      </c>
      <c r="X5665">
        <v>0.85573790000000005</v>
      </c>
      <c r="Y5665">
        <v>-0.658817599999999</v>
      </c>
      <c r="Z5665">
        <v>2.7091239999999999E-2</v>
      </c>
      <c r="AA5665">
        <v>0.75181469999999995</v>
      </c>
      <c r="AB5665">
        <v>26</v>
      </c>
      <c r="AC5665">
        <v>26.073899999999899</v>
      </c>
      <c r="AD5665">
        <v>-1.1173510648180001</v>
      </c>
      <c r="AE5665">
        <v>-15.3079499999999</v>
      </c>
      <c r="AF5665">
        <v>-19.977109041155099</v>
      </c>
      <c r="AG5665">
        <v>-1.1173510648180001</v>
      </c>
      <c r="AH5665">
        <v>22.640778866649899</v>
      </c>
      <c r="AI5665">
        <v>92.119291120394095</v>
      </c>
      <c r="AJ5665">
        <v>131.42359621384901</v>
      </c>
      <c r="AK5665">
        <v>30.214867643807299</v>
      </c>
      <c r="AL5665">
        <v>69.210225242989907</v>
      </c>
      <c r="AM5665">
        <v>113.74645542690099</v>
      </c>
      <c r="AN5665">
        <v>0.99999993272733201</v>
      </c>
    </row>
    <row r="5666" spans="1:40" x14ac:dyDescent="0.25">
      <c r="A5666" t="str">
        <f>"20190304164239969"</f>
        <v>20190304164239969</v>
      </c>
      <c r="B5666" t="str">
        <f>"1551688959957137"</f>
        <v>1551688959957137</v>
      </c>
      <c r="C5666" t="s">
        <v>40</v>
      </c>
      <c r="D5666">
        <v>4.1762129999999997</v>
      </c>
      <c r="E5666">
        <v>0.36149819999999999</v>
      </c>
      <c r="F5666" t="s">
        <v>42</v>
      </c>
      <c r="G5666">
        <v>-394.0641</v>
      </c>
      <c r="H5666" s="1">
        <v>-3.1373910000000002E-6</v>
      </c>
      <c r="I5666">
        <v>20.935479999999998</v>
      </c>
      <c r="J5666">
        <v>-420.28140000000002</v>
      </c>
      <c r="K5666">
        <v>1.1173999999999999</v>
      </c>
      <c r="L5666">
        <v>36.183070000000001</v>
      </c>
      <c r="M5666">
        <v>0.31647530000000001</v>
      </c>
      <c r="N5666">
        <v>-1.464068E-2</v>
      </c>
      <c r="O5666">
        <v>-0.94848790000000005</v>
      </c>
      <c r="P5666">
        <v>0.62428499999999998</v>
      </c>
      <c r="Q5666">
        <v>0.3488964</v>
      </c>
      <c r="R5666">
        <v>-0.69895629999999997</v>
      </c>
      <c r="S5666">
        <v>2.949951</v>
      </c>
      <c r="T5666">
        <v>-0.12549950000000001</v>
      </c>
      <c r="U5666">
        <v>-1.72668499999999</v>
      </c>
      <c r="V5666">
        <v>-0.3767394</v>
      </c>
      <c r="W5666">
        <v>0.35543540000000001</v>
      </c>
      <c r="X5666">
        <v>0.85541399999999901</v>
      </c>
      <c r="Y5666">
        <v>-0.65827630000000004</v>
      </c>
      <c r="Z5666">
        <v>2.7028900000000002E-2</v>
      </c>
      <c r="AA5666">
        <v>0.75229099999999904</v>
      </c>
      <c r="AB5666">
        <v>26</v>
      </c>
      <c r="AC5666">
        <v>26.217300000000002</v>
      </c>
      <c r="AD5666">
        <v>-1.1174031373909901</v>
      </c>
      <c r="AE5666">
        <v>-15.247590000000001</v>
      </c>
      <c r="AF5666">
        <v>-20.016281646241598</v>
      </c>
      <c r="AG5666">
        <v>-1.1174031373909901</v>
      </c>
      <c r="AH5666">
        <v>22.730864148837099</v>
      </c>
      <c r="AI5666">
        <v>92.112854308967499</v>
      </c>
      <c r="AJ5666">
        <v>131.366411139799</v>
      </c>
      <c r="AK5666">
        <v>30.308287738933799</v>
      </c>
      <c r="AL5666">
        <v>69.179868720056305</v>
      </c>
      <c r="AM5666">
        <v>113.769538321327</v>
      </c>
      <c r="AN5666">
        <v>1.0000000052407501</v>
      </c>
    </row>
    <row r="5667" spans="1:40" x14ac:dyDescent="0.25">
      <c r="A5667" t="str">
        <f>"20190304164239982"</f>
        <v>20190304164239982</v>
      </c>
      <c r="B5667" t="str">
        <f>"1551688959976656"</f>
        <v>1551688959976656</v>
      </c>
      <c r="C5667" t="s">
        <v>40</v>
      </c>
      <c r="D5667">
        <v>4.1542430000000001</v>
      </c>
      <c r="E5667">
        <v>0.36245460000000002</v>
      </c>
      <c r="F5667" t="s">
        <v>42</v>
      </c>
      <c r="G5667">
        <v>-393.92610000000002</v>
      </c>
      <c r="H5667" s="1">
        <v>-3.1913799999999999E-6</v>
      </c>
      <c r="I5667">
        <v>20.893239999999999</v>
      </c>
      <c r="J5667">
        <v>-420.2296</v>
      </c>
      <c r="K5667">
        <v>1.1174630000000001</v>
      </c>
      <c r="L5667">
        <v>36.045529999999999</v>
      </c>
      <c r="M5667">
        <v>0.321822099999999</v>
      </c>
      <c r="N5667">
        <v>-1.465135E-2</v>
      </c>
      <c r="O5667">
        <v>-0.94668680000000005</v>
      </c>
      <c r="P5667">
        <v>0.62816269999999996</v>
      </c>
      <c r="Q5667">
        <v>0.34997329999999999</v>
      </c>
      <c r="R5667">
        <v>-0.69493199999999999</v>
      </c>
      <c r="S5667">
        <v>2.9556879999999999</v>
      </c>
      <c r="T5667">
        <v>-0.12531439999999999</v>
      </c>
      <c r="U5667">
        <v>-1.7147220000000001</v>
      </c>
      <c r="V5667">
        <v>-0.37690770000000001</v>
      </c>
      <c r="W5667">
        <v>0.3564638</v>
      </c>
      <c r="X5667">
        <v>0.85491170000000005</v>
      </c>
      <c r="Y5667">
        <v>-0.65694109999999994</v>
      </c>
      <c r="Z5667">
        <v>2.7021239999999998E-2</v>
      </c>
      <c r="AA5667">
        <v>0.7534575</v>
      </c>
      <c r="AB5667">
        <v>26</v>
      </c>
      <c r="AC5667">
        <v>26.3034999999999</v>
      </c>
      <c r="AD5667">
        <v>-1.1174661913799999</v>
      </c>
      <c r="AE5667">
        <v>-15.152289999999899</v>
      </c>
      <c r="AF5667">
        <v>-19.999880884474798</v>
      </c>
      <c r="AG5667">
        <v>-1.1174661913799999</v>
      </c>
      <c r="AH5667">
        <v>22.7810968840935</v>
      </c>
      <c r="AI5667">
        <v>92.111100504167894</v>
      </c>
      <c r="AJ5667">
        <v>131.28040262578199</v>
      </c>
      <c r="AK5667">
        <v>30.335166742981901</v>
      </c>
      <c r="AL5667">
        <v>69.116814578521598</v>
      </c>
      <c r="AM5667">
        <v>113.79139919584701</v>
      </c>
      <c r="AN5667">
        <v>0.99999993491330696</v>
      </c>
    </row>
    <row r="5668" spans="1:40" x14ac:dyDescent="0.25">
      <c r="A5668" t="str">
        <f>"20190304164240000"</f>
        <v>20190304164240000</v>
      </c>
      <c r="B5668" t="str">
        <f>"1551688959986415"</f>
        <v>1551688959986415</v>
      </c>
      <c r="C5668" t="s">
        <v>40</v>
      </c>
      <c r="D5668">
        <v>4.164193</v>
      </c>
      <c r="E5668">
        <v>0.36245460000000002</v>
      </c>
      <c r="F5668" t="s">
        <v>42</v>
      </c>
      <c r="G5668">
        <v>-393.54849999999999</v>
      </c>
      <c r="H5668" s="1">
        <v>-3.3163809999999998E-6</v>
      </c>
      <c r="I5668">
        <v>20.692039999999999</v>
      </c>
      <c r="J5668">
        <v>-420.15809999999999</v>
      </c>
      <c r="K5668">
        <v>1.11755</v>
      </c>
      <c r="L5668">
        <v>35.86139</v>
      </c>
      <c r="M5668">
        <v>0.32910420000000001</v>
      </c>
      <c r="N5668">
        <v>-1.466691E-2</v>
      </c>
      <c r="O5668">
        <v>-0.94418000000000002</v>
      </c>
      <c r="P5668">
        <v>0.63337429999999995</v>
      </c>
      <c r="Q5668">
        <v>0.35113250000000001</v>
      </c>
      <c r="R5668">
        <v>-0.68959669999999995</v>
      </c>
      <c r="S5668">
        <v>2.9603579999999998</v>
      </c>
      <c r="T5668">
        <v>-0.12398670000000001</v>
      </c>
      <c r="U5668">
        <v>-1.703522</v>
      </c>
      <c r="V5668">
        <v>-0.37703399999999998</v>
      </c>
      <c r="W5668">
        <v>0.35755769999999998</v>
      </c>
      <c r="X5668">
        <v>0.85439909999999997</v>
      </c>
      <c r="Y5668">
        <v>-0.65379519999999902</v>
      </c>
      <c r="Z5668">
        <v>2.6656929999999999E-2</v>
      </c>
      <c r="AA5668">
        <v>0.75620189999999998</v>
      </c>
      <c r="AB5668">
        <v>26</v>
      </c>
      <c r="AC5668">
        <v>26.6096</v>
      </c>
      <c r="AD5668">
        <v>-1.1175533163810001</v>
      </c>
      <c r="AE5668">
        <v>-15.16935</v>
      </c>
      <c r="AF5668">
        <v>-20.107348031607302</v>
      </c>
      <c r="AG5668">
        <v>-1.1175533163810001</v>
      </c>
      <c r="AH5668">
        <v>23.0517173945723</v>
      </c>
      <c r="AI5668">
        <v>92.092340891190503</v>
      </c>
      <c r="AJ5668">
        <v>131.097252194155</v>
      </c>
      <c r="AK5668">
        <v>30.609411054745301</v>
      </c>
      <c r="AL5668">
        <v>69.0497180813136</v>
      </c>
      <c r="AM5668">
        <v>113.811176152291</v>
      </c>
      <c r="AN5668">
        <v>0.99999998403304902</v>
      </c>
    </row>
    <row r="5669" spans="1:40" x14ac:dyDescent="0.25">
      <c r="A5669" t="str">
        <f>"20190304164240013"</f>
        <v>20190304164240013</v>
      </c>
      <c r="B5669" t="str">
        <f>"1551688960006911"</f>
        <v>1551688960006911</v>
      </c>
      <c r="C5669" t="s">
        <v>40</v>
      </c>
      <c r="D5669">
        <v>4.1660430000000002</v>
      </c>
      <c r="E5669">
        <v>0.37612079999999998</v>
      </c>
      <c r="F5669" t="s">
        <v>42</v>
      </c>
      <c r="G5669">
        <v>-392.46190000000001</v>
      </c>
      <c r="H5669" s="1">
        <v>-3.7032989999999999E-6</v>
      </c>
      <c r="I5669">
        <v>20.21575</v>
      </c>
      <c r="J5669">
        <v>-420.10039999999998</v>
      </c>
      <c r="K5669">
        <v>1.1176219999999999</v>
      </c>
      <c r="L5669">
        <v>35.715910000000001</v>
      </c>
      <c r="M5669">
        <v>0.3349335</v>
      </c>
      <c r="N5669">
        <v>-1.467978E-2</v>
      </c>
      <c r="O5669">
        <v>-0.94212739999999995</v>
      </c>
      <c r="P5669">
        <v>0.63758749999999997</v>
      </c>
      <c r="Q5669">
        <v>0.35167859999999901</v>
      </c>
      <c r="R5669">
        <v>-0.68542269999999905</v>
      </c>
      <c r="S5669">
        <v>2.9739070000000001</v>
      </c>
      <c r="T5669">
        <v>-0.1199982</v>
      </c>
      <c r="U5669">
        <v>-1.679962</v>
      </c>
      <c r="V5669">
        <v>-0.37714510000000001</v>
      </c>
      <c r="W5669">
        <v>0.35805379999999998</v>
      </c>
      <c r="X5669">
        <v>0.85414230000000002</v>
      </c>
      <c r="Y5669">
        <v>-0.65516680000000005</v>
      </c>
      <c r="Z5669">
        <v>2.5484469999999999E-2</v>
      </c>
      <c r="AA5669">
        <v>0.75505440000000001</v>
      </c>
      <c r="AB5669">
        <v>26</v>
      </c>
      <c r="AC5669">
        <v>27.638499999999901</v>
      </c>
      <c r="AD5669">
        <v>-1.11762570329899</v>
      </c>
      <c r="AE5669">
        <v>-15.500159999999999</v>
      </c>
      <c r="AF5669">
        <v>-20.823808645775198</v>
      </c>
      <c r="AG5669">
        <v>-1.11762570329899</v>
      </c>
      <c r="AH5669">
        <v>23.833109636933798</v>
      </c>
      <c r="AI5669">
        <v>92.022464905231402</v>
      </c>
      <c r="AJ5669">
        <v>131.14483100586401</v>
      </c>
      <c r="AK5669">
        <v>31.6685523618407</v>
      </c>
      <c r="AL5669">
        <v>69.019278975177599</v>
      </c>
      <c r="AM5669">
        <v>113.823775413992</v>
      </c>
      <c r="AN5669">
        <v>1.0000000093988699</v>
      </c>
    </row>
    <row r="5670" spans="1:40" x14ac:dyDescent="0.25">
      <c r="A5670" t="str">
        <f>"20190304164240027"</f>
        <v>20190304164240027</v>
      </c>
      <c r="B5670" t="str">
        <f>"1551688960016671"</f>
        <v>1551688960016671</v>
      </c>
      <c r="C5670" t="s">
        <v>40</v>
      </c>
      <c r="D5670">
        <v>4.1699929999999998</v>
      </c>
      <c r="E5670">
        <v>0.3768649</v>
      </c>
      <c r="F5670" t="s">
        <v>42</v>
      </c>
      <c r="G5670">
        <v>-397.0763</v>
      </c>
      <c r="H5670" s="1">
        <v>-1.97975E-6</v>
      </c>
      <c r="I5670">
        <v>21.936029999999999</v>
      </c>
      <c r="J5670">
        <v>-420.04239999999999</v>
      </c>
      <c r="K5670">
        <v>1.1176839999999999</v>
      </c>
      <c r="L5670">
        <v>35.572330000000001</v>
      </c>
      <c r="M5670">
        <v>0.3407424</v>
      </c>
      <c r="N5670">
        <v>-1.469267E-2</v>
      </c>
      <c r="O5670">
        <v>-0.94004209999999999</v>
      </c>
      <c r="P5670">
        <v>0.6416307</v>
      </c>
      <c r="Q5670">
        <v>0.35251359999999998</v>
      </c>
      <c r="R5670">
        <v>-0.68120780000000003</v>
      </c>
      <c r="S5670">
        <v>2.9105219999999998</v>
      </c>
      <c r="T5670">
        <v>-0.14128109999999999</v>
      </c>
      <c r="U5670">
        <v>-1.741943</v>
      </c>
      <c r="V5670">
        <v>-0.37713970000000002</v>
      </c>
      <c r="W5670">
        <v>0.35883900000000002</v>
      </c>
      <c r="X5670">
        <v>0.85381509999999905</v>
      </c>
      <c r="Y5670">
        <v>-0.63105019999999901</v>
      </c>
      <c r="Z5670">
        <v>3.2144539999999999E-2</v>
      </c>
      <c r="AA5670">
        <v>0.77507569999999903</v>
      </c>
      <c r="AB5670">
        <v>26</v>
      </c>
      <c r="AC5670">
        <v>22.966099999999901</v>
      </c>
      <c r="AD5670">
        <v>-1.1176859797499901</v>
      </c>
      <c r="AE5670">
        <v>-13.6363</v>
      </c>
      <c r="AF5670">
        <v>-16.914841196085</v>
      </c>
      <c r="AG5670">
        <v>-1.1176859797499901</v>
      </c>
      <c r="AH5670">
        <v>20.610353650101601</v>
      </c>
      <c r="AI5670">
        <v>92.400404508674001</v>
      </c>
      <c r="AJ5670">
        <v>129.37559980819901</v>
      </c>
      <c r="AK5670">
        <v>26.6860966089153</v>
      </c>
      <c r="AL5670">
        <v>68.971087917488106</v>
      </c>
      <c r="AM5670">
        <v>113.831584952274</v>
      </c>
      <c r="AN5670">
        <v>1.00000000311254</v>
      </c>
    </row>
    <row r="5671" spans="1:40" x14ac:dyDescent="0.25">
      <c r="A5671" t="str">
        <f>"20190304164240040"</f>
        <v>20190304164240040</v>
      </c>
      <c r="B5671" t="str">
        <f>"1551688960037167"</f>
        <v>1551688960037167</v>
      </c>
      <c r="C5671" t="s">
        <v>40</v>
      </c>
      <c r="D5671">
        <v>4.1723730000000003</v>
      </c>
      <c r="E5671">
        <v>0.37794090000000002</v>
      </c>
      <c r="F5671" t="s">
        <v>42</v>
      </c>
      <c r="G5671">
        <v>-396.1123</v>
      </c>
      <c r="H5671" s="1">
        <v>-2.2950559999999999E-6</v>
      </c>
      <c r="I5671">
        <v>21.408439999999999</v>
      </c>
      <c r="J5671">
        <v>-419.98689999999999</v>
      </c>
      <c r="K5671">
        <v>1.11775</v>
      </c>
      <c r="L5671">
        <v>35.43683</v>
      </c>
      <c r="M5671">
        <v>0.34627839999999999</v>
      </c>
      <c r="N5671">
        <v>-1.4705080000000001E-2</v>
      </c>
      <c r="O5671">
        <v>-0.93801670000000004</v>
      </c>
      <c r="P5671">
        <v>0.64572089999999904</v>
      </c>
      <c r="Q5671">
        <v>0.35281079999999998</v>
      </c>
      <c r="R5671">
        <v>-0.67717749999999999</v>
      </c>
      <c r="S5671">
        <v>2.9172669999999998</v>
      </c>
      <c r="T5671">
        <v>-0.1362544</v>
      </c>
      <c r="U5671">
        <v>-1.72668499999999</v>
      </c>
      <c r="V5671">
        <v>-0.37735950000000001</v>
      </c>
      <c r="W5671">
        <v>0.35908509999999999</v>
      </c>
      <c r="X5671">
        <v>0.8536144</v>
      </c>
      <c r="Y5671">
        <v>-0.6303107</v>
      </c>
      <c r="Z5671">
        <v>3.0635820000000001E-2</v>
      </c>
      <c r="AA5671">
        <v>0.77573840000000005</v>
      </c>
      <c r="AB5671">
        <v>25</v>
      </c>
      <c r="AC5671">
        <v>23.874599999999901</v>
      </c>
      <c r="AD5671">
        <v>-1.1177522950559999</v>
      </c>
      <c r="AE5671">
        <v>-14.02839</v>
      </c>
      <c r="AF5671">
        <v>-17.5104083246474</v>
      </c>
      <c r="AG5671">
        <v>-1.1177522950559999</v>
      </c>
      <c r="AH5671">
        <v>21.393578587985001</v>
      </c>
      <c r="AI5671">
        <v>92.315260760906995</v>
      </c>
      <c r="AJ5671">
        <v>129.299947308502</v>
      </c>
      <c r="AK5671">
        <v>27.668555702986701</v>
      </c>
      <c r="AL5671">
        <v>68.955978777677899</v>
      </c>
      <c r="AM5671">
        <v>113.848906322676</v>
      </c>
      <c r="AN5671">
        <v>0.99999992258480697</v>
      </c>
    </row>
    <row r="5672" spans="1:40" x14ac:dyDescent="0.25">
      <c r="A5672" t="str">
        <f>"20190304164240056"</f>
        <v>20190304164240056</v>
      </c>
      <c r="B5672" t="str">
        <f>"1551688960047291"</f>
        <v>1551688960047291</v>
      </c>
      <c r="C5672" t="s">
        <v>40</v>
      </c>
      <c r="D5672">
        <v>4.1800930000000003</v>
      </c>
      <c r="E5672">
        <v>0.37849640000000001</v>
      </c>
      <c r="F5672" t="s">
        <v>41</v>
      </c>
      <c r="G5672">
        <v>-419.18920000000003</v>
      </c>
      <c r="H5672">
        <v>1.080365</v>
      </c>
      <c r="I5672">
        <v>34.96893</v>
      </c>
      <c r="J5672">
        <v>-419.91969999999998</v>
      </c>
      <c r="K5672">
        <v>1.117826</v>
      </c>
      <c r="L5672">
        <v>35.276980000000002</v>
      </c>
      <c r="M5672">
        <v>0.35291319999999998</v>
      </c>
      <c r="N5672">
        <v>-1.472074E-2</v>
      </c>
      <c r="O5672">
        <v>-0.93554040000000005</v>
      </c>
      <c r="P5672">
        <v>0.65076619999999996</v>
      </c>
      <c r="Q5672">
        <v>0.35270669999999998</v>
      </c>
      <c r="R5672">
        <v>-0.67238500000000001</v>
      </c>
      <c r="S5672">
        <v>2.922882</v>
      </c>
      <c r="T5672">
        <v>-0.1369822</v>
      </c>
      <c r="U5672">
        <v>-1.7144470000000001</v>
      </c>
      <c r="V5672">
        <v>-0.37774029999999997</v>
      </c>
      <c r="W5672">
        <v>0.35892180000000001</v>
      </c>
      <c r="X5672">
        <v>0.85351469999999896</v>
      </c>
      <c r="Y5672">
        <v>-0.62786949999999997</v>
      </c>
      <c r="Z5672">
        <v>3.0899699999999999E-2</v>
      </c>
      <c r="AA5672">
        <v>0.77770499999999998</v>
      </c>
      <c r="AB5672">
        <v>25</v>
      </c>
      <c r="AC5672">
        <v>0.73049999999994897</v>
      </c>
      <c r="AD5672">
        <v>-3.7460999999999897E-2</v>
      </c>
      <c r="AE5672">
        <v>-0.30805000000000099</v>
      </c>
      <c r="AF5672">
        <v>-0.57347912898464504</v>
      </c>
      <c r="AG5672">
        <v>-3.7460999999999897E-2</v>
      </c>
      <c r="AH5672">
        <v>0.54483893025208696</v>
      </c>
      <c r="AI5672">
        <v>92.711345942548206</v>
      </c>
      <c r="AJ5672">
        <v>136.46702799232801</v>
      </c>
      <c r="AK5672">
        <v>0.79191609266400598</v>
      </c>
      <c r="AL5672">
        <v>68.966004461836604</v>
      </c>
      <c r="AM5672">
        <v>113.872760749661</v>
      </c>
      <c r="AN5672">
        <v>0.99999996793770896</v>
      </c>
    </row>
    <row r="5673" spans="1:40" x14ac:dyDescent="0.25">
      <c r="A5673" t="str">
        <f>"20190304164240078"</f>
        <v>20190304164240078</v>
      </c>
      <c r="B5673" t="str">
        <f>"1551688960066810"</f>
        <v>1551688960066810</v>
      </c>
      <c r="C5673" t="s">
        <v>40</v>
      </c>
      <c r="D5673">
        <v>4.5116379999999996</v>
      </c>
      <c r="E5673">
        <v>0.38585199999999997</v>
      </c>
      <c r="F5673" t="s">
        <v>42</v>
      </c>
      <c r="G5673">
        <v>-396.24759999999998</v>
      </c>
      <c r="H5673" s="1">
        <v>-2.284718E-6</v>
      </c>
      <c r="I5673">
        <v>21.61</v>
      </c>
      <c r="J5673">
        <v>-419.82100000000003</v>
      </c>
      <c r="K5673">
        <v>1.117931</v>
      </c>
      <c r="L5673">
        <v>35.047449999999998</v>
      </c>
      <c r="M5673">
        <v>0.36257040000000001</v>
      </c>
      <c r="N5673">
        <v>-1.474366E-2</v>
      </c>
      <c r="O5673">
        <v>-0.93184009999999995</v>
      </c>
      <c r="P5673">
        <v>0.65817689999999995</v>
      </c>
      <c r="Q5673">
        <v>0.35298400000000002</v>
      </c>
      <c r="R5673">
        <v>-0.66498550000000001</v>
      </c>
      <c r="S5673">
        <v>2.9345400000000001</v>
      </c>
      <c r="T5673">
        <v>-0.1385729</v>
      </c>
      <c r="U5673">
        <v>-1.6942440000000001</v>
      </c>
      <c r="V5673">
        <v>-0.37852219999999998</v>
      </c>
      <c r="W5673">
        <v>0.35910560000000002</v>
      </c>
      <c r="X5673">
        <v>0.85309089999999999</v>
      </c>
      <c r="Y5673">
        <v>-0.6251563</v>
      </c>
      <c r="Z5673">
        <v>3.1432710000000003E-2</v>
      </c>
      <c r="AA5673">
        <v>0.77986639999999996</v>
      </c>
      <c r="AB5673">
        <v>25</v>
      </c>
      <c r="AC5673">
        <v>23.5733999999999</v>
      </c>
      <c r="AD5673">
        <v>-1.1179332847179999</v>
      </c>
      <c r="AE5673">
        <v>-13.437449999999901</v>
      </c>
      <c r="AF5673">
        <v>-17.067499515275198</v>
      </c>
      <c r="AG5673">
        <v>-1.1179332847179999</v>
      </c>
      <c r="AH5673">
        <v>21.035149407162599</v>
      </c>
      <c r="AI5673">
        <v>92.363252217661994</v>
      </c>
      <c r="AJ5673">
        <v>129.05518392011601</v>
      </c>
      <c r="AK5673">
        <v>27.1113781485681</v>
      </c>
      <c r="AL5673">
        <v>68.954721665534095</v>
      </c>
      <c r="AM5673">
        <v>113.92718489692901</v>
      </c>
      <c r="AN5673">
        <v>0.99999998575350402</v>
      </c>
    </row>
    <row r="5674" spans="1:40" x14ac:dyDescent="0.25">
      <c r="A5674" t="str">
        <f>"20190304164240100"</f>
        <v>20190304164240100</v>
      </c>
      <c r="B5674" t="str">
        <f>"1551688960097066"</f>
        <v>1551688960097066</v>
      </c>
      <c r="C5674" t="s">
        <v>40</v>
      </c>
      <c r="D5674">
        <v>4.3545420000000004</v>
      </c>
      <c r="E5674">
        <v>0.4712209</v>
      </c>
      <c r="F5674" t="s">
        <v>41</v>
      </c>
      <c r="G5674">
        <v>-419.00850000000003</v>
      </c>
      <c r="H5674">
        <v>1.0753790000000001</v>
      </c>
      <c r="I5674">
        <v>34.571829999999999</v>
      </c>
      <c r="J5674">
        <v>-419.72230000000002</v>
      </c>
      <c r="K5674">
        <v>1.1180289999999999</v>
      </c>
      <c r="L5674">
        <v>34.824579999999997</v>
      </c>
      <c r="M5674">
        <v>0.37211319999999998</v>
      </c>
      <c r="N5674">
        <v>-1.476652E-2</v>
      </c>
      <c r="O5674">
        <v>-0.92806999999999995</v>
      </c>
      <c r="P5674">
        <v>0.6657592</v>
      </c>
      <c r="Q5674">
        <v>0.3538038</v>
      </c>
      <c r="R5674">
        <v>-0.65695329999999996</v>
      </c>
      <c r="S5674">
        <v>2.915619</v>
      </c>
      <c r="T5674">
        <v>-0.15269549999999901</v>
      </c>
      <c r="U5674">
        <v>-1.7066349999999999</v>
      </c>
      <c r="V5674">
        <v>-0.37981959999999998</v>
      </c>
      <c r="W5674">
        <v>0.35982249999999999</v>
      </c>
      <c r="X5674">
        <v>0.85221179999999996</v>
      </c>
      <c r="Y5674">
        <v>-0.61226429999999998</v>
      </c>
      <c r="Z5674">
        <v>3.5844800000000003E-2</v>
      </c>
      <c r="AA5674">
        <v>0.78984019999999899</v>
      </c>
      <c r="AB5674">
        <v>25</v>
      </c>
      <c r="AC5674">
        <v>0.713799999999992</v>
      </c>
      <c r="AD5674">
        <v>-4.265E-2</v>
      </c>
      <c r="AE5674">
        <v>-0.25274999999999798</v>
      </c>
      <c r="AF5674">
        <v>-0.56666898454866799</v>
      </c>
      <c r="AG5674">
        <v>-4.265E-2</v>
      </c>
      <c r="AH5674">
        <v>0.49865665384515501</v>
      </c>
      <c r="AI5674">
        <v>93.233921782492899</v>
      </c>
      <c r="AJ5674">
        <v>138.652909572673</v>
      </c>
      <c r="AK5674">
        <v>0.75603651960303198</v>
      </c>
      <c r="AL5674">
        <v>68.910705694208701</v>
      </c>
      <c r="AM5674">
        <v>114.021904773714</v>
      </c>
      <c r="AN5674">
        <v>1.0000000560548199</v>
      </c>
    </row>
    <row r="5675" spans="1:40" x14ac:dyDescent="0.25">
      <c r="A5675" t="str">
        <f>"20190304164240113"</f>
        <v>20190304164240113</v>
      </c>
      <c r="B5675" t="str">
        <f>"1551688960106827"</f>
        <v>1551688960106827</v>
      </c>
      <c r="C5675" t="s">
        <v>40</v>
      </c>
      <c r="D5675">
        <v>4.3011679999999997</v>
      </c>
      <c r="E5675">
        <v>0.47367330000000002</v>
      </c>
      <c r="F5675" t="s">
        <v>57</v>
      </c>
      <c r="G5675">
        <v>-411.10140000000001</v>
      </c>
      <c r="H5675" s="1">
        <v>-1.0140040000000001E-5</v>
      </c>
      <c r="I5675">
        <v>27.202159999999999</v>
      </c>
      <c r="J5675">
        <v>-419.66090000000003</v>
      </c>
      <c r="K5675">
        <v>1.1180829999999999</v>
      </c>
      <c r="L5675">
        <v>34.689819999999997</v>
      </c>
      <c r="M5675">
        <v>0.37797900000000001</v>
      </c>
      <c r="N5675">
        <v>-1.47805E-2</v>
      </c>
      <c r="O5675">
        <v>-0.92569630000000003</v>
      </c>
      <c r="P5675">
        <v>0.67030230000000002</v>
      </c>
      <c r="Q5675">
        <v>0.3537807</v>
      </c>
      <c r="R5675">
        <v>-0.65232990000000002</v>
      </c>
      <c r="S5675">
        <v>2.4984130000000002</v>
      </c>
      <c r="T5675">
        <v>-0.32401729999999901</v>
      </c>
      <c r="U5675">
        <v>-2.2090450000000001</v>
      </c>
      <c r="V5675">
        <v>-0.3803877</v>
      </c>
      <c r="W5675">
        <v>0.35974679999999998</v>
      </c>
      <c r="X5675">
        <v>0.85199029999999998</v>
      </c>
      <c r="Y5675">
        <v>-0.43997130000000001</v>
      </c>
      <c r="Z5675">
        <v>8.571906E-2</v>
      </c>
      <c r="AA5675">
        <v>0.89391139999999902</v>
      </c>
      <c r="AB5675">
        <v>25</v>
      </c>
      <c r="AC5675">
        <v>8.5595000000000105</v>
      </c>
      <c r="AD5675">
        <v>-1.1180931400399901</v>
      </c>
      <c r="AE5675">
        <v>-7.48766</v>
      </c>
      <c r="AF5675">
        <v>-5.0451080132607196</v>
      </c>
      <c r="AG5675">
        <v>-1.1180931400399901</v>
      </c>
      <c r="AH5675">
        <v>10.070377530615501</v>
      </c>
      <c r="AI5675">
        <v>95.669022604755398</v>
      </c>
      <c r="AJ5675">
        <v>116.61018212410301</v>
      </c>
      <c r="AK5675">
        <v>11.318822851533501</v>
      </c>
      <c r="AL5675">
        <v>68.915353409017897</v>
      </c>
      <c r="AM5675">
        <v>114.05930569810801</v>
      </c>
      <c r="AN5675">
        <v>1.0000000168578</v>
      </c>
    </row>
    <row r="5676" spans="1:40" x14ac:dyDescent="0.25">
      <c r="A5676" t="str">
        <f>"20190304164240127"</f>
        <v>20190304164240127</v>
      </c>
      <c r="B5676" t="str">
        <f>"1551688960116586"</f>
        <v>1551688960116586</v>
      </c>
      <c r="C5676" t="s">
        <v>40</v>
      </c>
      <c r="D5676">
        <v>4.3061759999999998</v>
      </c>
      <c r="E5676">
        <v>0.47535159999999999</v>
      </c>
      <c r="F5676" t="s">
        <v>41</v>
      </c>
      <c r="G5676">
        <v>-418.91320000000002</v>
      </c>
      <c r="H5676">
        <v>1.0193559999999999</v>
      </c>
      <c r="I5676">
        <v>34.029519999999998</v>
      </c>
      <c r="J5676">
        <v>-419.59899999999999</v>
      </c>
      <c r="K5676">
        <v>1.118139</v>
      </c>
      <c r="L5676">
        <v>34.555790000000002</v>
      </c>
      <c r="M5676">
        <v>0.38385360000000002</v>
      </c>
      <c r="N5676">
        <v>-1.479422E-2</v>
      </c>
      <c r="O5676">
        <v>-0.92327550000000003</v>
      </c>
      <c r="P5676">
        <v>0.67489339999999998</v>
      </c>
      <c r="Q5676">
        <v>0.35365419999999997</v>
      </c>
      <c r="R5676">
        <v>-0.647648</v>
      </c>
      <c r="S5676">
        <v>2.5005799999999998</v>
      </c>
      <c r="T5676">
        <v>-0.33021610000000001</v>
      </c>
      <c r="U5676">
        <v>-2.2085270000000001</v>
      </c>
      <c r="V5676">
        <v>-0.38101449999999998</v>
      </c>
      <c r="W5676">
        <v>0.35956840000000001</v>
      </c>
      <c r="X5676">
        <v>0.85178549999999997</v>
      </c>
      <c r="Y5676">
        <v>-0.43463439999999998</v>
      </c>
      <c r="Z5676">
        <v>8.7348060000000005E-2</v>
      </c>
      <c r="AA5676">
        <v>0.89636109999999902</v>
      </c>
      <c r="AB5676">
        <v>25</v>
      </c>
      <c r="AC5676">
        <v>0.68579999999997199</v>
      </c>
      <c r="AD5676">
        <v>-9.8782999999999996E-2</v>
      </c>
      <c r="AE5676">
        <v>-0.52627000000000301</v>
      </c>
      <c r="AF5676">
        <v>-0.42566055537806602</v>
      </c>
      <c r="AG5676">
        <v>-9.8782999999999996E-2</v>
      </c>
      <c r="AH5676">
        <v>0.739563654976647</v>
      </c>
      <c r="AI5676">
        <v>96.603408106802902</v>
      </c>
      <c r="AJ5676">
        <v>119.922851976224</v>
      </c>
      <c r="AK5676">
        <v>0.85901070380768896</v>
      </c>
      <c r="AL5676">
        <v>68.926307875261699</v>
      </c>
      <c r="AM5676">
        <v>114.09957584783101</v>
      </c>
      <c r="AN5676">
        <v>1.0000000107495299</v>
      </c>
    </row>
    <row r="5677" spans="1:40" x14ac:dyDescent="0.25">
      <c r="A5677" t="str">
        <f>"20190304164240140"</f>
        <v>20190304164240140</v>
      </c>
      <c r="B5677" t="str">
        <f>"1551688960127323"</f>
        <v>1551688960127323</v>
      </c>
      <c r="C5677" t="s">
        <v>40</v>
      </c>
      <c r="D5677">
        <v>4.2935689999999997</v>
      </c>
      <c r="E5677">
        <v>0.47648800000000002</v>
      </c>
      <c r="F5677" t="s">
        <v>41</v>
      </c>
      <c r="G5677">
        <v>-418.8492</v>
      </c>
      <c r="H5677">
        <v>1.0185580000000001</v>
      </c>
      <c r="I5677">
        <v>33.897019999999998</v>
      </c>
      <c r="J5677">
        <v>-419.5378</v>
      </c>
      <c r="K5677">
        <v>1.1181909999999999</v>
      </c>
      <c r="L5677">
        <v>34.425379999999997</v>
      </c>
      <c r="M5677">
        <v>0.3896213</v>
      </c>
      <c r="N5677">
        <v>-1.4807620000000001E-2</v>
      </c>
      <c r="O5677">
        <v>-0.92085620000000001</v>
      </c>
      <c r="P5677">
        <v>0.67918959999999995</v>
      </c>
      <c r="Q5677">
        <v>0.35353689999999999</v>
      </c>
      <c r="R5677">
        <v>-0.64320580000000005</v>
      </c>
      <c r="S5677">
        <v>2.5066220000000001</v>
      </c>
      <c r="T5677">
        <v>-0.33286300000000002</v>
      </c>
      <c r="U5677">
        <v>-2.2018430000000002</v>
      </c>
      <c r="V5677">
        <v>-0.3813764</v>
      </c>
      <c r="W5677">
        <v>0.35940820000000001</v>
      </c>
      <c r="X5677">
        <v>0.85169110000000003</v>
      </c>
      <c r="Y5677">
        <v>-0.43137569999999997</v>
      </c>
      <c r="Z5677">
        <v>8.7988620000000003E-2</v>
      </c>
      <c r="AA5677">
        <v>0.89787139999999999</v>
      </c>
      <c r="AB5677">
        <v>25</v>
      </c>
      <c r="AC5677">
        <v>0.68860000000000798</v>
      </c>
      <c r="AD5677">
        <v>-9.9632999999999805E-2</v>
      </c>
      <c r="AE5677">
        <v>-0.52835999999999905</v>
      </c>
      <c r="AF5677">
        <v>-0.42271800826800998</v>
      </c>
      <c r="AG5677">
        <v>-9.9632999999999805E-2</v>
      </c>
      <c r="AH5677">
        <v>0.74510126740064997</v>
      </c>
      <c r="AI5677">
        <v>96.633924708360496</v>
      </c>
      <c r="AJ5677">
        <v>119.567525345186</v>
      </c>
      <c r="AK5677">
        <v>0.86243443106425699</v>
      </c>
      <c r="AL5677">
        <v>68.936143351507695</v>
      </c>
      <c r="AM5677">
        <v>114.12222581080199</v>
      </c>
      <c r="AN5677">
        <v>0.99999997126170403</v>
      </c>
    </row>
    <row r="5678" spans="1:40" x14ac:dyDescent="0.25">
      <c r="A5678" t="str">
        <f>"20190304164240152"</f>
        <v>20190304164240152</v>
      </c>
      <c r="B5678" t="str">
        <f>"1551688960146842"</f>
        <v>1551688960146842</v>
      </c>
      <c r="C5678" t="s">
        <v>40</v>
      </c>
      <c r="D5678">
        <v>4.300192</v>
      </c>
      <c r="E5678">
        <v>0.47768699999999997</v>
      </c>
      <c r="F5678" t="s">
        <v>57</v>
      </c>
      <c r="G5678">
        <v>-411.14429999999999</v>
      </c>
      <c r="H5678" s="1">
        <v>-1.0115319999999999E-5</v>
      </c>
      <c r="I5678">
        <v>27.110980000000001</v>
      </c>
      <c r="J5678">
        <v>-419.47820000000002</v>
      </c>
      <c r="K5678">
        <v>1.1182379999999901</v>
      </c>
      <c r="L5678">
        <v>34.301209999999998</v>
      </c>
      <c r="M5678">
        <v>0.3951788</v>
      </c>
      <c r="N5678">
        <v>-1.482052E-2</v>
      </c>
      <c r="O5678">
        <v>-0.91848470000000004</v>
      </c>
      <c r="P5678">
        <v>0.68303899999999995</v>
      </c>
      <c r="Q5678">
        <v>0.35303220000000002</v>
      </c>
      <c r="R5678">
        <v>-0.63939509999999999</v>
      </c>
      <c r="S5678">
        <v>2.5155029999999998</v>
      </c>
      <c r="T5678">
        <v>-0.33512189999999997</v>
      </c>
      <c r="U5678">
        <v>-2.1921080000000002</v>
      </c>
      <c r="V5678">
        <v>-0.3812643</v>
      </c>
      <c r="W5678">
        <v>0.35887819999999998</v>
      </c>
      <c r="X5678">
        <v>0.85196479999999997</v>
      </c>
      <c r="Y5678">
        <v>-0.42943100000000001</v>
      </c>
      <c r="Z5678">
        <v>8.8537320000000003E-2</v>
      </c>
      <c r="AA5678">
        <v>0.89874920000000003</v>
      </c>
      <c r="AB5678">
        <v>25</v>
      </c>
      <c r="AC5678">
        <v>8.3339000000000194</v>
      </c>
      <c r="AD5678">
        <v>-1.1182481153199999</v>
      </c>
      <c r="AE5678">
        <v>-7.1902299999999997</v>
      </c>
      <c r="AF5678">
        <v>-4.7644852381041698</v>
      </c>
      <c r="AG5678">
        <v>-1.1182481153199999</v>
      </c>
      <c r="AH5678">
        <v>9.7974595487045999</v>
      </c>
      <c r="AI5678">
        <v>95.860497669719194</v>
      </c>
      <c r="AJ5678">
        <v>115.93356332989801</v>
      </c>
      <c r="AK5678">
        <v>10.951758399454899</v>
      </c>
      <c r="AL5678">
        <v>68.968682120623001</v>
      </c>
      <c r="AM5678">
        <v>114.109079119334</v>
      </c>
      <c r="AN5678">
        <v>1.0000000246643801</v>
      </c>
    </row>
    <row r="5679" spans="1:40" x14ac:dyDescent="0.25">
      <c r="A5679" t="str">
        <f>"20190304164240166"</f>
        <v>20190304164240166</v>
      </c>
      <c r="B5679" t="str">
        <f>"1551688960156603"</f>
        <v>1551688960156603</v>
      </c>
      <c r="C5679" t="s">
        <v>40</v>
      </c>
      <c r="D5679">
        <v>4.3050800000000002</v>
      </c>
      <c r="E5679">
        <v>0.47831459999999998</v>
      </c>
      <c r="F5679" t="s">
        <v>41</v>
      </c>
      <c r="G5679">
        <v>-418.70119999999997</v>
      </c>
      <c r="H5679">
        <v>1.01414</v>
      </c>
      <c r="I5679">
        <v>33.628430000000002</v>
      </c>
      <c r="J5679">
        <v>-419.40800000000002</v>
      </c>
      <c r="K5679">
        <v>1.1182840000000001</v>
      </c>
      <c r="L5679">
        <v>34.15701</v>
      </c>
      <c r="M5679">
        <v>0.40167249999999999</v>
      </c>
      <c r="N5679">
        <v>-1.483521E-2</v>
      </c>
      <c r="O5679">
        <v>-0.91566309999999995</v>
      </c>
      <c r="P5679">
        <v>0.68763379999999996</v>
      </c>
      <c r="Q5679">
        <v>0.35177619999999998</v>
      </c>
      <c r="R5679">
        <v>-0.63514820000000005</v>
      </c>
      <c r="S5679">
        <v>2.522125</v>
      </c>
      <c r="T5679">
        <v>-0.33796549999999997</v>
      </c>
      <c r="U5679">
        <v>-2.1842649999999999</v>
      </c>
      <c r="V5679">
        <v>-0.38112109999999999</v>
      </c>
      <c r="W5679">
        <v>0.35759829999999998</v>
      </c>
      <c r="X5679">
        <v>0.85256679999999996</v>
      </c>
      <c r="Y5679">
        <v>-0.4257514</v>
      </c>
      <c r="Z5679">
        <v>8.9206649999999998E-2</v>
      </c>
      <c r="AA5679">
        <v>0.90043209999999996</v>
      </c>
      <c r="AB5679">
        <v>25</v>
      </c>
      <c r="AC5679">
        <v>0.70680000000004295</v>
      </c>
      <c r="AD5679">
        <v>-0.104144</v>
      </c>
      <c r="AE5679">
        <v>-0.52857999999999705</v>
      </c>
      <c r="AF5679">
        <v>-0.42895000641123399</v>
      </c>
      <c r="AG5679">
        <v>-0.104144</v>
      </c>
      <c r="AH5679">
        <v>0.75744160255663695</v>
      </c>
      <c r="AI5679">
        <v>96.822511272015404</v>
      </c>
      <c r="AJ5679">
        <v>119.523497763842</v>
      </c>
      <c r="AK5679">
        <v>0.876676600588703</v>
      </c>
      <c r="AL5679">
        <v>69.047227373698504</v>
      </c>
      <c r="AM5679">
        <v>114.08597304305501</v>
      </c>
      <c r="AN5679">
        <v>0.99999999274516904</v>
      </c>
    </row>
    <row r="5680" spans="1:40" x14ac:dyDescent="0.25">
      <c r="A5680" t="str">
        <f>"20190304164240180"</f>
        <v>20190304164240180</v>
      </c>
      <c r="B5680" t="str">
        <f>"1551688960177098"</f>
        <v>1551688960177098</v>
      </c>
      <c r="C5680" t="s">
        <v>40</v>
      </c>
      <c r="D5680">
        <v>4.3155549999999998</v>
      </c>
      <c r="E5680">
        <v>0.47935040000000001</v>
      </c>
      <c r="F5680" t="s">
        <v>41</v>
      </c>
      <c r="G5680">
        <v>-418.64749999999998</v>
      </c>
      <c r="H5680">
        <v>1.014988</v>
      </c>
      <c r="I5680">
        <v>33.505859999999998</v>
      </c>
      <c r="J5680">
        <v>-419.34289999999999</v>
      </c>
      <c r="K5680">
        <v>1.1183240000000001</v>
      </c>
      <c r="L5680">
        <v>34.025449999999999</v>
      </c>
      <c r="M5680">
        <v>0.40764879999999998</v>
      </c>
      <c r="N5680">
        <v>-1.4848510000000001E-2</v>
      </c>
      <c r="O5680">
        <v>-0.913018</v>
      </c>
      <c r="P5680">
        <v>0.69152190000000002</v>
      </c>
      <c r="Q5680">
        <v>0.3510897</v>
      </c>
      <c r="R5680">
        <v>-0.6312953</v>
      </c>
      <c r="S5680">
        <v>2.5350950000000001</v>
      </c>
      <c r="T5680">
        <v>-0.34419809999999901</v>
      </c>
      <c r="U5680">
        <v>-2.169403</v>
      </c>
      <c r="V5680">
        <v>-0.38065500000000002</v>
      </c>
      <c r="W5680">
        <v>0.35689729999999997</v>
      </c>
      <c r="X5680">
        <v>0.85306859999999995</v>
      </c>
      <c r="Y5680">
        <v>-0.42503039999999997</v>
      </c>
      <c r="Z5680">
        <v>9.0953000000000006E-2</v>
      </c>
      <c r="AA5680">
        <v>0.90059800000000001</v>
      </c>
      <c r="AB5680">
        <v>25</v>
      </c>
      <c r="AC5680">
        <v>0.69540000000000601</v>
      </c>
      <c r="AD5680">
        <v>-0.103335999999999</v>
      </c>
      <c r="AE5680">
        <v>-0.51959</v>
      </c>
      <c r="AF5680">
        <v>-0.41723665485448802</v>
      </c>
      <c r="AG5680">
        <v>-0.103335999999999</v>
      </c>
      <c r="AH5680">
        <v>0.74736695911538098</v>
      </c>
      <c r="AI5680">
        <v>96.883845147320599</v>
      </c>
      <c r="AJ5680">
        <v>119.17355242000301</v>
      </c>
      <c r="AK5680">
        <v>0.86216131125650497</v>
      </c>
      <c r="AL5680">
        <v>69.090229029043797</v>
      </c>
      <c r="AM5680">
        <v>114.047313125342</v>
      </c>
      <c r="AN5680">
        <v>0.999999974039124</v>
      </c>
    </row>
    <row r="5681" spans="1:40" x14ac:dyDescent="0.25">
      <c r="A5681" t="str">
        <f>"20190304164240192"</f>
        <v>20190304164240192</v>
      </c>
      <c r="B5681" t="str">
        <f>"1551688960186858"</f>
        <v>1551688960186858</v>
      </c>
      <c r="C5681" t="s">
        <v>40</v>
      </c>
      <c r="D5681">
        <v>4.3094530000000004</v>
      </c>
      <c r="E5681">
        <v>0.4798441</v>
      </c>
      <c r="F5681" t="s">
        <v>57</v>
      </c>
      <c r="G5681">
        <v>-411.22379999999998</v>
      </c>
      <c r="H5681" s="1">
        <v>-1.0088220000000001E-5</v>
      </c>
      <c r="I5681">
        <v>27.12914</v>
      </c>
      <c r="J5681">
        <v>-419.28120000000001</v>
      </c>
      <c r="K5681">
        <v>1.1183650000000001</v>
      </c>
      <c r="L5681">
        <v>33.903379999999999</v>
      </c>
      <c r="M5681">
        <v>0.41325459999999897</v>
      </c>
      <c r="N5681">
        <v>-1.4860760000000001E-2</v>
      </c>
      <c r="O5681">
        <v>-0.91049440000000004</v>
      </c>
      <c r="P5681">
        <v>0.69524869999999905</v>
      </c>
      <c r="Q5681">
        <v>0.35030440000000002</v>
      </c>
      <c r="R5681">
        <v>-0.6276273</v>
      </c>
      <c r="S5681">
        <v>2.543701</v>
      </c>
      <c r="T5681">
        <v>-0.35037390000000002</v>
      </c>
      <c r="U5681">
        <v>-2.1606139999999998</v>
      </c>
      <c r="V5681">
        <v>-0.38030049999999999</v>
      </c>
      <c r="W5681">
        <v>0.35609940000000001</v>
      </c>
      <c r="X5681">
        <v>0.85355999999999999</v>
      </c>
      <c r="Y5681">
        <v>-0.42264960000000001</v>
      </c>
      <c r="Z5681">
        <v>9.2607620000000002E-2</v>
      </c>
      <c r="AA5681">
        <v>0.9015493</v>
      </c>
      <c r="AB5681">
        <v>25</v>
      </c>
      <c r="AC5681">
        <v>8.0574000000000296</v>
      </c>
      <c r="AD5681">
        <v>-1.1183750882200001</v>
      </c>
      <c r="AE5681">
        <v>-6.77423999999999</v>
      </c>
      <c r="AF5681">
        <v>-4.4865909163383604</v>
      </c>
      <c r="AG5681">
        <v>-1.1183750882200001</v>
      </c>
      <c r="AH5681">
        <v>9.39269519884588</v>
      </c>
      <c r="AI5681">
        <v>96.132370937808403</v>
      </c>
      <c r="AJ5681">
        <v>115.532318212609</v>
      </c>
      <c r="AK5681">
        <v>10.4691443770225</v>
      </c>
      <c r="AL5681">
        <v>69.139160083968406</v>
      </c>
      <c r="AM5681">
        <v>114.015185620927</v>
      </c>
      <c r="AN5681">
        <v>0.99999996329030405</v>
      </c>
    </row>
    <row r="5682" spans="1:40" x14ac:dyDescent="0.25">
      <c r="A5682" t="str">
        <f>"20190304164240205"</f>
        <v>20190304164240205</v>
      </c>
      <c r="B5682" t="str">
        <f>"1551688960196619"</f>
        <v>1551688960196619</v>
      </c>
      <c r="C5682" t="s">
        <v>40</v>
      </c>
      <c r="D5682">
        <v>4.3622699999999996</v>
      </c>
      <c r="E5682">
        <v>0.48027760000000003</v>
      </c>
      <c r="F5682" t="s">
        <v>57</v>
      </c>
      <c r="G5682">
        <v>-411.25670000000002</v>
      </c>
      <c r="H5682" s="1">
        <v>-1.007842E-5</v>
      </c>
      <c r="I5682">
        <v>27.150680000000001</v>
      </c>
      <c r="J5682">
        <v>-419.2183</v>
      </c>
      <c r="K5682">
        <v>1.118403</v>
      </c>
      <c r="L5682">
        <v>33.780239999999999</v>
      </c>
      <c r="M5682">
        <v>0.4189293</v>
      </c>
      <c r="N5682">
        <v>-1.487281E-2</v>
      </c>
      <c r="O5682">
        <v>-0.90789719999999996</v>
      </c>
      <c r="P5682">
        <v>0.69895620000000003</v>
      </c>
      <c r="Q5682">
        <v>0.35002919999999998</v>
      </c>
      <c r="R5682">
        <v>-0.62365059999999894</v>
      </c>
      <c r="S5682">
        <v>2.5540769999999999</v>
      </c>
      <c r="T5682">
        <v>-0.35596359999999999</v>
      </c>
      <c r="U5682">
        <v>-2.149292</v>
      </c>
      <c r="V5682">
        <v>-0.37999470000000002</v>
      </c>
      <c r="W5682">
        <v>0.35580840000000002</v>
      </c>
      <c r="X5682">
        <v>0.85381759999999995</v>
      </c>
      <c r="Y5682">
        <v>-0.42102070000000003</v>
      </c>
      <c r="Z5682">
        <v>9.4103839999999994E-2</v>
      </c>
      <c r="AA5682">
        <v>0.90215639999999997</v>
      </c>
      <c r="AB5682">
        <v>25</v>
      </c>
      <c r="AC5682">
        <v>7.9615999999999696</v>
      </c>
      <c r="AD5682">
        <v>-1.1184130784199999</v>
      </c>
      <c r="AE5682">
        <v>-6.6295599999999997</v>
      </c>
      <c r="AF5682">
        <v>-4.4002119817452297</v>
      </c>
      <c r="AG5682">
        <v>-1.1184130784199999</v>
      </c>
      <c r="AH5682">
        <v>9.2475747741587995</v>
      </c>
      <c r="AI5682">
        <v>96.232494054268798</v>
      </c>
      <c r="AJ5682">
        <v>115.446195832133</v>
      </c>
      <c r="AK5682">
        <v>10.3019586730841</v>
      </c>
      <c r="AL5682">
        <v>69.157003433798707</v>
      </c>
      <c r="AM5682">
        <v>113.991633179221</v>
      </c>
      <c r="AN5682">
        <v>1.0000000418042001</v>
      </c>
    </row>
    <row r="5683" spans="1:40" x14ac:dyDescent="0.25">
      <c r="A5683" t="str">
        <f>"20190304164240217"</f>
        <v>20190304164240217</v>
      </c>
      <c r="B5683" t="str">
        <f>"1551688960207355"</f>
        <v>1551688960207355</v>
      </c>
      <c r="C5683" t="s">
        <v>40</v>
      </c>
      <c r="D5683">
        <v>4.3311339999999996</v>
      </c>
      <c r="E5683">
        <v>0.48065970000000002</v>
      </c>
      <c r="F5683" t="s">
        <v>41</v>
      </c>
      <c r="G5683">
        <v>-418.43689999999998</v>
      </c>
      <c r="H5683">
        <v>1.009225</v>
      </c>
      <c r="I5683">
        <v>33.128929999999997</v>
      </c>
      <c r="J5683">
        <v>-419.15530000000001</v>
      </c>
      <c r="K5683">
        <v>1.1184369999999999</v>
      </c>
      <c r="L5683">
        <v>33.659550000000003</v>
      </c>
      <c r="M5683">
        <v>0.42454789999999998</v>
      </c>
      <c r="N5683">
        <v>-1.4884619999999999E-2</v>
      </c>
      <c r="O5683">
        <v>-0.90528330000000001</v>
      </c>
      <c r="P5683">
        <v>0.70280240000000005</v>
      </c>
      <c r="Q5683">
        <v>0.34959559999999901</v>
      </c>
      <c r="R5683">
        <v>-0.61955819999999995</v>
      </c>
      <c r="S5683">
        <v>2.5645449999999999</v>
      </c>
      <c r="T5683">
        <v>-0.35829040000000001</v>
      </c>
      <c r="U5683">
        <v>-2.1372680000000002</v>
      </c>
      <c r="V5683">
        <v>-0.37990800000000002</v>
      </c>
      <c r="W5683">
        <v>0.35535519999999998</v>
      </c>
      <c r="X5683">
        <v>0.8540449</v>
      </c>
      <c r="Y5683">
        <v>-0.4196647</v>
      </c>
      <c r="Z5683">
        <v>9.4644270000000003E-2</v>
      </c>
      <c r="AA5683">
        <v>0.90273139999999996</v>
      </c>
      <c r="AB5683">
        <v>25</v>
      </c>
      <c r="AC5683">
        <v>0.71840000000003001</v>
      </c>
      <c r="AD5683">
        <v>-0.109212</v>
      </c>
      <c r="AE5683">
        <v>-0.53062000000000598</v>
      </c>
      <c r="AF5683">
        <v>-0.41886569297735099</v>
      </c>
      <c r="AG5683">
        <v>-0.109212</v>
      </c>
      <c r="AH5683">
        <v>0.77387190368732905</v>
      </c>
      <c r="AI5683">
        <v>97.0748280891668</v>
      </c>
      <c r="AJ5683">
        <v>118.424898608497</v>
      </c>
      <c r="AK5683">
        <v>0.88670933964521104</v>
      </c>
      <c r="AL5683">
        <v>69.184785732710097</v>
      </c>
      <c r="AM5683">
        <v>113.981112829917</v>
      </c>
      <c r="AN5683">
        <v>1.0000000489235199</v>
      </c>
    </row>
    <row r="5684" spans="1:40" x14ac:dyDescent="0.25">
      <c r="A5684" t="str">
        <f>"20190304164240229"</f>
        <v>20190304164240229</v>
      </c>
      <c r="B5684" t="str">
        <f>"1551688960217115"</f>
        <v>1551688960217115</v>
      </c>
      <c r="C5684" t="s">
        <v>40</v>
      </c>
      <c r="D5684">
        <v>4.3398890000000003</v>
      </c>
      <c r="E5684">
        <v>0.48109109999999999</v>
      </c>
      <c r="F5684" t="s">
        <v>57</v>
      </c>
      <c r="G5684">
        <v>-411.1678</v>
      </c>
      <c r="H5684" s="1">
        <v>-1.010272E-5</v>
      </c>
      <c r="I5684">
        <v>27.070530000000002</v>
      </c>
      <c r="J5684">
        <v>-419.0933</v>
      </c>
      <c r="K5684">
        <v>1.1184700000000001</v>
      </c>
      <c r="L5684">
        <v>33.542359999999903</v>
      </c>
      <c r="M5684">
        <v>0.43003920000000001</v>
      </c>
      <c r="N5684">
        <v>-1.4896E-2</v>
      </c>
      <c r="O5684">
        <v>-0.90268729999999997</v>
      </c>
      <c r="P5684">
        <v>0.70631519999999903</v>
      </c>
      <c r="Q5684">
        <v>0.3492519</v>
      </c>
      <c r="R5684">
        <v>-0.61574510000000005</v>
      </c>
      <c r="S5684">
        <v>2.575256</v>
      </c>
      <c r="T5684">
        <v>-0.36060300000000001</v>
      </c>
      <c r="U5684">
        <v>-2.12439</v>
      </c>
      <c r="V5684">
        <v>-0.3795171</v>
      </c>
      <c r="W5684">
        <v>0.35500080000000001</v>
      </c>
      <c r="X5684">
        <v>0.85436599999999996</v>
      </c>
      <c r="Y5684">
        <v>-0.41863709999999998</v>
      </c>
      <c r="Z5684">
        <v>9.5194490000000007E-2</v>
      </c>
      <c r="AA5684">
        <v>0.90315060000000003</v>
      </c>
      <c r="AB5684">
        <v>25</v>
      </c>
      <c r="AC5684">
        <v>7.9254999999999898</v>
      </c>
      <c r="AD5684">
        <v>-1.11848010272</v>
      </c>
      <c r="AE5684">
        <v>-6.47182999999999</v>
      </c>
      <c r="AF5684">
        <v>-4.3199749899746704</v>
      </c>
      <c r="AG5684">
        <v>-1.11848010272</v>
      </c>
      <c r="AH5684">
        <v>9.14210553318979</v>
      </c>
      <c r="AI5684">
        <v>96.312158347810694</v>
      </c>
      <c r="AJ5684">
        <v>115.292425736466</v>
      </c>
      <c r="AK5684">
        <v>10.1730661668037</v>
      </c>
      <c r="AL5684">
        <v>69.206507232763599</v>
      </c>
      <c r="AM5684">
        <v>113.951225044186</v>
      </c>
      <c r="AN5684">
        <v>1.0000000295745199</v>
      </c>
    </row>
    <row r="5685" spans="1:40" x14ac:dyDescent="0.25">
      <c r="A5685" t="str">
        <f>"20190304164240242"</f>
        <v>20190304164240242</v>
      </c>
      <c r="B5685" t="str">
        <f>"1551688960236634"</f>
        <v>1551688960236634</v>
      </c>
      <c r="C5685" t="s">
        <v>40</v>
      </c>
      <c r="D5685">
        <v>4.3609519999999904</v>
      </c>
      <c r="E5685">
        <v>0.48180499999999998</v>
      </c>
      <c r="F5685" t="s">
        <v>41</v>
      </c>
      <c r="G5685">
        <v>-418.27429999999998</v>
      </c>
      <c r="H5685">
        <v>1.003566</v>
      </c>
      <c r="I5685">
        <v>32.872689999999999</v>
      </c>
      <c r="J5685">
        <v>-419.02159999999998</v>
      </c>
      <c r="K5685">
        <v>1.1185069999999999</v>
      </c>
      <c r="L5685">
        <v>33.408540000000002</v>
      </c>
      <c r="M5685">
        <v>0.43633709999999998</v>
      </c>
      <c r="N5685">
        <v>-1.490881E-2</v>
      </c>
      <c r="O5685">
        <v>-0.89966000000000002</v>
      </c>
      <c r="P5685">
        <v>0.71016279999999998</v>
      </c>
      <c r="Q5685">
        <v>0.34926649999999998</v>
      </c>
      <c r="R5685">
        <v>-0.61129549999999999</v>
      </c>
      <c r="S5685">
        <v>2.584778</v>
      </c>
      <c r="T5685">
        <v>-0.36255959999999998</v>
      </c>
      <c r="U5685">
        <v>-2.112854</v>
      </c>
      <c r="V5685">
        <v>-0.37893959999999999</v>
      </c>
      <c r="W5685">
        <v>0.355004299999999</v>
      </c>
      <c r="X5685">
        <v>0.85462079999999996</v>
      </c>
      <c r="Y5685">
        <v>-0.41630620000000002</v>
      </c>
      <c r="Z5685">
        <v>9.5576720000000004E-2</v>
      </c>
      <c r="AA5685">
        <v>0.90418710000000002</v>
      </c>
      <c r="AB5685">
        <v>25</v>
      </c>
      <c r="AC5685">
        <v>0.74729999999999497</v>
      </c>
      <c r="AD5685">
        <v>-0.114940999999999</v>
      </c>
      <c r="AE5685">
        <v>-0.53584999999999605</v>
      </c>
      <c r="AF5685">
        <v>-0.43180682869932102</v>
      </c>
      <c r="AG5685">
        <v>-0.114940999999999</v>
      </c>
      <c r="AH5685">
        <v>0.79581348130322005</v>
      </c>
      <c r="AI5685">
        <v>97.234908777055097</v>
      </c>
      <c r="AJ5685">
        <v>118.484170595938</v>
      </c>
      <c r="AK5685">
        <v>0.91268158073685002</v>
      </c>
      <c r="AL5685">
        <v>69.206291921870104</v>
      </c>
      <c r="AM5685">
        <v>113.912539546538</v>
      </c>
      <c r="AN5685">
        <v>0.99999999262964501</v>
      </c>
    </row>
    <row r="5686" spans="1:40" x14ac:dyDescent="0.25">
      <c r="A5686" t="str">
        <f>"20190304164240257"</f>
        <v>20190304164240257</v>
      </c>
      <c r="B5686" t="str">
        <f>"1551688960246394"</f>
        <v>1551688960246394</v>
      </c>
      <c r="C5686" t="s">
        <v>40</v>
      </c>
      <c r="D5686">
        <v>4.5997070000000004</v>
      </c>
      <c r="E5686">
        <v>0.48220960000000002</v>
      </c>
      <c r="F5686" t="s">
        <v>41</v>
      </c>
      <c r="G5686">
        <v>-418.21699999999998</v>
      </c>
      <c r="H5686">
        <v>1.0055019999999999</v>
      </c>
      <c r="I5686">
        <v>32.756709999999998</v>
      </c>
      <c r="J5686">
        <v>-418.94720000000001</v>
      </c>
      <c r="K5686">
        <v>1.118544</v>
      </c>
      <c r="L5686">
        <v>33.273009999999999</v>
      </c>
      <c r="M5686">
        <v>0.44279350000000001</v>
      </c>
      <c r="N5686">
        <v>-1.4922120000000001E-2</v>
      </c>
      <c r="O5686">
        <v>-0.89649959999999995</v>
      </c>
      <c r="P5686">
        <v>0.71375040000000001</v>
      </c>
      <c r="Q5686">
        <v>0.34935729999999998</v>
      </c>
      <c r="R5686">
        <v>-0.60705069999999905</v>
      </c>
      <c r="S5686">
        <v>2.5946349999999998</v>
      </c>
      <c r="T5686">
        <v>-0.36435590000000001</v>
      </c>
      <c r="U5686">
        <v>-2.1015009999999998</v>
      </c>
      <c r="V5686">
        <v>-0.377882</v>
      </c>
      <c r="W5686">
        <v>0.35509570000000001</v>
      </c>
      <c r="X5686">
        <v>0.85505100000000001</v>
      </c>
      <c r="Y5686">
        <v>-0.41381420000000002</v>
      </c>
      <c r="Z5686">
        <v>9.5879640000000002E-2</v>
      </c>
      <c r="AA5686">
        <v>0.90529820000000005</v>
      </c>
      <c r="AB5686">
        <v>25</v>
      </c>
      <c r="AC5686">
        <v>0.73020000000002405</v>
      </c>
      <c r="AD5686">
        <v>-0.113041999999999</v>
      </c>
      <c r="AE5686">
        <v>-0.51630000000000098</v>
      </c>
      <c r="AF5686">
        <v>-0.41935663865985801</v>
      </c>
      <c r="AG5686">
        <v>-0.113041999999999</v>
      </c>
      <c r="AH5686">
        <v>0.77391245065974901</v>
      </c>
      <c r="AI5686">
        <v>97.318075195742196</v>
      </c>
      <c r="AJ5686">
        <v>118.451746300255</v>
      </c>
      <c r="AK5686">
        <v>0.88745645833374498</v>
      </c>
      <c r="AL5686">
        <v>69.200689999703599</v>
      </c>
      <c r="AM5686">
        <v>113.842595368023</v>
      </c>
      <c r="AN5686">
        <v>0.999999987341744</v>
      </c>
    </row>
    <row r="5687" spans="1:40" x14ac:dyDescent="0.25">
      <c r="A5687" t="str">
        <f>"20190304164240270"</f>
        <v>20190304164240270</v>
      </c>
      <c r="B5687" t="str">
        <f>"1551688960266890"</f>
        <v>1551688960266890</v>
      </c>
      <c r="C5687" t="s">
        <v>40</v>
      </c>
      <c r="D5687">
        <v>4.3760370000000002</v>
      </c>
      <c r="E5687">
        <v>0.48288950000000003</v>
      </c>
      <c r="F5687" t="s">
        <v>57</v>
      </c>
      <c r="G5687">
        <v>-410.91559999999998</v>
      </c>
      <c r="H5687" s="1">
        <v>-1.017112E-5</v>
      </c>
      <c r="I5687">
        <v>26.837060000000001</v>
      </c>
      <c r="J5687">
        <v>-418.87430000000001</v>
      </c>
      <c r="K5687">
        <v>1.118584</v>
      </c>
      <c r="L5687">
        <v>33.142240000000001</v>
      </c>
      <c r="M5687">
        <v>0.4490613</v>
      </c>
      <c r="N5687">
        <v>-1.4934869999999999E-2</v>
      </c>
      <c r="O5687">
        <v>-0.89337639999999996</v>
      </c>
      <c r="P5687">
        <v>0.71755769999999997</v>
      </c>
      <c r="Q5687">
        <v>0.34931449999999997</v>
      </c>
      <c r="R5687">
        <v>-0.60256989999999999</v>
      </c>
      <c r="S5687">
        <v>2.605194</v>
      </c>
      <c r="T5687">
        <v>-0.36282350000000002</v>
      </c>
      <c r="U5687">
        <v>-2.0876160000000001</v>
      </c>
      <c r="V5687">
        <v>-0.37729410000000002</v>
      </c>
      <c r="W5687">
        <v>0.35504449999999999</v>
      </c>
      <c r="X5687">
        <v>0.85533189999999903</v>
      </c>
      <c r="Y5687">
        <v>-0.41221930000000001</v>
      </c>
      <c r="Z5687">
        <v>9.5262630000000001E-2</v>
      </c>
      <c r="AA5687">
        <v>0.90609070000000003</v>
      </c>
      <c r="AB5687">
        <v>25</v>
      </c>
      <c r="AC5687">
        <v>7.9587000000000199</v>
      </c>
      <c r="AD5687">
        <v>-1.11859417112</v>
      </c>
      <c r="AE5687">
        <v>-6.30518</v>
      </c>
      <c r="AF5687">
        <v>-4.2278660756986604</v>
      </c>
      <c r="AG5687">
        <v>-1.11859417112</v>
      </c>
      <c r="AH5687">
        <v>9.0974543333152607</v>
      </c>
      <c r="AI5687">
        <v>96.362426690474805</v>
      </c>
      <c r="AJ5687">
        <v>114.925738486649</v>
      </c>
      <c r="AK5687">
        <v>10.0940467514502</v>
      </c>
      <c r="AL5687">
        <v>69.203829316468799</v>
      </c>
      <c r="AM5687">
        <v>113.80267950564701</v>
      </c>
      <c r="AN5687">
        <v>1.0000000470163299</v>
      </c>
    </row>
    <row r="5688" spans="1:40" x14ac:dyDescent="0.25">
      <c r="A5688" t="str">
        <f>"20190304164240286"</f>
        <v>20190304164240286</v>
      </c>
      <c r="B5688" t="str">
        <f>"1551688960276650"</f>
        <v>1551688960276650</v>
      </c>
      <c r="C5688" t="s">
        <v>40</v>
      </c>
      <c r="D5688">
        <v>4.3723510000000001</v>
      </c>
      <c r="E5688">
        <v>0.48313699999999998</v>
      </c>
      <c r="F5688" t="s">
        <v>57</v>
      </c>
      <c r="G5688">
        <v>-410.863</v>
      </c>
      <c r="H5688" s="1">
        <v>-1.0185209999999999E-5</v>
      </c>
      <c r="I5688">
        <v>26.78688</v>
      </c>
      <c r="J5688">
        <v>-418.79450000000003</v>
      </c>
      <c r="K5688">
        <v>1.118627</v>
      </c>
      <c r="L5688">
        <v>33.001280000000001</v>
      </c>
      <c r="M5688">
        <v>0.4558565</v>
      </c>
      <c r="N5688">
        <v>-1.494849E-2</v>
      </c>
      <c r="O5688">
        <v>-0.88992769999999999</v>
      </c>
      <c r="P5688">
        <v>0.72178609999999999</v>
      </c>
      <c r="Q5688">
        <v>0.34916750000000002</v>
      </c>
      <c r="R5688">
        <v>-0.59758440000000002</v>
      </c>
      <c r="S5688">
        <v>2.6159669999999999</v>
      </c>
      <c r="T5688">
        <v>-0.36526170000000002</v>
      </c>
      <c r="U5688">
        <v>-2.075256</v>
      </c>
      <c r="V5688">
        <v>-0.37679380000000001</v>
      </c>
      <c r="W5688">
        <v>0.35488579999999997</v>
      </c>
      <c r="X5688">
        <v>0.855618199999999</v>
      </c>
      <c r="Y5688">
        <v>-0.40968199999999999</v>
      </c>
      <c r="Z5688">
        <v>9.5719460000000006E-2</v>
      </c>
      <c r="AA5688">
        <v>0.90719260000000002</v>
      </c>
      <c r="AB5688">
        <v>25</v>
      </c>
      <c r="AC5688">
        <v>7.9314999999999696</v>
      </c>
      <c r="AD5688">
        <v>-1.1186371852099899</v>
      </c>
      <c r="AE5688">
        <v>-6.2144000000000004</v>
      </c>
      <c r="AF5688">
        <v>-4.1746063150957102</v>
      </c>
      <c r="AG5688">
        <v>-1.1186371852099899</v>
      </c>
      <c r="AH5688">
        <v>9.0356485146741807</v>
      </c>
      <c r="AI5688">
        <v>96.412414723971906</v>
      </c>
      <c r="AJ5688">
        <v>114.79765143993301</v>
      </c>
      <c r="AK5688">
        <v>10.016068645876199</v>
      </c>
      <c r="AL5688">
        <v>69.213554541202001</v>
      </c>
      <c r="AM5688">
        <v>113.767545391628</v>
      </c>
      <c r="AN5688">
        <v>1.00000000146565</v>
      </c>
    </row>
    <row r="5689" spans="1:40" x14ac:dyDescent="0.25">
      <c r="A5689" t="str">
        <f>"20190304164240301"</f>
        <v>20190304164240301</v>
      </c>
      <c r="B5689" t="str">
        <f>"1551688960297146"</f>
        <v>1551688960297146</v>
      </c>
      <c r="C5689" t="s">
        <v>40</v>
      </c>
      <c r="D5689">
        <v>4.4276720000000003</v>
      </c>
      <c r="E5689">
        <v>0.4836684</v>
      </c>
      <c r="F5689" t="s">
        <v>41</v>
      </c>
      <c r="G5689">
        <v>-417.94760000000002</v>
      </c>
      <c r="H5689">
        <v>1.0005329999999999</v>
      </c>
      <c r="I5689">
        <v>32.337890000000002</v>
      </c>
      <c r="J5689">
        <v>-418.70699999999999</v>
      </c>
      <c r="K5689">
        <v>1.118673</v>
      </c>
      <c r="L5689">
        <v>32.849699999999999</v>
      </c>
      <c r="M5689">
        <v>0.4632291</v>
      </c>
      <c r="N5689">
        <v>-1.4963199999999999E-2</v>
      </c>
      <c r="O5689">
        <v>-0.88611219999999902</v>
      </c>
      <c r="P5689">
        <v>0.72617659999999995</v>
      </c>
      <c r="Q5689">
        <v>0.34934110000000002</v>
      </c>
      <c r="R5689">
        <v>-0.59213890000000002</v>
      </c>
      <c r="S5689">
        <v>2.6293639999999998</v>
      </c>
      <c r="T5689">
        <v>-0.3665098</v>
      </c>
      <c r="U5689">
        <v>-2.0584720000000001</v>
      </c>
      <c r="V5689">
        <v>-0.37608999999999998</v>
      </c>
      <c r="W5689">
        <v>0.35504839999999999</v>
      </c>
      <c r="X5689">
        <v>0.85586039999999997</v>
      </c>
      <c r="Y5689">
        <v>-0.40793170000000001</v>
      </c>
      <c r="Z5689">
        <v>9.5848580000000003E-2</v>
      </c>
      <c r="AA5689">
        <v>0.90796739999999998</v>
      </c>
      <c r="AB5689">
        <v>25</v>
      </c>
      <c r="AC5689">
        <v>0.75939999999997099</v>
      </c>
      <c r="AD5689">
        <v>-0.11814</v>
      </c>
      <c r="AE5689">
        <v>-0.51180999999999699</v>
      </c>
      <c r="AF5689">
        <v>-0.42874178326189999</v>
      </c>
      <c r="AG5689">
        <v>-0.11814</v>
      </c>
      <c r="AH5689">
        <v>0.79220319057355104</v>
      </c>
      <c r="AI5689">
        <v>97.471863049924195</v>
      </c>
      <c r="AJ5689">
        <v>118.422331199589</v>
      </c>
      <c r="AK5689">
        <v>0.90849461829419198</v>
      </c>
      <c r="AL5689">
        <v>69.203590123560204</v>
      </c>
      <c r="AM5689">
        <v>113.72208604843399</v>
      </c>
      <c r="AN5689">
        <v>1.0000000393653501</v>
      </c>
    </row>
    <row r="5690" spans="1:40" x14ac:dyDescent="0.25">
      <c r="A5690" t="str">
        <f>"20190304164240313"</f>
        <v>20190304164240313</v>
      </c>
      <c r="B5690" t="str">
        <f>"1551688960306907"</f>
        <v>1551688960306907</v>
      </c>
      <c r="C5690" t="s">
        <v>40</v>
      </c>
      <c r="D5690">
        <v>4.3734929999999999</v>
      </c>
      <c r="E5690">
        <v>0.48394399999999999</v>
      </c>
      <c r="F5690" t="s">
        <v>57</v>
      </c>
      <c r="G5690">
        <v>-410.67430000000002</v>
      </c>
      <c r="H5690" s="1">
        <v>-1.02398E-5</v>
      </c>
      <c r="I5690">
        <v>26.64631</v>
      </c>
      <c r="J5690">
        <v>-418.63619999999997</v>
      </c>
      <c r="K5690">
        <v>1.1187119999999999</v>
      </c>
      <c r="L5690">
        <v>32.72992</v>
      </c>
      <c r="M5690">
        <v>0.46911989999999998</v>
      </c>
      <c r="N5690">
        <v>-1.4974940000000001E-2</v>
      </c>
      <c r="O5690">
        <v>-0.883007599999999</v>
      </c>
      <c r="P5690">
        <v>0.7289892</v>
      </c>
      <c r="Q5690">
        <v>0.35023670000000001</v>
      </c>
      <c r="R5690">
        <v>-0.58814049999999995</v>
      </c>
      <c r="S5690">
        <v>2.6436160000000002</v>
      </c>
      <c r="T5690">
        <v>-0.36816389999999999</v>
      </c>
      <c r="U5690">
        <v>-2.0415649999999999</v>
      </c>
      <c r="V5690">
        <v>-0.37475389999999997</v>
      </c>
      <c r="W5690">
        <v>0.35595270000000001</v>
      </c>
      <c r="X5690">
        <v>0.85607080000000002</v>
      </c>
      <c r="Y5690">
        <v>-0.40783229999999998</v>
      </c>
      <c r="Z5690">
        <v>9.6153719999999998E-2</v>
      </c>
      <c r="AA5690">
        <v>0.9079798</v>
      </c>
      <c r="AB5690">
        <v>25</v>
      </c>
      <c r="AC5690">
        <v>7.9618999999999502</v>
      </c>
      <c r="AD5690">
        <v>-1.1187222398000001</v>
      </c>
      <c r="AE5690">
        <v>-6.0836100000000002</v>
      </c>
      <c r="AF5690">
        <v>-4.12551807215696</v>
      </c>
      <c r="AG5690">
        <v>-1.1187222398000001</v>
      </c>
      <c r="AH5690">
        <v>8.9958446161711692</v>
      </c>
      <c r="AI5690">
        <v>96.449319113514903</v>
      </c>
      <c r="AJ5690">
        <v>114.63631483763599</v>
      </c>
      <c r="AK5690">
        <v>9.9597519633679994</v>
      </c>
      <c r="AL5690">
        <v>69.148155812742203</v>
      </c>
      <c r="AM5690">
        <v>113.6418996331</v>
      </c>
      <c r="AN5690">
        <v>1.0000000124075701</v>
      </c>
    </row>
    <row r="5691" spans="1:40" x14ac:dyDescent="0.25">
      <c r="A5691" t="str">
        <f>"20190304164240327"</f>
        <v>20190304164240327</v>
      </c>
      <c r="B5691" t="str">
        <f>"1551688960316667"</f>
        <v>1551688960316667</v>
      </c>
      <c r="C5691" t="s">
        <v>40</v>
      </c>
      <c r="D5691">
        <v>4.391038</v>
      </c>
      <c r="E5691">
        <v>0.48416480000000001</v>
      </c>
      <c r="F5691" t="s">
        <v>57</v>
      </c>
      <c r="G5691">
        <v>-410.52199999999999</v>
      </c>
      <c r="H5691" s="1">
        <v>-1.028375E-5</v>
      </c>
      <c r="I5691">
        <v>26.5319</v>
      </c>
      <c r="J5691">
        <v>-418.56389999999999</v>
      </c>
      <c r="K5691">
        <v>1.1187480000000001</v>
      </c>
      <c r="L5691">
        <v>32.60895</v>
      </c>
      <c r="M5691">
        <v>0.47508889999999998</v>
      </c>
      <c r="N5691">
        <v>-1.4986579999999999E-2</v>
      </c>
      <c r="O5691">
        <v>-0.87981030000000005</v>
      </c>
      <c r="P5691">
        <v>0.73252490000000003</v>
      </c>
      <c r="Q5691">
        <v>0.35059079999999998</v>
      </c>
      <c r="R5691">
        <v>-0.58351830000000005</v>
      </c>
      <c r="S5691">
        <v>2.6549680000000002</v>
      </c>
      <c r="T5691">
        <v>-0.3660446</v>
      </c>
      <c r="U5691">
        <v>-2.0279850000000001</v>
      </c>
      <c r="V5691">
        <v>-0.37425639999999999</v>
      </c>
      <c r="W5691">
        <v>0.35629670000000002</v>
      </c>
      <c r="X5691">
        <v>0.8561453</v>
      </c>
      <c r="Y5691">
        <v>-0.406528</v>
      </c>
      <c r="Z5691">
        <v>9.5320879999999997E-2</v>
      </c>
      <c r="AA5691">
        <v>0.90865220000000002</v>
      </c>
      <c r="AB5691">
        <v>25</v>
      </c>
      <c r="AC5691">
        <v>8.0418999999999894</v>
      </c>
      <c r="AD5691">
        <v>-1.1187582837500001</v>
      </c>
      <c r="AE5691">
        <v>-6.0770499999999998</v>
      </c>
      <c r="AF5691">
        <v>-4.1377059476715301</v>
      </c>
      <c r="AG5691">
        <v>-1.1187582837500001</v>
      </c>
      <c r="AH5691">
        <v>9.0567294676074201</v>
      </c>
      <c r="AI5691">
        <v>96.410707565202699</v>
      </c>
      <c r="AJ5691">
        <v>114.554018728036</v>
      </c>
      <c r="AK5691">
        <v>10.019809342312</v>
      </c>
      <c r="AL5691">
        <v>69.127062558537602</v>
      </c>
      <c r="AM5691">
        <v>113.61212135762101</v>
      </c>
      <c r="AN5691">
        <v>0.99999998304196902</v>
      </c>
    </row>
    <row r="5692" spans="1:40" x14ac:dyDescent="0.25">
      <c r="A5692" t="str">
        <f>"20190304164240345"</f>
        <v>20190304164240345</v>
      </c>
      <c r="B5692" t="str">
        <f>"1551688960337163"</f>
        <v>1551688960337163</v>
      </c>
      <c r="C5692" t="s">
        <v>40</v>
      </c>
      <c r="D5692">
        <v>4.3838059999999999</v>
      </c>
      <c r="E5692">
        <v>0.48430719999999999</v>
      </c>
      <c r="F5692" t="s">
        <v>57</v>
      </c>
      <c r="G5692">
        <v>-410.4205</v>
      </c>
      <c r="H5692" s="1">
        <v>-1.031349E-5</v>
      </c>
      <c r="I5692">
        <v>26.46022</v>
      </c>
      <c r="J5692">
        <v>-418.45609999999999</v>
      </c>
      <c r="K5692">
        <v>1.1188100000000001</v>
      </c>
      <c r="L5692">
        <v>32.432189999999999</v>
      </c>
      <c r="M5692">
        <v>0.48388930000000002</v>
      </c>
      <c r="N5692">
        <v>-1.5003560000000001E-2</v>
      </c>
      <c r="O5692">
        <v>-0.87500069999999996</v>
      </c>
      <c r="P5692">
        <v>0.73758000000000001</v>
      </c>
      <c r="Q5692">
        <v>0.35203800000000002</v>
      </c>
      <c r="R5692">
        <v>-0.57623369999999996</v>
      </c>
      <c r="S5692">
        <v>2.6668090000000002</v>
      </c>
      <c r="T5692">
        <v>-0.36636999999999997</v>
      </c>
      <c r="U5692">
        <v>-2.0135800000000001</v>
      </c>
      <c r="V5692">
        <v>-0.37361749999999999</v>
      </c>
      <c r="W5692">
        <v>0.35772209999999899</v>
      </c>
      <c r="X5692">
        <v>0.85582999999999998</v>
      </c>
      <c r="Y5692">
        <v>-0.4024529</v>
      </c>
      <c r="Z5692">
        <v>9.5020880000000002E-2</v>
      </c>
      <c r="AA5692">
        <v>0.91049579999999997</v>
      </c>
      <c r="AB5692">
        <v>25</v>
      </c>
      <c r="AC5692">
        <v>8.0355999999999792</v>
      </c>
      <c r="AD5692">
        <v>-1.1188203134899899</v>
      </c>
      <c r="AE5692">
        <v>-5.9719699999999998</v>
      </c>
      <c r="AF5692">
        <v>-4.090762776839</v>
      </c>
      <c r="AG5692">
        <v>-1.1188203134899899</v>
      </c>
      <c r="AH5692">
        <v>9.0024198390243892</v>
      </c>
      <c r="AI5692">
        <v>96.455346053086899</v>
      </c>
      <c r="AJ5692">
        <v>114.437380919204</v>
      </c>
      <c r="AK5692">
        <v>9.9513648284197291</v>
      </c>
      <c r="AL5692">
        <v>69.039633259460899</v>
      </c>
      <c r="AM5692">
        <v>113.583951749253</v>
      </c>
      <c r="AN5692">
        <v>1.00000006301732</v>
      </c>
    </row>
    <row r="5693" spans="1:40" x14ac:dyDescent="0.25">
      <c r="A5693" t="str">
        <f>"20190304164240358"</f>
        <v>20190304164240358</v>
      </c>
      <c r="B5693" t="str">
        <f>"1551688960346923"</f>
        <v>1551688960346923</v>
      </c>
      <c r="C5693" t="s">
        <v>40</v>
      </c>
      <c r="D5693">
        <v>4.3465439999999997</v>
      </c>
      <c r="E5693">
        <v>0.47247129999999998</v>
      </c>
      <c r="F5693" t="s">
        <v>57</v>
      </c>
      <c r="G5693">
        <v>-410.15179999999998</v>
      </c>
      <c r="H5693" s="1">
        <v>-1.039309E-5</v>
      </c>
      <c r="I5693">
        <v>26.279029999999999</v>
      </c>
      <c r="J5693">
        <v>-418.37909999999999</v>
      </c>
      <c r="K5693">
        <v>1.118846</v>
      </c>
      <c r="L5693">
        <v>32.308349999999997</v>
      </c>
      <c r="M5693">
        <v>0.49010209999999998</v>
      </c>
      <c r="N5693">
        <v>-1.501543E-2</v>
      </c>
      <c r="O5693">
        <v>-0.87153579999999997</v>
      </c>
      <c r="P5693">
        <v>0.74072590000000005</v>
      </c>
      <c r="Q5693">
        <v>0.35298020000000002</v>
      </c>
      <c r="R5693">
        <v>-0.57160339999999998</v>
      </c>
      <c r="S5693">
        <v>2.685486</v>
      </c>
      <c r="T5693">
        <v>-0.36180899999999999</v>
      </c>
      <c r="U5693">
        <v>-1.989838</v>
      </c>
      <c r="V5693">
        <v>-0.37254029999999999</v>
      </c>
      <c r="W5693">
        <v>0.35866809999999899</v>
      </c>
      <c r="X5693">
        <v>0.85590359999999999</v>
      </c>
      <c r="Y5693">
        <v>-0.4042924</v>
      </c>
      <c r="Z5693">
        <v>9.3577590000000002E-2</v>
      </c>
      <c r="AA5693">
        <v>0.90983020000000003</v>
      </c>
      <c r="AB5693">
        <v>25</v>
      </c>
      <c r="AC5693">
        <v>8.2273000000000103</v>
      </c>
      <c r="AD5693">
        <v>-1.11885639309</v>
      </c>
      <c r="AE5693">
        <v>-6.0293199999999896</v>
      </c>
      <c r="AF5693">
        <v>-4.1657559692776696</v>
      </c>
      <c r="AG5693">
        <v>-1.11885639309</v>
      </c>
      <c r="AH5693">
        <v>9.1776051185135099</v>
      </c>
      <c r="AI5693">
        <v>96.334526297766402</v>
      </c>
      <c r="AJ5693">
        <v>114.41351027890001</v>
      </c>
      <c r="AK5693">
        <v>10.1407000811234</v>
      </c>
      <c r="AL5693">
        <v>68.981578592633099</v>
      </c>
      <c r="AM5693">
        <v>113.521548659879</v>
      </c>
      <c r="AN5693">
        <v>1.0000000267873199</v>
      </c>
    </row>
    <row r="5694" spans="1:40" x14ac:dyDescent="0.25">
      <c r="A5694" t="str">
        <f>"20190304164240380"</f>
        <v>20190304164240380</v>
      </c>
      <c r="B5694" t="str">
        <f>"1551688960367418"</f>
        <v>1551688960367418</v>
      </c>
      <c r="C5694" t="s">
        <v>40</v>
      </c>
      <c r="D5694">
        <v>4.3536400000000004</v>
      </c>
      <c r="E5694">
        <v>0.47143279999999899</v>
      </c>
      <c r="F5694" t="s">
        <v>57</v>
      </c>
      <c r="G5694">
        <v>-409.09109999999998</v>
      </c>
      <c r="H5694" s="1">
        <v>-2.7878889999999999E-6</v>
      </c>
      <c r="I5694">
        <v>25.920030000000001</v>
      </c>
      <c r="J5694">
        <v>-418.26150000000001</v>
      </c>
      <c r="K5694">
        <v>1.1188899999999999</v>
      </c>
      <c r="L5694">
        <v>32.123289999999997</v>
      </c>
      <c r="M5694">
        <v>0.49945659999999997</v>
      </c>
      <c r="N5694">
        <v>-1.503238E-2</v>
      </c>
      <c r="O5694">
        <v>-0.866208599999999</v>
      </c>
      <c r="P5694">
        <v>0.74449370000000004</v>
      </c>
      <c r="Q5694">
        <v>0.35466819999999999</v>
      </c>
      <c r="R5694">
        <v>-0.56563189999999997</v>
      </c>
      <c r="S5694">
        <v>2.748901</v>
      </c>
      <c r="T5694">
        <v>-0.33113969999999998</v>
      </c>
      <c r="U5694">
        <v>-1.890717</v>
      </c>
      <c r="V5694">
        <v>-0.369564</v>
      </c>
      <c r="W5694">
        <v>0.36040030000000001</v>
      </c>
      <c r="X5694">
        <v>0.85646599999999995</v>
      </c>
      <c r="Y5694">
        <v>-0.42703970000000002</v>
      </c>
      <c r="Z5694">
        <v>8.5423959999999993E-2</v>
      </c>
      <c r="AA5694">
        <v>0.90018880000000001</v>
      </c>
      <c r="AB5694">
        <v>25</v>
      </c>
      <c r="AC5694">
        <v>9.1704000000000292</v>
      </c>
      <c r="AD5694">
        <v>-1.118892787889</v>
      </c>
      <c r="AE5694">
        <v>-6.2032600000000002</v>
      </c>
      <c r="AF5694">
        <v>-4.7967759776907304</v>
      </c>
      <c r="AG5694">
        <v>-1.118892787889</v>
      </c>
      <c r="AH5694">
        <v>9.8540150239606099</v>
      </c>
      <c r="AI5694">
        <v>95.829323909604099</v>
      </c>
      <c r="AJ5694">
        <v>115.95607379648401</v>
      </c>
      <c r="AK5694">
        <v>11.0164691686303</v>
      </c>
      <c r="AL5694">
        <v>68.875217438871601</v>
      </c>
      <c r="AM5694">
        <v>113.340136881319</v>
      </c>
      <c r="AN5694">
        <v>0.99999996774604405</v>
      </c>
    </row>
    <row r="5695" spans="1:40" x14ac:dyDescent="0.25">
      <c r="A5695" t="str">
        <f>"20190304164240394"</f>
        <v>20190304164240394</v>
      </c>
      <c r="B5695" t="str">
        <f>"1551688960386939"</f>
        <v>1551688960386939</v>
      </c>
      <c r="C5695" t="s">
        <v>40</v>
      </c>
      <c r="D5695">
        <v>4.3215199999999996</v>
      </c>
      <c r="E5695">
        <v>0.47170519999999999</v>
      </c>
      <c r="F5695" t="s">
        <v>57</v>
      </c>
      <c r="G5695">
        <v>-408.55329999999998</v>
      </c>
      <c r="H5695" s="1">
        <v>-3.039E-6</v>
      </c>
      <c r="I5695">
        <v>25.617819999999998</v>
      </c>
      <c r="J5695">
        <v>-418.17489999999998</v>
      </c>
      <c r="K5695">
        <v>1.118916</v>
      </c>
      <c r="L5695">
        <v>31.990259999999999</v>
      </c>
      <c r="M5695">
        <v>0.50623980000000002</v>
      </c>
      <c r="N5695">
        <v>-1.504369E-2</v>
      </c>
      <c r="O5695">
        <v>-0.86226170000000002</v>
      </c>
      <c r="P5695">
        <v>0.74760799999999905</v>
      </c>
      <c r="Q5695">
        <v>0.35528890000000002</v>
      </c>
      <c r="R5695">
        <v>-0.56111709999999904</v>
      </c>
      <c r="S5695">
        <v>2.770966</v>
      </c>
      <c r="T5695">
        <v>-0.31936310000000001</v>
      </c>
      <c r="U5695">
        <v>-1.8568420000000001</v>
      </c>
      <c r="V5695">
        <v>-0.3677956</v>
      </c>
      <c r="W5695">
        <v>0.36104960000000003</v>
      </c>
      <c r="X5695">
        <v>0.85695359999999998</v>
      </c>
      <c r="Y5695">
        <v>-0.43112260000000002</v>
      </c>
      <c r="Z5695">
        <v>8.2005040000000001E-2</v>
      </c>
      <c r="AA5695">
        <v>0.898559199999999</v>
      </c>
      <c r="AB5695">
        <v>25</v>
      </c>
      <c r="AC5695">
        <v>9.6216000000000008</v>
      </c>
      <c r="AD5695">
        <v>-1.1189190389999999</v>
      </c>
      <c r="AE5695">
        <v>-6.3724399999999903</v>
      </c>
      <c r="AF5695">
        <v>-5.0237025442501997</v>
      </c>
      <c r="AG5695">
        <v>-1.1189190389999999</v>
      </c>
      <c r="AH5695">
        <v>10.2701753293222</v>
      </c>
      <c r="AI5695">
        <v>95.589581078065194</v>
      </c>
      <c r="AJ5695">
        <v>116.06577700364799</v>
      </c>
      <c r="AK5695">
        <v>11.4876485132494</v>
      </c>
      <c r="AL5695">
        <v>68.835329228136899</v>
      </c>
      <c r="AM5695">
        <v>113.228507972751</v>
      </c>
      <c r="AN5695">
        <v>0.99999994479623799</v>
      </c>
    </row>
    <row r="5696" spans="1:40" x14ac:dyDescent="0.25">
      <c r="A5696" t="str">
        <f>"20190304164240407"</f>
        <v>20190304164240407</v>
      </c>
      <c r="B5696" t="str">
        <f>"1551688960396699"</f>
        <v>1551688960396699</v>
      </c>
      <c r="C5696" t="s">
        <v>40</v>
      </c>
      <c r="D5696">
        <v>4.3341560000000001</v>
      </c>
      <c r="E5696">
        <v>0.4719062</v>
      </c>
      <c r="F5696" t="s">
        <v>57</v>
      </c>
      <c r="G5696">
        <v>-408.39550000000003</v>
      </c>
      <c r="H5696" s="1">
        <v>-3.1117019999999998E-6</v>
      </c>
      <c r="I5696">
        <v>25.5245</v>
      </c>
      <c r="J5696">
        <v>-418.0942</v>
      </c>
      <c r="K5696">
        <v>1.1189450000000001</v>
      </c>
      <c r="L5696">
        <v>31.86795</v>
      </c>
      <c r="M5696">
        <v>0.51249909999999999</v>
      </c>
      <c r="N5696">
        <v>-1.5053520000000001E-2</v>
      </c>
      <c r="O5696">
        <v>-0.85855579999999998</v>
      </c>
      <c r="P5696">
        <v>0.75086929999999996</v>
      </c>
      <c r="Q5696">
        <v>0.35569640000000002</v>
      </c>
      <c r="R5696">
        <v>-0.55648520000000001</v>
      </c>
      <c r="S5696">
        <v>2.7830810000000001</v>
      </c>
      <c r="T5696">
        <v>-0.31842720000000002</v>
      </c>
      <c r="U5696">
        <v>-1.8400570000000001</v>
      </c>
      <c r="V5696">
        <v>-0.3667147</v>
      </c>
      <c r="W5696">
        <v>0.36147249999999997</v>
      </c>
      <c r="X5696">
        <v>0.85723859999999996</v>
      </c>
      <c r="Y5696">
        <v>-0.43016739999999998</v>
      </c>
      <c r="Z5696">
        <v>8.1533980000000006E-2</v>
      </c>
      <c r="AA5696">
        <v>0.89905959999999996</v>
      </c>
      <c r="AB5696">
        <v>25</v>
      </c>
      <c r="AC5696">
        <v>9.6986999999999703</v>
      </c>
      <c r="AD5696">
        <v>-1.1189481117019999</v>
      </c>
      <c r="AE5696">
        <v>-6.3434499999999998</v>
      </c>
      <c r="AF5696">
        <v>-5.0295501651808099</v>
      </c>
      <c r="AG5696">
        <v>-1.1189481117019999</v>
      </c>
      <c r="AH5696">
        <v>10.321737312638399</v>
      </c>
      <c r="AI5696">
        <v>95.566069171976693</v>
      </c>
      <c r="AJ5696">
        <v>115.97893147213701</v>
      </c>
      <c r="AK5696">
        <v>11.5363200758242</v>
      </c>
      <c r="AL5696">
        <v>68.809345772670696</v>
      </c>
      <c r="AM5696">
        <v>113.160562587806</v>
      </c>
      <c r="AN5696">
        <v>1.0000000283911401</v>
      </c>
    </row>
    <row r="5697" spans="1:40" x14ac:dyDescent="0.25">
      <c r="A5697" t="str">
        <f>"20190304164240420"</f>
        <v>20190304164240420</v>
      </c>
      <c r="B5697" t="str">
        <f>"1551688960407435"</f>
        <v>1551688960407435</v>
      </c>
      <c r="C5697" t="s">
        <v>40</v>
      </c>
      <c r="D5697">
        <v>4.3104389999999997</v>
      </c>
      <c r="E5697">
        <v>0.47236929999999999</v>
      </c>
      <c r="F5697" t="s">
        <v>41</v>
      </c>
      <c r="G5697">
        <v>-417.26229999999998</v>
      </c>
      <c r="H5697">
        <v>1.024338</v>
      </c>
      <c r="I5697">
        <v>31.32508</v>
      </c>
      <c r="J5697">
        <v>-418.01859999999999</v>
      </c>
      <c r="K5697">
        <v>1.118954</v>
      </c>
      <c r="L5697">
        <v>31.754940000000001</v>
      </c>
      <c r="M5697">
        <v>0.51830690000000001</v>
      </c>
      <c r="N5697">
        <v>-1.506219E-2</v>
      </c>
      <c r="O5697">
        <v>-0.85506209999999905</v>
      </c>
      <c r="P5697">
        <v>0.75396099999999999</v>
      </c>
      <c r="Q5697">
        <v>0.35568460000000002</v>
      </c>
      <c r="R5697">
        <v>-0.55229659999999903</v>
      </c>
      <c r="S5697">
        <v>2.7949220000000001</v>
      </c>
      <c r="T5697">
        <v>-0.31774849999999999</v>
      </c>
      <c r="U5697">
        <v>-1.8229059999999999</v>
      </c>
      <c r="V5697">
        <v>-0.3656895</v>
      </c>
      <c r="W5697">
        <v>0.3614792</v>
      </c>
      <c r="X5697">
        <v>0.85767359999999904</v>
      </c>
      <c r="Y5697">
        <v>-0.4296913</v>
      </c>
      <c r="Z5697">
        <v>8.1168859999999995E-2</v>
      </c>
      <c r="AA5697">
        <v>0.89932029999999996</v>
      </c>
      <c r="AB5697">
        <v>25</v>
      </c>
      <c r="AC5697">
        <v>0.75630000000000996</v>
      </c>
      <c r="AD5697">
        <v>-9.4616000000000006E-2</v>
      </c>
      <c r="AE5697">
        <v>-0.42986000000000102</v>
      </c>
      <c r="AF5697">
        <v>-0.41897586425720601</v>
      </c>
      <c r="AG5697">
        <v>-9.4616000000000006E-2</v>
      </c>
      <c r="AH5697">
        <v>0.75075756481768197</v>
      </c>
      <c r="AI5697">
        <v>96.280130590697198</v>
      </c>
      <c r="AJ5697">
        <v>119.16460988770601</v>
      </c>
      <c r="AK5697">
        <v>0.86494501756877495</v>
      </c>
      <c r="AL5697">
        <v>68.808933715495598</v>
      </c>
      <c r="AM5697">
        <v>113.092126654796</v>
      </c>
      <c r="AN5697">
        <v>1.0000000132899201</v>
      </c>
    </row>
    <row r="5698" spans="1:40" x14ac:dyDescent="0.25">
      <c r="A5698" t="str">
        <f>"20190304164240435"</f>
        <v>20190304164240435</v>
      </c>
      <c r="B5698" t="str">
        <f>"1551688960426954"</f>
        <v>1551688960426954</v>
      </c>
      <c r="C5698" t="s">
        <v>40</v>
      </c>
      <c r="D5698">
        <v>4.2866989999999996</v>
      </c>
      <c r="E5698">
        <v>0.47331580000000001</v>
      </c>
      <c r="F5698" t="s">
        <v>57</v>
      </c>
      <c r="G5698">
        <v>-408.18860000000001</v>
      </c>
      <c r="H5698" s="1">
        <v>-3.2079010000000001E-6</v>
      </c>
      <c r="I5698">
        <v>25.40644</v>
      </c>
      <c r="J5698">
        <v>-417.92529999999999</v>
      </c>
      <c r="K5698">
        <v>1.118959</v>
      </c>
      <c r="L5698">
        <v>31.618410000000001</v>
      </c>
      <c r="M5698">
        <v>0.52536930000000004</v>
      </c>
      <c r="N5698">
        <v>-1.5071950000000001E-2</v>
      </c>
      <c r="O5698">
        <v>-0.85074089999999902</v>
      </c>
      <c r="P5698">
        <v>0.75832549999999999</v>
      </c>
      <c r="Q5698">
        <v>0.35424040000000001</v>
      </c>
      <c r="R5698">
        <v>-0.5472262</v>
      </c>
      <c r="S5698">
        <v>2.8033450000000002</v>
      </c>
      <c r="T5698">
        <v>-0.3191078</v>
      </c>
      <c r="U5698">
        <v>-1.810486</v>
      </c>
      <c r="V5698">
        <v>-0.36489329999999998</v>
      </c>
      <c r="W5698">
        <v>0.36005999999999999</v>
      </c>
      <c r="X5698">
        <v>0.85860910000000001</v>
      </c>
      <c r="Y5698">
        <v>-0.42624669999999998</v>
      </c>
      <c r="Z5698">
        <v>8.1259860000000003E-2</v>
      </c>
      <c r="AA5698">
        <v>0.90094980000000002</v>
      </c>
      <c r="AB5698">
        <v>25</v>
      </c>
      <c r="AC5698">
        <v>9.7366999999999795</v>
      </c>
      <c r="AD5698">
        <v>-1.118962207901</v>
      </c>
      <c r="AE5698">
        <v>-6.2119699999999902</v>
      </c>
      <c r="AF5698">
        <v>-4.9737149594459904</v>
      </c>
      <c r="AG5698">
        <v>-1.118962207901</v>
      </c>
      <c r="AH5698">
        <v>10.3045973403921</v>
      </c>
      <c r="AI5698">
        <v>95.585371219169204</v>
      </c>
      <c r="AJ5698">
        <v>115.765186865825</v>
      </c>
      <c r="AK5698">
        <v>11.4967231534966</v>
      </c>
      <c r="AL5698">
        <v>68.896118137171598</v>
      </c>
      <c r="AM5698">
        <v>113.024612101312</v>
      </c>
      <c r="AN5698">
        <v>0.999999955293849</v>
      </c>
    </row>
    <row r="5699" spans="1:40" x14ac:dyDescent="0.25">
      <c r="A5699" t="str">
        <f>"20190304164240448"</f>
        <v>20190304164240448</v>
      </c>
      <c r="B5699" t="str">
        <f>"1551688960436715"</f>
        <v>1551688960436715</v>
      </c>
      <c r="C5699" t="s">
        <v>40</v>
      </c>
      <c r="D5699">
        <v>4.3096589999999999</v>
      </c>
      <c r="E5699">
        <v>0.47379949999999998</v>
      </c>
      <c r="F5699" t="s">
        <v>57</v>
      </c>
      <c r="G5699">
        <v>-408.37189999999998</v>
      </c>
      <c r="H5699" s="1">
        <v>-3.1232800000000001E-6</v>
      </c>
      <c r="I5699">
        <v>25.513670000000001</v>
      </c>
      <c r="J5699">
        <v>-417.84620000000001</v>
      </c>
      <c r="K5699">
        <v>1.118965</v>
      </c>
      <c r="L5699">
        <v>31.504429999999999</v>
      </c>
      <c r="M5699">
        <v>0.53127760000000002</v>
      </c>
      <c r="N5699">
        <v>-1.507936E-2</v>
      </c>
      <c r="O5699">
        <v>-0.84706369999999898</v>
      </c>
      <c r="P5699">
        <v>0.76194980000000001</v>
      </c>
      <c r="Q5699">
        <v>0.35367300000000002</v>
      </c>
      <c r="R5699">
        <v>-0.54253879999999999</v>
      </c>
      <c r="S5699">
        <v>2.8128660000000001</v>
      </c>
      <c r="T5699">
        <v>-0.32946229999999999</v>
      </c>
      <c r="U5699">
        <v>-1.797455</v>
      </c>
      <c r="V5699">
        <v>-0.36442829999999998</v>
      </c>
      <c r="W5699">
        <v>0.35950700000000002</v>
      </c>
      <c r="X5699">
        <v>0.85903819999999997</v>
      </c>
      <c r="Y5699">
        <v>-0.4240739</v>
      </c>
      <c r="Z5699">
        <v>8.3970669999999997E-2</v>
      </c>
      <c r="AA5699">
        <v>0.90172620000000003</v>
      </c>
      <c r="AB5699">
        <v>25</v>
      </c>
      <c r="AC5699">
        <v>9.4743000000000208</v>
      </c>
      <c r="AD5699">
        <v>-1.1189681232799999</v>
      </c>
      <c r="AE5699">
        <v>-5.9907599999999901</v>
      </c>
      <c r="AF5699">
        <v>-4.7953446944496596</v>
      </c>
      <c r="AG5699">
        <v>-1.1189681232799999</v>
      </c>
      <c r="AH5699">
        <v>10.009445288942601</v>
      </c>
      <c r="AI5699">
        <v>95.7570184477445</v>
      </c>
      <c r="AJ5699">
        <v>115.598240464656</v>
      </c>
      <c r="AK5699">
        <v>11.1551071438977</v>
      </c>
      <c r="AL5699">
        <v>68.930076574445593</v>
      </c>
      <c r="AM5699">
        <v>112.988030114437</v>
      </c>
      <c r="AN5699">
        <v>0.99999994897456301</v>
      </c>
    </row>
    <row r="5700" spans="1:40" x14ac:dyDescent="0.25">
      <c r="A5700" t="str">
        <f>"20190304164240460"</f>
        <v>20190304164240460</v>
      </c>
      <c r="B5700" t="str">
        <f>"1551688960447451"</f>
        <v>1551688960447451</v>
      </c>
      <c r="C5700" t="s">
        <v>40</v>
      </c>
      <c r="D5700">
        <v>4.2939749999999997</v>
      </c>
      <c r="E5700">
        <v>0.47415800000000002</v>
      </c>
      <c r="F5700" t="s">
        <v>41</v>
      </c>
      <c r="G5700">
        <v>-416.97579999999999</v>
      </c>
      <c r="H5700">
        <v>1.0160169999999999</v>
      </c>
      <c r="I5700">
        <v>30.954519999999999</v>
      </c>
      <c r="J5700">
        <v>-417.77140000000003</v>
      </c>
      <c r="K5700">
        <v>1.118968</v>
      </c>
      <c r="L5700">
        <v>31.397860000000001</v>
      </c>
      <c r="M5700">
        <v>0.53681519999999905</v>
      </c>
      <c r="N5700">
        <v>-1.50857E-2</v>
      </c>
      <c r="O5700">
        <v>-0.84356500000000001</v>
      </c>
      <c r="P5700">
        <v>0.7651213</v>
      </c>
      <c r="Q5700">
        <v>0.35349320000000001</v>
      </c>
      <c r="R5700">
        <v>-0.5381745</v>
      </c>
      <c r="S5700">
        <v>2.8227229999999999</v>
      </c>
      <c r="T5700">
        <v>-0.33380599999999999</v>
      </c>
      <c r="U5700">
        <v>-1.782837</v>
      </c>
      <c r="V5700">
        <v>-0.36377779999999998</v>
      </c>
      <c r="W5700">
        <v>0.3593459</v>
      </c>
      <c r="X5700">
        <v>0.85938130000000001</v>
      </c>
      <c r="Y5700">
        <v>-0.42281279999999999</v>
      </c>
      <c r="Z5700">
        <v>8.499727E-2</v>
      </c>
      <c r="AA5700">
        <v>0.90222210000000003</v>
      </c>
      <c r="AB5700">
        <v>25</v>
      </c>
      <c r="AC5700">
        <v>0.79560000000003495</v>
      </c>
      <c r="AD5700">
        <v>-0.102951</v>
      </c>
      <c r="AE5700">
        <v>-0.44333999999999502</v>
      </c>
      <c r="AF5700">
        <v>-0.42773280344058701</v>
      </c>
      <c r="AG5700">
        <v>-0.102951</v>
      </c>
      <c r="AH5700">
        <v>0.79106004980260802</v>
      </c>
      <c r="AI5700">
        <v>96.530771978691106</v>
      </c>
      <c r="AJ5700">
        <v>118.400461248621</v>
      </c>
      <c r="AK5700">
        <v>0.90516863729022901</v>
      </c>
      <c r="AL5700">
        <v>68.939968862321805</v>
      </c>
      <c r="AM5700">
        <v>112.943036352878</v>
      </c>
      <c r="AN5700">
        <v>0.99999999120466998</v>
      </c>
    </row>
    <row r="5701" spans="1:40" x14ac:dyDescent="0.25">
      <c r="A5701" t="str">
        <f>"20190304164240473"</f>
        <v>20190304164240473</v>
      </c>
      <c r="B5701" t="str">
        <f>"1551688960466970"</f>
        <v>1551688960466970</v>
      </c>
      <c r="C5701" t="s">
        <v>40</v>
      </c>
      <c r="D5701">
        <v>4.2947490000000004</v>
      </c>
      <c r="E5701">
        <v>0.47480909999999898</v>
      </c>
      <c r="F5701" t="s">
        <v>57</v>
      </c>
      <c r="G5701">
        <v>-408.33139999999997</v>
      </c>
      <c r="H5701" s="1">
        <v>-3.1435749999999998E-6</v>
      </c>
      <c r="I5701">
        <v>25.49718</v>
      </c>
      <c r="J5701">
        <v>-417.68970000000002</v>
      </c>
      <c r="K5701">
        <v>1.1189739999999999</v>
      </c>
      <c r="L5701">
        <v>31.283840000000001</v>
      </c>
      <c r="M5701">
        <v>0.54276279999999999</v>
      </c>
      <c r="N5701">
        <v>-1.5091159999999999E-2</v>
      </c>
      <c r="O5701">
        <v>-0.83975049999999996</v>
      </c>
      <c r="P5701">
        <v>0.76874940000000003</v>
      </c>
      <c r="Q5701">
        <v>0.35352450000000002</v>
      </c>
      <c r="R5701">
        <v>-0.5329585</v>
      </c>
      <c r="S5701">
        <v>2.8311769999999998</v>
      </c>
      <c r="T5701">
        <v>-0.33559290000000003</v>
      </c>
      <c r="U5701">
        <v>-1.769684</v>
      </c>
      <c r="V5701">
        <v>-0.36353649999999998</v>
      </c>
      <c r="W5701">
        <v>0.3593886</v>
      </c>
      <c r="X5701">
        <v>0.85946549999999999</v>
      </c>
      <c r="Y5701">
        <v>-0.42060940000000002</v>
      </c>
      <c r="Z5701">
        <v>8.5247649999999994E-2</v>
      </c>
      <c r="AA5701">
        <v>0.90322789999999997</v>
      </c>
      <c r="AB5701">
        <v>25</v>
      </c>
      <c r="AC5701">
        <v>9.3583000000000407</v>
      </c>
      <c r="AD5701">
        <v>-1.118977143575</v>
      </c>
      <c r="AE5701">
        <v>-5.7866600000000004</v>
      </c>
      <c r="AF5701">
        <v>-4.6700894754504203</v>
      </c>
      <c r="AG5701">
        <v>-1.118977143575</v>
      </c>
      <c r="AH5701">
        <v>9.8380678383019209</v>
      </c>
      <c r="AI5701">
        <v>95.866579906790903</v>
      </c>
      <c r="AJ5701">
        <v>115.39349559017199</v>
      </c>
      <c r="AK5701">
        <v>10.9475761859686</v>
      </c>
      <c r="AL5701">
        <v>68.937346267624704</v>
      </c>
      <c r="AM5701">
        <v>112.927377804692</v>
      </c>
      <c r="AN5701">
        <v>0.99999994916622803</v>
      </c>
    </row>
    <row r="5702" spans="1:40" x14ac:dyDescent="0.25">
      <c r="A5702" t="str">
        <f>"20190304164240488"</f>
        <v>20190304164240488</v>
      </c>
      <c r="B5702" t="str">
        <f>"1551688960476731"</f>
        <v>1551688960476731</v>
      </c>
      <c r="C5702" t="s">
        <v>40</v>
      </c>
      <c r="D5702">
        <v>4.2907479999999998</v>
      </c>
      <c r="E5702">
        <v>0.47514109999999998</v>
      </c>
      <c r="F5702" t="s">
        <v>57</v>
      </c>
      <c r="G5702">
        <v>-408.3252</v>
      </c>
      <c r="H5702" s="1">
        <v>-3.1465139999999998E-6</v>
      </c>
      <c r="I5702">
        <v>25.493939999999998</v>
      </c>
      <c r="J5702">
        <v>-417.59410000000003</v>
      </c>
      <c r="K5702">
        <v>1.1189770000000001</v>
      </c>
      <c r="L5702">
        <v>31.152100000000001</v>
      </c>
      <c r="M5702">
        <v>0.54964259999999998</v>
      </c>
      <c r="N5702">
        <v>-1.5096460000000001E-2</v>
      </c>
      <c r="O5702">
        <v>-0.83526350000000005</v>
      </c>
      <c r="P5702">
        <v>0.77271959999999995</v>
      </c>
      <c r="Q5702">
        <v>0.35391660000000003</v>
      </c>
      <c r="R5702">
        <v>-0.52692309999999998</v>
      </c>
      <c r="S5702">
        <v>2.8408509999999998</v>
      </c>
      <c r="T5702">
        <v>-0.33945579999999997</v>
      </c>
      <c r="U5702">
        <v>-1.7564390000000001</v>
      </c>
      <c r="V5702">
        <v>-0.36305809999999999</v>
      </c>
      <c r="W5702">
        <v>0.35979889999999998</v>
      </c>
      <c r="X5702">
        <v>0.85949609999999999</v>
      </c>
      <c r="Y5702">
        <v>-0.41751149999999998</v>
      </c>
      <c r="Z5702">
        <v>8.5983809999999994E-2</v>
      </c>
      <c r="AA5702">
        <v>0.90459440000000002</v>
      </c>
      <c r="AB5702">
        <v>25</v>
      </c>
      <c r="AC5702">
        <v>9.2689000000000306</v>
      </c>
      <c r="AD5702">
        <v>-1.1189801465139999</v>
      </c>
      <c r="AE5702">
        <v>-5.6581599999999996</v>
      </c>
      <c r="AF5702">
        <v>-4.58386586877619</v>
      </c>
      <c r="AG5702">
        <v>-1.1189801465139999</v>
      </c>
      <c r="AH5702">
        <v>9.7185672256667193</v>
      </c>
      <c r="AI5702">
        <v>95.945141768394095</v>
      </c>
      <c r="AJ5702">
        <v>115.25140819951601</v>
      </c>
      <c r="AK5702">
        <v>10.8034481435802</v>
      </c>
      <c r="AL5702">
        <v>68.912153459202599</v>
      </c>
      <c r="AM5702">
        <v>112.89958890398501</v>
      </c>
      <c r="AN5702">
        <v>0.99999998916601396</v>
      </c>
    </row>
    <row r="5703" spans="1:40" x14ac:dyDescent="0.25">
      <c r="A5703" t="str">
        <f>"20190304164240504"</f>
        <v>20190304164240504</v>
      </c>
      <c r="B5703" t="str">
        <f>"1551688960497227"</f>
        <v>1551688960497227</v>
      </c>
      <c r="C5703" t="s">
        <v>40</v>
      </c>
      <c r="D5703">
        <v>4.2736890000000001</v>
      </c>
      <c r="E5703">
        <v>0.4757324</v>
      </c>
      <c r="F5703" t="s">
        <v>41</v>
      </c>
      <c r="G5703">
        <v>-416.69170000000003</v>
      </c>
      <c r="H5703">
        <v>1.0115799999999999</v>
      </c>
      <c r="I5703">
        <v>30.602070000000001</v>
      </c>
      <c r="J5703">
        <v>-417.49369999999999</v>
      </c>
      <c r="K5703">
        <v>1.1189770000000001</v>
      </c>
      <c r="L5703">
        <v>31.015930000000001</v>
      </c>
      <c r="M5703">
        <v>0.55675949999999996</v>
      </c>
      <c r="N5703">
        <v>-1.51007E-2</v>
      </c>
      <c r="O5703">
        <v>-0.83053659999999996</v>
      </c>
      <c r="P5703">
        <v>0.77611929999999996</v>
      </c>
      <c r="Q5703">
        <v>0.3559464</v>
      </c>
      <c r="R5703">
        <v>-0.52052039999999999</v>
      </c>
      <c r="S5703">
        <v>2.852722</v>
      </c>
      <c r="T5703">
        <v>-0.33942879999999997</v>
      </c>
      <c r="U5703">
        <v>-1.73797599999999</v>
      </c>
      <c r="V5703">
        <v>-0.36207640000000002</v>
      </c>
      <c r="W5703">
        <v>0.36185349999999999</v>
      </c>
      <c r="X5703">
        <v>0.85904760000000002</v>
      </c>
      <c r="Y5703">
        <v>-0.41571429999999998</v>
      </c>
      <c r="Z5703">
        <v>8.5668510000000003E-2</v>
      </c>
      <c r="AA5703">
        <v>0.90545160000000002</v>
      </c>
      <c r="AB5703">
        <v>25</v>
      </c>
      <c r="AC5703">
        <v>0.80199999999996396</v>
      </c>
      <c r="AD5703">
        <v>-0.10739700000000001</v>
      </c>
      <c r="AE5703">
        <v>-0.41385999999999601</v>
      </c>
      <c r="AF5703">
        <v>-0.42963532645753399</v>
      </c>
      <c r="AG5703">
        <v>-0.10739700000000001</v>
      </c>
      <c r="AH5703">
        <v>0.77930114591424804</v>
      </c>
      <c r="AI5703">
        <v>96.881532363685693</v>
      </c>
      <c r="AJ5703">
        <v>118.868320560792</v>
      </c>
      <c r="AK5703">
        <v>0.896343073478304</v>
      </c>
      <c r="AL5703">
        <v>68.785931085926194</v>
      </c>
      <c r="AM5703">
        <v>112.854734212813</v>
      </c>
      <c r="AN5703">
        <v>1.00000002698248</v>
      </c>
    </row>
    <row r="5704" spans="1:40" x14ac:dyDescent="0.25">
      <c r="A5704" t="str">
        <f>"20190304164240525"</f>
        <v>20190304164240525</v>
      </c>
      <c r="B5704" t="str">
        <f>"1551688960516746"</f>
        <v>1551688960516746</v>
      </c>
      <c r="C5704" t="s">
        <v>40</v>
      </c>
      <c r="D5704">
        <v>4.2885989999999996</v>
      </c>
      <c r="E5704">
        <v>0.47596359999999899</v>
      </c>
      <c r="F5704" t="s">
        <v>41</v>
      </c>
      <c r="G5704">
        <v>-416.5994</v>
      </c>
      <c r="H5704">
        <v>1.014443</v>
      </c>
      <c r="I5704">
        <v>30.478590000000001</v>
      </c>
      <c r="J5704">
        <v>-417.35340000000002</v>
      </c>
      <c r="K5704">
        <v>1.11896</v>
      </c>
      <c r="L5704">
        <v>30.830259999999999</v>
      </c>
      <c r="M5704">
        <v>0.56648969999999998</v>
      </c>
      <c r="N5704">
        <v>-1.510471E-2</v>
      </c>
      <c r="O5704">
        <v>-0.82393059999999996</v>
      </c>
      <c r="P5704">
        <v>0.78105249999999904</v>
      </c>
      <c r="Q5704">
        <v>0.35730899999999999</v>
      </c>
      <c r="R5704">
        <v>-0.5121405</v>
      </c>
      <c r="S5704">
        <v>2.8645320000000001</v>
      </c>
      <c r="T5704">
        <v>-0.33486399999999999</v>
      </c>
      <c r="U5704">
        <v>-1.7213130000000001</v>
      </c>
      <c r="V5704">
        <v>-0.36070609999999997</v>
      </c>
      <c r="W5704">
        <v>0.36326350000000002</v>
      </c>
      <c r="X5704">
        <v>0.85902900000000004</v>
      </c>
      <c r="Y5704">
        <v>-0.4106863</v>
      </c>
      <c r="Z5704">
        <v>8.3834399999999906E-2</v>
      </c>
      <c r="AA5704">
        <v>0.90791440000000001</v>
      </c>
      <c r="AB5704">
        <v>25</v>
      </c>
      <c r="AC5704">
        <v>0.75400000000001899</v>
      </c>
      <c r="AD5704">
        <v>-0.104516999999999</v>
      </c>
      <c r="AE5704">
        <v>-0.35166999999999499</v>
      </c>
      <c r="AF5704">
        <v>-0.41551681011587899</v>
      </c>
      <c r="AG5704">
        <v>-0.104516999999999</v>
      </c>
      <c r="AH5704">
        <v>0.70582751070945304</v>
      </c>
      <c r="AI5704">
        <v>97.272054112683506</v>
      </c>
      <c r="AJ5704">
        <v>120.48509012306199</v>
      </c>
      <c r="AK5704">
        <v>0.82569394914349403</v>
      </c>
      <c r="AL5704">
        <v>68.699246401291305</v>
      </c>
      <c r="AM5704">
        <v>112.777525081368</v>
      </c>
      <c r="AN5704">
        <v>1.00000004192522</v>
      </c>
    </row>
    <row r="5705" spans="1:40" x14ac:dyDescent="0.25">
      <c r="A5705" t="str">
        <f>"20190304164240537"</f>
        <v>20190304164240537</v>
      </c>
      <c r="B5705" t="str">
        <f>"1551688960527483"</f>
        <v>1551688960527483</v>
      </c>
      <c r="C5705" t="s">
        <v>40</v>
      </c>
      <c r="D5705">
        <v>4.2912549999999996</v>
      </c>
      <c r="E5705">
        <v>0.48091129999999999</v>
      </c>
      <c r="F5705" t="s">
        <v>41</v>
      </c>
      <c r="G5705">
        <v>-416.43860000000001</v>
      </c>
      <c r="H5705">
        <v>1.0139659999999999</v>
      </c>
      <c r="I5705">
        <v>30.292899999999999</v>
      </c>
      <c r="J5705">
        <v>-417.27409999999998</v>
      </c>
      <c r="K5705">
        <v>1.1189359999999999</v>
      </c>
      <c r="L5705">
        <v>30.72729</v>
      </c>
      <c r="M5705">
        <v>0.57189290000000004</v>
      </c>
      <c r="N5705">
        <v>-1.510621E-2</v>
      </c>
      <c r="O5705">
        <v>-0.82018919999999995</v>
      </c>
      <c r="P5705">
        <v>0.78408580000000005</v>
      </c>
      <c r="Q5705">
        <v>0.35717090000000001</v>
      </c>
      <c r="R5705">
        <v>-0.50758110000000001</v>
      </c>
      <c r="S5705">
        <v>2.8825989999999999</v>
      </c>
      <c r="T5705">
        <v>-0.33074579999999998</v>
      </c>
      <c r="U5705">
        <v>-1.6923220000000001</v>
      </c>
      <c r="V5705">
        <v>-0.36009849999999999</v>
      </c>
      <c r="W5705">
        <v>0.36315459999999999</v>
      </c>
      <c r="X5705">
        <v>0.85932980000000003</v>
      </c>
      <c r="Y5705">
        <v>-0.41407260000000001</v>
      </c>
      <c r="Z5705">
        <v>8.2607749999999994E-2</v>
      </c>
      <c r="AA5705">
        <v>0.90648759999999995</v>
      </c>
      <c r="AB5705">
        <v>25</v>
      </c>
      <c r="AC5705">
        <v>0.83549999999996705</v>
      </c>
      <c r="AD5705">
        <v>-0.10496999999999999</v>
      </c>
      <c r="AE5705">
        <v>-0.434390000000004</v>
      </c>
      <c r="AF5705">
        <v>-0.43153121874596101</v>
      </c>
      <c r="AG5705">
        <v>-0.10496999999999999</v>
      </c>
      <c r="AH5705">
        <v>0.82395532479872402</v>
      </c>
      <c r="AI5705">
        <v>96.438957319807997</v>
      </c>
      <c r="AJ5705">
        <v>117.64245970267299</v>
      </c>
      <c r="AK5705">
        <v>0.93602364869513099</v>
      </c>
      <c r="AL5705">
        <v>68.705941184078398</v>
      </c>
      <c r="AM5705">
        <v>112.73591375939</v>
      </c>
      <c r="AN5705">
        <v>0.99999994918572299</v>
      </c>
    </row>
    <row r="5706" spans="1:40" x14ac:dyDescent="0.25">
      <c r="A5706" t="str">
        <f>"20190304164240549"</f>
        <v>20190304164240549</v>
      </c>
      <c r="B5706" t="str">
        <f>"1551688960547003"</f>
        <v>1551688960547003</v>
      </c>
      <c r="C5706" t="s">
        <v>40</v>
      </c>
      <c r="D5706">
        <v>4.3037590000000003</v>
      </c>
      <c r="E5706">
        <v>0.48180889999999998</v>
      </c>
      <c r="F5706" t="s">
        <v>57</v>
      </c>
      <c r="G5706">
        <v>-408.06299999999999</v>
      </c>
      <c r="H5706" s="1">
        <v>-3.2473440000000002E-6</v>
      </c>
      <c r="I5706">
        <v>25.249320000000001</v>
      </c>
      <c r="J5706">
        <v>-417.19600000000003</v>
      </c>
      <c r="K5706">
        <v>1.118916</v>
      </c>
      <c r="L5706">
        <v>30.627320000000001</v>
      </c>
      <c r="M5706">
        <v>0.57714089999999996</v>
      </c>
      <c r="N5706">
        <v>-1.5107199999999999E-2</v>
      </c>
      <c r="O5706">
        <v>-0.81650480000000003</v>
      </c>
      <c r="P5706">
        <v>0.78702709999999998</v>
      </c>
      <c r="Q5706">
        <v>0.35671969999999997</v>
      </c>
      <c r="R5706">
        <v>-0.50332809999999994</v>
      </c>
      <c r="S5706">
        <v>2.8775330000000001</v>
      </c>
      <c r="T5706">
        <v>-0.34955370000000002</v>
      </c>
      <c r="U5706">
        <v>-1.7113039999999999</v>
      </c>
      <c r="V5706">
        <v>-0.3593809</v>
      </c>
      <c r="W5706">
        <v>0.36273749999999999</v>
      </c>
      <c r="X5706">
        <v>0.85980630000000002</v>
      </c>
      <c r="Y5706">
        <v>-0.40267599999999998</v>
      </c>
      <c r="Z5706">
        <v>8.7067889999999995E-2</v>
      </c>
      <c r="AA5706">
        <v>0.91119220000000001</v>
      </c>
      <c r="AB5706">
        <v>25</v>
      </c>
      <c r="AC5706">
        <v>9.1329999999999192</v>
      </c>
      <c r="AD5706">
        <v>-1.1189192473439999</v>
      </c>
      <c r="AE5706">
        <v>-5.3779999999999903</v>
      </c>
      <c r="AF5706">
        <v>-4.3057831815740597</v>
      </c>
      <c r="AG5706">
        <v>-1.1189192473439999</v>
      </c>
      <c r="AH5706">
        <v>9.5567824331421996</v>
      </c>
      <c r="AI5706">
        <v>96.093076716684493</v>
      </c>
      <c r="AJ5706">
        <v>114.253820586071</v>
      </c>
      <c r="AK5706">
        <v>10.541529280100599</v>
      </c>
      <c r="AL5706">
        <v>68.731589234595404</v>
      </c>
      <c r="AM5706">
        <v>112.683898898716</v>
      </c>
      <c r="AN5706">
        <v>0.99999999935537498</v>
      </c>
    </row>
    <row r="5707" spans="1:40" x14ac:dyDescent="0.25">
      <c r="A5707" t="str">
        <f>"20190304164240561"</f>
        <v>20190304164240561</v>
      </c>
      <c r="B5707" t="str">
        <f>"1551688960556763"</f>
        <v>1551688960556763</v>
      </c>
      <c r="C5707" t="s">
        <v>40</v>
      </c>
      <c r="D5707">
        <v>4.3251470000000003</v>
      </c>
      <c r="E5707">
        <v>0.48259380000000002</v>
      </c>
      <c r="F5707" t="s">
        <v>57</v>
      </c>
      <c r="G5707">
        <v>-408.10559999999998</v>
      </c>
      <c r="H5707" s="1">
        <v>-3.2262929999999999E-6</v>
      </c>
      <c r="I5707">
        <v>25.268190000000001</v>
      </c>
      <c r="J5707">
        <v>-417.11430000000001</v>
      </c>
      <c r="K5707">
        <v>1.1188979999999999</v>
      </c>
      <c r="L5707">
        <v>30.52347</v>
      </c>
      <c r="M5707">
        <v>0.58258239999999994</v>
      </c>
      <c r="N5707">
        <v>-1.510802E-2</v>
      </c>
      <c r="O5707">
        <v>-0.8126314</v>
      </c>
      <c r="P5707">
        <v>0.7903249</v>
      </c>
      <c r="Q5707">
        <v>0.35588389999999998</v>
      </c>
      <c r="R5707">
        <v>-0.4987317</v>
      </c>
      <c r="S5707">
        <v>2.88504</v>
      </c>
      <c r="T5707">
        <v>-0.35511300000000001</v>
      </c>
      <c r="U5707">
        <v>-1.700836</v>
      </c>
      <c r="V5707">
        <v>-0.35892210000000002</v>
      </c>
      <c r="W5707">
        <v>0.36193170000000002</v>
      </c>
      <c r="X5707">
        <v>0.86033740000000003</v>
      </c>
      <c r="Y5707">
        <v>-0.39993689999999998</v>
      </c>
      <c r="Z5707">
        <v>8.825297E-2</v>
      </c>
      <c r="AA5707">
        <v>0.91228390000000004</v>
      </c>
      <c r="AB5707">
        <v>25</v>
      </c>
      <c r="AC5707">
        <v>9.0087000000000295</v>
      </c>
      <c r="AD5707">
        <v>-1.118901226293</v>
      </c>
      <c r="AE5707">
        <v>-5.2552799999999902</v>
      </c>
      <c r="AF5707">
        <v>-4.2111363804644197</v>
      </c>
      <c r="AG5707">
        <v>-1.118901226293</v>
      </c>
      <c r="AH5707">
        <v>9.4116771957095207</v>
      </c>
      <c r="AI5707">
        <v>96.193332563530404</v>
      </c>
      <c r="AJ5707">
        <v>114.105527570869</v>
      </c>
      <c r="AK5707">
        <v>10.3713681452983</v>
      </c>
      <c r="AL5707">
        <v>68.781124975361806</v>
      </c>
      <c r="AM5707">
        <v>112.645292524929</v>
      </c>
      <c r="AN5707">
        <v>1.0000000355860199</v>
      </c>
    </row>
    <row r="5708" spans="1:40" x14ac:dyDescent="0.25">
      <c r="A5708" t="str">
        <f>"20190304164240572"</f>
        <v>20190304164240572</v>
      </c>
      <c r="B5708" t="str">
        <f>"1551688960566523"</f>
        <v>1551688960566523</v>
      </c>
      <c r="C5708" t="s">
        <v>40</v>
      </c>
      <c r="D5708">
        <v>4.3153990000000002</v>
      </c>
      <c r="E5708">
        <v>0.48302780000000001</v>
      </c>
      <c r="F5708" t="s">
        <v>57</v>
      </c>
      <c r="G5708">
        <v>-408.15089999999998</v>
      </c>
      <c r="H5708" s="1">
        <v>-3.2056799999999999E-6</v>
      </c>
      <c r="I5708">
        <v>25.296009999999999</v>
      </c>
      <c r="J5708">
        <v>-417.04180000000002</v>
      </c>
      <c r="K5708">
        <v>1.118884</v>
      </c>
      <c r="L5708">
        <v>30.433499999999999</v>
      </c>
      <c r="M5708">
        <v>0.58731440000000001</v>
      </c>
      <c r="N5708">
        <v>-1.510794E-2</v>
      </c>
      <c r="O5708">
        <v>-0.80921799999999999</v>
      </c>
      <c r="P5708">
        <v>0.79297079999999998</v>
      </c>
      <c r="Q5708">
        <v>0.35551909999999998</v>
      </c>
      <c r="R5708">
        <v>-0.49477700000000002</v>
      </c>
      <c r="S5708">
        <v>2.8936160000000002</v>
      </c>
      <c r="T5708">
        <v>-0.3612108</v>
      </c>
      <c r="U5708">
        <v>-1.6875610000000001</v>
      </c>
      <c r="V5708">
        <v>-0.35830859999999998</v>
      </c>
      <c r="W5708">
        <v>0.36159649999999999</v>
      </c>
      <c r="X5708">
        <v>0.860734</v>
      </c>
      <c r="Y5708">
        <v>-0.39874989999999999</v>
      </c>
      <c r="Z5708">
        <v>8.9672619999999995E-2</v>
      </c>
      <c r="AA5708">
        <v>0.9126649</v>
      </c>
      <c r="AB5708">
        <v>25</v>
      </c>
      <c r="AC5708">
        <v>8.8909000000000393</v>
      </c>
      <c r="AD5708">
        <v>-1.1188872056800001</v>
      </c>
      <c r="AE5708">
        <v>-5.1374899999999997</v>
      </c>
      <c r="AF5708">
        <v>-4.1288095775994904</v>
      </c>
      <c r="AG5708">
        <v>-1.1188872056800001</v>
      </c>
      <c r="AH5708">
        <v>9.2701087727533196</v>
      </c>
      <c r="AI5708">
        <v>96.291839963758406</v>
      </c>
      <c r="AJ5708">
        <v>114.00769163306001</v>
      </c>
      <c r="AK5708">
        <v>10.209500172182199</v>
      </c>
      <c r="AL5708">
        <v>68.801726146960704</v>
      </c>
      <c r="AM5708">
        <v>112.601112942421</v>
      </c>
      <c r="AN5708">
        <v>1.0000000502010999</v>
      </c>
    </row>
    <row r="5709" spans="1:40" x14ac:dyDescent="0.25">
      <c r="A5709" t="str">
        <f>"20190304164240584"</f>
        <v>20190304164240584</v>
      </c>
      <c r="B5709" t="str">
        <f>"1551688960577259"</f>
        <v>1551688960577259</v>
      </c>
      <c r="C5709" t="s">
        <v>40</v>
      </c>
      <c r="D5709">
        <v>4.329898</v>
      </c>
      <c r="E5709">
        <v>0.4832843</v>
      </c>
      <c r="F5709" t="s">
        <v>57</v>
      </c>
      <c r="G5709">
        <v>-408.14609999999999</v>
      </c>
      <c r="H5709" s="1">
        <v>-3.2092320000000002E-6</v>
      </c>
      <c r="I5709">
        <v>25.299219999999998</v>
      </c>
      <c r="J5709">
        <v>-416.96319999999997</v>
      </c>
      <c r="K5709">
        <v>1.1188640000000001</v>
      </c>
      <c r="L5709">
        <v>30.336269999999999</v>
      </c>
      <c r="M5709">
        <v>0.59241309999999903</v>
      </c>
      <c r="N5709">
        <v>-1.5107809999999999E-2</v>
      </c>
      <c r="O5709">
        <v>-0.80549269999999995</v>
      </c>
      <c r="P5709">
        <v>0.79586369999999995</v>
      </c>
      <c r="Q5709">
        <v>0.35480699999999998</v>
      </c>
      <c r="R5709">
        <v>-0.49062539999999999</v>
      </c>
      <c r="S5709">
        <v>2.9018549999999999</v>
      </c>
      <c r="T5709">
        <v>-0.3649886</v>
      </c>
      <c r="U5709">
        <v>-1.6748350000000001</v>
      </c>
      <c r="V5709">
        <v>-0.35759370000000001</v>
      </c>
      <c r="W5709">
        <v>0.36092069999999998</v>
      </c>
      <c r="X5709">
        <v>0.86131469999999899</v>
      </c>
      <c r="Y5709">
        <v>-0.3970072</v>
      </c>
      <c r="Z5709">
        <v>9.0400549999999996E-2</v>
      </c>
      <c r="AA5709">
        <v>0.91335259999999996</v>
      </c>
      <c r="AB5709">
        <v>25</v>
      </c>
      <c r="AC5709">
        <v>8.8170999999999804</v>
      </c>
      <c r="AD5709">
        <v>-1.11886720923199</v>
      </c>
      <c r="AE5709">
        <v>-5.0370499999999998</v>
      </c>
      <c r="AF5709">
        <v>-4.0691628758694103</v>
      </c>
      <c r="AG5709">
        <v>-1.11886720923199</v>
      </c>
      <c r="AH5709">
        <v>9.1703969023602294</v>
      </c>
      <c r="AI5709">
        <v>96.363473464575193</v>
      </c>
      <c r="AJ5709">
        <v>113.92820684380099</v>
      </c>
      <c r="AK5709">
        <v>10.0948565957653</v>
      </c>
      <c r="AL5709">
        <v>68.843250076866198</v>
      </c>
      <c r="AM5709">
        <v>112.54685386479299</v>
      </c>
      <c r="AN5709">
        <v>1.0000000092021299</v>
      </c>
    </row>
    <row r="5710" spans="1:40" x14ac:dyDescent="0.25">
      <c r="A5710" t="str">
        <f>"20190304164240595"</f>
        <v>20190304164240595</v>
      </c>
      <c r="B5710" t="str">
        <f>"1551688960587019"</f>
        <v>1551688960587019</v>
      </c>
      <c r="C5710" t="s">
        <v>40</v>
      </c>
      <c r="D5710">
        <v>4.3249680000000001</v>
      </c>
      <c r="E5710">
        <v>0.48356440000000001</v>
      </c>
      <c r="F5710" t="s">
        <v>57</v>
      </c>
      <c r="G5710">
        <v>-408.15379999999999</v>
      </c>
      <c r="H5710" s="1">
        <v>-3.2084029999999999E-6</v>
      </c>
      <c r="I5710">
        <v>25.31616</v>
      </c>
      <c r="J5710">
        <v>-416.88130000000001</v>
      </c>
      <c r="K5710">
        <v>1.118843</v>
      </c>
      <c r="L5710">
        <v>30.236879999999999</v>
      </c>
      <c r="M5710">
        <v>0.59763089999999996</v>
      </c>
      <c r="N5710">
        <v>-1.510679E-2</v>
      </c>
      <c r="O5710">
        <v>-0.80162909999999998</v>
      </c>
      <c r="P5710">
        <v>0.79865569999999997</v>
      </c>
      <c r="Q5710">
        <v>0.35453869999999998</v>
      </c>
      <c r="R5710">
        <v>-0.4862628</v>
      </c>
      <c r="S5710">
        <v>2.9115600000000001</v>
      </c>
      <c r="T5710">
        <v>-0.36979309999999999</v>
      </c>
      <c r="U5710">
        <v>-1.6591800000000001</v>
      </c>
      <c r="V5710">
        <v>-0.35678290000000001</v>
      </c>
      <c r="W5710">
        <v>0.36068939999999999</v>
      </c>
      <c r="X5710">
        <v>0.86174769999999901</v>
      </c>
      <c r="Y5710">
        <v>-0.3959589</v>
      </c>
      <c r="Z5710">
        <v>9.1423009999999999E-2</v>
      </c>
      <c r="AA5710">
        <v>0.91370589999999996</v>
      </c>
      <c r="AB5710">
        <v>24</v>
      </c>
      <c r="AC5710">
        <v>8.7275000000000098</v>
      </c>
      <c r="AD5710">
        <v>-1.118846208403</v>
      </c>
      <c r="AE5710">
        <v>-4.9207199999999904</v>
      </c>
      <c r="AF5710">
        <v>-4.0059502791980197</v>
      </c>
      <c r="AG5710">
        <v>-1.118846208403</v>
      </c>
      <c r="AH5710">
        <v>9.0486206483978808</v>
      </c>
      <c r="AI5710">
        <v>96.450679092795298</v>
      </c>
      <c r="AJ5710">
        <v>113.879638797073</v>
      </c>
      <c r="AK5710">
        <v>9.9587644874290007</v>
      </c>
      <c r="AL5710">
        <v>68.857459303841296</v>
      </c>
      <c r="AM5710">
        <v>112.490653355118</v>
      </c>
      <c r="AN5710">
        <v>0.99999998973002902</v>
      </c>
    </row>
    <row r="5711" spans="1:40" x14ac:dyDescent="0.25">
      <c r="A5711" t="str">
        <f>"20190304164240607"</f>
        <v>20190304164240607</v>
      </c>
      <c r="B5711" t="str">
        <f>"1551688960596779"</f>
        <v>1551688960596779</v>
      </c>
      <c r="C5711" t="s">
        <v>40</v>
      </c>
      <c r="D5711">
        <v>4.3317199999999998</v>
      </c>
      <c r="E5711">
        <v>0.48395450000000001</v>
      </c>
      <c r="F5711" t="s">
        <v>57</v>
      </c>
      <c r="G5711">
        <v>-408.13139999999999</v>
      </c>
      <c r="H5711" s="1">
        <v>-3.2211259999999998E-6</v>
      </c>
      <c r="I5711">
        <v>25.313649999999999</v>
      </c>
      <c r="J5711">
        <v>-416.80509999999998</v>
      </c>
      <c r="K5711">
        <v>1.118824</v>
      </c>
      <c r="L5711">
        <v>30.14517</v>
      </c>
      <c r="M5711">
        <v>0.6024389</v>
      </c>
      <c r="N5711">
        <v>-1.5105439999999999E-2</v>
      </c>
      <c r="O5711">
        <v>-0.79802220000000001</v>
      </c>
      <c r="P5711">
        <v>0.80117150000000004</v>
      </c>
      <c r="Q5711">
        <v>0.35466170000000002</v>
      </c>
      <c r="R5711">
        <v>-0.4820159</v>
      </c>
      <c r="S5711">
        <v>2.9213260000000001</v>
      </c>
      <c r="T5711">
        <v>-0.37354680000000001</v>
      </c>
      <c r="U5711">
        <v>-1.643707</v>
      </c>
      <c r="V5711">
        <v>-0.35611720000000002</v>
      </c>
      <c r="W5711">
        <v>0.36084240000000001</v>
      </c>
      <c r="X5711">
        <v>0.86195900000000003</v>
      </c>
      <c r="Y5711">
        <v>-0.39534029999999998</v>
      </c>
      <c r="Z5711">
        <v>9.2175080000000006E-2</v>
      </c>
      <c r="AA5711">
        <v>0.91389810000000005</v>
      </c>
      <c r="AB5711">
        <v>24</v>
      </c>
      <c r="AC5711">
        <v>8.6736999999999895</v>
      </c>
      <c r="AD5711">
        <v>-1.118827221126</v>
      </c>
      <c r="AE5711">
        <v>-4.8315200000000003</v>
      </c>
      <c r="AF5711">
        <v>-3.9612647199123399</v>
      </c>
      <c r="AG5711">
        <v>-1.118827221126</v>
      </c>
      <c r="AH5711">
        <v>8.9681872448157005</v>
      </c>
      <c r="AI5711">
        <v>96.510345717987803</v>
      </c>
      <c r="AJ5711">
        <v>113.831135319571</v>
      </c>
      <c r="AK5711">
        <v>9.8677137671311606</v>
      </c>
      <c r="AL5711">
        <v>68.848060470297</v>
      </c>
      <c r="AM5711">
        <v>112.44790101060499</v>
      </c>
      <c r="AN5711">
        <v>1.0000000077272999</v>
      </c>
    </row>
    <row r="5712" spans="1:40" x14ac:dyDescent="0.25">
      <c r="A5712" t="str">
        <f>"20190304164240619"</f>
        <v>20190304164240619</v>
      </c>
      <c r="B5712" t="str">
        <f>"1551688960606541"</f>
        <v>1551688960606541</v>
      </c>
      <c r="C5712" t="s">
        <v>40</v>
      </c>
      <c r="D5712">
        <v>4.3216060000000001</v>
      </c>
      <c r="E5712">
        <v>0.48427490000000001</v>
      </c>
      <c r="F5712" t="s">
        <v>57</v>
      </c>
      <c r="G5712">
        <v>-408.05489999999998</v>
      </c>
      <c r="H5712" s="1">
        <v>-3.2582270000000001E-6</v>
      </c>
      <c r="I5712">
        <v>25.276890000000002</v>
      </c>
      <c r="J5712">
        <v>-416.71769999999998</v>
      </c>
      <c r="K5712">
        <v>1.118803</v>
      </c>
      <c r="L5712">
        <v>30.041350000000001</v>
      </c>
      <c r="M5712">
        <v>0.60787709999999995</v>
      </c>
      <c r="N5712">
        <v>-1.510338E-2</v>
      </c>
      <c r="O5712">
        <v>-0.79388769999999997</v>
      </c>
      <c r="P5712">
        <v>0.80390719999999904</v>
      </c>
      <c r="Q5712">
        <v>0.3549486</v>
      </c>
      <c r="R5712">
        <v>-0.4772265</v>
      </c>
      <c r="S5712">
        <v>2.9296880000000001</v>
      </c>
      <c r="T5712">
        <v>-0.37460009999999999</v>
      </c>
      <c r="U5712">
        <v>-1.629974</v>
      </c>
      <c r="V5712">
        <v>-0.35525329999999999</v>
      </c>
      <c r="W5712">
        <v>0.3611666</v>
      </c>
      <c r="X5712">
        <v>0.86217969999999899</v>
      </c>
      <c r="Y5712">
        <v>-0.3934436</v>
      </c>
      <c r="Z5712">
        <v>9.2107770000000005E-2</v>
      </c>
      <c r="AA5712">
        <v>0.91472310000000001</v>
      </c>
      <c r="AB5712">
        <v>24</v>
      </c>
      <c r="AC5712">
        <v>8.6628000000000007</v>
      </c>
      <c r="AD5712">
        <v>-1.118806258227</v>
      </c>
      <c r="AE5712">
        <v>-4.7644599999999997</v>
      </c>
      <c r="AF5712">
        <v>-3.9311941718510099</v>
      </c>
      <c r="AG5712">
        <v>-1.118806258227</v>
      </c>
      <c r="AH5712">
        <v>8.9349718359682697</v>
      </c>
      <c r="AI5712">
        <v>96.538339442368496</v>
      </c>
      <c r="AJ5712">
        <v>113.748455263651</v>
      </c>
      <c r="AK5712">
        <v>9.8254636923551608</v>
      </c>
      <c r="AL5712">
        <v>68.8281423961716</v>
      </c>
      <c r="AM5712">
        <v>112.393664397349</v>
      </c>
      <c r="AN5712">
        <v>1.00000002760426</v>
      </c>
    </row>
    <row r="5713" spans="1:40" x14ac:dyDescent="0.25">
      <c r="A5713" t="str">
        <f>"20190304164240631"</f>
        <v>20190304164240631</v>
      </c>
      <c r="B5713" t="str">
        <f>"1551688960627035"</f>
        <v>1551688960627035</v>
      </c>
      <c r="C5713" t="s">
        <v>40</v>
      </c>
      <c r="D5713">
        <v>4.3455240000000002</v>
      </c>
      <c r="E5713">
        <v>0.48842619999999998</v>
      </c>
      <c r="F5713" t="s">
        <v>57</v>
      </c>
      <c r="G5713">
        <v>-407.9144</v>
      </c>
      <c r="H5713" s="1">
        <v>-3.3266379999999998E-6</v>
      </c>
      <c r="I5713">
        <v>25.21039</v>
      </c>
      <c r="J5713">
        <v>-416.63510000000002</v>
      </c>
      <c r="K5713">
        <v>1.1187819999999999</v>
      </c>
      <c r="L5713">
        <v>29.94492</v>
      </c>
      <c r="M5713">
        <v>0.61293369999999903</v>
      </c>
      <c r="N5713">
        <v>-1.5100590000000001E-2</v>
      </c>
      <c r="O5713">
        <v>-0.78999030000000003</v>
      </c>
      <c r="P5713">
        <v>0.80613539999999995</v>
      </c>
      <c r="Q5713">
        <v>0.35565530000000001</v>
      </c>
      <c r="R5713">
        <v>-0.47292250000000002</v>
      </c>
      <c r="S5713">
        <v>2.9391780000000001</v>
      </c>
      <c r="T5713">
        <v>-0.37353619999999998</v>
      </c>
      <c r="U5713">
        <v>-1.6129150000000001</v>
      </c>
      <c r="V5713">
        <v>-0.35409990000000002</v>
      </c>
      <c r="W5713">
        <v>0.36191479999999998</v>
      </c>
      <c r="X5713">
        <v>0.86234040000000001</v>
      </c>
      <c r="Y5713">
        <v>-0.39294849999999998</v>
      </c>
      <c r="Z5713">
        <v>9.1557379999999994E-2</v>
      </c>
      <c r="AA5713">
        <v>0.91499109999999995</v>
      </c>
      <c r="AB5713">
        <v>24</v>
      </c>
      <c r="AC5713">
        <v>8.7207000000000203</v>
      </c>
      <c r="AD5713">
        <v>-1.1187853266379999</v>
      </c>
      <c r="AE5713">
        <v>-4.7345300000000003</v>
      </c>
      <c r="AF5713">
        <v>-3.9377140044975198</v>
      </c>
      <c r="AG5713">
        <v>-1.1187853266379999</v>
      </c>
      <c r="AH5713">
        <v>8.9724225726382407</v>
      </c>
      <c r="AI5713">
        <v>96.513801709373197</v>
      </c>
      <c r="AJ5713">
        <v>113.695158994135</v>
      </c>
      <c r="AK5713">
        <v>9.8621315652502197</v>
      </c>
      <c r="AL5713">
        <v>68.782163200647204</v>
      </c>
      <c r="AM5713">
        <v>112.324357013822</v>
      </c>
      <c r="AN5713">
        <v>1.0000000135556</v>
      </c>
    </row>
    <row r="5714" spans="1:40" x14ac:dyDescent="0.25">
      <c r="A5714" t="str">
        <f>"20190304164240643"</f>
        <v>20190304164240643</v>
      </c>
      <c r="B5714" t="str">
        <f>"1551688960636795"</f>
        <v>1551688960636795</v>
      </c>
      <c r="C5714" t="s">
        <v>40</v>
      </c>
      <c r="D5714">
        <v>4.3336540000000001</v>
      </c>
      <c r="E5714">
        <v>0.48789759999999999</v>
      </c>
      <c r="F5714" t="s">
        <v>57</v>
      </c>
      <c r="G5714">
        <v>-408.32819999999998</v>
      </c>
      <c r="H5714" s="1">
        <v>-3.1101020000000001E-6</v>
      </c>
      <c r="I5714">
        <v>25.338349999999998</v>
      </c>
      <c r="J5714">
        <v>-416.54950000000002</v>
      </c>
      <c r="K5714">
        <v>1.118765</v>
      </c>
      <c r="L5714">
        <v>29.845829999999999</v>
      </c>
      <c r="M5714">
        <v>0.61811289999999997</v>
      </c>
      <c r="N5714">
        <v>-1.5097559999999999E-2</v>
      </c>
      <c r="O5714">
        <v>-0.78594430000000004</v>
      </c>
      <c r="P5714">
        <v>0.80854320000000002</v>
      </c>
      <c r="Q5714">
        <v>0.3564852</v>
      </c>
      <c r="R5714">
        <v>-0.46816289999999999</v>
      </c>
      <c r="S5714">
        <v>2.9397579999999999</v>
      </c>
      <c r="T5714">
        <v>-0.39593479999999998</v>
      </c>
      <c r="U5714">
        <v>-1.6302490000000001</v>
      </c>
      <c r="V5714">
        <v>-0.35321720000000001</v>
      </c>
      <c r="W5714">
        <v>0.36278009999999999</v>
      </c>
      <c r="X5714">
        <v>0.86233879999999996</v>
      </c>
      <c r="Y5714">
        <v>-0.3822894</v>
      </c>
      <c r="Z5714">
        <v>9.6548300000000004E-2</v>
      </c>
      <c r="AA5714">
        <v>0.91898489999999999</v>
      </c>
      <c r="AB5714">
        <v>24</v>
      </c>
      <c r="AC5714">
        <v>8.2213000000000402</v>
      </c>
      <c r="AD5714">
        <v>-1.1187681101019999</v>
      </c>
      <c r="AE5714">
        <v>-4.5074800000000002</v>
      </c>
      <c r="AF5714">
        <v>-3.62416964563241</v>
      </c>
      <c r="AG5714">
        <v>-1.1187681101019999</v>
      </c>
      <c r="AH5714">
        <v>8.5042181382518809</v>
      </c>
      <c r="AI5714">
        <v>96.900548573187393</v>
      </c>
      <c r="AJ5714">
        <v>113.081832012021</v>
      </c>
      <c r="AK5714">
        <v>9.3117116497170898</v>
      </c>
      <c r="AL5714">
        <v>68.728970006095096</v>
      </c>
      <c r="AM5714">
        <v>112.27418987772199</v>
      </c>
      <c r="AN5714">
        <v>0.99999999865864497</v>
      </c>
    </row>
    <row r="5715" spans="1:40" x14ac:dyDescent="0.25">
      <c r="A5715" t="str">
        <f>"20190304164240659"</f>
        <v>20190304164240659</v>
      </c>
      <c r="B5715" t="str">
        <f>"1551688960646555"</f>
        <v>1551688960646555</v>
      </c>
      <c r="C5715" t="s">
        <v>40</v>
      </c>
      <c r="D5715">
        <v>4.3871330000000004</v>
      </c>
      <c r="E5715">
        <v>0.48789759999999999</v>
      </c>
      <c r="F5715" t="s">
        <v>57</v>
      </c>
      <c r="G5715">
        <v>-408.14229999999998</v>
      </c>
      <c r="H5715" s="1">
        <v>-3.203681E-6</v>
      </c>
      <c r="I5715">
        <v>25.264250000000001</v>
      </c>
      <c r="J5715">
        <v>-416.44260000000003</v>
      </c>
      <c r="K5715">
        <v>1.118743</v>
      </c>
      <c r="L5715">
        <v>29.72409</v>
      </c>
      <c r="M5715">
        <v>0.62447209999999997</v>
      </c>
      <c r="N5715">
        <v>-1.509273E-2</v>
      </c>
      <c r="O5715">
        <v>-0.78090130000000002</v>
      </c>
      <c r="P5715">
        <v>0.81079449999999997</v>
      </c>
      <c r="Q5715">
        <v>0.35765419999999998</v>
      </c>
      <c r="R5715">
        <v>-0.4633526</v>
      </c>
      <c r="S5715">
        <v>2.9520870000000001</v>
      </c>
      <c r="T5715">
        <v>-0.3928413</v>
      </c>
      <c r="U5715">
        <v>-1.608765</v>
      </c>
      <c r="V5715">
        <v>-0.3509178</v>
      </c>
      <c r="W5715">
        <v>0.36402400000000001</v>
      </c>
      <c r="X5715">
        <v>0.86275329999999995</v>
      </c>
      <c r="Y5715">
        <v>-0.38167689999999999</v>
      </c>
      <c r="Z5715">
        <v>9.5342560000000007E-2</v>
      </c>
      <c r="AA5715">
        <v>0.91936530000000005</v>
      </c>
      <c r="AB5715">
        <v>24</v>
      </c>
      <c r="AC5715">
        <v>8.3003000000000497</v>
      </c>
      <c r="AD5715">
        <v>-1.1187462036810001</v>
      </c>
      <c r="AE5715">
        <v>-4.4598399999999998</v>
      </c>
      <c r="AF5715">
        <v>-3.6456975144935102</v>
      </c>
      <c r="AG5715">
        <v>-1.1187462036810001</v>
      </c>
      <c r="AH5715">
        <v>8.5465086101200693</v>
      </c>
      <c r="AI5715">
        <v>96.865590124344905</v>
      </c>
      <c r="AJ5715">
        <v>113.10171673547801</v>
      </c>
      <c r="AK5715">
        <v>9.3587132052591198</v>
      </c>
      <c r="AL5715">
        <v>68.652470015824605</v>
      </c>
      <c r="AM5715">
        <v>112.133628843249</v>
      </c>
      <c r="AN5715">
        <v>1.00000001579686</v>
      </c>
    </row>
    <row r="5716" spans="1:40" x14ac:dyDescent="0.25">
      <c r="A5716" t="str">
        <f>"20190304164240683"</f>
        <v>20190304164240683</v>
      </c>
      <c r="B5716" t="str">
        <f>"1551688960676810"</f>
        <v>1551688960676810</v>
      </c>
      <c r="C5716" t="s">
        <v>40</v>
      </c>
      <c r="D5716">
        <v>4.3378110000000003</v>
      </c>
      <c r="E5716">
        <v>0.46288469999999998</v>
      </c>
      <c r="F5716" t="s">
        <v>57</v>
      </c>
      <c r="G5716">
        <v>-407.90910000000002</v>
      </c>
      <c r="H5716" s="1">
        <v>-3.3156870000000001E-6</v>
      </c>
      <c r="I5716">
        <v>25.147120000000001</v>
      </c>
      <c r="J5716">
        <v>-416.27480000000003</v>
      </c>
      <c r="K5716">
        <v>1.1186910000000001</v>
      </c>
      <c r="L5716">
        <v>29.53687</v>
      </c>
      <c r="M5716">
        <v>0.63422579999999995</v>
      </c>
      <c r="N5716">
        <v>-1.5083920000000001E-2</v>
      </c>
      <c r="O5716">
        <v>-0.77300089999999999</v>
      </c>
      <c r="P5716">
        <v>0.81527019999999994</v>
      </c>
      <c r="Q5716">
        <v>0.3578171</v>
      </c>
      <c r="R5716">
        <v>-0.45530389999999998</v>
      </c>
      <c r="S5716">
        <v>2.9631959999999999</v>
      </c>
      <c r="T5716">
        <v>-0.38847769999999998</v>
      </c>
      <c r="U5716">
        <v>-1.5893250000000001</v>
      </c>
      <c r="V5716">
        <v>-0.34850969999999998</v>
      </c>
      <c r="W5716">
        <v>0.364286</v>
      </c>
      <c r="X5716">
        <v>0.86361840000000001</v>
      </c>
      <c r="Y5716">
        <v>-0.37637589999999999</v>
      </c>
      <c r="Z5716">
        <v>9.3393290000000004E-2</v>
      </c>
      <c r="AA5716">
        <v>0.92174769999999995</v>
      </c>
      <c r="AB5716">
        <v>24</v>
      </c>
      <c r="AC5716">
        <v>8.3657000000000004</v>
      </c>
      <c r="AD5716">
        <v>-1.118694315687</v>
      </c>
      <c r="AE5716">
        <v>-4.3897499999999896</v>
      </c>
      <c r="AF5716">
        <v>-3.6320924322454302</v>
      </c>
      <c r="AG5716">
        <v>-1.118694315687</v>
      </c>
      <c r="AH5716">
        <v>8.5797125428921905</v>
      </c>
      <c r="AI5716">
        <v>96.846854345612599</v>
      </c>
      <c r="AJ5716">
        <v>112.944640081961</v>
      </c>
      <c r="AK5716">
        <v>9.3837646883852806</v>
      </c>
      <c r="AL5716">
        <v>68.636351932219299</v>
      </c>
      <c r="AM5716">
        <v>111.97633941139399</v>
      </c>
      <c r="AN5716">
        <v>1.00000002080432</v>
      </c>
    </row>
    <row r="5717" spans="1:40" x14ac:dyDescent="0.25">
      <c r="A5717" t="str">
        <f>"20190304164240705"</f>
        <v>20190304164240705</v>
      </c>
      <c r="B5717" t="str">
        <f>"1551688960697307"</f>
        <v>1551688960697307</v>
      </c>
      <c r="C5717" t="s">
        <v>40</v>
      </c>
      <c r="D5717">
        <v>4.3296839999999897</v>
      </c>
      <c r="E5717">
        <v>0.46127849999999998</v>
      </c>
      <c r="F5717" t="s">
        <v>41</v>
      </c>
      <c r="G5717">
        <v>-415.32889999999998</v>
      </c>
      <c r="H5717">
        <v>1.022437</v>
      </c>
      <c r="I5717">
        <v>29.112909999999999</v>
      </c>
      <c r="J5717">
        <v>-416.1139</v>
      </c>
      <c r="K5717">
        <v>1.1186339999999999</v>
      </c>
      <c r="L5717">
        <v>29.361820000000002</v>
      </c>
      <c r="M5717">
        <v>0.64331700000000003</v>
      </c>
      <c r="N5717">
        <v>-1.507347E-2</v>
      </c>
      <c r="O5717">
        <v>-0.76545149999999995</v>
      </c>
      <c r="P5717">
        <v>0.81896250000000004</v>
      </c>
      <c r="Q5717">
        <v>0.3582824</v>
      </c>
      <c r="R5717">
        <v>-0.44825680000000001</v>
      </c>
      <c r="S5717">
        <v>3.0523989999999999</v>
      </c>
      <c r="T5717">
        <v>-0.31054369999999998</v>
      </c>
      <c r="U5717">
        <v>-1.36731</v>
      </c>
      <c r="V5717">
        <v>-0.34553089999999997</v>
      </c>
      <c r="W5717">
        <v>0.36486360000000001</v>
      </c>
      <c r="X5717">
        <v>0.86457099999999898</v>
      </c>
      <c r="Y5717">
        <v>-0.43215179999999997</v>
      </c>
      <c r="Z5717">
        <v>7.5093460000000001E-2</v>
      </c>
      <c r="AA5717">
        <v>0.89866889999999999</v>
      </c>
      <c r="AB5717">
        <v>24</v>
      </c>
      <c r="AC5717">
        <v>0.78500000000002501</v>
      </c>
      <c r="AD5717">
        <v>-9.6196999999999797E-2</v>
      </c>
      <c r="AE5717">
        <v>-0.24891000000000199</v>
      </c>
      <c r="AF5717">
        <v>-0.43486765862507498</v>
      </c>
      <c r="AG5717">
        <v>-9.6196999999999797E-2</v>
      </c>
      <c r="AH5717">
        <v>0.68624748881846798</v>
      </c>
      <c r="AI5717">
        <v>96.7527371005785</v>
      </c>
      <c r="AJ5717">
        <v>122.36199582084301</v>
      </c>
      <c r="AK5717">
        <v>0.81810718077566602</v>
      </c>
      <c r="AL5717">
        <v>68.600812055018594</v>
      </c>
      <c r="AM5717">
        <v>111.78441130450599</v>
      </c>
      <c r="AN5717">
        <v>1.0000000317503801</v>
      </c>
    </row>
    <row r="5718" spans="1:40" x14ac:dyDescent="0.25">
      <c r="A5718" t="str">
        <f>"20190304164240716"</f>
        <v>20190304164240716</v>
      </c>
      <c r="B5718" t="str">
        <f>"1551688960707067"</f>
        <v>1551688960707067</v>
      </c>
      <c r="C5718" t="s">
        <v>40</v>
      </c>
      <c r="D5718">
        <v>4.3331600000000003</v>
      </c>
      <c r="E5718">
        <v>0.46100180000000002</v>
      </c>
      <c r="F5718" t="s">
        <v>41</v>
      </c>
      <c r="G5718">
        <v>-415.18430000000001</v>
      </c>
      <c r="H5718">
        <v>1.0259990000000001</v>
      </c>
      <c r="I5718">
        <v>28.961469999999998</v>
      </c>
      <c r="J5718">
        <v>-416.02359999999999</v>
      </c>
      <c r="K5718">
        <v>1.118603</v>
      </c>
      <c r="L5718">
        <v>29.265350000000002</v>
      </c>
      <c r="M5718">
        <v>0.64831559999999999</v>
      </c>
      <c r="N5718">
        <v>-1.506712E-2</v>
      </c>
      <c r="O5718">
        <v>-0.76122279999999998</v>
      </c>
      <c r="P5718">
        <v>0.82103989999999905</v>
      </c>
      <c r="Q5718">
        <v>0.35877330000000002</v>
      </c>
      <c r="R5718">
        <v>-0.44404460000000001</v>
      </c>
      <c r="S5718">
        <v>3.0727540000000002</v>
      </c>
      <c r="T5718">
        <v>-0.3061992</v>
      </c>
      <c r="U5718">
        <v>-1.3234859999999999</v>
      </c>
      <c r="V5718">
        <v>-0.3441186</v>
      </c>
      <c r="W5718">
        <v>0.36540929999999999</v>
      </c>
      <c r="X5718">
        <v>0.86490370000000005</v>
      </c>
      <c r="Y5718">
        <v>-0.43930730000000001</v>
      </c>
      <c r="Z5718">
        <v>7.3986730000000001E-2</v>
      </c>
      <c r="AA5718">
        <v>0.89528490000000005</v>
      </c>
      <c r="AB5718">
        <v>24</v>
      </c>
      <c r="AC5718">
        <v>0.83929999999997995</v>
      </c>
      <c r="AD5718">
        <v>-9.2604000000000103E-2</v>
      </c>
      <c r="AE5718">
        <v>-0.30387999999999898</v>
      </c>
      <c r="AF5718">
        <v>-0.43722842445091897</v>
      </c>
      <c r="AG5718">
        <v>-9.2604000000000103E-2</v>
      </c>
      <c r="AH5718">
        <v>0.76728144622968897</v>
      </c>
      <c r="AI5718">
        <v>95.986204773277706</v>
      </c>
      <c r="AJ5718">
        <v>119.676263575086</v>
      </c>
      <c r="AK5718">
        <v>0.88795552461379201</v>
      </c>
      <c r="AL5718">
        <v>68.567225857831403</v>
      </c>
      <c r="AM5718">
        <v>111.696089046316</v>
      </c>
      <c r="AN5718">
        <v>0.99999998883306995</v>
      </c>
    </row>
    <row r="5719" spans="1:40" x14ac:dyDescent="0.25">
      <c r="A5719" t="str">
        <f>"20190304164240728"</f>
        <v>20190304164240728</v>
      </c>
      <c r="B5719" t="str">
        <f>"1551688960716827"</f>
        <v>1551688960716827</v>
      </c>
      <c r="C5719" t="s">
        <v>40</v>
      </c>
      <c r="D5719">
        <v>4.3585890000000003</v>
      </c>
      <c r="E5719">
        <v>0.46127079999999998</v>
      </c>
      <c r="F5719" t="s">
        <v>57</v>
      </c>
      <c r="G5719">
        <v>-404.70979999999997</v>
      </c>
      <c r="H5719" s="1">
        <v>-4.8138889999999997E-6</v>
      </c>
      <c r="I5719">
        <v>24.478770000000001</v>
      </c>
      <c r="J5719">
        <v>-415.94200000000001</v>
      </c>
      <c r="K5719">
        <v>1.118573</v>
      </c>
      <c r="L5719">
        <v>29.179290000000002</v>
      </c>
      <c r="M5719">
        <v>0.65276380000000001</v>
      </c>
      <c r="N5719">
        <v>-1.5061140000000001E-2</v>
      </c>
      <c r="O5719">
        <v>-0.75741199999999997</v>
      </c>
      <c r="P5719">
        <v>0.82289780000000001</v>
      </c>
      <c r="Q5719">
        <v>0.35930479999999998</v>
      </c>
      <c r="R5719">
        <v>-0.44015890000000002</v>
      </c>
      <c r="S5719">
        <v>3.0818789999999998</v>
      </c>
      <c r="T5719">
        <v>-0.30470839999999999</v>
      </c>
      <c r="U5719">
        <v>-1.3038639999999999</v>
      </c>
      <c r="V5719">
        <v>-0.34294059999999998</v>
      </c>
      <c r="W5719">
        <v>0.3659866</v>
      </c>
      <c r="X5719">
        <v>0.86512749999999905</v>
      </c>
      <c r="Y5719">
        <v>-0.43987890000000002</v>
      </c>
      <c r="Z5719">
        <v>7.3415060000000004E-2</v>
      </c>
      <c r="AA5719">
        <v>0.89505119999999905</v>
      </c>
      <c r="AB5719">
        <v>24</v>
      </c>
      <c r="AC5719">
        <v>11.232199999999899</v>
      </c>
      <c r="AD5719">
        <v>-1.1185778138889999</v>
      </c>
      <c r="AE5719">
        <v>-4.70052</v>
      </c>
      <c r="AF5719">
        <v>-5.3941657556368803</v>
      </c>
      <c r="AG5719">
        <v>-1.1185778138889999</v>
      </c>
      <c r="AH5719">
        <v>10.8022717250533</v>
      </c>
      <c r="AI5719">
        <v>95.292890654763596</v>
      </c>
      <c r="AJ5719">
        <v>116.535467712993</v>
      </c>
      <c r="AK5719">
        <v>12.125894397812299</v>
      </c>
      <c r="AL5719">
        <v>68.531688057327202</v>
      </c>
      <c r="AM5719">
        <v>111.623606876807</v>
      </c>
      <c r="AN5719">
        <v>1.0000000188820799</v>
      </c>
    </row>
    <row r="5720" spans="1:40" x14ac:dyDescent="0.25">
      <c r="A5720" t="str">
        <f>"20190304164240740"</f>
        <v>20190304164240740</v>
      </c>
      <c r="B5720" t="str">
        <f>"1551688960737324"</f>
        <v>1551688960737324</v>
      </c>
      <c r="C5720" t="s">
        <v>40</v>
      </c>
      <c r="D5720">
        <v>4.3551120000000001</v>
      </c>
      <c r="E5720">
        <v>0.4618081</v>
      </c>
      <c r="F5720" t="s">
        <v>41</v>
      </c>
      <c r="G5720">
        <v>-415.04289999999997</v>
      </c>
      <c r="H5720">
        <v>1.030057</v>
      </c>
      <c r="I5720">
        <v>28.803750000000001</v>
      </c>
      <c r="J5720">
        <v>-415.85590000000002</v>
      </c>
      <c r="K5720">
        <v>1.1185430000000001</v>
      </c>
      <c r="L5720">
        <v>29.089169999999999</v>
      </c>
      <c r="M5720">
        <v>0.65740790000000005</v>
      </c>
      <c r="N5720">
        <v>-1.505479E-2</v>
      </c>
      <c r="O5720">
        <v>-0.75338450000000001</v>
      </c>
      <c r="P5720">
        <v>0.82482330000000004</v>
      </c>
      <c r="Q5720">
        <v>0.36006159999999998</v>
      </c>
      <c r="R5720">
        <v>-0.43591540000000001</v>
      </c>
      <c r="S5720">
        <v>3.0886840000000002</v>
      </c>
      <c r="T5720">
        <v>-0.30399140000000002</v>
      </c>
      <c r="U5720">
        <v>-1.289398</v>
      </c>
      <c r="V5720">
        <v>-0.34180739999999998</v>
      </c>
      <c r="W5720">
        <v>0.36678840000000001</v>
      </c>
      <c r="X5720">
        <v>0.86523639999999902</v>
      </c>
      <c r="Y5720">
        <v>-0.43866379999999999</v>
      </c>
      <c r="Z5720">
        <v>7.2970179999999996E-2</v>
      </c>
      <c r="AA5720">
        <v>0.89568379999999903</v>
      </c>
      <c r="AB5720">
        <v>24</v>
      </c>
      <c r="AC5720">
        <v>0.81300000000004502</v>
      </c>
      <c r="AD5720">
        <v>-8.8485999999999995E-2</v>
      </c>
      <c r="AE5720">
        <v>-0.28542000000000201</v>
      </c>
      <c r="AF5720">
        <v>-0.42047799197534802</v>
      </c>
      <c r="AG5720">
        <v>-8.8485999999999995E-2</v>
      </c>
      <c r="AH5720">
        <v>0.74176584767827602</v>
      </c>
      <c r="AI5720">
        <v>95.924786074786397</v>
      </c>
      <c r="AJ5720">
        <v>119.547201595418</v>
      </c>
      <c r="AK5720">
        <v>0.85723280776781596</v>
      </c>
      <c r="AL5720">
        <v>68.482315232068999</v>
      </c>
      <c r="AM5720">
        <v>111.55625515685399</v>
      </c>
      <c r="AN5720">
        <v>1.00000002847713</v>
      </c>
    </row>
    <row r="5721" spans="1:40" x14ac:dyDescent="0.25">
      <c r="A5721" t="str">
        <f>"20190304164240752"</f>
        <v>20190304164240752</v>
      </c>
      <c r="B5721" t="str">
        <f>"1551688960747083"</f>
        <v>1551688960747083</v>
      </c>
      <c r="C5721" t="s">
        <v>40</v>
      </c>
      <c r="D5721">
        <v>4.3665149999999997</v>
      </c>
      <c r="E5721">
        <v>0.46212500000000001</v>
      </c>
      <c r="F5721" t="s">
        <v>57</v>
      </c>
      <c r="G5721">
        <v>-404.54520000000002</v>
      </c>
      <c r="H5721" s="1">
        <v>-4.8807209999999996E-6</v>
      </c>
      <c r="I5721">
        <v>24.423480000000001</v>
      </c>
      <c r="J5721">
        <v>-415.7679</v>
      </c>
      <c r="K5721">
        <v>1.1185050000000001</v>
      </c>
      <c r="L5721">
        <v>28.99869</v>
      </c>
      <c r="M5721">
        <v>0.66206039999999999</v>
      </c>
      <c r="N5721">
        <v>-1.504754E-2</v>
      </c>
      <c r="O5721">
        <v>-0.74929950000000001</v>
      </c>
      <c r="P5721">
        <v>0.82672800000000002</v>
      </c>
      <c r="Q5721">
        <v>0.36078919999999998</v>
      </c>
      <c r="R5721">
        <v>-0.43168509999999999</v>
      </c>
      <c r="S5721">
        <v>3.095917</v>
      </c>
      <c r="T5721">
        <v>-0.30616300000000002</v>
      </c>
      <c r="U5721">
        <v>-1.277069</v>
      </c>
      <c r="V5721">
        <v>-0.34061829999999998</v>
      </c>
      <c r="W5721">
        <v>0.3675641</v>
      </c>
      <c r="X5721">
        <v>0.86537609999999998</v>
      </c>
      <c r="Y5721">
        <v>-0.43685750000000001</v>
      </c>
      <c r="Z5721">
        <v>7.3239029999999997E-2</v>
      </c>
      <c r="AA5721">
        <v>0.89654419999999901</v>
      </c>
      <c r="AB5721">
        <v>24</v>
      </c>
      <c r="AC5721">
        <v>11.2226999999999</v>
      </c>
      <c r="AD5721">
        <v>-1.1185098807210001</v>
      </c>
      <c r="AE5721">
        <v>-4.5752100000000002</v>
      </c>
      <c r="AF5721">
        <v>-5.3352638204747604</v>
      </c>
      <c r="AG5721">
        <v>-1.1185098807210001</v>
      </c>
      <c r="AH5721">
        <v>10.7678215862908</v>
      </c>
      <c r="AI5721">
        <v>95.317565409938396</v>
      </c>
      <c r="AJ5721">
        <v>116.357596025641</v>
      </c>
      <c r="AK5721">
        <v>12.0690548967815</v>
      </c>
      <c r="AL5721">
        <v>68.434532624080802</v>
      </c>
      <c r="AM5721">
        <v>111.4849581691</v>
      </c>
      <c r="AN5721">
        <v>0.999999994177455</v>
      </c>
    </row>
    <row r="5722" spans="1:40" x14ac:dyDescent="0.25">
      <c r="A5722" t="str">
        <f>"20190304164240764"</f>
        <v>20190304164240764</v>
      </c>
      <c r="B5722" t="str">
        <f>"1551688960756842"</f>
        <v>1551688960756842</v>
      </c>
      <c r="C5722" t="s">
        <v>40</v>
      </c>
      <c r="D5722">
        <v>4.3570979999999997</v>
      </c>
      <c r="E5722">
        <v>0.46249010000000002</v>
      </c>
      <c r="F5722" t="s">
        <v>41</v>
      </c>
      <c r="G5722">
        <v>-414.84640000000002</v>
      </c>
      <c r="H5722">
        <v>1.0276259999999999</v>
      </c>
      <c r="I5722">
        <v>28.623640000000002</v>
      </c>
      <c r="J5722">
        <v>-415.67720000000003</v>
      </c>
      <c r="K5722">
        <v>1.118463</v>
      </c>
      <c r="L5722">
        <v>28.906009999999998</v>
      </c>
      <c r="M5722">
        <v>0.66680209999999995</v>
      </c>
      <c r="N5722">
        <v>-1.503994E-2</v>
      </c>
      <c r="O5722">
        <v>-0.7450833</v>
      </c>
      <c r="P5722">
        <v>0.82872069999999998</v>
      </c>
      <c r="Q5722">
        <v>0.3611355</v>
      </c>
      <c r="R5722">
        <v>-0.42755530000000003</v>
      </c>
      <c r="S5722">
        <v>3.1030579999999999</v>
      </c>
      <c r="T5722">
        <v>-0.3059924</v>
      </c>
      <c r="U5722">
        <v>-1.2626649999999999</v>
      </c>
      <c r="V5722">
        <v>-0.33929419999999999</v>
      </c>
      <c r="W5722">
        <v>0.36796669999999998</v>
      </c>
      <c r="X5722">
        <v>0.86572510000000003</v>
      </c>
      <c r="Y5722">
        <v>-0.4354652</v>
      </c>
      <c r="Z5722">
        <v>7.2908269999999997E-2</v>
      </c>
      <c r="AA5722">
        <v>0.8972483</v>
      </c>
      <c r="AB5722">
        <v>24</v>
      </c>
      <c r="AC5722">
        <v>0.83080000000000997</v>
      </c>
      <c r="AD5722">
        <v>-9.0837000000000001E-2</v>
      </c>
      <c r="AE5722">
        <v>-0.28236999999999601</v>
      </c>
      <c r="AF5722">
        <v>-0.426211409446072</v>
      </c>
      <c r="AG5722">
        <v>-9.0837000000000001E-2</v>
      </c>
      <c r="AH5722">
        <v>0.75634919789417099</v>
      </c>
      <c r="AI5722">
        <v>95.973143795728106</v>
      </c>
      <c r="AJ5722">
        <v>119.401755894291</v>
      </c>
      <c r="AK5722">
        <v>0.87290986663352799</v>
      </c>
      <c r="AL5722">
        <v>68.409727002772001</v>
      </c>
      <c r="AM5722">
        <v>111.401161370305</v>
      </c>
      <c r="AN5722">
        <v>0.99999999761627001</v>
      </c>
    </row>
    <row r="5723" spans="1:40" x14ac:dyDescent="0.25">
      <c r="A5723" t="str">
        <f>"20190304164240775"</f>
        <v>20190304164240775</v>
      </c>
      <c r="B5723" t="str">
        <f>"1551688960766603"</f>
        <v>1551688960766603</v>
      </c>
      <c r="C5723" t="s">
        <v>40</v>
      </c>
      <c r="D5723">
        <v>4.3473319999999998</v>
      </c>
      <c r="E5723">
        <v>0.46285130000000002</v>
      </c>
      <c r="F5723" t="s">
        <v>41</v>
      </c>
      <c r="G5723">
        <v>-414.7346</v>
      </c>
      <c r="H5723">
        <v>1.0254920000000001</v>
      </c>
      <c r="I5723">
        <v>28.527349999999998</v>
      </c>
      <c r="J5723">
        <v>-415.58800000000002</v>
      </c>
      <c r="K5723">
        <v>1.1184179999999999</v>
      </c>
      <c r="L5723">
        <v>28.816379999999999</v>
      </c>
      <c r="M5723">
        <v>0.67137080000000005</v>
      </c>
      <c r="N5723">
        <v>-1.503109E-2</v>
      </c>
      <c r="O5723">
        <v>-0.7409694</v>
      </c>
      <c r="P5723">
        <v>0.83082180000000005</v>
      </c>
      <c r="Q5723">
        <v>0.36103020000000002</v>
      </c>
      <c r="R5723">
        <v>-0.42354779999999997</v>
      </c>
      <c r="S5723">
        <v>3.1097109999999999</v>
      </c>
      <c r="T5723">
        <v>-0.30663179999999901</v>
      </c>
      <c r="U5723">
        <v>-1.248108</v>
      </c>
      <c r="V5723">
        <v>-0.33813710000000002</v>
      </c>
      <c r="W5723">
        <v>0.36791839999999998</v>
      </c>
      <c r="X5723">
        <v>0.86619820000000003</v>
      </c>
      <c r="Y5723">
        <v>-0.43421480000000001</v>
      </c>
      <c r="Z5723">
        <v>7.2812589999999996E-2</v>
      </c>
      <c r="AA5723">
        <v>0.89786180000000004</v>
      </c>
      <c r="AB5723">
        <v>24</v>
      </c>
      <c r="AC5723">
        <v>0.85340000000002103</v>
      </c>
      <c r="AD5723">
        <v>-9.2925999999999995E-2</v>
      </c>
      <c r="AE5723">
        <v>-0.28903000000000001</v>
      </c>
      <c r="AF5723">
        <v>-0.43373291744888098</v>
      </c>
      <c r="AG5723">
        <v>-9.2925999999999995E-2</v>
      </c>
      <c r="AH5723">
        <v>0.77891390449245501</v>
      </c>
      <c r="AI5723">
        <v>95.950549065222305</v>
      </c>
      <c r="AJ5723">
        <v>119.110950088918</v>
      </c>
      <c r="AK5723">
        <v>0.89636284827429102</v>
      </c>
      <c r="AL5723">
        <v>68.412702875776901</v>
      </c>
      <c r="AM5723">
        <v>111.324142323743</v>
      </c>
      <c r="AN5723">
        <v>0.99999998456910399</v>
      </c>
    </row>
    <row r="5724" spans="1:40" x14ac:dyDescent="0.25">
      <c r="A5724" t="str">
        <f>"20190304164240788"</f>
        <v>20190304164240788</v>
      </c>
      <c r="B5724" t="str">
        <f>"1551688960777339"</f>
        <v>1551688960777339</v>
      </c>
      <c r="C5724" t="s">
        <v>40</v>
      </c>
      <c r="D5724">
        <v>4.3666369999999999</v>
      </c>
      <c r="E5724">
        <v>0.46317209999999998</v>
      </c>
      <c r="F5724" t="s">
        <v>57</v>
      </c>
      <c r="G5724">
        <v>-404.3</v>
      </c>
      <c r="H5724" s="1">
        <v>-4.981353E-6</v>
      </c>
      <c r="I5724">
        <v>24.347359999999998</v>
      </c>
      <c r="J5724">
        <v>-415.50450000000001</v>
      </c>
      <c r="K5724">
        <v>1.118371</v>
      </c>
      <c r="L5724">
        <v>28.7334</v>
      </c>
      <c r="M5724">
        <v>0.67558229999999997</v>
      </c>
      <c r="N5724">
        <v>-1.502217E-2</v>
      </c>
      <c r="O5724">
        <v>-0.7371316</v>
      </c>
      <c r="P5724">
        <v>0.83258330000000003</v>
      </c>
      <c r="Q5724">
        <v>0.36105890000000002</v>
      </c>
      <c r="R5724">
        <v>-0.42004930000000001</v>
      </c>
      <c r="S5724">
        <v>3.1161189999999999</v>
      </c>
      <c r="T5724">
        <v>-0.30874849999999998</v>
      </c>
      <c r="U5724">
        <v>-1.2337039999999999</v>
      </c>
      <c r="V5724">
        <v>-0.33678780000000003</v>
      </c>
      <c r="W5724">
        <v>0.36800709999999998</v>
      </c>
      <c r="X5724">
        <v>0.86668599999999996</v>
      </c>
      <c r="Y5724">
        <v>-0.43326789999999998</v>
      </c>
      <c r="Z5724">
        <v>7.3132160000000002E-2</v>
      </c>
      <c r="AA5724">
        <v>0.89829319999999901</v>
      </c>
      <c r="AB5724">
        <v>24</v>
      </c>
      <c r="AC5724">
        <v>11.2044999999999</v>
      </c>
      <c r="AD5724">
        <v>-1.1183759813529901</v>
      </c>
      <c r="AE5724">
        <v>-4.3860399999999897</v>
      </c>
      <c r="AF5724">
        <v>-5.2512905610990197</v>
      </c>
      <c r="AG5724">
        <v>-1.1183759813529901</v>
      </c>
      <c r="AH5724">
        <v>10.711331954577901</v>
      </c>
      <c r="AI5724">
        <v>95.355835495616304</v>
      </c>
      <c r="AJ5724">
        <v>116.116662562375</v>
      </c>
      <c r="AK5724">
        <v>11.981629673542599</v>
      </c>
      <c r="AL5724">
        <v>68.407236157830198</v>
      </c>
      <c r="AM5724">
        <v>111.23575997896801</v>
      </c>
      <c r="AN5724">
        <v>0.99999993523762298</v>
      </c>
    </row>
    <row r="5725" spans="1:40" x14ac:dyDescent="0.25">
      <c r="A5725" t="str">
        <f>"20190304164240798"</f>
        <v>20190304164240798</v>
      </c>
      <c r="B5725" t="str">
        <f>"1551688960787099"</f>
        <v>1551688960787099</v>
      </c>
      <c r="C5725" t="s">
        <v>40</v>
      </c>
      <c r="D5725">
        <v>4.3789210000000001</v>
      </c>
      <c r="E5725">
        <v>0.46346169999999998</v>
      </c>
      <c r="F5725" t="s">
        <v>41</v>
      </c>
      <c r="G5725">
        <v>-414.58429999999998</v>
      </c>
      <c r="H5725">
        <v>1.0270360000000001</v>
      </c>
      <c r="I5725">
        <v>28.373439999999999</v>
      </c>
      <c r="J5725">
        <v>-415.4151</v>
      </c>
      <c r="K5725">
        <v>1.118317</v>
      </c>
      <c r="L5725">
        <v>28.64526</v>
      </c>
      <c r="M5725">
        <v>0.68003480000000005</v>
      </c>
      <c r="N5725">
        <v>-1.501194E-2</v>
      </c>
      <c r="O5725">
        <v>-0.73302630000000002</v>
      </c>
      <c r="P5725">
        <v>0.83470089999999997</v>
      </c>
      <c r="Q5725">
        <v>0.36029709999999998</v>
      </c>
      <c r="R5725">
        <v>-0.41648570000000001</v>
      </c>
      <c r="S5725">
        <v>3.1214900000000001</v>
      </c>
      <c r="T5725">
        <v>-0.30981140000000001</v>
      </c>
      <c r="U5725">
        <v>-1.2211299999999901</v>
      </c>
      <c r="V5725">
        <v>-0.33541670000000001</v>
      </c>
      <c r="W5725">
        <v>0.3673131</v>
      </c>
      <c r="X5725">
        <v>0.86751180000000006</v>
      </c>
      <c r="Y5725">
        <v>-0.4314655</v>
      </c>
      <c r="Z5725">
        <v>7.3125049999999997E-2</v>
      </c>
      <c r="AA5725">
        <v>0.89916090000000004</v>
      </c>
      <c r="AB5725">
        <v>24</v>
      </c>
      <c r="AC5725">
        <v>0.83080000000000997</v>
      </c>
      <c r="AD5725">
        <v>-9.1280999999999904E-2</v>
      </c>
      <c r="AE5725">
        <v>-0.27181999999999401</v>
      </c>
      <c r="AF5725">
        <v>-0.41962319640818901</v>
      </c>
      <c r="AG5725">
        <v>-9.1280999999999904E-2</v>
      </c>
      <c r="AH5725">
        <v>0.75606570329464795</v>
      </c>
      <c r="AI5725">
        <v>96.025989465863304</v>
      </c>
      <c r="AJ5725">
        <v>119.030664651536</v>
      </c>
      <c r="AK5725">
        <v>0.869512044553297</v>
      </c>
      <c r="AL5725">
        <v>68.449995652246201</v>
      </c>
      <c r="AM5725">
        <v>111.13860696497299</v>
      </c>
      <c r="AN5725">
        <v>0.99999999960486996</v>
      </c>
    </row>
    <row r="5726" spans="1:40" x14ac:dyDescent="0.25">
      <c r="A5726" t="str">
        <f>"20190304164240817"</f>
        <v>20190304164240817</v>
      </c>
      <c r="B5726" t="str">
        <f>"1551688960806619"</f>
        <v>1551688960806619</v>
      </c>
      <c r="C5726" t="s">
        <v>40</v>
      </c>
      <c r="D5726">
        <v>4.3559830000000002</v>
      </c>
      <c r="E5726">
        <v>0.46402470000000001</v>
      </c>
      <c r="F5726" t="s">
        <v>57</v>
      </c>
      <c r="G5726">
        <v>-404.2518</v>
      </c>
      <c r="H5726" s="1">
        <v>-5.0015819999999996E-6</v>
      </c>
      <c r="I5726">
        <v>24.334710000000001</v>
      </c>
      <c r="J5726">
        <v>-415.28460000000001</v>
      </c>
      <c r="K5726">
        <v>1.118234</v>
      </c>
      <c r="L5726">
        <v>28.518889999999999</v>
      </c>
      <c r="M5726">
        <v>0.68637780000000004</v>
      </c>
      <c r="N5726">
        <v>-1.499548E-2</v>
      </c>
      <c r="O5726">
        <v>-0.72709069999999998</v>
      </c>
      <c r="P5726">
        <v>0.837565</v>
      </c>
      <c r="Q5726">
        <v>0.35931340000000001</v>
      </c>
      <c r="R5726">
        <v>-0.41155700000000001</v>
      </c>
      <c r="S5726">
        <v>3.126862</v>
      </c>
      <c r="T5726">
        <v>-0.31324479999999999</v>
      </c>
      <c r="U5726">
        <v>-1.2073969999999901</v>
      </c>
      <c r="V5726">
        <v>-0.3331981</v>
      </c>
      <c r="W5726">
        <v>0.36643559999999997</v>
      </c>
      <c r="X5726">
        <v>0.86873699999999998</v>
      </c>
      <c r="Y5726">
        <v>-0.4275294</v>
      </c>
      <c r="Z5726">
        <v>7.3557960000000006E-2</v>
      </c>
      <c r="AA5726">
        <v>0.90100380000000002</v>
      </c>
      <c r="AB5726">
        <v>24</v>
      </c>
      <c r="AC5726">
        <v>11.0328</v>
      </c>
      <c r="AD5726">
        <v>-1.1182390015819901</v>
      </c>
      <c r="AE5726">
        <v>-4.1841799999999996</v>
      </c>
      <c r="AF5726">
        <v>-5.1046504278987497</v>
      </c>
      <c r="AG5726">
        <v>-1.1182390015819901</v>
      </c>
      <c r="AH5726">
        <v>10.521642372590501</v>
      </c>
      <c r="AI5726">
        <v>95.462047552186604</v>
      </c>
      <c r="AJ5726">
        <v>115.880675930447</v>
      </c>
      <c r="AK5726">
        <v>11.7478880090167</v>
      </c>
      <c r="AL5726">
        <v>68.504041261481007</v>
      </c>
      <c r="AM5726">
        <v>110.983972642672</v>
      </c>
      <c r="AN5726">
        <v>0.99999999897998404</v>
      </c>
    </row>
    <row r="5727" spans="1:40" x14ac:dyDescent="0.25">
      <c r="A5727" t="str">
        <f>"20190304164240831"</f>
        <v>20190304164240831</v>
      </c>
      <c r="B5727" t="str">
        <f>"1551688960827115"</f>
        <v>1551688960827115</v>
      </c>
      <c r="C5727" t="s">
        <v>40</v>
      </c>
      <c r="D5727">
        <v>4.3614569999999997</v>
      </c>
      <c r="E5727">
        <v>0.46470529999999999</v>
      </c>
      <c r="F5727" t="s">
        <v>57</v>
      </c>
      <c r="G5727">
        <v>-404.31259999999997</v>
      </c>
      <c r="H5727" s="1">
        <v>-4.9760920000000003E-6</v>
      </c>
      <c r="I5727">
        <v>24.350560000000002</v>
      </c>
      <c r="J5727">
        <v>-415.17410000000001</v>
      </c>
      <c r="K5727">
        <v>1.118161</v>
      </c>
      <c r="L5727">
        <v>28.413360000000001</v>
      </c>
      <c r="M5727">
        <v>0.69163390000000002</v>
      </c>
      <c r="N5727">
        <v>-1.4980729999999999E-2</v>
      </c>
      <c r="O5727">
        <v>-0.72209290000000004</v>
      </c>
      <c r="P5727">
        <v>0.84010599999999902</v>
      </c>
      <c r="Q5727">
        <v>0.3587958</v>
      </c>
      <c r="R5727">
        <v>-0.40680110000000003</v>
      </c>
      <c r="S5727">
        <v>3.1338200000000001</v>
      </c>
      <c r="T5727">
        <v>-0.31938919999999998</v>
      </c>
      <c r="U5727">
        <v>-1.1905520000000001</v>
      </c>
      <c r="V5727">
        <v>-0.33190039999999998</v>
      </c>
      <c r="W5727">
        <v>0.36599500000000001</v>
      </c>
      <c r="X5727">
        <v>0.86941919999999995</v>
      </c>
      <c r="Y5727">
        <v>-0.42574210000000001</v>
      </c>
      <c r="Z5727">
        <v>7.4809219999999996E-2</v>
      </c>
      <c r="AA5727">
        <v>0.90174679999999996</v>
      </c>
      <c r="AB5727">
        <v>24</v>
      </c>
      <c r="AC5727">
        <v>10.861499999999999</v>
      </c>
      <c r="AD5727">
        <v>-1.118165976092</v>
      </c>
      <c r="AE5727">
        <v>-4.0627999999999904</v>
      </c>
      <c r="AF5727">
        <v>-4.9872384600483102</v>
      </c>
      <c r="AG5727">
        <v>-1.118165976092</v>
      </c>
      <c r="AH5727">
        <v>10.3508373730659</v>
      </c>
      <c r="AI5727">
        <v>95.558480581543904</v>
      </c>
      <c r="AJ5727">
        <v>115.725688191461</v>
      </c>
      <c r="AK5727">
        <v>11.5439454663964</v>
      </c>
      <c r="AL5727">
        <v>68.531170024696806</v>
      </c>
      <c r="AM5727">
        <v>110.894334108138</v>
      </c>
      <c r="AN5727">
        <v>0.99999998043689897</v>
      </c>
    </row>
    <row r="5728" spans="1:40" x14ac:dyDescent="0.25">
      <c r="A5728" t="str">
        <f>"20190304164240843"</f>
        <v>20190304164240843</v>
      </c>
      <c r="B5728" t="str">
        <f>"1551688960836876"</f>
        <v>1551688960836876</v>
      </c>
      <c r="C5728" t="s">
        <v>40</v>
      </c>
      <c r="D5728">
        <v>4.3689960000000001</v>
      </c>
      <c r="E5728">
        <v>0.46501779999999998</v>
      </c>
      <c r="F5728" t="s">
        <v>41</v>
      </c>
      <c r="G5728">
        <v>-414.2002</v>
      </c>
      <c r="H5728">
        <v>1.0175240000000001</v>
      </c>
      <c r="I5728">
        <v>28.04824</v>
      </c>
      <c r="J5728">
        <v>-415.07819999999998</v>
      </c>
      <c r="K5728">
        <v>1.1181019999999999</v>
      </c>
      <c r="L5728">
        <v>28.32272</v>
      </c>
      <c r="M5728">
        <v>0.69611659999999997</v>
      </c>
      <c r="N5728">
        <v>-1.496781E-2</v>
      </c>
      <c r="O5728">
        <v>-0.71777279999999999</v>
      </c>
      <c r="P5728">
        <v>0.84212739999999997</v>
      </c>
      <c r="Q5728">
        <v>0.35862769999999999</v>
      </c>
      <c r="R5728">
        <v>-0.40275030000000001</v>
      </c>
      <c r="S5728">
        <v>3.1395569999999999</v>
      </c>
      <c r="T5728">
        <v>-0.32441940000000002</v>
      </c>
      <c r="U5728">
        <v>-1.177063</v>
      </c>
      <c r="V5728">
        <v>-0.330657599999999</v>
      </c>
      <c r="W5728">
        <v>0.36589660000000002</v>
      </c>
      <c r="X5728">
        <v>0.86993410000000004</v>
      </c>
      <c r="Y5728">
        <v>-0.4239445</v>
      </c>
      <c r="Z5728">
        <v>7.5785610000000003E-2</v>
      </c>
      <c r="AA5728">
        <v>0.90251179999999998</v>
      </c>
      <c r="AB5728">
        <v>24</v>
      </c>
      <c r="AC5728">
        <v>0.87799999999998501</v>
      </c>
      <c r="AD5728">
        <v>-0.100578</v>
      </c>
      <c r="AE5728">
        <v>-0.274479999999996</v>
      </c>
      <c r="AF5728">
        <v>-0.43399552509497002</v>
      </c>
      <c r="AG5728">
        <v>-0.100578</v>
      </c>
      <c r="AH5728">
        <v>0.79874675169078202</v>
      </c>
      <c r="AI5728">
        <v>96.313659673954504</v>
      </c>
      <c r="AJ5728">
        <v>118.517250082682</v>
      </c>
      <c r="AK5728">
        <v>0.914584289840491</v>
      </c>
      <c r="AL5728">
        <v>68.537229808597502</v>
      </c>
      <c r="AM5728">
        <v>110.81154705324199</v>
      </c>
      <c r="AN5728">
        <v>1.0000000543360601</v>
      </c>
    </row>
    <row r="5729" spans="1:40" x14ac:dyDescent="0.25">
      <c r="A5729" t="str">
        <f>"20190304164240854"</f>
        <v>20190304164240854</v>
      </c>
      <c r="B5729" t="str">
        <f>"1551688960846636"</f>
        <v>1551688960846636</v>
      </c>
      <c r="C5729" t="s">
        <v>40</v>
      </c>
      <c r="D5729">
        <v>4.3646729999999998</v>
      </c>
      <c r="E5729">
        <v>0.46501779999999998</v>
      </c>
      <c r="F5729" t="s">
        <v>41</v>
      </c>
      <c r="G5729">
        <v>-414.11900000000003</v>
      </c>
      <c r="H5729">
        <v>1.018713</v>
      </c>
      <c r="I5729">
        <v>27.967680000000001</v>
      </c>
      <c r="J5729">
        <v>-414.99059999999997</v>
      </c>
      <c r="K5729">
        <v>1.1180380000000001</v>
      </c>
      <c r="L5729">
        <v>28.241240000000001</v>
      </c>
      <c r="M5729">
        <v>0.70011420000000002</v>
      </c>
      <c r="N5729">
        <v>-1.4954780000000001E-2</v>
      </c>
      <c r="O5729">
        <v>-0.71387429999999996</v>
      </c>
      <c r="P5729">
        <v>0.84374879999999997</v>
      </c>
      <c r="Q5729">
        <v>0.35860979999999998</v>
      </c>
      <c r="R5729">
        <v>-0.3993584</v>
      </c>
      <c r="S5729">
        <v>3.144714</v>
      </c>
      <c r="T5729">
        <v>-0.32578000000000001</v>
      </c>
      <c r="U5729">
        <v>-1.163483</v>
      </c>
      <c r="V5729">
        <v>-0.32924209999999998</v>
      </c>
      <c r="W5729">
        <v>0.3659481</v>
      </c>
      <c r="X5729">
        <v>0.87044909999999998</v>
      </c>
      <c r="Y5729">
        <v>-0.42278080000000001</v>
      </c>
      <c r="Z5729">
        <v>7.5869969999999995E-2</v>
      </c>
      <c r="AA5729">
        <v>0.90305049999999998</v>
      </c>
      <c r="AB5729">
        <v>24</v>
      </c>
      <c r="AC5729">
        <v>0.87159999999994398</v>
      </c>
      <c r="AD5729">
        <v>-9.9324999999999802E-2</v>
      </c>
      <c r="AE5729">
        <v>-0.27356000000000302</v>
      </c>
      <c r="AF5729">
        <v>-0.42570520180078097</v>
      </c>
      <c r="AG5729">
        <v>-9.9324999999999802E-2</v>
      </c>
      <c r="AH5729">
        <v>0.79618480771768096</v>
      </c>
      <c r="AI5729">
        <v>96.278030856193993</v>
      </c>
      <c r="AJ5729">
        <v>118.132586749415</v>
      </c>
      <c r="AK5729">
        <v>0.90829544890728398</v>
      </c>
      <c r="AL5729">
        <v>68.534058044184206</v>
      </c>
      <c r="AM5729">
        <v>110.718820667649</v>
      </c>
      <c r="AN5729">
        <v>1.00000000399841</v>
      </c>
    </row>
    <row r="5730" spans="1:40" x14ac:dyDescent="0.25">
      <c r="A5730" t="str">
        <f>"20190304164240866"</f>
        <v>20190304164240866</v>
      </c>
      <c r="B5730" t="str">
        <f>"1551688960857371"</f>
        <v>1551688960857371</v>
      </c>
      <c r="C5730" t="s">
        <v>40</v>
      </c>
      <c r="D5730">
        <v>4.3355779999999999</v>
      </c>
      <c r="E5730">
        <v>0.47183359999999902</v>
      </c>
      <c r="F5730" t="s">
        <v>57</v>
      </c>
      <c r="G5730">
        <v>-404.17750000000001</v>
      </c>
      <c r="H5730" s="1">
        <v>-5.0288370000000004E-6</v>
      </c>
      <c r="I5730">
        <v>24.293279999999999</v>
      </c>
      <c r="J5730">
        <v>-414.90460000000002</v>
      </c>
      <c r="K5730">
        <v>1.1179749999999999</v>
      </c>
      <c r="L5730">
        <v>28.161799999999999</v>
      </c>
      <c r="M5730">
        <v>0.70398819999999995</v>
      </c>
      <c r="N5730">
        <v>-1.494202E-2</v>
      </c>
      <c r="O5730">
        <v>-0.71005459999999998</v>
      </c>
      <c r="P5730">
        <v>0.84527949999999996</v>
      </c>
      <c r="Q5730">
        <v>0.35867189999999999</v>
      </c>
      <c r="R5730">
        <v>-0.39605220000000002</v>
      </c>
      <c r="S5730">
        <v>3.1496580000000001</v>
      </c>
      <c r="T5730">
        <v>-0.32566420000000001</v>
      </c>
      <c r="U5730">
        <v>-1.1499629999999901</v>
      </c>
      <c r="V5730">
        <v>-0.32783319999999999</v>
      </c>
      <c r="W5730">
        <v>0.36607849999999997</v>
      </c>
      <c r="X5730">
        <v>0.87092599999999998</v>
      </c>
      <c r="Y5730">
        <v>-0.42174699999999998</v>
      </c>
      <c r="Z5730">
        <v>7.5584860000000004E-2</v>
      </c>
      <c r="AA5730">
        <v>0.90355770000000002</v>
      </c>
      <c r="AB5730">
        <v>24</v>
      </c>
      <c r="AC5730">
        <v>10.7271</v>
      </c>
      <c r="AD5730">
        <v>-1.1179800288370001</v>
      </c>
      <c r="AE5730">
        <v>-3.86851999999999</v>
      </c>
      <c r="AF5730">
        <v>-4.8473881151861198</v>
      </c>
      <c r="AG5730">
        <v>-1.1179800288370001</v>
      </c>
      <c r="AH5730">
        <v>10.201704538341399</v>
      </c>
      <c r="AI5730">
        <v>95.652840687563994</v>
      </c>
      <c r="AJ5730">
        <v>115.414950795967</v>
      </c>
      <c r="AK5730">
        <v>11.3499703247076</v>
      </c>
      <c r="AL5730">
        <v>68.526031431813294</v>
      </c>
      <c r="AM5730">
        <v>110.62729714275601</v>
      </c>
      <c r="AN5730">
        <v>1.0000000863302401</v>
      </c>
    </row>
    <row r="5731" spans="1:40" x14ac:dyDescent="0.25">
      <c r="A5731" t="str">
        <f>"20190304164240878"</f>
        <v>20190304164240878</v>
      </c>
      <c r="B5731" t="str">
        <f>"1551688960867131"</f>
        <v>1551688960867131</v>
      </c>
      <c r="C5731" t="s">
        <v>40</v>
      </c>
      <c r="D5731">
        <v>4.3593359999999999</v>
      </c>
      <c r="E5731">
        <v>0.47225869999999998</v>
      </c>
      <c r="F5731" t="s">
        <v>57</v>
      </c>
      <c r="G5731">
        <v>-404.95800000000003</v>
      </c>
      <c r="H5731" s="1">
        <v>-4.6833889999999998E-6</v>
      </c>
      <c r="I5731">
        <v>24.395230000000002</v>
      </c>
      <c r="J5731">
        <v>-414.80239999999998</v>
      </c>
      <c r="K5731">
        <v>1.117893</v>
      </c>
      <c r="L5731">
        <v>28.068480000000001</v>
      </c>
      <c r="M5731">
        <v>0.70850639999999998</v>
      </c>
      <c r="N5731">
        <v>-1.4926200000000001E-2</v>
      </c>
      <c r="O5731">
        <v>-0.70554640000000002</v>
      </c>
      <c r="P5731">
        <v>0.84743740000000001</v>
      </c>
      <c r="Q5731">
        <v>0.35815330000000001</v>
      </c>
      <c r="R5731">
        <v>-0.39188790000000001</v>
      </c>
      <c r="S5731">
        <v>3.1415410000000001</v>
      </c>
      <c r="T5731">
        <v>-0.353103</v>
      </c>
      <c r="U5731">
        <v>-1.1896359999999999</v>
      </c>
      <c r="V5731">
        <v>-0.32663229999999999</v>
      </c>
      <c r="W5731">
        <v>0.36563289999999998</v>
      </c>
      <c r="X5731">
        <v>0.87156409999999995</v>
      </c>
      <c r="Y5731">
        <v>-0.40451300000000001</v>
      </c>
      <c r="Z5731">
        <v>8.1320149999999994E-2</v>
      </c>
      <c r="AA5731">
        <v>0.91090959999999999</v>
      </c>
      <c r="AB5731">
        <v>24</v>
      </c>
      <c r="AC5731">
        <v>9.8443999999999399</v>
      </c>
      <c r="AD5731">
        <v>-1.117897683389</v>
      </c>
      <c r="AE5731">
        <v>-3.6732499999999999</v>
      </c>
      <c r="AF5731">
        <v>-4.2950278510285704</v>
      </c>
      <c r="AG5731">
        <v>-1.117897683389</v>
      </c>
      <c r="AH5731">
        <v>9.4604506933052495</v>
      </c>
      <c r="AI5731">
        <v>96.141168788203203</v>
      </c>
      <c r="AJ5731">
        <v>114.417964450303</v>
      </c>
      <c r="AK5731">
        <v>10.4497409916273</v>
      </c>
      <c r="AL5731">
        <v>68.553463009181698</v>
      </c>
      <c r="AM5731">
        <v>110.54427324399801</v>
      </c>
      <c r="AN5731">
        <v>1.0000000286872499</v>
      </c>
    </row>
    <row r="5732" spans="1:40" x14ac:dyDescent="0.25">
      <c r="A5732" t="str">
        <f>"20190304164240895"</f>
        <v>20190304164240895</v>
      </c>
      <c r="B5732" t="str">
        <f>"1551688960886651"</f>
        <v>1551688960886651</v>
      </c>
      <c r="C5732" t="s">
        <v>40</v>
      </c>
      <c r="D5732">
        <v>4.3757529999999996</v>
      </c>
      <c r="E5732">
        <v>0.47250150000000002</v>
      </c>
      <c r="F5732" t="s">
        <v>57</v>
      </c>
      <c r="G5732">
        <v>-404.8759</v>
      </c>
      <c r="H5732" s="1">
        <v>-4.7147059999999997E-6</v>
      </c>
      <c r="I5732">
        <v>24.356190000000002</v>
      </c>
      <c r="J5732">
        <v>-414.67439999999999</v>
      </c>
      <c r="K5732">
        <v>1.1177889999999999</v>
      </c>
      <c r="L5732">
        <v>27.953340000000001</v>
      </c>
      <c r="M5732">
        <v>0.71402259999999995</v>
      </c>
      <c r="N5732">
        <v>-1.490561E-2</v>
      </c>
      <c r="O5732">
        <v>-0.69996389999999997</v>
      </c>
      <c r="P5732">
        <v>0.84968199999999905</v>
      </c>
      <c r="Q5732">
        <v>0.35760530000000001</v>
      </c>
      <c r="R5732">
        <v>-0.38750370000000001</v>
      </c>
      <c r="S5732">
        <v>3.1457820000000001</v>
      </c>
      <c r="T5732">
        <v>-0.35426960000000002</v>
      </c>
      <c r="U5732">
        <v>-1.176453</v>
      </c>
      <c r="V5732">
        <v>-0.32434930000000001</v>
      </c>
      <c r="W5732">
        <v>0.3651935</v>
      </c>
      <c r="X5732">
        <v>0.8726003</v>
      </c>
      <c r="Y5732">
        <v>-0.40108969999999999</v>
      </c>
      <c r="Z5732">
        <v>8.1113610000000003E-2</v>
      </c>
      <c r="AA5732">
        <v>0.91244049999999999</v>
      </c>
      <c r="AB5732">
        <v>24</v>
      </c>
      <c r="AC5732">
        <v>9.79849999999999</v>
      </c>
      <c r="AD5732">
        <v>-1.117793714706</v>
      </c>
      <c r="AE5732">
        <v>-3.5971500000000001</v>
      </c>
      <c r="AF5732">
        <v>-4.2419788194269197</v>
      </c>
      <c r="AG5732">
        <v>-1.117793714706</v>
      </c>
      <c r="AH5732">
        <v>9.4073970779945597</v>
      </c>
      <c r="AI5732">
        <v>96.182054363008007</v>
      </c>
      <c r="AJ5732">
        <v>114.271542021662</v>
      </c>
      <c r="AK5732">
        <v>10.379930966830299</v>
      </c>
      <c r="AL5732">
        <v>68.580508992253996</v>
      </c>
      <c r="AM5732">
        <v>110.390317725919</v>
      </c>
      <c r="AN5732">
        <v>1.00000002220641</v>
      </c>
    </row>
    <row r="5733" spans="1:40" x14ac:dyDescent="0.25">
      <c r="A5733" t="str">
        <f>"20190304164240909"</f>
        <v>20190304164240909</v>
      </c>
      <c r="B5733" t="str">
        <f>"1551688960897386"</f>
        <v>1551688960897386</v>
      </c>
      <c r="C5733" t="s">
        <v>40</v>
      </c>
      <c r="D5733">
        <v>4.3764349999999999</v>
      </c>
      <c r="E5733">
        <v>0.4726012</v>
      </c>
      <c r="F5733" t="s">
        <v>57</v>
      </c>
      <c r="G5733">
        <v>-404.80040000000002</v>
      </c>
      <c r="H5733" s="1">
        <v>-4.7432779999999998E-6</v>
      </c>
      <c r="I5733">
        <v>24.319279999999999</v>
      </c>
      <c r="J5733">
        <v>-414.56869999999998</v>
      </c>
      <c r="K5733">
        <v>1.1177109999999999</v>
      </c>
      <c r="L5733">
        <v>27.859529999999999</v>
      </c>
      <c r="M5733">
        <v>0.71846919999999903</v>
      </c>
      <c r="N5733">
        <v>-1.4888149999999999E-2</v>
      </c>
      <c r="O5733">
        <v>-0.69539960000000001</v>
      </c>
      <c r="P5733">
        <v>0.85181019999999896</v>
      </c>
      <c r="Q5733">
        <v>0.357628</v>
      </c>
      <c r="R5733">
        <v>-0.38278190000000001</v>
      </c>
      <c r="S5733">
        <v>3.1518860000000002</v>
      </c>
      <c r="T5733">
        <v>-0.35681309999999999</v>
      </c>
      <c r="U5733">
        <v>-1.160034</v>
      </c>
      <c r="V5733">
        <v>-0.32355030000000001</v>
      </c>
      <c r="W5733">
        <v>0.36527920000000003</v>
      </c>
      <c r="X5733">
        <v>0.872861</v>
      </c>
      <c r="Y5733">
        <v>-0.39996670000000001</v>
      </c>
      <c r="Z5733">
        <v>8.1402730000000006E-2</v>
      </c>
      <c r="AA5733">
        <v>0.91290760000000004</v>
      </c>
      <c r="AB5733">
        <v>24</v>
      </c>
      <c r="AC5733">
        <v>9.7682999999999502</v>
      </c>
      <c r="AD5733">
        <v>-1.1177157432780001</v>
      </c>
      <c r="AE5733">
        <v>-3.5402499999999999</v>
      </c>
      <c r="AF5733">
        <v>-4.2011637787315896</v>
      </c>
      <c r="AG5733">
        <v>-1.1177157432780001</v>
      </c>
      <c r="AH5733">
        <v>9.3726951000654299</v>
      </c>
      <c r="AI5733">
        <v>96.210520427296899</v>
      </c>
      <c r="AJ5733">
        <v>114.143560847828</v>
      </c>
      <c r="AK5733">
        <v>10.3318187661847</v>
      </c>
      <c r="AL5733">
        <v>68.575234023593893</v>
      </c>
      <c r="AM5733">
        <v>110.338630968486</v>
      </c>
      <c r="AN5733">
        <v>1.0000000079518601</v>
      </c>
    </row>
    <row r="5734" spans="1:40" x14ac:dyDescent="0.25">
      <c r="A5734" t="str">
        <f>"20190304164240921"</f>
        <v>20190304164240921</v>
      </c>
      <c r="B5734" t="str">
        <f>"1551688960916907"</f>
        <v>1551688960916907</v>
      </c>
      <c r="C5734" t="s">
        <v>40</v>
      </c>
      <c r="D5734">
        <v>4.3687559999999896</v>
      </c>
      <c r="E5734">
        <v>0.47283449999999999</v>
      </c>
      <c r="F5734" t="s">
        <v>57</v>
      </c>
      <c r="G5734">
        <v>-404.66640000000001</v>
      </c>
      <c r="H5734" s="1">
        <v>-4.7975939999999999E-6</v>
      </c>
      <c r="I5734">
        <v>24.27364</v>
      </c>
      <c r="J5734">
        <v>-414.46839999999997</v>
      </c>
      <c r="K5734">
        <v>1.117632</v>
      </c>
      <c r="L5734">
        <v>27.771239999999999</v>
      </c>
      <c r="M5734">
        <v>0.7226148</v>
      </c>
      <c r="N5734">
        <v>-1.4871479999999999E-2</v>
      </c>
      <c r="O5734">
        <v>-0.69109109999999996</v>
      </c>
      <c r="P5734">
        <v>0.85386980000000001</v>
      </c>
      <c r="Q5734">
        <v>0.3573926</v>
      </c>
      <c r="R5734">
        <v>-0.37838719999999998</v>
      </c>
      <c r="S5734">
        <v>3.157715</v>
      </c>
      <c r="T5734">
        <v>-0.3564252</v>
      </c>
      <c r="U5734">
        <v>-1.143494</v>
      </c>
      <c r="V5734">
        <v>-0.32281959999999998</v>
      </c>
      <c r="W5734">
        <v>0.36510609999999999</v>
      </c>
      <c r="X5734">
        <v>0.87320390000000003</v>
      </c>
      <c r="Y5734">
        <v>-0.39928449999999999</v>
      </c>
      <c r="Z5734">
        <v>8.1000530000000001E-2</v>
      </c>
      <c r="AA5734">
        <v>0.91324190000000005</v>
      </c>
      <c r="AB5734">
        <v>24</v>
      </c>
      <c r="AC5734">
        <v>9.8019999999999605</v>
      </c>
      <c r="AD5734">
        <v>-1.117636797594</v>
      </c>
      <c r="AE5734">
        <v>-3.4975999999999998</v>
      </c>
      <c r="AF5734">
        <v>-4.1987051150244596</v>
      </c>
      <c r="AG5734">
        <v>-1.117636797594</v>
      </c>
      <c r="AH5734">
        <v>9.3929559855687792</v>
      </c>
      <c r="AI5734">
        <v>96.199611811383605</v>
      </c>
      <c r="AJ5734">
        <v>114.08491677324299</v>
      </c>
      <c r="AK5734">
        <v>10.3491960461236</v>
      </c>
      <c r="AL5734">
        <v>68.5858876819062</v>
      </c>
      <c r="AM5734">
        <v>110.28912920258099</v>
      </c>
      <c r="AN5734">
        <v>1.00000000468829</v>
      </c>
    </row>
    <row r="5735" spans="1:40" x14ac:dyDescent="0.25">
      <c r="A5735" t="str">
        <f>"20190304164240939"</f>
        <v>20190304164240939</v>
      </c>
      <c r="B5735" t="str">
        <f>"1551688960926667"</f>
        <v>1551688960926667</v>
      </c>
      <c r="C5735" t="s">
        <v>40</v>
      </c>
      <c r="D5735">
        <v>4.3824370000000004</v>
      </c>
      <c r="E5735">
        <v>0.47312609999999999</v>
      </c>
      <c r="F5735" t="s">
        <v>57</v>
      </c>
      <c r="G5735">
        <v>-404.61630000000002</v>
      </c>
      <c r="H5735" s="1">
        <v>-4.8173910000000002E-6</v>
      </c>
      <c r="I5735">
        <v>24.253889999999998</v>
      </c>
      <c r="J5735">
        <v>-414.3347</v>
      </c>
      <c r="K5735">
        <v>1.117526</v>
      </c>
      <c r="L5735">
        <v>27.65549</v>
      </c>
      <c r="M5735">
        <v>0.7279795</v>
      </c>
      <c r="N5735">
        <v>-1.48473999999999E-2</v>
      </c>
      <c r="O5735">
        <v>-0.6854382</v>
      </c>
      <c r="P5735">
        <v>0.85618069999999902</v>
      </c>
      <c r="Q5735">
        <v>0.357269</v>
      </c>
      <c r="R5735">
        <v>-0.37324750000000001</v>
      </c>
      <c r="S5735">
        <v>3.1631770000000001</v>
      </c>
      <c r="T5735">
        <v>-0.35883589999999999</v>
      </c>
      <c r="U5735">
        <v>-1.1293029999999999</v>
      </c>
      <c r="V5735">
        <v>-0.32119209999999998</v>
      </c>
      <c r="W5735">
        <v>0.36507849999999997</v>
      </c>
      <c r="X5735">
        <v>0.87381540000000002</v>
      </c>
      <c r="Y5735">
        <v>-0.39624530000000002</v>
      </c>
      <c r="Z5735">
        <v>8.1069009999999997E-2</v>
      </c>
      <c r="AA5735">
        <v>0.9145586</v>
      </c>
      <c r="AB5735">
        <v>24</v>
      </c>
      <c r="AC5735">
        <v>9.7183999999999706</v>
      </c>
      <c r="AD5735">
        <v>-1.1175308173909999</v>
      </c>
      <c r="AE5735">
        <v>-3.4016000000000002</v>
      </c>
      <c r="AF5735">
        <v>-4.1367979060080096</v>
      </c>
      <c r="AG5735">
        <v>-1.1175308173909999</v>
      </c>
      <c r="AH5735">
        <v>9.2978914486846094</v>
      </c>
      <c r="AI5735">
        <v>96.266734827590298</v>
      </c>
      <c r="AJ5735">
        <v>113.98513522028</v>
      </c>
      <c r="AK5735">
        <v>10.2378101874616</v>
      </c>
      <c r="AL5735">
        <v>68.587586525212103</v>
      </c>
      <c r="AM5735">
        <v>110.182131451679</v>
      </c>
      <c r="AN5735">
        <v>1.0000000147709101</v>
      </c>
    </row>
    <row r="5736" spans="1:40" x14ac:dyDescent="0.25">
      <c r="A5736" t="str">
        <f>"20190304164240953"</f>
        <v>20190304164240953</v>
      </c>
      <c r="B5736" t="str">
        <f>"1551688960947163"</f>
        <v>1551688960947163</v>
      </c>
      <c r="C5736" t="s">
        <v>40</v>
      </c>
      <c r="D5736">
        <v>4.3864169999999998</v>
      </c>
      <c r="E5736">
        <v>0.47363090000000002</v>
      </c>
      <c r="F5736" t="s">
        <v>57</v>
      </c>
      <c r="G5736">
        <v>-404.47359999999998</v>
      </c>
      <c r="H5736" s="1">
        <v>-4.873723E-6</v>
      </c>
      <c r="I5736">
        <v>24.196870000000001</v>
      </c>
      <c r="J5736">
        <v>-414.21429999999998</v>
      </c>
      <c r="K5736">
        <v>1.1174280000000001</v>
      </c>
      <c r="L5736">
        <v>27.552669999999999</v>
      </c>
      <c r="M5736">
        <v>0.73268</v>
      </c>
      <c r="N5736">
        <v>-1.482493E-2</v>
      </c>
      <c r="O5736">
        <v>-0.68041189999999996</v>
      </c>
      <c r="P5736">
        <v>0.8583653</v>
      </c>
      <c r="Q5736">
        <v>0.357377</v>
      </c>
      <c r="R5736">
        <v>-0.36809059999999999</v>
      </c>
      <c r="S5736">
        <v>3.1691889999999998</v>
      </c>
      <c r="T5736">
        <v>-0.35915589999999997</v>
      </c>
      <c r="U5736">
        <v>-1.111542</v>
      </c>
      <c r="V5736">
        <v>-0.3203124</v>
      </c>
      <c r="W5736">
        <v>0.36526049999999999</v>
      </c>
      <c r="X5736">
        <v>0.87406219999999901</v>
      </c>
      <c r="Y5736">
        <v>-0.3950496</v>
      </c>
      <c r="Z5736">
        <v>8.0764349999999999E-2</v>
      </c>
      <c r="AA5736">
        <v>0.91510270000000005</v>
      </c>
      <c r="AB5736">
        <v>24</v>
      </c>
      <c r="AC5736">
        <v>9.7407000000000004</v>
      </c>
      <c r="AD5736">
        <v>-1.1174328737229999</v>
      </c>
      <c r="AE5736">
        <v>-3.3557999999999999</v>
      </c>
      <c r="AF5736">
        <v>-4.1209400919691603</v>
      </c>
      <c r="AG5736">
        <v>-1.1174328737229999</v>
      </c>
      <c r="AH5736">
        <v>9.3116355504008794</v>
      </c>
      <c r="AI5736">
        <v>96.262447158348095</v>
      </c>
      <c r="AJ5736">
        <v>113.87217563038701</v>
      </c>
      <c r="AK5736">
        <v>10.2438937954454</v>
      </c>
      <c r="AL5736">
        <v>68.576384759501806</v>
      </c>
      <c r="AM5736">
        <v>110.126071001204</v>
      </c>
      <c r="AN5736">
        <v>0.99999999796142403</v>
      </c>
    </row>
    <row r="5737" spans="1:40" x14ac:dyDescent="0.25">
      <c r="A5737" t="str">
        <f>"20190304164240964"</f>
        <v>20190304164240964</v>
      </c>
      <c r="B5737" t="str">
        <f>"1551688960956923"</f>
        <v>1551688960956923</v>
      </c>
      <c r="C5737" t="s">
        <v>40</v>
      </c>
      <c r="D5737">
        <v>4.3863989999999999</v>
      </c>
      <c r="E5737">
        <v>0.473858</v>
      </c>
      <c r="F5737" t="s">
        <v>57</v>
      </c>
      <c r="G5737">
        <v>-404.40010000000001</v>
      </c>
      <c r="H5737" s="1">
        <v>-4.9018460000000002E-6</v>
      </c>
      <c r="I5737">
        <v>24.162569999999999</v>
      </c>
      <c r="J5737">
        <v>-414.12189999999998</v>
      </c>
      <c r="K5737">
        <v>1.1173489999999999</v>
      </c>
      <c r="L5737">
        <v>27.474430000000002</v>
      </c>
      <c r="M5737">
        <v>0.73621890000000001</v>
      </c>
      <c r="N5737">
        <v>-1.480767E-2</v>
      </c>
      <c r="O5737">
        <v>-0.67658160000000001</v>
      </c>
      <c r="P5737">
        <v>0.86010529999999996</v>
      </c>
      <c r="Q5737">
        <v>0.3575023</v>
      </c>
      <c r="R5737">
        <v>-0.36388340000000002</v>
      </c>
      <c r="S5737">
        <v>3.1751710000000002</v>
      </c>
      <c r="T5737">
        <v>-0.36152289999999998</v>
      </c>
      <c r="U5737">
        <v>-1.0968020000000001</v>
      </c>
      <c r="V5737">
        <v>-0.31992969999999998</v>
      </c>
      <c r="W5737">
        <v>0.36543720000000002</v>
      </c>
      <c r="X5737">
        <v>0.87412849999999997</v>
      </c>
      <c r="Y5737">
        <v>-0.39454440000000002</v>
      </c>
      <c r="Z5737">
        <v>8.1042550000000005E-2</v>
      </c>
      <c r="AA5737">
        <v>0.91529609999999995</v>
      </c>
      <c r="AB5737">
        <v>24</v>
      </c>
      <c r="AC5737">
        <v>9.7217999999999698</v>
      </c>
      <c r="AD5737">
        <v>-1.1173539018459999</v>
      </c>
      <c r="AE5737">
        <v>-3.31185999999999</v>
      </c>
      <c r="AF5737">
        <v>-4.0913652656023203</v>
      </c>
      <c r="AG5737">
        <v>-1.1173539018459999</v>
      </c>
      <c r="AH5737">
        <v>9.2891993303036902</v>
      </c>
      <c r="AI5737">
        <v>96.281879734418993</v>
      </c>
      <c r="AJ5737">
        <v>113.770768755986</v>
      </c>
      <c r="AK5737">
        <v>10.2116097495283</v>
      </c>
      <c r="AL5737">
        <v>68.565508728704302</v>
      </c>
      <c r="AM5737">
        <v>110.102548849939</v>
      </c>
      <c r="AN5737">
        <v>0.99999999729908995</v>
      </c>
    </row>
    <row r="5738" spans="1:40" x14ac:dyDescent="0.25">
      <c r="A5738" t="str">
        <f>"20190304164240975"</f>
        <v>20190304164240975</v>
      </c>
      <c r="B5738" t="str">
        <f>"1551688960966683"</f>
        <v>1551688960966683</v>
      </c>
      <c r="C5738" t="s">
        <v>40</v>
      </c>
      <c r="D5738">
        <v>4.4017910000000002</v>
      </c>
      <c r="E5738">
        <v>0.4740801</v>
      </c>
      <c r="F5738" t="s">
        <v>57</v>
      </c>
      <c r="G5738">
        <v>-404.31330000000003</v>
      </c>
      <c r="H5738" s="1">
        <v>-4.9368849999999999E-6</v>
      </c>
      <c r="I5738">
        <v>24.132169999999999</v>
      </c>
      <c r="J5738">
        <v>-414.0326</v>
      </c>
      <c r="K5738">
        <v>1.117275</v>
      </c>
      <c r="L5738">
        <v>27.399809999999999</v>
      </c>
      <c r="M5738">
        <v>0.73955740000000003</v>
      </c>
      <c r="N5738">
        <v>-1.4790370000000001E-2</v>
      </c>
      <c r="O5738">
        <v>-0.6729311</v>
      </c>
      <c r="P5738">
        <v>0.8618209</v>
      </c>
      <c r="Q5738">
        <v>0.35756929999999998</v>
      </c>
      <c r="R5738">
        <v>-0.35973509999999997</v>
      </c>
      <c r="S5738">
        <v>3.1801149999999998</v>
      </c>
      <c r="T5738">
        <v>-0.36226609999999998</v>
      </c>
      <c r="U5738">
        <v>-1.083618</v>
      </c>
      <c r="V5738">
        <v>-0.3197315</v>
      </c>
      <c r="W5738">
        <v>0.36554989999999998</v>
      </c>
      <c r="X5738">
        <v>0.87415390000000004</v>
      </c>
      <c r="Y5738">
        <v>-0.39383370000000001</v>
      </c>
      <c r="Z5738">
        <v>8.0932740000000003E-2</v>
      </c>
      <c r="AA5738">
        <v>0.91561179999999998</v>
      </c>
      <c r="AB5738">
        <v>24</v>
      </c>
      <c r="AC5738">
        <v>9.7192999999999703</v>
      </c>
      <c r="AD5738">
        <v>-1.1172799368849999</v>
      </c>
      <c r="AE5738">
        <v>-3.2676399999999899</v>
      </c>
      <c r="AF5738">
        <v>-4.0758713925097902</v>
      </c>
      <c r="AG5738">
        <v>-1.1172799368849999</v>
      </c>
      <c r="AH5738">
        <v>9.2777516614049294</v>
      </c>
      <c r="AI5738">
        <v>96.2917466451227</v>
      </c>
      <c r="AJ5738">
        <v>113.716686899127</v>
      </c>
      <c r="AK5738">
        <v>10.1949849414478</v>
      </c>
      <c r="AL5738">
        <v>68.558571624300001</v>
      </c>
      <c r="AM5738">
        <v>110.090554334451</v>
      </c>
      <c r="AN5738">
        <v>1.00000000118373</v>
      </c>
    </row>
    <row r="5739" spans="1:40" x14ac:dyDescent="0.25">
      <c r="A5739" t="str">
        <f>"20190304164240986"</f>
        <v>20190304164240986</v>
      </c>
      <c r="B5739" t="str">
        <f>"1551688960977420"</f>
        <v>1551688960977420</v>
      </c>
      <c r="C5739" t="s">
        <v>40</v>
      </c>
      <c r="D5739">
        <v>4.3906530000000004</v>
      </c>
      <c r="E5739">
        <v>0.47431960000000001</v>
      </c>
      <c r="F5739" t="s">
        <v>57</v>
      </c>
      <c r="G5739">
        <v>-404.2346</v>
      </c>
      <c r="H5739" s="1">
        <v>-4.9688580000000001E-6</v>
      </c>
      <c r="I5739">
        <v>24.10575</v>
      </c>
      <c r="J5739">
        <v>-413.94729999999998</v>
      </c>
      <c r="K5739">
        <v>1.1172059999999999</v>
      </c>
      <c r="L5739">
        <v>27.32901</v>
      </c>
      <c r="M5739">
        <v>0.74269680000000005</v>
      </c>
      <c r="N5739">
        <v>-1.477405E-2</v>
      </c>
      <c r="O5739">
        <v>-0.66946490000000003</v>
      </c>
      <c r="P5739">
        <v>0.86332089999999995</v>
      </c>
      <c r="Q5739">
        <v>0.35764669999999998</v>
      </c>
      <c r="R5739">
        <v>-0.35604180000000002</v>
      </c>
      <c r="S5739">
        <v>3.1847840000000001</v>
      </c>
      <c r="T5739">
        <v>-0.3631625</v>
      </c>
      <c r="U5739">
        <v>-1.0707089999999999</v>
      </c>
      <c r="V5739">
        <v>-0.319299</v>
      </c>
      <c r="W5739">
        <v>0.36567549999999999</v>
      </c>
      <c r="X5739">
        <v>0.87425949999999997</v>
      </c>
      <c r="Y5739">
        <v>-0.3932696</v>
      </c>
      <c r="Z5739">
        <v>8.0880300000000002E-2</v>
      </c>
      <c r="AA5739">
        <v>0.91585890000000003</v>
      </c>
      <c r="AB5739">
        <v>24</v>
      </c>
      <c r="AC5739">
        <v>9.7126999999999803</v>
      </c>
      <c r="AD5739">
        <v>-1.1172109688580001</v>
      </c>
      <c r="AE5739">
        <v>-3.22325999999999</v>
      </c>
      <c r="AF5739">
        <v>-4.0604611773874604</v>
      </c>
      <c r="AG5739">
        <v>-1.1172109688580001</v>
      </c>
      <c r="AH5739">
        <v>9.2620845334130308</v>
      </c>
      <c r="AI5739">
        <v>96.304036106919796</v>
      </c>
      <c r="AJ5739">
        <v>113.672454882211</v>
      </c>
      <c r="AK5739">
        <v>10.174562163852301</v>
      </c>
      <c r="AL5739">
        <v>68.5508410451515</v>
      </c>
      <c r="AM5739">
        <v>110.06331703336301</v>
      </c>
      <c r="AN5739">
        <v>1.0000000480207401</v>
      </c>
    </row>
    <row r="5740" spans="1:40" x14ac:dyDescent="0.25">
      <c r="A5740" t="str">
        <f>"20190304164240997"</f>
        <v>20190304164240997</v>
      </c>
      <c r="B5740" t="str">
        <f>"1551688960987179"</f>
        <v>1551688960987179</v>
      </c>
      <c r="C5740" t="s">
        <v>40</v>
      </c>
      <c r="D5740">
        <v>4.3967790000000004</v>
      </c>
      <c r="E5740">
        <v>0.47465489999999999</v>
      </c>
      <c r="F5740" t="s">
        <v>57</v>
      </c>
      <c r="G5740">
        <v>-404.18130000000002</v>
      </c>
      <c r="H5740" s="1">
        <v>-4.9897419999999997E-6</v>
      </c>
      <c r="I5740">
        <v>24.083629999999999</v>
      </c>
      <c r="J5740">
        <v>-413.85239999999999</v>
      </c>
      <c r="K5740">
        <v>1.11713</v>
      </c>
      <c r="L5740">
        <v>27.250920000000001</v>
      </c>
      <c r="M5740">
        <v>0.74612579999999995</v>
      </c>
      <c r="N5740">
        <v>-1.475593E-2</v>
      </c>
      <c r="O5740">
        <v>-0.66564160000000006</v>
      </c>
      <c r="P5740">
        <v>0.86481019999999897</v>
      </c>
      <c r="Q5740">
        <v>0.358112599999999</v>
      </c>
      <c r="R5740">
        <v>-0.35193600000000003</v>
      </c>
      <c r="S5740">
        <v>3.1890260000000001</v>
      </c>
      <c r="T5740">
        <v>-0.36481570000000002</v>
      </c>
      <c r="U5740">
        <v>-1.0597529999999999</v>
      </c>
      <c r="V5740">
        <v>-0.31876979999999999</v>
      </c>
      <c r="W5740">
        <v>0.3661934</v>
      </c>
      <c r="X5740">
        <v>0.87423569999999995</v>
      </c>
      <c r="Y5740">
        <v>-0.39172709999999999</v>
      </c>
      <c r="Z5740">
        <v>8.0925349999999993E-2</v>
      </c>
      <c r="AA5740">
        <v>0.91651559999999999</v>
      </c>
      <c r="AB5740">
        <v>24</v>
      </c>
      <c r="AC5740">
        <v>9.6710999999999601</v>
      </c>
      <c r="AD5740">
        <v>-1.117134989742</v>
      </c>
      <c r="AE5740">
        <v>-3.1672899999999999</v>
      </c>
      <c r="AF5740">
        <v>-4.0262143559214296</v>
      </c>
      <c r="AG5740">
        <v>-1.117134989742</v>
      </c>
      <c r="AH5740">
        <v>9.2141153216138107</v>
      </c>
      <c r="AI5740">
        <v>96.339473793043794</v>
      </c>
      <c r="AJ5740">
        <v>113.60347934437</v>
      </c>
      <c r="AK5740">
        <v>10.1172285624637</v>
      </c>
      <c r="AL5740">
        <v>68.518953272591503</v>
      </c>
      <c r="AM5740">
        <v>110.033212893607</v>
      </c>
      <c r="AN5740">
        <v>0.99999992537504201</v>
      </c>
    </row>
    <row r="5741" spans="1:40" x14ac:dyDescent="0.25">
      <c r="A5741" t="str">
        <f>"20190304164241009"</f>
        <v>20190304164241009</v>
      </c>
      <c r="B5741" t="str">
        <f>"1551688961006699"</f>
        <v>1551688961006699</v>
      </c>
      <c r="C5741" t="s">
        <v>40</v>
      </c>
      <c r="D5741">
        <v>4.4057690000000003</v>
      </c>
      <c r="E5741">
        <v>0.47969970000000001</v>
      </c>
      <c r="F5741" t="s">
        <v>57</v>
      </c>
      <c r="G5741">
        <v>-404.05959999999999</v>
      </c>
      <c r="H5741" s="1">
        <v>-5.0381360000000002E-6</v>
      </c>
      <c r="I5741">
        <v>24.03707</v>
      </c>
      <c r="J5741">
        <v>-413.76069999999999</v>
      </c>
      <c r="K5741">
        <v>1.1170530000000001</v>
      </c>
      <c r="L5741">
        <v>27.176359999999999</v>
      </c>
      <c r="M5741">
        <v>0.74936359999999902</v>
      </c>
      <c r="N5741">
        <v>-1.473843E-2</v>
      </c>
      <c r="O5741">
        <v>-0.66199490000000005</v>
      </c>
      <c r="P5741">
        <v>0.86627529999999997</v>
      </c>
      <c r="Q5741">
        <v>0.35832750000000002</v>
      </c>
      <c r="R5741">
        <v>-0.34809329999999999</v>
      </c>
      <c r="S5741">
        <v>3.1933289999999999</v>
      </c>
      <c r="T5741">
        <v>-0.36428670000000002</v>
      </c>
      <c r="U5741">
        <v>-1.0480039999999999</v>
      </c>
      <c r="V5741">
        <v>-0.31826349999999998</v>
      </c>
      <c r="W5741">
        <v>0.3664578</v>
      </c>
      <c r="X5741">
        <v>0.87430949999999996</v>
      </c>
      <c r="Y5741">
        <v>-0.39068770000000003</v>
      </c>
      <c r="Z5741">
        <v>8.0484150000000004E-2</v>
      </c>
      <c r="AA5741">
        <v>0.91699810000000004</v>
      </c>
      <c r="AB5741">
        <v>24</v>
      </c>
      <c r="AC5741">
        <v>9.7010999999999896</v>
      </c>
      <c r="AD5741">
        <v>-1.117058038136</v>
      </c>
      <c r="AE5741">
        <v>-3.1392899999999901</v>
      </c>
      <c r="AF5741">
        <v>-4.0217806739497499</v>
      </c>
      <c r="AG5741">
        <v>-1.117058038136</v>
      </c>
      <c r="AH5741">
        <v>9.2379839176943399</v>
      </c>
      <c r="AI5741">
        <v>96.326493745321997</v>
      </c>
      <c r="AJ5741">
        <v>113.52602783986499</v>
      </c>
      <c r="AK5741">
        <v>10.1372030320744</v>
      </c>
      <c r="AL5741">
        <v>68.502675086240899</v>
      </c>
      <c r="AM5741">
        <v>110.002364773791</v>
      </c>
      <c r="AN5741">
        <v>1.0000000382016601</v>
      </c>
    </row>
    <row r="5742" spans="1:40" x14ac:dyDescent="0.25">
      <c r="A5742" t="str">
        <f>"20190304164241023"</f>
        <v>20190304164241023</v>
      </c>
      <c r="B5742" t="str">
        <f>"1551688961017435"</f>
        <v>1551688961017435</v>
      </c>
      <c r="C5742" t="s">
        <v>40</v>
      </c>
      <c r="D5742">
        <v>4.3831910000000001</v>
      </c>
      <c r="E5742">
        <v>0.47986299999999998</v>
      </c>
      <c r="F5742" t="s">
        <v>57</v>
      </c>
      <c r="G5742">
        <v>-404.654</v>
      </c>
      <c r="H5742" s="1">
        <v>-4.7745919999999998E-6</v>
      </c>
      <c r="I5742">
        <v>24.112079999999999</v>
      </c>
      <c r="J5742">
        <v>-413.65820000000002</v>
      </c>
      <c r="K5742">
        <v>1.1169720000000001</v>
      </c>
      <c r="L5742">
        <v>27.093440000000001</v>
      </c>
      <c r="M5742">
        <v>0.75293290000000002</v>
      </c>
      <c r="N5742">
        <v>-1.4719370000000001E-2</v>
      </c>
      <c r="O5742">
        <v>-0.65793279999999998</v>
      </c>
      <c r="P5742">
        <v>0.86779069999999903</v>
      </c>
      <c r="Q5742">
        <v>0.35866619999999999</v>
      </c>
      <c r="R5742">
        <v>-0.343945</v>
      </c>
      <c r="S5742">
        <v>3.1933590000000001</v>
      </c>
      <c r="T5742">
        <v>-0.39170909999999998</v>
      </c>
      <c r="U5742">
        <v>-1.074524</v>
      </c>
      <c r="V5742">
        <v>-0.31755480000000003</v>
      </c>
      <c r="W5742">
        <v>0.3668535</v>
      </c>
      <c r="X5742">
        <v>0.87440119999999899</v>
      </c>
      <c r="Y5742">
        <v>-0.37817279999999998</v>
      </c>
      <c r="Z5742">
        <v>8.5823449999999996E-2</v>
      </c>
      <c r="AA5742">
        <v>0.92174820000000002</v>
      </c>
      <c r="AB5742">
        <v>24</v>
      </c>
      <c r="AC5742">
        <v>9.0042000000000204</v>
      </c>
      <c r="AD5742">
        <v>-1.1169767745919901</v>
      </c>
      <c r="AE5742">
        <v>-2.98136</v>
      </c>
      <c r="AF5742">
        <v>-3.62945888118902</v>
      </c>
      <c r="AG5742">
        <v>-1.1169767745919901</v>
      </c>
      <c r="AH5742">
        <v>8.6224615363995891</v>
      </c>
      <c r="AI5742">
        <v>96.808673772240795</v>
      </c>
      <c r="AJ5742">
        <v>112.82772041480899</v>
      </c>
      <c r="AK5742">
        <v>9.4216480422434703</v>
      </c>
      <c r="AL5742">
        <v>68.478305141502602</v>
      </c>
      <c r="AM5742">
        <v>109.959417083668</v>
      </c>
      <c r="AN5742">
        <v>1.00000000001336</v>
      </c>
    </row>
    <row r="5743" spans="1:40" x14ac:dyDescent="0.25">
      <c r="A5743" t="str">
        <f>"20190304164241034"</f>
        <v>20190304164241034</v>
      </c>
      <c r="B5743" t="str">
        <f>"1551688961027195"</f>
        <v>1551688961027195</v>
      </c>
      <c r="C5743" t="s">
        <v>40</v>
      </c>
      <c r="D5743">
        <v>4.3826090000000004</v>
      </c>
      <c r="E5743">
        <v>0.48016490000000001</v>
      </c>
      <c r="F5743" t="s">
        <v>57</v>
      </c>
      <c r="G5743">
        <v>-404.5378</v>
      </c>
      <c r="H5743" s="1">
        <v>-4.8213199999999996E-6</v>
      </c>
      <c r="I5743">
        <v>24.070499999999999</v>
      </c>
      <c r="J5743">
        <v>-413.55919999999998</v>
      </c>
      <c r="K5743">
        <v>1.1168990000000001</v>
      </c>
      <c r="L5743">
        <v>27.014559999999999</v>
      </c>
      <c r="M5743">
        <v>0.75628169999999995</v>
      </c>
      <c r="N5743">
        <v>-1.4700690000000001E-2</v>
      </c>
      <c r="O5743">
        <v>-0.65408129999999998</v>
      </c>
      <c r="P5743">
        <v>0.86937889999999995</v>
      </c>
      <c r="Q5743">
        <v>0.35861419999999999</v>
      </c>
      <c r="R5743">
        <v>-0.33996579999999998</v>
      </c>
      <c r="S5743">
        <v>3.1987299999999999</v>
      </c>
      <c r="T5743">
        <v>-0.39174779999999998</v>
      </c>
      <c r="U5743">
        <v>-1.060211</v>
      </c>
      <c r="V5743">
        <v>-0.31704070000000001</v>
      </c>
      <c r="W5743">
        <v>0.36685269999999998</v>
      </c>
      <c r="X5743">
        <v>0.87458809999999998</v>
      </c>
      <c r="Y5743">
        <v>-0.37765080000000001</v>
      </c>
      <c r="Z5743">
        <v>8.549561E-2</v>
      </c>
      <c r="AA5743">
        <v>0.9219927</v>
      </c>
      <c r="AB5743">
        <v>24</v>
      </c>
      <c r="AC5743">
        <v>9.0213999999999697</v>
      </c>
      <c r="AD5743">
        <v>-1.11690382132</v>
      </c>
      <c r="AE5743">
        <v>-2.9440599999999901</v>
      </c>
      <c r="AF5743">
        <v>-3.6243793246037401</v>
      </c>
      <c r="AG5743">
        <v>-1.11690382132</v>
      </c>
      <c r="AH5743">
        <v>8.6297725738410094</v>
      </c>
      <c r="AI5743">
        <v>96.804795661860197</v>
      </c>
      <c r="AJ5743">
        <v>112.78169937452699</v>
      </c>
      <c r="AK5743">
        <v>9.4263765207481907</v>
      </c>
      <c r="AL5743">
        <v>68.478355018821404</v>
      </c>
      <c r="AM5743">
        <v>109.925726211525</v>
      </c>
      <c r="AN5743">
        <v>1.0000000268076901</v>
      </c>
    </row>
    <row r="5744" spans="1:40" x14ac:dyDescent="0.25">
      <c r="A5744" t="str">
        <f>"20190304164241045"</f>
        <v>20190304164241045</v>
      </c>
      <c r="B5744" t="str">
        <f>"1551688961036956"</f>
        <v>1551688961036956</v>
      </c>
      <c r="C5744" t="s">
        <v>40</v>
      </c>
      <c r="D5744">
        <v>4.3869379999999998</v>
      </c>
      <c r="E5744">
        <v>0.480354</v>
      </c>
      <c r="F5744" t="s">
        <v>57</v>
      </c>
      <c r="G5744">
        <v>-404.44170000000003</v>
      </c>
      <c r="H5744" s="1">
        <v>-4.8594429999999997E-6</v>
      </c>
      <c r="I5744">
        <v>24.033110000000001</v>
      </c>
      <c r="J5744">
        <v>-413.46899999999999</v>
      </c>
      <c r="K5744">
        <v>1.1168309999999999</v>
      </c>
      <c r="L5744">
        <v>26.94312</v>
      </c>
      <c r="M5744">
        <v>0.75929230000000003</v>
      </c>
      <c r="N5744">
        <v>-1.468419E-2</v>
      </c>
      <c r="O5744">
        <v>-0.65058400000000005</v>
      </c>
      <c r="P5744">
        <v>0.8706815</v>
      </c>
      <c r="Q5744">
        <v>0.35850500000000002</v>
      </c>
      <c r="R5744">
        <v>-0.33673150000000002</v>
      </c>
      <c r="S5744">
        <v>3.203033</v>
      </c>
      <c r="T5744">
        <v>-0.39237270000000002</v>
      </c>
      <c r="U5744">
        <v>-1.0473939999999999</v>
      </c>
      <c r="V5744">
        <v>-0.31621779999999999</v>
      </c>
      <c r="W5744">
        <v>0.36679679999999998</v>
      </c>
      <c r="X5744">
        <v>0.87490939999999995</v>
      </c>
      <c r="Y5744">
        <v>-0.37708069999999999</v>
      </c>
      <c r="Z5744">
        <v>8.5341239999999999E-2</v>
      </c>
      <c r="AA5744">
        <v>0.92224019999999995</v>
      </c>
      <c r="AB5744">
        <v>24</v>
      </c>
      <c r="AC5744">
        <v>9.0272999999999595</v>
      </c>
      <c r="AD5744">
        <v>-1.1168358594429999</v>
      </c>
      <c r="AE5744">
        <v>-2.9100100000000002</v>
      </c>
      <c r="AF5744">
        <v>-3.61375818657939</v>
      </c>
      <c r="AG5744">
        <v>-1.1168358594429999</v>
      </c>
      <c r="AH5744">
        <v>8.6288673119816597</v>
      </c>
      <c r="AI5744">
        <v>96.807946754584293</v>
      </c>
      <c r="AJ5744">
        <v>112.72387085134901</v>
      </c>
      <c r="AK5744">
        <v>9.4214606965052408</v>
      </c>
      <c r="AL5744">
        <v>68.481797786099506</v>
      </c>
      <c r="AM5744">
        <v>109.87133519656901</v>
      </c>
      <c r="AN5744">
        <v>1.00000002386771</v>
      </c>
    </row>
    <row r="5745" spans="1:40" x14ac:dyDescent="0.25">
      <c r="A5745" t="str">
        <f>"20190304164241061"</f>
        <v>20190304164241061</v>
      </c>
      <c r="B5745" t="str">
        <f>"1551688961057451"</f>
        <v>1551688961057451</v>
      </c>
      <c r="C5745" t="s">
        <v>40</v>
      </c>
      <c r="D5745">
        <v>4.41221</v>
      </c>
      <c r="E5745">
        <v>0.48406900000000003</v>
      </c>
      <c r="F5745" t="s">
        <v>57</v>
      </c>
      <c r="G5745">
        <v>-404.38780000000003</v>
      </c>
      <c r="H5745" s="1">
        <v>-4.8800599999999998E-6</v>
      </c>
      <c r="I5745">
        <v>24.007960000000001</v>
      </c>
      <c r="J5745">
        <v>-413.33479999999997</v>
      </c>
      <c r="K5745">
        <v>1.116738</v>
      </c>
      <c r="L5745">
        <v>26.837890000000002</v>
      </c>
      <c r="M5745">
        <v>0.7636754</v>
      </c>
      <c r="N5745">
        <v>-1.465998E-2</v>
      </c>
      <c r="O5745">
        <v>-0.64543430000000002</v>
      </c>
      <c r="P5745">
        <v>0.87230589999999997</v>
      </c>
      <c r="Q5745">
        <v>0.35903109999999999</v>
      </c>
      <c r="R5745">
        <v>-0.33193339999999999</v>
      </c>
      <c r="S5745">
        <v>3.2070620000000001</v>
      </c>
      <c r="T5745">
        <v>-0.39441419999999999</v>
      </c>
      <c r="U5745">
        <v>-1.0365599999999999</v>
      </c>
      <c r="V5745">
        <v>-0.3148938</v>
      </c>
      <c r="W5745">
        <v>0.36739559999999999</v>
      </c>
      <c r="X5745">
        <v>0.87513569999999996</v>
      </c>
      <c r="Y5745">
        <v>-0.37396430000000003</v>
      </c>
      <c r="Z5745">
        <v>8.5232820000000001E-2</v>
      </c>
      <c r="AA5745">
        <v>0.92351830000000001</v>
      </c>
      <c r="AB5745">
        <v>24</v>
      </c>
      <c r="AC5745">
        <v>8.9469999999999406</v>
      </c>
      <c r="AD5745">
        <v>-1.1167428800599899</v>
      </c>
      <c r="AE5745">
        <v>-2.8299300000000001</v>
      </c>
      <c r="AF5745">
        <v>-3.5634724798725101</v>
      </c>
      <c r="AG5745">
        <v>-1.1167428800599899</v>
      </c>
      <c r="AH5745">
        <v>8.5391305836864007</v>
      </c>
      <c r="AI5745">
        <v>96.8818490883572</v>
      </c>
      <c r="AJ5745">
        <v>112.651310475413</v>
      </c>
      <c r="AK5745">
        <v>9.3199893723234393</v>
      </c>
      <c r="AL5745">
        <v>68.444914835320603</v>
      </c>
      <c r="AM5745">
        <v>109.78988915382899</v>
      </c>
      <c r="AN5745">
        <v>1.0000000627961401</v>
      </c>
    </row>
    <row r="5746" spans="1:40" x14ac:dyDescent="0.25">
      <c r="A5746" t="str">
        <f>"20190304164241074"</f>
        <v>20190304164241074</v>
      </c>
      <c r="B5746" t="str">
        <f>"1551688961067211"</f>
        <v>1551688961067211</v>
      </c>
      <c r="C5746" t="s">
        <v>40</v>
      </c>
      <c r="D5746">
        <v>4.4010129999999998</v>
      </c>
      <c r="E5746">
        <v>0.48424040000000002</v>
      </c>
      <c r="F5746" t="s">
        <v>57</v>
      </c>
      <c r="G5746">
        <v>-404.5061</v>
      </c>
      <c r="H5746" s="1">
        <v>-4.814892E-6</v>
      </c>
      <c r="I5746">
        <v>23.951370000000001</v>
      </c>
      <c r="J5746">
        <v>-413.23349999999999</v>
      </c>
      <c r="K5746">
        <v>1.116681</v>
      </c>
      <c r="L5746">
        <v>26.759640000000001</v>
      </c>
      <c r="M5746">
        <v>0.76689240000000003</v>
      </c>
      <c r="N5746">
        <v>-1.4641879999999999E-2</v>
      </c>
      <c r="O5746">
        <v>-0.64160869999999903</v>
      </c>
      <c r="P5746">
        <v>0.87359580000000003</v>
      </c>
      <c r="Q5746">
        <v>0.35933419999999999</v>
      </c>
      <c r="R5746">
        <v>-0.32819179999999998</v>
      </c>
      <c r="S5746">
        <v>3.2071230000000002</v>
      </c>
      <c r="T5746">
        <v>-0.40566619999999998</v>
      </c>
      <c r="U5746">
        <v>-1.0485530000000001</v>
      </c>
      <c r="V5746">
        <v>-0.31413010000000002</v>
      </c>
      <c r="W5746">
        <v>0.36774590000000001</v>
      </c>
      <c r="X5746">
        <v>0.87526299999999901</v>
      </c>
      <c r="Y5746">
        <v>-0.36595569999999999</v>
      </c>
      <c r="Z5746">
        <v>8.6975070000000002E-2</v>
      </c>
      <c r="AA5746">
        <v>0.92655909999999997</v>
      </c>
      <c r="AB5746">
        <v>24</v>
      </c>
      <c r="AC5746">
        <v>8.7273999999999798</v>
      </c>
      <c r="AD5746">
        <v>-1.116685814892</v>
      </c>
      <c r="AE5746">
        <v>-2.8082699999999998</v>
      </c>
      <c r="AF5746">
        <v>-3.3959237220360099</v>
      </c>
      <c r="AG5746">
        <v>-1.116685814892</v>
      </c>
      <c r="AH5746">
        <v>8.3715016743154198</v>
      </c>
      <c r="AI5746">
        <v>97.0464933126201</v>
      </c>
      <c r="AJ5746">
        <v>112.08007605305001</v>
      </c>
      <c r="AK5746">
        <v>9.1028196410856008</v>
      </c>
      <c r="AL5746">
        <v>68.4233328733023</v>
      </c>
      <c r="AM5746">
        <v>109.742958557563</v>
      </c>
      <c r="AN5746">
        <v>1.0000000429308999</v>
      </c>
    </row>
    <row r="5747" spans="1:40" x14ac:dyDescent="0.25">
      <c r="A5747" t="str">
        <f>"20190304164241090"</f>
        <v>20190304164241090</v>
      </c>
      <c r="B5747" t="str">
        <f>"1551688961087323"</f>
        <v>1551688961087323</v>
      </c>
      <c r="C5747" t="s">
        <v>40</v>
      </c>
      <c r="D5747">
        <v>4.4269270000000001</v>
      </c>
      <c r="E5747">
        <v>0.48433549999999997</v>
      </c>
      <c r="F5747" t="s">
        <v>57</v>
      </c>
      <c r="G5747">
        <v>-404.42570000000001</v>
      </c>
      <c r="H5747" s="1">
        <v>-4.8463270000000002E-6</v>
      </c>
      <c r="I5747">
        <v>23.9177</v>
      </c>
      <c r="J5747">
        <v>-413.09809999999999</v>
      </c>
      <c r="K5747">
        <v>1.1165959999999999</v>
      </c>
      <c r="L5747">
        <v>26.65598</v>
      </c>
      <c r="M5747">
        <v>0.771111199999999</v>
      </c>
      <c r="N5747">
        <v>-1.461848E-2</v>
      </c>
      <c r="O5747">
        <v>-0.63653249999999995</v>
      </c>
      <c r="P5747">
        <v>0.87527299999999997</v>
      </c>
      <c r="Q5747">
        <v>0.35966859999999901</v>
      </c>
      <c r="R5747">
        <v>-0.32331929999999998</v>
      </c>
      <c r="S5747">
        <v>3.2122190000000002</v>
      </c>
      <c r="T5747">
        <v>-0.40726030000000002</v>
      </c>
      <c r="U5747">
        <v>-1.0364690000000001</v>
      </c>
      <c r="V5747">
        <v>-0.31306309999999998</v>
      </c>
      <c r="W5747">
        <v>0.3681432</v>
      </c>
      <c r="X5747">
        <v>0.87547819999999898</v>
      </c>
      <c r="Y5747">
        <v>-0.3634018</v>
      </c>
      <c r="Z5747">
        <v>8.6748729999999996E-2</v>
      </c>
      <c r="AA5747">
        <v>0.92758490000000005</v>
      </c>
      <c r="AB5747">
        <v>24</v>
      </c>
      <c r="AC5747">
        <v>8.6723999999999801</v>
      </c>
      <c r="AD5747">
        <v>-1.1166008463270001</v>
      </c>
      <c r="AE5747">
        <v>-2.73828</v>
      </c>
      <c r="AF5747">
        <v>-3.35848302724327</v>
      </c>
      <c r="AG5747">
        <v>-1.1166008463270001</v>
      </c>
      <c r="AH5747">
        <v>8.3060802082816103</v>
      </c>
      <c r="AI5747">
        <v>97.104104984077495</v>
      </c>
      <c r="AJ5747">
        <v>112.01546855823899</v>
      </c>
      <c r="AK5747">
        <v>9.0286861791019604</v>
      </c>
      <c r="AL5747">
        <v>68.398850876892098</v>
      </c>
      <c r="AM5747">
        <v>109.676591464241</v>
      </c>
      <c r="AN5747">
        <v>0.99999999948154406</v>
      </c>
    </row>
    <row r="5748" spans="1:40" x14ac:dyDescent="0.25">
      <c r="A5748" t="str">
        <f>"20190304164241107"</f>
        <v>20190304164241107</v>
      </c>
      <c r="B5748" t="str">
        <f>"1551688961097082"</f>
        <v>1551688961097082</v>
      </c>
      <c r="C5748" t="s">
        <v>40</v>
      </c>
      <c r="D5748">
        <v>4.4268029999999996</v>
      </c>
      <c r="E5748">
        <v>0.48471930000000002</v>
      </c>
      <c r="F5748" t="s">
        <v>57</v>
      </c>
      <c r="G5748">
        <v>-404.3218</v>
      </c>
      <c r="H5748" s="1">
        <v>-4.8875490000000001E-6</v>
      </c>
      <c r="I5748">
        <v>23.877400000000002</v>
      </c>
      <c r="J5748">
        <v>-412.95920000000001</v>
      </c>
      <c r="K5748">
        <v>1.1165179999999999</v>
      </c>
      <c r="L5748">
        <v>26.550899999999999</v>
      </c>
      <c r="M5748">
        <v>0.77533719999999995</v>
      </c>
      <c r="N5748">
        <v>-1.4595260000000001E-2</v>
      </c>
      <c r="O5748">
        <v>-0.63137869999999996</v>
      </c>
      <c r="P5748">
        <v>0.87645659999999903</v>
      </c>
      <c r="Q5748">
        <v>0.36002020000000001</v>
      </c>
      <c r="R5748">
        <v>-0.31970219999999999</v>
      </c>
      <c r="S5748">
        <v>3.2192690000000002</v>
      </c>
      <c r="T5748">
        <v>-0.40958689999999998</v>
      </c>
      <c r="U5748">
        <v>-1.019226</v>
      </c>
      <c r="V5748">
        <v>-0.31066680000000002</v>
      </c>
      <c r="W5748">
        <v>0.36857980000000001</v>
      </c>
      <c r="X5748">
        <v>0.87614789999999998</v>
      </c>
      <c r="Y5748">
        <v>-0.3622687</v>
      </c>
      <c r="Z5748">
        <v>8.6747630000000006E-2</v>
      </c>
      <c r="AA5748">
        <v>0.92802819999999997</v>
      </c>
      <c r="AB5748">
        <v>24</v>
      </c>
      <c r="AC5748">
        <v>8.6374000000000102</v>
      </c>
      <c r="AD5748">
        <v>-1.1165228875489901</v>
      </c>
      <c r="AE5748">
        <v>-2.67349999999999</v>
      </c>
      <c r="AF5748">
        <v>-3.3301854494032201</v>
      </c>
      <c r="AG5748">
        <v>-1.1165228875489901</v>
      </c>
      <c r="AH5748">
        <v>8.2598298938368693</v>
      </c>
      <c r="AI5748">
        <v>97.145832434201793</v>
      </c>
      <c r="AJ5748">
        <v>111.958230333785</v>
      </c>
      <c r="AK5748">
        <v>8.9756085231564597</v>
      </c>
      <c r="AL5748">
        <v>68.371944314770602</v>
      </c>
      <c r="AM5748">
        <v>109.52362085442</v>
      </c>
      <c r="AN5748">
        <v>1.00000003613234</v>
      </c>
    </row>
    <row r="5749" spans="1:40" x14ac:dyDescent="0.25">
      <c r="A5749" t="str">
        <f>"20190304164241120"</f>
        <v>20190304164241120</v>
      </c>
      <c r="B5749" t="str">
        <f>"1551688961116603"</f>
        <v>1551688961116603</v>
      </c>
      <c r="C5749" t="s">
        <v>40</v>
      </c>
      <c r="D5749">
        <v>4.4760229999999996</v>
      </c>
      <c r="E5749">
        <v>0.48510560000000003</v>
      </c>
      <c r="F5749" t="s">
        <v>57</v>
      </c>
      <c r="G5749">
        <v>-404.18509999999998</v>
      </c>
      <c r="H5749" s="1">
        <v>-4.9398349999999996E-6</v>
      </c>
      <c r="I5749">
        <v>23.813310000000001</v>
      </c>
      <c r="J5749">
        <v>-412.8476</v>
      </c>
      <c r="K5749">
        <v>1.1164559999999999</v>
      </c>
      <c r="L5749">
        <v>26.46744</v>
      </c>
      <c r="M5749">
        <v>0.77866169999999901</v>
      </c>
      <c r="N5749">
        <v>-1.457725E-2</v>
      </c>
      <c r="O5749">
        <v>-0.62727480000000002</v>
      </c>
      <c r="P5749">
        <v>0.87759830000000005</v>
      </c>
      <c r="Q5749">
        <v>0.36047509999999999</v>
      </c>
      <c r="R5749">
        <v>-0.31603629999999999</v>
      </c>
      <c r="S5749">
        <v>3.224396</v>
      </c>
      <c r="T5749">
        <v>-0.41031289999999998</v>
      </c>
      <c r="U5749">
        <v>-1.0060420000000001</v>
      </c>
      <c r="V5749">
        <v>-0.30952760000000001</v>
      </c>
      <c r="W5749">
        <v>0.36908370000000001</v>
      </c>
      <c r="X5749">
        <v>0.87633890000000003</v>
      </c>
      <c r="Y5749">
        <v>-0.36123670000000002</v>
      </c>
      <c r="Z5749">
        <v>8.6484179999999994E-2</v>
      </c>
      <c r="AA5749">
        <v>0.92845489999999997</v>
      </c>
      <c r="AB5749">
        <v>24</v>
      </c>
      <c r="AC5749">
        <v>8.6625000000000192</v>
      </c>
      <c r="AD5749">
        <v>-1.1164609398349901</v>
      </c>
      <c r="AE5749">
        <v>-2.6541299999999999</v>
      </c>
      <c r="AF5749">
        <v>-3.3170840820704099</v>
      </c>
      <c r="AG5749">
        <v>-1.1164609398349901</v>
      </c>
      <c r="AH5749">
        <v>8.2851042843335208</v>
      </c>
      <c r="AI5749">
        <v>97.130726604886107</v>
      </c>
      <c r="AJ5749">
        <v>111.81954473245</v>
      </c>
      <c r="AK5749">
        <v>8.9940249521548399</v>
      </c>
      <c r="AL5749">
        <v>68.340881988118198</v>
      </c>
      <c r="AM5749">
        <v>109.45349383794699</v>
      </c>
      <c r="AN5749">
        <v>0.99999999021033004</v>
      </c>
    </row>
    <row r="5750" spans="1:40" x14ac:dyDescent="0.25">
      <c r="A5750" t="str">
        <f>"20190304164241132"</f>
        <v>20190304164241132</v>
      </c>
      <c r="B5750" t="str">
        <f>"1551688961127339"</f>
        <v>1551688961127339</v>
      </c>
      <c r="C5750" t="s">
        <v>40</v>
      </c>
      <c r="D5750">
        <v>4.4508809999999999</v>
      </c>
      <c r="E5750">
        <v>0.4875796</v>
      </c>
      <c r="F5750" t="s">
        <v>57</v>
      </c>
      <c r="G5750">
        <v>-404.05110000000002</v>
      </c>
      <c r="H5750" s="1">
        <v>-4.9927910000000003E-6</v>
      </c>
      <c r="I5750">
        <v>23.760280000000002</v>
      </c>
      <c r="J5750">
        <v>-412.75479999999999</v>
      </c>
      <c r="K5750">
        <v>1.116409</v>
      </c>
      <c r="L5750">
        <v>26.398900000000001</v>
      </c>
      <c r="M5750">
        <v>0.7813715</v>
      </c>
      <c r="N5750">
        <v>-1.456293E-2</v>
      </c>
      <c r="O5750">
        <v>-0.62389629999999996</v>
      </c>
      <c r="P5750">
        <v>0.87845130000000005</v>
      </c>
      <c r="Q5750">
        <v>0.36055189999999998</v>
      </c>
      <c r="R5750">
        <v>-0.3135695</v>
      </c>
      <c r="S5750">
        <v>3.2289119999999998</v>
      </c>
      <c r="T5750">
        <v>-0.40981790000000001</v>
      </c>
      <c r="U5750">
        <v>-0.99371339999999997</v>
      </c>
      <c r="V5750">
        <v>-0.30812460000000003</v>
      </c>
      <c r="W5750">
        <v>0.3692088</v>
      </c>
      <c r="X5750">
        <v>0.87678060000000002</v>
      </c>
      <c r="Y5750">
        <v>-0.36084119999999997</v>
      </c>
      <c r="Z5750">
        <v>8.6048659999999999E-2</v>
      </c>
      <c r="AA5750">
        <v>0.92864919999999995</v>
      </c>
      <c r="AB5750">
        <v>24</v>
      </c>
      <c r="AC5750">
        <v>8.7036999999999694</v>
      </c>
      <c r="AD5750">
        <v>-1.116413992791</v>
      </c>
      <c r="AE5750">
        <v>-2.63862</v>
      </c>
      <c r="AF5750">
        <v>-3.3188127842623798</v>
      </c>
      <c r="AG5750">
        <v>-1.116413992791</v>
      </c>
      <c r="AH5750">
        <v>8.3225393406560695</v>
      </c>
      <c r="AI5750">
        <v>97.102542861671694</v>
      </c>
      <c r="AJ5750">
        <v>111.740831044299</v>
      </c>
      <c r="AK5750">
        <v>9.0291505457075498</v>
      </c>
      <c r="AL5750">
        <v>68.333171243681306</v>
      </c>
      <c r="AM5750">
        <v>109.362865195395</v>
      </c>
      <c r="AN5750">
        <v>1.0000000638294699</v>
      </c>
    </row>
    <row r="5751" spans="1:40" x14ac:dyDescent="0.25">
      <c r="A5751" t="str">
        <f>"20190304164241143"</f>
        <v>20190304164241143</v>
      </c>
      <c r="B5751" t="str">
        <f>"1551688961137099"</f>
        <v>1551688961137099</v>
      </c>
      <c r="C5751" t="s">
        <v>40</v>
      </c>
      <c r="D5751">
        <v>4.4430420000000002</v>
      </c>
      <c r="E5751">
        <v>0.48939329999999998</v>
      </c>
      <c r="F5751" t="s">
        <v>57</v>
      </c>
      <c r="G5751">
        <v>-403.9529</v>
      </c>
      <c r="H5751" s="1">
        <v>-5.0220460000000004E-6</v>
      </c>
      <c r="I5751">
        <v>23.667490000000001</v>
      </c>
      <c r="J5751">
        <v>-412.65339999999998</v>
      </c>
      <c r="K5751">
        <v>1.116358</v>
      </c>
      <c r="L5751">
        <v>26.324369999999998</v>
      </c>
      <c r="M5751">
        <v>0.78430089999999997</v>
      </c>
      <c r="N5751">
        <v>-1.4547890000000001E-2</v>
      </c>
      <c r="O5751">
        <v>-0.62021019999999905</v>
      </c>
      <c r="P5751">
        <v>0.87946420000000003</v>
      </c>
      <c r="Q5751">
        <v>0.36050579999999999</v>
      </c>
      <c r="R5751">
        <v>-0.31077100000000002</v>
      </c>
      <c r="S5751">
        <v>3.2257389999999999</v>
      </c>
      <c r="T5751">
        <v>-0.40914400000000001</v>
      </c>
      <c r="U5751">
        <v>-1.001007</v>
      </c>
      <c r="V5751">
        <v>-0.30674600000000002</v>
      </c>
      <c r="W5751">
        <v>0.3692105</v>
      </c>
      <c r="X5751">
        <v>0.87726309999999996</v>
      </c>
      <c r="Y5751">
        <v>-0.35434789999999999</v>
      </c>
      <c r="Z5751">
        <v>8.5229520000000003E-2</v>
      </c>
      <c r="AA5751">
        <v>0.93122150000000004</v>
      </c>
      <c r="AB5751">
        <v>24</v>
      </c>
      <c r="AC5751">
        <v>8.7004999999999697</v>
      </c>
      <c r="AD5751">
        <v>-1.1163630220459999</v>
      </c>
      <c r="AE5751">
        <v>-2.6568800000000001</v>
      </c>
      <c r="AF5751">
        <v>-3.2635491531627401</v>
      </c>
      <c r="AG5751">
        <v>-1.1163630220459999</v>
      </c>
      <c r="AH5751">
        <v>8.34683290211707</v>
      </c>
      <c r="AI5751">
        <v>97.100419034778398</v>
      </c>
      <c r="AJ5751">
        <v>111.35512617771001</v>
      </c>
      <c r="AK5751">
        <v>9.0314250795743796</v>
      </c>
      <c r="AL5751">
        <v>68.333065534259902</v>
      </c>
      <c r="AM5751">
        <v>109.27281688401099</v>
      </c>
      <c r="AN5751">
        <v>1.00000002422392</v>
      </c>
    </row>
    <row r="5752" spans="1:40" x14ac:dyDescent="0.25">
      <c r="A5752" t="str">
        <f>"20190304164241154"</f>
        <v>20190304164241154</v>
      </c>
      <c r="B5752" t="str">
        <f>"1551688961146859"</f>
        <v>1551688961146859</v>
      </c>
      <c r="C5752" t="s">
        <v>40</v>
      </c>
      <c r="D5752">
        <v>4.4247719999999999</v>
      </c>
      <c r="E5752">
        <v>0.49107099999999998</v>
      </c>
      <c r="F5752" t="s">
        <v>57</v>
      </c>
      <c r="G5752">
        <v>-403.89060000000001</v>
      </c>
      <c r="H5752" s="1">
        <v>-5.0391889999999999E-6</v>
      </c>
      <c r="I5752">
        <v>23.600840000000002</v>
      </c>
      <c r="J5752">
        <v>-412.55470000000003</v>
      </c>
      <c r="K5752">
        <v>1.1163160000000001</v>
      </c>
      <c r="L5752">
        <v>26.25272</v>
      </c>
      <c r="M5752">
        <v>0.78709689999999999</v>
      </c>
      <c r="N5752">
        <v>-1.4533849999999999E-2</v>
      </c>
      <c r="O5752">
        <v>-0.61665819999999905</v>
      </c>
      <c r="P5752">
        <v>0.88048150000000003</v>
      </c>
      <c r="Q5752">
        <v>0.3604947</v>
      </c>
      <c r="R5752">
        <v>-0.30788979999999999</v>
      </c>
      <c r="S5752">
        <v>3.225311</v>
      </c>
      <c r="T5752">
        <v>-0.41089680000000001</v>
      </c>
      <c r="U5752">
        <v>-1.0024409999999999</v>
      </c>
      <c r="V5752">
        <v>-0.30560779999999999</v>
      </c>
      <c r="W5752">
        <v>0.36924069999999998</v>
      </c>
      <c r="X5752">
        <v>0.87764759999999997</v>
      </c>
      <c r="Y5752">
        <v>-0.34970469999999998</v>
      </c>
      <c r="Z5752">
        <v>8.5044499999999995E-2</v>
      </c>
      <c r="AA5752">
        <v>0.93299200000000004</v>
      </c>
      <c r="AB5752">
        <v>24</v>
      </c>
      <c r="AC5752">
        <v>8.6641000000000101</v>
      </c>
      <c r="AD5752">
        <v>-1.1163210391889999</v>
      </c>
      <c r="AE5752">
        <v>-2.6518799999999998</v>
      </c>
      <c r="AF5752">
        <v>-3.2071643365237401</v>
      </c>
      <c r="AG5752">
        <v>-1.1163210391889999</v>
      </c>
      <c r="AH5752">
        <v>8.3292537123095602</v>
      </c>
      <c r="AI5752">
        <v>97.129117176676402</v>
      </c>
      <c r="AJ5752">
        <v>111.059111826419</v>
      </c>
      <c r="AK5752">
        <v>8.9949176287517201</v>
      </c>
      <c r="AL5752">
        <v>68.331204588026097</v>
      </c>
      <c r="AM5752">
        <v>109.198752254626</v>
      </c>
      <c r="AN5752">
        <v>1.00000006587154</v>
      </c>
    </row>
    <row r="5753" spans="1:40" x14ac:dyDescent="0.25">
      <c r="A5753" t="str">
        <f>"20190304164241166"</f>
        <v>20190304164241166</v>
      </c>
      <c r="B5753" t="str">
        <f>"1551688961156620"</f>
        <v>1551688961156620</v>
      </c>
      <c r="C5753" t="s">
        <v>40</v>
      </c>
      <c r="D5753">
        <v>4.4191079999999996</v>
      </c>
      <c r="E5753">
        <v>0.49257990000000001</v>
      </c>
      <c r="F5753" t="s">
        <v>57</v>
      </c>
      <c r="G5753">
        <v>-403.80619999999999</v>
      </c>
      <c r="H5753" s="1">
        <v>-5.0666969999999901E-6</v>
      </c>
      <c r="I5753">
        <v>23.534379999999999</v>
      </c>
      <c r="J5753">
        <v>-412.46260000000001</v>
      </c>
      <c r="K5753">
        <v>1.116277</v>
      </c>
      <c r="L5753">
        <v>26.186309999999999</v>
      </c>
      <c r="M5753">
        <v>0.78967349999999903</v>
      </c>
      <c r="N5753">
        <v>-1.452117E-2</v>
      </c>
      <c r="O5753">
        <v>-0.61335550000000005</v>
      </c>
      <c r="P5753">
        <v>0.88133169999999905</v>
      </c>
      <c r="Q5753">
        <v>0.36058309999999999</v>
      </c>
      <c r="R5753">
        <v>-0.30534289999999997</v>
      </c>
      <c r="S5753">
        <v>3.225311</v>
      </c>
      <c r="T5753">
        <v>-0.411553</v>
      </c>
      <c r="U5753">
        <v>-1.002167</v>
      </c>
      <c r="V5753">
        <v>-0.30440529999999999</v>
      </c>
      <c r="W5753">
        <v>0.36936829999999998</v>
      </c>
      <c r="X5753">
        <v>0.87801169999999995</v>
      </c>
      <c r="Y5753">
        <v>-0.34587519999999999</v>
      </c>
      <c r="Z5753">
        <v>8.4682800000000003E-2</v>
      </c>
      <c r="AA5753">
        <v>0.93445129999999998</v>
      </c>
      <c r="AB5753">
        <v>24</v>
      </c>
      <c r="AC5753">
        <v>8.6564000000000192</v>
      </c>
      <c r="AD5753">
        <v>-1.1162820666969999</v>
      </c>
      <c r="AE5753">
        <v>-2.6519300000000001</v>
      </c>
      <c r="AF5753">
        <v>-3.1674771609715702</v>
      </c>
      <c r="AG5753">
        <v>-1.1162820666969999</v>
      </c>
      <c r="AH5753">
        <v>8.3364627450492499</v>
      </c>
      <c r="AI5753">
        <v>97.134761163761794</v>
      </c>
      <c r="AJ5753">
        <v>110.804516730518</v>
      </c>
      <c r="AK5753">
        <v>8.9875251497450606</v>
      </c>
      <c r="AL5753">
        <v>68.323336842886206</v>
      </c>
      <c r="AM5753">
        <v>109.12135225794501</v>
      </c>
      <c r="AN5753">
        <v>1.00000003652493</v>
      </c>
    </row>
    <row r="5754" spans="1:40" x14ac:dyDescent="0.25">
      <c r="A5754" t="str">
        <f>"20190304164241186"</f>
        <v>20190304164241186</v>
      </c>
      <c r="B5754" t="str">
        <f>"1551688961177115"</f>
        <v>1551688961177115</v>
      </c>
      <c r="C5754" t="s">
        <v>40</v>
      </c>
      <c r="D5754">
        <v>4.4162280000000003</v>
      </c>
      <c r="E5754">
        <v>0.4948573</v>
      </c>
      <c r="F5754" t="s">
        <v>57</v>
      </c>
      <c r="G5754">
        <v>-403.7312</v>
      </c>
      <c r="H5754" s="1">
        <v>-5.0905870000000003E-6</v>
      </c>
      <c r="I5754">
        <v>23.4724</v>
      </c>
      <c r="J5754">
        <v>-412.2955</v>
      </c>
      <c r="K5754">
        <v>1.1162110000000001</v>
      </c>
      <c r="L5754">
        <v>26.06729</v>
      </c>
      <c r="M5754">
        <v>0.79425659999999998</v>
      </c>
      <c r="N5754">
        <v>-1.4499059999999999E-2</v>
      </c>
      <c r="O5754">
        <v>-0.6074098</v>
      </c>
      <c r="P5754">
        <v>0.88257940000000001</v>
      </c>
      <c r="Q5754">
        <v>0.36144809999999999</v>
      </c>
      <c r="R5754">
        <v>-0.30068159999999999</v>
      </c>
      <c r="S5754">
        <v>3.2253419999999999</v>
      </c>
      <c r="T5754">
        <v>-0.41234870000000001</v>
      </c>
      <c r="U5754">
        <v>-1.002502</v>
      </c>
      <c r="V5754">
        <v>-0.30217470000000002</v>
      </c>
      <c r="W5754">
        <v>0.37029820000000002</v>
      </c>
      <c r="X5754">
        <v>0.87839040000000002</v>
      </c>
      <c r="Y5754">
        <v>-0.33879490000000001</v>
      </c>
      <c r="Z5754">
        <v>8.3920460000000002E-2</v>
      </c>
      <c r="AA5754">
        <v>0.93711009999999995</v>
      </c>
      <c r="AB5754">
        <v>24</v>
      </c>
      <c r="AC5754">
        <v>8.5642999999999994</v>
      </c>
      <c r="AD5754">
        <v>-1.116216090587</v>
      </c>
      <c r="AE5754">
        <v>-2.5948899999999901</v>
      </c>
      <c r="AF5754">
        <v>-3.0932345643083701</v>
      </c>
      <c r="AG5754">
        <v>-1.116216090587</v>
      </c>
      <c r="AH5754">
        <v>8.2509201529005995</v>
      </c>
      <c r="AI5754">
        <v>97.219464886474498</v>
      </c>
      <c r="AJ5754">
        <v>110.55080632561901</v>
      </c>
      <c r="AK5754">
        <v>8.8821012041216196</v>
      </c>
      <c r="AL5754">
        <v>68.265990791296502</v>
      </c>
      <c r="AM5754">
        <v>108.98370713679</v>
      </c>
      <c r="AN5754">
        <v>1.0000000005277401</v>
      </c>
    </row>
    <row r="5755" spans="1:40" x14ac:dyDescent="0.25">
      <c r="A5755" t="str">
        <f>"20190304164241202"</f>
        <v>20190304164241202</v>
      </c>
      <c r="B5755" t="str">
        <f>"1551688961197319"</f>
        <v>1551688961197319</v>
      </c>
      <c r="C5755" t="s">
        <v>40</v>
      </c>
      <c r="D5755">
        <v>4.4001140000000003</v>
      </c>
      <c r="E5755">
        <v>0.49671939999999998</v>
      </c>
      <c r="F5755" t="s">
        <v>57</v>
      </c>
      <c r="G5755">
        <v>-403.50749999999999</v>
      </c>
      <c r="H5755" s="1">
        <v>-5.1711829999999999E-6</v>
      </c>
      <c r="I5755">
        <v>23.339790000000001</v>
      </c>
      <c r="J5755">
        <v>-412.15879999999999</v>
      </c>
      <c r="K5755">
        <v>1.11616</v>
      </c>
      <c r="L5755">
        <v>25.971129999999999</v>
      </c>
      <c r="M5755">
        <v>0.797925</v>
      </c>
      <c r="N5755">
        <v>-1.4481600000000001E-2</v>
      </c>
      <c r="O5755">
        <v>-0.60258310000000004</v>
      </c>
      <c r="P5755">
        <v>0.88425390000000004</v>
      </c>
      <c r="Q5755">
        <v>0.3617554</v>
      </c>
      <c r="R5755">
        <v>-0.29534450000000001</v>
      </c>
      <c r="S5755">
        <v>3.2258300000000002</v>
      </c>
      <c r="T5755">
        <v>-0.40973280000000001</v>
      </c>
      <c r="U5755">
        <v>-1.00119</v>
      </c>
      <c r="V5755">
        <v>-0.30203360000000001</v>
      </c>
      <c r="W5755">
        <v>0.37063079999999998</v>
      </c>
      <c r="X5755">
        <v>0.87829859999999904</v>
      </c>
      <c r="Y5755">
        <v>-0.33360899999999999</v>
      </c>
      <c r="Z5755">
        <v>8.2623680000000005E-2</v>
      </c>
      <c r="AA5755">
        <v>0.93908380000000002</v>
      </c>
      <c r="AB5755">
        <v>24</v>
      </c>
      <c r="AC5755">
        <v>8.6512999999999902</v>
      </c>
      <c r="AD5755">
        <v>-1.1161651711830001</v>
      </c>
      <c r="AE5755">
        <v>-2.63133999999999</v>
      </c>
      <c r="AF5755">
        <v>-3.0671108454385498</v>
      </c>
      <c r="AG5755">
        <v>-1.1161651711830001</v>
      </c>
      <c r="AH5755">
        <v>8.3621726993786591</v>
      </c>
      <c r="AI5755">
        <v>97.142756744555001</v>
      </c>
      <c r="AJ5755">
        <v>110.142227344449</v>
      </c>
      <c r="AK5755">
        <v>8.9765765123348995</v>
      </c>
      <c r="AL5755">
        <v>68.245473434692599</v>
      </c>
      <c r="AM5755">
        <v>108.97731839460199</v>
      </c>
      <c r="AN5755">
        <v>0.99999995809977904</v>
      </c>
    </row>
    <row r="5756" spans="1:40" x14ac:dyDescent="0.25">
      <c r="A5756" t="str">
        <f>"20190304164241217"</f>
        <v>20190304164241217</v>
      </c>
      <c r="B5756" t="str">
        <f>"1551688961207078"</f>
        <v>1551688961207078</v>
      </c>
      <c r="C5756" t="s">
        <v>40</v>
      </c>
      <c r="D5756">
        <v>4.4114610000000001</v>
      </c>
      <c r="E5756">
        <v>0.49756089999999997</v>
      </c>
      <c r="F5756" t="s">
        <v>57</v>
      </c>
      <c r="G5756">
        <v>-403.37630000000001</v>
      </c>
      <c r="H5756" s="1">
        <v>-5.2177790000000003E-6</v>
      </c>
      <c r="I5756">
        <v>23.258220000000001</v>
      </c>
      <c r="J5756">
        <v>-412.02800000000002</v>
      </c>
      <c r="K5756">
        <v>1.1161129999999999</v>
      </c>
      <c r="L5756">
        <v>25.880459999999999</v>
      </c>
      <c r="M5756">
        <v>0.80135769999999995</v>
      </c>
      <c r="N5756">
        <v>-1.4465240000000001E-2</v>
      </c>
      <c r="O5756">
        <v>-0.59801079999999995</v>
      </c>
      <c r="P5756">
        <v>0.8845208</v>
      </c>
      <c r="Q5756">
        <v>0.36314540000000001</v>
      </c>
      <c r="R5756">
        <v>-0.29282930000000001</v>
      </c>
      <c r="S5756">
        <v>3.227509</v>
      </c>
      <c r="T5756">
        <v>-0.41018510000000002</v>
      </c>
      <c r="U5756">
        <v>-0.99697880000000005</v>
      </c>
      <c r="V5756">
        <v>-0.29912359999999999</v>
      </c>
      <c r="W5756">
        <v>0.37208599999999997</v>
      </c>
      <c r="X5756">
        <v>0.87867919999999999</v>
      </c>
      <c r="Y5756">
        <v>-0.32951419999999998</v>
      </c>
      <c r="Z5756">
        <v>8.2071069999999996E-2</v>
      </c>
      <c r="AA5756">
        <v>0.94057679999999999</v>
      </c>
      <c r="AB5756">
        <v>24</v>
      </c>
      <c r="AC5756">
        <v>8.6516999999999999</v>
      </c>
      <c r="AD5756">
        <v>-1.1161182177790001</v>
      </c>
      <c r="AE5756">
        <v>-2.6222399999999899</v>
      </c>
      <c r="AF5756">
        <v>-3.0266459126557299</v>
      </c>
      <c r="AG5756">
        <v>-1.1161182177790001</v>
      </c>
      <c r="AH5756">
        <v>8.3744765222402506</v>
      </c>
      <c r="AI5756">
        <v>97.144271438743402</v>
      </c>
      <c r="AJ5756">
        <v>109.870521942756</v>
      </c>
      <c r="AK5756">
        <v>8.97430567666418</v>
      </c>
      <c r="AL5756">
        <v>68.155676689048093</v>
      </c>
      <c r="AM5756">
        <v>108.799813047672</v>
      </c>
      <c r="AN5756">
        <v>1.0000000279927901</v>
      </c>
    </row>
    <row r="5757" spans="1:40" x14ac:dyDescent="0.25">
      <c r="A5757" t="str">
        <f>"20190304164241230"</f>
        <v>20190304164241230</v>
      </c>
      <c r="B5757" t="str">
        <f>"1551688961226599"</f>
        <v>1551688961226599</v>
      </c>
      <c r="C5757" t="s">
        <v>40</v>
      </c>
      <c r="D5757">
        <v>4.4206810000000001</v>
      </c>
      <c r="E5757">
        <v>0.49912909999999999</v>
      </c>
      <c r="F5757" t="s">
        <v>57</v>
      </c>
      <c r="G5757">
        <v>-403.15190000000001</v>
      </c>
      <c r="H5757" s="1">
        <v>-5.3034919999999999E-6</v>
      </c>
      <c r="I5757">
        <v>23.152470000000001</v>
      </c>
      <c r="J5757">
        <v>-411.93040000000002</v>
      </c>
      <c r="K5757">
        <v>1.1160760000000001</v>
      </c>
      <c r="L5757">
        <v>25.813510000000001</v>
      </c>
      <c r="M5757">
        <v>0.80387810000000004</v>
      </c>
      <c r="N5757">
        <v>-1.445343E-2</v>
      </c>
      <c r="O5757">
        <v>-0.59461839999999999</v>
      </c>
      <c r="P5757">
        <v>0.88507549999999902</v>
      </c>
      <c r="Q5757">
        <v>0.36382189999999998</v>
      </c>
      <c r="R5757">
        <v>-0.29030149999999999</v>
      </c>
      <c r="S5757">
        <v>3.229797</v>
      </c>
      <c r="T5757">
        <v>-0.40612670000000001</v>
      </c>
      <c r="U5757">
        <v>-0.99264529999999995</v>
      </c>
      <c r="V5757">
        <v>-0.29772029999999999</v>
      </c>
      <c r="W5757">
        <v>0.37280039999999998</v>
      </c>
      <c r="X5757">
        <v>0.878853</v>
      </c>
      <c r="Y5757">
        <v>-0.327013</v>
      </c>
      <c r="Z5757">
        <v>8.0736000000000002E-2</v>
      </c>
      <c r="AA5757">
        <v>0.94156479999999998</v>
      </c>
      <c r="AB5757">
        <v>24</v>
      </c>
      <c r="AC5757">
        <v>8.7784999999999993</v>
      </c>
      <c r="AD5757">
        <v>-1.1160813034919901</v>
      </c>
      <c r="AE5757">
        <v>-2.6610399999999998</v>
      </c>
      <c r="AF5757">
        <v>-3.03608226781094</v>
      </c>
      <c r="AG5757">
        <v>-1.1160813034919901</v>
      </c>
      <c r="AH5757">
        <v>8.5140104530555991</v>
      </c>
      <c r="AI5757">
        <v>97.038797930776994</v>
      </c>
      <c r="AJ5757">
        <v>109.62615163195601</v>
      </c>
      <c r="AK5757">
        <v>9.1077882610247602</v>
      </c>
      <c r="AL5757">
        <v>68.111572062532503</v>
      </c>
      <c r="AM5757">
        <v>108.714327744549</v>
      </c>
      <c r="AN5757">
        <v>1.0000000554406201</v>
      </c>
    </row>
    <row r="5758" spans="1:40" x14ac:dyDescent="0.25">
      <c r="A5758" t="str">
        <f>"20190304164241243"</f>
        <v>20190304164241243</v>
      </c>
      <c r="B5758" t="str">
        <f>"1551688961237335"</f>
        <v>1551688961237335</v>
      </c>
      <c r="C5758" t="s">
        <v>40</v>
      </c>
      <c r="D5758">
        <v>4.4497650000000002</v>
      </c>
      <c r="E5758">
        <v>0.49984650000000003</v>
      </c>
      <c r="F5758" t="s">
        <v>57</v>
      </c>
      <c r="G5758">
        <v>-403.03519999999997</v>
      </c>
      <c r="H5758" s="1">
        <v>-5.3435840000000004E-6</v>
      </c>
      <c r="I5758">
        <v>23.072230000000001</v>
      </c>
      <c r="J5758">
        <v>-411.81209999999999</v>
      </c>
      <c r="K5758">
        <v>1.1160330000000001</v>
      </c>
      <c r="L5758">
        <v>25.73282</v>
      </c>
      <c r="M5758">
        <v>0.80689369999999905</v>
      </c>
      <c r="N5758">
        <v>-1.4439499999999999E-2</v>
      </c>
      <c r="O5758">
        <v>-0.59052009999999999</v>
      </c>
      <c r="P5758">
        <v>0.88604179999999999</v>
      </c>
      <c r="Q5758">
        <v>0.36399359999999997</v>
      </c>
      <c r="R5758">
        <v>-0.28712130000000002</v>
      </c>
      <c r="S5758">
        <v>3.2296749999999999</v>
      </c>
      <c r="T5758">
        <v>-0.40522580000000002</v>
      </c>
      <c r="U5758">
        <v>-0.99530030000000003</v>
      </c>
      <c r="V5758">
        <v>-0.2963134</v>
      </c>
      <c r="W5758">
        <v>0.37301669999999998</v>
      </c>
      <c r="X5758">
        <v>0.87923660000000003</v>
      </c>
      <c r="Y5758">
        <v>-0.32156659999999998</v>
      </c>
      <c r="Z5758">
        <v>7.9851279999999997E-2</v>
      </c>
      <c r="AA5758">
        <v>0.94351399999999996</v>
      </c>
      <c r="AB5758">
        <v>23</v>
      </c>
      <c r="AC5758">
        <v>8.7769000000000101</v>
      </c>
      <c r="AD5758">
        <v>-1.116038343584</v>
      </c>
      <c r="AE5758">
        <v>-2.66059</v>
      </c>
      <c r="AF5758">
        <v>-2.9921317200492399</v>
      </c>
      <c r="AG5758">
        <v>-1.116038343584</v>
      </c>
      <c r="AH5758">
        <v>8.5277802924369404</v>
      </c>
      <c r="AI5758">
        <v>97.039821237712999</v>
      </c>
      <c r="AJ5758">
        <v>109.33437846683201</v>
      </c>
      <c r="AK5758">
        <v>9.1061204983544108</v>
      </c>
      <c r="AL5758">
        <v>68.098215295672901</v>
      </c>
      <c r="AM5758">
        <v>108.624440609833</v>
      </c>
      <c r="AN5758">
        <v>1.000000044139</v>
      </c>
    </row>
    <row r="5759" spans="1:40" x14ac:dyDescent="0.25">
      <c r="A5759" t="str">
        <f>"20190304164241254"</f>
        <v>20190304164241254</v>
      </c>
      <c r="B5759" t="str">
        <f>"1551688961247095"</f>
        <v>1551688961247095</v>
      </c>
      <c r="C5759" t="s">
        <v>40</v>
      </c>
      <c r="D5759">
        <v>4.4255449999999996</v>
      </c>
      <c r="E5759">
        <v>0.50050530000000004</v>
      </c>
      <c r="F5759" t="s">
        <v>57</v>
      </c>
      <c r="G5759">
        <v>-402.91669999999999</v>
      </c>
      <c r="H5759" s="1">
        <v>-5.387788E-6</v>
      </c>
      <c r="I5759">
        <v>23.010490000000001</v>
      </c>
      <c r="J5759">
        <v>-411.70850000000002</v>
      </c>
      <c r="K5759">
        <v>1.115988</v>
      </c>
      <c r="L5759">
        <v>25.66309</v>
      </c>
      <c r="M5759">
        <v>0.80947519999999995</v>
      </c>
      <c r="N5759">
        <v>-1.442704E-2</v>
      </c>
      <c r="O5759">
        <v>-0.58697690000000002</v>
      </c>
      <c r="P5759">
        <v>0.88675170000000003</v>
      </c>
      <c r="Q5759">
        <v>0.364342</v>
      </c>
      <c r="R5759">
        <v>-0.28447600000000001</v>
      </c>
      <c r="S5759">
        <v>3.231903</v>
      </c>
      <c r="T5759">
        <v>-0.40547899999999998</v>
      </c>
      <c r="U5759">
        <v>-0.98907469999999997</v>
      </c>
      <c r="V5759">
        <v>-0.2949524</v>
      </c>
      <c r="W5759">
        <v>0.37340869999999998</v>
      </c>
      <c r="X5759">
        <v>0.87952770000000002</v>
      </c>
      <c r="Y5759">
        <v>-0.31928719999999999</v>
      </c>
      <c r="Z5759">
        <v>7.9454419999999998E-2</v>
      </c>
      <c r="AA5759">
        <v>0.94432130000000003</v>
      </c>
      <c r="AB5759">
        <v>23</v>
      </c>
      <c r="AC5759">
        <v>8.7918000000000198</v>
      </c>
      <c r="AD5759">
        <v>-1.1159933877879999</v>
      </c>
      <c r="AE5759">
        <v>-2.6526000000000001</v>
      </c>
      <c r="AF5759">
        <v>-2.9698237974284201</v>
      </c>
      <c r="AG5759">
        <v>-1.1159933877879999</v>
      </c>
      <c r="AH5759">
        <v>8.5484156702043208</v>
      </c>
      <c r="AI5759">
        <v>97.030200161510393</v>
      </c>
      <c r="AJ5759">
        <v>109.157850103146</v>
      </c>
      <c r="AK5759">
        <v>9.1181525047541001</v>
      </c>
      <c r="AL5759">
        <v>68.074004549828004</v>
      </c>
      <c r="AM5759">
        <v>108.53904080372899</v>
      </c>
      <c r="AN5759">
        <v>0.99999997528436901</v>
      </c>
    </row>
    <row r="5760" spans="1:40" x14ac:dyDescent="0.25">
      <c r="A5760" t="str">
        <f>"20190304164241266"</f>
        <v>20190304164241266</v>
      </c>
      <c r="B5760" t="str">
        <f>"1551688961256855"</f>
        <v>1551688961256855</v>
      </c>
      <c r="C5760" t="s">
        <v>40</v>
      </c>
      <c r="D5760">
        <v>4.4265829999999999</v>
      </c>
      <c r="E5760">
        <v>0.50106839999999997</v>
      </c>
      <c r="F5760" t="s">
        <v>57</v>
      </c>
      <c r="G5760">
        <v>-402.81209999999999</v>
      </c>
      <c r="H5760" s="1">
        <v>-5.4264570000000003E-6</v>
      </c>
      <c r="I5760">
        <v>22.954070000000002</v>
      </c>
      <c r="J5760">
        <v>-411.6105</v>
      </c>
      <c r="K5760">
        <v>1.115944</v>
      </c>
      <c r="L5760">
        <v>25.597560000000001</v>
      </c>
      <c r="M5760">
        <v>0.81188369999999999</v>
      </c>
      <c r="N5760">
        <v>-1.4415300000000001E-2</v>
      </c>
      <c r="O5760">
        <v>-0.58364119999999997</v>
      </c>
      <c r="P5760">
        <v>0.88745469999999904</v>
      </c>
      <c r="Q5760">
        <v>0.3644385</v>
      </c>
      <c r="R5760">
        <v>-0.28215069999999998</v>
      </c>
      <c r="S5760">
        <v>3.2338870000000002</v>
      </c>
      <c r="T5760">
        <v>-0.40566869999999999</v>
      </c>
      <c r="U5760">
        <v>-0.98474119999999998</v>
      </c>
      <c r="V5760">
        <v>-0.2935662</v>
      </c>
      <c r="W5760">
        <v>0.37355110000000002</v>
      </c>
      <c r="X5760">
        <v>0.87993099999999902</v>
      </c>
      <c r="Y5760">
        <v>-0.31673869999999998</v>
      </c>
      <c r="Z5760">
        <v>7.9036460000000003E-2</v>
      </c>
      <c r="AA5760">
        <v>0.9452142</v>
      </c>
      <c r="AB5760">
        <v>23</v>
      </c>
      <c r="AC5760">
        <v>8.7984000000000098</v>
      </c>
      <c r="AD5760">
        <v>-1.115949426457</v>
      </c>
      <c r="AE5760">
        <v>-2.6434899999999999</v>
      </c>
      <c r="AF5760">
        <v>-2.9457475945142901</v>
      </c>
      <c r="AG5760">
        <v>-1.115949426457</v>
      </c>
      <c r="AH5760">
        <v>8.5607142254970992</v>
      </c>
      <c r="AI5760">
        <v>97.027038699738895</v>
      </c>
      <c r="AJ5760">
        <v>108.988375093607</v>
      </c>
      <c r="AK5760">
        <v>9.1218748107845098</v>
      </c>
      <c r="AL5760">
        <v>68.065210939471697</v>
      </c>
      <c r="AM5760">
        <v>108.449941954124</v>
      </c>
      <c r="AN5760">
        <v>1.00000005142732</v>
      </c>
    </row>
    <row r="5761" spans="1:40" x14ac:dyDescent="0.25">
      <c r="A5761" t="str">
        <f>"20190304164241278"</f>
        <v>20190304164241278</v>
      </c>
      <c r="B5761" t="str">
        <f>"1551688961266615"</f>
        <v>1551688961266615</v>
      </c>
      <c r="C5761" t="s">
        <v>40</v>
      </c>
      <c r="D5761">
        <v>4.4366529999999997</v>
      </c>
      <c r="E5761">
        <v>0.50165099999999996</v>
      </c>
      <c r="F5761" t="s">
        <v>57</v>
      </c>
      <c r="G5761">
        <v>-402.72840000000002</v>
      </c>
      <c r="H5761" s="1">
        <v>-5.4571419999999997E-6</v>
      </c>
      <c r="I5761">
        <v>22.907499999999999</v>
      </c>
      <c r="J5761">
        <v>-411.50779999999997</v>
      </c>
      <c r="K5761">
        <v>1.1158939999999999</v>
      </c>
      <c r="L5761">
        <v>25.529419999999998</v>
      </c>
      <c r="M5761">
        <v>0.81436519999999901</v>
      </c>
      <c r="N5761">
        <v>-1.440282E-2</v>
      </c>
      <c r="O5761">
        <v>-0.58017399999999997</v>
      </c>
      <c r="P5761">
        <v>0.88821600000000001</v>
      </c>
      <c r="Q5761">
        <v>0.36444389999999999</v>
      </c>
      <c r="R5761">
        <v>-0.27973749999999997</v>
      </c>
      <c r="S5761">
        <v>3.2358090000000002</v>
      </c>
      <c r="T5761">
        <v>-0.40654829999999997</v>
      </c>
      <c r="U5761">
        <v>-0.98001099999999997</v>
      </c>
      <c r="V5761">
        <v>-0.29214830000000003</v>
      </c>
      <c r="W5761">
        <v>0.37360589999999999</v>
      </c>
      <c r="X5761">
        <v>0.88037949999999998</v>
      </c>
      <c r="Y5761">
        <v>-0.3141294</v>
      </c>
      <c r="Z5761">
        <v>7.8749559999999996E-2</v>
      </c>
      <c r="AA5761">
        <v>0.94610850000000002</v>
      </c>
      <c r="AB5761">
        <v>23</v>
      </c>
      <c r="AC5761">
        <v>8.7793999999999492</v>
      </c>
      <c r="AD5761">
        <v>-1.115899457142</v>
      </c>
      <c r="AE5761">
        <v>-2.6219199999999998</v>
      </c>
      <c r="AF5761">
        <v>-2.9154425146048299</v>
      </c>
      <c r="AG5761">
        <v>-1.115899457142</v>
      </c>
      <c r="AH5761">
        <v>8.5449631245938704</v>
      </c>
      <c r="AI5761">
        <v>97.045775951932896</v>
      </c>
      <c r="AJ5761">
        <v>108.83904710489099</v>
      </c>
      <c r="AK5761">
        <v>9.0973310072286697</v>
      </c>
      <c r="AL5761">
        <v>68.061825586343801</v>
      </c>
      <c r="AM5761">
        <v>108.35809447684601</v>
      </c>
      <c r="AN5761">
        <v>1.00000003086397</v>
      </c>
    </row>
    <row r="5762" spans="1:40" x14ac:dyDescent="0.25">
      <c r="A5762" t="str">
        <f>"20190304164241293"</f>
        <v>20190304164241293</v>
      </c>
      <c r="B5762" t="str">
        <f>"1551688961287131"</f>
        <v>1551688961287131</v>
      </c>
      <c r="C5762" t="s">
        <v>40</v>
      </c>
      <c r="D5762">
        <v>4.4371589999999896</v>
      </c>
      <c r="E5762">
        <v>0.51536910000000002</v>
      </c>
      <c r="F5762" t="s">
        <v>57</v>
      </c>
      <c r="G5762">
        <v>-402.64949999999999</v>
      </c>
      <c r="H5762" s="1">
        <v>-5.4859040000000004E-6</v>
      </c>
      <c r="I5762">
        <v>22.862469999999998</v>
      </c>
      <c r="J5762">
        <v>-411.37639999999999</v>
      </c>
      <c r="K5762">
        <v>1.11582</v>
      </c>
      <c r="L5762">
        <v>25.443300000000001</v>
      </c>
      <c r="M5762">
        <v>0.81746600000000003</v>
      </c>
      <c r="N5762">
        <v>-1.4386110000000001E-2</v>
      </c>
      <c r="O5762">
        <v>-0.57579709999999995</v>
      </c>
      <c r="P5762">
        <v>0.88938649999999997</v>
      </c>
      <c r="Q5762">
        <v>0.36428959999999999</v>
      </c>
      <c r="R5762">
        <v>-0.27619660000000001</v>
      </c>
      <c r="S5762">
        <v>3.2378849999999999</v>
      </c>
      <c r="T5762">
        <v>-0.40788390000000002</v>
      </c>
      <c r="U5762">
        <v>-0.974823</v>
      </c>
      <c r="V5762">
        <v>-0.29089359999999997</v>
      </c>
      <c r="W5762">
        <v>0.37350949999999999</v>
      </c>
      <c r="X5762">
        <v>0.8808357</v>
      </c>
      <c r="Y5762">
        <v>-0.3106061</v>
      </c>
      <c r="Z5762">
        <v>7.841832E-2</v>
      </c>
      <c r="AA5762">
        <v>0.94729850000000004</v>
      </c>
      <c r="AB5762">
        <v>23</v>
      </c>
      <c r="AC5762">
        <v>8.7269000000000005</v>
      </c>
      <c r="AD5762">
        <v>-1.115825485904</v>
      </c>
      <c r="AE5762">
        <v>-2.5808300000000002</v>
      </c>
      <c r="AF5762">
        <v>-2.87230397581807</v>
      </c>
      <c r="AG5762">
        <v>-1.115825485904</v>
      </c>
      <c r="AH5762">
        <v>8.4931885808675691</v>
      </c>
      <c r="AI5762">
        <v>97.094237574990998</v>
      </c>
      <c r="AJ5762">
        <v>108.684977503908</v>
      </c>
      <c r="AK5762">
        <v>9.0349017102939495</v>
      </c>
      <c r="AL5762">
        <v>68.067778821167806</v>
      </c>
      <c r="AM5762">
        <v>108.275666066676</v>
      </c>
      <c r="AN5762">
        <v>0.99999998175284899</v>
      </c>
    </row>
    <row r="5763" spans="1:40" x14ac:dyDescent="0.25">
      <c r="A5763" t="str">
        <f>"20190304164241309"</f>
        <v>20190304164241309</v>
      </c>
      <c r="B5763" t="str">
        <f>"1551688961296891"</f>
        <v>1551688961296891</v>
      </c>
      <c r="C5763" t="s">
        <v>40</v>
      </c>
      <c r="D5763">
        <v>4.4118589999999998</v>
      </c>
      <c r="E5763">
        <v>0.51504209999999995</v>
      </c>
      <c r="F5763" t="s">
        <v>57</v>
      </c>
      <c r="G5763">
        <v>-403.21620000000001</v>
      </c>
      <c r="H5763" s="1">
        <v>-5.1996199999999999E-6</v>
      </c>
      <c r="I5763">
        <v>22.737300000000001</v>
      </c>
      <c r="J5763">
        <v>-411.23930000000001</v>
      </c>
      <c r="K5763">
        <v>1.1157319999999999</v>
      </c>
      <c r="L5763">
        <v>25.354340000000001</v>
      </c>
      <c r="M5763">
        <v>0.82062380000000001</v>
      </c>
      <c r="N5763">
        <v>-1.4368479999999999E-2</v>
      </c>
      <c r="O5763">
        <v>-0.57128829999999997</v>
      </c>
      <c r="P5763">
        <v>0.89034340000000001</v>
      </c>
      <c r="Q5763">
        <v>0.3640002</v>
      </c>
      <c r="R5763">
        <v>-0.27348250000000002</v>
      </c>
      <c r="S5763">
        <v>3.2217410000000002</v>
      </c>
      <c r="T5763">
        <v>-0.44054070000000001</v>
      </c>
      <c r="U5763">
        <v>-1.0683590000000001</v>
      </c>
      <c r="V5763">
        <v>-0.28870639999999997</v>
      </c>
      <c r="W5763">
        <v>0.3732994</v>
      </c>
      <c r="X5763">
        <v>0.88164399999999998</v>
      </c>
      <c r="Y5763">
        <v>-0.27833770000000002</v>
      </c>
      <c r="Z5763">
        <v>8.2327659999999997E-2</v>
      </c>
      <c r="AA5763">
        <v>0.95694840000000003</v>
      </c>
      <c r="AB5763">
        <v>23</v>
      </c>
      <c r="AC5763">
        <v>8.0230999999999995</v>
      </c>
      <c r="AD5763">
        <v>-1.1157371996199901</v>
      </c>
      <c r="AE5763">
        <v>-2.6170399999999998</v>
      </c>
      <c r="AF5763">
        <v>-2.3942980863704202</v>
      </c>
      <c r="AG5763">
        <v>-1.1157371996199901</v>
      </c>
      <c r="AH5763">
        <v>7.9410591058203099</v>
      </c>
      <c r="AI5763">
        <v>97.661482834171096</v>
      </c>
      <c r="AJ5763">
        <v>106.778513859943</v>
      </c>
      <c r="AK5763">
        <v>8.3688680565023006</v>
      </c>
      <c r="AL5763">
        <v>68.080755345669402</v>
      </c>
      <c r="AM5763">
        <v>108.131742669659</v>
      </c>
      <c r="AN5763">
        <v>0.99999998508865895</v>
      </c>
    </row>
    <row r="5764" spans="1:40" x14ac:dyDescent="0.25">
      <c r="A5764" t="str">
        <f>"20190304164241325"</f>
        <v>20190304164241325</v>
      </c>
      <c r="B5764" t="str">
        <f>"1551688961317388"</f>
        <v>1551688961317388</v>
      </c>
      <c r="C5764" t="s">
        <v>40</v>
      </c>
      <c r="D5764">
        <v>4.4320259999999996</v>
      </c>
      <c r="E5764">
        <v>0.51558470000000001</v>
      </c>
      <c r="F5764" t="s">
        <v>57</v>
      </c>
      <c r="G5764">
        <v>-403.03899999999999</v>
      </c>
      <c r="H5764" s="1">
        <v>-5.2698989999999999E-6</v>
      </c>
      <c r="I5764">
        <v>22.66844</v>
      </c>
      <c r="J5764">
        <v>-411.10680000000002</v>
      </c>
      <c r="K5764">
        <v>1.1156469999999901</v>
      </c>
      <c r="L5764">
        <v>25.269069999999999</v>
      </c>
      <c r="M5764">
        <v>0.82360630000000001</v>
      </c>
      <c r="N5764">
        <v>-1.4351360000000001E-2</v>
      </c>
      <c r="O5764">
        <v>-0.56698040000000005</v>
      </c>
      <c r="P5764">
        <v>0.89156729999999995</v>
      </c>
      <c r="Q5764">
        <v>0.36403020000000003</v>
      </c>
      <c r="R5764">
        <v>-0.26942509999999997</v>
      </c>
      <c r="S5764">
        <v>3.2244570000000001</v>
      </c>
      <c r="T5764">
        <v>-0.43871949999999998</v>
      </c>
      <c r="U5764">
        <v>-1.056122</v>
      </c>
      <c r="V5764">
        <v>-0.28801379999999999</v>
      </c>
      <c r="W5764">
        <v>0.37338339999999998</v>
      </c>
      <c r="X5764">
        <v>0.88183500000000004</v>
      </c>
      <c r="Y5764">
        <v>-0.2769047</v>
      </c>
      <c r="Z5764">
        <v>8.1483490000000006E-2</v>
      </c>
      <c r="AA5764">
        <v>0.95743630000000002</v>
      </c>
      <c r="AB5764">
        <v>23</v>
      </c>
      <c r="AC5764">
        <v>8.0678000000000303</v>
      </c>
      <c r="AD5764">
        <v>-1.1156522698989999</v>
      </c>
      <c r="AE5764">
        <v>-2.6006300000000002</v>
      </c>
      <c r="AF5764">
        <v>-2.39121739395212</v>
      </c>
      <c r="AG5764">
        <v>-1.1156522698989999</v>
      </c>
      <c r="AH5764">
        <v>7.9817675907680297</v>
      </c>
      <c r="AI5764">
        <v>97.626290422007202</v>
      </c>
      <c r="AJ5764">
        <v>106.677424332532</v>
      </c>
      <c r="AK5764">
        <v>8.4066173033809992</v>
      </c>
      <c r="AL5764">
        <v>68.075568640943004</v>
      </c>
      <c r="AM5764">
        <v>108.087418860068</v>
      </c>
      <c r="AN5764">
        <v>1.00000003980549</v>
      </c>
    </row>
    <row r="5765" spans="1:40" x14ac:dyDescent="0.25">
      <c r="A5765" t="str">
        <f>"20190304164241335"</f>
        <v>20190304164241335</v>
      </c>
      <c r="B5765" t="str">
        <f>"1551688961327148"</f>
        <v>1551688961327148</v>
      </c>
      <c r="C5765" t="s">
        <v>40</v>
      </c>
      <c r="D5765">
        <v>4.422974</v>
      </c>
      <c r="E5765">
        <v>0.51578880000000005</v>
      </c>
      <c r="F5765" t="s">
        <v>57</v>
      </c>
      <c r="G5765">
        <v>-402.92380000000003</v>
      </c>
      <c r="H5765" s="1">
        <v>-5.314229E-6</v>
      </c>
      <c r="I5765">
        <v>22.616019999999999</v>
      </c>
      <c r="J5765">
        <v>-411.00560000000002</v>
      </c>
      <c r="K5765">
        <v>1.115577</v>
      </c>
      <c r="L5765">
        <v>25.204709999999999</v>
      </c>
      <c r="M5765">
        <v>0.82582289999999903</v>
      </c>
      <c r="N5765">
        <v>-1.4337910000000001E-2</v>
      </c>
      <c r="O5765">
        <v>-0.5637472</v>
      </c>
      <c r="P5765">
        <v>0.89234639999999998</v>
      </c>
      <c r="Q5765">
        <v>0.3644289</v>
      </c>
      <c r="R5765">
        <v>-0.26628849999999998</v>
      </c>
      <c r="S5765">
        <v>3.2282709999999999</v>
      </c>
      <c r="T5765">
        <v>-0.44013730000000001</v>
      </c>
      <c r="U5765">
        <v>-1.0466610000000001</v>
      </c>
      <c r="V5765">
        <v>-0.28750710000000002</v>
      </c>
      <c r="W5765">
        <v>0.37382219999999999</v>
      </c>
      <c r="X5765">
        <v>0.8818144</v>
      </c>
      <c r="Y5765">
        <v>-0.27600089999999999</v>
      </c>
      <c r="Z5765">
        <v>8.1371219999999994E-2</v>
      </c>
      <c r="AA5765">
        <v>0.95770670000000002</v>
      </c>
      <c r="AB5765">
        <v>23</v>
      </c>
      <c r="AC5765">
        <v>8.0817999999999799</v>
      </c>
      <c r="AD5765">
        <v>-1.115582314229</v>
      </c>
      <c r="AE5765">
        <v>-2.5886900000000002</v>
      </c>
      <c r="AF5765">
        <v>-2.37745644304671</v>
      </c>
      <c r="AG5765">
        <v>-1.115582314229</v>
      </c>
      <c r="AH5765">
        <v>7.9961568881072296</v>
      </c>
      <c r="AI5765">
        <v>97.616916845248795</v>
      </c>
      <c r="AJ5765">
        <v>106.558523765724</v>
      </c>
      <c r="AK5765">
        <v>8.4163738045330199</v>
      </c>
      <c r="AL5765">
        <v>68.048463766290595</v>
      </c>
      <c r="AM5765">
        <v>108.058059633865</v>
      </c>
      <c r="AN5765">
        <v>1.0000000029053</v>
      </c>
    </row>
    <row r="5766" spans="1:40" x14ac:dyDescent="0.25">
      <c r="A5766" t="str">
        <f>"20190304164241353"</f>
        <v>20190304164241353</v>
      </c>
      <c r="B5766" t="str">
        <f>"1551688961346667"</f>
        <v>1551688961346667</v>
      </c>
      <c r="C5766" t="s">
        <v>40</v>
      </c>
      <c r="D5766">
        <v>4.4342230000000002</v>
      </c>
      <c r="E5766">
        <v>0.51614389999999999</v>
      </c>
      <c r="F5766" t="s">
        <v>57</v>
      </c>
      <c r="G5766">
        <v>-402.78980000000001</v>
      </c>
      <c r="H5766" s="1">
        <v>-5.3675870000000004E-6</v>
      </c>
      <c r="I5766">
        <v>22.565000000000001</v>
      </c>
      <c r="J5766">
        <v>-410.86</v>
      </c>
      <c r="K5766">
        <v>1.1154790000000001</v>
      </c>
      <c r="L5766">
        <v>25.11298</v>
      </c>
      <c r="M5766">
        <v>0.82893669999999997</v>
      </c>
      <c r="N5766">
        <v>-1.431871E-2</v>
      </c>
      <c r="O5766">
        <v>-0.55915930000000003</v>
      </c>
      <c r="P5766">
        <v>0.89331729999999998</v>
      </c>
      <c r="Q5766">
        <v>0.36506149999999998</v>
      </c>
      <c r="R5766">
        <v>-0.2621348</v>
      </c>
      <c r="S5766">
        <v>3.231293</v>
      </c>
      <c r="T5766">
        <v>-0.4387624</v>
      </c>
      <c r="U5766">
        <v>-1.038208</v>
      </c>
      <c r="V5766">
        <v>-0.28648940000000001</v>
      </c>
      <c r="W5766">
        <v>0.37451649999999997</v>
      </c>
      <c r="X5766">
        <v>0.88185100000000005</v>
      </c>
      <c r="Y5766">
        <v>-0.27328950000000002</v>
      </c>
      <c r="Z5766">
        <v>8.046963E-2</v>
      </c>
      <c r="AA5766">
        <v>0.95856010000000003</v>
      </c>
      <c r="AB5766">
        <v>23</v>
      </c>
      <c r="AC5766">
        <v>8.0701999999999998</v>
      </c>
      <c r="AD5766">
        <v>-1.1154843675870001</v>
      </c>
      <c r="AE5766">
        <v>-2.5479799999999901</v>
      </c>
      <c r="AF5766">
        <v>-2.35966319582616</v>
      </c>
      <c r="AG5766">
        <v>-1.1154843675870001</v>
      </c>
      <c r="AH5766">
        <v>7.9766592575160704</v>
      </c>
      <c r="AI5766">
        <v>97.637746887469802</v>
      </c>
      <c r="AJ5766">
        <v>106.479322690435</v>
      </c>
      <c r="AK5766">
        <v>8.3928188758357205</v>
      </c>
      <c r="AL5766">
        <v>68.005566925142503</v>
      </c>
      <c r="AM5766">
        <v>107.997569382975</v>
      </c>
      <c r="AN5766">
        <v>0.99999998564280501</v>
      </c>
    </row>
    <row r="5767" spans="1:40" x14ac:dyDescent="0.25">
      <c r="A5767" t="str">
        <f>"20190304164241366"</f>
        <v>20190304164241366</v>
      </c>
      <c r="B5767" t="str">
        <f>"1551688961357405"</f>
        <v>1551688961357405</v>
      </c>
      <c r="C5767" t="s">
        <v>40</v>
      </c>
      <c r="D5767">
        <v>4.4585030000000003</v>
      </c>
      <c r="E5767">
        <v>0.51644860000000004</v>
      </c>
      <c r="F5767" t="s">
        <v>57</v>
      </c>
      <c r="G5767">
        <v>-402.63459999999998</v>
      </c>
      <c r="H5767" s="1">
        <v>-5.4277620000000002E-6</v>
      </c>
      <c r="I5767">
        <v>22.49691</v>
      </c>
      <c r="J5767">
        <v>-410.74919999999997</v>
      </c>
      <c r="K5767">
        <v>1.1154059999999999</v>
      </c>
      <c r="L5767">
        <v>25.04373</v>
      </c>
      <c r="M5767">
        <v>0.83125170000000004</v>
      </c>
      <c r="N5767">
        <v>-1.4304229999999999E-2</v>
      </c>
      <c r="O5767">
        <v>-0.5557124</v>
      </c>
      <c r="P5767">
        <v>0.89418109999999995</v>
      </c>
      <c r="Q5767">
        <v>0.36536439999999998</v>
      </c>
      <c r="R5767">
        <v>-0.25874550000000002</v>
      </c>
      <c r="S5767">
        <v>3.2355649999999998</v>
      </c>
      <c r="T5767">
        <v>-0.43878600000000001</v>
      </c>
      <c r="U5767">
        <v>-1.029053</v>
      </c>
      <c r="V5767">
        <v>-0.28603770000000001</v>
      </c>
      <c r="W5767">
        <v>0.37486130000000001</v>
      </c>
      <c r="X5767">
        <v>0.88185119999999895</v>
      </c>
      <c r="Y5767">
        <v>-0.27215909999999999</v>
      </c>
      <c r="Z5767">
        <v>8.0029999999999907E-2</v>
      </c>
      <c r="AA5767">
        <v>0.95891850000000001</v>
      </c>
      <c r="AB5767">
        <v>23</v>
      </c>
      <c r="AC5767">
        <v>8.1145999999999905</v>
      </c>
      <c r="AD5767">
        <v>-1.115411427762</v>
      </c>
      <c r="AE5767">
        <v>-2.5468199999999999</v>
      </c>
      <c r="AF5767">
        <v>-2.3521228599442701</v>
      </c>
      <c r="AG5767">
        <v>-1.115411427762</v>
      </c>
      <c r="AH5767">
        <v>8.0234042179194507</v>
      </c>
      <c r="AI5767">
        <v>97.598696921263397</v>
      </c>
      <c r="AJ5767">
        <v>106.33890620424</v>
      </c>
      <c r="AK5767">
        <v>8.4351431431589905</v>
      </c>
      <c r="AL5767">
        <v>67.984260555148097</v>
      </c>
      <c r="AM5767">
        <v>107.971015388848</v>
      </c>
      <c r="AN5767">
        <v>1.0000000495001999</v>
      </c>
    </row>
    <row r="5768" spans="1:40" x14ac:dyDescent="0.25">
      <c r="A5768" t="str">
        <f>"20190304164241378"</f>
        <v>20190304164241378</v>
      </c>
      <c r="B5768" t="str">
        <f>"1551688961367164"</f>
        <v>1551688961367164</v>
      </c>
      <c r="C5768" t="s">
        <v>40</v>
      </c>
      <c r="D5768">
        <v>4.4853529999999999</v>
      </c>
      <c r="E5768">
        <v>0.51644860000000004</v>
      </c>
      <c r="F5768" t="s">
        <v>57</v>
      </c>
      <c r="G5768">
        <v>-402.49950000000001</v>
      </c>
      <c r="H5768" s="1">
        <v>-5.481327E-6</v>
      </c>
      <c r="I5768">
        <v>22.444310000000002</v>
      </c>
      <c r="J5768">
        <v>-410.63589999999999</v>
      </c>
      <c r="K5768">
        <v>1.1153280000000001</v>
      </c>
      <c r="L5768">
        <v>24.973510000000001</v>
      </c>
      <c r="M5768">
        <v>0.83356200000000003</v>
      </c>
      <c r="N5768">
        <v>-1.4289349999999999E-2</v>
      </c>
      <c r="O5768">
        <v>-0.55224110000000004</v>
      </c>
      <c r="P5768">
        <v>0.89502890000000002</v>
      </c>
      <c r="Q5768">
        <v>0.36552410000000002</v>
      </c>
      <c r="R5768">
        <v>-0.25556899999999999</v>
      </c>
      <c r="S5768">
        <v>3.2386780000000002</v>
      </c>
      <c r="T5768">
        <v>-0.43788700000000003</v>
      </c>
      <c r="U5768">
        <v>-1.0204770000000001</v>
      </c>
      <c r="V5768">
        <v>-0.28538570000000002</v>
      </c>
      <c r="W5768">
        <v>0.3750677</v>
      </c>
      <c r="X5768">
        <v>0.88197459999999905</v>
      </c>
      <c r="Y5768">
        <v>-0.27077790000000002</v>
      </c>
      <c r="Z5768">
        <v>7.9415429999999995E-2</v>
      </c>
      <c r="AA5768">
        <v>0.95936049999999995</v>
      </c>
      <c r="AB5768">
        <v>23</v>
      </c>
      <c r="AC5768">
        <v>8.1363999999999805</v>
      </c>
      <c r="AD5768">
        <v>-1.1153334813269999</v>
      </c>
      <c r="AE5768">
        <v>-2.5291999999999901</v>
      </c>
      <c r="AF5768">
        <v>-2.3450700540096299</v>
      </c>
      <c r="AG5768">
        <v>-1.1153334813269999</v>
      </c>
      <c r="AH5768">
        <v>8.0419576367361998</v>
      </c>
      <c r="AI5768">
        <v>97.583982210208902</v>
      </c>
      <c r="AJ5768">
        <v>106.256915571913</v>
      </c>
      <c r="AK5768">
        <v>8.4508227388723292</v>
      </c>
      <c r="AL5768">
        <v>67.971502508813003</v>
      </c>
      <c r="AM5768">
        <v>107.93032945730501</v>
      </c>
      <c r="AN5768">
        <v>0.99999998619646902</v>
      </c>
    </row>
    <row r="5769" spans="1:40" x14ac:dyDescent="0.25">
      <c r="A5769" t="str">
        <f>"20190304164241391"</f>
        <v>20190304164241391</v>
      </c>
      <c r="B5769" t="str">
        <f>"1551688961386684"</f>
        <v>1551688961386684</v>
      </c>
      <c r="C5769" t="s">
        <v>40</v>
      </c>
      <c r="D5769">
        <v>4.453462</v>
      </c>
      <c r="E5769">
        <v>0.52788000000000002</v>
      </c>
      <c r="F5769" t="s">
        <v>57</v>
      </c>
      <c r="G5769">
        <v>-402.3664</v>
      </c>
      <c r="H5769" s="1">
        <v>-5.5351380000000004E-6</v>
      </c>
      <c r="I5769">
        <v>22.398430000000001</v>
      </c>
      <c r="J5769">
        <v>-410.52600000000001</v>
      </c>
      <c r="K5769">
        <v>1.115253</v>
      </c>
      <c r="L5769">
        <v>24.906040000000001</v>
      </c>
      <c r="M5769">
        <v>0.83574359999999903</v>
      </c>
      <c r="N5769">
        <v>-1.427489E-2</v>
      </c>
      <c r="O5769">
        <v>-0.54893429999999999</v>
      </c>
      <c r="P5769">
        <v>0.89591540000000003</v>
      </c>
      <c r="Q5769">
        <v>0.36558990000000002</v>
      </c>
      <c r="R5769">
        <v>-0.25234820000000002</v>
      </c>
      <c r="S5769">
        <v>3.2421259999999998</v>
      </c>
      <c r="T5769">
        <v>-0.4372761</v>
      </c>
      <c r="U5769">
        <v>-1.0095829999999999</v>
      </c>
      <c r="V5769">
        <v>-0.28498200000000001</v>
      </c>
      <c r="W5769">
        <v>0.3751756</v>
      </c>
      <c r="X5769">
        <v>0.88205929999999999</v>
      </c>
      <c r="Y5769">
        <v>-0.27023370000000002</v>
      </c>
      <c r="Z5769">
        <v>7.8935379999999999E-2</v>
      </c>
      <c r="AA5769">
        <v>0.95955349999999995</v>
      </c>
      <c r="AB5769">
        <v>23</v>
      </c>
      <c r="AC5769">
        <v>8.15960000000001</v>
      </c>
      <c r="AD5769">
        <v>-1.115258535138</v>
      </c>
      <c r="AE5769">
        <v>-2.5076100000000001</v>
      </c>
      <c r="AF5769">
        <v>-2.3436041717135199</v>
      </c>
      <c r="AG5769">
        <v>-1.115258535138</v>
      </c>
      <c r="AH5769">
        <v>8.0591171994654403</v>
      </c>
      <c r="AI5769">
        <v>97.569131073608304</v>
      </c>
      <c r="AJ5769">
        <v>106.214515265533</v>
      </c>
      <c r="AK5769">
        <v>8.4667379874772806</v>
      </c>
      <c r="AL5769">
        <v>67.964834523682995</v>
      </c>
      <c r="AM5769">
        <v>107.904976591029</v>
      </c>
      <c r="AN5769">
        <v>1.0000000399379201</v>
      </c>
    </row>
    <row r="5770" spans="1:40" x14ac:dyDescent="0.25">
      <c r="A5770" t="str">
        <f>"20190304164241409"</f>
        <v>20190304164241409</v>
      </c>
      <c r="B5770" t="str">
        <f>"1551688961397421"</f>
        <v>1551688961397421</v>
      </c>
      <c r="C5770" t="s">
        <v>40</v>
      </c>
      <c r="D5770">
        <v>4.4447519999999896</v>
      </c>
      <c r="E5770">
        <v>0.52841850000000001</v>
      </c>
      <c r="F5770" t="s">
        <v>57</v>
      </c>
      <c r="G5770">
        <v>-402.16640000000001</v>
      </c>
      <c r="H5770" s="1">
        <v>-5.5726209999999998E-6</v>
      </c>
      <c r="I5770">
        <v>22.085599999999999</v>
      </c>
      <c r="J5770">
        <v>-410.37700000000001</v>
      </c>
      <c r="K5770">
        <v>1.1151530000000001</v>
      </c>
      <c r="L5770">
        <v>24.81531</v>
      </c>
      <c r="M5770">
        <v>0.83862939999999997</v>
      </c>
      <c r="N5770">
        <v>-1.4255479999999999E-2</v>
      </c>
      <c r="O5770">
        <v>-0.544516</v>
      </c>
      <c r="P5770">
        <v>0.89719380000000004</v>
      </c>
      <c r="Q5770">
        <v>0.36501440000000002</v>
      </c>
      <c r="R5770">
        <v>-0.24861220000000001</v>
      </c>
      <c r="S5770">
        <v>3.2179259999999998</v>
      </c>
      <c r="T5770">
        <v>-0.42930629999999997</v>
      </c>
      <c r="U5770">
        <v>-1.085693</v>
      </c>
      <c r="V5770">
        <v>-0.28402949999999999</v>
      </c>
      <c r="W5770">
        <v>0.37466630000000001</v>
      </c>
      <c r="X5770">
        <v>0.8825828</v>
      </c>
      <c r="Y5770">
        <v>-0.24290700000000001</v>
      </c>
      <c r="Z5770">
        <v>7.5264189999999995E-2</v>
      </c>
      <c r="AA5770">
        <v>0.96712540000000002</v>
      </c>
      <c r="AB5770">
        <v>23</v>
      </c>
      <c r="AC5770">
        <v>8.2105999999999408</v>
      </c>
      <c r="AD5770">
        <v>-1.115158572621</v>
      </c>
      <c r="AE5770">
        <v>-2.7297099999999999</v>
      </c>
      <c r="AF5770">
        <v>-2.14615991209737</v>
      </c>
      <c r="AG5770">
        <v>-1.115158572621</v>
      </c>
      <c r="AH5770">
        <v>8.2360631159974407</v>
      </c>
      <c r="AI5770">
        <v>97.464606080716493</v>
      </c>
      <c r="AJ5770">
        <v>104.605382041692</v>
      </c>
      <c r="AK5770">
        <v>8.5838404377689503</v>
      </c>
      <c r="AL5770">
        <v>67.996310262783496</v>
      </c>
      <c r="AM5770">
        <v>107.839019750204</v>
      </c>
      <c r="AN5770">
        <v>0.99999999604088996</v>
      </c>
    </row>
    <row r="5771" spans="1:40" x14ac:dyDescent="0.25">
      <c r="A5771" t="str">
        <f>"20190304164241426"</f>
        <v>20190304164241426</v>
      </c>
      <c r="B5771" t="str">
        <f>"1551688961416939"</f>
        <v>1551688961416939</v>
      </c>
      <c r="C5771" t="s">
        <v>40</v>
      </c>
      <c r="D5771">
        <v>4.3977909999999998</v>
      </c>
      <c r="E5771">
        <v>0.52942400000000001</v>
      </c>
      <c r="F5771" t="s">
        <v>57</v>
      </c>
      <c r="G5771">
        <v>-401.98809999999997</v>
      </c>
      <c r="H5771" s="1">
        <v>-5.6423010000000004E-6</v>
      </c>
      <c r="I5771">
        <v>22.010439999999999</v>
      </c>
      <c r="J5771">
        <v>-410.21890000000002</v>
      </c>
      <c r="K5771">
        <v>1.1150519999999999</v>
      </c>
      <c r="L5771">
        <v>24.720089999999999</v>
      </c>
      <c r="M5771">
        <v>0.84159229999999996</v>
      </c>
      <c r="N5771">
        <v>-1.4234989999999999E-2</v>
      </c>
      <c r="O5771">
        <v>-0.53992589999999996</v>
      </c>
      <c r="P5771">
        <v>0.89874089999999995</v>
      </c>
      <c r="Q5771">
        <v>0.36439480000000002</v>
      </c>
      <c r="R5771">
        <v>-0.24388879999999999</v>
      </c>
      <c r="S5771">
        <v>3.2196349999999998</v>
      </c>
      <c r="T5771">
        <v>-0.42799720000000002</v>
      </c>
      <c r="U5771">
        <v>-1.076508</v>
      </c>
      <c r="V5771">
        <v>-0.28388580000000002</v>
      </c>
      <c r="W5771">
        <v>0.37410349999999998</v>
      </c>
      <c r="X5771">
        <v>0.88286779999999998</v>
      </c>
      <c r="Y5771">
        <v>-0.240315</v>
      </c>
      <c r="Z5771">
        <v>7.4439439999999996E-2</v>
      </c>
      <c r="AA5771">
        <v>0.96783649999999999</v>
      </c>
      <c r="AB5771">
        <v>23</v>
      </c>
      <c r="AC5771">
        <v>8.2308000000000394</v>
      </c>
      <c r="AD5771">
        <v>-1.1150576423009999</v>
      </c>
      <c r="AE5771">
        <v>-2.7096499999999999</v>
      </c>
      <c r="AF5771">
        <v>-2.12857441265295</v>
      </c>
      <c r="AG5771">
        <v>-1.1150576423009999</v>
      </c>
      <c r="AH5771">
        <v>8.2541604117764695</v>
      </c>
      <c r="AI5771">
        <v>97.452591833326593</v>
      </c>
      <c r="AJ5771">
        <v>104.460326611143</v>
      </c>
      <c r="AK5771">
        <v>8.5968218941183494</v>
      </c>
      <c r="AL5771">
        <v>68.031086982276406</v>
      </c>
      <c r="AM5771">
        <v>107.82517447748801</v>
      </c>
      <c r="AN5771">
        <v>1.0000000642153599</v>
      </c>
    </row>
    <row r="5772" spans="1:40" x14ac:dyDescent="0.25">
      <c r="A5772" t="str">
        <f>"20190304164241441"</f>
        <v>20190304164241441</v>
      </c>
      <c r="B5772" t="str">
        <f>"1551688961437436"</f>
        <v>1551688961437436</v>
      </c>
      <c r="C5772" t="s">
        <v>40</v>
      </c>
      <c r="D5772">
        <v>4.4357300000000004</v>
      </c>
      <c r="E5772">
        <v>0.53017879999999995</v>
      </c>
      <c r="F5772" t="s">
        <v>57</v>
      </c>
      <c r="G5772">
        <v>-401.9212</v>
      </c>
      <c r="H5772" s="1">
        <v>-5.6666790000000004E-6</v>
      </c>
      <c r="I5772">
        <v>21.972339999999999</v>
      </c>
      <c r="J5772">
        <v>-410.08449999999999</v>
      </c>
      <c r="K5772">
        <v>1.1149789999999999</v>
      </c>
      <c r="L5772">
        <v>24.63983</v>
      </c>
      <c r="M5772">
        <v>0.84404609999999902</v>
      </c>
      <c r="N5772">
        <v>-1.4217860000000001E-2</v>
      </c>
      <c r="O5772">
        <v>-0.53608230000000001</v>
      </c>
      <c r="P5772">
        <v>0.89957679999999995</v>
      </c>
      <c r="Q5772">
        <v>0.3641877</v>
      </c>
      <c r="R5772">
        <v>-0.2410996</v>
      </c>
      <c r="S5772">
        <v>3.22403</v>
      </c>
      <c r="T5772">
        <v>-0.43325039999999998</v>
      </c>
      <c r="U5772">
        <v>-1.0676270000000001</v>
      </c>
      <c r="V5772">
        <v>-0.28255740000000001</v>
      </c>
      <c r="W5772">
        <v>0.37395800000000001</v>
      </c>
      <c r="X5772">
        <v>0.88335540000000001</v>
      </c>
      <c r="Y5772">
        <v>-0.23859739999999999</v>
      </c>
      <c r="Z5772">
        <v>7.489809E-2</v>
      </c>
      <c r="AA5772">
        <v>0.96822600000000003</v>
      </c>
      <c r="AB5772">
        <v>23</v>
      </c>
      <c r="AC5772">
        <v>8.1632999999999907</v>
      </c>
      <c r="AD5772">
        <v>-1.114984666679</v>
      </c>
      <c r="AE5772">
        <v>-2.6674899999999999</v>
      </c>
      <c r="AF5772">
        <v>-2.0897072282290501</v>
      </c>
      <c r="AG5772">
        <v>-1.114984666679</v>
      </c>
      <c r="AH5772">
        <v>8.1831041012894694</v>
      </c>
      <c r="AI5772">
        <v>97.520574119067405</v>
      </c>
      <c r="AJ5772">
        <v>104.32537587994899</v>
      </c>
      <c r="AK5772">
        <v>8.5189940626333698</v>
      </c>
      <c r="AL5772">
        <v>68.040074866653697</v>
      </c>
      <c r="AM5772">
        <v>107.737827013272</v>
      </c>
      <c r="AN5772">
        <v>1.00000001638396</v>
      </c>
    </row>
    <row r="5773" spans="1:40" x14ac:dyDescent="0.25">
      <c r="A5773" t="str">
        <f>"20190304164241454"</f>
        <v>20190304164241454</v>
      </c>
      <c r="B5773" t="str">
        <f>"1551688961447196"</f>
        <v>1551688961447196</v>
      </c>
      <c r="C5773" t="s">
        <v>40</v>
      </c>
      <c r="D5773">
        <v>4.4117280000000001</v>
      </c>
      <c r="E5773">
        <v>0.5305204</v>
      </c>
      <c r="F5773" t="s">
        <v>57</v>
      </c>
      <c r="G5773">
        <v>-401.84429999999998</v>
      </c>
      <c r="H5773" s="1">
        <v>-5.6946319999999997E-6</v>
      </c>
      <c r="I5773">
        <v>21.92801</v>
      </c>
      <c r="J5773">
        <v>-409.98009999999999</v>
      </c>
      <c r="K5773">
        <v>1.1149260000000001</v>
      </c>
      <c r="L5773">
        <v>24.578279999999999</v>
      </c>
      <c r="M5773">
        <v>0.84589590000000003</v>
      </c>
      <c r="N5773">
        <v>-1.420481E-2</v>
      </c>
      <c r="O5773">
        <v>-0.53315880000000004</v>
      </c>
      <c r="P5773">
        <v>0.90000759999999902</v>
      </c>
      <c r="Q5773">
        <v>0.36461169999999998</v>
      </c>
      <c r="R5773">
        <v>-0.238841</v>
      </c>
      <c r="S5773">
        <v>3.2270509999999999</v>
      </c>
      <c r="T5773">
        <v>-0.43665310000000002</v>
      </c>
      <c r="U5773">
        <v>-1.062012</v>
      </c>
      <c r="V5773">
        <v>-0.28157290000000001</v>
      </c>
      <c r="W5773">
        <v>0.37442140000000002</v>
      </c>
      <c r="X5773">
        <v>0.88347350000000002</v>
      </c>
      <c r="Y5773">
        <v>-0.2369774</v>
      </c>
      <c r="Z5773">
        <v>7.5106339999999994E-2</v>
      </c>
      <c r="AA5773">
        <v>0.96860760000000001</v>
      </c>
      <c r="AB5773">
        <v>23</v>
      </c>
      <c r="AC5773">
        <v>8.1358000000000104</v>
      </c>
      <c r="AD5773">
        <v>-1.114931694632</v>
      </c>
      <c r="AE5773">
        <v>-2.6502699999999901</v>
      </c>
      <c r="AF5773">
        <v>-2.0610393169721899</v>
      </c>
      <c r="AG5773">
        <v>-1.114931694632</v>
      </c>
      <c r="AH5773">
        <v>8.1573927648042197</v>
      </c>
      <c r="AI5773">
        <v>97.548473854151695</v>
      </c>
      <c r="AJ5773">
        <v>104.179545341793</v>
      </c>
      <c r="AK5773">
        <v>8.4872853415612504</v>
      </c>
      <c r="AL5773">
        <v>68.011444905273805</v>
      </c>
      <c r="AM5773">
        <v>107.677662952655</v>
      </c>
      <c r="AN5773">
        <v>1.0000000539973</v>
      </c>
    </row>
    <row r="5774" spans="1:40" x14ac:dyDescent="0.25">
      <c r="A5774" t="str">
        <f>"20190304164241465"</f>
        <v>20190304164241465</v>
      </c>
      <c r="B5774" t="str">
        <f>"1551688961456955"</f>
        <v>1551688961456955</v>
      </c>
      <c r="C5774" t="s">
        <v>40</v>
      </c>
      <c r="D5774">
        <v>4.4208499999999997</v>
      </c>
      <c r="E5774">
        <v>0.53094710000000001</v>
      </c>
      <c r="F5774" t="s">
        <v>57</v>
      </c>
      <c r="G5774">
        <v>-401.7097</v>
      </c>
      <c r="H5774" s="1">
        <v>-5.7478999999999996E-6</v>
      </c>
      <c r="I5774">
        <v>21.875129999999999</v>
      </c>
      <c r="J5774">
        <v>-409.87720000000002</v>
      </c>
      <c r="K5774">
        <v>1.1148750000000001</v>
      </c>
      <c r="L5774">
        <v>24.517790000000002</v>
      </c>
      <c r="M5774">
        <v>0.847699599999999</v>
      </c>
      <c r="N5774">
        <v>-1.4192410000000001E-2</v>
      </c>
      <c r="O5774">
        <v>-0.53028679999999995</v>
      </c>
      <c r="P5774">
        <v>0.90050419999999998</v>
      </c>
      <c r="Q5774">
        <v>0.36489240000000001</v>
      </c>
      <c r="R5774">
        <v>-0.23652970000000001</v>
      </c>
      <c r="S5774">
        <v>3.229584</v>
      </c>
      <c r="T5774">
        <v>-0.4353786</v>
      </c>
      <c r="U5774">
        <v>-1.0555730000000001</v>
      </c>
      <c r="V5774">
        <v>-0.28073150000000002</v>
      </c>
      <c r="W5774">
        <v>0.37473879999999998</v>
      </c>
      <c r="X5774">
        <v>0.88360659999999902</v>
      </c>
      <c r="Y5774">
        <v>-0.23571110000000001</v>
      </c>
      <c r="Z5774">
        <v>7.4493599999999993E-2</v>
      </c>
      <c r="AA5774">
        <v>0.96896389999999999</v>
      </c>
      <c r="AB5774">
        <v>23</v>
      </c>
      <c r="AC5774">
        <v>8.1675000000000093</v>
      </c>
      <c r="AD5774">
        <v>-1.1148807479</v>
      </c>
      <c r="AE5774">
        <v>-2.6426599999999998</v>
      </c>
      <c r="AF5774">
        <v>-2.0564597604887802</v>
      </c>
      <c r="AG5774">
        <v>-1.1148807479</v>
      </c>
      <c r="AH5774">
        <v>8.1876903337994502</v>
      </c>
      <c r="AI5774">
        <v>97.523154164411395</v>
      </c>
      <c r="AJ5774">
        <v>104.09903960698</v>
      </c>
      <c r="AK5774">
        <v>8.5152955809379094</v>
      </c>
      <c r="AL5774">
        <v>67.991829610650598</v>
      </c>
      <c r="AM5774">
        <v>107.625622804925</v>
      </c>
      <c r="AN5774">
        <v>0.99999998344062402</v>
      </c>
    </row>
    <row r="5775" spans="1:40" x14ac:dyDescent="0.25">
      <c r="A5775" t="str">
        <f>"20190304164241477"</f>
        <v>20190304164241477</v>
      </c>
      <c r="B5775" t="str">
        <f>"1551688961466716"</f>
        <v>1551688961466716</v>
      </c>
      <c r="C5775" t="s">
        <v>40</v>
      </c>
      <c r="D5775">
        <v>4.4213120000000004</v>
      </c>
      <c r="E5775">
        <v>0.53127780000000002</v>
      </c>
      <c r="F5775" t="s">
        <v>57</v>
      </c>
      <c r="G5775">
        <v>-401.59500000000003</v>
      </c>
      <c r="H5775" s="1">
        <v>-5.7929269999999997E-6</v>
      </c>
      <c r="I5775">
        <v>21.827999999999999</v>
      </c>
      <c r="J5775">
        <v>-409.76949999999999</v>
      </c>
      <c r="K5775">
        <v>1.114827</v>
      </c>
      <c r="L5775">
        <v>24.455020000000001</v>
      </c>
      <c r="M5775">
        <v>0.84954549999999995</v>
      </c>
      <c r="N5775">
        <v>-1.417999E-2</v>
      </c>
      <c r="O5775">
        <v>-0.52732480000000004</v>
      </c>
      <c r="P5775">
        <v>0.90095409999999998</v>
      </c>
      <c r="Q5775">
        <v>0.36533389999999999</v>
      </c>
      <c r="R5775">
        <v>-0.2341222</v>
      </c>
      <c r="S5775">
        <v>3.2320859999999998</v>
      </c>
      <c r="T5775">
        <v>-0.43507859999999998</v>
      </c>
      <c r="U5775">
        <v>-1.0496829999999999</v>
      </c>
      <c r="V5775">
        <v>-0.27986509999999998</v>
      </c>
      <c r="W5775">
        <v>0.37521539999999998</v>
      </c>
      <c r="X5775">
        <v>0.8836792</v>
      </c>
      <c r="Y5775">
        <v>-0.23417550000000001</v>
      </c>
      <c r="Z5775">
        <v>7.4030819999999997E-2</v>
      </c>
      <c r="AA5775">
        <v>0.9693716</v>
      </c>
      <c r="AB5775">
        <v>23</v>
      </c>
      <c r="AC5775">
        <v>8.1744999999999592</v>
      </c>
      <c r="AD5775">
        <v>-1.1148327929269899</v>
      </c>
      <c r="AE5775">
        <v>-2.6270199999999901</v>
      </c>
      <c r="AF5775">
        <v>-2.0445844011972798</v>
      </c>
      <c r="AG5775">
        <v>-1.1148327929269899</v>
      </c>
      <c r="AH5775">
        <v>8.1926264335561392</v>
      </c>
      <c r="AI5775">
        <v>97.521157240715198</v>
      </c>
      <c r="AJ5775">
        <v>104.01272810336999</v>
      </c>
      <c r="AK5775">
        <v>8.5171770798550099</v>
      </c>
      <c r="AL5775">
        <v>67.962373494838999</v>
      </c>
      <c r="AM5775">
        <v>107.573224220103</v>
      </c>
      <c r="AN5775">
        <v>0.99999999955390495</v>
      </c>
    </row>
    <row r="5776" spans="1:40" x14ac:dyDescent="0.25">
      <c r="A5776" t="str">
        <f>"20190304164241490"</f>
        <v>20190304164241490</v>
      </c>
      <c r="B5776" t="str">
        <f>"1551688961487211"</f>
        <v>1551688961487211</v>
      </c>
      <c r="C5776" t="s">
        <v>40</v>
      </c>
      <c r="D5776">
        <v>4.4111539999999998</v>
      </c>
      <c r="E5776">
        <v>0.53168890000000002</v>
      </c>
      <c r="F5776" t="s">
        <v>57</v>
      </c>
      <c r="G5776">
        <v>-401.4658</v>
      </c>
      <c r="H5776" s="1">
        <v>-5.8441789999999999E-6</v>
      </c>
      <c r="I5776">
        <v>21.777650000000001</v>
      </c>
      <c r="J5776">
        <v>-409.65769999999998</v>
      </c>
      <c r="K5776">
        <v>1.114778</v>
      </c>
      <c r="L5776">
        <v>24.39038</v>
      </c>
      <c r="M5776">
        <v>0.85142439999999997</v>
      </c>
      <c r="N5776">
        <v>-1.416767E-2</v>
      </c>
      <c r="O5776">
        <v>-0.52428599999999903</v>
      </c>
      <c r="P5776">
        <v>0.90139040000000004</v>
      </c>
      <c r="Q5776">
        <v>0.36586590000000002</v>
      </c>
      <c r="R5776">
        <v>-0.23159740000000001</v>
      </c>
      <c r="S5776">
        <v>3.2348940000000002</v>
      </c>
      <c r="T5776">
        <v>-0.43430829999999998</v>
      </c>
      <c r="U5776">
        <v>-1.0430299999999999</v>
      </c>
      <c r="V5776">
        <v>-0.27902329999999997</v>
      </c>
      <c r="W5776">
        <v>0.37578010000000001</v>
      </c>
      <c r="X5776">
        <v>0.88370539999999997</v>
      </c>
      <c r="Y5776">
        <v>-0.23280290000000001</v>
      </c>
      <c r="Z5776">
        <v>7.3483580000000007E-2</v>
      </c>
      <c r="AA5776">
        <v>0.96974380000000004</v>
      </c>
      <c r="AB5776">
        <v>23</v>
      </c>
      <c r="AC5776">
        <v>8.1918999999999702</v>
      </c>
      <c r="AD5776">
        <v>-1.1147838441789999</v>
      </c>
      <c r="AE5776">
        <v>-2.6127299999999898</v>
      </c>
      <c r="AF5776">
        <v>-2.0363355993343499</v>
      </c>
      <c r="AG5776">
        <v>-1.1147838441789999</v>
      </c>
      <c r="AH5776">
        <v>8.2074799330654198</v>
      </c>
      <c r="AI5776">
        <v>97.509909093689004</v>
      </c>
      <c r="AJ5776">
        <v>103.934132852849</v>
      </c>
      <c r="AK5776">
        <v>8.5294860656448908</v>
      </c>
      <c r="AL5776">
        <v>67.927463081497805</v>
      </c>
      <c r="AM5776">
        <v>107.523117921603</v>
      </c>
      <c r="AN5776">
        <v>0.999999959744029</v>
      </c>
    </row>
    <row r="5777" spans="1:40" x14ac:dyDescent="0.25">
      <c r="A5777" t="str">
        <f>"20190304164241505"</f>
        <v>20190304164241505</v>
      </c>
      <c r="B5777" t="str">
        <f>"1551688961496974"</f>
        <v>1551688961496974</v>
      </c>
      <c r="C5777" t="s">
        <v>40</v>
      </c>
      <c r="D5777">
        <v>4.4215369999999998</v>
      </c>
      <c r="E5777">
        <v>0.53168890000000002</v>
      </c>
      <c r="F5777" t="s">
        <v>57</v>
      </c>
      <c r="G5777">
        <v>-401.35250000000002</v>
      </c>
      <c r="H5777" s="1">
        <v>-5.8886349999999997E-6</v>
      </c>
      <c r="I5777">
        <v>21.730969999999999</v>
      </c>
      <c r="J5777">
        <v>-409.52420000000001</v>
      </c>
      <c r="K5777">
        <v>1.114724</v>
      </c>
      <c r="L5777">
        <v>24.313659999999999</v>
      </c>
      <c r="M5777">
        <v>0.85363109999999998</v>
      </c>
      <c r="N5777">
        <v>-1.4153519999999999E-2</v>
      </c>
      <c r="O5777">
        <v>-0.52068570000000003</v>
      </c>
      <c r="P5777">
        <v>0.90200760000000002</v>
      </c>
      <c r="Q5777">
        <v>0.36627140000000002</v>
      </c>
      <c r="R5777">
        <v>-0.22853370000000001</v>
      </c>
      <c r="S5777">
        <v>3.2381899999999999</v>
      </c>
      <c r="T5777">
        <v>-0.4346505</v>
      </c>
      <c r="U5777">
        <v>-1.03689599999999</v>
      </c>
      <c r="V5777">
        <v>-0.27815410000000002</v>
      </c>
      <c r="W5777">
        <v>0.37622119999999998</v>
      </c>
      <c r="X5777">
        <v>0.88379180000000002</v>
      </c>
      <c r="Y5777">
        <v>-0.23068259999999999</v>
      </c>
      <c r="Z5777">
        <v>7.3019269999999997E-2</v>
      </c>
      <c r="AA5777">
        <v>0.97028539999999996</v>
      </c>
      <c r="AB5777">
        <v>23</v>
      </c>
      <c r="AC5777">
        <v>8.17169999999998</v>
      </c>
      <c r="AD5777">
        <v>-1.1147298886349899</v>
      </c>
      <c r="AE5777">
        <v>-2.5826899999999902</v>
      </c>
      <c r="AF5777">
        <v>-2.0163149339326298</v>
      </c>
      <c r="AG5777">
        <v>-1.1147298886349899</v>
      </c>
      <c r="AH5777">
        <v>8.18277913386801</v>
      </c>
      <c r="AI5777">
        <v>97.534904412581994</v>
      </c>
      <c r="AJ5777">
        <v>103.84246396923599</v>
      </c>
      <c r="AK5777">
        <v>8.5009424766364408</v>
      </c>
      <c r="AL5777">
        <v>67.900189892158195</v>
      </c>
      <c r="AM5777">
        <v>107.470252932671</v>
      </c>
      <c r="AN5777">
        <v>1.0000000202117401</v>
      </c>
    </row>
    <row r="5778" spans="1:40" x14ac:dyDescent="0.25">
      <c r="A5778" t="str">
        <f>"20190304164241520"</f>
        <v>20190304164241520</v>
      </c>
      <c r="B5778" t="str">
        <f>"1551688961506731"</f>
        <v>1551688961506731</v>
      </c>
      <c r="C5778" t="s">
        <v>40</v>
      </c>
      <c r="D5778">
        <v>4.9590839999999998</v>
      </c>
      <c r="E5778">
        <v>0.53222599999999998</v>
      </c>
      <c r="F5778" t="s">
        <v>57</v>
      </c>
      <c r="G5778">
        <v>-401.18270000000001</v>
      </c>
      <c r="H5778" s="1">
        <v>-5.9577509999999899E-6</v>
      </c>
      <c r="I5778">
        <v>21.675000000000001</v>
      </c>
      <c r="J5778">
        <v>-409.3879</v>
      </c>
      <c r="K5778">
        <v>1.1146670000000001</v>
      </c>
      <c r="L5778">
        <v>24.236080000000001</v>
      </c>
      <c r="M5778">
        <v>0.85583339999999997</v>
      </c>
      <c r="N5778">
        <v>-1.4139499999999999E-2</v>
      </c>
      <c r="O5778">
        <v>-0.51705859999999904</v>
      </c>
      <c r="P5778">
        <v>0.90224859999999896</v>
      </c>
      <c r="Q5778">
        <v>0.36683549999999998</v>
      </c>
      <c r="R5778">
        <v>-0.22667029999999999</v>
      </c>
      <c r="S5778">
        <v>3.2420040000000001</v>
      </c>
      <c r="T5778">
        <v>-0.43325209999999997</v>
      </c>
      <c r="U5778">
        <v>-1.0255430000000001</v>
      </c>
      <c r="V5778">
        <v>-0.27605370000000001</v>
      </c>
      <c r="W5778">
        <v>0.37683430000000001</v>
      </c>
      <c r="X5778">
        <v>0.88418909999999995</v>
      </c>
      <c r="Y5778">
        <v>-0.23003129999999999</v>
      </c>
      <c r="Z5778">
        <v>7.2356390000000007E-2</v>
      </c>
      <c r="AA5778">
        <v>0.97048959999999995</v>
      </c>
      <c r="AB5778">
        <v>23</v>
      </c>
      <c r="AC5778">
        <v>8.2051999999999907</v>
      </c>
      <c r="AD5778">
        <v>-1.1146729577509999</v>
      </c>
      <c r="AE5778">
        <v>-2.5610799999999898</v>
      </c>
      <c r="AF5778">
        <v>-2.0169967857386601</v>
      </c>
      <c r="AG5778">
        <v>-1.1146729577509999</v>
      </c>
      <c r="AH5778">
        <v>8.2092921625432496</v>
      </c>
      <c r="AI5778">
        <v>97.511696354231901</v>
      </c>
      <c r="AJ5778">
        <v>103.803957404313</v>
      </c>
      <c r="AK5778">
        <v>8.5266200599308704</v>
      </c>
      <c r="AL5778">
        <v>67.862271927733005</v>
      </c>
      <c r="AM5778">
        <v>107.338946172691</v>
      </c>
      <c r="AN5778">
        <v>1.0000000497494901</v>
      </c>
    </row>
    <row r="5779" spans="1:40" x14ac:dyDescent="0.25">
      <c r="A5779" t="str">
        <f>"20190304164241536"</f>
        <v>20190304164241536</v>
      </c>
      <c r="B5779" t="str">
        <f>"1551688961527228"</f>
        <v>1551688961527228</v>
      </c>
      <c r="C5779" t="s">
        <v>40</v>
      </c>
      <c r="D5779">
        <v>4.40144</v>
      </c>
      <c r="E5779">
        <v>0.53287359999999995</v>
      </c>
      <c r="F5779" t="s">
        <v>57</v>
      </c>
      <c r="G5779">
        <v>-400.95670000000001</v>
      </c>
      <c r="H5779" s="1">
        <v>-6.0465569999999997E-6</v>
      </c>
      <c r="I5779">
        <v>21.582380000000001</v>
      </c>
      <c r="J5779">
        <v>-409.24430000000001</v>
      </c>
      <c r="K5779">
        <v>1.114617</v>
      </c>
      <c r="L5779">
        <v>24.155239999999999</v>
      </c>
      <c r="M5779">
        <v>0.85810409999999904</v>
      </c>
      <c r="N5779">
        <v>-1.412562E-2</v>
      </c>
      <c r="O5779">
        <v>-0.5132816</v>
      </c>
      <c r="P5779">
        <v>0.90286840000000002</v>
      </c>
      <c r="Q5779">
        <v>0.36716840000000001</v>
      </c>
      <c r="R5779">
        <v>-0.22364339999999999</v>
      </c>
      <c r="S5779">
        <v>3.2428889999999999</v>
      </c>
      <c r="T5779">
        <v>-0.42873529999999999</v>
      </c>
      <c r="U5779">
        <v>-1.020691</v>
      </c>
      <c r="V5779">
        <v>-0.27500380000000002</v>
      </c>
      <c r="W5779">
        <v>0.37719989999999998</v>
      </c>
      <c r="X5779">
        <v>0.88436029999999999</v>
      </c>
      <c r="Y5779">
        <v>-0.2272853</v>
      </c>
      <c r="Z5779">
        <v>7.1012729999999996E-2</v>
      </c>
      <c r="AA5779">
        <v>0.97123559999999998</v>
      </c>
      <c r="AB5779">
        <v>23</v>
      </c>
      <c r="AC5779">
        <v>8.2875999999999905</v>
      </c>
      <c r="AD5779">
        <v>-1.114623046557</v>
      </c>
      <c r="AE5779">
        <v>-2.5728599999999902</v>
      </c>
      <c r="AF5779">
        <v>-2.0130824701523</v>
      </c>
      <c r="AG5779">
        <v>-1.114623046557</v>
      </c>
      <c r="AH5779">
        <v>8.2961930129512602</v>
      </c>
      <c r="AI5779">
        <v>97.438728548118902</v>
      </c>
      <c r="AJ5779">
        <v>103.639284480187</v>
      </c>
      <c r="AK5779">
        <v>8.6093962666200898</v>
      </c>
      <c r="AL5779">
        <v>67.839654431399595</v>
      </c>
      <c r="AM5779">
        <v>107.273788443897</v>
      </c>
      <c r="AN5779">
        <v>0.99999999739527001</v>
      </c>
    </row>
    <row r="5780" spans="1:40" x14ac:dyDescent="0.25">
      <c r="A5780" t="str">
        <f>"20190304164241554"</f>
        <v>20190304164241554</v>
      </c>
      <c r="B5780" t="str">
        <f>"1551688961546747"</f>
        <v>1551688961546747</v>
      </c>
      <c r="C5780" t="s">
        <v>40</v>
      </c>
      <c r="D5780">
        <v>4.6576279999999999</v>
      </c>
      <c r="E5780">
        <v>0.5332249</v>
      </c>
      <c r="F5780" t="s">
        <v>57</v>
      </c>
      <c r="G5780">
        <v>-400.84370000000001</v>
      </c>
      <c r="H5780" s="1">
        <v>-6.0806690000000003E-6</v>
      </c>
      <c r="I5780">
        <v>21.531040000000001</v>
      </c>
      <c r="J5780">
        <v>-409.0881</v>
      </c>
      <c r="K5780">
        <v>1.1145640000000001</v>
      </c>
      <c r="L5780">
        <v>24.068180000000002</v>
      </c>
      <c r="M5780">
        <v>0.86052199999999901</v>
      </c>
      <c r="N5780">
        <v>-1.411126E-2</v>
      </c>
      <c r="O5780">
        <v>-0.50921810000000001</v>
      </c>
      <c r="P5780">
        <v>0.90308569999999999</v>
      </c>
      <c r="Q5780">
        <v>0.3679212</v>
      </c>
      <c r="R5780">
        <v>-0.22151899999999999</v>
      </c>
      <c r="S5780">
        <v>3.2467039999999998</v>
      </c>
      <c r="T5780">
        <v>-0.43078739999999999</v>
      </c>
      <c r="U5780">
        <v>-1.01422099999999</v>
      </c>
      <c r="V5780">
        <v>-0.27269110000000002</v>
      </c>
      <c r="W5780">
        <v>0.37800089999999997</v>
      </c>
      <c r="X5780">
        <v>0.88473440000000003</v>
      </c>
      <c r="Y5780">
        <v>-0.2247691</v>
      </c>
      <c r="Z5780">
        <v>7.0771749999999994E-2</v>
      </c>
      <c r="AA5780">
        <v>0.97183850000000005</v>
      </c>
      <c r="AB5780">
        <v>23</v>
      </c>
      <c r="AC5780">
        <v>8.2443999999999793</v>
      </c>
      <c r="AD5780">
        <v>-1.114570080669</v>
      </c>
      <c r="AE5780">
        <v>-2.5371399999999902</v>
      </c>
      <c r="AF5780">
        <v>-1.9820420387759801</v>
      </c>
      <c r="AG5780">
        <v>-1.114570080669</v>
      </c>
      <c r="AH5780">
        <v>8.2495485482317594</v>
      </c>
      <c r="AI5780">
        <v>97.483996830413403</v>
      </c>
      <c r="AJ5780">
        <v>103.509854167744</v>
      </c>
      <c r="AK5780">
        <v>8.5572079767778497</v>
      </c>
      <c r="AL5780">
        <v>67.790092220614596</v>
      </c>
      <c r="AM5780">
        <v>107.13024181771399</v>
      </c>
      <c r="AN5780">
        <v>1.00000003748168</v>
      </c>
    </row>
    <row r="5781" spans="1:40" x14ac:dyDescent="0.25">
      <c r="A5781" t="str">
        <f>"20190304164241566"</f>
        <v>20190304164241566</v>
      </c>
      <c r="B5781" t="str">
        <f>"1551688961556508"</f>
        <v>1551688961556508</v>
      </c>
      <c r="C5781" t="s">
        <v>40</v>
      </c>
      <c r="D5781">
        <v>4.4030639999999996</v>
      </c>
      <c r="E5781">
        <v>0.533501</v>
      </c>
      <c r="F5781" t="s">
        <v>57</v>
      </c>
      <c r="G5781">
        <v>-400.69260000000003</v>
      </c>
      <c r="H5781" s="1">
        <v>-6.123996E-6</v>
      </c>
      <c r="I5781">
        <v>21.46641</v>
      </c>
      <c r="J5781">
        <v>-408.9812</v>
      </c>
      <c r="K5781">
        <v>1.114528</v>
      </c>
      <c r="L5781">
        <v>24.008939999999999</v>
      </c>
      <c r="M5781">
        <v>0.86214999999999997</v>
      </c>
      <c r="N5781">
        <v>-1.4101829999999999E-2</v>
      </c>
      <c r="O5781">
        <v>-0.5064573</v>
      </c>
      <c r="P5781">
        <v>0.90337149999999999</v>
      </c>
      <c r="Q5781">
        <v>0.36840430000000002</v>
      </c>
      <c r="R5781">
        <v>-0.21954219999999999</v>
      </c>
      <c r="S5781">
        <v>3.250702</v>
      </c>
      <c r="T5781">
        <v>-0.43155339999999998</v>
      </c>
      <c r="U5781">
        <v>-1.007385</v>
      </c>
      <c r="V5781">
        <v>-0.27165800000000001</v>
      </c>
      <c r="W5781">
        <v>0.37850899999999998</v>
      </c>
      <c r="X5781">
        <v>0.88483489999999998</v>
      </c>
      <c r="Y5781">
        <v>-0.22386059999999999</v>
      </c>
      <c r="Z5781">
        <v>7.0530469999999998E-2</v>
      </c>
      <c r="AA5781">
        <v>0.97206579999999998</v>
      </c>
      <c r="AB5781">
        <v>23</v>
      </c>
      <c r="AC5781">
        <v>8.2885999999999704</v>
      </c>
      <c r="AD5781">
        <v>-1.114534123996</v>
      </c>
      <c r="AE5781">
        <v>-2.54252999999999</v>
      </c>
      <c r="AF5781">
        <v>-1.9733667631182199</v>
      </c>
      <c r="AG5781">
        <v>-1.114534123996</v>
      </c>
      <c r="AH5781">
        <v>8.29741258001917</v>
      </c>
      <c r="AI5781">
        <v>97.445119331627794</v>
      </c>
      <c r="AJ5781">
        <v>103.378070257396</v>
      </c>
      <c r="AK5781">
        <v>8.6013614165660801</v>
      </c>
      <c r="AL5781">
        <v>67.758641981831403</v>
      </c>
      <c r="AM5781">
        <v>107.067296070938</v>
      </c>
      <c r="AN5781">
        <v>0.99999996615150399</v>
      </c>
    </row>
    <row r="5782" spans="1:40" x14ac:dyDescent="0.25">
      <c r="A5782" t="str">
        <f>"20190304164241577"</f>
        <v>20190304164241577</v>
      </c>
      <c r="B5782" t="str">
        <f>"1551688961567244"</f>
        <v>1551688961567244</v>
      </c>
      <c r="C5782" t="s">
        <v>40</v>
      </c>
      <c r="D5782">
        <v>4.399108</v>
      </c>
      <c r="E5782">
        <v>0.53378429999999999</v>
      </c>
      <c r="F5782" t="s">
        <v>57</v>
      </c>
      <c r="G5782">
        <v>-400.57479999999998</v>
      </c>
      <c r="H5782" s="1">
        <v>-6.1580670000000001E-6</v>
      </c>
      <c r="I5782">
        <v>21.418839999999999</v>
      </c>
      <c r="J5782">
        <v>-408.87259999999998</v>
      </c>
      <c r="K5782">
        <v>1.1144940000000001</v>
      </c>
      <c r="L5782">
        <v>23.949339999999999</v>
      </c>
      <c r="M5782">
        <v>0.86377559999999998</v>
      </c>
      <c r="N5782">
        <v>-1.409262E-2</v>
      </c>
      <c r="O5782">
        <v>-0.50367980000000001</v>
      </c>
      <c r="P5782">
        <v>0.90372410000000003</v>
      </c>
      <c r="Q5782">
        <v>0.3687028</v>
      </c>
      <c r="R5782">
        <v>-0.2175802</v>
      </c>
      <c r="S5782">
        <v>3.2532040000000002</v>
      </c>
      <c r="T5782">
        <v>-0.4313169</v>
      </c>
      <c r="U5782">
        <v>-1.0023500000000001</v>
      </c>
      <c r="V5782">
        <v>-0.27063369999999998</v>
      </c>
      <c r="W5782">
        <v>0.37883470000000002</v>
      </c>
      <c r="X5782">
        <v>0.88500949999999901</v>
      </c>
      <c r="Y5782">
        <v>-0.22234470000000001</v>
      </c>
      <c r="Z5782">
        <v>7.0092390000000004E-2</v>
      </c>
      <c r="AA5782">
        <v>0.97244529999999996</v>
      </c>
      <c r="AB5782">
        <v>23</v>
      </c>
      <c r="AC5782">
        <v>8.2977999999999899</v>
      </c>
      <c r="AD5782">
        <v>-1.114500158067</v>
      </c>
      <c r="AE5782">
        <v>-2.5305</v>
      </c>
      <c r="AF5782">
        <v>-1.9614738587373499</v>
      </c>
      <c r="AG5782">
        <v>-1.114500158067</v>
      </c>
      <c r="AH5782">
        <v>8.3057504760041692</v>
      </c>
      <c r="AI5782">
        <v>97.440262411344193</v>
      </c>
      <c r="AJ5782">
        <v>103.287440128434</v>
      </c>
      <c r="AK5782">
        <v>8.6066823614262002</v>
      </c>
      <c r="AL5782">
        <v>67.738481736293295</v>
      </c>
      <c r="AM5782">
        <v>107.003501536491</v>
      </c>
      <c r="AN5782">
        <v>1.00000007229501</v>
      </c>
    </row>
    <row r="5783" spans="1:40" x14ac:dyDescent="0.25">
      <c r="A5783" t="str">
        <f>"20190304164241590"</f>
        <v>20190304164241590</v>
      </c>
      <c r="B5783" t="str">
        <f>"1551688961586764"</f>
        <v>1551688961586764</v>
      </c>
      <c r="C5783" t="s">
        <v>40</v>
      </c>
      <c r="D5783">
        <v>4.5900930000000004</v>
      </c>
      <c r="E5783">
        <v>0.53416030000000003</v>
      </c>
      <c r="F5783" t="s">
        <v>57</v>
      </c>
      <c r="G5783">
        <v>-400.46969999999999</v>
      </c>
      <c r="H5783" s="1">
        <v>-6.1885699999999999E-6</v>
      </c>
      <c r="I5783">
        <v>21.377279999999999</v>
      </c>
      <c r="J5783">
        <v>-408.77120000000002</v>
      </c>
      <c r="K5783">
        <v>1.1144639999999999</v>
      </c>
      <c r="L5783">
        <v>23.894069999999999</v>
      </c>
      <c r="M5783">
        <v>0.86527019999999899</v>
      </c>
      <c r="N5783">
        <v>-1.408413E-2</v>
      </c>
      <c r="O5783">
        <v>-0.50110790000000005</v>
      </c>
      <c r="P5783">
        <v>0.90404220000000002</v>
      </c>
      <c r="Q5783">
        <v>0.36878860000000002</v>
      </c>
      <c r="R5783">
        <v>-0.21610789999999999</v>
      </c>
      <c r="S5783">
        <v>3.2558289999999999</v>
      </c>
      <c r="T5783">
        <v>-0.43182949999999998</v>
      </c>
      <c r="U5783">
        <v>-0.99658199999999997</v>
      </c>
      <c r="V5783">
        <v>-0.26938830000000002</v>
      </c>
      <c r="W5783">
        <v>0.3789498</v>
      </c>
      <c r="X5783">
        <v>0.88534000000000002</v>
      </c>
      <c r="Y5783">
        <v>-0.22125359999999999</v>
      </c>
      <c r="Z5783">
        <v>6.9833870000000006E-2</v>
      </c>
      <c r="AA5783">
        <v>0.97271280000000004</v>
      </c>
      <c r="AB5783">
        <v>23</v>
      </c>
      <c r="AC5783">
        <v>8.3015000000000292</v>
      </c>
      <c r="AD5783">
        <v>-1.1144701885699999</v>
      </c>
      <c r="AE5783">
        <v>-2.5167899999999999</v>
      </c>
      <c r="AF5783">
        <v>-1.9502501156476999</v>
      </c>
      <c r="AG5783">
        <v>-1.1144701885699999</v>
      </c>
      <c r="AH5783">
        <v>8.3079328058017605</v>
      </c>
      <c r="AI5783">
        <v>97.4404508476308</v>
      </c>
      <c r="AJ5783">
        <v>103.210733566505</v>
      </c>
      <c r="AK5783">
        <v>8.6062341834574898</v>
      </c>
      <c r="AL5783">
        <v>67.731353076444705</v>
      </c>
      <c r="AM5783">
        <v>106.923781254281</v>
      </c>
      <c r="AN5783">
        <v>0.99999996134846403</v>
      </c>
    </row>
    <row r="5784" spans="1:40" x14ac:dyDescent="0.25">
      <c r="A5784" t="str">
        <f>"20190304164241601"</f>
        <v>20190304164241601</v>
      </c>
      <c r="B5784" t="str">
        <f>"1551688961596524"</f>
        <v>1551688961596524</v>
      </c>
      <c r="C5784" t="s">
        <v>40</v>
      </c>
      <c r="D5784">
        <v>4.3811929999999997</v>
      </c>
      <c r="E5784">
        <v>0.53439829999999999</v>
      </c>
      <c r="F5784" t="s">
        <v>57</v>
      </c>
      <c r="G5784">
        <v>-400.4289</v>
      </c>
      <c r="H5784" s="1">
        <v>-6.1992160000000003E-6</v>
      </c>
      <c r="I5784">
        <v>21.350560000000002</v>
      </c>
      <c r="J5784">
        <v>-408.66809999999998</v>
      </c>
      <c r="K5784">
        <v>1.1144309999999999</v>
      </c>
      <c r="L5784">
        <v>23.838069999999998</v>
      </c>
      <c r="M5784">
        <v>0.86677510000000002</v>
      </c>
      <c r="N5784">
        <v>-1.407569E-2</v>
      </c>
      <c r="O5784">
        <v>-0.49850080000000002</v>
      </c>
      <c r="P5784">
        <v>0.90454080000000003</v>
      </c>
      <c r="Q5784">
        <v>0.36852059999999998</v>
      </c>
      <c r="R5784">
        <v>-0.2144731</v>
      </c>
      <c r="S5784">
        <v>3.2585139999999999</v>
      </c>
      <c r="T5784">
        <v>-0.43531300000000001</v>
      </c>
      <c r="U5784">
        <v>-0.99349980000000004</v>
      </c>
      <c r="V5784">
        <v>-0.26833780000000002</v>
      </c>
      <c r="W5784">
        <v>0.37871110000000002</v>
      </c>
      <c r="X5784">
        <v>0.88576109999999897</v>
      </c>
      <c r="Y5784">
        <v>-0.21933900000000001</v>
      </c>
      <c r="Z5784">
        <v>7.0011680000000007E-2</v>
      </c>
      <c r="AA5784">
        <v>0.97313349999999998</v>
      </c>
      <c r="AB5784">
        <v>23</v>
      </c>
      <c r="AC5784">
        <v>8.2391999999999808</v>
      </c>
      <c r="AD5784">
        <v>-1.114437199216</v>
      </c>
      <c r="AE5784">
        <v>-2.4875099999999999</v>
      </c>
      <c r="AF5784">
        <v>-1.9191506582989699</v>
      </c>
      <c r="AG5784">
        <v>-1.114437199216</v>
      </c>
      <c r="AH5784">
        <v>8.2441583804288996</v>
      </c>
      <c r="AI5784">
        <v>97.500351061450303</v>
      </c>
      <c r="AJ5784">
        <v>103.104449475563</v>
      </c>
      <c r="AK5784">
        <v>8.5376376663478695</v>
      </c>
      <c r="AL5784">
        <v>67.746131926919702</v>
      </c>
      <c r="AM5784">
        <v>106.85397575216901</v>
      </c>
      <c r="AN5784">
        <v>0.99999999922262905</v>
      </c>
    </row>
    <row r="5785" spans="1:40" x14ac:dyDescent="0.25">
      <c r="A5785" t="str">
        <f>"20190304164241613"</f>
        <v>20190304164241613</v>
      </c>
      <c r="B5785" t="str">
        <f>"1551688961607260"</f>
        <v>1551688961607260</v>
      </c>
      <c r="C5785" t="s">
        <v>40</v>
      </c>
      <c r="D5785">
        <v>4.347906</v>
      </c>
      <c r="E5785">
        <v>0.53459380000000001</v>
      </c>
      <c r="F5785" t="s">
        <v>57</v>
      </c>
      <c r="G5785">
        <v>-400.35849999999999</v>
      </c>
      <c r="H5785" s="1">
        <v>-6.2192620000000001E-6</v>
      </c>
      <c r="I5785">
        <v>21.319050000000001</v>
      </c>
      <c r="J5785">
        <v>-408.57100000000003</v>
      </c>
      <c r="K5785">
        <v>1.1144000000000001</v>
      </c>
      <c r="L5785">
        <v>23.785920000000001</v>
      </c>
      <c r="M5785">
        <v>0.86816309999999997</v>
      </c>
      <c r="N5785">
        <v>-1.406784E-2</v>
      </c>
      <c r="O5785">
        <v>-0.49607950000000001</v>
      </c>
      <c r="P5785">
        <v>0.90487680000000004</v>
      </c>
      <c r="Q5785">
        <v>0.3685194</v>
      </c>
      <c r="R5785">
        <v>-0.21305360000000001</v>
      </c>
      <c r="S5785">
        <v>3.2603759999999999</v>
      </c>
      <c r="T5785">
        <v>-0.43726330000000002</v>
      </c>
      <c r="U5785">
        <v>-0.98837280000000005</v>
      </c>
      <c r="V5785">
        <v>-0.26721840000000002</v>
      </c>
      <c r="W5785">
        <v>0.37873849999999998</v>
      </c>
      <c r="X5785">
        <v>0.88608770000000003</v>
      </c>
      <c r="Y5785">
        <v>-0.21815180000000001</v>
      </c>
      <c r="Z5785">
        <v>7.0015549999999996E-2</v>
      </c>
      <c r="AA5785">
        <v>0.97340009999999999</v>
      </c>
      <c r="AB5785">
        <v>23</v>
      </c>
      <c r="AC5785">
        <v>8.2124999999999702</v>
      </c>
      <c r="AD5785">
        <v>-1.1144062192619999</v>
      </c>
      <c r="AE5785">
        <v>-2.4668700000000001</v>
      </c>
      <c r="AF5785">
        <v>-1.9005000340923801</v>
      </c>
      <c r="AG5785">
        <v>-1.1144062192619999</v>
      </c>
      <c r="AH5785">
        <v>8.2156216367227302</v>
      </c>
      <c r="AI5785">
        <v>97.528293083047004</v>
      </c>
      <c r="AJ5785">
        <v>103.02498767983801</v>
      </c>
      <c r="AK5785">
        <v>8.5058944549589697</v>
      </c>
      <c r="AL5785">
        <v>67.744434944009498</v>
      </c>
      <c r="AM5785">
        <v>106.781790739264</v>
      </c>
      <c r="AN5785">
        <v>0.99999996838604899</v>
      </c>
    </row>
    <row r="5786" spans="1:40" x14ac:dyDescent="0.25">
      <c r="A5786" t="str">
        <f>"20190304164241631"</f>
        <v>20190304164241631</v>
      </c>
      <c r="B5786" t="str">
        <f>"1551688961626780"</f>
        <v>1551688961626780</v>
      </c>
      <c r="C5786" t="s">
        <v>40</v>
      </c>
      <c r="D5786">
        <v>4.6425739999999998</v>
      </c>
      <c r="E5786">
        <v>0.53492309999999998</v>
      </c>
      <c r="F5786" t="s">
        <v>57</v>
      </c>
      <c r="G5786">
        <v>-400.27640000000002</v>
      </c>
      <c r="H5786" s="1">
        <v>-6.2427199999999899E-6</v>
      </c>
      <c r="I5786">
        <v>21.283270000000002</v>
      </c>
      <c r="J5786">
        <v>-408.39940000000001</v>
      </c>
      <c r="K5786">
        <v>1.114336</v>
      </c>
      <c r="L5786">
        <v>23.694369999999999</v>
      </c>
      <c r="M5786">
        <v>0.87057390000000001</v>
      </c>
      <c r="N5786">
        <v>-1.4054250000000001E-2</v>
      </c>
      <c r="O5786">
        <v>-0.49183729999999998</v>
      </c>
      <c r="P5786">
        <v>0.90563939999999998</v>
      </c>
      <c r="Q5786">
        <v>0.3681297</v>
      </c>
      <c r="R5786">
        <v>-0.21047099999999999</v>
      </c>
      <c r="S5786">
        <v>3.262146</v>
      </c>
      <c r="T5786">
        <v>-0.43827870000000002</v>
      </c>
      <c r="U5786">
        <v>-0.98425289999999999</v>
      </c>
      <c r="V5786">
        <v>-0.26543050000000001</v>
      </c>
      <c r="W5786">
        <v>0.37840040000000003</v>
      </c>
      <c r="X5786">
        <v>0.88676929999999998</v>
      </c>
      <c r="Y5786">
        <v>-0.21469289999999999</v>
      </c>
      <c r="Z5786">
        <v>6.9516930000000005E-2</v>
      </c>
      <c r="AA5786">
        <v>0.97420450000000003</v>
      </c>
      <c r="AB5786">
        <v>23</v>
      </c>
      <c r="AC5786">
        <v>8.1229999999999905</v>
      </c>
      <c r="AD5786">
        <v>-1.11434224272</v>
      </c>
      <c r="AE5786">
        <v>-2.4110999999999998</v>
      </c>
      <c r="AF5786">
        <v>-1.86410001703939</v>
      </c>
      <c r="AG5786">
        <v>-1.11434224272</v>
      </c>
      <c r="AH5786">
        <v>8.11795062322558</v>
      </c>
      <c r="AI5786">
        <v>97.620182362184394</v>
      </c>
      <c r="AJ5786">
        <v>102.932461048063</v>
      </c>
      <c r="AK5786">
        <v>8.4034367867298894</v>
      </c>
      <c r="AL5786">
        <v>67.765365157094095</v>
      </c>
      <c r="AM5786">
        <v>106.663654277221</v>
      </c>
      <c r="AN5786">
        <v>1.0000000022364499</v>
      </c>
    </row>
    <row r="5787" spans="1:40" x14ac:dyDescent="0.25">
      <c r="A5787" t="str">
        <f>"20190304164241644"</f>
        <v>20190304164241644</v>
      </c>
      <c r="B5787" t="str">
        <f>"1551688961636540"</f>
        <v>1551688961636540</v>
      </c>
      <c r="C5787" t="s">
        <v>40</v>
      </c>
      <c r="D5787">
        <v>4.3986640000000001</v>
      </c>
      <c r="E5787">
        <v>0.53515539999999995</v>
      </c>
      <c r="F5787" t="s">
        <v>57</v>
      </c>
      <c r="G5787">
        <v>-400.17829999999998</v>
      </c>
      <c r="H5787" s="1">
        <v>-6.2700250000000002E-6</v>
      </c>
      <c r="I5787">
        <v>21.234169999999999</v>
      </c>
      <c r="J5787">
        <v>-408.28559999999999</v>
      </c>
      <c r="K5787">
        <v>1.114293</v>
      </c>
      <c r="L5787">
        <v>23.634029999999999</v>
      </c>
      <c r="M5787">
        <v>0.87214139999999996</v>
      </c>
      <c r="N5787">
        <v>-1.404538E-2</v>
      </c>
      <c r="O5787">
        <v>-0.4890524</v>
      </c>
      <c r="P5787">
        <v>0.90638450000000004</v>
      </c>
      <c r="Q5787">
        <v>0.36759330000000001</v>
      </c>
      <c r="R5787">
        <v>-0.2081886</v>
      </c>
      <c r="S5787">
        <v>3.2653810000000001</v>
      </c>
      <c r="T5787">
        <v>-0.44260850000000002</v>
      </c>
      <c r="U5787">
        <v>-0.97717290000000001</v>
      </c>
      <c r="V5787">
        <v>-0.26489069999999998</v>
      </c>
      <c r="W5787">
        <v>0.37789230000000001</v>
      </c>
      <c r="X5787">
        <v>0.88714729999999997</v>
      </c>
      <c r="Y5787">
        <v>-0.21370549999999999</v>
      </c>
      <c r="Z5787">
        <v>6.9872370000000003E-2</v>
      </c>
      <c r="AA5787">
        <v>0.97439609999999999</v>
      </c>
      <c r="AB5787">
        <v>23</v>
      </c>
      <c r="AC5787">
        <v>8.1073000000000093</v>
      </c>
      <c r="AD5787">
        <v>-1.1142992700250001</v>
      </c>
      <c r="AE5787">
        <v>-2.3998599999999901</v>
      </c>
      <c r="AF5787">
        <v>-1.8401012254478699</v>
      </c>
      <c r="AG5787">
        <v>-1.1142992700250001</v>
      </c>
      <c r="AH5787">
        <v>8.1044170431281302</v>
      </c>
      <c r="AI5787">
        <v>97.636687174525704</v>
      </c>
      <c r="AJ5787">
        <v>102.792086129045</v>
      </c>
      <c r="AK5787">
        <v>8.3850587947860404</v>
      </c>
      <c r="AL5787">
        <v>67.796812227662002</v>
      </c>
      <c r="AM5787">
        <v>106.624944039179</v>
      </c>
      <c r="AN5787">
        <v>1.0000000026215301</v>
      </c>
    </row>
    <row r="5788" spans="1:40" x14ac:dyDescent="0.25">
      <c r="A5788" t="str">
        <f>"20190304164241655"</f>
        <v>20190304164241655</v>
      </c>
      <c r="B5788" t="str">
        <f>"1551688961647276"</f>
        <v>1551688961647276</v>
      </c>
      <c r="C5788" t="s">
        <v>40</v>
      </c>
      <c r="D5788">
        <v>4.4087930000000002</v>
      </c>
      <c r="E5788">
        <v>0.53537800000000002</v>
      </c>
      <c r="F5788" t="s">
        <v>57</v>
      </c>
      <c r="G5788">
        <v>-400.12419999999997</v>
      </c>
      <c r="H5788" s="1">
        <v>-6.2853089999999901E-6</v>
      </c>
      <c r="I5788">
        <v>21.20917</v>
      </c>
      <c r="J5788">
        <v>-408.185</v>
      </c>
      <c r="K5788">
        <v>1.1142540000000001</v>
      </c>
      <c r="L5788">
        <v>23.581240000000001</v>
      </c>
      <c r="M5788">
        <v>0.87349920000000003</v>
      </c>
      <c r="N5788">
        <v>-1.403747E-2</v>
      </c>
      <c r="O5788">
        <v>-0.48662339999999998</v>
      </c>
      <c r="P5788">
        <v>0.90684359999999997</v>
      </c>
      <c r="Q5788">
        <v>0.36748589999999998</v>
      </c>
      <c r="R5788">
        <v>-0.20637169999999999</v>
      </c>
      <c r="S5788">
        <v>3.2678219999999998</v>
      </c>
      <c r="T5788">
        <v>-0.44616620000000001</v>
      </c>
      <c r="U5788">
        <v>-0.97091669999999997</v>
      </c>
      <c r="V5788">
        <v>-0.26418180000000002</v>
      </c>
      <c r="W5788">
        <v>0.3778107</v>
      </c>
      <c r="X5788">
        <v>0.8873934</v>
      </c>
      <c r="Y5788">
        <v>-0.2128427</v>
      </c>
      <c r="Z5788">
        <v>7.0146879999999995E-2</v>
      </c>
      <c r="AA5788">
        <v>0.97456529999999997</v>
      </c>
      <c r="AB5788">
        <v>23</v>
      </c>
      <c r="AC5788">
        <v>8.0608000000000199</v>
      </c>
      <c r="AD5788">
        <v>-1.114260285309</v>
      </c>
      <c r="AE5788">
        <v>-2.3720699999999999</v>
      </c>
      <c r="AF5788">
        <v>-1.8187712235082301</v>
      </c>
      <c r="AG5788">
        <v>-1.114260285309</v>
      </c>
      <c r="AH5788">
        <v>8.0545719678293306</v>
      </c>
      <c r="AI5788">
        <v>97.685150594984506</v>
      </c>
      <c r="AJ5788">
        <v>102.724334759011</v>
      </c>
      <c r="AK5788">
        <v>8.3322046501403602</v>
      </c>
      <c r="AL5788">
        <v>67.801861794259096</v>
      </c>
      <c r="AM5788">
        <v>106.57855226872501</v>
      </c>
      <c r="AN5788">
        <v>0.99999999742464496</v>
      </c>
    </row>
    <row r="5789" spans="1:40" x14ac:dyDescent="0.25">
      <c r="A5789" t="str">
        <f>"20190304164241666"</f>
        <v>20190304164241666</v>
      </c>
      <c r="B5789" t="str">
        <f>"1551688961657036"</f>
        <v>1551688961657036</v>
      </c>
      <c r="C5789" t="s">
        <v>40</v>
      </c>
      <c r="D5789">
        <v>4.4074179999999998</v>
      </c>
      <c r="E5789">
        <v>0.5355839</v>
      </c>
      <c r="F5789" t="s">
        <v>57</v>
      </c>
      <c r="G5789">
        <v>-400.05119999999999</v>
      </c>
      <c r="H5789" s="1">
        <v>-6.3059960000000002E-6</v>
      </c>
      <c r="I5789">
        <v>21.17567</v>
      </c>
      <c r="J5789">
        <v>-408.08460000000002</v>
      </c>
      <c r="K5789">
        <v>1.1142160000000001</v>
      </c>
      <c r="L5789">
        <v>23.52881</v>
      </c>
      <c r="M5789">
        <v>0.87483619999999995</v>
      </c>
      <c r="N5789">
        <v>-1.40298E-2</v>
      </c>
      <c r="O5789">
        <v>-0.48421550000000002</v>
      </c>
      <c r="P5789">
        <v>0.9072093</v>
      </c>
      <c r="Q5789">
        <v>0.36760739999999997</v>
      </c>
      <c r="R5789">
        <v>-0.20453830000000001</v>
      </c>
      <c r="S5789">
        <v>3.2695919999999998</v>
      </c>
      <c r="T5789">
        <v>-0.44790479999999999</v>
      </c>
      <c r="U5789">
        <v>-0.96697999999999995</v>
      </c>
      <c r="V5789">
        <v>-0.26347039999999999</v>
      </c>
      <c r="W5789">
        <v>0.37795630000000002</v>
      </c>
      <c r="X5789">
        <v>0.88754290000000002</v>
      </c>
      <c r="Y5789">
        <v>-0.21136350000000001</v>
      </c>
      <c r="Z5789">
        <v>7.0072389999999998E-2</v>
      </c>
      <c r="AA5789">
        <v>0.97489250000000005</v>
      </c>
      <c r="AB5789">
        <v>23</v>
      </c>
      <c r="AC5789">
        <v>8.0334000000000199</v>
      </c>
      <c r="AD5789">
        <v>-1.1142223059959999</v>
      </c>
      <c r="AE5789">
        <v>-2.3531399999999998</v>
      </c>
      <c r="AF5789">
        <v>-1.7995816333041801</v>
      </c>
      <c r="AG5789">
        <v>-1.1142223059959999</v>
      </c>
      <c r="AH5789">
        <v>8.0259434836273105</v>
      </c>
      <c r="AI5789">
        <v>97.714562051586995</v>
      </c>
      <c r="AJ5789">
        <v>102.637870301067</v>
      </c>
      <c r="AK5789">
        <v>8.3003466315862102</v>
      </c>
      <c r="AL5789">
        <v>67.792851683471397</v>
      </c>
      <c r="AM5789">
        <v>106.533716667866</v>
      </c>
      <c r="AN5789">
        <v>1.0000000078631299</v>
      </c>
    </row>
    <row r="5790" spans="1:40" x14ac:dyDescent="0.25">
      <c r="A5790" t="str">
        <f>"20190304164241678"</f>
        <v>20190304164241678</v>
      </c>
      <c r="B5790" t="str">
        <f>"1551688961666796"</f>
        <v>1551688961666796</v>
      </c>
      <c r="C5790" t="s">
        <v>40</v>
      </c>
      <c r="D5790">
        <v>4.4136170000000003</v>
      </c>
      <c r="E5790">
        <v>0.53579529999999997</v>
      </c>
      <c r="F5790" t="s">
        <v>57</v>
      </c>
      <c r="G5790">
        <v>-399.96390000000002</v>
      </c>
      <c r="H5790" s="1">
        <v>-6.3309709999999999E-6</v>
      </c>
      <c r="I5790">
        <v>21.137830000000001</v>
      </c>
      <c r="J5790">
        <v>-407.97289999999998</v>
      </c>
      <c r="K5790">
        <v>1.1141779999999999</v>
      </c>
      <c r="L5790">
        <v>23.470759999999999</v>
      </c>
      <c r="M5790">
        <v>0.87630129999999995</v>
      </c>
      <c r="N5790">
        <v>-1.4021499999999999E-2</v>
      </c>
      <c r="O5790">
        <v>-0.48155979999999998</v>
      </c>
      <c r="P5790">
        <v>0.90788860000000005</v>
      </c>
      <c r="Q5790">
        <v>0.36726809999999999</v>
      </c>
      <c r="R5790">
        <v>-0.20212089999999999</v>
      </c>
      <c r="S5790">
        <v>3.271515</v>
      </c>
      <c r="T5790">
        <v>-0.44887300000000002</v>
      </c>
      <c r="U5790">
        <v>-0.96322629999999998</v>
      </c>
      <c r="V5790">
        <v>-0.26316630000000002</v>
      </c>
      <c r="W5790">
        <v>0.37764160000000002</v>
      </c>
      <c r="X5790">
        <v>0.88776710000000003</v>
      </c>
      <c r="Y5790">
        <v>-0.20959539999999999</v>
      </c>
      <c r="Z5790">
        <v>6.9816400000000001E-2</v>
      </c>
      <c r="AA5790">
        <v>0.97529250000000001</v>
      </c>
      <c r="AB5790">
        <v>23</v>
      </c>
      <c r="AC5790">
        <v>8.0089999999999506</v>
      </c>
      <c r="AD5790">
        <v>-1.114184330971</v>
      </c>
      <c r="AE5790">
        <v>-2.3329300000000002</v>
      </c>
      <c r="AF5790">
        <v>-1.7808704244220901</v>
      </c>
      <c r="AG5790">
        <v>-1.114184330971</v>
      </c>
      <c r="AH5790">
        <v>7.9998264795527296</v>
      </c>
      <c r="AI5790">
        <v>97.741797179769307</v>
      </c>
      <c r="AJ5790">
        <v>102.550176693764</v>
      </c>
      <c r="AK5790">
        <v>8.2710416450962008</v>
      </c>
      <c r="AL5790">
        <v>67.812326972433596</v>
      </c>
      <c r="AM5790">
        <v>106.511729727917</v>
      </c>
      <c r="AN5790">
        <v>1.0000000516743199</v>
      </c>
    </row>
    <row r="5791" spans="1:40" x14ac:dyDescent="0.25">
      <c r="A5791" t="str">
        <f>"20190304164241693"</f>
        <v>20190304164241693</v>
      </c>
      <c r="B5791" t="str">
        <f>"1551688961687292"</f>
        <v>1551688961687292</v>
      </c>
      <c r="C5791" t="s">
        <v>40</v>
      </c>
      <c r="D5791">
        <v>4.4167389999999997</v>
      </c>
      <c r="E5791">
        <v>0.53562559999999904</v>
      </c>
      <c r="F5791" t="s">
        <v>42</v>
      </c>
      <c r="G5791">
        <v>-399.89240000000001</v>
      </c>
      <c r="H5791" s="1">
        <v>-4.2897909999999998E-7</v>
      </c>
      <c r="I5791">
        <v>21.11082</v>
      </c>
      <c r="J5791">
        <v>-407.8578</v>
      </c>
      <c r="K5791">
        <v>1.1141319999999999</v>
      </c>
      <c r="L5791">
        <v>23.411529999999999</v>
      </c>
      <c r="M5791">
        <v>0.87777719999999904</v>
      </c>
      <c r="N5791">
        <v>-1.401296E-2</v>
      </c>
      <c r="O5791">
        <v>-0.47886450000000003</v>
      </c>
      <c r="P5791">
        <v>0.90834619999999999</v>
      </c>
      <c r="Q5791">
        <v>0.36731429999999998</v>
      </c>
      <c r="R5791">
        <v>-0.1999686</v>
      </c>
      <c r="S5791">
        <v>3.2740779999999998</v>
      </c>
      <c r="T5791">
        <v>-0.45144689999999998</v>
      </c>
      <c r="U5791">
        <v>-0.95620729999999998</v>
      </c>
      <c r="V5791">
        <v>-0.26249060000000002</v>
      </c>
      <c r="W5791">
        <v>0.37771480000000002</v>
      </c>
      <c r="X5791">
        <v>0.8879359</v>
      </c>
      <c r="Y5791">
        <v>-0.20869070000000001</v>
      </c>
      <c r="Z5791">
        <v>6.9882780000000005E-2</v>
      </c>
      <c r="AA5791">
        <v>0.97548170000000001</v>
      </c>
      <c r="AB5791">
        <v>23</v>
      </c>
      <c r="AC5791">
        <v>7.9653999999999803</v>
      </c>
      <c r="AD5791">
        <v>-1.1141324289790999</v>
      </c>
      <c r="AE5791">
        <v>-2.3007099999999898</v>
      </c>
      <c r="AF5791">
        <v>-1.76317382014894</v>
      </c>
      <c r="AG5791">
        <v>-1.1141324289790999</v>
      </c>
      <c r="AH5791">
        <v>7.9507962090517204</v>
      </c>
      <c r="AI5791">
        <v>97.789985477962503</v>
      </c>
      <c r="AJ5791">
        <v>102.503604213719</v>
      </c>
      <c r="AK5791">
        <v>8.2198073789616704</v>
      </c>
      <c r="AL5791">
        <v>67.807795632779005</v>
      </c>
      <c r="AM5791">
        <v>106.46867319783</v>
      </c>
      <c r="AN5791">
        <v>0.99999997386810402</v>
      </c>
    </row>
    <row r="5792" spans="1:40" x14ac:dyDescent="0.25">
      <c r="A5792" t="str">
        <f>"20190304164241706"</f>
        <v>20190304164241706</v>
      </c>
      <c r="B5792" t="str">
        <f>"1551688961697052"</f>
        <v>1551688961697052</v>
      </c>
      <c r="C5792" t="s">
        <v>40</v>
      </c>
      <c r="D5792">
        <v>4.4116790000000004</v>
      </c>
      <c r="E5792">
        <v>0.53551289999999996</v>
      </c>
      <c r="F5792" t="s">
        <v>42</v>
      </c>
      <c r="G5792">
        <v>-399.79259999999999</v>
      </c>
      <c r="H5792" s="1">
        <v>-4.6785019999999998E-7</v>
      </c>
      <c r="I5792">
        <v>21.079519999999999</v>
      </c>
      <c r="J5792">
        <v>-407.73509999999999</v>
      </c>
      <c r="K5792">
        <v>1.1140859999999999</v>
      </c>
      <c r="L5792">
        <v>23.348659999999999</v>
      </c>
      <c r="M5792">
        <v>0.87932619999999895</v>
      </c>
      <c r="N5792">
        <v>-1.4004010000000001E-2</v>
      </c>
      <c r="O5792">
        <v>-0.4760141</v>
      </c>
      <c r="P5792">
        <v>0.9089545</v>
      </c>
      <c r="Q5792">
        <v>0.36729050000000002</v>
      </c>
      <c r="R5792">
        <v>-0.19722990000000001</v>
      </c>
      <c r="S5792">
        <v>3.277161</v>
      </c>
      <c r="T5792">
        <v>-0.4527081</v>
      </c>
      <c r="U5792">
        <v>-0.94757080000000005</v>
      </c>
      <c r="V5792">
        <v>-0.2622467</v>
      </c>
      <c r="W5792">
        <v>0.37771480000000002</v>
      </c>
      <c r="X5792">
        <v>0.88800800000000002</v>
      </c>
      <c r="Y5792">
        <v>-0.20813200000000001</v>
      </c>
      <c r="Z5792">
        <v>6.9733379999999998E-2</v>
      </c>
      <c r="AA5792">
        <v>0.97561169999999997</v>
      </c>
      <c r="AB5792">
        <v>23</v>
      </c>
      <c r="AC5792">
        <v>7.9424999999999901</v>
      </c>
      <c r="AD5792">
        <v>-1.1140864678502</v>
      </c>
      <c r="AE5792">
        <v>-2.2691399999999899</v>
      </c>
      <c r="AF5792">
        <v>-1.7537018000646001</v>
      </c>
      <c r="AG5792">
        <v>-1.1140864678502</v>
      </c>
      <c r="AH5792">
        <v>7.9208953414432397</v>
      </c>
      <c r="AI5792">
        <v>97.819295570065904</v>
      </c>
      <c r="AJ5792">
        <v>102.484014344851</v>
      </c>
      <c r="AK5792">
        <v>8.1888486169603905</v>
      </c>
      <c r="AL5792">
        <v>67.807796358830899</v>
      </c>
      <c r="AM5792">
        <v>106.452935104734</v>
      </c>
      <c r="AN5792">
        <v>1.00000000493196</v>
      </c>
    </row>
    <row r="5793" spans="1:40" x14ac:dyDescent="0.25">
      <c r="A5793" t="str">
        <f>"20190304164241725"</f>
        <v>20190304164241725</v>
      </c>
      <c r="B5793" t="str">
        <f>"1551688961716572"</f>
        <v>1551688961716572</v>
      </c>
      <c r="C5793" t="s">
        <v>40</v>
      </c>
      <c r="D5793">
        <v>4.6042040000000002</v>
      </c>
      <c r="E5793">
        <v>0.53515769999999996</v>
      </c>
      <c r="F5793" t="s">
        <v>42</v>
      </c>
      <c r="G5793">
        <v>-399.66340000000002</v>
      </c>
      <c r="H5793" s="1">
        <v>-5.1869589999999996E-7</v>
      </c>
      <c r="I5793">
        <v>21.041180000000001</v>
      </c>
      <c r="J5793">
        <v>-407.56229999999999</v>
      </c>
      <c r="K5793">
        <v>1.114023</v>
      </c>
      <c r="L5793">
        <v>23.261019999999998</v>
      </c>
      <c r="M5793">
        <v>0.88144869999999897</v>
      </c>
      <c r="N5793">
        <v>-1.399164E-2</v>
      </c>
      <c r="O5793">
        <v>-0.4720724</v>
      </c>
      <c r="P5793">
        <v>0.90974100000000002</v>
      </c>
      <c r="Q5793">
        <v>0.36721290000000001</v>
      </c>
      <c r="R5793">
        <v>-0.193716</v>
      </c>
      <c r="S5793">
        <v>3.279938</v>
      </c>
      <c r="T5793">
        <v>-0.4527119</v>
      </c>
      <c r="U5793">
        <v>-0.93765259999999995</v>
      </c>
      <c r="V5793">
        <v>-0.261652</v>
      </c>
      <c r="W5793">
        <v>0.3776755</v>
      </c>
      <c r="X5793">
        <v>0.88820010000000005</v>
      </c>
      <c r="Y5793">
        <v>-0.20673630000000001</v>
      </c>
      <c r="Z5793">
        <v>6.9215369999999998E-2</v>
      </c>
      <c r="AA5793">
        <v>0.97594539999999996</v>
      </c>
      <c r="AB5793">
        <v>23</v>
      </c>
      <c r="AC5793">
        <v>7.8988999999999603</v>
      </c>
      <c r="AD5793">
        <v>-1.11402351869589</v>
      </c>
      <c r="AE5793">
        <v>-2.21984</v>
      </c>
      <c r="AF5793">
        <v>-1.7402693283644499</v>
      </c>
      <c r="AG5793">
        <v>-1.11402351869589</v>
      </c>
      <c r="AH5793">
        <v>7.8661721159939502</v>
      </c>
      <c r="AI5793">
        <v>97.872848108116997</v>
      </c>
      <c r="AJ5793">
        <v>102.474871971575</v>
      </c>
      <c r="AK5793">
        <v>8.1330344579310907</v>
      </c>
      <c r="AL5793">
        <v>67.810227744876599</v>
      </c>
      <c r="AM5793">
        <v>106.414276011572</v>
      </c>
      <c r="AN5793">
        <v>0.99999998502212895</v>
      </c>
    </row>
    <row r="5794" spans="1:40" x14ac:dyDescent="0.25">
      <c r="A5794" t="str">
        <f>"20190304164241745"</f>
        <v>20190304164241745</v>
      </c>
      <c r="B5794" t="str">
        <f>"1551688961737068"</f>
        <v>1551688961737068</v>
      </c>
      <c r="C5794" t="s">
        <v>40</v>
      </c>
      <c r="D5794">
        <v>4.4126779999999997</v>
      </c>
      <c r="E5794">
        <v>0.5350104</v>
      </c>
      <c r="F5794" t="s">
        <v>42</v>
      </c>
      <c r="G5794">
        <v>-399.50850000000003</v>
      </c>
      <c r="H5794" s="1">
        <v>-5.8022880000000004E-7</v>
      </c>
      <c r="I5794">
        <v>20.997160000000001</v>
      </c>
      <c r="J5794">
        <v>-407.37720000000002</v>
      </c>
      <c r="K5794">
        <v>1.113958</v>
      </c>
      <c r="L5794">
        <v>23.168089999999999</v>
      </c>
      <c r="M5794">
        <v>0.88365879999999997</v>
      </c>
      <c r="N5794">
        <v>-1.397867E-2</v>
      </c>
      <c r="O5794">
        <v>-0.46792270000000002</v>
      </c>
      <c r="P5794">
        <v>0.91057639999999995</v>
      </c>
      <c r="Q5794">
        <v>0.36710009999999998</v>
      </c>
      <c r="R5794">
        <v>-0.18996879999999999</v>
      </c>
      <c r="S5794">
        <v>3.284424</v>
      </c>
      <c r="T5794">
        <v>-0.45430599999999999</v>
      </c>
      <c r="U5794">
        <v>-0.92321779999999998</v>
      </c>
      <c r="V5794">
        <v>-0.26108789999999998</v>
      </c>
      <c r="W5794">
        <v>0.37760090000000002</v>
      </c>
      <c r="X5794">
        <v>0.88839780000000002</v>
      </c>
      <c r="Y5794">
        <v>-0.20645440000000001</v>
      </c>
      <c r="Z5794">
        <v>6.8996000000000002E-2</v>
      </c>
      <c r="AA5794">
        <v>0.97602060000000002</v>
      </c>
      <c r="AB5794">
        <v>23</v>
      </c>
      <c r="AC5794">
        <v>7.8686999999999898</v>
      </c>
      <c r="AD5794">
        <v>-1.1139585802287999</v>
      </c>
      <c r="AE5794">
        <v>-2.17092999999999</v>
      </c>
      <c r="AF5794">
        <v>-1.7315068054140901</v>
      </c>
      <c r="AG5794">
        <v>-1.1139585802287999</v>
      </c>
      <c r="AH5794">
        <v>7.8241359097711198</v>
      </c>
      <c r="AI5794">
        <v>97.914042697911498</v>
      </c>
      <c r="AJ5794">
        <v>102.47862322396099</v>
      </c>
      <c r="AK5794">
        <v>8.0904957987894992</v>
      </c>
      <c r="AL5794">
        <v>67.814843957802395</v>
      </c>
      <c r="AM5794">
        <v>106.37733719584701</v>
      </c>
      <c r="AN5794">
        <v>0.99999999112603</v>
      </c>
    </row>
    <row r="5795" spans="1:40" x14ac:dyDescent="0.25">
      <c r="A5795" t="str">
        <f>"20190304164241756"</f>
        <v>20190304164241756</v>
      </c>
      <c r="B5795" t="str">
        <f>"1551688961746828"</f>
        <v>1551688961746828</v>
      </c>
      <c r="C5795" t="s">
        <v>40</v>
      </c>
      <c r="D5795">
        <v>4.4299289999999996</v>
      </c>
      <c r="E5795">
        <v>0.53495409999999999</v>
      </c>
      <c r="F5795" t="s">
        <v>42</v>
      </c>
      <c r="G5795">
        <v>-399.32940000000002</v>
      </c>
      <c r="H5795" s="1">
        <v>-6.4997790000000001E-7</v>
      </c>
      <c r="I5795">
        <v>20.941199999999998</v>
      </c>
      <c r="J5795">
        <v>-407.27440000000001</v>
      </c>
      <c r="K5795">
        <v>1.11392</v>
      </c>
      <c r="L5795">
        <v>23.116879999999998</v>
      </c>
      <c r="M5795">
        <v>0.88486010000000004</v>
      </c>
      <c r="N5795">
        <v>-1.397168E-2</v>
      </c>
      <c r="O5795">
        <v>-0.46564749999999999</v>
      </c>
      <c r="P5795">
        <v>0.91103460000000003</v>
      </c>
      <c r="Q5795">
        <v>0.36704550000000002</v>
      </c>
      <c r="R5795">
        <v>-0.18786639999999999</v>
      </c>
      <c r="S5795">
        <v>3.2883300000000002</v>
      </c>
      <c r="T5795">
        <v>-0.45516469999999998</v>
      </c>
      <c r="U5795">
        <v>-0.9099121</v>
      </c>
      <c r="V5795">
        <v>-0.26082939999999999</v>
      </c>
      <c r="W5795">
        <v>0.37756469999999998</v>
      </c>
      <c r="X5795">
        <v>0.88848909999999903</v>
      </c>
      <c r="Y5795">
        <v>-0.20788760000000001</v>
      </c>
      <c r="Z5795">
        <v>6.8978620000000004E-2</v>
      </c>
      <c r="AA5795">
        <v>0.97571750000000002</v>
      </c>
      <c r="AB5795">
        <v>23</v>
      </c>
      <c r="AC5795">
        <v>7.9449999999999896</v>
      </c>
      <c r="AD5795">
        <v>-1.1139206499779</v>
      </c>
      <c r="AE5795">
        <v>-2.1756799999999998</v>
      </c>
      <c r="AF5795">
        <v>-1.7427031060707101</v>
      </c>
      <c r="AG5795">
        <v>-1.1139206499779</v>
      </c>
      <c r="AH5795">
        <v>7.8996456842267797</v>
      </c>
      <c r="AI5795">
        <v>97.840215239037306</v>
      </c>
      <c r="AJ5795">
        <v>102.440490233142</v>
      </c>
      <c r="AK5795">
        <v>8.1659191317743591</v>
      </c>
      <c r="AL5795">
        <v>67.817083606082207</v>
      </c>
      <c r="AM5795">
        <v>106.360398458666</v>
      </c>
      <c r="AN5795">
        <v>0.99999997970462895</v>
      </c>
    </row>
    <row r="5796" spans="1:40" x14ac:dyDescent="0.25">
      <c r="A5796" t="str">
        <f>"20190304164241767"</f>
        <v>20190304164241767</v>
      </c>
      <c r="B5796" t="str">
        <f>"1551688961756589"</f>
        <v>1551688961756589</v>
      </c>
      <c r="C5796" t="s">
        <v>40</v>
      </c>
      <c r="D5796">
        <v>4.4110180000000003</v>
      </c>
      <c r="E5796">
        <v>0.53490340000000003</v>
      </c>
      <c r="F5796" t="s">
        <v>42</v>
      </c>
      <c r="G5796">
        <v>-399.22820000000002</v>
      </c>
      <c r="H5796" s="1">
        <v>-6.8971299999999998E-7</v>
      </c>
      <c r="I5796">
        <v>20.91075</v>
      </c>
      <c r="J5796">
        <v>-407.18180000000001</v>
      </c>
      <c r="K5796">
        <v>1.113891</v>
      </c>
      <c r="L5796">
        <v>23.07104</v>
      </c>
      <c r="M5796">
        <v>0.88592729999999997</v>
      </c>
      <c r="N5796">
        <v>-1.3965699999999999E-2</v>
      </c>
      <c r="O5796">
        <v>-0.46361419999999998</v>
      </c>
      <c r="P5796">
        <v>0.9114449</v>
      </c>
      <c r="Q5796">
        <v>0.36689470000000002</v>
      </c>
      <c r="R5796">
        <v>-0.18616250000000001</v>
      </c>
      <c r="S5796">
        <v>3.2904659999999999</v>
      </c>
      <c r="T5796">
        <v>-0.45553460000000001</v>
      </c>
      <c r="U5796">
        <v>-0.90219119999999997</v>
      </c>
      <c r="V5796">
        <v>-0.26044840000000002</v>
      </c>
      <c r="W5796">
        <v>0.3774322</v>
      </c>
      <c r="X5796">
        <v>0.88865720000000004</v>
      </c>
      <c r="Y5796">
        <v>-0.2079375</v>
      </c>
      <c r="Z5796">
        <v>6.8818909999999997E-2</v>
      </c>
      <c r="AA5796">
        <v>0.97571819999999998</v>
      </c>
      <c r="AB5796">
        <v>23</v>
      </c>
      <c r="AC5796">
        <v>7.95359999999999</v>
      </c>
      <c r="AD5796">
        <v>-1.113891689713</v>
      </c>
      <c r="AE5796">
        <v>-2.1602899999999998</v>
      </c>
      <c r="AF5796">
        <v>-1.74189700890961</v>
      </c>
      <c r="AG5796">
        <v>-1.113891689713</v>
      </c>
      <c r="AH5796">
        <v>7.9042560447576697</v>
      </c>
      <c r="AI5796">
        <v>97.835873175023096</v>
      </c>
      <c r="AJ5796">
        <v>102.427887299928</v>
      </c>
      <c r="AK5796">
        <v>8.1702033944785093</v>
      </c>
      <c r="AL5796">
        <v>67.825282987811704</v>
      </c>
      <c r="AM5796">
        <v>106.33485008371601</v>
      </c>
      <c r="AN5796">
        <v>1.00000002688561</v>
      </c>
    </row>
    <row r="5797" spans="1:40" x14ac:dyDescent="0.25">
      <c r="A5797" t="str">
        <f>"20190304164241778"</f>
        <v>20190304164241778</v>
      </c>
      <c r="B5797" t="str">
        <f>"1551688961767324"</f>
        <v>1551688961767324</v>
      </c>
      <c r="C5797" t="s">
        <v>40</v>
      </c>
      <c r="D5797">
        <v>4.4234859999999996</v>
      </c>
      <c r="E5797">
        <v>0.5348543</v>
      </c>
      <c r="F5797" t="s">
        <v>42</v>
      </c>
      <c r="G5797">
        <v>-399.14890000000003</v>
      </c>
      <c r="H5797" s="1">
        <v>-7.2122459999999995E-7</v>
      </c>
      <c r="I5797">
        <v>20.888290000000001</v>
      </c>
      <c r="J5797">
        <v>-407.07929999999999</v>
      </c>
      <c r="K5797">
        <v>1.1138600000000001</v>
      </c>
      <c r="L5797">
        <v>23.020569999999999</v>
      </c>
      <c r="M5797">
        <v>0.88709359999999904</v>
      </c>
      <c r="N5797">
        <v>-1.39594E-2</v>
      </c>
      <c r="O5797">
        <v>-0.46137860000000003</v>
      </c>
      <c r="P5797">
        <v>0.91195009999999999</v>
      </c>
      <c r="Q5797">
        <v>0.36660019999999999</v>
      </c>
      <c r="R5797">
        <v>-0.18425900000000001</v>
      </c>
      <c r="S5797">
        <v>3.2924799999999999</v>
      </c>
      <c r="T5797">
        <v>-0.4565555</v>
      </c>
      <c r="U5797">
        <v>-0.89465329999999998</v>
      </c>
      <c r="V5797">
        <v>-0.26008550000000003</v>
      </c>
      <c r="W5797">
        <v>0.37715670000000001</v>
      </c>
      <c r="X5797">
        <v>0.88888040000000001</v>
      </c>
      <c r="Y5797">
        <v>-0.2076963</v>
      </c>
      <c r="Z5797">
        <v>6.8722140000000001E-2</v>
      </c>
      <c r="AA5797">
        <v>0.97577639999999999</v>
      </c>
      <c r="AB5797">
        <v>23</v>
      </c>
      <c r="AC5797">
        <v>7.9303999999999597</v>
      </c>
      <c r="AD5797">
        <v>-1.1138607212245999</v>
      </c>
      <c r="AE5797">
        <v>-2.1322800000000002</v>
      </c>
      <c r="AF5797">
        <v>-1.73562589994929</v>
      </c>
      <c r="AG5797">
        <v>-1.1138607212245999</v>
      </c>
      <c r="AH5797">
        <v>7.87470177002659</v>
      </c>
      <c r="AI5797">
        <v>97.864648296092398</v>
      </c>
      <c r="AJ5797">
        <v>102.42956582967</v>
      </c>
      <c r="AK5797">
        <v>8.1402709376114597</v>
      </c>
      <c r="AL5797">
        <v>67.842327171228106</v>
      </c>
      <c r="AM5797">
        <v>106.309422135962</v>
      </c>
      <c r="AN5797">
        <v>1.00000000458465</v>
      </c>
    </row>
    <row r="5798" spans="1:40" x14ac:dyDescent="0.25">
      <c r="A5798" t="str">
        <f>"20190304164241789"</f>
        <v>20190304164241789</v>
      </c>
      <c r="B5798" t="str">
        <f>"1551688961777084"</f>
        <v>1551688961777084</v>
      </c>
      <c r="C5798" t="s">
        <v>40</v>
      </c>
      <c r="D5798">
        <v>4.4333980000000004</v>
      </c>
      <c r="E5798">
        <v>0.53484019999999899</v>
      </c>
      <c r="F5798" t="s">
        <v>42</v>
      </c>
      <c r="G5798">
        <v>-399.07139999999998</v>
      </c>
      <c r="H5798" s="1">
        <v>-7.5188859999999904E-7</v>
      </c>
      <c r="I5798">
        <v>20.865870000000001</v>
      </c>
      <c r="J5798">
        <v>-406.97919999999999</v>
      </c>
      <c r="K5798">
        <v>1.113836</v>
      </c>
      <c r="L5798">
        <v>22.971620000000001</v>
      </c>
      <c r="M5798">
        <v>0.88821649999999996</v>
      </c>
      <c r="N5798">
        <v>-1.395356E-2</v>
      </c>
      <c r="O5798">
        <v>-0.45921319999999999</v>
      </c>
      <c r="P5798">
        <v>0.91238430000000004</v>
      </c>
      <c r="Q5798">
        <v>0.36630970000000002</v>
      </c>
      <c r="R5798">
        <v>-0.18268129999999999</v>
      </c>
      <c r="S5798">
        <v>3.2948</v>
      </c>
      <c r="T5798">
        <v>-0.45828999999999998</v>
      </c>
      <c r="U5798">
        <v>-0.88653559999999998</v>
      </c>
      <c r="V5798">
        <v>-0.25947940000000003</v>
      </c>
      <c r="W5798">
        <v>0.37688460000000001</v>
      </c>
      <c r="X5798">
        <v>0.88917289999999904</v>
      </c>
      <c r="Y5798">
        <v>-0.2077003</v>
      </c>
      <c r="Z5798">
        <v>6.875858E-2</v>
      </c>
      <c r="AA5798">
        <v>0.975773</v>
      </c>
      <c r="AB5798">
        <v>23</v>
      </c>
      <c r="AC5798">
        <v>7.9077999999999999</v>
      </c>
      <c r="AD5798">
        <v>-1.1138367518886001</v>
      </c>
      <c r="AE5798">
        <v>-2.10575</v>
      </c>
      <c r="AF5798">
        <v>-1.7291418020073299</v>
      </c>
      <c r="AG5798">
        <v>-1.1138367518886001</v>
      </c>
      <c r="AH5798">
        <v>7.8462459028738998</v>
      </c>
      <c r="AI5798">
        <v>97.8926886738505</v>
      </c>
      <c r="AJ5798">
        <v>102.428087538982</v>
      </c>
      <c r="AK5798">
        <v>8.1113586068964096</v>
      </c>
      <c r="AL5798">
        <v>67.859159469575602</v>
      </c>
      <c r="AM5798">
        <v>106.268358217561</v>
      </c>
      <c r="AN5798">
        <v>1.0000000034179599</v>
      </c>
    </row>
    <row r="5799" spans="1:40" x14ac:dyDescent="0.25">
      <c r="A5799" t="str">
        <f>"20190304164241803"</f>
        <v>20190304164241803</v>
      </c>
      <c r="B5799" t="str">
        <f>"1551688961796604"</f>
        <v>1551688961796604</v>
      </c>
      <c r="C5799" t="s">
        <v>40</v>
      </c>
      <c r="D5799">
        <v>4.4515560000000001</v>
      </c>
      <c r="E5799">
        <v>0.53482059999999998</v>
      </c>
      <c r="F5799" t="s">
        <v>42</v>
      </c>
      <c r="G5799">
        <v>-398.99310000000003</v>
      </c>
      <c r="H5799" s="1">
        <v>-7.8213959999999997E-7</v>
      </c>
      <c r="I5799">
        <v>20.84046</v>
      </c>
      <c r="J5799">
        <v>-406.8537</v>
      </c>
      <c r="K5799">
        <v>1.1138079999999999</v>
      </c>
      <c r="L5799">
        <v>22.91046</v>
      </c>
      <c r="M5799">
        <v>0.88960949999999905</v>
      </c>
      <c r="N5799">
        <v>-1.394655E-2</v>
      </c>
      <c r="O5799">
        <v>-0.4565091</v>
      </c>
      <c r="P5799">
        <v>0.91295150000000003</v>
      </c>
      <c r="Q5799">
        <v>0.36625370000000002</v>
      </c>
      <c r="R5799">
        <v>-0.17993909999999999</v>
      </c>
      <c r="S5799">
        <v>3.2965089999999901</v>
      </c>
      <c r="T5799">
        <v>-0.4597695</v>
      </c>
      <c r="U5799">
        <v>-0.87969969999999997</v>
      </c>
      <c r="V5799">
        <v>-0.25942949999999998</v>
      </c>
      <c r="W5799">
        <v>0.37684129999999999</v>
      </c>
      <c r="X5799">
        <v>0.88920580000000005</v>
      </c>
      <c r="Y5799">
        <v>-0.20673279999999999</v>
      </c>
      <c r="Z5799">
        <v>6.8631230000000001E-2</v>
      </c>
      <c r="AA5799">
        <v>0.97598739999999995</v>
      </c>
      <c r="AB5799">
        <v>23</v>
      </c>
      <c r="AC5799">
        <v>7.8605999999999696</v>
      </c>
      <c r="AD5799">
        <v>-1.1138087821396001</v>
      </c>
      <c r="AE5799">
        <v>-2.0699999999999998</v>
      </c>
      <c r="AF5799">
        <v>-1.7149152142228801</v>
      </c>
      <c r="AG5799">
        <v>-1.1138087821396001</v>
      </c>
      <c r="AH5799">
        <v>7.7923055585691596</v>
      </c>
      <c r="AI5799">
        <v>97.946925969568696</v>
      </c>
      <c r="AJ5799">
        <v>102.411682554207</v>
      </c>
      <c r="AK5799">
        <v>8.0561485905643604</v>
      </c>
      <c r="AL5799">
        <v>67.861837609522297</v>
      </c>
      <c r="AM5799">
        <v>106.264825099093</v>
      </c>
      <c r="AN5799">
        <v>0.99999999280479002</v>
      </c>
    </row>
    <row r="5800" spans="1:40" x14ac:dyDescent="0.25">
      <c r="A5800" t="str">
        <f>"20190304164241815"</f>
        <v>20190304164241815</v>
      </c>
      <c r="B5800" t="str">
        <f>"1551688961807341"</f>
        <v>1551688961807341</v>
      </c>
      <c r="C5800" t="s">
        <v>40</v>
      </c>
      <c r="D5800">
        <v>4.4393630000000002</v>
      </c>
      <c r="E5800">
        <v>0.53483190000000003</v>
      </c>
      <c r="F5800" t="s">
        <v>42</v>
      </c>
      <c r="G5800">
        <v>-398.89159999999998</v>
      </c>
      <c r="H5800" s="1">
        <v>-8.2336360000000002E-7</v>
      </c>
      <c r="I5800">
        <v>20.815059999999999</v>
      </c>
      <c r="J5800">
        <v>-406.74709999999999</v>
      </c>
      <c r="K5800">
        <v>1.113785</v>
      </c>
      <c r="L5800">
        <v>22.85904</v>
      </c>
      <c r="M5800">
        <v>0.89077519999999999</v>
      </c>
      <c r="N5800">
        <v>-1.3940960000000001E-2</v>
      </c>
      <c r="O5800">
        <v>-0.45423039999999998</v>
      </c>
      <c r="P5800">
        <v>0.91334839999999995</v>
      </c>
      <c r="Q5800">
        <v>0.36607960000000001</v>
      </c>
      <c r="R5800">
        <v>-0.1782715</v>
      </c>
      <c r="S5800">
        <v>3.3001100000000001</v>
      </c>
      <c r="T5800">
        <v>-0.46165010000000001</v>
      </c>
      <c r="U5800">
        <v>-0.86849979999999904</v>
      </c>
      <c r="V5800">
        <v>-0.2587875</v>
      </c>
      <c r="W5800">
        <v>0.37668099999999999</v>
      </c>
      <c r="X5800">
        <v>0.88946080000000005</v>
      </c>
      <c r="Y5800">
        <v>-0.20755680000000001</v>
      </c>
      <c r="Z5800">
        <v>6.8718810000000005E-2</v>
      </c>
      <c r="AA5800">
        <v>0.97580630000000002</v>
      </c>
      <c r="AB5800">
        <v>23</v>
      </c>
      <c r="AC5800">
        <v>7.8555000000000001</v>
      </c>
      <c r="AD5800">
        <v>-1.1137858233636</v>
      </c>
      <c r="AE5800">
        <v>-2.0439799999999999</v>
      </c>
      <c r="AF5800">
        <v>-1.71535323496254</v>
      </c>
      <c r="AG5800">
        <v>-1.1137858233636</v>
      </c>
      <c r="AH5800">
        <v>7.7802063700030901</v>
      </c>
      <c r="AI5800">
        <v>97.958306391438299</v>
      </c>
      <c r="AJ5800">
        <v>102.43346094357101</v>
      </c>
      <c r="AK5800">
        <v>8.0445364528267795</v>
      </c>
      <c r="AL5800">
        <v>67.871753640814006</v>
      </c>
      <c r="AM5800">
        <v>106.22228820457801</v>
      </c>
      <c r="AN5800">
        <v>1.0000000303269401</v>
      </c>
    </row>
    <row r="5801" spans="1:40" x14ac:dyDescent="0.25">
      <c r="A5801" t="str">
        <f>"20190304164241832"</f>
        <v>20190304164241832</v>
      </c>
      <c r="B5801" t="str">
        <f>"1551688961826860"</f>
        <v>1551688961826860</v>
      </c>
      <c r="C5801" t="s">
        <v>40</v>
      </c>
      <c r="D5801">
        <v>4.4736029999999998</v>
      </c>
      <c r="E5801">
        <v>0.53477200000000003</v>
      </c>
      <c r="F5801" t="s">
        <v>42</v>
      </c>
      <c r="G5801">
        <v>-398.80149999999998</v>
      </c>
      <c r="H5801" s="1">
        <v>-8.5867619999999999E-7</v>
      </c>
      <c r="I5801">
        <v>20.787759999999999</v>
      </c>
      <c r="J5801">
        <v>-406.58920000000001</v>
      </c>
      <c r="K5801">
        <v>1.1137629999999901</v>
      </c>
      <c r="L5801">
        <v>22.78342</v>
      </c>
      <c r="M5801">
        <v>0.89248320000000003</v>
      </c>
      <c r="N5801">
        <v>-1.393337E-2</v>
      </c>
      <c r="O5801">
        <v>-0.45086540000000003</v>
      </c>
      <c r="P5801">
        <v>0.91391560000000005</v>
      </c>
      <c r="Q5801">
        <v>0.36614479999999999</v>
      </c>
      <c r="R5801">
        <v>-0.1752039</v>
      </c>
      <c r="S5801">
        <v>3.3020939999999999</v>
      </c>
      <c r="T5801">
        <v>-0.46288040000000003</v>
      </c>
      <c r="U5801">
        <v>-0.8608093</v>
      </c>
      <c r="V5801">
        <v>-0.25838549999999999</v>
      </c>
      <c r="W5801">
        <v>0.37675570000000003</v>
      </c>
      <c r="X5801">
        <v>0.88954599999999995</v>
      </c>
      <c r="Y5801">
        <v>-0.20614440000000001</v>
      </c>
      <c r="Z5801">
        <v>6.8439739999999999E-2</v>
      </c>
      <c r="AA5801">
        <v>0.97612520000000003</v>
      </c>
      <c r="AB5801">
        <v>23</v>
      </c>
      <c r="AC5801">
        <v>7.7877000000000196</v>
      </c>
      <c r="AD5801">
        <v>-1.11376385867619</v>
      </c>
      <c r="AE5801">
        <v>-1.99565999999999</v>
      </c>
      <c r="AF5801">
        <v>-1.6976953200379801</v>
      </c>
      <c r="AG5801">
        <v>-1.11376385867619</v>
      </c>
      <c r="AH5801">
        <v>7.7030812921207596</v>
      </c>
      <c r="AI5801">
        <v>98.036935871579104</v>
      </c>
      <c r="AJ5801">
        <v>102.428824425618</v>
      </c>
      <c r="AK5801">
        <v>7.9661848287365897</v>
      </c>
      <c r="AL5801">
        <v>67.867132664494804</v>
      </c>
      <c r="AM5801">
        <v>106.19694082622399</v>
      </c>
      <c r="AN5801">
        <v>1.00000000510436</v>
      </c>
    </row>
    <row r="5802" spans="1:40" x14ac:dyDescent="0.25">
      <c r="A5802" t="str">
        <f>"20190304164241845"</f>
        <v>20190304164241845</v>
      </c>
      <c r="B5802" t="str">
        <f>"1551688961836620"</f>
        <v>1551688961836620</v>
      </c>
      <c r="C5802" t="s">
        <v>40</v>
      </c>
      <c r="D5802">
        <v>4.6259629999999996</v>
      </c>
      <c r="E5802">
        <v>0.53471000000000002</v>
      </c>
      <c r="F5802" t="s">
        <v>42</v>
      </c>
      <c r="G5802">
        <v>-398.62979999999999</v>
      </c>
      <c r="H5802" s="1">
        <v>-9.2835220000000001E-7</v>
      </c>
      <c r="I5802">
        <v>20.74447</v>
      </c>
      <c r="J5802">
        <v>-406.47829999999999</v>
      </c>
      <c r="K5802">
        <v>1.1137619999999999</v>
      </c>
      <c r="L5802">
        <v>22.730619999999998</v>
      </c>
      <c r="M5802">
        <v>0.89367129999999995</v>
      </c>
      <c r="N5802">
        <v>-1.392846E-2</v>
      </c>
      <c r="O5802">
        <v>-0.44850640000000003</v>
      </c>
      <c r="P5802">
        <v>0.91427029999999998</v>
      </c>
      <c r="Q5802">
        <v>0.3662533</v>
      </c>
      <c r="R5802">
        <v>-0.1731144</v>
      </c>
      <c r="S5802">
        <v>3.305542</v>
      </c>
      <c r="T5802">
        <v>-0.46254420000000002</v>
      </c>
      <c r="U5802">
        <v>-0.84677119999999995</v>
      </c>
      <c r="V5802">
        <v>-0.25803969999999998</v>
      </c>
      <c r="W5802">
        <v>0.3768688</v>
      </c>
      <c r="X5802">
        <v>0.88959849999999996</v>
      </c>
      <c r="Y5802">
        <v>-0.20770449999999999</v>
      </c>
      <c r="Z5802">
        <v>6.8233470000000004E-2</v>
      </c>
      <c r="AA5802">
        <v>0.97580889999999998</v>
      </c>
      <c r="AB5802">
        <v>23</v>
      </c>
      <c r="AC5802">
        <v>7.8484999999999996</v>
      </c>
      <c r="AD5802">
        <v>-1.1137629283521999</v>
      </c>
      <c r="AE5802">
        <v>-1.9861500000000001</v>
      </c>
      <c r="AF5802">
        <v>-1.7128884110181</v>
      </c>
      <c r="AG5802">
        <v>-1.1137629283521999</v>
      </c>
      <c r="AH5802">
        <v>7.7587058215335496</v>
      </c>
      <c r="AI5802">
        <v>97.979428393417294</v>
      </c>
      <c r="AJ5802">
        <v>102.449485192989</v>
      </c>
      <c r="AK5802">
        <v>8.0232144801363994</v>
      </c>
      <c r="AL5802">
        <v>67.860137549304895</v>
      </c>
      <c r="AM5802">
        <v>106.175493937483</v>
      </c>
      <c r="AN5802">
        <v>1.00000003519588</v>
      </c>
    </row>
    <row r="5803" spans="1:40" x14ac:dyDescent="0.25">
      <c r="A5803" t="str">
        <f>"20190304164241856"</f>
        <v>20190304164241856</v>
      </c>
      <c r="B5803" t="str">
        <f>"1551688961847356"</f>
        <v>1551688961847356</v>
      </c>
      <c r="C5803" t="s">
        <v>40</v>
      </c>
      <c r="D5803">
        <v>4.6359209999999997</v>
      </c>
      <c r="E5803">
        <v>0.53465699999999905</v>
      </c>
      <c r="F5803" t="s">
        <v>42</v>
      </c>
      <c r="G5803">
        <v>-398.5222</v>
      </c>
      <c r="H5803" s="1">
        <v>-9.7204969999999899E-7</v>
      </c>
      <c r="I5803">
        <v>20.717459999999999</v>
      </c>
      <c r="J5803">
        <v>-406.3768</v>
      </c>
      <c r="K5803">
        <v>1.113758</v>
      </c>
      <c r="L5803">
        <v>22.682739999999999</v>
      </c>
      <c r="M5803">
        <v>0.89475020000000005</v>
      </c>
      <c r="N5803">
        <v>-1.3924280000000001E-2</v>
      </c>
      <c r="O5803">
        <v>-0.44634990000000002</v>
      </c>
      <c r="P5803">
        <v>0.91470680000000004</v>
      </c>
      <c r="Q5803">
        <v>0.36602750000000001</v>
      </c>
      <c r="R5803">
        <v>-0.17127510000000001</v>
      </c>
      <c r="S5803">
        <v>3.3082889999999998</v>
      </c>
      <c r="T5803">
        <v>-0.46311780000000002</v>
      </c>
      <c r="U5803">
        <v>-0.83709719999999999</v>
      </c>
      <c r="V5803">
        <v>-0.25771559999999999</v>
      </c>
      <c r="W5803">
        <v>0.37664740000000002</v>
      </c>
      <c r="X5803">
        <v>0.88978619999999997</v>
      </c>
      <c r="Y5803">
        <v>-0.20821909999999999</v>
      </c>
      <c r="Z5803">
        <v>6.8110729999999994E-2</v>
      </c>
      <c r="AA5803">
        <v>0.97570780000000001</v>
      </c>
      <c r="AB5803">
        <v>23</v>
      </c>
      <c r="AC5803">
        <v>7.8545999999999996</v>
      </c>
      <c r="AD5803">
        <v>-1.1137589720497001</v>
      </c>
      <c r="AE5803">
        <v>-1.9652799999999999</v>
      </c>
      <c r="AF5803">
        <v>-1.71518031201057</v>
      </c>
      <c r="AG5803">
        <v>-1.1137589720497001</v>
      </c>
      <c r="AH5803">
        <v>7.7590582445953604</v>
      </c>
      <c r="AI5803">
        <v>97.978569256481293</v>
      </c>
      <c r="AJ5803">
        <v>102.465074131056</v>
      </c>
      <c r="AK5803">
        <v>8.0240443289872907</v>
      </c>
      <c r="AL5803">
        <v>67.8738320186213</v>
      </c>
      <c r="AM5803">
        <v>106.153007549026</v>
      </c>
      <c r="AN5803">
        <v>1.00000003806027</v>
      </c>
    </row>
    <row r="5804" spans="1:40" x14ac:dyDescent="0.25">
      <c r="A5804" t="str">
        <f>"20190304164241866"</f>
        <v>20190304164241866</v>
      </c>
      <c r="B5804" t="str">
        <f>"1551688961857117"</f>
        <v>1551688961857117</v>
      </c>
      <c r="C5804" t="s">
        <v>40</v>
      </c>
      <c r="D5804">
        <v>4.4750870000000003</v>
      </c>
      <c r="E5804">
        <v>0.53468930000000003</v>
      </c>
      <c r="F5804" t="s">
        <v>42</v>
      </c>
      <c r="G5804">
        <v>-398.44549999999998</v>
      </c>
      <c r="H5804" s="1">
        <v>-1.0028669999999999E-6</v>
      </c>
      <c r="I5804">
        <v>20.69716</v>
      </c>
      <c r="J5804">
        <v>-406.28190000000001</v>
      </c>
      <c r="K5804">
        <v>1.113753</v>
      </c>
      <c r="L5804">
        <v>22.63815</v>
      </c>
      <c r="M5804">
        <v>0.89575280000000002</v>
      </c>
      <c r="N5804">
        <v>-1.392068E-2</v>
      </c>
      <c r="O5804">
        <v>-0.44433460000000002</v>
      </c>
      <c r="P5804">
        <v>0.91504920000000001</v>
      </c>
      <c r="Q5804">
        <v>0.36612319999999998</v>
      </c>
      <c r="R5804">
        <v>-0.16923060000000001</v>
      </c>
      <c r="S5804">
        <v>3.3105769999999999</v>
      </c>
      <c r="T5804">
        <v>-0.46489180000000002</v>
      </c>
      <c r="U5804">
        <v>-0.82879639999999999</v>
      </c>
      <c r="V5804">
        <v>-0.25768249999999998</v>
      </c>
      <c r="W5804">
        <v>0.3767411</v>
      </c>
      <c r="X5804">
        <v>0.88975609999999905</v>
      </c>
      <c r="Y5804">
        <v>-0.20845130000000001</v>
      </c>
      <c r="Z5804">
        <v>6.8172049999999998E-2</v>
      </c>
      <c r="AA5804">
        <v>0.97565389999999996</v>
      </c>
      <c r="AB5804">
        <v>23</v>
      </c>
      <c r="AC5804">
        <v>7.8364000000000198</v>
      </c>
      <c r="AD5804">
        <v>-1.1137540028669899</v>
      </c>
      <c r="AE5804">
        <v>-1.94098999999999</v>
      </c>
      <c r="AF5804">
        <v>-1.7109424503438</v>
      </c>
      <c r="AG5804">
        <v>-1.1137540028669899</v>
      </c>
      <c r="AH5804">
        <v>7.7354674491072997</v>
      </c>
      <c r="AI5804">
        <v>98.002341134957405</v>
      </c>
      <c r="AJ5804">
        <v>102.471973387988</v>
      </c>
      <c r="AK5804">
        <v>8.0003267872937105</v>
      </c>
      <c r="AL5804">
        <v>67.868036126395296</v>
      </c>
      <c r="AM5804">
        <v>106.151558986342</v>
      </c>
      <c r="AN5804">
        <v>1.0000000223613299</v>
      </c>
    </row>
    <row r="5805" spans="1:40" x14ac:dyDescent="0.25">
      <c r="A5805" t="str">
        <f>"20190304164241878"</f>
        <v>20190304164241878</v>
      </c>
      <c r="B5805" t="str">
        <f>"1551688961866876"</f>
        <v>1551688961866876</v>
      </c>
      <c r="C5805" t="s">
        <v>40</v>
      </c>
      <c r="D5805">
        <v>4.6938570000000004</v>
      </c>
      <c r="E5805">
        <v>0.53465030000000002</v>
      </c>
      <c r="F5805" t="s">
        <v>42</v>
      </c>
      <c r="G5805">
        <v>-398.35660000000001</v>
      </c>
      <c r="H5805" s="1">
        <v>-1.039033E-6</v>
      </c>
      <c r="I5805">
        <v>20.675070000000002</v>
      </c>
      <c r="J5805">
        <v>-406.17099999999999</v>
      </c>
      <c r="K5805">
        <v>1.113753</v>
      </c>
      <c r="L5805">
        <v>22.586400000000001</v>
      </c>
      <c r="M5805">
        <v>0.89691860000000001</v>
      </c>
      <c r="N5805">
        <v>-1.391687E-2</v>
      </c>
      <c r="O5805">
        <v>-0.44197700000000001</v>
      </c>
      <c r="P5805">
        <v>0.91545849999999995</v>
      </c>
      <c r="Q5805">
        <v>0.3661605</v>
      </c>
      <c r="R5805">
        <v>-0.16691979999999901</v>
      </c>
      <c r="S5805">
        <v>3.3129879999999998</v>
      </c>
      <c r="T5805">
        <v>-0.46557660000000001</v>
      </c>
      <c r="U5805">
        <v>-0.82061770000000001</v>
      </c>
      <c r="V5805">
        <v>-0.2575809</v>
      </c>
      <c r="W5805">
        <v>0.37677640000000001</v>
      </c>
      <c r="X5805">
        <v>0.88977059999999997</v>
      </c>
      <c r="Y5805">
        <v>-0.20831820000000001</v>
      </c>
      <c r="Z5805">
        <v>6.799471E-2</v>
      </c>
      <c r="AA5805">
        <v>0.97569470000000003</v>
      </c>
      <c r="AB5805">
        <v>23</v>
      </c>
      <c r="AC5805">
        <v>7.8143999999999698</v>
      </c>
      <c r="AD5805">
        <v>-1.1137540390330001</v>
      </c>
      <c r="AE5805">
        <v>-1.91132999999999</v>
      </c>
      <c r="AF5805">
        <v>-1.7069291870623899</v>
      </c>
      <c r="AG5805">
        <v>-1.1137540390330001</v>
      </c>
      <c r="AH5805">
        <v>7.7066901513869004</v>
      </c>
      <c r="AI5805">
        <v>98.031323069432304</v>
      </c>
      <c r="AJ5805">
        <v>102.48864101525299</v>
      </c>
      <c r="AK5805">
        <v>7.9716452755119303</v>
      </c>
      <c r="AL5805">
        <v>67.865853291803106</v>
      </c>
      <c r="AM5805">
        <v>106.145273157788</v>
      </c>
      <c r="AN5805">
        <v>1.00000004813306</v>
      </c>
    </row>
    <row r="5806" spans="1:40" x14ac:dyDescent="0.25">
      <c r="A5806" t="str">
        <f>"20190304164241893"</f>
        <v>20190304164241893</v>
      </c>
      <c r="B5806" t="str">
        <f>"1551688961887372"</f>
        <v>1551688961887372</v>
      </c>
      <c r="C5806" t="s">
        <v>40</v>
      </c>
      <c r="D5806">
        <v>4.7640650000000004</v>
      </c>
      <c r="E5806">
        <v>0.53466619999999998</v>
      </c>
      <c r="F5806" t="s">
        <v>42</v>
      </c>
      <c r="G5806">
        <v>-398.25229999999999</v>
      </c>
      <c r="H5806" s="1">
        <v>-1.0812450000000001E-6</v>
      </c>
      <c r="I5806">
        <v>20.648440000000001</v>
      </c>
      <c r="J5806">
        <v>-406.05680000000001</v>
      </c>
      <c r="K5806">
        <v>1.1137490000000001</v>
      </c>
      <c r="L5806">
        <v>22.533539999999999</v>
      </c>
      <c r="M5806">
        <v>0.8981133</v>
      </c>
      <c r="N5806">
        <v>-1.391323E-2</v>
      </c>
      <c r="O5806">
        <v>-0.43954389999999999</v>
      </c>
      <c r="P5806">
        <v>0.91597740000000005</v>
      </c>
      <c r="Q5806">
        <v>0.3658766</v>
      </c>
      <c r="R5806">
        <v>-0.1646812</v>
      </c>
      <c r="S5806">
        <v>3.3156129999999999</v>
      </c>
      <c r="T5806">
        <v>-0.46633479999999999</v>
      </c>
      <c r="U5806">
        <v>-0.81143189999999998</v>
      </c>
      <c r="V5806">
        <v>-0.25739099999999998</v>
      </c>
      <c r="W5806">
        <v>0.37649280000000002</v>
      </c>
      <c r="X5806">
        <v>0.88994549999999994</v>
      </c>
      <c r="Y5806">
        <v>-0.208397</v>
      </c>
      <c r="Z5806">
        <v>6.7833989999999997E-2</v>
      </c>
      <c r="AA5806">
        <v>0.97568909999999998</v>
      </c>
      <c r="AB5806">
        <v>23</v>
      </c>
      <c r="AC5806">
        <v>7.8045000000000098</v>
      </c>
      <c r="AD5806">
        <v>-1.1137500812450001</v>
      </c>
      <c r="AE5806">
        <v>-1.88509999999999</v>
      </c>
      <c r="AF5806">
        <v>-1.7047517116922599</v>
      </c>
      <c r="AG5806">
        <v>-1.1137500812450001</v>
      </c>
      <c r="AH5806">
        <v>7.6906812762986201</v>
      </c>
      <c r="AI5806">
        <v>98.047495557952004</v>
      </c>
      <c r="AJ5806">
        <v>102.498357669852</v>
      </c>
      <c r="AK5806">
        <v>7.95570211455916</v>
      </c>
      <c r="AL5806">
        <v>67.883392318813605</v>
      </c>
      <c r="AM5806">
        <v>106.13098381518201</v>
      </c>
      <c r="AN5806">
        <v>0.99999997415154396</v>
      </c>
    </row>
    <row r="5807" spans="1:40" x14ac:dyDescent="0.25">
      <c r="A5807" t="str">
        <f>"20190304164241906"</f>
        <v>20190304164241906</v>
      </c>
      <c r="B5807" t="str">
        <f>"1551688961897132"</f>
        <v>1551688961897132</v>
      </c>
      <c r="C5807" t="s">
        <v>40</v>
      </c>
      <c r="D5807">
        <v>4.6049959999999999</v>
      </c>
      <c r="E5807">
        <v>0.53467959999999903</v>
      </c>
      <c r="F5807" t="s">
        <v>42</v>
      </c>
      <c r="G5807">
        <v>-398.1857</v>
      </c>
      <c r="H5807" s="1">
        <v>-1.1075359999999999E-6</v>
      </c>
      <c r="I5807">
        <v>20.628900000000002</v>
      </c>
      <c r="J5807">
        <v>-405.92950000000002</v>
      </c>
      <c r="K5807">
        <v>1.1137490000000001</v>
      </c>
      <c r="L5807">
        <v>22.474979999999999</v>
      </c>
      <c r="M5807">
        <v>0.89943619999999902</v>
      </c>
      <c r="N5807">
        <v>-1.3909410000000001E-2</v>
      </c>
      <c r="O5807">
        <v>-0.43683070000000002</v>
      </c>
      <c r="P5807">
        <v>0.91662659999999996</v>
      </c>
      <c r="Q5807">
        <v>0.36557450000000002</v>
      </c>
      <c r="R5807">
        <v>-0.1617122</v>
      </c>
      <c r="S5807">
        <v>3.31839</v>
      </c>
      <c r="T5807">
        <v>-0.46954879999999999</v>
      </c>
      <c r="U5807">
        <v>-0.80297850000000004</v>
      </c>
      <c r="V5807">
        <v>-0.25764090000000001</v>
      </c>
      <c r="W5807">
        <v>0.3761854</v>
      </c>
      <c r="X5807">
        <v>0.890003199999999</v>
      </c>
      <c r="Y5807">
        <v>-0.20793310000000001</v>
      </c>
      <c r="Z5807">
        <v>6.7971599999999993E-2</v>
      </c>
      <c r="AA5807">
        <v>0.97577849999999999</v>
      </c>
      <c r="AB5807">
        <v>23</v>
      </c>
      <c r="AC5807">
        <v>7.7438000000000198</v>
      </c>
      <c r="AD5807">
        <v>-1.1137501075359999</v>
      </c>
      <c r="AE5807">
        <v>-1.84607999999999</v>
      </c>
      <c r="AF5807">
        <v>-1.6893981300451599</v>
      </c>
      <c r="AG5807">
        <v>-1.1137501075359999</v>
      </c>
      <c r="AH5807">
        <v>7.6230235286588304</v>
      </c>
      <c r="AI5807">
        <v>98.118051992445601</v>
      </c>
      <c r="AJ5807">
        <v>102.495805386548</v>
      </c>
      <c r="AK5807">
        <v>7.88701420452142</v>
      </c>
      <c r="AL5807">
        <v>67.902403064707698</v>
      </c>
      <c r="AM5807">
        <v>106.144837423491</v>
      </c>
      <c r="AN5807">
        <v>0.99999999226810399</v>
      </c>
    </row>
    <row r="5808" spans="1:40" x14ac:dyDescent="0.25">
      <c r="A5808" t="str">
        <f>"20190304164241924"</f>
        <v>20190304164241924</v>
      </c>
      <c r="B5808" t="str">
        <f>"1551688961916654"</f>
        <v>1551688961916654</v>
      </c>
      <c r="C5808" t="s">
        <v>40</v>
      </c>
      <c r="D5808">
        <v>4.5244519999999904</v>
      </c>
      <c r="E5808">
        <v>0.53478549999999903</v>
      </c>
      <c r="F5808" t="s">
        <v>42</v>
      </c>
      <c r="G5808">
        <v>-398.09269999999998</v>
      </c>
      <c r="H5808" s="1">
        <v>-1.1447470000000001E-6</v>
      </c>
      <c r="I5808">
        <v>20.6036</v>
      </c>
      <c r="J5808">
        <v>-405.76639999999998</v>
      </c>
      <c r="K5808">
        <v>1.1137490000000001</v>
      </c>
      <c r="L5808">
        <v>22.40063</v>
      </c>
      <c r="M5808">
        <v>0.90112130000000001</v>
      </c>
      <c r="N5808">
        <v>-1.3905010000000001E-2</v>
      </c>
      <c r="O5808">
        <v>-0.43334410000000001</v>
      </c>
      <c r="P5808">
        <v>0.91746680000000003</v>
      </c>
      <c r="Q5808">
        <v>0.36521569999999998</v>
      </c>
      <c r="R5808">
        <v>-0.15770890000000001</v>
      </c>
      <c r="S5808">
        <v>3.3212280000000001</v>
      </c>
      <c r="T5808">
        <v>-0.47200890000000001</v>
      </c>
      <c r="U5808">
        <v>-0.79309079999999998</v>
      </c>
      <c r="V5808">
        <v>-0.25814419999999999</v>
      </c>
      <c r="W5808">
        <v>0.37581769999999998</v>
      </c>
      <c r="X5808">
        <v>0.89001269999999999</v>
      </c>
      <c r="Y5808">
        <v>-0.20706179999999999</v>
      </c>
      <c r="Z5808">
        <v>6.7875870000000005E-2</v>
      </c>
      <c r="AA5808">
        <v>0.97597040000000002</v>
      </c>
      <c r="AB5808">
        <v>22</v>
      </c>
      <c r="AC5808">
        <v>7.6736999999999904</v>
      </c>
      <c r="AD5808">
        <v>-1.113750144747</v>
      </c>
      <c r="AE5808">
        <v>-1.7970299999999899</v>
      </c>
      <c r="AF5808">
        <v>-1.6727702112312</v>
      </c>
      <c r="AG5808">
        <v>-1.113750144747</v>
      </c>
      <c r="AH5808">
        <v>7.54376125972402</v>
      </c>
      <c r="AI5808">
        <v>98.201981366235898</v>
      </c>
      <c r="AJ5808">
        <v>102.502596020537</v>
      </c>
      <c r="AK5808">
        <v>7.8068517027172604</v>
      </c>
      <c r="AL5808">
        <v>67.925139038286602</v>
      </c>
      <c r="AM5808">
        <v>106.174564979515</v>
      </c>
      <c r="AN5808">
        <v>0.99999998889410902</v>
      </c>
    </row>
    <row r="5809" spans="1:40" x14ac:dyDescent="0.25">
      <c r="A5809" t="str">
        <f>"20190304164241936"</f>
        <v>20190304164241936</v>
      </c>
      <c r="B5809" t="str">
        <f>"1551688961927388"</f>
        <v>1551688961927388</v>
      </c>
      <c r="C5809" t="s">
        <v>40</v>
      </c>
      <c r="D5809">
        <v>4.7007349999999999</v>
      </c>
      <c r="E5809">
        <v>0.53475669999999897</v>
      </c>
      <c r="F5809" t="s">
        <v>42</v>
      </c>
      <c r="G5809">
        <v>-397.97609999999997</v>
      </c>
      <c r="H5809" s="1">
        <v>-1.191772E-6</v>
      </c>
      <c r="I5809">
        <v>20.5732</v>
      </c>
      <c r="J5809">
        <v>-405.65019999999998</v>
      </c>
      <c r="K5809">
        <v>1.1137520000000001</v>
      </c>
      <c r="L5809">
        <v>22.348240000000001</v>
      </c>
      <c r="M5809">
        <v>0.90231419999999996</v>
      </c>
      <c r="N5809">
        <v>-1.3902060000000001E-2</v>
      </c>
      <c r="O5809">
        <v>-0.43085489999999999</v>
      </c>
      <c r="P5809">
        <v>0.91803920000000006</v>
      </c>
      <c r="Q5809">
        <v>0.3648496</v>
      </c>
      <c r="R5809">
        <v>-0.1552055</v>
      </c>
      <c r="S5809">
        <v>3.3250730000000002</v>
      </c>
      <c r="T5809">
        <v>-0.4753773</v>
      </c>
      <c r="U5809">
        <v>-0.77999879999999999</v>
      </c>
      <c r="V5809">
        <v>-0.25817639999999997</v>
      </c>
      <c r="W5809">
        <v>0.37545010000000001</v>
      </c>
      <c r="X5809">
        <v>0.89015849999999996</v>
      </c>
      <c r="Y5809">
        <v>-0.2081887</v>
      </c>
      <c r="Z5809">
        <v>6.8164050000000004E-2</v>
      </c>
      <c r="AA5809">
        <v>0.97571059999999998</v>
      </c>
      <c r="AB5809">
        <v>22</v>
      </c>
      <c r="AC5809">
        <v>7.6741000000000099</v>
      </c>
      <c r="AD5809">
        <v>-1.1137531917720001</v>
      </c>
      <c r="AE5809">
        <v>-1.77504</v>
      </c>
      <c r="AF5809">
        <v>-1.67152486894407</v>
      </c>
      <c r="AG5809">
        <v>-1.1137531917720001</v>
      </c>
      <c r="AH5809">
        <v>7.5392411769865397</v>
      </c>
      <c r="AI5809">
        <v>98.206909123309998</v>
      </c>
      <c r="AJ5809">
        <v>102.50083547828299</v>
      </c>
      <c r="AK5809">
        <v>7.8022175747956597</v>
      </c>
      <c r="AL5809">
        <v>67.947865348191101</v>
      </c>
      <c r="AM5809">
        <v>106.17396600382401</v>
      </c>
      <c r="AN5809">
        <v>0.99999999311460996</v>
      </c>
    </row>
    <row r="5810" spans="1:40" x14ac:dyDescent="0.25">
      <c r="A5810" t="str">
        <f>"20190304164241947"</f>
        <v>20190304164241947</v>
      </c>
      <c r="B5810" t="str">
        <f>"1551688961937149"</f>
        <v>1551688961937149</v>
      </c>
      <c r="C5810" t="s">
        <v>40</v>
      </c>
      <c r="D5810">
        <v>4.62256</v>
      </c>
      <c r="E5810">
        <v>0.53473680000000001</v>
      </c>
      <c r="F5810" t="s">
        <v>42</v>
      </c>
      <c r="G5810">
        <v>-397.89510000000001</v>
      </c>
      <c r="H5810" s="1">
        <v>-1.2242840000000001E-6</v>
      </c>
      <c r="I5810">
        <v>20.55153</v>
      </c>
      <c r="J5810">
        <v>-405.54739999999998</v>
      </c>
      <c r="K5810">
        <v>1.113742</v>
      </c>
      <c r="L5810">
        <v>22.30219</v>
      </c>
      <c r="M5810">
        <v>0.90336459999999996</v>
      </c>
      <c r="N5810">
        <v>-1.389957E-2</v>
      </c>
      <c r="O5810">
        <v>-0.42864839999999998</v>
      </c>
      <c r="P5810">
        <v>0.91857889999999998</v>
      </c>
      <c r="Q5810">
        <v>0.364514</v>
      </c>
      <c r="R5810">
        <v>-0.15278239999999901</v>
      </c>
      <c r="S5810">
        <v>3.327423</v>
      </c>
      <c r="T5810">
        <v>-0.47787439999999998</v>
      </c>
      <c r="U5810">
        <v>-0.77090449999999999</v>
      </c>
      <c r="V5810">
        <v>-0.25840649999999998</v>
      </c>
      <c r="W5810">
        <v>0.37511050000000001</v>
      </c>
      <c r="X5810">
        <v>0.89023490000000005</v>
      </c>
      <c r="Y5810">
        <v>-0.20843890000000001</v>
      </c>
      <c r="Z5810">
        <v>6.8297739999999996E-2</v>
      </c>
      <c r="AA5810">
        <v>0.97564779999999995</v>
      </c>
      <c r="AB5810">
        <v>22</v>
      </c>
      <c r="AC5810">
        <v>7.6522999999999604</v>
      </c>
      <c r="AD5810">
        <v>-1.113743224284</v>
      </c>
      <c r="AE5810">
        <v>-1.7506600000000001</v>
      </c>
      <c r="AF5810">
        <v>-1.6653042097214801</v>
      </c>
      <c r="AG5810">
        <v>-1.113743224284</v>
      </c>
      <c r="AH5810">
        <v>7.5127468738026897</v>
      </c>
      <c r="AI5810">
        <v>98.235461630710503</v>
      </c>
      <c r="AJ5810">
        <v>102.49831590337</v>
      </c>
      <c r="AK5810">
        <v>7.7752831247734502</v>
      </c>
      <c r="AL5810">
        <v>67.968857235494895</v>
      </c>
      <c r="AM5810">
        <v>106.18630996425399</v>
      </c>
      <c r="AN5810">
        <v>0.99999999181525501</v>
      </c>
    </row>
    <row r="5811" spans="1:40" x14ac:dyDescent="0.25">
      <c r="A5811" t="str">
        <f>"20190304164241960"</f>
        <v>20190304164241960</v>
      </c>
      <c r="B5811" t="str">
        <f>"1551688961946909"</f>
        <v>1551688961946909</v>
      </c>
      <c r="C5811" t="s">
        <v>40</v>
      </c>
      <c r="D5811">
        <v>4.5552449999999904</v>
      </c>
      <c r="E5811">
        <v>0.53479840000000001</v>
      </c>
      <c r="F5811" t="s">
        <v>42</v>
      </c>
      <c r="G5811">
        <v>-397.8279</v>
      </c>
      <c r="H5811" s="1">
        <v>-1.25163E-6</v>
      </c>
      <c r="I5811">
        <v>20.534849999999999</v>
      </c>
      <c r="J5811">
        <v>-405.43540000000002</v>
      </c>
      <c r="K5811">
        <v>1.1137440000000001</v>
      </c>
      <c r="L5811">
        <v>22.252230000000001</v>
      </c>
      <c r="M5811">
        <v>0.90450299999999995</v>
      </c>
      <c r="N5811">
        <v>-1.389698E-2</v>
      </c>
      <c r="O5811">
        <v>-0.42624109999999998</v>
      </c>
      <c r="P5811">
        <v>0.91921019999999998</v>
      </c>
      <c r="Q5811">
        <v>0.36396000000000001</v>
      </c>
      <c r="R5811">
        <v>-0.1502867</v>
      </c>
      <c r="S5811">
        <v>3.3297729999999999</v>
      </c>
      <c r="T5811">
        <v>-0.480408</v>
      </c>
      <c r="U5811">
        <v>-0.76232909999999998</v>
      </c>
      <c r="V5811">
        <v>-0.25854460000000001</v>
      </c>
      <c r="W5811">
        <v>0.37455529999999998</v>
      </c>
      <c r="X5811">
        <v>0.89042849999999996</v>
      </c>
      <c r="Y5811">
        <v>-0.20833460000000001</v>
      </c>
      <c r="Z5811">
        <v>6.8381700000000004E-2</v>
      </c>
      <c r="AA5811">
        <v>0.97566419999999998</v>
      </c>
      <c r="AB5811">
        <v>22</v>
      </c>
      <c r="AC5811">
        <v>7.6075000000000097</v>
      </c>
      <c r="AD5811">
        <v>-1.1137452516299999</v>
      </c>
      <c r="AE5811">
        <v>-1.7173799999999899</v>
      </c>
      <c r="AF5811">
        <v>-1.65565149247766</v>
      </c>
      <c r="AG5811">
        <v>-1.1137452516299999</v>
      </c>
      <c r="AH5811">
        <v>7.4615876852405698</v>
      </c>
      <c r="AI5811">
        <v>98.290768462679907</v>
      </c>
      <c r="AJ5811">
        <v>102.510665807425</v>
      </c>
      <c r="AK5811">
        <v>7.7237880042506104</v>
      </c>
      <c r="AL5811">
        <v>68.0031684692065</v>
      </c>
      <c r="AM5811">
        <v>106.19117053487901</v>
      </c>
      <c r="AN5811">
        <v>0.99999994827974803</v>
      </c>
    </row>
    <row r="5812" spans="1:40" x14ac:dyDescent="0.25">
      <c r="A5812" t="str">
        <f>"20190304164241972"</f>
        <v>20190304164241972</v>
      </c>
      <c r="B5812" t="str">
        <f>"1551688961967404"</f>
        <v>1551688961967404</v>
      </c>
      <c r="C5812" t="s">
        <v>40</v>
      </c>
      <c r="D5812">
        <v>4.5714930000000003</v>
      </c>
      <c r="E5812">
        <v>0.53479869999999996</v>
      </c>
      <c r="F5812" t="s">
        <v>42</v>
      </c>
      <c r="G5812">
        <v>-397.75580000000002</v>
      </c>
      <c r="H5812" s="1">
        <v>-1.2805439999999901E-6</v>
      </c>
      <c r="I5812">
        <v>20.515409999999999</v>
      </c>
      <c r="J5812">
        <v>-405.33280000000002</v>
      </c>
      <c r="K5812">
        <v>1.1137440000000001</v>
      </c>
      <c r="L5812">
        <v>22.206939999999999</v>
      </c>
      <c r="M5812">
        <v>0.90554179999999995</v>
      </c>
      <c r="N5812">
        <v>-1.38947999999999E-2</v>
      </c>
      <c r="O5812">
        <v>-0.42403000000000002</v>
      </c>
      <c r="P5812">
        <v>0.91971389999999997</v>
      </c>
      <c r="Q5812">
        <v>0.3635774</v>
      </c>
      <c r="R5812">
        <v>-0.1481161</v>
      </c>
      <c r="S5812">
        <v>3.3317570000000001</v>
      </c>
      <c r="T5812">
        <v>-0.4831917</v>
      </c>
      <c r="U5812">
        <v>-0.75350950000000005</v>
      </c>
      <c r="V5812">
        <v>-0.25853340000000002</v>
      </c>
      <c r="W5812">
        <v>0.37417240000000002</v>
      </c>
      <c r="X5812">
        <v>0.89059279999999996</v>
      </c>
      <c r="Y5812">
        <v>-0.208479</v>
      </c>
      <c r="Z5812">
        <v>6.8548929999999994E-2</v>
      </c>
      <c r="AA5812">
        <v>0.97562159999999998</v>
      </c>
      <c r="AB5812">
        <v>22</v>
      </c>
      <c r="AC5812">
        <v>7.5769999999999902</v>
      </c>
      <c r="AD5812">
        <v>-1.113745280544</v>
      </c>
      <c r="AE5812">
        <v>-1.69153</v>
      </c>
      <c r="AF5812">
        <v>-1.64738225668224</v>
      </c>
      <c r="AG5812">
        <v>-1.113745280544</v>
      </c>
      <c r="AH5812">
        <v>7.4264402136257104</v>
      </c>
      <c r="AI5812">
        <v>98.329567536189302</v>
      </c>
      <c r="AJ5812">
        <v>102.50720713655799</v>
      </c>
      <c r="AK5812">
        <v>7.6880628962127098</v>
      </c>
      <c r="AL5812">
        <v>68.026829111248404</v>
      </c>
      <c r="AM5812">
        <v>106.187675443835</v>
      </c>
      <c r="AN5812">
        <v>1.00000001962457</v>
      </c>
    </row>
    <row r="5813" spans="1:40" x14ac:dyDescent="0.25">
      <c r="A5813" t="str">
        <f>"20190304164241989"</f>
        <v>20190304164241989</v>
      </c>
      <c r="B5813" t="str">
        <f>"1551688961977165"</f>
        <v>1551688961977165</v>
      </c>
      <c r="C5813" t="s">
        <v>40</v>
      </c>
      <c r="D5813">
        <v>4.5997700000000004</v>
      </c>
      <c r="E5813">
        <v>0.53479869999999996</v>
      </c>
      <c r="F5813" t="s">
        <v>42</v>
      </c>
      <c r="G5813">
        <v>-397.68740000000003</v>
      </c>
      <c r="H5813" s="1">
        <v>-1.308262E-6</v>
      </c>
      <c r="I5813">
        <v>20.498139999999999</v>
      </c>
      <c r="J5813">
        <v>-405.17739999999998</v>
      </c>
      <c r="K5813">
        <v>1.113747</v>
      </c>
      <c r="L5813">
        <v>22.138819999999999</v>
      </c>
      <c r="M5813">
        <v>0.90710420000000003</v>
      </c>
      <c r="N5813">
        <v>-1.389164E-2</v>
      </c>
      <c r="O5813">
        <v>-0.42067680000000002</v>
      </c>
      <c r="P5813">
        <v>0.92073459999999996</v>
      </c>
      <c r="Q5813">
        <v>0.36252699999999999</v>
      </c>
      <c r="R5813">
        <v>-0.1442985</v>
      </c>
      <c r="S5813">
        <v>3.3338619999999999</v>
      </c>
      <c r="T5813">
        <v>-0.4856666</v>
      </c>
      <c r="U5813">
        <v>-0.74514769999999997</v>
      </c>
      <c r="V5813">
        <v>-0.25910470000000002</v>
      </c>
      <c r="W5813">
        <v>0.37311800000000001</v>
      </c>
      <c r="X5813">
        <v>0.89086909999999897</v>
      </c>
      <c r="Y5813">
        <v>-0.20730460000000001</v>
      </c>
      <c r="Z5813">
        <v>6.8428900000000001E-2</v>
      </c>
      <c r="AA5813">
        <v>0.97588030000000003</v>
      </c>
      <c r="AB5813">
        <v>22</v>
      </c>
      <c r="AC5813">
        <v>7.4899999999999496</v>
      </c>
      <c r="AD5813">
        <v>-1.1137483082619899</v>
      </c>
      <c r="AE5813">
        <v>-1.6406799999999999</v>
      </c>
      <c r="AF5813">
        <v>-1.62840470048963</v>
      </c>
      <c r="AG5813">
        <v>-1.1137483082619899</v>
      </c>
      <c r="AH5813">
        <v>7.3304652859607398</v>
      </c>
      <c r="AI5813">
        <v>98.436531258299993</v>
      </c>
      <c r="AJ5813">
        <v>102.524431123197</v>
      </c>
      <c r="AK5813">
        <v>7.59130150049441</v>
      </c>
      <c r="AL5813">
        <v>68.091959052111093</v>
      </c>
      <c r="AM5813">
        <v>106.21680070059899</v>
      </c>
      <c r="AN5813">
        <v>1.00000002041044</v>
      </c>
    </row>
    <row r="5814" spans="1:40" x14ac:dyDescent="0.25">
      <c r="A5814" t="str">
        <f>"20190304164242001"</f>
        <v>20190304164242001</v>
      </c>
      <c r="B5814" t="str">
        <f>"1551688961996684"</f>
        <v>1551688961996684</v>
      </c>
      <c r="C5814" t="s">
        <v>40</v>
      </c>
      <c r="D5814">
        <v>4.5694689999999998</v>
      </c>
      <c r="E5814">
        <v>0.52284090000000005</v>
      </c>
      <c r="F5814" t="s">
        <v>42</v>
      </c>
      <c r="G5814">
        <v>-397.58620000000002</v>
      </c>
      <c r="H5814" s="1">
        <v>-1.350091E-6</v>
      </c>
      <c r="I5814">
        <v>20.475429999999999</v>
      </c>
      <c r="J5814">
        <v>-405.05950000000001</v>
      </c>
      <c r="K5814">
        <v>1.113748</v>
      </c>
      <c r="L5814">
        <v>22.087489999999999</v>
      </c>
      <c r="M5814">
        <v>0.90828319999999996</v>
      </c>
      <c r="N5814">
        <v>-1.388939E-2</v>
      </c>
      <c r="O5814">
        <v>-0.41812549999999998</v>
      </c>
      <c r="P5814">
        <v>0.9212456</v>
      </c>
      <c r="Q5814">
        <v>0.36229790000000001</v>
      </c>
      <c r="R5814">
        <v>-0.14158809999999999</v>
      </c>
      <c r="S5814">
        <v>3.3364259999999999</v>
      </c>
      <c r="T5814">
        <v>-0.48950250000000001</v>
      </c>
      <c r="U5814">
        <v>-0.73107909999999998</v>
      </c>
      <c r="V5814">
        <v>-0.25926129999999997</v>
      </c>
      <c r="W5814">
        <v>0.37288490000000002</v>
      </c>
      <c r="X5814">
        <v>0.89092109999999902</v>
      </c>
      <c r="Y5814">
        <v>-0.20855470000000001</v>
      </c>
      <c r="Z5814">
        <v>6.8794910000000001E-2</v>
      </c>
      <c r="AA5814">
        <v>0.97558809999999996</v>
      </c>
      <c r="AB5814">
        <v>22</v>
      </c>
      <c r="AC5814">
        <v>7.4732999999999903</v>
      </c>
      <c r="AD5814">
        <v>-1.1137493500910001</v>
      </c>
      <c r="AE5814">
        <v>-1.6120599999999901</v>
      </c>
      <c r="AF5814">
        <v>-1.62621775953672</v>
      </c>
      <c r="AG5814">
        <v>-1.1137493500910001</v>
      </c>
      <c r="AH5814">
        <v>7.3075501925388799</v>
      </c>
      <c r="AI5814">
        <v>98.461909890764304</v>
      </c>
      <c r="AJ5814">
        <v>102.54612372985601</v>
      </c>
      <c r="AK5814">
        <v>7.5687060738765499</v>
      </c>
      <c r="AL5814">
        <v>68.106352799482096</v>
      </c>
      <c r="AM5814">
        <v>106.225189155626</v>
      </c>
      <c r="AN5814">
        <v>0.99999998837545401</v>
      </c>
    </row>
    <row r="5815" spans="1:40" x14ac:dyDescent="0.25">
      <c r="A5815" t="str">
        <f>"20190304164242014"</f>
        <v>20190304164242014</v>
      </c>
      <c r="B5815" t="str">
        <f>"1551688962007421"</f>
        <v>1551688962007421</v>
      </c>
      <c r="C5815" t="s">
        <v>40</v>
      </c>
      <c r="D5815">
        <v>4.573709</v>
      </c>
      <c r="E5815">
        <v>0.52252879999999902</v>
      </c>
      <c r="F5815" t="s">
        <v>42</v>
      </c>
      <c r="G5815">
        <v>-395.34089999999998</v>
      </c>
      <c r="H5815" s="1">
        <v>-2.351874E-6</v>
      </c>
      <c r="I5815">
        <v>20.251529999999999</v>
      </c>
      <c r="J5815">
        <v>-404.94909999999999</v>
      </c>
      <c r="K5815">
        <v>1.1137549999999901</v>
      </c>
      <c r="L5815">
        <v>22.03998</v>
      </c>
      <c r="M5815">
        <v>0.90938280000000005</v>
      </c>
      <c r="N5815">
        <v>-1.388767E-2</v>
      </c>
      <c r="O5815">
        <v>-0.41572870000000001</v>
      </c>
      <c r="P5815">
        <v>0.92175479999999999</v>
      </c>
      <c r="Q5815">
        <v>0.36202010000000001</v>
      </c>
      <c r="R5815">
        <v>-0.13896020000000001</v>
      </c>
      <c r="S5815">
        <v>3.3095400000000001</v>
      </c>
      <c r="T5815">
        <v>-0.37927260000000002</v>
      </c>
      <c r="U5815">
        <v>-0.62521359999999904</v>
      </c>
      <c r="V5815">
        <v>-0.25950079999999998</v>
      </c>
      <c r="W5815">
        <v>0.37260169999999998</v>
      </c>
      <c r="X5815">
        <v>0.89096989999999998</v>
      </c>
      <c r="Y5815">
        <v>-0.23621790000000001</v>
      </c>
      <c r="Z5815">
        <v>5.464331E-2</v>
      </c>
      <c r="AA5815">
        <v>0.97016250000000004</v>
      </c>
      <c r="AB5815">
        <v>22</v>
      </c>
      <c r="AC5815">
        <v>9.6082000000000001</v>
      </c>
      <c r="AD5815">
        <v>-1.1137573518739901</v>
      </c>
      <c r="AE5815">
        <v>-1.7884500000000001</v>
      </c>
      <c r="AF5815">
        <v>-2.3378850375042299</v>
      </c>
      <c r="AG5815">
        <v>-1.1137573518739901</v>
      </c>
      <c r="AH5815">
        <v>9.3603925541478308</v>
      </c>
      <c r="AI5815">
        <v>96.585074505653196</v>
      </c>
      <c r="AJ5815">
        <v>104.02349303221401</v>
      </c>
      <c r="AK5815">
        <v>9.7120085798554392</v>
      </c>
      <c r="AL5815">
        <v>68.123840022593498</v>
      </c>
      <c r="AM5815">
        <v>106.238545467463</v>
      </c>
      <c r="AN5815">
        <v>1.00000002737476</v>
      </c>
    </row>
    <row r="5816" spans="1:40" x14ac:dyDescent="0.25">
      <c r="A5816" t="str">
        <f>"20190304164242027"</f>
        <v>20190304164242027</v>
      </c>
      <c r="B5816" t="str">
        <f>"1551688962017181"</f>
        <v>1551688962017181</v>
      </c>
      <c r="C5816" t="s">
        <v>40</v>
      </c>
      <c r="D5816">
        <v>4.5830380000000002</v>
      </c>
      <c r="E5816">
        <v>0.52241059999999995</v>
      </c>
      <c r="F5816" t="s">
        <v>42</v>
      </c>
      <c r="G5816">
        <v>-395.17919999999998</v>
      </c>
      <c r="H5816" s="1">
        <v>-2.4224779999999999E-6</v>
      </c>
      <c r="I5816">
        <v>20.229649999999999</v>
      </c>
      <c r="J5816">
        <v>-404.8252</v>
      </c>
      <c r="K5816">
        <v>1.1137600000000001</v>
      </c>
      <c r="L5816">
        <v>21.986910000000002</v>
      </c>
      <c r="M5816">
        <v>0.91061230000000004</v>
      </c>
      <c r="N5816">
        <v>-1.38859E-2</v>
      </c>
      <c r="O5816">
        <v>-0.41302820000000001</v>
      </c>
      <c r="P5816">
        <v>0.92219569999999995</v>
      </c>
      <c r="Q5816">
        <v>0.362095</v>
      </c>
      <c r="R5816">
        <v>-0.13580159999999999</v>
      </c>
      <c r="S5816">
        <v>3.3103940000000001</v>
      </c>
      <c r="T5816">
        <v>-0.37738119999999997</v>
      </c>
      <c r="U5816">
        <v>-0.61340329999999998</v>
      </c>
      <c r="V5816">
        <v>-0.25990609999999997</v>
      </c>
      <c r="W5816">
        <v>0.37266589999999999</v>
      </c>
      <c r="X5816">
        <v>0.89082490000000003</v>
      </c>
      <c r="Y5816">
        <v>-0.23676759999999999</v>
      </c>
      <c r="Z5816">
        <v>5.4162509999999997E-2</v>
      </c>
      <c r="AA5816">
        <v>0.97005540000000001</v>
      </c>
      <c r="AB5816">
        <v>22</v>
      </c>
      <c r="AC5816">
        <v>9.6460000000000097</v>
      </c>
      <c r="AD5816">
        <v>-1.1137624224779901</v>
      </c>
      <c r="AE5816">
        <v>-1.75726</v>
      </c>
      <c r="AF5816">
        <v>-2.3537456344478702</v>
      </c>
      <c r="AG5816">
        <v>-1.1137624224779901</v>
      </c>
      <c r="AH5816">
        <v>9.3893254920726896</v>
      </c>
      <c r="AI5816">
        <v>96.563580785996393</v>
      </c>
      <c r="AJ5816">
        <v>104.073076383128</v>
      </c>
      <c r="AK5816">
        <v>9.7437168699368808</v>
      </c>
      <c r="AL5816">
        <v>68.119876167318395</v>
      </c>
      <c r="AM5816">
        <v>106.265075277007</v>
      </c>
      <c r="AN5816">
        <v>1.0000000281500101</v>
      </c>
    </row>
    <row r="5817" spans="1:40" x14ac:dyDescent="0.25">
      <c r="A5817" t="str">
        <f>"20190304164242039"</f>
        <v>20190304164242039</v>
      </c>
      <c r="B5817" t="str">
        <f>"1551688962026940"</f>
        <v>1551688962026940</v>
      </c>
      <c r="C5817" t="s">
        <v>40</v>
      </c>
      <c r="D5817">
        <v>4.5810370000000002</v>
      </c>
      <c r="E5817">
        <v>0.52244269999999904</v>
      </c>
      <c r="F5817" t="s">
        <v>42</v>
      </c>
      <c r="G5817">
        <v>-394.97030000000001</v>
      </c>
      <c r="H5817" s="1">
        <v>-2.512459E-6</v>
      </c>
      <c r="I5817">
        <v>20.196660000000001</v>
      </c>
      <c r="J5817">
        <v>-404.71319999999997</v>
      </c>
      <c r="K5817">
        <v>1.113769</v>
      </c>
      <c r="L5817">
        <v>21.939360000000001</v>
      </c>
      <c r="M5817">
        <v>0.9117191</v>
      </c>
      <c r="N5817">
        <v>-1.3884499999999999E-2</v>
      </c>
      <c r="O5817">
        <v>-0.41057959999999899</v>
      </c>
      <c r="P5817">
        <v>0.92266170000000003</v>
      </c>
      <c r="Q5817">
        <v>0.36191259999999997</v>
      </c>
      <c r="R5817">
        <v>-0.1330962</v>
      </c>
      <c r="S5817">
        <v>3.3114620000000001</v>
      </c>
      <c r="T5817">
        <v>-0.37424869999999999</v>
      </c>
      <c r="U5817">
        <v>-0.6015625</v>
      </c>
      <c r="V5817">
        <v>-0.26016289999999997</v>
      </c>
      <c r="W5817">
        <v>0.37247469999999999</v>
      </c>
      <c r="X5817">
        <v>0.89082989999999995</v>
      </c>
      <c r="Y5817">
        <v>-0.2376325</v>
      </c>
      <c r="Z5817">
        <v>5.3530830000000001E-2</v>
      </c>
      <c r="AA5817">
        <v>0.96987900000000005</v>
      </c>
      <c r="AB5817">
        <v>22</v>
      </c>
      <c r="AC5817">
        <v>9.7428999999999597</v>
      </c>
      <c r="AD5817">
        <v>-1.113771512459</v>
      </c>
      <c r="AE5817">
        <v>-1.7426999999999899</v>
      </c>
      <c r="AF5817">
        <v>-2.3814589007803502</v>
      </c>
      <c r="AG5817">
        <v>-1.113771512459</v>
      </c>
      <c r="AH5817">
        <v>9.4791943250697397</v>
      </c>
      <c r="AI5817">
        <v>96.501109463185202</v>
      </c>
      <c r="AJ5817">
        <v>104.10255771495299</v>
      </c>
      <c r="AK5817">
        <v>9.8370197992331807</v>
      </c>
      <c r="AL5817">
        <v>68.131680920524701</v>
      </c>
      <c r="AM5817">
        <v>106.280208666145</v>
      </c>
      <c r="AN5817">
        <v>1.00000002370525</v>
      </c>
    </row>
    <row r="5818" spans="1:40" x14ac:dyDescent="0.25">
      <c r="A5818" t="str">
        <f>"20190304164242056"</f>
        <v>20190304164242056</v>
      </c>
      <c r="B5818" t="str">
        <f>"1551688962047436"</f>
        <v>1551688962047436</v>
      </c>
      <c r="C5818" t="s">
        <v>40</v>
      </c>
      <c r="D5818">
        <v>4.5624630000000002</v>
      </c>
      <c r="E5818">
        <v>0.52221720000000005</v>
      </c>
      <c r="F5818" t="s">
        <v>42</v>
      </c>
      <c r="G5818">
        <v>-394.84230000000002</v>
      </c>
      <c r="H5818" s="1">
        <v>-2.5673529999999999E-6</v>
      </c>
      <c r="I5818">
        <v>20.175519999999999</v>
      </c>
      <c r="J5818">
        <v>-404.56189999999998</v>
      </c>
      <c r="K5818">
        <v>1.113794</v>
      </c>
      <c r="L5818">
        <v>21.875789999999999</v>
      </c>
      <c r="M5818">
        <v>0.91321359999999996</v>
      </c>
      <c r="N5818">
        <v>-1.388322E-2</v>
      </c>
      <c r="O5818">
        <v>-0.40724460000000001</v>
      </c>
      <c r="P5818">
        <v>0.92315599999999998</v>
      </c>
      <c r="Q5818">
        <v>0.3619907</v>
      </c>
      <c r="R5818">
        <v>-0.12940470000000001</v>
      </c>
      <c r="S5818">
        <v>3.3127140000000002</v>
      </c>
      <c r="T5818">
        <v>-0.37378430000000001</v>
      </c>
      <c r="U5818">
        <v>-0.59194950000000002</v>
      </c>
      <c r="V5818">
        <v>-0.26047670000000001</v>
      </c>
      <c r="W5818">
        <v>0.37253619999999998</v>
      </c>
      <c r="X5818">
        <v>0.89071250000000002</v>
      </c>
      <c r="Y5818">
        <v>-0.23690140000000001</v>
      </c>
      <c r="Z5818">
        <v>5.3124440000000002E-2</v>
      </c>
      <c r="AA5818">
        <v>0.97008019999999995</v>
      </c>
      <c r="AB5818">
        <v>22</v>
      </c>
      <c r="AC5818">
        <v>9.7195999999999501</v>
      </c>
      <c r="AD5818">
        <v>-1.1137965673529999</v>
      </c>
      <c r="AE5818">
        <v>-1.70026999999999</v>
      </c>
      <c r="AF5818">
        <v>-2.3755089932947002</v>
      </c>
      <c r="AG5818">
        <v>-1.1137965673529999</v>
      </c>
      <c r="AH5818">
        <v>9.4490232427363399</v>
      </c>
      <c r="AI5818">
        <v>96.521570993931903</v>
      </c>
      <c r="AJ5818">
        <v>104.11185419299299</v>
      </c>
      <c r="AK5818">
        <v>9.8065093694159504</v>
      </c>
      <c r="AL5818">
        <v>68.127884443875601</v>
      </c>
      <c r="AM5818">
        <v>106.300837757382</v>
      </c>
      <c r="AN5818">
        <v>1.0000000446047801</v>
      </c>
    </row>
    <row r="5819" spans="1:40" x14ac:dyDescent="0.25">
      <c r="A5819" t="str">
        <f>"20190304164242068"</f>
        <v>20190304164242068</v>
      </c>
      <c r="B5819" t="str">
        <f>"1551688962057197"</f>
        <v>1551688962057197</v>
      </c>
      <c r="C5819" t="s">
        <v>40</v>
      </c>
      <c r="D5819">
        <v>4.5682980000000004</v>
      </c>
      <c r="E5819">
        <v>0.52240880000000001</v>
      </c>
      <c r="F5819" t="s">
        <v>42</v>
      </c>
      <c r="G5819">
        <v>-394.65899999999999</v>
      </c>
      <c r="H5819" s="1">
        <v>-2.6479359999999998E-6</v>
      </c>
      <c r="I5819">
        <v>20.152729999999998</v>
      </c>
      <c r="J5819">
        <v>-404.45049999999998</v>
      </c>
      <c r="K5819">
        <v>1.113812</v>
      </c>
      <c r="L5819">
        <v>21.829409999999999</v>
      </c>
      <c r="M5819">
        <v>0.91431249999999997</v>
      </c>
      <c r="N5819">
        <v>-1.388265E-2</v>
      </c>
      <c r="O5819">
        <v>-0.40477150000000001</v>
      </c>
      <c r="P5819">
        <v>0.92339490000000002</v>
      </c>
      <c r="Q5819">
        <v>0.36226659999999999</v>
      </c>
      <c r="R5819">
        <v>-0.12690570000000001</v>
      </c>
      <c r="S5819">
        <v>3.3150940000000002</v>
      </c>
      <c r="T5819">
        <v>-0.37285380000000001</v>
      </c>
      <c r="U5819">
        <v>-0.57681269999999996</v>
      </c>
      <c r="V5819">
        <v>-0.2604513</v>
      </c>
      <c r="W5819">
        <v>0.37279899999999999</v>
      </c>
      <c r="X5819">
        <v>0.89060989999999995</v>
      </c>
      <c r="Y5819">
        <v>-0.23870540000000001</v>
      </c>
      <c r="Z5819">
        <v>5.28729E-2</v>
      </c>
      <c r="AA5819">
        <v>0.96965159999999995</v>
      </c>
      <c r="AB5819">
        <v>22</v>
      </c>
      <c r="AC5819">
        <v>9.7914999999999797</v>
      </c>
      <c r="AD5819">
        <v>-1.1138146479359901</v>
      </c>
      <c r="AE5819">
        <v>-1.6766799999999999</v>
      </c>
      <c r="AF5819">
        <v>-2.4003693705037401</v>
      </c>
      <c r="AG5819">
        <v>-1.1138146479359901</v>
      </c>
      <c r="AH5819">
        <v>9.5125077399118698</v>
      </c>
      <c r="AI5819">
        <v>96.4770996143574</v>
      </c>
      <c r="AJ5819">
        <v>104.162264037935</v>
      </c>
      <c r="AK5819">
        <v>9.8737105328590893</v>
      </c>
      <c r="AL5819">
        <v>68.111656864414201</v>
      </c>
      <c r="AM5819">
        <v>106.301110610788</v>
      </c>
      <c r="AN5819">
        <v>0.99999998402534895</v>
      </c>
    </row>
    <row r="5820" spans="1:40" x14ac:dyDescent="0.25">
      <c r="A5820" t="str">
        <f>"20190304164242080"</f>
        <v>20190304164242080</v>
      </c>
      <c r="B5820" t="str">
        <f>"1551688962076716"</f>
        <v>1551688962076716</v>
      </c>
      <c r="C5820" t="s">
        <v>40</v>
      </c>
      <c r="D5820">
        <v>4.5626749999999996</v>
      </c>
      <c r="E5820">
        <v>0.52282329999999999</v>
      </c>
      <c r="F5820" t="s">
        <v>42</v>
      </c>
      <c r="G5820">
        <v>-394.53199999999998</v>
      </c>
      <c r="H5820" s="1">
        <v>-2.7008149999999998E-6</v>
      </c>
      <c r="I5820">
        <v>20.125900000000001</v>
      </c>
      <c r="J5820">
        <v>-404.34070000000003</v>
      </c>
      <c r="K5820">
        <v>1.113831</v>
      </c>
      <c r="L5820">
        <v>21.783940000000001</v>
      </c>
      <c r="M5820">
        <v>0.91539510000000002</v>
      </c>
      <c r="N5820">
        <v>-1.38822999999999E-2</v>
      </c>
      <c r="O5820">
        <v>-0.4023176</v>
      </c>
      <c r="P5820">
        <v>0.92366800000000004</v>
      </c>
      <c r="Q5820">
        <v>0.362454</v>
      </c>
      <c r="R5820">
        <v>-0.1243582</v>
      </c>
      <c r="S5820">
        <v>3.3166809999999902</v>
      </c>
      <c r="T5820">
        <v>-0.37245129999999999</v>
      </c>
      <c r="U5820">
        <v>-0.56964110000000001</v>
      </c>
      <c r="V5820">
        <v>-0.26050909999999999</v>
      </c>
      <c r="W5820">
        <v>0.37297200000000003</v>
      </c>
      <c r="X5820">
        <v>0.8905206</v>
      </c>
      <c r="Y5820">
        <v>-0.2382379</v>
      </c>
      <c r="Z5820">
        <v>5.2558180000000003E-2</v>
      </c>
      <c r="AA5820">
        <v>0.96978370000000003</v>
      </c>
      <c r="AB5820">
        <v>22</v>
      </c>
      <c r="AC5820">
        <v>9.8087000000000408</v>
      </c>
      <c r="AD5820">
        <v>-1.1138337008149899</v>
      </c>
      <c r="AE5820">
        <v>-1.65803999999999</v>
      </c>
      <c r="AF5820">
        <v>-2.3986139098427501</v>
      </c>
      <c r="AG5820">
        <v>-1.1138337008149899</v>
      </c>
      <c r="AH5820">
        <v>9.5273807873713707</v>
      </c>
      <c r="AI5820">
        <v>96.468062437184699</v>
      </c>
      <c r="AJ5820">
        <v>104.131115824388</v>
      </c>
      <c r="AK5820">
        <v>9.8876164402314597</v>
      </c>
      <c r="AL5820">
        <v>68.100975097965502</v>
      </c>
      <c r="AM5820">
        <v>106.30608418644501</v>
      </c>
      <c r="AN5820">
        <v>1.00000002149558</v>
      </c>
    </row>
    <row r="5821" spans="1:40" x14ac:dyDescent="0.25">
      <c r="A5821" t="str">
        <f>"20190304164242092"</f>
        <v>20190304164242092</v>
      </c>
      <c r="B5821" t="str">
        <f>"1551688962087452"</f>
        <v>1551688962087452</v>
      </c>
      <c r="C5821" t="s">
        <v>40</v>
      </c>
      <c r="D5821">
        <v>4.5917680000000001</v>
      </c>
      <c r="E5821">
        <v>0.52297190000000005</v>
      </c>
      <c r="F5821" t="s">
        <v>42</v>
      </c>
      <c r="G5821">
        <v>-394.4271</v>
      </c>
      <c r="H5821" s="1">
        <v>-2.7433219999999998E-6</v>
      </c>
      <c r="I5821">
        <v>20.099240000000002</v>
      </c>
      <c r="J5821">
        <v>-404.23680000000002</v>
      </c>
      <c r="K5821">
        <v>1.11385499999999</v>
      </c>
      <c r="L5821">
        <v>21.74146</v>
      </c>
      <c r="M5821">
        <v>0.91642400000000002</v>
      </c>
      <c r="N5821">
        <v>-1.3882510000000001E-2</v>
      </c>
      <c r="O5821">
        <v>-0.39996789999999999</v>
      </c>
      <c r="P5821">
        <v>0.92397739999999995</v>
      </c>
      <c r="Q5821">
        <v>0.3625215</v>
      </c>
      <c r="R5821">
        <v>-0.1218366</v>
      </c>
      <c r="S5821">
        <v>3.318298</v>
      </c>
      <c r="T5821">
        <v>-0.37282359999999998</v>
      </c>
      <c r="U5821">
        <v>-0.56390379999999996</v>
      </c>
      <c r="V5821">
        <v>-0.26066820000000002</v>
      </c>
      <c r="W5821">
        <v>0.37302239999999998</v>
      </c>
      <c r="X5821">
        <v>0.89045289999999999</v>
      </c>
      <c r="Y5821">
        <v>-0.23746510000000001</v>
      </c>
      <c r="Z5821">
        <v>5.2346660000000003E-2</v>
      </c>
      <c r="AA5821">
        <v>0.96998459999999997</v>
      </c>
      <c r="AB5821">
        <v>22</v>
      </c>
      <c r="AC5821">
        <v>9.8097000000000101</v>
      </c>
      <c r="AD5821">
        <v>-1.1138577433219901</v>
      </c>
      <c r="AE5821">
        <v>-1.64222</v>
      </c>
      <c r="AF5821">
        <v>-2.3888687589642599</v>
      </c>
      <c r="AG5821">
        <v>-1.1138577433219901</v>
      </c>
      <c r="AH5821">
        <v>9.5281141564282503</v>
      </c>
      <c r="AI5821">
        <v>96.4692868257074</v>
      </c>
      <c r="AJ5821">
        <v>104.074949921645</v>
      </c>
      <c r="AK5821">
        <v>9.8859664372200999</v>
      </c>
      <c r="AL5821">
        <v>68.097862155156406</v>
      </c>
      <c r="AM5821">
        <v>106.31668768402299</v>
      </c>
      <c r="AN5821">
        <v>0.99999999425570496</v>
      </c>
    </row>
    <row r="5822" spans="1:40" x14ac:dyDescent="0.25">
      <c r="A5822" t="str">
        <f>"20190304164242106"</f>
        <v>20190304164242106</v>
      </c>
      <c r="B5822" t="str">
        <f>"1551688962097213"</f>
        <v>1551688962097213</v>
      </c>
      <c r="C5822" t="s">
        <v>40</v>
      </c>
      <c r="D5822">
        <v>4.5957540000000003</v>
      </c>
      <c r="E5822">
        <v>0.52319199999999999</v>
      </c>
      <c r="F5822" t="s">
        <v>42</v>
      </c>
      <c r="G5822">
        <v>-394.3802</v>
      </c>
      <c r="H5822" s="1">
        <v>-2.7631280000000002E-6</v>
      </c>
      <c r="I5822">
        <v>20.090409999999999</v>
      </c>
      <c r="J5822">
        <v>-404.1044</v>
      </c>
      <c r="K5822">
        <v>1.11389</v>
      </c>
      <c r="L5822">
        <v>21.687650000000001</v>
      </c>
      <c r="M5822">
        <v>0.91773550000000004</v>
      </c>
      <c r="N5822">
        <v>-1.3883090000000001E-2</v>
      </c>
      <c r="O5822">
        <v>-0.39695000000000003</v>
      </c>
      <c r="P5822">
        <v>0.92436419999999997</v>
      </c>
      <c r="Q5822">
        <v>0.36252139999999999</v>
      </c>
      <c r="R5822">
        <v>-0.1188671</v>
      </c>
      <c r="S5822">
        <v>3.3207089999999901</v>
      </c>
      <c r="T5822">
        <v>-0.37526290000000001</v>
      </c>
      <c r="U5822">
        <v>-0.55624390000000001</v>
      </c>
      <c r="V5822">
        <v>-0.26062879999999999</v>
      </c>
      <c r="W5822">
        <v>0.37300250000000001</v>
      </c>
      <c r="X5822">
        <v>0.89047279999999995</v>
      </c>
      <c r="Y5822">
        <v>-0.2365372</v>
      </c>
      <c r="Z5822">
        <v>5.2365490000000001E-2</v>
      </c>
      <c r="AA5822">
        <v>0.97021029999999997</v>
      </c>
      <c r="AB5822">
        <v>22</v>
      </c>
      <c r="AC5822">
        <v>9.7241999999999909</v>
      </c>
      <c r="AD5822">
        <v>-1.113892763128</v>
      </c>
      <c r="AE5822">
        <v>-1.59723999999999</v>
      </c>
      <c r="AF5822">
        <v>-2.3642009269518001</v>
      </c>
      <c r="AG5822">
        <v>-1.113892763128</v>
      </c>
      <c r="AH5822">
        <v>9.4385932113367605</v>
      </c>
      <c r="AI5822">
        <v>96.530680800961804</v>
      </c>
      <c r="AJ5822">
        <v>104.062250985662</v>
      </c>
      <c r="AK5822">
        <v>9.7937349831329001</v>
      </c>
      <c r="AL5822">
        <v>68.099091672167305</v>
      </c>
      <c r="AM5822">
        <v>106.314007385474</v>
      </c>
      <c r="AN5822">
        <v>1.0000000219677601</v>
      </c>
    </row>
    <row r="5823" spans="1:40" x14ac:dyDescent="0.25">
      <c r="A5823" t="str">
        <f>"20190304164242125"</f>
        <v>20190304164242125</v>
      </c>
      <c r="B5823" t="str">
        <f>"1551688962116733"</f>
        <v>1551688962116733</v>
      </c>
      <c r="C5823" t="s">
        <v>40</v>
      </c>
      <c r="D5823">
        <v>4.5620510000000003</v>
      </c>
      <c r="E5823">
        <v>0.52376469999999997</v>
      </c>
      <c r="F5823" t="s">
        <v>42</v>
      </c>
      <c r="G5823">
        <v>-394.26650000000001</v>
      </c>
      <c r="H5823" s="1">
        <v>-2.810551E-6</v>
      </c>
      <c r="I5823">
        <v>20.066600000000001</v>
      </c>
      <c r="J5823">
        <v>-403.93759999999997</v>
      </c>
      <c r="K5823">
        <v>1.1139429999999999</v>
      </c>
      <c r="L5823">
        <v>21.62067</v>
      </c>
      <c r="M5823">
        <v>0.91939479999999996</v>
      </c>
      <c r="N5823">
        <v>-1.3884769999999999E-2</v>
      </c>
      <c r="O5823">
        <v>-0.39309110000000003</v>
      </c>
      <c r="P5823">
        <v>0.92470379999999996</v>
      </c>
      <c r="Q5823">
        <v>0.36277500000000001</v>
      </c>
      <c r="R5823">
        <v>-0.1154008</v>
      </c>
      <c r="S5823">
        <v>3.3226010000000001</v>
      </c>
      <c r="T5823">
        <v>-0.3762009</v>
      </c>
      <c r="U5823">
        <v>-0.54748540000000001</v>
      </c>
      <c r="V5823">
        <v>-0.26023109999999999</v>
      </c>
      <c r="W5823">
        <v>0.37323030000000001</v>
      </c>
      <c r="X5823">
        <v>0.8904936</v>
      </c>
      <c r="Y5823">
        <v>-0.23504610000000001</v>
      </c>
      <c r="Z5823">
        <v>5.2057199999999998E-2</v>
      </c>
      <c r="AA5823">
        <v>0.97058920000000004</v>
      </c>
      <c r="AB5823">
        <v>22</v>
      </c>
      <c r="AC5823">
        <v>9.6710999999999601</v>
      </c>
      <c r="AD5823">
        <v>-1.1139458105509901</v>
      </c>
      <c r="AE5823">
        <v>-1.5540699999999901</v>
      </c>
      <c r="AF5823">
        <v>-2.34274885543838</v>
      </c>
      <c r="AG5823">
        <v>-1.1139458105509901</v>
      </c>
      <c r="AH5823">
        <v>9.3820261304663202</v>
      </c>
      <c r="AI5823">
        <v>96.571213228362495</v>
      </c>
      <c r="AJ5823">
        <v>104.020391962763</v>
      </c>
      <c r="AK5823">
        <v>9.7340516631695895</v>
      </c>
      <c r="AL5823">
        <v>68.085022505820803</v>
      </c>
      <c r="AM5823">
        <v>106.29007410011501</v>
      </c>
      <c r="AN5823">
        <v>0.99999996694312898</v>
      </c>
    </row>
    <row r="5824" spans="1:40" x14ac:dyDescent="0.25">
      <c r="A5824" t="str">
        <f>"20190304164242139"</f>
        <v>20190304164242139</v>
      </c>
      <c r="B5824" t="str">
        <f>"1551688962127469"</f>
        <v>1551688962127469</v>
      </c>
      <c r="C5824" t="s">
        <v>40</v>
      </c>
      <c r="D5824">
        <v>4.5669729999999999</v>
      </c>
      <c r="E5824">
        <v>0.5240612</v>
      </c>
      <c r="F5824" t="s">
        <v>42</v>
      </c>
      <c r="G5824">
        <v>-394.11779999999999</v>
      </c>
      <c r="H5824" s="1">
        <v>-2.8710889999999998E-6</v>
      </c>
      <c r="I5824">
        <v>20.029920000000001</v>
      </c>
      <c r="J5824">
        <v>-403.80990000000003</v>
      </c>
      <c r="K5824">
        <v>1.1139859999999999</v>
      </c>
      <c r="L5824">
        <v>21.570039999999999</v>
      </c>
      <c r="M5824">
        <v>0.92067239999999995</v>
      </c>
      <c r="N5824">
        <v>-1.388666E-2</v>
      </c>
      <c r="O5824">
        <v>-0.39008920000000002</v>
      </c>
      <c r="P5824">
        <v>0.9248227</v>
      </c>
      <c r="Q5824">
        <v>0.3632686</v>
      </c>
      <c r="R5824">
        <v>-0.1128677</v>
      </c>
      <c r="S5824">
        <v>3.325043</v>
      </c>
      <c r="T5824">
        <v>-0.37718649999999998</v>
      </c>
      <c r="U5824">
        <v>-0.53863530000000004</v>
      </c>
      <c r="V5824">
        <v>-0.25972630000000002</v>
      </c>
      <c r="W5824">
        <v>0.37370370000000003</v>
      </c>
      <c r="X5824">
        <v>0.89044249999999903</v>
      </c>
      <c r="Y5824">
        <v>-0.2345074</v>
      </c>
      <c r="Z5824">
        <v>5.1879660000000001E-2</v>
      </c>
      <c r="AA5824">
        <v>0.97072899999999995</v>
      </c>
      <c r="AB5824">
        <v>22</v>
      </c>
      <c r="AC5824">
        <v>9.6921000000000301</v>
      </c>
      <c r="AD5824">
        <v>-1.113988871089</v>
      </c>
      <c r="AE5824">
        <v>-1.5401199999999899</v>
      </c>
      <c r="AF5824">
        <v>-2.3330037625069302</v>
      </c>
      <c r="AG5824">
        <v>-1.113988871089</v>
      </c>
      <c r="AH5824">
        <v>9.4037802490573394</v>
      </c>
      <c r="AI5824">
        <v>96.558854502408707</v>
      </c>
      <c r="AJ5824">
        <v>103.933314015747</v>
      </c>
      <c r="AK5824">
        <v>9.7526899229567707</v>
      </c>
      <c r="AL5824">
        <v>68.055784378601999</v>
      </c>
      <c r="AM5824">
        <v>106.261029230525</v>
      </c>
      <c r="AN5824">
        <v>1.00000002605581</v>
      </c>
    </row>
    <row r="5825" spans="1:40" x14ac:dyDescent="0.25">
      <c r="A5825" t="str">
        <f>"20190304164242156"</f>
        <v>20190304164242156</v>
      </c>
      <c r="B5825" t="str">
        <f>"1551688962146988"</f>
        <v>1551688962146988</v>
      </c>
      <c r="C5825" t="s">
        <v>40</v>
      </c>
      <c r="D5825">
        <v>4.5680500000000004</v>
      </c>
      <c r="E5825">
        <v>0.52455859999999999</v>
      </c>
      <c r="F5825" t="s">
        <v>42</v>
      </c>
      <c r="G5825">
        <v>-393.96699999999998</v>
      </c>
      <c r="H5825" s="1">
        <v>-2.9339259999999999E-6</v>
      </c>
      <c r="I5825">
        <v>19.99831</v>
      </c>
      <c r="J5825">
        <v>-403.6456</v>
      </c>
      <c r="K5825">
        <v>1.11405</v>
      </c>
      <c r="L5825">
        <v>21.505649999999999</v>
      </c>
      <c r="M5825">
        <v>0.92232389999999997</v>
      </c>
      <c r="N5825">
        <v>-1.388959E-2</v>
      </c>
      <c r="O5825">
        <v>-0.38616780000000001</v>
      </c>
      <c r="P5825">
        <v>0.92502209999999996</v>
      </c>
      <c r="Q5825">
        <v>0.36370580000000002</v>
      </c>
      <c r="R5825">
        <v>-0.1097814</v>
      </c>
      <c r="S5825">
        <v>3.3269350000000002</v>
      </c>
      <c r="T5825">
        <v>-0.3765328</v>
      </c>
      <c r="U5825">
        <v>-0.53125</v>
      </c>
      <c r="V5825">
        <v>-0.25888630000000001</v>
      </c>
      <c r="W5825">
        <v>0.3741198</v>
      </c>
      <c r="X5825">
        <v>0.89051229999999904</v>
      </c>
      <c r="Y5825">
        <v>-0.23260339999999999</v>
      </c>
      <c r="Z5825">
        <v>5.1298990000000003E-2</v>
      </c>
      <c r="AA5825">
        <v>0.97121780000000002</v>
      </c>
      <c r="AB5825">
        <v>22</v>
      </c>
      <c r="AC5825">
        <v>9.6786000000000101</v>
      </c>
      <c r="AD5825">
        <v>-1.1140529339259999</v>
      </c>
      <c r="AE5825">
        <v>-1.5073399999999899</v>
      </c>
      <c r="AF5825">
        <v>-2.3175561462008898</v>
      </c>
      <c r="AG5825">
        <v>-1.1140529339259999</v>
      </c>
      <c r="AH5825">
        <v>9.3883663538145203</v>
      </c>
      <c r="AI5825">
        <v>96.571783798910403</v>
      </c>
      <c r="AJ5825">
        <v>103.866470919519</v>
      </c>
      <c r="AK5825">
        <v>9.7341462503816505</v>
      </c>
      <c r="AL5825">
        <v>68.030077264402294</v>
      </c>
      <c r="AM5825">
        <v>106.210000573286</v>
      </c>
      <c r="AN5825">
        <v>0.99999994876550802</v>
      </c>
    </row>
    <row r="5826" spans="1:40" x14ac:dyDescent="0.25">
      <c r="A5826" t="str">
        <f>"20190304164242169"</f>
        <v>20190304164242169</v>
      </c>
      <c r="B5826" t="str">
        <f>"1551688962156749"</f>
        <v>1551688962156749</v>
      </c>
      <c r="C5826" t="s">
        <v>40</v>
      </c>
      <c r="D5826">
        <v>4.551882</v>
      </c>
      <c r="E5826">
        <v>0.52455859999999999</v>
      </c>
      <c r="F5826" t="s">
        <v>42</v>
      </c>
      <c r="G5826">
        <v>-393.8442</v>
      </c>
      <c r="H5826" s="1">
        <v>-2.983766E-6</v>
      </c>
      <c r="I5826">
        <v>19.967410000000001</v>
      </c>
      <c r="J5826">
        <v>-403.53519999999997</v>
      </c>
      <c r="K5826">
        <v>1.1140840000000001</v>
      </c>
      <c r="L5826">
        <v>21.462890000000002</v>
      </c>
      <c r="M5826">
        <v>0.92343949999999997</v>
      </c>
      <c r="N5826">
        <v>-1.3891769999999999E-2</v>
      </c>
      <c r="O5826">
        <v>-0.38349290000000003</v>
      </c>
      <c r="P5826">
        <v>0.92520119999999895</v>
      </c>
      <c r="Q5826">
        <v>0.36398910000000001</v>
      </c>
      <c r="R5826">
        <v>-0.107307</v>
      </c>
      <c r="S5826">
        <v>3.3300169999999998</v>
      </c>
      <c r="T5826">
        <v>-0.3784981</v>
      </c>
      <c r="U5826">
        <v>-0.52261349999999995</v>
      </c>
      <c r="V5826">
        <v>-0.25867689999999999</v>
      </c>
      <c r="W5826">
        <v>0.3743843</v>
      </c>
      <c r="X5826">
        <v>0.89046209999999903</v>
      </c>
      <c r="Y5826">
        <v>-0.23236370000000001</v>
      </c>
      <c r="Z5826">
        <v>5.129678E-2</v>
      </c>
      <c r="AA5826">
        <v>0.97127529999999995</v>
      </c>
      <c r="AB5826">
        <v>22</v>
      </c>
      <c r="AC5826">
        <v>9.6909999999999705</v>
      </c>
      <c r="AD5826">
        <v>-1.1140869837659999</v>
      </c>
      <c r="AE5826">
        <v>-1.4954799999999899</v>
      </c>
      <c r="AF5826">
        <v>-2.30590337330116</v>
      </c>
      <c r="AG5826">
        <v>-1.1140869837659999</v>
      </c>
      <c r="AH5826">
        <v>9.4021073957599697</v>
      </c>
      <c r="AI5826">
        <v>96.564877368658102</v>
      </c>
      <c r="AJ5826">
        <v>103.780022748316</v>
      </c>
      <c r="AK5826">
        <v>9.7446397396621496</v>
      </c>
      <c r="AL5826">
        <v>68.013737154939093</v>
      </c>
      <c r="AM5826">
        <v>106.198442134367</v>
      </c>
      <c r="AN5826">
        <v>1.00000004710825</v>
      </c>
    </row>
    <row r="5827" spans="1:40" x14ac:dyDescent="0.25">
      <c r="A5827" t="str">
        <f>"20190304164242181"</f>
        <v>20190304164242181</v>
      </c>
      <c r="B5827" t="str">
        <f>"1551688962177245"</f>
        <v>1551688962177245</v>
      </c>
      <c r="C5827" t="s">
        <v>40</v>
      </c>
      <c r="D5827">
        <v>4.541849</v>
      </c>
      <c r="E5827">
        <v>0.52454730000000005</v>
      </c>
      <c r="F5827" t="s">
        <v>42</v>
      </c>
      <c r="G5827">
        <v>-393.70310000000001</v>
      </c>
      <c r="H5827" s="1">
        <v>-3.0449880000000002E-6</v>
      </c>
      <c r="I5827">
        <v>19.946809999999999</v>
      </c>
      <c r="J5827">
        <v>-403.42750000000001</v>
      </c>
      <c r="K5827">
        <v>1.114117</v>
      </c>
      <c r="L5827">
        <v>21.421479999999999</v>
      </c>
      <c r="M5827">
        <v>0.92452719999999999</v>
      </c>
      <c r="N5827">
        <v>-1.3893910000000001E-2</v>
      </c>
      <c r="O5827">
        <v>-0.3808627</v>
      </c>
      <c r="P5827">
        <v>0.92557489999999998</v>
      </c>
      <c r="Q5827">
        <v>0.36378310000000003</v>
      </c>
      <c r="R5827">
        <v>-0.104752</v>
      </c>
      <c r="S5827">
        <v>3.3314509999999999</v>
      </c>
      <c r="T5827">
        <v>-0.37749290000000002</v>
      </c>
      <c r="U5827">
        <v>-0.5137024</v>
      </c>
      <c r="V5827">
        <v>-0.25865959999999999</v>
      </c>
      <c r="W5827">
        <v>0.37416100000000002</v>
      </c>
      <c r="X5827">
        <v>0.89056089999999999</v>
      </c>
      <c r="Y5827">
        <v>-0.2322285</v>
      </c>
      <c r="Z5827">
        <v>5.0901040000000002E-2</v>
      </c>
      <c r="AA5827">
        <v>0.97132850000000004</v>
      </c>
      <c r="AB5827">
        <v>22</v>
      </c>
      <c r="AC5827">
        <v>9.7243999999999993</v>
      </c>
      <c r="AD5827">
        <v>-1.114120044988</v>
      </c>
      <c r="AE5827">
        <v>-1.4746699999999899</v>
      </c>
      <c r="AF5827">
        <v>-2.3108637139339301</v>
      </c>
      <c r="AG5827">
        <v>-1.114120044988</v>
      </c>
      <c r="AH5827">
        <v>9.4320180634620208</v>
      </c>
      <c r="AI5827">
        <v>96.544810140209805</v>
      </c>
      <c r="AJ5827">
        <v>103.766411219896</v>
      </c>
      <c r="AK5827">
        <v>9.7746774539364907</v>
      </c>
      <c r="AL5827">
        <v>68.027532519661406</v>
      </c>
      <c r="AM5827">
        <v>106.195712851031</v>
      </c>
      <c r="AN5827">
        <v>0.99999997960098397</v>
      </c>
    </row>
    <row r="5828" spans="1:40" x14ac:dyDescent="0.25">
      <c r="A5828" t="str">
        <f>"20190304164242193"</f>
        <v>20190304164242193</v>
      </c>
      <c r="B5828" t="str">
        <f>"1551688962187005"</f>
        <v>1551688962187005</v>
      </c>
      <c r="C5828" t="s">
        <v>40</v>
      </c>
      <c r="D5828">
        <v>4.5556010000000002</v>
      </c>
      <c r="E5828">
        <v>0.53015639999999997</v>
      </c>
      <c r="F5828" t="s">
        <v>42</v>
      </c>
      <c r="G5828">
        <v>-393.6318</v>
      </c>
      <c r="H5828" s="1">
        <v>-3.07625E-6</v>
      </c>
      <c r="I5828">
        <v>19.937570000000001</v>
      </c>
      <c r="J5828">
        <v>-403.31020000000001</v>
      </c>
      <c r="K5828">
        <v>1.114147</v>
      </c>
      <c r="L5828">
        <v>21.377040000000001</v>
      </c>
      <c r="M5828">
        <v>0.92572259999999995</v>
      </c>
      <c r="N5828">
        <v>-1.3896550000000001E-2</v>
      </c>
      <c r="O5828">
        <v>-0.37794800000000001</v>
      </c>
      <c r="P5828">
        <v>0.92579520000000004</v>
      </c>
      <c r="Q5828">
        <v>0.36403980000000002</v>
      </c>
      <c r="R5828">
        <v>-0.1018748</v>
      </c>
      <c r="S5828">
        <v>3.3330989999999998</v>
      </c>
      <c r="T5828">
        <v>-0.3790907</v>
      </c>
      <c r="U5828">
        <v>-0.50491330000000001</v>
      </c>
      <c r="V5828">
        <v>-0.2586176</v>
      </c>
      <c r="W5828">
        <v>0.37439699999999998</v>
      </c>
      <c r="X5828">
        <v>0.89047389999999904</v>
      </c>
      <c r="Y5828">
        <v>-0.2317284</v>
      </c>
      <c r="Z5828">
        <v>5.082677E-2</v>
      </c>
      <c r="AA5828">
        <v>0.97145179999999998</v>
      </c>
      <c r="AB5828">
        <v>22</v>
      </c>
      <c r="AC5828">
        <v>9.6783999999999999</v>
      </c>
      <c r="AD5828">
        <v>-1.1141500762500001</v>
      </c>
      <c r="AE5828">
        <v>-1.43947</v>
      </c>
      <c r="AF5828">
        <v>-2.29584046434063</v>
      </c>
      <c r="AG5828">
        <v>-1.1141500762500001</v>
      </c>
      <c r="AH5828">
        <v>9.3828256433650896</v>
      </c>
      <c r="AI5828">
        <v>96.579476130354905</v>
      </c>
      <c r="AJ5828">
        <v>103.74929500307501</v>
      </c>
      <c r="AK5828">
        <v>9.7236634497447092</v>
      </c>
      <c r="AL5828">
        <v>68.012950679519406</v>
      </c>
      <c r="AM5828">
        <v>106.194720058904</v>
      </c>
      <c r="AN5828">
        <v>0.999999971609984</v>
      </c>
    </row>
    <row r="5829" spans="1:40" x14ac:dyDescent="0.25">
      <c r="A5829" t="str">
        <f>"20190304164242213"</f>
        <v>20190304164242213</v>
      </c>
      <c r="B5829" t="str">
        <f>"1551688962206527"</f>
        <v>1551688962206527</v>
      </c>
      <c r="C5829" t="s">
        <v>40</v>
      </c>
      <c r="D5829">
        <v>4.8511759999999997</v>
      </c>
      <c r="E5829">
        <v>0.52902069999999901</v>
      </c>
      <c r="F5829" t="s">
        <v>42</v>
      </c>
      <c r="G5829">
        <v>-393.99020000000002</v>
      </c>
      <c r="H5829" s="1">
        <v>-2.8887189999999999E-6</v>
      </c>
      <c r="I5829">
        <v>19.869520000000001</v>
      </c>
      <c r="J5829">
        <v>-403.12799999999999</v>
      </c>
      <c r="K5829">
        <v>1.1141989999999999</v>
      </c>
      <c r="L5829">
        <v>21.30875</v>
      </c>
      <c r="M5829">
        <v>0.92758039999999997</v>
      </c>
      <c r="N5829">
        <v>-1.3900940000000001E-2</v>
      </c>
      <c r="O5829">
        <v>-0.37336510000000001</v>
      </c>
      <c r="P5829">
        <v>0.92631839999999999</v>
      </c>
      <c r="Q5829">
        <v>0.36392190000000002</v>
      </c>
      <c r="R5829">
        <v>-9.7443000000000002E-2</v>
      </c>
      <c r="S5829">
        <v>3.337952</v>
      </c>
      <c r="T5829">
        <v>-0.39903129999999998</v>
      </c>
      <c r="U5829">
        <v>-0.53991699999999998</v>
      </c>
      <c r="V5829">
        <v>-0.2585384</v>
      </c>
      <c r="W5829">
        <v>0.37425249999999999</v>
      </c>
      <c r="X5829">
        <v>0.89055769999999901</v>
      </c>
      <c r="Y5829">
        <v>-0.21693809999999999</v>
      </c>
      <c r="Z5829">
        <v>5.2118949999999997E-2</v>
      </c>
      <c r="AA5829">
        <v>0.97479309999999997</v>
      </c>
      <c r="AB5829">
        <v>22</v>
      </c>
      <c r="AC5829">
        <v>9.1378000000000199</v>
      </c>
      <c r="AD5829">
        <v>-1.1142018887189999</v>
      </c>
      <c r="AE5829">
        <v>-1.43922999999999</v>
      </c>
      <c r="AF5829">
        <v>-2.0472337033048</v>
      </c>
      <c r="AG5829">
        <v>-1.1142018887189999</v>
      </c>
      <c r="AH5829">
        <v>8.8853654840973597</v>
      </c>
      <c r="AI5829">
        <v>96.966769713668398</v>
      </c>
      <c r="AJ5829">
        <v>102.974808039333</v>
      </c>
      <c r="AK5829">
        <v>9.1859856014888699</v>
      </c>
      <c r="AL5829">
        <v>68.021880324975399</v>
      </c>
      <c r="AM5829">
        <v>106.188576722139</v>
      </c>
      <c r="AN5829">
        <v>1.00000002753004</v>
      </c>
    </row>
    <row r="5830" spans="1:40" x14ac:dyDescent="0.25">
      <c r="A5830" t="str">
        <f>"20190304164242227"</f>
        <v>20190304164242227</v>
      </c>
      <c r="B5830" t="str">
        <f>"1551688962217261"</f>
        <v>1551688962217261</v>
      </c>
      <c r="C5830" t="s">
        <v>40</v>
      </c>
      <c r="D5830">
        <v>4.5876710000000003</v>
      </c>
      <c r="E5830">
        <v>0.52964369999999905</v>
      </c>
      <c r="F5830" t="s">
        <v>42</v>
      </c>
      <c r="G5830">
        <v>-393.9529</v>
      </c>
      <c r="H5830" s="1">
        <v>-2.91236E-6</v>
      </c>
      <c r="I5830">
        <v>19.892199999999999</v>
      </c>
      <c r="J5830">
        <v>-403.0111</v>
      </c>
      <c r="K5830">
        <v>1.1142289999999999</v>
      </c>
      <c r="L5830">
        <v>21.265470000000001</v>
      </c>
      <c r="M5830">
        <v>0.92877209999999999</v>
      </c>
      <c r="N5830">
        <v>-1.3903820000000001E-2</v>
      </c>
      <c r="O5830">
        <v>-0.37039070000000002</v>
      </c>
      <c r="P5830">
        <v>0.92670419999999998</v>
      </c>
      <c r="Q5830">
        <v>0.36369669999999998</v>
      </c>
      <c r="R5830">
        <v>-9.4573270000000001E-2</v>
      </c>
      <c r="S5830">
        <v>3.3438720000000002</v>
      </c>
      <c r="T5830">
        <v>-0.40607399999999999</v>
      </c>
      <c r="U5830">
        <v>-0.51626590000000006</v>
      </c>
      <c r="V5830">
        <v>-0.25850030000000002</v>
      </c>
      <c r="W5830">
        <v>0.37401319999999999</v>
      </c>
      <c r="X5830">
        <v>0.89066919999999905</v>
      </c>
      <c r="Y5830">
        <v>-0.22066859999999999</v>
      </c>
      <c r="Z5830">
        <v>5.3005509999999999E-2</v>
      </c>
      <c r="AA5830">
        <v>0.97390750000000004</v>
      </c>
      <c r="AB5830">
        <v>22</v>
      </c>
      <c r="AC5830">
        <v>9.0581999999999994</v>
      </c>
      <c r="AD5830">
        <v>-1.11423191236</v>
      </c>
      <c r="AE5830">
        <v>-1.37327</v>
      </c>
      <c r="AF5830">
        <v>-2.0495047194022802</v>
      </c>
      <c r="AG5830">
        <v>-1.11423191236</v>
      </c>
      <c r="AH5830">
        <v>8.7924618671065797</v>
      </c>
      <c r="AI5830">
        <v>97.0357091976351</v>
      </c>
      <c r="AJ5830">
        <v>103.12123079499101</v>
      </c>
      <c r="AK5830">
        <v>9.0966679632652898</v>
      </c>
      <c r="AL5830">
        <v>68.036663174985406</v>
      </c>
      <c r="AM5830">
        <v>106.184395763358</v>
      </c>
      <c r="AN5830">
        <v>0.99999995135148301</v>
      </c>
    </row>
    <row r="5831" spans="1:40" x14ac:dyDescent="0.25">
      <c r="A5831" t="str">
        <f>"20190304164242236"</f>
        <v>20190304164242236</v>
      </c>
      <c r="B5831" t="str">
        <f>"1551688962227020"</f>
        <v>1551688962227020</v>
      </c>
      <c r="C5831" t="s">
        <v>40</v>
      </c>
      <c r="D5831">
        <v>4.5668480000000002</v>
      </c>
      <c r="E5831">
        <v>0.53000890000000001</v>
      </c>
      <c r="F5831" t="s">
        <v>42</v>
      </c>
      <c r="G5831">
        <v>-393.87569999999999</v>
      </c>
      <c r="H5831" s="1">
        <v>-2.9430169999999999E-6</v>
      </c>
      <c r="I5831">
        <v>19.870200000000001</v>
      </c>
      <c r="J5831">
        <v>-402.90949999999998</v>
      </c>
      <c r="K5831">
        <v>1.1142510000000001</v>
      </c>
      <c r="L5831">
        <v>21.22824</v>
      </c>
      <c r="M5831">
        <v>0.92980810000000003</v>
      </c>
      <c r="N5831">
        <v>-1.3906190000000001E-2</v>
      </c>
      <c r="O5831">
        <v>-0.36778230000000001</v>
      </c>
      <c r="P5831">
        <v>0.92701690000000003</v>
      </c>
      <c r="Q5831">
        <v>0.36352030000000002</v>
      </c>
      <c r="R5831">
        <v>-9.2155769999999998E-2</v>
      </c>
      <c r="S5831">
        <v>3.3452449999999998</v>
      </c>
      <c r="T5831">
        <v>-0.40801530000000003</v>
      </c>
      <c r="U5831">
        <v>-0.51092529999999903</v>
      </c>
      <c r="V5831">
        <v>-0.25836690000000001</v>
      </c>
      <c r="W5831">
        <v>0.37382840000000001</v>
      </c>
      <c r="X5831">
        <v>0.89078550000000001</v>
      </c>
      <c r="Y5831">
        <v>-0.21949850000000001</v>
      </c>
      <c r="Z5831">
        <v>5.2927790000000002E-2</v>
      </c>
      <c r="AA5831">
        <v>0.97417609999999999</v>
      </c>
      <c r="AB5831">
        <v>22</v>
      </c>
      <c r="AC5831">
        <v>9.0337999999999798</v>
      </c>
      <c r="AD5831">
        <v>-1.114253943017</v>
      </c>
      <c r="AE5831">
        <v>-1.3580399999999899</v>
      </c>
      <c r="AF5831">
        <v>-2.0297568584052099</v>
      </c>
      <c r="AG5831">
        <v>-1.114253943017</v>
      </c>
      <c r="AH5831">
        <v>8.7695559970624899</v>
      </c>
      <c r="AI5831">
        <v>97.0565684387023</v>
      </c>
      <c r="AJ5831">
        <v>103.031911711563</v>
      </c>
      <c r="AK5831">
        <v>9.0700930061045604</v>
      </c>
      <c r="AL5831">
        <v>68.048079943097207</v>
      </c>
      <c r="AM5831">
        <v>106.174479119173</v>
      </c>
      <c r="AN5831">
        <v>0.99999996733620899</v>
      </c>
    </row>
    <row r="5832" spans="1:40" x14ac:dyDescent="0.25">
      <c r="A5832" t="str">
        <f>"20190304164242250"</f>
        <v>20190304164242250</v>
      </c>
      <c r="B5832" t="str">
        <f>"1551688962236781"</f>
        <v>1551688962236781</v>
      </c>
      <c r="C5832" t="s">
        <v>40</v>
      </c>
      <c r="D5832">
        <v>4.546195</v>
      </c>
      <c r="E5832">
        <v>0.53025109999999998</v>
      </c>
      <c r="F5832" t="s">
        <v>42</v>
      </c>
      <c r="G5832">
        <v>-393.83420000000001</v>
      </c>
      <c r="H5832" s="1">
        <v>-2.9592049999999999E-6</v>
      </c>
      <c r="I5832">
        <v>19.857330000000001</v>
      </c>
      <c r="J5832">
        <v>-402.80079999999998</v>
      </c>
      <c r="K5832">
        <v>1.1142639999999999</v>
      </c>
      <c r="L5832">
        <v>21.188870000000001</v>
      </c>
      <c r="M5832">
        <v>0.9309134</v>
      </c>
      <c r="N5832">
        <v>-1.39084E-2</v>
      </c>
      <c r="O5832">
        <v>-0.36497550000000001</v>
      </c>
      <c r="P5832">
        <v>0.92747970000000002</v>
      </c>
      <c r="Q5832">
        <v>0.36312260000000002</v>
      </c>
      <c r="R5832">
        <v>-8.9014190000000007E-2</v>
      </c>
      <c r="S5832">
        <v>3.3471069999999998</v>
      </c>
      <c r="T5832">
        <v>-0.4109563</v>
      </c>
      <c r="U5832">
        <v>-0.50561520000000004</v>
      </c>
      <c r="V5832">
        <v>-0.25877020000000001</v>
      </c>
      <c r="W5832">
        <v>0.37341790000000002</v>
      </c>
      <c r="X5832">
        <v>0.89084059999999898</v>
      </c>
      <c r="Y5832">
        <v>-0.21812019999999999</v>
      </c>
      <c r="Z5832">
        <v>5.2941309999999998E-2</v>
      </c>
      <c r="AA5832">
        <v>0.97448489999999999</v>
      </c>
      <c r="AB5832">
        <v>22</v>
      </c>
      <c r="AC5832">
        <v>8.9665999999999695</v>
      </c>
      <c r="AD5832">
        <v>-1.1142669592050001</v>
      </c>
      <c r="AE5832">
        <v>-1.3315399999999999</v>
      </c>
      <c r="AF5832">
        <v>-2.0029733285481002</v>
      </c>
      <c r="AG5832">
        <v>-1.1142669592050001</v>
      </c>
      <c r="AH5832">
        <v>8.7024707472802501</v>
      </c>
      <c r="AI5832">
        <v>97.112488394228393</v>
      </c>
      <c r="AJ5832">
        <v>102.961550113984</v>
      </c>
      <c r="AK5832">
        <v>8.9992494197304893</v>
      </c>
      <c r="AL5832">
        <v>68.073435962845707</v>
      </c>
      <c r="AM5832">
        <v>106.197454402754</v>
      </c>
      <c r="AN5832">
        <v>0.99999995952840404</v>
      </c>
    </row>
    <row r="5833" spans="1:40" x14ac:dyDescent="0.25">
      <c r="A5833" t="str">
        <f>"20190304164242262"</f>
        <v>20190304164242262</v>
      </c>
      <c r="B5833" t="str">
        <f>"1551688962257278"</f>
        <v>1551688962257278</v>
      </c>
      <c r="C5833" t="s">
        <v>40</v>
      </c>
      <c r="D5833">
        <v>4.5894680000000001</v>
      </c>
      <c r="E5833">
        <v>0.52741490000000002</v>
      </c>
      <c r="F5833" t="s">
        <v>42</v>
      </c>
      <c r="G5833">
        <v>-393.75670000000002</v>
      </c>
      <c r="H5833" s="1">
        <v>-2.992977E-6</v>
      </c>
      <c r="I5833">
        <v>19.846620000000001</v>
      </c>
      <c r="J5833">
        <v>-402.68340000000001</v>
      </c>
      <c r="K5833">
        <v>1.1142799999999999</v>
      </c>
      <c r="L5833">
        <v>21.14667</v>
      </c>
      <c r="M5833">
        <v>0.93210020000000005</v>
      </c>
      <c r="N5833">
        <v>-1.3910509999999999E-2</v>
      </c>
      <c r="O5833">
        <v>-0.36193350000000002</v>
      </c>
      <c r="P5833">
        <v>0.92794730000000003</v>
      </c>
      <c r="Q5833">
        <v>0.36270370000000002</v>
      </c>
      <c r="R5833">
        <v>-8.5792439999999998E-2</v>
      </c>
      <c r="S5833">
        <v>3.3484189999999998</v>
      </c>
      <c r="T5833">
        <v>-0.41254079999999899</v>
      </c>
      <c r="U5833">
        <v>-0.49694820000000001</v>
      </c>
      <c r="V5833">
        <v>-0.25902829999999999</v>
      </c>
      <c r="W5833">
        <v>0.37298930000000002</v>
      </c>
      <c r="X5833">
        <v>0.89094519999999899</v>
      </c>
      <c r="Y5833">
        <v>-0.2174499</v>
      </c>
      <c r="Z5833">
        <v>5.2804209999999997E-2</v>
      </c>
      <c r="AA5833">
        <v>0.97464209999999996</v>
      </c>
      <c r="AB5833">
        <v>22</v>
      </c>
      <c r="AC5833">
        <v>8.9266999999999808</v>
      </c>
      <c r="AD5833">
        <v>-1.114282992977</v>
      </c>
      <c r="AE5833">
        <v>-1.3000499999999899</v>
      </c>
      <c r="AF5833">
        <v>-1.98894309301813</v>
      </c>
      <c r="AG5833">
        <v>-1.114282992977</v>
      </c>
      <c r="AH5833">
        <v>8.6598299224038993</v>
      </c>
      <c r="AI5833">
        <v>97.148002652394595</v>
      </c>
      <c r="AJ5833">
        <v>102.935056677395</v>
      </c>
      <c r="AK5833">
        <v>8.9548967331099991</v>
      </c>
      <c r="AL5833">
        <v>68.099906612846993</v>
      </c>
      <c r="AM5833">
        <v>106.21095816146</v>
      </c>
      <c r="AN5833">
        <v>1.0000000137592</v>
      </c>
    </row>
    <row r="5834" spans="1:40" x14ac:dyDescent="0.25">
      <c r="A5834" t="str">
        <f>"20190304164242278"</f>
        <v>20190304164242278</v>
      </c>
      <c r="B5834" t="str">
        <f>"1551688962267037"</f>
        <v>1551688962267037</v>
      </c>
      <c r="C5834" t="s">
        <v>40</v>
      </c>
      <c r="D5834">
        <v>4.599126</v>
      </c>
      <c r="E5834">
        <v>0.52741490000000002</v>
      </c>
      <c r="F5834" t="s">
        <v>42</v>
      </c>
      <c r="G5834">
        <v>-393.31689999999998</v>
      </c>
      <c r="H5834" s="1">
        <v>-3.201715E-6</v>
      </c>
      <c r="I5834">
        <v>19.84965</v>
      </c>
      <c r="J5834">
        <v>-402.52969999999999</v>
      </c>
      <c r="K5834">
        <v>1.1142829999999999</v>
      </c>
      <c r="L5834">
        <v>21.09225</v>
      </c>
      <c r="M5834">
        <v>0.93364789999999998</v>
      </c>
      <c r="N5834">
        <v>-1.391234E-2</v>
      </c>
      <c r="O5834">
        <v>-0.35792220000000002</v>
      </c>
      <c r="P5834">
        <v>0.92853050000000004</v>
      </c>
      <c r="Q5834">
        <v>0.362201</v>
      </c>
      <c r="R5834">
        <v>-8.1499100000000005E-2</v>
      </c>
      <c r="S5834">
        <v>3.3456730000000001</v>
      </c>
      <c r="T5834">
        <v>-0.39801409999999998</v>
      </c>
      <c r="U5834">
        <v>-0.46328740000000002</v>
      </c>
      <c r="V5834">
        <v>-0.2593955</v>
      </c>
      <c r="W5834">
        <v>0.37247999999999998</v>
      </c>
      <c r="X5834">
        <v>0.89105140000000005</v>
      </c>
      <c r="Y5834">
        <v>-0.22297800000000001</v>
      </c>
      <c r="Z5834">
        <v>5.0911110000000002E-2</v>
      </c>
      <c r="AA5834">
        <v>0.97349319999999895</v>
      </c>
      <c r="AB5834">
        <v>22</v>
      </c>
      <c r="AC5834">
        <v>9.2128000000000103</v>
      </c>
      <c r="AD5834">
        <v>-1.1142862017149999</v>
      </c>
      <c r="AE5834">
        <v>-1.2425999999999899</v>
      </c>
      <c r="AF5834">
        <v>-2.10724555713968</v>
      </c>
      <c r="AG5834">
        <v>-1.1142862017149999</v>
      </c>
      <c r="AH5834">
        <v>8.9189964461995395</v>
      </c>
      <c r="AI5834">
        <v>96.932369672678007</v>
      </c>
      <c r="AJ5834">
        <v>103.293210867347</v>
      </c>
      <c r="AK5834">
        <v>9.2320428500271507</v>
      </c>
      <c r="AL5834">
        <v>68.131352854469299</v>
      </c>
      <c r="AM5834">
        <v>106.23089671593</v>
      </c>
      <c r="AN5834">
        <v>0.99999998663110501</v>
      </c>
    </row>
    <row r="5835" spans="1:40" x14ac:dyDescent="0.25">
      <c r="A5835" t="str">
        <f>"20190304164242291"</f>
        <v>20190304164242291</v>
      </c>
      <c r="B5835" t="str">
        <f>"1551688962276796"</f>
        <v>1551688962276796</v>
      </c>
      <c r="C5835" t="s">
        <v>40</v>
      </c>
      <c r="D5835">
        <v>4.5270729999999997</v>
      </c>
      <c r="E5835">
        <v>0.49332540000000003</v>
      </c>
      <c r="F5835" t="s">
        <v>42</v>
      </c>
      <c r="G5835">
        <v>-393.1979</v>
      </c>
      <c r="H5835" s="1">
        <v>-3.2557640000000001E-6</v>
      </c>
      <c r="I5835">
        <v>19.84149</v>
      </c>
      <c r="J5835">
        <v>-402.42320000000001</v>
      </c>
      <c r="K5835">
        <v>1.1142840000000001</v>
      </c>
      <c r="L5835">
        <v>21.055019999999999</v>
      </c>
      <c r="M5835">
        <v>0.93471150000000003</v>
      </c>
      <c r="N5835">
        <v>-1.3913139999999999E-2</v>
      </c>
      <c r="O5835">
        <v>-0.35513499999999998</v>
      </c>
      <c r="P5835">
        <v>0.92899039999999999</v>
      </c>
      <c r="Q5835">
        <v>0.36165999999999998</v>
      </c>
      <c r="R5835">
        <v>-7.8605969999999997E-2</v>
      </c>
      <c r="S5835">
        <v>3.3474430000000002</v>
      </c>
      <c r="T5835">
        <v>-0.39971269999999998</v>
      </c>
      <c r="U5835">
        <v>-0.4486694</v>
      </c>
      <c r="V5835">
        <v>-0.25958579999999998</v>
      </c>
      <c r="W5835">
        <v>0.37193920000000003</v>
      </c>
      <c r="X5835">
        <v>0.89122190000000001</v>
      </c>
      <c r="Y5835">
        <v>-0.22428690000000001</v>
      </c>
      <c r="Z5835">
        <v>5.0955250000000001E-2</v>
      </c>
      <c r="AA5835">
        <v>0.97319009999999995</v>
      </c>
      <c r="AB5835">
        <v>22</v>
      </c>
      <c r="AC5835">
        <v>9.2253000000000007</v>
      </c>
      <c r="AD5835">
        <v>-1.114287255764</v>
      </c>
      <c r="AE5835">
        <v>-1.21353</v>
      </c>
      <c r="AF5835">
        <v>-2.1118475445260998</v>
      </c>
      <c r="AG5835">
        <v>-1.114287255764</v>
      </c>
      <c r="AH5835">
        <v>8.9268168334197906</v>
      </c>
      <c r="AI5835">
        <v>96.925888204026094</v>
      </c>
      <c r="AJ5835">
        <v>103.309953264756</v>
      </c>
      <c r="AK5835">
        <v>9.2406490528050007</v>
      </c>
      <c r="AL5835">
        <v>68.164737779531393</v>
      </c>
      <c r="AM5835">
        <v>106.239233100929</v>
      </c>
      <c r="AN5835">
        <v>1.0000000155489399</v>
      </c>
    </row>
    <row r="5836" spans="1:40" x14ac:dyDescent="0.25">
      <c r="A5836" t="str">
        <f>"20190304164242303"</f>
        <v>20190304164242303</v>
      </c>
      <c r="B5836" t="str">
        <f>"1551688962297292"</f>
        <v>1551688962297292</v>
      </c>
      <c r="C5836" t="s">
        <v>40</v>
      </c>
      <c r="D5836">
        <v>4.5014029999999998</v>
      </c>
      <c r="E5836">
        <v>0.49183159999999998</v>
      </c>
      <c r="F5836" t="s">
        <v>42</v>
      </c>
      <c r="G5836">
        <v>-391.4545</v>
      </c>
      <c r="H5836" s="1">
        <v>-4.2559880000000001E-6</v>
      </c>
      <c r="I5836">
        <v>20.503240000000002</v>
      </c>
      <c r="J5836">
        <v>-402.31110000000001</v>
      </c>
      <c r="K5836">
        <v>1.1142829999999999</v>
      </c>
      <c r="L5836">
        <v>21.016020000000001</v>
      </c>
      <c r="M5836">
        <v>0.9358225</v>
      </c>
      <c r="N5836">
        <v>-1.3913790000000001E-2</v>
      </c>
      <c r="O5836">
        <v>-0.35219729999999999</v>
      </c>
      <c r="P5836">
        <v>0.92925219999999997</v>
      </c>
      <c r="Q5836">
        <v>0.36163590000000001</v>
      </c>
      <c r="R5836">
        <v>-7.5566430000000004E-2</v>
      </c>
      <c r="S5836">
        <v>3.3474729999999999</v>
      </c>
      <c r="T5836">
        <v>-0.34006350000000002</v>
      </c>
      <c r="U5836">
        <v>-0.16839599999999999</v>
      </c>
      <c r="V5836">
        <v>-0.25970539999999998</v>
      </c>
      <c r="W5836">
        <v>0.37191469999999999</v>
      </c>
      <c r="X5836">
        <v>0.89119720000000002</v>
      </c>
      <c r="Y5836">
        <v>-0.30173640000000002</v>
      </c>
      <c r="Z5836">
        <v>4.740043E-2</v>
      </c>
      <c r="AA5836">
        <v>0.95221230000000001</v>
      </c>
      <c r="AB5836">
        <v>22</v>
      </c>
      <c r="AC5836">
        <v>10.8566</v>
      </c>
      <c r="AD5836">
        <v>-1.1142872559879999</v>
      </c>
      <c r="AE5836">
        <v>-0.51278000000000201</v>
      </c>
      <c r="AF5836">
        <v>-3.3093333973860299</v>
      </c>
      <c r="AG5836">
        <v>-1.1142872559879999</v>
      </c>
      <c r="AH5836">
        <v>10.2338828234574</v>
      </c>
      <c r="AI5836">
        <v>95.914751214833004</v>
      </c>
      <c r="AJ5836">
        <v>107.919664925416</v>
      </c>
      <c r="AK5836">
        <v>10.813217896083</v>
      </c>
      <c r="AL5836">
        <v>68.166248369820096</v>
      </c>
      <c r="AM5836">
        <v>106.246747033378</v>
      </c>
      <c r="AN5836">
        <v>0.99999994407654302</v>
      </c>
    </row>
    <row r="5837" spans="1:40" x14ac:dyDescent="0.25">
      <c r="A5837" t="str">
        <f>"20190304164242316"</f>
        <v>20190304164242316</v>
      </c>
      <c r="B5837" t="str">
        <f>"1551688962307052"</f>
        <v>1551688962307052</v>
      </c>
      <c r="C5837" t="s">
        <v>40</v>
      </c>
      <c r="D5837">
        <v>4.5232380000000001</v>
      </c>
      <c r="E5837">
        <v>0.49154330000000002</v>
      </c>
      <c r="F5837" t="s">
        <v>42</v>
      </c>
      <c r="G5837">
        <v>-391.63159999999999</v>
      </c>
      <c r="H5837" s="1">
        <v>-4.1849929999999998E-6</v>
      </c>
      <c r="I5837">
        <v>20.55106</v>
      </c>
      <c r="J5837">
        <v>-402.18310000000002</v>
      </c>
      <c r="K5837">
        <v>1.114279</v>
      </c>
      <c r="L5837">
        <v>20.972200000000001</v>
      </c>
      <c r="M5837">
        <v>0.93707929999999995</v>
      </c>
      <c r="N5837">
        <v>-1.391389E-2</v>
      </c>
      <c r="O5837">
        <v>-0.34883979999999998</v>
      </c>
      <c r="P5837">
        <v>0.92948609999999998</v>
      </c>
      <c r="Q5837">
        <v>0.36174909999999999</v>
      </c>
      <c r="R5837">
        <v>-7.2065370000000004E-2</v>
      </c>
      <c r="S5837">
        <v>3.3526609999999999</v>
      </c>
      <c r="T5837">
        <v>-0.34981230000000002</v>
      </c>
      <c r="U5837">
        <v>-0.1459656</v>
      </c>
      <c r="V5837">
        <v>-0.25984699999999999</v>
      </c>
      <c r="W5837">
        <v>0.37203029999999998</v>
      </c>
      <c r="X5837">
        <v>0.89110769999999995</v>
      </c>
      <c r="Y5837">
        <v>-0.30457030000000002</v>
      </c>
      <c r="Z5837">
        <v>4.866086E-2</v>
      </c>
      <c r="AA5837">
        <v>0.95124609999999998</v>
      </c>
      <c r="AB5837">
        <v>22</v>
      </c>
      <c r="AC5837">
        <v>10.551500000000001</v>
      </c>
      <c r="AD5837">
        <v>-1.1142831849929999</v>
      </c>
      <c r="AE5837">
        <v>-0.42114000000000101</v>
      </c>
      <c r="AF5837">
        <v>-3.2502688472427002</v>
      </c>
      <c r="AG5837">
        <v>-1.1142831849929999</v>
      </c>
      <c r="AH5837">
        <v>9.9249623181715805</v>
      </c>
      <c r="AI5837">
        <v>96.090141553788897</v>
      </c>
      <c r="AJ5837">
        <v>108.13280646414</v>
      </c>
      <c r="AK5837">
        <v>10.502892535527501</v>
      </c>
      <c r="AL5837">
        <v>68.159113568916595</v>
      </c>
      <c r="AM5837">
        <v>106.256684077283</v>
      </c>
      <c r="AN5837">
        <v>0.99999997026318899</v>
      </c>
    </row>
    <row r="5838" spans="1:40" x14ac:dyDescent="0.25">
      <c r="A5838" t="str">
        <f>"20190304164242330"</f>
        <v>20190304164242330</v>
      </c>
      <c r="B5838" t="str">
        <f>"1551688962326573"</f>
        <v>1551688962326573</v>
      </c>
      <c r="C5838" t="s">
        <v>40</v>
      </c>
      <c r="D5838">
        <v>4.4885789999999997</v>
      </c>
      <c r="E5838">
        <v>0.49195499999999998</v>
      </c>
      <c r="F5838" t="s">
        <v>42</v>
      </c>
      <c r="G5838">
        <v>-391.721</v>
      </c>
      <c r="H5838" s="1">
        <v>-4.1455660000000001E-6</v>
      </c>
      <c r="I5838">
        <v>20.56184</v>
      </c>
      <c r="J5838">
        <v>-402.06189999999998</v>
      </c>
      <c r="K5838">
        <v>1.1142729999999901</v>
      </c>
      <c r="L5838">
        <v>20.931180000000001</v>
      </c>
      <c r="M5838">
        <v>0.93825630000000004</v>
      </c>
      <c r="N5838">
        <v>-1.391386E-2</v>
      </c>
      <c r="O5838">
        <v>-0.3456612</v>
      </c>
      <c r="P5838">
        <v>0.9297666</v>
      </c>
      <c r="Q5838">
        <v>0.36166860000000001</v>
      </c>
      <c r="R5838">
        <v>-6.8773970000000004E-2</v>
      </c>
      <c r="S5838">
        <v>3.3564759999999998</v>
      </c>
      <c r="T5838">
        <v>-0.35748950000000002</v>
      </c>
      <c r="U5838">
        <v>-0.13165279999999999</v>
      </c>
      <c r="V5838">
        <v>-0.25998389999999999</v>
      </c>
      <c r="W5838">
        <v>0.37195420000000001</v>
      </c>
      <c r="X5838">
        <v>0.89109959999999899</v>
      </c>
      <c r="Y5838">
        <v>-0.3053073</v>
      </c>
      <c r="Z5838">
        <v>4.9508539999999997E-2</v>
      </c>
      <c r="AA5838">
        <v>0.95096599999999998</v>
      </c>
      <c r="AB5838">
        <v>22</v>
      </c>
      <c r="AC5838">
        <v>10.3408999999999</v>
      </c>
      <c r="AD5838">
        <v>-1.1142771455660001</v>
      </c>
      <c r="AE5838">
        <v>-0.369339999999997</v>
      </c>
      <c r="AF5838">
        <v>-3.1912185433270301</v>
      </c>
      <c r="AG5838">
        <v>-1.1142771455660001</v>
      </c>
      <c r="AH5838">
        <v>9.7183361578297394</v>
      </c>
      <c r="AI5838">
        <v>96.216969947068804</v>
      </c>
      <c r="AJ5838">
        <v>108.17867385342601</v>
      </c>
      <c r="AK5838">
        <v>10.289390022007399</v>
      </c>
      <c r="AL5838">
        <v>68.163812159047794</v>
      </c>
      <c r="AM5838">
        <v>106.264936256948</v>
      </c>
      <c r="AN5838">
        <v>1.0000000261385</v>
      </c>
    </row>
    <row r="5839" spans="1:40" x14ac:dyDescent="0.25">
      <c r="A5839" t="str">
        <f>"20190304164242349"</f>
        <v>20190304164242349</v>
      </c>
      <c r="B5839" t="str">
        <f>"1551688962337309"</f>
        <v>1551688962337309</v>
      </c>
      <c r="C5839" t="s">
        <v>40</v>
      </c>
      <c r="D5839">
        <v>4.4619160000000004</v>
      </c>
      <c r="E5839">
        <v>0.49235820000000002</v>
      </c>
      <c r="F5839" t="s">
        <v>42</v>
      </c>
      <c r="G5839">
        <v>-391.86919999999998</v>
      </c>
      <c r="H5839" s="1">
        <v>-4.0742220000000001E-6</v>
      </c>
      <c r="I5839">
        <v>20.556850000000001</v>
      </c>
      <c r="J5839">
        <v>-401.89690000000002</v>
      </c>
      <c r="K5839">
        <v>1.1142559999999999</v>
      </c>
      <c r="L5839">
        <v>20.875979999999998</v>
      </c>
      <c r="M5839">
        <v>0.93983729999999999</v>
      </c>
      <c r="N5839">
        <v>-1.3913480000000001E-2</v>
      </c>
      <c r="O5839">
        <v>-0.341339</v>
      </c>
      <c r="P5839">
        <v>0.92987189999999997</v>
      </c>
      <c r="Q5839">
        <v>0.36226180000000002</v>
      </c>
      <c r="R5839">
        <v>-6.4069150000000005E-2</v>
      </c>
      <c r="S5839">
        <v>3.360382</v>
      </c>
      <c r="T5839">
        <v>-0.36735960000000001</v>
      </c>
      <c r="U5839">
        <v>-0.1234131</v>
      </c>
      <c r="V5839">
        <v>-0.2603048</v>
      </c>
      <c r="W5839">
        <v>0.37254939999999998</v>
      </c>
      <c r="X5839">
        <v>0.89075709999999997</v>
      </c>
      <c r="Y5839">
        <v>-0.30314570000000002</v>
      </c>
      <c r="Z5839">
        <v>5.0372569999999998E-2</v>
      </c>
      <c r="AA5839">
        <v>0.95161189999999996</v>
      </c>
      <c r="AB5839">
        <v>22</v>
      </c>
      <c r="AC5839">
        <v>10.027699999999999</v>
      </c>
      <c r="AD5839">
        <v>-1.1142600742219999</v>
      </c>
      <c r="AE5839">
        <v>-0.31912999999999703</v>
      </c>
      <c r="AF5839">
        <v>-3.0851623077977801</v>
      </c>
      <c r="AG5839">
        <v>-1.1142600742219999</v>
      </c>
      <c r="AH5839">
        <v>9.4180907434782792</v>
      </c>
      <c r="AI5839">
        <v>96.414933882416506</v>
      </c>
      <c r="AJ5839">
        <v>108.137673866904</v>
      </c>
      <c r="AK5839">
        <v>9.9729752446726092</v>
      </c>
      <c r="AL5839">
        <v>68.127066786719993</v>
      </c>
      <c r="AM5839">
        <v>106.289878344363</v>
      </c>
      <c r="AN5839">
        <v>0.99999992777190205</v>
      </c>
    </row>
    <row r="5840" spans="1:40" x14ac:dyDescent="0.25">
      <c r="A5840" t="str">
        <f>"20190304164242362"</f>
        <v>20190304164242362</v>
      </c>
      <c r="B5840" t="str">
        <f>"1551688962356829"</f>
        <v>1551688962356829</v>
      </c>
      <c r="C5840" t="s">
        <v>40</v>
      </c>
      <c r="D5840">
        <v>4.4774419999999999</v>
      </c>
      <c r="E5840">
        <v>0.49318190000000001</v>
      </c>
      <c r="F5840" t="s">
        <v>42</v>
      </c>
      <c r="G5840">
        <v>-391.74590000000001</v>
      </c>
      <c r="H5840" s="1">
        <v>-4.1290590000000003E-6</v>
      </c>
      <c r="I5840">
        <v>20.543939999999999</v>
      </c>
      <c r="J5840">
        <v>-401.76650000000001</v>
      </c>
      <c r="K5840">
        <v>1.1142399999999999</v>
      </c>
      <c r="L5840">
        <v>20.832889999999999</v>
      </c>
      <c r="M5840">
        <v>0.94107030000000003</v>
      </c>
      <c r="N5840">
        <v>-1.3912829999999999E-2</v>
      </c>
      <c r="O5840">
        <v>-0.33792529999999998</v>
      </c>
      <c r="P5840">
        <v>0.93001889999999998</v>
      </c>
      <c r="Q5840">
        <v>0.36245309999999997</v>
      </c>
      <c r="R5840">
        <v>-6.0769480000000001E-2</v>
      </c>
      <c r="S5840">
        <v>3.3624269999999998</v>
      </c>
      <c r="T5840">
        <v>-0.36908780000000002</v>
      </c>
      <c r="U5840">
        <v>-0.1099854</v>
      </c>
      <c r="V5840">
        <v>-0.26019629999999999</v>
      </c>
      <c r="W5840">
        <v>0.37274859999999999</v>
      </c>
      <c r="X5840">
        <v>0.89070550000000004</v>
      </c>
      <c r="Y5840">
        <v>-0.30348770000000003</v>
      </c>
      <c r="Z5840">
        <v>5.0315470000000001E-2</v>
      </c>
      <c r="AA5840">
        <v>0.95150599999999996</v>
      </c>
      <c r="AB5840">
        <v>22</v>
      </c>
      <c r="AC5840">
        <v>10.0206</v>
      </c>
      <c r="AD5840">
        <v>-1.1142441290589999</v>
      </c>
      <c r="AE5840">
        <v>-0.28894999999999899</v>
      </c>
      <c r="AF5840">
        <v>-3.0765843205299301</v>
      </c>
      <c r="AG5840">
        <v>-1.1142441290589999</v>
      </c>
      <c r="AH5840">
        <v>9.4123712979682495</v>
      </c>
      <c r="AI5840">
        <v>96.420048552600406</v>
      </c>
      <c r="AJ5840">
        <v>108.10080939152</v>
      </c>
      <c r="AK5840">
        <v>9.9649206976919604</v>
      </c>
      <c r="AL5840">
        <v>68.114768338069496</v>
      </c>
      <c r="AM5840">
        <v>106.28434157541299</v>
      </c>
      <c r="AN5840">
        <v>0.99999996053294904</v>
      </c>
    </row>
    <row r="5841" spans="1:40" x14ac:dyDescent="0.25">
      <c r="A5841" t="str">
        <f>"20190304164242381"</f>
        <v>20190304164242381</v>
      </c>
      <c r="B5841" t="str">
        <f>"1551688962377325"</f>
        <v>1551688962377325</v>
      </c>
      <c r="C5841" t="s">
        <v>40</v>
      </c>
      <c r="D5841">
        <v>4.4206009999999996</v>
      </c>
      <c r="E5841">
        <v>0.49376389999999998</v>
      </c>
      <c r="F5841" t="s">
        <v>42</v>
      </c>
      <c r="G5841">
        <v>-391.7244</v>
      </c>
      <c r="H5841" s="1">
        <v>-4.1333790000000002E-6</v>
      </c>
      <c r="I5841">
        <v>20.521899999999999</v>
      </c>
      <c r="J5841">
        <v>-401.59679999999997</v>
      </c>
      <c r="K5841">
        <v>1.1142270000000001</v>
      </c>
      <c r="L5841">
        <v>20.77768</v>
      </c>
      <c r="M5841">
        <v>0.94264930000000002</v>
      </c>
      <c r="N5841">
        <v>-1.391147E-2</v>
      </c>
      <c r="O5841">
        <v>-0.33349529999999999</v>
      </c>
      <c r="P5841">
        <v>0.93020389999999997</v>
      </c>
      <c r="Q5841">
        <v>0.36270449999999999</v>
      </c>
      <c r="R5841">
        <v>-5.6271429999999997E-2</v>
      </c>
      <c r="S5841">
        <v>3.3643800000000001</v>
      </c>
      <c r="T5841">
        <v>-0.37330039999999998</v>
      </c>
      <c r="U5841">
        <v>-0.104187</v>
      </c>
      <c r="V5841">
        <v>-0.2602681</v>
      </c>
      <c r="W5841">
        <v>0.3730078</v>
      </c>
      <c r="X5841">
        <v>0.89057609999999998</v>
      </c>
      <c r="Y5841">
        <v>-0.30062450000000002</v>
      </c>
      <c r="Z5841">
        <v>5.0310840000000003E-2</v>
      </c>
      <c r="AA5841">
        <v>0.95241469999999995</v>
      </c>
      <c r="AB5841">
        <v>22</v>
      </c>
      <c r="AC5841">
        <v>9.8723999999999705</v>
      </c>
      <c r="AD5841">
        <v>-1.114231133379</v>
      </c>
      <c r="AE5841">
        <v>-0.25578000000000101</v>
      </c>
      <c r="AF5841">
        <v>-3.0132258678557902</v>
      </c>
      <c r="AG5841">
        <v>-1.114231133379</v>
      </c>
      <c r="AH5841">
        <v>9.2743610347014105</v>
      </c>
      <c r="AI5841">
        <v>96.518438246540398</v>
      </c>
      <c r="AJ5841">
        <v>107.99890083367001</v>
      </c>
      <c r="AK5841">
        <v>9.8150299923787401</v>
      </c>
      <c r="AL5841">
        <v>68.098764944726895</v>
      </c>
      <c r="AM5841">
        <v>106.290838183745</v>
      </c>
      <c r="AN5841">
        <v>1.00000004631482</v>
      </c>
    </row>
    <row r="5842" spans="1:40" x14ac:dyDescent="0.25">
      <c r="A5842" t="str">
        <f>"20190304164242404"</f>
        <v>20190304164242404</v>
      </c>
      <c r="B5842" t="str">
        <f>"1551688962396845"</f>
        <v>1551688962396845</v>
      </c>
      <c r="C5842" t="s">
        <v>40</v>
      </c>
      <c r="D5842">
        <v>4.4255079999999998</v>
      </c>
      <c r="E5842">
        <v>0.49431829999999999</v>
      </c>
      <c r="F5842" t="s">
        <v>42</v>
      </c>
      <c r="G5842">
        <v>-391.63799999999998</v>
      </c>
      <c r="H5842" s="1">
        <v>-4.1704790000000002E-6</v>
      </c>
      <c r="I5842">
        <v>20.507930000000002</v>
      </c>
      <c r="J5842">
        <v>-401.39019999999999</v>
      </c>
      <c r="K5842">
        <v>1.1142049999999999</v>
      </c>
      <c r="L5842">
        <v>20.711670000000002</v>
      </c>
      <c r="M5842">
        <v>0.94453540000000002</v>
      </c>
      <c r="N5842">
        <v>-1.390957E-2</v>
      </c>
      <c r="O5842">
        <v>-0.3281154</v>
      </c>
      <c r="P5842">
        <v>0.93068870000000004</v>
      </c>
      <c r="Q5842">
        <v>0.3622705</v>
      </c>
      <c r="R5842">
        <v>-5.0782819999999999E-2</v>
      </c>
      <c r="S5842">
        <v>3.3664550000000002</v>
      </c>
      <c r="T5842">
        <v>-0.37665280000000001</v>
      </c>
      <c r="U5842">
        <v>-9.1186519999999993E-2</v>
      </c>
      <c r="V5842">
        <v>-0.26047799999999999</v>
      </c>
      <c r="W5842">
        <v>0.37258479999999999</v>
      </c>
      <c r="X5842">
        <v>0.89069179999999903</v>
      </c>
      <c r="Y5842">
        <v>-0.2988574</v>
      </c>
      <c r="Z5842">
        <v>5.0156230000000003E-2</v>
      </c>
      <c r="AA5842">
        <v>0.95297880000000001</v>
      </c>
      <c r="AB5842">
        <v>22</v>
      </c>
      <c r="AC5842">
        <v>9.7521999999999593</v>
      </c>
      <c r="AD5842">
        <v>-1.11420917047899</v>
      </c>
      <c r="AE5842">
        <v>-0.203740000000003</v>
      </c>
      <c r="AF5842">
        <v>-2.96895934506649</v>
      </c>
      <c r="AG5842">
        <v>-1.11420917047899</v>
      </c>
      <c r="AH5842">
        <v>9.1595324363330999</v>
      </c>
      <c r="AI5842">
        <v>96.600770560052197</v>
      </c>
      <c r="AJ5842">
        <v>107.95951827263799</v>
      </c>
      <c r="AK5842">
        <v>9.6929467201917205</v>
      </c>
      <c r="AL5842">
        <v>68.124884023241805</v>
      </c>
      <c r="AM5842">
        <v>106.30127351688699</v>
      </c>
      <c r="AN5842">
        <v>1.0000000521311301</v>
      </c>
    </row>
    <row r="5843" spans="1:40" x14ac:dyDescent="0.25">
      <c r="A5843" t="str">
        <f>"20190304164242416"</f>
        <v>20190304164242416</v>
      </c>
      <c r="B5843" t="str">
        <f>"1551688962406606"</f>
        <v>1551688962406606</v>
      </c>
      <c r="C5843" t="s">
        <v>40</v>
      </c>
      <c r="D5843">
        <v>4.3976470000000001</v>
      </c>
      <c r="E5843">
        <v>0.49460680000000001</v>
      </c>
      <c r="F5843" t="s">
        <v>42</v>
      </c>
      <c r="G5843">
        <v>-391.54969999999997</v>
      </c>
      <c r="H5843" s="1">
        <v>-4.2067120000000002E-6</v>
      </c>
      <c r="I5843">
        <v>20.487130000000001</v>
      </c>
      <c r="J5843">
        <v>-401.26639999999998</v>
      </c>
      <c r="K5843">
        <v>1.1141920000000001</v>
      </c>
      <c r="L5843">
        <v>20.672789999999999</v>
      </c>
      <c r="M5843">
        <v>0.94564689999999996</v>
      </c>
      <c r="N5843">
        <v>-1.390826E-2</v>
      </c>
      <c r="O5843">
        <v>-0.32489780000000001</v>
      </c>
      <c r="P5843">
        <v>0.93082370000000003</v>
      </c>
      <c r="Q5843">
        <v>0.36236049999999997</v>
      </c>
      <c r="R5843">
        <v>-4.7565679999999999E-2</v>
      </c>
      <c r="S5843">
        <v>3.3676149999999998</v>
      </c>
      <c r="T5843">
        <v>-0.38130130000000001</v>
      </c>
      <c r="U5843">
        <v>-7.6843259999999997E-2</v>
      </c>
      <c r="V5843">
        <v>-0.26050329999999999</v>
      </c>
      <c r="W5843">
        <v>0.37268040000000002</v>
      </c>
      <c r="X5843">
        <v>0.8906444</v>
      </c>
      <c r="Y5843">
        <v>-0.29959560000000002</v>
      </c>
      <c r="Z5843">
        <v>5.0541559999999999E-2</v>
      </c>
      <c r="AA5843">
        <v>0.95272659999999998</v>
      </c>
      <c r="AB5843">
        <v>22</v>
      </c>
      <c r="AC5843">
        <v>9.7166999999999994</v>
      </c>
      <c r="AD5843">
        <v>-1.1141962067119999</v>
      </c>
      <c r="AE5843">
        <v>-0.18565999999999799</v>
      </c>
      <c r="AF5843">
        <v>-2.9429715402960799</v>
      </c>
      <c r="AG5843">
        <v>-1.1141962067119999</v>
      </c>
      <c r="AH5843">
        <v>9.1297803257536305</v>
      </c>
      <c r="AI5843">
        <v>96.625453518320796</v>
      </c>
      <c r="AJ5843">
        <v>107.86665157311199</v>
      </c>
      <c r="AK5843">
        <v>9.6568837349614096</v>
      </c>
      <c r="AL5843">
        <v>68.118981354273998</v>
      </c>
      <c r="AM5843">
        <v>106.30359431435799</v>
      </c>
      <c r="AN5843">
        <v>1.0000000485531999</v>
      </c>
    </row>
    <row r="5844" spans="1:40" x14ac:dyDescent="0.25">
      <c r="A5844" t="str">
        <f>"20190304164242430"</f>
        <v>20190304164242430</v>
      </c>
      <c r="B5844" t="str">
        <f>"1551688962427101"</f>
        <v>1551688962427101</v>
      </c>
      <c r="C5844" t="s">
        <v>40</v>
      </c>
      <c r="D5844">
        <v>4.4304779999999999</v>
      </c>
      <c r="E5844">
        <v>0.50036670000000005</v>
      </c>
      <c r="F5844" t="s">
        <v>42</v>
      </c>
      <c r="G5844">
        <v>-391.45240000000001</v>
      </c>
      <c r="H5844" s="1">
        <v>-4.2488150000000001E-6</v>
      </c>
      <c r="I5844">
        <v>20.472549999999998</v>
      </c>
      <c r="J5844">
        <v>-401.14909999999998</v>
      </c>
      <c r="K5844">
        <v>1.1141779999999999</v>
      </c>
      <c r="L5844">
        <v>20.636379999999999</v>
      </c>
      <c r="M5844">
        <v>0.94668779999999997</v>
      </c>
      <c r="N5844">
        <v>-1.3906999999999999E-2</v>
      </c>
      <c r="O5844">
        <v>-0.32185209999999997</v>
      </c>
      <c r="P5844">
        <v>0.93099960000000004</v>
      </c>
      <c r="Q5844">
        <v>0.36230689999999999</v>
      </c>
      <c r="R5844">
        <v>-4.4423329999999997E-2</v>
      </c>
      <c r="S5844">
        <v>3.3683169999999998</v>
      </c>
      <c r="T5844">
        <v>-0.38240990000000002</v>
      </c>
      <c r="U5844">
        <v>-6.8725590000000003E-2</v>
      </c>
      <c r="V5844">
        <v>-0.26064019999999999</v>
      </c>
      <c r="W5844">
        <v>0.37263089999999999</v>
      </c>
      <c r="X5844">
        <v>0.890625</v>
      </c>
      <c r="Y5844">
        <v>-0.29882530000000002</v>
      </c>
      <c r="Z5844">
        <v>5.0355230000000001E-2</v>
      </c>
      <c r="AA5844">
        <v>0.9529784</v>
      </c>
      <c r="AB5844">
        <v>22</v>
      </c>
      <c r="AC5844">
        <v>9.6966999999999608</v>
      </c>
      <c r="AD5844">
        <v>-1.1141822488149999</v>
      </c>
      <c r="AE5844">
        <v>-0.16383</v>
      </c>
      <c r="AF5844">
        <v>-2.92745484491688</v>
      </c>
      <c r="AG5844">
        <v>-1.1141822488149999</v>
      </c>
      <c r="AH5844">
        <v>9.1130861867616897</v>
      </c>
      <c r="AI5844">
        <v>96.639533679952706</v>
      </c>
      <c r="AJ5844">
        <v>107.808907914467</v>
      </c>
      <c r="AK5844">
        <v>9.6363755530774498</v>
      </c>
      <c r="AL5844">
        <v>68.122036432635994</v>
      </c>
      <c r="AM5844">
        <v>106.312043221593</v>
      </c>
      <c r="AN5844">
        <v>0.999999996057925</v>
      </c>
    </row>
    <row r="5845" spans="1:40" x14ac:dyDescent="0.25">
      <c r="A5845" t="str">
        <f>"20190304164242447"</f>
        <v>20190304164242447</v>
      </c>
      <c r="B5845" t="str">
        <f>"1551688962436860"</f>
        <v>1551688962436860</v>
      </c>
      <c r="C5845" t="s">
        <v>40</v>
      </c>
      <c r="D5845">
        <v>4.4239600000000001</v>
      </c>
      <c r="E5845">
        <v>0.50021150000000003</v>
      </c>
      <c r="F5845" t="s">
        <v>42</v>
      </c>
      <c r="G5845">
        <v>-390.55360000000002</v>
      </c>
      <c r="H5845" s="1">
        <v>-4.620719E-6</v>
      </c>
      <c r="I5845">
        <v>20.304130000000001</v>
      </c>
      <c r="J5845">
        <v>-400.98930000000001</v>
      </c>
      <c r="K5845">
        <v>1.114161</v>
      </c>
      <c r="L5845">
        <v>20.587309999999999</v>
      </c>
      <c r="M5845">
        <v>0.94808870000000001</v>
      </c>
      <c r="N5845">
        <v>-1.390516E-2</v>
      </c>
      <c r="O5845">
        <v>-0.3177026</v>
      </c>
      <c r="P5845">
        <v>0.93120060000000004</v>
      </c>
      <c r="Q5845">
        <v>0.36224719999999999</v>
      </c>
      <c r="R5845">
        <v>-4.0531530000000003E-2</v>
      </c>
      <c r="S5845">
        <v>3.3546140000000002</v>
      </c>
      <c r="T5845">
        <v>-0.35275659999999998</v>
      </c>
      <c r="U5845">
        <v>-0.1051941</v>
      </c>
      <c r="V5845">
        <v>-0.26045560000000001</v>
      </c>
      <c r="W5845">
        <v>0.37258039999999998</v>
      </c>
      <c r="X5845">
        <v>0.89070020000000005</v>
      </c>
      <c r="Y5845">
        <v>-0.28482350000000001</v>
      </c>
      <c r="Z5845">
        <v>4.5269980000000001E-2</v>
      </c>
      <c r="AA5845">
        <v>0.95751039999999998</v>
      </c>
      <c r="AB5845">
        <v>22</v>
      </c>
      <c r="AC5845">
        <v>10.435699999999899</v>
      </c>
      <c r="AD5845">
        <v>-1.114165620719</v>
      </c>
      <c r="AE5845">
        <v>-0.28318000000000498</v>
      </c>
      <c r="AF5845">
        <v>-3.01294468683892</v>
      </c>
      <c r="AG5845">
        <v>-1.114165620719</v>
      </c>
      <c r="AH5845">
        <v>9.8724486928563806</v>
      </c>
      <c r="AI5845">
        <v>96.160720727377097</v>
      </c>
      <c r="AJ5845">
        <v>106.97151677358499</v>
      </c>
      <c r="AK5845">
        <v>10.3819287181826</v>
      </c>
      <c r="AL5845">
        <v>68.1251558691729</v>
      </c>
      <c r="AM5845">
        <v>106.299800541254</v>
      </c>
      <c r="AN5845">
        <v>1.0000000601577701</v>
      </c>
    </row>
    <row r="5846" spans="1:40" x14ac:dyDescent="0.25">
      <c r="A5846" t="str">
        <f>"20190304164242459"</f>
        <v>20190304164242459</v>
      </c>
      <c r="B5846" t="str">
        <f>"1551688962446621"</f>
        <v>1551688962446621</v>
      </c>
      <c r="C5846" t="s">
        <v>40</v>
      </c>
      <c r="D5846">
        <v>4.4076829999999996</v>
      </c>
      <c r="E5846">
        <v>0.50021150000000003</v>
      </c>
      <c r="F5846" t="s">
        <v>42</v>
      </c>
      <c r="G5846">
        <v>-390.2903</v>
      </c>
      <c r="H5846" s="1">
        <v>-4.7203439999999999E-6</v>
      </c>
      <c r="I5846">
        <v>20.295909999999999</v>
      </c>
      <c r="J5846">
        <v>-400.87709999999998</v>
      </c>
      <c r="K5846">
        <v>1.114152</v>
      </c>
      <c r="L5846">
        <v>20.55331</v>
      </c>
      <c r="M5846">
        <v>0.94905910000000004</v>
      </c>
      <c r="N5846">
        <v>-1.390372E-2</v>
      </c>
      <c r="O5846">
        <v>-0.3147913</v>
      </c>
      <c r="P5846">
        <v>0.93139539999999998</v>
      </c>
      <c r="Q5846">
        <v>0.36202839999999997</v>
      </c>
      <c r="R5846">
        <v>-3.7923680000000001E-2</v>
      </c>
      <c r="S5846">
        <v>3.3535159999999999</v>
      </c>
      <c r="T5846">
        <v>-0.34922839999999999</v>
      </c>
      <c r="U5846">
        <v>-9.1339110000000001E-2</v>
      </c>
      <c r="V5846">
        <v>-0.26023220000000002</v>
      </c>
      <c r="W5846">
        <v>0.37236930000000001</v>
      </c>
      <c r="X5846">
        <v>0.89085369999999997</v>
      </c>
      <c r="Y5846">
        <v>-0.28588989999999997</v>
      </c>
      <c r="Z5846">
        <v>4.4634489999999999E-2</v>
      </c>
      <c r="AA5846">
        <v>0.95722240000000003</v>
      </c>
      <c r="AB5846">
        <v>22</v>
      </c>
      <c r="AC5846">
        <v>10.586799999999901</v>
      </c>
      <c r="AD5846">
        <v>-1.1141567203439999</v>
      </c>
      <c r="AE5846">
        <v>-0.25740000000000002</v>
      </c>
      <c r="AF5846">
        <v>-3.0548294358004502</v>
      </c>
      <c r="AG5846">
        <v>-1.1141567203439999</v>
      </c>
      <c r="AH5846">
        <v>10.018609525986999</v>
      </c>
      <c r="AI5846">
        <v>96.071927371521497</v>
      </c>
      <c r="AJ5846">
        <v>106.957276876097</v>
      </c>
      <c r="AK5846">
        <v>10.5330843020228</v>
      </c>
      <c r="AL5846">
        <v>68.138187541943793</v>
      </c>
      <c r="AM5846">
        <v>106.283903489824</v>
      </c>
      <c r="AN5846">
        <v>1.00000000415151</v>
      </c>
    </row>
    <row r="5847" spans="1:40" x14ac:dyDescent="0.25">
      <c r="A5847" t="str">
        <f>"20190304164242471"</f>
        <v>20190304164242471</v>
      </c>
      <c r="B5847" t="str">
        <f>"1551688962467117"</f>
        <v>1551688962467117</v>
      </c>
      <c r="C5847" t="s">
        <v>40</v>
      </c>
      <c r="D5847">
        <v>4.4155410000000002</v>
      </c>
      <c r="E5847">
        <v>0.50257680000000005</v>
      </c>
      <c r="F5847" t="s">
        <v>42</v>
      </c>
      <c r="G5847">
        <v>-390.20150000000001</v>
      </c>
      <c r="H5847" s="1">
        <v>-4.753987E-6</v>
      </c>
      <c r="I5847">
        <v>20.29335</v>
      </c>
      <c r="J5847">
        <v>-400.77280000000002</v>
      </c>
      <c r="K5847">
        <v>1.1141460000000001</v>
      </c>
      <c r="L5847">
        <v>20.522130000000001</v>
      </c>
      <c r="M5847">
        <v>0.94995200000000002</v>
      </c>
      <c r="N5847">
        <v>-1.3902400000000001E-2</v>
      </c>
      <c r="O5847">
        <v>-0.31208649999999999</v>
      </c>
      <c r="P5847">
        <v>0.93162389999999995</v>
      </c>
      <c r="Q5847">
        <v>0.36167280000000002</v>
      </c>
      <c r="R5847">
        <v>-3.5634680000000002E-2</v>
      </c>
      <c r="S5847">
        <v>3.3536990000000002</v>
      </c>
      <c r="T5847">
        <v>-0.3500103</v>
      </c>
      <c r="U5847">
        <v>-8.1665039999999994E-2</v>
      </c>
      <c r="V5847">
        <v>-0.25991540000000002</v>
      </c>
      <c r="W5847">
        <v>0.3720232</v>
      </c>
      <c r="X5847">
        <v>0.89109079999999996</v>
      </c>
      <c r="Y5847">
        <v>-0.28591879999999997</v>
      </c>
      <c r="Z5847">
        <v>4.4513909999999997E-2</v>
      </c>
      <c r="AA5847">
        <v>0.95721940000000005</v>
      </c>
      <c r="AB5847">
        <v>22</v>
      </c>
      <c r="AC5847">
        <v>10.571300000000001</v>
      </c>
      <c r="AD5847">
        <v>-1.1141507539869999</v>
      </c>
      <c r="AE5847">
        <v>-0.22877999999999599</v>
      </c>
      <c r="AF5847">
        <v>-3.04828365538649</v>
      </c>
      <c r="AG5847">
        <v>-1.1141507539869999</v>
      </c>
      <c r="AH5847">
        <v>10.0035378524809</v>
      </c>
      <c r="AI5847">
        <v>96.081302901186206</v>
      </c>
      <c r="AJ5847">
        <v>106.947056645605</v>
      </c>
      <c r="AK5847">
        <v>10.5168500375504</v>
      </c>
      <c r="AL5847">
        <v>68.159553546323195</v>
      </c>
      <c r="AM5847">
        <v>106.26102937137</v>
      </c>
      <c r="AN5847">
        <v>1.00000004517001</v>
      </c>
    </row>
    <row r="5848" spans="1:40" x14ac:dyDescent="0.25">
      <c r="A5848" t="str">
        <f>"20190304164242482"</f>
        <v>20190304164242482</v>
      </c>
      <c r="B5848" t="str">
        <f>"1551688962476877"</f>
        <v>1551688962476877</v>
      </c>
      <c r="C5848" t="s">
        <v>40</v>
      </c>
      <c r="D5848">
        <v>4.4000629999999896</v>
      </c>
      <c r="E5848">
        <v>0.50258879999999995</v>
      </c>
      <c r="F5848" t="s">
        <v>42</v>
      </c>
      <c r="G5848">
        <v>-391.35109999999997</v>
      </c>
      <c r="H5848" s="1">
        <v>-4.2424619999999998E-6</v>
      </c>
      <c r="I5848">
        <v>20.268840000000001</v>
      </c>
      <c r="J5848">
        <v>-400.65980000000002</v>
      </c>
      <c r="K5848">
        <v>1.114136</v>
      </c>
      <c r="L5848">
        <v>20.48856</v>
      </c>
      <c r="M5848">
        <v>0.95091029999999999</v>
      </c>
      <c r="N5848">
        <v>-1.390099E-2</v>
      </c>
      <c r="O5848">
        <v>-0.3091546</v>
      </c>
      <c r="P5848">
        <v>0.93181190000000003</v>
      </c>
      <c r="Q5848">
        <v>0.36144409999999999</v>
      </c>
      <c r="R5848">
        <v>-3.2937260000000003E-2</v>
      </c>
      <c r="S5848">
        <v>3.3714900000000001</v>
      </c>
      <c r="T5848">
        <v>-0.39869169999999998</v>
      </c>
      <c r="U5848">
        <v>-9.0637209999999996E-2</v>
      </c>
      <c r="V5848">
        <v>-0.25976349999999998</v>
      </c>
      <c r="W5848">
        <v>0.37180150000000001</v>
      </c>
      <c r="X5848">
        <v>0.89122760000000001</v>
      </c>
      <c r="Y5848">
        <v>-0.27972970000000003</v>
      </c>
      <c r="Z5848">
        <v>5.0018020000000003E-2</v>
      </c>
      <c r="AA5848">
        <v>0.95877500000000004</v>
      </c>
      <c r="AB5848">
        <v>22</v>
      </c>
      <c r="AC5848">
        <v>9.3087000000000408</v>
      </c>
      <c r="AD5848">
        <v>-1.1141402424619999</v>
      </c>
      <c r="AE5848">
        <v>-0.219719999999998</v>
      </c>
      <c r="AF5848">
        <v>-2.6314755393172602</v>
      </c>
      <c r="AG5848">
        <v>-1.1141402424619999</v>
      </c>
      <c r="AH5848">
        <v>8.7946124757999193</v>
      </c>
      <c r="AI5848">
        <v>96.920020915521107</v>
      </c>
      <c r="AJ5848">
        <v>106.657945344754</v>
      </c>
      <c r="AK5848">
        <v>9.2472255619398602</v>
      </c>
      <c r="AL5848">
        <v>68.173237331685399</v>
      </c>
      <c r="AM5848">
        <v>106.249664843852</v>
      </c>
      <c r="AN5848">
        <v>1.00000003316812</v>
      </c>
    </row>
    <row r="5849" spans="1:40" x14ac:dyDescent="0.25">
      <c r="A5849" t="str">
        <f>"20190304164242494"</f>
        <v>20190304164242494</v>
      </c>
      <c r="B5849" t="str">
        <f>"1551688962486637"</f>
        <v>1551688962486637</v>
      </c>
      <c r="C5849" t="s">
        <v>40</v>
      </c>
      <c r="D5849">
        <v>4.4181730000000003</v>
      </c>
      <c r="E5849">
        <v>0.50267669999999998</v>
      </c>
      <c r="F5849" t="s">
        <v>42</v>
      </c>
      <c r="G5849">
        <v>-391.3372</v>
      </c>
      <c r="H5849" s="1">
        <v>-4.2484839999999996E-6</v>
      </c>
      <c r="I5849">
        <v>20.266639999999999</v>
      </c>
      <c r="J5849">
        <v>-400.54849999999999</v>
      </c>
      <c r="K5849">
        <v>1.1141289999999999</v>
      </c>
      <c r="L5849">
        <v>20.456019999999999</v>
      </c>
      <c r="M5849">
        <v>0.95184429999999998</v>
      </c>
      <c r="N5849">
        <v>-1.389954E-2</v>
      </c>
      <c r="O5849">
        <v>-0.3062665</v>
      </c>
      <c r="P5849">
        <v>0.93201389999999995</v>
      </c>
      <c r="Q5849">
        <v>0.36113669999999998</v>
      </c>
      <c r="R5849">
        <v>-3.0500889999999999E-2</v>
      </c>
      <c r="S5849">
        <v>3.3730769999999999</v>
      </c>
      <c r="T5849">
        <v>-0.4031131</v>
      </c>
      <c r="U5849">
        <v>-8.0291749999999995E-2</v>
      </c>
      <c r="V5849">
        <v>-0.25941399999999998</v>
      </c>
      <c r="W5849">
        <v>0.37150309999999998</v>
      </c>
      <c r="X5849">
        <v>0.89145379999999996</v>
      </c>
      <c r="Y5849">
        <v>-0.2797</v>
      </c>
      <c r="Z5849">
        <v>5.0287409999999998E-2</v>
      </c>
      <c r="AA5849">
        <v>0.9587696</v>
      </c>
      <c r="AB5849">
        <v>22</v>
      </c>
      <c r="AC5849">
        <v>9.2112999999999907</v>
      </c>
      <c r="AD5849">
        <v>-1.1141332484839901</v>
      </c>
      <c r="AE5849">
        <v>-0.18938000000000299</v>
      </c>
      <c r="AF5849">
        <v>-2.6030421870562201</v>
      </c>
      <c r="AG5849">
        <v>-1.1141332484839901</v>
      </c>
      <c r="AH5849">
        <v>8.6993626886528297</v>
      </c>
      <c r="AI5849">
        <v>96.994983879527496</v>
      </c>
      <c r="AJ5849">
        <v>106.65834893704699</v>
      </c>
      <c r="AK5849">
        <v>9.1485535857695499</v>
      </c>
      <c r="AL5849">
        <v>68.1916533668021</v>
      </c>
      <c r="AM5849">
        <v>106.225051824524</v>
      </c>
      <c r="AN5849">
        <v>1.00000002712002</v>
      </c>
    </row>
    <row r="5850" spans="1:40" x14ac:dyDescent="0.25">
      <c r="A5850" t="str">
        <f>"20190304164242508"</f>
        <v>20190304164242508</v>
      </c>
      <c r="B5850" t="str">
        <f>"1551688962497525"</f>
        <v>1551688962497525</v>
      </c>
      <c r="C5850" t="s">
        <v>40</v>
      </c>
      <c r="D5850">
        <v>4.4529560000000004</v>
      </c>
      <c r="E5850">
        <v>0.50267669999999998</v>
      </c>
      <c r="F5850" t="s">
        <v>42</v>
      </c>
      <c r="G5850">
        <v>-391.31259999999997</v>
      </c>
      <c r="H5850" s="1">
        <v>-4.2583429999999997E-6</v>
      </c>
      <c r="I5850">
        <v>20.260059999999999</v>
      </c>
      <c r="J5850">
        <v>-400.43680000000001</v>
      </c>
      <c r="K5850">
        <v>1.1141270000000001</v>
      </c>
      <c r="L5850">
        <v>20.42371</v>
      </c>
      <c r="M5850">
        <v>0.95277179999999995</v>
      </c>
      <c r="N5850">
        <v>-1.389806E-2</v>
      </c>
      <c r="O5850">
        <v>-0.30336859999999999</v>
      </c>
      <c r="P5850">
        <v>0.93221019999999999</v>
      </c>
      <c r="Q5850">
        <v>0.36084260000000001</v>
      </c>
      <c r="R5850">
        <v>-2.7869459999999999E-2</v>
      </c>
      <c r="S5850">
        <v>3.3742070000000002</v>
      </c>
      <c r="T5850">
        <v>-0.40703230000000001</v>
      </c>
      <c r="U5850">
        <v>-7.1594240000000003E-2</v>
      </c>
      <c r="V5850">
        <v>-0.2592429</v>
      </c>
      <c r="W5850">
        <v>0.37121530000000003</v>
      </c>
      <c r="X5850">
        <v>0.89162339999999995</v>
      </c>
      <c r="Y5850">
        <v>-0.27920279999999997</v>
      </c>
      <c r="Z5850">
        <v>5.0457689999999999E-2</v>
      </c>
      <c r="AA5850">
        <v>0.95890549999999997</v>
      </c>
      <c r="AB5850">
        <v>22</v>
      </c>
      <c r="AC5850">
        <v>9.1242000000000303</v>
      </c>
      <c r="AD5850">
        <v>-1.1141312583429901</v>
      </c>
      <c r="AE5850">
        <v>-0.16364999999999999</v>
      </c>
      <c r="AF5850">
        <v>-2.5739613792661999</v>
      </c>
      <c r="AG5850">
        <v>-1.1141312583429901</v>
      </c>
      <c r="AH5850">
        <v>8.6153569639584493</v>
      </c>
      <c r="AI5850">
        <v>97.063370381689793</v>
      </c>
      <c r="AJ5850">
        <v>106.634269422964</v>
      </c>
      <c r="AK5850">
        <v>9.06040513769657</v>
      </c>
      <c r="AL5850">
        <v>68.209412110767502</v>
      </c>
      <c r="AM5850">
        <v>106.211990559385</v>
      </c>
      <c r="AN5850">
        <v>0.99999998379102994</v>
      </c>
    </row>
    <row r="5851" spans="1:40" x14ac:dyDescent="0.25">
      <c r="A5851" t="str">
        <f>"20190304164242523"</f>
        <v>20190304164242523</v>
      </c>
      <c r="B5851" t="str">
        <f>"1551688962517045"</f>
        <v>1551688962517045</v>
      </c>
      <c r="C5851" t="s">
        <v>40</v>
      </c>
      <c r="D5851">
        <v>4.4277170000000003</v>
      </c>
      <c r="E5851">
        <v>0.50422079999999903</v>
      </c>
      <c r="F5851" t="s">
        <v>42</v>
      </c>
      <c r="G5851">
        <v>-391.22430000000003</v>
      </c>
      <c r="H5851" s="1">
        <v>-4.2987589999999997E-6</v>
      </c>
      <c r="I5851">
        <v>20.25507</v>
      </c>
      <c r="J5851">
        <v>-400.2885</v>
      </c>
      <c r="K5851">
        <v>1.114117</v>
      </c>
      <c r="L5851">
        <v>20.381260000000001</v>
      </c>
      <c r="M5851">
        <v>0.95398950000000005</v>
      </c>
      <c r="N5851">
        <v>-1.389602E-2</v>
      </c>
      <c r="O5851">
        <v>-0.29951809999999901</v>
      </c>
      <c r="P5851">
        <v>0.93240900000000004</v>
      </c>
      <c r="Q5851">
        <v>0.36056510000000003</v>
      </c>
      <c r="R5851">
        <v>-2.4625080000000001E-2</v>
      </c>
      <c r="S5851">
        <v>3.3742369999999999</v>
      </c>
      <c r="T5851">
        <v>-0.40806819999999999</v>
      </c>
      <c r="U5851">
        <v>-6.1767580000000002E-2</v>
      </c>
      <c r="V5851">
        <v>-0.25876359999999998</v>
      </c>
      <c r="W5851">
        <v>0.37094880000000002</v>
      </c>
      <c r="X5851">
        <v>0.89187349999999999</v>
      </c>
      <c r="Y5851">
        <v>-0.27812779999999998</v>
      </c>
      <c r="Z5851">
        <v>5.0133770000000001E-2</v>
      </c>
      <c r="AA5851">
        <v>0.95923480000000005</v>
      </c>
      <c r="AB5851">
        <v>22</v>
      </c>
      <c r="AC5851">
        <v>9.0641999999999694</v>
      </c>
      <c r="AD5851">
        <v>-1.1141212987589999</v>
      </c>
      <c r="AE5851">
        <v>-0.126190000000001</v>
      </c>
      <c r="AF5851">
        <v>-2.5561476495966899</v>
      </c>
      <c r="AG5851">
        <v>-1.1141212987589999</v>
      </c>
      <c r="AH5851">
        <v>8.5565389325727192</v>
      </c>
      <c r="AI5851">
        <v>97.111420305172004</v>
      </c>
      <c r="AJ5851">
        <v>106.632787884877</v>
      </c>
      <c r="AK5851">
        <v>8.9994175133460601</v>
      </c>
      <c r="AL5851">
        <v>68.225855324566297</v>
      </c>
      <c r="AM5851">
        <v>106.17928665699399</v>
      </c>
      <c r="AN5851">
        <v>0.99999997645432404</v>
      </c>
    </row>
    <row r="5852" spans="1:40" x14ac:dyDescent="0.25">
      <c r="A5852" t="str">
        <f>"20190304164242538"</f>
        <v>20190304164242538</v>
      </c>
      <c r="B5852" t="str">
        <f>"1551688962526806"</f>
        <v>1551688962526806</v>
      </c>
      <c r="C5852" t="s">
        <v>40</v>
      </c>
      <c r="D5852">
        <v>4.4514760000000004</v>
      </c>
      <c r="E5852">
        <v>0.5050424</v>
      </c>
      <c r="F5852" t="s">
        <v>42</v>
      </c>
      <c r="G5852">
        <v>-390.38760000000002</v>
      </c>
      <c r="H5852" s="1">
        <v>-4.6653320000000001E-6</v>
      </c>
      <c r="I5852">
        <v>20.196400000000001</v>
      </c>
      <c r="J5852">
        <v>-400.15109999999999</v>
      </c>
      <c r="K5852">
        <v>1.114112</v>
      </c>
      <c r="L5852">
        <v>20.342590000000001</v>
      </c>
      <c r="M5852">
        <v>0.95510320000000004</v>
      </c>
      <c r="N5852">
        <v>-1.389401E-2</v>
      </c>
      <c r="O5852">
        <v>-0.29594799999999999</v>
      </c>
      <c r="P5852">
        <v>0.93278159999999999</v>
      </c>
      <c r="Q5852">
        <v>0.35976180000000002</v>
      </c>
      <c r="R5852">
        <v>-2.2136570000000001E-2</v>
      </c>
      <c r="S5852">
        <v>3.362152</v>
      </c>
      <c r="T5852">
        <v>-0.378334</v>
      </c>
      <c r="U5852">
        <v>-6.2774659999999996E-2</v>
      </c>
      <c r="V5852">
        <v>-0.25788169999999999</v>
      </c>
      <c r="W5852">
        <v>0.37016310000000002</v>
      </c>
      <c r="X5852">
        <v>0.8924552</v>
      </c>
      <c r="Y5852">
        <v>-0.27476289999999998</v>
      </c>
      <c r="Z5852">
        <v>4.5964989999999997E-2</v>
      </c>
      <c r="AA5852">
        <v>0.96041270000000001</v>
      </c>
      <c r="AB5852">
        <v>22</v>
      </c>
      <c r="AC5852">
        <v>9.7634999999999597</v>
      </c>
      <c r="AD5852">
        <v>-1.114116665332</v>
      </c>
      <c r="AE5852">
        <v>-0.14618999999999699</v>
      </c>
      <c r="AF5852">
        <v>-2.7147849172296299</v>
      </c>
      <c r="AG5852">
        <v>-1.114116665332</v>
      </c>
      <c r="AH5852">
        <v>9.2489125707594493</v>
      </c>
      <c r="AI5852">
        <v>96.593158249236595</v>
      </c>
      <c r="AJ5852">
        <v>106.358270429857</v>
      </c>
      <c r="AK5852">
        <v>9.7032827863739097</v>
      </c>
      <c r="AL5852">
        <v>68.274323291996197</v>
      </c>
      <c r="AM5852">
        <v>106.11705102149</v>
      </c>
      <c r="AN5852">
        <v>0.99999998790176903</v>
      </c>
    </row>
    <row r="5853" spans="1:40" x14ac:dyDescent="0.25">
      <c r="A5853" t="str">
        <f>"20190304164242559"</f>
        <v>20190304164242559</v>
      </c>
      <c r="B5853" t="str">
        <f>"1551688962547301"</f>
        <v>1551688962547301</v>
      </c>
      <c r="C5853" t="s">
        <v>40</v>
      </c>
      <c r="D5853">
        <v>4.4222449999999904</v>
      </c>
      <c r="E5853">
        <v>0.50638620000000001</v>
      </c>
      <c r="F5853" t="s">
        <v>42</v>
      </c>
      <c r="G5853">
        <v>-390.12040000000002</v>
      </c>
      <c r="H5853" s="1">
        <v>-4.7619610000000003E-6</v>
      </c>
      <c r="I5853">
        <v>20.162680000000002</v>
      </c>
      <c r="J5853">
        <v>-399.96230000000003</v>
      </c>
      <c r="K5853">
        <v>1.1141000000000001</v>
      </c>
      <c r="L5853">
        <v>20.290279999999999</v>
      </c>
      <c r="M5853">
        <v>0.95661059999999998</v>
      </c>
      <c r="N5853">
        <v>-1.389137E-2</v>
      </c>
      <c r="O5853">
        <v>-0.29103849999999998</v>
      </c>
      <c r="P5853">
        <v>0.93318590000000001</v>
      </c>
      <c r="Q5853">
        <v>0.35890050000000001</v>
      </c>
      <c r="R5853">
        <v>-1.883013E-2</v>
      </c>
      <c r="S5853">
        <v>3.3586429999999998</v>
      </c>
      <c r="T5853">
        <v>-0.3730463</v>
      </c>
      <c r="U5853">
        <v>-6.0241699999999898E-2</v>
      </c>
      <c r="V5853">
        <v>-0.25653369999999998</v>
      </c>
      <c r="W5853">
        <v>0.36932619999999999</v>
      </c>
      <c r="X5853">
        <v>0.89319009999999999</v>
      </c>
      <c r="Y5853">
        <v>-0.27066859999999998</v>
      </c>
      <c r="Z5853">
        <v>4.4637459999999997E-2</v>
      </c>
      <c r="AA5853">
        <v>0.96163710000000002</v>
      </c>
      <c r="AB5853">
        <v>22</v>
      </c>
      <c r="AC5853">
        <v>9.8419000000000096</v>
      </c>
      <c r="AD5853">
        <v>-1.1141047619610001</v>
      </c>
      <c r="AE5853">
        <v>-0.12760000000000099</v>
      </c>
      <c r="AF5853">
        <v>-2.7078789469955802</v>
      </c>
      <c r="AG5853">
        <v>-1.1141047619610001</v>
      </c>
      <c r="AH5853">
        <v>9.3333336143933092</v>
      </c>
      <c r="AI5853">
        <v>96.539887572424902</v>
      </c>
      <c r="AJ5853">
        <v>106.179022984021</v>
      </c>
      <c r="AK5853">
        <v>9.7818686440664298</v>
      </c>
      <c r="AL5853">
        <v>68.325930971951195</v>
      </c>
      <c r="AM5853">
        <v>106.024628752377</v>
      </c>
      <c r="AN5853">
        <v>0.99999996799006896</v>
      </c>
    </row>
    <row r="5854" spans="1:40" x14ac:dyDescent="0.25">
      <c r="A5854" t="str">
        <f>"20190304164242572"</f>
        <v>20190304164242572</v>
      </c>
      <c r="B5854" t="str">
        <f>"1551688962566821"</f>
        <v>1551688962566821</v>
      </c>
      <c r="C5854" t="s">
        <v>40</v>
      </c>
      <c r="D5854">
        <v>4.41249</v>
      </c>
      <c r="E5854">
        <v>0.50747989999999998</v>
      </c>
      <c r="F5854" t="s">
        <v>59</v>
      </c>
      <c r="G5854">
        <v>-389.63940000000002</v>
      </c>
      <c r="H5854" s="1">
        <v>-3.017529E-7</v>
      </c>
      <c r="I5854">
        <v>20.108180000000001</v>
      </c>
      <c r="J5854">
        <v>-399.84300000000002</v>
      </c>
      <c r="K5854">
        <v>1.114096</v>
      </c>
      <c r="L5854">
        <v>20.25787</v>
      </c>
      <c r="M5854">
        <v>0.95754919999999999</v>
      </c>
      <c r="N5854">
        <v>-1.388966E-2</v>
      </c>
      <c r="O5854">
        <v>-0.28793469999999999</v>
      </c>
      <c r="P5854">
        <v>0.93328089999999997</v>
      </c>
      <c r="Q5854">
        <v>0.35876330000000001</v>
      </c>
      <c r="R5854">
        <v>-1.6604089999999998E-2</v>
      </c>
      <c r="S5854">
        <v>3.3527830000000001</v>
      </c>
      <c r="T5854">
        <v>-0.36185030000000001</v>
      </c>
      <c r="U5854">
        <v>-5.9143069999999999E-2</v>
      </c>
      <c r="V5854">
        <v>-0.25577250000000001</v>
      </c>
      <c r="W5854">
        <v>0.36920120000000001</v>
      </c>
      <c r="X5854">
        <v>0.89346009999999998</v>
      </c>
      <c r="Y5854">
        <v>-0.26804559999999999</v>
      </c>
      <c r="Z5854">
        <v>4.2881820000000001E-2</v>
      </c>
      <c r="AA5854">
        <v>0.96245139999999996</v>
      </c>
      <c r="AB5854">
        <v>22</v>
      </c>
      <c r="AC5854">
        <v>10.2035999999999</v>
      </c>
      <c r="AD5854">
        <v>-1.1140963017529</v>
      </c>
      <c r="AE5854">
        <v>-0.14969000000000299</v>
      </c>
      <c r="AF5854">
        <v>-2.76198438310464</v>
      </c>
      <c r="AG5854">
        <v>-1.1140963017529</v>
      </c>
      <c r="AH5854">
        <v>9.6988952319916102</v>
      </c>
      <c r="AI5854">
        <v>96.3042503140653</v>
      </c>
      <c r="AJ5854">
        <v>105.895527000797</v>
      </c>
      <c r="AK5854">
        <v>10.145853193460001</v>
      </c>
      <c r="AL5854">
        <v>68.333638890607006</v>
      </c>
      <c r="AM5854">
        <v>105.974928043042</v>
      </c>
      <c r="AN5854">
        <v>1.0000000240648399</v>
      </c>
    </row>
    <row r="5855" spans="1:40" x14ac:dyDescent="0.25">
      <c r="A5855" t="str">
        <f>"20190304164242584"</f>
        <v>20190304164242584</v>
      </c>
      <c r="B5855" t="str">
        <f>"1551688962577558"</f>
        <v>1551688962577558</v>
      </c>
      <c r="C5855" t="s">
        <v>40</v>
      </c>
      <c r="D5855">
        <v>4.5637280000000002</v>
      </c>
      <c r="E5855">
        <v>0.50801750000000001</v>
      </c>
      <c r="F5855" t="s">
        <v>59</v>
      </c>
      <c r="G5855">
        <v>-389.21559999999999</v>
      </c>
      <c r="H5855" s="1">
        <v>-4.9163699999999899E-7</v>
      </c>
      <c r="I5855">
        <v>20.0688</v>
      </c>
      <c r="J5855">
        <v>-399.73110000000003</v>
      </c>
      <c r="K5855">
        <v>1.1140909999999999</v>
      </c>
      <c r="L5855">
        <v>20.227689999999999</v>
      </c>
      <c r="M5855">
        <v>0.95841989999999999</v>
      </c>
      <c r="N5855">
        <v>-1.3888050000000001E-2</v>
      </c>
      <c r="O5855">
        <v>-0.28502329999999998</v>
      </c>
      <c r="P5855">
        <v>0.9333456</v>
      </c>
      <c r="Q5855">
        <v>0.35867379999999999</v>
      </c>
      <c r="R5855">
        <v>-1.480268E-2</v>
      </c>
      <c r="S5855">
        <v>3.3483890000000001</v>
      </c>
      <c r="T5855">
        <v>-0.35101929999999998</v>
      </c>
      <c r="U5855">
        <v>-5.9570310000000001E-2</v>
      </c>
      <c r="V5855">
        <v>-0.25478070000000003</v>
      </c>
      <c r="W5855">
        <v>0.3691255</v>
      </c>
      <c r="X5855">
        <v>0.89377469999999903</v>
      </c>
      <c r="Y5855">
        <v>-0.26517540000000001</v>
      </c>
      <c r="Z5855">
        <v>4.1174860000000001E-2</v>
      </c>
      <c r="AA5855">
        <v>0.96332059999999997</v>
      </c>
      <c r="AB5855">
        <v>22</v>
      </c>
      <c r="AC5855">
        <v>10.515499999999999</v>
      </c>
      <c r="AD5855">
        <v>-1.1140914916369999</v>
      </c>
      <c r="AE5855">
        <v>-0.158889999999999</v>
      </c>
      <c r="AF5855">
        <v>-2.8135788760154901</v>
      </c>
      <c r="AG5855">
        <v>-1.1140914916369999</v>
      </c>
      <c r="AH5855">
        <v>10.0121691608036</v>
      </c>
      <c r="AI5855">
        <v>96.114452500272094</v>
      </c>
      <c r="AJ5855">
        <v>105.696208126683</v>
      </c>
      <c r="AK5855">
        <v>10.459491251865201</v>
      </c>
      <c r="AL5855">
        <v>68.338305901765594</v>
      </c>
      <c r="AM5855">
        <v>105.910807499203</v>
      </c>
      <c r="AN5855">
        <v>1.00000002710141</v>
      </c>
    </row>
    <row r="5856" spans="1:40" x14ac:dyDescent="0.25">
      <c r="A5856" t="str">
        <f>"20190304164242595"</f>
        <v>20190304164242595</v>
      </c>
      <c r="B5856" t="str">
        <f>"1551688962587318"</f>
        <v>1551688962587318</v>
      </c>
      <c r="C5856" t="s">
        <v>40</v>
      </c>
      <c r="D5856">
        <v>4.4087379999999996</v>
      </c>
      <c r="E5856">
        <v>0.50850299999999904</v>
      </c>
      <c r="F5856" t="s">
        <v>59</v>
      </c>
      <c r="G5856">
        <v>-388.92259999999999</v>
      </c>
      <c r="H5856" s="1">
        <v>-6.2385709999999999E-7</v>
      </c>
      <c r="I5856">
        <v>20.045210000000001</v>
      </c>
      <c r="J5856">
        <v>-399.6241</v>
      </c>
      <c r="K5856">
        <v>1.114085</v>
      </c>
      <c r="L5856">
        <v>20.199339999999999</v>
      </c>
      <c r="M5856">
        <v>0.95924310000000002</v>
      </c>
      <c r="N5856">
        <v>-1.38865E-2</v>
      </c>
      <c r="O5856">
        <v>-0.28224070000000001</v>
      </c>
      <c r="P5856">
        <v>0.93334280000000003</v>
      </c>
      <c r="Q5856">
        <v>0.35875069999999998</v>
      </c>
      <c r="R5856">
        <v>-1.3003600000000001E-2</v>
      </c>
      <c r="S5856">
        <v>3.3458860000000001</v>
      </c>
      <c r="T5856">
        <v>-0.3448792</v>
      </c>
      <c r="U5856">
        <v>-5.6488040000000003E-2</v>
      </c>
      <c r="V5856">
        <v>-0.25389220000000001</v>
      </c>
      <c r="W5856">
        <v>0.36921409999999999</v>
      </c>
      <c r="X5856">
        <v>0.89399089999999903</v>
      </c>
      <c r="Y5856">
        <v>-0.26336900000000002</v>
      </c>
      <c r="Z5856">
        <v>4.0111889999999997E-2</v>
      </c>
      <c r="AA5856">
        <v>0.96386090000000002</v>
      </c>
      <c r="AB5856">
        <v>22</v>
      </c>
      <c r="AC5856">
        <v>10.701499999999999</v>
      </c>
      <c r="AD5856">
        <v>-1.1140856238571</v>
      </c>
      <c r="AE5856">
        <v>-0.15412999999999799</v>
      </c>
      <c r="AF5856">
        <v>-2.8420322911948999</v>
      </c>
      <c r="AG5856">
        <v>-1.1140856238571</v>
      </c>
      <c r="AH5856">
        <v>10.199319071987199</v>
      </c>
      <c r="AI5856">
        <v>96.006713465328104</v>
      </c>
      <c r="AJ5856">
        <v>105.570453822318</v>
      </c>
      <c r="AK5856">
        <v>10.6463347614886</v>
      </c>
      <c r="AL5856">
        <v>68.332843379513406</v>
      </c>
      <c r="AM5856">
        <v>105.85447433940899</v>
      </c>
      <c r="AN5856">
        <v>1.00000001507122</v>
      </c>
    </row>
    <row r="5857" spans="1:40" x14ac:dyDescent="0.25">
      <c r="A5857" t="str">
        <f>"20190304164242606"</f>
        <v>20190304164242606</v>
      </c>
      <c r="B5857" t="str">
        <f>"1551688962597078"</f>
        <v>1551688962597078</v>
      </c>
      <c r="C5857" t="s">
        <v>40</v>
      </c>
      <c r="D5857">
        <v>4.3920279999999998</v>
      </c>
      <c r="E5857">
        <v>0.50895009999999996</v>
      </c>
      <c r="F5857" t="s">
        <v>59</v>
      </c>
      <c r="G5857">
        <v>-388.65289999999999</v>
      </c>
      <c r="H5857" s="1">
        <v>-7.4526409999999999E-7</v>
      </c>
      <c r="I5857">
        <v>20.02242</v>
      </c>
      <c r="J5857">
        <v>-399.52440000000001</v>
      </c>
      <c r="K5857">
        <v>1.114074</v>
      </c>
      <c r="L5857">
        <v>20.173100000000002</v>
      </c>
      <c r="M5857">
        <v>0.9600033</v>
      </c>
      <c r="N5857">
        <v>-1.3885059999999999E-2</v>
      </c>
      <c r="O5857">
        <v>-0.27964450000000002</v>
      </c>
      <c r="P5857">
        <v>0.93342069999999999</v>
      </c>
      <c r="Q5857">
        <v>0.35860839999999999</v>
      </c>
      <c r="R5857">
        <v>-1.12447E-2</v>
      </c>
      <c r="S5857">
        <v>3.3439939999999999</v>
      </c>
      <c r="T5857">
        <v>-0.33956979999999998</v>
      </c>
      <c r="U5857">
        <v>-5.3924560000000003E-2</v>
      </c>
      <c r="V5857">
        <v>-0.25316379999999999</v>
      </c>
      <c r="W5857">
        <v>0.36908249999999998</v>
      </c>
      <c r="X5857">
        <v>0.89425180000000004</v>
      </c>
      <c r="Y5857">
        <v>-0.26158979999999998</v>
      </c>
      <c r="Z5857">
        <v>3.916977E-2</v>
      </c>
      <c r="AA5857">
        <v>0.96438400000000002</v>
      </c>
      <c r="AB5857">
        <v>22</v>
      </c>
      <c r="AC5857">
        <v>10.871499999999999</v>
      </c>
      <c r="AD5857">
        <v>-1.1140747452641</v>
      </c>
      <c r="AE5857">
        <v>-0.15068000000000101</v>
      </c>
      <c r="AF5857">
        <v>-2.8656926083377101</v>
      </c>
      <c r="AG5857">
        <v>-1.1140747452641</v>
      </c>
      <c r="AH5857">
        <v>10.370933027405499</v>
      </c>
      <c r="AI5857">
        <v>95.911490397167199</v>
      </c>
      <c r="AJ5857">
        <v>105.446521992559</v>
      </c>
      <c r="AK5857">
        <v>10.817097971380701</v>
      </c>
      <c r="AL5857">
        <v>68.340957135911793</v>
      </c>
      <c r="AM5857">
        <v>105.806883819045</v>
      </c>
      <c r="AN5857">
        <v>1.0000000416199599</v>
      </c>
    </row>
    <row r="5858" spans="1:40" x14ac:dyDescent="0.25">
      <c r="A5858" t="str">
        <f>"20190304164242618"</f>
        <v>20190304164242618</v>
      </c>
      <c r="B5858" t="str">
        <f>"1551688962606838"</f>
        <v>1551688962606838</v>
      </c>
      <c r="C5858" t="s">
        <v>40</v>
      </c>
      <c r="D5858">
        <v>4.379988</v>
      </c>
      <c r="E5858">
        <v>0.50933879999999998</v>
      </c>
      <c r="F5858" t="s">
        <v>59</v>
      </c>
      <c r="G5858">
        <v>-388.41419999999999</v>
      </c>
      <c r="H5858" s="1">
        <v>-8.5275179999999997E-7</v>
      </c>
      <c r="I5858">
        <v>20.002359999999999</v>
      </c>
      <c r="J5858">
        <v>-399.41539999999998</v>
      </c>
      <c r="K5858">
        <v>1.1140669999999999</v>
      </c>
      <c r="L5858">
        <v>20.144780000000001</v>
      </c>
      <c r="M5858">
        <v>0.96082440000000002</v>
      </c>
      <c r="N5858">
        <v>-1.388351E-2</v>
      </c>
      <c r="O5858">
        <v>-0.27680969999999999</v>
      </c>
      <c r="P5858">
        <v>0.93345480000000003</v>
      </c>
      <c r="Q5858">
        <v>0.35858050000000002</v>
      </c>
      <c r="R5858">
        <v>-9.0779810000000006E-3</v>
      </c>
      <c r="S5858">
        <v>3.3421630000000002</v>
      </c>
      <c r="T5858">
        <v>-0.33513809999999999</v>
      </c>
      <c r="U5858">
        <v>-5.1361080000000003E-2</v>
      </c>
      <c r="V5858">
        <v>-0.25259470000000001</v>
      </c>
      <c r="W5858">
        <v>0.36906339999999999</v>
      </c>
      <c r="X5858">
        <v>0.89442060000000001</v>
      </c>
      <c r="Y5858">
        <v>-0.25955990000000001</v>
      </c>
      <c r="Z5858">
        <v>3.8307559999999997E-2</v>
      </c>
      <c r="AA5858">
        <v>0.96496700000000002</v>
      </c>
      <c r="AB5858">
        <v>21</v>
      </c>
      <c r="AC5858">
        <v>11.0011999999999</v>
      </c>
      <c r="AD5858">
        <v>-1.1140678527518</v>
      </c>
      <c r="AE5858">
        <v>-0.14241999999999699</v>
      </c>
      <c r="AF5858">
        <v>-2.87915743962157</v>
      </c>
      <c r="AG5858">
        <v>-1.1140678527518</v>
      </c>
      <c r="AH5858">
        <v>10.5029760444988</v>
      </c>
      <c r="AI5858">
        <v>95.840903909191198</v>
      </c>
      <c r="AJ5858">
        <v>105.329779639005</v>
      </c>
      <c r="AK5858">
        <v>10.9472919269552</v>
      </c>
      <c r="AL5858">
        <v>68.342134639230395</v>
      </c>
      <c r="AM5858">
        <v>105.770292112121</v>
      </c>
      <c r="AN5858">
        <v>1.0000000426960001</v>
      </c>
    </row>
    <row r="5859" spans="1:40" x14ac:dyDescent="0.25">
      <c r="A5859" t="str">
        <f>"20190304164242631"</f>
        <v>20190304164242631</v>
      </c>
      <c r="B5859" t="str">
        <f>"1551688962627333"</f>
        <v>1551688962627333</v>
      </c>
      <c r="C5859" t="s">
        <v>40</v>
      </c>
      <c r="D5859">
        <v>4.4019089999999998</v>
      </c>
      <c r="E5859">
        <v>0.51005579999999995</v>
      </c>
      <c r="F5859" t="s">
        <v>59</v>
      </c>
      <c r="G5859">
        <v>-388.17610000000002</v>
      </c>
      <c r="H5859" s="1">
        <v>-9.607186000000001E-7</v>
      </c>
      <c r="I5859">
        <v>19.985119999999998</v>
      </c>
      <c r="J5859">
        <v>-399.30079999999998</v>
      </c>
      <c r="K5859">
        <v>1.114058</v>
      </c>
      <c r="L5859">
        <v>20.11542</v>
      </c>
      <c r="M5859">
        <v>0.96167769999999997</v>
      </c>
      <c r="N5859">
        <v>-1.3881650000000001E-2</v>
      </c>
      <c r="O5859">
        <v>-0.2738312</v>
      </c>
      <c r="P5859">
        <v>0.93347340000000001</v>
      </c>
      <c r="Q5859">
        <v>0.35857990000000001</v>
      </c>
      <c r="R5859">
        <v>-6.9379730000000001E-3</v>
      </c>
      <c r="S5859">
        <v>3.3406069999999999</v>
      </c>
      <c r="T5859">
        <v>-0.33113029999999999</v>
      </c>
      <c r="U5859">
        <v>-4.7454830000000003E-2</v>
      </c>
      <c r="V5859">
        <v>-0.25186340000000002</v>
      </c>
      <c r="W5859">
        <v>0.36907450000000003</v>
      </c>
      <c r="X5859">
        <v>0.89462219999999903</v>
      </c>
      <c r="Y5859">
        <v>-0.2577682</v>
      </c>
      <c r="Z5859">
        <v>3.7503349999999998E-2</v>
      </c>
      <c r="AA5859">
        <v>0.96547870000000002</v>
      </c>
      <c r="AB5859">
        <v>21</v>
      </c>
      <c r="AC5859">
        <v>11.124699999999899</v>
      </c>
      <c r="AD5859">
        <v>-1.1140589607186</v>
      </c>
      <c r="AE5859">
        <v>-0.130299999999998</v>
      </c>
      <c r="AF5859">
        <v>-2.8922631619408898</v>
      </c>
      <c r="AG5859">
        <v>-1.1140589607186</v>
      </c>
      <c r="AH5859">
        <v>10.628514920266801</v>
      </c>
      <c r="AI5859">
        <v>95.775259006322997</v>
      </c>
      <c r="AJ5859">
        <v>105.222887390072</v>
      </c>
      <c r="AK5859">
        <v>11.071207837278299</v>
      </c>
      <c r="AL5859">
        <v>68.341449824817502</v>
      </c>
      <c r="AM5859">
        <v>105.723528023329</v>
      </c>
      <c r="AN5859">
        <v>1.0000000197713199</v>
      </c>
    </row>
    <row r="5860" spans="1:40" x14ac:dyDescent="0.25">
      <c r="A5860" t="str">
        <f>"20190304164242644"</f>
        <v>20190304164242644</v>
      </c>
      <c r="B5860" t="str">
        <f>"1551688962637095"</f>
        <v>1551688962637095</v>
      </c>
      <c r="C5860" t="s">
        <v>40</v>
      </c>
      <c r="D5860">
        <v>4.4215439999999999</v>
      </c>
      <c r="E5860">
        <v>0.51039939999999995</v>
      </c>
      <c r="F5860" t="s">
        <v>59</v>
      </c>
      <c r="G5860">
        <v>-387.97210000000001</v>
      </c>
      <c r="H5860" s="1">
        <v>-1.050004E-6</v>
      </c>
      <c r="I5860">
        <v>19.958159999999999</v>
      </c>
      <c r="J5860">
        <v>-399.17619999999999</v>
      </c>
      <c r="K5860">
        <v>1.114053</v>
      </c>
      <c r="L5860">
        <v>20.083829999999999</v>
      </c>
      <c r="M5860">
        <v>0.96259309999999998</v>
      </c>
      <c r="N5860">
        <v>-1.3879499999999999E-2</v>
      </c>
      <c r="O5860">
        <v>-0.27059610000000001</v>
      </c>
      <c r="P5860">
        <v>0.93353929999999996</v>
      </c>
      <c r="Q5860">
        <v>0.35844769999999998</v>
      </c>
      <c r="R5860">
        <v>-4.4805590000000003E-3</v>
      </c>
      <c r="S5860">
        <v>3.339569</v>
      </c>
      <c r="T5860">
        <v>-0.32841169999999997</v>
      </c>
      <c r="U5860">
        <v>-4.6356199999999903E-2</v>
      </c>
      <c r="V5860">
        <v>-0.25121070000000001</v>
      </c>
      <c r="W5860">
        <v>0.3689539</v>
      </c>
      <c r="X5860">
        <v>0.89485539999999997</v>
      </c>
      <c r="Y5860">
        <v>-0.25489859999999998</v>
      </c>
      <c r="Z5860">
        <v>3.677076E-2</v>
      </c>
      <c r="AA5860">
        <v>0.96626840000000003</v>
      </c>
      <c r="AB5860">
        <v>21</v>
      </c>
      <c r="AC5860">
        <v>11.204099999999899</v>
      </c>
      <c r="AD5860">
        <v>-1.1140540500039999</v>
      </c>
      <c r="AE5860">
        <v>-0.125669999999999</v>
      </c>
      <c r="AF5860">
        <v>-2.8826002748894801</v>
      </c>
      <c r="AG5860">
        <v>-1.1140540500039999</v>
      </c>
      <c r="AH5860">
        <v>10.7141197001663</v>
      </c>
      <c r="AI5860">
        <v>95.733814017327205</v>
      </c>
      <c r="AJ5860">
        <v>105.058662713468</v>
      </c>
      <c r="AK5860">
        <v>11.1509130442585</v>
      </c>
      <c r="AL5860">
        <v>68.348883757385394</v>
      </c>
      <c r="AM5860">
        <v>105.68090221252901</v>
      </c>
      <c r="AN5860">
        <v>0.99999999151442898</v>
      </c>
    </row>
    <row r="5861" spans="1:40" x14ac:dyDescent="0.25">
      <c r="A5861" t="str">
        <f>"20190304164242659"</f>
        <v>20190304164242659</v>
      </c>
      <c r="B5861" t="str">
        <f>"1551688962646854"</f>
        <v>1551688962646854</v>
      </c>
      <c r="C5861" t="s">
        <v>40</v>
      </c>
      <c r="D5861">
        <v>4.396909</v>
      </c>
      <c r="E5861">
        <v>0.51075979999999999</v>
      </c>
      <c r="F5861" t="s">
        <v>59</v>
      </c>
      <c r="G5861">
        <v>-387.83240000000001</v>
      </c>
      <c r="H5861" s="1">
        <v>-1.1129110000000001E-6</v>
      </c>
      <c r="I5861">
        <v>19.946370000000002</v>
      </c>
      <c r="J5861">
        <v>-399.03660000000002</v>
      </c>
      <c r="K5861">
        <v>1.1140350000000001</v>
      </c>
      <c r="L5861">
        <v>20.049009999999999</v>
      </c>
      <c r="M5861">
        <v>0.96360179999999995</v>
      </c>
      <c r="N5861">
        <v>-1.38768E-2</v>
      </c>
      <c r="O5861">
        <v>-0.26698169999999999</v>
      </c>
      <c r="P5861">
        <v>0.93375079999999999</v>
      </c>
      <c r="Q5861">
        <v>0.35791109999999998</v>
      </c>
      <c r="R5861">
        <v>-3.0812769999999999E-3</v>
      </c>
      <c r="S5861">
        <v>3.3392940000000002</v>
      </c>
      <c r="T5861">
        <v>-0.32794459999999998</v>
      </c>
      <c r="U5861">
        <v>-4.0466309999999998E-2</v>
      </c>
      <c r="V5861">
        <v>-0.24922030000000001</v>
      </c>
      <c r="W5861">
        <v>0.36844900000000003</v>
      </c>
      <c r="X5861">
        <v>0.89561959999999996</v>
      </c>
      <c r="Y5861">
        <v>-0.25300260000000002</v>
      </c>
      <c r="Z5861">
        <v>3.6323469999999997E-2</v>
      </c>
      <c r="AA5861">
        <v>0.96678350000000002</v>
      </c>
      <c r="AB5861">
        <v>21</v>
      </c>
      <c r="AC5861">
        <v>11.2042</v>
      </c>
      <c r="AD5861">
        <v>-1.1140361129109999</v>
      </c>
      <c r="AE5861">
        <v>-0.102639999999997</v>
      </c>
      <c r="AF5861">
        <v>-2.8643745929995199</v>
      </c>
      <c r="AG5861">
        <v>-1.1140361129109999</v>
      </c>
      <c r="AH5861">
        <v>10.7188695674571</v>
      </c>
      <c r="AI5861">
        <v>95.733790296640905</v>
      </c>
      <c r="AJ5861">
        <v>104.96140243513101</v>
      </c>
      <c r="AK5861">
        <v>11.150779482800701</v>
      </c>
      <c r="AL5861">
        <v>68.380003911792301</v>
      </c>
      <c r="AM5861">
        <v>105.550066094613</v>
      </c>
      <c r="AN5861">
        <v>0.99999994571862305</v>
      </c>
    </row>
    <row r="5862" spans="1:40" x14ac:dyDescent="0.25">
      <c r="A5862" t="str">
        <f>"20190304164242675"</f>
        <v>20190304164242675</v>
      </c>
      <c r="B5862" t="str">
        <f>"1551688962667350"</f>
        <v>1551688962667350</v>
      </c>
      <c r="C5862" t="s">
        <v>40</v>
      </c>
      <c r="D5862">
        <v>4.3733779999999998</v>
      </c>
      <c r="E5862">
        <v>0.51140390000000002</v>
      </c>
      <c r="F5862" t="s">
        <v>59</v>
      </c>
      <c r="G5862">
        <v>-387.73110000000003</v>
      </c>
      <c r="H5862" s="1">
        <v>-1.1543459999999999E-6</v>
      </c>
      <c r="I5862">
        <v>19.922219999999999</v>
      </c>
      <c r="J5862">
        <v>-398.89879999999999</v>
      </c>
      <c r="K5862">
        <v>1.1140209999999999</v>
      </c>
      <c r="L5862">
        <v>20.015260000000001</v>
      </c>
      <c r="M5862">
        <v>0.96457990000000005</v>
      </c>
      <c r="N5862">
        <v>-1.3873760000000001E-2</v>
      </c>
      <c r="O5862">
        <v>-0.26342589999999999</v>
      </c>
      <c r="P5862">
        <v>0.93400870000000003</v>
      </c>
      <c r="Q5862">
        <v>0.35725050000000003</v>
      </c>
      <c r="R5862">
        <v>-4.4338029999999999E-4</v>
      </c>
      <c r="S5862">
        <v>3.3388369999999998</v>
      </c>
      <c r="T5862">
        <v>-0.32900669999999999</v>
      </c>
      <c r="U5862">
        <v>-3.7445069999999997E-2</v>
      </c>
      <c r="V5862">
        <v>-0.24848799999999999</v>
      </c>
      <c r="W5862">
        <v>0.36780889999999999</v>
      </c>
      <c r="X5862">
        <v>0.89608619999999894</v>
      </c>
      <c r="Y5862">
        <v>-0.25031900000000001</v>
      </c>
      <c r="Z5862">
        <v>3.6014360000000002E-2</v>
      </c>
      <c r="AA5862">
        <v>0.96749339999999995</v>
      </c>
      <c r="AB5862">
        <v>21</v>
      </c>
      <c r="AC5862">
        <v>11.1676999999999</v>
      </c>
      <c r="AD5862">
        <v>-1.1140221543459901</v>
      </c>
      <c r="AE5862">
        <v>-9.3039999999998402E-2</v>
      </c>
      <c r="AF5862">
        <v>-2.8242892118657901</v>
      </c>
      <c r="AG5862">
        <v>-1.1140221543459901</v>
      </c>
      <c r="AH5862">
        <v>10.6913067402647</v>
      </c>
      <c r="AI5862">
        <v>95.752740353682498</v>
      </c>
      <c r="AJ5862">
        <v>104.79761612169401</v>
      </c>
      <c r="AK5862">
        <v>11.114031434500401</v>
      </c>
      <c r="AL5862">
        <v>68.419451923843994</v>
      </c>
      <c r="AM5862">
        <v>105.49888989328301</v>
      </c>
      <c r="AN5862">
        <v>1.0000000754468199</v>
      </c>
    </row>
    <row r="5863" spans="1:40" x14ac:dyDescent="0.25">
      <c r="A5863" t="str">
        <f>"20190304164242686"</f>
        <v>20190304164242686</v>
      </c>
      <c r="B5863" t="str">
        <f>"1551688962677110"</f>
        <v>1551688962677110</v>
      </c>
      <c r="C5863" t="s">
        <v>40</v>
      </c>
      <c r="D5863">
        <v>4.3766800000000003</v>
      </c>
      <c r="E5863">
        <v>0.51167129999999905</v>
      </c>
      <c r="F5863" t="s">
        <v>59</v>
      </c>
      <c r="G5863">
        <v>-387.62259999999998</v>
      </c>
      <c r="H5863" s="1">
        <v>-1.200706E-6</v>
      </c>
      <c r="I5863">
        <v>19.90361</v>
      </c>
      <c r="J5863">
        <v>-398.79059999999998</v>
      </c>
      <c r="K5863">
        <v>1.1140019999999999</v>
      </c>
      <c r="L5863">
        <v>19.98901</v>
      </c>
      <c r="M5863">
        <v>0.9653351</v>
      </c>
      <c r="N5863">
        <v>-1.387122E-2</v>
      </c>
      <c r="O5863">
        <v>-0.26064500000000002</v>
      </c>
      <c r="P5863">
        <v>0.93427159999999998</v>
      </c>
      <c r="Q5863">
        <v>0.35655949999999997</v>
      </c>
      <c r="R5863">
        <v>1.356047E-3</v>
      </c>
      <c r="S5863">
        <v>3.338104</v>
      </c>
      <c r="T5863">
        <v>-0.32978499999999999</v>
      </c>
      <c r="U5863">
        <v>-3.3050540000000003E-2</v>
      </c>
      <c r="V5863">
        <v>-0.2476757</v>
      </c>
      <c r="W5863">
        <v>0.36713839999999998</v>
      </c>
      <c r="X5863">
        <v>0.89658590000000005</v>
      </c>
      <c r="Y5863">
        <v>-0.24880650000000001</v>
      </c>
      <c r="Z5863">
        <v>3.5802090000000002E-2</v>
      </c>
      <c r="AA5863">
        <v>0.96789130000000001</v>
      </c>
      <c r="AB5863">
        <v>21</v>
      </c>
      <c r="AC5863">
        <v>11.167999999999999</v>
      </c>
      <c r="AD5863">
        <v>-1.1140032007059999</v>
      </c>
      <c r="AE5863">
        <v>-8.5399999999999907E-2</v>
      </c>
      <c r="AF5863">
        <v>-2.8008490239011801</v>
      </c>
      <c r="AG5863">
        <v>-1.1140032007059999</v>
      </c>
      <c r="AH5863">
        <v>10.6977246170953</v>
      </c>
      <c r="AI5863">
        <v>95.752516552869693</v>
      </c>
      <c r="AJ5863">
        <v>104.671701750865</v>
      </c>
      <c r="AK5863">
        <v>11.1142732721973</v>
      </c>
      <c r="AL5863">
        <v>68.460758623137906</v>
      </c>
      <c r="AM5863">
        <v>105.442448797876</v>
      </c>
      <c r="AN5863">
        <v>1.00000006660192</v>
      </c>
    </row>
    <row r="5864" spans="1:40" x14ac:dyDescent="0.25">
      <c r="A5864" t="str">
        <f>"20190304164242698"</f>
        <v>20190304164242698</v>
      </c>
      <c r="B5864" t="str">
        <f>"1551688962686870"</f>
        <v>1551688962686870</v>
      </c>
      <c r="C5864" t="s">
        <v>40</v>
      </c>
      <c r="D5864">
        <v>5.0746760000000002</v>
      </c>
      <c r="E5864">
        <v>0.5119302</v>
      </c>
      <c r="F5864" t="s">
        <v>59</v>
      </c>
      <c r="G5864">
        <v>-387.57709999999997</v>
      </c>
      <c r="H5864" s="1">
        <v>-1.219833E-6</v>
      </c>
      <c r="I5864">
        <v>19.894690000000001</v>
      </c>
      <c r="J5864">
        <v>-398.67840000000001</v>
      </c>
      <c r="K5864">
        <v>1.1139790000000001</v>
      </c>
      <c r="L5864">
        <v>19.96219</v>
      </c>
      <c r="M5864">
        <v>0.96610580000000001</v>
      </c>
      <c r="N5864">
        <v>-1.3868409999999999E-2</v>
      </c>
      <c r="O5864">
        <v>-0.257774</v>
      </c>
      <c r="P5864">
        <v>0.93454590000000004</v>
      </c>
      <c r="Q5864">
        <v>0.35582789999999997</v>
      </c>
      <c r="R5864">
        <v>3.2619569999999998E-3</v>
      </c>
      <c r="S5864">
        <v>3.3376459999999999</v>
      </c>
      <c r="T5864">
        <v>-0.33157789999999998</v>
      </c>
      <c r="U5864">
        <v>-2.8076170000000001E-2</v>
      </c>
      <c r="V5864">
        <v>-0.24688180000000001</v>
      </c>
      <c r="W5864">
        <v>0.36642989999999998</v>
      </c>
      <c r="X5864">
        <v>0.89709450000000002</v>
      </c>
      <c r="Y5864">
        <v>-0.24736079999999999</v>
      </c>
      <c r="Z5864">
        <v>3.5695829999999998E-2</v>
      </c>
      <c r="AA5864">
        <v>0.96826570000000001</v>
      </c>
      <c r="AB5864">
        <v>21</v>
      </c>
      <c r="AC5864">
        <v>11.1013</v>
      </c>
      <c r="AD5864">
        <v>-1.113980219833</v>
      </c>
      <c r="AE5864">
        <v>-6.7499999999999005E-2</v>
      </c>
      <c r="AF5864">
        <v>-2.76880366866602</v>
      </c>
      <c r="AG5864">
        <v>-1.113980219833</v>
      </c>
      <c r="AH5864">
        <v>10.636363531461001</v>
      </c>
      <c r="AI5864">
        <v>95.787470080706896</v>
      </c>
      <c r="AJ5864">
        <v>104.59111368975</v>
      </c>
      <c r="AK5864">
        <v>11.0471469103652</v>
      </c>
      <c r="AL5864">
        <v>68.504392698631193</v>
      </c>
      <c r="AM5864">
        <v>105.386986930307</v>
      </c>
      <c r="AN5864">
        <v>1.00000001835775</v>
      </c>
    </row>
    <row r="5865" spans="1:40" x14ac:dyDescent="0.25">
      <c r="A5865" t="str">
        <f>"20190304164242717"</f>
        <v>20190304164242717</v>
      </c>
      <c r="B5865" t="str">
        <f>"1551688962707366"</f>
        <v>1551688962707366</v>
      </c>
      <c r="C5865" t="s">
        <v>40</v>
      </c>
      <c r="D5865">
        <v>4.3325459999999998</v>
      </c>
      <c r="E5865">
        <v>0.51216729999999999</v>
      </c>
      <c r="F5865" t="s">
        <v>59</v>
      </c>
      <c r="G5865">
        <v>-387.46440000000001</v>
      </c>
      <c r="H5865" s="1">
        <v>-1.270086E-6</v>
      </c>
      <c r="I5865">
        <v>19.883410000000001</v>
      </c>
      <c r="J5865">
        <v>-398.51620000000003</v>
      </c>
      <c r="K5865">
        <v>1.113939</v>
      </c>
      <c r="L5865">
        <v>19.924009999999999</v>
      </c>
      <c r="M5865">
        <v>0.96719500000000003</v>
      </c>
      <c r="N5865">
        <v>-1.3862350000000001E-2</v>
      </c>
      <c r="O5865">
        <v>-0.25365700000000002</v>
      </c>
      <c r="P5865">
        <v>0.9351197</v>
      </c>
      <c r="Q5865">
        <v>0.35429509999999997</v>
      </c>
      <c r="R5865">
        <v>5.128194E-3</v>
      </c>
      <c r="S5865">
        <v>3.3363649999999998</v>
      </c>
      <c r="T5865">
        <v>-0.33142959999999999</v>
      </c>
      <c r="U5865">
        <v>-2.34375E-2</v>
      </c>
      <c r="V5865">
        <v>-0.24494340000000001</v>
      </c>
      <c r="W5865">
        <v>0.36494399999999999</v>
      </c>
      <c r="X5865">
        <v>0.89823090000000005</v>
      </c>
      <c r="Y5865">
        <v>-0.24460789999999999</v>
      </c>
      <c r="Z5865">
        <v>3.5201499999999997E-2</v>
      </c>
      <c r="AA5865">
        <v>0.96898289999999998</v>
      </c>
      <c r="AB5865">
        <v>21</v>
      </c>
      <c r="AC5865">
        <v>11.0518</v>
      </c>
      <c r="AD5865">
        <v>-1.1139402700859999</v>
      </c>
      <c r="AE5865">
        <v>-4.05999999999977E-2</v>
      </c>
      <c r="AF5865">
        <v>-2.7365628466501</v>
      </c>
      <c r="AG5865">
        <v>-1.1139402700859999</v>
      </c>
      <c r="AH5865">
        <v>10.5929571682359</v>
      </c>
      <c r="AI5865">
        <v>95.813589104444205</v>
      </c>
      <c r="AJ5865">
        <v>104.484981564568</v>
      </c>
      <c r="AK5865">
        <v>10.9972896982422</v>
      </c>
      <c r="AL5865">
        <v>68.595865185537505</v>
      </c>
      <c r="AM5865">
        <v>105.253416891523</v>
      </c>
      <c r="AN5865">
        <v>1.0000000710271799</v>
      </c>
    </row>
    <row r="5866" spans="1:40" x14ac:dyDescent="0.25">
      <c r="A5866" t="str">
        <f>"20190304164242733"</f>
        <v>20190304164242733</v>
      </c>
      <c r="B5866" t="str">
        <f>"1551688962726885"</f>
        <v>1551688962726885</v>
      </c>
      <c r="C5866" t="s">
        <v>40</v>
      </c>
      <c r="D5866">
        <v>4.31297</v>
      </c>
      <c r="E5866">
        <v>0.51907930000000002</v>
      </c>
      <c r="F5866" t="s">
        <v>59</v>
      </c>
      <c r="G5866">
        <v>-387.40780000000001</v>
      </c>
      <c r="H5866" s="1">
        <v>-1.2918489999999999E-6</v>
      </c>
      <c r="I5866">
        <v>19.864650000000001</v>
      </c>
      <c r="J5866">
        <v>-398.35950000000003</v>
      </c>
      <c r="K5866">
        <v>1.113891</v>
      </c>
      <c r="L5866">
        <v>19.88776</v>
      </c>
      <c r="M5866">
        <v>0.96821939999999995</v>
      </c>
      <c r="N5866">
        <v>-1.3851870000000001E-2</v>
      </c>
      <c r="O5866">
        <v>-0.24971889999999999</v>
      </c>
      <c r="P5866">
        <v>0.93529240000000002</v>
      </c>
      <c r="Q5866">
        <v>0.35378490000000001</v>
      </c>
      <c r="R5866">
        <v>8.022599E-3</v>
      </c>
      <c r="S5866">
        <v>3.334991</v>
      </c>
      <c r="T5866">
        <v>-0.33443070000000003</v>
      </c>
      <c r="U5866">
        <v>-1.7822270000000001E-2</v>
      </c>
      <c r="V5866">
        <v>-0.2440706</v>
      </c>
      <c r="W5866">
        <v>0.3644618</v>
      </c>
      <c r="X5866">
        <v>0.89866409999999997</v>
      </c>
      <c r="Y5866">
        <v>-0.2422744</v>
      </c>
      <c r="Z5866">
        <v>3.5092890000000002E-2</v>
      </c>
      <c r="AA5866">
        <v>0.96957289999999996</v>
      </c>
      <c r="AB5866">
        <v>21</v>
      </c>
      <c r="AC5866">
        <v>10.951700000000001</v>
      </c>
      <c r="AD5866">
        <v>-1.113892291849</v>
      </c>
      <c r="AE5866">
        <v>-2.3109999999998999E-2</v>
      </c>
      <c r="AF5866">
        <v>-2.6849556229330198</v>
      </c>
      <c r="AG5866">
        <v>-1.113892291849</v>
      </c>
      <c r="AH5866">
        <v>10.501797461062599</v>
      </c>
      <c r="AI5866">
        <v>95.867203804835697</v>
      </c>
      <c r="AJ5866">
        <v>104.34139106354399</v>
      </c>
      <c r="AK5866">
        <v>10.8966734670788</v>
      </c>
      <c r="AL5866">
        <v>68.625535577394899</v>
      </c>
      <c r="AM5866">
        <v>105.194594943941</v>
      </c>
      <c r="AN5866">
        <v>1.0000000130361999</v>
      </c>
    </row>
    <row r="5867" spans="1:40" x14ac:dyDescent="0.25">
      <c r="A5867" t="str">
        <f>"20190304164242753"</f>
        <v>20190304164242753</v>
      </c>
      <c r="B5867" t="str">
        <f>"1551688962747383"</f>
        <v>1551688962747383</v>
      </c>
      <c r="C5867" t="s">
        <v>40</v>
      </c>
      <c r="D5867">
        <v>4.307658</v>
      </c>
      <c r="E5867">
        <v>0.51925959999999904</v>
      </c>
      <c r="F5867" t="s">
        <v>59</v>
      </c>
      <c r="G5867">
        <v>-384.91680000000002</v>
      </c>
      <c r="H5867" s="1">
        <v>-2.4051699999999999E-6</v>
      </c>
      <c r="I5867">
        <v>19.623419999999999</v>
      </c>
      <c r="J5867">
        <v>-398.19240000000002</v>
      </c>
      <c r="K5867">
        <v>1.1138300000000001</v>
      </c>
      <c r="L5867">
        <v>19.849789999999999</v>
      </c>
      <c r="M5867">
        <v>0.96928080000000005</v>
      </c>
      <c r="N5867">
        <v>-1.383591E-2</v>
      </c>
      <c r="O5867">
        <v>-0.24556700000000001</v>
      </c>
      <c r="P5867">
        <v>0.93546410000000002</v>
      </c>
      <c r="Q5867">
        <v>0.35330400000000001</v>
      </c>
      <c r="R5867">
        <v>9.1021020000000008E-3</v>
      </c>
      <c r="S5867">
        <v>3.3119510000000001</v>
      </c>
      <c r="T5867">
        <v>-0.27443679999999998</v>
      </c>
      <c r="U5867">
        <v>-6.5124509999999997E-2</v>
      </c>
      <c r="V5867">
        <v>-0.24123559999999999</v>
      </c>
      <c r="W5867">
        <v>0.36403020000000003</v>
      </c>
      <c r="X5867">
        <v>0.89960399999999996</v>
      </c>
      <c r="Y5867">
        <v>-0.22501850000000001</v>
      </c>
      <c r="Z5867">
        <v>2.7586019999999999E-2</v>
      </c>
      <c r="AA5867">
        <v>0.97396389999999999</v>
      </c>
      <c r="AB5867">
        <v>21</v>
      </c>
      <c r="AC5867">
        <v>13.275599999999899</v>
      </c>
      <c r="AD5867">
        <v>-1.1138324051699999</v>
      </c>
      <c r="AE5867">
        <v>-0.22636999999999899</v>
      </c>
      <c r="AF5867">
        <v>-3.0196741664819702</v>
      </c>
      <c r="AG5867">
        <v>-1.1138324051699999</v>
      </c>
      <c r="AH5867">
        <v>12.8342927206821</v>
      </c>
      <c r="AI5867">
        <v>94.828817435035603</v>
      </c>
      <c r="AJ5867">
        <v>103.239845575552</v>
      </c>
      <c r="AK5867">
        <v>13.231709048293</v>
      </c>
      <c r="AL5867">
        <v>68.652087789718195</v>
      </c>
      <c r="AM5867">
        <v>105.011137460112</v>
      </c>
      <c r="AN5867">
        <v>0.99999997901769899</v>
      </c>
    </row>
    <row r="5868" spans="1:40" x14ac:dyDescent="0.25">
      <c r="A5868" t="str">
        <f>"20190304164242766"</f>
        <v>20190304164242766</v>
      </c>
      <c r="B5868" t="str">
        <f>"1551688962757142"</f>
        <v>1551688962757142</v>
      </c>
      <c r="C5868" t="s">
        <v>40</v>
      </c>
      <c r="D5868">
        <v>4.3010970000000004</v>
      </c>
      <c r="E5868">
        <v>0.51944809999999997</v>
      </c>
      <c r="F5868" t="s">
        <v>59</v>
      </c>
      <c r="G5868">
        <v>-385.16969999999998</v>
      </c>
      <c r="H5868" s="1">
        <v>-2.284886E-6</v>
      </c>
      <c r="I5868">
        <v>19.60988</v>
      </c>
      <c r="J5868">
        <v>-398.0573</v>
      </c>
      <c r="K5868">
        <v>1.1137859999999999</v>
      </c>
      <c r="L5868">
        <v>19.81955</v>
      </c>
      <c r="M5868">
        <v>0.97011510000000001</v>
      </c>
      <c r="N5868">
        <v>-1.382101E-2</v>
      </c>
      <c r="O5868">
        <v>-0.24225179999999999</v>
      </c>
      <c r="P5868">
        <v>0.93554820000000005</v>
      </c>
      <c r="Q5868">
        <v>0.3530259</v>
      </c>
      <c r="R5868">
        <v>1.107153E-2</v>
      </c>
      <c r="S5868">
        <v>3.314667</v>
      </c>
      <c r="T5868">
        <v>-0.28350530000000002</v>
      </c>
      <c r="U5868">
        <v>-6.1065670000000002E-2</v>
      </c>
      <c r="V5868">
        <v>-0.24003179999999999</v>
      </c>
      <c r="W5868">
        <v>0.36377789999999999</v>
      </c>
      <c r="X5868">
        <v>0.90002800000000005</v>
      </c>
      <c r="Y5868">
        <v>-0.22281339999999999</v>
      </c>
      <c r="Z5868">
        <v>2.8195930000000001E-2</v>
      </c>
      <c r="AA5868">
        <v>0.97445329999999997</v>
      </c>
      <c r="AB5868">
        <v>21</v>
      </c>
      <c r="AC5868">
        <v>12.887600000000001</v>
      </c>
      <c r="AD5868">
        <v>-1.1137882848859999</v>
      </c>
      <c r="AE5868">
        <v>-0.209669999999999</v>
      </c>
      <c r="AF5868">
        <v>-2.8972846518457098</v>
      </c>
      <c r="AG5868">
        <v>-1.1137882848859999</v>
      </c>
      <c r="AH5868">
        <v>12.461396515351399</v>
      </c>
      <c r="AI5868">
        <v>94.975457448065697</v>
      </c>
      <c r="AJ5868">
        <v>103.08877624469299</v>
      </c>
      <c r="AK5868">
        <v>12.8421643740525</v>
      </c>
      <c r="AL5868">
        <v>68.667608373394501</v>
      </c>
      <c r="AM5868">
        <v>104.93286338617</v>
      </c>
      <c r="AN5868">
        <v>1.0000000131618201</v>
      </c>
    </row>
    <row r="5869" spans="1:40" x14ac:dyDescent="0.25">
      <c r="A5869" t="str">
        <f>"20190304164242783"</f>
        <v>20190304164242783</v>
      </c>
      <c r="B5869" t="str">
        <f>"1551688962776662"</f>
        <v>1551688962776662</v>
      </c>
      <c r="C5869" t="s">
        <v>40</v>
      </c>
      <c r="D5869">
        <v>4.3199370000000004</v>
      </c>
      <c r="E5869">
        <v>0.51981670000000002</v>
      </c>
      <c r="F5869" t="s">
        <v>59</v>
      </c>
      <c r="G5869">
        <v>-385.24720000000002</v>
      </c>
      <c r="H5869" s="1">
        <v>-2.248526E-6</v>
      </c>
      <c r="I5869">
        <v>19.608529999999998</v>
      </c>
      <c r="J5869">
        <v>-397.90170000000001</v>
      </c>
      <c r="K5869">
        <v>1.1137319999999999</v>
      </c>
      <c r="L5869">
        <v>19.78528</v>
      </c>
      <c r="M5869">
        <v>0.97104829999999998</v>
      </c>
      <c r="N5869">
        <v>-1.380315E-2</v>
      </c>
      <c r="O5869">
        <v>-0.23848430000000001</v>
      </c>
      <c r="P5869">
        <v>0.93549320000000002</v>
      </c>
      <c r="Q5869">
        <v>0.35313319999999998</v>
      </c>
      <c r="R5869">
        <v>1.2226320000000001E-2</v>
      </c>
      <c r="S5869">
        <v>3.3161619999999998</v>
      </c>
      <c r="T5869">
        <v>-0.28832729999999901</v>
      </c>
      <c r="U5869">
        <v>-5.4626460000000002E-2</v>
      </c>
      <c r="V5869">
        <v>-0.23757890000000001</v>
      </c>
      <c r="W5869">
        <v>0.36392580000000002</v>
      </c>
      <c r="X5869">
        <v>0.90061880000000005</v>
      </c>
      <c r="Y5869">
        <v>-0.2208938</v>
      </c>
      <c r="Z5869">
        <v>2.8332900000000001E-2</v>
      </c>
      <c r="AA5869">
        <v>0.97488620000000004</v>
      </c>
      <c r="AB5869">
        <v>21</v>
      </c>
      <c r="AC5869">
        <v>12.654499999999899</v>
      </c>
      <c r="AD5869">
        <v>-1.113734248526</v>
      </c>
      <c r="AE5869">
        <v>-0.17675000000000099</v>
      </c>
      <c r="AF5869">
        <v>-2.82466249404361</v>
      </c>
      <c r="AG5869">
        <v>-1.113734248526</v>
      </c>
      <c r="AH5869">
        <v>12.236691077648199</v>
      </c>
      <c r="AI5869">
        <v>95.067952881635804</v>
      </c>
      <c r="AJ5869">
        <v>102.99822077629599</v>
      </c>
      <c r="AK5869">
        <v>12.607764699239601</v>
      </c>
      <c r="AL5869">
        <v>68.658509832259099</v>
      </c>
      <c r="AM5869">
        <v>104.777706444308</v>
      </c>
      <c r="AN5869">
        <v>0.99999997227214399</v>
      </c>
    </row>
    <row r="5870" spans="1:40" x14ac:dyDescent="0.25">
      <c r="A5870" t="str">
        <f>"20190304164242796"</f>
        <v>20190304164242796</v>
      </c>
      <c r="B5870" t="str">
        <f>"1551688962787398"</f>
        <v>1551688962787398</v>
      </c>
      <c r="C5870" t="s">
        <v>40</v>
      </c>
      <c r="D5870">
        <v>4.2772990000000002</v>
      </c>
      <c r="E5870">
        <v>0.51996909999999996</v>
      </c>
      <c r="F5870" t="s">
        <v>59</v>
      </c>
      <c r="G5870">
        <v>-385.291</v>
      </c>
      <c r="H5870" s="1">
        <v>-2.2320599999999999E-6</v>
      </c>
      <c r="I5870">
        <v>19.584399999999999</v>
      </c>
      <c r="J5870">
        <v>-397.7833</v>
      </c>
      <c r="K5870">
        <v>1.113686</v>
      </c>
      <c r="L5870">
        <v>19.759640000000001</v>
      </c>
      <c r="M5870">
        <v>0.97173679999999996</v>
      </c>
      <c r="N5870">
        <v>-1.378769E-2</v>
      </c>
      <c r="O5870">
        <v>-0.2356647</v>
      </c>
      <c r="P5870">
        <v>0.93554289999999996</v>
      </c>
      <c r="Q5870">
        <v>0.35294979999999998</v>
      </c>
      <c r="R5870">
        <v>1.3658109999999999E-2</v>
      </c>
      <c r="S5870">
        <v>3.3181759999999998</v>
      </c>
      <c r="T5870">
        <v>-0.2930509</v>
      </c>
      <c r="U5870">
        <v>-5.2856449999999999E-2</v>
      </c>
      <c r="V5870">
        <v>-0.23631340000000001</v>
      </c>
      <c r="W5870">
        <v>0.36376730000000002</v>
      </c>
      <c r="X5870">
        <v>0.90101580000000003</v>
      </c>
      <c r="Y5870">
        <v>-0.21855830000000001</v>
      </c>
      <c r="Z5870">
        <v>2.8486529999999999E-2</v>
      </c>
      <c r="AA5870">
        <v>0.97540800000000005</v>
      </c>
      <c r="AB5870">
        <v>21</v>
      </c>
      <c r="AC5870">
        <v>12.4923</v>
      </c>
      <c r="AD5870">
        <v>-1.1136882320599999</v>
      </c>
      <c r="AE5870">
        <v>-0.17524000000000201</v>
      </c>
      <c r="AF5870">
        <v>-2.7521015313260602</v>
      </c>
      <c r="AG5870">
        <v>-1.1136882320599999</v>
      </c>
      <c r="AH5870">
        <v>12.0856468282945</v>
      </c>
      <c r="AI5870">
        <v>95.134212676462795</v>
      </c>
      <c r="AJ5870">
        <v>102.828442724993</v>
      </c>
      <c r="AK5870">
        <v>12.4449678012931</v>
      </c>
      <c r="AL5870">
        <v>68.6682616890091</v>
      </c>
      <c r="AM5870">
        <v>104.696211851355</v>
      </c>
      <c r="AN5870">
        <v>1.0000000717092401</v>
      </c>
    </row>
    <row r="5871" spans="1:40" x14ac:dyDescent="0.25">
      <c r="A5871" t="str">
        <f>"20190304164242808"</f>
        <v>20190304164242808</v>
      </c>
      <c r="B5871" t="str">
        <f>"1551688962797158"</f>
        <v>1551688962797158</v>
      </c>
      <c r="C5871" t="s">
        <v>40</v>
      </c>
      <c r="D5871">
        <v>4.2750649999999997</v>
      </c>
      <c r="E5871">
        <v>0.52005789999999996</v>
      </c>
      <c r="F5871" t="s">
        <v>59</v>
      </c>
      <c r="G5871">
        <v>-385.334</v>
      </c>
      <c r="H5871" s="1">
        <v>-2.213045E-6</v>
      </c>
      <c r="I5871">
        <v>19.577210000000001</v>
      </c>
      <c r="J5871">
        <v>-397.67689999999999</v>
      </c>
      <c r="K5871">
        <v>1.1136469999999901</v>
      </c>
      <c r="L5871">
        <v>19.73685</v>
      </c>
      <c r="M5871">
        <v>0.97234229999999999</v>
      </c>
      <c r="N5871">
        <v>-1.377129E-2</v>
      </c>
      <c r="O5871">
        <v>-0.2331549</v>
      </c>
      <c r="P5871">
        <v>0.93576760000000003</v>
      </c>
      <c r="Q5871">
        <v>0.3523037</v>
      </c>
      <c r="R5871">
        <v>1.488548E-2</v>
      </c>
      <c r="S5871">
        <v>3.319458</v>
      </c>
      <c r="T5871">
        <v>-0.29695080000000001</v>
      </c>
      <c r="U5871">
        <v>-4.8645019999999997E-2</v>
      </c>
      <c r="V5871">
        <v>-0.23518059999999999</v>
      </c>
      <c r="W5871">
        <v>0.36314360000000001</v>
      </c>
      <c r="X5871">
        <v>0.90156360000000002</v>
      </c>
      <c r="Y5871">
        <v>-0.21725149999999999</v>
      </c>
      <c r="Z5871">
        <v>2.862804E-2</v>
      </c>
      <c r="AA5871">
        <v>0.9756958</v>
      </c>
      <c r="AB5871">
        <v>21</v>
      </c>
      <c r="AC5871">
        <v>12.342899999999901</v>
      </c>
      <c r="AD5871">
        <v>-1.11364921304499</v>
      </c>
      <c r="AE5871">
        <v>-0.159639999999999</v>
      </c>
      <c r="AF5871">
        <v>-2.7008573184956499</v>
      </c>
      <c r="AG5871">
        <v>-1.11364921304499</v>
      </c>
      <c r="AH5871">
        <v>11.942678268666</v>
      </c>
      <c r="AI5871">
        <v>95.196905288205897</v>
      </c>
      <c r="AJ5871">
        <v>102.74317736409201</v>
      </c>
      <c r="AK5871">
        <v>12.294812282156</v>
      </c>
      <c r="AL5871">
        <v>68.706620021126696</v>
      </c>
      <c r="AM5871">
        <v>104.620284655935</v>
      </c>
      <c r="AN5871">
        <v>1.00000005684113</v>
      </c>
    </row>
    <row r="5872" spans="1:40" x14ac:dyDescent="0.25">
      <c r="A5872" t="str">
        <f>"20190304164242821"</f>
        <v>20190304164242821</v>
      </c>
      <c r="B5872" t="str">
        <f>"1551688962816679"</f>
        <v>1551688962816679</v>
      </c>
      <c r="C5872" t="s">
        <v>40</v>
      </c>
      <c r="D5872">
        <v>4.241269</v>
      </c>
      <c r="E5872">
        <v>0.52031769999999999</v>
      </c>
      <c r="F5872" t="s">
        <v>59</v>
      </c>
      <c r="G5872">
        <v>-385.28710000000001</v>
      </c>
      <c r="H5872" s="1">
        <v>-2.2367079999999999E-6</v>
      </c>
      <c r="I5872">
        <v>19.5687</v>
      </c>
      <c r="J5872">
        <v>-397.54939999999999</v>
      </c>
      <c r="K5872">
        <v>1.1135969999999999</v>
      </c>
      <c r="L5872">
        <v>19.709779999999999</v>
      </c>
      <c r="M5872">
        <v>0.97305269999999999</v>
      </c>
      <c r="N5872">
        <v>-1.374876E-2</v>
      </c>
      <c r="O5872">
        <v>-0.23017219999999999</v>
      </c>
      <c r="P5872">
        <v>0.93583640000000001</v>
      </c>
      <c r="Q5872">
        <v>0.35204239999999998</v>
      </c>
      <c r="R5872">
        <v>1.6625859999999999E-2</v>
      </c>
      <c r="S5872">
        <v>3.3189090000000001</v>
      </c>
      <c r="T5872">
        <v>-0.29831760000000002</v>
      </c>
      <c r="U5872">
        <v>-4.5043949999999999E-2</v>
      </c>
      <c r="V5872">
        <v>-0.2340671</v>
      </c>
      <c r="W5872">
        <v>0.36290050000000001</v>
      </c>
      <c r="X5872">
        <v>0.90195110000000001</v>
      </c>
      <c r="Y5872">
        <v>-0.2153156</v>
      </c>
      <c r="Z5872">
        <v>2.845609E-2</v>
      </c>
      <c r="AA5872">
        <v>0.97612980000000005</v>
      </c>
      <c r="AB5872">
        <v>21</v>
      </c>
      <c r="AC5872">
        <v>12.2622999999999</v>
      </c>
      <c r="AD5872">
        <v>-1.1135992367080001</v>
      </c>
      <c r="AE5872">
        <v>-0.14107999999999801</v>
      </c>
      <c r="AF5872">
        <v>-2.6634528495994001</v>
      </c>
      <c r="AG5872">
        <v>-1.1135992367080001</v>
      </c>
      <c r="AH5872">
        <v>11.8676055710544</v>
      </c>
      <c r="AI5872">
        <v>95.2312845422897</v>
      </c>
      <c r="AJ5872">
        <v>102.649322961469</v>
      </c>
      <c r="AK5872">
        <v>12.2136868443627</v>
      </c>
      <c r="AL5872">
        <v>68.7215667574783</v>
      </c>
      <c r="AM5872">
        <v>104.54802116856099</v>
      </c>
      <c r="AN5872">
        <v>0.99999998349693497</v>
      </c>
    </row>
    <row r="5873" spans="1:40" x14ac:dyDescent="0.25">
      <c r="A5873" t="str">
        <f>"20190304164242839"</f>
        <v>20190304164242839</v>
      </c>
      <c r="B5873" t="str">
        <f>"1551688962827414"</f>
        <v>1551688962827414</v>
      </c>
      <c r="C5873" t="s">
        <v>40</v>
      </c>
      <c r="D5873">
        <v>4.2350149999999998</v>
      </c>
      <c r="E5873">
        <v>0.52043600000000001</v>
      </c>
      <c r="F5873" t="s">
        <v>59</v>
      </c>
      <c r="G5873">
        <v>-385.16</v>
      </c>
      <c r="H5873" s="1">
        <v>-2.2988509999999998E-6</v>
      </c>
      <c r="I5873">
        <v>19.557110000000002</v>
      </c>
      <c r="J5873">
        <v>-397.39729999999997</v>
      </c>
      <c r="K5873">
        <v>1.113529</v>
      </c>
      <c r="L5873">
        <v>19.678070000000002</v>
      </c>
      <c r="M5873">
        <v>0.97387000000000001</v>
      </c>
      <c r="N5873">
        <v>-1.3709300000000001E-2</v>
      </c>
      <c r="O5873">
        <v>-0.2266929</v>
      </c>
      <c r="P5873">
        <v>0.93618049999999997</v>
      </c>
      <c r="Q5873">
        <v>0.35110200000000003</v>
      </c>
      <c r="R5873">
        <v>1.713721E-2</v>
      </c>
      <c r="S5873">
        <v>3.3186339999999999</v>
      </c>
      <c r="T5873">
        <v>-0.29828979999999999</v>
      </c>
      <c r="U5873">
        <v>-4.0893550000000001E-2</v>
      </c>
      <c r="V5873">
        <v>-0.2313424</v>
      </c>
      <c r="W5873">
        <v>0.36198950000000002</v>
      </c>
      <c r="X5873">
        <v>0.90301949999999997</v>
      </c>
      <c r="Y5873">
        <v>-0.2130647</v>
      </c>
      <c r="Z5873">
        <v>2.8088439999999999E-2</v>
      </c>
      <c r="AA5873">
        <v>0.97663429999999996</v>
      </c>
      <c r="AB5873">
        <v>21</v>
      </c>
      <c r="AC5873">
        <v>12.2372999999999</v>
      </c>
      <c r="AD5873">
        <v>-1.113531298851</v>
      </c>
      <c r="AE5873">
        <v>-0.12096</v>
      </c>
      <c r="AF5873">
        <v>-2.6347451189796698</v>
      </c>
      <c r="AG5873">
        <v>-1.113531298851</v>
      </c>
      <c r="AH5873">
        <v>11.847987930577601</v>
      </c>
      <c r="AI5873">
        <v>95.2418551847164</v>
      </c>
      <c r="AJ5873">
        <v>102.537373916136</v>
      </c>
      <c r="AK5873">
        <v>12.1883818367583</v>
      </c>
      <c r="AL5873">
        <v>68.777570725994707</v>
      </c>
      <c r="AM5873">
        <v>104.36942376936101</v>
      </c>
      <c r="AN5873">
        <v>0.999999960764129</v>
      </c>
    </row>
    <row r="5874" spans="1:40" x14ac:dyDescent="0.25">
      <c r="A5874" t="str">
        <f>"20190304164242852"</f>
        <v>20190304164242852</v>
      </c>
      <c r="B5874" t="str">
        <f>"1551688962846934"</f>
        <v>1551688962846934</v>
      </c>
      <c r="C5874" t="s">
        <v>40</v>
      </c>
      <c r="D5874">
        <v>4.2337189999999998</v>
      </c>
      <c r="E5874">
        <v>0.52056089999999999</v>
      </c>
      <c r="F5874" t="s">
        <v>59</v>
      </c>
      <c r="G5874">
        <v>-385.13569999999999</v>
      </c>
      <c r="H5874" s="1">
        <v>-2.3143169999999999E-6</v>
      </c>
      <c r="I5874">
        <v>19.534520000000001</v>
      </c>
      <c r="J5874">
        <v>-397.26299999999998</v>
      </c>
      <c r="K5874">
        <v>1.1134660000000001</v>
      </c>
      <c r="L5874">
        <v>19.650510000000001</v>
      </c>
      <c r="M5874">
        <v>0.97456659999999995</v>
      </c>
      <c r="N5874">
        <v>-1.3666910000000001E-2</v>
      </c>
      <c r="O5874">
        <v>-0.22368080000000001</v>
      </c>
      <c r="P5874">
        <v>0.93619839999999999</v>
      </c>
      <c r="Q5874">
        <v>0.35099930000000001</v>
      </c>
      <c r="R5874">
        <v>1.8227259999999999E-2</v>
      </c>
      <c r="S5874">
        <v>3.3182369999999999</v>
      </c>
      <c r="T5874">
        <v>-0.3013458</v>
      </c>
      <c r="U5874">
        <v>-3.8848880000000002E-2</v>
      </c>
      <c r="V5874">
        <v>-0.22955130000000001</v>
      </c>
      <c r="W5874">
        <v>0.36189739999999998</v>
      </c>
      <c r="X5874">
        <v>0.90351340000000002</v>
      </c>
      <c r="Y5874">
        <v>-0.21062890000000001</v>
      </c>
      <c r="Z5874">
        <v>2.8048900000000002E-2</v>
      </c>
      <c r="AA5874">
        <v>0.97716360000000002</v>
      </c>
      <c r="AB5874">
        <v>21</v>
      </c>
      <c r="AC5874">
        <v>12.1273</v>
      </c>
      <c r="AD5874">
        <v>-1.1134683143170001</v>
      </c>
      <c r="AE5874">
        <v>-0.11599</v>
      </c>
      <c r="AF5874">
        <v>-2.5781155557589699</v>
      </c>
      <c r="AG5874">
        <v>-1.1134683143170001</v>
      </c>
      <c r="AH5874">
        <v>11.7468957198076</v>
      </c>
      <c r="AI5874">
        <v>95.289633797650197</v>
      </c>
      <c r="AJ5874">
        <v>102.37856376419001</v>
      </c>
      <c r="AK5874">
        <v>12.0779158201185</v>
      </c>
      <c r="AL5874">
        <v>68.783232242853899</v>
      </c>
      <c r="AM5874">
        <v>104.25524985794701</v>
      </c>
      <c r="AN5874">
        <v>0.999999995719005</v>
      </c>
    </row>
    <row r="5875" spans="1:40" x14ac:dyDescent="0.25">
      <c r="A5875" t="str">
        <f>"20190304164242865"</f>
        <v>20190304164242865</v>
      </c>
      <c r="B5875" t="str">
        <f>"1551688962856694"</f>
        <v>1551688962856694</v>
      </c>
      <c r="C5875" t="s">
        <v>40</v>
      </c>
      <c r="D5875">
        <v>4.2253439999999998</v>
      </c>
      <c r="E5875">
        <v>0.52072319999999905</v>
      </c>
      <c r="F5875" t="s">
        <v>59</v>
      </c>
      <c r="G5875">
        <v>-384.98410000000001</v>
      </c>
      <c r="H5875" s="1">
        <v>-2.3881040000000002E-6</v>
      </c>
      <c r="I5875">
        <v>19.522659999999998</v>
      </c>
      <c r="J5875">
        <v>-397.14949999999999</v>
      </c>
      <c r="K5875">
        <v>1.113408</v>
      </c>
      <c r="L5875">
        <v>19.62744</v>
      </c>
      <c r="M5875">
        <v>0.97514009999999995</v>
      </c>
      <c r="N5875">
        <v>-1.3627810000000001E-2</v>
      </c>
      <c r="O5875">
        <v>-0.22116949999999999</v>
      </c>
      <c r="P5875">
        <v>0.93632939999999998</v>
      </c>
      <c r="Q5875">
        <v>0.35060530000000001</v>
      </c>
      <c r="R5875">
        <v>1.9059E-2</v>
      </c>
      <c r="S5875">
        <v>3.3178709999999998</v>
      </c>
      <c r="T5875">
        <v>-0.30086980000000002</v>
      </c>
      <c r="U5875">
        <v>-3.4545899999999997E-2</v>
      </c>
      <c r="V5875">
        <v>-0.22800509999999999</v>
      </c>
      <c r="W5875">
        <v>0.36151159999999999</v>
      </c>
      <c r="X5875">
        <v>0.90405919999999895</v>
      </c>
      <c r="Y5875">
        <v>-0.20939450000000001</v>
      </c>
      <c r="Z5875">
        <v>2.7758970000000001E-2</v>
      </c>
      <c r="AA5875">
        <v>0.97743709999999995</v>
      </c>
      <c r="AB5875">
        <v>21</v>
      </c>
      <c r="AC5875">
        <v>12.165399999999901</v>
      </c>
      <c r="AD5875">
        <v>-1.1134103881039901</v>
      </c>
      <c r="AE5875">
        <v>-0.104779999999998</v>
      </c>
      <c r="AF5875">
        <v>-2.5671786666684202</v>
      </c>
      <c r="AG5875">
        <v>-1.1134103881039901</v>
      </c>
      <c r="AH5875">
        <v>11.788510083868401</v>
      </c>
      <c r="AI5875">
        <v>95.272655771820595</v>
      </c>
      <c r="AJ5875">
        <v>102.2854666146</v>
      </c>
      <c r="AK5875">
        <v>12.1160661518664</v>
      </c>
      <c r="AL5875">
        <v>68.806942387781405</v>
      </c>
      <c r="AM5875">
        <v>104.15489950457101</v>
      </c>
      <c r="AN5875">
        <v>0.99999999983260401</v>
      </c>
    </row>
    <row r="5876" spans="1:40" x14ac:dyDescent="0.25">
      <c r="A5876" t="str">
        <f>"20190304164242884"</f>
        <v>20190304164242884</v>
      </c>
      <c r="B5876" t="str">
        <f>"1551688962877190"</f>
        <v>1551688962877190</v>
      </c>
      <c r="C5876" t="s">
        <v>40</v>
      </c>
      <c r="D5876">
        <v>4.199973</v>
      </c>
      <c r="E5876">
        <v>0.52093970000000001</v>
      </c>
      <c r="F5876" t="s">
        <v>59</v>
      </c>
      <c r="G5876">
        <v>-384.89850000000001</v>
      </c>
      <c r="H5876" s="1">
        <v>-2.430596E-6</v>
      </c>
      <c r="I5876">
        <v>19.511140000000001</v>
      </c>
      <c r="J5876">
        <v>-396.98160000000001</v>
      </c>
      <c r="K5876">
        <v>1.1133309999999901</v>
      </c>
      <c r="L5876">
        <v>19.593779999999999</v>
      </c>
      <c r="M5876">
        <v>0.97595829999999995</v>
      </c>
      <c r="N5876">
        <v>-1.356447E-2</v>
      </c>
      <c r="O5876">
        <v>-0.21753510000000001</v>
      </c>
      <c r="P5876">
        <v>0.93637360000000003</v>
      </c>
      <c r="Q5876">
        <v>0.35048109999999999</v>
      </c>
      <c r="R5876">
        <v>1.9182080000000001E-2</v>
      </c>
      <c r="S5876">
        <v>3.3175349999999999</v>
      </c>
      <c r="T5876">
        <v>-0.3015099</v>
      </c>
      <c r="U5876">
        <v>-3.1494139999999997E-2</v>
      </c>
      <c r="V5876">
        <v>-0.22468009999999999</v>
      </c>
      <c r="W5876">
        <v>0.361404</v>
      </c>
      <c r="X5876">
        <v>0.90493429999999997</v>
      </c>
      <c r="Y5876">
        <v>-0.20666499999999999</v>
      </c>
      <c r="Z5876">
        <v>2.7416900000000001E-2</v>
      </c>
      <c r="AA5876">
        <v>0.97802750000000005</v>
      </c>
      <c r="AB5876">
        <v>21</v>
      </c>
      <c r="AC5876">
        <v>12.0831</v>
      </c>
      <c r="AD5876">
        <v>-1.1133334305960001</v>
      </c>
      <c r="AE5876">
        <v>-8.2639999999997799E-2</v>
      </c>
      <c r="AF5876">
        <v>-2.5266300523695402</v>
      </c>
      <c r="AG5876">
        <v>-1.1133334305960001</v>
      </c>
      <c r="AH5876">
        <v>11.712235789996599</v>
      </c>
      <c r="AI5876">
        <v>95.308666027071297</v>
      </c>
      <c r="AJ5876">
        <v>102.17361569966999</v>
      </c>
      <c r="AK5876">
        <v>12.033280431773299</v>
      </c>
      <c r="AL5876">
        <v>68.813555423617004</v>
      </c>
      <c r="AM5876">
        <v>103.943633871599</v>
      </c>
      <c r="AN5876">
        <v>1.0000000429342399</v>
      </c>
    </row>
    <row r="5877" spans="1:40" x14ac:dyDescent="0.25">
      <c r="A5877" t="str">
        <f>"20190304164242895"</f>
        <v>20190304164242895</v>
      </c>
      <c r="B5877" t="str">
        <f>"1551688962886950"</f>
        <v>1551688962886950</v>
      </c>
      <c r="C5877" t="s">
        <v>40</v>
      </c>
      <c r="D5877">
        <v>4.2065609999999998</v>
      </c>
      <c r="E5877">
        <v>0.5210553</v>
      </c>
      <c r="F5877" t="s">
        <v>59</v>
      </c>
      <c r="G5877">
        <v>-384.70190000000002</v>
      </c>
      <c r="H5877" s="1">
        <v>-2.528992E-6</v>
      </c>
      <c r="I5877">
        <v>19.480350000000001</v>
      </c>
      <c r="J5877">
        <v>-396.8691</v>
      </c>
      <c r="K5877">
        <v>1.1132759999999999</v>
      </c>
      <c r="L5877">
        <v>19.571619999999999</v>
      </c>
      <c r="M5877">
        <v>0.97648550000000001</v>
      </c>
      <c r="N5877">
        <v>-1.351958E-2</v>
      </c>
      <c r="O5877">
        <v>-0.21515889999999999</v>
      </c>
      <c r="P5877">
        <v>0.93634189999999995</v>
      </c>
      <c r="Q5877">
        <v>0.35051559999999998</v>
      </c>
      <c r="R5877">
        <v>2.0062360000000001E-2</v>
      </c>
      <c r="S5877">
        <v>3.317078</v>
      </c>
      <c r="T5877">
        <v>-0.30074289999999998</v>
      </c>
      <c r="U5877">
        <v>-3.0639650000000001E-2</v>
      </c>
      <c r="V5877">
        <v>-0.223272</v>
      </c>
      <c r="W5877">
        <v>0.36143819999999999</v>
      </c>
      <c r="X5877">
        <v>0.90526899999999999</v>
      </c>
      <c r="Y5877">
        <v>-0.20455860000000001</v>
      </c>
      <c r="Z5877">
        <v>2.7064930000000001E-2</v>
      </c>
      <c r="AA5877">
        <v>0.97848009999999996</v>
      </c>
      <c r="AB5877">
        <v>21</v>
      </c>
      <c r="AC5877">
        <v>12.1671999999999</v>
      </c>
      <c r="AD5877">
        <v>-1.113278528992</v>
      </c>
      <c r="AE5877">
        <v>-9.1270000000001503E-2</v>
      </c>
      <c r="AF5877">
        <v>-2.5079929921705801</v>
      </c>
      <c r="AG5877">
        <v>-1.113278528992</v>
      </c>
      <c r="AH5877">
        <v>11.8030107067936</v>
      </c>
      <c r="AI5877">
        <v>95.271283849334495</v>
      </c>
      <c r="AJ5877">
        <v>101.996217557313</v>
      </c>
      <c r="AK5877">
        <v>12.117775360047499</v>
      </c>
      <c r="AL5877">
        <v>68.811452013636895</v>
      </c>
      <c r="AM5877">
        <v>103.854699665276</v>
      </c>
      <c r="AN5877">
        <v>0.99999996038211902</v>
      </c>
    </row>
    <row r="5878" spans="1:40" x14ac:dyDescent="0.25">
      <c r="A5878" t="str">
        <f>"20190304164242908"</f>
        <v>20190304164242908</v>
      </c>
      <c r="B5878" t="str">
        <f>"1551688962896710"</f>
        <v>1551688962896710</v>
      </c>
      <c r="C5878" t="s">
        <v>40</v>
      </c>
      <c r="D5878">
        <v>4.1780949999999999</v>
      </c>
      <c r="E5878">
        <v>0.52117060000000004</v>
      </c>
      <c r="F5878" t="s">
        <v>59</v>
      </c>
      <c r="G5878">
        <v>-384.57139999999998</v>
      </c>
      <c r="H5878" s="1">
        <v>-2.593101E-6</v>
      </c>
      <c r="I5878">
        <v>19.466850000000001</v>
      </c>
      <c r="J5878">
        <v>-396.75779999999997</v>
      </c>
      <c r="K5878">
        <v>1.113216</v>
      </c>
      <c r="L5878">
        <v>19.549869999999999</v>
      </c>
      <c r="M5878">
        <v>0.97699559999999996</v>
      </c>
      <c r="N5878">
        <v>-1.34737E-2</v>
      </c>
      <c r="O5878">
        <v>-0.21283350000000001</v>
      </c>
      <c r="P5878">
        <v>0.93621560000000004</v>
      </c>
      <c r="Q5878">
        <v>0.350796</v>
      </c>
      <c r="R5878">
        <v>2.1042760000000001E-2</v>
      </c>
      <c r="S5878">
        <v>3.3169559999999998</v>
      </c>
      <c r="T5878">
        <v>-0.30027369999999998</v>
      </c>
      <c r="U5878">
        <v>-2.8259280000000001E-2</v>
      </c>
      <c r="V5878">
        <v>-0.2219941</v>
      </c>
      <c r="W5878">
        <v>0.36171429999999999</v>
      </c>
      <c r="X5878">
        <v>0.90547299999999997</v>
      </c>
      <c r="Y5878">
        <v>-0.20294899999999999</v>
      </c>
      <c r="Z5878">
        <v>2.6769270000000001E-2</v>
      </c>
      <c r="AA5878">
        <v>0.97882340000000001</v>
      </c>
      <c r="AB5878">
        <v>21</v>
      </c>
      <c r="AC5878">
        <v>12.1863999999999</v>
      </c>
      <c r="AD5878">
        <v>-1.1132185931009999</v>
      </c>
      <c r="AE5878">
        <v>-8.3020000000001204E-2</v>
      </c>
      <c r="AF5878">
        <v>-2.4919980560795398</v>
      </c>
      <c r="AG5878">
        <v>-1.1132185931009999</v>
      </c>
      <c r="AH5878">
        <v>11.826130063457001</v>
      </c>
      <c r="AI5878">
        <v>95.262628486781097</v>
      </c>
      <c r="AJ5878">
        <v>101.899265055683</v>
      </c>
      <c r="AK5878">
        <v>12.136995601273499</v>
      </c>
      <c r="AL5878">
        <v>68.794485217556996</v>
      </c>
      <c r="AM5878">
        <v>103.775446351049</v>
      </c>
      <c r="AN5878">
        <v>0.99999998449414895</v>
      </c>
    </row>
    <row r="5879" spans="1:40" x14ac:dyDescent="0.25">
      <c r="A5879" t="str">
        <f>"20190304164242923"</f>
        <v>20190304164242923</v>
      </c>
      <c r="B5879" t="str">
        <f>"1551688962917206"</f>
        <v>1551688962917206</v>
      </c>
      <c r="C5879" t="s">
        <v>40</v>
      </c>
      <c r="D5879">
        <v>4.1883589999999904</v>
      </c>
      <c r="E5879">
        <v>0.52137440000000002</v>
      </c>
      <c r="F5879" t="s">
        <v>59</v>
      </c>
      <c r="G5879">
        <v>-384.4024</v>
      </c>
      <c r="H5879" s="1">
        <v>-2.6749890000000001E-6</v>
      </c>
      <c r="I5879">
        <v>19.455400000000001</v>
      </c>
      <c r="J5879">
        <v>-396.63389999999998</v>
      </c>
      <c r="K5879">
        <v>1.113154</v>
      </c>
      <c r="L5879">
        <v>19.525849999999998</v>
      </c>
      <c r="M5879">
        <v>0.97754909999999995</v>
      </c>
      <c r="N5879">
        <v>-1.3421020000000001E-2</v>
      </c>
      <c r="O5879">
        <v>-0.21027960000000001</v>
      </c>
      <c r="P5879">
        <v>0.93629490000000004</v>
      </c>
      <c r="Q5879">
        <v>0.35051850000000001</v>
      </c>
      <c r="R5879">
        <v>2.2112469999999999E-2</v>
      </c>
      <c r="S5879">
        <v>3.3169559999999998</v>
      </c>
      <c r="T5879">
        <v>-0.29885830000000002</v>
      </c>
      <c r="U5879">
        <v>-2.5360110000000002E-2</v>
      </c>
      <c r="V5879">
        <v>-0.22062780000000001</v>
      </c>
      <c r="W5879">
        <v>0.36143110000000001</v>
      </c>
      <c r="X5879">
        <v>0.90591999999999995</v>
      </c>
      <c r="Y5879">
        <v>-0.2012755</v>
      </c>
      <c r="Z5879">
        <v>2.636575E-2</v>
      </c>
      <c r="AA5879">
        <v>0.97917969999999999</v>
      </c>
      <c r="AB5879">
        <v>21</v>
      </c>
      <c r="AC5879">
        <v>12.231499999999899</v>
      </c>
      <c r="AD5879">
        <v>-1.1131566749890001</v>
      </c>
      <c r="AE5879">
        <v>-7.0449999999997404E-2</v>
      </c>
      <c r="AF5879">
        <v>-2.48282925937986</v>
      </c>
      <c r="AG5879">
        <v>-1.1131566749890001</v>
      </c>
      <c r="AH5879">
        <v>11.8744401818557</v>
      </c>
      <c r="AI5879">
        <v>95.242755175818601</v>
      </c>
      <c r="AJ5879">
        <v>101.80984489481</v>
      </c>
      <c r="AK5879">
        <v>12.182195555267301</v>
      </c>
      <c r="AL5879">
        <v>68.811890438430197</v>
      </c>
      <c r="AM5879">
        <v>103.68736170904</v>
      </c>
      <c r="AN5879">
        <v>1.00000005629002</v>
      </c>
    </row>
    <row r="5880" spans="1:40" x14ac:dyDescent="0.25">
      <c r="A5880" t="str">
        <f>"20190304164242940"</f>
        <v>20190304164242940</v>
      </c>
      <c r="B5880" t="str">
        <f>"1551688962926966"</f>
        <v>1551688962926966</v>
      </c>
      <c r="C5880" t="s">
        <v>40</v>
      </c>
      <c r="D5880">
        <v>4.1749900000000002</v>
      </c>
      <c r="E5880">
        <v>0.52146809999999999</v>
      </c>
      <c r="F5880" t="s">
        <v>59</v>
      </c>
      <c r="G5880">
        <v>-384.2713</v>
      </c>
      <c r="H5880" s="1">
        <v>-2.7397050000000001E-6</v>
      </c>
      <c r="I5880">
        <v>19.439959999999999</v>
      </c>
      <c r="J5880">
        <v>-396.46589999999998</v>
      </c>
      <c r="K5880">
        <v>1.1130629999999999</v>
      </c>
      <c r="L5880">
        <v>19.493839999999999</v>
      </c>
      <c r="M5880">
        <v>0.9782672</v>
      </c>
      <c r="N5880">
        <v>-1.3340400000000001E-2</v>
      </c>
      <c r="O5880">
        <v>-0.20691860000000001</v>
      </c>
      <c r="P5880">
        <v>0.93637009999999998</v>
      </c>
      <c r="Q5880">
        <v>0.35035179999999999</v>
      </c>
      <c r="R5880">
        <v>2.155137E-2</v>
      </c>
      <c r="S5880">
        <v>3.3164980000000002</v>
      </c>
      <c r="T5880">
        <v>-0.29862549999999999</v>
      </c>
      <c r="U5880">
        <v>-2.3040769999999999E-2</v>
      </c>
      <c r="V5880">
        <v>-0.21689700000000001</v>
      </c>
      <c r="W5880">
        <v>0.36126390000000003</v>
      </c>
      <c r="X5880">
        <v>0.906887</v>
      </c>
      <c r="Y5880">
        <v>-0.19861590000000001</v>
      </c>
      <c r="Z5880">
        <v>2.596878E-2</v>
      </c>
      <c r="AA5880">
        <v>0.97973330000000003</v>
      </c>
      <c r="AB5880">
        <v>21</v>
      </c>
      <c r="AC5880">
        <v>12.1945999999999</v>
      </c>
      <c r="AD5880">
        <v>-1.1130657397049999</v>
      </c>
      <c r="AE5880">
        <v>-5.3879999999999401E-2</v>
      </c>
      <c r="AF5880">
        <v>-2.45038619745393</v>
      </c>
      <c r="AG5880">
        <v>-1.1130657397049999</v>
      </c>
      <c r="AH5880">
        <v>11.843123442978801</v>
      </c>
      <c r="AI5880">
        <v>95.258392944458706</v>
      </c>
      <c r="AJ5880">
        <v>101.689762566741</v>
      </c>
      <c r="AK5880">
        <v>12.145076399233201</v>
      </c>
      <c r="AL5880">
        <v>68.822162635835497</v>
      </c>
      <c r="AM5880">
        <v>103.450570265511</v>
      </c>
      <c r="AN5880">
        <v>0.99999997241060401</v>
      </c>
    </row>
    <row r="5881" spans="1:40" x14ac:dyDescent="0.25">
      <c r="A5881" t="str">
        <f>"20190304164242953"</f>
        <v>20190304164242953</v>
      </c>
      <c r="B5881" t="str">
        <f>"1551688962947462"</f>
        <v>1551688962947462</v>
      </c>
      <c r="C5881" t="s">
        <v>40</v>
      </c>
      <c r="D5881">
        <v>4.168469</v>
      </c>
      <c r="E5881">
        <v>0.52165839999999997</v>
      </c>
      <c r="F5881" t="s">
        <v>59</v>
      </c>
      <c r="G5881">
        <v>-384.08629999999999</v>
      </c>
      <c r="H5881" s="1">
        <v>-2.8325279999999999E-6</v>
      </c>
      <c r="I5881">
        <v>19.40964</v>
      </c>
      <c r="J5881">
        <v>-396.33909999999997</v>
      </c>
      <c r="K5881">
        <v>1.112992</v>
      </c>
      <c r="L5881">
        <v>19.47</v>
      </c>
      <c r="M5881">
        <v>0.97878430000000005</v>
      </c>
      <c r="N5881">
        <v>-1.327324E-2</v>
      </c>
      <c r="O5881">
        <v>-0.20446320000000001</v>
      </c>
      <c r="P5881">
        <v>0.93629779999999996</v>
      </c>
      <c r="Q5881">
        <v>0.3505028</v>
      </c>
      <c r="R5881">
        <v>2.2230699999999999E-2</v>
      </c>
      <c r="S5881">
        <v>3.315979</v>
      </c>
      <c r="T5881">
        <v>-0.2981454</v>
      </c>
      <c r="U5881">
        <v>-2.2552490000000001E-2</v>
      </c>
      <c r="V5881">
        <v>-0.2152068</v>
      </c>
      <c r="W5881">
        <v>0.36139870000000002</v>
      </c>
      <c r="X5881">
        <v>0.90723589999999998</v>
      </c>
      <c r="Y5881">
        <v>-0.19632140000000001</v>
      </c>
      <c r="Z5881">
        <v>2.5634759999999999E-2</v>
      </c>
      <c r="AA5881">
        <v>0.98020450000000003</v>
      </c>
      <c r="AB5881">
        <v>21</v>
      </c>
      <c r="AC5881">
        <v>12.252799999999899</v>
      </c>
      <c r="AD5881">
        <v>-1.1129948325279999</v>
      </c>
      <c r="AE5881">
        <v>-6.0359999999999303E-2</v>
      </c>
      <c r="AF5881">
        <v>-2.4263628329713498</v>
      </c>
      <c r="AG5881">
        <v>-1.1129948325279999</v>
      </c>
      <c r="AH5881">
        <v>11.907994312596299</v>
      </c>
      <c r="AI5881">
        <v>95.232797919339504</v>
      </c>
      <c r="AJ5881">
        <v>101.516881574094</v>
      </c>
      <c r="AK5881">
        <v>12.2035373004422</v>
      </c>
      <c r="AL5881">
        <v>68.813879765929002</v>
      </c>
      <c r="AM5881">
        <v>103.34457087547899</v>
      </c>
      <c r="AN5881">
        <v>0.99999998268836898</v>
      </c>
    </row>
    <row r="5882" spans="1:40" x14ac:dyDescent="0.25">
      <c r="A5882" t="str">
        <f>"20190304164242967"</f>
        <v>20190304164242967</v>
      </c>
      <c r="B5882" t="str">
        <f>"1551688962957223"</f>
        <v>1551688962957223</v>
      </c>
      <c r="C5882" t="s">
        <v>40</v>
      </c>
      <c r="D5882">
        <v>4.1676690000000001</v>
      </c>
      <c r="E5882">
        <v>0.52178389999999997</v>
      </c>
      <c r="F5882" t="s">
        <v>59</v>
      </c>
      <c r="G5882">
        <v>-383.90989999999999</v>
      </c>
      <c r="H5882" s="1">
        <v>-2.9190849999999999E-6</v>
      </c>
      <c r="I5882">
        <v>19.391870000000001</v>
      </c>
      <c r="J5882">
        <v>-396.20979999999997</v>
      </c>
      <c r="K5882">
        <v>1.1129169999999999</v>
      </c>
      <c r="L5882">
        <v>19.44595</v>
      </c>
      <c r="M5882">
        <v>0.979294</v>
      </c>
      <c r="N5882">
        <v>-1.320082E-2</v>
      </c>
      <c r="O5882">
        <v>-0.2020122</v>
      </c>
      <c r="P5882">
        <v>0.93613999999999997</v>
      </c>
      <c r="Q5882">
        <v>0.35089049999999999</v>
      </c>
      <c r="R5882">
        <v>2.2752310000000001E-2</v>
      </c>
      <c r="S5882">
        <v>3.3157350000000001</v>
      </c>
      <c r="T5882">
        <v>-0.29691240000000002</v>
      </c>
      <c r="U5882">
        <v>-2.0843509999999999E-2</v>
      </c>
      <c r="V5882">
        <v>-0.2133476</v>
      </c>
      <c r="W5882">
        <v>0.36176720000000001</v>
      </c>
      <c r="X5882">
        <v>0.90752809999999995</v>
      </c>
      <c r="Y5882">
        <v>-0.19439890000000001</v>
      </c>
      <c r="Z5882">
        <v>2.525206E-2</v>
      </c>
      <c r="AA5882">
        <v>0.98059739999999995</v>
      </c>
      <c r="AB5882">
        <v>21</v>
      </c>
      <c r="AC5882">
        <v>12.2998999999999</v>
      </c>
      <c r="AD5882">
        <v>-1.1129199190850001</v>
      </c>
      <c r="AE5882">
        <v>-5.4079999999998997E-2</v>
      </c>
      <c r="AF5882">
        <v>-2.4122330704659101</v>
      </c>
      <c r="AG5882">
        <v>-1.1129199190850001</v>
      </c>
      <c r="AH5882">
        <v>11.959285367887</v>
      </c>
      <c r="AI5882">
        <v>95.212204706742</v>
      </c>
      <c r="AJ5882">
        <v>101.40376648226101</v>
      </c>
      <c r="AK5882">
        <v>12.2507944902811</v>
      </c>
      <c r="AL5882">
        <v>68.791233975658997</v>
      </c>
      <c r="AM5882">
        <v>103.229247530861</v>
      </c>
      <c r="AN5882">
        <v>0.99999997885560399</v>
      </c>
    </row>
    <row r="5883" spans="1:40" x14ac:dyDescent="0.25">
      <c r="A5883" t="str">
        <f>"20190304164242985"</f>
        <v>20190304164242985</v>
      </c>
      <c r="B5883" t="str">
        <f>"1551688962976742"</f>
        <v>1551688962976742</v>
      </c>
      <c r="C5883" t="s">
        <v>40</v>
      </c>
      <c r="D5883">
        <v>4.1797319999999996</v>
      </c>
      <c r="E5883">
        <v>0.52202360000000003</v>
      </c>
      <c r="F5883" t="s">
        <v>59</v>
      </c>
      <c r="G5883">
        <v>-383.71839999999997</v>
      </c>
      <c r="H5883" s="1">
        <v>-3.0127099999999901E-6</v>
      </c>
      <c r="I5883">
        <v>19.37444</v>
      </c>
      <c r="J5883">
        <v>-396.0471</v>
      </c>
      <c r="K5883">
        <v>1.112822</v>
      </c>
      <c r="L5883">
        <v>19.415990000000001</v>
      </c>
      <c r="M5883">
        <v>0.97990750000000004</v>
      </c>
      <c r="N5883">
        <v>-1.310338E-2</v>
      </c>
      <c r="O5883">
        <v>-0.19902210000000001</v>
      </c>
      <c r="P5883">
        <v>0.936137</v>
      </c>
      <c r="Q5883">
        <v>0.35092119999999999</v>
      </c>
      <c r="R5883">
        <v>2.240605E-2</v>
      </c>
      <c r="S5883">
        <v>3.3158259999999999</v>
      </c>
      <c r="T5883">
        <v>-0.29542200000000002</v>
      </c>
      <c r="U5883">
        <v>-1.8981930000000001E-2</v>
      </c>
      <c r="V5883">
        <v>-0.21014820000000001</v>
      </c>
      <c r="W5883">
        <v>0.3617783</v>
      </c>
      <c r="X5883">
        <v>0.90826989999999996</v>
      </c>
      <c r="Y5883">
        <v>-0.1919892</v>
      </c>
      <c r="Z5883">
        <v>2.478377E-2</v>
      </c>
      <c r="AA5883">
        <v>0.98108399999999996</v>
      </c>
      <c r="AB5883">
        <v>21</v>
      </c>
      <c r="AC5883">
        <v>12.3287</v>
      </c>
      <c r="AD5883">
        <v>-1.1128250127099999</v>
      </c>
      <c r="AE5883">
        <v>-4.1550000000000802E-2</v>
      </c>
      <c r="AF5883">
        <v>-2.3936735394981499</v>
      </c>
      <c r="AG5883">
        <v>-1.1128250127099999</v>
      </c>
      <c r="AH5883">
        <v>11.992584415191001</v>
      </c>
      <c r="AI5883">
        <v>95.199472606358498</v>
      </c>
      <c r="AJ5883">
        <v>101.28768116869399</v>
      </c>
      <c r="AK5883">
        <v>12.279663410618699</v>
      </c>
      <c r="AL5883">
        <v>68.7905524283359</v>
      </c>
      <c r="AM5883">
        <v>103.02740098710299</v>
      </c>
      <c r="AN5883">
        <v>1.0000000077800699</v>
      </c>
    </row>
    <row r="5884" spans="1:40" x14ac:dyDescent="0.25">
      <c r="A5884" t="str">
        <f>"20190304164242997"</f>
        <v>20190304164242997</v>
      </c>
      <c r="B5884" t="str">
        <f>"1551688962987478"</f>
        <v>1551688962987478</v>
      </c>
      <c r="C5884" t="s">
        <v>40</v>
      </c>
      <c r="D5884">
        <v>4.1621959999999998</v>
      </c>
      <c r="E5884">
        <v>0.52211359999999996</v>
      </c>
      <c r="F5884" t="s">
        <v>59</v>
      </c>
      <c r="G5884">
        <v>-383.5231</v>
      </c>
      <c r="H5884" s="1">
        <v>-3.111869E-6</v>
      </c>
      <c r="I5884">
        <v>19.33587</v>
      </c>
      <c r="J5884">
        <v>-395.93239999999997</v>
      </c>
      <c r="K5884">
        <v>1.1127499999999999</v>
      </c>
      <c r="L5884">
        <v>19.395140000000001</v>
      </c>
      <c r="M5884">
        <v>0.98032149999999996</v>
      </c>
      <c r="N5884">
        <v>-1.303151E-2</v>
      </c>
      <c r="O5884">
        <v>-0.19697709999999999</v>
      </c>
      <c r="P5884">
        <v>0.93611739999999999</v>
      </c>
      <c r="Q5884">
        <v>0.35095900000000002</v>
      </c>
      <c r="R5884">
        <v>2.2629570000000002E-2</v>
      </c>
      <c r="S5884">
        <v>3.3156129999999999</v>
      </c>
      <c r="T5884">
        <v>-0.29460930000000002</v>
      </c>
      <c r="U5884">
        <v>-2.1209720000000001E-2</v>
      </c>
      <c r="V5884">
        <v>-0.2084058</v>
      </c>
      <c r="W5884">
        <v>0.36179430000000001</v>
      </c>
      <c r="X5884">
        <v>0.9086649</v>
      </c>
      <c r="Y5884">
        <v>-0.1893069</v>
      </c>
      <c r="Z5884">
        <v>2.4432889999999999E-2</v>
      </c>
      <c r="AA5884">
        <v>0.98161390000000004</v>
      </c>
      <c r="AB5884">
        <v>21</v>
      </c>
      <c r="AC5884">
        <v>12.409299999999901</v>
      </c>
      <c r="AD5884">
        <v>-1.1127531118689999</v>
      </c>
      <c r="AE5884">
        <v>-5.9269999999997901E-2</v>
      </c>
      <c r="AF5884">
        <v>-2.3674112512538299</v>
      </c>
      <c r="AG5884">
        <v>-1.1127531118689999</v>
      </c>
      <c r="AH5884">
        <v>12.080675303625799</v>
      </c>
      <c r="AI5884">
        <v>95.1649799281534</v>
      </c>
      <c r="AJ5884">
        <v>101.087563540396</v>
      </c>
      <c r="AK5884">
        <v>12.3606460717946</v>
      </c>
      <c r="AL5884">
        <v>68.789568839744803</v>
      </c>
      <c r="AM5884">
        <v>102.917598344634</v>
      </c>
      <c r="AN5884">
        <v>0.99999999673907003</v>
      </c>
    </row>
    <row r="5885" spans="1:40" x14ac:dyDescent="0.25">
      <c r="A5885" t="str">
        <f>"20190304164243009"</f>
        <v>20190304164243009</v>
      </c>
      <c r="B5885" t="str">
        <f>"1551688962997238"</f>
        <v>1551688962997238</v>
      </c>
      <c r="C5885" t="s">
        <v>40</v>
      </c>
      <c r="D5885">
        <v>4.1955799999999996</v>
      </c>
      <c r="E5885">
        <v>0.52226170000000005</v>
      </c>
      <c r="F5885" t="s">
        <v>59</v>
      </c>
      <c r="G5885">
        <v>-383.38080000000002</v>
      </c>
      <c r="H5885" s="1">
        <v>-3.1822760000000002E-6</v>
      </c>
      <c r="I5885">
        <v>19.318190000000001</v>
      </c>
      <c r="J5885">
        <v>-395.8211</v>
      </c>
      <c r="K5885">
        <v>1.11269</v>
      </c>
      <c r="L5885">
        <v>19.37509</v>
      </c>
      <c r="M5885">
        <v>0.98071030000000003</v>
      </c>
      <c r="N5885">
        <v>-1.296109E-2</v>
      </c>
      <c r="O5885">
        <v>-0.1950374</v>
      </c>
      <c r="P5885">
        <v>0.9362665</v>
      </c>
      <c r="Q5885">
        <v>0.35054419999999997</v>
      </c>
      <c r="R5885">
        <v>2.2894009999999999E-2</v>
      </c>
      <c r="S5885">
        <v>3.3153990000000002</v>
      </c>
      <c r="T5885">
        <v>-0.29392449999999998</v>
      </c>
      <c r="U5885">
        <v>-2.0324709999999999E-2</v>
      </c>
      <c r="V5885">
        <v>-0.20683650000000001</v>
      </c>
      <c r="W5885">
        <v>0.36135729999999999</v>
      </c>
      <c r="X5885">
        <v>0.90919720000000004</v>
      </c>
      <c r="Y5885">
        <v>-0.18764500000000001</v>
      </c>
      <c r="Z5885">
        <v>2.4154370000000001E-2</v>
      </c>
      <c r="AA5885">
        <v>0.98193989999999998</v>
      </c>
      <c r="AB5885">
        <v>21</v>
      </c>
      <c r="AC5885">
        <v>12.440299999999899</v>
      </c>
      <c r="AD5885">
        <v>-1.112693182276</v>
      </c>
      <c r="AE5885">
        <v>-5.6900000000002303E-2</v>
      </c>
      <c r="AF5885">
        <v>-2.35190535532778</v>
      </c>
      <c r="AG5885">
        <v>-1.112693182276</v>
      </c>
      <c r="AH5885">
        <v>12.115530126871899</v>
      </c>
      <c r="AI5885">
        <v>95.151699769814499</v>
      </c>
      <c r="AJ5885">
        <v>100.985803826573</v>
      </c>
      <c r="AK5885">
        <v>12.391755935840701</v>
      </c>
      <c r="AL5885">
        <v>68.816423946270007</v>
      </c>
      <c r="AM5885">
        <v>102.81629635563699</v>
      </c>
      <c r="AN5885">
        <v>0.99999999224169001</v>
      </c>
    </row>
    <row r="5886" spans="1:40" x14ac:dyDescent="0.25">
      <c r="A5886" t="str">
        <f>"20190304164243022"</f>
        <v>20190304164243022</v>
      </c>
      <c r="B5886" t="str">
        <f>"1551688963016758"</f>
        <v>1551688963016758</v>
      </c>
      <c r="C5886" t="s">
        <v>40</v>
      </c>
      <c r="D5886">
        <v>4.160952</v>
      </c>
      <c r="E5886">
        <v>0.52248329999999998</v>
      </c>
      <c r="F5886" t="s">
        <v>59</v>
      </c>
      <c r="G5886">
        <v>-383.31920000000002</v>
      </c>
      <c r="H5886" s="1">
        <v>-3.2145030000000002E-6</v>
      </c>
      <c r="I5886">
        <v>19.300750000000001</v>
      </c>
      <c r="J5886">
        <v>-395.7011</v>
      </c>
      <c r="K5886">
        <v>1.1126199999999999</v>
      </c>
      <c r="L5886">
        <v>19.35361</v>
      </c>
      <c r="M5886">
        <v>0.98111899999999996</v>
      </c>
      <c r="N5886">
        <v>-1.288478E-2</v>
      </c>
      <c r="O5886">
        <v>-0.1929758</v>
      </c>
      <c r="P5886">
        <v>0.93643310000000002</v>
      </c>
      <c r="Q5886">
        <v>0.35006019999999999</v>
      </c>
      <c r="R5886">
        <v>2.3474450000000001E-2</v>
      </c>
      <c r="S5886">
        <v>3.3152159999999999</v>
      </c>
      <c r="T5886">
        <v>-0.29505920000000002</v>
      </c>
      <c r="U5886">
        <v>-1.971436E-2</v>
      </c>
      <c r="V5886">
        <v>-0.20546439999999999</v>
      </c>
      <c r="W5886">
        <v>0.36084509999999997</v>
      </c>
      <c r="X5886">
        <v>0.90971159999999995</v>
      </c>
      <c r="Y5886">
        <v>-0.1857634</v>
      </c>
      <c r="Z5886">
        <v>2.4012450000000001E-2</v>
      </c>
      <c r="AA5886">
        <v>0.98230110000000004</v>
      </c>
      <c r="AB5886">
        <v>21</v>
      </c>
      <c r="AC5886">
        <v>12.3818999999999</v>
      </c>
      <c r="AD5886">
        <v>-1.1126232145029999</v>
      </c>
      <c r="AE5886">
        <v>-5.2859999999998998E-2</v>
      </c>
      <c r="AF5886">
        <v>-2.3190141730756402</v>
      </c>
      <c r="AG5886">
        <v>-1.1126232145029999</v>
      </c>
      <c r="AH5886">
        <v>12.061932742542099</v>
      </c>
      <c r="AI5886">
        <v>95.175930842138001</v>
      </c>
      <c r="AJ5886">
        <v>100.882832292068</v>
      </c>
      <c r="AK5886">
        <v>12.333125258343401</v>
      </c>
      <c r="AL5886">
        <v>68.847894436315201</v>
      </c>
      <c r="AM5886">
        <v>102.72709140990401</v>
      </c>
      <c r="AN5886">
        <v>1.0000000005179599</v>
      </c>
    </row>
    <row r="5887" spans="1:40" x14ac:dyDescent="0.25">
      <c r="A5887" t="str">
        <f>"20190304164243039"</f>
        <v>20190304164243039</v>
      </c>
      <c r="B5887" t="str">
        <f>"1551688963027494"</f>
        <v>1551688963027494</v>
      </c>
      <c r="C5887" t="s">
        <v>40</v>
      </c>
      <c r="D5887">
        <v>4.1697550000000003</v>
      </c>
      <c r="E5887">
        <v>0.52259489999999997</v>
      </c>
      <c r="F5887" t="s">
        <v>59</v>
      </c>
      <c r="G5887">
        <v>-383.17180000000002</v>
      </c>
      <c r="H5887" s="1">
        <v>-3.287688E-6</v>
      </c>
      <c r="I5887">
        <v>19.28069</v>
      </c>
      <c r="J5887">
        <v>-395.54910000000001</v>
      </c>
      <c r="K5887">
        <v>1.112533</v>
      </c>
      <c r="L5887">
        <v>19.326750000000001</v>
      </c>
      <c r="M5887">
        <v>0.98161100000000001</v>
      </c>
      <c r="N5887">
        <v>-1.2788010000000001E-2</v>
      </c>
      <c r="O5887">
        <v>-0.19046350000000001</v>
      </c>
      <c r="P5887">
        <v>0.93698519999999996</v>
      </c>
      <c r="Q5887">
        <v>0.34862579999999999</v>
      </c>
      <c r="R5887">
        <v>2.277964E-2</v>
      </c>
      <c r="S5887">
        <v>3.314117</v>
      </c>
      <c r="T5887">
        <v>-0.29430099999999998</v>
      </c>
      <c r="U5887">
        <v>-1.928711E-2</v>
      </c>
      <c r="V5887">
        <v>-0.2024792</v>
      </c>
      <c r="W5887">
        <v>0.35938510000000001</v>
      </c>
      <c r="X5887">
        <v>0.91095809999999999</v>
      </c>
      <c r="Y5887">
        <v>-0.1833959</v>
      </c>
      <c r="Z5887">
        <v>2.3658800000000001E-2</v>
      </c>
      <c r="AA5887">
        <v>0.98275440000000003</v>
      </c>
      <c r="AB5887">
        <v>21</v>
      </c>
      <c r="AC5887">
        <v>12.3772999999999</v>
      </c>
      <c r="AD5887">
        <v>-1.1125362876880001</v>
      </c>
      <c r="AE5887">
        <v>-4.60600000000006E-2</v>
      </c>
      <c r="AF5887">
        <v>-2.2938672178360702</v>
      </c>
      <c r="AG5887">
        <v>-1.1125362876880001</v>
      </c>
      <c r="AH5887">
        <v>12.0620087881217</v>
      </c>
      <c r="AI5887">
        <v>95.177477341693404</v>
      </c>
      <c r="AJ5887">
        <v>100.767528186032</v>
      </c>
      <c r="AK5887">
        <v>12.328488139638701</v>
      </c>
      <c r="AL5887">
        <v>68.9375637876485</v>
      </c>
      <c r="AM5887">
        <v>102.53144887744401</v>
      </c>
      <c r="AN5887">
        <v>1.00000006824512</v>
      </c>
    </row>
    <row r="5888" spans="1:40" x14ac:dyDescent="0.25">
      <c r="A5888" t="str">
        <f>"20190304164243052"</f>
        <v>20190304164243052</v>
      </c>
      <c r="B5888" t="str">
        <f>"1551688963047014"</f>
        <v>1551688963047014</v>
      </c>
      <c r="C5888" t="s">
        <v>40</v>
      </c>
      <c r="D5888">
        <v>4.1580300000000001</v>
      </c>
      <c r="E5888">
        <v>0.52279249999999999</v>
      </c>
      <c r="F5888" t="s">
        <v>59</v>
      </c>
      <c r="G5888">
        <v>-383.1825</v>
      </c>
      <c r="H5888" s="1">
        <v>-3.2888140000000001E-6</v>
      </c>
      <c r="I5888">
        <v>19.24588</v>
      </c>
      <c r="J5888">
        <v>-395.4402</v>
      </c>
      <c r="K5888">
        <v>1.1124799999999999</v>
      </c>
      <c r="L5888">
        <v>19.307739999999999</v>
      </c>
      <c r="M5888">
        <v>0.98194930000000002</v>
      </c>
      <c r="N5888">
        <v>-1.271832E-2</v>
      </c>
      <c r="O5888">
        <v>-0.18871669999999999</v>
      </c>
      <c r="P5888">
        <v>0.93717099999999998</v>
      </c>
      <c r="Q5888">
        <v>0.34810609999999997</v>
      </c>
      <c r="R5888">
        <v>2.3083389999999999E-2</v>
      </c>
      <c r="S5888">
        <v>3.3132320000000002</v>
      </c>
      <c r="T5888">
        <v>-0.29806909999999998</v>
      </c>
      <c r="U5888">
        <v>-2.1667479999999999E-2</v>
      </c>
      <c r="V5888">
        <v>-0.2011413</v>
      </c>
      <c r="W5888">
        <v>0.3588363</v>
      </c>
      <c r="X5888">
        <v>0.91147060000000002</v>
      </c>
      <c r="Y5888">
        <v>-0.1809181</v>
      </c>
      <c r="Z5888">
        <v>2.3730970000000001E-2</v>
      </c>
      <c r="AA5888">
        <v>0.98321179999999997</v>
      </c>
      <c r="AB5888">
        <v>21</v>
      </c>
      <c r="AC5888">
        <v>12.2577</v>
      </c>
      <c r="AD5888">
        <v>-1.1124832888139999</v>
      </c>
      <c r="AE5888">
        <v>-6.1859999999999297E-2</v>
      </c>
      <c r="AF5888">
        <v>-2.23426811422061</v>
      </c>
      <c r="AG5888">
        <v>-1.1124832888139999</v>
      </c>
      <c r="AH5888">
        <v>11.950652425311301</v>
      </c>
      <c r="AI5888">
        <v>95.228250701708205</v>
      </c>
      <c r="AJ5888">
        <v>100.58964360726</v>
      </c>
      <c r="AK5888">
        <v>12.208507954074999</v>
      </c>
      <c r="AL5888">
        <v>68.971253226865599</v>
      </c>
      <c r="AM5888">
        <v>102.444453884772</v>
      </c>
      <c r="AN5888">
        <v>0.999999983713869</v>
      </c>
    </row>
    <row r="5889" spans="1:40" x14ac:dyDescent="0.25">
      <c r="A5889" t="str">
        <f>"20190304164243064"</f>
        <v>20190304164243064</v>
      </c>
      <c r="B5889" t="str">
        <f>"1551688963056775"</f>
        <v>1551688963056775</v>
      </c>
      <c r="C5889" t="s">
        <v>40</v>
      </c>
      <c r="D5889">
        <v>4.1671180000000003</v>
      </c>
      <c r="E5889">
        <v>0.52289629999999998</v>
      </c>
      <c r="F5889" t="s">
        <v>59</v>
      </c>
      <c r="G5889">
        <v>-383.04719999999998</v>
      </c>
      <c r="H5889" s="1">
        <v>-3.3561910000000001E-6</v>
      </c>
      <c r="I5889">
        <v>19.226659999999999</v>
      </c>
      <c r="J5889">
        <v>-395.315</v>
      </c>
      <c r="K5889">
        <v>1.1124210000000001</v>
      </c>
      <c r="L5889">
        <v>19.285979999999999</v>
      </c>
      <c r="M5889">
        <v>0.98232779999999997</v>
      </c>
      <c r="N5889">
        <v>-1.263741E-2</v>
      </c>
      <c r="O5889">
        <v>-0.18674199999999999</v>
      </c>
      <c r="P5889">
        <v>0.93728319999999998</v>
      </c>
      <c r="Q5889">
        <v>0.34777219999999998</v>
      </c>
      <c r="R5889">
        <v>2.355492E-2</v>
      </c>
      <c r="S5889">
        <v>3.312103</v>
      </c>
      <c r="T5889">
        <v>-0.2973169</v>
      </c>
      <c r="U5889">
        <v>-2.1667479999999999E-2</v>
      </c>
      <c r="V5889">
        <v>-0.19973840000000001</v>
      </c>
      <c r="W5889">
        <v>0.3584638</v>
      </c>
      <c r="X5889">
        <v>0.9119256</v>
      </c>
      <c r="Y5889">
        <v>-0.1789587</v>
      </c>
      <c r="Z5889">
        <v>2.343524E-2</v>
      </c>
      <c r="AA5889">
        <v>0.98357740000000005</v>
      </c>
      <c r="AB5889">
        <v>21</v>
      </c>
      <c r="AC5889">
        <v>12.267799999999999</v>
      </c>
      <c r="AD5889">
        <v>-1.1124243561910001</v>
      </c>
      <c r="AE5889">
        <v>-5.9319999999999602E-2</v>
      </c>
      <c r="AF5889">
        <v>-2.2146105524095501</v>
      </c>
      <c r="AG5889">
        <v>-1.1124243561910001</v>
      </c>
      <c r="AH5889">
        <v>11.9646627173924</v>
      </c>
      <c r="AI5889">
        <v>95.223626108385503</v>
      </c>
      <c r="AJ5889">
        <v>100.486533379999</v>
      </c>
      <c r="AK5889">
        <v>12.2186391135858</v>
      </c>
      <c r="AL5889">
        <v>68.994117608674998</v>
      </c>
      <c r="AM5889">
        <v>102.35435676527101</v>
      </c>
      <c r="AN5889">
        <v>1.00000001214018</v>
      </c>
    </row>
    <row r="5890" spans="1:40" x14ac:dyDescent="0.25">
      <c r="A5890" t="str">
        <f>"20190304164243076"</f>
        <v>20190304164243076</v>
      </c>
      <c r="B5890" t="str">
        <f>"1551688963067510"</f>
        <v>1551688963067510</v>
      </c>
      <c r="C5890" t="s">
        <v>40</v>
      </c>
      <c r="D5890">
        <v>4.1636819999999997</v>
      </c>
      <c r="E5890">
        <v>0.52299680000000004</v>
      </c>
      <c r="F5890" t="s">
        <v>59</v>
      </c>
      <c r="G5890">
        <v>-382.93060000000003</v>
      </c>
      <c r="H5890" s="1">
        <v>-3.414029E-6</v>
      </c>
      <c r="I5890">
        <v>19.21123</v>
      </c>
      <c r="J5890">
        <v>-395.1979</v>
      </c>
      <c r="K5890">
        <v>1.112368</v>
      </c>
      <c r="L5890">
        <v>19.26587</v>
      </c>
      <c r="M5890">
        <v>0.98266659999999995</v>
      </c>
      <c r="N5890">
        <v>-1.2558450000000001E-2</v>
      </c>
      <c r="O5890">
        <v>-0.18495610000000001</v>
      </c>
      <c r="P5890">
        <v>0.93726529999999997</v>
      </c>
      <c r="Q5890">
        <v>0.347798</v>
      </c>
      <c r="R5890">
        <v>2.3875449999999999E-2</v>
      </c>
      <c r="S5890">
        <v>3.3115839999999999</v>
      </c>
      <c r="T5890">
        <v>-0.29746209999999901</v>
      </c>
      <c r="U5890">
        <v>-1.9989010000000001E-2</v>
      </c>
      <c r="V5890">
        <v>-0.19834479999999999</v>
      </c>
      <c r="W5890">
        <v>0.35844910000000002</v>
      </c>
      <c r="X5890">
        <v>0.91223549999999998</v>
      </c>
      <c r="Y5890">
        <v>-0.17767659999999999</v>
      </c>
      <c r="Z5890">
        <v>2.3258310000000001E-2</v>
      </c>
      <c r="AA5890">
        <v>0.98381410000000002</v>
      </c>
      <c r="AB5890">
        <v>21</v>
      </c>
      <c r="AC5890">
        <v>12.267299999999899</v>
      </c>
      <c r="AD5890">
        <v>-1.112371414029</v>
      </c>
      <c r="AE5890">
        <v>-5.4639999999999099E-2</v>
      </c>
      <c r="AF5890">
        <v>-2.1973265689804999</v>
      </c>
      <c r="AG5890">
        <v>-1.112371414029</v>
      </c>
      <c r="AH5890">
        <v>11.967323898888299</v>
      </c>
      <c r="AI5890">
        <v>95.223599374026406</v>
      </c>
      <c r="AJ5890">
        <v>100.40422226758</v>
      </c>
      <c r="AK5890">
        <v>12.218119966443201</v>
      </c>
      <c r="AL5890">
        <v>68.995019812917107</v>
      </c>
      <c r="AM5890">
        <v>102.26673694258901</v>
      </c>
      <c r="AN5890">
        <v>1.00000001221905</v>
      </c>
    </row>
    <row r="5891" spans="1:40" x14ac:dyDescent="0.25">
      <c r="A5891" t="str">
        <f>"20190304164243088"</f>
        <v>20190304164243088</v>
      </c>
      <c r="B5891" t="str">
        <f>"1551688963077271"</f>
        <v>1551688963077271</v>
      </c>
      <c r="C5891" t="s">
        <v>40</v>
      </c>
      <c r="D5891">
        <v>4.1656599999999999</v>
      </c>
      <c r="E5891">
        <v>0.52309529999999904</v>
      </c>
      <c r="F5891" t="s">
        <v>59</v>
      </c>
      <c r="G5891">
        <v>-382.77420000000001</v>
      </c>
      <c r="H5891" s="1">
        <v>-3.4912499999999998E-6</v>
      </c>
      <c r="I5891">
        <v>19.192710000000002</v>
      </c>
      <c r="J5891">
        <v>-395.09379999999999</v>
      </c>
      <c r="K5891">
        <v>1.1123240000000001</v>
      </c>
      <c r="L5891">
        <v>19.248080000000002</v>
      </c>
      <c r="M5891">
        <v>0.98295880000000002</v>
      </c>
      <c r="N5891">
        <v>-1.248822E-2</v>
      </c>
      <c r="O5891">
        <v>-0.18340119999999999</v>
      </c>
      <c r="P5891">
        <v>0.93720409999999998</v>
      </c>
      <c r="Q5891">
        <v>0.34794370000000002</v>
      </c>
      <c r="R5891">
        <v>2.4156560000000001E-2</v>
      </c>
      <c r="S5891">
        <v>3.3113100000000002</v>
      </c>
      <c r="T5891">
        <v>-0.29648289999999999</v>
      </c>
      <c r="U5891">
        <v>-1.9500730000000001E-2</v>
      </c>
      <c r="V5891">
        <v>-0.19712759999999999</v>
      </c>
      <c r="W5891">
        <v>0.35855559999999997</v>
      </c>
      <c r="X5891">
        <v>0.91245750000000003</v>
      </c>
      <c r="Y5891">
        <v>-0.17628360000000001</v>
      </c>
      <c r="Z5891">
        <v>2.299851E-2</v>
      </c>
      <c r="AA5891">
        <v>0.98407069999999996</v>
      </c>
      <c r="AB5891">
        <v>21</v>
      </c>
      <c r="AC5891">
        <v>12.3195999999999</v>
      </c>
      <c r="AD5891">
        <v>-1.1123274912500001</v>
      </c>
      <c r="AE5891">
        <v>-5.5369999999996297E-2</v>
      </c>
      <c r="AF5891">
        <v>-2.1873438089660699</v>
      </c>
      <c r="AG5891">
        <v>-1.1123274912500001</v>
      </c>
      <c r="AH5891">
        <v>12.022750320484</v>
      </c>
      <c r="AI5891">
        <v>95.200979766637403</v>
      </c>
      <c r="AJ5891">
        <v>100.311254900188</v>
      </c>
      <c r="AK5891">
        <v>12.270626335077999</v>
      </c>
      <c r="AL5891">
        <v>68.988484136912902</v>
      </c>
      <c r="AM5891">
        <v>102.190839753755</v>
      </c>
      <c r="AN5891">
        <v>1.0000000491396801</v>
      </c>
    </row>
    <row r="5892" spans="1:40" x14ac:dyDescent="0.25">
      <c r="A5892" t="str">
        <f>"20190304164243107"</f>
        <v>20190304164243107</v>
      </c>
      <c r="B5892" t="str">
        <f>"1551688963097245"</f>
        <v>1551688963097245</v>
      </c>
      <c r="C5892" t="s">
        <v>40</v>
      </c>
      <c r="D5892">
        <v>4.1356970000000004</v>
      </c>
      <c r="E5892">
        <v>0.52681889999999998</v>
      </c>
      <c r="F5892" t="s">
        <v>59</v>
      </c>
      <c r="G5892">
        <v>-382.60770000000002</v>
      </c>
      <c r="H5892" s="1">
        <v>-3.5732890000000001E-6</v>
      </c>
      <c r="I5892">
        <v>19.17408</v>
      </c>
      <c r="J5892">
        <v>-394.92160000000001</v>
      </c>
      <c r="K5892">
        <v>1.1122570000000001</v>
      </c>
      <c r="L5892">
        <v>19.218990000000002</v>
      </c>
      <c r="M5892">
        <v>0.98342510000000005</v>
      </c>
      <c r="N5892">
        <v>-1.2371750000000001E-2</v>
      </c>
      <c r="O5892">
        <v>-0.18089250000000001</v>
      </c>
      <c r="P5892">
        <v>0.93703119999999995</v>
      </c>
      <c r="Q5892">
        <v>0.34838770000000002</v>
      </c>
      <c r="R5892">
        <v>2.4471710000000001E-2</v>
      </c>
      <c r="S5892">
        <v>3.311035</v>
      </c>
      <c r="T5892">
        <v>-0.29496349999999999</v>
      </c>
      <c r="U5892">
        <v>-1.9622799999999999E-2</v>
      </c>
      <c r="V5892">
        <v>-0.1950171</v>
      </c>
      <c r="W5892">
        <v>0.35893249999999999</v>
      </c>
      <c r="X5892">
        <v>0.91276279999999999</v>
      </c>
      <c r="Y5892">
        <v>-0.17376649999999999</v>
      </c>
      <c r="Z5892">
        <v>2.2571830000000001E-2</v>
      </c>
      <c r="AA5892">
        <v>0.98452819999999996</v>
      </c>
      <c r="AB5892">
        <v>21</v>
      </c>
      <c r="AC5892">
        <v>12.313899999999901</v>
      </c>
      <c r="AD5892">
        <v>-1.1122605732889901</v>
      </c>
      <c r="AE5892">
        <v>-4.4909999999998E-2</v>
      </c>
      <c r="AF5892">
        <v>-2.16582344769528</v>
      </c>
      <c r="AG5892">
        <v>-1.1122605732889901</v>
      </c>
      <c r="AH5892">
        <v>12.020776401928501</v>
      </c>
      <c r="AI5892">
        <v>95.203114569350106</v>
      </c>
      <c r="AJ5892">
        <v>100.213593458993</v>
      </c>
      <c r="AK5892">
        <v>12.2648677161493</v>
      </c>
      <c r="AL5892">
        <v>68.965349855115093</v>
      </c>
      <c r="AM5892">
        <v>102.060247725485</v>
      </c>
      <c r="AN5892">
        <v>1.0000000689562401</v>
      </c>
    </row>
    <row r="5893" spans="1:40" x14ac:dyDescent="0.25">
      <c r="A5893" t="str">
        <f>"20190304164243120"</f>
        <v>20190304164243120</v>
      </c>
      <c r="B5893" t="str">
        <f>"1551688963116765"</f>
        <v>1551688963116765</v>
      </c>
      <c r="C5893" t="s">
        <v>40</v>
      </c>
      <c r="D5893">
        <v>4.1566479999999997</v>
      </c>
      <c r="E5893">
        <v>0.52635189999999998</v>
      </c>
      <c r="F5893" t="s">
        <v>59</v>
      </c>
      <c r="G5893">
        <v>-380.0283</v>
      </c>
      <c r="H5893" s="1">
        <v>-4.8272470000000004E-6</v>
      </c>
      <c r="I5893">
        <v>18.978670000000001</v>
      </c>
      <c r="J5893">
        <v>-394.79160000000002</v>
      </c>
      <c r="K5893">
        <v>1.1122080000000001</v>
      </c>
      <c r="L5893">
        <v>19.19727</v>
      </c>
      <c r="M5893">
        <v>0.98376359999999996</v>
      </c>
      <c r="N5893">
        <v>-1.228363E-2</v>
      </c>
      <c r="O5893">
        <v>-0.17904800000000001</v>
      </c>
      <c r="P5893">
        <v>0.9368997</v>
      </c>
      <c r="Q5893">
        <v>0.34867989999999999</v>
      </c>
      <c r="R5893">
        <v>2.5325830000000001E-2</v>
      </c>
      <c r="S5893">
        <v>3.2944949999999902</v>
      </c>
      <c r="T5893">
        <v>-0.24603990000000001</v>
      </c>
      <c r="U5893">
        <v>-5.316162E-2</v>
      </c>
      <c r="V5893">
        <v>-0.19407940000000001</v>
      </c>
      <c r="W5893">
        <v>0.35916749999999997</v>
      </c>
      <c r="X5893">
        <v>0.91287019999999997</v>
      </c>
      <c r="Y5893">
        <v>-0.16229560000000001</v>
      </c>
      <c r="Z5893">
        <v>1.813644E-2</v>
      </c>
      <c r="AA5893">
        <v>0.98657550000000005</v>
      </c>
      <c r="AB5893">
        <v>21</v>
      </c>
      <c r="AC5893">
        <v>14.763299999999999</v>
      </c>
      <c r="AD5893">
        <v>-1.112212827247</v>
      </c>
      <c r="AE5893">
        <v>-0.21859999999999799</v>
      </c>
      <c r="AF5893">
        <v>-2.4147697908425698</v>
      </c>
      <c r="AG5893">
        <v>-1.112212827247</v>
      </c>
      <c r="AH5893">
        <v>14.4816630418392</v>
      </c>
      <c r="AI5893">
        <v>94.332196144659093</v>
      </c>
      <c r="AJ5893">
        <v>99.4667848199893</v>
      </c>
      <c r="AK5893">
        <v>14.7236780382223</v>
      </c>
      <c r="AL5893">
        <v>68.950923042386407</v>
      </c>
      <c r="AM5893">
        <v>102.00257311567201</v>
      </c>
      <c r="AN5893">
        <v>1.0000000543043199</v>
      </c>
    </row>
    <row r="5894" spans="1:40" x14ac:dyDescent="0.25">
      <c r="A5894" t="str">
        <f>"20190304164243141"</f>
        <v>20190304164243141</v>
      </c>
      <c r="B5894" t="str">
        <f>"1551688963137261"</f>
        <v>1551688963137261</v>
      </c>
      <c r="C5894" t="s">
        <v>40</v>
      </c>
      <c r="D5894">
        <v>4.1729770000000004</v>
      </c>
      <c r="E5894">
        <v>0.52637179999999995</v>
      </c>
      <c r="F5894" t="s">
        <v>59</v>
      </c>
      <c r="G5894">
        <v>-380.45310000000001</v>
      </c>
      <c r="H5894" s="1">
        <v>-4.6236750000000002E-6</v>
      </c>
      <c r="I5894">
        <v>18.994299999999999</v>
      </c>
      <c r="J5894">
        <v>-394.60320000000002</v>
      </c>
      <c r="K5894">
        <v>1.1121449999999999</v>
      </c>
      <c r="L5894">
        <v>19.166139999999999</v>
      </c>
      <c r="M5894">
        <v>0.98423530000000004</v>
      </c>
      <c r="N5894">
        <v>-1.215932E-2</v>
      </c>
      <c r="O5894">
        <v>-0.17644550000000001</v>
      </c>
      <c r="P5894">
        <v>0.93697299999999994</v>
      </c>
      <c r="Q5894">
        <v>0.3483947</v>
      </c>
      <c r="R5894">
        <v>2.651152E-2</v>
      </c>
      <c r="S5894">
        <v>3.2985530000000001</v>
      </c>
      <c r="T5894">
        <v>-0.25586209999999998</v>
      </c>
      <c r="U5894">
        <v>-4.669189E-2</v>
      </c>
      <c r="V5894">
        <v>-0.19278719999999999</v>
      </c>
      <c r="W5894">
        <v>0.358801599999999</v>
      </c>
      <c r="X5894">
        <v>0.91328779999999998</v>
      </c>
      <c r="Y5894">
        <v>-0.1615762</v>
      </c>
      <c r="Z5894">
        <v>1.869606E-2</v>
      </c>
      <c r="AA5894">
        <v>0.98668310000000004</v>
      </c>
      <c r="AB5894">
        <v>21</v>
      </c>
      <c r="AC5894">
        <v>14.1501</v>
      </c>
      <c r="AD5894">
        <v>-1.1121496236749999</v>
      </c>
      <c r="AE5894">
        <v>-0.17183999999999899</v>
      </c>
      <c r="AF5894">
        <v>-2.3134733742742899</v>
      </c>
      <c r="AG5894">
        <v>-1.1121496236749999</v>
      </c>
      <c r="AH5894">
        <v>13.8726954061282</v>
      </c>
      <c r="AI5894">
        <v>94.521324917500905</v>
      </c>
      <c r="AJ5894">
        <v>99.467777109952195</v>
      </c>
      <c r="AK5894">
        <v>14.1081789636411</v>
      </c>
      <c r="AL5894">
        <v>68.973384674525093</v>
      </c>
      <c r="AM5894">
        <v>101.919657339644</v>
      </c>
      <c r="AN5894">
        <v>1.00000004913761</v>
      </c>
    </row>
    <row r="5895" spans="1:40" x14ac:dyDescent="0.25">
      <c r="A5895" t="str">
        <f>"20190304164243164"</f>
        <v>20190304164243164</v>
      </c>
      <c r="B5895" t="str">
        <f>"1551688963156782"</f>
        <v>1551688963156782</v>
      </c>
      <c r="C5895" t="s">
        <v>40</v>
      </c>
      <c r="D5895">
        <v>4.1588019999999997</v>
      </c>
      <c r="E5895">
        <v>0.52654669999999903</v>
      </c>
      <c r="F5895" t="s">
        <v>59</v>
      </c>
      <c r="G5895">
        <v>-380.55520000000001</v>
      </c>
      <c r="H5895" s="1">
        <v>-4.5788479999999997E-6</v>
      </c>
      <c r="I5895">
        <v>18.974789999999999</v>
      </c>
      <c r="J5895">
        <v>-394.39330000000001</v>
      </c>
      <c r="K5895">
        <v>1.1120730000000001</v>
      </c>
      <c r="L5895">
        <v>19.131900000000002</v>
      </c>
      <c r="M5895">
        <v>0.98473569999999999</v>
      </c>
      <c r="N5895">
        <v>-1.201994E-2</v>
      </c>
      <c r="O5895">
        <v>-0.17364160000000001</v>
      </c>
      <c r="P5895">
        <v>0.93734090000000003</v>
      </c>
      <c r="Q5895">
        <v>0.34728910000000002</v>
      </c>
      <c r="R5895">
        <v>2.7979899999999999E-2</v>
      </c>
      <c r="S5895">
        <v>3.3002319999999998</v>
      </c>
      <c r="T5895">
        <v>-0.261272</v>
      </c>
      <c r="U5895">
        <v>-4.4952390000000002E-2</v>
      </c>
      <c r="V5895">
        <v>-0.191634</v>
      </c>
      <c r="W5895">
        <v>0.35760449999999999</v>
      </c>
      <c r="X5895">
        <v>0.91399969999999997</v>
      </c>
      <c r="Y5895">
        <v>-0.15926560000000001</v>
      </c>
      <c r="Z5895">
        <v>1.8828270000000001E-2</v>
      </c>
      <c r="AA5895">
        <v>0.98705620000000005</v>
      </c>
      <c r="AB5895">
        <v>21</v>
      </c>
      <c r="AC5895">
        <v>13.838099999999899</v>
      </c>
      <c r="AD5895">
        <v>-1.112077578848</v>
      </c>
      <c r="AE5895">
        <v>-0.157110000000002</v>
      </c>
      <c r="AF5895">
        <v>-2.2338948330447899</v>
      </c>
      <c r="AG5895">
        <v>-1.112077578848</v>
      </c>
      <c r="AH5895">
        <v>13.567524809113401</v>
      </c>
      <c r="AI5895">
        <v>94.623857416466905</v>
      </c>
      <c r="AJ5895">
        <v>99.349869666096893</v>
      </c>
      <c r="AK5895">
        <v>13.795098118983701</v>
      </c>
      <c r="AL5895">
        <v>69.046847364811399</v>
      </c>
      <c r="AM5895">
        <v>101.841409689644</v>
      </c>
      <c r="AN5895">
        <v>1.0000000099881601</v>
      </c>
    </row>
    <row r="5896" spans="1:40" x14ac:dyDescent="0.25">
      <c r="A5896" t="str">
        <f>"20190304164243176"</f>
        <v>20190304164243176</v>
      </c>
      <c r="B5896" t="str">
        <f>"1551688963167518"</f>
        <v>1551688963167518</v>
      </c>
      <c r="C5896" t="s">
        <v>40</v>
      </c>
      <c r="D5896">
        <v>4.143567</v>
      </c>
      <c r="E5896">
        <v>0.5266014</v>
      </c>
      <c r="F5896" t="s">
        <v>59</v>
      </c>
      <c r="G5896">
        <v>-380.7124</v>
      </c>
      <c r="H5896" s="1">
        <v>-4.5089129999999999E-6</v>
      </c>
      <c r="I5896">
        <v>18.95016</v>
      </c>
      <c r="J5896">
        <v>-394.26909999999998</v>
      </c>
      <c r="K5896">
        <v>1.1120399999999999</v>
      </c>
      <c r="L5896">
        <v>19.111940000000001</v>
      </c>
      <c r="M5896">
        <v>0.98501910000000004</v>
      </c>
      <c r="N5896">
        <v>-1.1935960000000001E-2</v>
      </c>
      <c r="O5896">
        <v>-0.1720325</v>
      </c>
      <c r="P5896">
        <v>0.93760860000000001</v>
      </c>
      <c r="Q5896">
        <v>0.34647430000000001</v>
      </c>
      <c r="R5896">
        <v>2.9086279999999999E-2</v>
      </c>
      <c r="S5896">
        <v>3.3012389999999998</v>
      </c>
      <c r="T5896">
        <v>-0.26834750000000002</v>
      </c>
      <c r="U5896">
        <v>-4.3853759999999999E-2</v>
      </c>
      <c r="V5896">
        <v>-0.19124160000000001</v>
      </c>
      <c r="W5896">
        <v>0.35673199999999999</v>
      </c>
      <c r="X5896">
        <v>0.91442279999999998</v>
      </c>
      <c r="Y5896">
        <v>-0.15793969999999999</v>
      </c>
      <c r="Z5896">
        <v>1.9197889999999999E-2</v>
      </c>
      <c r="AA5896">
        <v>0.98726210000000003</v>
      </c>
      <c r="AB5896">
        <v>21</v>
      </c>
      <c r="AC5896">
        <v>13.5566999999999</v>
      </c>
      <c r="AD5896">
        <v>-1.112044508913</v>
      </c>
      <c r="AE5896">
        <v>-0.16178000000000001</v>
      </c>
      <c r="AF5896">
        <v>-2.1584693004279201</v>
      </c>
      <c r="AG5896">
        <v>-1.112044508913</v>
      </c>
      <c r="AH5896">
        <v>13.2929586499673</v>
      </c>
      <c r="AI5896">
        <v>94.720497472295307</v>
      </c>
      <c r="AJ5896">
        <v>99.223013962771503</v>
      </c>
      <c r="AK5896">
        <v>13.5128968907645</v>
      </c>
      <c r="AL5896">
        <v>69.100369328789299</v>
      </c>
      <c r="AM5896">
        <v>101.81253072606199</v>
      </c>
      <c r="AN5896">
        <v>1.0000000632771899</v>
      </c>
    </row>
    <row r="5897" spans="1:40" x14ac:dyDescent="0.25">
      <c r="A5897" t="str">
        <f>"20190304164243188"</f>
        <v>20190304164243188</v>
      </c>
      <c r="B5897" t="str">
        <f>"1551688963177277"</f>
        <v>1551688963177277</v>
      </c>
      <c r="C5897" t="s">
        <v>40</v>
      </c>
      <c r="D5897">
        <v>4.1421599999999996</v>
      </c>
      <c r="E5897">
        <v>0.52659489999999998</v>
      </c>
      <c r="F5897" t="s">
        <v>59</v>
      </c>
      <c r="G5897">
        <v>-380.81220000000002</v>
      </c>
      <c r="H5897" s="1">
        <v>-4.4630829999999998E-6</v>
      </c>
      <c r="I5897">
        <v>18.94266</v>
      </c>
      <c r="J5897">
        <v>-394.16890000000001</v>
      </c>
      <c r="K5897">
        <v>1.112009</v>
      </c>
      <c r="L5897">
        <v>19.09592</v>
      </c>
      <c r="M5897">
        <v>0.98524299999999998</v>
      </c>
      <c r="N5897">
        <v>-1.186921E-2</v>
      </c>
      <c r="O5897">
        <v>-0.17074919999999999</v>
      </c>
      <c r="P5897">
        <v>0.9379402</v>
      </c>
      <c r="Q5897">
        <v>0.34547280000000002</v>
      </c>
      <c r="R5897">
        <v>3.0284620000000002E-2</v>
      </c>
      <c r="S5897">
        <v>3.3017270000000001</v>
      </c>
      <c r="T5897">
        <v>-0.27284540000000002</v>
      </c>
      <c r="U5897">
        <v>-4.1534420000000002E-2</v>
      </c>
      <c r="V5897">
        <v>-0.1912606</v>
      </c>
      <c r="W5897">
        <v>0.35568319999999998</v>
      </c>
      <c r="X5897">
        <v>0.91482719999999995</v>
      </c>
      <c r="Y5897">
        <v>-0.15731909999999999</v>
      </c>
      <c r="Z5897">
        <v>1.942238E-2</v>
      </c>
      <c r="AA5897">
        <v>0.98735680000000003</v>
      </c>
      <c r="AB5897">
        <v>21</v>
      </c>
      <c r="AC5897">
        <v>13.356699999999901</v>
      </c>
      <c r="AD5897">
        <v>-1.1120134630830001</v>
      </c>
      <c r="AE5897">
        <v>-0.15325999999999901</v>
      </c>
      <c r="AF5897">
        <v>-2.1151386230015499</v>
      </c>
      <c r="AG5897">
        <v>-1.1120134630830001</v>
      </c>
      <c r="AH5897">
        <v>13.0959321519244</v>
      </c>
      <c r="AI5897">
        <v>94.791706960598006</v>
      </c>
      <c r="AJ5897">
        <v>99.174676420777104</v>
      </c>
      <c r="AK5897">
        <v>13.312168278098</v>
      </c>
      <c r="AL5897">
        <v>69.164677649281103</v>
      </c>
      <c r="AM5897">
        <v>101.808595752043</v>
      </c>
      <c r="AN5897">
        <v>0.99999998086721897</v>
      </c>
    </row>
    <row r="5898" spans="1:40" x14ac:dyDescent="0.25">
      <c r="A5898" t="str">
        <f>"20190304164243199"</f>
        <v>20190304164243199</v>
      </c>
      <c r="B5898" t="str">
        <f>"1551688963187037"</f>
        <v>1551688963187037</v>
      </c>
      <c r="C5898" t="s">
        <v>40</v>
      </c>
      <c r="D5898">
        <v>4.1787000000000001</v>
      </c>
      <c r="E5898">
        <v>0.52665699999999904</v>
      </c>
      <c r="F5898" t="s">
        <v>59</v>
      </c>
      <c r="G5898">
        <v>-380.91559999999998</v>
      </c>
      <c r="H5898" s="1">
        <v>-4.4147250000000003E-6</v>
      </c>
      <c r="I5898">
        <v>18.939609999999998</v>
      </c>
      <c r="J5898">
        <v>-394.0573</v>
      </c>
      <c r="K5898">
        <v>1.111972</v>
      </c>
      <c r="L5898">
        <v>19.078189999999999</v>
      </c>
      <c r="M5898">
        <v>0.98548749999999996</v>
      </c>
      <c r="N5898">
        <v>-1.1796050000000001E-2</v>
      </c>
      <c r="O5898">
        <v>-0.1693385</v>
      </c>
      <c r="P5898">
        <v>0.93809030000000004</v>
      </c>
      <c r="Q5898">
        <v>0.34496840000000001</v>
      </c>
      <c r="R5898">
        <v>3.1364690000000001E-2</v>
      </c>
      <c r="S5898">
        <v>3.3018190000000001</v>
      </c>
      <c r="T5898">
        <v>-0.27703929999999999</v>
      </c>
      <c r="U5898">
        <v>-3.8940429999999998E-2</v>
      </c>
      <c r="V5898">
        <v>-0.19101470000000001</v>
      </c>
      <c r="W5898">
        <v>0.35512510000000003</v>
      </c>
      <c r="X5898">
        <v>0.9150954</v>
      </c>
      <c r="Y5898">
        <v>-0.15665399999999999</v>
      </c>
      <c r="Z5898">
        <v>1.9611610000000002E-2</v>
      </c>
      <c r="AA5898">
        <v>0.98745879999999997</v>
      </c>
      <c r="AB5898">
        <v>21</v>
      </c>
      <c r="AC5898">
        <v>13.1417</v>
      </c>
      <c r="AD5898">
        <v>-1.111976414725</v>
      </c>
      <c r="AE5898">
        <v>-0.13857999999999701</v>
      </c>
      <c r="AF5898">
        <v>-2.07412372877485</v>
      </c>
      <c r="AG5898">
        <v>-1.111976414725</v>
      </c>
      <c r="AH5898">
        <v>12.883121326192301</v>
      </c>
      <c r="AI5898">
        <v>94.870712815745605</v>
      </c>
      <c r="AJ5898">
        <v>99.145878890883395</v>
      </c>
      <c r="AK5898">
        <v>13.096308483483501</v>
      </c>
      <c r="AL5898">
        <v>69.198888808773106</v>
      </c>
      <c r="AM5898">
        <v>101.790479349485</v>
      </c>
      <c r="AN5898">
        <v>1.00000002168362</v>
      </c>
    </row>
    <row r="5899" spans="1:40" x14ac:dyDescent="0.25">
      <c r="A5899" t="str">
        <f>"20190304164243217"</f>
        <v>20190304164243217</v>
      </c>
      <c r="B5899" t="str">
        <f>"1551688963207534"</f>
        <v>1551688963207534</v>
      </c>
      <c r="C5899" t="s">
        <v>40</v>
      </c>
      <c r="D5899">
        <v>4.1732440000000004</v>
      </c>
      <c r="E5899">
        <v>0.52674960000000004</v>
      </c>
      <c r="F5899" t="s">
        <v>59</v>
      </c>
      <c r="G5899">
        <v>-380.91579999999999</v>
      </c>
      <c r="H5899" s="1">
        <v>-4.4158180000000002E-6</v>
      </c>
      <c r="I5899">
        <v>18.932919999999999</v>
      </c>
      <c r="J5899">
        <v>-393.89100000000002</v>
      </c>
      <c r="K5899">
        <v>1.1119319999999999</v>
      </c>
      <c r="L5899">
        <v>19.05209</v>
      </c>
      <c r="M5899">
        <v>0.98584000000000005</v>
      </c>
      <c r="N5899">
        <v>-1.16919E-2</v>
      </c>
      <c r="O5899">
        <v>-0.1672814</v>
      </c>
      <c r="P5899">
        <v>0.93825579999999997</v>
      </c>
      <c r="Q5899">
        <v>0.34437250000000003</v>
      </c>
      <c r="R5899">
        <v>3.2925780000000002E-2</v>
      </c>
      <c r="S5899">
        <v>3.3019099999999999</v>
      </c>
      <c r="T5899">
        <v>-0.2793947</v>
      </c>
      <c r="U5899">
        <v>-3.649902E-2</v>
      </c>
      <c r="V5899">
        <v>-0.1906352</v>
      </c>
      <c r="W5899">
        <v>0.35445199999999999</v>
      </c>
      <c r="X5899">
        <v>0.91543540000000001</v>
      </c>
      <c r="Y5899">
        <v>-0.1553146</v>
      </c>
      <c r="Z5899">
        <v>1.9584319999999999E-2</v>
      </c>
      <c r="AA5899">
        <v>0.98767090000000002</v>
      </c>
      <c r="AB5899">
        <v>21</v>
      </c>
      <c r="AC5899">
        <v>12.9751999999999</v>
      </c>
      <c r="AD5899">
        <v>-1.1119364158179901</v>
      </c>
      <c r="AE5899">
        <v>-0.119169999999996</v>
      </c>
      <c r="AF5899">
        <v>-2.0381998806488499</v>
      </c>
      <c r="AG5899">
        <v>-1.1119364158179901</v>
      </c>
      <c r="AH5899">
        <v>12.718880705203601</v>
      </c>
      <c r="AI5899">
        <v>94.933697015257806</v>
      </c>
      <c r="AJ5899">
        <v>99.104239476406406</v>
      </c>
      <c r="AK5899">
        <v>12.9290598165334</v>
      </c>
      <c r="AL5899">
        <v>69.240137217643806</v>
      </c>
      <c r="AM5899">
        <v>101.763459551762</v>
      </c>
      <c r="AN5899">
        <v>0.9999999856781</v>
      </c>
    </row>
    <row r="5900" spans="1:40" x14ac:dyDescent="0.25">
      <c r="A5900" t="str">
        <f>"20190304164243232"</f>
        <v>20190304164243232</v>
      </c>
      <c r="B5900" t="str">
        <f>"1551688963227054"</f>
        <v>1551688963227054</v>
      </c>
      <c r="C5900" t="s">
        <v>40</v>
      </c>
      <c r="D5900">
        <v>4.1762829999999997</v>
      </c>
      <c r="E5900">
        <v>0.52689259999999905</v>
      </c>
      <c r="F5900" t="s">
        <v>59</v>
      </c>
      <c r="G5900">
        <v>-380.8442</v>
      </c>
      <c r="H5900" s="1">
        <v>-4.4511410000000001E-6</v>
      </c>
      <c r="I5900">
        <v>18.924630000000001</v>
      </c>
      <c r="J5900">
        <v>-393.74970000000002</v>
      </c>
      <c r="K5900">
        <v>1.1119019999999999</v>
      </c>
      <c r="L5900">
        <v>19.030149999999999</v>
      </c>
      <c r="M5900">
        <v>0.98612979999999995</v>
      </c>
      <c r="N5900">
        <v>-1.1605499999999999E-2</v>
      </c>
      <c r="O5900">
        <v>-0.1655703</v>
      </c>
      <c r="P5900">
        <v>0.93820510000000001</v>
      </c>
      <c r="Q5900">
        <v>0.34437719999999999</v>
      </c>
      <c r="R5900">
        <v>3.4291269999999999E-2</v>
      </c>
      <c r="S5900">
        <v>3.3018489999999998</v>
      </c>
      <c r="T5900">
        <v>-0.28140569999999998</v>
      </c>
      <c r="U5900">
        <v>-3.225708E-2</v>
      </c>
      <c r="V5900">
        <v>-0.19035679999999999</v>
      </c>
      <c r="W5900">
        <v>0.35438950000000002</v>
      </c>
      <c r="X5900">
        <v>0.91551760000000004</v>
      </c>
      <c r="Y5900">
        <v>-0.15485869999999999</v>
      </c>
      <c r="Z5900">
        <v>1.9595120000000001E-2</v>
      </c>
      <c r="AA5900">
        <v>0.98774229999999996</v>
      </c>
      <c r="AB5900">
        <v>21</v>
      </c>
      <c r="AC5900">
        <v>12.9055</v>
      </c>
      <c r="AD5900">
        <v>-1.111906451141</v>
      </c>
      <c r="AE5900">
        <v>-0.105519999999998</v>
      </c>
      <c r="AF5900">
        <v>-2.0178698958848602</v>
      </c>
      <c r="AG5900">
        <v>-1.111906451141</v>
      </c>
      <c r="AH5900">
        <v>12.650923070014001</v>
      </c>
      <c r="AI5900">
        <v>94.960508863041099</v>
      </c>
      <c r="AJ5900">
        <v>99.062552457652203</v>
      </c>
      <c r="AK5900">
        <v>12.859004214799</v>
      </c>
      <c r="AL5900">
        <v>69.2439682472166</v>
      </c>
      <c r="AM5900">
        <v>101.745732734645</v>
      </c>
      <c r="AN5900">
        <v>1.0000000524631201</v>
      </c>
    </row>
    <row r="5901" spans="1:40" x14ac:dyDescent="0.25">
      <c r="A5901" t="str">
        <f>"20190304164243246"</f>
        <v>20190304164243246</v>
      </c>
      <c r="B5901" t="str">
        <f>"1551688963237789"</f>
        <v>1551688963237789</v>
      </c>
      <c r="C5901" t="s">
        <v>40</v>
      </c>
      <c r="D5901">
        <v>4.1284809999999998</v>
      </c>
      <c r="E5901">
        <v>0.52690819999999905</v>
      </c>
      <c r="F5901" t="s">
        <v>59</v>
      </c>
      <c r="G5901">
        <v>-380.74450000000002</v>
      </c>
      <c r="H5901" s="1">
        <v>-4.4989000000000002E-6</v>
      </c>
      <c r="I5901">
        <v>18.921140000000001</v>
      </c>
      <c r="J5901">
        <v>-393.61810000000003</v>
      </c>
      <c r="K5901">
        <v>1.1118699999999999</v>
      </c>
      <c r="L5901">
        <v>19.009889999999999</v>
      </c>
      <c r="M5901">
        <v>0.98639290000000002</v>
      </c>
      <c r="N5901">
        <v>-1.152658E-2</v>
      </c>
      <c r="O5901">
        <v>-0.16400129999999999</v>
      </c>
      <c r="P5901">
        <v>0.93811639999999996</v>
      </c>
      <c r="Q5901">
        <v>0.34450910000000001</v>
      </c>
      <c r="R5901">
        <v>3.5374580000000003E-2</v>
      </c>
      <c r="S5901">
        <v>3.3022770000000001</v>
      </c>
      <c r="T5901">
        <v>-0.2823348</v>
      </c>
      <c r="U5901">
        <v>-2.767944E-2</v>
      </c>
      <c r="V5901">
        <v>-0.18992999999999999</v>
      </c>
      <c r="W5901">
        <v>0.35446090000000002</v>
      </c>
      <c r="X5901">
        <v>0.91557860000000002</v>
      </c>
      <c r="Y5901">
        <v>-0.15465499999999999</v>
      </c>
      <c r="Z5901">
        <v>1.95438E-2</v>
      </c>
      <c r="AA5901">
        <v>0.98777519999999996</v>
      </c>
      <c r="AB5901">
        <v>21</v>
      </c>
      <c r="AC5901">
        <v>12.8736</v>
      </c>
      <c r="AD5901">
        <v>-1.1118744989</v>
      </c>
      <c r="AE5901">
        <v>-8.87499999999974E-2</v>
      </c>
      <c r="AF5901">
        <v>-2.00889427732645</v>
      </c>
      <c r="AG5901">
        <v>-1.1118744989</v>
      </c>
      <c r="AH5901">
        <v>12.619693318747601</v>
      </c>
      <c r="AI5901">
        <v>94.972824260194898</v>
      </c>
      <c r="AJ5901">
        <v>99.044866399345906</v>
      </c>
      <c r="AK5901">
        <v>12.8268694769231</v>
      </c>
      <c r="AL5901">
        <v>69.239593354025899</v>
      </c>
      <c r="AM5901">
        <v>101.71936759630999</v>
      </c>
      <c r="AN5901">
        <v>1.00000005365338</v>
      </c>
    </row>
    <row r="5902" spans="1:40" x14ac:dyDescent="0.25">
      <c r="A5902" t="str">
        <f>"20190304164243264"</f>
        <v>20190304164243264</v>
      </c>
      <c r="B5902" t="str">
        <f>"1551688963257310"</f>
        <v>1551688963257310</v>
      </c>
      <c r="C5902" t="s">
        <v>40</v>
      </c>
      <c r="D5902">
        <v>4.13713</v>
      </c>
      <c r="E5902">
        <v>0.52682949999999995</v>
      </c>
      <c r="F5902" t="s">
        <v>59</v>
      </c>
      <c r="G5902">
        <v>-380.59350000000001</v>
      </c>
      <c r="H5902" s="1">
        <v>-4.5709770000000004E-6</v>
      </c>
      <c r="I5902">
        <v>18.917090000000002</v>
      </c>
      <c r="J5902">
        <v>-393.45589999999999</v>
      </c>
      <c r="K5902">
        <v>1.111836</v>
      </c>
      <c r="L5902">
        <v>18.985109999999999</v>
      </c>
      <c r="M5902">
        <v>0.98670749999999996</v>
      </c>
      <c r="N5902">
        <v>-1.143213E-2</v>
      </c>
      <c r="O5902">
        <v>-0.16210350000000001</v>
      </c>
      <c r="P5902">
        <v>0.93796349999999995</v>
      </c>
      <c r="Q5902">
        <v>0.34477370000000002</v>
      </c>
      <c r="R5902">
        <v>3.681678E-2</v>
      </c>
      <c r="S5902">
        <v>3.3023069999999999</v>
      </c>
      <c r="T5902">
        <v>-0.28190890000000002</v>
      </c>
      <c r="U5902">
        <v>-2.3529049999999999E-2</v>
      </c>
      <c r="V5902">
        <v>-0.18953900000000001</v>
      </c>
      <c r="W5902">
        <v>0.35465079999999999</v>
      </c>
      <c r="X5902">
        <v>0.91558609999999896</v>
      </c>
      <c r="Y5902">
        <v>-0.15400649999999999</v>
      </c>
      <c r="Z5902">
        <v>1.9351940000000002E-2</v>
      </c>
      <c r="AA5902">
        <v>0.98788030000000004</v>
      </c>
      <c r="AB5902">
        <v>21</v>
      </c>
      <c r="AC5902">
        <v>12.8623999999999</v>
      </c>
      <c r="AD5902">
        <v>-1.1118405709770001</v>
      </c>
      <c r="AE5902">
        <v>-6.8020000000000594E-2</v>
      </c>
      <c r="AF5902">
        <v>-2.0030893557612601</v>
      </c>
      <c r="AG5902">
        <v>-1.1118405709770001</v>
      </c>
      <c r="AH5902">
        <v>12.609070188209801</v>
      </c>
      <c r="AI5902">
        <v>94.977092307899397</v>
      </c>
      <c r="AJ5902">
        <v>99.026634061946197</v>
      </c>
      <c r="AK5902">
        <v>12.815506522710599</v>
      </c>
      <c r="AL5902">
        <v>69.227957159004703</v>
      </c>
      <c r="AM5902">
        <v>101.69581362944299</v>
      </c>
      <c r="AN5902">
        <v>1.0000000644874201</v>
      </c>
    </row>
    <row r="5903" spans="1:40" x14ac:dyDescent="0.25">
      <c r="A5903" t="str">
        <f>"20190304164243275"</f>
        <v>20190304164243275</v>
      </c>
      <c r="B5903" t="str">
        <f>"1551688963267070"</f>
        <v>1551688963267070</v>
      </c>
      <c r="C5903" t="s">
        <v>40</v>
      </c>
      <c r="D5903">
        <v>4.126538</v>
      </c>
      <c r="E5903">
        <v>0.52317550000000002</v>
      </c>
      <c r="F5903" t="s">
        <v>59</v>
      </c>
      <c r="G5903">
        <v>-380.38139999999999</v>
      </c>
      <c r="H5903" s="1">
        <v>-4.6703760000000004E-6</v>
      </c>
      <c r="I5903">
        <v>18.92192</v>
      </c>
      <c r="J5903">
        <v>-393.33659999999998</v>
      </c>
      <c r="K5903">
        <v>1.1118140000000001</v>
      </c>
      <c r="L5903">
        <v>18.967099999999999</v>
      </c>
      <c r="M5903">
        <v>0.98693200000000003</v>
      </c>
      <c r="N5903">
        <v>-1.136504E-2</v>
      </c>
      <c r="O5903">
        <v>-0.16073609999999999</v>
      </c>
      <c r="P5903">
        <v>0.93797050000000004</v>
      </c>
      <c r="Q5903">
        <v>0.34460790000000002</v>
      </c>
      <c r="R5903">
        <v>3.8168479999999998E-2</v>
      </c>
      <c r="S5903">
        <v>3.3022770000000001</v>
      </c>
      <c r="T5903">
        <v>-0.2808235</v>
      </c>
      <c r="U5903">
        <v>-1.596069E-2</v>
      </c>
      <c r="V5903">
        <v>-0.18958510000000001</v>
      </c>
      <c r="W5903">
        <v>0.35443140000000001</v>
      </c>
      <c r="X5903">
        <v>0.91566150000000002</v>
      </c>
      <c r="Y5903">
        <v>-0.154909299999999</v>
      </c>
      <c r="Z5903">
        <v>1.922492E-2</v>
      </c>
      <c r="AA5903">
        <v>0.9877416</v>
      </c>
      <c r="AB5903">
        <v>21</v>
      </c>
      <c r="AC5903">
        <v>12.9551999999999</v>
      </c>
      <c r="AD5903">
        <v>-1.11181867037599</v>
      </c>
      <c r="AE5903">
        <v>-4.5179999999998402E-2</v>
      </c>
      <c r="AF5903">
        <v>-2.0230107894661602</v>
      </c>
      <c r="AG5903">
        <v>-1.11181867037599</v>
      </c>
      <c r="AH5903">
        <v>12.700450424165799</v>
      </c>
      <c r="AI5903">
        <v>94.941038411848794</v>
      </c>
      <c r="AJ5903">
        <v>99.050414539239497</v>
      </c>
      <c r="AK5903">
        <v>12.9085302953817</v>
      </c>
      <c r="AL5903">
        <v>69.241400963536606</v>
      </c>
      <c r="AM5903">
        <v>101.697643139837</v>
      </c>
      <c r="AN5903">
        <v>1.0000000550151</v>
      </c>
    </row>
    <row r="5904" spans="1:40" x14ac:dyDescent="0.25">
      <c r="A5904" t="str">
        <f>"20190304164243288"</f>
        <v>20190304164243288</v>
      </c>
      <c r="B5904" t="str">
        <f>"1551688963276830"</f>
        <v>1551688963276830</v>
      </c>
      <c r="C5904" t="s">
        <v>40</v>
      </c>
      <c r="D5904">
        <v>4.1471010000000001</v>
      </c>
      <c r="E5904">
        <v>0.52290179999999997</v>
      </c>
      <c r="F5904" t="s">
        <v>60</v>
      </c>
      <c r="G5904">
        <v>-378.09829999999999</v>
      </c>
      <c r="H5904" s="1">
        <v>-9.8173550000000009E-7</v>
      </c>
      <c r="I5904">
        <v>19.03942</v>
      </c>
      <c r="J5904">
        <v>-393.22699999999998</v>
      </c>
      <c r="K5904">
        <v>1.1117939999999999</v>
      </c>
      <c r="L5904">
        <v>18.950710000000001</v>
      </c>
      <c r="M5904">
        <v>0.98713419999999996</v>
      </c>
      <c r="N5904">
        <v>-1.130537E-2</v>
      </c>
      <c r="O5904">
        <v>-0.159494</v>
      </c>
      <c r="P5904">
        <v>0.93800669999999997</v>
      </c>
      <c r="Q5904">
        <v>0.34436420000000001</v>
      </c>
      <c r="R5904">
        <v>3.9455289999999997E-2</v>
      </c>
      <c r="S5904">
        <v>3.2858580000000002</v>
      </c>
      <c r="T5904">
        <v>-0.23974309999999999</v>
      </c>
      <c r="U5904">
        <v>1.5594480000000001E-2</v>
      </c>
      <c r="V5904">
        <v>-0.1896909</v>
      </c>
      <c r="W5904">
        <v>0.35413979999999901</v>
      </c>
      <c r="X5904">
        <v>0.91575240000000002</v>
      </c>
      <c r="Y5904">
        <v>-0.163386</v>
      </c>
      <c r="Z5904">
        <v>1.6655880000000001E-2</v>
      </c>
      <c r="AA5904">
        <v>0.98642160000000001</v>
      </c>
      <c r="AB5904">
        <v>21</v>
      </c>
      <c r="AC5904">
        <v>15.128699999999901</v>
      </c>
      <c r="AD5904">
        <v>-1.1117949817355</v>
      </c>
      <c r="AE5904">
        <v>8.8709999999998901E-2</v>
      </c>
      <c r="AF5904">
        <v>-2.4872330508011098</v>
      </c>
      <c r="AG5904">
        <v>-1.1117949817355</v>
      </c>
      <c r="AH5904">
        <v>14.8407146682204</v>
      </c>
      <c r="AI5904">
        <v>94.225605468248801</v>
      </c>
      <c r="AJ5904">
        <v>99.514079483199396</v>
      </c>
      <c r="AK5904">
        <v>15.0887119461518</v>
      </c>
      <c r="AL5904">
        <v>69.259267090931203</v>
      </c>
      <c r="AM5904">
        <v>101.702861370801</v>
      </c>
      <c r="AN5904">
        <v>1.0000000467962999</v>
      </c>
    </row>
    <row r="5905" spans="1:40" x14ac:dyDescent="0.25">
      <c r="A5905" t="str">
        <f>"20190304164243300"</f>
        <v>20190304164243300</v>
      </c>
      <c r="B5905" t="str">
        <f>"1551688963297326"</f>
        <v>1551688963297326</v>
      </c>
      <c r="C5905" t="s">
        <v>40</v>
      </c>
      <c r="D5905">
        <v>4.167726</v>
      </c>
      <c r="E5905">
        <v>0.52299980000000001</v>
      </c>
      <c r="F5905" t="s">
        <v>60</v>
      </c>
      <c r="G5905">
        <v>-378.32440000000003</v>
      </c>
      <c r="H5905" s="1">
        <v>-8.7212149999999899E-7</v>
      </c>
      <c r="I5905">
        <v>19.05489</v>
      </c>
      <c r="J5905">
        <v>-393.1103</v>
      </c>
      <c r="K5905">
        <v>1.111772</v>
      </c>
      <c r="L5905">
        <v>18.933319999999998</v>
      </c>
      <c r="M5905">
        <v>0.98734599999999995</v>
      </c>
      <c r="N5905">
        <v>-1.1243619999999999E-2</v>
      </c>
      <c r="O5905">
        <v>-0.1581825</v>
      </c>
      <c r="P5905">
        <v>0.93797489999999994</v>
      </c>
      <c r="Q5905">
        <v>0.34430139999999998</v>
      </c>
      <c r="R5905">
        <v>4.0741819999999998E-2</v>
      </c>
      <c r="S5905">
        <v>3.2873230000000002</v>
      </c>
      <c r="T5905">
        <v>-0.24524760000000001</v>
      </c>
      <c r="U5905">
        <v>2.2979739999999999E-2</v>
      </c>
      <c r="V5905">
        <v>-0.18972240000000001</v>
      </c>
      <c r="W5905">
        <v>0.35402650000000002</v>
      </c>
      <c r="X5905">
        <v>0.91578959999999998</v>
      </c>
      <c r="Y5905">
        <v>-0.16425129999999999</v>
      </c>
      <c r="Z5905">
        <v>1.701014E-2</v>
      </c>
      <c r="AA5905">
        <v>0.98627189999999998</v>
      </c>
      <c r="AB5905">
        <v>21</v>
      </c>
      <c r="AC5905">
        <v>14.7858999999999</v>
      </c>
      <c r="AD5905">
        <v>-1.1117728721215001</v>
      </c>
      <c r="AE5905">
        <v>0.121569999999998</v>
      </c>
      <c r="AF5905">
        <v>-2.4452336126416898</v>
      </c>
      <c r="AG5905">
        <v>-1.1117728721215001</v>
      </c>
      <c r="AH5905">
        <v>14.4985233474294</v>
      </c>
      <c r="AI5905">
        <v>94.324131860925206</v>
      </c>
      <c r="AJ5905">
        <v>99.573073414070393</v>
      </c>
      <c r="AK5905">
        <v>14.745249594209399</v>
      </c>
      <c r="AL5905">
        <v>69.266206772032504</v>
      </c>
      <c r="AM5905">
        <v>101.70428879124</v>
      </c>
      <c r="AN5905">
        <v>0.999999971616084</v>
      </c>
    </row>
    <row r="5906" spans="1:40" x14ac:dyDescent="0.25">
      <c r="A5906" t="str">
        <f>"20190304164243318"</f>
        <v>20190304164243318</v>
      </c>
      <c r="B5906" t="str">
        <f>"1551688963307085"</f>
        <v>1551688963307085</v>
      </c>
      <c r="C5906" t="s">
        <v>40</v>
      </c>
      <c r="D5906">
        <v>4.1565729999999999</v>
      </c>
      <c r="E5906">
        <v>0.5230593</v>
      </c>
      <c r="F5906" t="s">
        <v>60</v>
      </c>
      <c r="G5906">
        <v>-378.45760000000001</v>
      </c>
      <c r="H5906" s="1">
        <v>-8.0911600000000003E-7</v>
      </c>
      <c r="I5906">
        <v>19.05528</v>
      </c>
      <c r="J5906">
        <v>-392.93860000000001</v>
      </c>
      <c r="K5906">
        <v>1.111747</v>
      </c>
      <c r="L5906">
        <v>18.908049999999999</v>
      </c>
      <c r="M5906">
        <v>0.98764810000000003</v>
      </c>
      <c r="N5906">
        <v>-1.116019E-2</v>
      </c>
      <c r="O5906">
        <v>-0.1562915</v>
      </c>
      <c r="P5906">
        <v>0.93812410000000002</v>
      </c>
      <c r="Q5906">
        <v>0.34363259999999901</v>
      </c>
      <c r="R5906">
        <v>4.289449E-2</v>
      </c>
      <c r="S5906">
        <v>3.288818</v>
      </c>
      <c r="T5906">
        <v>-0.24953829999999999</v>
      </c>
      <c r="U5906">
        <v>2.7374269999999999E-2</v>
      </c>
      <c r="V5906">
        <v>-0.19009200000000001</v>
      </c>
      <c r="W5906">
        <v>0.3532902</v>
      </c>
      <c r="X5906">
        <v>0.91599730000000001</v>
      </c>
      <c r="Y5906">
        <v>-0.1636531</v>
      </c>
      <c r="Z5906">
        <v>1.7173689999999998E-2</v>
      </c>
      <c r="AA5906">
        <v>0.98636849999999998</v>
      </c>
      <c r="AB5906">
        <v>21</v>
      </c>
      <c r="AC5906">
        <v>14.4809999999999</v>
      </c>
      <c r="AD5906">
        <v>-1.111747809116</v>
      </c>
      <c r="AE5906">
        <v>0.14723</v>
      </c>
      <c r="AF5906">
        <v>-2.3947051244018298</v>
      </c>
      <c r="AG5906">
        <v>-1.111747809116</v>
      </c>
      <c r="AH5906">
        <v>14.1963425170277</v>
      </c>
      <c r="AI5906">
        <v>94.415693005814006</v>
      </c>
      <c r="AJ5906">
        <v>99.574782491551801</v>
      </c>
      <c r="AK5906">
        <v>14.439762348621899</v>
      </c>
      <c r="AL5906">
        <v>69.311308841414601</v>
      </c>
      <c r="AM5906">
        <v>101.72387386011</v>
      </c>
      <c r="AN5906">
        <v>0.999999993743664</v>
      </c>
    </row>
    <row r="5907" spans="1:40" x14ac:dyDescent="0.25">
      <c r="A5907" t="str">
        <f>"20190304164243333"</f>
        <v>20190304164243333</v>
      </c>
      <c r="B5907" t="str">
        <f>"1551688963326606"</f>
        <v>1551688963326606</v>
      </c>
      <c r="C5907" t="s">
        <v>40</v>
      </c>
      <c r="D5907">
        <v>4.153219</v>
      </c>
      <c r="E5907">
        <v>0.52473210000000003</v>
      </c>
      <c r="F5907" t="s">
        <v>60</v>
      </c>
      <c r="G5907">
        <v>-378.4375</v>
      </c>
      <c r="H5907" s="1">
        <v>-8.1816839999999999E-7</v>
      </c>
      <c r="I5907">
        <v>19.057690000000001</v>
      </c>
      <c r="J5907">
        <v>-392.80810000000002</v>
      </c>
      <c r="K5907">
        <v>1.1117269999999999</v>
      </c>
      <c r="L5907">
        <v>18.88907</v>
      </c>
      <c r="M5907">
        <v>0.9878711</v>
      </c>
      <c r="N5907">
        <v>-1.1102330000000001E-2</v>
      </c>
      <c r="O5907">
        <v>-0.1548795</v>
      </c>
      <c r="P5907">
        <v>0.93801239999999997</v>
      </c>
      <c r="Q5907">
        <v>0.34376250000000003</v>
      </c>
      <c r="R5907">
        <v>4.4274710000000002E-2</v>
      </c>
      <c r="S5907">
        <v>3.2886660000000001</v>
      </c>
      <c r="T5907">
        <v>-0.25213069999999999</v>
      </c>
      <c r="U5907">
        <v>3.3935550000000002E-2</v>
      </c>
      <c r="V5907">
        <v>-0.1901128</v>
      </c>
      <c r="W5907">
        <v>0.35337220000000003</v>
      </c>
      <c r="X5907">
        <v>0.91596140000000004</v>
      </c>
      <c r="Y5907">
        <v>-0.16419329999999999</v>
      </c>
      <c r="Z5907">
        <v>1.7298170000000002E-2</v>
      </c>
      <c r="AA5907">
        <v>0.9862765</v>
      </c>
      <c r="AB5907">
        <v>21</v>
      </c>
      <c r="AC5907">
        <v>14.3706</v>
      </c>
      <c r="AD5907">
        <v>-1.1117278181683901</v>
      </c>
      <c r="AE5907">
        <v>0.16861999999999999</v>
      </c>
      <c r="AF5907">
        <v>-2.37820231891259</v>
      </c>
      <c r="AG5907">
        <v>-1.1117278181683901</v>
      </c>
      <c r="AH5907">
        <v>14.086762046630399</v>
      </c>
      <c r="AI5907">
        <v>94.449723108997503</v>
      </c>
      <c r="AJ5907">
        <v>99.582619722252204</v>
      </c>
      <c r="AK5907">
        <v>14.3292934218599</v>
      </c>
      <c r="AL5907">
        <v>69.306287591670198</v>
      </c>
      <c r="AM5907">
        <v>101.72556800802001</v>
      </c>
      <c r="AN5907">
        <v>1.00000003737331</v>
      </c>
    </row>
    <row r="5908" spans="1:40" x14ac:dyDescent="0.25">
      <c r="A5908" t="str">
        <f>"20190304164243346"</f>
        <v>20190304164243346</v>
      </c>
      <c r="B5908" t="str">
        <f>"1551688963337342"</f>
        <v>1551688963337342</v>
      </c>
      <c r="C5908" t="s">
        <v>40</v>
      </c>
      <c r="D5908">
        <v>4.1193049999999998</v>
      </c>
      <c r="E5908">
        <v>0.52482830000000003</v>
      </c>
      <c r="F5908" t="s">
        <v>60</v>
      </c>
      <c r="G5908">
        <v>-376.18869999999998</v>
      </c>
      <c r="H5908" s="1">
        <v>-1.890327E-6</v>
      </c>
      <c r="I5908">
        <v>19.006209999999999</v>
      </c>
      <c r="J5908">
        <v>-392.68150000000003</v>
      </c>
      <c r="K5908">
        <v>1.111712</v>
      </c>
      <c r="L5908">
        <v>18.870760000000001</v>
      </c>
      <c r="M5908">
        <v>0.98808359999999995</v>
      </c>
      <c r="N5908">
        <v>-1.104933E-2</v>
      </c>
      <c r="O5908">
        <v>-0.15352080000000001</v>
      </c>
      <c r="P5908">
        <v>0.93797350000000002</v>
      </c>
      <c r="Q5908">
        <v>0.34370899999999999</v>
      </c>
      <c r="R5908">
        <v>4.5495580000000001E-2</v>
      </c>
      <c r="S5908">
        <v>3.2775270000000001</v>
      </c>
      <c r="T5908">
        <v>-0.21924440000000001</v>
      </c>
      <c r="U5908">
        <v>2.310181E-2</v>
      </c>
      <c r="V5908">
        <v>-0.19003809999999999</v>
      </c>
      <c r="W5908">
        <v>0.35327589999999998</v>
      </c>
      <c r="X5908">
        <v>0.91601399999999999</v>
      </c>
      <c r="Y5908">
        <v>-0.15983800000000001</v>
      </c>
      <c r="Z5908">
        <v>1.475334E-2</v>
      </c>
      <c r="AA5908">
        <v>0.98703300000000005</v>
      </c>
      <c r="AB5908">
        <v>21</v>
      </c>
      <c r="AC5908">
        <v>16.492799999999999</v>
      </c>
      <c r="AD5908">
        <v>-1.1117138903270001</v>
      </c>
      <c r="AE5908">
        <v>0.13544999999999799</v>
      </c>
      <c r="AF5908">
        <v>-2.6539291207763398</v>
      </c>
      <c r="AG5908">
        <v>-1.1117138903270001</v>
      </c>
      <c r="AH5908">
        <v>16.202851197137601</v>
      </c>
      <c r="AI5908">
        <v>93.873583233330606</v>
      </c>
      <c r="AJ5908">
        <v>99.302102367777195</v>
      </c>
      <c r="AK5908">
        <v>16.456355443069199</v>
      </c>
      <c r="AL5908">
        <v>69.312184664217298</v>
      </c>
      <c r="AM5908">
        <v>101.720433800639</v>
      </c>
      <c r="AN5908">
        <v>0.99999999458420996</v>
      </c>
    </row>
    <row r="5909" spans="1:40" x14ac:dyDescent="0.25">
      <c r="A5909" t="str">
        <f>"20190304164243365"</f>
        <v>20190304164243365</v>
      </c>
      <c r="B5909" t="str">
        <f>"1551688963356862"</f>
        <v>1551688963356862</v>
      </c>
      <c r="C5909" t="s">
        <v>40</v>
      </c>
      <c r="D5909">
        <v>4.1179610000000002</v>
      </c>
      <c r="E5909">
        <v>0.52506459999999999</v>
      </c>
      <c r="F5909" t="s">
        <v>60</v>
      </c>
      <c r="G5909">
        <v>-376.27429999999998</v>
      </c>
      <c r="H5909" s="1">
        <v>-1.8502450000000001E-6</v>
      </c>
      <c r="I5909">
        <v>19.004090000000001</v>
      </c>
      <c r="J5909">
        <v>-392.49970000000002</v>
      </c>
      <c r="K5909">
        <v>1.1116980000000001</v>
      </c>
      <c r="L5909">
        <v>18.844819999999999</v>
      </c>
      <c r="M5909">
        <v>0.98838150000000002</v>
      </c>
      <c r="N5909">
        <v>-1.098024E-2</v>
      </c>
      <c r="O5909">
        <v>-0.151596799999999</v>
      </c>
      <c r="P5909">
        <v>0.93795450000000002</v>
      </c>
      <c r="Q5909">
        <v>0.34348079999999998</v>
      </c>
      <c r="R5909">
        <v>4.7565089999999997E-2</v>
      </c>
      <c r="S5909">
        <v>3.2784119999999999</v>
      </c>
      <c r="T5909">
        <v>-0.2221379</v>
      </c>
      <c r="U5909">
        <v>2.6641850000000002E-2</v>
      </c>
      <c r="V5909">
        <v>-0.19027839999999999</v>
      </c>
      <c r="W5909">
        <v>0.35298950000000001</v>
      </c>
      <c r="X5909">
        <v>0.91607450000000001</v>
      </c>
      <c r="Y5909">
        <v>-0.15896769999999999</v>
      </c>
      <c r="Z5909">
        <v>1.4817429999999999E-2</v>
      </c>
      <c r="AA5909">
        <v>0.98717259999999996</v>
      </c>
      <c r="AB5909">
        <v>21</v>
      </c>
      <c r="AC5909">
        <v>16.2254</v>
      </c>
      <c r="AD5909">
        <v>-1.111699850245</v>
      </c>
      <c r="AE5909">
        <v>0.159269999999995</v>
      </c>
      <c r="AF5909">
        <v>-2.6050676642167501</v>
      </c>
      <c r="AG5909">
        <v>-1.111699850245</v>
      </c>
      <c r="AH5909">
        <v>15.9388875629183</v>
      </c>
      <c r="AI5909">
        <v>93.937704622964404</v>
      </c>
      <c r="AJ5909">
        <v>99.282406455998697</v>
      </c>
      <c r="AK5909">
        <v>16.188588290383301</v>
      </c>
      <c r="AL5909">
        <v>69.329723725660699</v>
      </c>
      <c r="AM5909">
        <v>101.734089841523</v>
      </c>
      <c r="AN5909">
        <v>0.99999997308352895</v>
      </c>
    </row>
    <row r="5910" spans="1:40" x14ac:dyDescent="0.25">
      <c r="A5910" t="str">
        <f>"20190304164243378"</f>
        <v>20190304164243378</v>
      </c>
      <c r="B5910" t="str">
        <f>"1551688963366623"</f>
        <v>1551688963366623</v>
      </c>
      <c r="C5910" t="s">
        <v>40</v>
      </c>
      <c r="D5910">
        <v>4.1328319999999996</v>
      </c>
      <c r="E5910">
        <v>0.5252464</v>
      </c>
      <c r="F5910" t="s">
        <v>60</v>
      </c>
      <c r="G5910">
        <v>-376.0641</v>
      </c>
      <c r="H5910" s="1">
        <v>-1.9496630000000002E-6</v>
      </c>
      <c r="I5910">
        <v>19.003640000000001</v>
      </c>
      <c r="J5910">
        <v>-392.3716</v>
      </c>
      <c r="K5910">
        <v>1.1116900000000001</v>
      </c>
      <c r="L5910">
        <v>18.826720000000002</v>
      </c>
      <c r="M5910">
        <v>0.98858760000000001</v>
      </c>
      <c r="N5910">
        <v>-1.0935759999999999E-2</v>
      </c>
      <c r="O5910">
        <v>-0.15025079999999999</v>
      </c>
      <c r="P5910">
        <v>0.93796769999999996</v>
      </c>
      <c r="Q5910">
        <v>0.34318310000000002</v>
      </c>
      <c r="R5910">
        <v>4.9419560000000001E-2</v>
      </c>
      <c r="S5910">
        <v>3.2780459999999998</v>
      </c>
      <c r="T5910">
        <v>-0.22172620000000001</v>
      </c>
      <c r="U5910">
        <v>3.1677249999999997E-2</v>
      </c>
      <c r="V5910">
        <v>-0.19085659999999999</v>
      </c>
      <c r="W5910">
        <v>0.35265089999999999</v>
      </c>
      <c r="X5910">
        <v>0.91608469999999997</v>
      </c>
      <c r="Y5910">
        <v>-0.15914429999999999</v>
      </c>
      <c r="Z5910">
        <v>1.472534E-2</v>
      </c>
      <c r="AA5910">
        <v>0.98714550000000001</v>
      </c>
      <c r="AB5910">
        <v>21</v>
      </c>
      <c r="AC5910">
        <v>16.307500000000001</v>
      </c>
      <c r="AD5910">
        <v>-1.111691949663</v>
      </c>
      <c r="AE5910">
        <v>0.17691999999999899</v>
      </c>
      <c r="AF5910">
        <v>-2.6131299948920401</v>
      </c>
      <c r="AG5910">
        <v>-1.111691949663</v>
      </c>
      <c r="AH5910">
        <v>16.021323678093399</v>
      </c>
      <c r="AI5910">
        <v>93.917688821134703</v>
      </c>
      <c r="AJ5910">
        <v>99.263557604121402</v>
      </c>
      <c r="AK5910">
        <v>16.2710515873863</v>
      </c>
      <c r="AL5910">
        <v>69.350458847129104</v>
      </c>
      <c r="AM5910">
        <v>101.768625858535</v>
      </c>
      <c r="AN5910">
        <v>1.00000003830422</v>
      </c>
    </row>
    <row r="5911" spans="1:40" x14ac:dyDescent="0.25">
      <c r="A5911" t="str">
        <f>"20190304164243392"</f>
        <v>20190304164243392</v>
      </c>
      <c r="B5911" t="str">
        <f>"1551688963387118"</f>
        <v>1551688963387118</v>
      </c>
      <c r="C5911" t="s">
        <v>40</v>
      </c>
      <c r="D5911">
        <v>4.1451079999999996</v>
      </c>
      <c r="E5911">
        <v>0.52556849999999999</v>
      </c>
      <c r="F5911" t="s">
        <v>60</v>
      </c>
      <c r="G5911">
        <v>-375.92660000000001</v>
      </c>
      <c r="H5911" s="1">
        <v>-2.014104E-6</v>
      </c>
      <c r="I5911">
        <v>19.00694</v>
      </c>
      <c r="J5911">
        <v>-392.24299999999999</v>
      </c>
      <c r="K5911">
        <v>1.111688</v>
      </c>
      <c r="L5911">
        <v>18.808720000000001</v>
      </c>
      <c r="M5911">
        <v>0.98879130000000004</v>
      </c>
      <c r="N5911">
        <v>-1.089473E-2</v>
      </c>
      <c r="O5911">
        <v>-0.1489066</v>
      </c>
      <c r="P5911">
        <v>0.93798320000000002</v>
      </c>
      <c r="Q5911">
        <v>0.34291270000000001</v>
      </c>
      <c r="R5911">
        <v>5.0975630000000001E-2</v>
      </c>
      <c r="S5911">
        <v>3.2775880000000002</v>
      </c>
      <c r="T5911">
        <v>-0.22156679999999901</v>
      </c>
      <c r="U5911">
        <v>3.5919189999999997E-2</v>
      </c>
      <c r="V5911">
        <v>-0.19114539999999999</v>
      </c>
      <c r="W5911">
        <v>0.35234290000000001</v>
      </c>
      <c r="X5911">
        <v>0.91614289999999998</v>
      </c>
      <c r="Y5911">
        <v>-0.1590838</v>
      </c>
      <c r="Z5911">
        <v>1.464184E-2</v>
      </c>
      <c r="AA5911">
        <v>0.98715649999999999</v>
      </c>
      <c r="AB5911">
        <v>21</v>
      </c>
      <c r="AC5911">
        <v>16.316400000000002</v>
      </c>
      <c r="AD5911">
        <v>-1.111690014104</v>
      </c>
      <c r="AE5911">
        <v>0.19821999999999901</v>
      </c>
      <c r="AF5911">
        <v>-2.61364244158773</v>
      </c>
      <c r="AG5911">
        <v>-1.111690014104</v>
      </c>
      <c r="AH5911">
        <v>16.030547918573301</v>
      </c>
      <c r="AI5911">
        <v>93.915473107238896</v>
      </c>
      <c r="AJ5911">
        <v>99.260103680429296</v>
      </c>
      <c r="AK5911">
        <v>16.280216462615002</v>
      </c>
      <c r="AL5911">
        <v>69.369314409419303</v>
      </c>
      <c r="AM5911">
        <v>101.785208339897</v>
      </c>
      <c r="AN5911">
        <v>0.99999994817098803</v>
      </c>
    </row>
    <row r="5912" spans="1:40" x14ac:dyDescent="0.25">
      <c r="A5912" t="str">
        <f>"20190304164243409"</f>
        <v>20190304164243409</v>
      </c>
      <c r="B5912" t="str">
        <f>"1551688963396878"</f>
        <v>1551688963396878</v>
      </c>
      <c r="C5912" t="s">
        <v>40</v>
      </c>
      <c r="D5912">
        <v>4.1378870000000001</v>
      </c>
      <c r="E5912">
        <v>0.52556849999999999</v>
      </c>
      <c r="F5912" t="s">
        <v>60</v>
      </c>
      <c r="G5912">
        <v>-375.87529999999998</v>
      </c>
      <c r="H5912" s="1">
        <v>-2.0390439999999998E-6</v>
      </c>
      <c r="I5912">
        <v>19.003019999999999</v>
      </c>
      <c r="J5912">
        <v>-392.08699999999999</v>
      </c>
      <c r="K5912">
        <v>1.1116790000000001</v>
      </c>
      <c r="L5912">
        <v>18.787109999999998</v>
      </c>
      <c r="M5912">
        <v>0.98903569999999996</v>
      </c>
      <c r="N5912">
        <v>-1.084866E-2</v>
      </c>
      <c r="O5912">
        <v>-0.14727879999999999</v>
      </c>
      <c r="P5912">
        <v>0.93799089999999996</v>
      </c>
      <c r="Q5912">
        <v>0.34255269999999999</v>
      </c>
      <c r="R5912">
        <v>5.3205179999999998E-2</v>
      </c>
      <c r="S5912">
        <v>3.277679</v>
      </c>
      <c r="T5912">
        <v>-0.22261829999999999</v>
      </c>
      <c r="U5912">
        <v>3.8909909999999999E-2</v>
      </c>
      <c r="V5912">
        <v>-0.19183890000000001</v>
      </c>
      <c r="W5912">
        <v>0.35193720000000001</v>
      </c>
      <c r="X5912">
        <v>0.91615389999999997</v>
      </c>
      <c r="Y5912">
        <v>-0.1583571</v>
      </c>
      <c r="Z5912">
        <v>1.459732E-2</v>
      </c>
      <c r="AA5912">
        <v>0.98727399999999998</v>
      </c>
      <c r="AB5912">
        <v>21</v>
      </c>
      <c r="AC5912">
        <v>16.2117</v>
      </c>
      <c r="AD5912">
        <v>-1.111681039044</v>
      </c>
      <c r="AE5912">
        <v>0.21590999999999999</v>
      </c>
      <c r="AF5912">
        <v>-2.5891623822708998</v>
      </c>
      <c r="AG5912">
        <v>-1.111681039044</v>
      </c>
      <c r="AH5912">
        <v>15.9282053134971</v>
      </c>
      <c r="AI5912">
        <v>93.940825102326102</v>
      </c>
      <c r="AJ5912">
        <v>99.232791586074896</v>
      </c>
      <c r="AK5912">
        <v>16.175516099440301</v>
      </c>
      <c r="AL5912">
        <v>69.394150407785403</v>
      </c>
      <c r="AM5912">
        <v>101.826626422215</v>
      </c>
      <c r="AN5912">
        <v>0.99999996239112898</v>
      </c>
    </row>
    <row r="5913" spans="1:40" x14ac:dyDescent="0.25">
      <c r="A5913" t="str">
        <f>"20190304164243424"</f>
        <v>20190304164243424</v>
      </c>
      <c r="B5913" t="str">
        <f>"1551688963417374"</f>
        <v>1551688963417374</v>
      </c>
      <c r="C5913" t="s">
        <v>40</v>
      </c>
      <c r="D5913">
        <v>4.117464</v>
      </c>
      <c r="E5913">
        <v>0.52558329999999998</v>
      </c>
      <c r="F5913" t="s">
        <v>60</v>
      </c>
      <c r="G5913">
        <v>-375.81200000000001</v>
      </c>
      <c r="H5913" s="1">
        <v>-2.0658359999999999E-6</v>
      </c>
      <c r="I5913">
        <v>19.020489999999999</v>
      </c>
      <c r="J5913">
        <v>-391.94670000000002</v>
      </c>
      <c r="K5913">
        <v>1.11168</v>
      </c>
      <c r="L5913">
        <v>18.767849999999999</v>
      </c>
      <c r="M5913">
        <v>0.98925260000000004</v>
      </c>
      <c r="N5913">
        <v>-1.0810739999999999E-2</v>
      </c>
      <c r="O5913">
        <v>-0.14581639999999901</v>
      </c>
      <c r="P5913">
        <v>0.93804750000000003</v>
      </c>
      <c r="Q5913">
        <v>0.3421303</v>
      </c>
      <c r="R5913">
        <v>5.4899089999999998E-2</v>
      </c>
      <c r="S5913">
        <v>3.277374</v>
      </c>
      <c r="T5913">
        <v>-0.2238655</v>
      </c>
      <c r="U5913">
        <v>4.6997070000000002E-2</v>
      </c>
      <c r="V5913">
        <v>-0.1921667</v>
      </c>
      <c r="W5913">
        <v>0.35147699999999998</v>
      </c>
      <c r="X5913">
        <v>0.91626189999999996</v>
      </c>
      <c r="Y5913">
        <v>-0.1593261</v>
      </c>
      <c r="Z5913">
        <v>1.464263E-2</v>
      </c>
      <c r="AA5913">
        <v>0.98711740000000003</v>
      </c>
      <c r="AB5913">
        <v>22</v>
      </c>
      <c r="AC5913">
        <v>16.134699999999999</v>
      </c>
      <c r="AD5913">
        <v>-1.111682065836</v>
      </c>
      <c r="AE5913">
        <v>0.25263999999999898</v>
      </c>
      <c r="AF5913">
        <v>-2.5904861503027998</v>
      </c>
      <c r="AG5913">
        <v>-1.111682065836</v>
      </c>
      <c r="AH5913">
        <v>15.850159743668501</v>
      </c>
      <c r="AI5913">
        <v>93.959617644692997</v>
      </c>
      <c r="AJ5913">
        <v>99.282125670313604</v>
      </c>
      <c r="AK5913">
        <v>16.098882551600401</v>
      </c>
      <c r="AL5913">
        <v>69.422318238806497</v>
      </c>
      <c r="AM5913">
        <v>101.844907457763</v>
      </c>
      <c r="AN5913">
        <v>0.99999999575474996</v>
      </c>
    </row>
    <row r="5914" spans="1:40" x14ac:dyDescent="0.25">
      <c r="A5914" t="str">
        <f>"20190304164243435"</f>
        <v>20190304164243435</v>
      </c>
      <c r="B5914" t="str">
        <f>"1551688963427134"</f>
        <v>1551688963427134</v>
      </c>
      <c r="C5914" t="s">
        <v>40</v>
      </c>
      <c r="D5914">
        <v>4.11409</v>
      </c>
      <c r="E5914">
        <v>0.52602090000000001</v>
      </c>
      <c r="F5914" t="s">
        <v>60</v>
      </c>
      <c r="G5914">
        <v>-375.85890000000001</v>
      </c>
      <c r="H5914" s="1">
        <v>-2.0423879999999998E-6</v>
      </c>
      <c r="I5914">
        <v>19.027740000000001</v>
      </c>
      <c r="J5914">
        <v>-391.82190000000003</v>
      </c>
      <c r="K5914">
        <v>1.111683</v>
      </c>
      <c r="L5914">
        <v>18.750979999999998</v>
      </c>
      <c r="M5914">
        <v>0.98944359999999998</v>
      </c>
      <c r="N5914">
        <v>-1.0780690000000001E-2</v>
      </c>
      <c r="O5914">
        <v>-0.1445168</v>
      </c>
      <c r="P5914">
        <v>0.93805950000000005</v>
      </c>
      <c r="Q5914">
        <v>0.34185579999999999</v>
      </c>
      <c r="R5914">
        <v>5.6381939999999998E-2</v>
      </c>
      <c r="S5914">
        <v>3.2776489999999998</v>
      </c>
      <c r="T5914">
        <v>-0.22648969999999999</v>
      </c>
      <c r="U5914">
        <v>5.2948000000000002E-2</v>
      </c>
      <c r="V5914">
        <v>-0.19243270000000001</v>
      </c>
      <c r="W5914">
        <v>0.35117130000000002</v>
      </c>
      <c r="X5914">
        <v>0.91632329999999995</v>
      </c>
      <c r="Y5914">
        <v>-0.15980459999999999</v>
      </c>
      <c r="Z5914">
        <v>1.476737E-2</v>
      </c>
      <c r="AA5914">
        <v>0.98703819999999998</v>
      </c>
      <c r="AB5914">
        <v>22</v>
      </c>
      <c r="AC5914">
        <v>15.962999999999999</v>
      </c>
      <c r="AD5914">
        <v>-1.111685042388</v>
      </c>
      <c r="AE5914">
        <v>0.27675999999999901</v>
      </c>
      <c r="AF5914">
        <v>-2.5684570521416301</v>
      </c>
      <c r="AG5914">
        <v>-1.111685042388</v>
      </c>
      <c r="AH5914">
        <v>15.6793866754109</v>
      </c>
      <c r="AI5914">
        <v>94.002376867062694</v>
      </c>
      <c r="AJ5914">
        <v>99.303057020790106</v>
      </c>
      <c r="AK5914">
        <v>15.927208850869601</v>
      </c>
      <c r="AL5914">
        <v>69.441026377229605</v>
      </c>
      <c r="AM5914">
        <v>101.860066996955</v>
      </c>
      <c r="AN5914">
        <v>1.0000000080479301</v>
      </c>
    </row>
    <row r="5915" spans="1:40" x14ac:dyDescent="0.25">
      <c r="A5915" t="str">
        <f>"20190304164243453"</f>
        <v>20190304164243453</v>
      </c>
      <c r="B5915" t="str">
        <f>"1551688963446654"</f>
        <v>1551688963446654</v>
      </c>
      <c r="C5915" t="s">
        <v>40</v>
      </c>
      <c r="D5915">
        <v>4.1658390000000001</v>
      </c>
      <c r="E5915">
        <v>0.52659209999999901</v>
      </c>
      <c r="F5915" t="s">
        <v>60</v>
      </c>
      <c r="G5915">
        <v>-377.20069999999998</v>
      </c>
      <c r="H5915" s="1">
        <v>-1.4128400000000001E-6</v>
      </c>
      <c r="I5915">
        <v>19.001259999999998</v>
      </c>
      <c r="J5915">
        <v>-391.66320000000002</v>
      </c>
      <c r="K5915">
        <v>1.1116919999999999</v>
      </c>
      <c r="L5915">
        <v>18.72974</v>
      </c>
      <c r="M5915">
        <v>0.98968449999999997</v>
      </c>
      <c r="N5915">
        <v>-1.0745650000000001E-2</v>
      </c>
      <c r="O5915">
        <v>-0.1428604</v>
      </c>
      <c r="P5915">
        <v>0.93801749999999995</v>
      </c>
      <c r="Q5915">
        <v>0.34161219999999998</v>
      </c>
      <c r="R5915">
        <v>5.8517779999999998E-2</v>
      </c>
      <c r="S5915">
        <v>3.2857669999999999</v>
      </c>
      <c r="T5915">
        <v>-0.2498233</v>
      </c>
      <c r="U5915">
        <v>5.6243899999999999E-2</v>
      </c>
      <c r="V5915">
        <v>-0.1930086</v>
      </c>
      <c r="W5915">
        <v>0.35088809999999998</v>
      </c>
      <c r="X5915">
        <v>0.91631070000000003</v>
      </c>
      <c r="Y5915">
        <v>-0.1589614</v>
      </c>
      <c r="Z5915">
        <v>1.6173679999999999E-2</v>
      </c>
      <c r="AA5915">
        <v>0.98715229999999998</v>
      </c>
      <c r="AB5915">
        <v>22</v>
      </c>
      <c r="AC5915">
        <v>14.4625</v>
      </c>
      <c r="AD5915">
        <v>-1.11169341284</v>
      </c>
      <c r="AE5915">
        <v>0.27152000000000198</v>
      </c>
      <c r="AF5915">
        <v>-2.3212619790473301</v>
      </c>
      <c r="AG5915">
        <v>-1.11169341284</v>
      </c>
      <c r="AH5915">
        <v>14.1915247723603</v>
      </c>
      <c r="AI5915">
        <v>94.4206123484975</v>
      </c>
      <c r="AJ5915">
        <v>99.289425556010002</v>
      </c>
      <c r="AK5915">
        <v>14.423019613937999</v>
      </c>
      <c r="AL5915">
        <v>69.458355935567099</v>
      </c>
      <c r="AM5915">
        <v>101.894710324898</v>
      </c>
      <c r="AN5915">
        <v>1.0000000386650201</v>
      </c>
    </row>
    <row r="5916" spans="1:40" x14ac:dyDescent="0.25">
      <c r="A5916" t="str">
        <f>"20190304164243466"</f>
        <v>20190304164243466</v>
      </c>
      <c r="B5916" t="str">
        <f>"1551688963457391"</f>
        <v>1551688963457391</v>
      </c>
      <c r="C5916" t="s">
        <v>40</v>
      </c>
      <c r="D5916">
        <v>4.1351550000000001</v>
      </c>
      <c r="E5916">
        <v>0.526873699999999</v>
      </c>
      <c r="F5916" t="s">
        <v>60</v>
      </c>
      <c r="G5916">
        <v>-376.96800000000002</v>
      </c>
      <c r="H5916" s="1">
        <v>-1.5249049999999999E-6</v>
      </c>
      <c r="I5916">
        <v>18.98939</v>
      </c>
      <c r="J5916">
        <v>-391.54270000000002</v>
      </c>
      <c r="K5916">
        <v>1.111699</v>
      </c>
      <c r="L5916">
        <v>18.713750000000001</v>
      </c>
      <c r="M5916">
        <v>0.98986600000000002</v>
      </c>
      <c r="N5916">
        <v>-1.072211E-2</v>
      </c>
      <c r="O5916">
        <v>-0.14160049999999999</v>
      </c>
      <c r="P5916">
        <v>0.93808159999999896</v>
      </c>
      <c r="Q5916">
        <v>0.34120739999999999</v>
      </c>
      <c r="R5916">
        <v>5.9837210000000002E-2</v>
      </c>
      <c r="S5916">
        <v>3.285126</v>
      </c>
      <c r="T5916">
        <v>-0.24852009999999999</v>
      </c>
      <c r="U5916">
        <v>5.8044430000000001E-2</v>
      </c>
      <c r="V5916">
        <v>-0.19315789999999999</v>
      </c>
      <c r="W5916">
        <v>0.35045900000000002</v>
      </c>
      <c r="X5916">
        <v>0.91644340000000002</v>
      </c>
      <c r="Y5916">
        <v>-0.15826219999999999</v>
      </c>
      <c r="Z5916">
        <v>1.5979710000000001E-2</v>
      </c>
      <c r="AA5916">
        <v>0.98726780000000003</v>
      </c>
      <c r="AB5916">
        <v>22</v>
      </c>
      <c r="AC5916">
        <v>14.5747</v>
      </c>
      <c r="AD5916">
        <v>-1.111700524905</v>
      </c>
      <c r="AE5916">
        <v>0.275639999999999</v>
      </c>
      <c r="AF5916">
        <v>-2.32325343429576</v>
      </c>
      <c r="AG5916">
        <v>-1.111700524905</v>
      </c>
      <c r="AH5916">
        <v>14.305593042290701</v>
      </c>
      <c r="AI5916">
        <v>94.386337877457393</v>
      </c>
      <c r="AJ5916">
        <v>99.224402021807904</v>
      </c>
      <c r="AK5916">
        <v>14.5355900075875</v>
      </c>
      <c r="AL5916">
        <v>69.484607728833495</v>
      </c>
      <c r="AM5916">
        <v>101.901974501512</v>
      </c>
      <c r="AN5916">
        <v>0.99999999520848504</v>
      </c>
    </row>
    <row r="5917" spans="1:40" x14ac:dyDescent="0.25">
      <c r="A5917" t="str">
        <f>"20190304164243477"</f>
        <v>20190304164243477</v>
      </c>
      <c r="B5917" t="str">
        <f>"1551688963467150"</f>
        <v>1551688963467150</v>
      </c>
      <c r="C5917" t="s">
        <v>40</v>
      </c>
      <c r="D5917">
        <v>4.1302050000000001</v>
      </c>
      <c r="E5917">
        <v>0.5270939</v>
      </c>
      <c r="F5917" t="s">
        <v>60</v>
      </c>
      <c r="G5917">
        <v>-376.92110000000002</v>
      </c>
      <c r="H5917" s="1">
        <v>-1.54870299999999E-6</v>
      </c>
      <c r="I5917">
        <v>18.980250000000002</v>
      </c>
      <c r="J5917">
        <v>-391.4212</v>
      </c>
      <c r="K5917">
        <v>1.1117030000000001</v>
      </c>
      <c r="L5917">
        <v>18.69781</v>
      </c>
      <c r="M5917">
        <v>0.99004749999999997</v>
      </c>
      <c r="N5917">
        <v>-1.0702659999999999E-2</v>
      </c>
      <c r="O5917">
        <v>-0.1403266</v>
      </c>
      <c r="P5917">
        <v>0.93813279999999999</v>
      </c>
      <c r="Q5917">
        <v>0.34081869999999997</v>
      </c>
      <c r="R5917">
        <v>6.123402E-2</v>
      </c>
      <c r="S5917">
        <v>3.285034</v>
      </c>
      <c r="T5917">
        <v>-0.24976580000000001</v>
      </c>
      <c r="U5917">
        <v>5.9875490000000003E-2</v>
      </c>
      <c r="V5917">
        <v>-0.19336909999999999</v>
      </c>
      <c r="W5917">
        <v>0.35004940000000001</v>
      </c>
      <c r="X5917">
        <v>0.91655529999999996</v>
      </c>
      <c r="Y5917">
        <v>-0.15753879999999901</v>
      </c>
      <c r="Z5917">
        <v>1.5951010000000002E-2</v>
      </c>
      <c r="AA5917">
        <v>0.98738400000000004</v>
      </c>
      <c r="AB5917">
        <v>22</v>
      </c>
      <c r="AC5917">
        <v>14.5000999999999</v>
      </c>
      <c r="AD5917">
        <v>-1.111704548703</v>
      </c>
      <c r="AE5917">
        <v>0.28244000000000102</v>
      </c>
      <c r="AF5917">
        <v>-2.3009908162322401</v>
      </c>
      <c r="AG5917">
        <v>-1.111704548703</v>
      </c>
      <c r="AH5917">
        <v>14.233339590945899</v>
      </c>
      <c r="AI5917">
        <v>94.409045684248099</v>
      </c>
      <c r="AJ5917">
        <v>99.183104065080997</v>
      </c>
      <c r="AK5917">
        <v>14.4609267217277</v>
      </c>
      <c r="AL5917">
        <v>69.509661289458805</v>
      </c>
      <c r="AM5917">
        <v>101.913203390009</v>
      </c>
      <c r="AN5917">
        <v>0.99999990461662502</v>
      </c>
    </row>
    <row r="5918" spans="1:40" x14ac:dyDescent="0.25">
      <c r="A5918" t="str">
        <f>"20190304164243490"</f>
        <v>20190304164243490</v>
      </c>
      <c r="B5918" t="str">
        <f>"1551688963486670"</f>
        <v>1551688963486670</v>
      </c>
      <c r="C5918" t="s">
        <v>40</v>
      </c>
      <c r="D5918">
        <v>4.1538969999999997</v>
      </c>
      <c r="E5918">
        <v>0.52728999999999904</v>
      </c>
      <c r="F5918" t="s">
        <v>60</v>
      </c>
      <c r="G5918">
        <v>-376.81330000000003</v>
      </c>
      <c r="H5918" s="1">
        <v>-1.600701E-6</v>
      </c>
      <c r="I5918">
        <v>18.974409999999999</v>
      </c>
      <c r="J5918">
        <v>-391.31479999999999</v>
      </c>
      <c r="K5918">
        <v>1.1117049999999999</v>
      </c>
      <c r="L5918">
        <v>18.684049999999999</v>
      </c>
      <c r="M5918">
        <v>0.99020549999999996</v>
      </c>
      <c r="N5918">
        <v>-1.068904E-2</v>
      </c>
      <c r="O5918">
        <v>-0.13920829999999901</v>
      </c>
      <c r="P5918">
        <v>0.93816219999999995</v>
      </c>
      <c r="Q5918">
        <v>0.34054309999999899</v>
      </c>
      <c r="R5918">
        <v>6.2306979999999998E-2</v>
      </c>
      <c r="S5918">
        <v>3.2846679999999999</v>
      </c>
      <c r="T5918">
        <v>-0.24997320000000001</v>
      </c>
      <c r="U5918">
        <v>6.2194819999999998E-2</v>
      </c>
      <c r="V5918">
        <v>-0.19340070000000001</v>
      </c>
      <c r="W5918">
        <v>0.3497595</v>
      </c>
      <c r="X5918">
        <v>0.91665940000000001</v>
      </c>
      <c r="Y5918">
        <v>-0.15712470000000001</v>
      </c>
      <c r="Z5918">
        <v>1.5877189999999999E-2</v>
      </c>
      <c r="AA5918">
        <v>0.98745110000000003</v>
      </c>
      <c r="AB5918">
        <v>22</v>
      </c>
      <c r="AC5918">
        <v>14.501499999999901</v>
      </c>
      <c r="AD5918">
        <v>-1.1117066007009999</v>
      </c>
      <c r="AE5918">
        <v>0.29035999999999901</v>
      </c>
      <c r="AF5918">
        <v>-2.2929068567170199</v>
      </c>
      <c r="AG5918">
        <v>-1.1117066007009999</v>
      </c>
      <c r="AH5918">
        <v>14.2362290667908</v>
      </c>
      <c r="AI5918">
        <v>94.408577215969402</v>
      </c>
      <c r="AJ5918">
        <v>99.149562351322899</v>
      </c>
      <c r="AK5918">
        <v>14.4624870427517</v>
      </c>
      <c r="AL5918">
        <v>69.527394168088406</v>
      </c>
      <c r="AM5918">
        <v>101.9137801187</v>
      </c>
      <c r="AN5918">
        <v>0.99999999710455001</v>
      </c>
    </row>
    <row r="5919" spans="1:40" x14ac:dyDescent="0.25">
      <c r="A5919" t="str">
        <f>"20190304164243509"</f>
        <v>20190304164243509</v>
      </c>
      <c r="B5919" t="str">
        <f>"1551688963497406"</f>
        <v>1551688963497406</v>
      </c>
      <c r="C5919" t="s">
        <v>40</v>
      </c>
      <c r="D5919">
        <v>4.1321209999999997</v>
      </c>
      <c r="E5919">
        <v>0.5291167</v>
      </c>
      <c r="F5919" t="s">
        <v>60</v>
      </c>
      <c r="G5919">
        <v>-376.72480000000002</v>
      </c>
      <c r="H5919" s="1">
        <v>-1.64393E-6</v>
      </c>
      <c r="I5919">
        <v>18.96658</v>
      </c>
      <c r="J5919">
        <v>-391.13580000000002</v>
      </c>
      <c r="K5919">
        <v>1.1117109999999999</v>
      </c>
      <c r="L5919">
        <v>18.661069999999999</v>
      </c>
      <c r="M5919">
        <v>0.99046909999999999</v>
      </c>
      <c r="N5919">
        <v>-1.0671679999999999E-2</v>
      </c>
      <c r="O5919">
        <v>-0.13732169999999999</v>
      </c>
      <c r="P5919">
        <v>0.93836940000000002</v>
      </c>
      <c r="Q5919">
        <v>0.33972449999999998</v>
      </c>
      <c r="R5919">
        <v>6.3645229999999997E-2</v>
      </c>
      <c r="S5919">
        <v>3.284332</v>
      </c>
      <c r="T5919">
        <v>-0.25025439999999999</v>
      </c>
      <c r="U5919">
        <v>6.3598630000000003E-2</v>
      </c>
      <c r="V5919">
        <v>-0.19300709999999999</v>
      </c>
      <c r="W5919">
        <v>0.3489254</v>
      </c>
      <c r="X5919">
        <v>0.91706010000000004</v>
      </c>
      <c r="Y5919">
        <v>-0.1556739</v>
      </c>
      <c r="Z5919">
        <v>1.571322E-2</v>
      </c>
      <c r="AA5919">
        <v>0.98768350000000005</v>
      </c>
      <c r="AB5919">
        <v>22</v>
      </c>
      <c r="AC5919">
        <v>14.411</v>
      </c>
      <c r="AD5919">
        <v>-1.11171264393</v>
      </c>
      <c r="AE5919">
        <v>0.30550999999999801</v>
      </c>
      <c r="AF5919">
        <v>-2.26817888122766</v>
      </c>
      <c r="AG5919">
        <v>-1.11171264393</v>
      </c>
      <c r="AH5919">
        <v>14.148345957596399</v>
      </c>
      <c r="AI5919">
        <v>94.436393592054998</v>
      </c>
      <c r="AJ5919">
        <v>99.107821606012195</v>
      </c>
      <c r="AK5919">
        <v>14.3720643533124</v>
      </c>
      <c r="AL5919">
        <v>69.578397096314504</v>
      </c>
      <c r="AM5919">
        <v>101.885177060766</v>
      </c>
      <c r="AN5919">
        <v>0.99999995121378804</v>
      </c>
    </row>
    <row r="5920" spans="1:40" x14ac:dyDescent="0.25">
      <c r="A5920" t="str">
        <f>"20190304164243521"</f>
        <v>20190304164243521</v>
      </c>
      <c r="B5920" t="str">
        <f>"1551688963516926"</f>
        <v>1551688963516926</v>
      </c>
      <c r="C5920" t="s">
        <v>40</v>
      </c>
      <c r="D5920">
        <v>4.1610009999999997</v>
      </c>
      <c r="E5920">
        <v>0.52998500000000004</v>
      </c>
      <c r="F5920" t="s">
        <v>60</v>
      </c>
      <c r="G5920">
        <v>-376.10120000000001</v>
      </c>
      <c r="H5920" s="1">
        <v>-1.9508500000000001E-6</v>
      </c>
      <c r="I5920">
        <v>18.898070000000001</v>
      </c>
      <c r="J5920">
        <v>-391.01209999999998</v>
      </c>
      <c r="K5920">
        <v>1.1117170000000001</v>
      </c>
      <c r="L5920">
        <v>18.64536</v>
      </c>
      <c r="M5920">
        <v>0.99064949999999996</v>
      </c>
      <c r="N5920">
        <v>-1.06637E-2</v>
      </c>
      <c r="O5920">
        <v>-0.136015</v>
      </c>
      <c r="P5920">
        <v>0.93845190000000001</v>
      </c>
      <c r="Q5920">
        <v>0.33934750000000002</v>
      </c>
      <c r="R5920">
        <v>6.4434989999999998E-2</v>
      </c>
      <c r="S5920">
        <v>3.2813720000000002</v>
      </c>
      <c r="T5920">
        <v>-0.2426372</v>
      </c>
      <c r="U5920">
        <v>5.1727290000000002E-2</v>
      </c>
      <c r="V5920">
        <v>-0.1925895</v>
      </c>
      <c r="W5920">
        <v>0.34854239999999997</v>
      </c>
      <c r="X5920">
        <v>0.91729349999999998</v>
      </c>
      <c r="Y5920">
        <v>-0.15087970000000001</v>
      </c>
      <c r="Z5920">
        <v>1.494682E-2</v>
      </c>
      <c r="AA5920">
        <v>0.98843910000000001</v>
      </c>
      <c r="AB5920">
        <v>22</v>
      </c>
      <c r="AC5920">
        <v>14.9108999999999</v>
      </c>
      <c r="AD5920">
        <v>-1.1117189508499901</v>
      </c>
      <c r="AE5920">
        <v>0.25270999999999999</v>
      </c>
      <c r="AF5920">
        <v>-2.2659897947087702</v>
      </c>
      <c r="AG5920">
        <v>-1.1117189508499901</v>
      </c>
      <c r="AH5920">
        <v>14.6564902535918</v>
      </c>
      <c r="AI5920">
        <v>94.286933301991496</v>
      </c>
      <c r="AJ5920">
        <v>98.7887190739918</v>
      </c>
      <c r="AK5920">
        <v>14.8722337034164</v>
      </c>
      <c r="AL5920">
        <v>69.6018110991984</v>
      </c>
      <c r="AM5920">
        <v>101.85725843215199</v>
      </c>
      <c r="AN5920">
        <v>0.99999994262512804</v>
      </c>
    </row>
    <row r="5921" spans="1:40" x14ac:dyDescent="0.25">
      <c r="A5921" t="str">
        <f>"20190304164243535"</f>
        <v>20190304164243535</v>
      </c>
      <c r="B5921" t="str">
        <f>"1551688963526685"</f>
        <v>1551688963526685</v>
      </c>
      <c r="C5921" t="s">
        <v>40</v>
      </c>
      <c r="D5921">
        <v>4.1761650000000001</v>
      </c>
      <c r="E5921">
        <v>0.53020449999999997</v>
      </c>
      <c r="F5921" t="s">
        <v>60</v>
      </c>
      <c r="G5921">
        <v>-375.65949999999998</v>
      </c>
      <c r="H5921" s="1">
        <v>-2.1654929999999999E-6</v>
      </c>
      <c r="I5921">
        <v>18.86523</v>
      </c>
      <c r="J5921">
        <v>-390.87959999999998</v>
      </c>
      <c r="K5921">
        <v>1.1117239999999999</v>
      </c>
      <c r="L5921">
        <v>18.628779999999999</v>
      </c>
      <c r="M5921">
        <v>0.99084099999999997</v>
      </c>
      <c r="N5921">
        <v>-1.065931E-2</v>
      </c>
      <c r="O5921">
        <v>-0.13461319999999999</v>
      </c>
      <c r="P5921">
        <v>0.93848710000000002</v>
      </c>
      <c r="Q5921">
        <v>0.33904279999999998</v>
      </c>
      <c r="R5921">
        <v>6.5515130000000005E-2</v>
      </c>
      <c r="S5921">
        <v>3.2794189999999999</v>
      </c>
      <c r="T5921">
        <v>-0.2374703</v>
      </c>
      <c r="U5921">
        <v>4.6966550000000003E-2</v>
      </c>
      <c r="V5921">
        <v>-0.19236410000000001</v>
      </c>
      <c r="W5921">
        <v>0.34823399999999999</v>
      </c>
      <c r="X5921">
        <v>0.917458</v>
      </c>
      <c r="Y5921">
        <v>-0.14809720000000001</v>
      </c>
      <c r="Z5921">
        <v>1.442358E-2</v>
      </c>
      <c r="AA5921">
        <v>0.98886759999999996</v>
      </c>
      <c r="AB5921">
        <v>22</v>
      </c>
      <c r="AC5921">
        <v>15.2201</v>
      </c>
      <c r="AD5921">
        <v>-1.111726165493</v>
      </c>
      <c r="AE5921">
        <v>0.23645000000000099</v>
      </c>
      <c r="AF5921">
        <v>-2.2711259176060201</v>
      </c>
      <c r="AG5921">
        <v>-1.111726165493</v>
      </c>
      <c r="AH5921">
        <v>14.9698733254318</v>
      </c>
      <c r="AI5921">
        <v>94.199352336030998</v>
      </c>
      <c r="AJ5921">
        <v>98.626735054931103</v>
      </c>
      <c r="AK5921">
        <v>15.181931872463901</v>
      </c>
      <c r="AL5921">
        <v>69.620663856073307</v>
      </c>
      <c r="AM5921">
        <v>101.841709665507</v>
      </c>
      <c r="AN5921">
        <v>1.0000000237444</v>
      </c>
    </row>
    <row r="5922" spans="1:40" x14ac:dyDescent="0.25">
      <c r="A5922" t="str">
        <f>"20190304164243550"</f>
        <v>20190304164243550</v>
      </c>
      <c r="B5922" t="str">
        <f>"1551688963537422"</f>
        <v>1551688963537422</v>
      </c>
      <c r="C5922" t="s">
        <v>40</v>
      </c>
      <c r="D5922">
        <v>4.1709379999999996</v>
      </c>
      <c r="E5922">
        <v>0.53034789999999998</v>
      </c>
      <c r="F5922" t="s">
        <v>60</v>
      </c>
      <c r="G5922">
        <v>-375.64260000000002</v>
      </c>
      <c r="H5922" s="1">
        <v>-2.1756540000000002E-6</v>
      </c>
      <c r="I5922">
        <v>18.85294</v>
      </c>
      <c r="J5922">
        <v>-390.74549999999999</v>
      </c>
      <c r="K5922">
        <v>1.111728</v>
      </c>
      <c r="L5922">
        <v>18.612179999999999</v>
      </c>
      <c r="M5922">
        <v>0.99103240000000004</v>
      </c>
      <c r="N5922">
        <v>-1.0655960000000001E-2</v>
      </c>
      <c r="O5922">
        <v>-0.1331965</v>
      </c>
      <c r="P5922">
        <v>0.93844190000000005</v>
      </c>
      <c r="Q5922">
        <v>0.33900970000000002</v>
      </c>
      <c r="R5922">
        <v>6.6326640000000006E-2</v>
      </c>
      <c r="S5922">
        <v>3.2797239999999999</v>
      </c>
      <c r="T5922">
        <v>-0.2392967</v>
      </c>
      <c r="U5922">
        <v>4.8248289999999999E-2</v>
      </c>
      <c r="V5922">
        <v>-0.1918483</v>
      </c>
      <c r="W5922">
        <v>0.34819909999999998</v>
      </c>
      <c r="X5922">
        <v>0.91757920000000004</v>
      </c>
      <c r="Y5922">
        <v>-0.14706340000000001</v>
      </c>
      <c r="Z5922">
        <v>1.440748E-2</v>
      </c>
      <c r="AA5922">
        <v>0.98902210000000002</v>
      </c>
      <c r="AB5922">
        <v>22</v>
      </c>
      <c r="AC5922">
        <v>15.102899999999901</v>
      </c>
      <c r="AD5922">
        <v>-1.1117301756539999</v>
      </c>
      <c r="AE5922">
        <v>0.240760000000001</v>
      </c>
      <c r="AF5922">
        <v>-2.23825717682662</v>
      </c>
      <c r="AG5922">
        <v>-1.1117301756539999</v>
      </c>
      <c r="AH5922">
        <v>14.855766970074001</v>
      </c>
      <c r="AI5922">
        <v>94.232158501024202</v>
      </c>
      <c r="AJ5922">
        <v>98.568074439736094</v>
      </c>
      <c r="AK5922">
        <v>15.0645129839041</v>
      </c>
      <c r="AL5922">
        <v>69.62279617611</v>
      </c>
      <c r="AM5922">
        <v>101.809334398934</v>
      </c>
      <c r="AN5922">
        <v>0.99999998586316996</v>
      </c>
    </row>
    <row r="5923" spans="1:40" x14ac:dyDescent="0.25">
      <c r="A5923" t="str">
        <f>"20190304164243566"</f>
        <v>20190304164243566</v>
      </c>
      <c r="B5923" t="str">
        <f>"1551688963556943"</f>
        <v>1551688963556943</v>
      </c>
      <c r="C5923" t="s">
        <v>40</v>
      </c>
      <c r="D5923">
        <v>4.1781560000000004</v>
      </c>
      <c r="E5923">
        <v>0.5305938</v>
      </c>
      <c r="F5923" t="s">
        <v>60</v>
      </c>
      <c r="G5923">
        <v>-375.59690000000001</v>
      </c>
      <c r="H5923" s="1">
        <v>-2.1988469999999998E-6</v>
      </c>
      <c r="I5923">
        <v>18.843879999999999</v>
      </c>
      <c r="J5923">
        <v>-390.58150000000001</v>
      </c>
      <c r="K5923">
        <v>1.1117269999999999</v>
      </c>
      <c r="L5923">
        <v>18.592130000000001</v>
      </c>
      <c r="M5923">
        <v>0.99126329999999996</v>
      </c>
      <c r="N5923">
        <v>-1.0653050000000001E-2</v>
      </c>
      <c r="O5923">
        <v>-0.13146739999999901</v>
      </c>
      <c r="P5923">
        <v>0.93843270000000001</v>
      </c>
      <c r="Q5923">
        <v>0.33890310000000001</v>
      </c>
      <c r="R5923">
        <v>6.7000519999999994E-2</v>
      </c>
      <c r="S5923">
        <v>3.2801819999999999</v>
      </c>
      <c r="T5923">
        <v>-0.24072740000000001</v>
      </c>
      <c r="U5923">
        <v>5.0170899999999997E-2</v>
      </c>
      <c r="V5923">
        <v>-0.19090879999999999</v>
      </c>
      <c r="W5923">
        <v>0.34809410000000002</v>
      </c>
      <c r="X5923">
        <v>0.91781500000000005</v>
      </c>
      <c r="Y5923">
        <v>-0.14591379999999901</v>
      </c>
      <c r="Z5923">
        <v>1.4339660000000001E-2</v>
      </c>
      <c r="AA5923">
        <v>0.9891934</v>
      </c>
      <c r="AB5923">
        <v>22</v>
      </c>
      <c r="AC5923">
        <v>14.9846</v>
      </c>
      <c r="AD5923">
        <v>-1.1117291988469999</v>
      </c>
      <c r="AE5923">
        <v>0.25175000000000097</v>
      </c>
      <c r="AF5923">
        <v>-2.2075152337153101</v>
      </c>
      <c r="AG5923">
        <v>-1.1117291988469999</v>
      </c>
      <c r="AH5923">
        <v>14.7403142063375</v>
      </c>
      <c r="AI5923">
        <v>94.2657463559013</v>
      </c>
      <c r="AJ5923">
        <v>98.517338705715403</v>
      </c>
      <c r="AK5923">
        <v>14.946100769773</v>
      </c>
      <c r="AL5923">
        <v>69.629214509981395</v>
      </c>
      <c r="AM5923">
        <v>101.750179838555</v>
      </c>
      <c r="AN5923">
        <v>1.0000000232986199</v>
      </c>
    </row>
    <row r="5924" spans="1:40" x14ac:dyDescent="0.25">
      <c r="A5924" t="str">
        <f>"20190304164243587"</f>
        <v>20190304164243587</v>
      </c>
      <c r="B5924" t="str">
        <f>"1551688963577438"</f>
        <v>1551688963577438</v>
      </c>
      <c r="C5924" t="s">
        <v>40</v>
      </c>
      <c r="D5924">
        <v>4.1904820000000003</v>
      </c>
      <c r="E5924">
        <v>0.53068559999999998</v>
      </c>
      <c r="F5924" t="s">
        <v>60</v>
      </c>
      <c r="G5924">
        <v>-375.50959999999998</v>
      </c>
      <c r="H5924" s="1">
        <v>-2.2441409999999999E-6</v>
      </c>
      <c r="I5924">
        <v>18.82123</v>
      </c>
      <c r="J5924">
        <v>-390.38569999999999</v>
      </c>
      <c r="K5924">
        <v>1.111718</v>
      </c>
      <c r="L5924">
        <v>18.568570000000001</v>
      </c>
      <c r="M5924">
        <v>0.99153349999999996</v>
      </c>
      <c r="N5924">
        <v>-1.065033E-2</v>
      </c>
      <c r="O5924">
        <v>-0.1294138</v>
      </c>
      <c r="P5924">
        <v>0.93837289999999995</v>
      </c>
      <c r="Q5924">
        <v>0.33888649999999998</v>
      </c>
      <c r="R5924">
        <v>6.7912E-2</v>
      </c>
      <c r="S5924">
        <v>3.28064</v>
      </c>
      <c r="T5924">
        <v>-0.24198529999999999</v>
      </c>
      <c r="U5924">
        <v>4.9865720000000002E-2</v>
      </c>
      <c r="V5924">
        <v>-0.18989349999999999</v>
      </c>
      <c r="W5924">
        <v>0.34808159999999999</v>
      </c>
      <c r="X5924">
        <v>0.91803029999999997</v>
      </c>
      <c r="Y5924">
        <v>-0.1437736</v>
      </c>
      <c r="Z5924">
        <v>1.4197090000000001E-2</v>
      </c>
      <c r="AA5924">
        <v>0.98950870000000002</v>
      </c>
      <c r="AB5924">
        <v>22</v>
      </c>
      <c r="AC5924">
        <v>14.876099999999999</v>
      </c>
      <c r="AD5924">
        <v>-1.1117202441409999</v>
      </c>
      <c r="AE5924">
        <v>0.252659999999998</v>
      </c>
      <c r="AF5924">
        <v>-2.1637361480305599</v>
      </c>
      <c r="AG5924">
        <v>-1.1117202441409999</v>
      </c>
      <c r="AH5924">
        <v>14.6365685436249</v>
      </c>
      <c r="AI5924">
        <v>94.297037494776006</v>
      </c>
      <c r="AJ5924">
        <v>98.409177952559403</v>
      </c>
      <c r="AK5924">
        <v>14.837345273052</v>
      </c>
      <c r="AL5924">
        <v>69.629977705259293</v>
      </c>
      <c r="AM5924">
        <v>101.68674752713299</v>
      </c>
      <c r="AN5924">
        <v>0.999999986659449</v>
      </c>
    </row>
    <row r="5925" spans="1:40" x14ac:dyDescent="0.25">
      <c r="A5925" t="str">
        <f>"20190304164243600"</f>
        <v>20190304164243600</v>
      </c>
      <c r="B5925" t="str">
        <f>"1551688963596958"</f>
        <v>1551688963596958</v>
      </c>
      <c r="C5925" t="s">
        <v>40</v>
      </c>
      <c r="D5925">
        <v>4.1796319999999998</v>
      </c>
      <c r="E5925">
        <v>0.53081250000000002</v>
      </c>
      <c r="F5925" t="s">
        <v>60</v>
      </c>
      <c r="G5925">
        <v>-375.48099999999999</v>
      </c>
      <c r="H5925" s="1">
        <v>-2.2621919999999999E-6</v>
      </c>
      <c r="I5925">
        <v>18.795729999999999</v>
      </c>
      <c r="J5925">
        <v>-390.24689999999998</v>
      </c>
      <c r="K5925">
        <v>1.111713</v>
      </c>
      <c r="L5925">
        <v>18.55209</v>
      </c>
      <c r="M5925">
        <v>0.99172150000000003</v>
      </c>
      <c r="N5925">
        <v>-1.0649169999999999E-2</v>
      </c>
      <c r="O5925">
        <v>-0.12796630000000001</v>
      </c>
      <c r="P5925">
        <v>0.93831869999999995</v>
      </c>
      <c r="Q5925">
        <v>0.33884340000000002</v>
      </c>
      <c r="R5925">
        <v>6.8870539999999994E-2</v>
      </c>
      <c r="S5925">
        <v>3.2818299999999998</v>
      </c>
      <c r="T5925">
        <v>-0.2447869</v>
      </c>
      <c r="U5925">
        <v>5.0018310000000003E-2</v>
      </c>
      <c r="V5925">
        <v>-0.1894875</v>
      </c>
      <c r="W5925">
        <v>0.34804230000000003</v>
      </c>
      <c r="X5925">
        <v>0.91812910000000003</v>
      </c>
      <c r="Y5925">
        <v>-0.14236079999999901</v>
      </c>
      <c r="Z5925">
        <v>1.421094E-2</v>
      </c>
      <c r="AA5925">
        <v>0.98971279999999995</v>
      </c>
      <c r="AB5925">
        <v>22</v>
      </c>
      <c r="AC5925">
        <v>14.765899999999901</v>
      </c>
      <c r="AD5925">
        <v>-1.1117152621919999</v>
      </c>
      <c r="AE5925">
        <v>0.243639999999999</v>
      </c>
      <c r="AF5925">
        <v>-2.1192713387643201</v>
      </c>
      <c r="AG5925">
        <v>-1.1117152621919999</v>
      </c>
      <c r="AH5925">
        <v>14.5309629577241</v>
      </c>
      <c r="AI5925">
        <v>94.329359962249796</v>
      </c>
      <c r="AJ5925">
        <v>98.297811260389494</v>
      </c>
      <c r="AK5925">
        <v>14.726714036411799</v>
      </c>
      <c r="AL5925">
        <v>69.632379895885506</v>
      </c>
      <c r="AM5925">
        <v>101.66122533182001</v>
      </c>
      <c r="AN5925">
        <v>0.99999999975617404</v>
      </c>
    </row>
    <row r="5926" spans="1:40" x14ac:dyDescent="0.25">
      <c r="A5926" t="str">
        <f>"20190304164243615"</f>
        <v>20190304164243615</v>
      </c>
      <c r="B5926" t="str">
        <f>"1551688963606718"</f>
        <v>1551688963606718</v>
      </c>
      <c r="C5926" t="s">
        <v>40</v>
      </c>
      <c r="D5926">
        <v>4.1958279999999997</v>
      </c>
      <c r="E5926">
        <v>0.53084869999999995</v>
      </c>
      <c r="F5926" t="s">
        <v>60</v>
      </c>
      <c r="G5926">
        <v>-375.52569999999997</v>
      </c>
      <c r="H5926" s="1">
        <v>-2.2432899999999999E-6</v>
      </c>
      <c r="I5926">
        <v>18.783090000000001</v>
      </c>
      <c r="J5926">
        <v>-390.10919999999999</v>
      </c>
      <c r="K5926">
        <v>1.1117060000000001</v>
      </c>
      <c r="L5926">
        <v>18.53595</v>
      </c>
      <c r="M5926">
        <v>0.99190400000000001</v>
      </c>
      <c r="N5926">
        <v>-1.064909E-2</v>
      </c>
      <c r="O5926">
        <v>-0.12654369999999901</v>
      </c>
      <c r="P5926">
        <v>0.93815099999999996</v>
      </c>
      <c r="Q5926">
        <v>0.33912819999999999</v>
      </c>
      <c r="R5926">
        <v>6.9747489999999995E-2</v>
      </c>
      <c r="S5926">
        <v>3.2829589999999902</v>
      </c>
      <c r="T5926">
        <v>-0.24792310000000001</v>
      </c>
      <c r="U5926">
        <v>5.1513669999999998E-2</v>
      </c>
      <c r="V5926">
        <v>-0.18900790000000001</v>
      </c>
      <c r="W5926">
        <v>0.34833190000000003</v>
      </c>
      <c r="X5926">
        <v>0.91811810000000005</v>
      </c>
      <c r="Y5926">
        <v>-0.14137459999999999</v>
      </c>
      <c r="Z5926">
        <v>1.4261299999999999E-2</v>
      </c>
      <c r="AA5926">
        <v>0.98985339999999999</v>
      </c>
      <c r="AB5926">
        <v>22</v>
      </c>
      <c r="AC5926">
        <v>14.583500000000001</v>
      </c>
      <c r="AD5926">
        <v>-1.1117082432899901</v>
      </c>
      <c r="AE5926">
        <v>0.247139999999998</v>
      </c>
      <c r="AF5926">
        <v>-2.0786318222048799</v>
      </c>
      <c r="AG5926">
        <v>-1.1117082432899901</v>
      </c>
      <c r="AH5926">
        <v>14.3516000374809</v>
      </c>
      <c r="AI5926">
        <v>94.383857214898299</v>
      </c>
      <c r="AJ5926">
        <v>98.241197604676998</v>
      </c>
      <c r="AK5926">
        <v>14.5439000651924</v>
      </c>
      <c r="AL5926">
        <v>69.614678845561997</v>
      </c>
      <c r="AM5926">
        <v>101.632651279586</v>
      </c>
      <c r="AN5926">
        <v>0.99999997218381398</v>
      </c>
    </row>
    <row r="5927" spans="1:40" x14ac:dyDescent="0.25">
      <c r="A5927" t="str">
        <f>"20190304164243633"</f>
        <v>20190304164243633</v>
      </c>
      <c r="B5927" t="str">
        <f>"1551688963627214"</f>
        <v>1551688963627214</v>
      </c>
      <c r="C5927" t="s">
        <v>40</v>
      </c>
      <c r="D5927">
        <v>4.1741820000000001</v>
      </c>
      <c r="E5927">
        <v>0.53094350000000001</v>
      </c>
      <c r="F5927" t="s">
        <v>60</v>
      </c>
      <c r="G5927">
        <v>-375.37569999999999</v>
      </c>
      <c r="H5927" s="1">
        <v>-2.315682E-6</v>
      </c>
      <c r="I5927">
        <v>18.77477</v>
      </c>
      <c r="J5927">
        <v>-389.94650000000001</v>
      </c>
      <c r="K5927">
        <v>1.111686</v>
      </c>
      <c r="L5927">
        <v>18.517119999999998</v>
      </c>
      <c r="M5927">
        <v>0.99211459999999996</v>
      </c>
      <c r="N5927">
        <v>-1.064934E-2</v>
      </c>
      <c r="O5927">
        <v>-0.12488109999999999</v>
      </c>
      <c r="P5927">
        <v>0.93816580000000005</v>
      </c>
      <c r="Q5927">
        <v>0.33894659999999999</v>
      </c>
      <c r="R5927">
        <v>7.0429679999999995E-2</v>
      </c>
      <c r="S5927">
        <v>3.283417</v>
      </c>
      <c r="T5927">
        <v>-0.2477483</v>
      </c>
      <c r="U5927">
        <v>5.3222659999999998E-2</v>
      </c>
      <c r="V5927">
        <v>-0.18812960000000001</v>
      </c>
      <c r="W5927">
        <v>0.34816200000000003</v>
      </c>
      <c r="X5927">
        <v>0.91836289999999998</v>
      </c>
      <c r="Y5927">
        <v>-0.14023679999999999</v>
      </c>
      <c r="Z5927">
        <v>1.4093079999999999E-2</v>
      </c>
      <c r="AA5927">
        <v>0.9900177</v>
      </c>
      <c r="AB5927">
        <v>22</v>
      </c>
      <c r="AC5927">
        <v>14.5708</v>
      </c>
      <c r="AD5927">
        <v>-1.1116883156820001</v>
      </c>
      <c r="AE5927">
        <v>0.25764999999999799</v>
      </c>
      <c r="AF5927">
        <v>-2.0633464312090899</v>
      </c>
      <c r="AG5927">
        <v>-1.1116883156820001</v>
      </c>
      <c r="AH5927">
        <v>14.3410914737129</v>
      </c>
      <c r="AI5927">
        <v>94.387571743171094</v>
      </c>
      <c r="AJ5927">
        <v>98.187332435124802</v>
      </c>
      <c r="AK5927">
        <v>14.5313507308787</v>
      </c>
      <c r="AL5927">
        <v>69.625063406778196</v>
      </c>
      <c r="AM5927">
        <v>101.577055456675</v>
      </c>
      <c r="AN5927">
        <v>0.99999997036828403</v>
      </c>
    </row>
    <row r="5928" spans="1:40" x14ac:dyDescent="0.25">
      <c r="A5928" t="str">
        <f>"20190304164243645"</f>
        <v>20190304164243645</v>
      </c>
      <c r="B5928" t="str">
        <f>"1551688963636974"</f>
        <v>1551688963636974</v>
      </c>
      <c r="C5928" t="s">
        <v>40</v>
      </c>
      <c r="D5928">
        <v>4.1856809999999998</v>
      </c>
      <c r="E5928">
        <v>0.53092899999999998</v>
      </c>
      <c r="F5928" t="s">
        <v>60</v>
      </c>
      <c r="G5928">
        <v>-375.25510000000003</v>
      </c>
      <c r="H5928" s="1">
        <v>-2.376484E-6</v>
      </c>
      <c r="I5928">
        <v>18.753340000000001</v>
      </c>
      <c r="J5928">
        <v>-389.81900000000002</v>
      </c>
      <c r="K5928">
        <v>1.111675</v>
      </c>
      <c r="L5928">
        <v>18.50253</v>
      </c>
      <c r="M5928">
        <v>0.99227569999999998</v>
      </c>
      <c r="N5928">
        <v>-1.0649779999999999E-2</v>
      </c>
      <c r="O5928">
        <v>-0.1235948</v>
      </c>
      <c r="P5928">
        <v>0.93818040000000003</v>
      </c>
      <c r="Q5928">
        <v>0.3387636</v>
      </c>
      <c r="R5928">
        <v>7.1111839999999996E-2</v>
      </c>
      <c r="S5928">
        <v>3.2835079999999999</v>
      </c>
      <c r="T5928">
        <v>-0.24846170000000001</v>
      </c>
      <c r="U5928">
        <v>5.2795410000000001E-2</v>
      </c>
      <c r="V5928">
        <v>-0.18760060000000001</v>
      </c>
      <c r="W5928">
        <v>0.34798950000000001</v>
      </c>
      <c r="X5928">
        <v>0.91853649999999998</v>
      </c>
      <c r="Y5928">
        <v>-0.13882700000000001</v>
      </c>
      <c r="Z5928">
        <v>1.3991099999999999E-2</v>
      </c>
      <c r="AA5928">
        <v>0.99021780000000004</v>
      </c>
      <c r="AB5928">
        <v>22</v>
      </c>
      <c r="AC5928">
        <v>14.563899999999901</v>
      </c>
      <c r="AD5928">
        <v>-1.111677376484</v>
      </c>
      <c r="AE5928">
        <v>0.25080999999999698</v>
      </c>
      <c r="AF5928">
        <v>-2.03714526049718</v>
      </c>
      <c r="AG5928">
        <v>-1.111677376484</v>
      </c>
      <c r="AH5928">
        <v>14.337709137924</v>
      </c>
      <c r="AI5928">
        <v>94.389658386267897</v>
      </c>
      <c r="AJ5928">
        <v>98.086631722853795</v>
      </c>
      <c r="AK5928">
        <v>14.5243137781261</v>
      </c>
      <c r="AL5928">
        <v>69.635606615866195</v>
      </c>
      <c r="AM5928">
        <v>101.543253828272</v>
      </c>
      <c r="AN5928">
        <v>0.99999998953142999</v>
      </c>
    </row>
    <row r="5929" spans="1:40" x14ac:dyDescent="0.25">
      <c r="A5929" t="str">
        <f>"20190304164243657"</f>
        <v>20190304164243657</v>
      </c>
      <c r="B5929" t="str">
        <f>"1551688963646734"</f>
        <v>1551688963646734</v>
      </c>
      <c r="C5929" t="s">
        <v>40</v>
      </c>
      <c r="D5929">
        <v>4.2011180000000001</v>
      </c>
      <c r="E5929">
        <v>0.53100449999999999</v>
      </c>
      <c r="F5929" t="s">
        <v>60</v>
      </c>
      <c r="G5929">
        <v>-375.09750000000003</v>
      </c>
      <c r="H5929" s="1">
        <v>-2.452209E-6</v>
      </c>
      <c r="I5929">
        <v>18.74652</v>
      </c>
      <c r="J5929">
        <v>-389.70249999999999</v>
      </c>
      <c r="K5929">
        <v>1.111658</v>
      </c>
      <c r="L5929">
        <v>18.489319999999999</v>
      </c>
      <c r="M5929">
        <v>0.99241939999999995</v>
      </c>
      <c r="N5929">
        <v>-1.0650400000000001E-2</v>
      </c>
      <c r="O5929">
        <v>-0.12243610000000001</v>
      </c>
      <c r="P5929">
        <v>0.93828849999999997</v>
      </c>
      <c r="Q5929">
        <v>0.33836820000000001</v>
      </c>
      <c r="R5929">
        <v>7.1566909999999997E-2</v>
      </c>
      <c r="S5929">
        <v>3.283112</v>
      </c>
      <c r="T5929">
        <v>-0.2479208</v>
      </c>
      <c r="U5929">
        <v>5.4412839999999997E-2</v>
      </c>
      <c r="V5929">
        <v>-0.18697420000000001</v>
      </c>
      <c r="W5929">
        <v>0.34760639999999998</v>
      </c>
      <c r="X5929">
        <v>0.91880930000000005</v>
      </c>
      <c r="Y5929">
        <v>-0.13816800000000001</v>
      </c>
      <c r="Z5929">
        <v>1.385834E-2</v>
      </c>
      <c r="AA5929">
        <v>0.99031190000000002</v>
      </c>
      <c r="AB5929">
        <v>22</v>
      </c>
      <c r="AC5929">
        <v>14.604999999999899</v>
      </c>
      <c r="AD5929">
        <v>-1.1116604522089999</v>
      </c>
      <c r="AE5929">
        <v>0.25719999999999699</v>
      </c>
      <c r="AF5929">
        <v>-2.0317776533820702</v>
      </c>
      <c r="AG5929">
        <v>-1.1116604522089999</v>
      </c>
      <c r="AH5929">
        <v>14.3803263469434</v>
      </c>
      <c r="AI5929">
        <v>94.377114572451305</v>
      </c>
      <c r="AJ5929">
        <v>98.042015377600407</v>
      </c>
      <c r="AK5929">
        <v>14.565634048622201</v>
      </c>
      <c r="AL5929">
        <v>69.659019411965602</v>
      </c>
      <c r="AM5929">
        <v>101.502415254897</v>
      </c>
      <c r="AN5929">
        <v>1.0000000452765401</v>
      </c>
    </row>
    <row r="5930" spans="1:40" x14ac:dyDescent="0.25">
      <c r="A5930" t="str">
        <f>"20190304164243669"</f>
        <v>20190304164243669</v>
      </c>
      <c r="B5930" t="str">
        <f>"1551688963657471"</f>
        <v>1551688963657471</v>
      </c>
      <c r="C5930" t="s">
        <v>40</v>
      </c>
      <c r="D5930">
        <v>4.1746949999999998</v>
      </c>
      <c r="E5930">
        <v>0.53107799999999905</v>
      </c>
      <c r="F5930" t="s">
        <v>60</v>
      </c>
      <c r="G5930">
        <v>-375.00990000000002</v>
      </c>
      <c r="H5930" s="1">
        <v>-2.4956950000000002E-6</v>
      </c>
      <c r="I5930">
        <v>18.734770000000001</v>
      </c>
      <c r="J5930">
        <v>-389.59140000000002</v>
      </c>
      <c r="K5930">
        <v>1.11164</v>
      </c>
      <c r="L5930">
        <v>18.476870000000002</v>
      </c>
      <c r="M5930">
        <v>0.99255309999999997</v>
      </c>
      <c r="N5930">
        <v>-1.065091E-2</v>
      </c>
      <c r="O5930">
        <v>-0.1213471</v>
      </c>
      <c r="P5930">
        <v>0.93844349999999999</v>
      </c>
      <c r="Q5930">
        <v>0.33782240000000002</v>
      </c>
      <c r="R5930">
        <v>7.2111159999999994E-2</v>
      </c>
      <c r="S5930">
        <v>3.282654</v>
      </c>
      <c r="T5930">
        <v>-0.24837049999999999</v>
      </c>
      <c r="U5930">
        <v>5.4840090000000001E-2</v>
      </c>
      <c r="V5930">
        <v>-0.18650610000000001</v>
      </c>
      <c r="W5930">
        <v>0.34707250000000001</v>
      </c>
      <c r="X5930">
        <v>0.91910619999999998</v>
      </c>
      <c r="Y5930">
        <v>-0.137215</v>
      </c>
      <c r="Z5930">
        <v>1.377514E-2</v>
      </c>
      <c r="AA5930">
        <v>0.99044549999999998</v>
      </c>
      <c r="AB5930">
        <v>22</v>
      </c>
      <c r="AC5930">
        <v>14.5815</v>
      </c>
      <c r="AD5930">
        <v>-1.111642495695</v>
      </c>
      <c r="AE5930">
        <v>0.25789999999999902</v>
      </c>
      <c r="AF5930">
        <v>-2.01381620907503</v>
      </c>
      <c r="AG5930">
        <v>-1.111642495695</v>
      </c>
      <c r="AH5930">
        <v>14.3590067550544</v>
      </c>
      <c r="AI5930">
        <v>94.384145196423006</v>
      </c>
      <c r="AJ5930">
        <v>97.983523542504102</v>
      </c>
      <c r="AK5930">
        <v>14.542086499325499</v>
      </c>
      <c r="AL5930">
        <v>69.691640239173296</v>
      </c>
      <c r="AM5930">
        <v>101.47077474612701</v>
      </c>
      <c r="AN5930">
        <v>1.0000000262359401</v>
      </c>
    </row>
    <row r="5931" spans="1:40" x14ac:dyDescent="0.25">
      <c r="A5931" t="str">
        <f>"20190304164243687"</f>
        <v>20190304164243687</v>
      </c>
      <c r="B5931" t="str">
        <f>"1551688963676990"</f>
        <v>1551688963676990</v>
      </c>
      <c r="C5931" t="s">
        <v>40</v>
      </c>
      <c r="D5931">
        <v>4.1973349999999998</v>
      </c>
      <c r="E5931">
        <v>0.53121109999999905</v>
      </c>
      <c r="F5931" t="s">
        <v>60</v>
      </c>
      <c r="G5931">
        <v>-374.95890000000003</v>
      </c>
      <c r="H5931" s="1">
        <v>-2.5212399999999999E-6</v>
      </c>
      <c r="I5931">
        <v>18.726659999999999</v>
      </c>
      <c r="J5931">
        <v>-389.4187</v>
      </c>
      <c r="K5931">
        <v>1.1116109999999999</v>
      </c>
      <c r="L5931">
        <v>18.457699999999999</v>
      </c>
      <c r="M5931">
        <v>0.99275579999999997</v>
      </c>
      <c r="N5931">
        <v>-1.065163E-2</v>
      </c>
      <c r="O5931">
        <v>-0.1196777</v>
      </c>
      <c r="P5931">
        <v>0.93862760000000001</v>
      </c>
      <c r="Q5931">
        <v>0.33730789999999999</v>
      </c>
      <c r="R5931">
        <v>7.2121899999999906E-2</v>
      </c>
      <c r="S5931">
        <v>3.2821959999999999</v>
      </c>
      <c r="T5931">
        <v>-0.2493505</v>
      </c>
      <c r="U5931">
        <v>5.603027E-2</v>
      </c>
      <c r="V5931">
        <v>-0.1849626</v>
      </c>
      <c r="W5931">
        <v>0.34658040000000001</v>
      </c>
      <c r="X5931">
        <v>0.91960359999999997</v>
      </c>
      <c r="Y5931">
        <v>-0.13591249999999999</v>
      </c>
      <c r="Z5931">
        <v>1.366905E-2</v>
      </c>
      <c r="AA5931">
        <v>0.99062660000000002</v>
      </c>
      <c r="AB5931">
        <v>22</v>
      </c>
      <c r="AC5931">
        <v>14.4597999999999</v>
      </c>
      <c r="AD5931">
        <v>-1.11161352124</v>
      </c>
      <c r="AE5931">
        <v>0.26895999999999898</v>
      </c>
      <c r="AF5931">
        <v>-1.98590770966743</v>
      </c>
      <c r="AG5931">
        <v>-1.11161352124</v>
      </c>
      <c r="AH5931">
        <v>14.2395465688017</v>
      </c>
      <c r="AI5931">
        <v>94.421138409919905</v>
      </c>
      <c r="AJ5931">
        <v>97.9395021555722</v>
      </c>
      <c r="AK5931">
        <v>14.4202704737807</v>
      </c>
      <c r="AL5931">
        <v>69.721699987785399</v>
      </c>
      <c r="AM5931">
        <v>101.37233634740601</v>
      </c>
      <c r="AN5931">
        <v>0.99999995909793904</v>
      </c>
    </row>
    <row r="5932" spans="1:40" x14ac:dyDescent="0.25">
      <c r="A5932" t="str">
        <f>"20190304164243698"</f>
        <v>20190304164243698</v>
      </c>
      <c r="B5932" t="str">
        <f>"1551688963686750"</f>
        <v>1551688963686750</v>
      </c>
      <c r="C5932" t="s">
        <v>40</v>
      </c>
      <c r="D5932">
        <v>4.1913499999999999</v>
      </c>
      <c r="E5932">
        <v>0.53122999999999998</v>
      </c>
      <c r="F5932" t="s">
        <v>60</v>
      </c>
      <c r="G5932">
        <v>-374.79070000000002</v>
      </c>
      <c r="H5932" s="1">
        <v>-2.605083E-6</v>
      </c>
      <c r="I5932">
        <v>18.702159999999999</v>
      </c>
      <c r="J5932">
        <v>-389.30200000000002</v>
      </c>
      <c r="K5932">
        <v>1.1115919999999999</v>
      </c>
      <c r="L5932">
        <v>18.444849999999999</v>
      </c>
      <c r="M5932">
        <v>0.99288880000000002</v>
      </c>
      <c r="N5932">
        <v>-1.0652119999999999E-2</v>
      </c>
      <c r="O5932">
        <v>-0.11856800000000001</v>
      </c>
      <c r="P5932">
        <v>0.93869029999999998</v>
      </c>
      <c r="Q5932">
        <v>0.33703719999999998</v>
      </c>
      <c r="R5932">
        <v>7.2572449999999997E-2</v>
      </c>
      <c r="S5932">
        <v>3.2815249999999998</v>
      </c>
      <c r="T5932">
        <v>-0.2493708</v>
      </c>
      <c r="U5932">
        <v>5.4840090000000001E-2</v>
      </c>
      <c r="V5932">
        <v>-0.18436959999999999</v>
      </c>
      <c r="W5932">
        <v>0.34632190000000002</v>
      </c>
      <c r="X5932">
        <v>0.91982010000000003</v>
      </c>
      <c r="Y5932">
        <v>-0.1344561</v>
      </c>
      <c r="Z5932">
        <v>1.3538110000000001E-2</v>
      </c>
      <c r="AA5932">
        <v>0.99082709999999996</v>
      </c>
      <c r="AB5932">
        <v>22</v>
      </c>
      <c r="AC5932">
        <v>14.511299999999901</v>
      </c>
      <c r="AD5932">
        <v>-1.1115946050829999</v>
      </c>
      <c r="AE5932">
        <v>0.25730999999999998</v>
      </c>
      <c r="AF5932">
        <v>-1.96464350476514</v>
      </c>
      <c r="AG5932">
        <v>-1.1115946050829999</v>
      </c>
      <c r="AH5932">
        <v>14.2945620071532</v>
      </c>
      <c r="AI5932">
        <v>94.405321746496796</v>
      </c>
      <c r="AJ5932">
        <v>97.825698207404898</v>
      </c>
      <c r="AK5932">
        <v>14.471695465397699</v>
      </c>
      <c r="AL5932">
        <v>69.737489899664197</v>
      </c>
      <c r="AM5932">
        <v>101.33422239365601</v>
      </c>
      <c r="AN5932">
        <v>1.0000000120938899</v>
      </c>
    </row>
    <row r="5933" spans="1:40" x14ac:dyDescent="0.25">
      <c r="A5933" t="str">
        <f>"20190304164243711"</f>
        <v>20190304164243711</v>
      </c>
      <c r="B5933" t="str">
        <f>"1551688963707247"</f>
        <v>1551688963707247</v>
      </c>
      <c r="C5933" t="s">
        <v>40</v>
      </c>
      <c r="D5933">
        <v>4.1990999999999996</v>
      </c>
      <c r="E5933">
        <v>0.53124749999999998</v>
      </c>
      <c r="F5933" t="s">
        <v>60</v>
      </c>
      <c r="G5933">
        <v>-374.7192</v>
      </c>
      <c r="H5933" s="1">
        <v>-2.639973E-6</v>
      </c>
      <c r="I5933">
        <v>18.696169999999999</v>
      </c>
      <c r="J5933">
        <v>-389.18770000000001</v>
      </c>
      <c r="K5933">
        <v>1.111575</v>
      </c>
      <c r="L5933">
        <v>18.43243</v>
      </c>
      <c r="M5933">
        <v>0.99301609999999996</v>
      </c>
      <c r="N5933">
        <v>-1.065262E-2</v>
      </c>
      <c r="O5933">
        <v>-0.1174972</v>
      </c>
      <c r="P5933">
        <v>0.93874959999999996</v>
      </c>
      <c r="Q5933">
        <v>0.33682960000000001</v>
      </c>
      <c r="R5933">
        <v>7.2767970000000001E-2</v>
      </c>
      <c r="S5933">
        <v>3.2813720000000002</v>
      </c>
      <c r="T5933">
        <v>-0.25012620000000002</v>
      </c>
      <c r="U5933">
        <v>5.654907E-2</v>
      </c>
      <c r="V5933">
        <v>-0.18356130000000001</v>
      </c>
      <c r="W5933">
        <v>0.34612730000000003</v>
      </c>
      <c r="X5933">
        <v>0.92005499999999996</v>
      </c>
      <c r="Y5933">
        <v>-0.133904</v>
      </c>
      <c r="Z5933">
        <v>1.348771E-2</v>
      </c>
      <c r="AA5933">
        <v>0.99090250000000002</v>
      </c>
      <c r="AB5933">
        <v>22</v>
      </c>
      <c r="AC5933">
        <v>14.468500000000001</v>
      </c>
      <c r="AD5933">
        <v>-1.111577639973</v>
      </c>
      <c r="AE5933">
        <v>0.26374000000000197</v>
      </c>
      <c r="AF5933">
        <v>-1.9505086238875999</v>
      </c>
      <c r="AG5933">
        <v>-1.111577639973</v>
      </c>
      <c r="AH5933">
        <v>14.2531771428587</v>
      </c>
      <c r="AI5933">
        <v>94.418346170689006</v>
      </c>
      <c r="AJ5933">
        <v>97.792369515324495</v>
      </c>
      <c r="AK5933">
        <v>14.4288997296141</v>
      </c>
      <c r="AL5933">
        <v>69.749375110705103</v>
      </c>
      <c r="AM5933">
        <v>101.28300229859801</v>
      </c>
      <c r="AN5933">
        <v>1.00000003084398</v>
      </c>
    </row>
    <row r="5934" spans="1:40" x14ac:dyDescent="0.25">
      <c r="A5934" t="str">
        <f>"20190304164243723"</f>
        <v>20190304164243723</v>
      </c>
      <c r="B5934" t="str">
        <f>"1551688963717006"</f>
        <v>1551688963717006</v>
      </c>
      <c r="C5934" t="s">
        <v>40</v>
      </c>
      <c r="D5934">
        <v>4.2098420000000001</v>
      </c>
      <c r="E5934">
        <v>0.53129269999999995</v>
      </c>
      <c r="F5934" t="s">
        <v>60</v>
      </c>
      <c r="G5934">
        <v>-374.55700000000002</v>
      </c>
      <c r="H5934" s="1">
        <v>-2.7177900000000002E-6</v>
      </c>
      <c r="I5934">
        <v>18.68966</v>
      </c>
      <c r="J5934">
        <v>-389.06220000000002</v>
      </c>
      <c r="K5934">
        <v>1.1115569999999999</v>
      </c>
      <c r="L5934">
        <v>18.418880000000001</v>
      </c>
      <c r="M5934">
        <v>0.99315330000000002</v>
      </c>
      <c r="N5934">
        <v>-1.0653660000000001E-2</v>
      </c>
      <c r="O5934">
        <v>-0.1163319</v>
      </c>
      <c r="P5934">
        <v>0.93872299999999997</v>
      </c>
      <c r="Q5934">
        <v>0.3368545</v>
      </c>
      <c r="R5934">
        <v>7.2993840000000004E-2</v>
      </c>
      <c r="S5934">
        <v>3.2807010000000001</v>
      </c>
      <c r="T5934">
        <v>-0.24925449999999999</v>
      </c>
      <c r="U5934">
        <v>5.7678220000000002E-2</v>
      </c>
      <c r="V5934">
        <v>-0.18268409999999999</v>
      </c>
      <c r="W5934">
        <v>0.34616449999999999</v>
      </c>
      <c r="X5934">
        <v>0.92021549999999996</v>
      </c>
      <c r="Y5934">
        <v>-0.1330953</v>
      </c>
      <c r="Z5934">
        <v>1.3331249999999999E-2</v>
      </c>
      <c r="AA5934">
        <v>0.99101360000000005</v>
      </c>
      <c r="AB5934">
        <v>22</v>
      </c>
      <c r="AC5934">
        <v>14.5052</v>
      </c>
      <c r="AD5934">
        <v>-1.1115597177899901</v>
      </c>
      <c r="AE5934">
        <v>0.27078000000000102</v>
      </c>
      <c r="AF5934">
        <v>-1.94503635316906</v>
      </c>
      <c r="AG5934">
        <v>-1.1115597177899901</v>
      </c>
      <c r="AH5934">
        <v>14.291306556221</v>
      </c>
      <c r="AI5934">
        <v>94.406973579656295</v>
      </c>
      <c r="AJ5934">
        <v>97.750294790618497</v>
      </c>
      <c r="AK5934">
        <v>14.4658278195632</v>
      </c>
      <c r="AL5934">
        <v>69.747101638110493</v>
      </c>
      <c r="AM5934">
        <v>101.228547866569</v>
      </c>
      <c r="AN5934">
        <v>0.99999995394665298</v>
      </c>
    </row>
    <row r="5935" spans="1:40" x14ac:dyDescent="0.25">
      <c r="A5935" t="str">
        <f>"20190304164243745"</f>
        <v>20190304164243745</v>
      </c>
      <c r="B5935" t="str">
        <f>"1551688963737502"</f>
        <v>1551688963737502</v>
      </c>
      <c r="C5935" t="s">
        <v>40</v>
      </c>
      <c r="D5935">
        <v>4.1932419999999997</v>
      </c>
      <c r="E5935">
        <v>0.53135059999999901</v>
      </c>
      <c r="F5935" t="s">
        <v>60</v>
      </c>
      <c r="G5935">
        <v>-374.3954</v>
      </c>
      <c r="H5935" s="1">
        <v>-2.7955959999999999E-6</v>
      </c>
      <c r="I5935">
        <v>18.681539999999998</v>
      </c>
      <c r="J5935">
        <v>-388.85910000000001</v>
      </c>
      <c r="K5935">
        <v>1.1115389999999901</v>
      </c>
      <c r="L5935">
        <v>18.397279999999999</v>
      </c>
      <c r="M5935">
        <v>0.99336880000000005</v>
      </c>
      <c r="N5935">
        <v>-1.0660269999999999E-2</v>
      </c>
      <c r="O5935">
        <v>-0.1144757</v>
      </c>
      <c r="P5935">
        <v>0.93879199999999996</v>
      </c>
      <c r="Q5935">
        <v>0.33661839999999998</v>
      </c>
      <c r="R5935">
        <v>7.3198289999999999E-2</v>
      </c>
      <c r="S5935">
        <v>3.2804869999999999</v>
      </c>
      <c r="T5935">
        <v>-0.24862020000000001</v>
      </c>
      <c r="U5935">
        <v>5.8746340000000001E-2</v>
      </c>
      <c r="V5935">
        <v>-0.1811519</v>
      </c>
      <c r="W5935">
        <v>0.34595110000000001</v>
      </c>
      <c r="X5935">
        <v>0.92059860000000004</v>
      </c>
      <c r="Y5935">
        <v>-0.13157920000000001</v>
      </c>
      <c r="Z5935">
        <v>1.311121E-2</v>
      </c>
      <c r="AA5935">
        <v>0.99121890000000001</v>
      </c>
      <c r="AB5935">
        <v>22</v>
      </c>
      <c r="AC5935">
        <v>14.463699999999999</v>
      </c>
      <c r="AD5935">
        <v>-1.1115417955960001</v>
      </c>
      <c r="AE5935">
        <v>0.28425999999999901</v>
      </c>
      <c r="AF5935">
        <v>-1.9268518526284699</v>
      </c>
      <c r="AG5935">
        <v>-1.1115417955960001</v>
      </c>
      <c r="AH5935">
        <v>14.2519235406864</v>
      </c>
      <c r="AI5935">
        <v>94.419560025674798</v>
      </c>
      <c r="AJ5935">
        <v>97.699669108415506</v>
      </c>
      <c r="AK5935">
        <v>14.424479464954899</v>
      </c>
      <c r="AL5935">
        <v>69.760134288517804</v>
      </c>
      <c r="AM5935">
        <v>101.132217314258</v>
      </c>
      <c r="AN5935">
        <v>0.99999997839338906</v>
      </c>
    </row>
    <row r="5936" spans="1:40" x14ac:dyDescent="0.25">
      <c r="A5936" t="str">
        <f>"20190304164243758"</f>
        <v>20190304164243758</v>
      </c>
      <c r="B5936" t="str">
        <f>"1551688963747262"</f>
        <v>1551688963747262</v>
      </c>
      <c r="C5936" t="s">
        <v>40</v>
      </c>
      <c r="D5936">
        <v>4.2272480000000003</v>
      </c>
      <c r="E5936">
        <v>0.53136470000000002</v>
      </c>
      <c r="F5936" t="s">
        <v>60</v>
      </c>
      <c r="G5936">
        <v>-374.19799999999998</v>
      </c>
      <c r="H5936" s="1">
        <v>-2.8912689999999999E-6</v>
      </c>
      <c r="I5936">
        <v>18.66846</v>
      </c>
      <c r="J5936">
        <v>-388.72629999999998</v>
      </c>
      <c r="K5936">
        <v>1.111534</v>
      </c>
      <c r="L5936">
        <v>18.383330000000001</v>
      </c>
      <c r="M5936">
        <v>0.99350649999999996</v>
      </c>
      <c r="N5936">
        <v>-1.0667299999999999E-2</v>
      </c>
      <c r="O5936">
        <v>-0.1132753</v>
      </c>
      <c r="P5936">
        <v>0.93871020000000005</v>
      </c>
      <c r="Q5936">
        <v>0.33676230000000001</v>
      </c>
      <c r="R5936">
        <v>7.3584880000000005E-2</v>
      </c>
      <c r="S5936">
        <v>3.2800600000000002</v>
      </c>
      <c r="T5936">
        <v>-0.24867900000000001</v>
      </c>
      <c r="U5936">
        <v>6.0668949999999999E-2</v>
      </c>
      <c r="V5936">
        <v>-0.1804036</v>
      </c>
      <c r="W5936">
        <v>0.34610809999999997</v>
      </c>
      <c r="X5936">
        <v>0.92068649999999996</v>
      </c>
      <c r="Y5936">
        <v>-0.13096859999999999</v>
      </c>
      <c r="Z5936">
        <v>1.301188E-2</v>
      </c>
      <c r="AA5936">
        <v>0.99130110000000005</v>
      </c>
      <c r="AB5936">
        <v>22</v>
      </c>
      <c r="AC5936">
        <v>14.5282999999999</v>
      </c>
      <c r="AD5936">
        <v>-1.111536891269</v>
      </c>
      <c r="AE5936">
        <v>0.28513000000000199</v>
      </c>
      <c r="AF5936">
        <v>-1.9178636095332</v>
      </c>
      <c r="AG5936">
        <v>-1.111536891269</v>
      </c>
      <c r="AH5936">
        <v>14.318697241986101</v>
      </c>
      <c r="AI5936">
        <v>94.399740412172605</v>
      </c>
      <c r="AJ5936">
        <v>97.628860947305796</v>
      </c>
      <c r="AK5936">
        <v>14.489265191619699</v>
      </c>
      <c r="AL5936">
        <v>69.750546029685097</v>
      </c>
      <c r="AM5936">
        <v>101.08634186434701</v>
      </c>
      <c r="AN5936">
        <v>0.99999995353040805</v>
      </c>
    </row>
    <row r="5937" spans="1:40" x14ac:dyDescent="0.25">
      <c r="A5937" t="str">
        <f>"20190304164243779"</f>
        <v>20190304164243779</v>
      </c>
      <c r="B5937" t="str">
        <f>"1551688963766782"</f>
        <v>1551688963766782</v>
      </c>
      <c r="C5937" t="s">
        <v>40</v>
      </c>
      <c r="D5937">
        <v>4.7892070000000002</v>
      </c>
      <c r="E5937">
        <v>0.53282859999999999</v>
      </c>
      <c r="F5937" t="s">
        <v>60</v>
      </c>
      <c r="G5937">
        <v>-374.00560000000002</v>
      </c>
      <c r="H5937" s="1">
        <v>-2.9829310000000001E-6</v>
      </c>
      <c r="I5937">
        <v>18.664400000000001</v>
      </c>
      <c r="J5937">
        <v>-388.52960000000002</v>
      </c>
      <c r="K5937">
        <v>1.1115299999999999</v>
      </c>
      <c r="L5937">
        <v>18.36298</v>
      </c>
      <c r="M5937">
        <v>0.99370599999999998</v>
      </c>
      <c r="N5937">
        <v>-1.0678409999999999E-2</v>
      </c>
      <c r="O5937">
        <v>-0.1115092</v>
      </c>
      <c r="P5937">
        <v>0.93858149999999996</v>
      </c>
      <c r="Q5937">
        <v>0.33712700000000001</v>
      </c>
      <c r="R5937">
        <v>7.3551740000000004E-2</v>
      </c>
      <c r="S5937">
        <v>3.2798159999999998</v>
      </c>
      <c r="T5937">
        <v>-0.24765309999999999</v>
      </c>
      <c r="U5937">
        <v>6.2622070000000002E-2</v>
      </c>
      <c r="V5937">
        <v>-0.1787098</v>
      </c>
      <c r="W5937">
        <v>0.34649190000000002</v>
      </c>
      <c r="X5937">
        <v>0.92087249999999998</v>
      </c>
      <c r="Y5937">
        <v>-0.12981099999999901</v>
      </c>
      <c r="Z5937">
        <v>1.2793229999999999E-2</v>
      </c>
      <c r="AA5937">
        <v>0.99145620000000001</v>
      </c>
      <c r="AB5937">
        <v>22</v>
      </c>
      <c r="AC5937">
        <v>14.523999999999999</v>
      </c>
      <c r="AD5937">
        <v>-1.1115329829309999</v>
      </c>
      <c r="AE5937">
        <v>0.30142000000000002</v>
      </c>
      <c r="AF5937">
        <v>-1.9080215667067899</v>
      </c>
      <c r="AG5937">
        <v>-1.1115329829309999</v>
      </c>
      <c r="AH5937">
        <v>14.3159842131669</v>
      </c>
      <c r="AI5937">
        <v>94.400936497695895</v>
      </c>
      <c r="AJ5937">
        <v>97.591590578058202</v>
      </c>
      <c r="AK5937">
        <v>14.4852841139829</v>
      </c>
      <c r="AL5937">
        <v>69.727106382049598</v>
      </c>
      <c r="AM5937">
        <v>100.982631504187</v>
      </c>
      <c r="AN5937">
        <v>0.99999999531894901</v>
      </c>
    </row>
    <row r="5938" spans="1:40" x14ac:dyDescent="0.25">
      <c r="A5938" t="str">
        <f>"20190304164243792"</f>
        <v>20190304164243792</v>
      </c>
      <c r="B5938" t="str">
        <f>"1551688963787278"</f>
        <v>1551688963787278</v>
      </c>
      <c r="C5938" t="s">
        <v>40</v>
      </c>
      <c r="D5938">
        <v>4.1751500000000004</v>
      </c>
      <c r="E5938">
        <v>0.53295239999999999</v>
      </c>
      <c r="F5938" t="s">
        <v>60</v>
      </c>
      <c r="G5938">
        <v>-370.5557</v>
      </c>
      <c r="H5938" s="1">
        <v>-4.6185260000000002E-6</v>
      </c>
      <c r="I5938">
        <v>18.637329999999999</v>
      </c>
      <c r="J5938">
        <v>-388.40839999999997</v>
      </c>
      <c r="K5938">
        <v>1.1115299999999999</v>
      </c>
      <c r="L5938">
        <v>18.350619999999999</v>
      </c>
      <c r="M5938">
        <v>0.99382700000000002</v>
      </c>
      <c r="N5938">
        <v>-1.0686879999999999E-2</v>
      </c>
      <c r="O5938">
        <v>-0.1104246</v>
      </c>
      <c r="P5938">
        <v>0.93842349999999997</v>
      </c>
      <c r="Q5938">
        <v>0.33752510000000002</v>
      </c>
      <c r="R5938">
        <v>7.3743669999999997E-2</v>
      </c>
      <c r="S5938">
        <v>3.2648929999999998</v>
      </c>
      <c r="T5938">
        <v>-0.20190559999999999</v>
      </c>
      <c r="U5938">
        <v>4.9835209999999998E-2</v>
      </c>
      <c r="V5938">
        <v>-0.17787539999999999</v>
      </c>
      <c r="W5938">
        <v>0.34690029999999999</v>
      </c>
      <c r="X5938">
        <v>0.92088029999999998</v>
      </c>
      <c r="Y5938">
        <v>-0.12516269999999999</v>
      </c>
      <c r="Z5938">
        <v>1.016799E-2</v>
      </c>
      <c r="AA5938">
        <v>0.99208410000000002</v>
      </c>
      <c r="AB5938">
        <v>22</v>
      </c>
      <c r="AC5938">
        <v>17.852699999999899</v>
      </c>
      <c r="AD5938">
        <v>-1.111534618526</v>
      </c>
      <c r="AE5938">
        <v>0.28670999999999502</v>
      </c>
      <c r="AF5938">
        <v>-2.2477352904881802</v>
      </c>
      <c r="AG5938">
        <v>-1.111534618526</v>
      </c>
      <c r="AH5938">
        <v>17.643470698509802</v>
      </c>
      <c r="AI5938">
        <v>93.576029829704595</v>
      </c>
      <c r="AJ5938">
        <v>97.260233435614197</v>
      </c>
      <c r="AK5938">
        <v>17.8207710673096</v>
      </c>
      <c r="AL5938">
        <v>69.702159649718794</v>
      </c>
      <c r="AM5938">
        <v>100.932501375912</v>
      </c>
      <c r="AN5938">
        <v>1.0000000014966699</v>
      </c>
    </row>
    <row r="5939" spans="1:40" x14ac:dyDescent="0.25">
      <c r="A5939" t="str">
        <f>"20190304164243803"</f>
        <v>20190304164243803</v>
      </c>
      <c r="B5939" t="str">
        <f>"1551688963797099"</f>
        <v>1551688963797099</v>
      </c>
      <c r="C5939" t="s">
        <v>40</v>
      </c>
      <c r="D5939">
        <v>4.307887</v>
      </c>
      <c r="E5939">
        <v>0.53295239999999999</v>
      </c>
      <c r="F5939" t="s">
        <v>60</v>
      </c>
      <c r="G5939">
        <v>-370.41860000000003</v>
      </c>
      <c r="H5939" s="1">
        <v>-4.6848929999999998E-6</v>
      </c>
      <c r="I5939">
        <v>18.628360000000001</v>
      </c>
      <c r="J5939">
        <v>-388.28629999999998</v>
      </c>
      <c r="K5939">
        <v>1.1115349999999999</v>
      </c>
      <c r="L5939">
        <v>18.338259999999998</v>
      </c>
      <c r="M5939">
        <v>0.99394760000000004</v>
      </c>
      <c r="N5939">
        <v>-1.0696260000000001E-2</v>
      </c>
      <c r="O5939">
        <v>-0.1093329</v>
      </c>
      <c r="P5939">
        <v>0.93835489999999999</v>
      </c>
      <c r="Q5939">
        <v>0.33767419999999998</v>
      </c>
      <c r="R5939">
        <v>7.3932129999999999E-2</v>
      </c>
      <c r="S5939">
        <v>3.2654719999999999</v>
      </c>
      <c r="T5939">
        <v>-0.201764</v>
      </c>
      <c r="U5939">
        <v>5.0415040000000001E-2</v>
      </c>
      <c r="V5939">
        <v>-0.1770417</v>
      </c>
      <c r="W5939">
        <v>0.34706039999999999</v>
      </c>
      <c r="X5939">
        <v>0.92098060000000004</v>
      </c>
      <c r="Y5939">
        <v>-0.1242506</v>
      </c>
      <c r="Z5939">
        <v>1.0069750000000001E-2</v>
      </c>
      <c r="AA5939">
        <v>0.99219979999999997</v>
      </c>
      <c r="AB5939">
        <v>22</v>
      </c>
      <c r="AC5939">
        <v>17.8676999999999</v>
      </c>
      <c r="AD5939">
        <v>-1.1115396848929999</v>
      </c>
      <c r="AE5939">
        <v>0.29009999999999803</v>
      </c>
      <c r="AF5939">
        <v>-2.2333591424830699</v>
      </c>
      <c r="AG5939">
        <v>-1.1115396848929999</v>
      </c>
      <c r="AH5939">
        <v>17.6605264458262</v>
      </c>
      <c r="AI5939">
        <v>93.573018580580694</v>
      </c>
      <c r="AJ5939">
        <v>97.207395018494196</v>
      </c>
      <c r="AK5939">
        <v>17.8358517563398</v>
      </c>
      <c r="AL5939">
        <v>69.692378385655005</v>
      </c>
      <c r="AM5939">
        <v>100.881330252056</v>
      </c>
      <c r="AN5939">
        <v>0.99999997518170403</v>
      </c>
    </row>
    <row r="5940" spans="1:40" x14ac:dyDescent="0.25">
      <c r="A5940" t="str">
        <f>"20190304164243815"</f>
        <v>20190304164243815</v>
      </c>
      <c r="B5940" t="str">
        <f>"1551688963806858"</f>
        <v>1551688963806858</v>
      </c>
      <c r="C5940" t="s">
        <v>40</v>
      </c>
      <c r="D5940">
        <v>4.2690830000000002</v>
      </c>
      <c r="E5940">
        <v>0.51615540000000004</v>
      </c>
      <c r="F5940" t="s">
        <v>60</v>
      </c>
      <c r="G5940">
        <v>-370.26179999999999</v>
      </c>
      <c r="H5940" s="1">
        <v>-4.7598289999999999E-6</v>
      </c>
      <c r="I5940">
        <v>18.62378</v>
      </c>
      <c r="J5940">
        <v>-388.16809999999998</v>
      </c>
      <c r="K5940">
        <v>1.1115389999999901</v>
      </c>
      <c r="L5940">
        <v>18.32648</v>
      </c>
      <c r="M5940">
        <v>0.99406329999999998</v>
      </c>
      <c r="N5940">
        <v>-1.0707090000000001E-2</v>
      </c>
      <c r="O5940">
        <v>-0.10827539999999999</v>
      </c>
      <c r="P5940">
        <v>0.9382144</v>
      </c>
      <c r="Q5940">
        <v>0.33791490000000002</v>
      </c>
      <c r="R5940">
        <v>7.4614659999999999E-2</v>
      </c>
      <c r="S5940">
        <v>3.2654719999999999</v>
      </c>
      <c r="T5940">
        <v>-0.201376</v>
      </c>
      <c r="U5940">
        <v>5.1727290000000002E-2</v>
      </c>
      <c r="V5940">
        <v>-0.17672470000000001</v>
      </c>
      <c r="W5940">
        <v>0.34731030000000002</v>
      </c>
      <c r="X5940">
        <v>0.92094730000000002</v>
      </c>
      <c r="Y5940">
        <v>-0.12359820000000001</v>
      </c>
      <c r="Z5940">
        <v>9.9718350000000001E-3</v>
      </c>
      <c r="AA5940">
        <v>0.99228229999999995</v>
      </c>
      <c r="AB5940">
        <v>22</v>
      </c>
      <c r="AC5940">
        <v>17.906299999999899</v>
      </c>
      <c r="AD5940">
        <v>-1.1115437598290001</v>
      </c>
      <c r="AE5940">
        <v>0.29729999999999901</v>
      </c>
      <c r="AF5940">
        <v>-2.2258999793944301</v>
      </c>
      <c r="AG5940">
        <v>-1.1115437598290001</v>
      </c>
      <c r="AH5940">
        <v>17.700635105975799</v>
      </c>
      <c r="AI5940">
        <v>93.565268753037998</v>
      </c>
      <c r="AJ5940">
        <v>97.167466925784595</v>
      </c>
      <c r="AK5940">
        <v>17.874636874722398</v>
      </c>
      <c r="AL5940">
        <v>69.677110908603396</v>
      </c>
      <c r="AM5940">
        <v>100.862694131441</v>
      </c>
      <c r="AN5940">
        <v>0.99999999672673401</v>
      </c>
    </row>
    <row r="5941" spans="1:40" x14ac:dyDescent="0.25">
      <c r="A5941" t="str">
        <f>"20190304164243835"</f>
        <v>20190304164243835</v>
      </c>
      <c r="B5941" t="str">
        <f>"1551688963827355"</f>
        <v>1551688963827355</v>
      </c>
      <c r="C5941" t="s">
        <v>40</v>
      </c>
      <c r="D5941">
        <v>4.1747759999999996</v>
      </c>
      <c r="E5941">
        <v>0.50660689999999997</v>
      </c>
      <c r="F5941" t="s">
        <v>61</v>
      </c>
      <c r="G5941">
        <v>-368.8365</v>
      </c>
      <c r="H5941" s="1">
        <v>-5.818552E-7</v>
      </c>
      <c r="I5941">
        <v>19.439029999999999</v>
      </c>
      <c r="J5941">
        <v>-387.98489999999998</v>
      </c>
      <c r="K5941">
        <v>1.1115469999999901</v>
      </c>
      <c r="L5941">
        <v>18.308409999999999</v>
      </c>
      <c r="M5941">
        <v>0.99424069999999998</v>
      </c>
      <c r="N5941">
        <v>-1.072417E-2</v>
      </c>
      <c r="O5941">
        <v>-0.1066328</v>
      </c>
      <c r="P5941">
        <v>0.93801049999999997</v>
      </c>
      <c r="Q5941">
        <v>0.33834900000000001</v>
      </c>
      <c r="R5941">
        <v>7.5210540000000006E-2</v>
      </c>
      <c r="S5941">
        <v>3.25</v>
      </c>
      <c r="T5941">
        <v>-0.18687129999999999</v>
      </c>
      <c r="U5941">
        <v>0.18704219999999999</v>
      </c>
      <c r="V5941">
        <v>-0.17577429999999999</v>
      </c>
      <c r="W5941">
        <v>0.34776020000000002</v>
      </c>
      <c r="X5941">
        <v>0.92095939999999998</v>
      </c>
      <c r="Y5941">
        <v>-0.16315639999999901</v>
      </c>
      <c r="Z5941">
        <v>1.0533839999999999E-2</v>
      </c>
      <c r="AA5941">
        <v>0.98654399999999998</v>
      </c>
      <c r="AB5941">
        <v>22</v>
      </c>
      <c r="AC5941">
        <v>19.148399999999899</v>
      </c>
      <c r="AD5941">
        <v>-1.1115475818552001</v>
      </c>
      <c r="AE5941">
        <v>1.13061999999999</v>
      </c>
      <c r="AF5941">
        <v>-3.1555415067281398</v>
      </c>
      <c r="AG5941">
        <v>-1.1115475818552001</v>
      </c>
      <c r="AH5941">
        <v>18.855328084546699</v>
      </c>
      <c r="AI5941">
        <v>93.327589228672196</v>
      </c>
      <c r="AJ5941">
        <v>99.500714475909803</v>
      </c>
      <c r="AK5941">
        <v>19.1498401404113</v>
      </c>
      <c r="AL5941">
        <v>69.649619772710295</v>
      </c>
      <c r="AM5941">
        <v>100.805516456251</v>
      </c>
      <c r="AN5941">
        <v>0.99999998884644403</v>
      </c>
    </row>
    <row r="5942" spans="1:40" x14ac:dyDescent="0.25">
      <c r="A5942" t="str">
        <f>"20190304164243847"</f>
        <v>20190304164243847</v>
      </c>
      <c r="B5942" t="str">
        <f>"1551688963837115"</f>
        <v>1551688963837115</v>
      </c>
      <c r="C5942" t="s">
        <v>40</v>
      </c>
      <c r="D5942">
        <v>4.1568550000000002</v>
      </c>
      <c r="E5942">
        <v>0.5042238</v>
      </c>
      <c r="F5942" t="s">
        <v>61</v>
      </c>
      <c r="G5942">
        <v>-367.59840000000003</v>
      </c>
      <c r="H5942" s="1">
        <v>-1.2300160000000001E-6</v>
      </c>
      <c r="I5942">
        <v>19.970880000000001</v>
      </c>
      <c r="J5942">
        <v>-387.85660000000001</v>
      </c>
      <c r="K5942">
        <v>1.1115440000000001</v>
      </c>
      <c r="L5942">
        <v>18.29599</v>
      </c>
      <c r="M5942">
        <v>0.99436369999999996</v>
      </c>
      <c r="N5942">
        <v>-1.073585E-2</v>
      </c>
      <c r="O5942">
        <v>-0.1054792</v>
      </c>
      <c r="P5942">
        <v>0.9380037</v>
      </c>
      <c r="Q5942">
        <v>0.33823360000000002</v>
      </c>
      <c r="R5942">
        <v>7.5810840000000004E-2</v>
      </c>
      <c r="S5942">
        <v>3.2408139999999999</v>
      </c>
      <c r="T5942">
        <v>-0.17670179999999999</v>
      </c>
      <c r="U5942">
        <v>0.26428220000000002</v>
      </c>
      <c r="V5942">
        <v>-0.1753006</v>
      </c>
      <c r="W5942">
        <v>0.34765639999999998</v>
      </c>
      <c r="X5942">
        <v>0.92108889999999999</v>
      </c>
      <c r="Y5942">
        <v>-0.18553239999999999</v>
      </c>
      <c r="Z5942">
        <v>1.064959E-2</v>
      </c>
      <c r="AA5942">
        <v>0.98258040000000002</v>
      </c>
      <c r="AB5942">
        <v>22</v>
      </c>
      <c r="AC5942">
        <v>20.258199999999899</v>
      </c>
      <c r="AD5942">
        <v>-1.111545230016</v>
      </c>
      <c r="AE5942">
        <v>1.67488999999999</v>
      </c>
      <c r="AF5942">
        <v>-3.79115100200102</v>
      </c>
      <c r="AG5942">
        <v>-1.111545230016</v>
      </c>
      <c r="AH5942">
        <v>19.908969624887</v>
      </c>
      <c r="AI5942">
        <v>93.1392899590506</v>
      </c>
      <c r="AJ5942">
        <v>100.781427152769</v>
      </c>
      <c r="AK5942">
        <v>20.297177888638</v>
      </c>
      <c r="AL5942">
        <v>69.655963469900996</v>
      </c>
      <c r="AM5942">
        <v>100.775599481366</v>
      </c>
      <c r="AN5942">
        <v>1.0000000172622601</v>
      </c>
    </row>
    <row r="5943" spans="1:40" x14ac:dyDescent="0.25">
      <c r="A5943" t="str">
        <f>"20190304164243859"</f>
        <v>20190304164243859</v>
      </c>
      <c r="B5943" t="str">
        <f>"1551688963846874"</f>
        <v>1551688963846874</v>
      </c>
      <c r="C5943" t="s">
        <v>40</v>
      </c>
      <c r="D5943">
        <v>4.1785880000000004</v>
      </c>
      <c r="E5943">
        <v>0.50236340000000002</v>
      </c>
      <c r="F5943" t="s">
        <v>61</v>
      </c>
      <c r="G5943">
        <v>-367.46780000000001</v>
      </c>
      <c r="H5943" s="1">
        <v>-1.3237980000000001E-6</v>
      </c>
      <c r="I5943">
        <v>20.09122</v>
      </c>
      <c r="J5943">
        <v>-387.74169999999998</v>
      </c>
      <c r="K5943">
        <v>1.1115489999999999</v>
      </c>
      <c r="L5943">
        <v>18.28491</v>
      </c>
      <c r="M5943">
        <v>0.99447289999999999</v>
      </c>
      <c r="N5943">
        <v>-1.0745930000000001E-2</v>
      </c>
      <c r="O5943">
        <v>-0.10444199999999999</v>
      </c>
      <c r="P5943">
        <v>0.93795649999999997</v>
      </c>
      <c r="Q5943">
        <v>0.33828540000000001</v>
      </c>
      <c r="R5943">
        <v>7.6160420000000006E-2</v>
      </c>
      <c r="S5943">
        <v>3.2389220000000001</v>
      </c>
      <c r="T5943">
        <v>-0.17657729999999999</v>
      </c>
      <c r="U5943">
        <v>0.28518680000000002</v>
      </c>
      <c r="V5943">
        <v>-0.17468220000000001</v>
      </c>
      <c r="W5943">
        <v>0.34771849999999999</v>
      </c>
      <c r="X5943">
        <v>0.92118290000000003</v>
      </c>
      <c r="Y5943">
        <v>-0.1908396</v>
      </c>
      <c r="Z5943">
        <v>1.077411E-2</v>
      </c>
      <c r="AA5943">
        <v>0.98156209999999999</v>
      </c>
      <c r="AB5943">
        <v>22</v>
      </c>
      <c r="AC5943">
        <v>20.273899999999902</v>
      </c>
      <c r="AD5943">
        <v>-1.111550323798</v>
      </c>
      <c r="AE5943">
        <v>1.8063100000000001</v>
      </c>
      <c r="AF5943">
        <v>-3.9023611146199699</v>
      </c>
      <c r="AG5943">
        <v>-1.111550323798</v>
      </c>
      <c r="AH5943">
        <v>19.914951091375499</v>
      </c>
      <c r="AI5943">
        <v>93.135140984696605</v>
      </c>
      <c r="AJ5943">
        <v>101.0867099817</v>
      </c>
      <c r="AK5943">
        <v>20.324104983076399</v>
      </c>
      <c r="AL5943">
        <v>69.652167868865703</v>
      </c>
      <c r="AM5943">
        <v>100.737402030873</v>
      </c>
      <c r="AN5943">
        <v>0.99999998074574903</v>
      </c>
    </row>
    <row r="5944" spans="1:40" x14ac:dyDescent="0.25">
      <c r="A5944" t="str">
        <f>"20190304164243877"</f>
        <v>20190304164243877</v>
      </c>
      <c r="B5944" t="str">
        <f>"1551688963867370"</f>
        <v>1551688963867370</v>
      </c>
      <c r="C5944" t="s">
        <v>40</v>
      </c>
      <c r="D5944">
        <v>4.1903059999999996</v>
      </c>
      <c r="E5944">
        <v>0.49998559999999997</v>
      </c>
      <c r="F5944" t="s">
        <v>61</v>
      </c>
      <c r="G5944">
        <v>-367.66410000000002</v>
      </c>
      <c r="H5944" s="1">
        <v>-1.2483679999999999E-6</v>
      </c>
      <c r="I5944">
        <v>20.156580000000002</v>
      </c>
      <c r="J5944">
        <v>-387.57249999999999</v>
      </c>
      <c r="K5944">
        <v>1.1115569999999999</v>
      </c>
      <c r="L5944">
        <v>18.268889999999999</v>
      </c>
      <c r="M5944">
        <v>0.99463270000000004</v>
      </c>
      <c r="N5944">
        <v>-1.0759599999999999E-2</v>
      </c>
      <c r="O5944">
        <v>-0.1029099</v>
      </c>
      <c r="P5944">
        <v>0.93791009999999997</v>
      </c>
      <c r="Q5944">
        <v>0.3383912</v>
      </c>
      <c r="R5944">
        <v>7.62655E-2</v>
      </c>
      <c r="S5944">
        <v>3.2386170000000001</v>
      </c>
      <c r="T5944">
        <v>-0.17929909999999999</v>
      </c>
      <c r="U5944">
        <v>0.30191040000000002</v>
      </c>
      <c r="V5944">
        <v>-0.17336199999999999</v>
      </c>
      <c r="W5944">
        <v>0.3478406</v>
      </c>
      <c r="X5944">
        <v>0.92138620000000004</v>
      </c>
      <c r="Y5944">
        <v>-0.1943435</v>
      </c>
      <c r="Z5944">
        <v>1.0988370000000001E-2</v>
      </c>
      <c r="AA5944">
        <v>0.98087199999999997</v>
      </c>
      <c r="AB5944">
        <v>22</v>
      </c>
      <c r="AC5944">
        <v>19.908399999999901</v>
      </c>
      <c r="AD5944">
        <v>-1.111558248368</v>
      </c>
      <c r="AE5944">
        <v>1.8876899999999901</v>
      </c>
      <c r="AF5944">
        <v>-3.91446192735572</v>
      </c>
      <c r="AG5944">
        <v>-1.111558248368</v>
      </c>
      <c r="AH5944">
        <v>19.548018663725799</v>
      </c>
      <c r="AI5944">
        <v>93.191282453363499</v>
      </c>
      <c r="AJ5944">
        <v>101.323623648078</v>
      </c>
      <c r="AK5944">
        <v>19.967063068904299</v>
      </c>
      <c r="AL5944">
        <v>69.644706636482596</v>
      </c>
      <c r="AM5944">
        <v>100.655819835074</v>
      </c>
      <c r="AN5944">
        <v>0.99999999780139903</v>
      </c>
    </row>
    <row r="5945" spans="1:40" x14ac:dyDescent="0.25">
      <c r="A5945" t="str">
        <f>"20190304164243888"</f>
        <v>20190304164243888</v>
      </c>
      <c r="B5945" t="str">
        <f>"1551688963877131"</f>
        <v>1551688963877131</v>
      </c>
      <c r="C5945" t="s">
        <v>40</v>
      </c>
      <c r="D5945">
        <v>4.1711549999999997</v>
      </c>
      <c r="E5945">
        <v>0.4992375</v>
      </c>
      <c r="F5945" t="s">
        <v>61</v>
      </c>
      <c r="G5945">
        <v>-367.7758</v>
      </c>
      <c r="H5945" s="1">
        <v>-1.218895E-6</v>
      </c>
      <c r="I5945">
        <v>20.244250000000001</v>
      </c>
      <c r="J5945">
        <v>-387.46030000000002</v>
      </c>
      <c r="K5945">
        <v>1.1115630000000001</v>
      </c>
      <c r="L5945">
        <v>18.258420000000001</v>
      </c>
      <c r="M5945">
        <v>0.99473730000000005</v>
      </c>
      <c r="N5945">
        <v>-1.076833E-2</v>
      </c>
      <c r="O5945">
        <v>-0.1018908</v>
      </c>
      <c r="P5945">
        <v>0.93786700000000001</v>
      </c>
      <c r="Q5945">
        <v>0.338447</v>
      </c>
      <c r="R5945">
        <v>7.6543730000000004E-2</v>
      </c>
      <c r="S5945">
        <v>3.237946</v>
      </c>
      <c r="T5945">
        <v>-0.1818061</v>
      </c>
      <c r="U5945">
        <v>0.32308959999999998</v>
      </c>
      <c r="V5945">
        <v>-0.1726898</v>
      </c>
      <c r="W5945">
        <v>0.34790589999999999</v>
      </c>
      <c r="X5945">
        <v>0.92148779999999997</v>
      </c>
      <c r="Y5945">
        <v>-0.19968959999999999</v>
      </c>
      <c r="Z5945">
        <v>1.127509E-2</v>
      </c>
      <c r="AA5945">
        <v>0.97979430000000001</v>
      </c>
      <c r="AB5945">
        <v>22</v>
      </c>
      <c r="AC5945">
        <v>19.6845</v>
      </c>
      <c r="AD5945">
        <v>-1.1115642188949999</v>
      </c>
      <c r="AE5945">
        <v>1.98583</v>
      </c>
      <c r="AF5945">
        <v>-3.9687516315487099</v>
      </c>
      <c r="AG5945">
        <v>-1.1115642188949999</v>
      </c>
      <c r="AH5945">
        <v>19.318710443013</v>
      </c>
      <c r="AI5945">
        <v>93.225845070481896</v>
      </c>
      <c r="AJ5945">
        <v>101.60907781572</v>
      </c>
      <c r="AK5945">
        <v>19.753458879564</v>
      </c>
      <c r="AL5945">
        <v>69.640716526605402</v>
      </c>
      <c r="AM5945">
        <v>100.614299567036</v>
      </c>
      <c r="AN5945">
        <v>1.00000002391384</v>
      </c>
    </row>
    <row r="5946" spans="1:40" x14ac:dyDescent="0.25">
      <c r="A5946" t="str">
        <f>"20190304164243901"</f>
        <v>20190304164243901</v>
      </c>
      <c r="B5946" t="str">
        <f>"1551688963896651"</f>
        <v>1551688963896651</v>
      </c>
      <c r="C5946" t="s">
        <v>40</v>
      </c>
      <c r="D5946">
        <v>4.1451820000000001</v>
      </c>
      <c r="E5946">
        <v>0.49817090000000003</v>
      </c>
      <c r="F5946" t="s">
        <v>61</v>
      </c>
      <c r="G5946">
        <v>-367.99779999999998</v>
      </c>
      <c r="H5946" s="1">
        <v>-1.1154069999999999E-6</v>
      </c>
      <c r="I5946">
        <v>20.249659999999999</v>
      </c>
      <c r="J5946">
        <v>-387.33449999999999</v>
      </c>
      <c r="K5946">
        <v>1.111567</v>
      </c>
      <c r="L5946">
        <v>18.246770000000001</v>
      </c>
      <c r="M5946">
        <v>0.99485380000000001</v>
      </c>
      <c r="N5946">
        <v>-1.077792E-2</v>
      </c>
      <c r="O5946">
        <v>-0.10074610000000001</v>
      </c>
      <c r="P5946">
        <v>0.93780949999999996</v>
      </c>
      <c r="Q5946">
        <v>0.33854640000000003</v>
      </c>
      <c r="R5946">
        <v>7.6808249999999995E-2</v>
      </c>
      <c r="S5946">
        <v>3.2384339999999998</v>
      </c>
      <c r="T5946">
        <v>-0.1849568</v>
      </c>
      <c r="U5946">
        <v>0.33132929999999999</v>
      </c>
      <c r="V5946">
        <v>-0.1718855</v>
      </c>
      <c r="W5946">
        <v>0.3480163</v>
      </c>
      <c r="X5946">
        <v>0.92159650000000004</v>
      </c>
      <c r="Y5946">
        <v>-0.2009976</v>
      </c>
      <c r="Z5946">
        <v>1.145933E-2</v>
      </c>
      <c r="AA5946">
        <v>0.97952470000000003</v>
      </c>
      <c r="AB5946">
        <v>22</v>
      </c>
      <c r="AC5946">
        <v>19.3367</v>
      </c>
      <c r="AD5946">
        <v>-1.1115681154070001</v>
      </c>
      <c r="AE5946">
        <v>2.0028899999999998</v>
      </c>
      <c r="AF5946">
        <v>-3.9280661342643701</v>
      </c>
      <c r="AG5946">
        <v>-1.1115681154070001</v>
      </c>
      <c r="AH5946">
        <v>18.974475768954498</v>
      </c>
      <c r="AI5946">
        <v>93.283226942366397</v>
      </c>
      <c r="AJ5946">
        <v>101.69606533105301</v>
      </c>
      <c r="AK5946">
        <v>19.408658323979701</v>
      </c>
      <c r="AL5946">
        <v>69.633969771743097</v>
      </c>
      <c r="AM5946">
        <v>100.56476116845801</v>
      </c>
      <c r="AN5946">
        <v>1.00000003949409</v>
      </c>
    </row>
    <row r="5947" spans="1:40" x14ac:dyDescent="0.25">
      <c r="A5947" t="str">
        <f>"20190304164243914"</f>
        <v>20190304164243914</v>
      </c>
      <c r="B5947" t="str">
        <f>"1551688963907386"</f>
        <v>1551688963907386</v>
      </c>
      <c r="C5947" t="s">
        <v>40</v>
      </c>
      <c r="D5947">
        <v>4.1443699999999897</v>
      </c>
      <c r="E5947">
        <v>0.49785400000000002</v>
      </c>
      <c r="F5947" t="s">
        <v>61</v>
      </c>
      <c r="G5947">
        <v>-367.92950000000002</v>
      </c>
      <c r="H5947" s="1">
        <v>-1.159312E-6</v>
      </c>
      <c r="I5947">
        <v>20.293299999999999</v>
      </c>
      <c r="J5947">
        <v>-387.209</v>
      </c>
      <c r="K5947">
        <v>1.1115759999999999</v>
      </c>
      <c r="L5947">
        <v>18.235379999999999</v>
      </c>
      <c r="M5947">
        <v>0.99496879999999999</v>
      </c>
      <c r="N5947">
        <v>-1.078695E-2</v>
      </c>
      <c r="O5947">
        <v>-9.9601729999999999E-2</v>
      </c>
      <c r="P5947">
        <v>0.93779769999999896</v>
      </c>
      <c r="Q5947">
        <v>0.33844469999999999</v>
      </c>
      <c r="R5947">
        <v>7.7398369999999994E-2</v>
      </c>
      <c r="S5947">
        <v>3.2379760000000002</v>
      </c>
      <c r="T5947">
        <v>-0.1854798</v>
      </c>
      <c r="U5947">
        <v>0.34149170000000001</v>
      </c>
      <c r="V5947">
        <v>-0.17140920000000001</v>
      </c>
      <c r="W5947">
        <v>0.34792469999999998</v>
      </c>
      <c r="X5947">
        <v>0.92171970000000003</v>
      </c>
      <c r="Y5947">
        <v>-0.20292080000000001</v>
      </c>
      <c r="Z5947">
        <v>1.150443E-2</v>
      </c>
      <c r="AA5947">
        <v>0.97912759999999999</v>
      </c>
      <c r="AB5947">
        <v>22</v>
      </c>
      <c r="AC5947">
        <v>19.279499999999899</v>
      </c>
      <c r="AD5947">
        <v>-1.1115771593120001</v>
      </c>
      <c r="AE5947">
        <v>2.0579200000000002</v>
      </c>
      <c r="AF5947">
        <v>-3.9550697082150701</v>
      </c>
      <c r="AG5947">
        <v>-1.1115771593120001</v>
      </c>
      <c r="AH5947">
        <v>18.916461117977299</v>
      </c>
      <c r="AI5947">
        <v>93.291949613999293</v>
      </c>
      <c r="AJ5947">
        <v>101.80933057621</v>
      </c>
      <c r="AK5947">
        <v>19.357445115662699</v>
      </c>
      <c r="AL5947">
        <v>69.639566186447396</v>
      </c>
      <c r="AM5947">
        <v>100.534765528911</v>
      </c>
      <c r="AN5947">
        <v>0.99999995804140895</v>
      </c>
    </row>
    <row r="5948" spans="1:40" x14ac:dyDescent="0.25">
      <c r="A5948" t="str">
        <f>"20190304164243925"</f>
        <v>20190304164243925</v>
      </c>
      <c r="B5948" t="str">
        <f>"1551688963917146"</f>
        <v>1551688963917146</v>
      </c>
      <c r="C5948" t="s">
        <v>40</v>
      </c>
      <c r="D5948">
        <v>4.1413419999999999</v>
      </c>
      <c r="E5948">
        <v>0.49763170000000001</v>
      </c>
      <c r="F5948" t="s">
        <v>61</v>
      </c>
      <c r="G5948">
        <v>-367.87779999999998</v>
      </c>
      <c r="H5948" s="1">
        <v>-1.1874109999999999E-6</v>
      </c>
      <c r="I5948">
        <v>20.307040000000001</v>
      </c>
      <c r="J5948">
        <v>-387.09589999999997</v>
      </c>
      <c r="K5948">
        <v>1.1115790000000001</v>
      </c>
      <c r="L5948">
        <v>18.22522</v>
      </c>
      <c r="M5948">
        <v>0.99507159999999995</v>
      </c>
      <c r="N5948">
        <v>-1.079394E-2</v>
      </c>
      <c r="O5948">
        <v>-9.8570840000000007E-2</v>
      </c>
      <c r="P5948">
        <v>0.93776179999999998</v>
      </c>
      <c r="Q5948">
        <v>0.33846490000000001</v>
      </c>
      <c r="R5948">
        <v>7.7746309999999999E-2</v>
      </c>
      <c r="S5948">
        <v>3.2375180000000001</v>
      </c>
      <c r="T5948">
        <v>-0.1861631</v>
      </c>
      <c r="U5948">
        <v>0.34695429999999999</v>
      </c>
      <c r="V5948">
        <v>-0.170795</v>
      </c>
      <c r="W5948">
        <v>0.34795280000000001</v>
      </c>
      <c r="X5948">
        <v>0.92182310000000001</v>
      </c>
      <c r="Y5948">
        <v>-0.2035506</v>
      </c>
      <c r="Z5948">
        <v>1.1521160000000001E-2</v>
      </c>
      <c r="AA5948">
        <v>0.97899659999999999</v>
      </c>
      <c r="AB5948">
        <v>22</v>
      </c>
      <c r="AC5948">
        <v>19.2181</v>
      </c>
      <c r="AD5948">
        <v>-1.1115801874110001</v>
      </c>
      <c r="AE5948">
        <v>2.08182</v>
      </c>
      <c r="AF5948">
        <v>-3.9530632824577601</v>
      </c>
      <c r="AG5948">
        <v>-1.1115801874110001</v>
      </c>
      <c r="AH5948">
        <v>18.856924863902801</v>
      </c>
      <c r="AI5948">
        <v>93.301963253430301</v>
      </c>
      <c r="AJ5948">
        <v>101.83972424532099</v>
      </c>
      <c r="AK5948">
        <v>19.298858389838401</v>
      </c>
      <c r="AL5948">
        <v>69.637848815758403</v>
      </c>
      <c r="AM5948">
        <v>100.496706216175</v>
      </c>
      <c r="AN5948">
        <v>0.99999995537322395</v>
      </c>
    </row>
    <row r="5949" spans="1:40" x14ac:dyDescent="0.25">
      <c r="A5949" t="str">
        <f>"20190304164243938"</f>
        <v>20190304164243938</v>
      </c>
      <c r="B5949" t="str">
        <f>"1551688963926907"</f>
        <v>1551688963926907</v>
      </c>
      <c r="C5949" t="s">
        <v>40</v>
      </c>
      <c r="D5949">
        <v>4.1553209999999998</v>
      </c>
      <c r="E5949">
        <v>0.49741089999999999</v>
      </c>
      <c r="F5949" t="s">
        <v>61</v>
      </c>
      <c r="G5949">
        <v>-367.82920000000001</v>
      </c>
      <c r="H5949" s="1">
        <v>-1.212152E-6</v>
      </c>
      <c r="I5949">
        <v>20.313800000000001</v>
      </c>
      <c r="J5949">
        <v>-386.97559999999999</v>
      </c>
      <c r="K5949">
        <v>1.1115809999999999</v>
      </c>
      <c r="L5949">
        <v>18.214510000000001</v>
      </c>
      <c r="M5949">
        <v>0.99517960000000005</v>
      </c>
      <c r="N5949">
        <v>-1.079901E-2</v>
      </c>
      <c r="O5949">
        <v>-9.7473669999999998E-2</v>
      </c>
      <c r="P5949">
        <v>0.93767889999999998</v>
      </c>
      <c r="Q5949">
        <v>0.33860390000000001</v>
      </c>
      <c r="R5949">
        <v>7.8140710000000002E-2</v>
      </c>
      <c r="S5949">
        <v>3.237457</v>
      </c>
      <c r="T5949">
        <v>-0.18678330000000001</v>
      </c>
      <c r="U5949">
        <v>0.35095209999999999</v>
      </c>
      <c r="V5949">
        <v>-0.17016149999999999</v>
      </c>
      <c r="W5949">
        <v>0.34809810000000002</v>
      </c>
      <c r="X5949">
        <v>0.92188539999999997</v>
      </c>
      <c r="Y5949">
        <v>-0.20366590000000001</v>
      </c>
      <c r="Z5949">
        <v>1.1511830000000001E-2</v>
      </c>
      <c r="AA5949">
        <v>0.97897279999999998</v>
      </c>
      <c r="AB5949">
        <v>22</v>
      </c>
      <c r="AC5949">
        <v>19.1463999999999</v>
      </c>
      <c r="AD5949">
        <v>-1.111582212152</v>
      </c>
      <c r="AE5949">
        <v>2.0992899999999999</v>
      </c>
      <c r="AF5949">
        <v>-3.9425398589451599</v>
      </c>
      <c r="AG5949">
        <v>-1.111582212152</v>
      </c>
      <c r="AH5949">
        <v>18.788003944495401</v>
      </c>
      <c r="AI5949">
        <v>93.313916303615301</v>
      </c>
      <c r="AJ5949">
        <v>101.851188905233</v>
      </c>
      <c r="AK5949">
        <v>19.229361085905001</v>
      </c>
      <c r="AL5949">
        <v>69.628968627168504</v>
      </c>
      <c r="AM5949">
        <v>100.45794207417801</v>
      </c>
      <c r="AN5949">
        <v>0.99999995701950894</v>
      </c>
    </row>
    <row r="5950" spans="1:40" x14ac:dyDescent="0.25">
      <c r="A5950" t="str">
        <f>"20190304164243958"</f>
        <v>20190304164243958</v>
      </c>
      <c r="B5950" t="str">
        <f>"1551688963947402"</f>
        <v>1551688963947402</v>
      </c>
      <c r="C5950" t="s">
        <v>40</v>
      </c>
      <c r="D5950">
        <v>4.1355029999999999</v>
      </c>
      <c r="E5950">
        <v>0.49701830000000002</v>
      </c>
      <c r="F5950" t="s">
        <v>61</v>
      </c>
      <c r="G5950">
        <v>-367.73570000000001</v>
      </c>
      <c r="H5950" s="1">
        <v>-1.2589309999999999E-6</v>
      </c>
      <c r="I5950">
        <v>20.323460000000001</v>
      </c>
      <c r="J5950">
        <v>-386.78280000000001</v>
      </c>
      <c r="K5950">
        <v>1.111583</v>
      </c>
      <c r="L5950">
        <v>18.19763</v>
      </c>
      <c r="M5950">
        <v>0.99535010000000002</v>
      </c>
      <c r="N5950">
        <v>-1.079888E-2</v>
      </c>
      <c r="O5950">
        <v>-9.5716060000000006E-2</v>
      </c>
      <c r="P5950">
        <v>0.9375867</v>
      </c>
      <c r="Q5950">
        <v>0.33878589999999997</v>
      </c>
      <c r="R5950">
        <v>7.8456910000000005E-2</v>
      </c>
      <c r="S5950">
        <v>3.2373660000000002</v>
      </c>
      <c r="T5950">
        <v>-0.18703810000000001</v>
      </c>
      <c r="U5950">
        <v>0.35485840000000002</v>
      </c>
      <c r="V5950">
        <v>-0.16883489999999901</v>
      </c>
      <c r="W5950">
        <v>0.34828500000000001</v>
      </c>
      <c r="X5950">
        <v>0.92205879999999996</v>
      </c>
      <c r="Y5950">
        <v>-0.20310909999999999</v>
      </c>
      <c r="Z5950">
        <v>1.142607E-2</v>
      </c>
      <c r="AA5950">
        <v>0.9790894</v>
      </c>
      <c r="AB5950">
        <v>22</v>
      </c>
      <c r="AC5950">
        <v>19.0471</v>
      </c>
      <c r="AD5950">
        <v>-1.1115842589310001</v>
      </c>
      <c r="AE5950">
        <v>2.1258300000000001</v>
      </c>
      <c r="AF5950">
        <v>-3.9260809910394698</v>
      </c>
      <c r="AG5950">
        <v>-1.1115842589310001</v>
      </c>
      <c r="AH5950">
        <v>18.6932670912405</v>
      </c>
      <c r="AI5950">
        <v>93.330557239514405</v>
      </c>
      <c r="AJ5950">
        <v>101.86123194197</v>
      </c>
      <c r="AK5950">
        <v>19.133425361324001</v>
      </c>
      <c r="AL5950">
        <v>69.617547136483395</v>
      </c>
      <c r="AM5950">
        <v>100.37627975504201</v>
      </c>
      <c r="AN5950">
        <v>1.00000004767022</v>
      </c>
    </row>
    <row r="5951" spans="1:40" x14ac:dyDescent="0.25">
      <c r="A5951" t="str">
        <f>"20190304164243973"</f>
        <v>20190304164243973</v>
      </c>
      <c r="B5951" t="str">
        <f>"1551688963966922"</f>
        <v>1551688963966922</v>
      </c>
      <c r="C5951" t="s">
        <v>40</v>
      </c>
      <c r="D5951">
        <v>4.1337349999999997</v>
      </c>
      <c r="E5951">
        <v>0.49679099999999998</v>
      </c>
      <c r="F5951" t="s">
        <v>61</v>
      </c>
      <c r="G5951">
        <v>-367.55029999999999</v>
      </c>
      <c r="H5951" s="1">
        <v>-1.3515610000000001E-6</v>
      </c>
      <c r="I5951">
        <v>20.342189999999999</v>
      </c>
      <c r="J5951">
        <v>-386.63319999999999</v>
      </c>
      <c r="K5951">
        <v>1.11158</v>
      </c>
      <c r="L5951">
        <v>18.18478</v>
      </c>
      <c r="M5951">
        <v>0.99548020000000004</v>
      </c>
      <c r="N5951">
        <v>-1.079109E-2</v>
      </c>
      <c r="O5951">
        <v>-9.4356369999999995E-2</v>
      </c>
      <c r="P5951">
        <v>0.937527</v>
      </c>
      <c r="Q5951">
        <v>0.33879150000000002</v>
      </c>
      <c r="R5951">
        <v>7.9143240000000004E-2</v>
      </c>
      <c r="S5951">
        <v>3.2371219999999998</v>
      </c>
      <c r="T5951">
        <v>-0.1870966</v>
      </c>
      <c r="U5951">
        <v>0.3609619</v>
      </c>
      <c r="V5951">
        <v>-0.1682487</v>
      </c>
      <c r="W5951">
        <v>0.34828579999999998</v>
      </c>
      <c r="X5951">
        <v>0.92216560000000003</v>
      </c>
      <c r="Y5951">
        <v>-0.2036038</v>
      </c>
      <c r="Z5951">
        <v>1.1382939999999999E-2</v>
      </c>
      <c r="AA5951">
        <v>0.97898719999999995</v>
      </c>
      <c r="AB5951">
        <v>22</v>
      </c>
      <c r="AC5951">
        <v>19.082899999999899</v>
      </c>
      <c r="AD5951">
        <v>-1.111581351561</v>
      </c>
      <c r="AE5951">
        <v>2.1574099999999898</v>
      </c>
      <c r="AF5951">
        <v>-3.9352969680663801</v>
      </c>
      <c r="AG5951">
        <v>-1.111581351561</v>
      </c>
      <c r="AH5951">
        <v>18.731419206982899</v>
      </c>
      <c r="AI5951">
        <v>93.323737268525605</v>
      </c>
      <c r="AJ5951">
        <v>101.864756246436</v>
      </c>
      <c r="AK5951">
        <v>19.172590874363799</v>
      </c>
      <c r="AL5951">
        <v>69.617497408207399</v>
      </c>
      <c r="AM5951">
        <v>100.33985978985</v>
      </c>
      <c r="AN5951">
        <v>1.00000000867834</v>
      </c>
    </row>
    <row r="5952" spans="1:40" x14ac:dyDescent="0.25">
      <c r="A5952" t="str">
        <f>"20190304164243989"</f>
        <v>20190304164243989</v>
      </c>
      <c r="B5952" t="str">
        <f>"1551688963976682"</f>
        <v>1551688963976682</v>
      </c>
      <c r="C5952" t="s">
        <v>40</v>
      </c>
      <c r="D5952">
        <v>4.1400319999999997</v>
      </c>
      <c r="E5952">
        <v>0.49668299999999999</v>
      </c>
      <c r="F5952" t="s">
        <v>61</v>
      </c>
      <c r="G5952">
        <v>-367.44099999999997</v>
      </c>
      <c r="H5952" s="1">
        <v>-1.4057210000000001E-6</v>
      </c>
      <c r="I5952">
        <v>20.351649999999999</v>
      </c>
      <c r="J5952">
        <v>-386.47719999999998</v>
      </c>
      <c r="K5952">
        <v>1.111567</v>
      </c>
      <c r="L5952">
        <v>18.171600000000002</v>
      </c>
      <c r="M5952">
        <v>0.99561310000000003</v>
      </c>
      <c r="N5952">
        <v>-1.077729E-2</v>
      </c>
      <c r="O5952">
        <v>-9.2944209999999999E-2</v>
      </c>
      <c r="P5952">
        <v>0.93753850000000005</v>
      </c>
      <c r="Q5952">
        <v>0.3386885</v>
      </c>
      <c r="R5952">
        <v>7.9447530000000002E-2</v>
      </c>
      <c r="S5952">
        <v>3.2368160000000001</v>
      </c>
      <c r="T5952">
        <v>-0.187472</v>
      </c>
      <c r="U5952">
        <v>0.365448</v>
      </c>
      <c r="V5952">
        <v>-0.16723750000000001</v>
      </c>
      <c r="W5952">
        <v>0.34817589999999998</v>
      </c>
      <c r="X5952">
        <v>0.92239099999999996</v>
      </c>
      <c r="Y5952">
        <v>-0.20356489999999999</v>
      </c>
      <c r="Z5952">
        <v>1.1338340000000001E-2</v>
      </c>
      <c r="AA5952">
        <v>0.97899579999999997</v>
      </c>
      <c r="AB5952">
        <v>22</v>
      </c>
      <c r="AC5952">
        <v>19.036200000000001</v>
      </c>
      <c r="AD5952">
        <v>-1.111568405721</v>
      </c>
      <c r="AE5952">
        <v>2.1800499999999898</v>
      </c>
      <c r="AF5952">
        <v>-3.92680353369478</v>
      </c>
      <c r="AG5952">
        <v>-1.111568405721</v>
      </c>
      <c r="AH5952">
        <v>18.688258164951399</v>
      </c>
      <c r="AI5952">
        <v>93.331336996419694</v>
      </c>
      <c r="AJ5952">
        <v>101.866442532889</v>
      </c>
      <c r="AK5952">
        <v>19.128679085412799</v>
      </c>
      <c r="AL5952">
        <v>69.624214423583894</v>
      </c>
      <c r="AM5952">
        <v>100.27658610825701</v>
      </c>
      <c r="AN5952">
        <v>0.99999999781402904</v>
      </c>
    </row>
    <row r="5953" spans="1:40" x14ac:dyDescent="0.25">
      <c r="A5953" t="str">
        <f>"20190304164244001"</f>
        <v>20190304164244001</v>
      </c>
      <c r="B5953" t="str">
        <f>"1551688963997178"</f>
        <v>1551688963997178</v>
      </c>
      <c r="C5953" t="s">
        <v>40</v>
      </c>
      <c r="D5953">
        <v>4.1466419999999999</v>
      </c>
      <c r="E5953">
        <v>0.49646289999999998</v>
      </c>
      <c r="F5953" t="s">
        <v>61</v>
      </c>
      <c r="G5953">
        <v>-367.36130000000003</v>
      </c>
      <c r="H5953" s="1">
        <v>-1.442485E-6</v>
      </c>
      <c r="I5953">
        <v>20.348179999999999</v>
      </c>
      <c r="J5953">
        <v>-386.36219999999997</v>
      </c>
      <c r="K5953">
        <v>1.111559</v>
      </c>
      <c r="L5953">
        <v>18.161989999999999</v>
      </c>
      <c r="M5953">
        <v>0.99570950000000003</v>
      </c>
      <c r="N5953">
        <v>-1.0764019999999999E-2</v>
      </c>
      <c r="O5953">
        <v>-9.1906150000000006E-2</v>
      </c>
      <c r="P5953">
        <v>0.93749629999999995</v>
      </c>
      <c r="Q5953">
        <v>0.33869339999999998</v>
      </c>
      <c r="R5953">
        <v>7.9921619999999999E-2</v>
      </c>
      <c r="S5953">
        <v>3.2366329999999999</v>
      </c>
      <c r="T5953">
        <v>-0.1882067</v>
      </c>
      <c r="U5953">
        <v>0.36853029999999998</v>
      </c>
      <c r="V5953">
        <v>-0.166738</v>
      </c>
      <c r="W5953">
        <v>0.34817229999999999</v>
      </c>
      <c r="X5953">
        <v>0.92248280000000005</v>
      </c>
      <c r="Y5953">
        <v>-0.20346839999999999</v>
      </c>
      <c r="Z5953">
        <v>1.1330140000000001E-2</v>
      </c>
      <c r="AA5953">
        <v>0.97901590000000005</v>
      </c>
      <c r="AB5953">
        <v>22</v>
      </c>
      <c r="AC5953">
        <v>19.000899999999898</v>
      </c>
      <c r="AD5953">
        <v>-1.1115604424850001</v>
      </c>
      <c r="AE5953">
        <v>2.1861899999999999</v>
      </c>
      <c r="AF5953">
        <v>-3.91013018854325</v>
      </c>
      <c r="AG5953">
        <v>-1.1115604424850001</v>
      </c>
      <c r="AH5953">
        <v>18.656522713229101</v>
      </c>
      <c r="AI5953">
        <v>93.337325985339007</v>
      </c>
      <c r="AJ5953">
        <v>101.837012241195</v>
      </c>
      <c r="AK5953">
        <v>19.094253702564199</v>
      </c>
      <c r="AL5953">
        <v>69.624434794179905</v>
      </c>
      <c r="AM5953">
        <v>100.245545436527</v>
      </c>
      <c r="AN5953">
        <v>1.0000000137135601</v>
      </c>
    </row>
    <row r="5954" spans="1:40" x14ac:dyDescent="0.25">
      <c r="A5954" t="str">
        <f>"20190304164244012"</f>
        <v>20190304164244012</v>
      </c>
      <c r="B5954" t="str">
        <f>"1551688964006939"</f>
        <v>1551688964006939</v>
      </c>
      <c r="C5954" t="s">
        <v>40</v>
      </c>
      <c r="D5954">
        <v>4.1359760000000003</v>
      </c>
      <c r="E5954">
        <v>0.49635449999999998</v>
      </c>
      <c r="F5954" t="s">
        <v>61</v>
      </c>
      <c r="G5954">
        <v>-367.3852</v>
      </c>
      <c r="H5954" s="1">
        <v>-1.4297480000000001E-6</v>
      </c>
      <c r="I5954">
        <v>20.342700000000001</v>
      </c>
      <c r="J5954">
        <v>-386.24540000000002</v>
      </c>
      <c r="K5954">
        <v>1.111545</v>
      </c>
      <c r="L5954">
        <v>18.152370000000001</v>
      </c>
      <c r="M5954">
        <v>0.99580579999999996</v>
      </c>
      <c r="N5954">
        <v>-1.074867E-2</v>
      </c>
      <c r="O5954">
        <v>-9.0860460000000004E-2</v>
      </c>
      <c r="P5954">
        <v>0.93755049999999995</v>
      </c>
      <c r="Q5954">
        <v>0.3383815</v>
      </c>
      <c r="R5954">
        <v>8.0605969999999999E-2</v>
      </c>
      <c r="S5954">
        <v>3.2367859999999999</v>
      </c>
      <c r="T5954">
        <v>-0.18959119999999999</v>
      </c>
      <c r="U5954">
        <v>0.37194820000000001</v>
      </c>
      <c r="V5954">
        <v>-0.16644690000000001</v>
      </c>
      <c r="W5954">
        <v>0.3478504</v>
      </c>
      <c r="X5954">
        <v>0.92265680000000005</v>
      </c>
      <c r="Y5954">
        <v>-0.20344960000000001</v>
      </c>
      <c r="Z5954">
        <v>1.136095E-2</v>
      </c>
      <c r="AA5954">
        <v>0.97901950000000004</v>
      </c>
      <c r="AB5954">
        <v>22</v>
      </c>
      <c r="AC5954">
        <v>18.860199999999999</v>
      </c>
      <c r="AD5954">
        <v>-1.111546429748</v>
      </c>
      <c r="AE5954">
        <v>2.1903299999999901</v>
      </c>
      <c r="AF5954">
        <v>-3.8817105497131901</v>
      </c>
      <c r="AG5954">
        <v>-1.111546429748</v>
      </c>
      <c r="AH5954">
        <v>18.519681083833401</v>
      </c>
      <c r="AI5954">
        <v>93.361877327725296</v>
      </c>
      <c r="AJ5954">
        <v>101.83778376803799</v>
      </c>
      <c r="AK5954">
        <v>18.954730272523999</v>
      </c>
      <c r="AL5954">
        <v>69.644108229677101</v>
      </c>
      <c r="AM5954">
        <v>100.226147976848</v>
      </c>
      <c r="AN5954">
        <v>1.000000020943</v>
      </c>
    </row>
    <row r="5955" spans="1:40" x14ac:dyDescent="0.25">
      <c r="A5955" t="str">
        <f>"20190304164244026"</f>
        <v>20190304164244026</v>
      </c>
      <c r="B5955" t="str">
        <f>"1551688964016698"</f>
        <v>1551688964016698</v>
      </c>
      <c r="C5955" t="s">
        <v>40</v>
      </c>
      <c r="D5955">
        <v>4.1152329999999999</v>
      </c>
      <c r="E5955">
        <v>0.49634899999999998</v>
      </c>
      <c r="F5955" t="s">
        <v>61</v>
      </c>
      <c r="G5955">
        <v>-367.39319999999998</v>
      </c>
      <c r="H5955" s="1">
        <v>-1.4245869999999999E-6</v>
      </c>
      <c r="I5955">
        <v>20.33746</v>
      </c>
      <c r="J5955">
        <v>-386.11270000000002</v>
      </c>
      <c r="K5955">
        <v>1.111534</v>
      </c>
      <c r="L5955">
        <v>18.141629999999999</v>
      </c>
      <c r="M5955">
        <v>0.99591300000000005</v>
      </c>
      <c r="N5955">
        <v>-1.0729239999999999E-2</v>
      </c>
      <c r="O5955">
        <v>-8.9678759999999996E-2</v>
      </c>
      <c r="P5955">
        <v>0.93749990000000005</v>
      </c>
      <c r="Q5955">
        <v>0.33837539999999999</v>
      </c>
      <c r="R5955">
        <v>8.1217910000000004E-2</v>
      </c>
      <c r="S5955">
        <v>3.23645</v>
      </c>
      <c r="T5955">
        <v>-0.19082399999999999</v>
      </c>
      <c r="U5955">
        <v>0.37512210000000001</v>
      </c>
      <c r="V5955">
        <v>-0.1659466</v>
      </c>
      <c r="W5955">
        <v>0.34783160000000002</v>
      </c>
      <c r="X5955">
        <v>0.92275399999999996</v>
      </c>
      <c r="Y5955">
        <v>-0.20324210000000001</v>
      </c>
      <c r="Z5955">
        <v>1.1370470000000001E-2</v>
      </c>
      <c r="AA5955">
        <v>0.97906249999999995</v>
      </c>
      <c r="AB5955">
        <v>22</v>
      </c>
      <c r="AC5955">
        <v>18.7195</v>
      </c>
      <c r="AD5955">
        <v>-1.1115354245869999</v>
      </c>
      <c r="AE5955">
        <v>2.1958299999999999</v>
      </c>
      <c r="AF5955">
        <v>-3.8524209928709401</v>
      </c>
      <c r="AG5955">
        <v>-1.1115354245869999</v>
      </c>
      <c r="AH5955">
        <v>18.383199170472</v>
      </c>
      <c r="AI5955">
        <v>93.386770692869703</v>
      </c>
      <c r="AJ5955">
        <v>101.83574443294199</v>
      </c>
      <c r="AK5955">
        <v>18.815383871919</v>
      </c>
      <c r="AL5955">
        <v>69.645257120949495</v>
      </c>
      <c r="AM5955">
        <v>100.19500487033601</v>
      </c>
      <c r="AN5955">
        <v>1.0000000202630499</v>
      </c>
    </row>
    <row r="5956" spans="1:40" x14ac:dyDescent="0.25">
      <c r="A5956" t="str">
        <f>"20190304164244038"</f>
        <v>20190304164244038</v>
      </c>
      <c r="B5956" t="str">
        <f>"1551688964027435"</f>
        <v>1551688964027435</v>
      </c>
      <c r="C5956" t="s">
        <v>40</v>
      </c>
      <c r="D5956">
        <v>4.1665580000000002</v>
      </c>
      <c r="E5956">
        <v>0.49628529999999998</v>
      </c>
      <c r="F5956" t="s">
        <v>61</v>
      </c>
      <c r="G5956">
        <v>-367.31049999999999</v>
      </c>
      <c r="H5956" s="1">
        <v>-1.462978E-6</v>
      </c>
      <c r="I5956">
        <v>20.334959999999999</v>
      </c>
      <c r="J5956">
        <v>-385.99360000000001</v>
      </c>
      <c r="K5956">
        <v>1.111521</v>
      </c>
      <c r="L5956">
        <v>18.13205</v>
      </c>
      <c r="M5956">
        <v>0.99600739999999999</v>
      </c>
      <c r="N5956">
        <v>-1.070815E-2</v>
      </c>
      <c r="O5956">
        <v>-8.8627120000000004E-2</v>
      </c>
      <c r="P5956">
        <v>0.93751689999999999</v>
      </c>
      <c r="Q5956">
        <v>0.33817999999999998</v>
      </c>
      <c r="R5956">
        <v>8.1831600000000004E-2</v>
      </c>
      <c r="S5956">
        <v>3.236389</v>
      </c>
      <c r="T5956">
        <v>-0.19132660000000001</v>
      </c>
      <c r="U5956">
        <v>0.37753300000000001</v>
      </c>
      <c r="V5956">
        <v>-0.16557349999999901</v>
      </c>
      <c r="W5956">
        <v>0.3476224</v>
      </c>
      <c r="X5956">
        <v>0.92289980000000005</v>
      </c>
      <c r="Y5956">
        <v>-0.2029292</v>
      </c>
      <c r="Z5956">
        <v>1.133806E-2</v>
      </c>
      <c r="AA5956">
        <v>0.97912779999999999</v>
      </c>
      <c r="AB5956">
        <v>22</v>
      </c>
      <c r="AC5956">
        <v>18.6831</v>
      </c>
      <c r="AD5956">
        <v>-1.1115224629780001</v>
      </c>
      <c r="AE5956">
        <v>2.2029099999999899</v>
      </c>
      <c r="AF5956">
        <v>-3.8367704860497001</v>
      </c>
      <c r="AG5956">
        <v>-1.1115224629780001</v>
      </c>
      <c r="AH5956">
        <v>18.350262803637602</v>
      </c>
      <c r="AI5956">
        <v>93.393119474338704</v>
      </c>
      <c r="AJ5956">
        <v>101.809575886836</v>
      </c>
      <c r="AK5956">
        <v>18.7800009294699</v>
      </c>
      <c r="AL5956">
        <v>69.658040296742698</v>
      </c>
      <c r="AM5956">
        <v>100.170988974172</v>
      </c>
      <c r="AN5956">
        <v>0.99999997886202396</v>
      </c>
    </row>
    <row r="5957" spans="1:40" x14ac:dyDescent="0.25">
      <c r="A5957" t="str">
        <f>"20190304164244056"</f>
        <v>20190304164244056</v>
      </c>
      <c r="B5957" t="str">
        <f>"1551688964046954"</f>
        <v>1551688964046954</v>
      </c>
      <c r="C5957" t="s">
        <v>40</v>
      </c>
      <c r="D5957">
        <v>4.1459599999999996</v>
      </c>
      <c r="E5957">
        <v>0.49625580000000002</v>
      </c>
      <c r="F5957" t="s">
        <v>61</v>
      </c>
      <c r="G5957">
        <v>-367.28899999999999</v>
      </c>
      <c r="H5957" s="1">
        <v>-1.471508E-6</v>
      </c>
      <c r="I5957">
        <v>20.328769999999999</v>
      </c>
      <c r="J5957">
        <v>-385.80849999999998</v>
      </c>
      <c r="K5957">
        <v>1.1114900000000001</v>
      </c>
      <c r="L5957">
        <v>18.117429999999999</v>
      </c>
      <c r="M5957">
        <v>0.99614999999999998</v>
      </c>
      <c r="N5957">
        <v>-1.066688E-2</v>
      </c>
      <c r="O5957">
        <v>-8.7015460000000003E-2</v>
      </c>
      <c r="P5957">
        <v>0.93746890000000005</v>
      </c>
      <c r="Q5957">
        <v>0.33808929999999998</v>
      </c>
      <c r="R5957">
        <v>8.2751350000000001E-2</v>
      </c>
      <c r="S5957">
        <v>3.2361759999999999</v>
      </c>
      <c r="T5957">
        <v>-0.19231010000000001</v>
      </c>
      <c r="U5957">
        <v>0.38006590000000001</v>
      </c>
      <c r="V5957">
        <v>-0.1649717</v>
      </c>
      <c r="W5957">
        <v>0.34750350000000002</v>
      </c>
      <c r="X5957">
        <v>0.9230524</v>
      </c>
      <c r="Y5957">
        <v>-0.2021068</v>
      </c>
      <c r="Z5957">
        <v>1.1288380000000001E-2</v>
      </c>
      <c r="AA5957">
        <v>0.97929840000000001</v>
      </c>
      <c r="AB5957">
        <v>22</v>
      </c>
      <c r="AC5957">
        <v>18.519499999999901</v>
      </c>
      <c r="AD5957">
        <v>-1.11149147150799</v>
      </c>
      <c r="AE5957">
        <v>2.2113399999999999</v>
      </c>
      <c r="AF5957">
        <v>-3.8010264626503001</v>
      </c>
      <c r="AG5957">
        <v>-1.11149147150799</v>
      </c>
      <c r="AH5957">
        <v>18.1922064785232</v>
      </c>
      <c r="AI5957">
        <v>93.422535734181693</v>
      </c>
      <c r="AJ5957">
        <v>101.801438013515</v>
      </c>
      <c r="AK5957">
        <v>18.6182596398864</v>
      </c>
      <c r="AL5957">
        <v>69.665306986853594</v>
      </c>
      <c r="AM5957">
        <v>100.133147975805</v>
      </c>
      <c r="AN5957">
        <v>1.0000000387294401</v>
      </c>
    </row>
    <row r="5958" spans="1:40" x14ac:dyDescent="0.25">
      <c r="A5958" t="str">
        <f>"20190304164244069"</f>
        <v>20190304164244069</v>
      </c>
      <c r="B5958" t="str">
        <f>"1551688964056714"</f>
        <v>1551688964056714</v>
      </c>
      <c r="C5958" t="s">
        <v>40</v>
      </c>
      <c r="D5958">
        <v>4.1471780000000003</v>
      </c>
      <c r="E5958">
        <v>0.49625029999999998</v>
      </c>
      <c r="F5958" t="s">
        <v>61</v>
      </c>
      <c r="G5958">
        <v>-367.13839999999999</v>
      </c>
      <c r="H5958" s="1">
        <v>-1.5429779999999999E-6</v>
      </c>
      <c r="I5958">
        <v>20.329809999999998</v>
      </c>
      <c r="J5958">
        <v>-385.68669999999997</v>
      </c>
      <c r="K5958">
        <v>1.111469</v>
      </c>
      <c r="L5958">
        <v>18.107970000000002</v>
      </c>
      <c r="M5958">
        <v>0.99624089999999998</v>
      </c>
      <c r="N5958">
        <v>-1.06347E-2</v>
      </c>
      <c r="O5958">
        <v>-8.5972060000000003E-2</v>
      </c>
      <c r="P5958">
        <v>0.93748260000000005</v>
      </c>
      <c r="Q5958">
        <v>0.3379452</v>
      </c>
      <c r="R5958">
        <v>8.3184270000000005E-2</v>
      </c>
      <c r="S5958">
        <v>3.235687</v>
      </c>
      <c r="T5958">
        <v>-0.19263089999999999</v>
      </c>
      <c r="U5958">
        <v>0.38342290000000001</v>
      </c>
      <c r="V5958">
        <v>-0.1644217</v>
      </c>
      <c r="W5958">
        <v>0.34733809999999998</v>
      </c>
      <c r="X5958">
        <v>0.92321279999999994</v>
      </c>
      <c r="Y5958">
        <v>-0.2020998</v>
      </c>
      <c r="Z5958">
        <v>1.12566E-2</v>
      </c>
      <c r="AA5958">
        <v>0.97930030000000001</v>
      </c>
      <c r="AB5958">
        <v>22</v>
      </c>
      <c r="AC5958">
        <v>18.548299999999902</v>
      </c>
      <c r="AD5958">
        <v>-1.1114705429780001</v>
      </c>
      <c r="AE5958">
        <v>2.2218399999999998</v>
      </c>
      <c r="AF5958">
        <v>-3.7949045073633498</v>
      </c>
      <c r="AG5958">
        <v>-1.1114705429780001</v>
      </c>
      <c r="AH5958">
        <v>18.2240783025089</v>
      </c>
      <c r="AI5958">
        <v>93.416977979308399</v>
      </c>
      <c r="AJ5958">
        <v>101.762929970434</v>
      </c>
      <c r="AK5958">
        <v>18.6481553233527</v>
      </c>
      <c r="AL5958">
        <v>69.6754137401105</v>
      </c>
      <c r="AM5958">
        <v>100.09834298933499</v>
      </c>
      <c r="AN5958">
        <v>1.00000006261316</v>
      </c>
    </row>
    <row r="5959" spans="1:40" x14ac:dyDescent="0.25">
      <c r="A5959" t="str">
        <f>"20190304164244082"</f>
        <v>20190304164244082</v>
      </c>
      <c r="B5959" t="str">
        <f>"1551688964077211"</f>
        <v>1551688964077211</v>
      </c>
      <c r="C5959" t="s">
        <v>40</v>
      </c>
      <c r="D5959">
        <v>4.1505340000000004</v>
      </c>
      <c r="E5959">
        <v>0.49624489999999999</v>
      </c>
      <c r="F5959" t="s">
        <v>61</v>
      </c>
      <c r="G5959">
        <v>-367.07069999999999</v>
      </c>
      <c r="H5959" s="1">
        <v>-1.5729589999999999E-6</v>
      </c>
      <c r="I5959">
        <v>20.32226</v>
      </c>
      <c r="J5959">
        <v>-385.55990000000003</v>
      </c>
      <c r="K5959">
        <v>1.1114440000000001</v>
      </c>
      <c r="L5959">
        <v>18.098210000000002</v>
      </c>
      <c r="M5959">
        <v>0.99633329999999998</v>
      </c>
      <c r="N5959">
        <v>-1.0598669999999999E-2</v>
      </c>
      <c r="O5959">
        <v>-8.489816E-2</v>
      </c>
      <c r="P5959">
        <v>0.93744190000000005</v>
      </c>
      <c r="Q5959">
        <v>0.33790730000000002</v>
      </c>
      <c r="R5959">
        <v>8.3793859999999998E-2</v>
      </c>
      <c r="S5959">
        <v>3.2355649999999998</v>
      </c>
      <c r="T5959">
        <v>-0.1931803</v>
      </c>
      <c r="U5959">
        <v>0.38485720000000001</v>
      </c>
      <c r="V5959">
        <v>-0.1640124</v>
      </c>
      <c r="W5959">
        <v>0.3472749</v>
      </c>
      <c r="X5959">
        <v>0.9233093</v>
      </c>
      <c r="Y5959">
        <v>-0.2014763</v>
      </c>
      <c r="Z5959">
        <v>1.121348E-2</v>
      </c>
      <c r="AA5959">
        <v>0.9794292</v>
      </c>
      <c r="AB5959">
        <v>22</v>
      </c>
      <c r="AC5959">
        <v>18.4892</v>
      </c>
      <c r="AD5959">
        <v>-1.111445572959</v>
      </c>
      <c r="AE5959">
        <v>2.2240499999999899</v>
      </c>
      <c r="AF5959">
        <v>-3.7723692309198098</v>
      </c>
      <c r="AG5959">
        <v>-1.111445572959</v>
      </c>
      <c r="AH5959">
        <v>18.168892680726302</v>
      </c>
      <c r="AI5959">
        <v>93.427669330205703</v>
      </c>
      <c r="AJ5959">
        <v>101.729547023593</v>
      </c>
      <c r="AK5959">
        <v>18.5896407205678</v>
      </c>
      <c r="AL5959">
        <v>69.679273736175801</v>
      </c>
      <c r="AM5959">
        <v>100.07268905849701</v>
      </c>
      <c r="AN5959">
        <v>0.99999999349513002</v>
      </c>
    </row>
    <row r="5960" spans="1:40" x14ac:dyDescent="0.25">
      <c r="A5960" t="str">
        <f>"20190304164244094"</f>
        <v>20190304164244094</v>
      </c>
      <c r="B5960" t="str">
        <f>"1551688964086970"</f>
        <v>1551688964086970</v>
      </c>
      <c r="C5960" t="s">
        <v>40</v>
      </c>
      <c r="D5960">
        <v>4.1621620000000004</v>
      </c>
      <c r="E5960">
        <v>0.49629609999999902</v>
      </c>
      <c r="F5960" t="s">
        <v>61</v>
      </c>
      <c r="G5960">
        <v>-366.92919999999998</v>
      </c>
      <c r="H5960" s="1">
        <v>-1.6413310000000001E-6</v>
      </c>
      <c r="I5960">
        <v>20.327739999999999</v>
      </c>
      <c r="J5960">
        <v>-385.4289</v>
      </c>
      <c r="K5960">
        <v>1.1114139999999999</v>
      </c>
      <c r="L5960">
        <v>18.088259999999998</v>
      </c>
      <c r="M5960">
        <v>0.99642509999999995</v>
      </c>
      <c r="N5960">
        <v>-1.056034E-2</v>
      </c>
      <c r="O5960">
        <v>-8.3820000000000006E-2</v>
      </c>
      <c r="P5960">
        <v>0.93739839999999997</v>
      </c>
      <c r="Q5960">
        <v>0.33785340000000003</v>
      </c>
      <c r="R5960">
        <v>8.4495979999999998E-2</v>
      </c>
      <c r="S5960">
        <v>3.2351380000000001</v>
      </c>
      <c r="T5960">
        <v>-0.1929969</v>
      </c>
      <c r="U5960">
        <v>0.38714599999999999</v>
      </c>
      <c r="V5960">
        <v>-0.16368729999999901</v>
      </c>
      <c r="W5960">
        <v>0.34719630000000001</v>
      </c>
      <c r="X5960">
        <v>0.92339660000000001</v>
      </c>
      <c r="Y5960">
        <v>-0.20111789999999999</v>
      </c>
      <c r="Z5960">
        <v>1.1138260000000001E-2</v>
      </c>
      <c r="AA5960">
        <v>0.97950380000000004</v>
      </c>
      <c r="AB5960">
        <v>22</v>
      </c>
      <c r="AC5960">
        <v>18.499700000000001</v>
      </c>
      <c r="AD5960">
        <v>-1.1114156413309999</v>
      </c>
      <c r="AE5960">
        <v>2.2394799999999901</v>
      </c>
      <c r="AF5960">
        <v>-3.76892256606931</v>
      </c>
      <c r="AG5960">
        <v>-1.1114156413309999</v>
      </c>
      <c r="AH5960">
        <v>18.1821897390323</v>
      </c>
      <c r="AI5960">
        <v>93.425308577129798</v>
      </c>
      <c r="AJ5960">
        <v>101.710793054091</v>
      </c>
      <c r="AK5960">
        <v>18.6019366127022</v>
      </c>
      <c r="AL5960">
        <v>69.684077017574793</v>
      </c>
      <c r="AM5960">
        <v>100.05219990018399</v>
      </c>
      <c r="AN5960">
        <v>1.00000004190326</v>
      </c>
    </row>
    <row r="5961" spans="1:40" x14ac:dyDescent="0.25">
      <c r="A5961" t="str">
        <f>"20190304164244113"</f>
        <v>20190304164244113</v>
      </c>
      <c r="B5961" t="str">
        <f>"1551688964107467"</f>
        <v>1551688964107467</v>
      </c>
      <c r="C5961" t="s">
        <v>40</v>
      </c>
      <c r="D5961">
        <v>4.1491939999999996</v>
      </c>
      <c r="E5961">
        <v>0.4963803</v>
      </c>
      <c r="F5961" t="s">
        <v>61</v>
      </c>
      <c r="G5961">
        <v>-366.81810000000002</v>
      </c>
      <c r="H5961" s="1">
        <v>-1.6940330000000001E-6</v>
      </c>
      <c r="I5961">
        <v>20.328430000000001</v>
      </c>
      <c r="J5961">
        <v>-385.25599999999997</v>
      </c>
      <c r="K5961">
        <v>1.11138</v>
      </c>
      <c r="L5961">
        <v>18.07535</v>
      </c>
      <c r="M5961">
        <v>0.99654200000000004</v>
      </c>
      <c r="N5961">
        <v>-1.050943E-2</v>
      </c>
      <c r="O5961">
        <v>-8.2424559999999994E-2</v>
      </c>
      <c r="P5961">
        <v>0.93739130000000004</v>
      </c>
      <c r="Q5961">
        <v>0.33773029999999998</v>
      </c>
      <c r="R5961">
        <v>8.5064870000000001E-2</v>
      </c>
      <c r="S5961">
        <v>3.2348330000000001</v>
      </c>
      <c r="T5961">
        <v>-0.19317999999999999</v>
      </c>
      <c r="U5961">
        <v>0.38937379999999999</v>
      </c>
      <c r="V5961">
        <v>-0.16292879999999901</v>
      </c>
      <c r="W5961">
        <v>0.34704200000000002</v>
      </c>
      <c r="X5961">
        <v>0.92358870000000004</v>
      </c>
      <c r="Y5961">
        <v>-0.2004242</v>
      </c>
      <c r="Z5961">
        <v>1.1055809999999999E-2</v>
      </c>
      <c r="AA5961">
        <v>0.97964680000000004</v>
      </c>
      <c r="AB5961">
        <v>22</v>
      </c>
      <c r="AC5961">
        <v>18.4378999999999</v>
      </c>
      <c r="AD5961">
        <v>-1.1113816940329999</v>
      </c>
      <c r="AE5961">
        <v>2.25307999999999</v>
      </c>
      <c r="AF5961">
        <v>-3.75180124297483</v>
      </c>
      <c r="AG5961">
        <v>-1.1113816940329999</v>
      </c>
      <c r="AH5961">
        <v>18.124551772845301</v>
      </c>
      <c r="AI5961">
        <v>93.436265008510304</v>
      </c>
      <c r="AJ5961">
        <v>101.695110578777</v>
      </c>
      <c r="AK5961">
        <v>18.542129295287801</v>
      </c>
      <c r="AL5961">
        <v>69.693503344230095</v>
      </c>
      <c r="AM5961">
        <v>100.00452396206499</v>
      </c>
      <c r="AN5961">
        <v>1.0000000152005599</v>
      </c>
    </row>
    <row r="5962" spans="1:40" x14ac:dyDescent="0.25">
      <c r="A5962" t="str">
        <f>"20190304164244125"</f>
        <v>20190304164244125</v>
      </c>
      <c r="B5962" t="str">
        <f>"1551688964117227"</f>
        <v>1551688964117227</v>
      </c>
      <c r="C5962" t="s">
        <v>40</v>
      </c>
      <c r="D5962">
        <v>4.1522410000000001</v>
      </c>
      <c r="E5962">
        <v>0.49641099999999999</v>
      </c>
      <c r="F5962" t="s">
        <v>61</v>
      </c>
      <c r="G5962">
        <v>-366.67020000000002</v>
      </c>
      <c r="H5962" s="1">
        <v>-1.761839E-6</v>
      </c>
      <c r="I5962">
        <v>20.320540000000001</v>
      </c>
      <c r="J5962">
        <v>-385.13679999999999</v>
      </c>
      <c r="K5962">
        <v>1.111351</v>
      </c>
      <c r="L5962">
        <v>18.066500000000001</v>
      </c>
      <c r="M5962">
        <v>0.99661979999999994</v>
      </c>
      <c r="N5962">
        <v>-1.0474229999999999E-2</v>
      </c>
      <c r="O5962">
        <v>-8.148387E-2</v>
      </c>
      <c r="P5962">
        <v>0.93730469999999999</v>
      </c>
      <c r="Q5962">
        <v>0.33784829999999999</v>
      </c>
      <c r="R5962">
        <v>8.5549500000000001E-2</v>
      </c>
      <c r="S5962">
        <v>3.2346189999999999</v>
      </c>
      <c r="T5962">
        <v>-0.19342139999999999</v>
      </c>
      <c r="U5962">
        <v>0.39074710000000001</v>
      </c>
      <c r="V5962">
        <v>-0.16251090000000001</v>
      </c>
      <c r="W5962">
        <v>0.34713729999999998</v>
      </c>
      <c r="X5962">
        <v>0.92362650000000002</v>
      </c>
      <c r="Y5962">
        <v>-0.19991809999999999</v>
      </c>
      <c r="Z5962">
        <v>1.1005310000000001E-2</v>
      </c>
      <c r="AA5962">
        <v>0.97975080000000003</v>
      </c>
      <c r="AB5962">
        <v>22</v>
      </c>
      <c r="AC5962">
        <v>18.4665999999999</v>
      </c>
      <c r="AD5962">
        <v>-1.111352761839</v>
      </c>
      <c r="AE5962">
        <v>2.2540399999999998</v>
      </c>
      <c r="AF5962">
        <v>-3.7380162710959901</v>
      </c>
      <c r="AG5962">
        <v>-1.111352761839</v>
      </c>
      <c r="AH5962">
        <v>18.156712167955799</v>
      </c>
      <c r="AI5962">
        <v>93.430866835210693</v>
      </c>
      <c r="AJ5962">
        <v>101.633239383942</v>
      </c>
      <c r="AK5962">
        <v>18.570785318726202</v>
      </c>
      <c r="AL5962">
        <v>69.687680873808503</v>
      </c>
      <c r="AM5962">
        <v>99.978979386127406</v>
      </c>
      <c r="AN5962">
        <v>1.0000000045861701</v>
      </c>
    </row>
    <row r="5963" spans="1:40" x14ac:dyDescent="0.25">
      <c r="A5963" t="str">
        <f>"20190304164244136"</f>
        <v>20190304164244136</v>
      </c>
      <c r="B5963" t="str">
        <f>"1551688964126986"</f>
        <v>1551688964126986</v>
      </c>
      <c r="C5963" t="s">
        <v>40</v>
      </c>
      <c r="D5963">
        <v>4.1429960000000001</v>
      </c>
      <c r="E5963">
        <v>0.49644909999999998</v>
      </c>
      <c r="F5963" t="s">
        <v>61</v>
      </c>
      <c r="G5963">
        <v>-366.49849999999998</v>
      </c>
      <c r="H5963" s="1">
        <v>-1.844405E-6</v>
      </c>
      <c r="I5963">
        <v>20.32592</v>
      </c>
      <c r="J5963">
        <v>-385.01369999999997</v>
      </c>
      <c r="K5963">
        <v>1.1113200000000001</v>
      </c>
      <c r="L5963">
        <v>18.05753</v>
      </c>
      <c r="M5963">
        <v>0.99669660000000004</v>
      </c>
      <c r="N5963">
        <v>-1.043795E-2</v>
      </c>
      <c r="O5963">
        <v>-8.0541660000000001E-2</v>
      </c>
      <c r="P5963">
        <v>0.93729150000000006</v>
      </c>
      <c r="Q5963">
        <v>0.33778249999999999</v>
      </c>
      <c r="R5963">
        <v>8.5953290000000002E-2</v>
      </c>
      <c r="S5963">
        <v>3.2344059999999999</v>
      </c>
      <c r="T5963">
        <v>-0.19285920000000001</v>
      </c>
      <c r="U5963">
        <v>0.39208979999999999</v>
      </c>
      <c r="V5963">
        <v>-0.16201299999999999</v>
      </c>
      <c r="W5963">
        <v>0.347051</v>
      </c>
      <c r="X5963">
        <v>0.92374639999999997</v>
      </c>
      <c r="Y5963">
        <v>-0.19940559999999999</v>
      </c>
      <c r="Z5963">
        <v>1.0909729999999999E-2</v>
      </c>
      <c r="AA5963">
        <v>0.97985630000000001</v>
      </c>
      <c r="AB5963">
        <v>22</v>
      </c>
      <c r="AC5963">
        <v>18.5152</v>
      </c>
      <c r="AD5963">
        <v>-1.1113218444049999</v>
      </c>
      <c r="AE5963">
        <v>2.2683900000000001</v>
      </c>
      <c r="AF5963">
        <v>-3.7390745187536898</v>
      </c>
      <c r="AG5963">
        <v>-1.1113218444049999</v>
      </c>
      <c r="AH5963">
        <v>18.207706126030399</v>
      </c>
      <c r="AI5963">
        <v>93.421535088853602</v>
      </c>
      <c r="AJ5963">
        <v>101.604738233155</v>
      </c>
      <c r="AK5963">
        <v>18.620855965033702</v>
      </c>
      <c r="AL5963">
        <v>69.692953401545495</v>
      </c>
      <c r="AM5963">
        <v>99.947752063963804</v>
      </c>
      <c r="AN5963">
        <v>1.0000000101414701</v>
      </c>
    </row>
    <row r="5964" spans="1:40" x14ac:dyDescent="0.25">
      <c r="A5964" t="str">
        <f>"20190304164244150"</f>
        <v>20190304164244150</v>
      </c>
      <c r="B5964" t="str">
        <f>"1551688964147483"</f>
        <v>1551688964147483</v>
      </c>
      <c r="C5964" t="s">
        <v>40</v>
      </c>
      <c r="D5964">
        <v>4.1347909999999999</v>
      </c>
      <c r="E5964">
        <v>0.49654589999999998</v>
      </c>
      <c r="F5964" t="s">
        <v>61</v>
      </c>
      <c r="G5964">
        <v>-366.3981</v>
      </c>
      <c r="H5964" s="1">
        <v>-1.89045E-6</v>
      </c>
      <c r="I5964">
        <v>20.320450000000001</v>
      </c>
      <c r="J5964">
        <v>-384.88600000000002</v>
      </c>
      <c r="K5964">
        <v>1.111289</v>
      </c>
      <c r="L5964">
        <v>18.048249999999999</v>
      </c>
      <c r="M5964">
        <v>0.99677320000000003</v>
      </c>
      <c r="N5964">
        <v>-1.040133E-2</v>
      </c>
      <c r="O5964">
        <v>-7.9594120000000004E-2</v>
      </c>
      <c r="P5964">
        <v>0.93712859999999998</v>
      </c>
      <c r="Q5964">
        <v>0.33803670000000002</v>
      </c>
      <c r="R5964">
        <v>8.6725789999999997E-2</v>
      </c>
      <c r="S5964">
        <v>3.2342529999999998</v>
      </c>
      <c r="T5964">
        <v>-0.19307969999999999</v>
      </c>
      <c r="U5964">
        <v>0.39315800000000001</v>
      </c>
      <c r="V5964">
        <v>-0.16186429999999999</v>
      </c>
      <c r="W5964">
        <v>0.34728209999999998</v>
      </c>
      <c r="X5964">
        <v>0.9236856</v>
      </c>
      <c r="Y5964">
        <v>-0.1987998</v>
      </c>
      <c r="Z5964">
        <v>1.08539E-2</v>
      </c>
      <c r="AA5964">
        <v>0.97997999999999996</v>
      </c>
      <c r="AB5964">
        <v>22</v>
      </c>
      <c r="AC5964">
        <v>18.4878999999999</v>
      </c>
      <c r="AD5964">
        <v>-1.1112908904500001</v>
      </c>
      <c r="AE5964">
        <v>2.2722000000000002</v>
      </c>
      <c r="AF5964">
        <v>-3.7233452604079602</v>
      </c>
      <c r="AG5964">
        <v>-1.1112908904500001</v>
      </c>
      <c r="AH5964">
        <v>18.1836527995676</v>
      </c>
      <c r="AI5964">
        <v>93.426354231581399</v>
      </c>
      <c r="AJ5964">
        <v>101.572112195155</v>
      </c>
      <c r="AK5964">
        <v>18.594179102789699</v>
      </c>
      <c r="AL5964">
        <v>69.6788339257008</v>
      </c>
      <c r="AM5964">
        <v>99.939445037841907</v>
      </c>
      <c r="AN5964">
        <v>0.99999999812112905</v>
      </c>
    </row>
    <row r="5965" spans="1:40" x14ac:dyDescent="0.25">
      <c r="A5965" t="str">
        <f>"20190304164244168"</f>
        <v>20190304164244168</v>
      </c>
      <c r="B5965" t="str">
        <f>"1551688964157242"</f>
        <v>1551688964157242</v>
      </c>
      <c r="C5965" t="s">
        <v>40</v>
      </c>
      <c r="D5965">
        <v>4.142487</v>
      </c>
      <c r="E5965">
        <v>0.49654589999999998</v>
      </c>
      <c r="F5965" t="s">
        <v>61</v>
      </c>
      <c r="G5965">
        <v>-366.1823</v>
      </c>
      <c r="H5965" s="1">
        <v>-1.9960419999999999E-6</v>
      </c>
      <c r="I5965">
        <v>20.3339</v>
      </c>
      <c r="J5965">
        <v>-384.69979999999998</v>
      </c>
      <c r="K5965">
        <v>1.111237</v>
      </c>
      <c r="L5965">
        <v>18.034939999999999</v>
      </c>
      <c r="M5965">
        <v>0.99687879999999995</v>
      </c>
      <c r="N5965">
        <v>-1.034874E-2</v>
      </c>
      <c r="O5965">
        <v>-7.8266779999999994E-2</v>
      </c>
      <c r="P5965">
        <v>0.93702450000000004</v>
      </c>
      <c r="Q5965">
        <v>0.3383022</v>
      </c>
      <c r="R5965">
        <v>8.6814420000000003E-2</v>
      </c>
      <c r="S5965">
        <v>3.233978</v>
      </c>
      <c r="T5965">
        <v>-0.1921486</v>
      </c>
      <c r="U5965">
        <v>0.39520260000000001</v>
      </c>
      <c r="V5965">
        <v>-0.16067039999999999</v>
      </c>
      <c r="W5965">
        <v>0.34752139999999998</v>
      </c>
      <c r="X5965">
        <v>0.92380399999999996</v>
      </c>
      <c r="Y5965">
        <v>-0.1981231</v>
      </c>
      <c r="Z5965">
        <v>1.0713810000000001E-2</v>
      </c>
      <c r="AA5965">
        <v>0.98011859999999995</v>
      </c>
      <c r="AB5965">
        <v>22</v>
      </c>
      <c r="AC5965">
        <v>18.517499999999899</v>
      </c>
      <c r="AD5965">
        <v>-1.1112389960419999</v>
      </c>
      <c r="AE5965">
        <v>2.2989600000000001</v>
      </c>
      <c r="AF5965">
        <v>-3.7280678738258199</v>
      </c>
      <c r="AG5965">
        <v>-1.1112389960419999</v>
      </c>
      <c r="AH5965">
        <v>18.216144093237698</v>
      </c>
      <c r="AI5965">
        <v>93.420169027192102</v>
      </c>
      <c r="AJ5965">
        <v>101.566284624952</v>
      </c>
      <c r="AK5965">
        <v>18.6268958177088</v>
      </c>
      <c r="AL5965">
        <v>69.664211672346099</v>
      </c>
      <c r="AM5965">
        <v>99.866338802840701</v>
      </c>
      <c r="AN5965">
        <v>0.999999965655059</v>
      </c>
    </row>
    <row r="5966" spans="1:40" x14ac:dyDescent="0.25">
      <c r="A5966" t="str">
        <f>"20190304164244185"</f>
        <v>20190304164244185</v>
      </c>
      <c r="B5966" t="str">
        <f>"1551688964176762"</f>
        <v>1551688964176762</v>
      </c>
      <c r="C5966" t="s">
        <v>40</v>
      </c>
      <c r="D5966">
        <v>4.0982589999999997</v>
      </c>
      <c r="E5966">
        <v>0.48377170000000003</v>
      </c>
      <c r="F5966" t="s">
        <v>61</v>
      </c>
      <c r="G5966">
        <v>-365.90320000000003</v>
      </c>
      <c r="H5966" s="1">
        <v>-2.128422E-6</v>
      </c>
      <c r="I5966">
        <v>20.33567</v>
      </c>
      <c r="J5966">
        <v>-384.53719999999998</v>
      </c>
      <c r="K5966">
        <v>1.111183</v>
      </c>
      <c r="L5966">
        <v>18.023409999999998</v>
      </c>
      <c r="M5966">
        <v>0.99696530000000005</v>
      </c>
      <c r="N5966">
        <v>-1.030267E-2</v>
      </c>
      <c r="O5966">
        <v>-7.7162830000000002E-2</v>
      </c>
      <c r="P5966">
        <v>0.93689889999999998</v>
      </c>
      <c r="Q5966">
        <v>0.33849899999999999</v>
      </c>
      <c r="R5966">
        <v>8.7401850000000003E-2</v>
      </c>
      <c r="S5966">
        <v>3.233978</v>
      </c>
      <c r="T5966">
        <v>-0.19119050000000001</v>
      </c>
      <c r="U5966">
        <v>0.39584350000000001</v>
      </c>
      <c r="V5966">
        <v>-0.160181399999999</v>
      </c>
      <c r="W5966">
        <v>0.34769440000000001</v>
      </c>
      <c r="X5966">
        <v>0.92382379999999997</v>
      </c>
      <c r="Y5966">
        <v>-0.1972371</v>
      </c>
      <c r="Z5966">
        <v>1.0576189999999999E-2</v>
      </c>
      <c r="AA5966">
        <v>0.98029880000000003</v>
      </c>
      <c r="AB5966">
        <v>22</v>
      </c>
      <c r="AC5966">
        <v>18.633999999999901</v>
      </c>
      <c r="AD5966">
        <v>-1.111185128422</v>
      </c>
      <c r="AE5966">
        <v>2.31225999999999</v>
      </c>
      <c r="AF5966">
        <v>-3.7302302091467499</v>
      </c>
      <c r="AG5966">
        <v>-1.111185128422</v>
      </c>
      <c r="AH5966">
        <v>18.335793742051401</v>
      </c>
      <c r="AI5966">
        <v>93.398547547552596</v>
      </c>
      <c r="AJ5966">
        <v>101.499312292152</v>
      </c>
      <c r="AK5966">
        <v>18.744350667705401</v>
      </c>
      <c r="AL5966">
        <v>69.653639831932196</v>
      </c>
      <c r="AM5966">
        <v>99.836691386345606</v>
      </c>
      <c r="AN5966">
        <v>0.99999994507187795</v>
      </c>
    </row>
    <row r="5967" spans="1:40" x14ac:dyDescent="0.25">
      <c r="A5967" t="str">
        <f>"20190304164244199"</f>
        <v>20190304164244199</v>
      </c>
      <c r="B5967" t="str">
        <f>"1551688964187498"</f>
        <v>1551688964187498</v>
      </c>
      <c r="C5967" t="s">
        <v>40</v>
      </c>
      <c r="D5967">
        <v>4.2762890000000002</v>
      </c>
      <c r="E5967">
        <v>0.48265599999999997</v>
      </c>
      <c r="F5967" t="s">
        <v>61</v>
      </c>
      <c r="G5967">
        <v>-361.51029999999997</v>
      </c>
      <c r="H5967" s="1">
        <v>-4.4963700000000003E-6</v>
      </c>
      <c r="I5967">
        <v>21.58305</v>
      </c>
      <c r="J5967">
        <v>-384.39690000000002</v>
      </c>
      <c r="K5967">
        <v>1.111138</v>
      </c>
      <c r="L5967">
        <v>18.013639999999999</v>
      </c>
      <c r="M5967">
        <v>0.99703560000000002</v>
      </c>
      <c r="N5967">
        <v>-1.0263110000000001E-2</v>
      </c>
      <c r="O5967">
        <v>-7.6256149999999995E-2</v>
      </c>
      <c r="P5967">
        <v>0.9368358</v>
      </c>
      <c r="Q5967">
        <v>0.33861459999999999</v>
      </c>
      <c r="R5967">
        <v>8.7629609999999997E-2</v>
      </c>
      <c r="S5967">
        <v>3.2117309999999999</v>
      </c>
      <c r="T5967">
        <v>-0.15498580000000001</v>
      </c>
      <c r="U5967">
        <v>0.4964905</v>
      </c>
      <c r="V5967">
        <v>-0.1595269</v>
      </c>
      <c r="W5967">
        <v>0.3477905</v>
      </c>
      <c r="X5967">
        <v>0.92390090000000002</v>
      </c>
      <c r="Y5967">
        <v>-0.2273232</v>
      </c>
      <c r="Z5967">
        <v>9.5052399999999999E-3</v>
      </c>
      <c r="AA5967">
        <v>0.973773</v>
      </c>
      <c r="AB5967">
        <v>22</v>
      </c>
      <c r="AC5967">
        <v>22.886600000000001</v>
      </c>
      <c r="AD5967">
        <v>-1.1111424963700001</v>
      </c>
      <c r="AE5967">
        <v>3.56941</v>
      </c>
      <c r="AF5967">
        <v>-5.2921734221600998</v>
      </c>
      <c r="AG5967">
        <v>-1.1111424963700001</v>
      </c>
      <c r="AH5967">
        <v>22.495983409600299</v>
      </c>
      <c r="AI5967">
        <v>92.752684182174306</v>
      </c>
      <c r="AJ5967">
        <v>103.23810863105901</v>
      </c>
      <c r="AK5967">
        <v>23.136789032674098</v>
      </c>
      <c r="AL5967">
        <v>69.647767691680997</v>
      </c>
      <c r="AM5967">
        <v>99.796477440430394</v>
      </c>
      <c r="AN5967">
        <v>0.99999996836733396</v>
      </c>
    </row>
    <row r="5968" spans="1:40" x14ac:dyDescent="0.25">
      <c r="A5968" t="str">
        <f>"20190304164244213"</f>
        <v>20190304164244213</v>
      </c>
      <c r="B5968" t="str">
        <f>"1551688964207019"</f>
        <v>1551688964207019</v>
      </c>
      <c r="C5968" t="s">
        <v>40</v>
      </c>
      <c r="D5968">
        <v>4.2218239999999998</v>
      </c>
      <c r="E5968">
        <v>0.48147790000000001</v>
      </c>
      <c r="F5968" t="s">
        <v>61</v>
      </c>
      <c r="G5968">
        <v>-360.52480000000003</v>
      </c>
      <c r="H5968" s="1">
        <v>-4.9095430000000003E-6</v>
      </c>
      <c r="I5968">
        <v>21.778700000000001</v>
      </c>
      <c r="J5968">
        <v>-384.25580000000002</v>
      </c>
      <c r="K5968">
        <v>1.1110930000000001</v>
      </c>
      <c r="L5968">
        <v>18.00385</v>
      </c>
      <c r="M5968">
        <v>0.99710209999999999</v>
      </c>
      <c r="N5968">
        <v>-1.0225390000000001E-2</v>
      </c>
      <c r="O5968">
        <v>-7.5385939999999999E-2</v>
      </c>
      <c r="P5968">
        <v>0.93691469999999999</v>
      </c>
      <c r="Q5968">
        <v>0.33831430000000001</v>
      </c>
      <c r="R5968">
        <v>8.7945739999999994E-2</v>
      </c>
      <c r="S5968">
        <v>3.208923</v>
      </c>
      <c r="T5968">
        <v>-0.149361299999999</v>
      </c>
      <c r="U5968">
        <v>0.50610350000000004</v>
      </c>
      <c r="V5968">
        <v>-0.1590049</v>
      </c>
      <c r="W5968">
        <v>0.34747349999999999</v>
      </c>
      <c r="X5968">
        <v>0.92411019999999999</v>
      </c>
      <c r="Y5968">
        <v>-0.22947190000000001</v>
      </c>
      <c r="Z5968">
        <v>9.2089770000000001E-3</v>
      </c>
      <c r="AA5968">
        <v>0.97327169999999996</v>
      </c>
      <c r="AB5968">
        <v>22</v>
      </c>
      <c r="AC5968">
        <v>23.730999999999899</v>
      </c>
      <c r="AD5968">
        <v>-1.111097909543</v>
      </c>
      <c r="AE5968">
        <v>3.7748499999999998</v>
      </c>
      <c r="AF5968">
        <v>-5.5413366571088698</v>
      </c>
      <c r="AG5968">
        <v>-1.111097909543</v>
      </c>
      <c r="AH5968">
        <v>23.329000417836198</v>
      </c>
      <c r="AI5968">
        <v>92.653077110520599</v>
      </c>
      <c r="AJ5968">
        <v>103.36184364076399</v>
      </c>
      <c r="AK5968">
        <v>24.003816592521499</v>
      </c>
      <c r="AL5968">
        <v>69.667139833617696</v>
      </c>
      <c r="AM5968">
        <v>99.7628706856772</v>
      </c>
      <c r="AN5968">
        <v>1.0000000265851401</v>
      </c>
    </row>
    <row r="5969" spans="1:40" x14ac:dyDescent="0.25">
      <c r="A5969" t="str">
        <f>"20190304164244226"</f>
        <v>20190304164244226</v>
      </c>
      <c r="B5969" t="str">
        <f>"1551688964216779"</f>
        <v>1551688964216779</v>
      </c>
      <c r="C5969" t="s">
        <v>40</v>
      </c>
      <c r="D5969">
        <v>4.2776139999999998</v>
      </c>
      <c r="E5969">
        <v>0.48149700000000001</v>
      </c>
      <c r="F5969" t="s">
        <v>43</v>
      </c>
      <c r="G5969">
        <v>-358.88600000000002</v>
      </c>
      <c r="H5969">
        <v>-0.05</v>
      </c>
      <c r="I5969">
        <v>22.093389999999999</v>
      </c>
      <c r="J5969">
        <v>-384.12630000000001</v>
      </c>
      <c r="K5969">
        <v>1.1110530000000001</v>
      </c>
      <c r="L5969">
        <v>17.994900000000001</v>
      </c>
      <c r="M5969">
        <v>0.99716039999999995</v>
      </c>
      <c r="N5969">
        <v>-1.0191449999999999E-2</v>
      </c>
      <c r="O5969">
        <v>-7.4615249999999994E-2</v>
      </c>
      <c r="P5969">
        <v>0.93687770000000004</v>
      </c>
      <c r="Q5969">
        <v>0.33831850000000002</v>
      </c>
      <c r="R5969">
        <v>8.8322629999999999E-2</v>
      </c>
      <c r="S5969">
        <v>3.2064819999999998</v>
      </c>
      <c r="T5969">
        <v>-0.14675009999999999</v>
      </c>
      <c r="U5969">
        <v>0.51687620000000001</v>
      </c>
      <c r="V5969">
        <v>-0.1586311</v>
      </c>
      <c r="W5969">
        <v>0.34746149999999998</v>
      </c>
      <c r="X5969">
        <v>0.92417890000000003</v>
      </c>
      <c r="Y5969">
        <v>-0.23203009999999999</v>
      </c>
      <c r="Z5969">
        <v>9.1028789999999995E-3</v>
      </c>
      <c r="AA5969">
        <v>0.97266600000000003</v>
      </c>
      <c r="AB5969">
        <v>22</v>
      </c>
      <c r="AC5969">
        <v>25.240300000000001</v>
      </c>
      <c r="AD5969">
        <v>-1.1610529999999999</v>
      </c>
      <c r="AE5969">
        <v>4.0984899999999902</v>
      </c>
      <c r="AF5969">
        <v>-5.9581891728872298</v>
      </c>
      <c r="AG5969">
        <v>-1.1610529999999999</v>
      </c>
      <c r="AH5969">
        <v>24.812951712562601</v>
      </c>
      <c r="AI5969">
        <v>92.605096831249497</v>
      </c>
      <c r="AJ5969">
        <v>103.502459463383</v>
      </c>
      <c r="AK5969">
        <v>25.544679191148202</v>
      </c>
      <c r="AL5969">
        <v>69.667872070519195</v>
      </c>
      <c r="AM5969">
        <v>99.739649397587797</v>
      </c>
      <c r="AN5969">
        <v>0.99999997953733399</v>
      </c>
    </row>
    <row r="5970" spans="1:40" x14ac:dyDescent="0.25">
      <c r="A5970" t="str">
        <f>"20190304164244237"</f>
        <v>20190304164244237</v>
      </c>
      <c r="B5970" t="str">
        <f>"1551688964227515"</f>
        <v>1551688964227515</v>
      </c>
      <c r="C5970" t="s">
        <v>40</v>
      </c>
      <c r="D5970">
        <v>4.0981779999999999</v>
      </c>
      <c r="E5970">
        <v>0.4815449</v>
      </c>
      <c r="F5970" t="s">
        <v>42</v>
      </c>
      <c r="G5970">
        <v>-359.86489999999998</v>
      </c>
      <c r="H5970" s="1">
        <v>-6.5221110000000001E-7</v>
      </c>
      <c r="I5970">
        <v>21.91611</v>
      </c>
      <c r="J5970">
        <v>-384.0095</v>
      </c>
      <c r="K5970">
        <v>1.111019</v>
      </c>
      <c r="L5970">
        <v>17.986940000000001</v>
      </c>
      <c r="M5970">
        <v>0.99720989999999998</v>
      </c>
      <c r="N5970">
        <v>-1.0161089999999999E-2</v>
      </c>
      <c r="O5970">
        <v>-7.3953630000000006E-2</v>
      </c>
      <c r="P5970">
        <v>0.93686590000000003</v>
      </c>
      <c r="Q5970">
        <v>0.33831139999999998</v>
      </c>
      <c r="R5970">
        <v>8.8474159999999996E-2</v>
      </c>
      <c r="S5970">
        <v>3.2062680000000001</v>
      </c>
      <c r="T5970">
        <v>-0.14683179999999901</v>
      </c>
      <c r="U5970">
        <v>0.51821899999999999</v>
      </c>
      <c r="V5970">
        <v>-0.1581388</v>
      </c>
      <c r="W5970">
        <v>0.34744000000000003</v>
      </c>
      <c r="X5970">
        <v>0.92427130000000002</v>
      </c>
      <c r="Y5970">
        <v>-0.23179230000000001</v>
      </c>
      <c r="Z5970">
        <v>9.0766939999999997E-3</v>
      </c>
      <c r="AA5970">
        <v>0.97272289999999995</v>
      </c>
      <c r="AB5970">
        <v>22</v>
      </c>
      <c r="AC5970">
        <v>24.144600000000001</v>
      </c>
      <c r="AD5970">
        <v>-1.1110196522111</v>
      </c>
      <c r="AE5970">
        <v>3.9291699999999898</v>
      </c>
      <c r="AF5970">
        <v>-5.6923405754002996</v>
      </c>
      <c r="AG5970">
        <v>-1.1110196522111</v>
      </c>
      <c r="AH5970">
        <v>23.738918113123901</v>
      </c>
      <c r="AI5970">
        <v>92.605816904505801</v>
      </c>
      <c r="AJ5970">
        <v>103.48432260942199</v>
      </c>
      <c r="AK5970">
        <v>24.437130336345799</v>
      </c>
      <c r="AL5970">
        <v>69.669184826966202</v>
      </c>
      <c r="AM5970">
        <v>99.709047168710995</v>
      </c>
      <c r="AN5970">
        <v>0.99999993483456195</v>
      </c>
    </row>
    <row r="5971" spans="1:40" x14ac:dyDescent="0.25">
      <c r="A5971" t="str">
        <f>"20190304164244249"</f>
        <v>20190304164244249</v>
      </c>
      <c r="B5971" t="str">
        <f>"1551688964247034"</f>
        <v>1551688964247034</v>
      </c>
      <c r="C5971" t="s">
        <v>40</v>
      </c>
      <c r="D5971">
        <v>4.0716190000000001</v>
      </c>
      <c r="E5971">
        <v>0.48175839999999998</v>
      </c>
      <c r="F5971" t="s">
        <v>42</v>
      </c>
      <c r="G5971">
        <v>-359.84100000000001</v>
      </c>
      <c r="H5971" s="1">
        <v>-6.5796809999999905E-7</v>
      </c>
      <c r="I5971">
        <v>21.899190000000001</v>
      </c>
      <c r="J5971">
        <v>-383.88650000000001</v>
      </c>
      <c r="K5971">
        <v>1.1109830000000001</v>
      </c>
      <c r="L5971">
        <v>17.978579999999901</v>
      </c>
      <c r="M5971">
        <v>0.99725929999999996</v>
      </c>
      <c r="N5971">
        <v>-1.012942E-2</v>
      </c>
      <c r="O5971">
        <v>-7.3288549999999994E-2</v>
      </c>
      <c r="P5971">
        <v>0.9367915</v>
      </c>
      <c r="Q5971">
        <v>0.33846310000000002</v>
      </c>
      <c r="R5971">
        <v>8.8682549999999999E-2</v>
      </c>
      <c r="S5971">
        <v>3.2063899999999999</v>
      </c>
      <c r="T5971">
        <v>-0.14739739999999901</v>
      </c>
      <c r="U5971">
        <v>0.51904300000000003</v>
      </c>
      <c r="V5971">
        <v>-0.15769540000000001</v>
      </c>
      <c r="W5971">
        <v>0.34757589999999999</v>
      </c>
      <c r="X5971">
        <v>0.92429600000000001</v>
      </c>
      <c r="Y5971">
        <v>-0.2313799</v>
      </c>
      <c r="Z5971">
        <v>9.0728909999999996E-3</v>
      </c>
      <c r="AA5971">
        <v>0.97282120000000005</v>
      </c>
      <c r="AB5971">
        <v>22</v>
      </c>
      <c r="AC5971">
        <v>24.045500000000001</v>
      </c>
      <c r="AD5971">
        <v>-1.1109836579681001</v>
      </c>
      <c r="AE5971">
        <v>3.9206099999999999</v>
      </c>
      <c r="AF5971">
        <v>-5.6606446913977804</v>
      </c>
      <c r="AG5971">
        <v>-1.1109836579681001</v>
      </c>
      <c r="AH5971">
        <v>23.644311451269001</v>
      </c>
      <c r="AI5971">
        <v>92.616369908335699</v>
      </c>
      <c r="AJ5971">
        <v>103.463674110996</v>
      </c>
      <c r="AK5971">
        <v>24.337843927002499</v>
      </c>
      <c r="AL5971">
        <v>69.660881556373596</v>
      </c>
      <c r="AM5971">
        <v>99.682086480741205</v>
      </c>
      <c r="AN5971">
        <v>0.99999997052898404</v>
      </c>
    </row>
    <row r="5972" spans="1:40" x14ac:dyDescent="0.25">
      <c r="A5972" t="str">
        <f>"20190304164244263"</f>
        <v>20190304164244263</v>
      </c>
      <c r="B5972" t="str">
        <f>"1551688964256795"</f>
        <v>1551688964256795</v>
      </c>
      <c r="C5972" t="s">
        <v>40</v>
      </c>
      <c r="D5972">
        <v>4.0929760000000002</v>
      </c>
      <c r="E5972">
        <v>0.48166819999999999</v>
      </c>
      <c r="F5972" t="s">
        <v>42</v>
      </c>
      <c r="G5972">
        <v>-359.39260000000002</v>
      </c>
      <c r="H5972" s="1">
        <v>-8.6167959999999995E-7</v>
      </c>
      <c r="I5972">
        <v>21.941890000000001</v>
      </c>
      <c r="J5972">
        <v>-383.75369999999998</v>
      </c>
      <c r="K5972">
        <v>1.110949</v>
      </c>
      <c r="L5972">
        <v>17.9696</v>
      </c>
      <c r="M5972">
        <v>0.99731060000000005</v>
      </c>
      <c r="N5972">
        <v>-1.00956E-2</v>
      </c>
      <c r="O5972">
        <v>-7.2592470000000006E-2</v>
      </c>
      <c r="P5972">
        <v>0.93683919999999998</v>
      </c>
      <c r="Q5972">
        <v>0.33829049999999999</v>
      </c>
      <c r="R5972">
        <v>8.8838100000000003E-2</v>
      </c>
      <c r="S5972">
        <v>3.2058110000000002</v>
      </c>
      <c r="T5972">
        <v>-0.14540790000000001</v>
      </c>
      <c r="U5972">
        <v>0.51873779999999903</v>
      </c>
      <c r="V5972">
        <v>-0.15717679999999901</v>
      </c>
      <c r="W5972">
        <v>0.34738770000000002</v>
      </c>
      <c r="X5972">
        <v>0.92445509999999997</v>
      </c>
      <c r="Y5972">
        <v>-0.2306484</v>
      </c>
      <c r="Z5972">
        <v>8.9119939999999995E-3</v>
      </c>
      <c r="AA5972">
        <v>0.97299639999999998</v>
      </c>
      <c r="AB5972">
        <v>23</v>
      </c>
      <c r="AC5972">
        <v>24.361099999999901</v>
      </c>
      <c r="AD5972">
        <v>-1.1109498616796001</v>
      </c>
      <c r="AE5972">
        <v>3.9722900000000001</v>
      </c>
      <c r="AF5972">
        <v>-5.7187462153648099</v>
      </c>
      <c r="AG5972">
        <v>-1.1109498616796001</v>
      </c>
      <c r="AH5972">
        <v>23.959909937315199</v>
      </c>
      <c r="AI5972">
        <v>92.582300539913405</v>
      </c>
      <c r="AJ5972">
        <v>103.42418900443499</v>
      </c>
      <c r="AK5972">
        <v>24.6579713698262</v>
      </c>
      <c r="AL5972">
        <v>69.672381748880298</v>
      </c>
      <c r="AM5972">
        <v>99.649215898483604</v>
      </c>
      <c r="AN5972">
        <v>0.99999999624276903</v>
      </c>
    </row>
    <row r="5973" spans="1:40" x14ac:dyDescent="0.25">
      <c r="A5973" t="str">
        <f>"20190304164244279"</f>
        <v>20190304164244279</v>
      </c>
      <c r="B5973" t="str">
        <f>"1551688964267531"</f>
        <v>1551688964267531</v>
      </c>
      <c r="C5973" t="s">
        <v>40</v>
      </c>
      <c r="D5973">
        <v>4.0694869999999996</v>
      </c>
      <c r="E5973">
        <v>0.48166150000000002</v>
      </c>
      <c r="F5973" t="s">
        <v>42</v>
      </c>
      <c r="G5973">
        <v>-359.43619999999999</v>
      </c>
      <c r="H5973" s="1">
        <v>-8.377175E-7</v>
      </c>
      <c r="I5973">
        <v>21.922080000000001</v>
      </c>
      <c r="J5973">
        <v>-383.59309999999999</v>
      </c>
      <c r="K5973">
        <v>1.110911</v>
      </c>
      <c r="L5973">
        <v>17.958860000000001</v>
      </c>
      <c r="M5973">
        <v>0.99736829999999999</v>
      </c>
      <c r="N5973">
        <v>-1.0057150000000001E-2</v>
      </c>
      <c r="O5973">
        <v>-7.1802130000000006E-2</v>
      </c>
      <c r="P5973">
        <v>0.93685620000000003</v>
      </c>
      <c r="Q5973">
        <v>0.3381902</v>
      </c>
      <c r="R5973">
        <v>8.9041220000000004E-2</v>
      </c>
      <c r="S5973">
        <v>3.2057190000000002</v>
      </c>
      <c r="T5973">
        <v>-0.1464541</v>
      </c>
      <c r="U5973">
        <v>0.52105709999999905</v>
      </c>
      <c r="V5973">
        <v>-0.1566128</v>
      </c>
      <c r="W5973">
        <v>0.34726829999999997</v>
      </c>
      <c r="X5973">
        <v>0.92459570000000002</v>
      </c>
      <c r="Y5973">
        <v>-0.23056380000000001</v>
      </c>
      <c r="Z5973">
        <v>8.9407029999999995E-3</v>
      </c>
      <c r="AA5973">
        <v>0.97301610000000005</v>
      </c>
      <c r="AB5973">
        <v>23</v>
      </c>
      <c r="AC5973">
        <v>24.1569</v>
      </c>
      <c r="AD5973">
        <v>-1.1109118377175</v>
      </c>
      <c r="AE5973">
        <v>3.96321999999999</v>
      </c>
      <c r="AF5973">
        <v>-5.6759049076196701</v>
      </c>
      <c r="AG5973">
        <v>-1.1109118377175</v>
      </c>
      <c r="AH5973">
        <v>23.761026649610901</v>
      </c>
      <c r="AI5973">
        <v>92.603681744136097</v>
      </c>
      <c r="AJ5973">
        <v>103.434746974703</v>
      </c>
      <c r="AK5973">
        <v>24.454782948843398</v>
      </c>
      <c r="AL5973">
        <v>69.679677650639505</v>
      </c>
      <c r="AM5973">
        <v>99.613804157530893</v>
      </c>
      <c r="AN5973">
        <v>1.0000000248836001</v>
      </c>
    </row>
    <row r="5974" spans="1:40" x14ac:dyDescent="0.25">
      <c r="A5974" t="str">
        <f>"20190304164244290"</f>
        <v>20190304164244290</v>
      </c>
      <c r="B5974" t="str">
        <f>"1551688964287050"</f>
        <v>1551688964287050</v>
      </c>
      <c r="C5974" t="s">
        <v>40</v>
      </c>
      <c r="D5974">
        <v>4.0819470000000004</v>
      </c>
      <c r="E5974">
        <v>0.48164580000000001</v>
      </c>
      <c r="F5974" t="s">
        <v>42</v>
      </c>
      <c r="G5974">
        <v>-359.50920000000002</v>
      </c>
      <c r="H5974" s="1">
        <v>-7.9791259999999998E-7</v>
      </c>
      <c r="I5974">
        <v>21.89019</v>
      </c>
      <c r="J5974">
        <v>-383.47539999999998</v>
      </c>
      <c r="K5974">
        <v>1.110887</v>
      </c>
      <c r="L5974">
        <v>17.950990000000001</v>
      </c>
      <c r="M5974">
        <v>0.99740830000000003</v>
      </c>
      <c r="N5974">
        <v>-1.003127E-2</v>
      </c>
      <c r="O5974">
        <v>-7.1247130000000006E-2</v>
      </c>
      <c r="P5974">
        <v>0.93675039999999998</v>
      </c>
      <c r="Q5974">
        <v>0.33844180000000001</v>
      </c>
      <c r="R5974">
        <v>8.9196490000000003E-2</v>
      </c>
      <c r="S5974">
        <v>3.2058409999999999</v>
      </c>
      <c r="T5974">
        <v>-0.147874799999999</v>
      </c>
      <c r="U5974">
        <v>0.52331539999999999</v>
      </c>
      <c r="V5974">
        <v>-0.15622440000000001</v>
      </c>
      <c r="W5974">
        <v>0.34750490000000001</v>
      </c>
      <c r="X5974">
        <v>0.92457250000000002</v>
      </c>
      <c r="Y5974">
        <v>-0.23067840000000001</v>
      </c>
      <c r="Z5974">
        <v>9.0044400000000007E-3</v>
      </c>
      <c r="AA5974">
        <v>0.97298839999999998</v>
      </c>
      <c r="AB5974">
        <v>23</v>
      </c>
      <c r="AC5974">
        <v>23.966199999999901</v>
      </c>
      <c r="AD5974">
        <v>-1.1108877979126</v>
      </c>
      <c r="AE5974">
        <v>3.9392</v>
      </c>
      <c r="AF5974">
        <v>-5.6250294326808996</v>
      </c>
      <c r="AG5974">
        <v>-1.1108877979126</v>
      </c>
      <c r="AH5974">
        <v>23.575297731026701</v>
      </c>
      <c r="AI5974">
        <v>92.624272010252</v>
      </c>
      <c r="AJ5974">
        <v>103.41977965223801</v>
      </c>
      <c r="AK5974">
        <v>24.262516170517699</v>
      </c>
      <c r="AL5974">
        <v>69.665220899729505</v>
      </c>
      <c r="AM5974">
        <v>99.590641464651398</v>
      </c>
      <c r="AN5974">
        <v>1.00000001321781</v>
      </c>
    </row>
    <row r="5975" spans="1:40" x14ac:dyDescent="0.25">
      <c r="A5975" t="str">
        <f>"20190304164244303"</f>
        <v>20190304164244303</v>
      </c>
      <c r="B5975" t="str">
        <f>"1551688964296811"</f>
        <v>1551688964296811</v>
      </c>
      <c r="C5975" t="s">
        <v>40</v>
      </c>
      <c r="D5975">
        <v>4.103745</v>
      </c>
      <c r="E5975">
        <v>0.48164820000000003</v>
      </c>
      <c r="F5975" t="s">
        <v>42</v>
      </c>
      <c r="G5975">
        <v>-359.41539999999998</v>
      </c>
      <c r="H5975" s="1">
        <v>-8.3811309999999995E-7</v>
      </c>
      <c r="I5975">
        <v>21.890029999999999</v>
      </c>
      <c r="J5975">
        <v>-383.34500000000003</v>
      </c>
      <c r="K5975">
        <v>1.110862</v>
      </c>
      <c r="L5975">
        <v>17.94238</v>
      </c>
      <c r="M5975">
        <v>0.99745139999999999</v>
      </c>
      <c r="N5975">
        <v>-1.000386E-2</v>
      </c>
      <c r="O5975">
        <v>-7.0645040000000006E-2</v>
      </c>
      <c r="P5975">
        <v>0.93664959999999997</v>
      </c>
      <c r="Q5975">
        <v>0.33868320000000002</v>
      </c>
      <c r="R5975">
        <v>8.933903E-2</v>
      </c>
      <c r="S5975">
        <v>3.2060849999999999</v>
      </c>
      <c r="T5975">
        <v>-0.14802979999999999</v>
      </c>
      <c r="U5975">
        <v>0.52490230000000004</v>
      </c>
      <c r="V5975">
        <v>-0.1557789</v>
      </c>
      <c r="W5975">
        <v>0.347730599999999</v>
      </c>
      <c r="X5975">
        <v>0.92456280000000002</v>
      </c>
      <c r="Y5975">
        <v>-0.23054830000000001</v>
      </c>
      <c r="Z5975">
        <v>8.9859609999999902E-3</v>
      </c>
      <c r="AA5975">
        <v>0.97301939999999998</v>
      </c>
      <c r="AB5975">
        <v>23</v>
      </c>
      <c r="AC5975">
        <v>23.929600000000001</v>
      </c>
      <c r="AD5975">
        <v>-1.1108628381131</v>
      </c>
      <c r="AE5975">
        <v>3.9476499999999999</v>
      </c>
      <c r="AF5975">
        <v>-5.6165947859695899</v>
      </c>
      <c r="AG5975">
        <v>-1.1108628381131</v>
      </c>
      <c r="AH5975">
        <v>23.541522298536002</v>
      </c>
      <c r="AI5975">
        <v>92.627982318350604</v>
      </c>
      <c r="AJ5975">
        <v>103.41891409841</v>
      </c>
      <c r="AK5975">
        <v>24.227740822605501</v>
      </c>
      <c r="AL5975">
        <v>69.651428931194204</v>
      </c>
      <c r="AM5975">
        <v>99.563896517397495</v>
      </c>
      <c r="AN5975">
        <v>1.0000000035026999</v>
      </c>
    </row>
    <row r="5976" spans="1:40" x14ac:dyDescent="0.25">
      <c r="A5976" t="str">
        <f>"20190304164244315"</f>
        <v>20190304164244315</v>
      </c>
      <c r="B5976" t="str">
        <f>"1551688964307547"</f>
        <v>1551688964307547</v>
      </c>
      <c r="C5976" t="s">
        <v>40</v>
      </c>
      <c r="D5976">
        <v>4.0810399999999998</v>
      </c>
      <c r="E5976">
        <v>0.48168139999999998</v>
      </c>
      <c r="F5976" t="s">
        <v>42</v>
      </c>
      <c r="G5976">
        <v>-359.17829999999998</v>
      </c>
      <c r="H5976" s="1">
        <v>-9.4472679999999995E-7</v>
      </c>
      <c r="I5976">
        <v>21.908470000000001</v>
      </c>
      <c r="J5976">
        <v>-383.22190000000001</v>
      </c>
      <c r="K5976">
        <v>1.1108420000000001</v>
      </c>
      <c r="L5976">
        <v>17.9343</v>
      </c>
      <c r="M5976">
        <v>0.99749010000000005</v>
      </c>
      <c r="N5976">
        <v>-9.9805540000000009E-3</v>
      </c>
      <c r="O5976">
        <v>-7.0100109999999993E-2</v>
      </c>
      <c r="P5976">
        <v>0.93661159999999999</v>
      </c>
      <c r="Q5976">
        <v>0.33875080000000002</v>
      </c>
      <c r="R5976">
        <v>8.9481060000000001E-2</v>
      </c>
      <c r="S5976">
        <v>3.2059630000000001</v>
      </c>
      <c r="T5976">
        <v>-0.14736759999999999</v>
      </c>
      <c r="U5976">
        <v>0.5261536</v>
      </c>
      <c r="V5976">
        <v>-0.15539600000000001</v>
      </c>
      <c r="W5976">
        <v>0.34778429999999999</v>
      </c>
      <c r="X5976">
        <v>0.92460699999999996</v>
      </c>
      <c r="Y5976">
        <v>-0.23039599999999999</v>
      </c>
      <c r="Z5976">
        <v>8.9231640000000008E-3</v>
      </c>
      <c r="AA5976">
        <v>0.97305600000000003</v>
      </c>
      <c r="AB5976">
        <v>23</v>
      </c>
      <c r="AC5976">
        <v>24.043600000000001</v>
      </c>
      <c r="AD5976">
        <v>-1.1108429447268</v>
      </c>
      <c r="AE5976">
        <v>3.97417</v>
      </c>
      <c r="AF5976">
        <v>-5.6382202565278803</v>
      </c>
      <c r="AG5976">
        <v>-1.1108429447268</v>
      </c>
      <c r="AH5976">
        <v>23.656688840949101</v>
      </c>
      <c r="AI5976">
        <v>92.615305441136599</v>
      </c>
      <c r="AJ5976">
        <v>103.405505026878</v>
      </c>
      <c r="AK5976">
        <v>24.344659098587801</v>
      </c>
      <c r="AL5976">
        <v>69.648146619094504</v>
      </c>
      <c r="AM5976">
        <v>99.540373701928999</v>
      </c>
      <c r="AN5976">
        <v>0.99999997029574395</v>
      </c>
    </row>
    <row r="5977" spans="1:40" x14ac:dyDescent="0.25">
      <c r="A5977" t="str">
        <f>"20190304164244327"</f>
        <v>20190304164244327</v>
      </c>
      <c r="B5977" t="str">
        <f>"1551688964317307"</f>
        <v>1551688964317307</v>
      </c>
      <c r="C5977" t="s">
        <v>40</v>
      </c>
      <c r="D5977">
        <v>4.0623230000000001</v>
      </c>
      <c r="E5977">
        <v>0.48177249999999999</v>
      </c>
      <c r="F5977" t="s">
        <v>42</v>
      </c>
      <c r="G5977">
        <v>-359.13630000000001</v>
      </c>
      <c r="H5977" s="1">
        <v>-9.5938160000000004E-7</v>
      </c>
      <c r="I5977">
        <v>21.895790000000002</v>
      </c>
      <c r="J5977">
        <v>-383.10860000000002</v>
      </c>
      <c r="K5977">
        <v>1.110824</v>
      </c>
      <c r="L5977">
        <v>17.926880000000001</v>
      </c>
      <c r="M5977">
        <v>0.99752490000000005</v>
      </c>
      <c r="N5977">
        <v>-9.9601299999999993E-3</v>
      </c>
      <c r="O5977">
        <v>-6.9606299999999996E-2</v>
      </c>
      <c r="P5977">
        <v>0.93663640000000004</v>
      </c>
      <c r="Q5977">
        <v>0.33871180000000001</v>
      </c>
      <c r="R5977">
        <v>8.9368920000000004E-2</v>
      </c>
      <c r="S5977">
        <v>3.2061459999999999</v>
      </c>
      <c r="T5977">
        <v>-0.14786949999999999</v>
      </c>
      <c r="U5977">
        <v>0.52734380000000003</v>
      </c>
      <c r="V5977">
        <v>-0.1548158</v>
      </c>
      <c r="W5977">
        <v>0.34773330000000002</v>
      </c>
      <c r="X5977">
        <v>0.92472350000000003</v>
      </c>
      <c r="Y5977">
        <v>-0.2302555</v>
      </c>
      <c r="Z5977">
        <v>8.9286569999999996E-3</v>
      </c>
      <c r="AA5977">
        <v>0.97308919999999999</v>
      </c>
      <c r="AB5977">
        <v>23</v>
      </c>
      <c r="AC5977">
        <v>23.972300000000001</v>
      </c>
      <c r="AD5977">
        <v>-1.1108249593816</v>
      </c>
      <c r="AE5977">
        <v>3.9689099999999899</v>
      </c>
      <c r="AF5977">
        <v>-5.6162508907630198</v>
      </c>
      <c r="AG5977">
        <v>-1.1108249593816</v>
      </c>
      <c r="AH5977">
        <v>23.5885775440251</v>
      </c>
      <c r="AI5977">
        <v>92.622947693599201</v>
      </c>
      <c r="AJ5977">
        <v>103.39232053681999</v>
      </c>
      <c r="AK5977">
        <v>24.273384533452798</v>
      </c>
      <c r="AL5977">
        <v>69.651263131644697</v>
      </c>
      <c r="AM5977">
        <v>99.504228445368696</v>
      </c>
      <c r="AN5977">
        <v>0.99999996565538896</v>
      </c>
    </row>
    <row r="5978" spans="1:40" x14ac:dyDescent="0.25">
      <c r="A5978" t="str">
        <f>"20190304164244337"</f>
        <v>20190304164244337</v>
      </c>
      <c r="B5978" t="str">
        <f>"1551688964327067"</f>
        <v>1551688964327067</v>
      </c>
      <c r="C5978" t="s">
        <v>40</v>
      </c>
      <c r="D5978">
        <v>4.0993940000000002</v>
      </c>
      <c r="E5978">
        <v>0.48157749999999999</v>
      </c>
      <c r="F5978" t="s">
        <v>42</v>
      </c>
      <c r="G5978">
        <v>-359.14499999999998</v>
      </c>
      <c r="H5978" s="1">
        <v>-9.4785429999999999E-7</v>
      </c>
      <c r="I5978">
        <v>21.866430000000001</v>
      </c>
      <c r="J5978">
        <v>-382.99400000000003</v>
      </c>
      <c r="K5978">
        <v>1.1108100000000001</v>
      </c>
      <c r="L5978">
        <v>17.919429999999998</v>
      </c>
      <c r="M5978">
        <v>0.99755919999999998</v>
      </c>
      <c r="N5978">
        <v>-9.9406540000000002E-3</v>
      </c>
      <c r="O5978">
        <v>-6.9116150000000001E-2</v>
      </c>
      <c r="P5978">
        <v>0.93671819999999895</v>
      </c>
      <c r="Q5978">
        <v>0.3385068</v>
      </c>
      <c r="R5978">
        <v>8.9288859999999998E-2</v>
      </c>
      <c r="S5978">
        <v>3.2063899999999999</v>
      </c>
      <c r="T5978">
        <v>-0.1486306</v>
      </c>
      <c r="U5978">
        <v>0.52713009999999905</v>
      </c>
      <c r="V5978">
        <v>-0.154276</v>
      </c>
      <c r="W5978">
        <v>0.34751650000000001</v>
      </c>
      <c r="X5978">
        <v>0.92489520000000003</v>
      </c>
      <c r="Y5978">
        <v>-0.22970019999999999</v>
      </c>
      <c r="Z5978">
        <v>8.9373500000000002E-3</v>
      </c>
      <c r="AA5978">
        <v>0.97322039999999999</v>
      </c>
      <c r="AB5978">
        <v>23</v>
      </c>
      <c r="AC5978">
        <v>23.849</v>
      </c>
      <c r="AD5978">
        <v>-1.1108109478543</v>
      </c>
      <c r="AE5978">
        <v>3.9469999999999898</v>
      </c>
      <c r="AF5978">
        <v>-5.5742222849853</v>
      </c>
      <c r="AG5978">
        <v>-1.1108109478543</v>
      </c>
      <c r="AH5978">
        <v>23.4695898650508</v>
      </c>
      <c r="AI5978">
        <v>92.636539617391094</v>
      </c>
      <c r="AJ5978">
        <v>103.360668362948</v>
      </c>
      <c r="AK5978">
        <v>24.148033118206499</v>
      </c>
      <c r="AL5978">
        <v>69.664511100272904</v>
      </c>
      <c r="AM5978">
        <v>99.4699647965775</v>
      </c>
      <c r="AN5978">
        <v>0.99999996646564404</v>
      </c>
    </row>
    <row r="5979" spans="1:40" x14ac:dyDescent="0.25">
      <c r="A5979" t="str">
        <f>"20190304164244350"</f>
        <v>20190304164244350</v>
      </c>
      <c r="B5979" t="str">
        <f>"1551688964347563"</f>
        <v>1551688964347563</v>
      </c>
      <c r="C5979" t="s">
        <v>40</v>
      </c>
      <c r="D5979">
        <v>4.0903960000000001</v>
      </c>
      <c r="E5979">
        <v>0.48152679999999998</v>
      </c>
      <c r="F5979" t="s">
        <v>42</v>
      </c>
      <c r="G5979">
        <v>-358.96440000000001</v>
      </c>
      <c r="H5979" s="1">
        <v>-1.030755E-6</v>
      </c>
      <c r="I5979">
        <v>21.886810000000001</v>
      </c>
      <c r="J5979">
        <v>-382.87959999999998</v>
      </c>
      <c r="K5979">
        <v>1.1108</v>
      </c>
      <c r="L5979">
        <v>17.91208</v>
      </c>
      <c r="M5979">
        <v>0.99759260000000005</v>
      </c>
      <c r="N5979">
        <v>-9.9226760000000001E-3</v>
      </c>
      <c r="O5979">
        <v>-6.8633710000000001E-2</v>
      </c>
      <c r="P5979">
        <v>0.93681789999999998</v>
      </c>
      <c r="Q5979">
        <v>0.3382117</v>
      </c>
      <c r="R5979">
        <v>8.9360090000000003E-2</v>
      </c>
      <c r="S5979">
        <v>3.2057799999999999</v>
      </c>
      <c r="T5979">
        <v>-0.1481924</v>
      </c>
      <c r="U5979">
        <v>0.52929689999999996</v>
      </c>
      <c r="V5979">
        <v>-0.15389949999999999</v>
      </c>
      <c r="W5979">
        <v>0.34720879999999998</v>
      </c>
      <c r="X5979">
        <v>0.92507349999999999</v>
      </c>
      <c r="Y5979">
        <v>-0.22990160000000001</v>
      </c>
      <c r="Z5979">
        <v>8.901015E-3</v>
      </c>
      <c r="AA5979">
        <v>0.97317319999999996</v>
      </c>
      <c r="AB5979">
        <v>23</v>
      </c>
      <c r="AC5979">
        <v>23.915199999999899</v>
      </c>
      <c r="AD5979">
        <v>-1.110801030755</v>
      </c>
      <c r="AE5979">
        <v>3.9747300000000001</v>
      </c>
      <c r="AF5979">
        <v>-5.5950798585530999</v>
      </c>
      <c r="AG5979">
        <v>-1.110801030755</v>
      </c>
      <c r="AH5979">
        <v>23.536574571743198</v>
      </c>
      <c r="AI5979">
        <v>92.628899038664201</v>
      </c>
      <c r="AJ5979">
        <v>103.37207005014599</v>
      </c>
      <c r="AK5979">
        <v>24.2179507829367</v>
      </c>
      <c r="AL5979">
        <v>69.683312286644096</v>
      </c>
      <c r="AM5979">
        <v>99.445483035891996</v>
      </c>
      <c r="AN5979">
        <v>0.99999999364996905</v>
      </c>
    </row>
    <row r="5980" spans="1:40" x14ac:dyDescent="0.25">
      <c r="A5980" t="str">
        <f>"20190304164244364"</f>
        <v>20190304164244364</v>
      </c>
      <c r="B5980" t="str">
        <f>"1551688964357323"</f>
        <v>1551688964357323</v>
      </c>
      <c r="C5980" t="s">
        <v>40</v>
      </c>
      <c r="D5980">
        <v>4.1143609999999997</v>
      </c>
      <c r="E5980">
        <v>0.4815353</v>
      </c>
      <c r="F5980" t="s">
        <v>42</v>
      </c>
      <c r="G5980">
        <v>-358.70589999999999</v>
      </c>
      <c r="H5980" s="1">
        <v>-1.149532E-6</v>
      </c>
      <c r="I5980">
        <v>21.91658</v>
      </c>
      <c r="J5980">
        <v>-382.73719999999997</v>
      </c>
      <c r="K5980">
        <v>1.1107899999999999</v>
      </c>
      <c r="L5980">
        <v>17.902920000000002</v>
      </c>
      <c r="M5980">
        <v>0.99763360000000001</v>
      </c>
      <c r="N5980">
        <v>-9.9014210000000005E-3</v>
      </c>
      <c r="O5980">
        <v>-6.8037760000000003E-2</v>
      </c>
      <c r="P5980">
        <v>0.93681610000000004</v>
      </c>
      <c r="Q5980">
        <v>0.33825179999999999</v>
      </c>
      <c r="R5980">
        <v>8.9228870000000002E-2</v>
      </c>
      <c r="S5980">
        <v>3.2048649999999999</v>
      </c>
      <c r="T5980">
        <v>-0.14726629999999999</v>
      </c>
      <c r="U5980">
        <v>0.53091429999999995</v>
      </c>
      <c r="V5980">
        <v>-0.15321080000000001</v>
      </c>
      <c r="W5980">
        <v>0.3472325</v>
      </c>
      <c r="X5980">
        <v>0.92517890000000003</v>
      </c>
      <c r="Y5980">
        <v>-0.2298473</v>
      </c>
      <c r="Z5980">
        <v>8.8266200000000003E-3</v>
      </c>
      <c r="AA5980">
        <v>0.97318669999999996</v>
      </c>
      <c r="AB5980">
        <v>23</v>
      </c>
      <c r="AC5980">
        <v>24.031299999999899</v>
      </c>
      <c r="AD5980">
        <v>-1.110791149532</v>
      </c>
      <c r="AE5980">
        <v>4.01365999999999</v>
      </c>
      <c r="AF5980">
        <v>-5.6277767727460404</v>
      </c>
      <c r="AG5980">
        <v>-1.110791149532</v>
      </c>
      <c r="AH5980">
        <v>23.653349309922501</v>
      </c>
      <c r="AI5980">
        <v>92.615792468149706</v>
      </c>
      <c r="AJ5980">
        <v>103.383389721925</v>
      </c>
      <c r="AK5980">
        <v>24.338994678477398</v>
      </c>
      <c r="AL5980">
        <v>69.681863947683595</v>
      </c>
      <c r="AM5980">
        <v>99.402918988213102</v>
      </c>
      <c r="AN5980">
        <v>0.99999997764904902</v>
      </c>
    </row>
    <row r="5981" spans="1:40" x14ac:dyDescent="0.25">
      <c r="A5981" t="str">
        <f>"20190304164244380"</f>
        <v>20190304164244380</v>
      </c>
      <c r="B5981" t="str">
        <f>"1551688964367083"</f>
        <v>1551688964367083</v>
      </c>
      <c r="C5981" t="s">
        <v>40</v>
      </c>
      <c r="D5981">
        <v>4.0914229999999998</v>
      </c>
      <c r="E5981">
        <v>0.48155399999999998</v>
      </c>
      <c r="F5981" t="s">
        <v>42</v>
      </c>
      <c r="G5981">
        <v>-358.3587</v>
      </c>
      <c r="H5981" s="1">
        <v>-1.305858E-6</v>
      </c>
      <c r="I5981">
        <v>21.944189999999999</v>
      </c>
      <c r="J5981">
        <v>-382.56150000000002</v>
      </c>
      <c r="K5981">
        <v>1.1107849999999999</v>
      </c>
      <c r="L5981">
        <v>17.891749999999998</v>
      </c>
      <c r="M5981">
        <v>0.99768349999999995</v>
      </c>
      <c r="N5981">
        <v>-9.8777529999999995E-3</v>
      </c>
      <c r="O5981">
        <v>-6.7306909999999998E-2</v>
      </c>
      <c r="P5981">
        <v>0.93688269999999996</v>
      </c>
      <c r="Q5981">
        <v>0.33830500000000002</v>
      </c>
      <c r="R5981">
        <v>8.8321789999999997E-2</v>
      </c>
      <c r="S5981">
        <v>3.2044679999999999</v>
      </c>
      <c r="T5981">
        <v>-0.1460091</v>
      </c>
      <c r="U5981">
        <v>0.53121949999999996</v>
      </c>
      <c r="V5981">
        <v>-0.1516313</v>
      </c>
      <c r="W5981">
        <v>0.34726829999999997</v>
      </c>
      <c r="X5981">
        <v>0.92542559999999996</v>
      </c>
      <c r="Y5981">
        <v>-0.2292506</v>
      </c>
      <c r="Z5981">
        <v>8.7128320000000002E-3</v>
      </c>
      <c r="AA5981">
        <v>0.97332850000000004</v>
      </c>
      <c r="AB5981">
        <v>23</v>
      </c>
      <c r="AC5981">
        <v>24.2028</v>
      </c>
      <c r="AD5981">
        <v>-1.1107863058580001</v>
      </c>
      <c r="AE5981">
        <v>4.0524399999999998</v>
      </c>
      <c r="AF5981">
        <v>-5.6607461604193601</v>
      </c>
      <c r="AG5981">
        <v>-1.1107863058580001</v>
      </c>
      <c r="AH5981">
        <v>23.826322034723699</v>
      </c>
      <c r="AI5981">
        <v>92.597017791409201</v>
      </c>
      <c r="AJ5981">
        <v>103.36475889694201</v>
      </c>
      <c r="AK5981">
        <v>24.5147203739375</v>
      </c>
      <c r="AL5981">
        <v>69.679675684764604</v>
      </c>
      <c r="AM5981">
        <v>99.305248460947595</v>
      </c>
      <c r="AN5981">
        <v>0.99999993222996697</v>
      </c>
    </row>
    <row r="5982" spans="1:40" x14ac:dyDescent="0.25">
      <c r="A5982" t="str">
        <f>"20190304164244397"</f>
        <v>20190304164244397</v>
      </c>
      <c r="B5982" t="str">
        <f>"1551688964387579"</f>
        <v>1551688964387579</v>
      </c>
      <c r="C5982" t="s">
        <v>40</v>
      </c>
      <c r="D5982">
        <v>4.0550059999999997</v>
      </c>
      <c r="E5982">
        <v>0.48158129999999999</v>
      </c>
      <c r="F5982" t="s">
        <v>42</v>
      </c>
      <c r="G5982">
        <v>-357.99400000000003</v>
      </c>
      <c r="H5982" s="1">
        <v>-1.4651059999999999E-6</v>
      </c>
      <c r="I5982">
        <v>21.954709999999999</v>
      </c>
      <c r="J5982">
        <v>-382.39769999999999</v>
      </c>
      <c r="K5982">
        <v>1.1107899999999999</v>
      </c>
      <c r="L5982">
        <v>17.88147</v>
      </c>
      <c r="M5982">
        <v>0.99772959999999999</v>
      </c>
      <c r="N5982">
        <v>-9.8583100000000003E-3</v>
      </c>
      <c r="O5982">
        <v>-6.662419E-2</v>
      </c>
      <c r="P5982">
        <v>0.93682480000000001</v>
      </c>
      <c r="Q5982">
        <v>0.3384798</v>
      </c>
      <c r="R5982">
        <v>8.8266150000000002E-2</v>
      </c>
      <c r="S5982">
        <v>3.2044980000000001</v>
      </c>
      <c r="T5982">
        <v>-0.14488719999999999</v>
      </c>
      <c r="U5982">
        <v>0.52996829999999995</v>
      </c>
      <c r="V5982">
        <v>-0.15094109999999999</v>
      </c>
      <c r="W5982">
        <v>0.34742390000000001</v>
      </c>
      <c r="X5982">
        <v>0.92548010000000003</v>
      </c>
      <c r="Y5982">
        <v>-0.22821949999999999</v>
      </c>
      <c r="Z5982">
        <v>8.5965350000000006E-3</v>
      </c>
      <c r="AA5982">
        <v>0.97357179999999999</v>
      </c>
      <c r="AB5982">
        <v>23</v>
      </c>
      <c r="AC5982">
        <v>24.403699999999901</v>
      </c>
      <c r="AD5982">
        <v>-1.110791465106</v>
      </c>
      <c r="AE5982">
        <v>4.0732400000000002</v>
      </c>
      <c r="AF5982">
        <v>-5.6786980506185802</v>
      </c>
      <c r="AG5982">
        <v>-1.110791465106</v>
      </c>
      <c r="AH5982">
        <v>24.029647771838</v>
      </c>
      <c r="AI5982">
        <v>92.575813828560499</v>
      </c>
      <c r="AJ5982">
        <v>103.296228813879</v>
      </c>
      <c r="AK5982">
        <v>24.716501396185699</v>
      </c>
      <c r="AL5982">
        <v>69.670169927590294</v>
      </c>
      <c r="AM5982">
        <v>99.263092406893506</v>
      </c>
      <c r="AN5982">
        <v>0.99999999872821499</v>
      </c>
    </row>
    <row r="5983" spans="1:40" x14ac:dyDescent="0.25">
      <c r="A5983" t="str">
        <f>"20190304164244415"</f>
        <v>20190304164244415</v>
      </c>
      <c r="B5983" t="str">
        <f>"1551688964407098"</f>
        <v>1551688964407098</v>
      </c>
      <c r="C5983" t="s">
        <v>40</v>
      </c>
      <c r="D5983">
        <v>4.0536130000000004</v>
      </c>
      <c r="E5983">
        <v>0.48164089999999998</v>
      </c>
      <c r="F5983" t="s">
        <v>42</v>
      </c>
      <c r="G5983">
        <v>-357.66149999999999</v>
      </c>
      <c r="H5983" s="1">
        <v>-1.6129879999999999E-6</v>
      </c>
      <c r="I5983">
        <v>21.974440000000001</v>
      </c>
      <c r="J5983">
        <v>-382.21210000000002</v>
      </c>
      <c r="K5983">
        <v>1.1108020000000001</v>
      </c>
      <c r="L5983">
        <v>17.87</v>
      </c>
      <c r="M5983">
        <v>0.99778129999999998</v>
      </c>
      <c r="N5983">
        <v>-9.8354389999999996E-3</v>
      </c>
      <c r="O5983">
        <v>-6.5847639999999999E-2</v>
      </c>
      <c r="P5983">
        <v>0.93688260000000001</v>
      </c>
      <c r="Q5983">
        <v>0.33863480000000001</v>
      </c>
      <c r="R5983">
        <v>8.7050240000000001E-2</v>
      </c>
      <c r="S5983">
        <v>3.2043149999999998</v>
      </c>
      <c r="T5983">
        <v>-0.143891299999999</v>
      </c>
      <c r="U5983">
        <v>0.53021240000000003</v>
      </c>
      <c r="V5983">
        <v>-0.1490158</v>
      </c>
      <c r="W5983">
        <v>0.34755979999999997</v>
      </c>
      <c r="X5983">
        <v>0.92574100000000004</v>
      </c>
      <c r="Y5983">
        <v>-0.22754840000000001</v>
      </c>
      <c r="Z5983">
        <v>8.4947379999999999E-3</v>
      </c>
      <c r="AA5983">
        <v>0.97372970000000003</v>
      </c>
      <c r="AB5983">
        <v>23</v>
      </c>
      <c r="AC5983">
        <v>24.550599999999999</v>
      </c>
      <c r="AD5983">
        <v>-1.1108036129879999</v>
      </c>
      <c r="AE5983">
        <v>4.1044399999999897</v>
      </c>
      <c r="AF5983">
        <v>-5.7008551571862798</v>
      </c>
      <c r="AG5983">
        <v>-1.1108036129879999</v>
      </c>
      <c r="AH5983">
        <v>24.178879657691802</v>
      </c>
      <c r="AI5983">
        <v>92.560275040922804</v>
      </c>
      <c r="AJ5983">
        <v>103.266803419082</v>
      </c>
      <c r="AK5983">
        <v>24.866681638107401</v>
      </c>
      <c r="AL5983">
        <v>69.661865154328098</v>
      </c>
      <c r="AM5983">
        <v>99.144414390982107</v>
      </c>
      <c r="AN5983">
        <v>0.999999961153339</v>
      </c>
    </row>
    <row r="5984" spans="1:40" x14ac:dyDescent="0.25">
      <c r="A5984" t="str">
        <f>"20190304164244429"</f>
        <v>20190304164244429</v>
      </c>
      <c r="B5984" t="str">
        <f>"1551688964416859"</f>
        <v>1551688964416859</v>
      </c>
      <c r="C5984" t="s">
        <v>40</v>
      </c>
      <c r="D5984">
        <v>4.0445989999999998</v>
      </c>
      <c r="E5984">
        <v>0.48161470000000001</v>
      </c>
      <c r="F5984" t="s">
        <v>42</v>
      </c>
      <c r="G5984">
        <v>-357.34269999999998</v>
      </c>
      <c r="H5984" s="1">
        <v>-1.7448480000000001E-6</v>
      </c>
      <c r="I5984">
        <v>21.956050000000001</v>
      </c>
      <c r="J5984">
        <v>-382.07330000000002</v>
      </c>
      <c r="K5984">
        <v>1.110806</v>
      </c>
      <c r="L5984">
        <v>17.861450000000001</v>
      </c>
      <c r="M5984">
        <v>0.99781969999999998</v>
      </c>
      <c r="N5984">
        <v>-9.817503E-3</v>
      </c>
      <c r="O5984">
        <v>-6.5264829999999996E-2</v>
      </c>
      <c r="P5984">
        <v>0.93691440000000004</v>
      </c>
      <c r="Q5984">
        <v>0.33861550000000001</v>
      </c>
      <c r="R5984">
        <v>8.6780399999999994E-2</v>
      </c>
      <c r="S5984">
        <v>3.2049259999999999</v>
      </c>
      <c r="T5984">
        <v>-0.14314950000000001</v>
      </c>
      <c r="U5984">
        <v>0.52658079999999996</v>
      </c>
      <c r="V5984">
        <v>-0.14820999999999901</v>
      </c>
      <c r="W5984">
        <v>0.34752450000000001</v>
      </c>
      <c r="X5984">
        <v>0.92588369999999998</v>
      </c>
      <c r="Y5984">
        <v>-0.22588079999999999</v>
      </c>
      <c r="Z5984">
        <v>8.3862039999999995E-3</v>
      </c>
      <c r="AA5984">
        <v>0.97411879999999995</v>
      </c>
      <c r="AB5984">
        <v>23</v>
      </c>
      <c r="AC5984">
        <v>24.730599999999999</v>
      </c>
      <c r="AD5984">
        <v>-1.110807744848</v>
      </c>
      <c r="AE5984">
        <v>4.0945999999999998</v>
      </c>
      <c r="AF5984">
        <v>-5.6888147204764001</v>
      </c>
      <c r="AG5984">
        <v>-1.110807744848</v>
      </c>
      <c r="AH5984">
        <v>24.3627825733629</v>
      </c>
      <c r="AI5984">
        <v>92.542267308748904</v>
      </c>
      <c r="AJ5984">
        <v>103.14331235275399</v>
      </c>
      <c r="AK5984">
        <v>25.0427969980767</v>
      </c>
      <c r="AL5984">
        <v>69.664024126306799</v>
      </c>
      <c r="AM5984">
        <v>99.094416516452995</v>
      </c>
      <c r="AN5984">
        <v>1.0000000540629601</v>
      </c>
    </row>
    <row r="5985" spans="1:40" x14ac:dyDescent="0.25">
      <c r="A5985" t="str">
        <f>"20190304164244447"</f>
        <v>20190304164244447</v>
      </c>
      <c r="B5985" t="str">
        <f>"1551688964437355"</f>
        <v>1551688964437355</v>
      </c>
      <c r="C5985" t="s">
        <v>40</v>
      </c>
      <c r="D5985">
        <v>4.0674919999999997</v>
      </c>
      <c r="E5985">
        <v>0.48151300000000002</v>
      </c>
      <c r="F5985" t="s">
        <v>42</v>
      </c>
      <c r="G5985">
        <v>-357.20530000000002</v>
      </c>
      <c r="H5985" s="1">
        <v>-1.7997919999999999E-6</v>
      </c>
      <c r="I5985">
        <v>21.940919999999998</v>
      </c>
      <c r="J5985">
        <v>-381.88709999999998</v>
      </c>
      <c r="K5985">
        <v>1.110811</v>
      </c>
      <c r="L5985">
        <v>17.850159999999999</v>
      </c>
      <c r="M5985">
        <v>0.99787079999999995</v>
      </c>
      <c r="N5985">
        <v>-9.7931960000000005E-3</v>
      </c>
      <c r="O5985">
        <v>-6.448305E-2</v>
      </c>
      <c r="P5985">
        <v>0.93710760000000004</v>
      </c>
      <c r="Q5985">
        <v>0.33829199999999998</v>
      </c>
      <c r="R5985">
        <v>8.5953329999999994E-2</v>
      </c>
      <c r="S5985">
        <v>3.2050779999999999</v>
      </c>
      <c r="T5985">
        <v>-0.14316489999999901</v>
      </c>
      <c r="U5985">
        <v>0.52578740000000002</v>
      </c>
      <c r="V5985">
        <v>-0.14667289999999999</v>
      </c>
      <c r="W5985">
        <v>0.3471824</v>
      </c>
      <c r="X5985">
        <v>0.92625670000000004</v>
      </c>
      <c r="Y5985">
        <v>-0.22487689999999999</v>
      </c>
      <c r="Z5985">
        <v>8.3312769999999998E-3</v>
      </c>
      <c r="AA5985">
        <v>0.97435159999999998</v>
      </c>
      <c r="AB5985">
        <v>23</v>
      </c>
      <c r="AC5985">
        <v>24.6817999999999</v>
      </c>
      <c r="AD5985">
        <v>-1.1108127997920001</v>
      </c>
      <c r="AE5985">
        <v>4.0907600000000004</v>
      </c>
      <c r="AF5985">
        <v>-5.6627164147553604</v>
      </c>
      <c r="AG5985">
        <v>-1.1108127997920001</v>
      </c>
      <c r="AH5985">
        <v>24.318689920216599</v>
      </c>
      <c r="AI5985">
        <v>92.547247801702497</v>
      </c>
      <c r="AJ5985">
        <v>103.108001061249</v>
      </c>
      <c r="AK5985">
        <v>24.993978108851898</v>
      </c>
      <c r="AL5985">
        <v>69.684925714290102</v>
      </c>
      <c r="AM5985">
        <v>98.998084139712603</v>
      </c>
      <c r="AN5985">
        <v>1.00000001637953</v>
      </c>
    </row>
    <row r="5986" spans="1:40" x14ac:dyDescent="0.25">
      <c r="A5986" t="str">
        <f>"20190304164244460"</f>
        <v>20190304164244460</v>
      </c>
      <c r="B5986" t="str">
        <f>"1551688964456875"</f>
        <v>1551688964456875</v>
      </c>
      <c r="C5986" t="s">
        <v>40</v>
      </c>
      <c r="D5986">
        <v>4.0273300000000001</v>
      </c>
      <c r="E5986">
        <v>0.48152240000000002</v>
      </c>
      <c r="F5986" t="s">
        <v>42</v>
      </c>
      <c r="G5986">
        <v>-357.13979999999998</v>
      </c>
      <c r="H5986" s="1">
        <v>-1.8138319999999999E-6</v>
      </c>
      <c r="I5986">
        <v>21.888089999999998</v>
      </c>
      <c r="J5986">
        <v>-381.74549999999999</v>
      </c>
      <c r="K5986">
        <v>1.1108089999999999</v>
      </c>
      <c r="L5986">
        <v>17.841670000000001</v>
      </c>
      <c r="M5986">
        <v>0.99790919999999905</v>
      </c>
      <c r="N5986">
        <v>-9.7755169999999992E-3</v>
      </c>
      <c r="O5986">
        <v>-6.3889790000000002E-2</v>
      </c>
      <c r="P5986">
        <v>0.93713749999999996</v>
      </c>
      <c r="Q5986">
        <v>0.33825189999999999</v>
      </c>
      <c r="R5986">
        <v>8.5786979999999999E-2</v>
      </c>
      <c r="S5986">
        <v>3.2053219999999998</v>
      </c>
      <c r="T5986">
        <v>-0.14387429999999901</v>
      </c>
      <c r="U5986">
        <v>0.52301030000000004</v>
      </c>
      <c r="V5986">
        <v>-0.1459578</v>
      </c>
      <c r="W5986">
        <v>0.34712749999999998</v>
      </c>
      <c r="X5986">
        <v>0.92639020000000005</v>
      </c>
      <c r="Y5986">
        <v>-0.22346260000000001</v>
      </c>
      <c r="Z5986">
        <v>8.309884E-3</v>
      </c>
      <c r="AA5986">
        <v>0.97467709999999996</v>
      </c>
      <c r="AB5986">
        <v>23</v>
      </c>
      <c r="AC5986">
        <v>24.605699999999999</v>
      </c>
      <c r="AD5986">
        <v>-1.1108108138320001</v>
      </c>
      <c r="AE5986">
        <v>4.0464199999999897</v>
      </c>
      <c r="AF5986">
        <v>-5.5991694038870596</v>
      </c>
      <c r="AG5986">
        <v>-1.1108108138320001</v>
      </c>
      <c r="AH5986">
        <v>24.248769331136401</v>
      </c>
      <c r="AI5986">
        <v>92.555672921962497</v>
      </c>
      <c r="AJ5986">
        <v>103.002018679431</v>
      </c>
      <c r="AK5986">
        <v>24.9115919353263</v>
      </c>
      <c r="AL5986">
        <v>69.688279329372094</v>
      </c>
      <c r="AM5986">
        <v>98.953657278842897</v>
      </c>
      <c r="AN5986">
        <v>0.99999999164656495</v>
      </c>
    </row>
    <row r="5987" spans="1:40" x14ac:dyDescent="0.25">
      <c r="A5987" t="str">
        <f>"20190304164244473"</f>
        <v>20190304164244473</v>
      </c>
      <c r="B5987" t="str">
        <f>"1551688964467611"</f>
        <v>1551688964467611</v>
      </c>
      <c r="C5987" t="s">
        <v>40</v>
      </c>
      <c r="D5987">
        <v>4.0675280000000003</v>
      </c>
      <c r="E5987">
        <v>0.48150969999999998</v>
      </c>
      <c r="F5987" t="s">
        <v>42</v>
      </c>
      <c r="G5987">
        <v>-356.98649999999998</v>
      </c>
      <c r="H5987" s="1">
        <v>-1.8764679999999999E-6</v>
      </c>
      <c r="I5987">
        <v>21.876329999999999</v>
      </c>
      <c r="J5987">
        <v>-381.62189999999998</v>
      </c>
      <c r="K5987">
        <v>1.110803</v>
      </c>
      <c r="L5987">
        <v>17.834320000000002</v>
      </c>
      <c r="M5987">
        <v>0.997942</v>
      </c>
      <c r="N5987">
        <v>-9.762026E-3</v>
      </c>
      <c r="O5987">
        <v>-6.3375979999999998E-2</v>
      </c>
      <c r="P5987">
        <v>0.9372431</v>
      </c>
      <c r="Q5987">
        <v>0.33797509999999997</v>
      </c>
      <c r="R5987">
        <v>8.5723190000000005E-2</v>
      </c>
      <c r="S5987">
        <v>3.2053219999999998</v>
      </c>
      <c r="T5987">
        <v>-0.14380609999999999</v>
      </c>
      <c r="U5987">
        <v>0.52233890000000005</v>
      </c>
      <c r="V5987">
        <v>-0.1454194</v>
      </c>
      <c r="W5987">
        <v>0.34684169999999998</v>
      </c>
      <c r="X5987">
        <v>0.92658189999999996</v>
      </c>
      <c r="Y5987">
        <v>-0.2227633</v>
      </c>
      <c r="Z5987">
        <v>8.2686559999999992E-3</v>
      </c>
      <c r="AA5987">
        <v>0.97483750000000002</v>
      </c>
      <c r="AB5987">
        <v>23</v>
      </c>
      <c r="AC5987">
        <v>24.635400000000001</v>
      </c>
      <c r="AD5987">
        <v>-1.1108048764679901</v>
      </c>
      <c r="AE5987">
        <v>4.0420099999999897</v>
      </c>
      <c r="AF5987">
        <v>-5.5841950926348698</v>
      </c>
      <c r="AG5987">
        <v>-1.1108048764679901</v>
      </c>
      <c r="AH5987">
        <v>24.281620156954801</v>
      </c>
      <c r="AI5987">
        <v>92.552724518809299</v>
      </c>
      <c r="AJ5987">
        <v>102.95147018409401</v>
      </c>
      <c r="AK5987">
        <v>24.940212504163298</v>
      </c>
      <c r="AL5987">
        <v>69.705739241981505</v>
      </c>
      <c r="AM5987">
        <v>98.919345754677494</v>
      </c>
      <c r="AN5987">
        <v>0.99999999208142898</v>
      </c>
    </row>
    <row r="5988" spans="1:40" x14ac:dyDescent="0.25">
      <c r="A5988" t="str">
        <f>"20190304164244486"</f>
        <v>20190304164244486</v>
      </c>
      <c r="B5988" t="str">
        <f>"1551688964477371"</f>
        <v>1551688964477371</v>
      </c>
      <c r="C5988" t="s">
        <v>40</v>
      </c>
      <c r="D5988">
        <v>4.3276059999999896</v>
      </c>
      <c r="E5988">
        <v>0.48150969999999998</v>
      </c>
      <c r="F5988" t="s">
        <v>42</v>
      </c>
      <c r="G5988">
        <v>-357.02670000000001</v>
      </c>
      <c r="H5988" s="1">
        <v>-1.8495630000000001E-6</v>
      </c>
      <c r="I5988">
        <v>21.840150000000001</v>
      </c>
      <c r="J5988">
        <v>-381.49279999999999</v>
      </c>
      <c r="K5988">
        <v>1.1107940000000001</v>
      </c>
      <c r="L5988">
        <v>17.826689999999999</v>
      </c>
      <c r="M5988">
        <v>0.99797579999999997</v>
      </c>
      <c r="N5988">
        <v>-9.747693E-3</v>
      </c>
      <c r="O5988">
        <v>-6.2845129999999999E-2</v>
      </c>
      <c r="P5988">
        <v>0.93724689999999999</v>
      </c>
      <c r="Q5988">
        <v>0.3380109</v>
      </c>
      <c r="R5988">
        <v>8.5540569999999996E-2</v>
      </c>
      <c r="S5988">
        <v>3.2053219999999998</v>
      </c>
      <c r="T5988">
        <v>-0.1447639</v>
      </c>
      <c r="U5988">
        <v>0.52206419999999998</v>
      </c>
      <c r="V5988">
        <v>-0.14473920000000001</v>
      </c>
      <c r="W5988">
        <v>0.3468676</v>
      </c>
      <c r="X5988">
        <v>0.92667869999999997</v>
      </c>
      <c r="Y5988">
        <v>-0.22216050000000001</v>
      </c>
      <c r="Z5988">
        <v>8.2846469999999992E-3</v>
      </c>
      <c r="AA5988">
        <v>0.97497489999999998</v>
      </c>
      <c r="AB5988">
        <v>23</v>
      </c>
      <c r="AC5988">
        <v>24.466099999999901</v>
      </c>
      <c r="AD5988">
        <v>-1.1107958495629999</v>
      </c>
      <c r="AE5988">
        <v>4.0134600000000002</v>
      </c>
      <c r="AF5988">
        <v>-5.5320695386250502</v>
      </c>
      <c r="AG5988">
        <v>-1.1107958495629999</v>
      </c>
      <c r="AH5988">
        <v>24.117085073829301</v>
      </c>
      <c r="AI5988">
        <v>92.570427689079395</v>
      </c>
      <c r="AJ5988">
        <v>102.919230252497</v>
      </c>
      <c r="AK5988">
        <v>24.768355885240101</v>
      </c>
      <c r="AL5988">
        <v>69.704157023796498</v>
      </c>
      <c r="AM5988">
        <v>98.877378980301302</v>
      </c>
      <c r="AN5988">
        <v>0.99999999049004495</v>
      </c>
    </row>
    <row r="5989" spans="1:40" x14ac:dyDescent="0.25">
      <c r="A5989" t="str">
        <f>"20190304164244503"</f>
        <v>20190304164244503</v>
      </c>
      <c r="B5989" t="str">
        <f>"1551688964496891"</f>
        <v>1551688964496891</v>
      </c>
      <c r="C5989" t="s">
        <v>40</v>
      </c>
      <c r="D5989">
        <v>4.1369410000000002</v>
      </c>
      <c r="E5989">
        <v>0.48368630000000001</v>
      </c>
      <c r="F5989" t="s">
        <v>42</v>
      </c>
      <c r="G5989">
        <v>-356.87079999999997</v>
      </c>
      <c r="H5989" s="1">
        <v>-1.9147309999999999E-6</v>
      </c>
      <c r="I5989">
        <v>21.833729999999999</v>
      </c>
      <c r="J5989">
        <v>-381.3091</v>
      </c>
      <c r="K5989">
        <v>1.1107629999999999</v>
      </c>
      <c r="L5989">
        <v>17.815950000000001</v>
      </c>
      <c r="M5989">
        <v>0.99802579999999996</v>
      </c>
      <c r="N5989">
        <v>-9.7027829999999995E-3</v>
      </c>
      <c r="O5989">
        <v>-6.2052870000000003E-2</v>
      </c>
      <c r="P5989">
        <v>0.93740389999999996</v>
      </c>
      <c r="Q5989">
        <v>0.3374972</v>
      </c>
      <c r="R5989">
        <v>8.5848960000000002E-2</v>
      </c>
      <c r="S5989">
        <v>3.2054140000000002</v>
      </c>
      <c r="T5989">
        <v>-0.14460919999999999</v>
      </c>
      <c r="U5989">
        <v>0.52166749999999995</v>
      </c>
      <c r="V5989">
        <v>-0.1443045</v>
      </c>
      <c r="W5989">
        <v>0.34632059999999998</v>
      </c>
      <c r="X5989">
        <v>0.92695110000000003</v>
      </c>
      <c r="Y5989">
        <v>-0.22126689999999999</v>
      </c>
      <c r="Z5989">
        <v>8.2216400000000005E-3</v>
      </c>
      <c r="AA5989">
        <v>0.97517869999999995</v>
      </c>
      <c r="AB5989">
        <v>23</v>
      </c>
      <c r="AC5989">
        <v>24.438300000000002</v>
      </c>
      <c r="AD5989">
        <v>-1.1107649147309999</v>
      </c>
      <c r="AE5989">
        <v>4.0177799999999904</v>
      </c>
      <c r="AF5989">
        <v>-5.5154799746087999</v>
      </c>
      <c r="AG5989">
        <v>-1.1107649147309999</v>
      </c>
      <c r="AH5989">
        <v>24.093409300243</v>
      </c>
      <c r="AI5989">
        <v>92.573137711874296</v>
      </c>
      <c r="AJ5989">
        <v>102.89401795825999</v>
      </c>
      <c r="AK5989">
        <v>24.741598367024402</v>
      </c>
      <c r="AL5989">
        <v>69.737569977753296</v>
      </c>
      <c r="AM5989">
        <v>98.848580148141195</v>
      </c>
      <c r="AN5989">
        <v>1.0000000442479</v>
      </c>
    </row>
    <row r="5990" spans="1:40" x14ac:dyDescent="0.25">
      <c r="A5990" t="str">
        <f>"20190304164244515"</f>
        <v>20190304164244515</v>
      </c>
      <c r="B5990" t="str">
        <f>"1551688964506651"</f>
        <v>1551688964506651</v>
      </c>
      <c r="C5990" t="s">
        <v>40</v>
      </c>
      <c r="D5990">
        <v>4.0047309999999996</v>
      </c>
      <c r="E5990">
        <v>0.56560109999999997</v>
      </c>
      <c r="F5990" t="s">
        <v>42</v>
      </c>
      <c r="G5990">
        <v>-357.07580000000002</v>
      </c>
      <c r="H5990" s="1">
        <v>-1.7731379999999901E-6</v>
      </c>
      <c r="I5990">
        <v>21.632079999999998</v>
      </c>
      <c r="J5990">
        <v>-381.18239999999997</v>
      </c>
      <c r="K5990">
        <v>1.110671</v>
      </c>
      <c r="L5990">
        <v>17.808499999999999</v>
      </c>
      <c r="M5990">
        <v>0.99808260000000004</v>
      </c>
      <c r="N5990">
        <v>-9.5191359999999992E-3</v>
      </c>
      <c r="O5990">
        <v>-6.1162050000000003E-2</v>
      </c>
      <c r="P5990">
        <v>0.93737729999999997</v>
      </c>
      <c r="Q5990">
        <v>0.33732839999999997</v>
      </c>
      <c r="R5990">
        <v>8.679713E-2</v>
      </c>
      <c r="S5990">
        <v>3.207001</v>
      </c>
      <c r="T5990">
        <v>-0.14699760000000001</v>
      </c>
      <c r="U5990">
        <v>0.50503540000000002</v>
      </c>
      <c r="V5990">
        <v>-0.1443876</v>
      </c>
      <c r="W5990">
        <v>0.34599449999999998</v>
      </c>
      <c r="X5990">
        <v>0.92705990000000005</v>
      </c>
      <c r="Y5990">
        <v>-0.21538350000000001</v>
      </c>
      <c r="Z5990">
        <v>8.1444099999999995E-3</v>
      </c>
      <c r="AA5990">
        <v>0.97649560000000002</v>
      </c>
      <c r="AB5990">
        <v>23</v>
      </c>
      <c r="AC5990">
        <v>24.106599999999901</v>
      </c>
      <c r="AD5990">
        <v>-1.1106727731379999</v>
      </c>
      <c r="AE5990">
        <v>3.8235800000000002</v>
      </c>
      <c r="AF5990">
        <v>-5.2799636709569304</v>
      </c>
      <c r="AG5990">
        <v>-1.1106727731379999</v>
      </c>
      <c r="AH5990">
        <v>23.778359177349301</v>
      </c>
      <c r="AI5990">
        <v>92.610809024480602</v>
      </c>
      <c r="AJ5990">
        <v>102.51935593023801</v>
      </c>
      <c r="AK5990">
        <v>24.382821320401899</v>
      </c>
      <c r="AL5990">
        <v>69.757484767340003</v>
      </c>
      <c r="AM5990">
        <v>98.8525724343761</v>
      </c>
      <c r="AN5990">
        <v>1.000000015626</v>
      </c>
    </row>
    <row r="5991" spans="1:40" x14ac:dyDescent="0.25">
      <c r="A5991" t="str">
        <f>"20190304164244528"</f>
        <v>20190304164244528</v>
      </c>
      <c r="B5991" t="str">
        <f>"1551688964517387"</f>
        <v>1551688964517387</v>
      </c>
      <c r="C5991" t="s">
        <v>40</v>
      </c>
      <c r="D5991">
        <v>4.0267080000000002</v>
      </c>
      <c r="E5991">
        <v>0.56841790000000003</v>
      </c>
      <c r="F5991" t="s">
        <v>42</v>
      </c>
      <c r="G5991">
        <v>-359.18049999999999</v>
      </c>
      <c r="H5991" s="1">
        <v>-1.0008039999999999E-6</v>
      </c>
      <c r="I5991">
        <v>16.85061</v>
      </c>
      <c r="J5991">
        <v>-381.0616</v>
      </c>
      <c r="K5991">
        <v>1.1106499999999999</v>
      </c>
      <c r="L5991">
        <v>17.801479999999898</v>
      </c>
      <c r="M5991">
        <v>0.99812449999999997</v>
      </c>
      <c r="N5991">
        <v>-9.4749459999999997E-3</v>
      </c>
      <c r="O5991">
        <v>-6.0480079999999999E-2</v>
      </c>
      <c r="P5991">
        <v>0.93740950000000001</v>
      </c>
      <c r="Q5991">
        <v>0.33701179999999997</v>
      </c>
      <c r="R5991">
        <v>8.7673829999999994E-2</v>
      </c>
      <c r="S5991">
        <v>3.2731020000000002</v>
      </c>
      <c r="T5991">
        <v>-0.16522870000000001</v>
      </c>
      <c r="U5991">
        <v>-0.14248659999999999</v>
      </c>
      <c r="V5991">
        <v>-0.14463429999999999</v>
      </c>
      <c r="W5991">
        <v>0.34563519999999998</v>
      </c>
      <c r="X5991">
        <v>0.92715539999999996</v>
      </c>
      <c r="Y5991">
        <v>-1.6937629999999999E-2</v>
      </c>
      <c r="Z5991">
        <v>2.9817350000000001E-3</v>
      </c>
      <c r="AA5991">
        <v>0.99985210000000002</v>
      </c>
      <c r="AB5991">
        <v>23</v>
      </c>
      <c r="AC5991">
        <v>21.8811</v>
      </c>
      <c r="AD5991">
        <v>-1.11065100080399</v>
      </c>
      <c r="AE5991">
        <v>-0.95086999999999799</v>
      </c>
      <c r="AF5991">
        <v>-0.37334074207040202</v>
      </c>
      <c r="AG5991">
        <v>-1.11065100080399</v>
      </c>
      <c r="AH5991">
        <v>21.842383117933998</v>
      </c>
      <c r="AI5991">
        <v>92.910469298461095</v>
      </c>
      <c r="AJ5991">
        <v>90.979232254792294</v>
      </c>
      <c r="AK5991">
        <v>21.873788634479599</v>
      </c>
      <c r="AL5991">
        <v>69.779423477703901</v>
      </c>
      <c r="AM5991">
        <v>98.8665588606424</v>
      </c>
      <c r="AN5991">
        <v>0.99999995398234298</v>
      </c>
    </row>
    <row r="5992" spans="1:40" x14ac:dyDescent="0.25">
      <c r="A5992" t="str">
        <f>"20190304164244539"</f>
        <v>20190304164244539</v>
      </c>
      <c r="B5992" t="str">
        <f>"1551688964527147"</f>
        <v>1551688964527147</v>
      </c>
      <c r="C5992" t="s">
        <v>40</v>
      </c>
      <c r="D5992">
        <v>3.9960360000000001</v>
      </c>
      <c r="E5992">
        <v>0.57130800000000004</v>
      </c>
      <c r="F5992" t="s">
        <v>61</v>
      </c>
      <c r="G5992">
        <v>-361.23110000000003</v>
      </c>
      <c r="H5992" s="1">
        <v>-4.640076E-6</v>
      </c>
      <c r="I5992">
        <v>16.82846</v>
      </c>
      <c r="J5992">
        <v>-380.93689999999998</v>
      </c>
      <c r="K5992">
        <v>1.1107</v>
      </c>
      <c r="L5992">
        <v>17.794309999999999</v>
      </c>
      <c r="M5992">
        <v>0.99815489999999996</v>
      </c>
      <c r="N5992">
        <v>-9.5731429999999992E-3</v>
      </c>
      <c r="O5992">
        <v>-5.9960430000000002E-2</v>
      </c>
      <c r="P5992">
        <v>0.93745469999999997</v>
      </c>
      <c r="Q5992">
        <v>0.33668399999999998</v>
      </c>
      <c r="R5992">
        <v>8.8446839999999999E-2</v>
      </c>
      <c r="S5992">
        <v>3.2814329999999998</v>
      </c>
      <c r="T5992">
        <v>-0.1837847</v>
      </c>
      <c r="U5992">
        <v>-0.16101070000000001</v>
      </c>
      <c r="V5992">
        <v>-0.1449676</v>
      </c>
      <c r="W5992">
        <v>0.34538059999999998</v>
      </c>
      <c r="X5992">
        <v>0.92719830000000003</v>
      </c>
      <c r="Y5992">
        <v>-1.088686E-2</v>
      </c>
      <c r="Z5992">
        <v>3.1337140000000001E-3</v>
      </c>
      <c r="AA5992">
        <v>0.99993580000000004</v>
      </c>
      <c r="AB5992">
        <v>23</v>
      </c>
      <c r="AC5992">
        <v>19.705799999999901</v>
      </c>
      <c r="AD5992">
        <v>-1.1107046400759999</v>
      </c>
      <c r="AE5992">
        <v>-0.96584999999999899</v>
      </c>
      <c r="AF5992">
        <v>-0.21682310408225799</v>
      </c>
      <c r="AG5992">
        <v>-1.1107046400759999</v>
      </c>
      <c r="AH5992">
        <v>19.665928869419201</v>
      </c>
      <c r="AI5992">
        <v>93.232356677301397</v>
      </c>
      <c r="AJ5992">
        <v>90.631678549838895</v>
      </c>
      <c r="AK5992">
        <v>19.698462766241601</v>
      </c>
      <c r="AL5992">
        <v>69.7949698112958</v>
      </c>
      <c r="AM5992">
        <v>98.886260888929698</v>
      </c>
      <c r="AN5992">
        <v>1.0000000257145001</v>
      </c>
    </row>
    <row r="5993" spans="1:40" x14ac:dyDescent="0.25">
      <c r="A5993" t="str">
        <f>"20190304164244552"</f>
        <v>20190304164244552</v>
      </c>
      <c r="B5993" t="str">
        <f>"1551688964546667"</f>
        <v>1551688964546667</v>
      </c>
      <c r="C5993" t="s">
        <v>40</v>
      </c>
      <c r="D5993">
        <v>3.9475639999999999</v>
      </c>
      <c r="E5993">
        <v>0.57411350000000005</v>
      </c>
      <c r="F5993" t="s">
        <v>61</v>
      </c>
      <c r="G5993">
        <v>-360.9864</v>
      </c>
      <c r="H5993" s="1">
        <v>-4.7811400000000001E-6</v>
      </c>
      <c r="I5993">
        <v>16.685310000000001</v>
      </c>
      <c r="J5993">
        <v>-380.80470000000003</v>
      </c>
      <c r="K5993">
        <v>1.110803</v>
      </c>
      <c r="L5993">
        <v>17.786770000000001</v>
      </c>
      <c r="M5993">
        <v>0.99816439999999995</v>
      </c>
      <c r="N5993">
        <v>-9.7674509999999999E-3</v>
      </c>
      <c r="O5993">
        <v>-5.9772239999999997E-2</v>
      </c>
      <c r="P5993">
        <v>0.93762250000000003</v>
      </c>
      <c r="Q5993">
        <v>0.33613739999999998</v>
      </c>
      <c r="R5993">
        <v>8.8745749999999998E-2</v>
      </c>
      <c r="S5993">
        <v>3.28302</v>
      </c>
      <c r="T5993">
        <v>-0.1827761</v>
      </c>
      <c r="U5993">
        <v>-0.18249509999999999</v>
      </c>
      <c r="V5993">
        <v>-0.14518039999999999</v>
      </c>
      <c r="W5993">
        <v>0.34498129999999999</v>
      </c>
      <c r="X5993">
        <v>0.92731359999999996</v>
      </c>
      <c r="Y5993">
        <v>-4.2100760000000001E-3</v>
      </c>
      <c r="Z5993">
        <v>2.873802E-3</v>
      </c>
      <c r="AA5993">
        <v>0.99998699999999996</v>
      </c>
      <c r="AB5993">
        <v>23</v>
      </c>
      <c r="AC5993">
        <v>19.818300000000001</v>
      </c>
      <c r="AD5993">
        <v>-1.1108077811399999</v>
      </c>
      <c r="AE5993">
        <v>-1.1014599999999899</v>
      </c>
      <c r="AF5993">
        <v>-8.4884225862752405E-2</v>
      </c>
      <c r="AG5993">
        <v>-1.1108077811399999</v>
      </c>
      <c r="AH5993">
        <v>19.786732444999</v>
      </c>
      <c r="AI5993">
        <v>93.213126759564105</v>
      </c>
      <c r="AJ5993">
        <v>90.245794906635496</v>
      </c>
      <c r="AK5993">
        <v>19.818069535361399</v>
      </c>
      <c r="AL5993">
        <v>69.819345310600895</v>
      </c>
      <c r="AM5993">
        <v>98.898007744751695</v>
      </c>
      <c r="AN5993">
        <v>0.99999997931940399</v>
      </c>
    </row>
    <row r="5994" spans="1:40" x14ac:dyDescent="0.25">
      <c r="A5994" t="str">
        <f>"20190304164244571"</f>
        <v>20190304164244571</v>
      </c>
      <c r="B5994" t="str">
        <f>"1551688964557403"</f>
        <v>1551688964557403</v>
      </c>
      <c r="C5994" t="s">
        <v>40</v>
      </c>
      <c r="D5994">
        <v>3.9149530000000001</v>
      </c>
      <c r="E5994">
        <v>0.57437139999999998</v>
      </c>
      <c r="F5994" t="s">
        <v>61</v>
      </c>
      <c r="G5994">
        <v>-360.25940000000003</v>
      </c>
      <c r="H5994" s="1">
        <v>-5.1570489999999998E-6</v>
      </c>
      <c r="I5994">
        <v>16.503609999999998</v>
      </c>
      <c r="J5994">
        <v>-380.61669999999998</v>
      </c>
      <c r="K5994">
        <v>1.1108990000000001</v>
      </c>
      <c r="L5994">
        <v>17.776250000000001</v>
      </c>
      <c r="M5994">
        <v>0.99816850000000001</v>
      </c>
      <c r="N5994">
        <v>-9.9771459999999992E-3</v>
      </c>
      <c r="O5994">
        <v>-5.9670300000000003E-2</v>
      </c>
      <c r="P5994">
        <v>0.93795059999999997</v>
      </c>
      <c r="Q5994">
        <v>0.33507239999999999</v>
      </c>
      <c r="R5994">
        <v>8.9305040000000002E-2</v>
      </c>
      <c r="S5994">
        <v>3.2826230000000001</v>
      </c>
      <c r="T5994">
        <v>-0.17747889999999999</v>
      </c>
      <c r="U5994">
        <v>-0.20501710000000001</v>
      </c>
      <c r="V5994">
        <v>-0.14575199999999999</v>
      </c>
      <c r="W5994">
        <v>0.34407539999999998</v>
      </c>
      <c r="X5994">
        <v>0.92756050000000001</v>
      </c>
      <c r="Y5994">
        <v>2.7184000000000002E-3</v>
      </c>
      <c r="Z5994">
        <v>2.535814E-3</v>
      </c>
      <c r="AA5994">
        <v>0.99999309999999997</v>
      </c>
      <c r="AB5994">
        <v>23</v>
      </c>
      <c r="AC5994">
        <v>20.357299999999899</v>
      </c>
      <c r="AD5994">
        <v>-1.1109041570489999</v>
      </c>
      <c r="AE5994">
        <v>-1.27263999999999</v>
      </c>
      <c r="AF5994">
        <v>5.5421318328103299E-2</v>
      </c>
      <c r="AG5994">
        <v>-1.1109041570489999</v>
      </c>
      <c r="AH5994">
        <v>20.336640019158502</v>
      </c>
      <c r="AI5994">
        <v>93.126705639508003</v>
      </c>
      <c r="AJ5994">
        <v>89.843858190370995</v>
      </c>
      <c r="AK5994">
        <v>20.367034807195498</v>
      </c>
      <c r="AL5994">
        <v>69.874635110839705</v>
      </c>
      <c r="AM5994">
        <v>98.930137555738298</v>
      </c>
      <c r="AN5994">
        <v>1.0000000037747001</v>
      </c>
    </row>
    <row r="5995" spans="1:40" x14ac:dyDescent="0.25">
      <c r="A5995" t="str">
        <f>"20190304164244592"</f>
        <v>20190304164244592</v>
      </c>
      <c r="B5995" t="str">
        <f>"1551688964586683"</f>
        <v>1551688964586683</v>
      </c>
      <c r="C5995" t="s">
        <v>40</v>
      </c>
      <c r="D5995">
        <v>3.9607749999999999</v>
      </c>
      <c r="E5995">
        <v>0.57470949999999998</v>
      </c>
      <c r="F5995" t="s">
        <v>61</v>
      </c>
      <c r="G5995">
        <v>-360.47059999999999</v>
      </c>
      <c r="H5995" s="1">
        <v>-5.0555759999999997E-6</v>
      </c>
      <c r="I5995">
        <v>16.512829999999902</v>
      </c>
      <c r="J5995">
        <v>-380.39429999999999</v>
      </c>
      <c r="K5995">
        <v>1.1108389999999999</v>
      </c>
      <c r="L5995">
        <v>17.763919999999999</v>
      </c>
      <c r="M5995">
        <v>0.99818150000000005</v>
      </c>
      <c r="N5995">
        <v>-1.000177E-2</v>
      </c>
      <c r="O5995">
        <v>-5.9445629999999999E-2</v>
      </c>
      <c r="P5995">
        <v>0.93819189999999997</v>
      </c>
      <c r="Q5995">
        <v>0.33428479999999999</v>
      </c>
      <c r="R5995">
        <v>8.9720339999999996E-2</v>
      </c>
      <c r="S5995">
        <v>3.2827760000000001</v>
      </c>
      <c r="T5995">
        <v>-0.18101999999999999</v>
      </c>
      <c r="U5995">
        <v>-0.20587159999999999</v>
      </c>
      <c r="V5995">
        <v>-0.14597499999999999</v>
      </c>
      <c r="W5995">
        <v>0.34331060000000002</v>
      </c>
      <c r="X5995">
        <v>0.92780879999999999</v>
      </c>
      <c r="Y5995">
        <v>3.2013559999999998E-3</v>
      </c>
      <c r="Z5995">
        <v>2.5709909999999999E-3</v>
      </c>
      <c r="AA5995">
        <v>0.99999159999999998</v>
      </c>
      <c r="AB5995">
        <v>23</v>
      </c>
      <c r="AC5995">
        <v>19.9237</v>
      </c>
      <c r="AD5995">
        <v>-1.110844055576</v>
      </c>
      <c r="AE5995">
        <v>-1.25109</v>
      </c>
      <c r="AF5995">
        <v>6.4242293789080293E-2</v>
      </c>
      <c r="AG5995">
        <v>-1.110844055576</v>
      </c>
      <c r="AH5995">
        <v>19.901215723420201</v>
      </c>
      <c r="AI5995">
        <v>93.194798231453902</v>
      </c>
      <c r="AJ5995">
        <v>89.815046499346806</v>
      </c>
      <c r="AK5995">
        <v>19.932297631187101</v>
      </c>
      <c r="AL5995">
        <v>69.921297820490295</v>
      </c>
      <c r="AM5995">
        <v>98.941225131504495</v>
      </c>
      <c r="AN5995">
        <v>1.0000000190273901</v>
      </c>
    </row>
    <row r="5996" spans="1:40" x14ac:dyDescent="0.25">
      <c r="A5996" t="str">
        <f>"20190304164244607"</f>
        <v>20190304164244607</v>
      </c>
      <c r="B5996" t="str">
        <f>"1551688964597419"</f>
        <v>1551688964597419</v>
      </c>
      <c r="C5996" t="s">
        <v>40</v>
      </c>
      <c r="D5996">
        <v>3.8802110000000001</v>
      </c>
      <c r="E5996">
        <v>0.57483409999999902</v>
      </c>
      <c r="F5996" t="s">
        <v>42</v>
      </c>
      <c r="G5996">
        <v>-359.27409999999998</v>
      </c>
      <c r="H5996" s="1">
        <v>-1.0831329999999999E-6</v>
      </c>
      <c r="I5996">
        <v>16.421479999999999</v>
      </c>
      <c r="J5996">
        <v>-380.24489999999997</v>
      </c>
      <c r="K5996">
        <v>1.1107279999999999</v>
      </c>
      <c r="L5996">
        <v>17.75562</v>
      </c>
      <c r="M5996">
        <v>0.99820379999999997</v>
      </c>
      <c r="N5996">
        <v>-9.9395279999999996E-3</v>
      </c>
      <c r="O5996">
        <v>-5.9080390000000003E-2</v>
      </c>
      <c r="P5996">
        <v>0.93816600000000006</v>
      </c>
      <c r="Q5996">
        <v>0.33428449999999998</v>
      </c>
      <c r="R5996">
        <v>8.9991970000000004E-2</v>
      </c>
      <c r="S5996">
        <v>3.2789920000000001</v>
      </c>
      <c r="T5996">
        <v>-0.17246220000000001</v>
      </c>
      <c r="U5996">
        <v>-0.20840449999999999</v>
      </c>
      <c r="V5996">
        <v>-0.14585229999999999</v>
      </c>
      <c r="W5996">
        <v>0.34327469999999999</v>
      </c>
      <c r="X5996">
        <v>0.92784140000000004</v>
      </c>
      <c r="Y5996">
        <v>4.4005299999999997E-3</v>
      </c>
      <c r="Z5996">
        <v>2.375023E-3</v>
      </c>
      <c r="AA5996">
        <v>0.99998750000000003</v>
      </c>
      <c r="AB5996">
        <v>23</v>
      </c>
      <c r="AC5996">
        <v>20.970800000000001</v>
      </c>
      <c r="AD5996">
        <v>-1.1107290831329999</v>
      </c>
      <c r="AE5996">
        <v>-1.3341400000000001</v>
      </c>
      <c r="AF5996">
        <v>9.2526630516955394E-2</v>
      </c>
      <c r="AG5996">
        <v>-1.1107290831329999</v>
      </c>
      <c r="AH5996">
        <v>20.954443098974401</v>
      </c>
      <c r="AI5996">
        <v>93.034199773879905</v>
      </c>
      <c r="AJ5996">
        <v>89.747005876425305</v>
      </c>
      <c r="AK5996">
        <v>20.984064569611601</v>
      </c>
      <c r="AL5996">
        <v>69.923488232946099</v>
      </c>
      <c r="AM5996">
        <v>98.933521984860803</v>
      </c>
      <c r="AN5996">
        <v>1.0000000383146599</v>
      </c>
    </row>
    <row r="5997" spans="1:40" x14ac:dyDescent="0.25">
      <c r="A5997" t="str">
        <f>"20190304164244618"</f>
        <v>20190304164244618</v>
      </c>
      <c r="B5997" t="str">
        <f>"1551688964607179"</f>
        <v>1551688964607179</v>
      </c>
      <c r="C5997" t="s">
        <v>40</v>
      </c>
      <c r="D5997">
        <v>3.9381840000000001</v>
      </c>
      <c r="E5997">
        <v>0.57487250000000001</v>
      </c>
      <c r="F5997" t="s">
        <v>42</v>
      </c>
      <c r="G5997">
        <v>-358.10129999999998</v>
      </c>
      <c r="H5997" s="1">
        <v>-1.5035920000000001E-6</v>
      </c>
      <c r="I5997">
        <v>16.341239999999999</v>
      </c>
      <c r="J5997">
        <v>-380.11900000000003</v>
      </c>
      <c r="K5997">
        <v>1.1106130000000001</v>
      </c>
      <c r="L5997">
        <v>17.748660000000001</v>
      </c>
      <c r="M5997">
        <v>0.99823119999999999</v>
      </c>
      <c r="N5997">
        <v>-9.8839960000000008E-3</v>
      </c>
      <c r="O5997">
        <v>-5.8624740000000002E-2</v>
      </c>
      <c r="P5997">
        <v>0.93808950000000002</v>
      </c>
      <c r="Q5997">
        <v>0.3344473</v>
      </c>
      <c r="R5997">
        <v>9.0186370000000002E-2</v>
      </c>
      <c r="S5997">
        <v>3.276367</v>
      </c>
      <c r="T5997">
        <v>-0.1643435</v>
      </c>
      <c r="U5997">
        <v>-0.209259</v>
      </c>
      <c r="V5997">
        <v>-0.14555290000000001</v>
      </c>
      <c r="W5997">
        <v>0.34341310000000003</v>
      </c>
      <c r="X5997">
        <v>0.92783709999999997</v>
      </c>
      <c r="Y5997">
        <v>5.1607959999999996E-3</v>
      </c>
      <c r="Z5997">
        <v>2.1992940000000001E-3</v>
      </c>
      <c r="AA5997">
        <v>0.99998430000000005</v>
      </c>
      <c r="AB5997">
        <v>23</v>
      </c>
      <c r="AC5997">
        <v>22.017700000000001</v>
      </c>
      <c r="AD5997">
        <v>-1.1106145035920001</v>
      </c>
      <c r="AE5997">
        <v>-1.4074199999999999</v>
      </c>
      <c r="AF5997">
        <v>0.11386565006872899</v>
      </c>
      <c r="AG5997">
        <v>-1.1106145035920001</v>
      </c>
      <c r="AH5997">
        <v>22.006576179359801</v>
      </c>
      <c r="AI5997">
        <v>92.889078793171706</v>
      </c>
      <c r="AJ5997">
        <v>89.703544844600401</v>
      </c>
      <c r="AK5997">
        <v>22.0348774695894</v>
      </c>
      <c r="AL5997">
        <v>69.915043271164507</v>
      </c>
      <c r="AM5997">
        <v>98.9155191287268</v>
      </c>
      <c r="AN5997">
        <v>0.99999994404321302</v>
      </c>
    </row>
    <row r="5998" spans="1:40" x14ac:dyDescent="0.25">
      <c r="A5998" t="str">
        <f>"20190304164244636"</f>
        <v>20190304164244636</v>
      </c>
      <c r="B5998" t="str">
        <f>"1551688964626714"</f>
        <v>1551688964626714</v>
      </c>
      <c r="C5998" t="s">
        <v>40</v>
      </c>
      <c r="D5998">
        <v>3.9461819999999999</v>
      </c>
      <c r="E5998">
        <v>0.57506999999999997</v>
      </c>
      <c r="F5998" t="s">
        <v>42</v>
      </c>
      <c r="G5998">
        <v>-357.58210000000003</v>
      </c>
      <c r="H5998" s="1">
        <v>-1.688178E-6</v>
      </c>
      <c r="I5998">
        <v>16.31156</v>
      </c>
      <c r="J5998">
        <v>-379.93630000000002</v>
      </c>
      <c r="K5998">
        <v>1.110495</v>
      </c>
      <c r="L5998">
        <v>17.738489999999999</v>
      </c>
      <c r="M5998">
        <v>0.99827639999999995</v>
      </c>
      <c r="N5998">
        <v>-9.8557550000000008E-3</v>
      </c>
      <c r="O5998">
        <v>-5.7855629999999998E-2</v>
      </c>
      <c r="P5998">
        <v>0.93790479999999998</v>
      </c>
      <c r="Q5998">
        <v>0.33487939999999999</v>
      </c>
      <c r="R5998">
        <v>9.0503130000000001E-2</v>
      </c>
      <c r="S5998">
        <v>3.2756349999999999</v>
      </c>
      <c r="T5998">
        <v>-0.16142229999999999</v>
      </c>
      <c r="U5998">
        <v>-0.2088623</v>
      </c>
      <c r="V5998">
        <v>-0.14506260000000001</v>
      </c>
      <c r="W5998">
        <v>0.3438524</v>
      </c>
      <c r="X5998">
        <v>0.9277512</v>
      </c>
      <c r="Y5998">
        <v>5.8215849999999998E-3</v>
      </c>
      <c r="Z5998">
        <v>2.1021680000000002E-3</v>
      </c>
      <c r="AA5998">
        <v>0.99998089999999995</v>
      </c>
      <c r="AB5998">
        <v>23</v>
      </c>
      <c r="AC5998">
        <v>22.354199999999899</v>
      </c>
      <c r="AD5998">
        <v>-1.1104966881780001</v>
      </c>
      <c r="AE5998">
        <v>-1.42692999999999</v>
      </c>
      <c r="AF5998">
        <v>0.13083899895319001</v>
      </c>
      <c r="AG5998">
        <v>-1.1104966881780001</v>
      </c>
      <c r="AH5998">
        <v>22.3443936033547</v>
      </c>
      <c r="AI5998">
        <v>92.845160080793605</v>
      </c>
      <c r="AJ5998">
        <v>89.664504801907896</v>
      </c>
      <c r="AK5998">
        <v>22.372354530530298</v>
      </c>
      <c r="AL5998">
        <v>69.888241425572701</v>
      </c>
      <c r="AM5998">
        <v>98.886776557710206</v>
      </c>
      <c r="AN5998">
        <v>0.99999996000297897</v>
      </c>
    </row>
    <row r="5999" spans="1:40" x14ac:dyDescent="0.25">
      <c r="A5999" t="str">
        <f>"20190304164244649"</f>
        <v>20190304164244649</v>
      </c>
      <c r="B5999" t="str">
        <f>"1551688964637435"</f>
        <v>1551688964637435</v>
      </c>
      <c r="C5999" t="s">
        <v>40</v>
      </c>
      <c r="D5999">
        <v>3.9595560000000001</v>
      </c>
      <c r="E5999">
        <v>0.57511480000000004</v>
      </c>
      <c r="F5999" t="s">
        <v>42</v>
      </c>
      <c r="G5999">
        <v>-356.67079999999999</v>
      </c>
      <c r="H5999" s="1">
        <v>-2.0133650000000002E-6</v>
      </c>
      <c r="I5999">
        <v>16.254899999999999</v>
      </c>
      <c r="J5999">
        <v>-379.80619999999999</v>
      </c>
      <c r="K5999">
        <v>1.1104430000000001</v>
      </c>
      <c r="L5999">
        <v>17.73132</v>
      </c>
      <c r="M5999">
        <v>0.99830779999999997</v>
      </c>
      <c r="N5999">
        <v>-9.8529810000000002E-3</v>
      </c>
      <c r="O5999">
        <v>-5.7313910000000003E-2</v>
      </c>
      <c r="P5999">
        <v>0.93787569999999998</v>
      </c>
      <c r="Q5999">
        <v>0.3348855</v>
      </c>
      <c r="R5999">
        <v>9.0780849999999996E-2</v>
      </c>
      <c r="S5999">
        <v>3.2745669999999998</v>
      </c>
      <c r="T5999">
        <v>-0.1563001</v>
      </c>
      <c r="U5999">
        <v>-0.2088013</v>
      </c>
      <c r="V5999">
        <v>-0.14479790000000001</v>
      </c>
      <c r="W5999">
        <v>0.3438716</v>
      </c>
      <c r="X5999">
        <v>0.92778550000000004</v>
      </c>
      <c r="Y5999">
        <v>6.3623019999999898E-3</v>
      </c>
      <c r="Z5999">
        <v>1.9815969999999999E-3</v>
      </c>
      <c r="AA5999">
        <v>0.99997780000000003</v>
      </c>
      <c r="AB5999">
        <v>23</v>
      </c>
      <c r="AC5999">
        <v>23.135400000000001</v>
      </c>
      <c r="AD5999">
        <v>-1.1104450133649999</v>
      </c>
      <c r="AE5999">
        <v>-1.4764200000000001</v>
      </c>
      <c r="AF5999">
        <v>0.14760983802181599</v>
      </c>
      <c r="AG5999">
        <v>-1.1104450133649999</v>
      </c>
      <c r="AH5999">
        <v>23.1289222851359</v>
      </c>
      <c r="AI5999">
        <v>92.7486668412961</v>
      </c>
      <c r="AJ5999">
        <v>89.634340683634406</v>
      </c>
      <c r="AK5999">
        <v>23.156034264611101</v>
      </c>
      <c r="AL5999">
        <v>69.887071199426998</v>
      </c>
      <c r="AM5999">
        <v>98.870495987957497</v>
      </c>
      <c r="AN5999">
        <v>1.0000000215706</v>
      </c>
    </row>
    <row r="6000" spans="1:40" x14ac:dyDescent="0.25">
      <c r="A6000" t="str">
        <f>"20190304164244660"</f>
        <v>20190304164244660</v>
      </c>
      <c r="B6000" t="str">
        <f>"1551688964656955"</f>
        <v>1551688964656955</v>
      </c>
      <c r="C6000" t="s">
        <v>40</v>
      </c>
      <c r="D6000">
        <v>3.9421710000000001</v>
      </c>
      <c r="E6000">
        <v>0.57528669999999904</v>
      </c>
      <c r="F6000" t="s">
        <v>42</v>
      </c>
      <c r="G6000">
        <v>-356.43299999999999</v>
      </c>
      <c r="H6000" s="1">
        <v>-2.110235E-6</v>
      </c>
      <c r="I6000">
        <v>16.246690000000001</v>
      </c>
      <c r="J6000">
        <v>-379.68619999999999</v>
      </c>
      <c r="K6000">
        <v>1.1104130000000001</v>
      </c>
      <c r="L6000">
        <v>17.724729999999902</v>
      </c>
      <c r="M6000">
        <v>0.99833510000000003</v>
      </c>
      <c r="N6000">
        <v>-9.8571720000000008E-3</v>
      </c>
      <c r="O6000">
        <v>-5.6830899999999997E-2</v>
      </c>
      <c r="P6000">
        <v>0.93777250000000001</v>
      </c>
      <c r="Q6000">
        <v>0.33510010000000001</v>
      </c>
      <c r="R6000">
        <v>9.1052919999999996E-2</v>
      </c>
      <c r="S6000">
        <v>3.2744450000000001</v>
      </c>
      <c r="T6000">
        <v>-0.15556700000000001</v>
      </c>
      <c r="U6000">
        <v>-0.2079773</v>
      </c>
      <c r="V6000">
        <v>-0.14459359999999999</v>
      </c>
      <c r="W6000">
        <v>0.34409729999999999</v>
      </c>
      <c r="X6000">
        <v>0.92773369999999999</v>
      </c>
      <c r="Y6000">
        <v>6.5967780000000002E-3</v>
      </c>
      <c r="Z6000">
        <v>1.944568E-3</v>
      </c>
      <c r="AA6000">
        <v>0.99997630000000004</v>
      </c>
      <c r="AB6000">
        <v>23</v>
      </c>
      <c r="AC6000">
        <v>23.2531999999999</v>
      </c>
      <c r="AD6000">
        <v>-1.1104151102349999</v>
      </c>
      <c r="AE6000">
        <v>-1.47803999999999</v>
      </c>
      <c r="AF6000">
        <v>0.153737254963839</v>
      </c>
      <c r="AG6000">
        <v>-1.1104151102349999</v>
      </c>
      <c r="AH6000">
        <v>23.246819348628399</v>
      </c>
      <c r="AI6000">
        <v>92.734670462454204</v>
      </c>
      <c r="AJ6000">
        <v>89.621093650669494</v>
      </c>
      <c r="AK6000">
        <v>23.2738322303906</v>
      </c>
      <c r="AL6000">
        <v>69.873299482931301</v>
      </c>
      <c r="AM6000">
        <v>98.858665695332405</v>
      </c>
      <c r="AN6000">
        <v>1.0000000395719599</v>
      </c>
    </row>
    <row r="6001" spans="1:40" x14ac:dyDescent="0.25">
      <c r="A6001" t="str">
        <f>"20190304164244672"</f>
        <v>20190304164244672</v>
      </c>
      <c r="B6001" t="str">
        <f>"1551688964667691"</f>
        <v>1551688964667691</v>
      </c>
      <c r="C6001" t="s">
        <v>40</v>
      </c>
      <c r="D6001">
        <v>3.9233169999999999</v>
      </c>
      <c r="E6001">
        <v>0.5754108</v>
      </c>
      <c r="F6001" t="s">
        <v>42</v>
      </c>
      <c r="G6001">
        <v>-356.04559999999998</v>
      </c>
      <c r="H6001" s="1">
        <v>-2.2801270000000001E-6</v>
      </c>
      <c r="I6001">
        <v>16.225860000000001</v>
      </c>
      <c r="J6001">
        <v>-379.56130000000002</v>
      </c>
      <c r="K6001">
        <v>1.1104179999999999</v>
      </c>
      <c r="L6001">
        <v>17.717960000000001</v>
      </c>
      <c r="M6001">
        <v>0.99835940000000001</v>
      </c>
      <c r="N6001">
        <v>-9.8500340000000006E-3</v>
      </c>
      <c r="O6001">
        <v>-5.6406310000000001E-2</v>
      </c>
      <c r="P6001">
        <v>0.93780269999999999</v>
      </c>
      <c r="Q6001">
        <v>0.3349203</v>
      </c>
      <c r="R6001">
        <v>9.140131E-2</v>
      </c>
      <c r="S6001">
        <v>3.2742</v>
      </c>
      <c r="T6001">
        <v>-0.15379139999999999</v>
      </c>
      <c r="U6001">
        <v>-0.2075806</v>
      </c>
      <c r="V6001">
        <v>-0.1445524</v>
      </c>
      <c r="W6001">
        <v>0.3439102</v>
      </c>
      <c r="X6001">
        <v>0.92780949999999995</v>
      </c>
      <c r="Y6001">
        <v>6.9044800000000002E-3</v>
      </c>
      <c r="Z6001">
        <v>1.8918439999999999E-3</v>
      </c>
      <c r="AA6001">
        <v>0.99997440000000004</v>
      </c>
      <c r="AB6001">
        <v>23</v>
      </c>
      <c r="AC6001">
        <v>23.515699999999999</v>
      </c>
      <c r="AD6001">
        <v>-1.110420280127</v>
      </c>
      <c r="AE6001">
        <v>-1.4921</v>
      </c>
      <c r="AF6001">
        <v>0.16286440696184401</v>
      </c>
      <c r="AG6001">
        <v>-1.110420280127</v>
      </c>
      <c r="AH6001">
        <v>23.510212854746399</v>
      </c>
      <c r="AI6001">
        <v>92.704085509668502</v>
      </c>
      <c r="AJ6001">
        <v>89.603096154605893</v>
      </c>
      <c r="AK6001">
        <v>23.536985076450499</v>
      </c>
      <c r="AL6001">
        <v>69.884716428630398</v>
      </c>
      <c r="AM6001">
        <v>98.855469493363003</v>
      </c>
      <c r="AN6001">
        <v>1.0000000451500199</v>
      </c>
    </row>
    <row r="6002" spans="1:40" x14ac:dyDescent="0.25">
      <c r="A6002" t="str">
        <f>"20190304164244686"</f>
        <v>20190304164244686</v>
      </c>
      <c r="B6002" t="str">
        <f>"1551688964677451"</f>
        <v>1551688964677451</v>
      </c>
      <c r="C6002" t="s">
        <v>40</v>
      </c>
      <c r="D6002">
        <v>3.874393</v>
      </c>
      <c r="E6002">
        <v>0.57547269999999995</v>
      </c>
      <c r="F6002" t="s">
        <v>42</v>
      </c>
      <c r="G6002">
        <v>-355.83620000000002</v>
      </c>
      <c r="H6002" s="1">
        <v>-2.371542E-6</v>
      </c>
      <c r="I6002">
        <v>16.216889999999999</v>
      </c>
      <c r="J6002">
        <v>-379.4221</v>
      </c>
      <c r="K6002">
        <v>1.11043</v>
      </c>
      <c r="L6002">
        <v>17.71048</v>
      </c>
      <c r="M6002">
        <v>0.99838419999999894</v>
      </c>
      <c r="N6002">
        <v>-9.8360589999999994E-3</v>
      </c>
      <c r="O6002">
        <v>-5.5966460000000003E-2</v>
      </c>
      <c r="P6002">
        <v>0.93779319999999999</v>
      </c>
      <c r="Q6002">
        <v>0.33483039999999997</v>
      </c>
      <c r="R6002">
        <v>9.1829519999999998E-2</v>
      </c>
      <c r="S6002">
        <v>3.2738649999999998</v>
      </c>
      <c r="T6002">
        <v>-0.153229</v>
      </c>
      <c r="U6002">
        <v>-0.2071228</v>
      </c>
      <c r="V6002">
        <v>-0.14458280000000001</v>
      </c>
      <c r="W6002">
        <v>0.34380129999999998</v>
      </c>
      <c r="X6002">
        <v>0.92784509999999998</v>
      </c>
      <c r="Y6002">
        <v>7.2112959999999999E-3</v>
      </c>
      <c r="Z6002">
        <v>1.859016E-3</v>
      </c>
      <c r="AA6002">
        <v>0.99997230000000004</v>
      </c>
      <c r="AB6002">
        <v>23</v>
      </c>
      <c r="AC6002">
        <v>23.585899999999899</v>
      </c>
      <c r="AD6002">
        <v>-1.1104323715419999</v>
      </c>
      <c r="AE6002">
        <v>-1.49359</v>
      </c>
      <c r="AF6002">
        <v>0.17078855731818701</v>
      </c>
      <c r="AG6002">
        <v>-1.1104323715419999</v>
      </c>
      <c r="AH6002">
        <v>23.580465300581199</v>
      </c>
      <c r="AI6002">
        <v>92.696064525891302</v>
      </c>
      <c r="AJ6002">
        <v>89.585025473624995</v>
      </c>
      <c r="AK6002">
        <v>23.607214417948398</v>
      </c>
      <c r="AL6002">
        <v>69.891360687592098</v>
      </c>
      <c r="AM6002">
        <v>98.856967858138404</v>
      </c>
      <c r="AN6002">
        <v>1.0000000247657601</v>
      </c>
    </row>
    <row r="6003" spans="1:40" x14ac:dyDescent="0.25">
      <c r="A6003" t="str">
        <f>"20190304164244697"</f>
        <v>20190304164244697</v>
      </c>
      <c r="B6003" t="str">
        <f>"1551688964687211"</f>
        <v>1551688964687211</v>
      </c>
      <c r="C6003" t="s">
        <v>40</v>
      </c>
      <c r="D6003">
        <v>4.0719070000000004</v>
      </c>
      <c r="E6003">
        <v>0.57510019999999995</v>
      </c>
      <c r="F6003" t="s">
        <v>42</v>
      </c>
      <c r="G6003">
        <v>-355.55900000000003</v>
      </c>
      <c r="H6003" s="1">
        <v>-2.4920929999999998E-6</v>
      </c>
      <c r="I6003">
        <v>16.207660000000001</v>
      </c>
      <c r="J6003">
        <v>-379.2953</v>
      </c>
      <c r="K6003">
        <v>1.1104529999999999</v>
      </c>
      <c r="L6003">
        <v>17.70374</v>
      </c>
      <c r="M6003">
        <v>0.99840419999999996</v>
      </c>
      <c r="N6003">
        <v>-9.8138500000000007E-3</v>
      </c>
      <c r="O6003">
        <v>-5.5612790000000002E-2</v>
      </c>
      <c r="P6003">
        <v>0.93785799999999997</v>
      </c>
      <c r="Q6003">
        <v>0.33446530000000002</v>
      </c>
      <c r="R6003">
        <v>9.2495110000000005E-2</v>
      </c>
      <c r="S6003">
        <v>3.2735599999999998</v>
      </c>
      <c r="T6003">
        <v>-0.1523302</v>
      </c>
      <c r="U6003">
        <v>-0.2061462</v>
      </c>
      <c r="V6003">
        <v>-0.1449404</v>
      </c>
      <c r="W6003">
        <v>0.34340769999999998</v>
      </c>
      <c r="X6003">
        <v>0.92793499999999995</v>
      </c>
      <c r="Y6003">
        <v>7.2735650000000001E-3</v>
      </c>
      <c r="Z6003">
        <v>1.831582E-3</v>
      </c>
      <c r="AA6003">
        <v>0.99997190000000002</v>
      </c>
      <c r="AB6003">
        <v>23</v>
      </c>
      <c r="AC6003">
        <v>23.7362999999999</v>
      </c>
      <c r="AD6003">
        <v>-1.1104554920929901</v>
      </c>
      <c r="AE6003">
        <v>-1.4960799999999901</v>
      </c>
      <c r="AF6003">
        <v>0.17328129624486099</v>
      </c>
      <c r="AG6003">
        <v>-1.1104554920929901</v>
      </c>
      <c r="AH6003">
        <v>23.731034216424099</v>
      </c>
      <c r="AI6003">
        <v>92.679038056480593</v>
      </c>
      <c r="AJ6003">
        <v>89.581640209697497</v>
      </c>
      <c r="AK6003">
        <v>23.757632937408498</v>
      </c>
      <c r="AL6003">
        <v>69.915373164670697</v>
      </c>
      <c r="AM6003">
        <v>98.877678956931405</v>
      </c>
      <c r="AN6003">
        <v>0.99999996609822395</v>
      </c>
    </row>
    <row r="6004" spans="1:40" x14ac:dyDescent="0.25">
      <c r="A6004" t="str">
        <f>"20190304164244715"</f>
        <v>20190304164244715</v>
      </c>
      <c r="B6004" t="str">
        <f>"1551688964707599"</f>
        <v>1551688964707599</v>
      </c>
      <c r="C6004" t="s">
        <v>40</v>
      </c>
      <c r="D6004">
        <v>3.9535749999999998</v>
      </c>
      <c r="E6004">
        <v>0.57524600000000004</v>
      </c>
      <c r="F6004" t="s">
        <v>42</v>
      </c>
      <c r="G6004">
        <v>-355.89150000000001</v>
      </c>
      <c r="H6004" s="1">
        <v>-2.3389120000000001E-6</v>
      </c>
      <c r="I6004">
        <v>16.267119999999998</v>
      </c>
      <c r="J6004">
        <v>-379.11169999999998</v>
      </c>
      <c r="K6004">
        <v>1.1104830000000001</v>
      </c>
      <c r="L6004">
        <v>17.69415</v>
      </c>
      <c r="M6004">
        <v>0.99843199999999999</v>
      </c>
      <c r="N6004">
        <v>-9.7803899999999999E-3</v>
      </c>
      <c r="O6004">
        <v>-5.5117899999999997E-2</v>
      </c>
      <c r="P6004">
        <v>0.93796029999999997</v>
      </c>
      <c r="Q6004">
        <v>0.3338718</v>
      </c>
      <c r="R6004">
        <v>9.3596869999999999E-2</v>
      </c>
      <c r="S6004">
        <v>3.273987</v>
      </c>
      <c r="T6004">
        <v>-0.15534319999999999</v>
      </c>
      <c r="U6004">
        <v>-0.20095830000000001</v>
      </c>
      <c r="V6004">
        <v>-0.14560770000000001</v>
      </c>
      <c r="W6004">
        <v>0.34277390000000002</v>
      </c>
      <c r="X6004">
        <v>0.92806489999999997</v>
      </c>
      <c r="Y6004">
        <v>6.1853309999999996E-3</v>
      </c>
      <c r="Z6004">
        <v>1.893608E-3</v>
      </c>
      <c r="AA6004">
        <v>0.99997910000000001</v>
      </c>
      <c r="AB6004">
        <v>23</v>
      </c>
      <c r="AC6004">
        <v>23.220199999999899</v>
      </c>
      <c r="AD6004">
        <v>-1.110485338912</v>
      </c>
      <c r="AE6004">
        <v>-1.42702999999999</v>
      </c>
      <c r="AF6004">
        <v>0.14462115616778601</v>
      </c>
      <c r="AG6004">
        <v>-1.110485338912</v>
      </c>
      <c r="AH6004">
        <v>23.210670735712199</v>
      </c>
      <c r="AI6004">
        <v>92.739102672579705</v>
      </c>
      <c r="AJ6004">
        <v>89.643005807876605</v>
      </c>
      <c r="AK6004">
        <v>23.237670472067499</v>
      </c>
      <c r="AL6004">
        <v>69.954034635363101</v>
      </c>
      <c r="AM6004">
        <v>98.916667823044605</v>
      </c>
      <c r="AN6004">
        <v>1.00000000371625</v>
      </c>
    </row>
    <row r="6005" spans="1:40" x14ac:dyDescent="0.25">
      <c r="A6005" t="str">
        <f>"20190304164244728"</f>
        <v>20190304164244728</v>
      </c>
      <c r="B6005" t="str">
        <f>"1551688964717359"</f>
        <v>1551688964717359</v>
      </c>
      <c r="C6005" t="s">
        <v>40</v>
      </c>
      <c r="D6005">
        <v>3.9180999999999999</v>
      </c>
      <c r="E6005">
        <v>0.57479009999999997</v>
      </c>
      <c r="F6005" t="s">
        <v>42</v>
      </c>
      <c r="G6005">
        <v>-355.82760000000002</v>
      </c>
      <c r="H6005" s="1">
        <v>-2.3645450000000002E-6</v>
      </c>
      <c r="I6005">
        <v>16.27722</v>
      </c>
      <c r="J6005">
        <v>-378.98289999999997</v>
      </c>
      <c r="K6005">
        <v>1.1104989999999999</v>
      </c>
      <c r="L6005">
        <v>17.687470000000001</v>
      </c>
      <c r="M6005">
        <v>0.99845170000000005</v>
      </c>
      <c r="N6005">
        <v>-9.7591520000000001E-3</v>
      </c>
      <c r="O6005">
        <v>-5.4766040000000002E-2</v>
      </c>
      <c r="P6005">
        <v>0.93795799999999996</v>
      </c>
      <c r="Q6005">
        <v>0.33365990000000001</v>
      </c>
      <c r="R6005">
        <v>9.437326E-2</v>
      </c>
      <c r="S6005">
        <v>3.273895</v>
      </c>
      <c r="T6005">
        <v>-0.15614159999999999</v>
      </c>
      <c r="U6005">
        <v>-0.1992188</v>
      </c>
      <c r="V6005">
        <v>-0.14606269999999999</v>
      </c>
      <c r="W6005">
        <v>0.34253790000000001</v>
      </c>
      <c r="X6005">
        <v>0.92808060000000003</v>
      </c>
      <c r="Y6005">
        <v>6.0105870000000004E-3</v>
      </c>
      <c r="Z6005">
        <v>1.899331E-3</v>
      </c>
      <c r="AA6005">
        <v>0.99998019999999999</v>
      </c>
      <c r="AB6005">
        <v>23</v>
      </c>
      <c r="AC6005">
        <v>23.155299999999901</v>
      </c>
      <c r="AD6005">
        <v>-1.1105013645449999</v>
      </c>
      <c r="AE6005">
        <v>-1.41025</v>
      </c>
      <c r="AF6005">
        <v>0.139629096389526</v>
      </c>
      <c r="AG6005">
        <v>-1.1105013645449999</v>
      </c>
      <c r="AH6005">
        <v>23.1447456756074</v>
      </c>
      <c r="AI6005">
        <v>92.746935657722901</v>
      </c>
      <c r="AJ6005">
        <v>89.654346564090304</v>
      </c>
      <c r="AK6005">
        <v>23.171792376805101</v>
      </c>
      <c r="AL6005">
        <v>69.968429018359203</v>
      </c>
      <c r="AM6005">
        <v>98.943932311118004</v>
      </c>
      <c r="AN6005">
        <v>1.00000006268202</v>
      </c>
    </row>
    <row r="6006" spans="1:40" x14ac:dyDescent="0.25">
      <c r="A6006" t="str">
        <f>"20190304164244739"</f>
        <v>20190304164244739</v>
      </c>
      <c r="B6006" t="str">
        <f>"1551688964727119"</f>
        <v>1551688964727119</v>
      </c>
      <c r="C6006" t="s">
        <v>40</v>
      </c>
      <c r="D6006">
        <v>3.8613059999999999</v>
      </c>
      <c r="E6006">
        <v>0.57422139999999999</v>
      </c>
      <c r="F6006" t="s">
        <v>42</v>
      </c>
      <c r="G6006">
        <v>-356.16109999999998</v>
      </c>
      <c r="H6006" s="1">
        <v>-2.2099050000000001E-6</v>
      </c>
      <c r="I6006">
        <v>16.34233</v>
      </c>
      <c r="J6006">
        <v>-378.85379999999998</v>
      </c>
      <c r="K6006">
        <v>1.1105100000000001</v>
      </c>
      <c r="L6006">
        <v>17.68085</v>
      </c>
      <c r="M6006">
        <v>0.99847160000000001</v>
      </c>
      <c r="N6006">
        <v>-9.7406660000000003E-3</v>
      </c>
      <c r="O6006">
        <v>-5.440391E-2</v>
      </c>
      <c r="P6006">
        <v>0.93800150000000004</v>
      </c>
      <c r="Q6006">
        <v>0.33336320000000003</v>
      </c>
      <c r="R6006">
        <v>9.4986070000000006E-2</v>
      </c>
      <c r="S6006">
        <v>3.2745359999999999</v>
      </c>
      <c r="T6006">
        <v>-0.15933820000000001</v>
      </c>
      <c r="U6006">
        <v>-0.1929932</v>
      </c>
      <c r="V6006">
        <v>-0.1463412</v>
      </c>
      <c r="W6006">
        <v>0.3422229</v>
      </c>
      <c r="X6006">
        <v>0.92815289999999995</v>
      </c>
      <c r="Y6006">
        <v>4.4706920000000001E-3</v>
      </c>
      <c r="Z6006">
        <v>1.9813270000000002E-3</v>
      </c>
      <c r="AA6006">
        <v>0.99998799999999999</v>
      </c>
      <c r="AB6006">
        <v>23</v>
      </c>
      <c r="AC6006">
        <v>22.692699999999999</v>
      </c>
      <c r="AD6006">
        <v>-1.110512209905</v>
      </c>
      <c r="AE6006">
        <v>-1.3385199999999899</v>
      </c>
      <c r="AF6006">
        <v>0.101664796348876</v>
      </c>
      <c r="AG6006">
        <v>-1.110512209905</v>
      </c>
      <c r="AH6006">
        <v>22.677792221814499</v>
      </c>
      <c r="AI6006">
        <v>92.803458029789098</v>
      </c>
      <c r="AJ6006">
        <v>89.743144099868402</v>
      </c>
      <c r="AK6006">
        <v>22.7051939686705</v>
      </c>
      <c r="AL6006">
        <v>69.987637540399902</v>
      </c>
      <c r="AM6006">
        <v>98.960022698510897</v>
      </c>
      <c r="AN6006">
        <v>1.00000003294012</v>
      </c>
    </row>
    <row r="6007" spans="1:40" x14ac:dyDescent="0.25">
      <c r="A6007" t="str">
        <f>"20190304164244751"</f>
        <v>20190304164244751</v>
      </c>
      <c r="B6007" t="str">
        <f>"1551688964747615"</f>
        <v>1551688964747615</v>
      </c>
      <c r="C6007" t="s">
        <v>40</v>
      </c>
      <c r="D6007">
        <v>3.841507</v>
      </c>
      <c r="E6007">
        <v>0.57303919999999997</v>
      </c>
      <c r="F6007" t="s">
        <v>42</v>
      </c>
      <c r="G6007">
        <v>-356.41930000000002</v>
      </c>
      <c r="H6007" s="1">
        <v>-2.0885189999999999E-6</v>
      </c>
      <c r="I6007">
        <v>16.402349999999998</v>
      </c>
      <c r="J6007">
        <v>-378.73390000000001</v>
      </c>
      <c r="K6007">
        <v>1.1105130000000001</v>
      </c>
      <c r="L6007">
        <v>17.67474</v>
      </c>
      <c r="M6007">
        <v>0.99849100000000002</v>
      </c>
      <c r="N6007">
        <v>-9.7263339999999997E-3</v>
      </c>
      <c r="O6007">
        <v>-5.4048100000000002E-2</v>
      </c>
      <c r="P6007">
        <v>0.93791239999999998</v>
      </c>
      <c r="Q6007">
        <v>0.33340950000000003</v>
      </c>
      <c r="R6007">
        <v>9.5702599999999999E-2</v>
      </c>
      <c r="S6007">
        <v>3.2748409999999999</v>
      </c>
      <c r="T6007">
        <v>-0.162105</v>
      </c>
      <c r="U6007">
        <v>-0.186615</v>
      </c>
      <c r="V6007">
        <v>-0.14671409999999999</v>
      </c>
      <c r="W6007">
        <v>0.34225739999999999</v>
      </c>
      <c r="X6007">
        <v>0.9280813</v>
      </c>
      <c r="Y6007">
        <v>2.8841470000000001E-3</v>
      </c>
      <c r="Z6007">
        <v>2.0588389999999998E-3</v>
      </c>
      <c r="AA6007">
        <v>0.99999369999999999</v>
      </c>
      <c r="AB6007">
        <v>23</v>
      </c>
      <c r="AC6007">
        <v>22.314599999999899</v>
      </c>
      <c r="AD6007">
        <v>-1.1105150885189901</v>
      </c>
      <c r="AE6007">
        <v>-1.2723899999999999</v>
      </c>
      <c r="AF6007">
        <v>6.4252657714337094E-2</v>
      </c>
      <c r="AG6007">
        <v>-1.1105150885189901</v>
      </c>
      <c r="AH6007">
        <v>22.295713420881</v>
      </c>
      <c r="AI6007">
        <v>92.851446076815407</v>
      </c>
      <c r="AJ6007">
        <v>89.834883241960796</v>
      </c>
      <c r="AK6007">
        <v>22.323445278717699</v>
      </c>
      <c r="AL6007">
        <v>69.985533676499898</v>
      </c>
      <c r="AM6007">
        <v>98.983164097865597</v>
      </c>
      <c r="AN6007">
        <v>1.0000000272016201</v>
      </c>
    </row>
    <row r="6008" spans="1:40" x14ac:dyDescent="0.25">
      <c r="A6008" t="str">
        <f>"20190304164244764"</f>
        <v>20190304164244764</v>
      </c>
      <c r="B6008" t="str">
        <f>"1551688964757375"</f>
        <v>1551688964757375</v>
      </c>
      <c r="C6008" t="s">
        <v>40</v>
      </c>
      <c r="D6008">
        <v>3.839658</v>
      </c>
      <c r="E6008">
        <v>0.5725169</v>
      </c>
      <c r="F6008" t="s">
        <v>42</v>
      </c>
      <c r="G6008">
        <v>-356.76609999999999</v>
      </c>
      <c r="H6008" s="1">
        <v>-1.921855E-6</v>
      </c>
      <c r="I6008">
        <v>16.503029999999999</v>
      </c>
      <c r="J6008">
        <v>-378.6019</v>
      </c>
      <c r="K6008">
        <v>1.1105149999999999</v>
      </c>
      <c r="L6008">
        <v>17.668089999999999</v>
      </c>
      <c r="M6008">
        <v>0.99851259999999997</v>
      </c>
      <c r="N6008">
        <v>-9.7113310000000001E-3</v>
      </c>
      <c r="O6008">
        <v>-5.3650120000000003E-2</v>
      </c>
      <c r="P6008">
        <v>0.93785669999999999</v>
      </c>
      <c r="Q6008">
        <v>0.33341549999999998</v>
      </c>
      <c r="R6008">
        <v>9.622464E-2</v>
      </c>
      <c r="S6008">
        <v>3.2752379999999999</v>
      </c>
      <c r="T6008">
        <v>-0.1655703</v>
      </c>
      <c r="U6008">
        <v>-0.17468259999999999</v>
      </c>
      <c r="V6008">
        <v>-0.1468515</v>
      </c>
      <c r="W6008">
        <v>0.34225299999999997</v>
      </c>
      <c r="X6008">
        <v>0.92806120000000003</v>
      </c>
      <c r="Y6008">
        <v>-3.495557E-4</v>
      </c>
      <c r="Z6008">
        <v>2.1962940000000001E-3</v>
      </c>
      <c r="AA6008">
        <v>0.99999760000000004</v>
      </c>
      <c r="AB6008">
        <v>24</v>
      </c>
      <c r="AC6008">
        <v>21.835799999999999</v>
      </c>
      <c r="AD6008">
        <v>-1.1105169218549999</v>
      </c>
      <c r="AE6008">
        <v>-1.16506</v>
      </c>
      <c r="AF6008">
        <v>-8.1455766986702205E-3</v>
      </c>
      <c r="AG6008">
        <v>-1.1105169218549999</v>
      </c>
      <c r="AH6008">
        <v>21.810604620940499</v>
      </c>
      <c r="AI6008">
        <v>92.914776095999699</v>
      </c>
      <c r="AJ6008">
        <v>90.0213981754722</v>
      </c>
      <c r="AK6008">
        <v>21.838859588246301</v>
      </c>
      <c r="AL6008">
        <v>69.985802144489</v>
      </c>
      <c r="AM6008">
        <v>98.991631142316194</v>
      </c>
      <c r="AN6008">
        <v>1.00000003500334</v>
      </c>
    </row>
    <row r="6009" spans="1:40" x14ac:dyDescent="0.25">
      <c r="A6009" t="str">
        <f>"20190304164244776"</f>
        <v>20190304164244776</v>
      </c>
      <c r="B6009" t="str">
        <f>"1551688964767134"</f>
        <v>1551688964767134</v>
      </c>
      <c r="C6009" t="s">
        <v>40</v>
      </c>
      <c r="D6009">
        <v>3.8419059999999998</v>
      </c>
      <c r="E6009">
        <v>0.57205830000000002</v>
      </c>
      <c r="F6009" t="s">
        <v>42</v>
      </c>
      <c r="G6009">
        <v>-356.85109999999997</v>
      </c>
      <c r="H6009" s="1">
        <v>-1.877945E-6</v>
      </c>
      <c r="I6009">
        <v>16.54514</v>
      </c>
      <c r="J6009">
        <v>-378.46420000000001</v>
      </c>
      <c r="K6009">
        <v>1.110506</v>
      </c>
      <c r="L6009">
        <v>17.661189999999898</v>
      </c>
      <c r="M6009">
        <v>0.99853559999999997</v>
      </c>
      <c r="N6009">
        <v>-9.6963099999999997E-3</v>
      </c>
      <c r="O6009">
        <v>-5.3222999999999999E-2</v>
      </c>
      <c r="P6009">
        <v>0.93765810000000005</v>
      </c>
      <c r="Q6009">
        <v>0.33372469999999999</v>
      </c>
      <c r="R6009">
        <v>9.7084229999999994E-2</v>
      </c>
      <c r="S6009">
        <v>3.2755740000000002</v>
      </c>
      <c r="T6009">
        <v>-0.16723859999999999</v>
      </c>
      <c r="U6009">
        <v>-0.1690979</v>
      </c>
      <c r="V6009">
        <v>-0.14728669999999999</v>
      </c>
      <c r="W6009">
        <v>0.34255219999999997</v>
      </c>
      <c r="X6009">
        <v>0.92788179999999998</v>
      </c>
      <c r="Y6009">
        <v>-1.6247569999999999E-3</v>
      </c>
      <c r="Z6009">
        <v>2.2453899999999999E-3</v>
      </c>
      <c r="AA6009">
        <v>0.9999962</v>
      </c>
      <c r="AB6009">
        <v>24</v>
      </c>
      <c r="AC6009">
        <v>21.613099999999999</v>
      </c>
      <c r="AD6009">
        <v>-1.1105078779449999</v>
      </c>
      <c r="AE6009">
        <v>-1.11604999999999</v>
      </c>
      <c r="AF6009">
        <v>-3.5805774684289401E-2</v>
      </c>
      <c r="AG6009">
        <v>-1.1105078779449999</v>
      </c>
      <c r="AH6009">
        <v>21.585032519906399</v>
      </c>
      <c r="AI6009">
        <v>92.945155520578297</v>
      </c>
      <c r="AJ6009">
        <v>90.095043539452405</v>
      </c>
      <c r="AK6009">
        <v>21.613610033631499</v>
      </c>
      <c r="AL6009">
        <v>69.967555791365399</v>
      </c>
      <c r="AM6009">
        <v>99.019555804234002</v>
      </c>
      <c r="AN6009">
        <v>1.0000000082464799</v>
      </c>
    </row>
    <row r="6010" spans="1:40" x14ac:dyDescent="0.25">
      <c r="A6010" t="str">
        <f>"20190304164244795"</f>
        <v>20190304164244795</v>
      </c>
      <c r="B6010" t="str">
        <f>"1551688964787632"</f>
        <v>1551688964787632</v>
      </c>
      <c r="C6010" t="s">
        <v>40</v>
      </c>
      <c r="D6010">
        <v>3.820055</v>
      </c>
      <c r="E6010">
        <v>0.5712661</v>
      </c>
      <c r="F6010" t="s">
        <v>42</v>
      </c>
      <c r="G6010">
        <v>-356.73919999999998</v>
      </c>
      <c r="H6010" s="1">
        <v>-1.9197079999999998E-6</v>
      </c>
      <c r="I6010">
        <v>16.580179999999999</v>
      </c>
      <c r="J6010">
        <v>-378.27670000000001</v>
      </c>
      <c r="K6010">
        <v>1.110501</v>
      </c>
      <c r="L6010">
        <v>17.651889999999899</v>
      </c>
      <c r="M6010">
        <v>0.99856679999999998</v>
      </c>
      <c r="N6010">
        <v>-9.6766360000000006E-3</v>
      </c>
      <c r="O6010">
        <v>-5.263988E-2</v>
      </c>
      <c r="P6010">
        <v>0.93741050000000004</v>
      </c>
      <c r="Q6010">
        <v>0.33413379999999998</v>
      </c>
      <c r="R6010">
        <v>9.8063810000000001E-2</v>
      </c>
      <c r="S6010">
        <v>3.2759399999999999</v>
      </c>
      <c r="T6010">
        <v>-0.16745499999999999</v>
      </c>
      <c r="U6010">
        <v>-0.16299439999999901</v>
      </c>
      <c r="V6010">
        <v>-0.14768909999999999</v>
      </c>
      <c r="W6010">
        <v>0.34294910000000001</v>
      </c>
      <c r="X6010">
        <v>0.92767120000000003</v>
      </c>
      <c r="Y6010">
        <v>-2.903217E-3</v>
      </c>
      <c r="Z6010">
        <v>2.2645719999999999E-3</v>
      </c>
      <c r="AA6010">
        <v>0.99999320000000003</v>
      </c>
      <c r="AB6010">
        <v>24</v>
      </c>
      <c r="AC6010">
        <v>21.537500000000001</v>
      </c>
      <c r="AD6010">
        <v>-1.1105029197080001</v>
      </c>
      <c r="AE6010">
        <v>-1.0717099999999899</v>
      </c>
      <c r="AF6010">
        <v>-6.3392241534946298E-2</v>
      </c>
      <c r="AG6010">
        <v>-1.1105029197080001</v>
      </c>
      <c r="AH6010">
        <v>21.5070173071732</v>
      </c>
      <c r="AI6010">
        <v>92.955798025659504</v>
      </c>
      <c r="AJ6010">
        <v>90.168879641635698</v>
      </c>
      <c r="AK6010">
        <v>21.5357616248419</v>
      </c>
      <c r="AL6010">
        <v>69.943348731766704</v>
      </c>
      <c r="AM6010">
        <v>99.045810461858395</v>
      </c>
      <c r="AN6010">
        <v>1.0000000053795299</v>
      </c>
    </row>
    <row r="6011" spans="1:40" x14ac:dyDescent="0.25">
      <c r="A6011" t="str">
        <f>"20190304164244809"</f>
        <v>20190304164244809</v>
      </c>
      <c r="B6011" t="str">
        <f>"1551688964797392"</f>
        <v>1551688964797392</v>
      </c>
      <c r="C6011" t="s">
        <v>40</v>
      </c>
      <c r="D6011">
        <v>3.7904119999999999</v>
      </c>
      <c r="E6011">
        <v>0.57092209999999999</v>
      </c>
      <c r="F6011" t="s">
        <v>42</v>
      </c>
      <c r="G6011">
        <v>-356.69639999999998</v>
      </c>
      <c r="H6011" s="1">
        <v>-1.9286329999999999E-6</v>
      </c>
      <c r="I6011">
        <v>16.63336</v>
      </c>
      <c r="J6011">
        <v>-378.1318</v>
      </c>
      <c r="K6011">
        <v>1.1105</v>
      </c>
      <c r="L6011">
        <v>17.644739999999999</v>
      </c>
      <c r="M6011">
        <v>0.99859039999999999</v>
      </c>
      <c r="N6011">
        <v>-9.6623430000000003E-3</v>
      </c>
      <c r="O6011">
        <v>-5.2192370000000002E-2</v>
      </c>
      <c r="P6011">
        <v>0.93723679999999998</v>
      </c>
      <c r="Q6011">
        <v>0.33443299999999998</v>
      </c>
      <c r="R6011">
        <v>9.870197E-2</v>
      </c>
      <c r="S6011">
        <v>3.2765810000000002</v>
      </c>
      <c r="T6011">
        <v>-0.1686106</v>
      </c>
      <c r="U6011">
        <v>-0.15463260000000001</v>
      </c>
      <c r="V6011">
        <v>-0.1478874</v>
      </c>
      <c r="W6011">
        <v>0.34323880000000001</v>
      </c>
      <c r="X6011">
        <v>0.92753240000000003</v>
      </c>
      <c r="Y6011">
        <v>-5.0070030000000003E-3</v>
      </c>
      <c r="Z6011">
        <v>2.3295830000000001E-3</v>
      </c>
      <c r="AA6011">
        <v>0.99998469999999995</v>
      </c>
      <c r="AB6011">
        <v>24</v>
      </c>
      <c r="AC6011">
        <v>21.435400000000001</v>
      </c>
      <c r="AD6011">
        <v>-1.110501928633</v>
      </c>
      <c r="AE6011">
        <v>-1.01137999999999</v>
      </c>
      <c r="AF6011">
        <v>-0.108524410603369</v>
      </c>
      <c r="AG6011">
        <v>-1.110501928633</v>
      </c>
      <c r="AH6011">
        <v>21.401657141832199</v>
      </c>
      <c r="AI6011">
        <v>92.970295512299003</v>
      </c>
      <c r="AJ6011">
        <v>90.290535324719798</v>
      </c>
      <c r="AK6011">
        <v>21.430723751141301</v>
      </c>
      <c r="AL6011">
        <v>69.925676465934103</v>
      </c>
      <c r="AM6011">
        <v>99.059087885785701</v>
      </c>
      <c r="AN6011">
        <v>0.99999995497697902</v>
      </c>
    </row>
    <row r="6012" spans="1:40" x14ac:dyDescent="0.25">
      <c r="A6012" t="str">
        <f>"20190304164244827"</f>
        <v>20190304164244827</v>
      </c>
      <c r="B6012" t="str">
        <f>"1551688964816911"</f>
        <v>1551688964816911</v>
      </c>
      <c r="C6012" t="s">
        <v>40</v>
      </c>
      <c r="D6012">
        <v>3.8007780000000002</v>
      </c>
      <c r="E6012">
        <v>0.57031019999999999</v>
      </c>
      <c r="F6012" t="s">
        <v>42</v>
      </c>
      <c r="G6012">
        <v>-356.53640000000001</v>
      </c>
      <c r="H6012" s="1">
        <v>-1.9935960000000002E-6</v>
      </c>
      <c r="I6012">
        <v>16.654139999999899</v>
      </c>
      <c r="J6012">
        <v>-377.93819999999999</v>
      </c>
      <c r="K6012">
        <v>1.1105020000000001</v>
      </c>
      <c r="L6012">
        <v>17.63531</v>
      </c>
      <c r="M6012">
        <v>0.99862130000000005</v>
      </c>
      <c r="N6012">
        <v>-9.6448980000000007E-3</v>
      </c>
      <c r="O6012">
        <v>-5.1601559999999998E-2</v>
      </c>
      <c r="P6012">
        <v>0.93696699999999999</v>
      </c>
      <c r="Q6012">
        <v>0.33479989999999998</v>
      </c>
      <c r="R6012">
        <v>0.10001060000000001</v>
      </c>
      <c r="S6012">
        <v>3.2768250000000001</v>
      </c>
      <c r="T6012">
        <v>-0.1685046</v>
      </c>
      <c r="U6012">
        <v>-0.15029909999999999</v>
      </c>
      <c r="V6012">
        <v>-0.14861659999999999</v>
      </c>
      <c r="W6012">
        <v>0.343591799999999</v>
      </c>
      <c r="X6012">
        <v>0.92728520000000003</v>
      </c>
      <c r="Y6012">
        <v>-5.7378769999999997E-3</v>
      </c>
      <c r="Z6012">
        <v>2.3262780000000002E-3</v>
      </c>
      <c r="AA6012">
        <v>0.9999808</v>
      </c>
      <c r="AB6012">
        <v>24</v>
      </c>
      <c r="AC6012">
        <v>21.401799999999898</v>
      </c>
      <c r="AD6012">
        <v>-1.1105039935959999</v>
      </c>
      <c r="AE6012">
        <v>-0.98117000000000199</v>
      </c>
      <c r="AF6012">
        <v>-0.124221032719145</v>
      </c>
      <c r="AG6012">
        <v>-1.1105039935959999</v>
      </c>
      <c r="AH6012">
        <v>21.366510554649899</v>
      </c>
      <c r="AI6012">
        <v>92.9751662077053</v>
      </c>
      <c r="AJ6012">
        <v>90.333103559193802</v>
      </c>
      <c r="AK6012">
        <v>21.395710394065699</v>
      </c>
      <c r="AL6012">
        <v>69.904142951344497</v>
      </c>
      <c r="AM6012">
        <v>99.105396207259602</v>
      </c>
      <c r="AN6012">
        <v>1.00000003048091</v>
      </c>
    </row>
    <row r="6013" spans="1:40" x14ac:dyDescent="0.25">
      <c r="A6013" t="str">
        <f>"20190304164244839"</f>
        <v>20190304164244839</v>
      </c>
      <c r="B6013" t="str">
        <f>"1551688964827648"</f>
        <v>1551688964827648</v>
      </c>
      <c r="C6013" t="s">
        <v>40</v>
      </c>
      <c r="D6013">
        <v>3.7862239999999998</v>
      </c>
      <c r="E6013">
        <v>0.57002319999999995</v>
      </c>
      <c r="F6013" t="s">
        <v>42</v>
      </c>
      <c r="G6013">
        <v>-356.39479999999998</v>
      </c>
      <c r="H6013" s="1">
        <v>-2.0462739999999999E-6</v>
      </c>
      <c r="I6013">
        <v>16.699619999999999</v>
      </c>
      <c r="J6013">
        <v>-377.80549999999999</v>
      </c>
      <c r="K6013">
        <v>1.110503</v>
      </c>
      <c r="L6013">
        <v>17.628910000000001</v>
      </c>
      <c r="M6013">
        <v>0.99864189999999997</v>
      </c>
      <c r="N6013">
        <v>-9.6342300000000006E-3</v>
      </c>
      <c r="O6013">
        <v>-5.1200820000000001E-2</v>
      </c>
      <c r="P6013">
        <v>0.93678099999999997</v>
      </c>
      <c r="Q6013">
        <v>0.33507350000000002</v>
      </c>
      <c r="R6013">
        <v>0.1008324</v>
      </c>
      <c r="S6013">
        <v>3.277374</v>
      </c>
      <c r="T6013">
        <v>-0.1689397</v>
      </c>
      <c r="U6013">
        <v>-0.14233399999999999</v>
      </c>
      <c r="V6013">
        <v>-0.14904829999999999</v>
      </c>
      <c r="W6013">
        <v>0.34385640000000001</v>
      </c>
      <c r="X6013">
        <v>0.92711779999999999</v>
      </c>
      <c r="Y6013">
        <v>-7.7665269999999996E-3</v>
      </c>
      <c r="Z6013">
        <v>2.378986E-3</v>
      </c>
      <c r="AA6013">
        <v>0.99996700000000005</v>
      </c>
      <c r="AB6013">
        <v>24</v>
      </c>
      <c r="AC6013">
        <v>21.410699999999999</v>
      </c>
      <c r="AD6013">
        <v>-1.110505046274</v>
      </c>
      <c r="AE6013">
        <v>-0.92929000000000095</v>
      </c>
      <c r="AF6013">
        <v>-0.167774780385475</v>
      </c>
      <c r="AG6013">
        <v>-1.110505046274</v>
      </c>
      <c r="AH6013">
        <v>21.3728089323495</v>
      </c>
      <c r="AI6013">
        <v>92.974252544452</v>
      </c>
      <c r="AJ6013">
        <v>90.449757886858094</v>
      </c>
      <c r="AK6013">
        <v>21.402297341487699</v>
      </c>
      <c r="AL6013">
        <v>69.887998562519996</v>
      </c>
      <c r="AM6013">
        <v>99.133021475308297</v>
      </c>
      <c r="AN6013">
        <v>1.0000000173153401</v>
      </c>
    </row>
    <row r="6014" spans="1:40" x14ac:dyDescent="0.25">
      <c r="A6014" t="str">
        <f>"20190304164244852"</f>
        <v>20190304164244852</v>
      </c>
      <c r="B6014" t="str">
        <f>"1551688964847167"</f>
        <v>1551688964847167</v>
      </c>
      <c r="C6014" t="s">
        <v>40</v>
      </c>
      <c r="D6014">
        <v>3.7401650000000002</v>
      </c>
      <c r="E6014">
        <v>0.56952320000000001</v>
      </c>
      <c r="F6014" t="s">
        <v>42</v>
      </c>
      <c r="G6014">
        <v>-356.245</v>
      </c>
      <c r="H6014" s="1">
        <v>-2.106298E-6</v>
      </c>
      <c r="I6014">
        <v>16.723659999999999</v>
      </c>
      <c r="J6014">
        <v>-377.68180000000001</v>
      </c>
      <c r="K6014">
        <v>1.1105080000000001</v>
      </c>
      <c r="L6014">
        <v>17.622920000000001</v>
      </c>
      <c r="M6014">
        <v>0.99866100000000002</v>
      </c>
      <c r="N6014">
        <v>-9.6231460000000008E-3</v>
      </c>
      <c r="O6014">
        <v>-5.0830199999999999E-2</v>
      </c>
      <c r="P6014">
        <v>0.93670989999999998</v>
      </c>
      <c r="Q6014">
        <v>0.33509640000000002</v>
      </c>
      <c r="R6014">
        <v>0.1014164</v>
      </c>
      <c r="S6014">
        <v>3.277679</v>
      </c>
      <c r="T6014">
        <v>-0.16882159999999999</v>
      </c>
      <c r="U6014">
        <v>-0.137603799999999</v>
      </c>
      <c r="V6014">
        <v>-0.14927869999999999</v>
      </c>
      <c r="W6014">
        <v>0.3438698</v>
      </c>
      <c r="X6014">
        <v>0.92707569999999995</v>
      </c>
      <c r="Y6014">
        <v>-8.8386479999999993E-3</v>
      </c>
      <c r="Z6014">
        <v>2.3946420000000002E-3</v>
      </c>
      <c r="AA6014">
        <v>0.99995809999999996</v>
      </c>
      <c r="AB6014">
        <v>24</v>
      </c>
      <c r="AC6014">
        <v>21.436800000000002</v>
      </c>
      <c r="AD6014">
        <v>-1.1105101062980001</v>
      </c>
      <c r="AE6014">
        <v>-0.89926000000000095</v>
      </c>
      <c r="AF6014">
        <v>-0.19107791695655801</v>
      </c>
      <c r="AG6014">
        <v>-1.1105101062980001</v>
      </c>
      <c r="AH6014">
        <v>21.397475612258798</v>
      </c>
      <c r="AI6014">
        <v>92.970816660717503</v>
      </c>
      <c r="AJ6014">
        <v>90.511633587164496</v>
      </c>
      <c r="AK6014">
        <v>21.427125473188202</v>
      </c>
      <c r="AL6014">
        <v>69.887179770848604</v>
      </c>
      <c r="AM6014">
        <v>99.147309248966096</v>
      </c>
      <c r="AN6014">
        <v>0.999999961578109</v>
      </c>
    </row>
    <row r="6015" spans="1:40" x14ac:dyDescent="0.25">
      <c r="A6015" t="str">
        <f>"20190304164244863"</f>
        <v>20190304164244863</v>
      </c>
      <c r="B6015" t="str">
        <f>"1551688964856927"</f>
        <v>1551688964856927</v>
      </c>
      <c r="C6015" t="s">
        <v>40</v>
      </c>
      <c r="D6015">
        <v>3.7914379999999999</v>
      </c>
      <c r="E6015">
        <v>0.56932689999999997</v>
      </c>
      <c r="F6015" t="s">
        <v>42</v>
      </c>
      <c r="G6015">
        <v>-356.31740000000002</v>
      </c>
      <c r="H6015" s="1">
        <v>-2.0681819999999999E-6</v>
      </c>
      <c r="I6015">
        <v>16.763379999999898</v>
      </c>
      <c r="J6015">
        <v>-377.5455</v>
      </c>
      <c r="K6015">
        <v>1.110514</v>
      </c>
      <c r="L6015">
        <v>17.61646</v>
      </c>
      <c r="M6015">
        <v>0.99868190000000001</v>
      </c>
      <c r="N6015">
        <v>-9.6103899999999999E-3</v>
      </c>
      <c r="O6015">
        <v>-5.042286E-2</v>
      </c>
      <c r="P6015">
        <v>0.93665750000000003</v>
      </c>
      <c r="Q6015">
        <v>0.3350166</v>
      </c>
      <c r="R6015">
        <v>0.10216020000000001</v>
      </c>
      <c r="S6015">
        <v>3.2779240000000001</v>
      </c>
      <c r="T6015">
        <v>-0.17038499999999901</v>
      </c>
      <c r="U6015">
        <v>-0.1318665</v>
      </c>
      <c r="V6015">
        <v>-0.14963670000000001</v>
      </c>
      <c r="W6015">
        <v>0.3437789</v>
      </c>
      <c r="X6015">
        <v>0.92705170000000003</v>
      </c>
      <c r="Y6015">
        <v>-1.0178090000000001E-2</v>
      </c>
      <c r="Z6015">
        <v>2.4454360000000001E-3</v>
      </c>
      <c r="AA6015">
        <v>0.99994519999999998</v>
      </c>
      <c r="AB6015">
        <v>24</v>
      </c>
      <c r="AC6015">
        <v>21.228099999999898</v>
      </c>
      <c r="AD6015">
        <v>-1.1105160681820001</v>
      </c>
      <c r="AE6015">
        <v>-0.85308000000000195</v>
      </c>
      <c r="AF6015">
        <v>-0.21784080311065299</v>
      </c>
      <c r="AG6015">
        <v>-1.1105160681820001</v>
      </c>
      <c r="AH6015">
        <v>21.186224313394</v>
      </c>
      <c r="AI6015">
        <v>93.000362477852093</v>
      </c>
      <c r="AJ6015">
        <v>90.589105383282401</v>
      </c>
      <c r="AK6015">
        <v>21.216427626031599</v>
      </c>
      <c r="AL6015">
        <v>69.892726151242499</v>
      </c>
      <c r="AM6015">
        <v>99.169107479829506</v>
      </c>
      <c r="AN6015">
        <v>0.99999996427249405</v>
      </c>
    </row>
    <row r="6016" spans="1:40" x14ac:dyDescent="0.25">
      <c r="A6016" t="str">
        <f>"20190304164244876"</f>
        <v>20190304164244876</v>
      </c>
      <c r="B6016" t="str">
        <f>"1551688964867663"</f>
        <v>1551688964867663</v>
      </c>
      <c r="C6016" t="s">
        <v>40</v>
      </c>
      <c r="D6016">
        <v>3.8113220000000001</v>
      </c>
      <c r="E6016">
        <v>0.56914469999999995</v>
      </c>
      <c r="F6016" t="s">
        <v>42</v>
      </c>
      <c r="G6016">
        <v>-356.3424</v>
      </c>
      <c r="H6016" s="1">
        <v>-2.053242E-6</v>
      </c>
      <c r="I6016">
        <v>16.787179999999999</v>
      </c>
      <c r="J6016">
        <v>-377.41460000000001</v>
      </c>
      <c r="K6016">
        <v>1.1105229999999999</v>
      </c>
      <c r="L6016">
        <v>17.610289999999999</v>
      </c>
      <c r="M6016">
        <v>0.99870159999999997</v>
      </c>
      <c r="N6016">
        <v>-9.5970220000000002E-3</v>
      </c>
      <c r="O6016">
        <v>-5.0031829999999999E-2</v>
      </c>
      <c r="P6016">
        <v>0.93643279999999995</v>
      </c>
      <c r="Q6016">
        <v>0.33542270000000002</v>
      </c>
      <c r="R6016">
        <v>0.10288600000000001</v>
      </c>
      <c r="S6016">
        <v>3.2783199999999999</v>
      </c>
      <c r="T6016">
        <v>-0.1717023</v>
      </c>
      <c r="U6016">
        <v>-0.12820429999999999</v>
      </c>
      <c r="V6016">
        <v>-0.14998510000000001</v>
      </c>
      <c r="W6016">
        <v>0.3441707</v>
      </c>
      <c r="X6016">
        <v>0.92684999999999995</v>
      </c>
      <c r="Y6016">
        <v>-1.090475E-2</v>
      </c>
      <c r="Z6016">
        <v>2.4738379999999999E-3</v>
      </c>
      <c r="AA6016">
        <v>0.99993750000000003</v>
      </c>
      <c r="AB6016">
        <v>24</v>
      </c>
      <c r="AC6016">
        <v>21.072199999999999</v>
      </c>
      <c r="AD6016">
        <v>-1.1105250532419999</v>
      </c>
      <c r="AE6016">
        <v>-0.82310999999999901</v>
      </c>
      <c r="AF6016">
        <v>-0.23160784433409001</v>
      </c>
      <c r="AG6016">
        <v>-1.1105250532419999</v>
      </c>
      <c r="AH6016">
        <v>21.028674976161401</v>
      </c>
      <c r="AI6016">
        <v>93.022800923020796</v>
      </c>
      <c r="AJ6016">
        <v>90.631024800802294</v>
      </c>
      <c r="AK6016">
        <v>21.059251632963399</v>
      </c>
      <c r="AL6016">
        <v>69.868818757618698</v>
      </c>
      <c r="AM6016">
        <v>99.192057897866107</v>
      </c>
      <c r="AN6016">
        <v>0.99999996173024897</v>
      </c>
    </row>
    <row r="6017" spans="1:40" x14ac:dyDescent="0.25">
      <c r="A6017" t="str">
        <f>"20190304164244894"</f>
        <v>20190304164244894</v>
      </c>
      <c r="B6017" t="str">
        <f>"1551688964887183"</f>
        <v>1551688964887183</v>
      </c>
      <c r="C6017" t="s">
        <v>40</v>
      </c>
      <c r="D6017">
        <v>3.8141189999999998</v>
      </c>
      <c r="E6017">
        <v>0.56880920000000001</v>
      </c>
      <c r="F6017" t="s">
        <v>42</v>
      </c>
      <c r="G6017">
        <v>-356.12610000000001</v>
      </c>
      <c r="H6017" s="1">
        <v>-2.1436870000000002E-6</v>
      </c>
      <c r="I6017">
        <v>16.800350000000002</v>
      </c>
      <c r="J6017">
        <v>-377.2158</v>
      </c>
      <c r="K6017">
        <v>1.110533</v>
      </c>
      <c r="L6017">
        <v>17.601009999999999</v>
      </c>
      <c r="M6017">
        <v>0.99873129999999999</v>
      </c>
      <c r="N6017">
        <v>-9.5771810000000006E-3</v>
      </c>
      <c r="O6017">
        <v>-4.943811E-2</v>
      </c>
      <c r="P6017">
        <v>0.93603559999999997</v>
      </c>
      <c r="Q6017">
        <v>0.3360303</v>
      </c>
      <c r="R6017">
        <v>0.1045037</v>
      </c>
      <c r="S6017">
        <v>3.2786559999999998</v>
      </c>
      <c r="T6017">
        <v>-0.17103270000000001</v>
      </c>
      <c r="U6017">
        <v>-0.1247253</v>
      </c>
      <c r="V6017">
        <v>-0.151028</v>
      </c>
      <c r="W6017">
        <v>0.34475539999999999</v>
      </c>
      <c r="X6017">
        <v>0.92646329999999999</v>
      </c>
      <c r="Y6017">
        <v>-1.137407E-2</v>
      </c>
      <c r="Z6017">
        <v>2.452465E-3</v>
      </c>
      <c r="AA6017">
        <v>0.9999323</v>
      </c>
      <c r="AB6017">
        <v>24</v>
      </c>
      <c r="AC6017">
        <v>21.089700000000001</v>
      </c>
      <c r="AD6017">
        <v>-1.1105351436869999</v>
      </c>
      <c r="AE6017">
        <v>-0.80066000000000004</v>
      </c>
      <c r="AF6017">
        <v>-0.242330867193013</v>
      </c>
      <c r="AG6017">
        <v>-1.1105351436869999</v>
      </c>
      <c r="AH6017">
        <v>21.0452229335007</v>
      </c>
      <c r="AI6017">
        <v>93.020438869385003</v>
      </c>
      <c r="AJ6017">
        <v>90.659718472875696</v>
      </c>
      <c r="AK6017">
        <v>21.075896680219799</v>
      </c>
      <c r="AL6017">
        <v>69.833134689737093</v>
      </c>
      <c r="AM6017">
        <v>99.258667343001406</v>
      </c>
      <c r="AN6017">
        <v>0.99999999443002496</v>
      </c>
    </row>
    <row r="6018" spans="1:40" x14ac:dyDescent="0.25">
      <c r="A6018" t="str">
        <f>"20190304164244906"</f>
        <v>20190304164244906</v>
      </c>
      <c r="B6018" t="str">
        <f>"1551688964896944"</f>
        <v>1551688964896944</v>
      </c>
      <c r="C6018" t="s">
        <v>40</v>
      </c>
      <c r="D6018">
        <v>3.7965270000000002</v>
      </c>
      <c r="E6018">
        <v>0.56863490000000005</v>
      </c>
      <c r="F6018" t="s">
        <v>42</v>
      </c>
      <c r="G6018">
        <v>-355.82709999999997</v>
      </c>
      <c r="H6018" s="1">
        <v>-2.2663199999999999E-6</v>
      </c>
      <c r="I6018">
        <v>16.83222</v>
      </c>
      <c r="J6018">
        <v>-377.0926</v>
      </c>
      <c r="K6018">
        <v>1.11053</v>
      </c>
      <c r="L6018">
        <v>17.595310000000001</v>
      </c>
      <c r="M6018">
        <v>0.99874960000000002</v>
      </c>
      <c r="N6018">
        <v>-9.5646280000000004E-3</v>
      </c>
      <c r="O6018">
        <v>-4.9070299999999997E-2</v>
      </c>
      <c r="P6018">
        <v>0.93598599999999998</v>
      </c>
      <c r="Q6018">
        <v>0.33589000000000002</v>
      </c>
      <c r="R6018">
        <v>0.1053948</v>
      </c>
      <c r="S6018">
        <v>3.2793269999999999</v>
      </c>
      <c r="T6018">
        <v>-0.1702679</v>
      </c>
      <c r="U6018">
        <v>-0.1178589</v>
      </c>
      <c r="V6018">
        <v>-0.15157290000000001</v>
      </c>
      <c r="W6018">
        <v>0.34460269999999998</v>
      </c>
      <c r="X6018">
        <v>0.92643109999999995</v>
      </c>
      <c r="Y6018">
        <v>-1.310265E-2</v>
      </c>
      <c r="Z6018">
        <v>2.4773099999999999E-3</v>
      </c>
      <c r="AA6018">
        <v>0.99991110000000005</v>
      </c>
      <c r="AB6018">
        <v>24</v>
      </c>
      <c r="AC6018">
        <v>21.265499999999999</v>
      </c>
      <c r="AD6018">
        <v>-1.1105322663199999</v>
      </c>
      <c r="AE6018">
        <v>-0.76309000000000105</v>
      </c>
      <c r="AF6018">
        <v>-0.280617178927347</v>
      </c>
      <c r="AG6018">
        <v>-1.1105322663199999</v>
      </c>
      <c r="AH6018">
        <v>21.219531743298202</v>
      </c>
      <c r="AI6018">
        <v>92.995601740653797</v>
      </c>
      <c r="AJ6018">
        <v>90.757662469527304</v>
      </c>
      <c r="AK6018">
        <v>21.250424826823799</v>
      </c>
      <c r="AL6018">
        <v>69.842454461135006</v>
      </c>
      <c r="AM6018">
        <v>99.291807809297495</v>
      </c>
      <c r="AN6018">
        <v>0.99999997395445395</v>
      </c>
    </row>
    <row r="6019" spans="1:40" x14ac:dyDescent="0.25">
      <c r="A6019" t="str">
        <f>"20190304164244918"</f>
        <v>20190304164244918</v>
      </c>
      <c r="B6019" t="str">
        <f>"1551688964907680"</f>
        <v>1551688964907680</v>
      </c>
      <c r="C6019" t="s">
        <v>40</v>
      </c>
      <c r="D6019">
        <v>3.8022459999999998</v>
      </c>
      <c r="E6019">
        <v>0.56852259999999999</v>
      </c>
      <c r="F6019" t="s">
        <v>42</v>
      </c>
      <c r="G6019">
        <v>-355.81659999999999</v>
      </c>
      <c r="H6019" s="1">
        <v>-2.2668289999999998E-6</v>
      </c>
      <c r="I6019">
        <v>16.854749999999999</v>
      </c>
      <c r="J6019">
        <v>-376.97149999999999</v>
      </c>
      <c r="K6019">
        <v>1.1105339999999999</v>
      </c>
      <c r="L6019">
        <v>17.589749999999999</v>
      </c>
      <c r="M6019">
        <v>0.99876739999999997</v>
      </c>
      <c r="N6019">
        <v>-9.5517039999999994E-3</v>
      </c>
      <c r="O6019">
        <v>-4.8707269999999997E-2</v>
      </c>
      <c r="P6019">
        <v>0.93593320000000002</v>
      </c>
      <c r="Q6019">
        <v>0.33573340000000002</v>
      </c>
      <c r="R6019">
        <v>0.1063587</v>
      </c>
      <c r="S6019">
        <v>3.27948</v>
      </c>
      <c r="T6019">
        <v>-0.17117689999999999</v>
      </c>
      <c r="U6019">
        <v>-0.11413570000000001</v>
      </c>
      <c r="V6019">
        <v>-0.15219530000000001</v>
      </c>
      <c r="W6019">
        <v>0.34443259999999998</v>
      </c>
      <c r="X6019">
        <v>0.92639229999999995</v>
      </c>
      <c r="Y6019">
        <v>-1.387291E-2</v>
      </c>
      <c r="Z6019">
        <v>2.5014999999999998E-3</v>
      </c>
      <c r="AA6019">
        <v>0.99990060000000003</v>
      </c>
      <c r="AB6019">
        <v>24</v>
      </c>
      <c r="AC6019">
        <v>21.154900000000001</v>
      </c>
      <c r="AD6019">
        <v>-1.110536266829</v>
      </c>
      <c r="AE6019">
        <v>-0.73499999999999899</v>
      </c>
      <c r="AF6019">
        <v>-0.29550355264528599</v>
      </c>
      <c r="AG6019">
        <v>-1.110536266829</v>
      </c>
      <c r="AH6019">
        <v>21.1074930186602</v>
      </c>
      <c r="AI6019">
        <v>93.011452329512295</v>
      </c>
      <c r="AJ6019">
        <v>90.802084850023604</v>
      </c>
      <c r="AK6019">
        <v>21.138752912183801</v>
      </c>
      <c r="AL6019">
        <v>69.852835729042198</v>
      </c>
      <c r="AM6019">
        <v>99.329676907808803</v>
      </c>
      <c r="AN6019">
        <v>0.99999995939206898</v>
      </c>
    </row>
    <row r="6020" spans="1:40" x14ac:dyDescent="0.25">
      <c r="A6020" t="str">
        <f>"20190304164244931"</f>
        <v>20190304164244931</v>
      </c>
      <c r="B6020" t="str">
        <f>"1551688964927199"</f>
        <v>1551688964927199</v>
      </c>
      <c r="C6020" t="s">
        <v>40</v>
      </c>
      <c r="D6020">
        <v>3.8090280000000001</v>
      </c>
      <c r="E6020">
        <v>0.56821829999999995</v>
      </c>
      <c r="F6020" t="s">
        <v>42</v>
      </c>
      <c r="G6020">
        <v>-355.80160000000001</v>
      </c>
      <c r="H6020" s="1">
        <v>-2.269362E-6</v>
      </c>
      <c r="I6020">
        <v>16.876560000000001</v>
      </c>
      <c r="J6020">
        <v>-376.84050000000002</v>
      </c>
      <c r="K6020">
        <v>1.110541</v>
      </c>
      <c r="L6020">
        <v>17.5838</v>
      </c>
      <c r="M6020">
        <v>0.99878659999999997</v>
      </c>
      <c r="N6020">
        <v>-9.5369579999999999E-3</v>
      </c>
      <c r="O6020">
        <v>-4.8314889999999999E-2</v>
      </c>
      <c r="P6020">
        <v>0.93593119999999996</v>
      </c>
      <c r="Q6020">
        <v>0.33551720000000002</v>
      </c>
      <c r="R6020">
        <v>0.1070579</v>
      </c>
      <c r="S6020">
        <v>3.279633</v>
      </c>
      <c r="T6020">
        <v>-0.17204449999999999</v>
      </c>
      <c r="U6020">
        <v>-0.11047360000000001</v>
      </c>
      <c r="V6020">
        <v>-0.15252879999999999</v>
      </c>
      <c r="W6020">
        <v>0.34420250000000002</v>
      </c>
      <c r="X6020">
        <v>0.926423</v>
      </c>
      <c r="Y6020">
        <v>-1.459531E-2</v>
      </c>
      <c r="Z6020">
        <v>2.5223149999999998E-3</v>
      </c>
      <c r="AA6020">
        <v>0.99989030000000001</v>
      </c>
      <c r="AB6020">
        <v>24</v>
      </c>
      <c r="AC6020">
        <v>21.038900000000002</v>
      </c>
      <c r="AD6020">
        <v>-1.1105432693619901</v>
      </c>
      <c r="AE6020">
        <v>-0.70723999999999798</v>
      </c>
      <c r="AF6020">
        <v>-0.30926369216872202</v>
      </c>
      <c r="AG6020">
        <v>-1.1105432693619901</v>
      </c>
      <c r="AH6020">
        <v>20.990081090561699</v>
      </c>
      <c r="AI6020">
        <v>93.028253379897393</v>
      </c>
      <c r="AJ6020">
        <v>90.844123574182106</v>
      </c>
      <c r="AK6020">
        <v>21.021713882858698</v>
      </c>
      <c r="AL6020">
        <v>69.866878682040493</v>
      </c>
      <c r="AM6020">
        <v>99.349455703836298</v>
      </c>
      <c r="AN6020">
        <v>0.99999998538234403</v>
      </c>
    </row>
    <row r="6021" spans="1:40" x14ac:dyDescent="0.25">
      <c r="A6021" t="str">
        <f>"20190304164244942"</f>
        <v>20190304164244942</v>
      </c>
      <c r="B6021" t="str">
        <f>"1551688964936959"</f>
        <v>1551688964936959</v>
      </c>
      <c r="C6021" t="s">
        <v>40</v>
      </c>
      <c r="D6021">
        <v>3.841621</v>
      </c>
      <c r="E6021">
        <v>0.56810190000000005</v>
      </c>
      <c r="F6021" t="s">
        <v>42</v>
      </c>
      <c r="G6021">
        <v>-355.98630000000003</v>
      </c>
      <c r="H6021" s="1">
        <v>-2.183481E-6</v>
      </c>
      <c r="I6021">
        <v>16.91412</v>
      </c>
      <c r="J6021">
        <v>-376.70519999999999</v>
      </c>
      <c r="K6021">
        <v>1.1105480000000001</v>
      </c>
      <c r="L6021">
        <v>17.5777</v>
      </c>
      <c r="M6021">
        <v>0.99880630000000004</v>
      </c>
      <c r="N6021">
        <v>-9.5213999999999993E-3</v>
      </c>
      <c r="O6021">
        <v>-4.7909399999999998E-2</v>
      </c>
      <c r="P6021">
        <v>0.93584699999999998</v>
      </c>
      <c r="Q6021">
        <v>0.33554719999999999</v>
      </c>
      <c r="R6021">
        <v>0.107697</v>
      </c>
      <c r="S6021">
        <v>3.2799990000000001</v>
      </c>
      <c r="T6021">
        <v>-0.17466899999999999</v>
      </c>
      <c r="U6021">
        <v>-0.1053162</v>
      </c>
      <c r="V6021">
        <v>-0.1527859</v>
      </c>
      <c r="W6021">
        <v>0.34421689999999999</v>
      </c>
      <c r="X6021">
        <v>0.92637530000000001</v>
      </c>
      <c r="Y6021">
        <v>-1.575973E-2</v>
      </c>
      <c r="Z6021">
        <v>2.5859450000000001E-3</v>
      </c>
      <c r="AA6021">
        <v>0.99987239999999999</v>
      </c>
      <c r="AB6021">
        <v>24</v>
      </c>
      <c r="AC6021">
        <v>20.718899999999898</v>
      </c>
      <c r="AD6021">
        <v>-1.1105501834810001</v>
      </c>
      <c r="AE6021">
        <v>-0.66357999999999895</v>
      </c>
      <c r="AF6021">
        <v>-0.32891312153924601</v>
      </c>
      <c r="AG6021">
        <v>-1.1105501834810001</v>
      </c>
      <c r="AH6021">
        <v>20.6675810669547</v>
      </c>
      <c r="AI6021">
        <v>93.075380272232906</v>
      </c>
      <c r="AJ6021">
        <v>90.9117536729552</v>
      </c>
      <c r="AK6021">
        <v>20.7000099688549</v>
      </c>
      <c r="AL6021">
        <v>69.866000251752197</v>
      </c>
      <c r="AM6021">
        <v>99.365409702493494</v>
      </c>
      <c r="AN6021">
        <v>1.0000000009672501</v>
      </c>
    </row>
    <row r="6022" spans="1:40" x14ac:dyDescent="0.25">
      <c r="A6022" t="str">
        <f>"20190304164244960"</f>
        <v>20190304164244960</v>
      </c>
      <c r="B6022" t="str">
        <f>"1551688964957455"</f>
        <v>1551688964957455</v>
      </c>
      <c r="C6022" t="s">
        <v>40</v>
      </c>
      <c r="D6022">
        <v>3.8350059999999999</v>
      </c>
      <c r="E6022">
        <v>0.5679691</v>
      </c>
      <c r="F6022" t="s">
        <v>42</v>
      </c>
      <c r="G6022">
        <v>-355.97559999999999</v>
      </c>
      <c r="H6022" s="1">
        <v>-2.1844210000000002E-6</v>
      </c>
      <c r="I6022">
        <v>16.934660000000001</v>
      </c>
      <c r="J6022">
        <v>-376.52210000000002</v>
      </c>
      <c r="K6022">
        <v>1.110555</v>
      </c>
      <c r="L6022">
        <v>17.569520000000001</v>
      </c>
      <c r="M6022">
        <v>0.99883279999999997</v>
      </c>
      <c r="N6022">
        <v>-9.5011160000000004E-3</v>
      </c>
      <c r="O6022">
        <v>-4.7359650000000003E-2</v>
      </c>
      <c r="P6022">
        <v>0.93573300000000004</v>
      </c>
      <c r="Q6022">
        <v>0.33545809999999998</v>
      </c>
      <c r="R6022">
        <v>0.10895680000000001</v>
      </c>
      <c r="S6022">
        <v>3.2803960000000001</v>
      </c>
      <c r="T6022">
        <v>-0.17574119999999999</v>
      </c>
      <c r="U6022">
        <v>-0.10174560000000001</v>
      </c>
      <c r="V6022">
        <v>-0.15352789999999999</v>
      </c>
      <c r="W6022">
        <v>0.34410760000000001</v>
      </c>
      <c r="X6022">
        <v>0.92629329999999999</v>
      </c>
      <c r="Y6022">
        <v>-1.629912E-2</v>
      </c>
      <c r="Z6022">
        <v>2.5974840000000002E-3</v>
      </c>
      <c r="AA6022">
        <v>0.99986379999999997</v>
      </c>
      <c r="AB6022">
        <v>24</v>
      </c>
      <c r="AC6022">
        <v>20.546500000000002</v>
      </c>
      <c r="AD6022">
        <v>-1.110557184421</v>
      </c>
      <c r="AE6022">
        <v>-0.63485999999999898</v>
      </c>
      <c r="AF6022">
        <v>-0.33798484703125398</v>
      </c>
      <c r="AG6022">
        <v>-1.110557184421</v>
      </c>
      <c r="AH6022">
        <v>20.493695581801301</v>
      </c>
      <c r="AI6022">
        <v>93.101414163999905</v>
      </c>
      <c r="AJ6022">
        <v>90.944844221705196</v>
      </c>
      <c r="AK6022">
        <v>20.526546948189701</v>
      </c>
      <c r="AL6022">
        <v>69.872671530251196</v>
      </c>
      <c r="AM6022">
        <v>99.410899066209694</v>
      </c>
      <c r="AN6022">
        <v>1.00000006704052</v>
      </c>
    </row>
    <row r="6023" spans="1:40" x14ac:dyDescent="0.25">
      <c r="A6023" t="str">
        <f>"20190304164244973"</f>
        <v>20190304164244973</v>
      </c>
      <c r="B6023" t="str">
        <f>"1551688964967215"</f>
        <v>1551688964967215</v>
      </c>
      <c r="C6023" t="s">
        <v>40</v>
      </c>
      <c r="D6023">
        <v>3.8190680000000001</v>
      </c>
      <c r="E6023">
        <v>0.56793959999999999</v>
      </c>
      <c r="F6023" t="s">
        <v>42</v>
      </c>
      <c r="G6023">
        <v>-355.98180000000002</v>
      </c>
      <c r="H6023" s="1">
        <v>-2.1755050000000001E-6</v>
      </c>
      <c r="I6023">
        <v>16.96987</v>
      </c>
      <c r="J6023">
        <v>-376.38889999999998</v>
      </c>
      <c r="K6023">
        <v>1.1105609999999999</v>
      </c>
      <c r="L6023">
        <v>17.56363</v>
      </c>
      <c r="M6023">
        <v>0.99885190000000001</v>
      </c>
      <c r="N6023">
        <v>-9.4876979999999993E-3</v>
      </c>
      <c r="O6023">
        <v>-4.6959420000000002E-2</v>
      </c>
      <c r="P6023">
        <v>0.93574460000000004</v>
      </c>
      <c r="Q6023">
        <v>0.33516770000000001</v>
      </c>
      <c r="R6023">
        <v>0.10974979999999999</v>
      </c>
      <c r="S6023">
        <v>3.2807919999999999</v>
      </c>
      <c r="T6023">
        <v>-0.17738370000000001</v>
      </c>
      <c r="U6023">
        <v>-9.5764160000000001E-2</v>
      </c>
      <c r="V6023">
        <v>-0.15394849999999999</v>
      </c>
      <c r="W6023">
        <v>0.343804</v>
      </c>
      <c r="X6023">
        <v>0.92633620000000005</v>
      </c>
      <c r="Y6023">
        <v>-1.7719889999999999E-2</v>
      </c>
      <c r="Z6023">
        <v>2.6527949999999999E-3</v>
      </c>
      <c r="AA6023">
        <v>0.99983949999999999</v>
      </c>
      <c r="AB6023">
        <v>24</v>
      </c>
      <c r="AC6023">
        <v>20.4070999999999</v>
      </c>
      <c r="AD6023">
        <v>-1.1105631755050001</v>
      </c>
      <c r="AE6023">
        <v>-0.59375999999999896</v>
      </c>
      <c r="AF6023">
        <v>-0.36416606045246602</v>
      </c>
      <c r="AG6023">
        <v>-1.1105631755050001</v>
      </c>
      <c r="AH6023">
        <v>20.3522448147273</v>
      </c>
      <c r="AI6023">
        <v>93.122868641770296</v>
      </c>
      <c r="AJ6023">
        <v>91.025093406379696</v>
      </c>
      <c r="AK6023">
        <v>20.3857753466717</v>
      </c>
      <c r="AL6023">
        <v>69.891196334439201</v>
      </c>
      <c r="AM6023">
        <v>99.435788647935496</v>
      </c>
      <c r="AN6023">
        <v>1.0000000432493401</v>
      </c>
    </row>
    <row r="6024" spans="1:40" x14ac:dyDescent="0.25">
      <c r="A6024" t="str">
        <f>"20190304164244986"</f>
        <v>20190304164244986</v>
      </c>
      <c r="B6024" t="str">
        <f>"1551688964976975"</f>
        <v>1551688964976975</v>
      </c>
      <c r="C6024" t="s">
        <v>40</v>
      </c>
      <c r="D6024">
        <v>3.8173370000000002</v>
      </c>
      <c r="E6024">
        <v>0.56791510000000001</v>
      </c>
      <c r="F6024" t="s">
        <v>42</v>
      </c>
      <c r="G6024">
        <v>-356.01459999999997</v>
      </c>
      <c r="H6024" s="1">
        <v>-2.1582649999999998E-6</v>
      </c>
      <c r="I6024">
        <v>16.98781</v>
      </c>
      <c r="J6024">
        <v>-376.24860000000001</v>
      </c>
      <c r="K6024">
        <v>1.110565</v>
      </c>
      <c r="L6024">
        <v>17.55753</v>
      </c>
      <c r="M6024">
        <v>0.99887170000000003</v>
      </c>
      <c r="N6024">
        <v>-9.4742100000000003E-3</v>
      </c>
      <c r="O6024">
        <v>-4.6537479999999999E-2</v>
      </c>
      <c r="P6024">
        <v>0.93575010000000003</v>
      </c>
      <c r="Q6024">
        <v>0.33483489999999999</v>
      </c>
      <c r="R6024">
        <v>0.11071449999999999</v>
      </c>
      <c r="S6024">
        <v>3.280945</v>
      </c>
      <c r="T6024">
        <v>-0.17883789999999999</v>
      </c>
      <c r="U6024">
        <v>-9.27124E-2</v>
      </c>
      <c r="V6024">
        <v>-0.15452009999999999</v>
      </c>
      <c r="W6024">
        <v>0.34345829999999999</v>
      </c>
      <c r="X6024">
        <v>0.9263692</v>
      </c>
      <c r="Y6024">
        <v>-1.8226249999999999E-2</v>
      </c>
      <c r="Z6024">
        <v>2.675134E-3</v>
      </c>
      <c r="AA6024">
        <v>0.99983029999999995</v>
      </c>
      <c r="AB6024">
        <v>24</v>
      </c>
      <c r="AC6024">
        <v>20.234000000000002</v>
      </c>
      <c r="AD6024">
        <v>-1.1105671582650001</v>
      </c>
      <c r="AE6024">
        <v>-0.56972</v>
      </c>
      <c r="AF6024">
        <v>-0.37146073869977198</v>
      </c>
      <c r="AG6024">
        <v>-1.1105671582650001</v>
      </c>
      <c r="AH6024">
        <v>20.177852414760199</v>
      </c>
      <c r="AI6024">
        <v>93.149786572856996</v>
      </c>
      <c r="AJ6024">
        <v>91.0546577665868</v>
      </c>
      <c r="AK6024">
        <v>20.2118052277686</v>
      </c>
      <c r="AL6024">
        <v>69.912286532555299</v>
      </c>
      <c r="AM6024">
        <v>99.469858361237101</v>
      </c>
      <c r="AN6024">
        <v>0.99999997992576894</v>
      </c>
    </row>
    <row r="6025" spans="1:40" x14ac:dyDescent="0.25">
      <c r="A6025" t="str">
        <f>"20190304164245000"</f>
        <v>20190304164245000</v>
      </c>
      <c r="B6025" t="str">
        <f>"1551688964997471"</f>
        <v>1551688964997471</v>
      </c>
      <c r="C6025" t="s">
        <v>40</v>
      </c>
      <c r="D6025">
        <v>3.8164030000000002</v>
      </c>
      <c r="E6025">
        <v>0.56771890000000003</v>
      </c>
      <c r="F6025" t="s">
        <v>42</v>
      </c>
      <c r="G6025">
        <v>-356.03559999999999</v>
      </c>
      <c r="H6025" s="1">
        <v>-2.146229E-6</v>
      </c>
      <c r="I6025">
        <v>17.004909999999999</v>
      </c>
      <c r="J6025">
        <v>-376.09089999999998</v>
      </c>
      <c r="K6025">
        <v>1.110568</v>
      </c>
      <c r="L6025">
        <v>17.550660000000001</v>
      </c>
      <c r="M6025">
        <v>0.9988939</v>
      </c>
      <c r="N6025">
        <v>-9.4602350000000009E-3</v>
      </c>
      <c r="O6025">
        <v>-4.6063569999999998E-2</v>
      </c>
      <c r="P6025">
        <v>0.93568689999999999</v>
      </c>
      <c r="Q6025">
        <v>0.33473049999999999</v>
      </c>
      <c r="R6025">
        <v>0.1115625</v>
      </c>
      <c r="S6025">
        <v>3.2810969999999999</v>
      </c>
      <c r="T6025">
        <v>-0.1802745</v>
      </c>
      <c r="U6025">
        <v>-8.9691160000000006E-2</v>
      </c>
      <c r="V6025">
        <v>-0.1549239</v>
      </c>
      <c r="W6025">
        <v>0.34333970000000003</v>
      </c>
      <c r="X6025">
        <v>0.9263458</v>
      </c>
      <c r="Y6025">
        <v>-1.8671429999999999E-2</v>
      </c>
      <c r="Z6025">
        <v>2.6926939999999998E-3</v>
      </c>
      <c r="AA6025">
        <v>0.99982199999999999</v>
      </c>
      <c r="AB6025">
        <v>24</v>
      </c>
      <c r="AC6025">
        <v>20.0552999999999</v>
      </c>
      <c r="AD6025">
        <v>-1.1105701462289901</v>
      </c>
      <c r="AE6025">
        <v>-0.54575000000000096</v>
      </c>
      <c r="AF6025">
        <v>-0.37753242329662801</v>
      </c>
      <c r="AG6025">
        <v>-1.1105701462289901</v>
      </c>
      <c r="AH6025">
        <v>19.997873134176601</v>
      </c>
      <c r="AI6025">
        <v>93.178057345485001</v>
      </c>
      <c r="AJ6025">
        <v>91.081537276742694</v>
      </c>
      <c r="AK6025">
        <v>20.032244673799202</v>
      </c>
      <c r="AL6025">
        <v>69.919523317038397</v>
      </c>
      <c r="AM6025">
        <v>99.494390999751303</v>
      </c>
      <c r="AN6025">
        <v>1.00000005278246</v>
      </c>
    </row>
    <row r="6026" spans="1:40" x14ac:dyDescent="0.25">
      <c r="A6026" t="str">
        <f>"20190304164245017"</f>
        <v>20190304164245017</v>
      </c>
      <c r="B6026" t="str">
        <f>"1551688965007232"</f>
        <v>1551688965007232</v>
      </c>
      <c r="C6026" t="s">
        <v>40</v>
      </c>
      <c r="D6026">
        <v>3.85012</v>
      </c>
      <c r="E6026">
        <v>0.56763540000000001</v>
      </c>
      <c r="F6026" t="s">
        <v>42</v>
      </c>
      <c r="G6026">
        <v>-356.06319999999999</v>
      </c>
      <c r="H6026" s="1">
        <v>-2.1300649999999998E-6</v>
      </c>
      <c r="I6026">
        <v>17.029250000000001</v>
      </c>
      <c r="J6026">
        <v>-375.90539999999999</v>
      </c>
      <c r="K6026">
        <v>1.1105769999999999</v>
      </c>
      <c r="L6026">
        <v>17.542719999999999</v>
      </c>
      <c r="M6026">
        <v>0.99891940000000001</v>
      </c>
      <c r="N6026">
        <v>-9.4454080000000006E-3</v>
      </c>
      <c r="O6026">
        <v>-4.5504889999999999E-2</v>
      </c>
      <c r="P6026">
        <v>0.93559749999999997</v>
      </c>
      <c r="Q6026">
        <v>0.33458369999999998</v>
      </c>
      <c r="R6026">
        <v>0.112744</v>
      </c>
      <c r="S6026">
        <v>3.2814939999999999</v>
      </c>
      <c r="T6026">
        <v>-0.18196509999999999</v>
      </c>
      <c r="U6026">
        <v>-8.54187E-2</v>
      </c>
      <c r="V6026">
        <v>-0.15558079999999999</v>
      </c>
      <c r="W6026">
        <v>0.34317750000000002</v>
      </c>
      <c r="X6026">
        <v>0.9262958</v>
      </c>
      <c r="Y6026">
        <v>-1.9413940000000001E-2</v>
      </c>
      <c r="Z6026">
        <v>2.7198460000000002E-3</v>
      </c>
      <c r="AA6026">
        <v>0.99980780000000002</v>
      </c>
      <c r="AB6026">
        <v>24</v>
      </c>
      <c r="AC6026">
        <v>19.842199999999899</v>
      </c>
      <c r="AD6026">
        <v>-1.1105791300650001</v>
      </c>
      <c r="AE6026">
        <v>-0.51347000000000098</v>
      </c>
      <c r="AF6026">
        <v>-0.38880221887101801</v>
      </c>
      <c r="AG6026">
        <v>-1.1105791300650001</v>
      </c>
      <c r="AH6026">
        <v>19.783077331054098</v>
      </c>
      <c r="AI6026">
        <v>93.212469492300301</v>
      </c>
      <c r="AJ6026">
        <v>91.125904648778999</v>
      </c>
      <c r="AK6026">
        <v>19.818039808618899</v>
      </c>
      <c r="AL6026">
        <v>69.929417722937899</v>
      </c>
      <c r="AM6026">
        <v>99.534416292548798</v>
      </c>
      <c r="AN6026">
        <v>1.0000000454662601</v>
      </c>
    </row>
    <row r="6027" spans="1:40" x14ac:dyDescent="0.25">
      <c r="A6027" t="str">
        <f>"20190304164245030"</f>
        <v>20190304164245030</v>
      </c>
      <c r="B6027" t="str">
        <f>"1551688965027727"</f>
        <v>1551688965027727</v>
      </c>
      <c r="C6027" t="s">
        <v>40</v>
      </c>
      <c r="D6027">
        <v>3.8741560000000002</v>
      </c>
      <c r="E6027">
        <v>0.56754259999999901</v>
      </c>
      <c r="F6027" t="s">
        <v>42</v>
      </c>
      <c r="G6027">
        <v>-355.97699999999998</v>
      </c>
      <c r="H6027" s="1">
        <v>-2.1639070000000001E-6</v>
      </c>
      <c r="I6027">
        <v>17.047090000000001</v>
      </c>
      <c r="J6027">
        <v>-375.76710000000003</v>
      </c>
      <c r="K6027">
        <v>1.1105849999999999</v>
      </c>
      <c r="L6027">
        <v>17.536899999999999</v>
      </c>
      <c r="M6027">
        <v>0.99893869999999896</v>
      </c>
      <c r="N6027">
        <v>-9.4332010000000004E-3</v>
      </c>
      <c r="O6027">
        <v>-4.5085090000000001E-2</v>
      </c>
      <c r="P6027">
        <v>0.93560489999999996</v>
      </c>
      <c r="Q6027">
        <v>0.33434439999999999</v>
      </c>
      <c r="R6027">
        <v>0.11339050000000001</v>
      </c>
      <c r="S6027">
        <v>3.2817379999999998</v>
      </c>
      <c r="T6027">
        <v>-0.18288560000000001</v>
      </c>
      <c r="U6027">
        <v>-8.1603999999999996E-2</v>
      </c>
      <c r="V6027">
        <v>-0.15583849999999999</v>
      </c>
      <c r="W6027">
        <v>0.3429258</v>
      </c>
      <c r="X6027">
        <v>0.92634559999999999</v>
      </c>
      <c r="Y6027">
        <v>-2.0155300000000001E-2</v>
      </c>
      <c r="Z6027">
        <v>2.740311E-3</v>
      </c>
      <c r="AA6027">
        <v>0.99979309999999999</v>
      </c>
      <c r="AB6027">
        <v>24</v>
      </c>
      <c r="AC6027">
        <v>19.790099999999999</v>
      </c>
      <c r="AD6027">
        <v>-1.110587163907</v>
      </c>
      <c r="AE6027">
        <v>-0.48980999999999802</v>
      </c>
      <c r="AF6027">
        <v>-0.40170187720542</v>
      </c>
      <c r="AG6027">
        <v>-1.110587163907</v>
      </c>
      <c r="AH6027">
        <v>19.729961907895401</v>
      </c>
      <c r="AI6027">
        <v>93.221077481673007</v>
      </c>
      <c r="AJ6027">
        <v>91.166380494820004</v>
      </c>
      <c r="AK6027">
        <v>19.765276753281</v>
      </c>
      <c r="AL6027">
        <v>69.944768883816394</v>
      </c>
      <c r="AM6027">
        <v>99.549414268842298</v>
      </c>
      <c r="AN6027">
        <v>0.99999995651362295</v>
      </c>
    </row>
    <row r="6028" spans="1:40" x14ac:dyDescent="0.25">
      <c r="A6028" t="str">
        <f>"20190304164245051"</f>
        <v>20190304164245051</v>
      </c>
      <c r="B6028" t="str">
        <f>"1551688965047248"</f>
        <v>1551688965047248</v>
      </c>
      <c r="C6028" t="s">
        <v>40</v>
      </c>
      <c r="D6028">
        <v>3.8659539999999999</v>
      </c>
      <c r="E6028">
        <v>0.56742729999999997</v>
      </c>
      <c r="F6028" t="s">
        <v>42</v>
      </c>
      <c r="G6028">
        <v>-356.03460000000001</v>
      </c>
      <c r="H6028" s="1">
        <v>-2.136425E-6</v>
      </c>
      <c r="I6028">
        <v>17.062519999999999</v>
      </c>
      <c r="J6028">
        <v>-375.54860000000002</v>
      </c>
      <c r="K6028">
        <v>1.1105959999999999</v>
      </c>
      <c r="L6028">
        <v>17.52777</v>
      </c>
      <c r="M6028">
        <v>0.99896890000000005</v>
      </c>
      <c r="N6028">
        <v>-9.4119919999999992E-3</v>
      </c>
      <c r="O6028">
        <v>-4.4413439999999998E-2</v>
      </c>
      <c r="P6028">
        <v>0.93553770000000003</v>
      </c>
      <c r="Q6028">
        <v>0.33416780000000001</v>
      </c>
      <c r="R6028">
        <v>0.1144614</v>
      </c>
      <c r="S6028">
        <v>3.2820429999999998</v>
      </c>
      <c r="T6028">
        <v>-0.18472089999999999</v>
      </c>
      <c r="U6028">
        <v>-7.8887940000000004E-2</v>
      </c>
      <c r="V6028">
        <v>-0.1562866</v>
      </c>
      <c r="W6028">
        <v>0.34272649999999999</v>
      </c>
      <c r="X6028">
        <v>0.9263439</v>
      </c>
      <c r="Y6028">
        <v>-2.0310849999999998E-2</v>
      </c>
      <c r="Z6028">
        <v>2.7452750000000001E-3</v>
      </c>
      <c r="AA6028">
        <v>0.99978999999999996</v>
      </c>
      <c r="AB6028">
        <v>24</v>
      </c>
      <c r="AC6028">
        <v>19.513999999999999</v>
      </c>
      <c r="AD6028">
        <v>-1.1105981364249999</v>
      </c>
      <c r="AE6028">
        <v>-0.465249999999997</v>
      </c>
      <c r="AF6028">
        <v>-0.40063444141336801</v>
      </c>
      <c r="AG6028">
        <v>-1.1105981364249999</v>
      </c>
      <c r="AH6028">
        <v>19.452434715690401</v>
      </c>
      <c r="AI6028">
        <v>93.266950123759798</v>
      </c>
      <c r="AJ6028">
        <v>91.179873787378099</v>
      </c>
      <c r="AK6028">
        <v>19.4882311291835</v>
      </c>
      <c r="AL6028">
        <v>69.956925242710398</v>
      </c>
      <c r="AM6028">
        <v>99.576382204002599</v>
      </c>
      <c r="AN6028">
        <v>0.99999998810450996</v>
      </c>
    </row>
    <row r="6029" spans="1:40" x14ac:dyDescent="0.25">
      <c r="A6029" t="str">
        <f>"20190304164245062"</f>
        <v>20190304164245062</v>
      </c>
      <c r="B6029" t="str">
        <f>"1551688965057007"</f>
        <v>1551688965057007</v>
      </c>
      <c r="C6029" t="s">
        <v>40</v>
      </c>
      <c r="D6029">
        <v>3.9134500000000001</v>
      </c>
      <c r="E6029">
        <v>0.5674245</v>
      </c>
      <c r="F6029" t="s">
        <v>42</v>
      </c>
      <c r="G6029">
        <v>-356.03870000000001</v>
      </c>
      <c r="H6029" s="1">
        <v>-2.1302789999999998E-6</v>
      </c>
      <c r="I6029">
        <v>17.087289999999999</v>
      </c>
      <c r="J6029">
        <v>-375.41320000000002</v>
      </c>
      <c r="K6029">
        <v>1.1106049999999901</v>
      </c>
      <c r="L6029">
        <v>17.522189999999998</v>
      </c>
      <c r="M6029">
        <v>0.99898779999999998</v>
      </c>
      <c r="N6029">
        <v>-9.3982230000000007E-3</v>
      </c>
      <c r="O6029">
        <v>-4.3991919999999997E-2</v>
      </c>
      <c r="P6029">
        <v>0.93549590000000005</v>
      </c>
      <c r="Q6029">
        <v>0.3340591</v>
      </c>
      <c r="R6029">
        <v>0.11511730000000001</v>
      </c>
      <c r="S6029">
        <v>3.2825319999999998</v>
      </c>
      <c r="T6029">
        <v>-0.1868581</v>
      </c>
      <c r="U6029">
        <v>-7.4096679999999998E-2</v>
      </c>
      <c r="V6029">
        <v>-0.15655339999999901</v>
      </c>
      <c r="W6029">
        <v>0.34260200000000002</v>
      </c>
      <c r="X6029">
        <v>0.92634490000000003</v>
      </c>
      <c r="Y6029">
        <v>-2.1347410000000001E-2</v>
      </c>
      <c r="Z6029">
        <v>2.7951600000000001E-3</v>
      </c>
      <c r="AA6029">
        <v>0.9997682</v>
      </c>
      <c r="AB6029">
        <v>24</v>
      </c>
      <c r="AC6029">
        <v>19.374500000000001</v>
      </c>
      <c r="AD6029">
        <v>-1.1106071302789999</v>
      </c>
      <c r="AE6029">
        <v>-0.43489999999999801</v>
      </c>
      <c r="AF6029">
        <v>-0.41651211955887602</v>
      </c>
      <c r="AG6029">
        <v>-1.1106071302789999</v>
      </c>
      <c r="AH6029">
        <v>19.311450217740301</v>
      </c>
      <c r="AI6029">
        <v>93.290707776880495</v>
      </c>
      <c r="AJ6029">
        <v>91.235571999012507</v>
      </c>
      <c r="AK6029">
        <v>19.3478432921044</v>
      </c>
      <c r="AL6029">
        <v>69.964518212377996</v>
      </c>
      <c r="AM6029">
        <v>99.592416552916603</v>
      </c>
      <c r="AN6029">
        <v>0.99999998560578496</v>
      </c>
    </row>
    <row r="6030" spans="1:40" x14ac:dyDescent="0.25">
      <c r="A6030" t="str">
        <f>"20190304164245075"</f>
        <v>20190304164245075</v>
      </c>
      <c r="B6030" t="str">
        <f>"1551688965066767"</f>
        <v>1551688965066767</v>
      </c>
      <c r="C6030" t="s">
        <v>40</v>
      </c>
      <c r="D6030">
        <v>3.9049969999999998</v>
      </c>
      <c r="E6030">
        <v>0.56736839999999999</v>
      </c>
      <c r="F6030" t="s">
        <v>42</v>
      </c>
      <c r="G6030">
        <v>-355.97640000000001</v>
      </c>
      <c r="H6030" s="1">
        <v>-2.1552499999999998E-6</v>
      </c>
      <c r="I6030">
        <v>17.097110000000001</v>
      </c>
      <c r="J6030">
        <v>-375.27929999999998</v>
      </c>
      <c r="K6030">
        <v>1.1106149999999999</v>
      </c>
      <c r="L6030">
        <v>17.516749999999998</v>
      </c>
      <c r="M6030">
        <v>0.99900650000000002</v>
      </c>
      <c r="N6030">
        <v>-9.3853730000000007E-3</v>
      </c>
      <c r="O6030">
        <v>-4.3565260000000001E-2</v>
      </c>
      <c r="P6030">
        <v>0.93539490000000003</v>
      </c>
      <c r="Q6030">
        <v>0.33417980000000003</v>
      </c>
      <c r="R6030">
        <v>0.1155871</v>
      </c>
      <c r="S6030">
        <v>3.282654</v>
      </c>
      <c r="T6030">
        <v>-0.18756929999999999</v>
      </c>
      <c r="U6030">
        <v>-7.1777339999999995E-2</v>
      </c>
      <c r="V6030">
        <v>-0.15662879999999901</v>
      </c>
      <c r="W6030">
        <v>0.34270630000000002</v>
      </c>
      <c r="X6030">
        <v>0.92629360000000005</v>
      </c>
      <c r="Y6030">
        <v>-2.1626490000000002E-2</v>
      </c>
      <c r="Z6030">
        <v>2.7962659999999999E-3</v>
      </c>
      <c r="AA6030">
        <v>0.99976220000000005</v>
      </c>
      <c r="AB6030">
        <v>24</v>
      </c>
      <c r="AC6030">
        <v>19.302899999999902</v>
      </c>
      <c r="AD6030">
        <v>-1.1106171552499999</v>
      </c>
      <c r="AE6030">
        <v>-0.41963999999999702</v>
      </c>
      <c r="AF6030">
        <v>-0.42034049531501799</v>
      </c>
      <c r="AG6030">
        <v>-1.1106171552499999</v>
      </c>
      <c r="AH6030">
        <v>19.239194614755299</v>
      </c>
      <c r="AI6030">
        <v>93.303048924115899</v>
      </c>
      <c r="AJ6030">
        <v>91.251606726173193</v>
      </c>
      <c r="AK6030">
        <v>19.2758077916845</v>
      </c>
      <c r="AL6030">
        <v>69.958157711082293</v>
      </c>
      <c r="AM6030">
        <v>99.597472203876706</v>
      </c>
      <c r="AN6030">
        <v>1.00000001122504</v>
      </c>
    </row>
    <row r="6031" spans="1:40" x14ac:dyDescent="0.25">
      <c r="A6031" t="str">
        <f>"20190304164245087"</f>
        <v>20190304164245087</v>
      </c>
      <c r="B6031" t="str">
        <f>"1551688965077503"</f>
        <v>1551688965077503</v>
      </c>
      <c r="C6031" t="s">
        <v>40</v>
      </c>
      <c r="D6031">
        <v>3.966405</v>
      </c>
      <c r="E6031">
        <v>0.56732479999999996</v>
      </c>
      <c r="F6031" t="s">
        <v>42</v>
      </c>
      <c r="G6031">
        <v>-355.86540000000002</v>
      </c>
      <c r="H6031" s="1">
        <v>-2.2018269999999999E-6</v>
      </c>
      <c r="I6031">
        <v>17.10303</v>
      </c>
      <c r="J6031">
        <v>-375.15519999999998</v>
      </c>
      <c r="K6031">
        <v>1.110625</v>
      </c>
      <c r="L6031">
        <v>17.511749999999999</v>
      </c>
      <c r="M6031">
        <v>0.99902400000000002</v>
      </c>
      <c r="N6031">
        <v>-9.3741169999999995E-3</v>
      </c>
      <c r="O6031">
        <v>-4.3163630000000001E-2</v>
      </c>
      <c r="P6031">
        <v>0.93528719999999999</v>
      </c>
      <c r="Q6031">
        <v>0.33432709999999999</v>
      </c>
      <c r="R6031">
        <v>0.1160315</v>
      </c>
      <c r="S6031">
        <v>3.2828979999999999</v>
      </c>
      <c r="T6031">
        <v>-0.1878061</v>
      </c>
      <c r="U6031">
        <v>-6.9946289999999994E-2</v>
      </c>
      <c r="V6031">
        <v>-0.15670329999999999</v>
      </c>
      <c r="W6031">
        <v>0.3428389</v>
      </c>
      <c r="X6031">
        <v>0.9262319</v>
      </c>
      <c r="Y6031">
        <v>-2.1783449999999999E-2</v>
      </c>
      <c r="Z6031">
        <v>2.7863950000000001E-3</v>
      </c>
      <c r="AA6031">
        <v>0.99975879999999995</v>
      </c>
      <c r="AB6031">
        <v>24</v>
      </c>
      <c r="AC6031">
        <v>19.2897999999999</v>
      </c>
      <c r="AD6031">
        <v>-1.110627201827</v>
      </c>
      <c r="AE6031">
        <v>-0.40871999999999797</v>
      </c>
      <c r="AF6031">
        <v>-0.42291403678820999</v>
      </c>
      <c r="AG6031">
        <v>-1.110627201827</v>
      </c>
      <c r="AH6031">
        <v>19.2257588094513</v>
      </c>
      <c r="AI6031">
        <v>93.305371180283998</v>
      </c>
      <c r="AJ6031">
        <v>91.260146996224194</v>
      </c>
      <c r="AK6031">
        <v>19.262454435069898</v>
      </c>
      <c r="AL6031">
        <v>69.950069777711406</v>
      </c>
      <c r="AM6031">
        <v>99.602579952328895</v>
      </c>
      <c r="AN6031">
        <v>0.999999984080855</v>
      </c>
    </row>
    <row r="6032" spans="1:40" x14ac:dyDescent="0.25">
      <c r="A6032" t="str">
        <f>"20190304164245098"</f>
        <v>20190304164245098</v>
      </c>
      <c r="B6032" t="str">
        <f>"1551688965087263"</f>
        <v>1551688965087263</v>
      </c>
      <c r="C6032" t="s">
        <v>40</v>
      </c>
      <c r="D6032">
        <v>3.868703</v>
      </c>
      <c r="E6032">
        <v>0.56728269999999903</v>
      </c>
      <c r="F6032" t="s">
        <v>42</v>
      </c>
      <c r="G6032">
        <v>-355.76100000000002</v>
      </c>
      <c r="H6032" s="1">
        <v>-2.2454410000000002E-6</v>
      </c>
      <c r="I6032">
        <v>17.109660000000002</v>
      </c>
      <c r="J6032">
        <v>-375.02440000000001</v>
      </c>
      <c r="K6032">
        <v>1.1106389999999999</v>
      </c>
      <c r="L6032">
        <v>17.50656</v>
      </c>
      <c r="M6032">
        <v>0.99904269999999995</v>
      </c>
      <c r="N6032">
        <v>-9.3631159999999995E-3</v>
      </c>
      <c r="O6032">
        <v>-4.2732289999999999E-2</v>
      </c>
      <c r="P6032">
        <v>0.93527950000000004</v>
      </c>
      <c r="Q6032">
        <v>0.33418740000000002</v>
      </c>
      <c r="R6032">
        <v>0.11649569999999999</v>
      </c>
      <c r="S6032">
        <v>3.2832340000000002</v>
      </c>
      <c r="T6032">
        <v>-0.18801760000000001</v>
      </c>
      <c r="U6032">
        <v>-6.8054199999999995E-2</v>
      </c>
      <c r="V6032">
        <v>-0.15677539999999901</v>
      </c>
      <c r="W6032">
        <v>0.3426844</v>
      </c>
      <c r="X6032">
        <v>0.92627689999999996</v>
      </c>
      <c r="Y6032">
        <v>-2.1929870000000001E-2</v>
      </c>
      <c r="Z6032">
        <v>2.7741910000000001E-3</v>
      </c>
      <c r="AA6032">
        <v>0.99975570000000002</v>
      </c>
      <c r="AB6032">
        <v>24</v>
      </c>
      <c r="AC6032">
        <v>19.263400000000001</v>
      </c>
      <c r="AD6032">
        <v>-1.110641245441</v>
      </c>
      <c r="AE6032">
        <v>-0.39689999999999798</v>
      </c>
      <c r="AF6032">
        <v>-0.42525482891715399</v>
      </c>
      <c r="AG6032">
        <v>-1.110641245441</v>
      </c>
      <c r="AH6032">
        <v>19.198970320446801</v>
      </c>
      <c r="AI6032">
        <v>93.310003586164896</v>
      </c>
      <c r="AJ6032">
        <v>91.268886976861694</v>
      </c>
      <c r="AK6032">
        <v>19.235769467608801</v>
      </c>
      <c r="AL6032">
        <v>69.959493336570105</v>
      </c>
      <c r="AM6032">
        <v>99.606457801738401</v>
      </c>
      <c r="AN6032">
        <v>1.00000000976106</v>
      </c>
    </row>
    <row r="6033" spans="1:40" x14ac:dyDescent="0.25">
      <c r="A6033" t="str">
        <f>"20190304164245117"</f>
        <v>20190304164245117</v>
      </c>
      <c r="B6033" t="str">
        <f>"1551688965106786"</f>
        <v>1551688965106786</v>
      </c>
      <c r="C6033" t="s">
        <v>40</v>
      </c>
      <c r="D6033">
        <v>3.8795139999999999</v>
      </c>
      <c r="E6033">
        <v>0.56723100000000004</v>
      </c>
      <c r="F6033" t="s">
        <v>42</v>
      </c>
      <c r="G6033">
        <v>-355.75479999999999</v>
      </c>
      <c r="H6033" s="1">
        <v>-2.2466459999999998E-6</v>
      </c>
      <c r="I6033">
        <v>17.118020000000001</v>
      </c>
      <c r="J6033">
        <v>-374.83139999999997</v>
      </c>
      <c r="K6033">
        <v>1.110665</v>
      </c>
      <c r="L6033">
        <v>17.499020000000002</v>
      </c>
      <c r="M6033">
        <v>0.99907109999999999</v>
      </c>
      <c r="N6033">
        <v>-9.3489660000000002E-3</v>
      </c>
      <c r="O6033">
        <v>-4.2067420000000001E-2</v>
      </c>
      <c r="P6033">
        <v>0.93516060000000001</v>
      </c>
      <c r="Q6033">
        <v>0.334397099999999</v>
      </c>
      <c r="R6033">
        <v>0.1168472</v>
      </c>
      <c r="S6033">
        <v>3.2835079999999999</v>
      </c>
      <c r="T6033">
        <v>-0.18925120000000001</v>
      </c>
      <c r="U6033">
        <v>-6.6192630000000002E-2</v>
      </c>
      <c r="V6033">
        <v>-0.15652369999999999</v>
      </c>
      <c r="W6033">
        <v>0.34287199999999901</v>
      </c>
      <c r="X6033">
        <v>0.92625000000000002</v>
      </c>
      <c r="Y6033">
        <v>-2.1832500000000001E-2</v>
      </c>
      <c r="Z6033">
        <v>2.7592350000000001E-3</v>
      </c>
      <c r="AA6033">
        <v>0.99975780000000003</v>
      </c>
      <c r="AB6033">
        <v>24</v>
      </c>
      <c r="AC6033">
        <v>19.0765999999999</v>
      </c>
      <c r="AD6033">
        <v>-1.1106672466459999</v>
      </c>
      <c r="AE6033">
        <v>-0.38100000000000001</v>
      </c>
      <c r="AF6033">
        <v>-0.42045101405705998</v>
      </c>
      <c r="AG6033">
        <v>-1.1106672466459999</v>
      </c>
      <c r="AH6033">
        <v>19.011322131217199</v>
      </c>
      <c r="AI6033">
        <v>93.3426813127885</v>
      </c>
      <c r="AJ6033">
        <v>91.266936724459796</v>
      </c>
      <c r="AK6033">
        <v>19.048378670241298</v>
      </c>
      <c r="AL6033">
        <v>69.948050621547594</v>
      </c>
      <c r="AM6033">
        <v>99.591594929666101</v>
      </c>
      <c r="AN6033">
        <v>0.999999969772844</v>
      </c>
    </row>
    <row r="6034" spans="1:40" x14ac:dyDescent="0.25">
      <c r="A6034" t="str">
        <f>"20190304164245129"</f>
        <v>20190304164245129</v>
      </c>
      <c r="B6034" t="str">
        <f>"1551688965117519"</f>
        <v>1551688965117519</v>
      </c>
      <c r="C6034" t="s">
        <v>40</v>
      </c>
      <c r="D6034">
        <v>3.9160849999999998</v>
      </c>
      <c r="E6034">
        <v>0.56724929999999996</v>
      </c>
      <c r="F6034" t="s">
        <v>42</v>
      </c>
      <c r="G6034">
        <v>-355.6404</v>
      </c>
      <c r="H6034" s="1">
        <v>-2.2945939999999999E-6</v>
      </c>
      <c r="I6034">
        <v>17.124420000000001</v>
      </c>
      <c r="J6034">
        <v>-374.69720000000001</v>
      </c>
      <c r="K6034">
        <v>1.110687</v>
      </c>
      <c r="L6034">
        <v>17.493870000000001</v>
      </c>
      <c r="M6034">
        <v>0.99909139999999996</v>
      </c>
      <c r="N6034">
        <v>-9.3382819999999998E-3</v>
      </c>
      <c r="O6034">
        <v>-4.1583670000000003E-2</v>
      </c>
      <c r="P6034">
        <v>0.93501540000000005</v>
      </c>
      <c r="Q6034">
        <v>0.33476080000000003</v>
      </c>
      <c r="R6034">
        <v>0.11696869999999999</v>
      </c>
      <c r="S6034">
        <v>3.2839659999999999</v>
      </c>
      <c r="T6034">
        <v>-0.19005739999999999</v>
      </c>
      <c r="U6034">
        <v>-6.4086909999999997E-2</v>
      </c>
      <c r="V6034">
        <v>-0.15620680000000001</v>
      </c>
      <c r="W6034">
        <v>0.34321780000000002</v>
      </c>
      <c r="X6034">
        <v>0.92617550000000004</v>
      </c>
      <c r="Y6034">
        <v>-2.1991469999999999E-2</v>
      </c>
      <c r="Z6034">
        <v>2.7540519999999999E-3</v>
      </c>
      <c r="AA6034">
        <v>0.99975440000000004</v>
      </c>
      <c r="AB6034">
        <v>24</v>
      </c>
      <c r="AC6034">
        <v>19.056799999999999</v>
      </c>
      <c r="AD6034">
        <v>-1.1106892945939999</v>
      </c>
      <c r="AE6034">
        <v>-0.36945</v>
      </c>
      <c r="AF6034">
        <v>-0.42192311742006</v>
      </c>
      <c r="AG6034">
        <v>-1.1106892945939999</v>
      </c>
      <c r="AH6034">
        <v>18.991191359658</v>
      </c>
      <c r="AI6034">
        <v>93.346275334074605</v>
      </c>
      <c r="AJ6034">
        <v>91.272718348650002</v>
      </c>
      <c r="AK6034">
        <v>19.028320973887499</v>
      </c>
      <c r="AL6034">
        <v>69.9269592713149</v>
      </c>
      <c r="AM6034">
        <v>99.573291115184702</v>
      </c>
      <c r="AN6034">
        <v>1.00000003970166</v>
      </c>
    </row>
    <row r="6035" spans="1:40" x14ac:dyDescent="0.25">
      <c r="A6035" t="str">
        <f>"20190304164245142"</f>
        <v>20190304164245142</v>
      </c>
      <c r="B6035" t="str">
        <f>"1551688965137039"</f>
        <v>1551688965137039</v>
      </c>
      <c r="C6035" t="s">
        <v>40</v>
      </c>
      <c r="D6035">
        <v>3.9360729999999999</v>
      </c>
      <c r="E6035">
        <v>0.56728109999999998</v>
      </c>
      <c r="F6035" t="s">
        <v>42</v>
      </c>
      <c r="G6035">
        <v>-355.41109999999998</v>
      </c>
      <c r="H6035" s="1">
        <v>-2.3939020000000001E-6</v>
      </c>
      <c r="I6035">
        <v>17.118870000000001</v>
      </c>
      <c r="J6035">
        <v>-374.55329999999998</v>
      </c>
      <c r="K6035">
        <v>1.110711</v>
      </c>
      <c r="L6035">
        <v>17.488399999999999</v>
      </c>
      <c r="M6035">
        <v>0.99911369999999999</v>
      </c>
      <c r="N6035">
        <v>-9.3259169999999995E-3</v>
      </c>
      <c r="O6035">
        <v>-4.1049339999999997E-2</v>
      </c>
      <c r="P6035">
        <v>0.93508290000000005</v>
      </c>
      <c r="Q6035">
        <v>0.33455610000000002</v>
      </c>
      <c r="R6035">
        <v>0.11701499999999999</v>
      </c>
      <c r="S6035">
        <v>3.2841800000000001</v>
      </c>
      <c r="T6035">
        <v>-0.189137</v>
      </c>
      <c r="U6035">
        <v>-6.3842769999999993E-2</v>
      </c>
      <c r="V6035">
        <v>-0.15577959999999999</v>
      </c>
      <c r="W6035">
        <v>0.3429934</v>
      </c>
      <c r="X6035">
        <v>0.92633049999999995</v>
      </c>
      <c r="Y6035">
        <v>-2.153478E-2</v>
      </c>
      <c r="Z6035">
        <v>2.6985329999999999E-3</v>
      </c>
      <c r="AA6035">
        <v>0.9997644</v>
      </c>
      <c r="AB6035">
        <v>24</v>
      </c>
      <c r="AC6035">
        <v>19.142199999999999</v>
      </c>
      <c r="AD6035">
        <v>-1.110713393902</v>
      </c>
      <c r="AE6035">
        <v>-0.36952999999999703</v>
      </c>
      <c r="AF6035">
        <v>-0.41519290356564997</v>
      </c>
      <c r="AG6035">
        <v>-1.110713393902</v>
      </c>
      <c r="AH6035">
        <v>19.077028597598499</v>
      </c>
      <c r="AI6035">
        <v>93.331357921934696</v>
      </c>
      <c r="AJ6035">
        <v>91.246789874433503</v>
      </c>
      <c r="AK6035">
        <v>19.113845492316798</v>
      </c>
      <c r="AL6035">
        <v>69.940646015128394</v>
      </c>
      <c r="AM6035">
        <v>99.54602419119</v>
      </c>
      <c r="AN6035">
        <v>0.999999975724984</v>
      </c>
    </row>
    <row r="6036" spans="1:40" x14ac:dyDescent="0.25">
      <c r="A6036" t="str">
        <f>"20190304164245154"</f>
        <v>20190304164245154</v>
      </c>
      <c r="B6036" t="str">
        <f>"1551688965147775"</f>
        <v>1551688965147775</v>
      </c>
      <c r="C6036" t="s">
        <v>40</v>
      </c>
      <c r="D6036">
        <v>3.937427</v>
      </c>
      <c r="E6036">
        <v>0.5672973</v>
      </c>
      <c r="F6036" t="s">
        <v>42</v>
      </c>
      <c r="G6036">
        <v>-355.40190000000001</v>
      </c>
      <c r="H6036" s="1">
        <v>-2.3983820000000001E-6</v>
      </c>
      <c r="I6036">
        <v>17.116050000000001</v>
      </c>
      <c r="J6036">
        <v>-374.41930000000002</v>
      </c>
      <c r="K6036">
        <v>1.1107389999999999</v>
      </c>
      <c r="L6036">
        <v>17.48349</v>
      </c>
      <c r="M6036">
        <v>0.99913540000000001</v>
      </c>
      <c r="N6036">
        <v>-9.3131189999999999E-3</v>
      </c>
      <c r="O6036">
        <v>-4.0519989999999999E-2</v>
      </c>
      <c r="P6036">
        <v>0.9349478</v>
      </c>
      <c r="Q6036">
        <v>0.334841099999999</v>
      </c>
      <c r="R6036">
        <v>0.1172796</v>
      </c>
      <c r="S6036">
        <v>3.2844540000000002</v>
      </c>
      <c r="T6036">
        <v>-0.19048689999999999</v>
      </c>
      <c r="U6036">
        <v>-6.3842769999999993E-2</v>
      </c>
      <c r="V6036">
        <v>-0.1555694</v>
      </c>
      <c r="W6036">
        <v>0.34325630000000001</v>
      </c>
      <c r="X6036">
        <v>0.92626850000000005</v>
      </c>
      <c r="Y6036">
        <v>-2.100699E-2</v>
      </c>
      <c r="Z6036">
        <v>2.6764470000000002E-3</v>
      </c>
      <c r="AA6036">
        <v>0.99977579999999999</v>
      </c>
      <c r="AB6036">
        <v>24</v>
      </c>
      <c r="AC6036">
        <v>19.017399999999999</v>
      </c>
      <c r="AD6036">
        <v>-1.11074139838199</v>
      </c>
      <c r="AE6036">
        <v>-0.36743999999999799</v>
      </c>
      <c r="AF6036">
        <v>-0.40210880044449498</v>
      </c>
      <c r="AG6036">
        <v>-1.11074139838199</v>
      </c>
      <c r="AH6036">
        <v>18.952041969390802</v>
      </c>
      <c r="AI6036">
        <v>93.353401544391104</v>
      </c>
      <c r="AJ6036">
        <v>91.215472241795496</v>
      </c>
      <c r="AK6036">
        <v>18.988821257545801</v>
      </c>
      <c r="AL6036">
        <v>69.924610500491895</v>
      </c>
      <c r="AM6036">
        <v>99.534006324405595</v>
      </c>
      <c r="AN6036">
        <v>1.0000000298991401</v>
      </c>
    </row>
    <row r="6037" spans="1:40" x14ac:dyDescent="0.25">
      <c r="A6037" t="str">
        <f>"20190304164245166"</f>
        <v>20190304164245166</v>
      </c>
      <c r="B6037" t="str">
        <f>"1551688965157536"</f>
        <v>1551688965157536</v>
      </c>
      <c r="C6037" t="s">
        <v>40</v>
      </c>
      <c r="D6037">
        <v>3.95025</v>
      </c>
      <c r="E6037">
        <v>0.56724969999999997</v>
      </c>
      <c r="F6037" t="s">
        <v>42</v>
      </c>
      <c r="G6037">
        <v>-355.21260000000001</v>
      </c>
      <c r="H6037" s="1">
        <v>-2.4796649999999998E-6</v>
      </c>
      <c r="I6037">
        <v>17.115449999999999</v>
      </c>
      <c r="J6037">
        <v>-374.29070000000002</v>
      </c>
      <c r="K6037">
        <v>1.110765</v>
      </c>
      <c r="L6037">
        <v>17.47879</v>
      </c>
      <c r="M6037">
        <v>0.99915639999999994</v>
      </c>
      <c r="N6037">
        <v>-9.3010929999999999E-3</v>
      </c>
      <c r="O6037">
        <v>-3.9999239999999998E-2</v>
      </c>
      <c r="P6037">
        <v>0.93484869999999998</v>
      </c>
      <c r="Q6037">
        <v>0.33511780000000002</v>
      </c>
      <c r="R6037">
        <v>0.1172777</v>
      </c>
      <c r="S6037">
        <v>3.2846980000000001</v>
      </c>
      <c r="T6037">
        <v>-0.1899576</v>
      </c>
      <c r="U6037">
        <v>-6.2927250000000004E-2</v>
      </c>
      <c r="V6037">
        <v>-0.15510199999999999</v>
      </c>
      <c r="W6037">
        <v>0.3435125</v>
      </c>
      <c r="X6037">
        <v>0.92625190000000002</v>
      </c>
      <c r="Y6037">
        <v>-2.0767509999999999E-2</v>
      </c>
      <c r="Z6037">
        <v>2.6351450000000002E-3</v>
      </c>
      <c r="AA6037">
        <v>0.99978080000000003</v>
      </c>
      <c r="AB6037">
        <v>24</v>
      </c>
      <c r="AC6037">
        <v>19.078099999999999</v>
      </c>
      <c r="AD6037">
        <v>-1.110767479665</v>
      </c>
      <c r="AE6037">
        <v>-0.36334</v>
      </c>
      <c r="AF6037">
        <v>-0.39874215621735498</v>
      </c>
      <c r="AG6037">
        <v>-1.110767479665</v>
      </c>
      <c r="AH6037">
        <v>19.012937637298499</v>
      </c>
      <c r="AI6037">
        <v>93.342781024290204</v>
      </c>
      <c r="AJ6037">
        <v>91.201439487636506</v>
      </c>
      <c r="AK6037">
        <v>19.049530107087399</v>
      </c>
      <c r="AL6037">
        <v>69.908980868305505</v>
      </c>
      <c r="AM6037">
        <v>99.506052679922405</v>
      </c>
      <c r="AN6037">
        <v>1.0000000251569201</v>
      </c>
    </row>
    <row r="6038" spans="1:40" x14ac:dyDescent="0.25">
      <c r="A6038" t="str">
        <f>"20190304164245179"</f>
        <v>20190304164245179</v>
      </c>
      <c r="B6038" t="str">
        <f>"1551688965167297"</f>
        <v>1551688965167297</v>
      </c>
      <c r="C6038" t="s">
        <v>40</v>
      </c>
      <c r="D6038">
        <v>3.9276450000000001</v>
      </c>
      <c r="E6038">
        <v>0.56725800000000004</v>
      </c>
      <c r="F6038" t="s">
        <v>42</v>
      </c>
      <c r="G6038">
        <v>-355.07</v>
      </c>
      <c r="H6038" s="1">
        <v>-2.5413140000000001E-6</v>
      </c>
      <c r="I6038">
        <v>17.112829999999999</v>
      </c>
      <c r="J6038">
        <v>-374.1506</v>
      </c>
      <c r="K6038">
        <v>1.110795</v>
      </c>
      <c r="L6038">
        <v>17.473790000000001</v>
      </c>
      <c r="M6038">
        <v>0.99918010000000002</v>
      </c>
      <c r="N6038">
        <v>-9.2884720000000007E-3</v>
      </c>
      <c r="O6038">
        <v>-3.9411340000000003E-2</v>
      </c>
      <c r="P6038">
        <v>0.93479540000000005</v>
      </c>
      <c r="Q6038">
        <v>0.3352272</v>
      </c>
      <c r="R6038">
        <v>0.1173907</v>
      </c>
      <c r="S6038">
        <v>3.2849729999999999</v>
      </c>
      <c r="T6038">
        <v>-0.18983910000000001</v>
      </c>
      <c r="U6038">
        <v>-6.2530520000000006E-2</v>
      </c>
      <c r="V6038">
        <v>-0.15469089999999999</v>
      </c>
      <c r="W6038">
        <v>0.3435994</v>
      </c>
      <c r="X6038">
        <v>0.92628840000000001</v>
      </c>
      <c r="Y6038">
        <v>-2.030324E-2</v>
      </c>
      <c r="Z6038">
        <v>2.5894490000000002E-3</v>
      </c>
      <c r="AA6038">
        <v>0.99979050000000003</v>
      </c>
      <c r="AB6038">
        <v>24</v>
      </c>
      <c r="AC6038">
        <v>19.0806</v>
      </c>
      <c r="AD6038">
        <v>-1.1107975413140001</v>
      </c>
      <c r="AE6038">
        <v>-0.360960000000002</v>
      </c>
      <c r="AF6038">
        <v>-0.39002340899139298</v>
      </c>
      <c r="AG6038">
        <v>-1.1107975413140001</v>
      </c>
      <c r="AH6038">
        <v>19.015578143904001</v>
      </c>
      <c r="AI6038">
        <v>93.342440050747399</v>
      </c>
      <c r="AJ6038">
        <v>91.175013569949797</v>
      </c>
      <c r="AK6038">
        <v>19.051986814615098</v>
      </c>
      <c r="AL6038">
        <v>69.903678867366494</v>
      </c>
      <c r="AM6038">
        <v>99.480947980394305</v>
      </c>
      <c r="AN6038">
        <v>1.0000000110988601</v>
      </c>
    </row>
    <row r="6039" spans="1:40" x14ac:dyDescent="0.25">
      <c r="A6039" t="str">
        <f>"20190304164245197"</f>
        <v>20190304164245197</v>
      </c>
      <c r="B6039" t="str">
        <f>"1551688965186816"</f>
        <v>1551688965186816</v>
      </c>
      <c r="C6039" t="s">
        <v>40</v>
      </c>
      <c r="D6039">
        <v>3.9575119999999999</v>
      </c>
      <c r="E6039">
        <v>0.56722099999999998</v>
      </c>
      <c r="F6039" t="s">
        <v>42</v>
      </c>
      <c r="G6039">
        <v>-354.93540000000002</v>
      </c>
      <c r="H6039" s="1">
        <v>-2.5995330000000001E-6</v>
      </c>
      <c r="I6039">
        <v>17.11027</v>
      </c>
      <c r="J6039">
        <v>-373.95440000000002</v>
      </c>
      <c r="K6039">
        <v>1.110835</v>
      </c>
      <c r="L6039">
        <v>17.46698</v>
      </c>
      <c r="M6039">
        <v>0.99921389999999999</v>
      </c>
      <c r="N6039">
        <v>-9.2692729999999997E-3</v>
      </c>
      <c r="O6039">
        <v>-3.8544009999999997E-2</v>
      </c>
      <c r="P6039">
        <v>0.93482949999999998</v>
      </c>
      <c r="Q6039">
        <v>0.33531309999999998</v>
      </c>
      <c r="R6039">
        <v>0.116872699999999</v>
      </c>
      <c r="S6039">
        <v>3.285126</v>
      </c>
      <c r="T6039">
        <v>-0.1899073</v>
      </c>
      <c r="U6039">
        <v>-6.2133790000000001E-2</v>
      </c>
      <c r="V6039">
        <v>-0.1534025</v>
      </c>
      <c r="W6039">
        <v>0.34365620000000002</v>
      </c>
      <c r="X6039">
        <v>0.92648149999999996</v>
      </c>
      <c r="Y6039">
        <v>-1.955935E-2</v>
      </c>
      <c r="Z6039">
        <v>2.5239609999999999E-3</v>
      </c>
      <c r="AA6039">
        <v>0.99980550000000001</v>
      </c>
      <c r="AB6039">
        <v>24</v>
      </c>
      <c r="AC6039">
        <v>19.018999999999998</v>
      </c>
      <c r="AD6039">
        <v>-1.110837599533</v>
      </c>
      <c r="AE6039">
        <v>-0.35670999999999897</v>
      </c>
      <c r="AF6039">
        <v>-0.375375037505502</v>
      </c>
      <c r="AG6039">
        <v>-1.110837599533</v>
      </c>
      <c r="AH6039">
        <v>18.953979610086801</v>
      </c>
      <c r="AI6039">
        <v>93.353446157390906</v>
      </c>
      <c r="AJ6039">
        <v>91.134568813933797</v>
      </c>
      <c r="AK6039">
        <v>18.990213523046702</v>
      </c>
      <c r="AL6039">
        <v>69.900211959383</v>
      </c>
      <c r="AM6039">
        <v>99.401473647383995</v>
      </c>
      <c r="AN6039">
        <v>0.99999994032346795</v>
      </c>
    </row>
    <row r="6040" spans="1:40" x14ac:dyDescent="0.25">
      <c r="A6040" t="str">
        <f>"20190304164245218"</f>
        <v>20190304164245218</v>
      </c>
      <c r="B6040" t="str">
        <f>"1551688965207311"</f>
        <v>1551688965207311</v>
      </c>
      <c r="C6040" t="s">
        <v>40</v>
      </c>
      <c r="D6040">
        <v>3.9290280000000002</v>
      </c>
      <c r="E6040">
        <v>0.56725789999999998</v>
      </c>
      <c r="F6040" t="s">
        <v>42</v>
      </c>
      <c r="G6040">
        <v>-354.83069999999998</v>
      </c>
      <c r="H6040" s="1">
        <v>-2.646422E-6</v>
      </c>
      <c r="I6040">
        <v>17.09919</v>
      </c>
      <c r="J6040">
        <v>-373.72969999999998</v>
      </c>
      <c r="K6040">
        <v>1.1108789999999999</v>
      </c>
      <c r="L6040">
        <v>17.459409999999998</v>
      </c>
      <c r="M6040">
        <v>0.99925390000000003</v>
      </c>
      <c r="N6040">
        <v>-9.2456810000000004E-3</v>
      </c>
      <c r="O6040">
        <v>-3.749856E-2</v>
      </c>
      <c r="P6040">
        <v>0.93489540000000004</v>
      </c>
      <c r="Q6040">
        <v>0.33506330000000001</v>
      </c>
      <c r="R6040">
        <v>0.1170602</v>
      </c>
      <c r="S6040">
        <v>3.2854610000000002</v>
      </c>
      <c r="T6040">
        <v>-0.19084229999999999</v>
      </c>
      <c r="U6040">
        <v>-6.3171389999999994E-2</v>
      </c>
      <c r="V6040">
        <v>-0.15265689999999901</v>
      </c>
      <c r="W6040">
        <v>0.3433715</v>
      </c>
      <c r="X6040">
        <v>0.92671020000000004</v>
      </c>
      <c r="Y6040">
        <v>-1.820256E-2</v>
      </c>
      <c r="Z6040">
        <v>2.441449E-3</v>
      </c>
      <c r="AA6040">
        <v>0.99983129999999998</v>
      </c>
      <c r="AB6040">
        <v>24</v>
      </c>
      <c r="AC6040">
        <v>18.899000000000001</v>
      </c>
      <c r="AD6040">
        <v>-1.1108816464219999</v>
      </c>
      <c r="AE6040">
        <v>-0.36022000000000098</v>
      </c>
      <c r="AF6040">
        <v>-0.347548583560913</v>
      </c>
      <c r="AG6040">
        <v>-1.1108816464219999</v>
      </c>
      <c r="AH6040">
        <v>18.834165269327102</v>
      </c>
      <c r="AI6040">
        <v>93.374950616446498</v>
      </c>
      <c r="AJ6040">
        <v>91.057164304732098</v>
      </c>
      <c r="AK6040">
        <v>18.870098819100502</v>
      </c>
      <c r="AL6040">
        <v>69.917581334704593</v>
      </c>
      <c r="AM6040">
        <v>99.354320299221598</v>
      </c>
      <c r="AN6040">
        <v>0.99999995545694897</v>
      </c>
    </row>
    <row r="6041" spans="1:40" x14ac:dyDescent="0.25">
      <c r="A6041" t="str">
        <f>"20190304164245230"</f>
        <v>20190304164245230</v>
      </c>
      <c r="B6041" t="str">
        <f>"1551688965226831"</f>
        <v>1551688965226831</v>
      </c>
      <c r="C6041" t="s">
        <v>40</v>
      </c>
      <c r="D6041">
        <v>3.943838</v>
      </c>
      <c r="E6041">
        <v>0.56728669999999903</v>
      </c>
      <c r="F6041" t="s">
        <v>42</v>
      </c>
      <c r="G6041">
        <v>-354.7448</v>
      </c>
      <c r="H6041" s="1">
        <v>-2.6847019999999999E-6</v>
      </c>
      <c r="I6041">
        <v>17.091149999999999</v>
      </c>
      <c r="J6041">
        <v>-373.5942</v>
      </c>
      <c r="K6041">
        <v>1.1109009999999999</v>
      </c>
      <c r="L6041">
        <v>17.45505</v>
      </c>
      <c r="M6041">
        <v>0.99927869999999996</v>
      </c>
      <c r="N6041">
        <v>-9.2314509999999999E-3</v>
      </c>
      <c r="O6041">
        <v>-3.6840739999999997E-2</v>
      </c>
      <c r="P6041">
        <v>0.93484370000000006</v>
      </c>
      <c r="Q6041">
        <v>0.3351382</v>
      </c>
      <c r="R6041">
        <v>0.11726010000000001</v>
      </c>
      <c r="S6041">
        <v>3.2857970000000001</v>
      </c>
      <c r="T6041">
        <v>-0.19226480000000001</v>
      </c>
      <c r="U6041">
        <v>-6.3720700000000005E-2</v>
      </c>
      <c r="V6041">
        <v>-0.15226300000000001</v>
      </c>
      <c r="W6041">
        <v>0.34342470000000003</v>
      </c>
      <c r="X6041">
        <v>0.92675529999999995</v>
      </c>
      <c r="Y6041">
        <v>-1.7380360000000001E-2</v>
      </c>
      <c r="Z6041">
        <v>2.4015070000000002E-3</v>
      </c>
      <c r="AA6041">
        <v>0.99984600000000001</v>
      </c>
      <c r="AB6041">
        <v>25</v>
      </c>
      <c r="AC6041">
        <v>18.849399999999999</v>
      </c>
      <c r="AD6041">
        <v>-1.110903684702</v>
      </c>
      <c r="AE6041">
        <v>-0.363900000000001</v>
      </c>
      <c r="AF6041">
        <v>-0.32965774410627102</v>
      </c>
      <c r="AG6041">
        <v>-1.110903684702</v>
      </c>
      <c r="AH6041">
        <v>18.7847866911398</v>
      </c>
      <c r="AI6041">
        <v>93.383923472103902</v>
      </c>
      <c r="AJ6041">
        <v>91.005391175631004</v>
      </c>
      <c r="AK6041">
        <v>18.8204939429483</v>
      </c>
      <c r="AL6041">
        <v>69.914336059350404</v>
      </c>
      <c r="AM6041">
        <v>99.3301623173232</v>
      </c>
      <c r="AN6041">
        <v>0.99999996590858897</v>
      </c>
    </row>
    <row r="6042" spans="1:40" x14ac:dyDescent="0.25">
      <c r="A6042" t="str">
        <f>"20190304164245241"</f>
        <v>20190304164245241</v>
      </c>
      <c r="B6042" t="str">
        <f>"1551688965237568"</f>
        <v>1551688965237568</v>
      </c>
      <c r="C6042" t="s">
        <v>40</v>
      </c>
      <c r="D6042">
        <v>3.9431500000000002</v>
      </c>
      <c r="E6042">
        <v>0.56730150000000001</v>
      </c>
      <c r="F6042" t="s">
        <v>42</v>
      </c>
      <c r="G6042">
        <v>-354.62560000000002</v>
      </c>
      <c r="H6042" s="1">
        <v>-2.7365669999999999E-6</v>
      </c>
      <c r="I6042">
        <v>17.086960000000001</v>
      </c>
      <c r="J6042">
        <v>-373.46530000000001</v>
      </c>
      <c r="K6042">
        <v>1.1109150000000001</v>
      </c>
      <c r="L6042">
        <v>17.450900000000001</v>
      </c>
      <c r="M6042">
        <v>0.99930200000000002</v>
      </c>
      <c r="N6042">
        <v>-9.2180109999999999E-3</v>
      </c>
      <c r="O6042">
        <v>-3.6205960000000002E-2</v>
      </c>
      <c r="P6042">
        <v>0.93481389999999998</v>
      </c>
      <c r="Q6042">
        <v>0.3350474</v>
      </c>
      <c r="R6042">
        <v>0.11775579999999999</v>
      </c>
      <c r="S6042">
        <v>3.2860719999999999</v>
      </c>
      <c r="T6042">
        <v>-0.19245029999999999</v>
      </c>
      <c r="U6042">
        <v>-6.3751219999999997E-2</v>
      </c>
      <c r="V6042">
        <v>-0.15218480000000001</v>
      </c>
      <c r="W6042">
        <v>0.34331410000000001</v>
      </c>
      <c r="X6042">
        <v>0.92680910000000005</v>
      </c>
      <c r="Y6042">
        <v>-1.673943E-2</v>
      </c>
      <c r="Z6042">
        <v>2.3512530000000002E-3</v>
      </c>
      <c r="AA6042">
        <v>0.99985710000000005</v>
      </c>
      <c r="AB6042">
        <v>25</v>
      </c>
      <c r="AC6042">
        <v>18.839700000000001</v>
      </c>
      <c r="AD6042">
        <v>-1.11091773656699</v>
      </c>
      <c r="AE6042">
        <v>-0.36393999999999899</v>
      </c>
      <c r="AF6042">
        <v>-0.31733394463398701</v>
      </c>
      <c r="AG6042">
        <v>-1.11091773656699</v>
      </c>
      <c r="AH6042">
        <v>18.775265126996999</v>
      </c>
      <c r="AI6042">
        <v>93.385715969629501</v>
      </c>
      <c r="AJ6042">
        <v>90.968304019764304</v>
      </c>
      <c r="AK6042">
        <v>18.810779346929401</v>
      </c>
      <c r="AL6042">
        <v>69.921082783568707</v>
      </c>
      <c r="AM6042">
        <v>99.324922864456695</v>
      </c>
      <c r="AN6042">
        <v>0.99999994622632804</v>
      </c>
    </row>
    <row r="6043" spans="1:40" x14ac:dyDescent="0.25">
      <c r="A6043" t="str">
        <f>"20190304164245254"</f>
        <v>20190304164245254</v>
      </c>
      <c r="B6043" t="str">
        <f>"1551688965247327"</f>
        <v>1551688965247327</v>
      </c>
      <c r="C6043" t="s">
        <v>40</v>
      </c>
      <c r="D6043">
        <v>3.9607109999999999</v>
      </c>
      <c r="E6043">
        <v>0.56731640000000005</v>
      </c>
      <c r="F6043" t="s">
        <v>42</v>
      </c>
      <c r="G6043">
        <v>-354.53500000000003</v>
      </c>
      <c r="H6043" s="1">
        <v>-2.7752000000000001E-6</v>
      </c>
      <c r="I6043">
        <v>17.08832</v>
      </c>
      <c r="J6043">
        <v>-373.334</v>
      </c>
      <c r="K6043">
        <v>1.11093</v>
      </c>
      <c r="L6043">
        <v>17.446870000000001</v>
      </c>
      <c r="M6043">
        <v>0.99932609999999999</v>
      </c>
      <c r="N6043">
        <v>-9.2058190000000005E-3</v>
      </c>
      <c r="O6043">
        <v>-3.5537729999999997E-2</v>
      </c>
      <c r="P6043">
        <v>0.93472270000000002</v>
      </c>
      <c r="Q6043">
        <v>0.3352137</v>
      </c>
      <c r="R6043">
        <v>0.11800620000000001</v>
      </c>
      <c r="S6043">
        <v>3.2862550000000001</v>
      </c>
      <c r="T6043">
        <v>-0.19285269999999999</v>
      </c>
      <c r="U6043">
        <v>-6.2927250000000004E-2</v>
      </c>
      <c r="V6043">
        <v>-0.15182499999999999</v>
      </c>
      <c r="W6043">
        <v>0.34346320000000002</v>
      </c>
      <c r="X6043">
        <v>0.92681290000000005</v>
      </c>
      <c r="Y6043">
        <v>-1.6323799999999999E-2</v>
      </c>
      <c r="Z6043">
        <v>2.3097999999999999E-3</v>
      </c>
      <c r="AA6043">
        <v>0.99986410000000003</v>
      </c>
      <c r="AB6043">
        <v>25</v>
      </c>
      <c r="AC6043">
        <v>18.7989999999999</v>
      </c>
      <c r="AD6043">
        <v>-1.1109327752</v>
      </c>
      <c r="AE6043">
        <v>-0.35855000000000098</v>
      </c>
      <c r="AF6043">
        <v>-0.308700818223694</v>
      </c>
      <c r="AG6043">
        <v>-1.1109327752</v>
      </c>
      <c r="AH6043">
        <v>18.734465169070099</v>
      </c>
      <c r="AI6043">
        <v>93.393141954498901</v>
      </c>
      <c r="AJ6043">
        <v>90.944016994125107</v>
      </c>
      <c r="AK6043">
        <v>18.769913505322499</v>
      </c>
      <c r="AL6043">
        <v>69.911987515753097</v>
      </c>
      <c r="AM6043">
        <v>99.303225020521793</v>
      </c>
      <c r="AN6043">
        <v>0.99999997599282398</v>
      </c>
    </row>
    <row r="6044" spans="1:40" x14ac:dyDescent="0.25">
      <c r="A6044" t="str">
        <f>"20190304164245265"</f>
        <v>20190304164245265</v>
      </c>
      <c r="B6044" t="str">
        <f>"1551688965257088"</f>
        <v>1551688965257088</v>
      </c>
      <c r="C6044" t="s">
        <v>40</v>
      </c>
      <c r="D6044">
        <v>3.9339249999999999</v>
      </c>
      <c r="E6044">
        <v>0.5673319</v>
      </c>
      <c r="F6044" t="s">
        <v>42</v>
      </c>
      <c r="G6044">
        <v>-354.36720000000003</v>
      </c>
      <c r="H6044" s="1">
        <v>-2.8476719999999999E-6</v>
      </c>
      <c r="I6044">
        <v>17.085379999999901</v>
      </c>
      <c r="J6044">
        <v>-373.20519999999999</v>
      </c>
      <c r="K6044">
        <v>1.11094</v>
      </c>
      <c r="L6044">
        <v>17.442959999999999</v>
      </c>
      <c r="M6044">
        <v>0.99934940000000005</v>
      </c>
      <c r="N6044">
        <v>-9.1942510000000005E-3</v>
      </c>
      <c r="O6044">
        <v>-3.4878939999999997E-2</v>
      </c>
      <c r="P6044">
        <v>0.93465830000000005</v>
      </c>
      <c r="Q6044">
        <v>0.33524680000000001</v>
      </c>
      <c r="R6044">
        <v>0.118422</v>
      </c>
      <c r="S6044">
        <v>3.2864379999999902</v>
      </c>
      <c r="T6044">
        <v>-0.1924959</v>
      </c>
      <c r="U6044">
        <v>-6.2622070000000002E-2</v>
      </c>
      <c r="V6044">
        <v>-0.15163840000000001</v>
      </c>
      <c r="W6044">
        <v>0.34348030000000002</v>
      </c>
      <c r="X6044">
        <v>0.92683709999999997</v>
      </c>
      <c r="Y6044">
        <v>-1.576075E-2</v>
      </c>
      <c r="Z6044">
        <v>2.253709E-3</v>
      </c>
      <c r="AA6044">
        <v>0.99987329999999996</v>
      </c>
      <c r="AB6044">
        <v>25</v>
      </c>
      <c r="AC6044">
        <v>18.837999999999901</v>
      </c>
      <c r="AD6044">
        <v>-1.110942847672</v>
      </c>
      <c r="AE6044">
        <v>-0.35758000000000201</v>
      </c>
      <c r="AF6044">
        <v>-0.298676352365916</v>
      </c>
      <c r="AG6044">
        <v>-1.110942847672</v>
      </c>
      <c r="AH6044">
        <v>18.773740302218499</v>
      </c>
      <c r="AI6044">
        <v>93.386121667675596</v>
      </c>
      <c r="AJ6044">
        <v>90.911456672484803</v>
      </c>
      <c r="AK6044">
        <v>18.808953360285599</v>
      </c>
      <c r="AL6044">
        <v>69.910944069066502</v>
      </c>
      <c r="AM6044">
        <v>99.291752091080298</v>
      </c>
      <c r="AN6044">
        <v>0.99999996538952896</v>
      </c>
    </row>
    <row r="6045" spans="1:40" x14ac:dyDescent="0.25">
      <c r="A6045" t="str">
        <f>"20190304164245276"</f>
        <v>20190304164245276</v>
      </c>
      <c r="B6045" t="str">
        <f>"1551688965266847"</f>
        <v>1551688965266847</v>
      </c>
      <c r="C6045" t="s">
        <v>40</v>
      </c>
      <c r="D6045">
        <v>3.9404050000000002</v>
      </c>
      <c r="E6045">
        <v>0.56734619999999902</v>
      </c>
      <c r="F6045" t="s">
        <v>42</v>
      </c>
      <c r="G6045">
        <v>-354.24770000000001</v>
      </c>
      <c r="H6045" s="1">
        <v>-2.89892E-6</v>
      </c>
      <c r="I6045">
        <v>17.085719999999998</v>
      </c>
      <c r="J6045">
        <v>-373.0761</v>
      </c>
      <c r="K6045">
        <v>1.110948</v>
      </c>
      <c r="L6045">
        <v>17.439119999999999</v>
      </c>
      <c r="M6045">
        <v>0.99937260000000006</v>
      </c>
      <c r="N6045">
        <v>-9.1835579999999997E-3</v>
      </c>
      <c r="O6045">
        <v>-3.4209690000000001E-2</v>
      </c>
      <c r="P6045">
        <v>0.93466070000000001</v>
      </c>
      <c r="Q6045">
        <v>0.33508199999999999</v>
      </c>
      <c r="R6045">
        <v>0.1188686</v>
      </c>
      <c r="S6045">
        <v>3.2866520000000001</v>
      </c>
      <c r="T6045">
        <v>-0.19260350000000001</v>
      </c>
      <c r="U6045">
        <v>-6.1920169999999997E-2</v>
      </c>
      <c r="V6045">
        <v>-0.1514712</v>
      </c>
      <c r="W6045">
        <v>0.34330290000000002</v>
      </c>
      <c r="X6045">
        <v>0.92693020000000004</v>
      </c>
      <c r="Y6045">
        <v>-1.530747E-2</v>
      </c>
      <c r="Z6045">
        <v>2.206871E-3</v>
      </c>
      <c r="AA6045">
        <v>0.9998804</v>
      </c>
      <c r="AB6045">
        <v>25</v>
      </c>
      <c r="AC6045">
        <v>18.828399999999899</v>
      </c>
      <c r="AD6045">
        <v>-1.1109508989200001</v>
      </c>
      <c r="AE6045">
        <v>-0.35339999999999999</v>
      </c>
      <c r="AF6045">
        <v>-0.28993862776315099</v>
      </c>
      <c r="AG6045">
        <v>-1.1109508989200001</v>
      </c>
      <c r="AH6045">
        <v>18.764164688534301</v>
      </c>
      <c r="AI6045">
        <v>93.387894367735498</v>
      </c>
      <c r="AJ6045">
        <v>90.885247921415896</v>
      </c>
      <c r="AK6045">
        <v>18.799259367488901</v>
      </c>
      <c r="AL6045">
        <v>69.921767160958694</v>
      </c>
      <c r="AM6045">
        <v>99.280769169049293</v>
      </c>
      <c r="AN6045">
        <v>1.0000000006249401</v>
      </c>
    </row>
    <row r="6046" spans="1:40" x14ac:dyDescent="0.25">
      <c r="A6046" t="str">
        <f>"20190304164245287"</f>
        <v>20190304164245287</v>
      </c>
      <c r="B6046" t="str">
        <f>"1551688965277584"</f>
        <v>1551688965277584</v>
      </c>
      <c r="C6046" t="s">
        <v>40</v>
      </c>
      <c r="D6046">
        <v>3.9572129999999999</v>
      </c>
      <c r="E6046">
        <v>0.56736409999999904</v>
      </c>
      <c r="F6046" t="s">
        <v>42</v>
      </c>
      <c r="G6046">
        <v>-354.18639999999999</v>
      </c>
      <c r="H6046" s="1">
        <v>-2.9246229999999999E-6</v>
      </c>
      <c r="I6046">
        <v>17.088950000000001</v>
      </c>
      <c r="J6046">
        <v>-372.96170000000001</v>
      </c>
      <c r="K6046">
        <v>1.110954</v>
      </c>
      <c r="L6046">
        <v>17.435849999999999</v>
      </c>
      <c r="M6046">
        <v>0.99939279999999997</v>
      </c>
      <c r="N6046">
        <v>-9.1745639999999996E-3</v>
      </c>
      <c r="O6046">
        <v>-3.3612959999999997E-2</v>
      </c>
      <c r="P6046">
        <v>0.93471839999999995</v>
      </c>
      <c r="Q6046">
        <v>0.33482640000000002</v>
      </c>
      <c r="R6046">
        <v>0.1191353</v>
      </c>
      <c r="S6046">
        <v>3.2867739999999999</v>
      </c>
      <c r="T6046">
        <v>-0.19330330000000001</v>
      </c>
      <c r="U6046">
        <v>-6.0913090000000003E-2</v>
      </c>
      <c r="V6046">
        <v>-0.15119070000000001</v>
      </c>
      <c r="W6046">
        <v>0.34303729999999999</v>
      </c>
      <c r="X6046">
        <v>0.92707430000000002</v>
      </c>
      <c r="Y6046">
        <v>-1.5018149999999999E-2</v>
      </c>
      <c r="Z6046">
        <v>2.1765230000000001E-3</v>
      </c>
      <c r="AA6046">
        <v>0.99988480000000002</v>
      </c>
      <c r="AB6046">
        <v>25</v>
      </c>
      <c r="AC6046">
        <v>18.775300000000001</v>
      </c>
      <c r="AD6046">
        <v>-1.110956924623</v>
      </c>
      <c r="AE6046">
        <v>-0.34689999999999799</v>
      </c>
      <c r="AF6046">
        <v>-0.28342402564299402</v>
      </c>
      <c r="AG6046">
        <v>-1.110956924623</v>
      </c>
      <c r="AH6046">
        <v>18.710861798078501</v>
      </c>
      <c r="AI6046">
        <v>93.397557268171099</v>
      </c>
      <c r="AJ6046">
        <v>90.867825267584493</v>
      </c>
      <c r="AK6046">
        <v>18.745956995935799</v>
      </c>
      <c r="AL6046">
        <v>69.937968514082698</v>
      </c>
      <c r="AM6046">
        <v>99.262465954658794</v>
      </c>
      <c r="AN6046">
        <v>0.99999998733913498</v>
      </c>
    </row>
    <row r="6047" spans="1:40" x14ac:dyDescent="0.25">
      <c r="A6047" t="str">
        <f>"20190304164245306"</f>
        <v>20190304164245306</v>
      </c>
      <c r="B6047" t="str">
        <f>"1551688965297103"</f>
        <v>1551688965297103</v>
      </c>
      <c r="C6047" t="s">
        <v>40</v>
      </c>
      <c r="D6047">
        <v>3.9825680000000001</v>
      </c>
      <c r="E6047">
        <v>0.56727640000000001</v>
      </c>
      <c r="F6047" t="s">
        <v>42</v>
      </c>
      <c r="G6047">
        <v>-354.1952</v>
      </c>
      <c r="H6047" s="1">
        <v>-2.9203670000000002E-6</v>
      </c>
      <c r="I6047">
        <v>17.091639999999899</v>
      </c>
      <c r="J6047">
        <v>-372.7482</v>
      </c>
      <c r="K6047">
        <v>1.110967</v>
      </c>
      <c r="L6047">
        <v>17.429839999999999</v>
      </c>
      <c r="M6047">
        <v>0.99943009999999999</v>
      </c>
      <c r="N6047">
        <v>-9.1589389999999996E-3</v>
      </c>
      <c r="O6047">
        <v>-3.2493349999999997E-2</v>
      </c>
      <c r="P6047">
        <v>0.93481479999999995</v>
      </c>
      <c r="Q6047">
        <v>0.33446599999999999</v>
      </c>
      <c r="R6047">
        <v>0.11939139999999999</v>
      </c>
      <c r="S6047">
        <v>3.286896</v>
      </c>
      <c r="T6047">
        <v>-0.19458059999999999</v>
      </c>
      <c r="U6047">
        <v>-6.0272220000000001E-2</v>
      </c>
      <c r="V6047">
        <v>-0.15041499999999999</v>
      </c>
      <c r="W6047">
        <v>0.3426633</v>
      </c>
      <c r="X6047">
        <v>0.92733880000000002</v>
      </c>
      <c r="Y6047">
        <v>-1.409579E-2</v>
      </c>
      <c r="Z6047">
        <v>2.1053529999999999E-3</v>
      </c>
      <c r="AA6047">
        <v>0.99989839999999997</v>
      </c>
      <c r="AB6047">
        <v>25</v>
      </c>
      <c r="AC6047">
        <v>18.553000000000001</v>
      </c>
      <c r="AD6047">
        <v>-1.110969920367</v>
      </c>
      <c r="AE6047">
        <v>-0.3382</v>
      </c>
      <c r="AF6047">
        <v>-0.26390695943188802</v>
      </c>
      <c r="AG6047">
        <v>-1.110969920367</v>
      </c>
      <c r="AH6047">
        <v>18.487921530938699</v>
      </c>
      <c r="AI6047">
        <v>93.438513842994197</v>
      </c>
      <c r="AJ6047">
        <v>90.817816542686501</v>
      </c>
      <c r="AK6047">
        <v>18.523151556399501</v>
      </c>
      <c r="AL6047">
        <v>69.960780607279005</v>
      </c>
      <c r="AM6047">
        <v>99.213177856332095</v>
      </c>
      <c r="AN6047">
        <v>1.00000002968866</v>
      </c>
    </row>
    <row r="6048" spans="1:40" x14ac:dyDescent="0.25">
      <c r="A6048" t="str">
        <f>"20190304164245319"</f>
        <v>20190304164245319</v>
      </c>
      <c r="B6048" t="str">
        <f>"1551688965306864"</f>
        <v>1551688965306864</v>
      </c>
      <c r="C6048" t="s">
        <v>40</v>
      </c>
      <c r="D6048">
        <v>4.051641</v>
      </c>
      <c r="E6048">
        <v>0.56731009999999904</v>
      </c>
      <c r="F6048" t="s">
        <v>42</v>
      </c>
      <c r="G6048">
        <v>-354.2269</v>
      </c>
      <c r="H6048" s="1">
        <v>-2.9052300000000001E-6</v>
      </c>
      <c r="I6048">
        <v>17.100300000000001</v>
      </c>
      <c r="J6048">
        <v>-372.613</v>
      </c>
      <c r="K6048">
        <v>1.1109690000000001</v>
      </c>
      <c r="L6048">
        <v>17.426179999999999</v>
      </c>
      <c r="M6048">
        <v>0.99945289999999998</v>
      </c>
      <c r="N6048">
        <v>-9.1497980000000007E-3</v>
      </c>
      <c r="O6048">
        <v>-3.17833E-2</v>
      </c>
      <c r="P6048">
        <v>0.93486820000000004</v>
      </c>
      <c r="Q6048">
        <v>0.334233</v>
      </c>
      <c r="R6048">
        <v>0.1196238</v>
      </c>
      <c r="S6048">
        <v>3.287201</v>
      </c>
      <c r="T6048">
        <v>-0.19717789999999999</v>
      </c>
      <c r="U6048">
        <v>-5.8471679999999998E-2</v>
      </c>
      <c r="V6048">
        <v>-0.14998939999999999</v>
      </c>
      <c r="W6048">
        <v>0.34242319999999998</v>
      </c>
      <c r="X6048">
        <v>0.9274964</v>
      </c>
      <c r="Y6048">
        <v>-1.3933869999999999E-2</v>
      </c>
      <c r="Z6048">
        <v>2.0949190000000002E-3</v>
      </c>
      <c r="AA6048">
        <v>0.99990069999999998</v>
      </c>
      <c r="AB6048">
        <v>25</v>
      </c>
      <c r="AC6048">
        <v>18.386099999999999</v>
      </c>
      <c r="AD6048">
        <v>-1.11097190522999</v>
      </c>
      <c r="AE6048">
        <v>-0.32587999999999701</v>
      </c>
      <c r="AF6048">
        <v>-0.257739306619098</v>
      </c>
      <c r="AG6048">
        <v>-1.11097190522999</v>
      </c>
      <c r="AH6048">
        <v>18.320299502727199</v>
      </c>
      <c r="AI6048">
        <v>93.469914377976707</v>
      </c>
      <c r="AJ6048">
        <v>90.806013041975902</v>
      </c>
      <c r="AK6048">
        <v>18.355763726797498</v>
      </c>
      <c r="AL6048">
        <v>69.975422966228194</v>
      </c>
      <c r="AM6048">
        <v>99.186019786390702</v>
      </c>
      <c r="AN6048">
        <v>1.00000002001177</v>
      </c>
    </row>
    <row r="6049" spans="1:40" x14ac:dyDescent="0.25">
      <c r="A6049" t="str">
        <f>"20190304164245332"</f>
        <v>20190304164245332</v>
      </c>
      <c r="B6049" t="str">
        <f>"1551688965327360"</f>
        <v>1551688965327360</v>
      </c>
      <c r="C6049" t="s">
        <v>40</v>
      </c>
      <c r="D6049">
        <v>4.4596150000000003</v>
      </c>
      <c r="E6049">
        <v>0.58162320000000001</v>
      </c>
      <c r="F6049" t="s">
        <v>42</v>
      </c>
      <c r="G6049">
        <v>-354.21230000000003</v>
      </c>
      <c r="H6049" s="1">
        <v>-2.911116E-6</v>
      </c>
      <c r="I6049">
        <v>17.10239</v>
      </c>
      <c r="J6049">
        <v>-372.4803</v>
      </c>
      <c r="K6049">
        <v>1.1109690000000001</v>
      </c>
      <c r="L6049">
        <v>17.422699999999999</v>
      </c>
      <c r="M6049">
        <v>0.999475</v>
      </c>
      <c r="N6049">
        <v>-9.1416550000000003E-3</v>
      </c>
      <c r="O6049">
        <v>-3.108638E-2</v>
      </c>
      <c r="P6049">
        <v>0.93488380000000004</v>
      </c>
      <c r="Q6049">
        <v>0.33423809999999998</v>
      </c>
      <c r="R6049">
        <v>0.11948689999999999</v>
      </c>
      <c r="S6049">
        <v>3.2873540000000001</v>
      </c>
      <c r="T6049">
        <v>-0.1984793</v>
      </c>
      <c r="U6049">
        <v>-5.7830810000000003E-2</v>
      </c>
      <c r="V6049">
        <v>-0.14920520000000001</v>
      </c>
      <c r="W6049">
        <v>0.34242319999999998</v>
      </c>
      <c r="X6049">
        <v>0.92762290000000003</v>
      </c>
      <c r="Y6049">
        <v>-1.34333E-2</v>
      </c>
      <c r="Z6049">
        <v>2.0572839999999999E-3</v>
      </c>
      <c r="AA6049">
        <v>0.99990769999999995</v>
      </c>
      <c r="AB6049">
        <v>25</v>
      </c>
      <c r="AC6049">
        <v>18.267999999999901</v>
      </c>
      <c r="AD6049">
        <v>-1.1109719111159999</v>
      </c>
      <c r="AE6049">
        <v>-0.32030999999999898</v>
      </c>
      <c r="AF6049">
        <v>-0.246841818594178</v>
      </c>
      <c r="AG6049">
        <v>-1.1109719111159999</v>
      </c>
      <c r="AH6049">
        <v>18.201829515688399</v>
      </c>
      <c r="AI6049">
        <v>93.492467661590695</v>
      </c>
      <c r="AJ6049">
        <v>90.776961869655196</v>
      </c>
      <c r="AK6049">
        <v>18.2373733632034</v>
      </c>
      <c r="AL6049">
        <v>69.975423427571002</v>
      </c>
      <c r="AM6049">
        <v>99.137579168973701</v>
      </c>
      <c r="AN6049">
        <v>1.0000000421048401</v>
      </c>
    </row>
    <row r="6050" spans="1:40" x14ac:dyDescent="0.25">
      <c r="A6050" t="str">
        <f>"20190304164245343"</f>
        <v>20190304164245343</v>
      </c>
      <c r="B6050" t="str">
        <f>"1551688965337119"</f>
        <v>1551688965337119</v>
      </c>
      <c r="C6050" t="s">
        <v>40</v>
      </c>
      <c r="D6050">
        <v>3.947133</v>
      </c>
      <c r="E6050">
        <v>0.58292659999999996</v>
      </c>
      <c r="F6050" t="s">
        <v>42</v>
      </c>
      <c r="G6050">
        <v>-352.93540000000002</v>
      </c>
      <c r="H6050" s="1">
        <v>-3.583284E-6</v>
      </c>
      <c r="I6050">
        <v>16.401139999999899</v>
      </c>
      <c r="J6050">
        <v>-372.33519999999999</v>
      </c>
      <c r="K6050">
        <v>1.110967</v>
      </c>
      <c r="L6050">
        <v>17.418949999999999</v>
      </c>
      <c r="M6050">
        <v>0.99949829999999995</v>
      </c>
      <c r="N6050">
        <v>-9.1332400000000008E-3</v>
      </c>
      <c r="O6050">
        <v>-3.0325919999999999E-2</v>
      </c>
      <c r="P6050">
        <v>0.93490050000000002</v>
      </c>
      <c r="Q6050">
        <v>0.33423520000000001</v>
      </c>
      <c r="R6050">
        <v>0.1193654</v>
      </c>
      <c r="S6050">
        <v>3.2980040000000002</v>
      </c>
      <c r="T6050">
        <v>-0.18746599999999999</v>
      </c>
      <c r="U6050">
        <v>-0.172363299999999</v>
      </c>
      <c r="V6050">
        <v>-0.14837629999999999</v>
      </c>
      <c r="W6050">
        <v>0.34241460000000001</v>
      </c>
      <c r="X6050">
        <v>0.92775890000000005</v>
      </c>
      <c r="Y6050">
        <v>2.1875289999999999E-2</v>
      </c>
      <c r="Z6050">
        <v>7.2314699999999896E-4</v>
      </c>
      <c r="AA6050">
        <v>0.99976039999999999</v>
      </c>
      <c r="AB6050">
        <v>25</v>
      </c>
      <c r="AC6050">
        <v>19.3997999999999</v>
      </c>
      <c r="AD6050">
        <v>-1.110970583284</v>
      </c>
      <c r="AE6050">
        <v>-1.0178100000000001</v>
      </c>
      <c r="AF6050">
        <v>0.42760200924938202</v>
      </c>
      <c r="AG6050">
        <v>-1.110970583284</v>
      </c>
      <c r="AH6050">
        <v>19.3584317511744</v>
      </c>
      <c r="AI6050">
        <v>93.283773684966903</v>
      </c>
      <c r="AJ6050">
        <v>88.734618208573593</v>
      </c>
      <c r="AK6050">
        <v>19.394998813614698</v>
      </c>
      <c r="AL6050">
        <v>69.975945547393593</v>
      </c>
      <c r="AM6050">
        <v>99.086355392879895</v>
      </c>
      <c r="AN6050">
        <v>0.99999993061202697</v>
      </c>
    </row>
    <row r="6051" spans="1:40" x14ac:dyDescent="0.25">
      <c r="A6051" t="str">
        <f>"20190304164245356"</f>
        <v>20190304164245356</v>
      </c>
      <c r="B6051" t="str">
        <f>"1551688965346879"</f>
        <v>1551688965346879</v>
      </c>
      <c r="C6051" t="s">
        <v>40</v>
      </c>
      <c r="D6051">
        <v>4.0366</v>
      </c>
      <c r="E6051">
        <v>0.58400759999999996</v>
      </c>
      <c r="F6051" t="s">
        <v>42</v>
      </c>
      <c r="G6051">
        <v>-351.64429999999999</v>
      </c>
      <c r="H6051" s="1">
        <v>-4.1609369999999998E-6</v>
      </c>
      <c r="I6051">
        <v>16.267329999999902</v>
      </c>
      <c r="J6051">
        <v>-372.19279999999998</v>
      </c>
      <c r="K6051">
        <v>1.110967</v>
      </c>
      <c r="L6051">
        <v>17.415410000000001</v>
      </c>
      <c r="M6051">
        <v>0.99952070000000004</v>
      </c>
      <c r="N6051">
        <v>-9.125948E-3</v>
      </c>
      <c r="O6051">
        <v>-2.9582049999999999E-2</v>
      </c>
      <c r="P6051">
        <v>0.93503990000000003</v>
      </c>
      <c r="Q6051">
        <v>0.33389020000000003</v>
      </c>
      <c r="R6051">
        <v>0.119238</v>
      </c>
      <c r="S6051">
        <v>3.295563</v>
      </c>
      <c r="T6051">
        <v>-0.1769502</v>
      </c>
      <c r="U6051">
        <v>-0.18341060000000001</v>
      </c>
      <c r="V6051">
        <v>-0.14755950000000001</v>
      </c>
      <c r="W6051">
        <v>0.34206740000000002</v>
      </c>
      <c r="X6051">
        <v>0.92801730000000004</v>
      </c>
      <c r="Y6051">
        <v>2.5991489999999999E-2</v>
      </c>
      <c r="Z6051">
        <v>5.002715E-4</v>
      </c>
      <c r="AA6051">
        <v>0.99966200000000005</v>
      </c>
      <c r="AB6051">
        <v>25</v>
      </c>
      <c r="AC6051">
        <v>20.548499999999901</v>
      </c>
      <c r="AD6051">
        <v>-1.1109711609370001</v>
      </c>
      <c r="AE6051">
        <v>-1.14808</v>
      </c>
      <c r="AF6051">
        <v>0.53811735997583299</v>
      </c>
      <c r="AG6051">
        <v>-1.1109711609370001</v>
      </c>
      <c r="AH6051">
        <v>20.513693084372999</v>
      </c>
      <c r="AI6051">
        <v>93.0989061271666</v>
      </c>
      <c r="AJ6051">
        <v>88.497355675476996</v>
      </c>
      <c r="AK6051">
        <v>20.550801229474999</v>
      </c>
      <c r="AL6051">
        <v>69.997118819330197</v>
      </c>
      <c r="AM6051">
        <v>99.034688593496995</v>
      </c>
      <c r="AN6051">
        <v>1.00000001064115</v>
      </c>
    </row>
    <row r="6052" spans="1:40" x14ac:dyDescent="0.25">
      <c r="A6052" t="str">
        <f>"20190304164245376"</f>
        <v>20190304164245376</v>
      </c>
      <c r="B6052" t="str">
        <f>"1551688965367376"</f>
        <v>1551688965367376</v>
      </c>
      <c r="C6052" t="s">
        <v>40</v>
      </c>
      <c r="D6052">
        <v>4.0372849999999998</v>
      </c>
      <c r="E6052">
        <v>0.584866199999999</v>
      </c>
      <c r="F6052" t="s">
        <v>42</v>
      </c>
      <c r="G6052">
        <v>-351.43209999999999</v>
      </c>
      <c r="H6052" s="1">
        <v>-4.2628619999999997E-6</v>
      </c>
      <c r="I6052">
        <v>16.205819999999999</v>
      </c>
      <c r="J6052">
        <v>-371.98669999999998</v>
      </c>
      <c r="K6052">
        <v>1.110962</v>
      </c>
      <c r="L6052">
        <v>17.410489999999999</v>
      </c>
      <c r="M6052">
        <v>0.999552</v>
      </c>
      <c r="N6052">
        <v>-9.1165640000000006E-3</v>
      </c>
      <c r="O6052">
        <v>-2.8511310000000002E-2</v>
      </c>
      <c r="P6052">
        <v>0.93511469999999997</v>
      </c>
      <c r="Q6052">
        <v>0.33388099999999998</v>
      </c>
      <c r="R6052">
        <v>0.1186763</v>
      </c>
      <c r="S6052">
        <v>3.2958980000000002</v>
      </c>
      <c r="T6052">
        <v>-0.17637420000000001</v>
      </c>
      <c r="U6052">
        <v>-0.19201660000000001</v>
      </c>
      <c r="V6052">
        <v>-0.14600239999999901</v>
      </c>
      <c r="W6052">
        <v>0.3420549</v>
      </c>
      <c r="X6052">
        <v>0.92826810000000004</v>
      </c>
      <c r="Y6052">
        <v>2.9651230000000001E-2</v>
      </c>
      <c r="Z6052">
        <v>3.3572680000000001E-4</v>
      </c>
      <c r="AA6052">
        <v>0.99956020000000001</v>
      </c>
      <c r="AB6052">
        <v>25</v>
      </c>
      <c r="AC6052">
        <v>20.554599999999901</v>
      </c>
      <c r="AD6052">
        <v>-1.1109662628620001</v>
      </c>
      <c r="AE6052">
        <v>-1.2046699999999899</v>
      </c>
      <c r="AF6052">
        <v>0.61632302596256405</v>
      </c>
      <c r="AG6052">
        <v>-1.1109662628620001</v>
      </c>
      <c r="AH6052">
        <v>20.5208480111319</v>
      </c>
      <c r="AI6052">
        <v>93.097483704289004</v>
      </c>
      <c r="AJ6052">
        <v>88.279696039184003</v>
      </c>
      <c r="AK6052">
        <v>20.5601386961646</v>
      </c>
      <c r="AL6052">
        <v>69.997879945783197</v>
      </c>
      <c r="AM6052">
        <v>98.938522903562202</v>
      </c>
      <c r="AN6052">
        <v>0.999999960448689</v>
      </c>
    </row>
    <row r="6053" spans="1:40" x14ac:dyDescent="0.25">
      <c r="A6053" t="str">
        <f>"20190304164245391"</f>
        <v>20190304164245391</v>
      </c>
      <c r="B6053" t="str">
        <f>"1551688965386896"</f>
        <v>1551688965386896</v>
      </c>
      <c r="C6053" t="s">
        <v>40</v>
      </c>
      <c r="D6053">
        <v>4.078551</v>
      </c>
      <c r="E6053">
        <v>0.58526160000000005</v>
      </c>
      <c r="F6053" t="s">
        <v>42</v>
      </c>
      <c r="G6053">
        <v>-350.21109999999999</v>
      </c>
      <c r="H6053" s="1">
        <v>-4.8088719999999999E-6</v>
      </c>
      <c r="I6053">
        <v>16.0806</v>
      </c>
      <c r="J6053">
        <v>-371.81830000000002</v>
      </c>
      <c r="K6053">
        <v>1.1109610000000001</v>
      </c>
      <c r="L6053">
        <v>17.40662</v>
      </c>
      <c r="M6053">
        <v>0.99957649999999998</v>
      </c>
      <c r="N6053">
        <v>-9.1098930000000009E-3</v>
      </c>
      <c r="O6053">
        <v>-2.7641909999999999E-2</v>
      </c>
      <c r="P6053">
        <v>0.93514229999999998</v>
      </c>
      <c r="Q6053">
        <v>0.33381719999999998</v>
      </c>
      <c r="R6053">
        <v>0.1186382</v>
      </c>
      <c r="S6053">
        <v>3.2936709999999998</v>
      </c>
      <c r="T6053">
        <v>-0.16803979999999999</v>
      </c>
      <c r="U6053">
        <v>-0.2011414</v>
      </c>
      <c r="V6053">
        <v>-0.14515449999999999</v>
      </c>
      <c r="W6053">
        <v>0.34198810000000002</v>
      </c>
      <c r="X6053">
        <v>0.92842570000000002</v>
      </c>
      <c r="Y6053">
        <v>3.3313809999999999E-2</v>
      </c>
      <c r="Z6053">
        <v>1.5559649999999999E-4</v>
      </c>
      <c r="AA6053">
        <v>0.99944489999999997</v>
      </c>
      <c r="AB6053">
        <v>25</v>
      </c>
      <c r="AC6053">
        <v>21.607199999999999</v>
      </c>
      <c r="AD6053">
        <v>-1.110965808872</v>
      </c>
      <c r="AE6053">
        <v>-1.32601999999999</v>
      </c>
      <c r="AF6053">
        <v>0.726311371400718</v>
      </c>
      <c r="AG6053">
        <v>-1.110965808872</v>
      </c>
      <c r="AH6053">
        <v>21.5787654998982</v>
      </c>
      <c r="AI6053">
        <v>92.945560985432806</v>
      </c>
      <c r="AJ6053">
        <v>88.072231157849302</v>
      </c>
      <c r="AK6053">
        <v>21.6195488791118</v>
      </c>
      <c r="AL6053">
        <v>70.001953447683903</v>
      </c>
      <c r="AM6053">
        <v>98.885959435510401</v>
      </c>
      <c r="AN6053">
        <v>0.99999998491617403</v>
      </c>
    </row>
    <row r="6054" spans="1:40" x14ac:dyDescent="0.25">
      <c r="A6054" t="str">
        <f>"20190304164245410"</f>
        <v>20190304164245410</v>
      </c>
      <c r="B6054" t="str">
        <f>"1551688965397633"</f>
        <v>1551688965397633</v>
      </c>
      <c r="C6054" t="s">
        <v>40</v>
      </c>
      <c r="D6054">
        <v>4.0841419999999999</v>
      </c>
      <c r="E6054">
        <v>0.58543529999999999</v>
      </c>
      <c r="F6054" t="s">
        <v>42</v>
      </c>
      <c r="G6054">
        <v>-349.48500000000001</v>
      </c>
      <c r="H6054" s="1">
        <v>-1.1192429999999999E-6</v>
      </c>
      <c r="I6054">
        <v>16.016079999999999</v>
      </c>
      <c r="J6054">
        <v>-371.60719999999998</v>
      </c>
      <c r="K6054">
        <v>1.110954</v>
      </c>
      <c r="L6054">
        <v>17.40192</v>
      </c>
      <c r="M6054">
        <v>0.99960590000000005</v>
      </c>
      <c r="N6054">
        <v>-9.1026609999999997E-3</v>
      </c>
      <c r="O6054">
        <v>-2.655662E-2</v>
      </c>
      <c r="P6054">
        <v>0.93515859999999995</v>
      </c>
      <c r="Q6054">
        <v>0.33399820000000002</v>
      </c>
      <c r="R6054">
        <v>0.11799809999999999</v>
      </c>
      <c r="S6054">
        <v>3.2925110000000002</v>
      </c>
      <c r="T6054">
        <v>-0.16378409999999999</v>
      </c>
      <c r="U6054">
        <v>-0.20498659999999999</v>
      </c>
      <c r="V6054">
        <v>-0.14350399999999999</v>
      </c>
      <c r="W6054">
        <v>0.34216780000000002</v>
      </c>
      <c r="X6054">
        <v>0.928616</v>
      </c>
      <c r="Y6054">
        <v>3.5579760000000002E-2</v>
      </c>
      <c r="Z6054" s="1">
        <v>3.1348260000000003E-5</v>
      </c>
      <c r="AA6054">
        <v>0.9993668</v>
      </c>
      <c r="AB6054">
        <v>25</v>
      </c>
      <c r="AC6054">
        <v>22.1221999999999</v>
      </c>
      <c r="AD6054">
        <v>-1.1109551192430001</v>
      </c>
      <c r="AE6054">
        <v>-1.38584</v>
      </c>
      <c r="AF6054">
        <v>0.79583679422308895</v>
      </c>
      <c r="AG6054">
        <v>-1.1109551192430001</v>
      </c>
      <c r="AH6054">
        <v>22.095695439626201</v>
      </c>
      <c r="AI6054">
        <v>92.876503201302398</v>
      </c>
      <c r="AJ6054">
        <v>87.937227766115498</v>
      </c>
      <c r="AK6054">
        <v>22.1379162172218</v>
      </c>
      <c r="AL6054">
        <v>69.990995402664694</v>
      </c>
      <c r="AM6054">
        <v>98.784733360249106</v>
      </c>
      <c r="AN6054">
        <v>0.99999993841441803</v>
      </c>
    </row>
    <row r="6055" spans="1:40" x14ac:dyDescent="0.25">
      <c r="A6055" t="str">
        <f>"20190304164245425"</f>
        <v>20190304164245425</v>
      </c>
      <c r="B6055" t="str">
        <f>"1551688965417152"</f>
        <v>1551688965417152</v>
      </c>
      <c r="C6055" t="s">
        <v>40</v>
      </c>
      <c r="D6055">
        <v>4.1113169999999997</v>
      </c>
      <c r="E6055">
        <v>0.58553549999999999</v>
      </c>
      <c r="F6055" t="s">
        <v>42</v>
      </c>
      <c r="G6055">
        <v>-350.09</v>
      </c>
      <c r="H6055" s="1">
        <v>-4.8673879999999999E-6</v>
      </c>
      <c r="I6055">
        <v>16.043659999999999</v>
      </c>
      <c r="J6055">
        <v>-371.43470000000002</v>
      </c>
      <c r="K6055">
        <v>1.110954</v>
      </c>
      <c r="L6055">
        <v>17.398250000000001</v>
      </c>
      <c r="M6055">
        <v>0.99962910000000005</v>
      </c>
      <c r="N6055">
        <v>-9.0975980000000001E-3</v>
      </c>
      <c r="O6055">
        <v>-2.5673040000000001E-2</v>
      </c>
      <c r="P6055">
        <v>0.93511460000000002</v>
      </c>
      <c r="Q6055">
        <v>0.334144</v>
      </c>
      <c r="R6055">
        <v>0.11793579999999999</v>
      </c>
      <c r="S6055">
        <v>3.2949519999999999</v>
      </c>
      <c r="T6055">
        <v>-0.17012189999999999</v>
      </c>
      <c r="U6055">
        <v>-0.2079773</v>
      </c>
      <c r="V6055">
        <v>-0.14261750000000001</v>
      </c>
      <c r="W6055">
        <v>0.34231159999999999</v>
      </c>
      <c r="X6055">
        <v>0.92869959999999996</v>
      </c>
      <c r="Y6055">
        <v>3.7315580000000001E-2</v>
      </c>
      <c r="Z6055" s="1">
        <v>-4.2092349999999899E-5</v>
      </c>
      <c r="AA6055">
        <v>0.99930350000000001</v>
      </c>
      <c r="AB6055">
        <v>25</v>
      </c>
      <c r="AC6055">
        <v>21.3447</v>
      </c>
      <c r="AD6055">
        <v>-1.110958867388</v>
      </c>
      <c r="AE6055">
        <v>-1.35459</v>
      </c>
      <c r="AF6055">
        <v>0.80396827496402501</v>
      </c>
      <c r="AG6055">
        <v>-1.110958867388</v>
      </c>
      <c r="AH6055">
        <v>21.314930509985601</v>
      </c>
      <c r="AI6055">
        <v>92.981506268997293</v>
      </c>
      <c r="AJ6055">
        <v>87.839910258495195</v>
      </c>
      <c r="AK6055">
        <v>21.3589994437401</v>
      </c>
      <c r="AL6055">
        <v>69.982227307065102</v>
      </c>
      <c r="AM6055">
        <v>98.730530362604497</v>
      </c>
      <c r="AN6055">
        <v>0.99999996492048404</v>
      </c>
    </row>
    <row r="6056" spans="1:40" x14ac:dyDescent="0.25">
      <c r="A6056" t="str">
        <f>"20190304164245441"</f>
        <v>20190304164245441</v>
      </c>
      <c r="B6056" t="str">
        <f>"1551688965437648"</f>
        <v>1551688965437648</v>
      </c>
      <c r="C6056" t="s">
        <v>40</v>
      </c>
      <c r="D6056">
        <v>4.0666359999999999</v>
      </c>
      <c r="E6056">
        <v>0.58544739999999995</v>
      </c>
      <c r="F6056" t="s">
        <v>42</v>
      </c>
      <c r="G6056">
        <v>-351.0813</v>
      </c>
      <c r="H6056" s="1">
        <v>-4.4292069999999999E-6</v>
      </c>
      <c r="I6056">
        <v>16.116429999999902</v>
      </c>
      <c r="J6056">
        <v>-371.24689999999998</v>
      </c>
      <c r="K6056">
        <v>1.110957</v>
      </c>
      <c r="L6056">
        <v>17.394469999999998</v>
      </c>
      <c r="M6056">
        <v>0.99965329999999997</v>
      </c>
      <c r="N6056">
        <v>-9.0929300000000008E-3</v>
      </c>
      <c r="O6056">
        <v>-2.4713530000000001E-2</v>
      </c>
      <c r="P6056">
        <v>0.93509109999999995</v>
      </c>
      <c r="Q6056">
        <v>0.33443460000000003</v>
      </c>
      <c r="R6056">
        <v>0.117296</v>
      </c>
      <c r="S6056">
        <v>3.2986759999999999</v>
      </c>
      <c r="T6056">
        <v>-0.180053399999999</v>
      </c>
      <c r="U6056">
        <v>-0.20773320000000001</v>
      </c>
      <c r="V6056">
        <v>-0.14108380000000001</v>
      </c>
      <c r="W6056">
        <v>0.34260190000000001</v>
      </c>
      <c r="X6056">
        <v>0.92882690000000001</v>
      </c>
      <c r="Y6056">
        <v>3.81248E-2</v>
      </c>
      <c r="Z6056" s="1">
        <v>-9.0520360000000006E-5</v>
      </c>
      <c r="AA6056">
        <v>0.99927299999999997</v>
      </c>
      <c r="AB6056">
        <v>25</v>
      </c>
      <c r="AC6056">
        <v>20.165599999999898</v>
      </c>
      <c r="AD6056">
        <v>-1.110961429207</v>
      </c>
      <c r="AE6056">
        <v>-1.2780400000000001</v>
      </c>
      <c r="AF6056">
        <v>0.77691729406327303</v>
      </c>
      <c r="AG6056">
        <v>-1.110961429207</v>
      </c>
      <c r="AH6056">
        <v>20.1301735405263</v>
      </c>
      <c r="AI6056">
        <v>93.156539241425406</v>
      </c>
      <c r="AJ6056">
        <v>87.789785583948401</v>
      </c>
      <c r="AK6056">
        <v>20.1757706804649</v>
      </c>
      <c r="AL6056">
        <v>69.964525767971693</v>
      </c>
      <c r="AM6056">
        <v>98.636900462273303</v>
      </c>
      <c r="AN6056">
        <v>1.0000000553348201</v>
      </c>
    </row>
    <row r="6057" spans="1:40" x14ac:dyDescent="0.25">
      <c r="A6057" t="str">
        <f>"20190304164245454"</f>
        <v>20190304164245454</v>
      </c>
      <c r="B6057" t="str">
        <f>"1551688965447408"</f>
        <v>1551688965447408</v>
      </c>
      <c r="C6057" t="s">
        <v>40</v>
      </c>
      <c r="D6057">
        <v>4.1534839999999997</v>
      </c>
      <c r="E6057">
        <v>0.58553060000000001</v>
      </c>
      <c r="F6057" t="s">
        <v>42</v>
      </c>
      <c r="G6057">
        <v>-350.5566</v>
      </c>
      <c r="H6057" s="1">
        <v>-4.6609130000000003E-6</v>
      </c>
      <c r="I6057">
        <v>16.079039999999999</v>
      </c>
      <c r="J6057">
        <v>-371.10270000000003</v>
      </c>
      <c r="K6057">
        <v>1.1109579999999999</v>
      </c>
      <c r="L6057">
        <v>17.391690000000001</v>
      </c>
      <c r="M6057">
        <v>0.99967119999999998</v>
      </c>
      <c r="N6057">
        <v>-9.0900770000000002E-3</v>
      </c>
      <c r="O6057">
        <v>-2.3978599999999999E-2</v>
      </c>
      <c r="P6057">
        <v>0.93512260000000003</v>
      </c>
      <c r="Q6057">
        <v>0.3343486</v>
      </c>
      <c r="R6057">
        <v>0.11729000000000001</v>
      </c>
      <c r="S6057">
        <v>3.2978519999999998</v>
      </c>
      <c r="T6057">
        <v>-0.1770784</v>
      </c>
      <c r="U6057">
        <v>-0.2096558</v>
      </c>
      <c r="V6057">
        <v>-0.14039360000000001</v>
      </c>
      <c r="W6057">
        <v>0.34251549999999997</v>
      </c>
      <c r="X6057">
        <v>0.92896330000000005</v>
      </c>
      <c r="Y6057">
        <v>3.9453349999999998E-2</v>
      </c>
      <c r="Z6057">
        <v>-1.697546E-4</v>
      </c>
      <c r="AA6057">
        <v>0.99922140000000004</v>
      </c>
      <c r="AB6057">
        <v>25</v>
      </c>
      <c r="AC6057">
        <v>20.546099999999999</v>
      </c>
      <c r="AD6057">
        <v>-1.1109626609130001</v>
      </c>
      <c r="AE6057">
        <v>-1.3126500000000001</v>
      </c>
      <c r="AF6057">
        <v>0.81720591098594697</v>
      </c>
      <c r="AG6057">
        <v>-1.1109626609130001</v>
      </c>
      <c r="AH6057">
        <v>20.5119407603278</v>
      </c>
      <c r="AI6057">
        <v>93.097758003472194</v>
      </c>
      <c r="AJ6057">
        <v>87.718514274640299</v>
      </c>
      <c r="AK6057">
        <v>20.558253264567199</v>
      </c>
      <c r="AL6057">
        <v>69.969794223407206</v>
      </c>
      <c r="AM6057">
        <v>98.594037031894104</v>
      </c>
      <c r="AN6057">
        <v>1.0000000217040399</v>
      </c>
    </row>
    <row r="6058" spans="1:40" x14ac:dyDescent="0.25">
      <c r="A6058" t="str">
        <f>"20190304164245466"</f>
        <v>20190304164245466</v>
      </c>
      <c r="B6058" t="str">
        <f>"1551688965457167"</f>
        <v>1551688965457167</v>
      </c>
      <c r="C6058" t="s">
        <v>40</v>
      </c>
      <c r="D6058">
        <v>4.0632140000000003</v>
      </c>
      <c r="E6058">
        <v>0.58558449999999995</v>
      </c>
      <c r="F6058" t="s">
        <v>42</v>
      </c>
      <c r="G6058">
        <v>-350.15940000000001</v>
      </c>
      <c r="H6058" s="1">
        <v>-4.8356199999999996E-6</v>
      </c>
      <c r="I6058">
        <v>16.05481</v>
      </c>
      <c r="J6058">
        <v>-370.96159999999998</v>
      </c>
      <c r="K6058">
        <v>1.110957</v>
      </c>
      <c r="L6058">
        <v>17.38907</v>
      </c>
      <c r="M6058">
        <v>0.99968829999999997</v>
      </c>
      <c r="N6058">
        <v>-9.0864069999999995E-3</v>
      </c>
      <c r="O6058">
        <v>-2.326025E-2</v>
      </c>
      <c r="P6058">
        <v>0.93506719999999999</v>
      </c>
      <c r="Q6058">
        <v>0.33442060000000001</v>
      </c>
      <c r="R6058">
        <v>0.1175258</v>
      </c>
      <c r="S6058">
        <v>3.2970579999999998</v>
      </c>
      <c r="T6058">
        <v>-0.17489649999999901</v>
      </c>
      <c r="U6058">
        <v>-0.2104492</v>
      </c>
      <c r="V6058">
        <v>-0.13995829999999901</v>
      </c>
      <c r="W6058">
        <v>0.3425858</v>
      </c>
      <c r="X6058">
        <v>0.92900309999999997</v>
      </c>
      <c r="Y6058">
        <v>4.0424599999999998E-2</v>
      </c>
      <c r="Z6058">
        <v>-2.3397749999999999E-4</v>
      </c>
      <c r="AA6058">
        <v>0.99918260000000003</v>
      </c>
      <c r="AB6058">
        <v>25</v>
      </c>
      <c r="AC6058">
        <v>20.8021999999999</v>
      </c>
      <c r="AD6058">
        <v>-1.1109618356199999</v>
      </c>
      <c r="AE6058">
        <v>-1.33426</v>
      </c>
      <c r="AF6058">
        <v>0.84760706336617297</v>
      </c>
      <c r="AG6058">
        <v>-1.1109618356199999</v>
      </c>
      <c r="AH6058">
        <v>20.7686143579961</v>
      </c>
      <c r="AI6058">
        <v>93.0594251550839</v>
      </c>
      <c r="AJ6058">
        <v>87.662946098349593</v>
      </c>
      <c r="AK6058">
        <v>20.815571485914901</v>
      </c>
      <c r="AL6058">
        <v>69.965507704659103</v>
      </c>
      <c r="AM6058">
        <v>98.567425074209694</v>
      </c>
      <c r="AN6058">
        <v>1.0000000579550601</v>
      </c>
    </row>
    <row r="6059" spans="1:40" x14ac:dyDescent="0.25">
      <c r="A6059" t="str">
        <f>"20190304164245478"</f>
        <v>20190304164245478</v>
      </c>
      <c r="B6059" t="str">
        <f>"1551688965466928"</f>
        <v>1551688965466928</v>
      </c>
      <c r="C6059" t="s">
        <v>40</v>
      </c>
      <c r="D6059">
        <v>4.1136350000000004</v>
      </c>
      <c r="E6059">
        <v>0.58561779999999997</v>
      </c>
      <c r="F6059" t="s">
        <v>42</v>
      </c>
      <c r="G6059">
        <v>-349.73739999999998</v>
      </c>
      <c r="H6059" s="1">
        <v>-1.028632E-6</v>
      </c>
      <c r="I6059">
        <v>16.033819999999999</v>
      </c>
      <c r="J6059">
        <v>-370.8261</v>
      </c>
      <c r="K6059">
        <v>1.1109530000000001</v>
      </c>
      <c r="L6059">
        <v>17.386659999999999</v>
      </c>
      <c r="M6059">
        <v>0.99970409999999998</v>
      </c>
      <c r="N6059">
        <v>-9.0816750000000009E-3</v>
      </c>
      <c r="O6059">
        <v>-2.2572060000000001E-2</v>
      </c>
      <c r="P6059">
        <v>0.9351256</v>
      </c>
      <c r="Q6059">
        <v>0.33425009999999999</v>
      </c>
      <c r="R6059">
        <v>0.1175465</v>
      </c>
      <c r="S6059">
        <v>3.2965089999999901</v>
      </c>
      <c r="T6059">
        <v>-0.1725516</v>
      </c>
      <c r="U6059">
        <v>-0.21047969999999999</v>
      </c>
      <c r="V6059">
        <v>-0.13933760000000001</v>
      </c>
      <c r="W6059">
        <v>0.34241379999999999</v>
      </c>
      <c r="X6059">
        <v>0.92915979999999998</v>
      </c>
      <c r="Y6059">
        <v>4.113137E-2</v>
      </c>
      <c r="Z6059">
        <v>-2.8728089999999998E-4</v>
      </c>
      <c r="AA6059">
        <v>0.99915370000000003</v>
      </c>
      <c r="AB6059">
        <v>25</v>
      </c>
      <c r="AC6059">
        <v>21.088699999999999</v>
      </c>
      <c r="AD6059">
        <v>-1.1109540286319901</v>
      </c>
      <c r="AE6059">
        <v>-1.3528399999999901</v>
      </c>
      <c r="AF6059">
        <v>0.87404462469969801</v>
      </c>
      <c r="AG6059">
        <v>-1.1109540286319901</v>
      </c>
      <c r="AH6059">
        <v>21.055670208271302</v>
      </c>
      <c r="AI6059">
        <v>93.017685362101503</v>
      </c>
      <c r="AJ6059">
        <v>87.622952281676504</v>
      </c>
      <c r="AK6059">
        <v>21.103066620261199</v>
      </c>
      <c r="AL6059">
        <v>69.975996942432701</v>
      </c>
      <c r="AM6059">
        <v>98.528572225809398</v>
      </c>
      <c r="AN6059">
        <v>1.0000000555701101</v>
      </c>
    </row>
    <row r="6060" spans="1:40" x14ac:dyDescent="0.25">
      <c r="A6060" t="str">
        <f>"20190304164245497"</f>
        <v>20190304164245497</v>
      </c>
      <c r="B6060" t="str">
        <f>"1551688965487423"</f>
        <v>1551688965487423</v>
      </c>
      <c r="C6060" t="s">
        <v>40</v>
      </c>
      <c r="D6060">
        <v>4.1490130000000001</v>
      </c>
      <c r="E6060">
        <v>0.58569799999999905</v>
      </c>
      <c r="F6060" t="s">
        <v>42</v>
      </c>
      <c r="G6060">
        <v>-349.3972</v>
      </c>
      <c r="H6060" s="1">
        <v>-1.1492579999999899E-6</v>
      </c>
      <c r="I6060">
        <v>16.015460000000001</v>
      </c>
      <c r="J6060">
        <v>-370.6266</v>
      </c>
      <c r="K6060">
        <v>1.1109469999999999</v>
      </c>
      <c r="L6060">
        <v>17.38327</v>
      </c>
      <c r="M6060">
        <v>0.99972629999999996</v>
      </c>
      <c r="N6060">
        <v>-9.072119E-3</v>
      </c>
      <c r="O6060">
        <v>-2.1564389999999999E-2</v>
      </c>
      <c r="P6060">
        <v>0.93517399999999995</v>
      </c>
      <c r="Q6060">
        <v>0.334096</v>
      </c>
      <c r="R6060">
        <v>0.1175977</v>
      </c>
      <c r="S6060">
        <v>3.2957459999999998</v>
      </c>
      <c r="T6060">
        <v>-0.17086409999999999</v>
      </c>
      <c r="U6060">
        <v>-0.21087649999999999</v>
      </c>
      <c r="V6060">
        <v>-0.1384476</v>
      </c>
      <c r="W6060">
        <v>0.34225470000000002</v>
      </c>
      <c r="X6060">
        <v>0.92935140000000005</v>
      </c>
      <c r="Y6060">
        <v>4.2270919999999997E-2</v>
      </c>
      <c r="Z6060">
        <v>-3.655272E-4</v>
      </c>
      <c r="AA6060">
        <v>0.9991061</v>
      </c>
      <c r="AB6060">
        <v>25</v>
      </c>
      <c r="AC6060">
        <v>21.229399999999998</v>
      </c>
      <c r="AD6060">
        <v>-1.110948149258</v>
      </c>
      <c r="AE6060">
        <v>-1.36780999999999</v>
      </c>
      <c r="AF6060">
        <v>0.90719991120125199</v>
      </c>
      <c r="AG6060">
        <v>-1.110948149258</v>
      </c>
      <c r="AH6060">
        <v>21.1961545189106</v>
      </c>
      <c r="AI6060">
        <v>92.997543138464295</v>
      </c>
      <c r="AJ6060">
        <v>87.549224239628899</v>
      </c>
      <c r="AK6060">
        <v>21.244627176271099</v>
      </c>
      <c r="AL6060">
        <v>69.985698192060696</v>
      </c>
      <c r="AM6060">
        <v>98.473168845719798</v>
      </c>
      <c r="AN6060">
        <v>1.0000000211499001</v>
      </c>
    </row>
    <row r="6061" spans="1:40" x14ac:dyDescent="0.25">
      <c r="A6061" t="str">
        <f>"20190304164245509"</f>
        <v>20190304164245509</v>
      </c>
      <c r="B6061" t="str">
        <f>"1551688965497184"</f>
        <v>1551688965497184</v>
      </c>
      <c r="C6061" t="s">
        <v>40</v>
      </c>
      <c r="D6061">
        <v>4.0204630000000003</v>
      </c>
      <c r="E6061">
        <v>0.58570999999999995</v>
      </c>
      <c r="F6061" t="s">
        <v>42</v>
      </c>
      <c r="G6061">
        <v>-348.9957</v>
      </c>
      <c r="H6061" s="1">
        <v>-1.2917689999999901E-6</v>
      </c>
      <c r="I6061">
        <v>15.993449999999999</v>
      </c>
      <c r="J6061">
        <v>-370.48770000000002</v>
      </c>
      <c r="K6061">
        <v>1.11094</v>
      </c>
      <c r="L6061">
        <v>17.380979999999902</v>
      </c>
      <c r="M6061">
        <v>0.99974130000000005</v>
      </c>
      <c r="N6061">
        <v>-9.0651629999999993E-3</v>
      </c>
      <c r="O6061">
        <v>-2.0869309999999999E-2</v>
      </c>
      <c r="P6061">
        <v>0.93516900000000003</v>
      </c>
      <c r="Q6061">
        <v>0.33400150000000001</v>
      </c>
      <c r="R6061">
        <v>0.1179069</v>
      </c>
      <c r="S6061">
        <v>3.2950740000000001</v>
      </c>
      <c r="T6061">
        <v>-0.16923239999999901</v>
      </c>
      <c r="U6061">
        <v>-0.21170040000000001</v>
      </c>
      <c r="V6061">
        <v>-0.1381049</v>
      </c>
      <c r="W6061">
        <v>0.34215709999999999</v>
      </c>
      <c r="X6061">
        <v>0.92943830000000005</v>
      </c>
      <c r="Y6061">
        <v>4.3225960000000001E-2</v>
      </c>
      <c r="Z6061">
        <v>-4.2358210000000002E-4</v>
      </c>
      <c r="AA6061">
        <v>0.99906519999999999</v>
      </c>
      <c r="AB6061">
        <v>25</v>
      </c>
      <c r="AC6061">
        <v>21.492000000000001</v>
      </c>
      <c r="AD6061">
        <v>-1.110941291769</v>
      </c>
      <c r="AE6061">
        <v>-1.3875299999999899</v>
      </c>
      <c r="AF6061">
        <v>0.93619514584976904</v>
      </c>
      <c r="AG6061">
        <v>-1.110941291769</v>
      </c>
      <c r="AH6061">
        <v>21.459177016673902</v>
      </c>
      <c r="AI6061">
        <v>92.960744782830702</v>
      </c>
      <c r="AJ6061">
        <v>87.501952733332004</v>
      </c>
      <c r="AK6061">
        <v>21.508299099134199</v>
      </c>
      <c r="AL6061">
        <v>69.991649112589499</v>
      </c>
      <c r="AM6061">
        <v>98.451719649315606</v>
      </c>
      <c r="AN6061">
        <v>0.99999999899565495</v>
      </c>
    </row>
    <row r="6062" spans="1:40" x14ac:dyDescent="0.25">
      <c r="A6062" t="str">
        <f>"20190304164245520"</f>
        <v>20190304164245520</v>
      </c>
      <c r="B6062" t="str">
        <f>"1551688965517680"</f>
        <v>1551688965517680</v>
      </c>
      <c r="C6062" t="s">
        <v>40</v>
      </c>
      <c r="D6062">
        <v>4.1645830000000004</v>
      </c>
      <c r="E6062">
        <v>0.58571859999999998</v>
      </c>
      <c r="F6062" t="s">
        <v>42</v>
      </c>
      <c r="G6062">
        <v>-348.7629</v>
      </c>
      <c r="H6062" s="1">
        <v>-1.371412E-6</v>
      </c>
      <c r="I6062">
        <v>15.991809999999999</v>
      </c>
      <c r="J6062">
        <v>-370.35849999999999</v>
      </c>
      <c r="K6062">
        <v>1.1109340000000001</v>
      </c>
      <c r="L6062">
        <v>17.37894</v>
      </c>
      <c r="M6062">
        <v>0.99975449999999999</v>
      </c>
      <c r="N6062">
        <v>-9.0587199999999993E-3</v>
      </c>
      <c r="O6062">
        <v>-2.02268E-2</v>
      </c>
      <c r="P6062">
        <v>0.9352182</v>
      </c>
      <c r="Q6062">
        <v>0.33379720000000002</v>
      </c>
      <c r="R6062">
        <v>0.11809699999999999</v>
      </c>
      <c r="S6062">
        <v>3.2946780000000002</v>
      </c>
      <c r="T6062">
        <v>-0.16847999999999999</v>
      </c>
      <c r="U6062">
        <v>-0.21066280000000001</v>
      </c>
      <c r="V6062">
        <v>-0.13769229999999999</v>
      </c>
      <c r="W6062">
        <v>0.34194999999999998</v>
      </c>
      <c r="X6062">
        <v>0.9295757</v>
      </c>
      <c r="Y6062">
        <v>4.3561629999999997E-2</v>
      </c>
      <c r="Z6062">
        <v>-4.6020380000000001E-4</v>
      </c>
      <c r="AA6062">
        <v>0.99905060000000001</v>
      </c>
      <c r="AB6062">
        <v>25</v>
      </c>
      <c r="AC6062">
        <v>21.595599999999902</v>
      </c>
      <c r="AD6062">
        <v>-1.1109353714120001</v>
      </c>
      <c r="AE6062">
        <v>-1.38712999999999</v>
      </c>
      <c r="AF6062">
        <v>0.94752127298792399</v>
      </c>
      <c r="AG6062">
        <v>-1.1109353714120001</v>
      </c>
      <c r="AH6062">
        <v>21.562412698733901</v>
      </c>
      <c r="AI6062">
        <v>92.946538139549304</v>
      </c>
      <c r="AJ6062">
        <v>87.483859202012297</v>
      </c>
      <c r="AK6062">
        <v>21.6117934321226</v>
      </c>
      <c r="AL6062">
        <v>70.004276304111997</v>
      </c>
      <c r="AM6062">
        <v>98.425604831632498</v>
      </c>
      <c r="AN6062">
        <v>0.99999997700488896</v>
      </c>
    </row>
    <row r="6063" spans="1:40" x14ac:dyDescent="0.25">
      <c r="A6063" t="str">
        <f>"20190304164245533"</f>
        <v>20190304164245533</v>
      </c>
      <c r="B6063" t="str">
        <f>"1551688965527439"</f>
        <v>1551688965527439</v>
      </c>
      <c r="C6063" t="s">
        <v>40</v>
      </c>
      <c r="D6063">
        <v>4.1251069999999999</v>
      </c>
      <c r="E6063">
        <v>0.58571669999999998</v>
      </c>
      <c r="F6063" t="s">
        <v>42</v>
      </c>
      <c r="G6063">
        <v>-348.43639999999999</v>
      </c>
      <c r="H6063" s="1">
        <v>-1.485455E-6</v>
      </c>
      <c r="I6063">
        <v>15.980869999999999</v>
      </c>
      <c r="J6063">
        <v>-370.22500000000002</v>
      </c>
      <c r="K6063">
        <v>1.1109209999999901</v>
      </c>
      <c r="L6063">
        <v>17.37698</v>
      </c>
      <c r="M6063">
        <v>0.99976739999999997</v>
      </c>
      <c r="N6063">
        <v>-9.0527779999999992E-3</v>
      </c>
      <c r="O6063">
        <v>-1.9576469999999999E-2</v>
      </c>
      <c r="P6063">
        <v>0.93520709999999996</v>
      </c>
      <c r="Q6063">
        <v>0.33365980000000001</v>
      </c>
      <c r="R6063">
        <v>0.11856949999999999</v>
      </c>
      <c r="S6063">
        <v>3.2939150000000001</v>
      </c>
      <c r="T6063">
        <v>-0.16692379999999901</v>
      </c>
      <c r="U6063">
        <v>-0.2100525</v>
      </c>
      <c r="V6063">
        <v>-0.137549799999999</v>
      </c>
      <c r="W6063">
        <v>0.34181159999999999</v>
      </c>
      <c r="X6063">
        <v>0.92964769999999997</v>
      </c>
      <c r="Y6063">
        <v>4.404131E-2</v>
      </c>
      <c r="Z6063">
        <v>-5.0055279999999998E-4</v>
      </c>
      <c r="AA6063">
        <v>0.99902959999999996</v>
      </c>
      <c r="AB6063">
        <v>25</v>
      </c>
      <c r="AC6063">
        <v>21.788599999999999</v>
      </c>
      <c r="AD6063">
        <v>-1.1109224854549899</v>
      </c>
      <c r="AE6063">
        <v>-1.39610999999999</v>
      </c>
      <c r="AF6063">
        <v>0.96677811359962695</v>
      </c>
      <c r="AG6063">
        <v>-1.1109224854549899</v>
      </c>
      <c r="AH6063">
        <v>21.755431694810401</v>
      </c>
      <c r="AI6063">
        <v>92.920343762011797</v>
      </c>
      <c r="AJ6063">
        <v>87.455537216748496</v>
      </c>
      <c r="AK6063">
        <v>21.8052199465446</v>
      </c>
      <c r="AL6063">
        <v>70.012714596474297</v>
      </c>
      <c r="AM6063">
        <v>98.4163674643153</v>
      </c>
      <c r="AN6063">
        <v>0.99999998174494398</v>
      </c>
    </row>
    <row r="6064" spans="1:40" x14ac:dyDescent="0.25">
      <c r="A6064" t="str">
        <f>"20190304164245553"</f>
        <v>20190304164245553</v>
      </c>
      <c r="B6064" t="str">
        <f>"1551688965547068"</f>
        <v>1551688965547068</v>
      </c>
      <c r="C6064" t="s">
        <v>40</v>
      </c>
      <c r="D6064">
        <v>4.1831490000000002</v>
      </c>
      <c r="E6064">
        <v>0.58577849999999998</v>
      </c>
      <c r="F6064" t="s">
        <v>42</v>
      </c>
      <c r="G6064">
        <v>-348.27030000000002</v>
      </c>
      <c r="H6064" s="1">
        <v>-1.54058E-6</v>
      </c>
      <c r="I6064">
        <v>15.986129999999999</v>
      </c>
      <c r="J6064">
        <v>-369.98669999999998</v>
      </c>
      <c r="K6064">
        <v>1.1108929999999999</v>
      </c>
      <c r="L6064">
        <v>17.3736</v>
      </c>
      <c r="M6064">
        <v>0.99978920000000004</v>
      </c>
      <c r="N6064">
        <v>-9.0428929999999998E-3</v>
      </c>
      <c r="O6064">
        <v>-1.8440229999999998E-2</v>
      </c>
      <c r="P6064">
        <v>0.9354306</v>
      </c>
      <c r="Q6064">
        <v>0.33268950000000003</v>
      </c>
      <c r="R6064">
        <v>0.1195302</v>
      </c>
      <c r="S6064">
        <v>3.2937620000000001</v>
      </c>
      <c r="T6064">
        <v>-0.16666589999999901</v>
      </c>
      <c r="U6064">
        <v>-0.20864869999999999</v>
      </c>
      <c r="V6064">
        <v>-0.13743320000000001</v>
      </c>
      <c r="W6064">
        <v>0.34084249999999999</v>
      </c>
      <c r="X6064">
        <v>0.93002070000000003</v>
      </c>
      <c r="Y6064">
        <v>4.4753639999999997E-2</v>
      </c>
      <c r="Z6064">
        <v>-5.6828619999999995E-4</v>
      </c>
      <c r="AA6064">
        <v>0.99899789999999999</v>
      </c>
      <c r="AB6064">
        <v>25</v>
      </c>
      <c r="AC6064">
        <v>21.716399999999901</v>
      </c>
      <c r="AD6064">
        <v>-1.1108945405799999</v>
      </c>
      <c r="AE6064">
        <v>-1.38747</v>
      </c>
      <c r="AF6064">
        <v>0.98419735429019595</v>
      </c>
      <c r="AG6064">
        <v>-1.1108945405799999</v>
      </c>
      <c r="AH6064">
        <v>21.681787274703598</v>
      </c>
      <c r="AI6064">
        <v>92.930047043322702</v>
      </c>
      <c r="AJ6064">
        <v>87.400967420770598</v>
      </c>
      <c r="AK6064">
        <v>21.7325247161479</v>
      </c>
      <c r="AL6064">
        <v>70.071787938547402</v>
      </c>
      <c r="AM6064">
        <v>98.406010527044103</v>
      </c>
      <c r="AN6064">
        <v>0.99999999834848996</v>
      </c>
    </row>
    <row r="6065" spans="1:40" x14ac:dyDescent="0.25">
      <c r="A6065" t="str">
        <f>"20190304164245565"</f>
        <v>20190304164245565</v>
      </c>
      <c r="B6065" t="str">
        <f>"1551688965557680"</f>
        <v>1551688965557680</v>
      </c>
      <c r="C6065" t="s">
        <v>40</v>
      </c>
      <c r="D6065">
        <v>4.1273600000000004</v>
      </c>
      <c r="E6065">
        <v>0.58577849999999998</v>
      </c>
      <c r="F6065" t="s">
        <v>42</v>
      </c>
      <c r="G6065">
        <v>-348.22770000000003</v>
      </c>
      <c r="H6065" s="1">
        <v>-1.55003E-6</v>
      </c>
      <c r="I6065">
        <v>16.00506</v>
      </c>
      <c r="J6065">
        <v>-369.8485</v>
      </c>
      <c r="K6065">
        <v>1.1108720000000001</v>
      </c>
      <c r="L6065">
        <v>17.371700000000001</v>
      </c>
      <c r="M6065">
        <v>0.99980080000000005</v>
      </c>
      <c r="N6065">
        <v>-9.0376080000000008E-3</v>
      </c>
      <c r="O6065">
        <v>-1.7799740000000001E-2</v>
      </c>
      <c r="P6065">
        <v>0.93543370000000003</v>
      </c>
      <c r="Q6065">
        <v>0.33245140000000001</v>
      </c>
      <c r="R6065">
        <v>0.1201673</v>
      </c>
      <c r="S6065">
        <v>3.2933650000000001</v>
      </c>
      <c r="T6065">
        <v>-0.1681406</v>
      </c>
      <c r="U6065">
        <v>-0.2071228</v>
      </c>
      <c r="V6065">
        <v>-0.13745779999999999</v>
      </c>
      <c r="W6065">
        <v>0.34060629999999997</v>
      </c>
      <c r="X6065">
        <v>0.93010360000000003</v>
      </c>
      <c r="Y6065">
        <v>4.4938600000000002E-2</v>
      </c>
      <c r="Z6065">
        <v>-6.0225739999999995E-4</v>
      </c>
      <c r="AA6065">
        <v>0.99898960000000003</v>
      </c>
      <c r="AB6065">
        <v>25</v>
      </c>
      <c r="AC6065">
        <v>21.6207999999999</v>
      </c>
      <c r="AD6065">
        <v>-1.11087355002999</v>
      </c>
      <c r="AE6065">
        <v>-1.3666400000000001</v>
      </c>
      <c r="AF6065">
        <v>0.97898902281244604</v>
      </c>
      <c r="AG6065">
        <v>-1.11087355002999</v>
      </c>
      <c r="AH6065">
        <v>21.584946101723499</v>
      </c>
      <c r="AI6065">
        <v>92.943119173934605</v>
      </c>
      <c r="AJ6065">
        <v>87.403119551811798</v>
      </c>
      <c r="AK6065">
        <v>21.635673268129501</v>
      </c>
      <c r="AL6065">
        <v>70.086182614925605</v>
      </c>
      <c r="AM6065">
        <v>98.406755016159494</v>
      </c>
      <c r="AN6065">
        <v>1.0000000025567399</v>
      </c>
    </row>
    <row r="6066" spans="1:40" x14ac:dyDescent="0.25">
      <c r="A6066" t="str">
        <f>"20190304164245576"</f>
        <v>20190304164245576</v>
      </c>
      <c r="B6066" t="str">
        <f>"1551688965567635"</f>
        <v>1551688965567635</v>
      </c>
      <c r="C6066" t="s">
        <v>40</v>
      </c>
      <c r="D6066">
        <v>4.163341</v>
      </c>
      <c r="E6066">
        <v>0.58346999999999904</v>
      </c>
      <c r="F6066" t="s">
        <v>42</v>
      </c>
      <c r="G6066">
        <v>-348.14370000000002</v>
      </c>
      <c r="H6066" s="1">
        <v>-1.5758629999999899E-6</v>
      </c>
      <c r="I6066">
        <v>16.015439999999899</v>
      </c>
      <c r="J6066">
        <v>-369.71409999999997</v>
      </c>
      <c r="K6066">
        <v>1.110852</v>
      </c>
      <c r="L6066">
        <v>17.369959999999999</v>
      </c>
      <c r="M6066">
        <v>0.99981140000000002</v>
      </c>
      <c r="N6066">
        <v>-9.0328509999999997E-3</v>
      </c>
      <c r="O6066">
        <v>-1.7194549999999999E-2</v>
      </c>
      <c r="P6066">
        <v>0.93553459999999999</v>
      </c>
      <c r="Q6066">
        <v>0.33192310000000003</v>
      </c>
      <c r="R6066">
        <v>0.1208404</v>
      </c>
      <c r="S6066">
        <v>3.293396</v>
      </c>
      <c r="T6066">
        <v>-0.1685586</v>
      </c>
      <c r="U6066">
        <v>-0.20577999999999999</v>
      </c>
      <c r="V6066">
        <v>-0.13755029999999999</v>
      </c>
      <c r="W6066">
        <v>0.34008169999999999</v>
      </c>
      <c r="X6066">
        <v>0.93028189999999999</v>
      </c>
      <c r="Y6066">
        <v>4.5135939999999999E-2</v>
      </c>
      <c r="Z6066">
        <v>-6.3404199999999905E-4</v>
      </c>
      <c r="AA6066">
        <v>0.9989806</v>
      </c>
      <c r="AB6066">
        <v>25</v>
      </c>
      <c r="AC6066">
        <v>21.5703999999999</v>
      </c>
      <c r="AD6066">
        <v>-1.110853575863</v>
      </c>
      <c r="AE6066">
        <v>-1.3545199999999999</v>
      </c>
      <c r="AF6066">
        <v>0.98082023675335195</v>
      </c>
      <c r="AG6066">
        <v>-1.110853575863</v>
      </c>
      <c r="AH6066">
        <v>21.533616190231299</v>
      </c>
      <c r="AI6066">
        <v>92.950043589146006</v>
      </c>
      <c r="AJ6066">
        <v>87.392075492956394</v>
      </c>
      <c r="AK6066">
        <v>21.584546097428699</v>
      </c>
      <c r="AL6066">
        <v>70.118148881736005</v>
      </c>
      <c r="AM6066">
        <v>98.410742018964001</v>
      </c>
      <c r="AN6066">
        <v>1.0000000305862899</v>
      </c>
    </row>
    <row r="6067" spans="1:40" x14ac:dyDescent="0.25">
      <c r="A6067" t="str">
        <f>"20190304164245591"</f>
        <v>20190304164245591</v>
      </c>
      <c r="B6067" t="str">
        <f>"1551688965587231"</f>
        <v>1551688965587231</v>
      </c>
      <c r="C6067" t="s">
        <v>40</v>
      </c>
      <c r="D6067">
        <v>4.1185309999999999</v>
      </c>
      <c r="E6067">
        <v>0.58514889999999997</v>
      </c>
      <c r="F6067" t="s">
        <v>41</v>
      </c>
      <c r="G6067">
        <v>-368.91829999999999</v>
      </c>
      <c r="H6067">
        <v>1.0529630000000001</v>
      </c>
      <c r="I6067">
        <v>17.326709999999999</v>
      </c>
      <c r="J6067">
        <v>-369.56169999999997</v>
      </c>
      <c r="K6067">
        <v>1.1108260000000001</v>
      </c>
      <c r="L6067">
        <v>17.368069999999999</v>
      </c>
      <c r="M6067">
        <v>0.99982260000000001</v>
      </c>
      <c r="N6067">
        <v>-9.027874E-3</v>
      </c>
      <c r="O6067">
        <v>-1.6533630000000001E-2</v>
      </c>
      <c r="P6067">
        <v>0.93547270000000005</v>
      </c>
      <c r="Q6067">
        <v>0.33182699999999998</v>
      </c>
      <c r="R6067">
        <v>0.1215801</v>
      </c>
      <c r="S6067">
        <v>3.3154910000000002</v>
      </c>
      <c r="T6067">
        <v>-0.2412511</v>
      </c>
      <c r="U6067">
        <v>-0.1791992</v>
      </c>
      <c r="V6067">
        <v>-0.137651</v>
      </c>
      <c r="W6067">
        <v>0.33998929999999999</v>
      </c>
      <c r="X6067">
        <v>0.93030080000000004</v>
      </c>
      <c r="Y6067">
        <v>3.7375360000000003E-2</v>
      </c>
      <c r="Z6067">
        <v>-4.7468670000000001E-4</v>
      </c>
      <c r="AA6067">
        <v>0.9993012</v>
      </c>
      <c r="AB6067">
        <v>25</v>
      </c>
      <c r="AC6067">
        <v>0.64339999999998498</v>
      </c>
      <c r="AD6067">
        <v>-5.7863000000000199E-2</v>
      </c>
      <c r="AE6067">
        <v>-4.1359999999997399E-2</v>
      </c>
      <c r="AF6067">
        <v>3.0470743104412099E-2</v>
      </c>
      <c r="AG6067">
        <v>-5.7863000000000199E-2</v>
      </c>
      <c r="AH6067">
        <v>0.63885016555379603</v>
      </c>
      <c r="AI6067">
        <v>95.169522378448605</v>
      </c>
      <c r="AJ6067">
        <v>87.269276921410906</v>
      </c>
      <c r="AK6067">
        <v>0.64218854473000997</v>
      </c>
      <c r="AL6067">
        <v>70.1237788699719</v>
      </c>
      <c r="AM6067">
        <v>98.416642769354098</v>
      </c>
      <c r="AN6067">
        <v>1.0000000501980599</v>
      </c>
    </row>
    <row r="6068" spans="1:40" x14ac:dyDescent="0.25">
      <c r="A6068" t="str">
        <f>"20190304164245605"</f>
        <v>20190304164245605</v>
      </c>
      <c r="B6068" t="str">
        <f>"1551688965596995"</f>
        <v>1551688965596995</v>
      </c>
      <c r="C6068" t="s">
        <v>40</v>
      </c>
      <c r="D6068">
        <v>4.0339839999999896</v>
      </c>
      <c r="E6068">
        <v>0.58527940000000001</v>
      </c>
      <c r="F6068" t="s">
        <v>41</v>
      </c>
      <c r="G6068">
        <v>-368.70280000000002</v>
      </c>
      <c r="H6068">
        <v>1.049029</v>
      </c>
      <c r="I6068">
        <v>17.31831</v>
      </c>
      <c r="J6068">
        <v>-369.39819999999997</v>
      </c>
      <c r="K6068">
        <v>1.1107940000000001</v>
      </c>
      <c r="L6068">
        <v>17.36609</v>
      </c>
      <c r="M6068">
        <v>0.99983370000000005</v>
      </c>
      <c r="N6068">
        <v>-9.0228919999999994E-3</v>
      </c>
      <c r="O6068">
        <v>-1.5849160000000001E-2</v>
      </c>
      <c r="P6068">
        <v>0.93547429999999998</v>
      </c>
      <c r="Q6068">
        <v>0.33152330000000002</v>
      </c>
      <c r="R6068">
        <v>0.1223934</v>
      </c>
      <c r="S6068">
        <v>3.3164980000000002</v>
      </c>
      <c r="T6068">
        <v>-0.23866509999999999</v>
      </c>
      <c r="U6068">
        <v>-0.1914063</v>
      </c>
      <c r="V6068">
        <v>-0.137799799999999</v>
      </c>
      <c r="W6068">
        <v>0.33969110000000002</v>
      </c>
      <c r="X6068">
        <v>0.93038759999999998</v>
      </c>
      <c r="Y6068">
        <v>4.1697030000000003E-2</v>
      </c>
      <c r="Z6068">
        <v>-6.9046799999999996E-4</v>
      </c>
      <c r="AA6068">
        <v>0.99913010000000002</v>
      </c>
      <c r="AB6068">
        <v>25</v>
      </c>
      <c r="AC6068">
        <v>0.69539999999994895</v>
      </c>
      <c r="AD6068">
        <v>-6.1765E-2</v>
      </c>
      <c r="AE6068">
        <v>-4.7779999999999399E-2</v>
      </c>
      <c r="AF6068">
        <v>3.6465721606751399E-2</v>
      </c>
      <c r="AG6068">
        <v>-6.1765E-2</v>
      </c>
      <c r="AH6068">
        <v>0.69064711648131505</v>
      </c>
      <c r="AI6068">
        <v>95.1033310877487</v>
      </c>
      <c r="AJ6068">
        <v>86.977626331394205</v>
      </c>
      <c r="AK6068">
        <v>0.69436165186540699</v>
      </c>
      <c r="AL6068">
        <v>70.141943779325103</v>
      </c>
      <c r="AM6068">
        <v>98.424835801554593</v>
      </c>
      <c r="AN6068">
        <v>0.99999995726650404</v>
      </c>
    </row>
    <row r="6069" spans="1:40" x14ac:dyDescent="0.25">
      <c r="A6069" t="str">
        <f>"20190304164245620"</f>
        <v>20190304164245620</v>
      </c>
      <c r="B6069" t="str">
        <f>"1551688965607732"</f>
        <v>1551688965607732</v>
      </c>
      <c r="C6069" t="s">
        <v>40</v>
      </c>
      <c r="D6069">
        <v>4.1534870000000002</v>
      </c>
      <c r="E6069">
        <v>0.5854663</v>
      </c>
      <c r="F6069" t="s">
        <v>41</v>
      </c>
      <c r="G6069">
        <v>-368.47710000000001</v>
      </c>
      <c r="H6069">
        <v>1.0463990000000001</v>
      </c>
      <c r="I6069">
        <v>17.312750000000001</v>
      </c>
      <c r="J6069">
        <v>-369.2242</v>
      </c>
      <c r="K6069">
        <v>1.110754</v>
      </c>
      <c r="L6069">
        <v>17.364070000000002</v>
      </c>
      <c r="M6069">
        <v>0.99984450000000002</v>
      </c>
      <c r="N6069">
        <v>-9.0180599999999996E-3</v>
      </c>
      <c r="O6069">
        <v>-1.516152E-2</v>
      </c>
      <c r="P6069">
        <v>0.93569049999999998</v>
      </c>
      <c r="Q6069">
        <v>0.33082220000000001</v>
      </c>
      <c r="R6069">
        <v>0.1226395</v>
      </c>
      <c r="S6069">
        <v>3.3140869999999998</v>
      </c>
      <c r="T6069">
        <v>-0.2317352</v>
      </c>
      <c r="U6069">
        <v>-0.1914063</v>
      </c>
      <c r="V6069">
        <v>-0.13737569999999999</v>
      </c>
      <c r="W6069">
        <v>0.33900130000000001</v>
      </c>
      <c r="X6069">
        <v>0.93070189999999997</v>
      </c>
      <c r="Y6069">
        <v>4.2427100000000002E-2</v>
      </c>
      <c r="Z6069">
        <v>-7.5068490000000003E-4</v>
      </c>
      <c r="AA6069">
        <v>0.99909930000000002</v>
      </c>
      <c r="AB6069">
        <v>26</v>
      </c>
      <c r="AC6069">
        <v>0.747099999999989</v>
      </c>
      <c r="AD6069">
        <v>-6.4354999999999898E-2</v>
      </c>
      <c r="AE6069">
        <v>-5.13200000000004E-2</v>
      </c>
      <c r="AF6069">
        <v>3.9693326291035197E-2</v>
      </c>
      <c r="AG6069">
        <v>-6.4354999999999898E-2</v>
      </c>
      <c r="AH6069">
        <v>0.742310126487152</v>
      </c>
      <c r="AI6069">
        <v>94.947867625477997</v>
      </c>
      <c r="AJ6069">
        <v>86.939155102805103</v>
      </c>
      <c r="AK6069">
        <v>0.74615109063943497</v>
      </c>
      <c r="AL6069">
        <v>70.1839603520407</v>
      </c>
      <c r="AM6069">
        <v>98.396481505931703</v>
      </c>
      <c r="AN6069">
        <v>0.99999999550789498</v>
      </c>
    </row>
    <row r="6070" spans="1:40" x14ac:dyDescent="0.25">
      <c r="A6070" t="str">
        <f>"20190304164245634"</f>
        <v>20190304164245634</v>
      </c>
      <c r="B6070" t="str">
        <f>"1551688965627252"</f>
        <v>1551688965627252</v>
      </c>
      <c r="C6070" t="s">
        <v>40</v>
      </c>
      <c r="D6070">
        <v>4.1122629999999996</v>
      </c>
      <c r="E6070">
        <v>0.58610890000000004</v>
      </c>
      <c r="F6070" t="s">
        <v>42</v>
      </c>
      <c r="G6070">
        <v>-352.65050000000002</v>
      </c>
      <c r="H6070" s="1">
        <v>-3.7065899999999999E-6</v>
      </c>
      <c r="I6070">
        <v>16.395039999999899</v>
      </c>
      <c r="J6070">
        <v>-369.07560000000001</v>
      </c>
      <c r="K6070">
        <v>1.110717</v>
      </c>
      <c r="L6070">
        <v>17.36243</v>
      </c>
      <c r="M6070">
        <v>0.99985250000000003</v>
      </c>
      <c r="N6070">
        <v>-9.0144049999999996E-3</v>
      </c>
      <c r="O6070">
        <v>-1.461692E-2</v>
      </c>
      <c r="P6070">
        <v>0.93569579999999997</v>
      </c>
      <c r="Q6070">
        <v>0.33077410000000002</v>
      </c>
      <c r="R6070">
        <v>0.12272619999999999</v>
      </c>
      <c r="S6070">
        <v>3.3099669999999999</v>
      </c>
      <c r="T6070">
        <v>-0.2218329</v>
      </c>
      <c r="U6070">
        <v>-0.19351199999999999</v>
      </c>
      <c r="V6070">
        <v>-0.13692499999999999</v>
      </c>
      <c r="W6070">
        <v>0.338962599999999</v>
      </c>
      <c r="X6070">
        <v>0.93078240000000001</v>
      </c>
      <c r="Y6070">
        <v>4.3678559999999998E-2</v>
      </c>
      <c r="Z6070">
        <v>-8.1205030000000003E-4</v>
      </c>
      <c r="AA6070">
        <v>0.99904530000000002</v>
      </c>
      <c r="AB6070">
        <v>26</v>
      </c>
      <c r="AC6070">
        <v>16.425099999999901</v>
      </c>
      <c r="AD6070">
        <v>-1.11072070659</v>
      </c>
      <c r="AE6070">
        <v>-0.96739000000000097</v>
      </c>
      <c r="AF6070">
        <v>0.72389364187366201</v>
      </c>
      <c r="AG6070">
        <v>-1.11072070659</v>
      </c>
      <c r="AH6070">
        <v>16.362918287297799</v>
      </c>
      <c r="AI6070">
        <v>93.879517789930901</v>
      </c>
      <c r="AJ6070">
        <v>87.466892948306693</v>
      </c>
      <c r="AK6070">
        <v>16.4165409684738</v>
      </c>
      <c r="AL6070">
        <v>70.186317088220093</v>
      </c>
      <c r="AM6070">
        <v>98.368611690554204</v>
      </c>
      <c r="AN6070">
        <v>0.99999998798676004</v>
      </c>
    </row>
    <row r="6071" spans="1:40" x14ac:dyDescent="0.25">
      <c r="A6071" t="str">
        <f>"20190304164245646"</f>
        <v>20190304164245646</v>
      </c>
      <c r="B6071" t="str">
        <f>"1551688965637012"</f>
        <v>1551688965637012</v>
      </c>
      <c r="C6071" t="s">
        <v>40</v>
      </c>
      <c r="D6071">
        <v>4.1495259999999998</v>
      </c>
      <c r="E6071">
        <v>0.58620740000000005</v>
      </c>
      <c r="F6071" t="s">
        <v>42</v>
      </c>
      <c r="G6071">
        <v>-351.59429999999998</v>
      </c>
      <c r="H6071" s="1">
        <v>-4.1743799999999997E-6</v>
      </c>
      <c r="I6071">
        <v>16.31231</v>
      </c>
      <c r="J6071">
        <v>-368.92619999999999</v>
      </c>
      <c r="K6071">
        <v>1.1106720000000001</v>
      </c>
      <c r="L6071">
        <v>17.360810000000001</v>
      </c>
      <c r="M6071">
        <v>0.99985999999999997</v>
      </c>
      <c r="N6071">
        <v>-9.0110840000000008E-3</v>
      </c>
      <c r="O6071">
        <v>-1.4093919999999999E-2</v>
      </c>
      <c r="P6071">
        <v>0.93575920000000001</v>
      </c>
      <c r="Q6071">
        <v>0.33064490000000002</v>
      </c>
      <c r="R6071">
        <v>0.1225908</v>
      </c>
      <c r="S6071">
        <v>3.3064879999999999</v>
      </c>
      <c r="T6071">
        <v>-0.21008660000000001</v>
      </c>
      <c r="U6071">
        <v>-0.19860839999999999</v>
      </c>
      <c r="V6071">
        <v>-0.13627249999999999</v>
      </c>
      <c r="W6071">
        <v>0.33884509999999901</v>
      </c>
      <c r="X6071">
        <v>0.930921</v>
      </c>
      <c r="Y6071">
        <v>4.5798850000000002E-2</v>
      </c>
      <c r="Z6071">
        <v>-8.9210500000000002E-4</v>
      </c>
      <c r="AA6071">
        <v>0.99895029999999996</v>
      </c>
      <c r="AB6071">
        <v>26</v>
      </c>
      <c r="AC6071">
        <v>17.331900000000001</v>
      </c>
      <c r="AD6071">
        <v>-1.11067617438</v>
      </c>
      <c r="AE6071">
        <v>-1.0485</v>
      </c>
      <c r="AF6071">
        <v>0.80083478500476102</v>
      </c>
      <c r="AG6071">
        <v>-1.11067617438</v>
      </c>
      <c r="AH6071">
        <v>17.274276555152198</v>
      </c>
      <c r="AI6071">
        <v>93.674920106843103</v>
      </c>
      <c r="AJ6071">
        <v>87.345670417995905</v>
      </c>
      <c r="AK6071">
        <v>17.328461224848802</v>
      </c>
      <c r="AL6071">
        <v>70.193474134743596</v>
      </c>
      <c r="AM6071">
        <v>98.328070146834804</v>
      </c>
      <c r="AN6071">
        <v>1.00000005214562</v>
      </c>
    </row>
    <row r="6072" spans="1:40" x14ac:dyDescent="0.25">
      <c r="A6072" t="str">
        <f>"20190304164245658"</f>
        <v>20190304164245658</v>
      </c>
      <c r="B6072" t="str">
        <f>"1551688965646772"</f>
        <v>1551688965646772</v>
      </c>
      <c r="C6072" t="s">
        <v>40</v>
      </c>
      <c r="D6072">
        <v>4.1240100000000002</v>
      </c>
      <c r="E6072">
        <v>0.58621060000000003</v>
      </c>
      <c r="F6072" t="s">
        <v>41</v>
      </c>
      <c r="G6072">
        <v>-368.01249999999999</v>
      </c>
      <c r="H6072">
        <v>1.0542020000000001</v>
      </c>
      <c r="I6072">
        <v>17.305540000000001</v>
      </c>
      <c r="J6072">
        <v>-368.78570000000002</v>
      </c>
      <c r="K6072">
        <v>1.110633</v>
      </c>
      <c r="L6072">
        <v>17.35934</v>
      </c>
      <c r="M6072">
        <v>0.99986660000000005</v>
      </c>
      <c r="N6072">
        <v>-9.0084429999999997E-3</v>
      </c>
      <c r="O6072">
        <v>-1.363577E-2</v>
      </c>
      <c r="P6072">
        <v>0.93577359999999998</v>
      </c>
      <c r="Q6072">
        <v>0.33073330000000001</v>
      </c>
      <c r="R6072">
        <v>0.1222443</v>
      </c>
      <c r="S6072">
        <v>3.3041990000000001</v>
      </c>
      <c r="T6072">
        <v>-0.2042774</v>
      </c>
      <c r="U6072">
        <v>-0.1990662</v>
      </c>
      <c r="V6072">
        <v>-0.13546820000000001</v>
      </c>
      <c r="W6072">
        <v>0.33894469999999999</v>
      </c>
      <c r="X6072">
        <v>0.93100210000000005</v>
      </c>
      <c r="Y6072">
        <v>4.6437810000000003E-2</v>
      </c>
      <c r="Z6072">
        <v>-9.2370180000000003E-4</v>
      </c>
      <c r="AA6072">
        <v>0.99892069999999999</v>
      </c>
      <c r="AB6072">
        <v>26</v>
      </c>
      <c r="AC6072">
        <v>0.77320000000003097</v>
      </c>
      <c r="AD6072">
        <v>-5.6430999999999898E-2</v>
      </c>
      <c r="AE6072">
        <v>-5.3799999999998897E-2</v>
      </c>
      <c r="AF6072">
        <v>4.3023329351045803E-2</v>
      </c>
      <c r="AG6072">
        <v>-5.6430999999999898E-2</v>
      </c>
      <c r="AH6072">
        <v>0.76978116633692195</v>
      </c>
      <c r="AI6072">
        <v>94.186220407039002</v>
      </c>
      <c r="AJ6072">
        <v>86.801047651096994</v>
      </c>
      <c r="AK6072">
        <v>0.77304495902662795</v>
      </c>
      <c r="AL6072">
        <v>70.187408010582701</v>
      </c>
      <c r="AM6072">
        <v>98.278888840316</v>
      </c>
      <c r="AN6072">
        <v>1.00000002653686</v>
      </c>
    </row>
    <row r="6073" spans="1:40" x14ac:dyDescent="0.25">
      <c r="A6073" t="str">
        <f>"20190304164245676"</f>
        <v>20190304164245676</v>
      </c>
      <c r="B6073" t="str">
        <f>"1551688965667268"</f>
        <v>1551688965667268</v>
      </c>
      <c r="C6073" t="s">
        <v>40</v>
      </c>
      <c r="D6073">
        <v>4.1233279999999999</v>
      </c>
      <c r="E6073">
        <v>0.58636639999999995</v>
      </c>
      <c r="F6073" t="s">
        <v>42</v>
      </c>
      <c r="G6073">
        <v>-350.68720000000002</v>
      </c>
      <c r="H6073" s="1">
        <v>-4.5711969999999997E-6</v>
      </c>
      <c r="I6073">
        <v>16.269029999999901</v>
      </c>
      <c r="J6073">
        <v>-368.5883</v>
      </c>
      <c r="K6073">
        <v>1.110573</v>
      </c>
      <c r="L6073">
        <v>17.357329999999902</v>
      </c>
      <c r="M6073">
        <v>0.99987440000000005</v>
      </c>
      <c r="N6073">
        <v>-9.0053310000000001E-3</v>
      </c>
      <c r="O6073">
        <v>-1.3049150000000001E-2</v>
      </c>
      <c r="P6073">
        <v>0.9358843</v>
      </c>
      <c r="Q6073">
        <v>0.33063920000000002</v>
      </c>
      <c r="R6073">
        <v>0.12164949999999999</v>
      </c>
      <c r="S6073">
        <v>3.3035890000000001</v>
      </c>
      <c r="T6073">
        <v>-0.20272960000000001</v>
      </c>
      <c r="U6073">
        <v>-0.19900509999999999</v>
      </c>
      <c r="V6073">
        <v>-0.1342836</v>
      </c>
      <c r="W6073">
        <v>0.338868</v>
      </c>
      <c r="X6073">
        <v>0.93120159999999996</v>
      </c>
      <c r="Y6073">
        <v>4.7015590000000003E-2</v>
      </c>
      <c r="Z6073">
        <v>-9.7017000000000002E-4</v>
      </c>
      <c r="AA6073">
        <v>0.9988937</v>
      </c>
      <c r="AB6073">
        <v>26</v>
      </c>
      <c r="AC6073">
        <v>17.9010999999999</v>
      </c>
      <c r="AD6073">
        <v>-1.1105775711970001</v>
      </c>
      <c r="AE6073">
        <v>-1.0883</v>
      </c>
      <c r="AF6073">
        <v>0.85133907587733504</v>
      </c>
      <c r="AG6073">
        <v>-1.1105775711970001</v>
      </c>
      <c r="AH6073">
        <v>17.845345379210301</v>
      </c>
      <c r="AI6073">
        <v>93.557086774469695</v>
      </c>
      <c r="AJ6073">
        <v>87.268689369556398</v>
      </c>
      <c r="AK6073">
        <v>17.9001260461222</v>
      </c>
      <c r="AL6073">
        <v>70.192078752717094</v>
      </c>
      <c r="AM6073">
        <v>98.205750333152395</v>
      </c>
      <c r="AN6073">
        <v>1.00000001324776</v>
      </c>
    </row>
    <row r="6074" spans="1:40" x14ac:dyDescent="0.25">
      <c r="A6074" t="str">
        <f>"20190304164245688"</f>
        <v>20190304164245688</v>
      </c>
      <c r="B6074" t="str">
        <f>"1551688965677028"</f>
        <v>1551688965677028</v>
      </c>
      <c r="C6074" t="s">
        <v>40</v>
      </c>
      <c r="D6074">
        <v>4.1445790000000002</v>
      </c>
      <c r="E6074">
        <v>0.58643900000000004</v>
      </c>
      <c r="F6074" t="s">
        <v>42</v>
      </c>
      <c r="G6074">
        <v>-350.0428</v>
      </c>
      <c r="H6074" s="1">
        <v>-4.8552419999999996E-6</v>
      </c>
      <c r="I6074">
        <v>16.22636</v>
      </c>
      <c r="J6074">
        <v>-368.44529999999997</v>
      </c>
      <c r="K6074">
        <v>1.110533</v>
      </c>
      <c r="L6074">
        <v>17.355899999999998</v>
      </c>
      <c r="M6074">
        <v>0.99987919999999997</v>
      </c>
      <c r="N6074">
        <v>-9.0034339999999994E-3</v>
      </c>
      <c r="O6074">
        <v>-1.2659699999999999E-2</v>
      </c>
      <c r="P6074">
        <v>0.93590490000000004</v>
      </c>
      <c r="Q6074">
        <v>0.330609599999999</v>
      </c>
      <c r="R6074">
        <v>0.12156889999999899</v>
      </c>
      <c r="S6074">
        <v>3.3015439999999998</v>
      </c>
      <c r="T6074">
        <v>-0.19770869999999999</v>
      </c>
      <c r="U6074">
        <v>-0.20132449999999999</v>
      </c>
      <c r="V6074">
        <v>-0.13380799999999901</v>
      </c>
      <c r="W6074">
        <v>0.3388505</v>
      </c>
      <c r="X6074">
        <v>0.9312764</v>
      </c>
      <c r="Y6074">
        <v>4.8141620000000003E-2</v>
      </c>
      <c r="Z6074">
        <v>-1.0131369999999999E-3</v>
      </c>
      <c r="AA6074">
        <v>0.99883999999999995</v>
      </c>
      <c r="AB6074">
        <v>26</v>
      </c>
      <c r="AC6074">
        <v>18.4024999999999</v>
      </c>
      <c r="AD6074">
        <v>-1.110537855242</v>
      </c>
      <c r="AE6074">
        <v>-1.12953999999999</v>
      </c>
      <c r="AF6074">
        <v>0.89322914236349604</v>
      </c>
      <c r="AG6074">
        <v>-1.110537855242</v>
      </c>
      <c r="AH6074">
        <v>18.348754149250102</v>
      </c>
      <c r="AI6074">
        <v>93.459451335421903</v>
      </c>
      <c r="AJ6074">
        <v>87.213004792180399</v>
      </c>
      <c r="AK6074">
        <v>18.404019437566198</v>
      </c>
      <c r="AL6074">
        <v>70.193143953331997</v>
      </c>
      <c r="AM6074">
        <v>98.176433366424604</v>
      </c>
      <c r="AN6074">
        <v>0.99999998770560505</v>
      </c>
    </row>
    <row r="6075" spans="1:40" x14ac:dyDescent="0.25">
      <c r="A6075" t="str">
        <f>"20190304164245700"</f>
        <v>20190304164245700</v>
      </c>
      <c r="B6075" t="str">
        <f>"1551688965697524"</f>
        <v>1551688965697524</v>
      </c>
      <c r="C6075" t="s">
        <v>40</v>
      </c>
      <c r="D6075">
        <v>4.1376089999999897</v>
      </c>
      <c r="E6075">
        <v>0.58646869999999995</v>
      </c>
      <c r="F6075" t="s">
        <v>42</v>
      </c>
      <c r="G6075">
        <v>-349.68770000000001</v>
      </c>
      <c r="H6075" s="1">
        <v>-9.9988760000000007E-7</v>
      </c>
      <c r="I6075">
        <v>16.205310000000001</v>
      </c>
      <c r="J6075">
        <v>-368.30290000000002</v>
      </c>
      <c r="K6075">
        <v>1.110493</v>
      </c>
      <c r="L6075">
        <v>17.354489999999998</v>
      </c>
      <c r="M6075">
        <v>0.99988390000000005</v>
      </c>
      <c r="N6075">
        <v>-9.0017929999999993E-3</v>
      </c>
      <c r="O6075">
        <v>-1.2296359999999999E-2</v>
      </c>
      <c r="P6075">
        <v>0.93597450000000004</v>
      </c>
      <c r="Q6075">
        <v>0.33036759999999998</v>
      </c>
      <c r="R6075">
        <v>0.1216925</v>
      </c>
      <c r="S6075">
        <v>3.3007810000000002</v>
      </c>
      <c r="T6075">
        <v>-0.19542129999999999</v>
      </c>
      <c r="U6075">
        <v>-0.20245360000000001</v>
      </c>
      <c r="V6075">
        <v>-0.1335614</v>
      </c>
      <c r="W6075">
        <v>0.33862039999999999</v>
      </c>
      <c r="X6075">
        <v>0.93139550000000004</v>
      </c>
      <c r="Y6075">
        <v>4.8858779999999997E-2</v>
      </c>
      <c r="Z6075">
        <v>-1.047971E-3</v>
      </c>
      <c r="AA6075">
        <v>0.99880519999999995</v>
      </c>
      <c r="AB6075">
        <v>26</v>
      </c>
      <c r="AC6075">
        <v>18.615200000000002</v>
      </c>
      <c r="AD6075">
        <v>-1.1104939998876</v>
      </c>
      <c r="AE6075">
        <v>-1.1491799999999901</v>
      </c>
      <c r="AF6075">
        <v>0.91693389495191002</v>
      </c>
      <c r="AG6075">
        <v>-1.1104939998876</v>
      </c>
      <c r="AH6075">
        <v>18.562116751376301</v>
      </c>
      <c r="AI6075">
        <v>93.419527053572693</v>
      </c>
      <c r="AJ6075">
        <v>87.171994297826103</v>
      </c>
      <c r="AK6075">
        <v>18.617898457753601</v>
      </c>
      <c r="AL6075">
        <v>70.207156342962307</v>
      </c>
      <c r="AM6075">
        <v>98.160538309914799</v>
      </c>
      <c r="AN6075">
        <v>1.0000000001431799</v>
      </c>
    </row>
    <row r="6076" spans="1:40" x14ac:dyDescent="0.25">
      <c r="A6076" t="str">
        <f>"20190304164245719"</f>
        <v>20190304164245719</v>
      </c>
      <c r="B6076" t="str">
        <f>"1551688965707285"</f>
        <v>1551688965707285</v>
      </c>
      <c r="C6076" t="s">
        <v>40</v>
      </c>
      <c r="D6076">
        <v>4.1128879999999999</v>
      </c>
      <c r="E6076">
        <v>0.58644430000000003</v>
      </c>
      <c r="F6076" t="s">
        <v>42</v>
      </c>
      <c r="G6076">
        <v>-350.41719999999998</v>
      </c>
      <c r="H6076" s="1">
        <v>-4.6883450000000003E-6</v>
      </c>
      <c r="I6076">
        <v>16.261710000000001</v>
      </c>
      <c r="J6076">
        <v>-368.08589999999998</v>
      </c>
      <c r="K6076">
        <v>1.1104419999999999</v>
      </c>
      <c r="L6076">
        <v>17.35239</v>
      </c>
      <c r="M6076">
        <v>0.9998899</v>
      </c>
      <c r="N6076">
        <v>-8.9998669999999999E-3</v>
      </c>
      <c r="O6076">
        <v>-1.180729E-2</v>
      </c>
      <c r="P6076">
        <v>0.93616900000000003</v>
      </c>
      <c r="Q6076">
        <v>0.32982549999999999</v>
      </c>
      <c r="R6076">
        <v>0.1216665</v>
      </c>
      <c r="S6076">
        <v>3.3038639999999999</v>
      </c>
      <c r="T6076">
        <v>-0.2051316</v>
      </c>
      <c r="U6076">
        <v>-0.2018433</v>
      </c>
      <c r="V6076">
        <v>-0.1330355</v>
      </c>
      <c r="W6076">
        <v>0.33809709999999898</v>
      </c>
      <c r="X6076">
        <v>0.93166079999999996</v>
      </c>
      <c r="Y6076">
        <v>4.9098019999999999E-2</v>
      </c>
      <c r="Z6076">
        <v>-1.11718E-3</v>
      </c>
      <c r="AA6076">
        <v>0.99879340000000005</v>
      </c>
      <c r="AB6076">
        <v>26</v>
      </c>
      <c r="AC6076">
        <v>17.668700000000001</v>
      </c>
      <c r="AD6076">
        <v>-1.1104466883449999</v>
      </c>
      <c r="AE6076">
        <v>-1.0906799999999901</v>
      </c>
      <c r="AF6076">
        <v>0.87851918180132405</v>
      </c>
      <c r="AG6076">
        <v>-1.1104466883449999</v>
      </c>
      <c r="AH6076">
        <v>17.611048895893202</v>
      </c>
      <c r="AI6076">
        <v>93.603481414495207</v>
      </c>
      <c r="AJ6076">
        <v>87.144193332572101</v>
      </c>
      <c r="AK6076">
        <v>17.6678785091474</v>
      </c>
      <c r="AL6076">
        <v>70.239017922037704</v>
      </c>
      <c r="AM6076">
        <v>98.126552503981998</v>
      </c>
      <c r="AN6076">
        <v>0.99999996977264904</v>
      </c>
    </row>
    <row r="6077" spans="1:40" x14ac:dyDescent="0.25">
      <c r="A6077" t="str">
        <f>"20190304164245732"</f>
        <v>20190304164245732</v>
      </c>
      <c r="B6077" t="str">
        <f>"1551688965726804"</f>
        <v>1551688965726804</v>
      </c>
      <c r="C6077" t="s">
        <v>40</v>
      </c>
      <c r="D6077">
        <v>4.1386710000000004</v>
      </c>
      <c r="E6077">
        <v>0.58650400000000003</v>
      </c>
      <c r="F6077" t="s">
        <v>42</v>
      </c>
      <c r="G6077">
        <v>-350.63709999999998</v>
      </c>
      <c r="H6077" s="1">
        <v>-4.59001E-6</v>
      </c>
      <c r="I6077">
        <v>16.28407</v>
      </c>
      <c r="J6077">
        <v>-367.94189999999998</v>
      </c>
      <c r="K6077">
        <v>1.1104080000000001</v>
      </c>
      <c r="L6077">
        <v>17.351009999999999</v>
      </c>
      <c r="M6077">
        <v>0.99989309999999998</v>
      </c>
      <c r="N6077">
        <v>-8.9989530000000005E-3</v>
      </c>
      <c r="O6077">
        <v>-1.1519120000000001E-2</v>
      </c>
      <c r="P6077">
        <v>0.93625369999999997</v>
      </c>
      <c r="Q6077">
        <v>0.3296386</v>
      </c>
      <c r="R6077">
        <v>0.121521699999999</v>
      </c>
      <c r="S6077">
        <v>3.304932</v>
      </c>
      <c r="T6077">
        <v>-0.21032690000000001</v>
      </c>
      <c r="U6077">
        <v>-0.2023315</v>
      </c>
      <c r="V6077">
        <v>-0.13259609999999999</v>
      </c>
      <c r="W6077">
        <v>0.33792119999999998</v>
      </c>
      <c r="X6077">
        <v>0.93178729999999999</v>
      </c>
      <c r="Y6077">
        <v>4.9507740000000001E-2</v>
      </c>
      <c r="Z6077">
        <v>-1.1674189999999901E-3</v>
      </c>
      <c r="AA6077">
        <v>0.99877300000000002</v>
      </c>
      <c r="AB6077">
        <v>26</v>
      </c>
      <c r="AC6077">
        <v>17.3048</v>
      </c>
      <c r="AD6077">
        <v>-1.1104125900099999</v>
      </c>
      <c r="AE6077">
        <v>-1.06694</v>
      </c>
      <c r="AF6077">
        <v>0.86398106847608802</v>
      </c>
      <c r="AG6077">
        <v>-1.1104125900099999</v>
      </c>
      <c r="AH6077">
        <v>17.245203945891902</v>
      </c>
      <c r="AI6077">
        <v>93.679566825687303</v>
      </c>
      <c r="AJ6077">
        <v>87.1318916065417</v>
      </c>
      <c r="AK6077">
        <v>17.302500933164001</v>
      </c>
      <c r="AL6077">
        <v>70.249727516202995</v>
      </c>
      <c r="AM6077">
        <v>98.098983200393306</v>
      </c>
      <c r="AN6077">
        <v>1.00000001779296</v>
      </c>
    </row>
    <row r="6078" spans="1:40" x14ac:dyDescent="0.25">
      <c r="A6078" t="str">
        <f>"20190304164245744"</f>
        <v>20190304164245744</v>
      </c>
      <c r="B6078" t="str">
        <f>"1551688965737540"</f>
        <v>1551688965737540</v>
      </c>
      <c r="C6078" t="s">
        <v>40</v>
      </c>
      <c r="D6078">
        <v>4.2618419999999997</v>
      </c>
      <c r="E6078">
        <v>0.58659790000000001</v>
      </c>
      <c r="F6078" t="s">
        <v>41</v>
      </c>
      <c r="G6078">
        <v>-367.08949999999999</v>
      </c>
      <c r="H6078">
        <v>1.0545340000000001</v>
      </c>
      <c r="I6078">
        <v>17.298400000000001</v>
      </c>
      <c r="J6078">
        <v>-367.79930000000002</v>
      </c>
      <c r="K6078">
        <v>1.1103780000000001</v>
      </c>
      <c r="L6078">
        <v>17.349699999999999</v>
      </c>
      <c r="M6078">
        <v>0.99989649999999997</v>
      </c>
      <c r="N6078">
        <v>-8.9982150000000004E-3</v>
      </c>
      <c r="O6078">
        <v>-1.124881E-2</v>
      </c>
      <c r="P6078">
        <v>0.93632340000000003</v>
      </c>
      <c r="Q6078">
        <v>0.32944669999999998</v>
      </c>
      <c r="R6078">
        <v>0.1215058</v>
      </c>
      <c r="S6078">
        <v>3.3068849999999999</v>
      </c>
      <c r="T6078">
        <v>-0.2167886</v>
      </c>
      <c r="U6078">
        <v>-0.20269780000000001</v>
      </c>
      <c r="V6078">
        <v>-0.1323027</v>
      </c>
      <c r="W6078">
        <v>0.33773940000000002</v>
      </c>
      <c r="X6078">
        <v>0.93189489999999997</v>
      </c>
      <c r="Y6078">
        <v>4.9845420000000001E-2</v>
      </c>
      <c r="Z6078">
        <v>-1.220484E-3</v>
      </c>
      <c r="AA6078">
        <v>0.99875619999999998</v>
      </c>
      <c r="AB6078">
        <v>26</v>
      </c>
      <c r="AC6078">
        <v>0.70980000000002896</v>
      </c>
      <c r="AD6078">
        <v>-5.5843999999999998E-2</v>
      </c>
      <c r="AE6078">
        <v>-5.1299999999997598E-2</v>
      </c>
      <c r="AF6078">
        <v>4.3046957273999702E-2</v>
      </c>
      <c r="AG6078">
        <v>-5.5843999999999998E-2</v>
      </c>
      <c r="AH6078">
        <v>0.70598493237261595</v>
      </c>
      <c r="AI6078">
        <v>94.514377671076303</v>
      </c>
      <c r="AJ6078">
        <v>86.510748225449603</v>
      </c>
      <c r="AK6078">
        <v>0.70949722874985</v>
      </c>
      <c r="AL6078">
        <v>70.260794303812801</v>
      </c>
      <c r="AM6078">
        <v>98.080378515543202</v>
      </c>
      <c r="AN6078">
        <v>1.00000000569283</v>
      </c>
    </row>
    <row r="6079" spans="1:40" x14ac:dyDescent="0.25">
      <c r="A6079" t="str">
        <f>"20190304164245756"</f>
        <v>20190304164245756</v>
      </c>
      <c r="B6079" t="str">
        <f>"1551688965747301"</f>
        <v>1551688965747301</v>
      </c>
      <c r="C6079" t="s">
        <v>40</v>
      </c>
      <c r="D6079">
        <v>4.1448169999999998</v>
      </c>
      <c r="E6079">
        <v>0.5865937</v>
      </c>
      <c r="F6079" t="s">
        <v>41</v>
      </c>
      <c r="G6079">
        <v>-366.86500000000001</v>
      </c>
      <c r="H6079">
        <v>1.0480719999999999</v>
      </c>
      <c r="I6079">
        <v>17.292159999999999</v>
      </c>
      <c r="J6079">
        <v>-367.66680000000002</v>
      </c>
      <c r="K6079">
        <v>1.1103540000000001</v>
      </c>
      <c r="L6079">
        <v>17.34845</v>
      </c>
      <c r="M6079">
        <v>0.99989890000000003</v>
      </c>
      <c r="N6079">
        <v>-8.9978090000000007E-3</v>
      </c>
      <c r="O6079">
        <v>-1.102292E-2</v>
      </c>
      <c r="P6079">
        <v>0.9361912</v>
      </c>
      <c r="Q6079">
        <v>0.32985779999999998</v>
      </c>
      <c r="R6079">
        <v>0.1214093</v>
      </c>
      <c r="S6079">
        <v>3.3079830000000001</v>
      </c>
      <c r="T6079">
        <v>-0.2206043</v>
      </c>
      <c r="U6079">
        <v>-0.20333860000000001</v>
      </c>
      <c r="V6079">
        <v>-0.13197410000000001</v>
      </c>
      <c r="W6079">
        <v>0.33815729999999999</v>
      </c>
      <c r="X6079">
        <v>0.93178989999999995</v>
      </c>
      <c r="Y6079">
        <v>5.0238949999999997E-2</v>
      </c>
      <c r="Z6079">
        <v>-1.2637530000000001E-3</v>
      </c>
      <c r="AA6079">
        <v>0.99873639999999997</v>
      </c>
      <c r="AB6079">
        <v>26</v>
      </c>
      <c r="AC6079">
        <v>0.80180000000001395</v>
      </c>
      <c r="AD6079">
        <v>-6.2282000000000101E-2</v>
      </c>
      <c r="AE6079">
        <v>-5.6290000000000603E-2</v>
      </c>
      <c r="AF6079">
        <v>4.7164857102033997E-2</v>
      </c>
      <c r="AG6079">
        <v>-6.2282000000000101E-2</v>
      </c>
      <c r="AH6079">
        <v>0.79758291246348201</v>
      </c>
      <c r="AI6079">
        <v>94.457321463238202</v>
      </c>
      <c r="AJ6079">
        <v>86.615770169974894</v>
      </c>
      <c r="AK6079">
        <v>0.80140007082803899</v>
      </c>
      <c r="AL6079">
        <v>70.235352852801</v>
      </c>
      <c r="AM6079">
        <v>98.061469749774005</v>
      </c>
      <c r="AN6079">
        <v>0.99999997017805398</v>
      </c>
    </row>
    <row r="6080" spans="1:40" x14ac:dyDescent="0.25">
      <c r="A6080" t="str">
        <f>"20190304164245767"</f>
        <v>20190304164245767</v>
      </c>
      <c r="B6080" t="str">
        <f>"1551688965757060"</f>
        <v>1551688965757060</v>
      </c>
      <c r="C6080" t="s">
        <v>40</v>
      </c>
      <c r="D6080">
        <v>4.13375</v>
      </c>
      <c r="E6080">
        <v>0.58667139999999995</v>
      </c>
      <c r="F6080" t="s">
        <v>42</v>
      </c>
      <c r="G6080">
        <v>-351.09160000000003</v>
      </c>
      <c r="H6080" s="1">
        <v>-4.3868920000000001E-6</v>
      </c>
      <c r="I6080">
        <v>16.330100000000002</v>
      </c>
      <c r="J6080">
        <v>-367.5308</v>
      </c>
      <c r="K6080">
        <v>1.110333</v>
      </c>
      <c r="L6080">
        <v>17.34723</v>
      </c>
      <c r="M6080">
        <v>0.99990120000000005</v>
      </c>
      <c r="N6080">
        <v>-8.9975200000000002E-3</v>
      </c>
      <c r="O6080">
        <v>-1.080297E-2</v>
      </c>
      <c r="P6080">
        <v>0.93615159999999997</v>
      </c>
      <c r="Q6080">
        <v>0.3300033</v>
      </c>
      <c r="R6080">
        <v>0.1213186</v>
      </c>
      <c r="S6080">
        <v>3.308929</v>
      </c>
      <c r="T6080">
        <v>-0.22166250000000001</v>
      </c>
      <c r="U6080">
        <v>-0.2032776</v>
      </c>
      <c r="V6080">
        <v>-0.131659</v>
      </c>
      <c r="W6080">
        <v>0.3383099</v>
      </c>
      <c r="X6080">
        <v>0.93177909999999997</v>
      </c>
      <c r="Y6080">
        <v>5.0421100000000003E-2</v>
      </c>
      <c r="Z6080">
        <v>-1.287601E-3</v>
      </c>
      <c r="AA6080">
        <v>0.99872720000000004</v>
      </c>
      <c r="AB6080">
        <v>26</v>
      </c>
      <c r="AC6080">
        <v>16.4391999999999</v>
      </c>
      <c r="AD6080">
        <v>-1.1103373868919999</v>
      </c>
      <c r="AE6080">
        <v>-1.0171299999999901</v>
      </c>
      <c r="AF6080">
        <v>0.83567352929525196</v>
      </c>
      <c r="AG6080">
        <v>-1.1103373868919999</v>
      </c>
      <c r="AH6080">
        <v>16.374813235572599</v>
      </c>
      <c r="AI6080">
        <v>93.874127011042603</v>
      </c>
      <c r="AJ6080">
        <v>87.078497172546093</v>
      </c>
      <c r="AK6080">
        <v>16.433676030036001</v>
      </c>
      <c r="AL6080">
        <v>70.226062254857297</v>
      </c>
      <c r="AM6080">
        <v>98.042566389982298</v>
      </c>
      <c r="AN6080">
        <v>0.99999998595790995</v>
      </c>
    </row>
    <row r="6081" spans="1:40" x14ac:dyDescent="0.25">
      <c r="A6081" t="str">
        <f>"20190304164245779"</f>
        <v>20190304164245779</v>
      </c>
      <c r="B6081" t="str">
        <f>"1551688965766820"</f>
        <v>1551688965766820</v>
      </c>
      <c r="C6081" t="s">
        <v>40</v>
      </c>
      <c r="D6081">
        <v>4.1457879999999996</v>
      </c>
      <c r="E6081">
        <v>0.58675840000000001</v>
      </c>
      <c r="F6081" t="s">
        <v>41</v>
      </c>
      <c r="G6081">
        <v>-366.63130000000001</v>
      </c>
      <c r="H6081">
        <v>1.049906</v>
      </c>
      <c r="I6081">
        <v>17.291529999999899</v>
      </c>
      <c r="J6081">
        <v>-367.38929999999999</v>
      </c>
      <c r="K6081">
        <v>1.110311</v>
      </c>
      <c r="L6081">
        <v>17.34592</v>
      </c>
      <c r="M6081">
        <v>0.9999034</v>
      </c>
      <c r="N6081">
        <v>-8.9973509999999902E-3</v>
      </c>
      <c r="O6081">
        <v>-1.058741E-2</v>
      </c>
      <c r="P6081">
        <v>0.93603959999999997</v>
      </c>
      <c r="Q6081">
        <v>0.33033439999999997</v>
      </c>
      <c r="R6081">
        <v>0.12128079999999999</v>
      </c>
      <c r="S6081">
        <v>3.309418</v>
      </c>
      <c r="T6081">
        <v>-0.22236429999999999</v>
      </c>
      <c r="U6081">
        <v>-0.2041626</v>
      </c>
      <c r="V6081">
        <v>-0.1314022</v>
      </c>
      <c r="W6081">
        <v>0.33864640000000001</v>
      </c>
      <c r="X6081">
        <v>0.93169310000000005</v>
      </c>
      <c r="Y6081">
        <v>5.08913E-2</v>
      </c>
      <c r="Z6081">
        <v>-1.320889E-3</v>
      </c>
      <c r="AA6081">
        <v>0.99870329999999996</v>
      </c>
      <c r="AB6081">
        <v>26</v>
      </c>
      <c r="AC6081">
        <v>0.75799999999998102</v>
      </c>
      <c r="AD6081">
        <v>-6.0405E-2</v>
      </c>
      <c r="AE6081">
        <v>-5.4390000000001403E-2</v>
      </c>
      <c r="AF6081">
        <v>4.6070298661110003E-2</v>
      </c>
      <c r="AG6081">
        <v>-6.0405E-2</v>
      </c>
      <c r="AH6081">
        <v>0.75377108718366503</v>
      </c>
      <c r="AI6081">
        <v>94.5732266193003</v>
      </c>
      <c r="AJ6081">
        <v>86.502447262847696</v>
      </c>
      <c r="AK6081">
        <v>0.75758965695009794</v>
      </c>
      <c r="AL6081">
        <v>70.205572645832504</v>
      </c>
      <c r="AM6081">
        <v>98.027815357813097</v>
      </c>
      <c r="AN6081">
        <v>0.99999997749270397</v>
      </c>
    </row>
    <row r="6082" spans="1:40" x14ac:dyDescent="0.25">
      <c r="A6082" t="str">
        <f>"20190304164245793"</f>
        <v>20190304164245793</v>
      </c>
      <c r="B6082" t="str">
        <f>"1551688965787316"</f>
        <v>1551688965787316</v>
      </c>
      <c r="C6082" t="s">
        <v>40</v>
      </c>
      <c r="D6082">
        <v>4.1182689999999997</v>
      </c>
      <c r="E6082">
        <v>0.58684150000000002</v>
      </c>
      <c r="F6082" t="s">
        <v>42</v>
      </c>
      <c r="G6082">
        <v>-350.86520000000002</v>
      </c>
      <c r="H6082" s="1">
        <v>-4.4854749999999996E-6</v>
      </c>
      <c r="I6082">
        <v>16.321750000000002</v>
      </c>
      <c r="J6082">
        <v>-367.24790000000002</v>
      </c>
      <c r="K6082">
        <v>1.1102970000000001</v>
      </c>
      <c r="L6082">
        <v>17.344639999999998</v>
      </c>
      <c r="M6082">
        <v>0.99990570000000001</v>
      </c>
      <c r="N6082">
        <v>-8.9975999999999997E-3</v>
      </c>
      <c r="O6082">
        <v>-1.038742E-2</v>
      </c>
      <c r="P6082">
        <v>0.93598910000000002</v>
      </c>
      <c r="Q6082">
        <v>0.33047850000000001</v>
      </c>
      <c r="R6082">
        <v>0.12128</v>
      </c>
      <c r="S6082">
        <v>3.310028</v>
      </c>
      <c r="T6082">
        <v>-0.2224131</v>
      </c>
      <c r="U6082">
        <v>-0.20513919999999999</v>
      </c>
      <c r="V6082">
        <v>-0.13120100000000001</v>
      </c>
      <c r="W6082">
        <v>0.33879579999999998</v>
      </c>
      <c r="X6082">
        <v>0.93166709999999997</v>
      </c>
      <c r="Y6082">
        <v>5.1371670000000001E-2</v>
      </c>
      <c r="Z6082">
        <v>-1.3508070000000001E-3</v>
      </c>
      <c r="AA6082">
        <v>0.99867870000000003</v>
      </c>
      <c r="AB6082">
        <v>26</v>
      </c>
      <c r="AC6082">
        <v>16.3827</v>
      </c>
      <c r="AD6082">
        <v>-1.110301485475</v>
      </c>
      <c r="AE6082">
        <v>-1.0228899999999901</v>
      </c>
      <c r="AF6082">
        <v>0.84877056419511798</v>
      </c>
      <c r="AG6082">
        <v>-1.110301485475</v>
      </c>
      <c r="AH6082">
        <v>16.317782670633498</v>
      </c>
      <c r="AI6082">
        <v>93.887304933367005</v>
      </c>
      <c r="AJ6082">
        <v>87.022439566526401</v>
      </c>
      <c r="AK6082">
        <v>16.377521550751201</v>
      </c>
      <c r="AL6082">
        <v>70.196474101166402</v>
      </c>
      <c r="AM6082">
        <v>98.015904018711893</v>
      </c>
      <c r="AN6082">
        <v>0.99999994086052302</v>
      </c>
    </row>
    <row r="6083" spans="1:40" x14ac:dyDescent="0.25">
      <c r="A6083" t="str">
        <f>"20190304164245809"</f>
        <v>20190304164245809</v>
      </c>
      <c r="B6083" t="str">
        <f>"1551688965797076"</f>
        <v>1551688965797076</v>
      </c>
      <c r="C6083" t="s">
        <v>40</v>
      </c>
      <c r="D6083">
        <v>4.1261089999999996</v>
      </c>
      <c r="E6083">
        <v>0.58690940000000003</v>
      </c>
      <c r="F6083" t="s">
        <v>41</v>
      </c>
      <c r="G6083">
        <v>-366.3965</v>
      </c>
      <c r="H6083">
        <v>1.0523169999999999</v>
      </c>
      <c r="I6083">
        <v>17.29149</v>
      </c>
      <c r="J6083">
        <v>-367.04180000000002</v>
      </c>
      <c r="K6083">
        <v>1.1102829999999999</v>
      </c>
      <c r="L6083">
        <v>17.342829999999999</v>
      </c>
      <c r="M6083">
        <v>0.99990860000000004</v>
      </c>
      <c r="N6083">
        <v>-8.9982080000000006E-3</v>
      </c>
      <c r="O6083">
        <v>-1.010843E-2</v>
      </c>
      <c r="P6083">
        <v>0.93597819999999998</v>
      </c>
      <c r="Q6083">
        <v>0.33068710000000001</v>
      </c>
      <c r="R6083">
        <v>0.1207935</v>
      </c>
      <c r="S6083">
        <v>3.311401</v>
      </c>
      <c r="T6083">
        <v>-0.2255278</v>
      </c>
      <c r="U6083">
        <v>-0.20529169999999999</v>
      </c>
      <c r="V6083">
        <v>-0.13043840000000001</v>
      </c>
      <c r="W6083">
        <v>0.33901150000000002</v>
      </c>
      <c r="X6083">
        <v>0.93169579999999996</v>
      </c>
      <c r="Y6083">
        <v>5.1666520000000001E-2</v>
      </c>
      <c r="Z6083">
        <v>-1.39253799999999E-3</v>
      </c>
      <c r="AA6083">
        <v>0.99866339999999998</v>
      </c>
      <c r="AB6083">
        <v>26</v>
      </c>
      <c r="AC6083">
        <v>0.64530000000001997</v>
      </c>
      <c r="AD6083">
        <v>-5.79659999999999E-2</v>
      </c>
      <c r="AE6083">
        <v>-5.1339999999999698E-2</v>
      </c>
      <c r="AF6083">
        <v>4.44576684385505E-2</v>
      </c>
      <c r="AG6083">
        <v>-5.79659999999999E-2</v>
      </c>
      <c r="AH6083">
        <v>0.64064909071755205</v>
      </c>
      <c r="AI6083">
        <v>95.157713858864994</v>
      </c>
      <c r="AJ6083">
        <v>86.030339025194394</v>
      </c>
      <c r="AK6083">
        <v>0.64480058845833799</v>
      </c>
      <c r="AL6083">
        <v>70.183339625403505</v>
      </c>
      <c r="AM6083">
        <v>97.969669984618207</v>
      </c>
      <c r="AN6083">
        <v>1.00000001853222</v>
      </c>
    </row>
    <row r="6084" spans="1:40" x14ac:dyDescent="0.25">
      <c r="A6084" t="str">
        <f>"20190304164245824"</f>
        <v>20190304164245824</v>
      </c>
      <c r="B6084" t="str">
        <f>"1551688965817573"</f>
        <v>1551688965817573</v>
      </c>
      <c r="C6084" t="s">
        <v>40</v>
      </c>
      <c r="D6084">
        <v>4.114007</v>
      </c>
      <c r="E6084">
        <v>0.58703179999999999</v>
      </c>
      <c r="F6084" t="s">
        <v>41</v>
      </c>
      <c r="G6084">
        <v>-366.16550000000001</v>
      </c>
      <c r="H6084">
        <v>1.0503640000000001</v>
      </c>
      <c r="I6084">
        <v>17.287870000000002</v>
      </c>
      <c r="J6084">
        <v>-366.8759</v>
      </c>
      <c r="K6084">
        <v>1.1102719999999999</v>
      </c>
      <c r="L6084">
        <v>17.3414</v>
      </c>
      <c r="M6084">
        <v>0.99991079999999999</v>
      </c>
      <c r="N6084">
        <v>-8.9988610000000004E-3</v>
      </c>
      <c r="O6084">
        <v>-9.8931350000000008E-3</v>
      </c>
      <c r="P6084">
        <v>0.9359809</v>
      </c>
      <c r="Q6084">
        <v>0.3307137</v>
      </c>
      <c r="R6084">
        <v>0.1207009</v>
      </c>
      <c r="S6084">
        <v>3.3119510000000001</v>
      </c>
      <c r="T6084">
        <v>-0.2264757</v>
      </c>
      <c r="U6084">
        <v>-0.20706179999999999</v>
      </c>
      <c r="V6084">
        <v>-0.1301361</v>
      </c>
      <c r="W6084">
        <v>0.33904250000000002</v>
      </c>
      <c r="X6084">
        <v>0.93172679999999997</v>
      </c>
      <c r="Y6084">
        <v>5.2399790000000002E-2</v>
      </c>
      <c r="Z6084">
        <v>-1.43793E-3</v>
      </c>
      <c r="AA6084">
        <v>0.99862519999999999</v>
      </c>
      <c r="AB6084">
        <v>26</v>
      </c>
      <c r="AC6084">
        <v>0.71039999999999204</v>
      </c>
      <c r="AD6084">
        <v>-5.9908000000000003E-2</v>
      </c>
      <c r="AE6084">
        <v>-5.3529999999998502E-2</v>
      </c>
      <c r="AF6084">
        <v>4.6172510206147703E-2</v>
      </c>
      <c r="AG6084">
        <v>-5.9908000000000003E-2</v>
      </c>
      <c r="AH6084">
        <v>0.70590311566055497</v>
      </c>
      <c r="AI6084">
        <v>94.840612281897805</v>
      </c>
      <c r="AJ6084">
        <v>86.257663722334598</v>
      </c>
      <c r="AK6084">
        <v>0.70994371457321603</v>
      </c>
      <c r="AL6084">
        <v>70.181451789267101</v>
      </c>
      <c r="AM6084">
        <v>97.951175060431893</v>
      </c>
      <c r="AN6084">
        <v>1.0000000255838399</v>
      </c>
    </row>
    <row r="6085" spans="1:40" x14ac:dyDescent="0.25">
      <c r="A6085" t="str">
        <f>"20190304164245837"</f>
        <v>20190304164245837</v>
      </c>
      <c r="B6085" t="str">
        <f>"1551688965827331"</f>
        <v>1551688965827331</v>
      </c>
      <c r="C6085" t="s">
        <v>40</v>
      </c>
      <c r="D6085">
        <v>4.1295460000000004</v>
      </c>
      <c r="E6085">
        <v>0.58708209999999905</v>
      </c>
      <c r="F6085" t="s">
        <v>41</v>
      </c>
      <c r="G6085">
        <v>-365.93650000000002</v>
      </c>
      <c r="H6085">
        <v>1.045382</v>
      </c>
      <c r="I6085">
        <v>17.282319999999999</v>
      </c>
      <c r="J6085">
        <v>-366.72089999999997</v>
      </c>
      <c r="K6085">
        <v>1.1102639999999999</v>
      </c>
      <c r="L6085">
        <v>17.34009</v>
      </c>
      <c r="M6085">
        <v>0.99991240000000003</v>
      </c>
      <c r="N6085">
        <v>-8.9997199999999992E-3</v>
      </c>
      <c r="O6085">
        <v>-9.6980620000000003E-3</v>
      </c>
      <c r="P6085">
        <v>0.93596950000000001</v>
      </c>
      <c r="Q6085">
        <v>0.33074750000000003</v>
      </c>
      <c r="R6085">
        <v>0.1206948</v>
      </c>
      <c r="S6085">
        <v>3.3129270000000002</v>
      </c>
      <c r="T6085">
        <v>-0.22888900000000001</v>
      </c>
      <c r="U6085">
        <v>-0.20800779999999999</v>
      </c>
      <c r="V6085">
        <v>-0.12994240000000001</v>
      </c>
      <c r="W6085">
        <v>0.33907969999999998</v>
      </c>
      <c r="X6085">
        <v>0.93174029999999997</v>
      </c>
      <c r="Y6085">
        <v>5.2856470000000003E-2</v>
      </c>
      <c r="Z6085">
        <v>-1.4789499999999999E-3</v>
      </c>
      <c r="AA6085">
        <v>0.99860099999999996</v>
      </c>
      <c r="AB6085">
        <v>26</v>
      </c>
      <c r="AC6085">
        <v>0.78439999999994803</v>
      </c>
      <c r="AD6085">
        <v>-6.4881999999999801E-2</v>
      </c>
      <c r="AE6085">
        <v>-5.7769999999997802E-2</v>
      </c>
      <c r="AF6085">
        <v>4.9820787315031201E-2</v>
      </c>
      <c r="AG6085">
        <v>-6.4881999999999801E-2</v>
      </c>
      <c r="AH6085">
        <v>0.779618137746655</v>
      </c>
      <c r="AI6085">
        <v>94.747711986455499</v>
      </c>
      <c r="AJ6085">
        <v>86.343537303255999</v>
      </c>
      <c r="AK6085">
        <v>0.78389809635963004</v>
      </c>
      <c r="AL6085">
        <v>70.179186240931202</v>
      </c>
      <c r="AM6085">
        <v>97.939377660489399</v>
      </c>
      <c r="AN6085">
        <v>1.0000000284569599</v>
      </c>
    </row>
    <row r="6086" spans="1:40" x14ac:dyDescent="0.25">
      <c r="A6086" t="str">
        <f>"20190304164245855"</f>
        <v>20190304164245855</v>
      </c>
      <c r="B6086" t="str">
        <f>"1551688965846856"</f>
        <v>1551688965846856</v>
      </c>
      <c r="C6086" t="s">
        <v>40</v>
      </c>
      <c r="D6086">
        <v>4.1431490000000002</v>
      </c>
      <c r="E6086">
        <v>0.58718530000000002</v>
      </c>
      <c r="F6086" t="s">
        <v>41</v>
      </c>
      <c r="G6086">
        <v>-365.92070000000001</v>
      </c>
      <c r="H6086">
        <v>1.054654</v>
      </c>
      <c r="I6086">
        <v>17.289770000000001</v>
      </c>
      <c r="J6086">
        <v>-366.51459999999997</v>
      </c>
      <c r="K6086">
        <v>1.1102620000000001</v>
      </c>
      <c r="L6086">
        <v>17.338379999999901</v>
      </c>
      <c r="M6086">
        <v>0.99991509999999995</v>
      </c>
      <c r="N6086">
        <v>-9.0011039999999994E-3</v>
      </c>
      <c r="O6086">
        <v>-9.4412300000000001E-3</v>
      </c>
      <c r="P6086">
        <v>0.93610689999999996</v>
      </c>
      <c r="Q6086">
        <v>0.33054990000000001</v>
      </c>
      <c r="R6086">
        <v>0.12017</v>
      </c>
      <c r="S6086">
        <v>3.3134459999999999</v>
      </c>
      <c r="T6086">
        <v>-0.23034660000000001</v>
      </c>
      <c r="U6086">
        <v>-0.20794679999999999</v>
      </c>
      <c r="V6086">
        <v>-0.12917390000000001</v>
      </c>
      <c r="W6086">
        <v>0.33888639999999998</v>
      </c>
      <c r="X6086">
        <v>0.93191740000000001</v>
      </c>
      <c r="Y6086">
        <v>5.308235E-2</v>
      </c>
      <c r="Z6086">
        <v>-1.5105089999999999E-3</v>
      </c>
      <c r="AA6086">
        <v>0.99858899999999995</v>
      </c>
      <c r="AB6086">
        <v>26</v>
      </c>
      <c r="AC6086">
        <v>0.59389999999996201</v>
      </c>
      <c r="AD6086">
        <v>-5.5608000000000102E-2</v>
      </c>
      <c r="AE6086">
        <v>-4.8609999999996399E-2</v>
      </c>
      <c r="AF6086">
        <v>4.2629219997039003E-2</v>
      </c>
      <c r="AG6086">
        <v>-5.5608000000000102E-2</v>
      </c>
      <c r="AH6086">
        <v>0.589201367855682</v>
      </c>
      <c r="AI6086">
        <v>95.377551575577101</v>
      </c>
      <c r="AJ6086">
        <v>85.861812227181204</v>
      </c>
      <c r="AK6086">
        <v>0.59335297416003796</v>
      </c>
      <c r="AL6086">
        <v>70.190957202099298</v>
      </c>
      <c r="AM6086">
        <v>97.891535376426503</v>
      </c>
      <c r="AN6086">
        <v>0.99999996448446404</v>
      </c>
    </row>
    <row r="6087" spans="1:40" x14ac:dyDescent="0.25">
      <c r="A6087" t="str">
        <f>"20190304164245867"</f>
        <v>20190304164245867</v>
      </c>
      <c r="B6087" t="str">
        <f>"1551688965857589"</f>
        <v>1551688965857589</v>
      </c>
      <c r="C6087" t="s">
        <v>40</v>
      </c>
      <c r="D6087">
        <v>4.1098309999999998</v>
      </c>
      <c r="E6087">
        <v>0.58722089999999905</v>
      </c>
      <c r="F6087" t="s">
        <v>41</v>
      </c>
      <c r="G6087">
        <v>-365.69619999999998</v>
      </c>
      <c r="H6087">
        <v>1.0526340000000001</v>
      </c>
      <c r="I6087">
        <v>17.286189999999898</v>
      </c>
      <c r="J6087">
        <v>-366.37610000000001</v>
      </c>
      <c r="K6087">
        <v>1.11026</v>
      </c>
      <c r="L6087">
        <v>17.337250000000001</v>
      </c>
      <c r="M6087">
        <v>0.99991660000000004</v>
      </c>
      <c r="N6087">
        <v>-9.0021600000000004E-3</v>
      </c>
      <c r="O6087">
        <v>-9.2687589999999997E-3</v>
      </c>
      <c r="P6087">
        <v>0.93607090000000004</v>
      </c>
      <c r="Q6087">
        <v>0.33076749999999999</v>
      </c>
      <c r="R6087">
        <v>0.11985129999999999</v>
      </c>
      <c r="S6087">
        <v>3.3140869999999998</v>
      </c>
      <c r="T6087">
        <v>-0.2334321</v>
      </c>
      <c r="U6087">
        <v>-0.20986940000000001</v>
      </c>
      <c r="V6087">
        <v>-0.12869249999999999</v>
      </c>
      <c r="W6087">
        <v>0.33910630000000003</v>
      </c>
      <c r="X6087">
        <v>0.93190410000000001</v>
      </c>
      <c r="Y6087">
        <v>5.3814090000000002E-2</v>
      </c>
      <c r="Z6087">
        <v>-1.5657360000000001E-3</v>
      </c>
      <c r="AA6087">
        <v>0.99854980000000004</v>
      </c>
      <c r="AB6087">
        <v>26</v>
      </c>
      <c r="AC6087">
        <v>0.67990000000003104</v>
      </c>
      <c r="AD6087">
        <v>-5.76259999999999E-2</v>
      </c>
      <c r="AE6087">
        <v>-5.10600000000032E-2</v>
      </c>
      <c r="AF6087">
        <v>4.4438282391784399E-2</v>
      </c>
      <c r="AG6087">
        <v>-5.76259999999999E-2</v>
      </c>
      <c r="AH6087">
        <v>0.675518581139673</v>
      </c>
      <c r="AI6087">
        <v>94.865421443661702</v>
      </c>
      <c r="AJ6087">
        <v>86.236280100870601</v>
      </c>
      <c r="AK6087">
        <v>0.67942686897332005</v>
      </c>
      <c r="AL6087">
        <v>70.177566571296595</v>
      </c>
      <c r="AM6087">
        <v>97.8626048336331</v>
      </c>
      <c r="AN6087">
        <v>1.0000000469263699</v>
      </c>
    </row>
    <row r="6088" spans="1:40" x14ac:dyDescent="0.25">
      <c r="A6088" t="str">
        <f>"20190304164245878"</f>
        <v>20190304164245878</v>
      </c>
      <c r="B6088" t="str">
        <f>"1551688965867349"</f>
        <v>1551688965867349</v>
      </c>
      <c r="C6088" t="s">
        <v>40</v>
      </c>
      <c r="D6088">
        <v>4.1038819999999996</v>
      </c>
      <c r="E6088">
        <v>0.58723769999999997</v>
      </c>
      <c r="F6088" t="s">
        <v>41</v>
      </c>
      <c r="G6088">
        <v>-365.46800000000002</v>
      </c>
      <c r="H6088">
        <v>1.046197</v>
      </c>
      <c r="I6088">
        <v>17.279350000000001</v>
      </c>
      <c r="J6088">
        <v>-366.23570000000001</v>
      </c>
      <c r="K6088">
        <v>1.110255</v>
      </c>
      <c r="L6088">
        <v>17.336120000000001</v>
      </c>
      <c r="M6088">
        <v>0.99991810000000003</v>
      </c>
      <c r="N6088">
        <v>-9.0033370000000001E-3</v>
      </c>
      <c r="O6088">
        <v>-9.0938900000000003E-3</v>
      </c>
      <c r="P6088">
        <v>0.93606149999999999</v>
      </c>
      <c r="Q6088">
        <v>0.33080140000000002</v>
      </c>
      <c r="R6088">
        <v>0.1198307</v>
      </c>
      <c r="S6088">
        <v>3.314514</v>
      </c>
      <c r="T6088">
        <v>-0.2338326</v>
      </c>
      <c r="U6088">
        <v>-0.21096799999999999</v>
      </c>
      <c r="V6088">
        <v>-0.12850809999999999</v>
      </c>
      <c r="W6088">
        <v>0.33914119999999998</v>
      </c>
      <c r="X6088">
        <v>0.93191679999999999</v>
      </c>
      <c r="Y6088">
        <v>5.4308149999999999E-2</v>
      </c>
      <c r="Z6088">
        <v>-1.598084E-3</v>
      </c>
      <c r="AA6088">
        <v>0.99852289999999999</v>
      </c>
      <c r="AB6088">
        <v>26</v>
      </c>
      <c r="AC6088">
        <v>0.76769999999998995</v>
      </c>
      <c r="AD6088">
        <v>-6.4057999999999907E-2</v>
      </c>
      <c r="AE6088">
        <v>-5.6770000000000202E-2</v>
      </c>
      <c r="AF6088">
        <v>4.94436122130242E-2</v>
      </c>
      <c r="AG6088">
        <v>-6.4057999999999907E-2</v>
      </c>
      <c r="AH6088">
        <v>0.76290173744218004</v>
      </c>
      <c r="AI6088">
        <v>94.789651691095997</v>
      </c>
      <c r="AJ6088">
        <v>86.291850251297504</v>
      </c>
      <c r="AK6088">
        <v>0.76718130786990002</v>
      </c>
      <c r="AL6088">
        <v>70.175440097948595</v>
      </c>
      <c r="AM6088">
        <v>97.8513736653385</v>
      </c>
      <c r="AN6088">
        <v>1.00000000371264</v>
      </c>
    </row>
    <row r="6089" spans="1:40" x14ac:dyDescent="0.25">
      <c r="A6089" t="str">
        <f>"20190304164245890"</f>
        <v>20190304164245890</v>
      </c>
      <c r="B6089" t="str">
        <f>"1551688965886867"</f>
        <v>1551688965886867</v>
      </c>
      <c r="C6089" t="s">
        <v>40</v>
      </c>
      <c r="D6089">
        <v>4.0884429999999998</v>
      </c>
      <c r="E6089">
        <v>0.58726690000000004</v>
      </c>
      <c r="F6089" t="s">
        <v>41</v>
      </c>
      <c r="G6089">
        <v>-365.45280000000002</v>
      </c>
      <c r="H6089">
        <v>1.0546690000000001</v>
      </c>
      <c r="I6089">
        <v>17.28622</v>
      </c>
      <c r="J6089">
        <v>-366.10070000000002</v>
      </c>
      <c r="K6089">
        <v>1.110258</v>
      </c>
      <c r="L6089">
        <v>17.33511</v>
      </c>
      <c r="M6089">
        <v>0.99991969999999997</v>
      </c>
      <c r="N6089">
        <v>-9.0045980000000008E-3</v>
      </c>
      <c r="O6089">
        <v>-8.9240180000000006E-3</v>
      </c>
      <c r="P6089">
        <v>0.9360387</v>
      </c>
      <c r="Q6089">
        <v>0.33097110000000002</v>
      </c>
      <c r="R6089">
        <v>0.11954099999999999</v>
      </c>
      <c r="S6089">
        <v>3.3150940000000002</v>
      </c>
      <c r="T6089">
        <v>-0.2353576</v>
      </c>
      <c r="U6089">
        <v>-0.21081539999999999</v>
      </c>
      <c r="V6089">
        <v>-0.1280607</v>
      </c>
      <c r="W6089">
        <v>0.33931209999999901</v>
      </c>
      <c r="X6089">
        <v>0.93191619999999997</v>
      </c>
      <c r="Y6089">
        <v>5.441874E-2</v>
      </c>
      <c r="Z6089">
        <v>-1.6211029999999901E-3</v>
      </c>
      <c r="AA6089">
        <v>0.99851690000000004</v>
      </c>
      <c r="AB6089">
        <v>26</v>
      </c>
      <c r="AC6089">
        <v>0.64789999999999204</v>
      </c>
      <c r="AD6089">
        <v>-5.5588999999999798E-2</v>
      </c>
      <c r="AE6089">
        <v>-4.88900000000001E-2</v>
      </c>
      <c r="AF6089">
        <v>4.2792716029269401E-2</v>
      </c>
      <c r="AG6089">
        <v>-5.5588999999999798E-2</v>
      </c>
      <c r="AH6089">
        <v>0.64359952803558296</v>
      </c>
      <c r="AI6089">
        <v>94.925679452502607</v>
      </c>
      <c r="AJ6089">
        <v>86.196021946232804</v>
      </c>
      <c r="AK6089">
        <v>0.64741154295686298</v>
      </c>
      <c r="AL6089">
        <v>70.165031459182501</v>
      </c>
      <c r="AM6089">
        <v>97.824383295440995</v>
      </c>
      <c r="AN6089">
        <v>1.00000002395666</v>
      </c>
    </row>
    <row r="6090" spans="1:40" x14ac:dyDescent="0.25">
      <c r="A6090" t="str">
        <f>"20190304164245901"</f>
        <v>20190304164245901</v>
      </c>
      <c r="B6090" t="str">
        <f>"1551688965897604"</f>
        <v>1551688965897604</v>
      </c>
      <c r="C6090" t="s">
        <v>40</v>
      </c>
      <c r="D6090">
        <v>4.0800700000000001</v>
      </c>
      <c r="E6090">
        <v>0.58728910000000001</v>
      </c>
      <c r="F6090" t="s">
        <v>41</v>
      </c>
      <c r="G6090">
        <v>-365.23169999999999</v>
      </c>
      <c r="H6090">
        <v>1.0479639999999999</v>
      </c>
      <c r="I6090">
        <v>17.279589999999999</v>
      </c>
      <c r="J6090">
        <v>-365.9674</v>
      </c>
      <c r="K6090">
        <v>1.1102590000000001</v>
      </c>
      <c r="L6090">
        <v>17.33408</v>
      </c>
      <c r="M6090">
        <v>0.99992130000000001</v>
      </c>
      <c r="N6090">
        <v>-9.0058910000000002E-3</v>
      </c>
      <c r="O6090">
        <v>-8.7558099999999993E-3</v>
      </c>
      <c r="P6090">
        <v>0.93593309999999996</v>
      </c>
      <c r="Q6090">
        <v>0.331372099999999</v>
      </c>
      <c r="R6090">
        <v>0.119258</v>
      </c>
      <c r="S6090">
        <v>3.3160400000000001</v>
      </c>
      <c r="T6090">
        <v>-0.23766799999999999</v>
      </c>
      <c r="U6090">
        <v>-0.2114868</v>
      </c>
      <c r="V6090">
        <v>-0.1276206</v>
      </c>
      <c r="W6090">
        <v>0.3397135</v>
      </c>
      <c r="X6090">
        <v>0.9318303</v>
      </c>
      <c r="Y6090">
        <v>5.4766269999999999E-2</v>
      </c>
      <c r="Z6090">
        <v>-1.657967E-3</v>
      </c>
      <c r="AA6090">
        <v>0.99849779999999999</v>
      </c>
      <c r="AB6090">
        <v>26</v>
      </c>
      <c r="AC6090">
        <v>0.73570000000000801</v>
      </c>
      <c r="AD6090">
        <v>-6.2295000000000197E-2</v>
      </c>
      <c r="AE6090">
        <v>-5.4490000000001197E-2</v>
      </c>
      <c r="AF6090">
        <v>4.7705828180567698E-2</v>
      </c>
      <c r="AG6090">
        <v>-6.2295000000000197E-2</v>
      </c>
      <c r="AH6090">
        <v>0.73093686644020095</v>
      </c>
      <c r="AI6090">
        <v>94.861039559137495</v>
      </c>
      <c r="AJ6090">
        <v>86.265790497678694</v>
      </c>
      <c r="AK6090">
        <v>0.73513618859964602</v>
      </c>
      <c r="AL6090">
        <v>70.140579963096101</v>
      </c>
      <c r="AM6090">
        <v>97.798534983411599</v>
      </c>
      <c r="AN6090">
        <v>0.99999999381235005</v>
      </c>
    </row>
    <row r="6091" spans="1:40" x14ac:dyDescent="0.25">
      <c r="A6091" t="str">
        <f>"20190304164245913"</f>
        <v>20190304164245913</v>
      </c>
      <c r="B6091" t="str">
        <f>"1551688965907364"</f>
        <v>1551688965907364</v>
      </c>
      <c r="C6091" t="s">
        <v>40</v>
      </c>
      <c r="D6091">
        <v>4.0969490000000004</v>
      </c>
      <c r="E6091">
        <v>0.58730909999999903</v>
      </c>
      <c r="F6091" t="s">
        <v>42</v>
      </c>
      <c r="G6091">
        <v>-350.47109999999998</v>
      </c>
      <c r="H6091" s="1">
        <v>-4.6511100000000001E-6</v>
      </c>
      <c r="I6091">
        <v>16.341279999999902</v>
      </c>
      <c r="J6091">
        <v>-365.83359999999999</v>
      </c>
      <c r="K6091">
        <v>1.110263</v>
      </c>
      <c r="L6091">
        <v>17.333069999999999</v>
      </c>
      <c r="M6091">
        <v>0.99992259999999999</v>
      </c>
      <c r="N6091">
        <v>-9.0073150000000001E-3</v>
      </c>
      <c r="O6091">
        <v>-8.5844960000000005E-3</v>
      </c>
      <c r="P6091">
        <v>0.93588009999999999</v>
      </c>
      <c r="Q6091">
        <v>0.3315207</v>
      </c>
      <c r="R6091">
        <v>0.1192583</v>
      </c>
      <c r="S6091">
        <v>3.3165589999999998</v>
      </c>
      <c r="T6091">
        <v>-0.2376209</v>
      </c>
      <c r="U6091">
        <v>-0.2124634</v>
      </c>
      <c r="V6091">
        <v>-0.12746179999999999</v>
      </c>
      <c r="W6091">
        <v>0.33986250000000001</v>
      </c>
      <c r="X6091">
        <v>0.93179769999999895</v>
      </c>
      <c r="Y6091">
        <v>5.5218690000000001E-2</v>
      </c>
      <c r="Z6091">
        <v>-1.6864530000000001E-3</v>
      </c>
      <c r="AA6091">
        <v>0.9984729</v>
      </c>
      <c r="AB6091">
        <v>26</v>
      </c>
      <c r="AC6091">
        <v>15.362500000000001</v>
      </c>
      <c r="AD6091">
        <v>-1.11026765111</v>
      </c>
      <c r="AE6091">
        <v>-0.99179000000000495</v>
      </c>
      <c r="AF6091">
        <v>0.85541935477011199</v>
      </c>
      <c r="AG6091">
        <v>-1.11026765111</v>
      </c>
      <c r="AH6091">
        <v>15.2909131759834</v>
      </c>
      <c r="AI6091">
        <v>94.146476944319204</v>
      </c>
      <c r="AJ6091">
        <v>86.798040479990803</v>
      </c>
      <c r="AK6091">
        <v>15.3550142391689</v>
      </c>
      <c r="AL6091">
        <v>70.131502773608602</v>
      </c>
      <c r="AM6091">
        <v>97.789219508985596</v>
      </c>
      <c r="AN6091">
        <v>0.99999999154538899</v>
      </c>
    </row>
    <row r="6092" spans="1:40" x14ac:dyDescent="0.25">
      <c r="A6092" t="str">
        <f>"20190304164245924"</f>
        <v>20190304164245924</v>
      </c>
      <c r="B6092" t="str">
        <f>"1551688965917124"</f>
        <v>1551688965917124</v>
      </c>
      <c r="C6092" t="s">
        <v>40</v>
      </c>
      <c r="D6092">
        <v>4.0828930000000003</v>
      </c>
      <c r="E6092">
        <v>0.58733009999999997</v>
      </c>
      <c r="F6092" t="s">
        <v>41</v>
      </c>
      <c r="G6092">
        <v>-364.99459999999999</v>
      </c>
      <c r="H6092">
        <v>1.050009</v>
      </c>
      <c r="I6092">
        <v>17.27936</v>
      </c>
      <c r="J6092">
        <v>-365.68880000000001</v>
      </c>
      <c r="K6092">
        <v>1.110268</v>
      </c>
      <c r="L6092">
        <v>17.33203</v>
      </c>
      <c r="M6092">
        <v>0.99992420000000004</v>
      </c>
      <c r="N6092">
        <v>-9.0088789999999992E-3</v>
      </c>
      <c r="O6092">
        <v>-8.3982780000000003E-3</v>
      </c>
      <c r="P6092">
        <v>0.9357898</v>
      </c>
      <c r="Q6092">
        <v>0.33175329999999997</v>
      </c>
      <c r="R6092">
        <v>0.119321</v>
      </c>
      <c r="S6092">
        <v>3.316986</v>
      </c>
      <c r="T6092">
        <v>-0.23814979999999999</v>
      </c>
      <c r="U6092">
        <v>-0.212677</v>
      </c>
      <c r="V6092">
        <v>-0.12735179999999999</v>
      </c>
      <c r="W6092">
        <v>0.340095599999999</v>
      </c>
      <c r="X6092">
        <v>0.93172770000000005</v>
      </c>
      <c r="Y6092">
        <v>5.5458849999999997E-2</v>
      </c>
      <c r="Z6092">
        <v>-1.710701E-3</v>
      </c>
      <c r="AA6092">
        <v>0.99845950000000006</v>
      </c>
      <c r="AB6092">
        <v>26</v>
      </c>
      <c r="AC6092">
        <v>0.69420000000002302</v>
      </c>
      <c r="AD6092">
        <v>-6.0259E-2</v>
      </c>
      <c r="AE6092">
        <v>-5.2669999999999099E-2</v>
      </c>
      <c r="AF6092">
        <v>4.64895347047228E-2</v>
      </c>
      <c r="AG6092">
        <v>-6.0259E-2</v>
      </c>
      <c r="AH6092">
        <v>0.68945268214594801</v>
      </c>
      <c r="AI6092">
        <v>94.983767474857601</v>
      </c>
      <c r="AJ6092">
        <v>86.142406603071294</v>
      </c>
      <c r="AK6092">
        <v>0.69364070298411895</v>
      </c>
      <c r="AL6092">
        <v>70.117301408614296</v>
      </c>
      <c r="AM6092">
        <v>97.783157330695104</v>
      </c>
      <c r="AN6092">
        <v>1.00000000252494</v>
      </c>
    </row>
    <row r="6093" spans="1:40" x14ac:dyDescent="0.25">
      <c r="A6093" t="str">
        <f>"20190304164245935"</f>
        <v>20190304164245935</v>
      </c>
      <c r="B6093" t="str">
        <f>"1551688965926887"</f>
        <v>1551688965926887</v>
      </c>
      <c r="C6093" t="s">
        <v>40</v>
      </c>
      <c r="D6093">
        <v>4.0686619999999998</v>
      </c>
      <c r="E6093">
        <v>0.58732759999999995</v>
      </c>
      <c r="F6093" t="s">
        <v>41</v>
      </c>
      <c r="G6093">
        <v>-364.76389999999998</v>
      </c>
      <c r="H6093">
        <v>1.0437730000000001</v>
      </c>
      <c r="I6093">
        <v>17.27251</v>
      </c>
      <c r="J6093">
        <v>-365.55700000000002</v>
      </c>
      <c r="K6093">
        <v>1.1102700000000001</v>
      </c>
      <c r="L6093">
        <v>17.331119999999999</v>
      </c>
      <c r="M6093">
        <v>0.99992570000000003</v>
      </c>
      <c r="N6093">
        <v>-9.0103519999999993E-3</v>
      </c>
      <c r="O6093">
        <v>-8.2269609999999996E-3</v>
      </c>
      <c r="P6093">
        <v>0.93576380000000003</v>
      </c>
      <c r="Q6093">
        <v>0.33183370000000001</v>
      </c>
      <c r="R6093">
        <v>0.11930060000000001</v>
      </c>
      <c r="S6093">
        <v>3.3175349999999999</v>
      </c>
      <c r="T6093">
        <v>-0.23851359999999999</v>
      </c>
      <c r="U6093">
        <v>-0.21295169999999999</v>
      </c>
      <c r="V6093">
        <v>-0.12717229999999999</v>
      </c>
      <c r="W6093">
        <v>0.3401768</v>
      </c>
      <c r="X6093">
        <v>0.93172259999999996</v>
      </c>
      <c r="Y6093">
        <v>5.5700279999999998E-2</v>
      </c>
      <c r="Z6093">
        <v>-1.73312799999999E-3</v>
      </c>
      <c r="AA6093">
        <v>0.99844599999999994</v>
      </c>
      <c r="AB6093">
        <v>26</v>
      </c>
      <c r="AC6093">
        <v>0.79309999999998104</v>
      </c>
      <c r="AD6093">
        <v>-6.6497000000000001E-2</v>
      </c>
      <c r="AE6093">
        <v>-5.8610000000001598E-2</v>
      </c>
      <c r="AF6093">
        <v>5.1721329499191698E-2</v>
      </c>
      <c r="AG6093">
        <v>-6.6497000000000001E-2</v>
      </c>
      <c r="AH6093">
        <v>0.78804557978027601</v>
      </c>
      <c r="AI6093">
        <v>94.813009894800402</v>
      </c>
      <c r="AJ6093">
        <v>86.244925609981294</v>
      </c>
      <c r="AK6093">
        <v>0.79253566654466401</v>
      </c>
      <c r="AL6093">
        <v>70.112354500152904</v>
      </c>
      <c r="AM6093">
        <v>97.772363316634795</v>
      </c>
      <c r="AN6093">
        <v>1.0000000262481401</v>
      </c>
    </row>
    <row r="6094" spans="1:40" x14ac:dyDescent="0.25">
      <c r="A6094" t="str">
        <f>"20190304164245947"</f>
        <v>20190304164245947</v>
      </c>
      <c r="B6094" t="str">
        <f>"1551688965937622"</f>
        <v>1551688965937622</v>
      </c>
      <c r="C6094" t="s">
        <v>40</v>
      </c>
      <c r="D6094">
        <v>4.0867000000000004</v>
      </c>
      <c r="E6094">
        <v>0.58732459999999997</v>
      </c>
      <c r="F6094" t="s">
        <v>41</v>
      </c>
      <c r="G6094">
        <v>-364.75670000000002</v>
      </c>
      <c r="H6094">
        <v>1.0525709999999999</v>
      </c>
      <c r="I6094">
        <v>17.279509999999998</v>
      </c>
      <c r="J6094">
        <v>-365.4282</v>
      </c>
      <c r="K6094">
        <v>1.1102650000000001</v>
      </c>
      <c r="L6094">
        <v>17.33023</v>
      </c>
      <c r="M6094">
        <v>0.99992700000000001</v>
      </c>
      <c r="N6094">
        <v>-9.0118300000000002E-3</v>
      </c>
      <c r="O6094">
        <v>-8.0586249999999998E-3</v>
      </c>
      <c r="P6094">
        <v>0.93565279999999995</v>
      </c>
      <c r="Q6094">
        <v>0.3321538</v>
      </c>
      <c r="R6094">
        <v>0.1192807</v>
      </c>
      <c r="S6094">
        <v>3.3179319999999999</v>
      </c>
      <c r="T6094">
        <v>-0.2391886</v>
      </c>
      <c r="U6094">
        <v>-0.21328739999999999</v>
      </c>
      <c r="V6094">
        <v>-0.12699669999999999</v>
      </c>
      <c r="W6094">
        <v>0.34049699999999999</v>
      </c>
      <c r="X6094">
        <v>0.93162959999999995</v>
      </c>
      <c r="Y6094">
        <v>5.595953E-2</v>
      </c>
      <c r="Z6094">
        <v>-1.7580689999999999E-3</v>
      </c>
      <c r="AA6094">
        <v>0.99843150000000003</v>
      </c>
      <c r="AB6094">
        <v>26</v>
      </c>
      <c r="AC6094">
        <v>0.67149999999998</v>
      </c>
      <c r="AD6094">
        <v>-5.7694000000000099E-2</v>
      </c>
      <c r="AE6094">
        <v>-5.0719999999998301E-2</v>
      </c>
      <c r="AF6094">
        <v>4.4976636480276E-2</v>
      </c>
      <c r="AG6094">
        <v>-5.7694000000000099E-2</v>
      </c>
      <c r="AH6094">
        <v>0.66699119982329602</v>
      </c>
      <c r="AI6094">
        <v>94.932569991802396</v>
      </c>
      <c r="AJ6094">
        <v>86.142263704859204</v>
      </c>
      <c r="AK6094">
        <v>0.67099087632157794</v>
      </c>
      <c r="AL6094">
        <v>70.092843954304001</v>
      </c>
      <c r="AM6094">
        <v>97.762527488889504</v>
      </c>
      <c r="AN6094">
        <v>1.00000004020802</v>
      </c>
    </row>
    <row r="6095" spans="1:40" x14ac:dyDescent="0.25">
      <c r="A6095" t="str">
        <f>"20190304164245959"</f>
        <v>20190304164245959</v>
      </c>
      <c r="B6095" t="str">
        <f>"1551688965947381"</f>
        <v>1551688965947381</v>
      </c>
      <c r="C6095" t="s">
        <v>40</v>
      </c>
      <c r="D6095">
        <v>4.0834250000000001</v>
      </c>
      <c r="E6095">
        <v>0.58732459999999997</v>
      </c>
      <c r="F6095" t="s">
        <v>41</v>
      </c>
      <c r="G6095">
        <v>-364.52719999999999</v>
      </c>
      <c r="H6095">
        <v>1.0452939999999999</v>
      </c>
      <c r="I6095">
        <v>17.272349999999999</v>
      </c>
      <c r="J6095">
        <v>-365.29270000000002</v>
      </c>
      <c r="K6095">
        <v>1.110269</v>
      </c>
      <c r="L6095">
        <v>17.329319999999999</v>
      </c>
      <c r="M6095">
        <v>0.99992840000000005</v>
      </c>
      <c r="N6095">
        <v>-9.0134180000000005E-3</v>
      </c>
      <c r="O6095">
        <v>-7.8806329999999997E-3</v>
      </c>
      <c r="P6095">
        <v>0.93557970000000001</v>
      </c>
      <c r="Q6095">
        <v>0.33232679999999998</v>
      </c>
      <c r="R6095">
        <v>0.1193724</v>
      </c>
      <c r="S6095">
        <v>3.318451</v>
      </c>
      <c r="T6095">
        <v>-0.2393275</v>
      </c>
      <c r="U6095">
        <v>-0.21322630000000001</v>
      </c>
      <c r="V6095">
        <v>-0.12692290000000001</v>
      </c>
      <c r="W6095">
        <v>0.34066999999999997</v>
      </c>
      <c r="X6095">
        <v>0.93157639999999997</v>
      </c>
      <c r="Y6095">
        <v>5.6108079999999998E-2</v>
      </c>
      <c r="Z6095">
        <v>-1.7759539999999999E-3</v>
      </c>
      <c r="AA6095">
        <v>0.99842310000000001</v>
      </c>
      <c r="AB6095">
        <v>26</v>
      </c>
      <c r="AC6095">
        <v>0.76550000000003104</v>
      </c>
      <c r="AD6095">
        <v>-6.4975000000000005E-2</v>
      </c>
      <c r="AE6095">
        <v>-5.6970000000003303E-2</v>
      </c>
      <c r="AF6095">
        <v>5.0573016602869197E-2</v>
      </c>
      <c r="AG6095">
        <v>-6.4975000000000005E-2</v>
      </c>
      <c r="AH6095">
        <v>0.76047655080258103</v>
      </c>
      <c r="AI6095">
        <v>94.872771588674695</v>
      </c>
      <c r="AJ6095">
        <v>86.195332852213994</v>
      </c>
      <c r="AK6095">
        <v>0.76492088803607905</v>
      </c>
      <c r="AL6095">
        <v>70.082301289439798</v>
      </c>
      <c r="AM6095">
        <v>97.758509147012504</v>
      </c>
      <c r="AN6095">
        <v>1.00000003024068</v>
      </c>
    </row>
    <row r="6096" spans="1:40" x14ac:dyDescent="0.25">
      <c r="A6096" t="str">
        <f>"20190304164245969"</f>
        <v>20190304164245969</v>
      </c>
      <c r="B6096" t="str">
        <f>"1551688965966900"</f>
        <v>1551688965966900</v>
      </c>
      <c r="C6096" t="s">
        <v>40</v>
      </c>
      <c r="D6096">
        <v>4.1198090000000001</v>
      </c>
      <c r="E6096">
        <v>0.587325599999999</v>
      </c>
      <c r="F6096" t="s">
        <v>41</v>
      </c>
      <c r="G6096">
        <v>-364.51900000000001</v>
      </c>
      <c r="H6096">
        <v>1.0543659999999999</v>
      </c>
      <c r="I6096">
        <v>17.279640000000001</v>
      </c>
      <c r="J6096">
        <v>-365.1635</v>
      </c>
      <c r="K6096">
        <v>1.1102719999999999</v>
      </c>
      <c r="L6096">
        <v>17.32846</v>
      </c>
      <c r="M6096">
        <v>0.99992970000000003</v>
      </c>
      <c r="N6096">
        <v>-9.0149789999999994E-3</v>
      </c>
      <c r="O6096">
        <v>-7.709675E-3</v>
      </c>
      <c r="P6096">
        <v>0.93558839999999999</v>
      </c>
      <c r="Q6096">
        <v>0.33238839999999997</v>
      </c>
      <c r="R6096">
        <v>0.1191321</v>
      </c>
      <c r="S6096">
        <v>3.3189389999999999</v>
      </c>
      <c r="T6096">
        <v>-0.2397801</v>
      </c>
      <c r="U6096">
        <v>-0.21313480000000001</v>
      </c>
      <c r="V6096">
        <v>-0.1265249</v>
      </c>
      <c r="W6096">
        <v>0.34073310000000001</v>
      </c>
      <c r="X6096">
        <v>0.93160739999999997</v>
      </c>
      <c r="Y6096">
        <v>5.6240730000000003E-2</v>
      </c>
      <c r="Z6096">
        <v>-1.7946990000000001E-3</v>
      </c>
      <c r="AA6096">
        <v>0.99841559999999996</v>
      </c>
      <c r="AB6096">
        <v>26</v>
      </c>
      <c r="AC6096">
        <v>0.64449999999999297</v>
      </c>
      <c r="AD6096">
        <v>-5.5905999999999997E-2</v>
      </c>
      <c r="AE6096">
        <v>-4.8819999999999197E-2</v>
      </c>
      <c r="AF6096">
        <v>4.3523840026377103E-2</v>
      </c>
      <c r="AG6096">
        <v>-5.5905999999999997E-2</v>
      </c>
      <c r="AH6096">
        <v>0.64006859964916196</v>
      </c>
      <c r="AI6096">
        <v>94.980318028079296</v>
      </c>
      <c r="AJ6096">
        <v>86.109949083662698</v>
      </c>
      <c r="AK6096">
        <v>0.64397796370953697</v>
      </c>
      <c r="AL6096">
        <v>70.078454644916206</v>
      </c>
      <c r="AM6096">
        <v>97.734220992902095</v>
      </c>
      <c r="AN6096">
        <v>0.99999997174518895</v>
      </c>
    </row>
    <row r="6097" spans="1:40" x14ac:dyDescent="0.25">
      <c r="A6097" t="str">
        <f>"20190304164245981"</f>
        <v>20190304164245981</v>
      </c>
      <c r="B6097" t="str">
        <f>"1551688965977636"</f>
        <v>1551688965977636</v>
      </c>
      <c r="C6097" t="s">
        <v>40</v>
      </c>
      <c r="D6097">
        <v>4.1862339999999998</v>
      </c>
      <c r="E6097">
        <v>0.58735740000000003</v>
      </c>
      <c r="F6097" t="s">
        <v>41</v>
      </c>
      <c r="G6097">
        <v>-364.28960000000001</v>
      </c>
      <c r="H6097">
        <v>1.046926</v>
      </c>
      <c r="I6097">
        <v>17.271979999999999</v>
      </c>
      <c r="J6097">
        <v>-365.02190000000002</v>
      </c>
      <c r="K6097">
        <v>1.1102810000000001</v>
      </c>
      <c r="L6097">
        <v>17.327549999999999</v>
      </c>
      <c r="M6097">
        <v>0.99993120000000002</v>
      </c>
      <c r="N6097">
        <v>-9.0167149999999998E-3</v>
      </c>
      <c r="O6097">
        <v>-7.5217900000000004E-3</v>
      </c>
      <c r="P6097">
        <v>0.93544660000000002</v>
      </c>
      <c r="Q6097">
        <v>0.33270359999999899</v>
      </c>
      <c r="R6097">
        <v>0.1193664</v>
      </c>
      <c r="S6097">
        <v>3.319153</v>
      </c>
      <c r="T6097">
        <v>-0.2406305</v>
      </c>
      <c r="U6097">
        <v>-0.21347050000000001</v>
      </c>
      <c r="V6097">
        <v>-0.12658459999999999</v>
      </c>
      <c r="W6097">
        <v>0.34104780000000001</v>
      </c>
      <c r="X6097">
        <v>0.93148419999999998</v>
      </c>
      <c r="Y6097">
        <v>5.6522610000000001E-2</v>
      </c>
      <c r="Z6097">
        <v>-1.823234E-3</v>
      </c>
      <c r="AA6097">
        <v>0.9983997</v>
      </c>
      <c r="AB6097">
        <v>26</v>
      </c>
      <c r="AC6097">
        <v>0.73230000000000905</v>
      </c>
      <c r="AD6097">
        <v>-6.33549999999998E-2</v>
      </c>
      <c r="AE6097">
        <v>-5.5569999999999398E-2</v>
      </c>
      <c r="AF6097">
        <v>4.9690203069732403E-2</v>
      </c>
      <c r="AG6097">
        <v>-6.33549999999998E-2</v>
      </c>
      <c r="AH6097">
        <v>0.72728482659215099</v>
      </c>
      <c r="AI6097">
        <v>94.967042075146907</v>
      </c>
      <c r="AJ6097">
        <v>86.0914607699806</v>
      </c>
      <c r="AK6097">
        <v>0.73172822229109502</v>
      </c>
      <c r="AL6097">
        <v>70.059276245607293</v>
      </c>
      <c r="AM6097">
        <v>97.738837156497496</v>
      </c>
      <c r="AN6097">
        <v>1.0000000388458099</v>
      </c>
    </row>
    <row r="6098" spans="1:40" x14ac:dyDescent="0.25">
      <c r="A6098" t="str">
        <f>"20190304164246001"</f>
        <v>20190304164246001</v>
      </c>
      <c r="B6098" t="str">
        <f>"1551688965997156"</f>
        <v>1551688965997156</v>
      </c>
      <c r="C6098" t="s">
        <v>40</v>
      </c>
      <c r="D6098">
        <v>4.0826479999999998</v>
      </c>
      <c r="E6098">
        <v>0.56883669999999997</v>
      </c>
      <c r="F6098" t="s">
        <v>42</v>
      </c>
      <c r="G6098">
        <v>-349.64229999999998</v>
      </c>
      <c r="H6098" s="1">
        <v>-9.7927320000000007E-7</v>
      </c>
      <c r="I6098">
        <v>16.340949999999999</v>
      </c>
      <c r="J6098">
        <v>-364.80689999999998</v>
      </c>
      <c r="K6098">
        <v>1.1102890000000001</v>
      </c>
      <c r="L6098">
        <v>17.326229999999999</v>
      </c>
      <c r="M6098">
        <v>0.99993330000000002</v>
      </c>
      <c r="N6098">
        <v>-9.0194520000000007E-3</v>
      </c>
      <c r="O6098">
        <v>-7.2353139999999996E-3</v>
      </c>
      <c r="P6098">
        <v>0.93530869999999999</v>
      </c>
      <c r="Q6098">
        <v>0.3330572</v>
      </c>
      <c r="R6098">
        <v>0.11945939999999999</v>
      </c>
      <c r="S6098">
        <v>3.3194270000000001</v>
      </c>
      <c r="T6098">
        <v>-0.23963519999999999</v>
      </c>
      <c r="U6098">
        <v>-0.2129211</v>
      </c>
      <c r="V6098">
        <v>-0.12641150000000001</v>
      </c>
      <c r="W6098">
        <v>0.34140239999999999</v>
      </c>
      <c r="X6098">
        <v>0.93137780000000003</v>
      </c>
      <c r="Y6098">
        <v>5.6639059999999998E-2</v>
      </c>
      <c r="Z6098">
        <v>-1.839797E-3</v>
      </c>
      <c r="AA6098">
        <v>0.99839299999999997</v>
      </c>
      <c r="AB6098">
        <v>26</v>
      </c>
      <c r="AC6098">
        <v>15.1646</v>
      </c>
      <c r="AD6098">
        <v>-1.1102899792731999</v>
      </c>
      <c r="AE6098">
        <v>-0.98527999999999905</v>
      </c>
      <c r="AF6098">
        <v>0.87088032884385402</v>
      </c>
      <c r="AG6098">
        <v>-1.1102899792731999</v>
      </c>
      <c r="AH6098">
        <v>15.090777028733401</v>
      </c>
      <c r="AI6098">
        <v>94.200937857043797</v>
      </c>
      <c r="AJ6098">
        <v>86.697155832615195</v>
      </c>
      <c r="AK6098">
        <v>15.1566067348926</v>
      </c>
      <c r="AL6098">
        <v>70.037661849883193</v>
      </c>
      <c r="AM6098">
        <v>97.729254762252594</v>
      </c>
      <c r="AN6098">
        <v>1.00000003619542</v>
      </c>
    </row>
    <row r="6099" spans="1:40" x14ac:dyDescent="0.25">
      <c r="A6099" t="str">
        <f>"20190304164246014"</f>
        <v>20190304164246014</v>
      </c>
      <c r="B6099" t="str">
        <f>"1551688966006917"</f>
        <v>1551688966006917</v>
      </c>
      <c r="C6099" t="s">
        <v>40</v>
      </c>
      <c r="D6099">
        <v>4.0809759999999997</v>
      </c>
      <c r="E6099">
        <v>0.56412680000000004</v>
      </c>
      <c r="F6099" t="s">
        <v>42</v>
      </c>
      <c r="G6099">
        <v>-346.73570000000001</v>
      </c>
      <c r="H6099" s="1">
        <v>-1.8558549999999999E-6</v>
      </c>
      <c r="I6099">
        <v>16.948779999999999</v>
      </c>
      <c r="J6099">
        <v>-364.63200000000001</v>
      </c>
      <c r="K6099">
        <v>1.11029</v>
      </c>
      <c r="L6099">
        <v>17.325199999999999</v>
      </c>
      <c r="M6099">
        <v>0.99993480000000001</v>
      </c>
      <c r="N6099">
        <v>-9.0217679999999995E-3</v>
      </c>
      <c r="O6099">
        <v>-7.001536E-3</v>
      </c>
      <c r="P6099">
        <v>0.9352355</v>
      </c>
      <c r="Q6099">
        <v>0.33327410000000002</v>
      </c>
      <c r="R6099">
        <v>0.1194284</v>
      </c>
      <c r="S6099">
        <v>3.288208</v>
      </c>
      <c r="T6099">
        <v>-0.20202619999999999</v>
      </c>
      <c r="U6099">
        <v>-6.8664550000000005E-2</v>
      </c>
      <c r="V6099">
        <v>-0.12616369999999999</v>
      </c>
      <c r="W6099">
        <v>0.34162019999999998</v>
      </c>
      <c r="X6099">
        <v>0.93133149999999998</v>
      </c>
      <c r="Y6099">
        <v>1.385634E-2</v>
      </c>
      <c r="Z6099">
        <v>-1.211992E-4</v>
      </c>
      <c r="AA6099">
        <v>0.99990400000000002</v>
      </c>
      <c r="AB6099">
        <v>26</v>
      </c>
      <c r="AC6099">
        <v>17.896299999999901</v>
      </c>
      <c r="AD6099">
        <v>-1.1102918558549999</v>
      </c>
      <c r="AE6099">
        <v>-0.37641999999999898</v>
      </c>
      <c r="AF6099">
        <v>0.25014171613349001</v>
      </c>
      <c r="AG6099">
        <v>-1.1102918558549999</v>
      </c>
      <c r="AH6099">
        <v>17.829900011592301</v>
      </c>
      <c r="AI6099">
        <v>93.562934490422194</v>
      </c>
      <c r="AJ6099">
        <v>89.196230801851996</v>
      </c>
      <c r="AK6099">
        <v>17.866187430638501</v>
      </c>
      <c r="AL6099">
        <v>70.024383847322099</v>
      </c>
      <c r="AM6099">
        <v>97.714664885952104</v>
      </c>
      <c r="AN6099">
        <v>1.00000000156899</v>
      </c>
    </row>
    <row r="6100" spans="1:40" x14ac:dyDescent="0.25">
      <c r="A6100" t="str">
        <f>"20190304164246029"</f>
        <v>20190304164246029</v>
      </c>
      <c r="B6100" t="str">
        <f>"1551688966017652"</f>
        <v>1551688966017652</v>
      </c>
      <c r="C6100" t="s">
        <v>40</v>
      </c>
      <c r="D6100">
        <v>4.3974440000000001</v>
      </c>
      <c r="E6100">
        <v>0.56151309999999999</v>
      </c>
      <c r="F6100" t="s">
        <v>42</v>
      </c>
      <c r="G6100">
        <v>-346.12580000000003</v>
      </c>
      <c r="H6100" s="1">
        <v>-2.082233E-6</v>
      </c>
      <c r="I6100">
        <v>17.14752</v>
      </c>
      <c r="J6100">
        <v>-364.46280000000002</v>
      </c>
      <c r="K6100">
        <v>1.110293</v>
      </c>
      <c r="L6100">
        <v>17.324249999999999</v>
      </c>
      <c r="M6100">
        <v>0.9999363</v>
      </c>
      <c r="N6100">
        <v>-9.0240540000000001E-3</v>
      </c>
      <c r="O6100">
        <v>-6.7752709999999898E-3</v>
      </c>
      <c r="P6100">
        <v>0.93525619999999998</v>
      </c>
      <c r="Q6100">
        <v>0.33314080000000001</v>
      </c>
      <c r="R6100">
        <v>0.1196373</v>
      </c>
      <c r="S6100">
        <v>3.2819210000000001</v>
      </c>
      <c r="T6100">
        <v>-0.19690079999999999</v>
      </c>
      <c r="U6100">
        <v>-3.1494139999999997E-2</v>
      </c>
      <c r="V6100">
        <v>-0.12616250000000001</v>
      </c>
      <c r="W6100">
        <v>0.34148889999999998</v>
      </c>
      <c r="X6100">
        <v>0.93137979999999998</v>
      </c>
      <c r="Y6100">
        <v>2.8233049999999999E-3</v>
      </c>
      <c r="Z6100">
        <v>2.476445E-4</v>
      </c>
      <c r="AA6100">
        <v>0.999996</v>
      </c>
      <c r="AB6100">
        <v>27</v>
      </c>
      <c r="AC6100">
        <v>18.3369999999999</v>
      </c>
      <c r="AD6100">
        <v>-1.110295082233</v>
      </c>
      <c r="AE6100">
        <v>-0.176729999999999</v>
      </c>
      <c r="AF6100">
        <v>5.2291043038041302E-2</v>
      </c>
      <c r="AG6100">
        <v>-1.110295082233</v>
      </c>
      <c r="AH6100">
        <v>18.2707977189243</v>
      </c>
      <c r="AI6100">
        <v>93.4775070848859</v>
      </c>
      <c r="AJ6100">
        <v>89.836019864142401</v>
      </c>
      <c r="AK6100">
        <v>18.304576990705399</v>
      </c>
      <c r="AL6100">
        <v>70.032387874812798</v>
      </c>
      <c r="AM6100">
        <v>97.714197141831505</v>
      </c>
      <c r="AN6100">
        <v>0.99999998853874905</v>
      </c>
    </row>
    <row r="6101" spans="1:40" x14ac:dyDescent="0.25">
      <c r="A6101" t="str">
        <f>"20190304164246045"</f>
        <v>20190304164246045</v>
      </c>
      <c r="B6101" t="str">
        <f>"1551688966037172"</f>
        <v>1551688966037172</v>
      </c>
      <c r="C6101" t="s">
        <v>40</v>
      </c>
      <c r="D6101">
        <v>4.0822010000000004</v>
      </c>
      <c r="E6101">
        <v>0.55868009999999901</v>
      </c>
      <c r="F6101" t="s">
        <v>42</v>
      </c>
      <c r="G6101">
        <v>-344.7944</v>
      </c>
      <c r="H6101" s="1">
        <v>-2.6338500000000002E-6</v>
      </c>
      <c r="I6101">
        <v>17.257819999999999</v>
      </c>
      <c r="J6101">
        <v>-364.26400000000001</v>
      </c>
      <c r="K6101">
        <v>1.1102959999999999</v>
      </c>
      <c r="L6101">
        <v>17.323179999999901</v>
      </c>
      <c r="M6101">
        <v>0.9999382</v>
      </c>
      <c r="N6101">
        <v>-9.0268069999999995E-3</v>
      </c>
      <c r="O6101">
        <v>-6.5097870000000004E-3</v>
      </c>
      <c r="P6101">
        <v>0.93516449999999995</v>
      </c>
      <c r="Q6101">
        <v>0.33329259999999999</v>
      </c>
      <c r="R6101">
        <v>0.1199305</v>
      </c>
      <c r="S6101">
        <v>3.2749329999999999</v>
      </c>
      <c r="T6101">
        <v>-0.18487190000000001</v>
      </c>
      <c r="U6101">
        <v>-1.1047360000000001E-2</v>
      </c>
      <c r="V6101">
        <v>-0.12620880000000001</v>
      </c>
      <c r="W6101">
        <v>0.34164220000000001</v>
      </c>
      <c r="X6101">
        <v>0.93131730000000001</v>
      </c>
      <c r="Y6101">
        <v>-3.1237119999999998E-3</v>
      </c>
      <c r="Z6101">
        <v>4.1066950000000002E-4</v>
      </c>
      <c r="AA6101">
        <v>0.99999510000000003</v>
      </c>
      <c r="AB6101">
        <v>27</v>
      </c>
      <c r="AC6101">
        <v>19.4696</v>
      </c>
      <c r="AD6101">
        <v>-1.11029863385</v>
      </c>
      <c r="AE6101">
        <v>-6.53599999999947E-2</v>
      </c>
      <c r="AF6101">
        <v>-6.1190485170058102E-2</v>
      </c>
      <c r="AG6101">
        <v>-1.11029863385</v>
      </c>
      <c r="AH6101">
        <v>19.406501510538099</v>
      </c>
      <c r="AI6101">
        <v>93.2744611804643</v>
      </c>
      <c r="AJ6101">
        <v>90.180658266820501</v>
      </c>
      <c r="AK6101">
        <v>19.4383334730713</v>
      </c>
      <c r="AL6101">
        <v>70.023042272315095</v>
      </c>
      <c r="AM6101">
        <v>97.717505685348797</v>
      </c>
      <c r="AN6101">
        <v>0.99999998364878395</v>
      </c>
    </row>
    <row r="6102" spans="1:40" x14ac:dyDescent="0.25">
      <c r="A6102" t="str">
        <f>"20190304164246058"</f>
        <v>20190304164246058</v>
      </c>
      <c r="B6102" t="str">
        <f>"1551688966046932"</f>
        <v>1551688966046932</v>
      </c>
      <c r="C6102" t="s">
        <v>40</v>
      </c>
      <c r="D6102">
        <v>4.0686049999999998</v>
      </c>
      <c r="E6102">
        <v>0.55784460000000002</v>
      </c>
      <c r="F6102" t="s">
        <v>42</v>
      </c>
      <c r="G6102">
        <v>-343.88420000000002</v>
      </c>
      <c r="H6102" s="1">
        <v>-2.9991429999999999E-6</v>
      </c>
      <c r="I6102">
        <v>17.399750000000001</v>
      </c>
      <c r="J6102">
        <v>-364.10930000000002</v>
      </c>
      <c r="K6102">
        <v>1.1102970000000001</v>
      </c>
      <c r="L6102">
        <v>17.322389999999999</v>
      </c>
      <c r="M6102">
        <v>0.99993940000000003</v>
      </c>
      <c r="N6102">
        <v>-9.0290209999999999E-3</v>
      </c>
      <c r="O6102">
        <v>-6.3030769999999998E-3</v>
      </c>
      <c r="P6102">
        <v>0.9352066</v>
      </c>
      <c r="Q6102">
        <v>0.33311239999999998</v>
      </c>
      <c r="R6102">
        <v>0.1201039</v>
      </c>
      <c r="S6102">
        <v>3.2698670000000001</v>
      </c>
      <c r="T6102">
        <v>-0.17814340000000001</v>
      </c>
      <c r="U6102">
        <v>1.229858E-2</v>
      </c>
      <c r="V6102">
        <v>-0.12619079999999999</v>
      </c>
      <c r="W6102">
        <v>0.3414643</v>
      </c>
      <c r="X6102">
        <v>0.93138500000000002</v>
      </c>
      <c r="Y6102">
        <v>-1.0040510000000001E-2</v>
      </c>
      <c r="Z6102">
        <v>6.049305E-4</v>
      </c>
      <c r="AA6102">
        <v>0.99994939999999999</v>
      </c>
      <c r="AB6102">
        <v>27</v>
      </c>
      <c r="AC6102">
        <v>20.225100000000001</v>
      </c>
      <c r="AD6102">
        <v>-1.11029999914299</v>
      </c>
      <c r="AE6102">
        <v>7.7360000000002302E-2</v>
      </c>
      <c r="AF6102">
        <v>-0.20422854527825801</v>
      </c>
      <c r="AG6102">
        <v>-1.11029999914299</v>
      </c>
      <c r="AH6102">
        <v>20.1634449901055</v>
      </c>
      <c r="AI6102">
        <v>93.1516474659567</v>
      </c>
      <c r="AJ6102">
        <v>90.580309246875601</v>
      </c>
      <c r="AK6102">
        <v>20.195023873613401</v>
      </c>
      <c r="AL6102">
        <v>70.033887777028994</v>
      </c>
      <c r="AM6102">
        <v>97.715864140678804</v>
      </c>
      <c r="AN6102">
        <v>1.0000000022020601</v>
      </c>
    </row>
    <row r="6103" spans="1:40" x14ac:dyDescent="0.25">
      <c r="A6103" t="str">
        <f>"20190304164246070"</f>
        <v>20190304164246070</v>
      </c>
      <c r="B6103" t="str">
        <f>"1551688966067428"</f>
        <v>1551688966067428</v>
      </c>
      <c r="C6103" t="s">
        <v>40</v>
      </c>
      <c r="D6103">
        <v>4.0655159999999997</v>
      </c>
      <c r="E6103">
        <v>0.55711769999999905</v>
      </c>
      <c r="F6103" t="s">
        <v>42</v>
      </c>
      <c r="G6103">
        <v>-343.54629999999997</v>
      </c>
      <c r="H6103" s="1">
        <v>-3.136263E-6</v>
      </c>
      <c r="I6103">
        <v>17.444029999999898</v>
      </c>
      <c r="J6103">
        <v>-363.97089999999997</v>
      </c>
      <c r="K6103">
        <v>1.1102970000000001</v>
      </c>
      <c r="L6103">
        <v>17.32169</v>
      </c>
      <c r="M6103">
        <v>0.99994059999999996</v>
      </c>
      <c r="N6103">
        <v>-9.0310410000000001E-3</v>
      </c>
      <c r="O6103">
        <v>-6.1185409999999999E-3</v>
      </c>
      <c r="P6103">
        <v>0.93519359999999996</v>
      </c>
      <c r="Q6103">
        <v>0.33307730000000002</v>
      </c>
      <c r="R6103">
        <v>0.1203012</v>
      </c>
      <c r="S6103">
        <v>3.2682799999999999</v>
      </c>
      <c r="T6103">
        <v>-0.1764704</v>
      </c>
      <c r="U6103">
        <v>1.934814E-2</v>
      </c>
      <c r="V6103">
        <v>-0.12621640000000001</v>
      </c>
      <c r="W6103">
        <v>0.34143059999999997</v>
      </c>
      <c r="X6103">
        <v>0.9313939</v>
      </c>
      <c r="Y6103">
        <v>-1.2011839999999999E-2</v>
      </c>
      <c r="Z6103">
        <v>6.5324000000000003E-4</v>
      </c>
      <c r="AA6103">
        <v>0.99992760000000003</v>
      </c>
      <c r="AB6103">
        <v>27</v>
      </c>
      <c r="AC6103">
        <v>20.424600000000002</v>
      </c>
      <c r="AD6103">
        <v>-1.1103001362629901</v>
      </c>
      <c r="AE6103">
        <v>0.12233999999999701</v>
      </c>
      <c r="AF6103">
        <v>-0.246582892887378</v>
      </c>
      <c r="AG6103">
        <v>-1.1103001362629901</v>
      </c>
      <c r="AH6103">
        <v>20.3632954581694</v>
      </c>
      <c r="AI6103">
        <v>93.120709658642099</v>
      </c>
      <c r="AJ6103">
        <v>90.693771231871906</v>
      </c>
      <c r="AK6103">
        <v>20.395033008856601</v>
      </c>
      <c r="AL6103">
        <v>70.035942387205793</v>
      </c>
      <c r="AM6103">
        <v>97.717337720588205</v>
      </c>
      <c r="AN6103">
        <v>1.0000000156012601</v>
      </c>
    </row>
    <row r="6104" spans="1:40" x14ac:dyDescent="0.25">
      <c r="A6104" t="str">
        <f>"20190304164246088"</f>
        <v>20190304164246088</v>
      </c>
      <c r="B6104" t="str">
        <f>"1551688966077188"</f>
        <v>1551688966077188</v>
      </c>
      <c r="C6104" t="s">
        <v>40</v>
      </c>
      <c r="D6104">
        <v>4.0711769999999996</v>
      </c>
      <c r="E6104">
        <v>0.55690109999999904</v>
      </c>
      <c r="F6104" t="s">
        <v>42</v>
      </c>
      <c r="G6104">
        <v>-344.15600000000001</v>
      </c>
      <c r="H6104" s="1">
        <v>-2.8678150000000001E-6</v>
      </c>
      <c r="I6104">
        <v>17.482679999999998</v>
      </c>
      <c r="J6104">
        <v>-363.75560000000002</v>
      </c>
      <c r="K6104">
        <v>1.1102909999999999</v>
      </c>
      <c r="L6104">
        <v>17.320679999999999</v>
      </c>
      <c r="M6104">
        <v>0.9999422</v>
      </c>
      <c r="N6104">
        <v>-9.0342410000000001E-3</v>
      </c>
      <c r="O6104">
        <v>-5.8316069999999999E-3</v>
      </c>
      <c r="P6104">
        <v>0.93503879999999995</v>
      </c>
      <c r="Q6104">
        <v>0.33327420000000002</v>
      </c>
      <c r="R6104">
        <v>0.120957</v>
      </c>
      <c r="S6104">
        <v>3.269714</v>
      </c>
      <c r="T6104">
        <v>-0.18321409999999999</v>
      </c>
      <c r="U6104">
        <v>2.658081E-2</v>
      </c>
      <c r="V6104">
        <v>-0.1266042</v>
      </c>
      <c r="W6104">
        <v>0.34162870000000001</v>
      </c>
      <c r="X6104">
        <v>0.9312686</v>
      </c>
      <c r="Y6104">
        <v>-1.392883E-2</v>
      </c>
      <c r="Z6104">
        <v>7.2676289999999905E-4</v>
      </c>
      <c r="AA6104">
        <v>0.99990270000000003</v>
      </c>
      <c r="AB6104">
        <v>27</v>
      </c>
      <c r="AC6104">
        <v>19.599599999999999</v>
      </c>
      <c r="AD6104">
        <v>-1.1102938678149901</v>
      </c>
      <c r="AE6104">
        <v>0.16199999999999901</v>
      </c>
      <c r="AF6104">
        <v>-0.27541530143729298</v>
      </c>
      <c r="AG6104">
        <v>-1.1102938678149901</v>
      </c>
      <c r="AH6104">
        <v>19.5356346780286</v>
      </c>
      <c r="AI6104">
        <v>93.252542866794201</v>
      </c>
      <c r="AJ6104">
        <v>90.807708032164399</v>
      </c>
      <c r="AK6104">
        <v>19.5690988125301</v>
      </c>
      <c r="AL6104">
        <v>70.023865598031506</v>
      </c>
      <c r="AM6104">
        <v>97.741791072807402</v>
      </c>
      <c r="AN6104">
        <v>0.99999999873364498</v>
      </c>
    </row>
    <row r="6105" spans="1:40" x14ac:dyDescent="0.25">
      <c r="A6105" t="str">
        <f>"20190304164246100"</f>
        <v>20190304164246100</v>
      </c>
      <c r="B6105" t="str">
        <f>"1551688966086949"</f>
        <v>1551688966086949</v>
      </c>
      <c r="C6105" t="s">
        <v>40</v>
      </c>
      <c r="D6105">
        <v>4.0455649999999999</v>
      </c>
      <c r="E6105">
        <v>0.5566913</v>
      </c>
      <c r="F6105" t="s">
        <v>42</v>
      </c>
      <c r="G6105">
        <v>-344.10399999999998</v>
      </c>
      <c r="H6105" s="1">
        <v>-2.8863919999999998E-6</v>
      </c>
      <c r="I6105">
        <v>17.503789999999999</v>
      </c>
      <c r="J6105">
        <v>-363.61360000000002</v>
      </c>
      <c r="K6105">
        <v>1.1102939999999999</v>
      </c>
      <c r="L6105">
        <v>17.320070000000001</v>
      </c>
      <c r="M6105">
        <v>0.99994329999999998</v>
      </c>
      <c r="N6105">
        <v>-9.0363879999999994E-3</v>
      </c>
      <c r="O6105">
        <v>-5.6423059999999997E-3</v>
      </c>
      <c r="P6105">
        <v>0.93496190000000001</v>
      </c>
      <c r="Q6105">
        <v>0.33342909999999998</v>
      </c>
      <c r="R6105">
        <v>0.1211262</v>
      </c>
      <c r="S6105">
        <v>3.2703250000000001</v>
      </c>
      <c r="T6105">
        <v>-0.18476919999999999</v>
      </c>
      <c r="U6105">
        <v>3.048706E-2</v>
      </c>
      <c r="V6105">
        <v>-0.1265974</v>
      </c>
      <c r="W6105">
        <v>0.34178509999999901</v>
      </c>
      <c r="X6105">
        <v>0.93121209999999999</v>
      </c>
      <c r="Y6105">
        <v>-1.49301E-2</v>
      </c>
      <c r="Z6105">
        <v>7.5651410000000005E-4</v>
      </c>
      <c r="AA6105">
        <v>0.9998882</v>
      </c>
      <c r="AB6105">
        <v>27</v>
      </c>
      <c r="AC6105">
        <v>19.509599999999899</v>
      </c>
      <c r="AD6105">
        <v>-1.110296886392</v>
      </c>
      <c r="AE6105">
        <v>0.183719999999997</v>
      </c>
      <c r="AF6105">
        <v>-0.292852297618799</v>
      </c>
      <c r="AG6105">
        <v>-1.110296886392</v>
      </c>
      <c r="AH6105">
        <v>19.445279368472001</v>
      </c>
      <c r="AI6105">
        <v>93.267586738210994</v>
      </c>
      <c r="AJ6105">
        <v>90.862828038922999</v>
      </c>
      <c r="AK6105">
        <v>19.479153250644099</v>
      </c>
      <c r="AL6105">
        <v>70.014329905716195</v>
      </c>
      <c r="AM6105">
        <v>97.741844299564804</v>
      </c>
      <c r="AN6105">
        <v>0.99999996572758898</v>
      </c>
    </row>
    <row r="6106" spans="1:40" x14ac:dyDescent="0.25">
      <c r="A6106" t="str">
        <f>"20190304164246111"</f>
        <v>20190304164246111</v>
      </c>
      <c r="B6106" t="str">
        <f>"1551688966107444"</f>
        <v>1551688966107444</v>
      </c>
      <c r="C6106" t="s">
        <v>40</v>
      </c>
      <c r="D6106">
        <v>4.0666010000000004</v>
      </c>
      <c r="E6106">
        <v>0.55647209999999903</v>
      </c>
      <c r="F6106" t="s">
        <v>42</v>
      </c>
      <c r="G6106">
        <v>-344.05759999999998</v>
      </c>
      <c r="H6106" s="1">
        <v>-2.9042920000000001E-6</v>
      </c>
      <c r="I6106">
        <v>17.515039999999999</v>
      </c>
      <c r="J6106">
        <v>-363.48750000000001</v>
      </c>
      <c r="K6106">
        <v>1.1102959999999999</v>
      </c>
      <c r="L6106">
        <v>17.319520000000001</v>
      </c>
      <c r="M6106">
        <v>0.99994430000000001</v>
      </c>
      <c r="N6106">
        <v>-9.0383330000000008E-3</v>
      </c>
      <c r="O6106">
        <v>-5.4745829999999999E-3</v>
      </c>
      <c r="P6106">
        <v>0.93478269999999997</v>
      </c>
      <c r="Q6106">
        <v>0.33379969999999998</v>
      </c>
      <c r="R6106">
        <v>0.1214882</v>
      </c>
      <c r="S6106">
        <v>3.2706909999999998</v>
      </c>
      <c r="T6106">
        <v>-0.18569430000000001</v>
      </c>
      <c r="U6106">
        <v>3.2623289999999999E-2</v>
      </c>
      <c r="V6106">
        <v>-0.12680259999999999</v>
      </c>
      <c r="W6106">
        <v>0.34215519999999999</v>
      </c>
      <c r="X6106">
        <v>0.93104830000000005</v>
      </c>
      <c r="Y6106">
        <v>-1.541331E-2</v>
      </c>
      <c r="Z6106">
        <v>7.6802479999999904E-4</v>
      </c>
      <c r="AA6106">
        <v>0.99988089999999996</v>
      </c>
      <c r="AB6106">
        <v>27</v>
      </c>
      <c r="AC6106">
        <v>19.4299</v>
      </c>
      <c r="AD6106">
        <v>-1.110298904292</v>
      </c>
      <c r="AE6106">
        <v>0.195519999999998</v>
      </c>
      <c r="AF6106">
        <v>-0.30090950530121502</v>
      </c>
      <c r="AG6106">
        <v>-1.110298904292</v>
      </c>
      <c r="AH6106">
        <v>19.365308960139998</v>
      </c>
      <c r="AI6106">
        <v>93.281033048276498</v>
      </c>
      <c r="AJ6106">
        <v>90.890223714919699</v>
      </c>
      <c r="AK6106">
        <v>19.399445902111001</v>
      </c>
      <c r="AL6106">
        <v>69.991765167433996</v>
      </c>
      <c r="AM6106">
        <v>97.755588010331905</v>
      </c>
      <c r="AN6106">
        <v>1.00000000859334</v>
      </c>
    </row>
    <row r="6107" spans="1:40" x14ac:dyDescent="0.25">
      <c r="A6107" t="str">
        <f>"20190304164246123"</f>
        <v>20190304164246123</v>
      </c>
      <c r="B6107" t="str">
        <f>"1551688966117205"</f>
        <v>1551688966117205</v>
      </c>
      <c r="C6107" t="s">
        <v>40</v>
      </c>
      <c r="D6107">
        <v>4.0399379999999896</v>
      </c>
      <c r="E6107">
        <v>0.55635509999999999</v>
      </c>
      <c r="F6107" t="s">
        <v>42</v>
      </c>
      <c r="G6107">
        <v>-344.15039999999999</v>
      </c>
      <c r="H6107" s="1">
        <v>-2.8616229999999998E-6</v>
      </c>
      <c r="I6107">
        <v>17.531189999999999</v>
      </c>
      <c r="J6107">
        <v>-363.34469999999999</v>
      </c>
      <c r="K6107">
        <v>1.110295</v>
      </c>
      <c r="L6107">
        <v>17.318909999999999</v>
      </c>
      <c r="M6107">
        <v>0.99994530000000004</v>
      </c>
      <c r="N6107">
        <v>-9.0405350000000006E-3</v>
      </c>
      <c r="O6107">
        <v>-5.2845690000000002E-3</v>
      </c>
      <c r="P6107">
        <v>0.93466839999999995</v>
      </c>
      <c r="Q6107">
        <v>0.33395340000000001</v>
      </c>
      <c r="R6107">
        <v>0.1219451</v>
      </c>
      <c r="S6107">
        <v>3.2717290000000001</v>
      </c>
      <c r="T6107">
        <v>-0.187856</v>
      </c>
      <c r="U6107">
        <v>3.5827640000000001E-2</v>
      </c>
      <c r="V6107">
        <v>-0.12708219999999901</v>
      </c>
      <c r="W6107">
        <v>0.3423098</v>
      </c>
      <c r="X6107">
        <v>0.93095329999999998</v>
      </c>
      <c r="Y6107">
        <v>-1.619727E-2</v>
      </c>
      <c r="Z6107">
        <v>7.9332999999999997E-4</v>
      </c>
      <c r="AA6107">
        <v>0.99986850000000005</v>
      </c>
      <c r="AB6107">
        <v>27</v>
      </c>
      <c r="AC6107">
        <v>19.194299999999998</v>
      </c>
      <c r="AD6107">
        <v>-1.1102978616229999</v>
      </c>
      <c r="AE6107">
        <v>0.212279999999999</v>
      </c>
      <c r="AF6107">
        <v>-0.31266868853472202</v>
      </c>
      <c r="AG6107">
        <v>-1.1102978616229999</v>
      </c>
      <c r="AH6107">
        <v>19.128911341703098</v>
      </c>
      <c r="AI6107">
        <v>93.321444534587599</v>
      </c>
      <c r="AJ6107">
        <v>90.936435992528402</v>
      </c>
      <c r="AK6107">
        <v>19.1636575884942</v>
      </c>
      <c r="AL6107">
        <v>69.982337088098404</v>
      </c>
      <c r="AM6107">
        <v>97.773263747777605</v>
      </c>
      <c r="AN6107">
        <v>0.99999996575688399</v>
      </c>
    </row>
    <row r="6108" spans="1:40" x14ac:dyDescent="0.25">
      <c r="A6108" t="str">
        <f>"20190304164246134"</f>
        <v>20190304164246134</v>
      </c>
      <c r="B6108" t="str">
        <f>"1551688966126965"</f>
        <v>1551688966126965</v>
      </c>
      <c r="C6108" t="s">
        <v>40</v>
      </c>
      <c r="D6108">
        <v>4.0749979999999999</v>
      </c>
      <c r="E6108">
        <v>0.55631850000000005</v>
      </c>
      <c r="F6108" t="s">
        <v>42</v>
      </c>
      <c r="G6108">
        <v>-344.10520000000002</v>
      </c>
      <c r="H6108" s="1">
        <v>-2.8787920000000001E-6</v>
      </c>
      <c r="I6108">
        <v>17.543659999999999</v>
      </c>
      <c r="J6108">
        <v>-363.1934</v>
      </c>
      <c r="K6108">
        <v>1.1102959999999999</v>
      </c>
      <c r="L6108">
        <v>17.31833</v>
      </c>
      <c r="M6108">
        <v>0.99994620000000001</v>
      </c>
      <c r="N6108">
        <v>-9.0427990000000007E-3</v>
      </c>
      <c r="O6108">
        <v>-5.0833500000000004E-3</v>
      </c>
      <c r="P6108">
        <v>0.93460540000000003</v>
      </c>
      <c r="Q6108">
        <v>0.3340243</v>
      </c>
      <c r="R6108">
        <v>0.1222319</v>
      </c>
      <c r="S6108">
        <v>3.272186</v>
      </c>
      <c r="T6108">
        <v>-0.18883559999999999</v>
      </c>
      <c r="U6108">
        <v>3.823853E-2</v>
      </c>
      <c r="V6108">
        <v>-0.12718119999999999</v>
      </c>
      <c r="W6108">
        <v>0.34238200000000002</v>
      </c>
      <c r="X6108">
        <v>0.93091330000000005</v>
      </c>
      <c r="Y6108">
        <v>-1.672997E-2</v>
      </c>
      <c r="Z6108">
        <v>8.0520899999999998E-4</v>
      </c>
      <c r="AA6108">
        <v>0.99985970000000002</v>
      </c>
      <c r="AB6108">
        <v>27</v>
      </c>
      <c r="AC6108">
        <v>19.088199999999901</v>
      </c>
      <c r="AD6108">
        <v>-1.1102988787919901</v>
      </c>
      <c r="AE6108">
        <v>0.225329999999999</v>
      </c>
      <c r="AF6108">
        <v>-0.32127621091889402</v>
      </c>
      <c r="AG6108">
        <v>-1.1102988787919901</v>
      </c>
      <c r="AH6108">
        <v>19.022456781505198</v>
      </c>
      <c r="AI6108">
        <v>93.339963166989193</v>
      </c>
      <c r="AJ6108">
        <v>90.967594311778697</v>
      </c>
      <c r="AK6108">
        <v>19.057540345180499</v>
      </c>
      <c r="AL6108">
        <v>69.977935668770002</v>
      </c>
      <c r="AM6108">
        <v>97.779575353244297</v>
      </c>
      <c r="AN6108">
        <v>1.00000003183716</v>
      </c>
    </row>
    <row r="6109" spans="1:40" x14ac:dyDescent="0.25">
      <c r="A6109" t="str">
        <f>"20190304164246146"</f>
        <v>20190304164246146</v>
      </c>
      <c r="B6109" t="str">
        <f>"1551688966137701"</f>
        <v>1551688966137701</v>
      </c>
      <c r="C6109" t="s">
        <v>40</v>
      </c>
      <c r="D6109">
        <v>4.0635289999999999</v>
      </c>
      <c r="E6109">
        <v>0.55635559999999995</v>
      </c>
      <c r="F6109" t="s">
        <v>42</v>
      </c>
      <c r="G6109">
        <v>-344.01979999999998</v>
      </c>
      <c r="H6109" s="1">
        <v>-2.914223E-6</v>
      </c>
      <c r="I6109">
        <v>17.550509999999999</v>
      </c>
      <c r="J6109">
        <v>-363.05829999999997</v>
      </c>
      <c r="K6109">
        <v>1.1102909999999999</v>
      </c>
      <c r="L6109">
        <v>17.317810000000001</v>
      </c>
      <c r="M6109">
        <v>0.99994709999999998</v>
      </c>
      <c r="N6109">
        <v>-9.0448690000000005E-3</v>
      </c>
      <c r="O6109">
        <v>-4.9038270000000004E-3</v>
      </c>
      <c r="P6109">
        <v>0.93449870000000002</v>
      </c>
      <c r="Q6109">
        <v>0.3341691</v>
      </c>
      <c r="R6109">
        <v>0.12265189999999999</v>
      </c>
      <c r="S6109">
        <v>3.2724609999999998</v>
      </c>
      <c r="T6109">
        <v>-0.18950030000000001</v>
      </c>
      <c r="U6109">
        <v>3.9642330000000003E-2</v>
      </c>
      <c r="V6109">
        <v>-0.1274332</v>
      </c>
      <c r="W6109">
        <v>0.3425281</v>
      </c>
      <c r="X6109">
        <v>0.93082509999999996</v>
      </c>
      <c r="Y6109">
        <v>-1.6977820000000001E-2</v>
      </c>
      <c r="Z6109">
        <v>8.0740239999999995E-4</v>
      </c>
      <c r="AA6109">
        <v>0.99985550000000001</v>
      </c>
      <c r="AB6109">
        <v>27</v>
      </c>
      <c r="AC6109">
        <v>19.038499999999999</v>
      </c>
      <c r="AD6109">
        <v>-1.1102939142229999</v>
      </c>
      <c r="AE6109">
        <v>0.23269999999999699</v>
      </c>
      <c r="AF6109">
        <v>-0.32495750340195501</v>
      </c>
      <c r="AG6109">
        <v>-1.1102939142229999</v>
      </c>
      <c r="AH6109">
        <v>18.972613110406499</v>
      </c>
      <c r="AI6109">
        <v>93.348689285233604</v>
      </c>
      <c r="AJ6109">
        <v>90.981249816604603</v>
      </c>
      <c r="AK6109">
        <v>19.007850961961601</v>
      </c>
      <c r="AL6109">
        <v>69.9690262660299</v>
      </c>
      <c r="AM6109">
        <v>97.795530198399405</v>
      </c>
      <c r="AN6109">
        <v>1.00000004327092</v>
      </c>
    </row>
    <row r="6110" spans="1:40" x14ac:dyDescent="0.25">
      <c r="A6110" t="str">
        <f>"20190304164246158"</f>
        <v>20190304164246158</v>
      </c>
      <c r="B6110" t="str">
        <f>"1551688966147461"</f>
        <v>1551688966147461</v>
      </c>
      <c r="C6110" t="s">
        <v>40</v>
      </c>
      <c r="D6110">
        <v>4.0520610000000001</v>
      </c>
      <c r="E6110">
        <v>0.55631350000000002</v>
      </c>
      <c r="F6110" t="s">
        <v>42</v>
      </c>
      <c r="G6110">
        <v>-343.83550000000002</v>
      </c>
      <c r="H6110" s="1">
        <v>-2.9921300000000001E-6</v>
      </c>
      <c r="I6110">
        <v>17.557040000000001</v>
      </c>
      <c r="J6110">
        <v>-362.91730000000001</v>
      </c>
      <c r="K6110">
        <v>1.1102920000000001</v>
      </c>
      <c r="L6110">
        <v>17.317319999999999</v>
      </c>
      <c r="M6110">
        <v>0.99994799999999995</v>
      </c>
      <c r="N6110">
        <v>-9.0470949999999998E-3</v>
      </c>
      <c r="O6110">
        <v>-4.7165569999999997E-3</v>
      </c>
      <c r="P6110">
        <v>0.9344034</v>
      </c>
      <c r="Q6110">
        <v>0.33430959999999899</v>
      </c>
      <c r="R6110">
        <v>0.122993699999999</v>
      </c>
      <c r="S6110">
        <v>3.2725219999999999</v>
      </c>
      <c r="T6110">
        <v>-0.18901860000000001</v>
      </c>
      <c r="U6110">
        <v>4.0740970000000001E-2</v>
      </c>
      <c r="V6110">
        <v>-0.1276002</v>
      </c>
      <c r="W6110">
        <v>0.34266950000000002</v>
      </c>
      <c r="X6110">
        <v>0.93075010000000002</v>
      </c>
      <c r="Y6110">
        <v>-1.7126079999999998E-2</v>
      </c>
      <c r="Z6110">
        <v>8.0126299999999998E-4</v>
      </c>
      <c r="AA6110">
        <v>0.99985299999999999</v>
      </c>
      <c r="AB6110">
        <v>27</v>
      </c>
      <c r="AC6110">
        <v>19.081799999999902</v>
      </c>
      <c r="AD6110">
        <v>-1.11029499213</v>
      </c>
      <c r="AE6110">
        <v>0.23971999999999799</v>
      </c>
      <c r="AF6110">
        <v>-0.328609040337355</v>
      </c>
      <c r="AG6110">
        <v>-1.11029499213</v>
      </c>
      <c r="AH6110">
        <v>19.016085973528199</v>
      </c>
      <c r="AI6110">
        <v>93.341045647382003</v>
      </c>
      <c r="AJ6110">
        <v>90.990005901428205</v>
      </c>
      <c r="AK6110">
        <v>19.051306113323399</v>
      </c>
      <c r="AL6110">
        <v>69.960401295032298</v>
      </c>
      <c r="AM6110">
        <v>97.806241536521298</v>
      </c>
      <c r="AN6110">
        <v>0.99999997296014898</v>
      </c>
    </row>
    <row r="6111" spans="1:40" x14ac:dyDescent="0.25">
      <c r="A6111" t="str">
        <f>"20190304164246169"</f>
        <v>20190304164246169</v>
      </c>
      <c r="B6111" t="str">
        <f>"1551688966166981"</f>
        <v>1551688966166981</v>
      </c>
      <c r="C6111" t="s">
        <v>40</v>
      </c>
      <c r="D6111">
        <v>4.0397629999999998</v>
      </c>
      <c r="E6111">
        <v>0.55626059999999999</v>
      </c>
      <c r="F6111" t="s">
        <v>42</v>
      </c>
      <c r="G6111">
        <v>-343.80090000000001</v>
      </c>
      <c r="H6111" s="1">
        <v>-3.0055950000000001E-6</v>
      </c>
      <c r="I6111">
        <v>17.564810000000001</v>
      </c>
      <c r="J6111">
        <v>-362.77820000000003</v>
      </c>
      <c r="K6111">
        <v>1.1102939999999999</v>
      </c>
      <c r="L6111">
        <v>17.316859999999998</v>
      </c>
      <c r="M6111">
        <v>0.99994879999999997</v>
      </c>
      <c r="N6111">
        <v>-9.0493210000000008E-3</v>
      </c>
      <c r="O6111">
        <v>-4.5311910000000004E-3</v>
      </c>
      <c r="P6111">
        <v>0.93442000000000003</v>
      </c>
      <c r="Q6111">
        <v>0.3340611</v>
      </c>
      <c r="R6111">
        <v>0.1235422</v>
      </c>
      <c r="S6111">
        <v>3.2730410000000001</v>
      </c>
      <c r="T6111">
        <v>-0.19010060000000001</v>
      </c>
      <c r="U6111">
        <v>4.2388919999999997E-2</v>
      </c>
      <c r="V6111">
        <v>-0.12797629999999999</v>
      </c>
      <c r="W6111">
        <v>0.34242319999999998</v>
      </c>
      <c r="X6111">
        <v>0.93078919999999998</v>
      </c>
      <c r="Y6111">
        <v>-1.7441290000000002E-2</v>
      </c>
      <c r="Z6111">
        <v>8.070207E-4</v>
      </c>
      <c r="AA6111">
        <v>0.99984759999999995</v>
      </c>
      <c r="AB6111">
        <v>27</v>
      </c>
      <c r="AC6111">
        <v>18.9773</v>
      </c>
      <c r="AD6111">
        <v>-1.1102970055949899</v>
      </c>
      <c r="AE6111">
        <v>0.247949999999999</v>
      </c>
      <c r="AF6111">
        <v>-0.33280175258861799</v>
      </c>
      <c r="AG6111">
        <v>-1.1102970055949899</v>
      </c>
      <c r="AH6111">
        <v>18.9112590330401</v>
      </c>
      <c r="AI6111">
        <v>93.359510610472796</v>
      </c>
      <c r="AJ6111">
        <v>91.008191350578898</v>
      </c>
      <c r="AK6111">
        <v>18.946747337258099</v>
      </c>
      <c r="AL6111">
        <v>69.9754237604987</v>
      </c>
      <c r="AM6111">
        <v>97.828640623116101</v>
      </c>
      <c r="AN6111">
        <v>1.00000005804828</v>
      </c>
    </row>
    <row r="6112" spans="1:40" x14ac:dyDescent="0.25">
      <c r="A6112" t="str">
        <f>"20190304164246182"</f>
        <v>20190304164246182</v>
      </c>
      <c r="B6112" t="str">
        <f>"1551688966177718"</f>
        <v>1551688966177718</v>
      </c>
      <c r="C6112" t="s">
        <v>40</v>
      </c>
      <c r="D6112">
        <v>4.0636530000000004</v>
      </c>
      <c r="E6112">
        <v>0.55625159999999996</v>
      </c>
      <c r="F6112" t="s">
        <v>42</v>
      </c>
      <c r="G6112">
        <v>-343.86020000000002</v>
      </c>
      <c r="H6112" s="1">
        <v>-2.9784090000000002E-6</v>
      </c>
      <c r="I6112">
        <v>17.574639999999999</v>
      </c>
      <c r="J6112">
        <v>-362.62979999999999</v>
      </c>
      <c r="K6112">
        <v>1.1102989999999999</v>
      </c>
      <c r="L6112">
        <v>17.316410000000001</v>
      </c>
      <c r="M6112">
        <v>0.9999498</v>
      </c>
      <c r="N6112">
        <v>-9.0517180000000003E-3</v>
      </c>
      <c r="O6112">
        <v>-4.3328309999999997E-3</v>
      </c>
      <c r="P6112">
        <v>0.93429209999999996</v>
      </c>
      <c r="Q6112">
        <v>0.33428730000000001</v>
      </c>
      <c r="R6112">
        <v>0.1238969</v>
      </c>
      <c r="S6112">
        <v>3.2733460000000001</v>
      </c>
      <c r="T6112">
        <v>-0.19211210000000001</v>
      </c>
      <c r="U6112">
        <v>4.4616700000000002E-2</v>
      </c>
      <c r="V6112">
        <v>-0.12814610000000001</v>
      </c>
      <c r="W6112">
        <v>0.34265030000000002</v>
      </c>
      <c r="X6112">
        <v>0.93068220000000002</v>
      </c>
      <c r="Y6112">
        <v>-1.792059E-2</v>
      </c>
      <c r="Z6112">
        <v>8.2146770000000001E-4</v>
      </c>
      <c r="AA6112">
        <v>0.99983909999999998</v>
      </c>
      <c r="AB6112">
        <v>27</v>
      </c>
      <c r="AC6112">
        <v>18.769599999999901</v>
      </c>
      <c r="AD6112">
        <v>-1.110301978409</v>
      </c>
      <c r="AE6112">
        <v>0.25822999999999702</v>
      </c>
      <c r="AF6112">
        <v>-0.33837258125323699</v>
      </c>
      <c r="AG6112">
        <v>-1.110301978409</v>
      </c>
      <c r="AH6112">
        <v>18.7028716675736</v>
      </c>
      <c r="AI6112">
        <v>93.396840420305494</v>
      </c>
      <c r="AJ6112">
        <v>91.036482860859806</v>
      </c>
      <c r="AK6112">
        <v>18.738854690208001</v>
      </c>
      <c r="AL6112">
        <v>69.961572918292205</v>
      </c>
      <c r="AM6112">
        <v>97.839788704336002</v>
      </c>
      <c r="AN6112">
        <v>1.0000000042160699</v>
      </c>
    </row>
    <row r="6113" spans="1:40" x14ac:dyDescent="0.25">
      <c r="A6113" t="str">
        <f>"20190304164246194"</f>
        <v>20190304164246194</v>
      </c>
      <c r="B6113" t="str">
        <f>"1551688966187477"</f>
        <v>1551688966187477</v>
      </c>
      <c r="C6113" t="s">
        <v>40</v>
      </c>
      <c r="D6113">
        <v>4.0603980000000002</v>
      </c>
      <c r="E6113">
        <v>0.55626140000000002</v>
      </c>
      <c r="F6113" t="s">
        <v>42</v>
      </c>
      <c r="G6113">
        <v>-343.67529999999999</v>
      </c>
      <c r="H6113" s="1">
        <v>-3.0560949999999999E-6</v>
      </c>
      <c r="I6113">
        <v>17.583860000000001</v>
      </c>
      <c r="J6113">
        <v>-362.48059999999998</v>
      </c>
      <c r="K6113">
        <v>1.1103000000000001</v>
      </c>
      <c r="L6113">
        <v>17.315950000000001</v>
      </c>
      <c r="M6113">
        <v>0.99995060000000002</v>
      </c>
      <c r="N6113">
        <v>-9.0541600000000003E-3</v>
      </c>
      <c r="O6113">
        <v>-4.1314799999999999E-3</v>
      </c>
      <c r="P6113">
        <v>0.934199</v>
      </c>
      <c r="Q6113">
        <v>0.33445239999999998</v>
      </c>
      <c r="R6113">
        <v>0.1241531</v>
      </c>
      <c r="S6113">
        <v>3.2734679999999998</v>
      </c>
      <c r="T6113">
        <v>-0.1917509</v>
      </c>
      <c r="U6113">
        <v>4.6203609999999999E-2</v>
      </c>
      <c r="V6113">
        <v>-0.12821589999999999</v>
      </c>
      <c r="W6113">
        <v>0.34281650000000002</v>
      </c>
      <c r="X6113">
        <v>0.93061139999999998</v>
      </c>
      <c r="Y6113">
        <v>-1.8203199999999999E-2</v>
      </c>
      <c r="Z6113">
        <v>8.1957280000000002E-4</v>
      </c>
      <c r="AA6113">
        <v>0.999834</v>
      </c>
      <c r="AB6113">
        <v>27</v>
      </c>
      <c r="AC6113">
        <v>18.8052999999999</v>
      </c>
      <c r="AD6113">
        <v>-1.110303056095</v>
      </c>
      <c r="AE6113">
        <v>0.26790999999999998</v>
      </c>
      <c r="AF6113">
        <v>-0.344404272961158</v>
      </c>
      <c r="AG6113">
        <v>-1.110303056095</v>
      </c>
      <c r="AH6113">
        <v>18.7387233754826</v>
      </c>
      <c r="AI6113">
        <v>93.390342187630594</v>
      </c>
      <c r="AJ6113">
        <v>91.052936714482499</v>
      </c>
      <c r="AK6113">
        <v>18.774747426329501</v>
      </c>
      <c r="AL6113">
        <v>69.951436827885303</v>
      </c>
      <c r="AM6113">
        <v>97.844595156261803</v>
      </c>
      <c r="AN6113">
        <v>1.0000000237475</v>
      </c>
    </row>
    <row r="6114" spans="1:40" x14ac:dyDescent="0.25">
      <c r="A6114" t="str">
        <f>"20190304164246212"</f>
        <v>20190304164246212</v>
      </c>
      <c r="B6114" t="str">
        <f>"1551688966206996"</f>
        <v>1551688966206996</v>
      </c>
      <c r="C6114" t="s">
        <v>40</v>
      </c>
      <c r="D6114">
        <v>4.818994</v>
      </c>
      <c r="E6114">
        <v>0.55623590000000001</v>
      </c>
      <c r="F6114" t="s">
        <v>42</v>
      </c>
      <c r="G6114">
        <v>-343.60419999999999</v>
      </c>
      <c r="H6114" s="1">
        <v>-3.085964E-6</v>
      </c>
      <c r="I6114">
        <v>17.58736</v>
      </c>
      <c r="J6114">
        <v>-362.26710000000003</v>
      </c>
      <c r="K6114">
        <v>1.1103050000000001</v>
      </c>
      <c r="L6114">
        <v>17.315370000000001</v>
      </c>
      <c r="M6114">
        <v>0.9999517</v>
      </c>
      <c r="N6114">
        <v>-9.0576749999999994E-3</v>
      </c>
      <c r="O6114">
        <v>-3.8407139999999998E-3</v>
      </c>
      <c r="P6114">
        <v>0.93410720000000003</v>
      </c>
      <c r="Q6114">
        <v>0.33452229999999999</v>
      </c>
      <c r="R6114">
        <v>0.12465519999999999</v>
      </c>
      <c r="S6114">
        <v>3.273987</v>
      </c>
      <c r="T6114">
        <v>-0.19257460000000001</v>
      </c>
      <c r="U6114">
        <v>4.7088619999999998E-2</v>
      </c>
      <c r="V6114">
        <v>-0.12844939999999999</v>
      </c>
      <c r="W6114">
        <v>0.34288730000000001</v>
      </c>
      <c r="X6114">
        <v>0.93055310000000002</v>
      </c>
      <c r="Y6114">
        <v>-1.8180519999999999E-2</v>
      </c>
      <c r="Z6114">
        <v>8.0756350000000003E-4</v>
      </c>
      <c r="AA6114">
        <v>0.99983440000000001</v>
      </c>
      <c r="AB6114">
        <v>27</v>
      </c>
      <c r="AC6114">
        <v>18.6629</v>
      </c>
      <c r="AD6114">
        <v>-1.11030808596399</v>
      </c>
      <c r="AE6114">
        <v>0.27198999999999801</v>
      </c>
      <c r="AF6114">
        <v>-0.34245795280200703</v>
      </c>
      <c r="AG6114">
        <v>-1.11030808596399</v>
      </c>
      <c r="AH6114">
        <v>18.595913397688001</v>
      </c>
      <c r="AI6114">
        <v>93.416330525353501</v>
      </c>
      <c r="AJ6114">
        <v>91.055026298100898</v>
      </c>
      <c r="AK6114">
        <v>18.632177988348801</v>
      </c>
      <c r="AL6114">
        <v>69.947118274582394</v>
      </c>
      <c r="AM6114">
        <v>97.859189175128904</v>
      </c>
      <c r="AN6114">
        <v>1.0000000103906299</v>
      </c>
    </row>
    <row r="6115" spans="1:40" x14ac:dyDescent="0.25">
      <c r="A6115" t="str">
        <f>"20190304164246226"</f>
        <v>20190304164246226</v>
      </c>
      <c r="B6115" t="str">
        <f>"1551688966217732"</f>
        <v>1551688966217732</v>
      </c>
      <c r="C6115" t="s">
        <v>40</v>
      </c>
      <c r="D6115">
        <v>4.0556460000000003</v>
      </c>
      <c r="E6115">
        <v>0.55621019999999999</v>
      </c>
      <c r="F6115" t="s">
        <v>42</v>
      </c>
      <c r="G6115">
        <v>-343.39510000000001</v>
      </c>
      <c r="H6115" s="1">
        <v>-3.1737530000000002E-6</v>
      </c>
      <c r="I6115">
        <v>17.598320000000001</v>
      </c>
      <c r="J6115">
        <v>-362.10230000000001</v>
      </c>
      <c r="K6115">
        <v>1.1103080000000001</v>
      </c>
      <c r="L6115">
        <v>17.31494</v>
      </c>
      <c r="M6115">
        <v>0.99995250000000002</v>
      </c>
      <c r="N6115">
        <v>-9.0604110000000009E-3</v>
      </c>
      <c r="O6115">
        <v>-3.613719E-3</v>
      </c>
      <c r="P6115">
        <v>0.93401579999999995</v>
      </c>
      <c r="Q6115">
        <v>0.33468229999999999</v>
      </c>
      <c r="R6115">
        <v>0.1249104</v>
      </c>
      <c r="S6115">
        <v>3.2740480000000001</v>
      </c>
      <c r="T6115">
        <v>-0.19262389999999999</v>
      </c>
      <c r="U6115">
        <v>4.9102779999999999E-2</v>
      </c>
      <c r="V6115">
        <v>-0.128495</v>
      </c>
      <c r="W6115">
        <v>0.34304849999999998</v>
      </c>
      <c r="X6115">
        <v>0.93048730000000002</v>
      </c>
      <c r="Y6115">
        <v>-1.8567730000000001E-2</v>
      </c>
      <c r="Z6115">
        <v>8.0960329999999999E-4</v>
      </c>
      <c r="AA6115">
        <v>0.99982729999999997</v>
      </c>
      <c r="AB6115">
        <v>27</v>
      </c>
      <c r="AC6115">
        <v>18.7072</v>
      </c>
      <c r="AD6115">
        <v>-1.110311173753</v>
      </c>
      <c r="AE6115">
        <v>0.28338000000000102</v>
      </c>
      <c r="AF6115">
        <v>-0.34975170654551702</v>
      </c>
      <c r="AG6115">
        <v>-1.110311173753</v>
      </c>
      <c r="AH6115">
        <v>18.640404830948398</v>
      </c>
      <c r="AI6115">
        <v>93.408183087293096</v>
      </c>
      <c r="AJ6115">
        <v>91.074920083775893</v>
      </c>
      <c r="AK6115">
        <v>18.676718379320199</v>
      </c>
      <c r="AL6115">
        <v>69.937284082271603</v>
      </c>
      <c r="AM6115">
        <v>97.862493341174101</v>
      </c>
      <c r="AN6115">
        <v>0.99999992691926698</v>
      </c>
    </row>
    <row r="6116" spans="1:40" x14ac:dyDescent="0.25">
      <c r="A6116" t="str">
        <f>"20190304164246246"</f>
        <v>20190304164246246</v>
      </c>
      <c r="B6116" t="str">
        <f>"1551688966237252"</f>
        <v>1551688966237252</v>
      </c>
      <c r="C6116" t="s">
        <v>40</v>
      </c>
      <c r="D6116">
        <v>4.0599049999999997</v>
      </c>
      <c r="E6116">
        <v>0.55617050000000001</v>
      </c>
      <c r="F6116" t="s">
        <v>42</v>
      </c>
      <c r="G6116">
        <v>-343.13569999999999</v>
      </c>
      <c r="H6116" s="1">
        <v>-3.2840109999999999E-6</v>
      </c>
      <c r="I6116">
        <v>17.604099999999999</v>
      </c>
      <c r="J6116">
        <v>-361.85649999999998</v>
      </c>
      <c r="K6116">
        <v>1.11032</v>
      </c>
      <c r="L6116">
        <v>17.314450000000001</v>
      </c>
      <c r="M6116">
        <v>0.99995350000000005</v>
      </c>
      <c r="N6116">
        <v>-9.064529E-3</v>
      </c>
      <c r="O6116">
        <v>-3.267369E-3</v>
      </c>
      <c r="P6116">
        <v>0.93381190000000003</v>
      </c>
      <c r="Q6116">
        <v>0.33516899999999999</v>
      </c>
      <c r="R6116">
        <v>0.12512760000000001</v>
      </c>
      <c r="S6116">
        <v>3.2739259999999999</v>
      </c>
      <c r="T6116">
        <v>-0.1916562</v>
      </c>
      <c r="U6116">
        <v>4.9926760000000001E-2</v>
      </c>
      <c r="V6116">
        <v>-0.12839439999999999</v>
      </c>
      <c r="W6116">
        <v>0.34353529999999999</v>
      </c>
      <c r="X6116">
        <v>0.93032159999999997</v>
      </c>
      <c r="Y6116">
        <v>-1.8474560000000001E-2</v>
      </c>
      <c r="Z6116">
        <v>7.8558339999999999E-4</v>
      </c>
      <c r="AA6116">
        <v>0.99982899999999997</v>
      </c>
      <c r="AB6116">
        <v>27</v>
      </c>
      <c r="AC6116">
        <v>18.720800000000001</v>
      </c>
      <c r="AD6116">
        <v>-1.110323284011</v>
      </c>
      <c r="AE6116">
        <v>0.28964999999999802</v>
      </c>
      <c r="AF6116">
        <v>-0.349589301909428</v>
      </c>
      <c r="AG6116">
        <v>-1.110323284011</v>
      </c>
      <c r="AH6116">
        <v>18.654150944103101</v>
      </c>
      <c r="AI6116">
        <v>93.405716028318807</v>
      </c>
      <c r="AJ6116">
        <v>91.073629521588202</v>
      </c>
      <c r="AK6116">
        <v>18.690435466312898</v>
      </c>
      <c r="AL6116">
        <v>69.907588337973493</v>
      </c>
      <c r="AM6116">
        <v>97.857796447179496</v>
      </c>
      <c r="AN6116">
        <v>0.99999995186200297</v>
      </c>
    </row>
    <row r="6117" spans="1:40" x14ac:dyDescent="0.25">
      <c r="A6117" t="str">
        <f>"20190304164246257"</f>
        <v>20190304164246257</v>
      </c>
      <c r="B6117" t="str">
        <f>"1551688966247013"</f>
        <v>1551688966247013</v>
      </c>
      <c r="C6117" t="s">
        <v>40</v>
      </c>
      <c r="D6117">
        <v>4.0760180000000004</v>
      </c>
      <c r="E6117">
        <v>0.55620639999999999</v>
      </c>
      <c r="F6117" t="s">
        <v>42</v>
      </c>
      <c r="G6117">
        <v>-342.56560000000002</v>
      </c>
      <c r="H6117" s="1">
        <v>-3.5268080000000001E-6</v>
      </c>
      <c r="I6117">
        <v>17.613990000000001</v>
      </c>
      <c r="J6117">
        <v>-361.7131</v>
      </c>
      <c r="K6117">
        <v>1.1103240000000001</v>
      </c>
      <c r="L6117">
        <v>17.314150000000001</v>
      </c>
      <c r="M6117">
        <v>0.99995429999999996</v>
      </c>
      <c r="N6117">
        <v>-9.0669429999999992E-3</v>
      </c>
      <c r="O6117">
        <v>-3.060742E-3</v>
      </c>
      <c r="P6117">
        <v>0.93367999999999995</v>
      </c>
      <c r="Q6117">
        <v>0.33544689999999999</v>
      </c>
      <c r="R6117">
        <v>0.12536839999999999</v>
      </c>
      <c r="S6117">
        <v>3.2734679999999998</v>
      </c>
      <c r="T6117">
        <v>-0.1884103</v>
      </c>
      <c r="U6117">
        <v>5.0842289999999998E-2</v>
      </c>
      <c r="V6117">
        <v>-0.12844620000000001</v>
      </c>
      <c r="W6117">
        <v>0.34381299999999998</v>
      </c>
      <c r="X6117">
        <v>0.93021189999999998</v>
      </c>
      <c r="Y6117">
        <v>-1.8551040000000001E-2</v>
      </c>
      <c r="Z6117">
        <v>7.6586359999999997E-4</v>
      </c>
      <c r="AA6117">
        <v>0.99982760000000004</v>
      </c>
      <c r="AB6117">
        <v>27</v>
      </c>
      <c r="AC6117">
        <v>19.147499999999901</v>
      </c>
      <c r="AD6117">
        <v>-1.110327526808</v>
      </c>
      <c r="AE6117">
        <v>0.299839999999999</v>
      </c>
      <c r="AF6117">
        <v>-0.35724556937738899</v>
      </c>
      <c r="AG6117">
        <v>-1.110327526808</v>
      </c>
      <c r="AH6117">
        <v>19.082341562118899</v>
      </c>
      <c r="AI6117">
        <v>93.329482600677807</v>
      </c>
      <c r="AJ6117">
        <v>91.072524170380902</v>
      </c>
      <c r="AK6117">
        <v>19.117955202034501</v>
      </c>
      <c r="AL6117">
        <v>69.890646123534495</v>
      </c>
      <c r="AM6117">
        <v>97.861842453854706</v>
      </c>
      <c r="AN6117">
        <v>0.99999999208252399</v>
      </c>
    </row>
    <row r="6118" spans="1:40" x14ac:dyDescent="0.25">
      <c r="A6118" t="str">
        <f>"20190304164246270"</f>
        <v>20190304164246270</v>
      </c>
      <c r="B6118" t="str">
        <f>"1551688966256773"</f>
        <v>1551688966256773</v>
      </c>
      <c r="C6118" t="s">
        <v>40</v>
      </c>
      <c r="D6118">
        <v>4.0520250000000004</v>
      </c>
      <c r="E6118">
        <v>0.55623829999999996</v>
      </c>
      <c r="F6118" t="s">
        <v>42</v>
      </c>
      <c r="G6118">
        <v>-342.42669999999998</v>
      </c>
      <c r="H6118" s="1">
        <v>-3.5855799999999999E-6</v>
      </c>
      <c r="I6118">
        <v>17.61861</v>
      </c>
      <c r="J6118">
        <v>-361.57080000000002</v>
      </c>
      <c r="K6118">
        <v>1.11032999999999</v>
      </c>
      <c r="L6118">
        <v>17.313929999999999</v>
      </c>
      <c r="M6118">
        <v>0.99995489999999998</v>
      </c>
      <c r="N6118">
        <v>-9.0693590000000008E-3</v>
      </c>
      <c r="O6118">
        <v>-2.8517270000000001E-3</v>
      </c>
      <c r="P6118">
        <v>0.93360330000000002</v>
      </c>
      <c r="Q6118">
        <v>0.33565240000000002</v>
      </c>
      <c r="R6118">
        <v>0.12538940000000001</v>
      </c>
      <c r="S6118">
        <v>3.2738649999999998</v>
      </c>
      <c r="T6118">
        <v>-0.18847800000000001</v>
      </c>
      <c r="U6118">
        <v>5.1696779999999998E-2</v>
      </c>
      <c r="V6118">
        <v>-0.12827659999999999</v>
      </c>
      <c r="W6118">
        <v>0.3440185</v>
      </c>
      <c r="X6118">
        <v>0.93015930000000002</v>
      </c>
      <c r="Y6118">
        <v>-1.8601199999999998E-2</v>
      </c>
      <c r="Z6118">
        <v>7.5758809999999896E-4</v>
      </c>
      <c r="AA6118">
        <v>0.99982669999999996</v>
      </c>
      <c r="AB6118">
        <v>27</v>
      </c>
      <c r="AC6118">
        <v>19.144100000000002</v>
      </c>
      <c r="AD6118">
        <v>-1.1103335855799901</v>
      </c>
      <c r="AE6118">
        <v>0.30468000000000101</v>
      </c>
      <c r="AF6118">
        <v>-0.35807055634213297</v>
      </c>
      <c r="AG6118">
        <v>-1.1103335855799901</v>
      </c>
      <c r="AH6118">
        <v>19.078990577134501</v>
      </c>
      <c r="AI6118">
        <v>93.330081300149004</v>
      </c>
      <c r="AJ6118">
        <v>91.075189135204099</v>
      </c>
      <c r="AK6118">
        <v>19.114626248947999</v>
      </c>
      <c r="AL6118">
        <v>69.878106471623198</v>
      </c>
      <c r="AM6118">
        <v>97.852029720320999</v>
      </c>
      <c r="AN6118">
        <v>0.99999996891314902</v>
      </c>
    </row>
    <row r="6119" spans="1:40" x14ac:dyDescent="0.25">
      <c r="A6119" t="str">
        <f>"20190304164246283"</f>
        <v>20190304164246283</v>
      </c>
      <c r="B6119" t="str">
        <f>"1551688966277269"</f>
        <v>1551688966277269</v>
      </c>
      <c r="C6119" t="s">
        <v>40</v>
      </c>
      <c r="D6119">
        <v>4.0471680000000001</v>
      </c>
      <c r="E6119">
        <v>0.55634640000000002</v>
      </c>
      <c r="F6119" t="s">
        <v>42</v>
      </c>
      <c r="G6119">
        <v>-342.30110000000002</v>
      </c>
      <c r="H6119" s="1">
        <v>-3.6396100000000001E-6</v>
      </c>
      <c r="I6119">
        <v>17.617920000000002</v>
      </c>
      <c r="J6119">
        <v>-361.41730000000001</v>
      </c>
      <c r="K6119">
        <v>1.110333</v>
      </c>
      <c r="L6119">
        <v>17.313749999999999</v>
      </c>
      <c r="M6119">
        <v>0.9999555</v>
      </c>
      <c r="N6119">
        <v>-9.0719819999999993E-3</v>
      </c>
      <c r="O6119">
        <v>-2.6233929999999999E-3</v>
      </c>
      <c r="P6119">
        <v>0.93345769999999995</v>
      </c>
      <c r="Q6119">
        <v>0.33595259999999999</v>
      </c>
      <c r="R6119">
        <v>0.12566849999999999</v>
      </c>
      <c r="S6119">
        <v>3.2742610000000001</v>
      </c>
      <c r="T6119">
        <v>-0.1886642</v>
      </c>
      <c r="U6119">
        <v>5.1666259999999999E-2</v>
      </c>
      <c r="V6119">
        <v>-0.12834760000000001</v>
      </c>
      <c r="W6119">
        <v>0.34431840000000002</v>
      </c>
      <c r="X6119">
        <v>0.93003860000000005</v>
      </c>
      <c r="Y6119">
        <v>-1.836233E-2</v>
      </c>
      <c r="Z6119">
        <v>7.3917440000000002E-4</v>
      </c>
      <c r="AA6119">
        <v>0.99983109999999997</v>
      </c>
      <c r="AB6119">
        <v>27</v>
      </c>
      <c r="AC6119">
        <v>19.1161999999999</v>
      </c>
      <c r="AD6119">
        <v>-1.1103366396100001</v>
      </c>
      <c r="AE6119">
        <v>0.30417000000000199</v>
      </c>
      <c r="AF6119">
        <v>-0.353129267679134</v>
      </c>
      <c r="AG6119">
        <v>-1.1103366396100001</v>
      </c>
      <c r="AH6119">
        <v>19.051079900762399</v>
      </c>
      <c r="AI6119">
        <v>93.334972551260506</v>
      </c>
      <c r="AJ6119">
        <v>91.061908303600902</v>
      </c>
      <c r="AK6119">
        <v>19.086675800625599</v>
      </c>
      <c r="AL6119">
        <v>69.859806747939999</v>
      </c>
      <c r="AM6119">
        <v>97.857328351617596</v>
      </c>
      <c r="AN6119">
        <v>1.0000000322471301</v>
      </c>
    </row>
    <row r="6120" spans="1:40" x14ac:dyDescent="0.25">
      <c r="A6120" t="str">
        <f>"20190304164246293"</f>
        <v>20190304164246293</v>
      </c>
      <c r="B6120" t="str">
        <f>"1551688966287029"</f>
        <v>1551688966287029</v>
      </c>
      <c r="C6120" t="s">
        <v>40</v>
      </c>
      <c r="D6120">
        <v>4.0614129999999999</v>
      </c>
      <c r="E6120">
        <v>0.55636560000000002</v>
      </c>
      <c r="F6120" t="s">
        <v>42</v>
      </c>
      <c r="G6120">
        <v>-342.21449999999999</v>
      </c>
      <c r="H6120" s="1">
        <v>-3.676757E-6</v>
      </c>
      <c r="I6120">
        <v>17.61768</v>
      </c>
      <c r="J6120">
        <v>-361.26929999999999</v>
      </c>
      <c r="K6120">
        <v>1.110341</v>
      </c>
      <c r="L6120">
        <v>17.313569999999999</v>
      </c>
      <c r="M6120">
        <v>0.99995599999999996</v>
      </c>
      <c r="N6120">
        <v>-9.0745310000000003E-3</v>
      </c>
      <c r="O6120">
        <v>-2.3943329999999998E-3</v>
      </c>
      <c r="P6120">
        <v>0.93336649999999999</v>
      </c>
      <c r="Q6120">
        <v>0.33624369999999998</v>
      </c>
      <c r="R6120">
        <v>0.1255684</v>
      </c>
      <c r="S6120">
        <v>3.274994</v>
      </c>
      <c r="T6120">
        <v>-0.1893656</v>
      </c>
      <c r="U6120">
        <v>5.1849369999999999E-2</v>
      </c>
      <c r="V6120">
        <v>-0.12803989999999901</v>
      </c>
      <c r="W6120">
        <v>0.344609</v>
      </c>
      <c r="X6120">
        <v>0.92997339999999995</v>
      </c>
      <c r="Y6120">
        <v>-1.8186009999999999E-2</v>
      </c>
      <c r="Z6120">
        <v>7.2451220000000003E-4</v>
      </c>
      <c r="AA6120">
        <v>0.99983440000000001</v>
      </c>
      <c r="AB6120">
        <v>27</v>
      </c>
      <c r="AC6120">
        <v>19.0548</v>
      </c>
      <c r="AD6120">
        <v>-1.110344676757</v>
      </c>
      <c r="AE6120">
        <v>0.30410999999999699</v>
      </c>
      <c r="AF6120">
        <v>-0.34855132828441998</v>
      </c>
      <c r="AG6120">
        <v>-1.110344676757</v>
      </c>
      <c r="AH6120">
        <v>18.989554133438599</v>
      </c>
      <c r="AI6120">
        <v>93.345788592708402</v>
      </c>
      <c r="AJ6120">
        <v>91.051540107931004</v>
      </c>
      <c r="AK6120">
        <v>19.0251811953644</v>
      </c>
      <c r="AL6120">
        <v>69.842071582254803</v>
      </c>
      <c r="AM6120">
        <v>97.839268414283694</v>
      </c>
      <c r="AN6120">
        <v>1.0000000517902801</v>
      </c>
    </row>
    <row r="6121" spans="1:40" x14ac:dyDescent="0.25">
      <c r="A6121" t="str">
        <f>"20190304164246305"</f>
        <v>20190304164246305</v>
      </c>
      <c r="B6121" t="str">
        <f>"1551688966296789"</f>
        <v>1551688966296789</v>
      </c>
      <c r="C6121" t="s">
        <v>40</v>
      </c>
      <c r="D6121">
        <v>4.112825</v>
      </c>
      <c r="E6121">
        <v>0.55626059999999999</v>
      </c>
      <c r="F6121" t="s">
        <v>42</v>
      </c>
      <c r="G6121">
        <v>-342.04039999999998</v>
      </c>
      <c r="H6121" s="1">
        <v>-3.751907E-6</v>
      </c>
      <c r="I6121">
        <v>17.615189999999998</v>
      </c>
      <c r="J6121">
        <v>-361.13130000000001</v>
      </c>
      <c r="K6121">
        <v>1.110347</v>
      </c>
      <c r="L6121">
        <v>17.313479999999998</v>
      </c>
      <c r="M6121">
        <v>0.99995659999999997</v>
      </c>
      <c r="N6121">
        <v>-9.0769570000000001E-3</v>
      </c>
      <c r="O6121">
        <v>-2.1779099999999999E-3</v>
      </c>
      <c r="P6121">
        <v>0.93330420000000003</v>
      </c>
      <c r="Q6121">
        <v>0.33636169999999999</v>
      </c>
      <c r="R6121">
        <v>0.12571579999999999</v>
      </c>
      <c r="S6121">
        <v>3.2754210000000001</v>
      </c>
      <c r="T6121">
        <v>-0.189134</v>
      </c>
      <c r="U6121">
        <v>5.1391600000000003E-2</v>
      </c>
      <c r="V6121">
        <v>-0.12799099999999999</v>
      </c>
      <c r="W6121">
        <v>0.34472720000000001</v>
      </c>
      <c r="X6121">
        <v>0.92993630000000005</v>
      </c>
      <c r="Y6121">
        <v>-1.782889E-2</v>
      </c>
      <c r="Z6121">
        <v>7.011853E-4</v>
      </c>
      <c r="AA6121">
        <v>0.99984079999999997</v>
      </c>
      <c r="AB6121">
        <v>27</v>
      </c>
      <c r="AC6121">
        <v>19.090900000000001</v>
      </c>
      <c r="AD6121">
        <v>-1.1103507519069999</v>
      </c>
      <c r="AE6121">
        <v>0.30170999999999898</v>
      </c>
      <c r="AF6121">
        <v>-0.34213219985166698</v>
      </c>
      <c r="AG6121">
        <v>-1.1103507519069999</v>
      </c>
      <c r="AH6121">
        <v>19.025854301802301</v>
      </c>
      <c r="AI6121">
        <v>93.339460259746801</v>
      </c>
      <c r="AJ6121">
        <v>91.030209640438301</v>
      </c>
      <c r="AK6121">
        <v>19.061297572511801</v>
      </c>
      <c r="AL6121">
        <v>69.834856702055902</v>
      </c>
      <c r="AM6121">
        <v>97.836620452309205</v>
      </c>
      <c r="AN6121">
        <v>1.00000003027926</v>
      </c>
    </row>
    <row r="6122" spans="1:40" x14ac:dyDescent="0.25">
      <c r="A6122" t="str">
        <f>"20190304164246317"</f>
        <v>20190304164246317</v>
      </c>
      <c r="B6122" t="str">
        <f>"1551688966307525"</f>
        <v>1551688966307525</v>
      </c>
      <c r="C6122" t="s">
        <v>40</v>
      </c>
      <c r="D6122">
        <v>4.2947439999999997</v>
      </c>
      <c r="E6122">
        <v>0.55626059999999999</v>
      </c>
      <c r="F6122" t="s">
        <v>42</v>
      </c>
      <c r="G6122">
        <v>-341.93389999999999</v>
      </c>
      <c r="H6122" s="1">
        <v>-3.7963080000000002E-6</v>
      </c>
      <c r="I6122">
        <v>17.62246</v>
      </c>
      <c r="J6122">
        <v>-360.98919999999998</v>
      </c>
      <c r="K6122">
        <v>1.1103499999999999</v>
      </c>
      <c r="L6122">
        <v>17.31335</v>
      </c>
      <c r="M6122">
        <v>0.99995699999999998</v>
      </c>
      <c r="N6122">
        <v>-9.0795460000000008E-3</v>
      </c>
      <c r="O6122">
        <v>-1.9486060000000001E-3</v>
      </c>
      <c r="P6122">
        <v>0.93323520000000004</v>
      </c>
      <c r="Q6122">
        <v>0.3365474</v>
      </c>
      <c r="R6122">
        <v>0.12573129999999999</v>
      </c>
      <c r="S6122">
        <v>3.2755740000000002</v>
      </c>
      <c r="T6122">
        <v>-0.1894544</v>
      </c>
      <c r="U6122">
        <v>5.2734379999999997E-2</v>
      </c>
      <c r="V6122">
        <v>-0.12779949999999901</v>
      </c>
      <c r="W6122">
        <v>0.34491250000000001</v>
      </c>
      <c r="X6122">
        <v>0.92989390000000005</v>
      </c>
      <c r="Y6122">
        <v>-1.800846E-2</v>
      </c>
      <c r="Z6122">
        <v>6.9708779999999896E-4</v>
      </c>
      <c r="AA6122">
        <v>0.99983759999999999</v>
      </c>
      <c r="AB6122">
        <v>27</v>
      </c>
      <c r="AC6122">
        <v>19.0552999999999</v>
      </c>
      <c r="AD6122">
        <v>-1.1103537963079999</v>
      </c>
      <c r="AE6122">
        <v>0.30911</v>
      </c>
      <c r="AF6122">
        <v>-0.34507086519243801</v>
      </c>
      <c r="AG6122">
        <v>-1.1103537963079999</v>
      </c>
      <c r="AH6122">
        <v>18.990199067191099</v>
      </c>
      <c r="AI6122">
        <v>93.345713847142804</v>
      </c>
      <c r="AJ6122">
        <v>91.041006917714</v>
      </c>
      <c r="AK6122">
        <v>19.025762010141001</v>
      </c>
      <c r="AL6122">
        <v>69.823545571725703</v>
      </c>
      <c r="AM6122">
        <v>97.825393046668907</v>
      </c>
      <c r="AN6122">
        <v>1.00000000505685</v>
      </c>
    </row>
    <row r="6123" spans="1:40" x14ac:dyDescent="0.25">
      <c r="A6123" t="str">
        <f>"20190304164246335"</f>
        <v>20190304164246335</v>
      </c>
      <c r="B6123" t="str">
        <f>"1551688966327044"</f>
        <v>1551688966327044</v>
      </c>
      <c r="C6123" t="s">
        <v>40</v>
      </c>
      <c r="D6123">
        <v>4.1321490000000001</v>
      </c>
      <c r="E6123">
        <v>0.51356059999999903</v>
      </c>
      <c r="F6123" t="s">
        <v>42</v>
      </c>
      <c r="G6123">
        <v>-341.73540000000003</v>
      </c>
      <c r="H6123" s="1">
        <v>-3.8809800000000001E-6</v>
      </c>
      <c r="I6123">
        <v>17.625029999999999</v>
      </c>
      <c r="J6123">
        <v>-360.76780000000002</v>
      </c>
      <c r="K6123">
        <v>1.1103689999999999</v>
      </c>
      <c r="L6123">
        <v>17.313320000000001</v>
      </c>
      <c r="M6123">
        <v>0.9999576</v>
      </c>
      <c r="N6123">
        <v>-9.0866469999999998E-3</v>
      </c>
      <c r="O6123">
        <v>-1.579319E-3</v>
      </c>
      <c r="P6123">
        <v>0.9330328</v>
      </c>
      <c r="Q6123">
        <v>0.3372289</v>
      </c>
      <c r="R6123">
        <v>0.12540589999999999</v>
      </c>
      <c r="S6123">
        <v>3.275604</v>
      </c>
      <c r="T6123">
        <v>-0.18890199999999999</v>
      </c>
      <c r="U6123">
        <v>5.3039549999999998E-2</v>
      </c>
      <c r="V6123">
        <v>-0.1271407</v>
      </c>
      <c r="W6123">
        <v>0.3455954</v>
      </c>
      <c r="X6123">
        <v>0.92973070000000002</v>
      </c>
      <c r="Y6123">
        <v>-1.773336E-2</v>
      </c>
      <c r="Z6123">
        <v>6.6818770000000001E-4</v>
      </c>
      <c r="AA6123">
        <v>0.99984249999999997</v>
      </c>
      <c r="AB6123">
        <v>27</v>
      </c>
      <c r="AC6123">
        <v>19.032399999999999</v>
      </c>
      <c r="AD6123">
        <v>-1.11037288098</v>
      </c>
      <c r="AE6123">
        <v>0.31170999999999699</v>
      </c>
      <c r="AF6123">
        <v>-0.34061005748686202</v>
      </c>
      <c r="AG6123">
        <v>-1.11037288098</v>
      </c>
      <c r="AH6123">
        <v>18.967342225399801</v>
      </c>
      <c r="AI6123">
        <v>93.349806784278996</v>
      </c>
      <c r="AJ6123">
        <v>91.028790493858807</v>
      </c>
      <c r="AK6123">
        <v>19.002868579283302</v>
      </c>
      <c r="AL6123">
        <v>69.781855762445502</v>
      </c>
      <c r="AM6123">
        <v>97.786899394962504</v>
      </c>
      <c r="AN6123">
        <v>1.0000000563100599</v>
      </c>
    </row>
    <row r="6124" spans="1:40" x14ac:dyDescent="0.25">
      <c r="A6124" t="str">
        <f>"20190304164246348"</f>
        <v>20190304164246348</v>
      </c>
      <c r="B6124" t="str">
        <f>"1551688966336805"</f>
        <v>1551688966336805</v>
      </c>
      <c r="C6124" t="s">
        <v>40</v>
      </c>
      <c r="D6124">
        <v>4.1159990000000004</v>
      </c>
      <c r="E6124">
        <v>0.50791109999999995</v>
      </c>
      <c r="F6124" t="s">
        <v>42</v>
      </c>
      <c r="G6124">
        <v>-336.63130000000001</v>
      </c>
      <c r="H6124" s="1">
        <v>-1.586999E-6</v>
      </c>
      <c r="I6124">
        <v>20.215789999999998</v>
      </c>
      <c r="J6124">
        <v>-360.62079999999997</v>
      </c>
      <c r="K6124">
        <v>1.110379</v>
      </c>
      <c r="L6124">
        <v>17.31335</v>
      </c>
      <c r="M6124">
        <v>0.99995789999999996</v>
      </c>
      <c r="N6124">
        <v>-9.0943440000000007E-3</v>
      </c>
      <c r="O6124">
        <v>-1.3260609999999999E-3</v>
      </c>
      <c r="P6124">
        <v>0.93299690000000002</v>
      </c>
      <c r="Q6124">
        <v>0.33739920000000001</v>
      </c>
      <c r="R6124">
        <v>0.1252154</v>
      </c>
      <c r="S6124">
        <v>3.2168269999999999</v>
      </c>
      <c r="T6124">
        <v>-0.14798620000000001</v>
      </c>
      <c r="U6124">
        <v>0.38684079999999998</v>
      </c>
      <c r="V6124">
        <v>-0.1267219</v>
      </c>
      <c r="W6124">
        <v>0.34577029999999997</v>
      </c>
      <c r="X6124">
        <v>0.92972279999999996</v>
      </c>
      <c r="Y6124">
        <v>-0.1205599</v>
      </c>
      <c r="Z6124">
        <v>3.3609780000000001E-3</v>
      </c>
      <c r="AA6124">
        <v>0.99270029999999998</v>
      </c>
      <c r="AB6124">
        <v>27</v>
      </c>
      <c r="AC6124">
        <v>23.9894999999999</v>
      </c>
      <c r="AD6124">
        <v>-1.110380586999</v>
      </c>
      <c r="AE6124">
        <v>2.9024399999999901</v>
      </c>
      <c r="AF6124">
        <v>-2.9280676977029501</v>
      </c>
      <c r="AG6124">
        <v>-1.110380586999</v>
      </c>
      <c r="AH6124">
        <v>23.935091096739399</v>
      </c>
      <c r="AI6124">
        <v>92.636495782578905</v>
      </c>
      <c r="AJ6124">
        <v>96.9745485422429</v>
      </c>
      <c r="AK6124">
        <v>24.139078509742902</v>
      </c>
      <c r="AL6124">
        <v>69.771175437703107</v>
      </c>
      <c r="AM6124">
        <v>97.761627739088595</v>
      </c>
      <c r="AN6124">
        <v>1.00000001257076</v>
      </c>
    </row>
    <row r="6125" spans="1:40" x14ac:dyDescent="0.25">
      <c r="A6125" t="str">
        <f>"20190304164246360"</f>
        <v>20190304164246360</v>
      </c>
      <c r="B6125" t="str">
        <f>"1551688966357301"</f>
        <v>1551688966357301</v>
      </c>
      <c r="C6125" t="s">
        <v>40</v>
      </c>
      <c r="D6125">
        <v>4.1176199999999996</v>
      </c>
      <c r="E6125">
        <v>0.50202809999999998</v>
      </c>
      <c r="F6125" t="s">
        <v>42</v>
      </c>
      <c r="G6125">
        <v>-337.08010000000002</v>
      </c>
      <c r="H6125" s="1">
        <v>-1.464595E-6</v>
      </c>
      <c r="I6125">
        <v>20.479430000000001</v>
      </c>
      <c r="J6125">
        <v>-360.46030000000002</v>
      </c>
      <c r="K6125">
        <v>1.110392</v>
      </c>
      <c r="L6125">
        <v>17.313420000000001</v>
      </c>
      <c r="M6125">
        <v>0.99995800000000001</v>
      </c>
      <c r="N6125">
        <v>-9.1055259999999992E-3</v>
      </c>
      <c r="O6125">
        <v>-1.0430019999999999E-3</v>
      </c>
      <c r="P6125">
        <v>0.93300300000000003</v>
      </c>
      <c r="Q6125">
        <v>0.33748149999999999</v>
      </c>
      <c r="R6125">
        <v>0.124945899999999</v>
      </c>
      <c r="S6125">
        <v>3.21225</v>
      </c>
      <c r="T6125">
        <v>-0.15151700000000001</v>
      </c>
      <c r="U6125">
        <v>0.43203740000000002</v>
      </c>
      <c r="V6125">
        <v>-0.1261969</v>
      </c>
      <c r="W6125">
        <v>0.34586070000000002</v>
      </c>
      <c r="X6125">
        <v>0.92976060000000005</v>
      </c>
      <c r="Y6125">
        <v>-0.134154299999999</v>
      </c>
      <c r="Z6125">
        <v>3.8014440000000002E-3</v>
      </c>
      <c r="AA6125">
        <v>0.99095310000000003</v>
      </c>
      <c r="AB6125">
        <v>27</v>
      </c>
      <c r="AC6125">
        <v>23.380199999999999</v>
      </c>
      <c r="AD6125">
        <v>-1.110393464595</v>
      </c>
      <c r="AE6125">
        <v>3.1660099999999902</v>
      </c>
      <c r="AF6125">
        <v>-3.1833439056391599</v>
      </c>
      <c r="AG6125">
        <v>-1.110393464595</v>
      </c>
      <c r="AH6125">
        <v>23.325220566537698</v>
      </c>
      <c r="AI6125">
        <v>92.700503024400902</v>
      </c>
      <c r="AJ6125">
        <v>97.771513132760205</v>
      </c>
      <c r="AK6125">
        <v>23.567616904248499</v>
      </c>
      <c r="AL6125">
        <v>69.765655634139307</v>
      </c>
      <c r="AM6125">
        <v>97.729550950340496</v>
      </c>
      <c r="AN6125">
        <v>1.0000000273432199</v>
      </c>
    </row>
    <row r="6126" spans="1:40" x14ac:dyDescent="0.25">
      <c r="A6126" t="str">
        <f>"20190304164246379"</f>
        <v>20190304164246379</v>
      </c>
      <c r="B6126" t="str">
        <f>"1551688966367061"</f>
        <v>1551688966367061</v>
      </c>
      <c r="C6126" t="s">
        <v>40</v>
      </c>
      <c r="D6126">
        <v>4.0770559999999998</v>
      </c>
      <c r="E6126">
        <v>0.50033899999999998</v>
      </c>
      <c r="F6126" t="s">
        <v>42</v>
      </c>
      <c r="G6126">
        <v>-337.91660000000002</v>
      </c>
      <c r="H6126" s="1">
        <v>-1.1584870000000001E-6</v>
      </c>
      <c r="I6126">
        <v>20.677689999999998</v>
      </c>
      <c r="J6126">
        <v>-360.23719999999997</v>
      </c>
      <c r="K6126">
        <v>1.110419</v>
      </c>
      <c r="L6126">
        <v>17.313600000000001</v>
      </c>
      <c r="M6126">
        <v>0.99995829999999997</v>
      </c>
      <c r="N6126">
        <v>-9.1247770000000006E-3</v>
      </c>
      <c r="O6126">
        <v>-6.3285550000000005E-4</v>
      </c>
      <c r="P6126">
        <v>0.93310150000000003</v>
      </c>
      <c r="Q6126">
        <v>0.33743050000000002</v>
      </c>
      <c r="R6126">
        <v>0.1243471</v>
      </c>
      <c r="S6126">
        <v>3.208466</v>
      </c>
      <c r="T6126">
        <v>-0.15803329999999999</v>
      </c>
      <c r="U6126">
        <v>0.47882079999999999</v>
      </c>
      <c r="V6126">
        <v>-0.1252286</v>
      </c>
      <c r="W6126">
        <v>0.34582489999999999</v>
      </c>
      <c r="X6126">
        <v>0.92990479999999998</v>
      </c>
      <c r="Y6126">
        <v>-0.14801879999999901</v>
      </c>
      <c r="Z6126">
        <v>4.3278759999999996E-3</v>
      </c>
      <c r="AA6126">
        <v>0.98897500000000005</v>
      </c>
      <c r="AB6126">
        <v>27</v>
      </c>
      <c r="AC6126">
        <v>22.320599999999899</v>
      </c>
      <c r="AD6126">
        <v>-1.1104201584869999</v>
      </c>
      <c r="AE6126">
        <v>3.3640899999999898</v>
      </c>
      <c r="AF6126">
        <v>-3.3700602180608001</v>
      </c>
      <c r="AG6126">
        <v>-1.1104201584869999</v>
      </c>
      <c r="AH6126">
        <v>22.264587061754401</v>
      </c>
      <c r="AI6126">
        <v>92.823090015798499</v>
      </c>
      <c r="AJ6126">
        <v>98.607190209762805</v>
      </c>
      <c r="AK6126">
        <v>22.545557784898001</v>
      </c>
      <c r="AL6126">
        <v>69.767841151837303</v>
      </c>
      <c r="AM6126">
        <v>97.669776140738094</v>
      </c>
      <c r="AN6126">
        <v>1.0000000003905001</v>
      </c>
    </row>
    <row r="6127" spans="1:40" x14ac:dyDescent="0.25">
      <c r="A6127" t="str">
        <f>"20190304164246391"</f>
        <v>20190304164246391</v>
      </c>
      <c r="B6127" t="str">
        <f>"1551688966377797"</f>
        <v>1551688966377797</v>
      </c>
      <c r="C6127" t="s">
        <v>40</v>
      </c>
      <c r="D6127">
        <v>4.0806239999999896</v>
      </c>
      <c r="E6127">
        <v>0.49933090000000002</v>
      </c>
      <c r="F6127" t="s">
        <v>42</v>
      </c>
      <c r="G6127">
        <v>-338.02850000000001</v>
      </c>
      <c r="H6127" s="1">
        <v>-1.1190969999999999E-6</v>
      </c>
      <c r="I6127">
        <v>20.710039999999999</v>
      </c>
      <c r="J6127">
        <v>-360.09109999999998</v>
      </c>
      <c r="K6127">
        <v>1.1104309999999999</v>
      </c>
      <c r="L6127">
        <v>17.313779999999898</v>
      </c>
      <c r="M6127">
        <v>0.99995829999999997</v>
      </c>
      <c r="N6127">
        <v>-9.1375350000000004E-3</v>
      </c>
      <c r="O6127">
        <v>-3.56611E-4</v>
      </c>
      <c r="P6127">
        <v>0.93305340000000003</v>
      </c>
      <c r="Q6127">
        <v>0.3376093</v>
      </c>
      <c r="R6127">
        <v>0.124224399999999</v>
      </c>
      <c r="S6127">
        <v>3.2076720000000001</v>
      </c>
      <c r="T6127">
        <v>-0.1603812</v>
      </c>
      <c r="U6127">
        <v>0.49057010000000001</v>
      </c>
      <c r="V6127">
        <v>-0.1248562</v>
      </c>
      <c r="W6127">
        <v>0.34601290000000001</v>
      </c>
      <c r="X6127">
        <v>0.92988499999999996</v>
      </c>
      <c r="Y6127">
        <v>-0.1513118</v>
      </c>
      <c r="Z6127">
        <v>4.4688649999999998E-3</v>
      </c>
      <c r="AA6127">
        <v>0.98847600000000002</v>
      </c>
      <c r="AB6127">
        <v>27</v>
      </c>
      <c r="AC6127">
        <v>22.0625999999999</v>
      </c>
      <c r="AD6127">
        <v>-1.1104321190969999</v>
      </c>
      <c r="AE6127">
        <v>3.3962599999999998</v>
      </c>
      <c r="AF6127">
        <v>-3.3957249264337599</v>
      </c>
      <c r="AG6127">
        <v>-1.1104321190969999</v>
      </c>
      <c r="AH6127">
        <v>22.006929766493599</v>
      </c>
      <c r="AI6127">
        <v>92.854868069174103</v>
      </c>
      <c r="AJ6127">
        <v>98.771704312765195</v>
      </c>
      <c r="AK6127">
        <v>22.2950435077958</v>
      </c>
      <c r="AL6127">
        <v>69.756361962087098</v>
      </c>
      <c r="AM6127">
        <v>97.647399262282207</v>
      </c>
      <c r="AN6127">
        <v>1.00000005543492</v>
      </c>
    </row>
    <row r="6128" spans="1:40" x14ac:dyDescent="0.25">
      <c r="A6128" t="str">
        <f>"20190304164246407"</f>
        <v>20190304164246407</v>
      </c>
      <c r="B6128" t="str">
        <f>"1551688966397317"</f>
        <v>1551688966397317</v>
      </c>
      <c r="C6128" t="s">
        <v>40</v>
      </c>
      <c r="D6128">
        <v>4.0923790000000002</v>
      </c>
      <c r="E6128">
        <v>0.49821280000000001</v>
      </c>
      <c r="F6128" t="s">
        <v>42</v>
      </c>
      <c r="G6128">
        <v>-338.15879999999999</v>
      </c>
      <c r="H6128" s="1">
        <v>-1.0654559999999899E-6</v>
      </c>
      <c r="I6128">
        <v>20.71856</v>
      </c>
      <c r="J6128">
        <v>-359.9119</v>
      </c>
      <c r="K6128">
        <v>1.1104430000000001</v>
      </c>
      <c r="L6128">
        <v>17.314060000000001</v>
      </c>
      <c r="M6128">
        <v>0.99995820000000002</v>
      </c>
      <c r="N6128">
        <v>-9.1537939999999998E-3</v>
      </c>
      <c r="O6128" s="1">
        <v>-1.2837410000000001E-5</v>
      </c>
      <c r="P6128">
        <v>0.93303320000000001</v>
      </c>
      <c r="Q6128">
        <v>0.33766420000000003</v>
      </c>
      <c r="R6128">
        <v>0.1242255</v>
      </c>
      <c r="S6128">
        <v>3.2077640000000001</v>
      </c>
      <c r="T6128">
        <v>-0.1624091</v>
      </c>
      <c r="U6128">
        <v>0.49798579999999998</v>
      </c>
      <c r="V6128">
        <v>-0.124546</v>
      </c>
      <c r="W6128">
        <v>0.34608040000000001</v>
      </c>
      <c r="X6128">
        <v>0.92990139999999999</v>
      </c>
      <c r="Y6128">
        <v>-0.1531921</v>
      </c>
      <c r="Z6128">
        <v>4.5589259999999996E-3</v>
      </c>
      <c r="AA6128">
        <v>0.98818589999999995</v>
      </c>
      <c r="AB6128">
        <v>27</v>
      </c>
      <c r="AC6128">
        <v>21.7531</v>
      </c>
      <c r="AD6128">
        <v>-1.1104440654559999</v>
      </c>
      <c r="AE6128">
        <v>3.4044999999999899</v>
      </c>
      <c r="AF6128">
        <v>-3.3961409855388101</v>
      </c>
      <c r="AG6128">
        <v>-1.1104440654559999</v>
      </c>
      <c r="AH6128">
        <v>21.697866523849001</v>
      </c>
      <c r="AI6128">
        <v>92.894522733705003</v>
      </c>
      <c r="AJ6128">
        <v>98.895736297016697</v>
      </c>
      <c r="AK6128">
        <v>21.990094845246301</v>
      </c>
      <c r="AL6128">
        <v>69.752238258652397</v>
      </c>
      <c r="AM6128">
        <v>97.628490685463007</v>
      </c>
      <c r="AN6128">
        <v>0.99999998155105896</v>
      </c>
    </row>
    <row r="6129" spans="1:40" x14ac:dyDescent="0.25">
      <c r="A6129" t="str">
        <f>"20190304164246426"</f>
        <v>20190304164246426</v>
      </c>
      <c r="B6129" t="str">
        <f>"1551688966417345"</f>
        <v>1551688966417345</v>
      </c>
      <c r="C6129" t="s">
        <v>40</v>
      </c>
      <c r="D6129">
        <v>4.0776309999999896</v>
      </c>
      <c r="E6129">
        <v>0.49786609999999998</v>
      </c>
      <c r="F6129" t="s">
        <v>42</v>
      </c>
      <c r="G6129">
        <v>-338.13720000000001</v>
      </c>
      <c r="H6129" s="1">
        <v>-1.084249E-6</v>
      </c>
      <c r="I6129">
        <v>20.754359999999998</v>
      </c>
      <c r="J6129">
        <v>-359.66559999999998</v>
      </c>
      <c r="K6129">
        <v>1.1104609999999999</v>
      </c>
      <c r="L6129">
        <v>17.314579999999999</v>
      </c>
      <c r="M6129">
        <v>0.99995789999999996</v>
      </c>
      <c r="N6129">
        <v>-9.1792680000000008E-3</v>
      </c>
      <c r="O6129">
        <v>4.7014099999999998E-4</v>
      </c>
      <c r="P6129">
        <v>0.93299840000000001</v>
      </c>
      <c r="Q6129">
        <v>0.33762229999999999</v>
      </c>
      <c r="R6129">
        <v>0.1246014</v>
      </c>
      <c r="S6129">
        <v>3.2070620000000001</v>
      </c>
      <c r="T6129">
        <v>-0.16355059999999999</v>
      </c>
      <c r="U6129">
        <v>0.50671390000000005</v>
      </c>
      <c r="V6129">
        <v>-0.1244811</v>
      </c>
      <c r="W6129">
        <v>0.34605849999999999</v>
      </c>
      <c r="X6129">
        <v>0.92991829999999998</v>
      </c>
      <c r="Y6129">
        <v>-0.15536629999999901</v>
      </c>
      <c r="Z6129">
        <v>4.6331719999999996E-3</v>
      </c>
      <c r="AA6129">
        <v>0.98784609999999995</v>
      </c>
      <c r="AB6129">
        <v>27</v>
      </c>
      <c r="AC6129">
        <v>21.528399999999898</v>
      </c>
      <c r="AD6129">
        <v>-1.1104620842490001</v>
      </c>
      <c r="AE6129">
        <v>3.4397799999999998</v>
      </c>
      <c r="AF6129">
        <v>-3.4207829528690898</v>
      </c>
      <c r="AG6129">
        <v>-1.1104620842490001</v>
      </c>
      <c r="AH6129">
        <v>21.474302071730499</v>
      </c>
      <c r="AI6129">
        <v>92.923403478587204</v>
      </c>
      <c r="AJ6129">
        <v>99.050975815008897</v>
      </c>
      <c r="AK6129">
        <v>21.773390446118501</v>
      </c>
      <c r="AL6129">
        <v>69.753576852363693</v>
      </c>
      <c r="AM6129">
        <v>97.624425374983105</v>
      </c>
      <c r="AN6129">
        <v>1.00000003717717</v>
      </c>
    </row>
    <row r="6130" spans="1:40" x14ac:dyDescent="0.25">
      <c r="A6130" t="str">
        <f>"20190304164246446"</f>
        <v>20190304164246446</v>
      </c>
      <c r="B6130" t="str">
        <f>"1551688966436864"</f>
        <v>1551688966436864</v>
      </c>
      <c r="C6130" t="s">
        <v>40</v>
      </c>
      <c r="D6130">
        <v>4.0687920000000002</v>
      </c>
      <c r="E6130">
        <v>0.49731059999999999</v>
      </c>
      <c r="F6130" t="s">
        <v>42</v>
      </c>
      <c r="G6130">
        <v>-337.85480000000001</v>
      </c>
      <c r="H6130" s="1">
        <v>-1.2123579999999999E-6</v>
      </c>
      <c r="I6130">
        <v>20.780480000000001</v>
      </c>
      <c r="J6130">
        <v>-359.40589999999997</v>
      </c>
      <c r="K6130">
        <v>1.110474</v>
      </c>
      <c r="L6130">
        <v>17.315249999999999</v>
      </c>
      <c r="M6130">
        <v>0.99995710000000004</v>
      </c>
      <c r="N6130">
        <v>-9.2085320000000002E-3</v>
      </c>
      <c r="O6130">
        <v>9.8745970000000001E-4</v>
      </c>
      <c r="P6130">
        <v>0.93296639999999997</v>
      </c>
      <c r="Q6130">
        <v>0.33751059999999999</v>
      </c>
      <c r="R6130">
        <v>0.12514120000000001</v>
      </c>
      <c r="S6130">
        <v>3.206512</v>
      </c>
      <c r="T6130">
        <v>-0.1632545</v>
      </c>
      <c r="U6130">
        <v>0.509552</v>
      </c>
      <c r="V6130">
        <v>-0.12454469999999999</v>
      </c>
      <c r="W6130">
        <v>0.34597169999999999</v>
      </c>
      <c r="X6130">
        <v>0.92994209999999999</v>
      </c>
      <c r="Y6130">
        <v>-0.1557347</v>
      </c>
      <c r="Z6130">
        <v>4.6184429999999999E-3</v>
      </c>
      <c r="AA6130">
        <v>0.98778809999999995</v>
      </c>
      <c r="AB6130">
        <v>27</v>
      </c>
      <c r="AC6130">
        <v>21.551099999999899</v>
      </c>
      <c r="AD6130">
        <v>-1.110475212358</v>
      </c>
      <c r="AE6130">
        <v>3.4652299999999898</v>
      </c>
      <c r="AF6130">
        <v>-3.4350560445789702</v>
      </c>
      <c r="AG6130">
        <v>-1.110475212358</v>
      </c>
      <c r="AH6130">
        <v>21.498868613532199</v>
      </c>
      <c r="AI6130">
        <v>92.919884652098403</v>
      </c>
      <c r="AJ6130">
        <v>99.077899830959893</v>
      </c>
      <c r="AK6130">
        <v>21.799865065834201</v>
      </c>
      <c r="AL6130">
        <v>69.758877920290601</v>
      </c>
      <c r="AM6130">
        <v>97.628082062581299</v>
      </c>
      <c r="AN6130">
        <v>1.00000005442569</v>
      </c>
    </row>
    <row r="6131" spans="1:40" x14ac:dyDescent="0.25">
      <c r="A6131" t="str">
        <f>"20190304164246458"</f>
        <v>20190304164246458</v>
      </c>
      <c r="B6131" t="str">
        <f>"1551688966447600"</f>
        <v>1551688966447600</v>
      </c>
      <c r="C6131" t="s">
        <v>40</v>
      </c>
      <c r="D6131">
        <v>4.0886290000000001</v>
      </c>
      <c r="E6131">
        <v>0.49707869999999998</v>
      </c>
      <c r="F6131" t="s">
        <v>42</v>
      </c>
      <c r="G6131">
        <v>-337.64409999999998</v>
      </c>
      <c r="H6131" s="1">
        <v>-1.3117610000000001E-6</v>
      </c>
      <c r="I6131">
        <v>20.814350000000001</v>
      </c>
      <c r="J6131">
        <v>-359.25689999999997</v>
      </c>
      <c r="K6131">
        <v>1.1104769999999999</v>
      </c>
      <c r="L6131">
        <v>17.315670000000001</v>
      </c>
      <c r="M6131">
        <v>0.99995670000000003</v>
      </c>
      <c r="N6131">
        <v>-9.2252280000000002E-3</v>
      </c>
      <c r="O6131">
        <v>1.28681E-3</v>
      </c>
      <c r="P6131">
        <v>0.93284120000000004</v>
      </c>
      <c r="Q6131">
        <v>0.33776499999999998</v>
      </c>
      <c r="R6131">
        <v>0.1253881</v>
      </c>
      <c r="S6131">
        <v>3.205597</v>
      </c>
      <c r="T6131">
        <v>-0.16357669999999999</v>
      </c>
      <c r="U6131">
        <v>0.51544190000000001</v>
      </c>
      <c r="V6131">
        <v>-0.12451520000000001</v>
      </c>
      <c r="W6131">
        <v>0.3462401</v>
      </c>
      <c r="X6131">
        <v>0.92984610000000001</v>
      </c>
      <c r="Y6131">
        <v>-0.15724929999999901</v>
      </c>
      <c r="Z6131">
        <v>4.661058E-3</v>
      </c>
      <c r="AA6131">
        <v>0.98754790000000003</v>
      </c>
      <c r="AB6131">
        <v>28</v>
      </c>
      <c r="AC6131">
        <v>21.6128</v>
      </c>
      <c r="AD6131">
        <v>-1.110478311761</v>
      </c>
      <c r="AE6131">
        <v>3.4986799999999998</v>
      </c>
      <c r="AF6131">
        <v>-3.4619582920680201</v>
      </c>
      <c r="AG6131">
        <v>-1.110478311761</v>
      </c>
      <c r="AH6131">
        <v>21.561815572444399</v>
      </c>
      <c r="AI6131">
        <v>92.911028669097107</v>
      </c>
      <c r="AJ6131">
        <v>99.121541274344594</v>
      </c>
      <c r="AK6131">
        <v>21.866188695724201</v>
      </c>
      <c r="AL6131">
        <v>69.742485652176796</v>
      </c>
      <c r="AM6131">
        <v>97.627074614275003</v>
      </c>
      <c r="AN6131">
        <v>1.0000000057821199</v>
      </c>
    </row>
    <row r="6132" spans="1:40" x14ac:dyDescent="0.25">
      <c r="A6132" t="str">
        <f>"20190304164246471"</f>
        <v>20190304164246471</v>
      </c>
      <c r="B6132" t="str">
        <f>"1551688966467119"</f>
        <v>1551688966467119</v>
      </c>
      <c r="C6132" t="s">
        <v>40</v>
      </c>
      <c r="D6132">
        <v>4.0843680000000004</v>
      </c>
      <c r="E6132">
        <v>0.4966566</v>
      </c>
      <c r="F6132" t="s">
        <v>42</v>
      </c>
      <c r="G6132">
        <v>-337.3802</v>
      </c>
      <c r="H6132" s="1">
        <v>-1.434906E-6</v>
      </c>
      <c r="I6132">
        <v>20.85173</v>
      </c>
      <c r="J6132">
        <v>-359.11250000000001</v>
      </c>
      <c r="K6132">
        <v>1.1104810000000001</v>
      </c>
      <c r="L6132">
        <v>17.31616</v>
      </c>
      <c r="M6132">
        <v>0.99995619999999996</v>
      </c>
      <c r="N6132">
        <v>-9.2408060000000007E-3</v>
      </c>
      <c r="O6132">
        <v>1.5778679999999901E-3</v>
      </c>
      <c r="P6132">
        <v>0.93284389999999995</v>
      </c>
      <c r="Q6132">
        <v>0.33769359999999998</v>
      </c>
      <c r="R6132">
        <v>0.12555930000000001</v>
      </c>
      <c r="S6132">
        <v>3.2052610000000001</v>
      </c>
      <c r="T6132">
        <v>-0.16270179999999901</v>
      </c>
      <c r="U6132">
        <v>0.51809689999999997</v>
      </c>
      <c r="V6132">
        <v>-0.1244164</v>
      </c>
      <c r="W6132">
        <v>0.34618330000000003</v>
      </c>
      <c r="X6132">
        <v>0.9298805</v>
      </c>
      <c r="Y6132">
        <v>-0.157777</v>
      </c>
      <c r="Z6132">
        <v>4.645326E-3</v>
      </c>
      <c r="AA6132">
        <v>0.9874638</v>
      </c>
      <c r="AB6132">
        <v>28</v>
      </c>
      <c r="AC6132">
        <v>21.732299999999999</v>
      </c>
      <c r="AD6132">
        <v>-1.1104824349060001</v>
      </c>
      <c r="AE6132">
        <v>3.5355699999999999</v>
      </c>
      <c r="AF6132">
        <v>-3.49238982489842</v>
      </c>
      <c r="AG6132">
        <v>-1.1104824349060001</v>
      </c>
      <c r="AH6132">
        <v>21.6826974338918</v>
      </c>
      <c r="AI6132">
        <v>92.894607692723099</v>
      </c>
      <c r="AJ6132">
        <v>99.149934312588002</v>
      </c>
      <c r="AK6132">
        <v>21.990209774738101</v>
      </c>
      <c r="AL6132">
        <v>69.745955117466593</v>
      </c>
      <c r="AM6132">
        <v>97.620815239379098</v>
      </c>
      <c r="AN6132">
        <v>1.00000003103404</v>
      </c>
    </row>
    <row r="6133" spans="1:40" x14ac:dyDescent="0.25">
      <c r="A6133" t="str">
        <f>"20190304164246482"</f>
        <v>20190304164246482</v>
      </c>
      <c r="B6133" t="str">
        <f>"1551688966476879"</f>
        <v>1551688966476879</v>
      </c>
      <c r="C6133" t="s">
        <v>40</v>
      </c>
      <c r="D6133">
        <v>4.0658010000000004</v>
      </c>
      <c r="E6133">
        <v>0.49652669999999999</v>
      </c>
      <c r="F6133" t="s">
        <v>42</v>
      </c>
      <c r="G6133">
        <v>-337.35340000000002</v>
      </c>
      <c r="H6133" s="1">
        <v>-1.449274E-6</v>
      </c>
      <c r="I6133">
        <v>20.862459999999999</v>
      </c>
      <c r="J6133">
        <v>-358.9606</v>
      </c>
      <c r="K6133">
        <v>1.1104830000000001</v>
      </c>
      <c r="L6133">
        <v>17.31671</v>
      </c>
      <c r="M6133">
        <v>0.99995540000000005</v>
      </c>
      <c r="N6133">
        <v>-9.2568909999999997E-3</v>
      </c>
      <c r="O6133">
        <v>1.884358E-3</v>
      </c>
      <c r="P6133">
        <v>0.93281499999999995</v>
      </c>
      <c r="Q6133">
        <v>0.33767190000000002</v>
      </c>
      <c r="R6133">
        <v>0.12583279999999999</v>
      </c>
      <c r="S6133">
        <v>3.2048649999999999</v>
      </c>
      <c r="T6133">
        <v>-0.16356089999999901</v>
      </c>
      <c r="U6133">
        <v>0.52233890000000005</v>
      </c>
      <c r="V6133">
        <v>-0.12440560000000001</v>
      </c>
      <c r="W6133">
        <v>0.34617609999999999</v>
      </c>
      <c r="X6133">
        <v>0.92988459999999995</v>
      </c>
      <c r="Y6133">
        <v>-0.1587635</v>
      </c>
      <c r="Z6133">
        <v>4.684204E-3</v>
      </c>
      <c r="AA6133">
        <v>0.98730549999999995</v>
      </c>
      <c r="AB6133">
        <v>28</v>
      </c>
      <c r="AC6133">
        <v>21.607199999999899</v>
      </c>
      <c r="AD6133">
        <v>-1.11048444927399</v>
      </c>
      <c r="AE6133">
        <v>3.54575</v>
      </c>
      <c r="AF6133">
        <v>-3.4960341165337399</v>
      </c>
      <c r="AG6133">
        <v>-1.11048444927399</v>
      </c>
      <c r="AH6133">
        <v>21.558393074478399</v>
      </c>
      <c r="AI6133">
        <v>92.910772016008593</v>
      </c>
      <c r="AJ6133">
        <v>99.211229780167997</v>
      </c>
      <c r="AK6133">
        <v>21.868235919016499</v>
      </c>
      <c r="AL6133">
        <v>69.746394336376895</v>
      </c>
      <c r="AM6133">
        <v>97.620128282356205</v>
      </c>
      <c r="AN6133">
        <v>1.0000000074198601</v>
      </c>
    </row>
    <row r="6134" spans="1:40" x14ac:dyDescent="0.25">
      <c r="A6134" t="str">
        <f>"20190304164246494"</f>
        <v>20190304164246494</v>
      </c>
      <c r="B6134" t="str">
        <f>"1551688966487616"</f>
        <v>1551688966487616</v>
      </c>
      <c r="C6134" t="s">
        <v>40</v>
      </c>
      <c r="D6134">
        <v>4.0569319999999998</v>
      </c>
      <c r="E6134">
        <v>0.49639630000000001</v>
      </c>
      <c r="F6134" t="s">
        <v>42</v>
      </c>
      <c r="G6134">
        <v>-337.32130000000001</v>
      </c>
      <c r="H6134" s="1">
        <v>-1.4626599999999999E-6</v>
      </c>
      <c r="I6134">
        <v>20.861049999999999</v>
      </c>
      <c r="J6134">
        <v>-358.81049999999999</v>
      </c>
      <c r="K6134">
        <v>1.110487</v>
      </c>
      <c r="L6134">
        <v>17.31729</v>
      </c>
      <c r="M6134">
        <v>0.99995480000000003</v>
      </c>
      <c r="N6134">
        <v>-9.2717419999999995E-3</v>
      </c>
      <c r="O6134">
        <v>2.1872689999999999E-3</v>
      </c>
      <c r="P6134">
        <v>0.93275039999999998</v>
      </c>
      <c r="Q6134">
        <v>0.33774650000000001</v>
      </c>
      <c r="R6134">
        <v>0.12611330000000001</v>
      </c>
      <c r="S6134">
        <v>3.2048030000000001</v>
      </c>
      <c r="T6134">
        <v>-0.1644641</v>
      </c>
      <c r="U6134">
        <v>0.52493290000000004</v>
      </c>
      <c r="V6134">
        <v>-0.1244045</v>
      </c>
      <c r="W6134">
        <v>0.34626420000000002</v>
      </c>
      <c r="X6134">
        <v>0.92985189999999995</v>
      </c>
      <c r="Y6134">
        <v>-0.15924279999999999</v>
      </c>
      <c r="Z6134">
        <v>4.7087520000000001E-3</v>
      </c>
      <c r="AA6134">
        <v>0.9872282</v>
      </c>
      <c r="AB6134">
        <v>28</v>
      </c>
      <c r="AC6134">
        <v>21.489199999999901</v>
      </c>
      <c r="AD6134">
        <v>-1.11048846266</v>
      </c>
      <c r="AE6134">
        <v>3.54375999999999</v>
      </c>
      <c r="AF6134">
        <v>-3.4876796881853198</v>
      </c>
      <c r="AG6134">
        <v>-1.11048846266</v>
      </c>
      <c r="AH6134">
        <v>21.441158025450399</v>
      </c>
      <c r="AI6134">
        <v>92.926440597668005</v>
      </c>
      <c r="AJ6134">
        <v>99.238976101310001</v>
      </c>
      <c r="AK6134">
        <v>21.751329883605202</v>
      </c>
      <c r="AL6134">
        <v>69.741012931928196</v>
      </c>
      <c r="AM6134">
        <v>97.620326521508701</v>
      </c>
      <c r="AN6134">
        <v>0.99999996587774898</v>
      </c>
    </row>
    <row r="6135" spans="1:40" x14ac:dyDescent="0.25">
      <c r="A6135" t="str">
        <f>"20190304164246506"</f>
        <v>20190304164246506</v>
      </c>
      <c r="B6135" t="str">
        <f>"1551688966497376"</f>
        <v>1551688966497376</v>
      </c>
      <c r="C6135" t="s">
        <v>40</v>
      </c>
      <c r="D6135">
        <v>4.0655049999999999</v>
      </c>
      <c r="E6135">
        <v>0.49608829999999998</v>
      </c>
      <c r="F6135" t="s">
        <v>42</v>
      </c>
      <c r="G6135">
        <v>-337.2561</v>
      </c>
      <c r="H6135" s="1">
        <v>-1.4916849999999899E-6</v>
      </c>
      <c r="I6135">
        <v>20.864999999999998</v>
      </c>
      <c r="J6135">
        <v>-358.67099999999999</v>
      </c>
      <c r="K6135">
        <v>1.1104889999999901</v>
      </c>
      <c r="L6135">
        <v>17.317869999999999</v>
      </c>
      <c r="M6135">
        <v>0.99995389999999995</v>
      </c>
      <c r="N6135">
        <v>-9.2852509999999996E-3</v>
      </c>
      <c r="O6135">
        <v>2.46825E-3</v>
      </c>
      <c r="P6135">
        <v>0.93265010000000004</v>
      </c>
      <c r="Q6135">
        <v>0.33799439999999997</v>
      </c>
      <c r="R6135">
        <v>0.12618950000000001</v>
      </c>
      <c r="S6135">
        <v>3.2047729999999999</v>
      </c>
      <c r="T6135">
        <v>-0.1651109</v>
      </c>
      <c r="U6135">
        <v>0.52749630000000003</v>
      </c>
      <c r="V6135">
        <v>-0.1242197</v>
      </c>
      <c r="W6135">
        <v>0.34652369999999999</v>
      </c>
      <c r="X6135">
        <v>0.92977989999999999</v>
      </c>
      <c r="Y6135">
        <v>-0.1597335</v>
      </c>
      <c r="Z6135">
        <v>4.7282599999999998E-3</v>
      </c>
      <c r="AA6135">
        <v>0.98714880000000005</v>
      </c>
      <c r="AB6135">
        <v>28</v>
      </c>
      <c r="AC6135">
        <v>21.4148999999999</v>
      </c>
      <c r="AD6135">
        <v>-1.11049049168499</v>
      </c>
      <c r="AE6135">
        <v>3.5471299999999899</v>
      </c>
      <c r="AF6135">
        <v>-3.4851381645923101</v>
      </c>
      <c r="AG6135">
        <v>-1.11049049168499</v>
      </c>
      <c r="AH6135">
        <v>21.367666131705501</v>
      </c>
      <c r="AI6135">
        <v>92.936288668685293</v>
      </c>
      <c r="AJ6135">
        <v>99.263563686440193</v>
      </c>
      <c r="AK6135">
        <v>21.678480875616199</v>
      </c>
      <c r="AL6135">
        <v>69.725162776285998</v>
      </c>
      <c r="AM6135">
        <v>97.609721759523097</v>
      </c>
      <c r="AN6135">
        <v>0.99999993548689203</v>
      </c>
    </row>
    <row r="6136" spans="1:40" x14ac:dyDescent="0.25">
      <c r="A6136" t="str">
        <f>"20190304164246517"</f>
        <v>20190304164246517</v>
      </c>
      <c r="B6136" t="str">
        <f>"1551688966507136"</f>
        <v>1551688966507136</v>
      </c>
      <c r="C6136" t="s">
        <v>40</v>
      </c>
      <c r="D6136">
        <v>4.2933620000000001</v>
      </c>
      <c r="E6136">
        <v>0.49608829999999998</v>
      </c>
      <c r="F6136" t="s">
        <v>42</v>
      </c>
      <c r="G6136">
        <v>-337.04419999999999</v>
      </c>
      <c r="H6136" s="1">
        <v>-1.5919899999999999E-6</v>
      </c>
      <c r="I6136">
        <v>20.900320000000001</v>
      </c>
      <c r="J6136">
        <v>-358.52839999999998</v>
      </c>
      <c r="K6136">
        <v>1.1104909999999999</v>
      </c>
      <c r="L6136">
        <v>17.31851</v>
      </c>
      <c r="M6136">
        <v>0.99995299999999998</v>
      </c>
      <c r="N6136">
        <v>-9.2985829999999992E-3</v>
      </c>
      <c r="O6136">
        <v>2.7553090000000001E-3</v>
      </c>
      <c r="P6136">
        <v>0.93261579999999999</v>
      </c>
      <c r="Q6136">
        <v>0.3380377</v>
      </c>
      <c r="R6136">
        <v>0.12632660000000001</v>
      </c>
      <c r="S6136">
        <v>3.204437</v>
      </c>
      <c r="T6136">
        <v>-0.1645412</v>
      </c>
      <c r="U6136">
        <v>0.53082280000000004</v>
      </c>
      <c r="V6136">
        <v>-0.1240898</v>
      </c>
      <c r="W6136">
        <v>0.34657909999999997</v>
      </c>
      <c r="X6136">
        <v>0.92977670000000001</v>
      </c>
      <c r="Y6136">
        <v>-0.16046479999999999</v>
      </c>
      <c r="Z6136">
        <v>4.725941E-3</v>
      </c>
      <c r="AA6136">
        <v>0.98703030000000003</v>
      </c>
      <c r="AB6136">
        <v>28</v>
      </c>
      <c r="AC6136">
        <v>21.484199999999898</v>
      </c>
      <c r="AD6136">
        <v>-1.1104925919899999</v>
      </c>
      <c r="AE6136">
        <v>3.5818099999999999</v>
      </c>
      <c r="AF6136">
        <v>-3.5134650538850298</v>
      </c>
      <c r="AG6136">
        <v>-1.1104925919899999</v>
      </c>
      <c r="AH6136">
        <v>21.438259537577999</v>
      </c>
      <c r="AI6136">
        <v>92.926277385610504</v>
      </c>
      <c r="AJ6136">
        <v>99.307327816572993</v>
      </c>
      <c r="AK6136">
        <v>21.752622887419601</v>
      </c>
      <c r="AL6136">
        <v>69.721780925341406</v>
      </c>
      <c r="AM6136">
        <v>97.601883026189597</v>
      </c>
      <c r="AN6136">
        <v>1.00000003144186</v>
      </c>
    </row>
    <row r="6137" spans="1:40" x14ac:dyDescent="0.25">
      <c r="A6137" t="str">
        <f>"20190304164246535"</f>
        <v>20190304164246535</v>
      </c>
      <c r="B6137" t="str">
        <f>"1551688966527631"</f>
        <v>1551688966527631</v>
      </c>
      <c r="C6137" t="s">
        <v>40</v>
      </c>
      <c r="D6137">
        <v>4.0522320000000001</v>
      </c>
      <c r="E6137">
        <v>0.47859370000000001</v>
      </c>
      <c r="F6137" t="s">
        <v>42</v>
      </c>
      <c r="G6137">
        <v>-336.87880000000001</v>
      </c>
      <c r="H6137" s="1">
        <v>-1.6654819999999999E-6</v>
      </c>
      <c r="I6137">
        <v>20.909829999999999</v>
      </c>
      <c r="J6137">
        <v>-358.30959999999999</v>
      </c>
      <c r="K6137">
        <v>1.1104989999999999</v>
      </c>
      <c r="L6137">
        <v>17.319579999999998</v>
      </c>
      <c r="M6137">
        <v>0.99995160000000005</v>
      </c>
      <c r="N6137">
        <v>-9.3179519999999991E-3</v>
      </c>
      <c r="O6137">
        <v>3.1932000000000002E-3</v>
      </c>
      <c r="P6137">
        <v>0.93251289999999998</v>
      </c>
      <c r="Q6137">
        <v>0.33820029999999901</v>
      </c>
      <c r="R6137">
        <v>0.1266516</v>
      </c>
      <c r="S6137">
        <v>3.2043149999999998</v>
      </c>
      <c r="T6137">
        <v>-0.16436199999999901</v>
      </c>
      <c r="U6137">
        <v>0.53155520000000001</v>
      </c>
      <c r="V6137">
        <v>-0.1240069</v>
      </c>
      <c r="W6137">
        <v>0.3467594</v>
      </c>
      <c r="X6137">
        <v>0.92972049999999995</v>
      </c>
      <c r="Y6137">
        <v>-0.16025929999999999</v>
      </c>
      <c r="Z6137">
        <v>4.6989140000000002E-3</v>
      </c>
      <c r="AA6137">
        <v>0.98706380000000005</v>
      </c>
      <c r="AB6137">
        <v>28</v>
      </c>
      <c r="AC6137">
        <v>21.430799999999898</v>
      </c>
      <c r="AD6137">
        <v>-1.110500665482</v>
      </c>
      <c r="AE6137">
        <v>3.5902500000000002</v>
      </c>
      <c r="AF6137">
        <v>-3.5126216313863701</v>
      </c>
      <c r="AG6137">
        <v>-1.110500665482</v>
      </c>
      <c r="AH6137">
        <v>21.386298854463501</v>
      </c>
      <c r="AI6137">
        <v>92.933228196886105</v>
      </c>
      <c r="AJ6137">
        <v>99.327343767342199</v>
      </c>
      <c r="AK6137">
        <v>21.701278790563101</v>
      </c>
      <c r="AL6137">
        <v>69.710766870679606</v>
      </c>
      <c r="AM6137">
        <v>97.597317662785898</v>
      </c>
      <c r="AN6137">
        <v>1.0000000004281</v>
      </c>
    </row>
    <row r="6138" spans="1:40" x14ac:dyDescent="0.25">
      <c r="A6138" t="str">
        <f>"20190304164246548"</f>
        <v>20190304164246548</v>
      </c>
      <c r="B6138" t="str">
        <f>"1551688966537392"</f>
        <v>1551688966537392</v>
      </c>
      <c r="C6138" t="s">
        <v>40</v>
      </c>
      <c r="D6138">
        <v>4.0634610000000002</v>
      </c>
      <c r="E6138">
        <v>0.47787479999999899</v>
      </c>
      <c r="F6138" t="s">
        <v>42</v>
      </c>
      <c r="G6138">
        <v>-330.65469999999999</v>
      </c>
      <c r="H6138" s="1">
        <v>-4.6781430000000003E-6</v>
      </c>
      <c r="I6138">
        <v>23.139320000000001</v>
      </c>
      <c r="J6138">
        <v>-358.16289999999998</v>
      </c>
      <c r="K6138">
        <v>1.110501</v>
      </c>
      <c r="L6138">
        <v>17.320339999999899</v>
      </c>
      <c r="M6138">
        <v>0.99995049999999996</v>
      </c>
      <c r="N6138">
        <v>-9.3302160000000006E-3</v>
      </c>
      <c r="O6138">
        <v>3.4861639999999999E-3</v>
      </c>
      <c r="P6138">
        <v>0.93237190000000003</v>
      </c>
      <c r="Q6138">
        <v>0.33858179999999999</v>
      </c>
      <c r="R6138">
        <v>0.12667030000000001</v>
      </c>
      <c r="S6138">
        <v>3.1726380000000001</v>
      </c>
      <c r="T6138">
        <v>-0.12739980000000001</v>
      </c>
      <c r="U6138">
        <v>0.66766359999999902</v>
      </c>
      <c r="V6138">
        <v>-0.12375369999999999</v>
      </c>
      <c r="W6138">
        <v>0.34715119999999999</v>
      </c>
      <c r="X6138">
        <v>0.92960799999999999</v>
      </c>
      <c r="Y6138">
        <v>-0.2023287</v>
      </c>
      <c r="Z6138">
        <v>4.8651060000000001E-3</v>
      </c>
      <c r="AA6138">
        <v>0.9793056</v>
      </c>
      <c r="AB6138">
        <v>28</v>
      </c>
      <c r="AC6138">
        <v>27.508199999999899</v>
      </c>
      <c r="AD6138">
        <v>-1.1105056781430001</v>
      </c>
      <c r="AE6138">
        <v>5.8189799999999998</v>
      </c>
      <c r="AF6138">
        <v>-5.7141287198125896</v>
      </c>
      <c r="AG6138">
        <v>-1.1105056781430001</v>
      </c>
      <c r="AH6138">
        <v>27.485444183877501</v>
      </c>
      <c r="AI6138">
        <v>92.265302095181994</v>
      </c>
      <c r="AJ6138">
        <v>101.744301406383</v>
      </c>
      <c r="AK6138">
        <v>28.095090885647899</v>
      </c>
      <c r="AL6138">
        <v>69.686831209803401</v>
      </c>
      <c r="AM6138">
        <v>97.582892823059495</v>
      </c>
      <c r="AN6138">
        <v>0.99999998379456401</v>
      </c>
    </row>
    <row r="6139" spans="1:40" x14ac:dyDescent="0.25">
      <c r="A6139" t="str">
        <f>"20190304164246558"</f>
        <v>20190304164246558</v>
      </c>
      <c r="B6139" t="str">
        <f>"1551688966547152"</f>
        <v>1551688966547152</v>
      </c>
      <c r="C6139" t="s">
        <v>40</v>
      </c>
      <c r="D6139">
        <v>4.0560939999999999</v>
      </c>
      <c r="E6139">
        <v>0.47733399999999998</v>
      </c>
      <c r="F6139" t="s">
        <v>42</v>
      </c>
      <c r="G6139">
        <v>-328.68759999999997</v>
      </c>
      <c r="H6139" s="1">
        <v>-1.6552480000000001E-6</v>
      </c>
      <c r="I6139">
        <v>23.579029999999999</v>
      </c>
      <c r="J6139">
        <v>-358.01069999999999</v>
      </c>
      <c r="K6139">
        <v>1.1105050000000001</v>
      </c>
      <c r="L6139">
        <v>17.321169999999999</v>
      </c>
      <c r="M6139">
        <v>0.99994930000000004</v>
      </c>
      <c r="N6139">
        <v>-9.3423180000000005E-3</v>
      </c>
      <c r="O6139">
        <v>3.7896789999999998E-3</v>
      </c>
      <c r="P6139">
        <v>0.93236059999999998</v>
      </c>
      <c r="Q6139">
        <v>0.3386748</v>
      </c>
      <c r="R6139">
        <v>0.12650429999999999</v>
      </c>
      <c r="S6139">
        <v>3.1695250000000001</v>
      </c>
      <c r="T6139">
        <v>-0.1194139</v>
      </c>
      <c r="U6139">
        <v>0.67300419999999905</v>
      </c>
      <c r="V6139">
        <v>-0.12330530000000001</v>
      </c>
      <c r="W6139">
        <v>0.34725620000000001</v>
      </c>
      <c r="X6139">
        <v>0.92962840000000002</v>
      </c>
      <c r="Y6139">
        <v>-0.20382410000000001</v>
      </c>
      <c r="Z6139">
        <v>4.6528539999999997E-3</v>
      </c>
      <c r="AA6139">
        <v>0.97899650000000005</v>
      </c>
      <c r="AB6139">
        <v>28</v>
      </c>
      <c r="AC6139">
        <v>29.3231</v>
      </c>
      <c r="AD6139">
        <v>-1.1105066552480001</v>
      </c>
      <c r="AE6139">
        <v>6.2578599999999902</v>
      </c>
      <c r="AF6139">
        <v>-6.1382648201399004</v>
      </c>
      <c r="AG6139">
        <v>-1.1105066552480001</v>
      </c>
      <c r="AH6139">
        <v>29.3064041831962</v>
      </c>
      <c r="AI6139">
        <v>92.124022316317095</v>
      </c>
      <c r="AJ6139">
        <v>101.829666156465</v>
      </c>
      <c r="AK6139">
        <v>29.962924526527399</v>
      </c>
      <c r="AL6139">
        <v>69.680416700897098</v>
      </c>
      <c r="AM6139">
        <v>97.555571637838895</v>
      </c>
      <c r="AN6139">
        <v>1.0000000137665399</v>
      </c>
    </row>
    <row r="6140" spans="1:40" x14ac:dyDescent="0.25">
      <c r="A6140" t="str">
        <f>"20190304164246570"</f>
        <v>20190304164246570</v>
      </c>
      <c r="B6140" t="str">
        <f>"1551688966567647"</f>
        <v>1551688966567647</v>
      </c>
      <c r="C6140" t="s">
        <v>40</v>
      </c>
      <c r="D6140">
        <v>4.021115</v>
      </c>
      <c r="E6140">
        <v>0.47648620000000003</v>
      </c>
      <c r="F6140" t="s">
        <v>42</v>
      </c>
      <c r="G6140">
        <v>-327.59910000000002</v>
      </c>
      <c r="H6140" s="1">
        <v>-2.2341069999999999E-6</v>
      </c>
      <c r="I6140">
        <v>23.820789999999999</v>
      </c>
      <c r="J6140">
        <v>-357.87729999999999</v>
      </c>
      <c r="K6140">
        <v>1.1105069999999999</v>
      </c>
      <c r="L6140">
        <v>17.321929999999998</v>
      </c>
      <c r="M6140">
        <v>0.99994819999999995</v>
      </c>
      <c r="N6140">
        <v>-9.3522380000000006E-3</v>
      </c>
      <c r="O6140">
        <v>4.0548169999999996E-3</v>
      </c>
      <c r="P6140">
        <v>0.93224039999999997</v>
      </c>
      <c r="Q6140">
        <v>0.33915450000000003</v>
      </c>
      <c r="R6140">
        <v>0.12610370000000001</v>
      </c>
      <c r="S6140">
        <v>3.1678160000000002</v>
      </c>
      <c r="T6140">
        <v>-0.1156758</v>
      </c>
      <c r="U6140">
        <v>0.67703250000000004</v>
      </c>
      <c r="V6140">
        <v>-0.1226584</v>
      </c>
      <c r="W6140">
        <v>0.34774450000000001</v>
      </c>
      <c r="X6140">
        <v>0.92953149999999996</v>
      </c>
      <c r="Y6140">
        <v>-0.2048711</v>
      </c>
      <c r="Z6140">
        <v>4.5578270000000004E-3</v>
      </c>
      <c r="AA6140">
        <v>0.97877840000000005</v>
      </c>
      <c r="AB6140">
        <v>28</v>
      </c>
      <c r="AC6140">
        <v>30.278199999999899</v>
      </c>
      <c r="AD6140">
        <v>-1.110509234107</v>
      </c>
      <c r="AE6140">
        <v>6.4988599999999996</v>
      </c>
      <c r="AF6140">
        <v>-6.3678399429145296</v>
      </c>
      <c r="AG6140">
        <v>-1.110509234107</v>
      </c>
      <c r="AH6140">
        <v>30.2653841699289</v>
      </c>
      <c r="AI6140">
        <v>92.056392699184201</v>
      </c>
      <c r="AJ6140">
        <v>101.881733301946</v>
      </c>
      <c r="AK6140">
        <v>30.947957852675799</v>
      </c>
      <c r="AL6140">
        <v>69.650580814448006</v>
      </c>
      <c r="AM6140">
        <v>97.517161620923403</v>
      </c>
      <c r="AN6140">
        <v>1.0000000649315199</v>
      </c>
    </row>
    <row r="6141" spans="1:40" x14ac:dyDescent="0.25">
      <c r="A6141" t="str">
        <f>"20190304164246583"</f>
        <v>20190304164246583</v>
      </c>
      <c r="B6141" t="str">
        <f>"1551688966577407"</f>
        <v>1551688966577407</v>
      </c>
      <c r="C6141" t="s">
        <v>40</v>
      </c>
      <c r="D6141">
        <v>4.0322800000000001</v>
      </c>
      <c r="E6141">
        <v>0.47625859999999898</v>
      </c>
      <c r="F6141" t="s">
        <v>42</v>
      </c>
      <c r="G6141">
        <v>-326.2158</v>
      </c>
      <c r="H6141" s="1">
        <v>-2.9756049999999999E-6</v>
      </c>
      <c r="I6141">
        <v>24.150020000000001</v>
      </c>
      <c r="J6141">
        <v>-357.72370000000001</v>
      </c>
      <c r="K6141">
        <v>1.110506</v>
      </c>
      <c r="L6141">
        <v>17.322849999999999</v>
      </c>
      <c r="M6141">
        <v>0.99994669999999997</v>
      </c>
      <c r="N6141">
        <v>-9.3633740000000007E-3</v>
      </c>
      <c r="O6141">
        <v>4.3599449999999996E-3</v>
      </c>
      <c r="P6141">
        <v>0.9321758</v>
      </c>
      <c r="Q6141">
        <v>0.33949289999999999</v>
      </c>
      <c r="R6141">
        <v>0.12566920000000001</v>
      </c>
      <c r="S6141">
        <v>3.1661069999999998</v>
      </c>
      <c r="T6141">
        <v>-0.1110495</v>
      </c>
      <c r="U6141">
        <v>0.68280030000000003</v>
      </c>
      <c r="V6141">
        <v>-0.1219403</v>
      </c>
      <c r="W6141">
        <v>0.34809370000000001</v>
      </c>
      <c r="X6141">
        <v>0.92949519999999997</v>
      </c>
      <c r="Y6141">
        <v>-0.206395</v>
      </c>
      <c r="Z6141">
        <v>4.4442769999999999E-3</v>
      </c>
      <c r="AA6141">
        <v>0.97845859999999996</v>
      </c>
      <c r="AB6141">
        <v>28</v>
      </c>
      <c r="AC6141">
        <v>31.507899999999999</v>
      </c>
      <c r="AD6141">
        <v>-1.1105089756049999</v>
      </c>
      <c r="AE6141">
        <v>6.8271699999999997</v>
      </c>
      <c r="AF6141">
        <v>-6.6817982185123901</v>
      </c>
      <c r="AG6141">
        <v>-1.1105089756049999</v>
      </c>
      <c r="AH6141">
        <v>31.4999921853647</v>
      </c>
      <c r="AI6141">
        <v>91.975172509270493</v>
      </c>
      <c r="AJ6141">
        <v>101.976100581461</v>
      </c>
      <c r="AK6141">
        <v>32.220011876097303</v>
      </c>
      <c r="AL6141">
        <v>69.629238329300406</v>
      </c>
      <c r="AM6141">
        <v>97.473940129145305</v>
      </c>
      <c r="AN6141">
        <v>0.99999999378340998</v>
      </c>
    </row>
    <row r="6142" spans="1:40" x14ac:dyDescent="0.25">
      <c r="A6142" t="str">
        <f>"20190304164246594"</f>
        <v>20190304164246594</v>
      </c>
      <c r="B6142" t="str">
        <f>"1551688966587168"</f>
        <v>1551688966587168</v>
      </c>
      <c r="C6142" t="s">
        <v>40</v>
      </c>
      <c r="D6142">
        <v>3.9972989999999999</v>
      </c>
      <c r="E6142">
        <v>0.47593469999999999</v>
      </c>
      <c r="F6142" t="s">
        <v>42</v>
      </c>
      <c r="G6142">
        <v>-325.2285</v>
      </c>
      <c r="H6142" s="1">
        <v>-3.4932120000000002E-6</v>
      </c>
      <c r="I6142">
        <v>24.341460000000001</v>
      </c>
      <c r="J6142">
        <v>-357.57190000000003</v>
      </c>
      <c r="K6142">
        <v>1.1105080000000001</v>
      </c>
      <c r="L6142">
        <v>17.323820000000001</v>
      </c>
      <c r="M6142">
        <v>0.99994519999999998</v>
      </c>
      <c r="N6142">
        <v>-9.3735109999999993E-3</v>
      </c>
      <c r="O6142">
        <v>4.6608439999999999E-3</v>
      </c>
      <c r="P6142">
        <v>0.93201069999999997</v>
      </c>
      <c r="Q6142">
        <v>0.34004759999999901</v>
      </c>
      <c r="R6142">
        <v>0.125394899999999</v>
      </c>
      <c r="S6142">
        <v>3.1654969999999998</v>
      </c>
      <c r="T6142">
        <v>-0.10817980000000001</v>
      </c>
      <c r="U6142">
        <v>0.68371579999999998</v>
      </c>
      <c r="V6142">
        <v>-0.1213875</v>
      </c>
      <c r="W6142">
        <v>0.34865679999999999</v>
      </c>
      <c r="X6142">
        <v>0.92935650000000003</v>
      </c>
      <c r="Y6142">
        <v>-0.20641680000000001</v>
      </c>
      <c r="Z6142">
        <v>4.3505319999999998E-3</v>
      </c>
      <c r="AA6142">
        <v>0.9784545</v>
      </c>
      <c r="AB6142">
        <v>28</v>
      </c>
      <c r="AC6142">
        <v>32.343400000000003</v>
      </c>
      <c r="AD6142">
        <v>-1.1105114932119999</v>
      </c>
      <c r="AE6142">
        <v>7.0176399999999903</v>
      </c>
      <c r="AF6142">
        <v>-6.8590870243002202</v>
      </c>
      <c r="AG6142">
        <v>-1.1105114932119999</v>
      </c>
      <c r="AH6142">
        <v>32.339347667966798</v>
      </c>
      <c r="AI6142">
        <v>91.923960175878605</v>
      </c>
      <c r="AJ6142">
        <v>101.97481916261999</v>
      </c>
      <c r="AK6142">
        <v>33.0773898331339</v>
      </c>
      <c r="AL6142">
        <v>69.594818935973095</v>
      </c>
      <c r="AM6142">
        <v>97.441536496488695</v>
      </c>
      <c r="AN6142">
        <v>0.99999999671736906</v>
      </c>
    </row>
    <row r="6143" spans="1:40" x14ac:dyDescent="0.25">
      <c r="A6143" t="str">
        <f>"20190304164246605"</f>
        <v>20190304164246605</v>
      </c>
      <c r="B6143" t="str">
        <f>"1551688966596928"</f>
        <v>1551688966596928</v>
      </c>
      <c r="C6143" t="s">
        <v>40</v>
      </c>
      <c r="D6143">
        <v>3.9946060000000001</v>
      </c>
      <c r="E6143">
        <v>0.47572730000000002</v>
      </c>
      <c r="F6143" t="s">
        <v>42</v>
      </c>
      <c r="G6143">
        <v>-324.79300000000001</v>
      </c>
      <c r="H6143" s="1">
        <v>-3.7210379999999998E-6</v>
      </c>
      <c r="I6143">
        <v>24.423870000000001</v>
      </c>
      <c r="J6143">
        <v>-357.43770000000001</v>
      </c>
      <c r="K6143">
        <v>1.1105119999999999</v>
      </c>
      <c r="L6143">
        <v>17.32471</v>
      </c>
      <c r="M6143">
        <v>0.9999439</v>
      </c>
      <c r="N6143">
        <v>-9.3822260000000005E-3</v>
      </c>
      <c r="O6143">
        <v>4.9265230000000004E-3</v>
      </c>
      <c r="P6143">
        <v>0.93193610000000005</v>
      </c>
      <c r="Q6143">
        <v>0.34044049999999998</v>
      </c>
      <c r="R6143">
        <v>0.1248817</v>
      </c>
      <c r="S6143">
        <v>3.16568</v>
      </c>
      <c r="T6143">
        <v>-0.1072496</v>
      </c>
      <c r="U6143">
        <v>0.68569950000000002</v>
      </c>
      <c r="V6143">
        <v>-0.1206277</v>
      </c>
      <c r="W6143">
        <v>0.34905809999999998</v>
      </c>
      <c r="X6143">
        <v>0.92930480000000004</v>
      </c>
      <c r="Y6143">
        <v>-0.2067329</v>
      </c>
      <c r="Z6143">
        <v>4.3228920000000001E-3</v>
      </c>
      <c r="AA6143">
        <v>0.97838789999999998</v>
      </c>
      <c r="AB6143">
        <v>28</v>
      </c>
      <c r="AC6143">
        <v>32.6447</v>
      </c>
      <c r="AD6143">
        <v>-1.1105157210379999</v>
      </c>
      <c r="AE6143">
        <v>7.0991600000000004</v>
      </c>
      <c r="AF6143">
        <v>-6.9305837167579103</v>
      </c>
      <c r="AG6143">
        <v>-1.1105157210379999</v>
      </c>
      <c r="AH6143">
        <v>32.643209277631698</v>
      </c>
      <c r="AI6143">
        <v>91.905987871017203</v>
      </c>
      <c r="AJ6143">
        <v>101.98665764178099</v>
      </c>
      <c r="AK6143">
        <v>33.389299899293</v>
      </c>
      <c r="AL6143">
        <v>69.570284983924495</v>
      </c>
      <c r="AM6143">
        <v>97.395881835093803</v>
      </c>
      <c r="AN6143">
        <v>1.0000000052429701</v>
      </c>
    </row>
    <row r="6144" spans="1:40" x14ac:dyDescent="0.25">
      <c r="A6144" t="str">
        <f>"20190304164246619"</f>
        <v>20190304164246619</v>
      </c>
      <c r="B6144" t="str">
        <f>"1551688966607664"</f>
        <v>1551688966607664</v>
      </c>
      <c r="C6144" t="s">
        <v>40</v>
      </c>
      <c r="D6144">
        <v>4.0176030000000003</v>
      </c>
      <c r="E6144">
        <v>0.47529959999999999</v>
      </c>
      <c r="F6144" t="s">
        <v>42</v>
      </c>
      <c r="G6144">
        <v>-324.45699999999999</v>
      </c>
      <c r="H6144" s="1">
        <v>-3.8611530000000002E-6</v>
      </c>
      <c r="I6144">
        <v>24.47259</v>
      </c>
      <c r="J6144">
        <v>-357.26929999999999</v>
      </c>
      <c r="K6144">
        <v>1.110514</v>
      </c>
      <c r="L6144">
        <v>17.325900000000001</v>
      </c>
      <c r="M6144">
        <v>0.99994209999999994</v>
      </c>
      <c r="N6144">
        <v>-9.3925580000000005E-3</v>
      </c>
      <c r="O6144">
        <v>5.259906E-3</v>
      </c>
      <c r="P6144">
        <v>0.93174979999999996</v>
      </c>
      <c r="Q6144">
        <v>0.34100439999999999</v>
      </c>
      <c r="R6144">
        <v>0.1247331</v>
      </c>
      <c r="S6144">
        <v>3.1661069999999998</v>
      </c>
      <c r="T6144">
        <v>-0.10660799999999999</v>
      </c>
      <c r="U6144">
        <v>0.68618769999999996</v>
      </c>
      <c r="V6144">
        <v>-0.1201696</v>
      </c>
      <c r="W6144">
        <v>0.34963040000000001</v>
      </c>
      <c r="X6144">
        <v>0.929149</v>
      </c>
      <c r="Y6144">
        <v>-0.20652529999999999</v>
      </c>
      <c r="Z6144">
        <v>4.2914059999999898E-3</v>
      </c>
      <c r="AA6144">
        <v>0.97843190000000002</v>
      </c>
      <c r="AB6144">
        <v>28</v>
      </c>
      <c r="AC6144">
        <v>32.812299999999901</v>
      </c>
      <c r="AD6144">
        <v>-1.110517861153</v>
      </c>
      <c r="AE6144">
        <v>7.1466900000000004</v>
      </c>
      <c r="AF6144">
        <v>-6.9663756478701204</v>
      </c>
      <c r="AG6144">
        <v>-1.110517861153</v>
      </c>
      <c r="AH6144">
        <v>32.813554513418502</v>
      </c>
      <c r="AI6144">
        <v>91.896108589795404</v>
      </c>
      <c r="AJ6144">
        <v>101.98603174949</v>
      </c>
      <c r="AK6144">
        <v>33.563268604119301</v>
      </c>
      <c r="AL6144">
        <v>69.535289745334097</v>
      </c>
      <c r="AM6144">
        <v>97.369326090851203</v>
      </c>
      <c r="AN6144">
        <v>1.0000000067846599</v>
      </c>
    </row>
    <row r="6145" spans="1:40" x14ac:dyDescent="0.25">
      <c r="A6145" t="str">
        <f>"20190304164246636"</f>
        <v>20190304164246636</v>
      </c>
      <c r="B6145" t="str">
        <f>"1551688966627184"</f>
        <v>1551688966627184</v>
      </c>
      <c r="C6145" t="s">
        <v>40</v>
      </c>
      <c r="D6145">
        <v>3.9893969999999999</v>
      </c>
      <c r="E6145">
        <v>0.47455979999999998</v>
      </c>
      <c r="F6145" t="s">
        <v>42</v>
      </c>
      <c r="G6145">
        <v>-324.19810000000001</v>
      </c>
      <c r="H6145" s="1">
        <v>-3.9697040000000004E-6</v>
      </c>
      <c r="I6145">
        <v>24.523959999999999</v>
      </c>
      <c r="J6145">
        <v>-357.04680000000002</v>
      </c>
      <c r="K6145">
        <v>1.1105149999999999</v>
      </c>
      <c r="L6145">
        <v>17.32751</v>
      </c>
      <c r="M6145">
        <v>0.99993969999999999</v>
      </c>
      <c r="N6145">
        <v>-9.4018160000000003E-3</v>
      </c>
      <c r="O6145">
        <v>5.7005199999999997E-3</v>
      </c>
      <c r="P6145">
        <v>0.93179259999999997</v>
      </c>
      <c r="Q6145">
        <v>0.34129389999999998</v>
      </c>
      <c r="R6145">
        <v>0.1236177</v>
      </c>
      <c r="S6145">
        <v>3.1664119999999998</v>
      </c>
      <c r="T6145">
        <v>-0.10632659999999999</v>
      </c>
      <c r="U6145">
        <v>0.68917850000000003</v>
      </c>
      <c r="V6145">
        <v>-0.118644</v>
      </c>
      <c r="W6145">
        <v>0.34993059999999998</v>
      </c>
      <c r="X6145">
        <v>0.92923210000000001</v>
      </c>
      <c r="Y6145">
        <v>-0.20695759999999999</v>
      </c>
      <c r="Z6145">
        <v>4.281984E-3</v>
      </c>
      <c r="AA6145">
        <v>0.97834049999999995</v>
      </c>
      <c r="AB6145">
        <v>28</v>
      </c>
      <c r="AC6145">
        <v>32.848700000000001</v>
      </c>
      <c r="AD6145">
        <v>-1.1105189697040001</v>
      </c>
      <c r="AE6145">
        <v>7.1964499999999898</v>
      </c>
      <c r="AF6145">
        <v>-7.0014345397781002</v>
      </c>
      <c r="AG6145">
        <v>-1.1105189697040001</v>
      </c>
      <c r="AH6145">
        <v>32.853362429484797</v>
      </c>
      <c r="AI6145">
        <v>91.893502796373397</v>
      </c>
      <c r="AJ6145">
        <v>102.030426412464</v>
      </c>
      <c r="AK6145">
        <v>33.609474273186002</v>
      </c>
      <c r="AL6145">
        <v>69.516930915159406</v>
      </c>
      <c r="AM6145">
        <v>97.276134975963203</v>
      </c>
      <c r="AN6145">
        <v>1.0000000596113801</v>
      </c>
    </row>
    <row r="6146" spans="1:40" x14ac:dyDescent="0.25">
      <c r="A6146" t="str">
        <f>"20190304164246650"</f>
        <v>20190304164246650</v>
      </c>
      <c r="B6146" t="str">
        <f>"1551688966647679"</f>
        <v>1551688966647679</v>
      </c>
      <c r="C6146" t="s">
        <v>40</v>
      </c>
      <c r="D6146">
        <v>3.9913750000000001</v>
      </c>
      <c r="E6146">
        <v>0.47395480000000001</v>
      </c>
      <c r="F6146" t="s">
        <v>42</v>
      </c>
      <c r="G6146">
        <v>-324.65769999999998</v>
      </c>
      <c r="H6146" s="1">
        <v>-3.7719369999999998E-6</v>
      </c>
      <c r="I6146">
        <v>24.404160000000001</v>
      </c>
      <c r="J6146">
        <v>-356.87459999999999</v>
      </c>
      <c r="K6146">
        <v>1.1105119999999999</v>
      </c>
      <c r="L6146">
        <v>17.328859999999999</v>
      </c>
      <c r="M6146">
        <v>0.99993750000000003</v>
      </c>
      <c r="N6146">
        <v>-9.402232E-3</v>
      </c>
      <c r="O6146">
        <v>6.0417519999999897E-3</v>
      </c>
      <c r="P6146">
        <v>0.93182830000000005</v>
      </c>
      <c r="Q6146">
        <v>0.34135209999999999</v>
      </c>
      <c r="R6146">
        <v>0.1231858</v>
      </c>
      <c r="S6146">
        <v>3.1675719999999998</v>
      </c>
      <c r="T6146">
        <v>-0.10860599999999999</v>
      </c>
      <c r="U6146">
        <v>0.69207759999999996</v>
      </c>
      <c r="V6146">
        <v>-0.1178941</v>
      </c>
      <c r="W6146">
        <v>0.349991</v>
      </c>
      <c r="X6146">
        <v>0.92930480000000004</v>
      </c>
      <c r="Y6146">
        <v>-0.20739859999999999</v>
      </c>
      <c r="Z6146">
        <v>4.3513170000000004E-3</v>
      </c>
      <c r="AA6146">
        <v>0.97824679999999997</v>
      </c>
      <c r="AB6146">
        <v>28</v>
      </c>
      <c r="AC6146">
        <v>32.216900000000003</v>
      </c>
      <c r="AD6146">
        <v>-1.110515771937</v>
      </c>
      <c r="AE6146">
        <v>7.0753000000000004</v>
      </c>
      <c r="AF6146">
        <v>-6.8727254210277904</v>
      </c>
      <c r="AG6146">
        <v>-1.110515771937</v>
      </c>
      <c r="AH6146">
        <v>32.222536488987998</v>
      </c>
      <c r="AI6146">
        <v>91.930468956746694</v>
      </c>
      <c r="AJ6146">
        <v>102.04016740977499</v>
      </c>
      <c r="AK6146">
        <v>32.966034911355699</v>
      </c>
      <c r="AL6146">
        <v>69.513236757911599</v>
      </c>
      <c r="AM6146">
        <v>97.230074099669096</v>
      </c>
      <c r="AN6146">
        <v>1.0000000650994201</v>
      </c>
    </row>
    <row r="6147" spans="1:40" x14ac:dyDescent="0.25">
      <c r="A6147" t="str">
        <f>"20190304164246663"</f>
        <v>20190304164246663</v>
      </c>
      <c r="B6147" t="str">
        <f>"1551688966657440"</f>
        <v>1551688966657440</v>
      </c>
      <c r="C6147" t="s">
        <v>40</v>
      </c>
      <c r="D6147">
        <v>4.0042200000000001</v>
      </c>
      <c r="E6147">
        <v>0.47376689999999999</v>
      </c>
      <c r="F6147" t="s">
        <v>42</v>
      </c>
      <c r="G6147">
        <v>-325.09699999999998</v>
      </c>
      <c r="H6147" s="1">
        <v>-3.5473989999999999E-6</v>
      </c>
      <c r="I6147">
        <v>24.311419999999998</v>
      </c>
      <c r="J6147">
        <v>-356.72089999999997</v>
      </c>
      <c r="K6147">
        <v>1.110509</v>
      </c>
      <c r="L6147">
        <v>17.330079999999999</v>
      </c>
      <c r="M6147">
        <v>0.99993589999999999</v>
      </c>
      <c r="N6147">
        <v>-9.3989989999999999E-3</v>
      </c>
      <c r="O6147">
        <v>6.346104E-3</v>
      </c>
      <c r="P6147">
        <v>0.93202890000000005</v>
      </c>
      <c r="Q6147">
        <v>0.34097690000000003</v>
      </c>
      <c r="R6147">
        <v>0.1227077</v>
      </c>
      <c r="S6147">
        <v>3.1679689999999998</v>
      </c>
      <c r="T6147">
        <v>-0.1107094</v>
      </c>
      <c r="U6147">
        <v>0.696106</v>
      </c>
      <c r="V6147">
        <v>-0.1171312</v>
      </c>
      <c r="W6147">
        <v>0.34961530000000002</v>
      </c>
      <c r="X6147">
        <v>0.9295426</v>
      </c>
      <c r="Y6147">
        <v>-0.20825659999999999</v>
      </c>
      <c r="Z6147">
        <v>4.4254799999999999E-3</v>
      </c>
      <c r="AA6147">
        <v>0.97806420000000005</v>
      </c>
      <c r="AB6147">
        <v>28</v>
      </c>
      <c r="AC6147">
        <v>31.6238999999999</v>
      </c>
      <c r="AD6147">
        <v>-1.1105125473989901</v>
      </c>
      <c r="AE6147">
        <v>6.9813400000000003</v>
      </c>
      <c r="AF6147">
        <v>-6.7725385697200799</v>
      </c>
      <c r="AG6147">
        <v>-1.1105125473989901</v>
      </c>
      <c r="AH6147">
        <v>31.630376981178099</v>
      </c>
      <c r="AI6147">
        <v>91.966244351658801</v>
      </c>
      <c r="AJ6147">
        <v>102.085405657769</v>
      </c>
      <c r="AK6147">
        <v>32.366360079065402</v>
      </c>
      <c r="AL6147">
        <v>69.536213271495797</v>
      </c>
      <c r="AM6147">
        <v>97.181959602969599</v>
      </c>
      <c r="AN6147">
        <v>1.00000001061114</v>
      </c>
    </row>
    <row r="6148" spans="1:40" x14ac:dyDescent="0.25">
      <c r="A6148" t="str">
        <f>"20190304164246680"</f>
        <v>20190304164246680</v>
      </c>
      <c r="B6148" t="str">
        <f>"1551688966667199"</f>
        <v>1551688966667199</v>
      </c>
      <c r="C6148" t="s">
        <v>40</v>
      </c>
      <c r="D6148">
        <v>3.9738730000000002</v>
      </c>
      <c r="E6148">
        <v>0.47355619999999998</v>
      </c>
      <c r="F6148" t="s">
        <v>42</v>
      </c>
      <c r="G6148">
        <v>-325.37150000000003</v>
      </c>
      <c r="H6148" s="1">
        <v>-3.3931269999999999E-6</v>
      </c>
      <c r="I6148">
        <v>24.2193</v>
      </c>
      <c r="J6148">
        <v>-356.49419999999998</v>
      </c>
      <c r="K6148">
        <v>1.1105020000000001</v>
      </c>
      <c r="L6148">
        <v>17.331969999999998</v>
      </c>
      <c r="M6148">
        <v>0.99993299999999996</v>
      </c>
      <c r="N6148">
        <v>-9.3866880000000007E-3</v>
      </c>
      <c r="O6148">
        <v>6.7953329999999998E-3</v>
      </c>
      <c r="P6148">
        <v>0.93235310000000005</v>
      </c>
      <c r="Q6148">
        <v>0.34049849999999998</v>
      </c>
      <c r="R6148">
        <v>0.1215671</v>
      </c>
      <c r="S6148">
        <v>3.1681819999999998</v>
      </c>
      <c r="T6148">
        <v>-0.112229</v>
      </c>
      <c r="U6148">
        <v>0.69622799999999996</v>
      </c>
      <c r="V6148">
        <v>-0.1155692</v>
      </c>
      <c r="W6148">
        <v>0.34913</v>
      </c>
      <c r="X6148">
        <v>0.92992039999999998</v>
      </c>
      <c r="Y6148">
        <v>-0.2078362</v>
      </c>
      <c r="Z6148">
        <v>4.4492840000000004E-3</v>
      </c>
      <c r="AA6148">
        <v>0.97815350000000001</v>
      </c>
      <c r="AB6148">
        <v>28</v>
      </c>
      <c r="AC6148">
        <v>31.122699999999899</v>
      </c>
      <c r="AD6148">
        <v>-1.1105053931269999</v>
      </c>
      <c r="AE6148">
        <v>6.8873299999999897</v>
      </c>
      <c r="AF6148">
        <v>-6.6675799125579598</v>
      </c>
      <c r="AG6148">
        <v>-1.1105053931269999</v>
      </c>
      <c r="AH6148">
        <v>31.1310004115136</v>
      </c>
      <c r="AI6148">
        <v>91.997721123182004</v>
      </c>
      <c r="AJ6148">
        <v>102.088864250171</v>
      </c>
      <c r="AK6148">
        <v>31.856381318978599</v>
      </c>
      <c r="AL6148">
        <v>69.565888171020504</v>
      </c>
      <c r="AM6148">
        <v>97.084315132598704</v>
      </c>
      <c r="AN6148">
        <v>0.99999997361239901</v>
      </c>
    </row>
    <row r="6149" spans="1:40" x14ac:dyDescent="0.25">
      <c r="A6149" t="str">
        <f>"20190304164246692"</f>
        <v>20190304164246692</v>
      </c>
      <c r="B6149" t="str">
        <f>"1551688966687696"</f>
        <v>1551688966687696</v>
      </c>
      <c r="C6149" t="s">
        <v>40</v>
      </c>
      <c r="D6149">
        <v>3.9945889999999999</v>
      </c>
      <c r="E6149">
        <v>0.47335539999999998</v>
      </c>
      <c r="F6149" t="s">
        <v>42</v>
      </c>
      <c r="G6149">
        <v>-325.60070000000002</v>
      </c>
      <c r="H6149" s="1">
        <v>-3.2537409999999999E-6</v>
      </c>
      <c r="I6149">
        <v>24.10258</v>
      </c>
      <c r="J6149">
        <v>-356.34949999999998</v>
      </c>
      <c r="K6149">
        <v>1.1104969999999901</v>
      </c>
      <c r="L6149">
        <v>17.33325</v>
      </c>
      <c r="M6149">
        <v>0.99993100000000001</v>
      </c>
      <c r="N6149">
        <v>-9.3756450000000002E-3</v>
      </c>
      <c r="O6149">
        <v>7.0819569999999998E-3</v>
      </c>
      <c r="P6149">
        <v>0.93249110000000002</v>
      </c>
      <c r="Q6149">
        <v>0.34023540000000002</v>
      </c>
      <c r="R6149">
        <v>0.12124509999999999</v>
      </c>
      <c r="S6149">
        <v>3.1687319999999999</v>
      </c>
      <c r="T6149">
        <v>-0.11390400000000001</v>
      </c>
      <c r="U6149">
        <v>0.69445800000000002</v>
      </c>
      <c r="V6149">
        <v>-0.114979</v>
      </c>
      <c r="W6149">
        <v>0.34885919999999998</v>
      </c>
      <c r="X6149">
        <v>0.93009520000000001</v>
      </c>
      <c r="Y6149">
        <v>-0.2069956</v>
      </c>
      <c r="Z6149">
        <v>4.4718830000000003E-3</v>
      </c>
      <c r="AA6149">
        <v>0.97833170000000003</v>
      </c>
      <c r="AB6149">
        <v>28</v>
      </c>
      <c r="AC6149">
        <v>30.7487999999999</v>
      </c>
      <c r="AD6149">
        <v>-1.11050025374099</v>
      </c>
      <c r="AE6149">
        <v>6.7693300000000001</v>
      </c>
      <c r="AF6149">
        <v>-6.5432490630162503</v>
      </c>
      <c r="AG6149">
        <v>-1.11050025374099</v>
      </c>
      <c r="AH6149">
        <v>30.757707894916699</v>
      </c>
      <c r="AI6149">
        <v>92.022532412548202</v>
      </c>
      <c r="AJ6149">
        <v>102.00979585189199</v>
      </c>
      <c r="AK6149">
        <v>31.465598898848899</v>
      </c>
      <c r="AL6149">
        <v>69.582445363245796</v>
      </c>
      <c r="AM6149">
        <v>97.047189738146599</v>
      </c>
      <c r="AN6149">
        <v>0.99999999646434001</v>
      </c>
    </row>
    <row r="6150" spans="1:40" x14ac:dyDescent="0.25">
      <c r="A6150" t="str">
        <f>"20190304164246704"</f>
        <v>20190304164246704</v>
      </c>
      <c r="B6150" t="str">
        <f>"1551688966697455"</f>
        <v>1551688966697455</v>
      </c>
      <c r="C6150" t="s">
        <v>40</v>
      </c>
      <c r="D6150">
        <v>3.9720900000000001</v>
      </c>
      <c r="E6150">
        <v>0.47335539999999998</v>
      </c>
      <c r="F6150" t="s">
        <v>42</v>
      </c>
      <c r="G6150">
        <v>-326.21100000000001</v>
      </c>
      <c r="H6150" s="1">
        <v>-2.9239029999999999E-6</v>
      </c>
      <c r="I6150">
        <v>23.947209999999998</v>
      </c>
      <c r="J6150">
        <v>-356.19850000000002</v>
      </c>
      <c r="K6150">
        <v>1.110492</v>
      </c>
      <c r="L6150">
        <v>17.334589999999999</v>
      </c>
      <c r="M6150">
        <v>0.99992899999999996</v>
      </c>
      <c r="N6150">
        <v>-9.3622940000000002E-3</v>
      </c>
      <c r="O6150">
        <v>7.3809879999999998E-3</v>
      </c>
      <c r="P6150">
        <v>0.93263110000000005</v>
      </c>
      <c r="Q6150">
        <v>0.34000209999999997</v>
      </c>
      <c r="R6150">
        <v>0.120822</v>
      </c>
      <c r="S6150">
        <v>3.1693730000000002</v>
      </c>
      <c r="T6150">
        <v>-0.1167806</v>
      </c>
      <c r="U6150">
        <v>0.69552609999999904</v>
      </c>
      <c r="V6150">
        <v>-0.1142755</v>
      </c>
      <c r="W6150">
        <v>0.34861520000000001</v>
      </c>
      <c r="X6150">
        <v>0.93027340000000003</v>
      </c>
      <c r="Y6150">
        <v>-0.20696919999999999</v>
      </c>
      <c r="Z6150">
        <v>4.5473199999999997E-3</v>
      </c>
      <c r="AA6150">
        <v>0.97833689999999995</v>
      </c>
      <c r="AB6150">
        <v>28</v>
      </c>
      <c r="AC6150">
        <v>29.987500000000001</v>
      </c>
      <c r="AD6150">
        <v>-1.110494923903</v>
      </c>
      <c r="AE6150">
        <v>6.6126199999999997</v>
      </c>
      <c r="AF6150">
        <v>-6.38274561652032</v>
      </c>
      <c r="AG6150">
        <v>-1.110494923903</v>
      </c>
      <c r="AH6150">
        <v>29.996264596855099</v>
      </c>
      <c r="AI6150">
        <v>92.0737985347143</v>
      </c>
      <c r="AJ6150">
        <v>102.01250474438601</v>
      </c>
      <c r="AK6150">
        <v>30.6879215709662</v>
      </c>
      <c r="AL6150">
        <v>69.597362560112899</v>
      </c>
      <c r="AM6150">
        <v>97.003172643990098</v>
      </c>
      <c r="AN6150">
        <v>1.0000000231594199</v>
      </c>
    </row>
    <row r="6151" spans="1:40" x14ac:dyDescent="0.25">
      <c r="A6151" t="str">
        <f>"20190304164246716"</f>
        <v>20190304164246716</v>
      </c>
      <c r="B6151" t="str">
        <f>"1551688966707215"</f>
        <v>1551688966707215</v>
      </c>
      <c r="C6151" t="s">
        <v>40</v>
      </c>
      <c r="D6151">
        <v>4.0491159999999997</v>
      </c>
      <c r="E6151">
        <v>0.47325689999999998</v>
      </c>
      <c r="F6151" t="s">
        <v>42</v>
      </c>
      <c r="G6151">
        <v>-326.26350000000002</v>
      </c>
      <c r="H6151" s="1">
        <v>-2.8837699999999998E-6</v>
      </c>
      <c r="I6151">
        <v>23.889720000000001</v>
      </c>
      <c r="J6151">
        <v>-356.05079999999998</v>
      </c>
      <c r="K6151">
        <v>1.1104769999999999</v>
      </c>
      <c r="L6151">
        <v>17.335999999999999</v>
      </c>
      <c r="M6151">
        <v>0.99992700000000001</v>
      </c>
      <c r="N6151">
        <v>-9.3438050000000002E-3</v>
      </c>
      <c r="O6151">
        <v>7.674022E-3</v>
      </c>
      <c r="P6151">
        <v>0.93275889999999995</v>
      </c>
      <c r="Q6151">
        <v>0.33975290000000002</v>
      </c>
      <c r="R6151">
        <v>0.1205374</v>
      </c>
      <c r="S6151">
        <v>3.1696780000000002</v>
      </c>
      <c r="T6151">
        <v>-0.1175851</v>
      </c>
      <c r="U6151">
        <v>0.69409180000000004</v>
      </c>
      <c r="V6151">
        <v>-0.1137165</v>
      </c>
      <c r="W6151">
        <v>0.34835060000000001</v>
      </c>
      <c r="X6151">
        <v>0.93044099999999996</v>
      </c>
      <c r="Y6151">
        <v>-0.20623910000000001</v>
      </c>
      <c r="Z6151">
        <v>4.5442649999999996E-3</v>
      </c>
      <c r="AA6151">
        <v>0.97849109999999995</v>
      </c>
      <c r="AB6151">
        <v>28</v>
      </c>
      <c r="AC6151">
        <v>29.787299999999899</v>
      </c>
      <c r="AD6151">
        <v>-1.1104798837699901</v>
      </c>
      <c r="AE6151">
        <v>6.5537200000000002</v>
      </c>
      <c r="AF6151">
        <v>-6.3165551095874299</v>
      </c>
      <c r="AG6151">
        <v>-1.1104798837699901</v>
      </c>
      <c r="AH6151">
        <v>29.7972177076329</v>
      </c>
      <c r="AI6151">
        <v>92.087950244959899</v>
      </c>
      <c r="AJ6151">
        <v>101.96864901916101</v>
      </c>
      <c r="AK6151">
        <v>30.479603296972002</v>
      </c>
      <c r="AL6151">
        <v>69.613536814691201</v>
      </c>
      <c r="AM6151">
        <v>96.968010005123702</v>
      </c>
      <c r="AN6151">
        <v>1.0000000186868001</v>
      </c>
    </row>
    <row r="6152" spans="1:40" x14ac:dyDescent="0.25">
      <c r="A6152" t="str">
        <f>"20190304164246727"</f>
        <v>20190304164246727</v>
      </c>
      <c r="B6152" t="str">
        <f>"1551688966716976"</f>
        <v>1551688966716976</v>
      </c>
      <c r="C6152" t="s">
        <v>40</v>
      </c>
      <c r="D6152">
        <v>4.4348400000000003</v>
      </c>
      <c r="E6152">
        <v>0.47325689999999998</v>
      </c>
      <c r="F6152" t="s">
        <v>42</v>
      </c>
      <c r="G6152">
        <v>-326.54000000000002</v>
      </c>
      <c r="H6152" s="1">
        <v>-2.7293810000000002E-6</v>
      </c>
      <c r="I6152">
        <v>23.800709999999999</v>
      </c>
      <c r="J6152">
        <v>-355.91269999999997</v>
      </c>
      <c r="K6152">
        <v>1.1104689999999999</v>
      </c>
      <c r="L6152">
        <v>17.337309999999999</v>
      </c>
      <c r="M6152">
        <v>0.99992499999999995</v>
      </c>
      <c r="N6152">
        <v>-9.3233310000000007E-3</v>
      </c>
      <c r="O6152">
        <v>7.9478120000000003E-3</v>
      </c>
      <c r="P6152">
        <v>0.93290139999999999</v>
      </c>
      <c r="Q6152">
        <v>0.33960370000000001</v>
      </c>
      <c r="R6152">
        <v>0.1198509</v>
      </c>
      <c r="S6152">
        <v>3.1699830000000002</v>
      </c>
      <c r="T6152">
        <v>-0.11928560000000001</v>
      </c>
      <c r="U6152">
        <v>0.69442749999999998</v>
      </c>
      <c r="V6152">
        <v>-0.1127736</v>
      </c>
      <c r="W6152">
        <v>0.34818519999999997</v>
      </c>
      <c r="X6152">
        <v>0.93061760000000004</v>
      </c>
      <c r="Y6152">
        <v>-0.20604639999999999</v>
      </c>
      <c r="Z6152">
        <v>4.5800329999999998E-3</v>
      </c>
      <c r="AA6152">
        <v>0.9785315</v>
      </c>
      <c r="AB6152">
        <v>28</v>
      </c>
      <c r="AC6152">
        <v>29.372699999999899</v>
      </c>
      <c r="AD6152">
        <v>-1.110471729381</v>
      </c>
      <c r="AE6152">
        <v>6.4634</v>
      </c>
      <c r="AF6152">
        <v>-6.22125556726734</v>
      </c>
      <c r="AG6152">
        <v>-1.110471729381</v>
      </c>
      <c r="AH6152">
        <v>29.383086348989298</v>
      </c>
      <c r="AI6152">
        <v>92.117445747677905</v>
      </c>
      <c r="AJ6152">
        <v>101.954633847514</v>
      </c>
      <c r="AK6152">
        <v>30.054998447632101</v>
      </c>
      <c r="AL6152">
        <v>69.623645368729896</v>
      </c>
      <c r="AM6152">
        <v>96.909495824032106</v>
      </c>
      <c r="AN6152">
        <v>0.99999996789287904</v>
      </c>
    </row>
    <row r="6153" spans="1:40" x14ac:dyDescent="0.25">
      <c r="A6153" t="str">
        <f>"20190304164246739"</f>
        <v>20190304164246739</v>
      </c>
      <c r="B6153" t="str">
        <f>"1551688966727711"</f>
        <v>1551688966727711</v>
      </c>
      <c r="C6153" t="s">
        <v>40</v>
      </c>
      <c r="D6153">
        <v>4.4381659999999998</v>
      </c>
      <c r="E6153">
        <v>0.51256000000000002</v>
      </c>
      <c r="F6153" t="s">
        <v>42</v>
      </c>
      <c r="G6153">
        <v>-326.52449999999999</v>
      </c>
      <c r="H6153" s="1">
        <v>-2.7240399999999999E-6</v>
      </c>
      <c r="I6153">
        <v>23.752980000000001</v>
      </c>
      <c r="J6153">
        <v>-355.76209999999998</v>
      </c>
      <c r="K6153">
        <v>1.11046</v>
      </c>
      <c r="L6153">
        <v>17.338809999999999</v>
      </c>
      <c r="M6153">
        <v>0.9999228</v>
      </c>
      <c r="N6153">
        <v>-9.2973680000000003E-3</v>
      </c>
      <c r="O6153">
        <v>8.2464210000000003E-3</v>
      </c>
      <c r="P6153">
        <v>0.93299690000000002</v>
      </c>
      <c r="Q6153">
        <v>0.33961059999999998</v>
      </c>
      <c r="R6153">
        <v>0.1190861</v>
      </c>
      <c r="S6153">
        <v>3.170471</v>
      </c>
      <c r="T6153">
        <v>-0.1198004</v>
      </c>
      <c r="U6153">
        <v>0.6921387</v>
      </c>
      <c r="V6153">
        <v>-0.1117296</v>
      </c>
      <c r="W6153">
        <v>0.34816960000000002</v>
      </c>
      <c r="X6153">
        <v>0.93074939999999995</v>
      </c>
      <c r="Y6153">
        <v>-0.20504820000000001</v>
      </c>
      <c r="Z6153">
        <v>4.5603079999999999E-3</v>
      </c>
      <c r="AA6153">
        <v>0.97874130000000004</v>
      </c>
      <c r="AB6153">
        <v>28</v>
      </c>
      <c r="AC6153">
        <v>29.237599999999901</v>
      </c>
      <c r="AD6153">
        <v>-1.11046272404</v>
      </c>
      <c r="AE6153">
        <v>6.4141699999999897</v>
      </c>
      <c r="AF6153">
        <v>-6.1643519694665301</v>
      </c>
      <c r="AG6153">
        <v>-1.11046272404</v>
      </c>
      <c r="AH6153">
        <v>29.249246529125799</v>
      </c>
      <c r="AI6153">
        <v>92.127528465580696</v>
      </c>
      <c r="AJ6153">
        <v>101.901067136409</v>
      </c>
      <c r="AK6153">
        <v>29.912385147067798</v>
      </c>
      <c r="AL6153">
        <v>69.624599733607099</v>
      </c>
      <c r="AM6153">
        <v>96.845180891767399</v>
      </c>
      <c r="AN6153">
        <v>1.0000000097403301</v>
      </c>
    </row>
    <row r="6154" spans="1:40" x14ac:dyDescent="0.25">
      <c r="A6154" t="str">
        <f>"20190304164246752"</f>
        <v>20190304164246752</v>
      </c>
      <c r="B6154" t="str">
        <f>"1551688966747231"</f>
        <v>1551688966747231</v>
      </c>
      <c r="C6154" t="s">
        <v>40</v>
      </c>
      <c r="D6154">
        <v>4.0175299999999998</v>
      </c>
      <c r="E6154">
        <v>0.56690369999999901</v>
      </c>
      <c r="F6154" t="s">
        <v>42</v>
      </c>
      <c r="G6154">
        <v>-337.19080000000002</v>
      </c>
      <c r="H6154" s="1">
        <v>-1.1986939999999999E-6</v>
      </c>
      <c r="I6154">
        <v>19.552949999999999</v>
      </c>
      <c r="J6154">
        <v>-355.61200000000002</v>
      </c>
      <c r="K6154">
        <v>1.110452</v>
      </c>
      <c r="L6154">
        <v>17.340329999999899</v>
      </c>
      <c r="M6154">
        <v>0.99992060000000005</v>
      </c>
      <c r="N6154">
        <v>-9.2678099999999996E-3</v>
      </c>
      <c r="O6154">
        <v>8.5438530000000006E-3</v>
      </c>
      <c r="P6154">
        <v>0.93320820000000004</v>
      </c>
      <c r="Q6154">
        <v>0.33933229999999998</v>
      </c>
      <c r="R6154">
        <v>0.11822100000000001</v>
      </c>
      <c r="S6154">
        <v>3.2366030000000001</v>
      </c>
      <c r="T6154">
        <v>-0.19353100000000001</v>
      </c>
      <c r="U6154">
        <v>0.38589479999999998</v>
      </c>
      <c r="V6154">
        <v>-0.1105853</v>
      </c>
      <c r="W6154">
        <v>0.34786699999999998</v>
      </c>
      <c r="X6154">
        <v>0.93099920000000003</v>
      </c>
      <c r="Y6154">
        <v>-0.1096887</v>
      </c>
      <c r="Z6154">
        <v>3.3458440000000002E-3</v>
      </c>
      <c r="AA6154">
        <v>0.99396039999999997</v>
      </c>
      <c r="AB6154">
        <v>28</v>
      </c>
      <c r="AC6154">
        <v>18.421199999999899</v>
      </c>
      <c r="AD6154">
        <v>-1.1104531986940001</v>
      </c>
      <c r="AE6154">
        <v>2.2126199999999998</v>
      </c>
      <c r="AF6154">
        <v>-2.0478088966817798</v>
      </c>
      <c r="AG6154">
        <v>-1.1104531986940001</v>
      </c>
      <c r="AH6154">
        <v>18.373615630092601</v>
      </c>
      <c r="AI6154">
        <v>93.437367871636994</v>
      </c>
      <c r="AJ6154">
        <v>96.359585010109797</v>
      </c>
      <c r="AK6154">
        <v>18.520701361077101</v>
      </c>
      <c r="AL6154">
        <v>69.643094047916307</v>
      </c>
      <c r="AM6154">
        <v>96.773928666783107</v>
      </c>
      <c r="AN6154">
        <v>1.0000000343328601</v>
      </c>
    </row>
    <row r="6155" spans="1:40" x14ac:dyDescent="0.25">
      <c r="A6155" t="str">
        <f>"20190304164246763"</f>
        <v>20190304164246763</v>
      </c>
      <c r="B6155" t="str">
        <f>"1551688966756993"</f>
        <v>1551688966756993</v>
      </c>
      <c r="C6155" t="s">
        <v>40</v>
      </c>
      <c r="D6155">
        <v>4.3988950000000004</v>
      </c>
      <c r="E6155">
        <v>0.57121529999999998</v>
      </c>
      <c r="F6155" t="s">
        <v>41</v>
      </c>
      <c r="G6155">
        <v>-354.74849999999998</v>
      </c>
      <c r="H6155">
        <v>1.0385530000000001</v>
      </c>
      <c r="I6155">
        <v>17.33006</v>
      </c>
      <c r="J6155">
        <v>-355.46120000000002</v>
      </c>
      <c r="K6155">
        <v>1.1104459999999901</v>
      </c>
      <c r="L6155">
        <v>17.341889999999999</v>
      </c>
      <c r="M6155">
        <v>0.99991830000000004</v>
      </c>
      <c r="N6155">
        <v>-9.2366819999999995E-3</v>
      </c>
      <c r="O6155">
        <v>8.8424239999999998E-3</v>
      </c>
      <c r="P6155">
        <v>0.93332859999999995</v>
      </c>
      <c r="Q6155">
        <v>0.33936749999999999</v>
      </c>
      <c r="R6155">
        <v>0.1171662</v>
      </c>
      <c r="S6155">
        <v>3.3201900000000002</v>
      </c>
      <c r="T6155">
        <v>-0.27651949999999997</v>
      </c>
      <c r="U6155">
        <v>-3.8970949999999997E-2</v>
      </c>
      <c r="V6155">
        <v>-0.10925070000000001</v>
      </c>
      <c r="W6155">
        <v>0.3478755</v>
      </c>
      <c r="X6155">
        <v>0.93115349999999997</v>
      </c>
      <c r="Y6155">
        <v>2.0475520000000001E-2</v>
      </c>
      <c r="Z6155">
        <v>-1.5994830000000001E-3</v>
      </c>
      <c r="AA6155">
        <v>0.99978909999999999</v>
      </c>
      <c r="AB6155">
        <v>28</v>
      </c>
      <c r="AC6155">
        <v>0.71270000000003997</v>
      </c>
      <c r="AD6155">
        <v>-7.1892999999999693E-2</v>
      </c>
      <c r="AE6155">
        <v>-1.18299999999997E-2</v>
      </c>
      <c r="AF6155">
        <v>1.7949208035577299E-2</v>
      </c>
      <c r="AG6155">
        <v>-7.1892999999999693E-2</v>
      </c>
      <c r="AH6155">
        <v>0.70539172283844298</v>
      </c>
      <c r="AI6155">
        <v>95.817578687225904</v>
      </c>
      <c r="AJ6155">
        <v>88.542381547709198</v>
      </c>
      <c r="AK6155">
        <v>0.70927305050106804</v>
      </c>
      <c r="AL6155">
        <v>69.642573004180605</v>
      </c>
      <c r="AM6155">
        <v>96.691824536437196</v>
      </c>
      <c r="AN6155">
        <v>0.99999995975649403</v>
      </c>
    </row>
    <row r="6156" spans="1:40" x14ac:dyDescent="0.25">
      <c r="A6156" t="str">
        <f>"20190304164246775"</f>
        <v>20190304164246775</v>
      </c>
      <c r="B6156" t="str">
        <f>"1551688966767729"</f>
        <v>1551688966767729</v>
      </c>
      <c r="C6156" t="s">
        <v>40</v>
      </c>
      <c r="D6156">
        <v>4.1674280000000001</v>
      </c>
      <c r="E6156">
        <v>0.57392840000000001</v>
      </c>
      <c r="F6156" t="s">
        <v>41</v>
      </c>
      <c r="G6156">
        <v>-354.49829999999997</v>
      </c>
      <c r="H6156">
        <v>1.0329120000000001</v>
      </c>
      <c r="I6156">
        <v>17.319179999999999</v>
      </c>
      <c r="J6156">
        <v>-355.30169999999998</v>
      </c>
      <c r="K6156">
        <v>1.11043799999999</v>
      </c>
      <c r="L6156">
        <v>17.343629999999902</v>
      </c>
      <c r="M6156">
        <v>0.99991589999999997</v>
      </c>
      <c r="N6156">
        <v>-9.2000399999999996E-3</v>
      </c>
      <c r="O6156">
        <v>9.1587790000000006E-3</v>
      </c>
      <c r="P6156">
        <v>0.93339130000000003</v>
      </c>
      <c r="Q6156">
        <v>0.33953759999999999</v>
      </c>
      <c r="R6156">
        <v>0.11616899999999999</v>
      </c>
      <c r="S6156">
        <v>3.3211979999999999</v>
      </c>
      <c r="T6156">
        <v>-0.26741409999999999</v>
      </c>
      <c r="U6156">
        <v>-7.7301030000000007E-2</v>
      </c>
      <c r="V6156">
        <v>-0.107958399999999</v>
      </c>
      <c r="W6156">
        <v>0.34801359999999998</v>
      </c>
      <c r="X6156">
        <v>0.93125270000000004</v>
      </c>
      <c r="Y6156">
        <v>3.2284800000000002E-2</v>
      </c>
      <c r="Z6156">
        <v>-2.0983030000000001E-3</v>
      </c>
      <c r="AA6156">
        <v>0.99947649999999999</v>
      </c>
      <c r="AB6156">
        <v>28</v>
      </c>
      <c r="AC6156">
        <v>0.80340000000001</v>
      </c>
      <c r="AD6156">
        <v>-7.7525999999999706E-2</v>
      </c>
      <c r="AE6156">
        <v>-2.4449999999998001E-2</v>
      </c>
      <c r="AF6156">
        <v>3.1514266378822001E-2</v>
      </c>
      <c r="AG6156">
        <v>-7.7525999999999706E-2</v>
      </c>
      <c r="AH6156">
        <v>0.79573949168573799</v>
      </c>
      <c r="AI6156">
        <v>95.560225930701094</v>
      </c>
      <c r="AJ6156">
        <v>87.732057608937197</v>
      </c>
      <c r="AK6156">
        <v>0.800127969945853</v>
      </c>
      <c r="AL6156">
        <v>69.634134723675302</v>
      </c>
      <c r="AM6156">
        <v>96.612675658081102</v>
      </c>
      <c r="AN6156">
        <v>1.0000000365863999</v>
      </c>
    </row>
    <row r="6157" spans="1:40" x14ac:dyDescent="0.25">
      <c r="A6157" t="str">
        <f>"20190304164246793"</f>
        <v>20190304164246793</v>
      </c>
      <c r="B6157" t="str">
        <f>"1551688966787249"</f>
        <v>1551688966787249</v>
      </c>
      <c r="C6157" t="s">
        <v>40</v>
      </c>
      <c r="D6157">
        <v>3.9588670000000001</v>
      </c>
      <c r="E6157">
        <v>0.57580109999999995</v>
      </c>
      <c r="F6157" t="s">
        <v>41</v>
      </c>
      <c r="G6157">
        <v>-354.48989999999998</v>
      </c>
      <c r="H6157">
        <v>1.047228</v>
      </c>
      <c r="I6157">
        <v>17.318210000000001</v>
      </c>
      <c r="J6157">
        <v>-355.08440000000002</v>
      </c>
      <c r="K6157">
        <v>1.1104270000000001</v>
      </c>
      <c r="L6157">
        <v>17.346039999999999</v>
      </c>
      <c r="M6157">
        <v>0.99991229999999998</v>
      </c>
      <c r="N6157">
        <v>-9.1472080000000004E-3</v>
      </c>
      <c r="O6157">
        <v>9.5894050000000005E-3</v>
      </c>
      <c r="P6157">
        <v>0.93357860000000004</v>
      </c>
      <c r="Q6157">
        <v>0.33967779999999997</v>
      </c>
      <c r="R6157">
        <v>0.1142379</v>
      </c>
      <c r="S6157">
        <v>3.3209230000000001</v>
      </c>
      <c r="T6157">
        <v>-0.25857520000000001</v>
      </c>
      <c r="U6157">
        <v>-0.1027527</v>
      </c>
      <c r="V6157">
        <v>-0.1056242</v>
      </c>
      <c r="W6157">
        <v>0.3481088</v>
      </c>
      <c r="X6157">
        <v>0.93148470000000005</v>
      </c>
      <c r="Y6157">
        <v>4.035101E-2</v>
      </c>
      <c r="Z6157">
        <v>-2.4108659999999998E-3</v>
      </c>
      <c r="AA6157">
        <v>0.99918260000000003</v>
      </c>
      <c r="AB6157">
        <v>28</v>
      </c>
      <c r="AC6157">
        <v>0.594500000000039</v>
      </c>
      <c r="AD6157">
        <v>-6.3199000000000005E-2</v>
      </c>
      <c r="AE6157">
        <v>-2.7829999999997999E-2</v>
      </c>
      <c r="AF6157">
        <v>3.3155983107549497E-2</v>
      </c>
      <c r="AG6157">
        <v>-6.3199000000000005E-2</v>
      </c>
      <c r="AH6157">
        <v>0.58758005883241005</v>
      </c>
      <c r="AI6157">
        <v>96.129348537965598</v>
      </c>
      <c r="AJ6157">
        <v>86.770337212080904</v>
      </c>
      <c r="AK6157">
        <v>0.59189843584379098</v>
      </c>
      <c r="AL6157">
        <v>69.628315092156598</v>
      </c>
      <c r="AM6157">
        <v>96.469328954776699</v>
      </c>
      <c r="AN6157">
        <v>0.99999997729858403</v>
      </c>
    </row>
    <row r="6158" spans="1:40" x14ac:dyDescent="0.25">
      <c r="A6158" t="str">
        <f>"20190304164246804"</f>
        <v>20190304164246804</v>
      </c>
      <c r="B6158" t="str">
        <f>"1551688966797008"</f>
        <v>1551688966797008</v>
      </c>
      <c r="C6158" t="s">
        <v>40</v>
      </c>
      <c r="D6158">
        <v>3.9894630000000002</v>
      </c>
      <c r="E6158">
        <v>0.57613890000000001</v>
      </c>
      <c r="F6158" t="s">
        <v>41</v>
      </c>
      <c r="G6158">
        <v>-354.24110000000002</v>
      </c>
      <c r="H6158">
        <v>1.040268</v>
      </c>
      <c r="I6158">
        <v>17.314900000000002</v>
      </c>
      <c r="J6158">
        <v>-354.93169999999998</v>
      </c>
      <c r="K6158">
        <v>1.110425</v>
      </c>
      <c r="L6158">
        <v>17.34778</v>
      </c>
      <c r="M6158">
        <v>0.99990950000000001</v>
      </c>
      <c r="N6158">
        <v>-9.1081419999999996E-3</v>
      </c>
      <c r="O6158">
        <v>9.8921809999999999E-3</v>
      </c>
      <c r="P6158">
        <v>0.93367520000000004</v>
      </c>
      <c r="Q6158">
        <v>0.33972469999999999</v>
      </c>
      <c r="R6158">
        <v>0.1133036</v>
      </c>
      <c r="S6158">
        <v>3.3291930000000001</v>
      </c>
      <c r="T6158">
        <v>-0.27699659999999998</v>
      </c>
      <c r="U6158">
        <v>-0.12219240000000001</v>
      </c>
      <c r="V6158">
        <v>-0.1044066</v>
      </c>
      <c r="W6158">
        <v>0.34812130000000002</v>
      </c>
      <c r="X6158">
        <v>0.93161729999999998</v>
      </c>
      <c r="Y6158">
        <v>4.6358099999999999E-2</v>
      </c>
      <c r="Z6158">
        <v>-2.8676330000000001E-3</v>
      </c>
      <c r="AA6158">
        <v>0.99892080000000005</v>
      </c>
      <c r="AB6158">
        <v>28</v>
      </c>
      <c r="AC6158">
        <v>0.69059999999996002</v>
      </c>
      <c r="AD6158">
        <v>-7.0156999999999997E-2</v>
      </c>
      <c r="AE6158">
        <v>-3.2879999999998598E-2</v>
      </c>
      <c r="AF6158">
        <v>3.9305491459783001E-2</v>
      </c>
      <c r="AG6158">
        <v>-7.0156999999999997E-2</v>
      </c>
      <c r="AH6158">
        <v>0.68320604972385601</v>
      </c>
      <c r="AI6158">
        <v>95.853421700774206</v>
      </c>
      <c r="AJ6158">
        <v>86.707348992319197</v>
      </c>
      <c r="AK6158">
        <v>0.68792254846542999</v>
      </c>
      <c r="AL6158">
        <v>69.627551286800397</v>
      </c>
      <c r="AM6158">
        <v>96.394471436912198</v>
      </c>
      <c r="AN6158">
        <v>0.99999998564826897</v>
      </c>
    </row>
    <row r="6159" spans="1:40" x14ac:dyDescent="0.25">
      <c r="A6159" t="str">
        <f>"20190304164246817"</f>
        <v>20190304164246817</v>
      </c>
      <c r="B6159" t="str">
        <f>"1551688966807743"</f>
        <v>1551688966807743</v>
      </c>
      <c r="C6159" t="s">
        <v>40</v>
      </c>
      <c r="D6159">
        <v>4.0154579999999997</v>
      </c>
      <c r="E6159">
        <v>0.57639739999999995</v>
      </c>
      <c r="F6159" t="s">
        <v>41</v>
      </c>
      <c r="G6159">
        <v>-353.99130000000002</v>
      </c>
      <c r="H6159">
        <v>1.0312059999999901</v>
      </c>
      <c r="I6159">
        <v>17.31147</v>
      </c>
      <c r="J6159">
        <v>-354.77010000000001</v>
      </c>
      <c r="K6159">
        <v>1.110417</v>
      </c>
      <c r="L6159">
        <v>17.349699999999999</v>
      </c>
      <c r="M6159">
        <v>0.99990690000000004</v>
      </c>
      <c r="N6159">
        <v>-9.0643800000000004E-3</v>
      </c>
      <c r="O6159">
        <v>1.021244E-2</v>
      </c>
      <c r="P6159">
        <v>0.93373170000000005</v>
      </c>
      <c r="Q6159">
        <v>0.33987859999999998</v>
      </c>
      <c r="R6159">
        <v>0.1123729</v>
      </c>
      <c r="S6159">
        <v>3.3306269999999998</v>
      </c>
      <c r="T6159">
        <v>-0.28063189999999999</v>
      </c>
      <c r="U6159">
        <v>-0.1270752</v>
      </c>
      <c r="V6159">
        <v>-0.103177</v>
      </c>
      <c r="W6159">
        <v>0.3482362</v>
      </c>
      <c r="X6159">
        <v>0.93171139999999997</v>
      </c>
      <c r="Y6159">
        <v>4.8111800000000003E-2</v>
      </c>
      <c r="Z6159">
        <v>-3.0074360000000001E-3</v>
      </c>
      <c r="AA6159">
        <v>0.99883739999999999</v>
      </c>
      <c r="AB6159">
        <v>28</v>
      </c>
      <c r="AC6159">
        <v>0.77879999999998895</v>
      </c>
      <c r="AD6159">
        <v>-7.9211000000000101E-2</v>
      </c>
      <c r="AE6159">
        <v>-3.8229999999998598E-2</v>
      </c>
      <c r="AF6159">
        <v>4.5710058714986998E-2</v>
      </c>
      <c r="AG6159">
        <v>-7.9211000000000101E-2</v>
      </c>
      <c r="AH6159">
        <v>0.77041833561058704</v>
      </c>
      <c r="AI6159">
        <v>95.860037875780606</v>
      </c>
      <c r="AJ6159">
        <v>86.604537234845395</v>
      </c>
      <c r="AK6159">
        <v>0.77582743173576596</v>
      </c>
      <c r="AL6159">
        <v>69.620529704972398</v>
      </c>
      <c r="AM6159">
        <v>96.319143330366202</v>
      </c>
      <c r="AN6159">
        <v>1.0000000386046899</v>
      </c>
    </row>
    <row r="6160" spans="1:40" x14ac:dyDescent="0.25">
      <c r="A6160" t="str">
        <f>"20190304164246831"</f>
        <v>20190304164246831</v>
      </c>
      <c r="B6160" t="str">
        <f>"1551688966827263"</f>
        <v>1551688966827263</v>
      </c>
      <c r="C6160" t="s">
        <v>40</v>
      </c>
      <c r="D6160">
        <v>3.9969139999999999</v>
      </c>
      <c r="E6160">
        <v>0.57677339999999999</v>
      </c>
      <c r="F6160" t="s">
        <v>41</v>
      </c>
      <c r="G6160">
        <v>-353.98540000000003</v>
      </c>
      <c r="H6160">
        <v>1.04342</v>
      </c>
      <c r="I6160">
        <v>17.318339999999999</v>
      </c>
      <c r="J6160">
        <v>-354.6001</v>
      </c>
      <c r="K6160">
        <v>1.1104099999999999</v>
      </c>
      <c r="L6160">
        <v>17.351779999999899</v>
      </c>
      <c r="M6160">
        <v>0.99990380000000001</v>
      </c>
      <c r="N6160">
        <v>-9.0181549999999999E-3</v>
      </c>
      <c r="O6160">
        <v>1.0549040000000001E-2</v>
      </c>
      <c r="P6160">
        <v>0.93389140000000004</v>
      </c>
      <c r="Q6160">
        <v>0.33972219999999997</v>
      </c>
      <c r="R6160">
        <v>0.1115169</v>
      </c>
      <c r="S6160">
        <v>3.3323059999999902</v>
      </c>
      <c r="T6160">
        <v>-0.28458030000000001</v>
      </c>
      <c r="U6160">
        <v>-0.13134770000000001</v>
      </c>
      <c r="V6160">
        <v>-0.1020054</v>
      </c>
      <c r="W6160">
        <v>0.34803909999999899</v>
      </c>
      <c r="X6160">
        <v>0.93191400000000002</v>
      </c>
      <c r="Y6160">
        <v>4.9694490000000001E-2</v>
      </c>
      <c r="Z6160">
        <v>-3.1459130000000002E-3</v>
      </c>
      <c r="AA6160">
        <v>0.99875950000000002</v>
      </c>
      <c r="AB6160">
        <v>28</v>
      </c>
      <c r="AC6160">
        <v>0.61469999999997005</v>
      </c>
      <c r="AD6160">
        <v>-6.6990000000000105E-2</v>
      </c>
      <c r="AE6160">
        <v>-3.3439999999998797E-2</v>
      </c>
      <c r="AF6160">
        <v>3.9455678902978603E-2</v>
      </c>
      <c r="AG6160">
        <v>-6.6990000000000105E-2</v>
      </c>
      <c r="AH6160">
        <v>0.60712370698794005</v>
      </c>
      <c r="AI6160">
        <v>96.283394276958504</v>
      </c>
      <c r="AJ6160">
        <v>86.281697879459699</v>
      </c>
      <c r="AK6160">
        <v>0.61208137227371395</v>
      </c>
      <c r="AL6160">
        <v>69.632575689306293</v>
      </c>
      <c r="AM6160">
        <v>96.246611048504903</v>
      </c>
      <c r="AN6160">
        <v>1.0000000100769799</v>
      </c>
    </row>
    <row r="6161" spans="1:40" x14ac:dyDescent="0.25">
      <c r="A6161" t="str">
        <f>"20190304164246849"</f>
        <v>20190304164246849</v>
      </c>
      <c r="B6161" t="str">
        <f>"1551688966837023"</f>
        <v>1551688966837023</v>
      </c>
      <c r="C6161" t="s">
        <v>40</v>
      </c>
      <c r="D6161">
        <v>4.1509309999999999</v>
      </c>
      <c r="E6161">
        <v>0.57713809999999999</v>
      </c>
      <c r="F6161" t="s">
        <v>41</v>
      </c>
      <c r="G6161">
        <v>-353.7346</v>
      </c>
      <c r="H6161">
        <v>1.035498</v>
      </c>
      <c r="I6161">
        <v>17.31625</v>
      </c>
      <c r="J6161">
        <v>-354.36810000000003</v>
      </c>
      <c r="K6161">
        <v>1.110406</v>
      </c>
      <c r="L6161">
        <v>17.354679999999998</v>
      </c>
      <c r="M6161">
        <v>0.99989939999999999</v>
      </c>
      <c r="N6161">
        <v>-8.9564399999999995E-3</v>
      </c>
      <c r="O6161">
        <v>1.100837E-2</v>
      </c>
      <c r="P6161">
        <v>0.93410470000000001</v>
      </c>
      <c r="Q6161">
        <v>0.33979949999999998</v>
      </c>
      <c r="R6161">
        <v>0.10947560000000001</v>
      </c>
      <c r="S6161">
        <v>3.333618</v>
      </c>
      <c r="T6161">
        <v>-0.28858270000000003</v>
      </c>
      <c r="U6161">
        <v>-0.136322</v>
      </c>
      <c r="V6161">
        <v>-9.9533780000000002E-2</v>
      </c>
      <c r="W6161">
        <v>0.34806320000000002</v>
      </c>
      <c r="X6161">
        <v>0.93217220000000001</v>
      </c>
      <c r="Y6161">
        <v>5.161031E-2</v>
      </c>
      <c r="Z6161">
        <v>-3.3129320000000002E-3</v>
      </c>
      <c r="AA6161">
        <v>0.99866180000000004</v>
      </c>
      <c r="AB6161">
        <v>28</v>
      </c>
      <c r="AC6161">
        <v>0.63350000000002604</v>
      </c>
      <c r="AD6161">
        <v>-7.4907999999999905E-2</v>
      </c>
      <c r="AE6161">
        <v>-3.8429999999998098E-2</v>
      </c>
      <c r="AF6161">
        <v>4.47779713312123E-2</v>
      </c>
      <c r="AG6161">
        <v>-7.4907999999999905E-2</v>
      </c>
      <c r="AH6161">
        <v>0.62434113405509195</v>
      </c>
      <c r="AI6161">
        <v>96.824240268948202</v>
      </c>
      <c r="AJ6161">
        <v>85.897750136356095</v>
      </c>
      <c r="AK6161">
        <v>0.63041107767371696</v>
      </c>
      <c r="AL6161">
        <v>69.631102287208805</v>
      </c>
      <c r="AM6161">
        <v>96.094731743660503</v>
      </c>
      <c r="AN6161">
        <v>0.99999998750408403</v>
      </c>
    </row>
    <row r="6162" spans="1:40" x14ac:dyDescent="0.25">
      <c r="A6162" t="str">
        <f>"20190304164246865"</f>
        <v>20190304164246865</v>
      </c>
      <c r="B6162" t="str">
        <f>"1551688966857520"</f>
        <v>1551688966857520</v>
      </c>
      <c r="C6162" t="s">
        <v>40</v>
      </c>
      <c r="D6162">
        <v>3.9605510000000002</v>
      </c>
      <c r="E6162">
        <v>0.57703209999999905</v>
      </c>
      <c r="F6162" t="s">
        <v>41</v>
      </c>
      <c r="G6162">
        <v>-353.48059999999998</v>
      </c>
      <c r="H6162">
        <v>1.0330060000000001</v>
      </c>
      <c r="I6162">
        <v>17.315750000000001</v>
      </c>
      <c r="J6162">
        <v>-354.16269999999997</v>
      </c>
      <c r="K6162">
        <v>1.1104000000000001</v>
      </c>
      <c r="L6162">
        <v>17.357329999999902</v>
      </c>
      <c r="M6162">
        <v>0.99989539999999999</v>
      </c>
      <c r="N6162">
        <v>-8.9040639999999997E-3</v>
      </c>
      <c r="O6162">
        <v>1.141461E-2</v>
      </c>
      <c r="P6162">
        <v>0.93422510000000003</v>
      </c>
      <c r="Q6162">
        <v>0.33971030000000002</v>
      </c>
      <c r="R6162">
        <v>0.1087239</v>
      </c>
      <c r="S6162">
        <v>3.3344420000000001</v>
      </c>
      <c r="T6162">
        <v>-0.29089179999999998</v>
      </c>
      <c r="U6162">
        <v>-0.14514160000000001</v>
      </c>
      <c r="V6162">
        <v>-9.8401989999999995E-2</v>
      </c>
      <c r="W6162">
        <v>0.34792729999999999</v>
      </c>
      <c r="X6162">
        <v>0.93234309999999998</v>
      </c>
      <c r="Y6162">
        <v>5.4625020000000003E-2</v>
      </c>
      <c r="Z6162">
        <v>-3.5129580000000001E-3</v>
      </c>
      <c r="AA6162">
        <v>0.99850079999999997</v>
      </c>
      <c r="AB6162">
        <v>29</v>
      </c>
      <c r="AC6162">
        <v>0.68209999999999105</v>
      </c>
      <c r="AD6162">
        <v>-7.7394000000000102E-2</v>
      </c>
      <c r="AE6162">
        <v>-4.1579999999996099E-2</v>
      </c>
      <c r="AF6162">
        <v>4.8738361681574797E-2</v>
      </c>
      <c r="AG6162">
        <v>-7.7394000000000102E-2</v>
      </c>
      <c r="AH6162">
        <v>0.67294934575290499</v>
      </c>
      <c r="AI6162">
        <v>96.543611668003905</v>
      </c>
      <c r="AJ6162">
        <v>85.857585461443406</v>
      </c>
      <c r="AK6162">
        <v>0.67913627578319402</v>
      </c>
      <c r="AL6162">
        <v>69.639408329179403</v>
      </c>
      <c r="AM6162">
        <v>96.024845454636505</v>
      </c>
      <c r="AN6162">
        <v>1.0000000069194299</v>
      </c>
    </row>
    <row r="6163" spans="1:40" x14ac:dyDescent="0.25">
      <c r="A6163" t="str">
        <f>"20190304164246881"</f>
        <v>20190304164246881</v>
      </c>
      <c r="B6163" t="str">
        <f>"1551688966877040"</f>
        <v>1551688966877040</v>
      </c>
      <c r="C6163" t="s">
        <v>40</v>
      </c>
      <c r="D6163">
        <v>4.0148039999999998</v>
      </c>
      <c r="E6163">
        <v>0.5768297</v>
      </c>
      <c r="F6163" t="s">
        <v>41</v>
      </c>
      <c r="G6163">
        <v>-353.22710000000001</v>
      </c>
      <c r="H6163">
        <v>1.0282260000000001</v>
      </c>
      <c r="I6163">
        <v>17.316369999999999</v>
      </c>
      <c r="J6163">
        <v>-353.95069999999998</v>
      </c>
      <c r="K6163">
        <v>1.1103970000000001</v>
      </c>
      <c r="L6163">
        <v>17.36017</v>
      </c>
      <c r="M6163">
        <v>0.99989090000000003</v>
      </c>
      <c r="N6163">
        <v>-8.8507250000000003E-3</v>
      </c>
      <c r="O6163">
        <v>1.183421E-2</v>
      </c>
      <c r="P6163">
        <v>0.93445710000000004</v>
      </c>
      <c r="Q6163">
        <v>0.33972449999999998</v>
      </c>
      <c r="R6163">
        <v>0.10666580000000001</v>
      </c>
      <c r="S6163">
        <v>3.3347169999999999</v>
      </c>
      <c r="T6163">
        <v>-0.29293909999999901</v>
      </c>
      <c r="U6163">
        <v>-0.14584349999999999</v>
      </c>
      <c r="V6163">
        <v>-9.595012E-2</v>
      </c>
      <c r="W6163">
        <v>0.34789599999999998</v>
      </c>
      <c r="X6163">
        <v>0.9326103</v>
      </c>
      <c r="Y6163">
        <v>5.5242779999999998E-2</v>
      </c>
      <c r="Z6163">
        <v>-3.5983310000000002E-3</v>
      </c>
      <c r="AA6163">
        <v>0.99846650000000003</v>
      </c>
      <c r="AB6163">
        <v>29</v>
      </c>
      <c r="AC6163">
        <v>0.72359999999997604</v>
      </c>
      <c r="AD6163">
        <v>-8.2170999999999703E-2</v>
      </c>
      <c r="AE6163">
        <v>-4.3799999999997397E-2</v>
      </c>
      <c r="AF6163">
        <v>5.1696282957024102E-2</v>
      </c>
      <c r="AG6163">
        <v>-8.2170999999999703E-2</v>
      </c>
      <c r="AH6163">
        <v>0.71385896460480902</v>
      </c>
      <c r="AI6163">
        <v>96.549311710044293</v>
      </c>
      <c r="AJ6163">
        <v>85.857981339815893</v>
      </c>
      <c r="AK6163">
        <v>0.72042987185375895</v>
      </c>
      <c r="AL6163">
        <v>69.641321296630295</v>
      </c>
      <c r="AM6163">
        <v>95.874117039810002</v>
      </c>
      <c r="AN6163">
        <v>1.0000000120050501</v>
      </c>
    </row>
    <row r="6164" spans="1:40" x14ac:dyDescent="0.25">
      <c r="A6164" t="str">
        <f>"20190304164246893"</f>
        <v>20190304164246893</v>
      </c>
      <c r="B6164" t="str">
        <f>"1551688966887775"</f>
        <v>1551688966887775</v>
      </c>
      <c r="C6164" t="s">
        <v>40</v>
      </c>
      <c r="D6164">
        <v>4.054214</v>
      </c>
      <c r="E6164">
        <v>0.57660630000000002</v>
      </c>
      <c r="F6164" t="s">
        <v>41</v>
      </c>
      <c r="G6164">
        <v>-353.21719999999999</v>
      </c>
      <c r="H6164">
        <v>1.0470410000000001</v>
      </c>
      <c r="I6164">
        <v>17.326929999999901</v>
      </c>
      <c r="J6164">
        <v>-353.80059999999997</v>
      </c>
      <c r="K6164">
        <v>1.110395</v>
      </c>
      <c r="L6164">
        <v>17.36224</v>
      </c>
      <c r="M6164">
        <v>0.99988759999999999</v>
      </c>
      <c r="N6164">
        <v>-8.8140459999999903E-3</v>
      </c>
      <c r="O6164">
        <v>1.213113E-2</v>
      </c>
      <c r="P6164">
        <v>0.93457979999999996</v>
      </c>
      <c r="Q6164">
        <v>0.33964169999999999</v>
      </c>
      <c r="R6164">
        <v>0.10585</v>
      </c>
      <c r="S6164">
        <v>3.3322750000000001</v>
      </c>
      <c r="T6164">
        <v>-0.28785129999999998</v>
      </c>
      <c r="U6164">
        <v>-0.15081789999999901</v>
      </c>
      <c r="V6164">
        <v>-9.485594E-2</v>
      </c>
      <c r="W6164">
        <v>0.34778109999999901</v>
      </c>
      <c r="X6164">
        <v>0.93276510000000001</v>
      </c>
      <c r="Y6164">
        <v>5.7059119999999998E-2</v>
      </c>
      <c r="Z6164">
        <v>-3.6495469999999999E-3</v>
      </c>
      <c r="AA6164">
        <v>0.99836420000000003</v>
      </c>
      <c r="AB6164">
        <v>29</v>
      </c>
      <c r="AC6164">
        <v>0.58339999999998304</v>
      </c>
      <c r="AD6164">
        <v>-6.3354000000000105E-2</v>
      </c>
      <c r="AE6164">
        <v>-3.5310000000002603E-2</v>
      </c>
      <c r="AF6164">
        <v>4.1892749709951799E-2</v>
      </c>
      <c r="AG6164">
        <v>-6.3354000000000105E-2</v>
      </c>
      <c r="AH6164">
        <v>0.57615899811441995</v>
      </c>
      <c r="AI6164">
        <v>96.258599926345894</v>
      </c>
      <c r="AJ6164">
        <v>85.841319506141005</v>
      </c>
      <c r="AK6164">
        <v>0.58114363362466004</v>
      </c>
      <c r="AL6164">
        <v>69.648343597579498</v>
      </c>
      <c r="AM6164">
        <v>95.806634020097903</v>
      </c>
      <c r="AN6164">
        <v>1.0000000373242499</v>
      </c>
    </row>
    <row r="6165" spans="1:40" x14ac:dyDescent="0.25">
      <c r="A6165" t="str">
        <f>"20190304164246905"</f>
        <v>20190304164246905</v>
      </c>
      <c r="B6165" t="str">
        <f>"1551688966897536"</f>
        <v>1551688966897536</v>
      </c>
      <c r="C6165" t="s">
        <v>40</v>
      </c>
      <c r="D6165">
        <v>4.1226120000000002</v>
      </c>
      <c r="E6165">
        <v>0.57660630000000002</v>
      </c>
      <c r="F6165" t="s">
        <v>41</v>
      </c>
      <c r="G6165">
        <v>-352.9665</v>
      </c>
      <c r="H6165">
        <v>1.036824</v>
      </c>
      <c r="I6165">
        <v>17.32424</v>
      </c>
      <c r="J6165">
        <v>-353.65230000000003</v>
      </c>
      <c r="K6165">
        <v>1.110393</v>
      </c>
      <c r="L6165">
        <v>17.364319999999999</v>
      </c>
      <c r="M6165">
        <v>0.99988440000000001</v>
      </c>
      <c r="N6165">
        <v>-8.7778449999999994E-3</v>
      </c>
      <c r="O6165">
        <v>1.242412E-2</v>
      </c>
      <c r="P6165">
        <v>0.93472529999999998</v>
      </c>
      <c r="Q6165">
        <v>0.33952559999999998</v>
      </c>
      <c r="R6165">
        <v>0.1049353</v>
      </c>
      <c r="S6165">
        <v>3.3339539999999999</v>
      </c>
      <c r="T6165">
        <v>-0.2941087</v>
      </c>
      <c r="U6165">
        <v>-0.1507568</v>
      </c>
      <c r="V6165">
        <v>-9.3666219999999994E-2</v>
      </c>
      <c r="W6165">
        <v>0.34763359999999999</v>
      </c>
      <c r="X6165">
        <v>0.9329402</v>
      </c>
      <c r="Y6165">
        <v>5.7297540000000001E-2</v>
      </c>
      <c r="Z6165">
        <v>-3.7578260000000001E-3</v>
      </c>
      <c r="AA6165">
        <v>0.99835010000000002</v>
      </c>
      <c r="AB6165">
        <v>29</v>
      </c>
      <c r="AC6165">
        <v>0.68580000000002805</v>
      </c>
      <c r="AD6165">
        <v>-7.3568999999999996E-2</v>
      </c>
      <c r="AE6165">
        <v>-4.0080000000003203E-2</v>
      </c>
      <c r="AF6165">
        <v>4.8046662700930699E-2</v>
      </c>
      <c r="AG6165">
        <v>-7.3568999999999996E-2</v>
      </c>
      <c r="AH6165">
        <v>0.67747928465740503</v>
      </c>
      <c r="AI6165">
        <v>96.182185710948104</v>
      </c>
      <c r="AJ6165">
        <v>85.943389499181706</v>
      </c>
      <c r="AK6165">
        <v>0.68315376065539302</v>
      </c>
      <c r="AL6165">
        <v>69.657355259111696</v>
      </c>
      <c r="AM6165">
        <v>95.733224288551298</v>
      </c>
      <c r="AN6165">
        <v>0.99999994869704201</v>
      </c>
    </row>
    <row r="6166" spans="1:40" x14ac:dyDescent="0.25">
      <c r="A6166" t="str">
        <f>"20190304164246916"</f>
        <v>20190304164246916</v>
      </c>
      <c r="B6166" t="str">
        <f>"1551688966907297"</f>
        <v>1551688966907297</v>
      </c>
      <c r="C6166" t="s">
        <v>40</v>
      </c>
      <c r="D6166">
        <v>4.1346109999999996</v>
      </c>
      <c r="E6166">
        <v>0.55428500000000003</v>
      </c>
      <c r="F6166" t="s">
        <v>41</v>
      </c>
      <c r="G6166">
        <v>-352.71409999999997</v>
      </c>
      <c r="H6166">
        <v>1.027417</v>
      </c>
      <c r="I6166">
        <v>17.320979999999999</v>
      </c>
      <c r="J6166">
        <v>-353.50139999999999</v>
      </c>
      <c r="K6166">
        <v>1.1103889999999901</v>
      </c>
      <c r="L6166">
        <v>17.366489999999999</v>
      </c>
      <c r="M6166">
        <v>0.99988100000000002</v>
      </c>
      <c r="N6166">
        <v>-8.7410639999999998E-3</v>
      </c>
      <c r="O6166">
        <v>1.272247E-2</v>
      </c>
      <c r="P6166">
        <v>0.93487359999999997</v>
      </c>
      <c r="Q6166">
        <v>0.3394027</v>
      </c>
      <c r="R6166">
        <v>0.104007</v>
      </c>
      <c r="S6166">
        <v>3.3338009999999998</v>
      </c>
      <c r="T6166">
        <v>-0.2948654</v>
      </c>
      <c r="U6166">
        <v>-0.15310670000000001</v>
      </c>
      <c r="V6166">
        <v>-9.2457330000000004E-2</v>
      </c>
      <c r="W6166">
        <v>0.34747889999999998</v>
      </c>
      <c r="X6166">
        <v>0.93311849999999996</v>
      </c>
      <c r="Y6166">
        <v>5.82931E-2</v>
      </c>
      <c r="Z6166">
        <v>-3.838611E-3</v>
      </c>
      <c r="AA6166">
        <v>0.99829210000000002</v>
      </c>
      <c r="AB6166">
        <v>29</v>
      </c>
      <c r="AC6166">
        <v>0.78730000000001599</v>
      </c>
      <c r="AD6166">
        <v>-8.2971999999999796E-2</v>
      </c>
      <c r="AE6166">
        <v>-4.5510000000000099E-2</v>
      </c>
      <c r="AF6166">
        <v>5.49152062378125E-2</v>
      </c>
      <c r="AG6166">
        <v>-8.2971999999999796E-2</v>
      </c>
      <c r="AH6166">
        <v>0.77804457359094104</v>
      </c>
      <c r="AI6166">
        <v>96.072121411931803</v>
      </c>
      <c r="AJ6166">
        <v>85.962698784260496</v>
      </c>
      <c r="AK6166">
        <v>0.78438089672967604</v>
      </c>
      <c r="AL6166">
        <v>69.666810149091305</v>
      </c>
      <c r="AM6166">
        <v>95.658638304776005</v>
      </c>
      <c r="AN6166">
        <v>1.00000003942909</v>
      </c>
    </row>
    <row r="6167" spans="1:40" x14ac:dyDescent="0.25">
      <c r="A6167" t="str">
        <f>"20190304164246928"</f>
        <v>20190304164246928</v>
      </c>
      <c r="B6167" t="str">
        <f>"1551688966917056"</f>
        <v>1551688966917056</v>
      </c>
      <c r="C6167" t="s">
        <v>40</v>
      </c>
      <c r="D6167">
        <v>4.0142660000000001</v>
      </c>
      <c r="E6167">
        <v>0.55428500000000003</v>
      </c>
      <c r="F6167" t="s">
        <v>41</v>
      </c>
      <c r="G6167">
        <v>-352.76459999999997</v>
      </c>
      <c r="H6167">
        <v>0.91888270000000005</v>
      </c>
      <c r="I6167">
        <v>17.384629999999898</v>
      </c>
      <c r="J6167">
        <v>-353.35629999999998</v>
      </c>
      <c r="K6167">
        <v>1.1103860000000001</v>
      </c>
      <c r="L6167">
        <v>17.36862</v>
      </c>
      <c r="M6167">
        <v>0.99987749999999997</v>
      </c>
      <c r="N6167">
        <v>-8.7063550000000007E-3</v>
      </c>
      <c r="O6167">
        <v>1.300871E-2</v>
      </c>
      <c r="P6167">
        <v>0.93496190000000001</v>
      </c>
      <c r="Q6167">
        <v>0.33940720000000002</v>
      </c>
      <c r="R6167">
        <v>0.103195</v>
      </c>
      <c r="S6167">
        <v>3.5324399999999998</v>
      </c>
      <c r="T6167">
        <v>-0.91804929999999996</v>
      </c>
      <c r="U6167">
        <v>8.8226319999999997E-2</v>
      </c>
      <c r="V6167">
        <v>-9.1376540000000006E-2</v>
      </c>
      <c r="W6167">
        <v>0.34745300000000001</v>
      </c>
      <c r="X6167">
        <v>0.93323460000000003</v>
      </c>
      <c r="Y6167">
        <v>-1.1953770000000001E-2</v>
      </c>
      <c r="Z6167">
        <v>-1.632791E-3</v>
      </c>
      <c r="AA6167">
        <v>0.99992720000000002</v>
      </c>
      <c r="AB6167">
        <v>29</v>
      </c>
      <c r="AC6167">
        <v>0.591700000000002</v>
      </c>
      <c r="AD6167">
        <v>-0.19150329999999999</v>
      </c>
      <c r="AE6167">
        <v>1.60099999999978E-2</v>
      </c>
      <c r="AF6167">
        <v>-7.5235889309783798E-3</v>
      </c>
      <c r="AG6167">
        <v>-0.19150329999999999</v>
      </c>
      <c r="AH6167">
        <v>0.53577720198004497</v>
      </c>
      <c r="AI6167">
        <v>109.666666668364</v>
      </c>
      <c r="AJ6167">
        <v>90.804516430116607</v>
      </c>
      <c r="AK6167">
        <v>0.56902313526152704</v>
      </c>
      <c r="AL6167">
        <v>69.668392705217897</v>
      </c>
      <c r="AM6167">
        <v>95.592221506896294</v>
      </c>
      <c r="AN6167">
        <v>1.00000003895426</v>
      </c>
    </row>
    <row r="6168" spans="1:40" x14ac:dyDescent="0.25">
      <c r="A6168" t="str">
        <f>"20190304164246939"</f>
        <v>20190304164246939</v>
      </c>
      <c r="B6168" t="str">
        <f>"1551688966927792"</f>
        <v>1551688966927792</v>
      </c>
      <c r="C6168" t="s">
        <v>40</v>
      </c>
      <c r="D6168">
        <v>3.9985409999999999</v>
      </c>
      <c r="E6168">
        <v>0.53661320000000001</v>
      </c>
      <c r="F6168" t="s">
        <v>41</v>
      </c>
      <c r="G6168">
        <v>-352.51819999999998</v>
      </c>
      <c r="H6168">
        <v>0.8926134</v>
      </c>
      <c r="I6168">
        <v>17.388439999999999</v>
      </c>
      <c r="J6168">
        <v>-353.2047</v>
      </c>
      <c r="K6168">
        <v>1.1103829999999999</v>
      </c>
      <c r="L6168">
        <v>17.370819999999998</v>
      </c>
      <c r="M6168">
        <v>0.99987380000000003</v>
      </c>
      <c r="N6168">
        <v>-8.6706800000000001E-3</v>
      </c>
      <c r="O6168">
        <v>1.3307289999999999E-2</v>
      </c>
      <c r="P6168">
        <v>0.93498499999999996</v>
      </c>
      <c r="Q6168">
        <v>0.33956769999999997</v>
      </c>
      <c r="R6168">
        <v>0.10245319999999999</v>
      </c>
      <c r="S6168">
        <v>3.5325319999999998</v>
      </c>
      <c r="T6168">
        <v>-0.91799070000000005</v>
      </c>
      <c r="U6168">
        <v>8.5296629999999998E-2</v>
      </c>
      <c r="V6168">
        <v>-9.0355489999999997E-2</v>
      </c>
      <c r="W6168">
        <v>0.34758119999999998</v>
      </c>
      <c r="X6168">
        <v>0.93328619999999995</v>
      </c>
      <c r="Y6168">
        <v>-1.08723E-2</v>
      </c>
      <c r="Z6168">
        <v>-1.850057E-3</v>
      </c>
      <c r="AA6168">
        <v>0.99993920000000003</v>
      </c>
      <c r="AB6168">
        <v>29</v>
      </c>
      <c r="AC6168">
        <v>0.68650000000002298</v>
      </c>
      <c r="AD6168">
        <v>-0.21776959999999901</v>
      </c>
      <c r="AE6168">
        <v>1.7619999999997301E-2</v>
      </c>
      <c r="AF6168">
        <v>-7.7075646060516803E-3</v>
      </c>
      <c r="AG6168">
        <v>-0.21776959999999901</v>
      </c>
      <c r="AH6168">
        <v>0.62393089027126503</v>
      </c>
      <c r="AI6168">
        <v>109.23907776596801</v>
      </c>
      <c r="AJ6168">
        <v>90.707752200706807</v>
      </c>
      <c r="AK6168">
        <v>0.66088785816582296</v>
      </c>
      <c r="AL6168">
        <v>69.660557645568502</v>
      </c>
      <c r="AM6168">
        <v>95.529819175874906</v>
      </c>
      <c r="AN6168">
        <v>0.999999968138509</v>
      </c>
    </row>
    <row r="6169" spans="1:40" x14ac:dyDescent="0.25">
      <c r="A6169" t="str">
        <f>"20190304164246951"</f>
        <v>20190304164246951</v>
      </c>
      <c r="B6169" t="str">
        <f>"1551688966937552"</f>
        <v>1551688966937552</v>
      </c>
      <c r="C6169" t="s">
        <v>40</v>
      </c>
      <c r="D6169">
        <v>4.0052469999999998</v>
      </c>
      <c r="E6169">
        <v>0.536444699999999</v>
      </c>
      <c r="F6169" t="s">
        <v>41</v>
      </c>
      <c r="G6169">
        <v>-352.53019999999998</v>
      </c>
      <c r="H6169">
        <v>0.86165309999999995</v>
      </c>
      <c r="I6169">
        <v>17.419840000000001</v>
      </c>
      <c r="J6169">
        <v>-353.0652</v>
      </c>
      <c r="K6169">
        <v>1.110379</v>
      </c>
      <c r="L6169">
        <v>17.372989999999898</v>
      </c>
      <c r="M6169">
        <v>0.9998705</v>
      </c>
      <c r="N6169">
        <v>-8.6400169999999998E-3</v>
      </c>
      <c r="O6169">
        <v>1.357967E-2</v>
      </c>
      <c r="P6169">
        <v>0.93508590000000003</v>
      </c>
      <c r="Q6169">
        <v>0.33952900000000003</v>
      </c>
      <c r="R6169">
        <v>0.1016596</v>
      </c>
      <c r="S6169">
        <v>3.670776</v>
      </c>
      <c r="T6169">
        <v>-1.3536509999999999</v>
      </c>
      <c r="U6169">
        <v>0.26907350000000002</v>
      </c>
      <c r="V6169">
        <v>-8.9305720000000005E-2</v>
      </c>
      <c r="W6169">
        <v>0.34751599999999999</v>
      </c>
      <c r="X6169">
        <v>0.93341149999999995</v>
      </c>
      <c r="Y6169">
        <v>-5.6603830000000001E-2</v>
      </c>
      <c r="Z6169">
        <v>5.6167090000000001E-3</v>
      </c>
      <c r="AA6169">
        <v>0.99838090000000002</v>
      </c>
      <c r="AB6169">
        <v>29</v>
      </c>
      <c r="AC6169">
        <v>0.53500000000002501</v>
      </c>
      <c r="AD6169">
        <v>-0.2487259</v>
      </c>
      <c r="AE6169">
        <v>4.6850000000002702E-2</v>
      </c>
      <c r="AF6169">
        <v>-3.2589917550639197E-2</v>
      </c>
      <c r="AG6169">
        <v>-0.2487259</v>
      </c>
      <c r="AH6169">
        <v>0.44099562774649198</v>
      </c>
      <c r="AI6169">
        <v>119.35671153699801</v>
      </c>
      <c r="AJ6169">
        <v>94.226519408402098</v>
      </c>
      <c r="AK6169">
        <v>0.507349800185523</v>
      </c>
      <c r="AL6169">
        <v>69.664541411145905</v>
      </c>
      <c r="AM6169">
        <v>95.465234577117698</v>
      </c>
      <c r="AN6169">
        <v>0.99999995510648299</v>
      </c>
    </row>
    <row r="6170" spans="1:40" x14ac:dyDescent="0.25">
      <c r="A6170" t="str">
        <f>"20190304164246962"</f>
        <v>20190304164246962</v>
      </c>
      <c r="B6170" t="str">
        <f>"1551688966957072"</f>
        <v>1551688966957072</v>
      </c>
      <c r="C6170" t="s">
        <v>40</v>
      </c>
      <c r="D6170">
        <v>3.8683939999999999</v>
      </c>
      <c r="E6170">
        <v>0.53867209999999999</v>
      </c>
      <c r="F6170" t="s">
        <v>41</v>
      </c>
      <c r="G6170">
        <v>-352.28820000000002</v>
      </c>
      <c r="H6170">
        <v>0.82341900000000001</v>
      </c>
      <c r="I6170">
        <v>17.429179999999999</v>
      </c>
      <c r="J6170">
        <v>-352.90910000000002</v>
      </c>
      <c r="K6170">
        <v>1.1103749999999999</v>
      </c>
      <c r="L6170">
        <v>17.37537</v>
      </c>
      <c r="M6170">
        <v>0.99986660000000005</v>
      </c>
      <c r="N6170">
        <v>-8.6065229999999996E-3</v>
      </c>
      <c r="O6170">
        <v>1.3883660000000001E-2</v>
      </c>
      <c r="P6170">
        <v>0.93511829999999996</v>
      </c>
      <c r="Q6170">
        <v>0.33956950000000002</v>
      </c>
      <c r="R6170">
        <v>0.1012251</v>
      </c>
      <c r="S6170">
        <v>3.6716310000000001</v>
      </c>
      <c r="T6170">
        <v>-1.356082</v>
      </c>
      <c r="U6170">
        <v>0.26654050000000001</v>
      </c>
      <c r="V6170">
        <v>-8.8585639999999993E-2</v>
      </c>
      <c r="W6170">
        <v>0.34752630000000001</v>
      </c>
      <c r="X6170">
        <v>0.93347630000000004</v>
      </c>
      <c r="Y6170">
        <v>-5.5671659999999998E-2</v>
      </c>
      <c r="Z6170">
        <v>5.3465300000000004E-3</v>
      </c>
      <c r="AA6170">
        <v>0.99843479999999996</v>
      </c>
      <c r="AB6170">
        <v>29</v>
      </c>
      <c r="AC6170">
        <v>0.620900000000006</v>
      </c>
      <c r="AD6170">
        <v>-0.28695599999999899</v>
      </c>
      <c r="AE6170">
        <v>5.3809999999998498E-2</v>
      </c>
      <c r="AF6170">
        <v>-3.7280608699941799E-2</v>
      </c>
      <c r="AG6170">
        <v>-0.28695599999999899</v>
      </c>
      <c r="AH6170">
        <v>0.51286041216585199</v>
      </c>
      <c r="AI6170">
        <v>119.16362442651599</v>
      </c>
      <c r="AJ6170">
        <v>94.157605229639799</v>
      </c>
      <c r="AK6170">
        <v>0.588862795639159</v>
      </c>
      <c r="AL6170">
        <v>69.663912432607106</v>
      </c>
      <c r="AM6170">
        <v>95.421057414011798</v>
      </c>
      <c r="AN6170">
        <v>0.99999997373379401</v>
      </c>
    </row>
    <row r="6171" spans="1:40" x14ac:dyDescent="0.25">
      <c r="A6171" t="str">
        <f>"20190304164246974"</f>
        <v>20190304164246974</v>
      </c>
      <c r="B6171" t="str">
        <f>"1551688966967808"</f>
        <v>1551688966967808</v>
      </c>
      <c r="C6171" t="s">
        <v>40</v>
      </c>
      <c r="D6171">
        <v>3.9278689999999998</v>
      </c>
      <c r="E6171">
        <v>0.54033450000000005</v>
      </c>
      <c r="F6171" t="s">
        <v>41</v>
      </c>
      <c r="G6171">
        <v>-352.04</v>
      </c>
      <c r="H6171">
        <v>0.79904739999999996</v>
      </c>
      <c r="I6171">
        <v>17.43252</v>
      </c>
      <c r="J6171">
        <v>-352.7534</v>
      </c>
      <c r="K6171">
        <v>1.110368</v>
      </c>
      <c r="L6171">
        <v>17.377839999999999</v>
      </c>
      <c r="M6171">
        <v>0.99986269999999999</v>
      </c>
      <c r="N6171">
        <v>-8.5763780000000008E-3</v>
      </c>
      <c r="O6171">
        <v>1.418207E-2</v>
      </c>
      <c r="P6171">
        <v>0.93521960000000004</v>
      </c>
      <c r="Q6171">
        <v>0.33960780000000002</v>
      </c>
      <c r="R6171">
        <v>0.10015540000000001</v>
      </c>
      <c r="S6171">
        <v>3.6578059999999999</v>
      </c>
      <c r="T6171">
        <v>-1.3104150000000001</v>
      </c>
      <c r="U6171">
        <v>0.24188229999999999</v>
      </c>
      <c r="V6171">
        <v>-8.7233270000000002E-2</v>
      </c>
      <c r="W6171">
        <v>0.3475393</v>
      </c>
      <c r="X6171">
        <v>0.93359890000000001</v>
      </c>
      <c r="Y6171">
        <v>-4.9516110000000002E-2</v>
      </c>
      <c r="Z6171">
        <v>4.0086100000000001E-3</v>
      </c>
      <c r="AA6171">
        <v>0.99876529999999997</v>
      </c>
      <c r="AB6171">
        <v>29</v>
      </c>
      <c r="AC6171">
        <v>0.71339999999997805</v>
      </c>
      <c r="AD6171">
        <v>-0.3113206</v>
      </c>
      <c r="AE6171">
        <v>5.4680000000001103E-2</v>
      </c>
      <c r="AF6171">
        <v>-3.7463837739958102E-2</v>
      </c>
      <c r="AG6171">
        <v>-0.3113206</v>
      </c>
      <c r="AH6171">
        <v>0.60042828725670805</v>
      </c>
      <c r="AI6171">
        <v>117.361167003566</v>
      </c>
      <c r="AJ6171">
        <v>93.570352595939795</v>
      </c>
      <c r="AK6171">
        <v>0.67737595414997498</v>
      </c>
      <c r="AL6171">
        <v>69.663119847102607</v>
      </c>
      <c r="AM6171">
        <v>95.338083063322998</v>
      </c>
      <c r="AN6171">
        <v>1.0000000572602901</v>
      </c>
    </row>
    <row r="6172" spans="1:40" x14ac:dyDescent="0.25">
      <c r="A6172" t="str">
        <f>"20190304164246985"</f>
        <v>20190304164246985</v>
      </c>
      <c r="B6172" t="str">
        <f>"1551688966977568"</f>
        <v>1551688966977568</v>
      </c>
      <c r="C6172" t="s">
        <v>40</v>
      </c>
      <c r="D6172">
        <v>4.0198869999999998</v>
      </c>
      <c r="E6172">
        <v>0.54048569999999996</v>
      </c>
      <c r="F6172" t="s">
        <v>41</v>
      </c>
      <c r="G6172">
        <v>-352.01749999999998</v>
      </c>
      <c r="H6172">
        <v>0.85293019999999997</v>
      </c>
      <c r="I6172">
        <v>17.422260000000001</v>
      </c>
      <c r="J6172">
        <v>-352.61430000000001</v>
      </c>
      <c r="K6172">
        <v>1.1103639999999999</v>
      </c>
      <c r="L6172">
        <v>17.38007</v>
      </c>
      <c r="M6172">
        <v>0.99985900000000005</v>
      </c>
      <c r="N6172">
        <v>-8.5504169999999994E-3</v>
      </c>
      <c r="O6172">
        <v>1.444691E-2</v>
      </c>
      <c r="P6172">
        <v>0.93521730000000003</v>
      </c>
      <c r="Q6172">
        <v>0.33989970000000003</v>
      </c>
      <c r="R6172">
        <v>9.9179550000000005E-2</v>
      </c>
      <c r="S6172">
        <v>3.6473689999999999</v>
      </c>
      <c r="T6172">
        <v>-1.2758510000000001</v>
      </c>
      <c r="U6172">
        <v>0.2217102</v>
      </c>
      <c r="V6172">
        <v>-8.6007810000000004E-2</v>
      </c>
      <c r="W6172">
        <v>0.34780879999999997</v>
      </c>
      <c r="X6172">
        <v>0.9336122</v>
      </c>
      <c r="Y6172">
        <v>-4.4366669999999997E-2</v>
      </c>
      <c r="Z6172">
        <v>2.9419770000000001E-3</v>
      </c>
      <c r="AA6172">
        <v>0.99901099999999998</v>
      </c>
      <c r="AB6172">
        <v>29</v>
      </c>
      <c r="AC6172">
        <v>0.59680000000002997</v>
      </c>
      <c r="AD6172">
        <v>-0.25743379999999899</v>
      </c>
      <c r="AE6172">
        <v>4.2190000000001497E-2</v>
      </c>
      <c r="AF6172">
        <v>-2.8320085070349801E-2</v>
      </c>
      <c r="AG6172">
        <v>-0.25743379999999899</v>
      </c>
      <c r="AH6172">
        <v>0.50402946734253995</v>
      </c>
      <c r="AI6172">
        <v>117.01917916796999</v>
      </c>
      <c r="AJ6172">
        <v>93.215917189682798</v>
      </c>
      <c r="AK6172">
        <v>0.56667441494251003</v>
      </c>
      <c r="AL6172">
        <v>69.646650507882597</v>
      </c>
      <c r="AM6172">
        <v>95.263442851065804</v>
      </c>
      <c r="AN6172">
        <v>1.0000000223636301</v>
      </c>
    </row>
    <row r="6173" spans="1:40" x14ac:dyDescent="0.25">
      <c r="A6173" t="str">
        <f>"20190304164246996"</f>
        <v>20190304164246996</v>
      </c>
      <c r="B6173" t="str">
        <f>"1551688966987328"</f>
        <v>1551688966987328</v>
      </c>
      <c r="C6173" t="s">
        <v>40</v>
      </c>
      <c r="D6173">
        <v>4.08995</v>
      </c>
      <c r="E6173">
        <v>0.54031850000000003</v>
      </c>
      <c r="F6173" t="s">
        <v>41</v>
      </c>
      <c r="G6173">
        <v>-351.77330000000001</v>
      </c>
      <c r="H6173">
        <v>0.81706210000000001</v>
      </c>
      <c r="I6173">
        <v>17.430139999999898</v>
      </c>
      <c r="J6173">
        <v>-352.4692</v>
      </c>
      <c r="K6173">
        <v>1.1103590000000001</v>
      </c>
      <c r="L6173">
        <v>17.38242</v>
      </c>
      <c r="M6173">
        <v>0.99985539999999995</v>
      </c>
      <c r="N6173">
        <v>-8.5253180000000005E-3</v>
      </c>
      <c r="O6173">
        <v>1.4719060000000001E-2</v>
      </c>
      <c r="P6173">
        <v>0.93536419999999998</v>
      </c>
      <c r="Q6173">
        <v>0.33987719999999999</v>
      </c>
      <c r="R6173">
        <v>9.7865919999999995E-2</v>
      </c>
      <c r="S6173">
        <v>3.6470950000000002</v>
      </c>
      <c r="T6173">
        <v>-1.27196</v>
      </c>
      <c r="U6173">
        <v>0.21698000000000001</v>
      </c>
      <c r="V6173">
        <v>-8.4434040000000002E-2</v>
      </c>
      <c r="W6173">
        <v>0.34776679999999999</v>
      </c>
      <c r="X6173">
        <v>0.93377140000000003</v>
      </c>
      <c r="Y6173">
        <v>-4.2921460000000002E-2</v>
      </c>
      <c r="Z6173">
        <v>2.592975E-3</v>
      </c>
      <c r="AA6173">
        <v>0.99907509999999999</v>
      </c>
      <c r="AB6173">
        <v>29</v>
      </c>
      <c r="AC6173">
        <v>0.69589999999999397</v>
      </c>
      <c r="AD6173">
        <v>-0.29329690000000003</v>
      </c>
      <c r="AE6173">
        <v>4.7719999999998201E-2</v>
      </c>
      <c r="AF6173">
        <v>-3.1841811353887799E-2</v>
      </c>
      <c r="AG6173">
        <v>-0.29329690000000003</v>
      </c>
      <c r="AH6173">
        <v>0.59188191118844302</v>
      </c>
      <c r="AI6173">
        <v>116.32700025499599</v>
      </c>
      <c r="AJ6173">
        <v>93.079405486303102</v>
      </c>
      <c r="AK6173">
        <v>0.66133287328847501</v>
      </c>
      <c r="AL6173">
        <v>69.649215426334905</v>
      </c>
      <c r="AM6173">
        <v>95.166782430004403</v>
      </c>
      <c r="AN6173">
        <v>0.99999994087545896</v>
      </c>
    </row>
    <row r="6174" spans="1:40" x14ac:dyDescent="0.25">
      <c r="A6174" t="str">
        <f>"20190304164247007"</f>
        <v>20190304164247007</v>
      </c>
      <c r="B6174" t="str">
        <f>"1551688966997091"</f>
        <v>1551688966997091</v>
      </c>
      <c r="C6174" t="s">
        <v>40</v>
      </c>
      <c r="D6174">
        <v>4.0541720000000003</v>
      </c>
      <c r="E6174">
        <v>0.54029819999999995</v>
      </c>
      <c r="F6174" t="s">
        <v>41</v>
      </c>
      <c r="G6174">
        <v>-351.755</v>
      </c>
      <c r="H6174">
        <v>0.86055530000000002</v>
      </c>
      <c r="I6174">
        <v>17.42465</v>
      </c>
      <c r="J6174">
        <v>-352.32929999999999</v>
      </c>
      <c r="K6174">
        <v>1.1103499999999999</v>
      </c>
      <c r="L6174">
        <v>17.384740000000001</v>
      </c>
      <c r="M6174">
        <v>0.99985170000000001</v>
      </c>
      <c r="N6174">
        <v>-8.5025109999999904E-3</v>
      </c>
      <c r="O6174">
        <v>1.497767E-2</v>
      </c>
      <c r="P6174">
        <v>0.93545730000000005</v>
      </c>
      <c r="Q6174">
        <v>0.33992820000000001</v>
      </c>
      <c r="R6174">
        <v>9.6790909999999994E-2</v>
      </c>
      <c r="S6174">
        <v>3.6484070000000002</v>
      </c>
      <c r="T6174">
        <v>-1.2760209999999901</v>
      </c>
      <c r="U6174">
        <v>0.21554570000000001</v>
      </c>
      <c r="V6174">
        <v>-8.3111809999999994E-2</v>
      </c>
      <c r="W6174">
        <v>0.34779949999999998</v>
      </c>
      <c r="X6174">
        <v>0.93387790000000004</v>
      </c>
      <c r="Y6174">
        <v>-4.2293810000000001E-2</v>
      </c>
      <c r="Z6174">
        <v>2.403409E-3</v>
      </c>
      <c r="AA6174">
        <v>0.99910239999999995</v>
      </c>
      <c r="AB6174">
        <v>29</v>
      </c>
      <c r="AC6174">
        <v>0.57429999999999304</v>
      </c>
      <c r="AD6174">
        <v>-0.24979469999999901</v>
      </c>
      <c r="AE6174">
        <v>3.9909999999999002E-2</v>
      </c>
      <c r="AF6174">
        <v>-2.6343642922027601E-2</v>
      </c>
      <c r="AG6174">
        <v>-0.24979469999999901</v>
      </c>
      <c r="AH6174">
        <v>0.48375380089070502</v>
      </c>
      <c r="AI6174">
        <v>117.275788517309</v>
      </c>
      <c r="AJ6174">
        <v>93.117061125207996</v>
      </c>
      <c r="AK6174">
        <v>0.54507716843277998</v>
      </c>
      <c r="AL6174">
        <v>69.647218336920801</v>
      </c>
      <c r="AM6174">
        <v>95.085721810884394</v>
      </c>
      <c r="AN6174">
        <v>0.99999999863506805</v>
      </c>
    </row>
    <row r="6175" spans="1:40" x14ac:dyDescent="0.25">
      <c r="A6175" t="str">
        <f>"20190304164247020"</f>
        <v>20190304164247020</v>
      </c>
      <c r="B6175" t="str">
        <f>"1551688967007824"</f>
        <v>1551688967007824</v>
      </c>
      <c r="C6175" t="s">
        <v>40</v>
      </c>
      <c r="D6175">
        <v>4.0632919999999997</v>
      </c>
      <c r="E6175">
        <v>0.54099189999999997</v>
      </c>
      <c r="F6175" t="s">
        <v>41</v>
      </c>
      <c r="G6175">
        <v>-351.51069999999999</v>
      </c>
      <c r="H6175">
        <v>0.82398389999999999</v>
      </c>
      <c r="I6175">
        <v>17.432029999999902</v>
      </c>
      <c r="J6175">
        <v>-352.1678</v>
      </c>
      <c r="K6175">
        <v>1.1103419999999999</v>
      </c>
      <c r="L6175">
        <v>17.387450000000001</v>
      </c>
      <c r="M6175">
        <v>0.99984740000000005</v>
      </c>
      <c r="N6175">
        <v>-8.4776769999999994E-3</v>
      </c>
      <c r="O6175">
        <v>1.527131E-2</v>
      </c>
      <c r="P6175">
        <v>0.93564829999999999</v>
      </c>
      <c r="Q6175">
        <v>0.33972000000000002</v>
      </c>
      <c r="R6175">
        <v>9.5670619999999998E-2</v>
      </c>
      <c r="S6175">
        <v>3.6488649999999998</v>
      </c>
      <c r="T6175">
        <v>-1.2764709999999999</v>
      </c>
      <c r="U6175">
        <v>0.21264649999999999</v>
      </c>
      <c r="V6175">
        <v>-8.1708329999999996E-2</v>
      </c>
      <c r="W6175">
        <v>0.3475724</v>
      </c>
      <c r="X6175">
        <v>0.93408630000000004</v>
      </c>
      <c r="Y6175">
        <v>-4.1279540000000003E-2</v>
      </c>
      <c r="Z6175">
        <v>2.129171E-3</v>
      </c>
      <c r="AA6175">
        <v>0.99914539999999996</v>
      </c>
      <c r="AB6175">
        <v>29</v>
      </c>
      <c r="AC6175">
        <v>0.65710000000001401</v>
      </c>
      <c r="AD6175">
        <v>-0.28635809999999901</v>
      </c>
      <c r="AE6175">
        <v>4.4579999999996199E-2</v>
      </c>
      <c r="AF6175">
        <v>-2.9048275689394901E-2</v>
      </c>
      <c r="AG6175">
        <v>-0.28635809999999901</v>
      </c>
      <c r="AH6175">
        <v>0.55313721639293301</v>
      </c>
      <c r="AI6175">
        <v>117.33831836942799</v>
      </c>
      <c r="AJ6175">
        <v>93.006154816758894</v>
      </c>
      <c r="AK6175">
        <v>0.62354273623791001</v>
      </c>
      <c r="AL6175">
        <v>69.661096479511897</v>
      </c>
      <c r="AM6175">
        <v>94.999170179107296</v>
      </c>
      <c r="AN6175">
        <v>1.00000002014041</v>
      </c>
    </row>
    <row r="6176" spans="1:40" x14ac:dyDescent="0.25">
      <c r="A6176" t="str">
        <f>"20190304164247036"</f>
        <v>20190304164247036</v>
      </c>
      <c r="B6176" t="str">
        <f>"1551688967027345"</f>
        <v>1551688967027345</v>
      </c>
      <c r="C6176" t="s">
        <v>40</v>
      </c>
      <c r="D6176">
        <v>4.060632</v>
      </c>
      <c r="E6176">
        <v>0.54231859999999998</v>
      </c>
      <c r="F6176" t="s">
        <v>41</v>
      </c>
      <c r="G6176">
        <v>-351.48919999999998</v>
      </c>
      <c r="H6176">
        <v>0.87511170000000005</v>
      </c>
      <c r="I6176">
        <v>17.424669999999999</v>
      </c>
      <c r="J6176">
        <v>-351.96100000000001</v>
      </c>
      <c r="K6176">
        <v>1.110328</v>
      </c>
      <c r="L6176">
        <v>17.39096</v>
      </c>
      <c r="M6176">
        <v>0.99984209999999996</v>
      </c>
      <c r="N6176">
        <v>-8.4493160000000001E-3</v>
      </c>
      <c r="O6176">
        <v>1.563264E-2</v>
      </c>
      <c r="P6176">
        <v>0.93577980000000005</v>
      </c>
      <c r="Q6176">
        <v>0.33961330000000001</v>
      </c>
      <c r="R6176">
        <v>9.4757969999999997E-2</v>
      </c>
      <c r="S6176">
        <v>3.6443479999999999</v>
      </c>
      <c r="T6176">
        <v>-1.263287</v>
      </c>
      <c r="U6176">
        <v>0.2020874</v>
      </c>
      <c r="V6176">
        <v>-8.0445600000000006E-2</v>
      </c>
      <c r="W6176">
        <v>0.34744360000000002</v>
      </c>
      <c r="X6176">
        <v>0.93424379999999996</v>
      </c>
      <c r="Y6176">
        <v>-3.8328939999999999E-2</v>
      </c>
      <c r="Z6176">
        <v>1.4845520000000001E-3</v>
      </c>
      <c r="AA6176">
        <v>0.99926409999999999</v>
      </c>
      <c r="AB6176">
        <v>29</v>
      </c>
      <c r="AC6176">
        <v>0.47180000000002997</v>
      </c>
      <c r="AD6176">
        <v>-0.23521629999999999</v>
      </c>
      <c r="AE6176">
        <v>3.3710000000002703E-2</v>
      </c>
      <c r="AF6176">
        <v>-2.1109867246324701E-2</v>
      </c>
      <c r="AG6176">
        <v>-0.23521629999999999</v>
      </c>
      <c r="AH6176">
        <v>0.37863619228720002</v>
      </c>
      <c r="AI6176">
        <v>121.809530138795</v>
      </c>
      <c r="AJ6176">
        <v>93.191072262468694</v>
      </c>
      <c r="AK6176">
        <v>0.44624847382438898</v>
      </c>
      <c r="AL6176">
        <v>69.668966534629106</v>
      </c>
      <c r="AM6176">
        <v>94.921469204276505</v>
      </c>
      <c r="AN6176">
        <v>1.0000000137893701</v>
      </c>
    </row>
    <row r="6177" spans="1:40" x14ac:dyDescent="0.25">
      <c r="A6177" t="str">
        <f>"20190304164247049"</f>
        <v>20190304164247049</v>
      </c>
      <c r="B6177" t="str">
        <f>"1551688967037104"</f>
        <v>1551688967037104</v>
      </c>
      <c r="C6177" t="s">
        <v>40</v>
      </c>
      <c r="D6177">
        <v>4.463984</v>
      </c>
      <c r="E6177">
        <v>0.54298599999999997</v>
      </c>
      <c r="F6177" t="s">
        <v>41</v>
      </c>
      <c r="G6177">
        <v>-351.23399999999998</v>
      </c>
      <c r="H6177">
        <v>0.86289059999999995</v>
      </c>
      <c r="I6177">
        <v>17.427810000000001</v>
      </c>
      <c r="J6177">
        <v>-351.78519999999997</v>
      </c>
      <c r="K6177">
        <v>1.1103179999999999</v>
      </c>
      <c r="L6177">
        <v>17.393979999999999</v>
      </c>
      <c r="M6177">
        <v>0.99983759999999999</v>
      </c>
      <c r="N6177">
        <v>-8.4304400000000008E-3</v>
      </c>
      <c r="O6177">
        <v>1.5928129999999999E-2</v>
      </c>
      <c r="P6177">
        <v>0.93602470000000004</v>
      </c>
      <c r="Q6177">
        <v>0.33962500000000001</v>
      </c>
      <c r="R6177">
        <v>9.2265319999999998E-2</v>
      </c>
      <c r="S6177">
        <v>3.6362920000000001</v>
      </c>
      <c r="T6177">
        <v>-1.23764599999999</v>
      </c>
      <c r="U6177">
        <v>0.18548580000000001</v>
      </c>
      <c r="V6177">
        <v>-7.7663659999999995E-2</v>
      </c>
      <c r="W6177">
        <v>0.34744399999999998</v>
      </c>
      <c r="X6177">
        <v>0.93447899999999995</v>
      </c>
      <c r="Y6177">
        <v>-3.3924019999999999E-2</v>
      </c>
      <c r="Z6177">
        <v>6.2047640000000004E-4</v>
      </c>
      <c r="AA6177">
        <v>0.99942419999999998</v>
      </c>
      <c r="AB6177">
        <v>29</v>
      </c>
      <c r="AC6177">
        <v>0.55119999999993696</v>
      </c>
      <c r="AD6177">
        <v>-0.24742739999999999</v>
      </c>
      <c r="AE6177">
        <v>3.3830000000001803E-2</v>
      </c>
      <c r="AF6177">
        <v>-2.0858562863898301E-2</v>
      </c>
      <c r="AG6177">
        <v>-0.24742739999999999</v>
      </c>
      <c r="AH6177">
        <v>0.45943895853993999</v>
      </c>
      <c r="AI6177">
        <v>118.27973302652499</v>
      </c>
      <c r="AJ6177">
        <v>92.599447663758994</v>
      </c>
      <c r="AK6177">
        <v>0.52224472667492905</v>
      </c>
      <c r="AL6177">
        <v>69.668941574417801</v>
      </c>
      <c r="AM6177">
        <v>94.750879471874001</v>
      </c>
      <c r="AN6177">
        <v>0.99999998933079703</v>
      </c>
    </row>
    <row r="6178" spans="1:40" x14ac:dyDescent="0.25">
      <c r="A6178" t="str">
        <f>"20190304164247063"</f>
        <v>20190304164247063</v>
      </c>
      <c r="B6178" t="str">
        <f>"1551688967057600"</f>
        <v>1551688967057600</v>
      </c>
      <c r="C6178" t="s">
        <v>40</v>
      </c>
      <c r="D6178">
        <v>4.0907689999999999</v>
      </c>
      <c r="E6178">
        <v>0.54393899999999995</v>
      </c>
      <c r="F6178" t="s">
        <v>41</v>
      </c>
      <c r="G6178">
        <v>-350.9828</v>
      </c>
      <c r="H6178">
        <v>0.83991779999999905</v>
      </c>
      <c r="I6178">
        <v>17.4312</v>
      </c>
      <c r="J6178">
        <v>-351.60669999999999</v>
      </c>
      <c r="K6178">
        <v>1.110306</v>
      </c>
      <c r="L6178">
        <v>17.397129999999901</v>
      </c>
      <c r="M6178">
        <v>0.99983310000000003</v>
      </c>
      <c r="N6178">
        <v>-8.4158919999999995E-3</v>
      </c>
      <c r="O6178">
        <v>1.621804E-2</v>
      </c>
      <c r="P6178">
        <v>0.93614609999999998</v>
      </c>
      <c r="Q6178">
        <v>0.33958539999999998</v>
      </c>
      <c r="R6178">
        <v>9.1172959999999997E-2</v>
      </c>
      <c r="S6178">
        <v>3.6325989999999999</v>
      </c>
      <c r="T6178">
        <v>-1.224318</v>
      </c>
      <c r="U6178">
        <v>0.16906740000000001</v>
      </c>
      <c r="V6178">
        <v>-7.6286800000000002E-2</v>
      </c>
      <c r="W6178">
        <v>0.34739569999999997</v>
      </c>
      <c r="X6178">
        <v>0.93461039999999995</v>
      </c>
      <c r="Y6178">
        <v>-2.9466539999999999E-2</v>
      </c>
      <c r="Z6178">
        <v>-2.2571249999999999E-4</v>
      </c>
      <c r="AA6178">
        <v>0.9995657</v>
      </c>
      <c r="AB6178">
        <v>29</v>
      </c>
      <c r="AC6178">
        <v>0.62389999999999102</v>
      </c>
      <c r="AD6178">
        <v>-0.27038820000000002</v>
      </c>
      <c r="AE6178">
        <v>3.4070000000003299E-2</v>
      </c>
      <c r="AF6178">
        <v>-2.0169686502221201E-2</v>
      </c>
      <c r="AG6178">
        <v>-0.27038820000000002</v>
      </c>
      <c r="AH6178">
        <v>0.52589057702280995</v>
      </c>
      <c r="AI6178">
        <v>117.192975903906</v>
      </c>
      <c r="AJ6178">
        <v>92.196410849842593</v>
      </c>
      <c r="AK6178">
        <v>0.59167346903019202</v>
      </c>
      <c r="AL6178">
        <v>69.671893529063496</v>
      </c>
      <c r="AM6178">
        <v>94.666375656240902</v>
      </c>
      <c r="AN6178">
        <v>1.0000000240104401</v>
      </c>
    </row>
    <row r="6179" spans="1:40" x14ac:dyDescent="0.25">
      <c r="A6179" t="str">
        <f>"20190304164247082"</f>
        <v>20190304164247082</v>
      </c>
      <c r="B6179" t="str">
        <f>"1551688967077120"</f>
        <v>1551688967077120</v>
      </c>
      <c r="C6179" t="s">
        <v>40</v>
      </c>
      <c r="D6179">
        <v>4.0326170000000001</v>
      </c>
      <c r="E6179">
        <v>0.54470750000000001</v>
      </c>
      <c r="F6179" t="s">
        <v>41</v>
      </c>
      <c r="G6179">
        <v>-350.7303</v>
      </c>
      <c r="H6179">
        <v>0.81899690000000003</v>
      </c>
      <c r="I6179">
        <v>17.434429999999999</v>
      </c>
      <c r="J6179">
        <v>-351.35129999999998</v>
      </c>
      <c r="K6179">
        <v>1.1102890000000001</v>
      </c>
      <c r="L6179">
        <v>17.40164</v>
      </c>
      <c r="M6179">
        <v>0.99982680000000002</v>
      </c>
      <c r="N6179">
        <v>-8.4053859999999904E-3</v>
      </c>
      <c r="O6179">
        <v>1.660524E-2</v>
      </c>
      <c r="P6179">
        <v>0.9364133</v>
      </c>
      <c r="Q6179">
        <v>0.33949800000000002</v>
      </c>
      <c r="R6179">
        <v>8.8721949999999994E-2</v>
      </c>
      <c r="S6179">
        <v>3.6268009999999999</v>
      </c>
      <c r="T6179">
        <v>-1.2056009999999999</v>
      </c>
      <c r="U6179">
        <v>0.1557617</v>
      </c>
      <c r="V6179">
        <v>-7.3450189999999999E-2</v>
      </c>
      <c r="W6179">
        <v>0.34730719999999998</v>
      </c>
      <c r="X6179">
        <v>0.93487050000000005</v>
      </c>
      <c r="Y6179">
        <v>-2.5739430000000001E-2</v>
      </c>
      <c r="Z6179">
        <v>-9.6094189999999997E-4</v>
      </c>
      <c r="AA6179">
        <v>0.99966820000000001</v>
      </c>
      <c r="AB6179">
        <v>29</v>
      </c>
      <c r="AC6179">
        <v>0.62099999999998001</v>
      </c>
      <c r="AD6179">
        <v>-0.291292099999999</v>
      </c>
      <c r="AE6179">
        <v>3.2789999999998501E-2</v>
      </c>
      <c r="AF6179">
        <v>-1.84295519453666E-2</v>
      </c>
      <c r="AG6179">
        <v>-0.291292099999999</v>
      </c>
      <c r="AH6179">
        <v>0.50963716148062299</v>
      </c>
      <c r="AI6179">
        <v>119.734760210023</v>
      </c>
      <c r="AJ6179">
        <v>92.071033480006903</v>
      </c>
      <c r="AK6179">
        <v>0.58729955922794996</v>
      </c>
      <c r="AL6179">
        <v>69.6773011637124</v>
      </c>
      <c r="AM6179">
        <v>94.492342663787497</v>
      </c>
      <c r="AN6179">
        <v>1.00000003667656</v>
      </c>
    </row>
    <row r="6180" spans="1:40" x14ac:dyDescent="0.25">
      <c r="A6180" t="str">
        <f>"20190304164247094"</f>
        <v>20190304164247094</v>
      </c>
      <c r="B6180" t="str">
        <f>"1551688967086880"</f>
        <v>1551688967086880</v>
      </c>
      <c r="C6180" t="s">
        <v>40</v>
      </c>
      <c r="D6180">
        <v>4.0305010000000001</v>
      </c>
      <c r="E6180">
        <v>0.54502340000000005</v>
      </c>
      <c r="F6180" t="s">
        <v>41</v>
      </c>
      <c r="G6180">
        <v>-350.46800000000002</v>
      </c>
      <c r="H6180">
        <v>0.81994080000000003</v>
      </c>
      <c r="I6180">
        <v>17.435600000000001</v>
      </c>
      <c r="J6180">
        <v>-351.19450000000001</v>
      </c>
      <c r="K6180">
        <v>1.1102719999999999</v>
      </c>
      <c r="L6180">
        <v>17.40448</v>
      </c>
      <c r="M6180">
        <v>0.99982329999999997</v>
      </c>
      <c r="N6180">
        <v>-8.4045379999999996E-3</v>
      </c>
      <c r="O6180">
        <v>1.6824459999999999E-2</v>
      </c>
      <c r="P6180">
        <v>0.93656379999999995</v>
      </c>
      <c r="Q6180">
        <v>0.33935759999999998</v>
      </c>
      <c r="R6180">
        <v>8.7663320000000003E-2</v>
      </c>
      <c r="S6180">
        <v>3.6220400000000001</v>
      </c>
      <c r="T6180">
        <v>-1.190647</v>
      </c>
      <c r="U6180">
        <v>0.14056399999999999</v>
      </c>
      <c r="V6180">
        <v>-7.2171479999999996E-2</v>
      </c>
      <c r="W6180">
        <v>0.3471708</v>
      </c>
      <c r="X6180">
        <v>0.93502070000000004</v>
      </c>
      <c r="Y6180">
        <v>-2.1632789999999999E-2</v>
      </c>
      <c r="Z6180">
        <v>-1.6918669999999999E-3</v>
      </c>
      <c r="AA6180">
        <v>0.9997646</v>
      </c>
      <c r="AB6180">
        <v>29</v>
      </c>
      <c r="AC6180">
        <v>0.72649999999998705</v>
      </c>
      <c r="AD6180">
        <v>-0.29033119999999901</v>
      </c>
      <c r="AE6180">
        <v>3.1120000000001299E-2</v>
      </c>
      <c r="AF6180">
        <v>-1.6294639772633901E-2</v>
      </c>
      <c r="AG6180">
        <v>-0.29033119999999901</v>
      </c>
      <c r="AH6180">
        <v>0.62697383134712104</v>
      </c>
      <c r="AI6180">
        <v>114.83994594018</v>
      </c>
      <c r="AJ6180">
        <v>91.488744703748097</v>
      </c>
      <c r="AK6180">
        <v>0.69112510168047503</v>
      </c>
      <c r="AL6180">
        <v>69.685634041061604</v>
      </c>
      <c r="AM6180">
        <v>94.413740046432096</v>
      </c>
      <c r="AN6180">
        <v>0.99999999816326002</v>
      </c>
    </row>
    <row r="6181" spans="1:40" x14ac:dyDescent="0.25">
      <c r="A6181" t="str">
        <f>"20190304164247105"</f>
        <v>20190304164247105</v>
      </c>
      <c r="B6181" t="str">
        <f>"1551688967097616"</f>
        <v>1551688967097616</v>
      </c>
      <c r="C6181" t="s">
        <v>40</v>
      </c>
      <c r="D6181">
        <v>4.020537</v>
      </c>
      <c r="E6181">
        <v>0.54532619999999998</v>
      </c>
      <c r="F6181" t="s">
        <v>41</v>
      </c>
      <c r="G6181">
        <v>-350.44850000000002</v>
      </c>
      <c r="H6181">
        <v>0.86610200000000004</v>
      </c>
      <c r="I6181">
        <v>17.431840000000001</v>
      </c>
      <c r="J6181">
        <v>-351.0505</v>
      </c>
      <c r="K6181">
        <v>1.110258</v>
      </c>
      <c r="L6181">
        <v>17.407070000000001</v>
      </c>
      <c r="M6181">
        <v>0.99981980000000004</v>
      </c>
      <c r="N6181">
        <v>-8.4056530000000008E-3</v>
      </c>
      <c r="O6181">
        <v>1.7019880000000001E-2</v>
      </c>
      <c r="P6181">
        <v>0.93673379999999995</v>
      </c>
      <c r="Q6181">
        <v>0.339198</v>
      </c>
      <c r="R6181">
        <v>8.6457119999999998E-2</v>
      </c>
      <c r="S6181">
        <v>3.6199949999999999</v>
      </c>
      <c r="T6181">
        <v>-1.1847970000000001</v>
      </c>
      <c r="U6181">
        <v>0.13430790000000001</v>
      </c>
      <c r="V6181">
        <v>-7.0767250000000004E-2</v>
      </c>
      <c r="W6181">
        <v>0.34701700000000002</v>
      </c>
      <c r="X6181">
        <v>0.93518509999999999</v>
      </c>
      <c r="Y6181">
        <v>-1.9841870000000001E-2</v>
      </c>
      <c r="Z6181">
        <v>-2.0379069999999998E-3</v>
      </c>
      <c r="AA6181">
        <v>0.99980100000000005</v>
      </c>
      <c r="AB6181">
        <v>29</v>
      </c>
      <c r="AC6181">
        <v>0.601999999999975</v>
      </c>
      <c r="AD6181">
        <v>-0.24415599999999901</v>
      </c>
      <c r="AE6181">
        <v>2.4770000000000101E-2</v>
      </c>
      <c r="AF6181">
        <v>-1.24720163770136E-2</v>
      </c>
      <c r="AG6181">
        <v>-0.24415599999999901</v>
      </c>
      <c r="AH6181">
        <v>0.51737479501169603</v>
      </c>
      <c r="AI6181">
        <v>115.256820741223</v>
      </c>
      <c r="AJ6181">
        <v>91.380924495955398</v>
      </c>
      <c r="AK6181">
        <v>0.57222756141407805</v>
      </c>
      <c r="AL6181">
        <v>69.695030048514695</v>
      </c>
      <c r="AM6181">
        <v>94.327434117738804</v>
      </c>
      <c r="AN6181">
        <v>0.99999998661178602</v>
      </c>
    </row>
    <row r="6182" spans="1:40" x14ac:dyDescent="0.25">
      <c r="A6182" t="str">
        <f>"20190304164247117"</f>
        <v>20190304164247117</v>
      </c>
      <c r="B6182" t="str">
        <f>"1551688967107375"</f>
        <v>1551688967107375</v>
      </c>
      <c r="C6182" t="s">
        <v>40</v>
      </c>
      <c r="D6182">
        <v>4.0393429999999997</v>
      </c>
      <c r="E6182">
        <v>0.54556629999999995</v>
      </c>
      <c r="F6182" t="s">
        <v>41</v>
      </c>
      <c r="G6182">
        <v>-350.20010000000002</v>
      </c>
      <c r="H6182">
        <v>0.83300779999999996</v>
      </c>
      <c r="I6182">
        <v>17.43731</v>
      </c>
      <c r="J6182">
        <v>-350.89929999999998</v>
      </c>
      <c r="K6182">
        <v>1.1102459999999901</v>
      </c>
      <c r="L6182">
        <v>17.409849999999999</v>
      </c>
      <c r="M6182">
        <v>0.99981660000000006</v>
      </c>
      <c r="N6182">
        <v>-8.4109389999999992E-3</v>
      </c>
      <c r="O6182">
        <v>1.721195E-2</v>
      </c>
      <c r="P6182">
        <v>0.9369265</v>
      </c>
      <c r="Q6182">
        <v>0.33890819999999999</v>
      </c>
      <c r="R6182">
        <v>8.5500880000000001E-2</v>
      </c>
      <c r="S6182">
        <v>3.6178279999999998</v>
      </c>
      <c r="T6182">
        <v>-1.1794039999999999</v>
      </c>
      <c r="U6182">
        <v>0.12814329999999999</v>
      </c>
      <c r="V6182">
        <v>-6.961502E-2</v>
      </c>
      <c r="W6182">
        <v>0.34673710000000002</v>
      </c>
      <c r="X6182">
        <v>0.93537550000000003</v>
      </c>
      <c r="Y6182">
        <v>-1.8075239999999999E-2</v>
      </c>
      <c r="Z6182">
        <v>-2.376979E-3</v>
      </c>
      <c r="AA6182">
        <v>0.99983379999999999</v>
      </c>
      <c r="AB6182">
        <v>29</v>
      </c>
      <c r="AC6182">
        <v>0.69919999999996196</v>
      </c>
      <c r="AD6182">
        <v>-0.27723819999999899</v>
      </c>
      <c r="AE6182">
        <v>2.7460000000001299E-2</v>
      </c>
      <c r="AF6182">
        <v>-1.33286332031274E-2</v>
      </c>
      <c r="AG6182">
        <v>-0.27723819999999899</v>
      </c>
      <c r="AH6182">
        <v>0.60465292196562803</v>
      </c>
      <c r="AI6182">
        <v>114.62656222096901</v>
      </c>
      <c r="AJ6182">
        <v>91.262791833634395</v>
      </c>
      <c r="AK6182">
        <v>0.66531483377711897</v>
      </c>
      <c r="AL6182">
        <v>69.712131120890803</v>
      </c>
      <c r="AM6182">
        <v>94.256372761896102</v>
      </c>
      <c r="AN6182">
        <v>1.00000009676312</v>
      </c>
    </row>
    <row r="6183" spans="1:40" x14ac:dyDescent="0.25">
      <c r="A6183" t="str">
        <f>"20190304164247128"</f>
        <v>20190304164247128</v>
      </c>
      <c r="B6183" t="str">
        <f>"1551688967117136"</f>
        <v>1551688967117136</v>
      </c>
      <c r="C6183" t="s">
        <v>40</v>
      </c>
      <c r="D6183">
        <v>4.0376349999999999</v>
      </c>
      <c r="E6183">
        <v>0.54579469999999997</v>
      </c>
      <c r="F6183" t="s">
        <v>41</v>
      </c>
      <c r="G6183">
        <v>-350.1814</v>
      </c>
      <c r="H6183">
        <v>0.87686459999999999</v>
      </c>
      <c r="I6183">
        <v>17.434470000000001</v>
      </c>
      <c r="J6183">
        <v>-350.75299999999999</v>
      </c>
      <c r="K6183">
        <v>1.1102320000000001</v>
      </c>
      <c r="L6183">
        <v>17.41254</v>
      </c>
      <c r="M6183">
        <v>0.99981339999999996</v>
      </c>
      <c r="N6183">
        <v>-8.4193369999999903E-3</v>
      </c>
      <c r="O6183">
        <v>1.7385390000000001E-2</v>
      </c>
      <c r="P6183">
        <v>0.9371216</v>
      </c>
      <c r="Q6183">
        <v>0.33863649999999901</v>
      </c>
      <c r="R6183">
        <v>8.4430190000000002E-2</v>
      </c>
      <c r="S6183">
        <v>3.615875</v>
      </c>
      <c r="T6183">
        <v>-1.1755260000000001</v>
      </c>
      <c r="U6183">
        <v>0.1234436</v>
      </c>
      <c r="V6183">
        <v>-6.8365029999999993E-2</v>
      </c>
      <c r="W6183">
        <v>0.34647850000000002</v>
      </c>
      <c r="X6183">
        <v>0.93556340000000004</v>
      </c>
      <c r="Y6183">
        <v>-1.6704210000000001E-2</v>
      </c>
      <c r="Z6183">
        <v>-2.6466760000000002E-3</v>
      </c>
      <c r="AA6183">
        <v>0.99985690000000005</v>
      </c>
      <c r="AB6183">
        <v>29</v>
      </c>
      <c r="AC6183">
        <v>0.57160000000004596</v>
      </c>
      <c r="AD6183">
        <v>-0.233367399999999</v>
      </c>
      <c r="AE6183">
        <v>2.1930000000001101E-2</v>
      </c>
      <c r="AF6183">
        <v>-1.0278150819471E-2</v>
      </c>
      <c r="AG6183">
        <v>-0.233367399999999</v>
      </c>
      <c r="AH6183">
        <v>0.49029095744318402</v>
      </c>
      <c r="AI6183">
        <v>115.44850690891801</v>
      </c>
      <c r="AJ6183">
        <v>91.200936731897499</v>
      </c>
      <c r="AK6183">
        <v>0.54309410484517495</v>
      </c>
      <c r="AL6183">
        <v>69.727924983122406</v>
      </c>
      <c r="AM6183">
        <v>94.179383187139806</v>
      </c>
      <c r="AN6183">
        <v>1.00000000185435</v>
      </c>
    </row>
    <row r="6184" spans="1:40" x14ac:dyDescent="0.25">
      <c r="A6184" t="str">
        <f>"20190304164247138"</f>
        <v>20190304164247138</v>
      </c>
      <c r="B6184" t="str">
        <f>"1551688967127873"</f>
        <v>1551688967127873</v>
      </c>
      <c r="C6184" t="s">
        <v>40</v>
      </c>
      <c r="D6184">
        <v>4.1122880000000004</v>
      </c>
      <c r="E6184">
        <v>0.54591769999999995</v>
      </c>
      <c r="F6184" t="s">
        <v>41</v>
      </c>
      <c r="G6184">
        <v>-349.9323</v>
      </c>
      <c r="H6184">
        <v>0.84408559999999999</v>
      </c>
      <c r="I6184">
        <v>17.4389</v>
      </c>
      <c r="J6184">
        <v>-350.61099999999999</v>
      </c>
      <c r="K6184">
        <v>1.110217</v>
      </c>
      <c r="L6184">
        <v>17.41516</v>
      </c>
      <c r="M6184">
        <v>0.99981059999999999</v>
      </c>
      <c r="N6184">
        <v>-8.4299939999999997E-3</v>
      </c>
      <c r="O6184">
        <v>1.754381E-2</v>
      </c>
      <c r="P6184">
        <v>0.93751249999999997</v>
      </c>
      <c r="Q6184">
        <v>0.33774700000000002</v>
      </c>
      <c r="R6184">
        <v>8.3650619999999995E-2</v>
      </c>
      <c r="S6184">
        <v>3.614166</v>
      </c>
      <c r="T6184">
        <v>-1.1720139999999999</v>
      </c>
      <c r="U6184">
        <v>0.1177368</v>
      </c>
      <c r="V6184">
        <v>-6.741606E-2</v>
      </c>
      <c r="W6184">
        <v>0.3456052</v>
      </c>
      <c r="X6184">
        <v>0.93595519999999999</v>
      </c>
      <c r="Y6184">
        <v>-1.5078009999999999E-2</v>
      </c>
      <c r="Z6184">
        <v>-2.9524460000000001E-3</v>
      </c>
      <c r="AA6184">
        <v>0.99988200000000005</v>
      </c>
      <c r="AB6184">
        <v>29</v>
      </c>
      <c r="AC6184">
        <v>0.67869999999999198</v>
      </c>
      <c r="AD6184">
        <v>-0.26613140000000002</v>
      </c>
      <c r="AE6184">
        <v>2.3740000000000001E-2</v>
      </c>
      <c r="AF6184">
        <v>-1.02542046041595E-2</v>
      </c>
      <c r="AG6184">
        <v>-0.26613140000000002</v>
      </c>
      <c r="AH6184">
        <v>0.58861813851482103</v>
      </c>
      <c r="AI6184">
        <v>114.325847946655</v>
      </c>
      <c r="AJ6184">
        <v>90.998037919270104</v>
      </c>
      <c r="AK6184">
        <v>0.64606685704087696</v>
      </c>
      <c r="AL6184">
        <v>69.781256372090695</v>
      </c>
      <c r="AM6184">
        <v>94.119851411584307</v>
      </c>
      <c r="AN6184">
        <v>1.00000000791</v>
      </c>
    </row>
    <row r="6185" spans="1:40" x14ac:dyDescent="0.25">
      <c r="A6185" t="str">
        <f>"20190304164247149"</f>
        <v>20190304164247149</v>
      </c>
      <c r="B6185" t="str">
        <f>"1551688967137632"</f>
        <v>1551688967137632</v>
      </c>
      <c r="C6185" t="s">
        <v>40</v>
      </c>
      <c r="D6185">
        <v>4.1657380000000002</v>
      </c>
      <c r="E6185">
        <v>0.54608880000000004</v>
      </c>
      <c r="F6185" t="s">
        <v>41</v>
      </c>
      <c r="G6185">
        <v>-349.9151</v>
      </c>
      <c r="H6185">
        <v>0.88432129999999998</v>
      </c>
      <c r="I6185">
        <v>17.43676</v>
      </c>
      <c r="J6185">
        <v>-350.4785</v>
      </c>
      <c r="K6185">
        <v>1.1102019999999999</v>
      </c>
      <c r="L6185">
        <v>17.417629999999999</v>
      </c>
      <c r="M6185">
        <v>0.99980820000000004</v>
      </c>
      <c r="N6185">
        <v>-8.4435399999999994E-3</v>
      </c>
      <c r="O6185">
        <v>1.7675739999999999E-2</v>
      </c>
      <c r="P6185">
        <v>0.93776280000000001</v>
      </c>
      <c r="Q6185">
        <v>0.33729569999999998</v>
      </c>
      <c r="R6185">
        <v>8.2659960000000005E-2</v>
      </c>
      <c r="S6185">
        <v>3.6121829999999999</v>
      </c>
      <c r="T6185">
        <v>-1.1726049999999999</v>
      </c>
      <c r="U6185">
        <v>0.1140442</v>
      </c>
      <c r="V6185">
        <v>-6.6283399999999895E-2</v>
      </c>
      <c r="W6185">
        <v>0.34517199999999998</v>
      </c>
      <c r="X6185">
        <v>0.93619589999999997</v>
      </c>
      <c r="Y6185">
        <v>-1.400585E-2</v>
      </c>
      <c r="Z6185">
        <v>-3.1702589999999999E-3</v>
      </c>
      <c r="AA6185">
        <v>0.99989689999999998</v>
      </c>
      <c r="AB6185">
        <v>29</v>
      </c>
      <c r="AC6185">
        <v>0.56340000000000101</v>
      </c>
      <c r="AD6185">
        <v>-0.22588069999999999</v>
      </c>
      <c r="AE6185">
        <v>1.9130000000000501E-2</v>
      </c>
      <c r="AF6185">
        <v>-7.8997928650305204E-3</v>
      </c>
      <c r="AG6185">
        <v>-0.22588069999999999</v>
      </c>
      <c r="AH6185">
        <v>0.48567286105840801</v>
      </c>
      <c r="AI6185">
        <v>114.939683257883</v>
      </c>
      <c r="AJ6185">
        <v>90.931871874154496</v>
      </c>
      <c r="AK6185">
        <v>0.53568892589679296</v>
      </c>
      <c r="AL6185">
        <v>69.807703961580401</v>
      </c>
      <c r="AM6185">
        <v>94.049827979341401</v>
      </c>
      <c r="AN6185">
        <v>0.99999998093818399</v>
      </c>
    </row>
    <row r="6186" spans="1:40" x14ac:dyDescent="0.25">
      <c r="A6186" t="str">
        <f>"20190304164247161"</f>
        <v>20190304164247161</v>
      </c>
      <c r="B6186" t="str">
        <f>"1551688967147392"</f>
        <v>1551688967147392</v>
      </c>
      <c r="C6186" t="s">
        <v>40</v>
      </c>
      <c r="D6186">
        <v>4.1423509999999997</v>
      </c>
      <c r="E6186">
        <v>0.54608979999999996</v>
      </c>
      <c r="F6186" t="s">
        <v>41</v>
      </c>
      <c r="G6186">
        <v>-349.66739999999999</v>
      </c>
      <c r="H6186">
        <v>0.84725869999999903</v>
      </c>
      <c r="I6186">
        <v>17.442139999999998</v>
      </c>
      <c r="J6186">
        <v>-350.32069999999999</v>
      </c>
      <c r="K6186">
        <v>1.1101829999999999</v>
      </c>
      <c r="L6186">
        <v>17.420559999999998</v>
      </c>
      <c r="M6186">
        <v>0.99980539999999996</v>
      </c>
      <c r="N6186">
        <v>-8.4615130000000004E-3</v>
      </c>
      <c r="O6186">
        <v>1.7825379999999998E-2</v>
      </c>
      <c r="P6186">
        <v>0.93810590000000005</v>
      </c>
      <c r="Q6186">
        <v>0.33660010000000001</v>
      </c>
      <c r="R6186">
        <v>8.1597340000000004E-2</v>
      </c>
      <c r="S6186">
        <v>3.6104430000000001</v>
      </c>
      <c r="T6186">
        <v>-1.1704220000000001</v>
      </c>
      <c r="U6186">
        <v>0.109375</v>
      </c>
      <c r="V6186">
        <v>-6.5057199999999996E-2</v>
      </c>
      <c r="W6186">
        <v>0.34450019999999998</v>
      </c>
      <c r="X6186">
        <v>0.93652930000000001</v>
      </c>
      <c r="Y6186">
        <v>-1.2657130000000001E-2</v>
      </c>
      <c r="Z6186">
        <v>-3.430457E-3</v>
      </c>
      <c r="AA6186">
        <v>0.99991399999999997</v>
      </c>
      <c r="AB6186">
        <v>29</v>
      </c>
      <c r="AC6186">
        <v>0.65330000000000099</v>
      </c>
      <c r="AD6186">
        <v>-0.2629243</v>
      </c>
      <c r="AE6186">
        <v>2.1579999999996598E-2</v>
      </c>
      <c r="AF6186">
        <v>-8.5478441575499893E-3</v>
      </c>
      <c r="AG6186">
        <v>-0.2629243</v>
      </c>
      <c r="AH6186">
        <v>0.56256174129577197</v>
      </c>
      <c r="AI6186">
        <v>115.047424242191</v>
      </c>
      <c r="AJ6186">
        <v>90.870513710819694</v>
      </c>
      <c r="AK6186">
        <v>0.62102976252347397</v>
      </c>
      <c r="AL6186">
        <v>69.848710436151293</v>
      </c>
      <c r="AM6186">
        <v>93.973740618862294</v>
      </c>
      <c r="AN6186">
        <v>0.99999997841518395</v>
      </c>
    </row>
    <row r="6187" spans="1:40" x14ac:dyDescent="0.25">
      <c r="A6187" t="str">
        <f>"20190304164247171"</f>
        <v>20190304164247171</v>
      </c>
      <c r="B6187" t="str">
        <f>"1551688967166911"</f>
        <v>1551688967166911</v>
      </c>
      <c r="C6187" t="s">
        <v>40</v>
      </c>
      <c r="D6187">
        <v>4.1092579999999996</v>
      </c>
      <c r="E6187">
        <v>0.54608080000000003</v>
      </c>
      <c r="F6187" t="s">
        <v>41</v>
      </c>
      <c r="G6187">
        <v>-349.64850000000001</v>
      </c>
      <c r="H6187">
        <v>0.89170559999999999</v>
      </c>
      <c r="I6187">
        <v>17.440329999999999</v>
      </c>
      <c r="J6187">
        <v>-350.18119999999999</v>
      </c>
      <c r="K6187">
        <v>1.1101669999999999</v>
      </c>
      <c r="L6187">
        <v>17.423189999999899</v>
      </c>
      <c r="M6187">
        <v>0.99980309999999994</v>
      </c>
      <c r="N6187">
        <v>-8.4818689999999995E-3</v>
      </c>
      <c r="O6187">
        <v>1.7937169999999999E-2</v>
      </c>
      <c r="P6187">
        <v>0.93840939999999995</v>
      </c>
      <c r="Q6187">
        <v>0.33594230000000003</v>
      </c>
      <c r="R6187">
        <v>8.081257E-2</v>
      </c>
      <c r="S6187">
        <v>3.6096499999999998</v>
      </c>
      <c r="T6187">
        <v>-1.1732560000000001</v>
      </c>
      <c r="U6187">
        <v>0.1065369</v>
      </c>
      <c r="V6187">
        <v>-6.414591E-2</v>
      </c>
      <c r="W6187">
        <v>0.3438676</v>
      </c>
      <c r="X6187">
        <v>0.93682460000000001</v>
      </c>
      <c r="Y6187">
        <v>-1.1817360000000001E-2</v>
      </c>
      <c r="Z6187">
        <v>-3.6103179999999999E-3</v>
      </c>
      <c r="AA6187">
        <v>0.99992360000000002</v>
      </c>
      <c r="AB6187">
        <v>29</v>
      </c>
      <c r="AC6187">
        <v>0.53269999999997697</v>
      </c>
      <c r="AD6187">
        <v>-0.218461399999999</v>
      </c>
      <c r="AE6187">
        <v>1.7140000000001199E-2</v>
      </c>
      <c r="AF6187">
        <v>-6.4911849282786802E-3</v>
      </c>
      <c r="AG6187">
        <v>-0.218461399999999</v>
      </c>
      <c r="AH6187">
        <v>0.45626478393268999</v>
      </c>
      <c r="AI6187">
        <v>115.58302737837499</v>
      </c>
      <c r="AJ6187">
        <v>90.815080243605706</v>
      </c>
      <c r="AK6187">
        <v>0.50591014204982798</v>
      </c>
      <c r="AL6187">
        <v>69.887314344475399</v>
      </c>
      <c r="AM6187">
        <v>93.917021734552307</v>
      </c>
      <c r="AN6187">
        <v>0.99999997763232296</v>
      </c>
    </row>
    <row r="6188" spans="1:40" x14ac:dyDescent="0.25">
      <c r="A6188" t="str">
        <f>"20190304164247183"</f>
        <v>20190304164247183</v>
      </c>
      <c r="B6188" t="str">
        <f>"1551688967177649"</f>
        <v>1551688967177649</v>
      </c>
      <c r="C6188" t="s">
        <v>40</v>
      </c>
      <c r="D6188">
        <v>4.471787</v>
      </c>
      <c r="E6188">
        <v>0.54604569999999997</v>
      </c>
      <c r="F6188" t="s">
        <v>41</v>
      </c>
      <c r="G6188">
        <v>-349.3999</v>
      </c>
      <c r="H6188">
        <v>0.85553709999999905</v>
      </c>
      <c r="I6188">
        <v>17.445550000000001</v>
      </c>
      <c r="J6188">
        <v>-350.02010000000001</v>
      </c>
      <c r="K6188">
        <v>1.1101479999999999</v>
      </c>
      <c r="L6188">
        <v>17.426210000000001</v>
      </c>
      <c r="M6188">
        <v>0.99980080000000005</v>
      </c>
      <c r="N6188">
        <v>-8.5066949999999999E-3</v>
      </c>
      <c r="O6188">
        <v>1.806048E-2</v>
      </c>
      <c r="P6188">
        <v>0.93872949999999999</v>
      </c>
      <c r="Q6188">
        <v>0.33525159999999998</v>
      </c>
      <c r="R6188">
        <v>7.9959329999999995E-2</v>
      </c>
      <c r="S6188">
        <v>3.6089479999999998</v>
      </c>
      <c r="T6188">
        <v>-1.1760379999999999</v>
      </c>
      <c r="U6188">
        <v>0.1040649</v>
      </c>
      <c r="V6188">
        <v>-6.315258E-2</v>
      </c>
      <c r="W6188">
        <v>0.34320620000000002</v>
      </c>
      <c r="X6188">
        <v>0.93713460000000004</v>
      </c>
      <c r="Y6188">
        <v>-1.1062829999999999E-2</v>
      </c>
      <c r="Z6188">
        <v>-3.7803189999999999E-3</v>
      </c>
      <c r="AA6188">
        <v>0.99993160000000003</v>
      </c>
      <c r="AB6188">
        <v>29</v>
      </c>
      <c r="AC6188">
        <v>0.62020000000001096</v>
      </c>
      <c r="AD6188">
        <v>-0.25461089999999997</v>
      </c>
      <c r="AE6188">
        <v>1.9339999999999601E-2</v>
      </c>
      <c r="AF6188">
        <v>-6.9629668284645002E-3</v>
      </c>
      <c r="AG6188">
        <v>-0.25461089999999997</v>
      </c>
      <c r="AH6188">
        <v>0.53103673354495995</v>
      </c>
      <c r="AI6188">
        <v>115.613937022011</v>
      </c>
      <c r="AJ6188">
        <v>90.751220633551597</v>
      </c>
      <c r="AK6188">
        <v>0.58896112408202705</v>
      </c>
      <c r="AL6188">
        <v>69.927666080159995</v>
      </c>
      <c r="AM6188">
        <v>93.855277377132694</v>
      </c>
      <c r="AN6188">
        <v>1.0000000012981201</v>
      </c>
    </row>
    <row r="6189" spans="1:40" x14ac:dyDescent="0.25">
      <c r="A6189" t="str">
        <f>"20190304164247194"</f>
        <v>20190304164247194</v>
      </c>
      <c r="B6189" t="str">
        <f>"1551688967187408"</f>
        <v>1551688967187408</v>
      </c>
      <c r="C6189" t="s">
        <v>40</v>
      </c>
      <c r="D6189">
        <v>4.1258660000000003</v>
      </c>
      <c r="E6189">
        <v>0.54599940000000002</v>
      </c>
      <c r="F6189" t="s">
        <v>41</v>
      </c>
      <c r="G6189">
        <v>-349.14819999999997</v>
      </c>
      <c r="H6189">
        <v>0.82519290000000001</v>
      </c>
      <c r="I6189">
        <v>17.45036</v>
      </c>
      <c r="J6189">
        <v>-349.87299999999999</v>
      </c>
      <c r="K6189">
        <v>1.1101319999999999</v>
      </c>
      <c r="L6189">
        <v>17.428989999999999</v>
      </c>
      <c r="M6189">
        <v>0.99979879999999999</v>
      </c>
      <c r="N6189">
        <v>-8.5333530000000005E-3</v>
      </c>
      <c r="O6189">
        <v>1.8155609999999999E-2</v>
      </c>
      <c r="P6189">
        <v>0.93895229999999996</v>
      </c>
      <c r="Q6189">
        <v>0.33482129999999999</v>
      </c>
      <c r="R6189">
        <v>7.9142199999999996E-2</v>
      </c>
      <c r="S6189">
        <v>3.6084589999999999</v>
      </c>
      <c r="T6189">
        <v>-1.179368</v>
      </c>
      <c r="U6189">
        <v>0.10046389999999999</v>
      </c>
      <c r="V6189">
        <v>-6.2226490000000002E-2</v>
      </c>
      <c r="W6189">
        <v>0.34280620000000001</v>
      </c>
      <c r="X6189">
        <v>0.93734289999999998</v>
      </c>
      <c r="Y6189">
        <v>-1.0035779999999999E-2</v>
      </c>
      <c r="Z6189">
        <v>-3.9885440000000001E-3</v>
      </c>
      <c r="AA6189">
        <v>0.99994170000000004</v>
      </c>
      <c r="AB6189">
        <v>30</v>
      </c>
      <c r="AC6189">
        <v>0.72480000000007205</v>
      </c>
      <c r="AD6189">
        <v>-0.284939099999999</v>
      </c>
      <c r="AE6189">
        <v>2.1370000000000999E-2</v>
      </c>
      <c r="AF6189">
        <v>-7.1090643204447601E-3</v>
      </c>
      <c r="AG6189">
        <v>-0.284939099999999</v>
      </c>
      <c r="AH6189">
        <v>0.62808290781869602</v>
      </c>
      <c r="AI6189">
        <v>114.400741933351</v>
      </c>
      <c r="AJ6189">
        <v>90.648484433986496</v>
      </c>
      <c r="AK6189">
        <v>0.68973108426278096</v>
      </c>
      <c r="AL6189">
        <v>69.952063907202998</v>
      </c>
      <c r="AM6189">
        <v>93.798067368324197</v>
      </c>
      <c r="AN6189">
        <v>0.99999996949828396</v>
      </c>
    </row>
    <row r="6190" spans="1:40" x14ac:dyDescent="0.25">
      <c r="A6190" t="str">
        <f>"20190304164247204"</f>
        <v>20190304164247204</v>
      </c>
      <c r="B6190" t="str">
        <f>"1551688967197168"</f>
        <v>1551688967197168</v>
      </c>
      <c r="C6190" t="s">
        <v>40</v>
      </c>
      <c r="D6190">
        <v>4.1502999999999997</v>
      </c>
      <c r="E6190">
        <v>0.54596750000000005</v>
      </c>
      <c r="F6190" t="s">
        <v>41</v>
      </c>
      <c r="G6190">
        <v>-349.13060000000002</v>
      </c>
      <c r="H6190">
        <v>0.86693180000000003</v>
      </c>
      <c r="I6190">
        <v>17.448840000000001</v>
      </c>
      <c r="J6190">
        <v>-349.73630000000003</v>
      </c>
      <c r="K6190">
        <v>1.1101219999999901</v>
      </c>
      <c r="L6190">
        <v>17.431519999999999</v>
      </c>
      <c r="M6190">
        <v>0.99979700000000005</v>
      </c>
      <c r="N6190">
        <v>-8.5586550000000001E-3</v>
      </c>
      <c r="O6190">
        <v>1.8239200000000001E-2</v>
      </c>
      <c r="P6190">
        <v>0.93916060000000001</v>
      </c>
      <c r="Q6190">
        <v>0.33445360000000002</v>
      </c>
      <c r="R6190">
        <v>7.8219490000000003E-2</v>
      </c>
      <c r="S6190">
        <v>3.608368</v>
      </c>
      <c r="T6190">
        <v>-1.1819599999999999</v>
      </c>
      <c r="U6190">
        <v>9.7076419999999997E-2</v>
      </c>
      <c r="V6190">
        <v>-6.1207409999999997E-2</v>
      </c>
      <c r="W6190">
        <v>0.34246659999999901</v>
      </c>
      <c r="X6190">
        <v>0.93753419999999998</v>
      </c>
      <c r="Y6190">
        <v>-9.0722300000000006E-3</v>
      </c>
      <c r="Z6190">
        <v>-4.1808510000000002E-3</v>
      </c>
      <c r="AA6190">
        <v>0.99995009999999995</v>
      </c>
      <c r="AB6190">
        <v>30</v>
      </c>
      <c r="AC6190">
        <v>0.60570000000001301</v>
      </c>
      <c r="AD6190">
        <v>-0.243190199999999</v>
      </c>
      <c r="AE6190">
        <v>1.7319999999998E-2</v>
      </c>
      <c r="AF6190">
        <v>-5.39951560880742E-3</v>
      </c>
      <c r="AG6190">
        <v>-0.243190199999999</v>
      </c>
      <c r="AH6190">
        <v>0.52185804837093497</v>
      </c>
      <c r="AI6190">
        <v>114.984737381882</v>
      </c>
      <c r="AJ6190">
        <v>90.592801850387204</v>
      </c>
      <c r="AK6190">
        <v>0.57576596877062003</v>
      </c>
      <c r="AL6190">
        <v>69.972776884378305</v>
      </c>
      <c r="AM6190">
        <v>93.735284072289105</v>
      </c>
      <c r="AN6190">
        <v>1.0000000476620501</v>
      </c>
    </row>
    <row r="6191" spans="1:40" x14ac:dyDescent="0.25">
      <c r="A6191" t="str">
        <f>"20190304164247216"</f>
        <v>20190304164247216</v>
      </c>
      <c r="B6191" t="str">
        <f>"1551688967206929"</f>
        <v>1551688967206929</v>
      </c>
      <c r="C6191" t="s">
        <v>40</v>
      </c>
      <c r="D6191">
        <v>4.1564269999999999</v>
      </c>
      <c r="E6191">
        <v>0.54593210000000003</v>
      </c>
      <c r="F6191" t="s">
        <v>41</v>
      </c>
      <c r="G6191">
        <v>-348.88139999999999</v>
      </c>
      <c r="H6191">
        <v>0.82963920000000002</v>
      </c>
      <c r="I6191">
        <v>17.453199999999999</v>
      </c>
      <c r="J6191">
        <v>-349.58620000000002</v>
      </c>
      <c r="K6191">
        <v>1.110109</v>
      </c>
      <c r="L6191">
        <v>17.434360000000002</v>
      </c>
      <c r="M6191">
        <v>0.99979549999999995</v>
      </c>
      <c r="N6191">
        <v>-8.5876830000000005E-3</v>
      </c>
      <c r="O6191">
        <v>1.831909E-2</v>
      </c>
      <c r="P6191">
        <v>0.93937839999999995</v>
      </c>
      <c r="Q6191">
        <v>0.33406059999999999</v>
      </c>
      <c r="R6191">
        <v>7.7279840000000002E-2</v>
      </c>
      <c r="S6191">
        <v>3.6081850000000002</v>
      </c>
      <c r="T6191">
        <v>-1.183899</v>
      </c>
      <c r="U6191">
        <v>9.3322749999999996E-2</v>
      </c>
      <c r="V6191">
        <v>-6.0175069999999997E-2</v>
      </c>
      <c r="W6191">
        <v>0.34210550000000001</v>
      </c>
      <c r="X6191">
        <v>0.93773280000000003</v>
      </c>
      <c r="Y6191">
        <v>-8.0162730000000008E-3</v>
      </c>
      <c r="Z6191">
        <v>-4.3856040000000004E-3</v>
      </c>
      <c r="AA6191">
        <v>0.99995829999999997</v>
      </c>
      <c r="AB6191">
        <v>30</v>
      </c>
      <c r="AC6191">
        <v>0.70480000000003395</v>
      </c>
      <c r="AD6191">
        <v>-0.28046979999999999</v>
      </c>
      <c r="AE6191">
        <v>1.88399999999973E-2</v>
      </c>
      <c r="AF6191">
        <v>-5.1155580725300697E-3</v>
      </c>
      <c r="AG6191">
        <v>-0.28046979999999999</v>
      </c>
      <c r="AH6191">
        <v>0.60870266448195298</v>
      </c>
      <c r="AI6191">
        <v>114.737898274278</v>
      </c>
      <c r="AJ6191">
        <v>90.481504360785394</v>
      </c>
      <c r="AK6191">
        <v>0.67023011823840195</v>
      </c>
      <c r="AL6191">
        <v>69.994795641211098</v>
      </c>
      <c r="AM6191">
        <v>93.671682035431004</v>
      </c>
      <c r="AN6191">
        <v>1.00000000818779</v>
      </c>
    </row>
    <row r="6192" spans="1:40" x14ac:dyDescent="0.25">
      <c r="A6192" t="str">
        <f>"20190304164247230"</f>
        <v>20190304164247230</v>
      </c>
      <c r="B6192" t="str">
        <f>"1551688967217663"</f>
        <v>1551688967217663</v>
      </c>
      <c r="C6192" t="s">
        <v>40</v>
      </c>
      <c r="D6192">
        <v>4.174366</v>
      </c>
      <c r="E6192">
        <v>0.54591080000000003</v>
      </c>
      <c r="F6192" t="s">
        <v>41</v>
      </c>
      <c r="G6192">
        <v>-348.86329999999998</v>
      </c>
      <c r="H6192">
        <v>0.87248429999999999</v>
      </c>
      <c r="I6192">
        <v>17.451750000000001</v>
      </c>
      <c r="J6192">
        <v>-349.42700000000002</v>
      </c>
      <c r="K6192">
        <v>1.110093</v>
      </c>
      <c r="L6192">
        <v>17.437349999999999</v>
      </c>
      <c r="M6192">
        <v>0.99979370000000001</v>
      </c>
      <c r="N6192">
        <v>-8.618133E-3</v>
      </c>
      <c r="O6192">
        <v>1.839611E-2</v>
      </c>
      <c r="P6192">
        <v>0.93958220000000003</v>
      </c>
      <c r="Q6192">
        <v>0.33371590000000001</v>
      </c>
      <c r="R6192">
        <v>7.6282909999999995E-2</v>
      </c>
      <c r="S6192">
        <v>3.608063</v>
      </c>
      <c r="T6192">
        <v>-1.1860740000000001</v>
      </c>
      <c r="U6192">
        <v>8.8928220000000002E-2</v>
      </c>
      <c r="V6192">
        <v>-5.9089339999999997E-2</v>
      </c>
      <c r="W6192">
        <v>0.34179369999999998</v>
      </c>
      <c r="X6192">
        <v>0.93791559999999896</v>
      </c>
      <c r="Y6192">
        <v>-6.7945019999999896E-3</v>
      </c>
      <c r="Z6192">
        <v>-4.6182139999999998E-3</v>
      </c>
      <c r="AA6192">
        <v>0.99996629999999997</v>
      </c>
      <c r="AB6192">
        <v>30</v>
      </c>
      <c r="AC6192">
        <v>0.56369999999998299</v>
      </c>
      <c r="AD6192">
        <v>-0.23760869999999901</v>
      </c>
      <c r="AE6192">
        <v>1.4400000000001901E-2</v>
      </c>
      <c r="AF6192">
        <v>-3.4200305318603502E-3</v>
      </c>
      <c r="AG6192">
        <v>-0.23760869999999901</v>
      </c>
      <c r="AH6192">
        <v>0.47884565176378202</v>
      </c>
      <c r="AI6192">
        <v>116.390552416053</v>
      </c>
      <c r="AJ6192">
        <v>90.409213245851205</v>
      </c>
      <c r="AK6192">
        <v>0.53456781528409403</v>
      </c>
      <c r="AL6192">
        <v>70.013807927134195</v>
      </c>
      <c r="AM6192">
        <v>93.604909892332103</v>
      </c>
      <c r="AN6192">
        <v>1.0000000780923299</v>
      </c>
    </row>
    <row r="6193" spans="1:40" x14ac:dyDescent="0.25">
      <c r="A6193" t="str">
        <f>"20190304164247244"</f>
        <v>20190304164247244</v>
      </c>
      <c r="B6193" t="str">
        <f>"1551688967237573"</f>
        <v>1551688967237573</v>
      </c>
      <c r="C6193" t="s">
        <v>40</v>
      </c>
      <c r="D6193">
        <v>4.1970260000000001</v>
      </c>
      <c r="E6193">
        <v>0.54590989999999995</v>
      </c>
      <c r="F6193" t="s">
        <v>41</v>
      </c>
      <c r="G6193">
        <v>-348.6112</v>
      </c>
      <c r="H6193">
        <v>0.841526</v>
      </c>
      <c r="I6193">
        <v>17.456469999999999</v>
      </c>
      <c r="J6193">
        <v>-349.22699999999998</v>
      </c>
      <c r="K6193">
        <v>1.1100810000000001</v>
      </c>
      <c r="L6193">
        <v>17.441129999999902</v>
      </c>
      <c r="M6193">
        <v>0.99979180000000001</v>
      </c>
      <c r="N6193">
        <v>-8.6558569999999994E-3</v>
      </c>
      <c r="O6193">
        <v>1.8483639999999999E-2</v>
      </c>
      <c r="P6193">
        <v>0.93986879999999995</v>
      </c>
      <c r="Q6193">
        <v>0.33317580000000002</v>
      </c>
      <c r="R6193">
        <v>7.510377E-2</v>
      </c>
      <c r="S6193">
        <v>3.6078800000000002</v>
      </c>
      <c r="T6193">
        <v>-1.1877549999999999</v>
      </c>
      <c r="U6193">
        <v>8.4686280000000003E-2</v>
      </c>
      <c r="V6193">
        <v>-5.7809270000000003E-2</v>
      </c>
      <c r="W6193">
        <v>0.34129389999999998</v>
      </c>
      <c r="X6193">
        <v>0.93817720000000004</v>
      </c>
      <c r="Y6193">
        <v>-5.6035440000000002E-3</v>
      </c>
      <c r="Z6193">
        <v>-4.8477779999999996E-3</v>
      </c>
      <c r="AA6193">
        <v>0.99997250000000004</v>
      </c>
      <c r="AB6193">
        <v>30</v>
      </c>
      <c r="AC6193">
        <v>0.61579999999997803</v>
      </c>
      <c r="AD6193">
        <v>-0.26855499999999899</v>
      </c>
      <c r="AE6193">
        <v>1.5340000000001901E-2</v>
      </c>
      <c r="AF6193">
        <v>-3.3231006858204502E-3</v>
      </c>
      <c r="AG6193">
        <v>-0.26855499999999899</v>
      </c>
      <c r="AH6193">
        <v>0.51759762490635597</v>
      </c>
      <c r="AI6193">
        <v>117.422012805349</v>
      </c>
      <c r="AJ6193">
        <v>90.367847569308097</v>
      </c>
      <c r="AK6193">
        <v>0.58312960165975902</v>
      </c>
      <c r="AL6193">
        <v>70.044273859312099</v>
      </c>
      <c r="AM6193">
        <v>93.526033978138898</v>
      </c>
      <c r="AN6193">
        <v>0.99999994823749006</v>
      </c>
    </row>
    <row r="6194" spans="1:40" x14ac:dyDescent="0.25">
      <c r="A6194" t="str">
        <f>"20190304164247256"</f>
        <v>20190304164247256</v>
      </c>
      <c r="B6194" t="str">
        <f>"1551688967247333"</f>
        <v>1551688967247333</v>
      </c>
      <c r="C6194" t="s">
        <v>40</v>
      </c>
      <c r="D6194">
        <v>4.2079510000000004</v>
      </c>
      <c r="E6194">
        <v>0.54589709999999902</v>
      </c>
      <c r="F6194" t="s">
        <v>41</v>
      </c>
      <c r="G6194">
        <v>-348.35329999999999</v>
      </c>
      <c r="H6194">
        <v>0.82192770000000004</v>
      </c>
      <c r="I6194">
        <v>17.460190000000001</v>
      </c>
      <c r="J6194">
        <v>-349.06150000000002</v>
      </c>
      <c r="K6194">
        <v>1.1100730000000001</v>
      </c>
      <c r="L6194">
        <v>17.444240000000001</v>
      </c>
      <c r="M6194">
        <v>0.99979039999999997</v>
      </c>
      <c r="N6194">
        <v>-8.6857210000000004E-3</v>
      </c>
      <c r="O6194">
        <v>1.8546710000000001E-2</v>
      </c>
      <c r="P6194">
        <v>0.94019319999999895</v>
      </c>
      <c r="Q6194">
        <v>0.33254420000000001</v>
      </c>
      <c r="R6194">
        <v>7.3834849999999994E-2</v>
      </c>
      <c r="S6194">
        <v>3.6072690000000001</v>
      </c>
      <c r="T6194">
        <v>-1.1897489999999999</v>
      </c>
      <c r="U6194">
        <v>7.9986570000000007E-2</v>
      </c>
      <c r="V6194">
        <v>-5.646723E-2</v>
      </c>
      <c r="W6194">
        <v>0.34069460000000001</v>
      </c>
      <c r="X6194">
        <v>0.9384768</v>
      </c>
      <c r="Y6194">
        <v>-4.3176109999999998E-3</v>
      </c>
      <c r="Z6194">
        <v>-5.0880999999999999E-3</v>
      </c>
      <c r="AA6194">
        <v>0.99997769999999997</v>
      </c>
      <c r="AB6194">
        <v>30</v>
      </c>
      <c r="AC6194">
        <v>0.70820000000003303</v>
      </c>
      <c r="AD6194">
        <v>-0.28814529999999899</v>
      </c>
      <c r="AE6194">
        <v>1.59500000000001E-2</v>
      </c>
      <c r="AF6194">
        <v>-2.4127678440470902E-3</v>
      </c>
      <c r="AG6194">
        <v>-0.28814529999999899</v>
      </c>
      <c r="AH6194">
        <v>0.60780676762724795</v>
      </c>
      <c r="AI6194">
        <v>115.36423240683899</v>
      </c>
      <c r="AJ6194">
        <v>90.227441837840999</v>
      </c>
      <c r="AK6194">
        <v>0.67265340416461405</v>
      </c>
      <c r="AL6194">
        <v>70.080802154129898</v>
      </c>
      <c r="AM6194">
        <v>93.443279699304199</v>
      </c>
      <c r="AN6194">
        <v>1.0000000313356301</v>
      </c>
    </row>
    <row r="6195" spans="1:40" x14ac:dyDescent="0.25">
      <c r="A6195" t="str">
        <f>"20190304164247273"</f>
        <v>20190304164247273</v>
      </c>
      <c r="B6195" t="str">
        <f>"1551688967267830"</f>
        <v>1551688967267830</v>
      </c>
      <c r="C6195" t="s">
        <v>40</v>
      </c>
      <c r="D6195">
        <v>4.2069850000000004</v>
      </c>
      <c r="E6195">
        <v>0.54586599999999996</v>
      </c>
      <c r="F6195" t="s">
        <v>41</v>
      </c>
      <c r="G6195">
        <v>-348.33339999999998</v>
      </c>
      <c r="H6195">
        <v>0.8693824</v>
      </c>
      <c r="I6195">
        <v>17.459039999999899</v>
      </c>
      <c r="J6195">
        <v>-348.82859999999999</v>
      </c>
      <c r="K6195">
        <v>1.1100559999999999</v>
      </c>
      <c r="L6195">
        <v>17.448640000000001</v>
      </c>
      <c r="M6195">
        <v>0.99978849999999997</v>
      </c>
      <c r="N6195">
        <v>-8.7262219999999901E-3</v>
      </c>
      <c r="O6195">
        <v>1.862946E-2</v>
      </c>
      <c r="P6195">
        <v>0.94083740000000005</v>
      </c>
      <c r="Q6195">
        <v>0.331312</v>
      </c>
      <c r="R6195">
        <v>7.1116499999999999E-2</v>
      </c>
      <c r="S6195">
        <v>3.6067200000000001</v>
      </c>
      <c r="T6195">
        <v>-1.1923870000000001</v>
      </c>
      <c r="U6195">
        <v>7.4829099999999996E-2</v>
      </c>
      <c r="V6195">
        <v>-5.3650719999999999E-2</v>
      </c>
      <c r="W6195">
        <v>0.33950809999999998</v>
      </c>
      <c r="X6195">
        <v>0.93907180000000001</v>
      </c>
      <c r="Y6195">
        <v>-2.8940709999999998E-3</v>
      </c>
      <c r="Z6195">
        <v>-5.3607359999999996E-3</v>
      </c>
      <c r="AA6195">
        <v>0.99998149999999997</v>
      </c>
      <c r="AB6195">
        <v>30</v>
      </c>
      <c r="AC6195">
        <v>0.49520000000001102</v>
      </c>
      <c r="AD6195">
        <v>-0.24067359999999999</v>
      </c>
      <c r="AE6195">
        <v>1.0399999999997E-2</v>
      </c>
      <c r="AF6195">
        <v>-9.4857382812032803E-4</v>
      </c>
      <c r="AG6195">
        <v>-0.24067359999999999</v>
      </c>
      <c r="AH6195">
        <v>0.40070061943275698</v>
      </c>
      <c r="AI6195">
        <v>120.99030241241501</v>
      </c>
      <c r="AJ6195">
        <v>90.135635366523005</v>
      </c>
      <c r="AK6195">
        <v>0.46742450507334599</v>
      </c>
      <c r="AL6195">
        <v>70.153092245022407</v>
      </c>
      <c r="AM6195">
        <v>93.269847805398797</v>
      </c>
      <c r="AN6195">
        <v>0.99999999763868397</v>
      </c>
    </row>
    <row r="6196" spans="1:40" x14ac:dyDescent="0.25">
      <c r="A6196" t="str">
        <f>"20190304164247285"</f>
        <v>20190304164247285</v>
      </c>
      <c r="B6196" t="str">
        <f>"1551688967277589"</f>
        <v>1551688967277589</v>
      </c>
      <c r="C6196" t="s">
        <v>40</v>
      </c>
      <c r="D6196">
        <v>4.2317269999999896</v>
      </c>
      <c r="E6196">
        <v>0.54585360000000005</v>
      </c>
      <c r="F6196" t="s">
        <v>41</v>
      </c>
      <c r="G6196">
        <v>-348.0718</v>
      </c>
      <c r="H6196">
        <v>0.85866710000000002</v>
      </c>
      <c r="I6196">
        <v>17.46199</v>
      </c>
      <c r="J6196">
        <v>-348.67259999999999</v>
      </c>
      <c r="K6196">
        <v>1.11005</v>
      </c>
      <c r="L6196">
        <v>17.451629999999899</v>
      </c>
      <c r="M6196">
        <v>0.99978719999999999</v>
      </c>
      <c r="N6196">
        <v>-8.7515539999999999E-3</v>
      </c>
      <c r="O6196">
        <v>1.8682049999999999E-2</v>
      </c>
      <c r="P6196">
        <v>0.94108060000000004</v>
      </c>
      <c r="Q6196">
        <v>0.33084920000000001</v>
      </c>
      <c r="R6196">
        <v>7.0043549999999996E-2</v>
      </c>
      <c r="S6196">
        <v>3.6055299999999999</v>
      </c>
      <c r="T6196">
        <v>-1.1976389999999999</v>
      </c>
      <c r="U6196">
        <v>6.4941410000000005E-2</v>
      </c>
      <c r="V6196">
        <v>-5.2519400000000001E-2</v>
      </c>
      <c r="W6196">
        <v>0.33907159999999997</v>
      </c>
      <c r="X6196">
        <v>0.93929339999999995</v>
      </c>
      <c r="Y6196">
        <v>-2.623333E-4</v>
      </c>
      <c r="Z6196">
        <v>-5.8393179999999996E-3</v>
      </c>
      <c r="AA6196">
        <v>0.99998290000000001</v>
      </c>
      <c r="AB6196">
        <v>30</v>
      </c>
      <c r="AC6196">
        <v>0.60079999999999201</v>
      </c>
      <c r="AD6196">
        <v>-0.25138290000000002</v>
      </c>
      <c r="AE6196">
        <v>1.03600000000021E-2</v>
      </c>
      <c r="AF6196">
        <v>7.3736186912094E-4</v>
      </c>
      <c r="AG6196">
        <v>-0.25138290000000002</v>
      </c>
      <c r="AH6196">
        <v>0.51138683455469403</v>
      </c>
      <c r="AI6196">
        <v>116.17736616707001</v>
      </c>
      <c r="AJ6196">
        <v>89.917386035498694</v>
      </c>
      <c r="AK6196">
        <v>0.56983366052805795</v>
      </c>
      <c r="AL6196">
        <v>70.179678236452006</v>
      </c>
      <c r="AM6196">
        <v>93.200288601364804</v>
      </c>
      <c r="AN6196">
        <v>0.99999996429323901</v>
      </c>
    </row>
    <row r="6197" spans="1:40" x14ac:dyDescent="0.25">
      <c r="A6197" t="str">
        <f>"20190304164247296"</f>
        <v>20190304164247296</v>
      </c>
      <c r="B6197" t="str">
        <f>"1551688967287349"</f>
        <v>1551688967287349</v>
      </c>
      <c r="C6197" t="s">
        <v>40</v>
      </c>
      <c r="D6197">
        <v>4.3261690000000002</v>
      </c>
      <c r="E6197">
        <v>0.54586659999999998</v>
      </c>
      <c r="F6197" t="s">
        <v>41</v>
      </c>
      <c r="G6197">
        <v>-347.81869999999998</v>
      </c>
      <c r="H6197">
        <v>0.82593619999999901</v>
      </c>
      <c r="I6197">
        <v>17.465729999999901</v>
      </c>
      <c r="J6197">
        <v>-348.53089999999997</v>
      </c>
      <c r="K6197">
        <v>1.1100449999999999</v>
      </c>
      <c r="L6197">
        <v>17.454279999999901</v>
      </c>
      <c r="M6197">
        <v>0.99978630000000002</v>
      </c>
      <c r="N6197">
        <v>-8.7716389999999995E-3</v>
      </c>
      <c r="O6197">
        <v>1.8727879999999999E-2</v>
      </c>
      <c r="P6197">
        <v>0.94135000000000002</v>
      </c>
      <c r="Q6197">
        <v>0.33040259999999999</v>
      </c>
      <c r="R6197">
        <v>6.851728E-2</v>
      </c>
      <c r="S6197">
        <v>3.6049799999999999</v>
      </c>
      <c r="T6197">
        <v>-1.199425</v>
      </c>
      <c r="U6197">
        <v>6.0821529999999999E-2</v>
      </c>
      <c r="V6197">
        <v>-5.0942550000000003E-2</v>
      </c>
      <c r="W6197">
        <v>0.33864640000000001</v>
      </c>
      <c r="X6197">
        <v>0.93953370000000003</v>
      </c>
      <c r="Y6197">
        <v>8.5597259999999997E-4</v>
      </c>
      <c r="Z6197">
        <v>-6.0490229999999997E-3</v>
      </c>
      <c r="AA6197">
        <v>0.99998129999999996</v>
      </c>
      <c r="AB6197">
        <v>30</v>
      </c>
      <c r="AC6197">
        <v>0.71219999999999495</v>
      </c>
      <c r="AD6197">
        <v>-0.28410879999999999</v>
      </c>
      <c r="AE6197">
        <v>1.1449999999999899E-2</v>
      </c>
      <c r="AF6197">
        <v>1.6310288814733399E-3</v>
      </c>
      <c r="AG6197">
        <v>-0.28410879999999999</v>
      </c>
      <c r="AH6197">
        <v>0.61452277548467305</v>
      </c>
      <c r="AI6197">
        <v>114.812170033844</v>
      </c>
      <c r="AJ6197">
        <v>89.847929392588696</v>
      </c>
      <c r="AK6197">
        <v>0.67702194357497703</v>
      </c>
      <c r="AL6197">
        <v>70.205574152062098</v>
      </c>
      <c r="AM6197">
        <v>93.1036010744225</v>
      </c>
      <c r="AN6197">
        <v>1.0000000505345701</v>
      </c>
    </row>
    <row r="6198" spans="1:40" x14ac:dyDescent="0.25">
      <c r="A6198" t="str">
        <f>"20190304164247306"</f>
        <v>20190304164247306</v>
      </c>
      <c r="B6198" t="str">
        <f>"1551688967297109"</f>
        <v>1551688967297109</v>
      </c>
      <c r="C6198" t="s">
        <v>40</v>
      </c>
      <c r="D6198">
        <v>4.2320320000000002</v>
      </c>
      <c r="E6198">
        <v>0.54585709999999998</v>
      </c>
      <c r="F6198" t="s">
        <v>41</v>
      </c>
      <c r="G6198">
        <v>-347.80149999999998</v>
      </c>
      <c r="H6198">
        <v>0.86704829999999999</v>
      </c>
      <c r="I6198">
        <v>17.465070000000001</v>
      </c>
      <c r="J6198">
        <v>-348.39060000000001</v>
      </c>
      <c r="K6198">
        <v>1.1100449999999999</v>
      </c>
      <c r="L6198">
        <v>17.457000000000001</v>
      </c>
      <c r="M6198">
        <v>0.99978520000000004</v>
      </c>
      <c r="N6198">
        <v>-8.7891259999999995E-3</v>
      </c>
      <c r="O6198">
        <v>1.8772839999999999E-2</v>
      </c>
      <c r="P6198">
        <v>0.94157670000000004</v>
      </c>
      <c r="Q6198">
        <v>0.33002799999999999</v>
      </c>
      <c r="R6198">
        <v>6.7195829999999998E-2</v>
      </c>
      <c r="S6198">
        <v>3.6043699999999999</v>
      </c>
      <c r="T6198">
        <v>-1.2007490000000001</v>
      </c>
      <c r="U6198">
        <v>5.4809570000000002E-2</v>
      </c>
      <c r="V6198">
        <v>-4.957251E-2</v>
      </c>
      <c r="W6198">
        <v>0.33829100000000001</v>
      </c>
      <c r="X6198">
        <v>0.93973490000000004</v>
      </c>
      <c r="Y6198">
        <v>2.471128E-3</v>
      </c>
      <c r="Z6198">
        <v>-6.3397449999999999E-3</v>
      </c>
      <c r="AA6198">
        <v>0.99997689999999995</v>
      </c>
      <c r="AB6198">
        <v>30</v>
      </c>
      <c r="AC6198">
        <v>0.58910000000003004</v>
      </c>
      <c r="AD6198">
        <v>-0.24299670000000001</v>
      </c>
      <c r="AE6198">
        <v>8.0700000000000199E-3</v>
      </c>
      <c r="AF6198">
        <v>2.5560993839605002E-3</v>
      </c>
      <c r="AG6198">
        <v>-0.24299670000000001</v>
      </c>
      <c r="AH6198">
        <v>0.50349577218508001</v>
      </c>
      <c r="AI6198">
        <v>115.762557395644</v>
      </c>
      <c r="AJ6198">
        <v>89.709128742193002</v>
      </c>
      <c r="AK6198">
        <v>0.559072376766373</v>
      </c>
      <c r="AL6198">
        <v>70.227212426291999</v>
      </c>
      <c r="AM6198">
        <v>93.019644583611196</v>
      </c>
      <c r="AN6198">
        <v>0.99999995835335398</v>
      </c>
    </row>
    <row r="6199" spans="1:40" x14ac:dyDescent="0.25">
      <c r="A6199" t="str">
        <f>"20190304164247316"</f>
        <v>20190304164247316</v>
      </c>
      <c r="B6199" t="str">
        <f>"1551688967307847"</f>
        <v>1551688967307847</v>
      </c>
      <c r="C6199" t="s">
        <v>40</v>
      </c>
      <c r="D6199">
        <v>4.1526759999999996</v>
      </c>
      <c r="E6199">
        <v>0.54598869999999999</v>
      </c>
      <c r="F6199" t="s">
        <v>41</v>
      </c>
      <c r="G6199">
        <v>-347.55009999999999</v>
      </c>
      <c r="H6199">
        <v>0.82969269999999995</v>
      </c>
      <c r="I6199">
        <v>17.468720000000001</v>
      </c>
      <c r="J6199">
        <v>-348.2448</v>
      </c>
      <c r="K6199">
        <v>1.110042</v>
      </c>
      <c r="L6199">
        <v>17.45975</v>
      </c>
      <c r="M6199">
        <v>0.99978420000000001</v>
      </c>
      <c r="N6199">
        <v>-8.8038890000000005E-3</v>
      </c>
      <c r="O6199">
        <v>1.8818700000000001E-2</v>
      </c>
      <c r="P6199">
        <v>0.94171649999999996</v>
      </c>
      <c r="Q6199">
        <v>0.329870099999999</v>
      </c>
      <c r="R6199">
        <v>6.6000020000000006E-2</v>
      </c>
      <c r="S6199">
        <v>3.603882</v>
      </c>
      <c r="T6199">
        <v>-1.2020900000000001</v>
      </c>
      <c r="U6199">
        <v>5.0476069999999998E-2</v>
      </c>
      <c r="V6199">
        <v>-4.8328919999999997E-2</v>
      </c>
      <c r="W6199">
        <v>0.33814830000000001</v>
      </c>
      <c r="X6199">
        <v>0.93985099999999999</v>
      </c>
      <c r="Y6199">
        <v>3.6466469999999998E-3</v>
      </c>
      <c r="Z6199">
        <v>-6.5579660000000001E-3</v>
      </c>
      <c r="AA6199">
        <v>0.99997190000000002</v>
      </c>
      <c r="AB6199">
        <v>30</v>
      </c>
      <c r="AC6199">
        <v>0.69470000000001098</v>
      </c>
      <c r="AD6199">
        <v>-0.28034929999999902</v>
      </c>
      <c r="AE6199">
        <v>8.9700000000014699E-3</v>
      </c>
      <c r="AF6199">
        <v>3.5305666243845E-3</v>
      </c>
      <c r="AG6199">
        <v>-0.28034929999999902</v>
      </c>
      <c r="AH6199">
        <v>0.59746165052259503</v>
      </c>
      <c r="AI6199">
        <v>115.13717993271599</v>
      </c>
      <c r="AJ6199">
        <v>89.661427286331303</v>
      </c>
      <c r="AK6199">
        <v>0.65997622590239002</v>
      </c>
      <c r="AL6199">
        <v>70.2358999610654</v>
      </c>
      <c r="AM6199">
        <v>92.943664861956805</v>
      </c>
      <c r="AN6199">
        <v>0.99999992975112495</v>
      </c>
    </row>
    <row r="6200" spans="1:40" x14ac:dyDescent="0.25">
      <c r="A6200" t="str">
        <f>"20190304164247328"</f>
        <v>20190304164247328</v>
      </c>
      <c r="B6200" t="str">
        <f>"1551688967317605"</f>
        <v>1551688967317605</v>
      </c>
      <c r="C6200" t="s">
        <v>40</v>
      </c>
      <c r="D6200">
        <v>4.1653510000000002</v>
      </c>
      <c r="E6200">
        <v>0.54598869999999999</v>
      </c>
      <c r="F6200" t="s">
        <v>41</v>
      </c>
      <c r="G6200">
        <v>-347.53210000000001</v>
      </c>
      <c r="H6200">
        <v>0.87261819999999901</v>
      </c>
      <c r="I6200">
        <v>17.468699999999998</v>
      </c>
      <c r="J6200">
        <v>-348.1003</v>
      </c>
      <c r="K6200">
        <v>1.1100350000000001</v>
      </c>
      <c r="L6200">
        <v>17.46255</v>
      </c>
      <c r="M6200">
        <v>0.99978330000000004</v>
      </c>
      <c r="N6200">
        <v>-8.816216E-3</v>
      </c>
      <c r="O6200">
        <v>1.8861530000000001E-2</v>
      </c>
      <c r="P6200">
        <v>0.94177580000000005</v>
      </c>
      <c r="Q6200">
        <v>0.32993070000000002</v>
      </c>
      <c r="R6200">
        <v>6.4839770000000005E-2</v>
      </c>
      <c r="S6200">
        <v>3.602875</v>
      </c>
      <c r="T6200">
        <v>-1.2001010000000001</v>
      </c>
      <c r="U6200">
        <v>4.553223E-2</v>
      </c>
      <c r="V6200">
        <v>-4.7125170000000001E-2</v>
      </c>
      <c r="W6200">
        <v>0.33822150000000001</v>
      </c>
      <c r="X6200">
        <v>0.93988590000000005</v>
      </c>
      <c r="Y6200">
        <v>4.9842659999999898E-3</v>
      </c>
      <c r="Z6200">
        <v>-6.7855669999999898E-3</v>
      </c>
      <c r="AA6200">
        <v>0.99996450000000003</v>
      </c>
      <c r="AB6200">
        <v>30</v>
      </c>
      <c r="AC6200">
        <v>0.56819999999999005</v>
      </c>
      <c r="AD6200">
        <v>-0.23741680000000001</v>
      </c>
      <c r="AE6200">
        <v>6.1499999999980997E-3</v>
      </c>
      <c r="AF6200">
        <v>3.8896203619250402E-3</v>
      </c>
      <c r="AG6200">
        <v>-0.23741680000000001</v>
      </c>
      <c r="AH6200">
        <v>0.48376420774212597</v>
      </c>
      <c r="AI6200">
        <v>116.139671401615</v>
      </c>
      <c r="AJ6200">
        <v>89.539333367585101</v>
      </c>
      <c r="AK6200">
        <v>0.53889671993914201</v>
      </c>
      <c r="AL6200">
        <v>70.231445487676794</v>
      </c>
      <c r="AM6200">
        <v>92.870363461718</v>
      </c>
      <c r="AN6200">
        <v>1.0000000348642899</v>
      </c>
    </row>
    <row r="6201" spans="1:40" x14ac:dyDescent="0.25">
      <c r="A6201" t="str">
        <f>"20190304164247339"</f>
        <v>20190304164247339</v>
      </c>
      <c r="B6201" t="str">
        <f>"1551688967327365"</f>
        <v>1551688967327365</v>
      </c>
      <c r="C6201" t="s">
        <v>40</v>
      </c>
      <c r="D6201">
        <v>4.3043490000000002</v>
      </c>
      <c r="E6201">
        <v>0.54608519999999905</v>
      </c>
      <c r="F6201" t="s">
        <v>41</v>
      </c>
      <c r="G6201">
        <v>-347.27960000000002</v>
      </c>
      <c r="H6201">
        <v>0.83671530000000005</v>
      </c>
      <c r="I6201">
        <v>17.47186</v>
      </c>
      <c r="J6201">
        <v>-347.94990000000001</v>
      </c>
      <c r="K6201">
        <v>1.110028</v>
      </c>
      <c r="L6201">
        <v>17.465389999999999</v>
      </c>
      <c r="M6201">
        <v>0.99978239999999996</v>
      </c>
      <c r="N6201">
        <v>-8.8272239999999998E-3</v>
      </c>
      <c r="O6201">
        <v>1.8904649999999999E-2</v>
      </c>
      <c r="P6201">
        <v>0.94189730000000005</v>
      </c>
      <c r="Q6201">
        <v>0.32975880000000002</v>
      </c>
      <c r="R6201">
        <v>6.3945870000000002E-2</v>
      </c>
      <c r="S6201">
        <v>3.6029659999999999</v>
      </c>
      <c r="T6201">
        <v>-1.199954</v>
      </c>
      <c r="U6201">
        <v>4.1687009999999997E-2</v>
      </c>
      <c r="V6201">
        <v>-4.6185459999999998E-2</v>
      </c>
      <c r="W6201">
        <v>0.33806170000000002</v>
      </c>
      <c r="X6201">
        <v>0.93998999999999999</v>
      </c>
      <c r="Y6201">
        <v>6.0346549999999999E-3</v>
      </c>
      <c r="Z6201">
        <v>-6.9731580000000001E-3</v>
      </c>
      <c r="AA6201">
        <v>0.99995750000000005</v>
      </c>
      <c r="AB6201">
        <v>30</v>
      </c>
      <c r="AC6201">
        <v>0.67029999999999701</v>
      </c>
      <c r="AD6201">
        <v>-0.27331270000000002</v>
      </c>
      <c r="AE6201">
        <v>6.47000000000019E-3</v>
      </c>
      <c r="AF6201">
        <v>5.3191670707931401E-3</v>
      </c>
      <c r="AG6201">
        <v>-0.27331270000000002</v>
      </c>
      <c r="AH6201">
        <v>0.57475423325663799</v>
      </c>
      <c r="AI6201">
        <v>115.431523341659</v>
      </c>
      <c r="AJ6201">
        <v>89.469760976919005</v>
      </c>
      <c r="AK6201">
        <v>0.63645153324196102</v>
      </c>
      <c r="AL6201">
        <v>70.241173817640302</v>
      </c>
      <c r="AM6201">
        <v>92.812908164945995</v>
      </c>
      <c r="AN6201">
        <v>1.0000000049111499</v>
      </c>
    </row>
    <row r="6202" spans="1:40" x14ac:dyDescent="0.25">
      <c r="A6202" t="str">
        <f>"20190304164247349"</f>
        <v>20190304164247349</v>
      </c>
      <c r="B6202" t="str">
        <f>"1551688967337125"</f>
        <v>1551688967337125</v>
      </c>
      <c r="C6202" t="s">
        <v>40</v>
      </c>
      <c r="D6202">
        <v>4.2297669999999998</v>
      </c>
      <c r="E6202">
        <v>0.54609350000000001</v>
      </c>
      <c r="F6202" t="s">
        <v>41</v>
      </c>
      <c r="G6202">
        <v>-347.26089999999999</v>
      </c>
      <c r="H6202">
        <v>0.88079979999999902</v>
      </c>
      <c r="I6202">
        <v>17.472370000000002</v>
      </c>
      <c r="J6202">
        <v>-347.8116</v>
      </c>
      <c r="K6202">
        <v>1.1100209999999999</v>
      </c>
      <c r="L6202">
        <v>17.46808</v>
      </c>
      <c r="M6202">
        <v>0.99978180000000005</v>
      </c>
      <c r="N6202">
        <v>-8.8343609999999902E-3</v>
      </c>
      <c r="O6202">
        <v>1.893829E-2</v>
      </c>
      <c r="P6202">
        <v>0.94195629999999997</v>
      </c>
      <c r="Q6202">
        <v>0.32980999999999999</v>
      </c>
      <c r="R6202">
        <v>6.2802259999999999E-2</v>
      </c>
      <c r="S6202">
        <v>3.6020810000000001</v>
      </c>
      <c r="T6202">
        <v>-1.1984140000000001</v>
      </c>
      <c r="U6202">
        <v>3.7475590000000003E-2</v>
      </c>
      <c r="V6202">
        <v>-4.5003790000000002E-2</v>
      </c>
      <c r="W6202">
        <v>0.3381209</v>
      </c>
      <c r="X6202">
        <v>0.94002600000000003</v>
      </c>
      <c r="Y6202">
        <v>7.1723819999999997E-3</v>
      </c>
      <c r="Z6202">
        <v>-7.1661499999999996E-3</v>
      </c>
      <c r="AA6202">
        <v>0.99994859999999997</v>
      </c>
      <c r="AB6202">
        <v>30</v>
      </c>
      <c r="AC6202">
        <v>0.55070000000000596</v>
      </c>
      <c r="AD6202">
        <v>-0.22922119999999899</v>
      </c>
      <c r="AE6202">
        <v>4.29000000000101E-3</v>
      </c>
      <c r="AF6202">
        <v>5.2337805850083902E-3</v>
      </c>
      <c r="AG6202">
        <v>-0.22922119999999899</v>
      </c>
      <c r="AH6202">
        <v>0.46936821221759301</v>
      </c>
      <c r="AI6202">
        <v>116.027681500941</v>
      </c>
      <c r="AJ6202">
        <v>89.361138860733703</v>
      </c>
      <c r="AK6202">
        <v>0.52237560206138201</v>
      </c>
      <c r="AL6202">
        <v>70.237569207956795</v>
      </c>
      <c r="AM6202">
        <v>92.740945379867995</v>
      </c>
      <c r="AN6202">
        <v>0.99999998240358601</v>
      </c>
    </row>
    <row r="6203" spans="1:40" x14ac:dyDescent="0.25">
      <c r="A6203" t="str">
        <f>"20190304164247362"</f>
        <v>20190304164247362</v>
      </c>
      <c r="B6203" t="str">
        <f>"1551688967357621"</f>
        <v>1551688967357621</v>
      </c>
      <c r="C6203" t="s">
        <v>40</v>
      </c>
      <c r="D6203">
        <v>4.3043760000000004</v>
      </c>
      <c r="E6203">
        <v>0.54605870000000001</v>
      </c>
      <c r="F6203" t="s">
        <v>41</v>
      </c>
      <c r="G6203">
        <v>-347.00889999999998</v>
      </c>
      <c r="H6203">
        <v>0.843054999999999</v>
      </c>
      <c r="I6203">
        <v>17.475729999999999</v>
      </c>
      <c r="J6203">
        <v>-347.64370000000002</v>
      </c>
      <c r="K6203">
        <v>1.1100110000000001</v>
      </c>
      <c r="L6203">
        <v>17.471309999999999</v>
      </c>
      <c r="M6203">
        <v>0.99978100000000003</v>
      </c>
      <c r="N6203">
        <v>-8.8417489999999994E-3</v>
      </c>
      <c r="O6203">
        <v>1.8976739999999999E-2</v>
      </c>
      <c r="P6203">
        <v>0.94197140000000001</v>
      </c>
      <c r="Q6203">
        <v>0.32993400000000001</v>
      </c>
      <c r="R6203">
        <v>6.1916840000000001E-2</v>
      </c>
      <c r="S6203">
        <v>3.6020810000000001</v>
      </c>
      <c r="T6203">
        <v>-1.1980630000000001</v>
      </c>
      <c r="U6203">
        <v>3.4057619999999997E-2</v>
      </c>
      <c r="V6203">
        <v>-4.4075040000000003E-2</v>
      </c>
      <c r="W6203">
        <v>0.33825240000000001</v>
      </c>
      <c r="X6203">
        <v>0.94002269999999999</v>
      </c>
      <c r="Y6203">
        <v>8.10669199999999E-3</v>
      </c>
      <c r="Z6203">
        <v>-7.3317159999999899E-3</v>
      </c>
      <c r="AA6203">
        <v>0.9999403</v>
      </c>
      <c r="AB6203">
        <v>30</v>
      </c>
      <c r="AC6203">
        <v>0.634800000000041</v>
      </c>
      <c r="AD6203">
        <v>-0.26695600000000003</v>
      </c>
      <c r="AE6203">
        <v>4.4199999999996404E-3</v>
      </c>
      <c r="AF6203">
        <v>6.4815003715419997E-3</v>
      </c>
      <c r="AG6203">
        <v>-0.26695600000000003</v>
      </c>
      <c r="AH6203">
        <v>0.53938401738706099</v>
      </c>
      <c r="AI6203">
        <v>116.33043054745301</v>
      </c>
      <c r="AJ6203">
        <v>89.311539216285297</v>
      </c>
      <c r="AK6203">
        <v>0.60186596015697003</v>
      </c>
      <c r="AL6203">
        <v>70.229563156156203</v>
      </c>
      <c r="AM6203">
        <v>92.6844731009393</v>
      </c>
      <c r="AN6203">
        <v>0.99999998588602501</v>
      </c>
    </row>
    <row r="6204" spans="1:40" x14ac:dyDescent="0.25">
      <c r="A6204" t="str">
        <f>"20190304164247375"</f>
        <v>20190304164247375</v>
      </c>
      <c r="B6204" t="str">
        <f>"1551688967367382"</f>
        <v>1551688967367382</v>
      </c>
      <c r="C6204" t="s">
        <v>40</v>
      </c>
      <c r="D6204">
        <v>4.2902149999999999</v>
      </c>
      <c r="E6204">
        <v>0.54601489999999997</v>
      </c>
      <c r="F6204" t="s">
        <v>41</v>
      </c>
      <c r="G6204">
        <v>-346.75220000000002</v>
      </c>
      <c r="H6204">
        <v>0.81358490000000006</v>
      </c>
      <c r="I6204">
        <v>17.478899999999999</v>
      </c>
      <c r="J6204">
        <v>-347.46940000000001</v>
      </c>
      <c r="K6204">
        <v>1.1099969999999999</v>
      </c>
      <c r="L6204">
        <v>17.474640000000001</v>
      </c>
      <c r="M6204">
        <v>0.99978020000000001</v>
      </c>
      <c r="N6204">
        <v>-8.8458359999999993E-3</v>
      </c>
      <c r="O6204">
        <v>1.900634E-2</v>
      </c>
      <c r="P6204">
        <v>0.9419807</v>
      </c>
      <c r="Q6204">
        <v>0.3301248</v>
      </c>
      <c r="R6204">
        <v>6.0747950000000002E-2</v>
      </c>
      <c r="S6204">
        <v>3.6023559999999999</v>
      </c>
      <c r="T6204">
        <v>-1.1978500000000001</v>
      </c>
      <c r="U6204">
        <v>3.106689E-2</v>
      </c>
      <c r="V6204">
        <v>-4.2868719999999999E-2</v>
      </c>
      <c r="W6204">
        <v>0.33844849999999999</v>
      </c>
      <c r="X6204">
        <v>0.94000790000000001</v>
      </c>
      <c r="Y6204">
        <v>8.9212489999999992E-3</v>
      </c>
      <c r="Z6204">
        <v>-7.4747950000000002E-3</v>
      </c>
      <c r="AA6204">
        <v>0.9999323</v>
      </c>
      <c r="AB6204">
        <v>30</v>
      </c>
      <c r="AC6204">
        <v>0.71719999999999096</v>
      </c>
      <c r="AD6204">
        <v>-0.29641209999999901</v>
      </c>
      <c r="AE6204">
        <v>4.2599999999985896E-3</v>
      </c>
      <c r="AF6204">
        <v>8.0053167670797402E-3</v>
      </c>
      <c r="AG6204">
        <v>-0.29641209999999901</v>
      </c>
      <c r="AH6204">
        <v>0.61252942817869405</v>
      </c>
      <c r="AI6204">
        <v>115.821111847946</v>
      </c>
      <c r="AJ6204">
        <v>89.251228216283494</v>
      </c>
      <c r="AK6204">
        <v>0.68052664790430395</v>
      </c>
      <c r="AL6204">
        <v>70.217623183734801</v>
      </c>
      <c r="AM6204">
        <v>92.611144082325595</v>
      </c>
      <c r="AN6204">
        <v>0.99999998318454897</v>
      </c>
    </row>
    <row r="6205" spans="1:40" x14ac:dyDescent="0.25">
      <c r="A6205" t="str">
        <f>"20190304164247387"</f>
        <v>20190304164247387</v>
      </c>
      <c r="B6205" t="str">
        <f>"1551688967377142"</f>
        <v>1551688967377142</v>
      </c>
      <c r="C6205" t="s">
        <v>40</v>
      </c>
      <c r="D6205">
        <v>4.2899989999999999</v>
      </c>
      <c r="E6205">
        <v>0.54600099999999996</v>
      </c>
      <c r="F6205" t="s">
        <v>41</v>
      </c>
      <c r="G6205">
        <v>-346.7312</v>
      </c>
      <c r="H6205">
        <v>0.86455009999999999</v>
      </c>
      <c r="I6205">
        <v>17.480339999999899</v>
      </c>
      <c r="J6205">
        <v>-347.3073</v>
      </c>
      <c r="K6205">
        <v>1.109985</v>
      </c>
      <c r="L6205">
        <v>17.47775</v>
      </c>
      <c r="M6205">
        <v>0.9997798</v>
      </c>
      <c r="N6205">
        <v>-8.848936E-3</v>
      </c>
      <c r="O6205">
        <v>1.9030229999999999E-2</v>
      </c>
      <c r="P6205">
        <v>0.94207680000000005</v>
      </c>
      <c r="Q6205">
        <v>0.33006790000000003</v>
      </c>
      <c r="R6205">
        <v>5.9555179999999999E-2</v>
      </c>
      <c r="S6205">
        <v>3.6027830000000001</v>
      </c>
      <c r="T6205">
        <v>-1.1979229999999901</v>
      </c>
      <c r="U6205">
        <v>2.8289789999999999E-2</v>
      </c>
      <c r="V6205">
        <v>-4.1643609999999998E-2</v>
      </c>
      <c r="W6205">
        <v>0.33839649999999999</v>
      </c>
      <c r="X6205">
        <v>0.94008170000000002</v>
      </c>
      <c r="Y6205">
        <v>9.6741669999999991E-3</v>
      </c>
      <c r="Z6205">
        <v>-7.607211E-3</v>
      </c>
      <c r="AA6205">
        <v>0.99992420000000004</v>
      </c>
      <c r="AB6205">
        <v>30</v>
      </c>
      <c r="AC6205">
        <v>0.57609999999999595</v>
      </c>
      <c r="AD6205">
        <v>-0.24543490000000001</v>
      </c>
      <c r="AE6205">
        <v>2.58999999999787E-3</v>
      </c>
      <c r="AF6205">
        <v>7.0878023774078097E-3</v>
      </c>
      <c r="AG6205">
        <v>-0.24543490000000001</v>
      </c>
      <c r="AH6205">
        <v>0.48755538870363802</v>
      </c>
      <c r="AI6205">
        <v>116.718207162333</v>
      </c>
      <c r="AJ6205">
        <v>89.167125280052801</v>
      </c>
      <c r="AK6205">
        <v>0.54589264891048594</v>
      </c>
      <c r="AL6205">
        <v>70.220789571649803</v>
      </c>
      <c r="AM6205">
        <v>92.536422362554603</v>
      </c>
      <c r="AN6205">
        <v>0.99999999207048595</v>
      </c>
    </row>
    <row r="6206" spans="1:40" x14ac:dyDescent="0.25">
      <c r="A6206" t="str">
        <f>"20190304164247399"</f>
        <v>20190304164247399</v>
      </c>
      <c r="B6206" t="str">
        <f>"1551688967386902"</f>
        <v>1551688967386902</v>
      </c>
      <c r="C6206" t="s">
        <v>40</v>
      </c>
      <c r="D6206">
        <v>4.300351</v>
      </c>
      <c r="E6206">
        <v>0.54598639999999998</v>
      </c>
      <c r="F6206" t="s">
        <v>41</v>
      </c>
      <c r="G6206">
        <v>-346.47519999999997</v>
      </c>
      <c r="H6206">
        <v>0.83322129999999905</v>
      </c>
      <c r="I6206">
        <v>17.483439999999899</v>
      </c>
      <c r="J6206">
        <v>-347.13499999999999</v>
      </c>
      <c r="K6206">
        <v>1.1099730000000001</v>
      </c>
      <c r="L6206">
        <v>17.481020000000001</v>
      </c>
      <c r="M6206">
        <v>0.99977930000000004</v>
      </c>
      <c r="N6206">
        <v>-8.8512859999999999E-3</v>
      </c>
      <c r="O6206">
        <v>1.905049E-2</v>
      </c>
      <c r="P6206">
        <v>0.94217439999999997</v>
      </c>
      <c r="Q6206">
        <v>0.32995380000000002</v>
      </c>
      <c r="R6206">
        <v>5.8636779999999999E-2</v>
      </c>
      <c r="S6206">
        <v>3.6026609999999999</v>
      </c>
      <c r="T6206">
        <v>-1.198137</v>
      </c>
      <c r="U6206">
        <v>2.4749759999999999E-2</v>
      </c>
      <c r="V6206">
        <v>-4.0694519999999998E-2</v>
      </c>
      <c r="W6206">
        <v>0.33828649999999999</v>
      </c>
      <c r="X6206">
        <v>0.94016279999999997</v>
      </c>
      <c r="Y6206">
        <v>1.062248E-2</v>
      </c>
      <c r="Z6206">
        <v>-7.7730280000000004E-3</v>
      </c>
      <c r="AA6206">
        <v>0.99991339999999995</v>
      </c>
      <c r="AB6206">
        <v>30</v>
      </c>
      <c r="AC6206">
        <v>0.65980000000001804</v>
      </c>
      <c r="AD6206">
        <v>-0.27675169999999899</v>
      </c>
      <c r="AE6206">
        <v>2.4199999999972E-3</v>
      </c>
      <c r="AF6206">
        <v>8.6318145574855905E-3</v>
      </c>
      <c r="AG6206">
        <v>-0.27675169999999899</v>
      </c>
      <c r="AH6206">
        <v>0.56102321713553904</v>
      </c>
      <c r="AI6206">
        <v>116.254346803109</v>
      </c>
      <c r="AJ6206">
        <v>89.118525742175606</v>
      </c>
      <c r="AK6206">
        <v>0.62563013181955596</v>
      </c>
      <c r="AL6206">
        <v>70.227486141360004</v>
      </c>
      <c r="AM6206">
        <v>92.478474728331094</v>
      </c>
      <c r="AN6206">
        <v>0.99999994527205804</v>
      </c>
    </row>
    <row r="6207" spans="1:40" x14ac:dyDescent="0.25">
      <c r="A6207" t="str">
        <f>"20190304164247413"</f>
        <v>20190304164247413</v>
      </c>
      <c r="B6207" t="str">
        <f>"1551688967407397"</f>
        <v>1551688967407397</v>
      </c>
      <c r="C6207" t="s">
        <v>40</v>
      </c>
      <c r="D6207">
        <v>4.3289</v>
      </c>
      <c r="E6207">
        <v>0.54598380000000002</v>
      </c>
      <c r="F6207" t="s">
        <v>41</v>
      </c>
      <c r="G6207">
        <v>-346.45400000000001</v>
      </c>
      <c r="H6207">
        <v>0.88337339999999998</v>
      </c>
      <c r="I6207">
        <v>17.48517</v>
      </c>
      <c r="J6207">
        <v>-346.96719999999999</v>
      </c>
      <c r="K6207">
        <v>1.1099600000000001</v>
      </c>
      <c r="L6207">
        <v>17.484249999999999</v>
      </c>
      <c r="M6207">
        <v>0.99977919999999998</v>
      </c>
      <c r="N6207">
        <v>-8.8528989999999991E-3</v>
      </c>
      <c r="O6207">
        <v>1.9057020000000001E-2</v>
      </c>
      <c r="P6207">
        <v>0.94218429999999997</v>
      </c>
      <c r="Q6207">
        <v>0.33011750000000001</v>
      </c>
      <c r="R6207">
        <v>5.7542879999999998E-2</v>
      </c>
      <c r="S6207">
        <v>3.6025700000000001</v>
      </c>
      <c r="T6207">
        <v>-1.198815</v>
      </c>
      <c r="U6207">
        <v>2.215576E-2</v>
      </c>
      <c r="V6207">
        <v>-3.9584670000000002E-2</v>
      </c>
      <c r="W6207">
        <v>0.338453</v>
      </c>
      <c r="X6207">
        <v>0.94015029999999999</v>
      </c>
      <c r="Y6207">
        <v>1.13086E-2</v>
      </c>
      <c r="Z6207">
        <v>-7.8938050000000003E-3</v>
      </c>
      <c r="AA6207">
        <v>0.99990489999999999</v>
      </c>
      <c r="AB6207">
        <v>30</v>
      </c>
      <c r="AC6207">
        <v>0.513199999999983</v>
      </c>
      <c r="AD6207">
        <v>-0.2265866</v>
      </c>
      <c r="AE6207">
        <v>9.2000000000069804E-4</v>
      </c>
      <c r="AF6207">
        <v>7.4151313441304803E-3</v>
      </c>
      <c r="AG6207">
        <v>-0.2265866</v>
      </c>
      <c r="AH6207">
        <v>0.429415466175325</v>
      </c>
      <c r="AI6207">
        <v>117.815421939933</v>
      </c>
      <c r="AJ6207">
        <v>89.010716792079705</v>
      </c>
      <c r="AK6207">
        <v>0.48558636107594999</v>
      </c>
      <c r="AL6207">
        <v>70.217349177428503</v>
      </c>
      <c r="AM6207">
        <v>92.410992893189302</v>
      </c>
      <c r="AN6207">
        <v>0.99999998294904902</v>
      </c>
    </row>
    <row r="6208" spans="1:40" x14ac:dyDescent="0.25">
      <c r="A6208" t="str">
        <f>"20190304164247430"</f>
        <v>20190304164247430</v>
      </c>
      <c r="B6208" t="str">
        <f>"1551688967417158"</f>
        <v>1551688967417158</v>
      </c>
      <c r="C6208" t="s">
        <v>40</v>
      </c>
      <c r="D6208">
        <v>4.2746589999999998</v>
      </c>
      <c r="E6208">
        <v>0.55465259999999905</v>
      </c>
      <c r="F6208" t="s">
        <v>41</v>
      </c>
      <c r="G6208">
        <v>-346.19709999999998</v>
      </c>
      <c r="H6208">
        <v>0.85388790000000003</v>
      </c>
      <c r="I6208">
        <v>17.48818</v>
      </c>
      <c r="J6208">
        <v>-346.73059999999998</v>
      </c>
      <c r="K6208">
        <v>1.109936</v>
      </c>
      <c r="L6208">
        <v>17.48874</v>
      </c>
      <c r="M6208">
        <v>0.99977939999999998</v>
      </c>
      <c r="N6208">
        <v>-8.8528469999999901E-3</v>
      </c>
      <c r="O6208">
        <v>1.9045300000000001E-2</v>
      </c>
      <c r="P6208">
        <v>0.94226500000000002</v>
      </c>
      <c r="Q6208">
        <v>0.3302486</v>
      </c>
      <c r="R6208">
        <v>5.5429730000000003E-2</v>
      </c>
      <c r="S6208">
        <v>3.6026609999999999</v>
      </c>
      <c r="T6208">
        <v>-1.198029</v>
      </c>
      <c r="U6208">
        <v>1.919556E-2</v>
      </c>
      <c r="V6208">
        <v>-3.7464440000000002E-2</v>
      </c>
      <c r="W6208">
        <v>0.33858630000000001</v>
      </c>
      <c r="X6208">
        <v>0.94018919999999995</v>
      </c>
      <c r="Y6208">
        <v>1.20787E-2</v>
      </c>
      <c r="Z6208">
        <v>-8.0131479999999995E-3</v>
      </c>
      <c r="AA6208">
        <v>0.99989490000000003</v>
      </c>
      <c r="AB6208">
        <v>30</v>
      </c>
      <c r="AC6208">
        <v>0.53350000000000297</v>
      </c>
      <c r="AD6208">
        <v>-0.2560481</v>
      </c>
      <c r="AE6208">
        <v>-5.6000000000011596E-4</v>
      </c>
      <c r="AF6208">
        <v>8.7138059202701602E-3</v>
      </c>
      <c r="AG6208">
        <v>-0.2560481</v>
      </c>
      <c r="AH6208">
        <v>0.43353182336247797</v>
      </c>
      <c r="AI6208">
        <v>120.561444408593</v>
      </c>
      <c r="AJ6208">
        <v>88.848534158208395</v>
      </c>
      <c r="AK6208">
        <v>0.50357363095700403</v>
      </c>
      <c r="AL6208">
        <v>70.209232768900094</v>
      </c>
      <c r="AM6208">
        <v>92.281901603958403</v>
      </c>
      <c r="AN6208">
        <v>0.99999999930442096</v>
      </c>
    </row>
    <row r="6209" spans="1:40" x14ac:dyDescent="0.25">
      <c r="A6209" t="str">
        <f>"20190304164247445"</f>
        <v>20190304164247445</v>
      </c>
      <c r="B6209" t="str">
        <f>"1551688967437654"</f>
        <v>1551688967437654</v>
      </c>
      <c r="C6209" t="s">
        <v>40</v>
      </c>
      <c r="D6209">
        <v>4.2155559999999896</v>
      </c>
      <c r="E6209">
        <v>0.56188539999999998</v>
      </c>
      <c r="F6209" t="s">
        <v>41</v>
      </c>
      <c r="G6209">
        <v>-345.90870000000001</v>
      </c>
      <c r="H6209">
        <v>0.89842960000000005</v>
      </c>
      <c r="I6209">
        <v>17.468640000000001</v>
      </c>
      <c r="J6209">
        <v>-346.54270000000002</v>
      </c>
      <c r="K6209">
        <v>1.1099139999999901</v>
      </c>
      <c r="L6209">
        <v>17.492279999999901</v>
      </c>
      <c r="M6209">
        <v>0.99978020000000001</v>
      </c>
      <c r="N6209">
        <v>-8.8504320000000001E-3</v>
      </c>
      <c r="O6209">
        <v>1.901535E-2</v>
      </c>
      <c r="P6209">
        <v>0.9423549</v>
      </c>
      <c r="Q6209">
        <v>0.33017239999999998</v>
      </c>
      <c r="R6209">
        <v>5.4350490000000001E-2</v>
      </c>
      <c r="S6209">
        <v>3.5050050000000001</v>
      </c>
      <c r="T6209">
        <v>-0.90205380000000002</v>
      </c>
      <c r="U6209">
        <v>-8.5510249999999996E-2</v>
      </c>
      <c r="V6209">
        <v>-3.6395339999999998E-2</v>
      </c>
      <c r="W6209">
        <v>0.33851049999999999</v>
      </c>
      <c r="X6209">
        <v>0.9402585</v>
      </c>
      <c r="Y6209">
        <v>4.142088E-2</v>
      </c>
      <c r="Z6209">
        <v>-1.0079309999999999E-2</v>
      </c>
      <c r="AA6209">
        <v>0.99909099999999995</v>
      </c>
      <c r="AB6209">
        <v>30</v>
      </c>
      <c r="AC6209">
        <v>0.634000000000014</v>
      </c>
      <c r="AD6209">
        <v>-0.21148439999999899</v>
      </c>
      <c r="AE6209">
        <v>-2.3639999999996698E-2</v>
      </c>
      <c r="AF6209">
        <v>3.2122606750238501E-2</v>
      </c>
      <c r="AG6209">
        <v>-0.21148439999999899</v>
      </c>
      <c r="AH6209">
        <v>0.57008996847677396</v>
      </c>
      <c r="AI6209">
        <v>110.323582261326</v>
      </c>
      <c r="AJ6209">
        <v>86.774990289194406</v>
      </c>
      <c r="AK6209">
        <v>0.60890071889072295</v>
      </c>
      <c r="AL6209">
        <v>70.2138486277982</v>
      </c>
      <c r="AM6209">
        <v>92.216687057210706</v>
      </c>
      <c r="AN6209">
        <v>1.0000000131030999</v>
      </c>
    </row>
    <row r="6210" spans="1:40" x14ac:dyDescent="0.25">
      <c r="A6210" t="str">
        <f>"20190304164247464"</f>
        <v>20190304164247464</v>
      </c>
      <c r="B6210" t="str">
        <f>"1551688967457173"</f>
        <v>1551688967457173</v>
      </c>
      <c r="C6210" t="s">
        <v>40</v>
      </c>
      <c r="D6210">
        <v>4.2017419999999897</v>
      </c>
      <c r="E6210">
        <v>0.56403760000000003</v>
      </c>
      <c r="F6210" t="s">
        <v>41</v>
      </c>
      <c r="G6210">
        <v>-345.58859999999999</v>
      </c>
      <c r="H6210">
        <v>1.0030129999999999</v>
      </c>
      <c r="I6210">
        <v>17.435079999999999</v>
      </c>
      <c r="J6210">
        <v>-346.28300000000002</v>
      </c>
      <c r="K6210">
        <v>1.1098730000000001</v>
      </c>
      <c r="L6210">
        <v>17.497129999999999</v>
      </c>
      <c r="M6210">
        <v>0.9997817</v>
      </c>
      <c r="N6210">
        <v>-8.8439269999999997E-3</v>
      </c>
      <c r="O6210">
        <v>1.8933229999999999E-2</v>
      </c>
      <c r="P6210">
        <v>0.94251660000000004</v>
      </c>
      <c r="Q6210">
        <v>0.3300129</v>
      </c>
      <c r="R6210">
        <v>5.2479869999999998E-2</v>
      </c>
      <c r="S6210">
        <v>3.3255309999999998</v>
      </c>
      <c r="T6210">
        <v>-0.37263879999999999</v>
      </c>
      <c r="U6210">
        <v>-0.1984863</v>
      </c>
      <c r="V6210">
        <v>-3.4571280000000003E-2</v>
      </c>
      <c r="W6210">
        <v>0.33834839999999999</v>
      </c>
      <c r="X6210">
        <v>0.94038560000000004</v>
      </c>
      <c r="Y6210">
        <v>7.7844759999999999E-2</v>
      </c>
      <c r="Z6210">
        <v>-6.6361270000000003E-3</v>
      </c>
      <c r="AA6210">
        <v>0.99694340000000004</v>
      </c>
      <c r="AB6210">
        <v>30</v>
      </c>
      <c r="AC6210">
        <v>0.69440000000002999</v>
      </c>
      <c r="AD6210">
        <v>-0.106859999999999</v>
      </c>
      <c r="AE6210">
        <v>-6.2049999999999203E-2</v>
      </c>
      <c r="AF6210">
        <v>7.3460738475291706E-2</v>
      </c>
      <c r="AG6210">
        <v>-0.106859999999999</v>
      </c>
      <c r="AH6210">
        <v>0.67719074829140102</v>
      </c>
      <c r="AI6210">
        <v>98.915814790049197</v>
      </c>
      <c r="AJ6210">
        <v>83.808840486434093</v>
      </c>
      <c r="AK6210">
        <v>0.68949463324147997</v>
      </c>
      <c r="AL6210">
        <v>70.223717284038798</v>
      </c>
      <c r="AM6210">
        <v>92.105409534207496</v>
      </c>
      <c r="AN6210">
        <v>0.99999994493537703</v>
      </c>
    </row>
    <row r="6211" spans="1:40" x14ac:dyDescent="0.25">
      <c r="A6211" t="str">
        <f>"20190304164247476"</f>
        <v>20190304164247476</v>
      </c>
      <c r="B6211" t="str">
        <f>"1551688967466933"</f>
        <v>1551688967466933</v>
      </c>
      <c r="C6211" t="s">
        <v>40</v>
      </c>
      <c r="D6211">
        <v>4.1648620000000003</v>
      </c>
      <c r="E6211">
        <v>0.56250480000000003</v>
      </c>
      <c r="F6211" t="s">
        <v>41</v>
      </c>
      <c r="G6211">
        <v>-345.30939999999998</v>
      </c>
      <c r="H6211">
        <v>1.018893</v>
      </c>
      <c r="I6211">
        <v>17.429970000000001</v>
      </c>
      <c r="J6211">
        <v>-346.09570000000002</v>
      </c>
      <c r="K6211">
        <v>1.109842</v>
      </c>
      <c r="L6211">
        <v>17.500610000000002</v>
      </c>
      <c r="M6211">
        <v>0.99978339999999999</v>
      </c>
      <c r="N6211">
        <v>-8.8387180000000006E-3</v>
      </c>
      <c r="O6211">
        <v>1.8841739999999999E-2</v>
      </c>
      <c r="P6211">
        <v>0.94256269999999998</v>
      </c>
      <c r="Q6211">
        <v>0.3300379</v>
      </c>
      <c r="R6211">
        <v>5.148258E-2</v>
      </c>
      <c r="S6211">
        <v>3.303741</v>
      </c>
      <c r="T6211">
        <v>-0.30872290000000002</v>
      </c>
      <c r="U6211">
        <v>-0.22729489999999999</v>
      </c>
      <c r="V6211">
        <v>-3.3636039999999999E-2</v>
      </c>
      <c r="W6211">
        <v>0.33837089999999997</v>
      </c>
      <c r="X6211">
        <v>0.94041149999999996</v>
      </c>
      <c r="Y6211">
        <v>8.6942800000000001E-2</v>
      </c>
      <c r="Z6211">
        <v>-6.0232790000000003E-3</v>
      </c>
      <c r="AA6211">
        <v>0.9961951</v>
      </c>
      <c r="AB6211">
        <v>30</v>
      </c>
      <c r="AC6211">
        <v>0.78630000000003897</v>
      </c>
      <c r="AD6211">
        <v>-9.0948999999999905E-2</v>
      </c>
      <c r="AE6211">
        <v>-7.0640000000000897E-2</v>
      </c>
      <c r="AF6211">
        <v>8.4324168639063404E-2</v>
      </c>
      <c r="AG6211">
        <v>-9.0948999999999905E-2</v>
      </c>
      <c r="AH6211">
        <v>0.77454974073885496</v>
      </c>
      <c r="AI6211">
        <v>96.658119754259104</v>
      </c>
      <c r="AJ6211">
        <v>83.786757145192098</v>
      </c>
      <c r="AK6211">
        <v>0.784416717629282</v>
      </c>
      <c r="AL6211">
        <v>70.222348855333905</v>
      </c>
      <c r="AM6211">
        <v>92.048445744615606</v>
      </c>
      <c r="AN6211">
        <v>1.0000000192429701</v>
      </c>
    </row>
    <row r="6212" spans="1:40" x14ac:dyDescent="0.25">
      <c r="A6212" t="str">
        <f>"20190304164247488"</f>
        <v>20190304164247488</v>
      </c>
      <c r="B6212" t="str">
        <f>"1551688967477671"</f>
        <v>1551688967477671</v>
      </c>
      <c r="C6212" t="s">
        <v>40</v>
      </c>
      <c r="D6212">
        <v>4.2406030000000001</v>
      </c>
      <c r="E6212">
        <v>0.56253399999999998</v>
      </c>
      <c r="F6212" t="s">
        <v>41</v>
      </c>
      <c r="G6212">
        <v>-345.29790000000003</v>
      </c>
      <c r="H6212">
        <v>1.0430999999999999</v>
      </c>
      <c r="I6212">
        <v>17.446809999999999</v>
      </c>
      <c r="J6212">
        <v>-345.93880000000001</v>
      </c>
      <c r="K6212">
        <v>1.1098159999999999</v>
      </c>
      <c r="L6212">
        <v>17.503450000000001</v>
      </c>
      <c r="M6212">
        <v>0.99978520000000004</v>
      </c>
      <c r="N6212">
        <v>-8.8345179999999995E-3</v>
      </c>
      <c r="O6212">
        <v>1.8748979999999998E-2</v>
      </c>
      <c r="P6212">
        <v>0.94262069999999998</v>
      </c>
      <c r="Q6212">
        <v>0.33000750000000001</v>
      </c>
      <c r="R6212">
        <v>5.0607060000000002E-2</v>
      </c>
      <c r="S6212">
        <v>3.29129</v>
      </c>
      <c r="T6212">
        <v>-0.27533590000000002</v>
      </c>
      <c r="U6212">
        <v>-0.2212219</v>
      </c>
      <c r="V6212">
        <v>-3.282612E-2</v>
      </c>
      <c r="W6212">
        <v>0.338339</v>
      </c>
      <c r="X6212">
        <v>0.94045160000000005</v>
      </c>
      <c r="Y6212">
        <v>8.5378010000000004E-2</v>
      </c>
      <c r="Z6212">
        <v>-5.3382300000000002E-3</v>
      </c>
      <c r="AA6212">
        <v>0.99633430000000001</v>
      </c>
      <c r="AB6212">
        <v>30</v>
      </c>
      <c r="AC6212">
        <v>0.64089999999998704</v>
      </c>
      <c r="AD6212">
        <v>-6.6715999999999998E-2</v>
      </c>
      <c r="AE6212">
        <v>-5.6640000000001502E-2</v>
      </c>
      <c r="AF6212">
        <v>6.7916476143645294E-2</v>
      </c>
      <c r="AG6212">
        <v>-6.6715999999999998E-2</v>
      </c>
      <c r="AH6212">
        <v>0.63292001669729803</v>
      </c>
      <c r="AI6212">
        <v>95.983220605108997</v>
      </c>
      <c r="AJ6212">
        <v>83.875222989930293</v>
      </c>
      <c r="AK6212">
        <v>0.64004017055484796</v>
      </c>
      <c r="AL6212">
        <v>70.224291217278903</v>
      </c>
      <c r="AM6212">
        <v>91.999076697293106</v>
      </c>
      <c r="AN6212">
        <v>1.0000000225089001</v>
      </c>
    </row>
    <row r="6213" spans="1:40" x14ac:dyDescent="0.25">
      <c r="A6213" t="str">
        <f>"20190304164247499"</f>
        <v>20190304164247499</v>
      </c>
      <c r="B6213" t="str">
        <f>"1551688967487429"</f>
        <v>1551688967487429</v>
      </c>
      <c r="C6213" t="s">
        <v>40</v>
      </c>
      <c r="D6213">
        <v>4.221686</v>
      </c>
      <c r="E6213">
        <v>0.56263629999999998</v>
      </c>
      <c r="F6213" t="s">
        <v>41</v>
      </c>
      <c r="G6213">
        <v>-345.03050000000002</v>
      </c>
      <c r="H6213">
        <v>1.0340389999999999</v>
      </c>
      <c r="I6213">
        <v>17.441289999999999</v>
      </c>
      <c r="J6213">
        <v>-345.78699999999998</v>
      </c>
      <c r="K6213">
        <v>1.1097889999999999</v>
      </c>
      <c r="L6213">
        <v>17.506229999999999</v>
      </c>
      <c r="M6213">
        <v>0.99978710000000004</v>
      </c>
      <c r="N6213">
        <v>-8.8305720000000001E-3</v>
      </c>
      <c r="O6213">
        <v>1.8647339999999998E-2</v>
      </c>
      <c r="P6213">
        <v>0.94260969999999999</v>
      </c>
      <c r="Q6213">
        <v>0.3301789</v>
      </c>
      <c r="R6213">
        <v>4.9687050000000003E-2</v>
      </c>
      <c r="S6213">
        <v>3.2907410000000001</v>
      </c>
      <c r="T6213">
        <v>-0.27445160000000002</v>
      </c>
      <c r="U6213">
        <v>-0.22427369999999999</v>
      </c>
      <c r="V6213">
        <v>-3.1982320000000002E-2</v>
      </c>
      <c r="W6213">
        <v>0.33850780000000003</v>
      </c>
      <c r="X6213">
        <v>0.94041989999999998</v>
      </c>
      <c r="Y6213">
        <v>8.6207000000000006E-2</v>
      </c>
      <c r="Z6213">
        <v>-5.3530180000000002E-3</v>
      </c>
      <c r="AA6213">
        <v>0.9962628</v>
      </c>
      <c r="AB6213">
        <v>30</v>
      </c>
      <c r="AC6213">
        <v>0.75649999999995898</v>
      </c>
      <c r="AD6213">
        <v>-7.5749999999999901E-2</v>
      </c>
      <c r="AE6213">
        <v>-6.4939999999999998E-2</v>
      </c>
      <c r="AF6213">
        <v>7.8257069400422805E-2</v>
      </c>
      <c r="AG6213">
        <v>-7.5749999999999901E-2</v>
      </c>
      <c r="AH6213">
        <v>0.74771535266345801</v>
      </c>
      <c r="AI6213">
        <v>95.753604490041994</v>
      </c>
      <c r="AJ6213">
        <v>84.025086378575594</v>
      </c>
      <c r="AK6213">
        <v>0.75560603492811096</v>
      </c>
      <c r="AL6213">
        <v>70.214012636206903</v>
      </c>
      <c r="AM6213">
        <v>91.947795856682205</v>
      </c>
      <c r="AN6213">
        <v>0.99999999388471605</v>
      </c>
    </row>
    <row r="6214" spans="1:40" x14ac:dyDescent="0.25">
      <c r="A6214" t="str">
        <f>"20190304164247510"</f>
        <v>20190304164247510</v>
      </c>
      <c r="B6214" t="str">
        <f>"1551688967506950"</f>
        <v>1551688967506950</v>
      </c>
      <c r="C6214" t="s">
        <v>40</v>
      </c>
      <c r="D6214">
        <v>4.2618470000000004</v>
      </c>
      <c r="E6214">
        <v>0.56293249999999995</v>
      </c>
      <c r="F6214" t="s">
        <v>41</v>
      </c>
      <c r="G6214">
        <v>-345.0247</v>
      </c>
      <c r="H6214">
        <v>1.0463469999999999</v>
      </c>
      <c r="I6214">
        <v>17.453229999999898</v>
      </c>
      <c r="J6214">
        <v>-345.63510000000002</v>
      </c>
      <c r="K6214">
        <v>1.1097649999999999</v>
      </c>
      <c r="L6214">
        <v>17.508939999999999</v>
      </c>
      <c r="M6214">
        <v>0.9997897</v>
      </c>
      <c r="N6214">
        <v>-8.8268909999999999E-3</v>
      </c>
      <c r="O6214">
        <v>1.8521659999999999E-2</v>
      </c>
      <c r="P6214">
        <v>0.94266719999999904</v>
      </c>
      <c r="Q6214">
        <v>0.33017059999999998</v>
      </c>
      <c r="R6214">
        <v>4.8645529999999999E-2</v>
      </c>
      <c r="S6214">
        <v>3.2905579999999999</v>
      </c>
      <c r="T6214">
        <v>-0.27374910000000002</v>
      </c>
      <c r="U6214">
        <v>-0.2276917</v>
      </c>
      <c r="V6214">
        <v>-3.1037579999999999E-2</v>
      </c>
      <c r="W6214">
        <v>0.33849839999999998</v>
      </c>
      <c r="X6214">
        <v>0.94045500000000004</v>
      </c>
      <c r="Y6214">
        <v>8.7114250000000004E-2</v>
      </c>
      <c r="Z6214">
        <v>-5.3722719999999896E-3</v>
      </c>
      <c r="AA6214">
        <v>0.99618379999999995</v>
      </c>
      <c r="AB6214">
        <v>30</v>
      </c>
      <c r="AC6214">
        <v>0.61040000000002603</v>
      </c>
      <c r="AD6214">
        <v>-6.3417999999999905E-2</v>
      </c>
      <c r="AE6214">
        <v>-5.5710000000001203E-2</v>
      </c>
      <c r="AF6214">
        <v>6.6296784050578705E-2</v>
      </c>
      <c r="AG6214">
        <v>-6.3417999999999905E-2</v>
      </c>
      <c r="AH6214">
        <v>0.60281021830641301</v>
      </c>
      <c r="AI6214">
        <v>95.969915511920604</v>
      </c>
      <c r="AJ6214">
        <v>83.723860376960005</v>
      </c>
      <c r="AK6214">
        <v>0.60975180655253003</v>
      </c>
      <c r="AL6214">
        <v>70.214586216439997</v>
      </c>
      <c r="AM6214">
        <v>91.8902309245872</v>
      </c>
      <c r="AN6214">
        <v>1.0000000525999</v>
      </c>
    </row>
    <row r="6215" spans="1:40" x14ac:dyDescent="0.25">
      <c r="A6215" t="str">
        <f>"20190304164247520"</f>
        <v>20190304164247520</v>
      </c>
      <c r="B6215" t="str">
        <f>"1551688967517685"</f>
        <v>1551688967517685</v>
      </c>
      <c r="C6215" t="s">
        <v>40</v>
      </c>
      <c r="D6215">
        <v>4.225333</v>
      </c>
      <c r="E6215">
        <v>0.563061699999999</v>
      </c>
      <c r="F6215" t="s">
        <v>41</v>
      </c>
      <c r="G6215">
        <v>-344.75709999999998</v>
      </c>
      <c r="H6215">
        <v>1.036529</v>
      </c>
      <c r="I6215">
        <v>17.44659</v>
      </c>
      <c r="J6215">
        <v>-345.49459999999999</v>
      </c>
      <c r="K6215">
        <v>1.1097410000000001</v>
      </c>
      <c r="L6215">
        <v>17.51144</v>
      </c>
      <c r="M6215">
        <v>0.99979189999999996</v>
      </c>
      <c r="N6215">
        <v>-8.8235420000000002E-3</v>
      </c>
      <c r="O6215">
        <v>1.84E-2</v>
      </c>
      <c r="P6215">
        <v>0.94269369999999997</v>
      </c>
      <c r="Q6215">
        <v>0.3302254</v>
      </c>
      <c r="R6215">
        <v>4.775107E-2</v>
      </c>
      <c r="S6215">
        <v>3.2905880000000001</v>
      </c>
      <c r="T6215">
        <v>-0.27449820000000003</v>
      </c>
      <c r="U6215">
        <v>-0.23300170000000001</v>
      </c>
      <c r="V6215">
        <v>-3.0237839999999998E-2</v>
      </c>
      <c r="W6215">
        <v>0.33855079999999999</v>
      </c>
      <c r="X6215">
        <v>0.94046220000000003</v>
      </c>
      <c r="Y6215">
        <v>8.8584739999999995E-2</v>
      </c>
      <c r="Z6215">
        <v>-5.4445450000000003E-3</v>
      </c>
      <c r="AA6215">
        <v>0.99605379999999999</v>
      </c>
      <c r="AB6215">
        <v>30</v>
      </c>
      <c r="AC6215">
        <v>0.73750000000001104</v>
      </c>
      <c r="AD6215">
        <v>-7.3211999999999999E-2</v>
      </c>
      <c r="AE6215">
        <v>-6.4849999999999797E-2</v>
      </c>
      <c r="AF6215">
        <v>7.7650203902092998E-2</v>
      </c>
      <c r="AG6215">
        <v>-7.3211999999999999E-2</v>
      </c>
      <c r="AH6215">
        <v>0.72905242987541796</v>
      </c>
      <c r="AI6215">
        <v>95.702422614086402</v>
      </c>
      <c r="AJ6215">
        <v>83.920438298906603</v>
      </c>
      <c r="AK6215">
        <v>0.73682222863950597</v>
      </c>
      <c r="AL6215">
        <v>70.211395692477396</v>
      </c>
      <c r="AM6215">
        <v>91.841545559418606</v>
      </c>
      <c r="AN6215">
        <v>1.0000000603886701</v>
      </c>
    </row>
    <row r="6216" spans="1:40" x14ac:dyDescent="0.25">
      <c r="A6216" t="str">
        <f>"20190304164247532"</f>
        <v>20190304164247532</v>
      </c>
      <c r="B6216" t="str">
        <f>"1551688967527445"</f>
        <v>1551688967527445</v>
      </c>
      <c r="C6216" t="s">
        <v>40</v>
      </c>
      <c r="D6216">
        <v>4.1911800000000001</v>
      </c>
      <c r="E6216">
        <v>0.56314489999999995</v>
      </c>
      <c r="F6216" t="s">
        <v>41</v>
      </c>
      <c r="G6216">
        <v>-344.7518</v>
      </c>
      <c r="H6216">
        <v>1.0474889999999999</v>
      </c>
      <c r="I6216">
        <v>17.457929999999902</v>
      </c>
      <c r="J6216">
        <v>-345.3537</v>
      </c>
      <c r="K6216">
        <v>1.1097170000000001</v>
      </c>
      <c r="L6216">
        <v>17.51389</v>
      </c>
      <c r="M6216">
        <v>0.99979450000000003</v>
      </c>
      <c r="N6216">
        <v>-8.8204759999999903E-3</v>
      </c>
      <c r="O6216">
        <v>1.8255279999999999E-2</v>
      </c>
      <c r="P6216">
        <v>0.94271210000000005</v>
      </c>
      <c r="Q6216">
        <v>0.33030999999999999</v>
      </c>
      <c r="R6216">
        <v>4.6790129999999999E-2</v>
      </c>
      <c r="S6216">
        <v>3.2910159999999999</v>
      </c>
      <c r="T6216">
        <v>-0.27585490000000001</v>
      </c>
      <c r="U6216">
        <v>-0.23632810000000001</v>
      </c>
      <c r="V6216">
        <v>-2.939516E-2</v>
      </c>
      <c r="W6216">
        <v>0.33863379999999998</v>
      </c>
      <c r="X6216">
        <v>0.94045900000000004</v>
      </c>
      <c r="Y6216">
        <v>8.9426640000000002E-2</v>
      </c>
      <c r="Z6216">
        <v>-5.4973950000000004E-3</v>
      </c>
      <c r="AA6216">
        <v>0.99597820000000004</v>
      </c>
      <c r="AB6216">
        <v>30</v>
      </c>
      <c r="AC6216">
        <v>0.60189999999999999</v>
      </c>
      <c r="AD6216">
        <v>-6.2228000000000103E-2</v>
      </c>
      <c r="AE6216">
        <v>-5.5960000000002397E-2</v>
      </c>
      <c r="AF6216">
        <v>6.6237036494269194E-2</v>
      </c>
      <c r="AG6216">
        <v>-6.2228000000000103E-2</v>
      </c>
      <c r="AH6216">
        <v>0.59447836600840498</v>
      </c>
      <c r="AI6216">
        <v>95.9392796296939</v>
      </c>
      <c r="AJ6216">
        <v>83.642302185766695</v>
      </c>
      <c r="AK6216">
        <v>0.60138523147776601</v>
      </c>
      <c r="AL6216">
        <v>70.206340953284595</v>
      </c>
      <c r="AM6216">
        <v>91.790264607085604</v>
      </c>
      <c r="AN6216">
        <v>1.00000002830743</v>
      </c>
    </row>
    <row r="6217" spans="1:40" x14ac:dyDescent="0.25">
      <c r="A6217" t="str">
        <f>"20190304164247543"</f>
        <v>20190304164247543</v>
      </c>
      <c r="B6217" t="str">
        <f>"1551688967537207"</f>
        <v>1551688967537207</v>
      </c>
      <c r="C6217" t="s">
        <v>40</v>
      </c>
      <c r="D6217">
        <v>4.2196709999999999</v>
      </c>
      <c r="E6217">
        <v>0.56321730000000003</v>
      </c>
      <c r="F6217" t="s">
        <v>41</v>
      </c>
      <c r="G6217">
        <v>-344.48450000000003</v>
      </c>
      <c r="H6217">
        <v>1.036386</v>
      </c>
      <c r="I6217">
        <v>17.45046</v>
      </c>
      <c r="J6217">
        <v>-345.19920000000002</v>
      </c>
      <c r="K6217">
        <v>1.1096919999999999</v>
      </c>
      <c r="L6217">
        <v>17.516570000000002</v>
      </c>
      <c r="M6217">
        <v>0.99979750000000001</v>
      </c>
      <c r="N6217">
        <v>-8.8171710000000004E-3</v>
      </c>
      <c r="O6217">
        <v>1.8093140000000001E-2</v>
      </c>
      <c r="P6217">
        <v>0.94273530000000005</v>
      </c>
      <c r="Q6217">
        <v>0.3303606</v>
      </c>
      <c r="R6217">
        <v>4.5961599999999998E-2</v>
      </c>
      <c r="S6217">
        <v>3.2915040000000002</v>
      </c>
      <c r="T6217">
        <v>-0.27770319999999998</v>
      </c>
      <c r="U6217">
        <v>-0.2394104</v>
      </c>
      <c r="V6217">
        <v>-2.8699079999999998E-2</v>
      </c>
      <c r="W6217">
        <v>0.3386827</v>
      </c>
      <c r="X6217">
        <v>0.94046289999999999</v>
      </c>
      <c r="Y6217">
        <v>9.0174879999999999E-2</v>
      </c>
      <c r="Z6217">
        <v>-5.5540779999999996E-3</v>
      </c>
      <c r="AA6217">
        <v>0.99591050000000003</v>
      </c>
      <c r="AB6217">
        <v>30</v>
      </c>
      <c r="AC6217">
        <v>0.71469999999999301</v>
      </c>
      <c r="AD6217">
        <v>-7.3305999999999802E-2</v>
      </c>
      <c r="AE6217">
        <v>-6.6110000000001806E-2</v>
      </c>
      <c r="AF6217">
        <v>7.8214975708520096E-2</v>
      </c>
      <c r="AG6217">
        <v>-7.3305999999999802E-2</v>
      </c>
      <c r="AH6217">
        <v>0.70602220583549102</v>
      </c>
      <c r="AI6217">
        <v>95.891967661692405</v>
      </c>
      <c r="AJ6217">
        <v>83.678401676706201</v>
      </c>
      <c r="AK6217">
        <v>0.71411393152206204</v>
      </c>
      <c r="AL6217">
        <v>70.203363421716702</v>
      </c>
      <c r="AM6217">
        <v>91.7478903544433</v>
      </c>
      <c r="AN6217">
        <v>1.0000000373742699</v>
      </c>
    </row>
    <row r="6218" spans="1:40" x14ac:dyDescent="0.25">
      <c r="A6218" t="str">
        <f>"20190304164247554"</f>
        <v>20190304164247554</v>
      </c>
      <c r="B6218" t="str">
        <f>"1551688967546966"</f>
        <v>1551688967546966</v>
      </c>
      <c r="C6218" t="s">
        <v>40</v>
      </c>
      <c r="D6218">
        <v>4.1876249999999997</v>
      </c>
      <c r="E6218">
        <v>0.56348819999999999</v>
      </c>
      <c r="F6218" t="s">
        <v>41</v>
      </c>
      <c r="G6218">
        <v>-344.21609999999998</v>
      </c>
      <c r="H6218">
        <v>1.0261</v>
      </c>
      <c r="I6218">
        <v>17.44435</v>
      </c>
      <c r="J6218">
        <v>-345.03620000000001</v>
      </c>
      <c r="K6218">
        <v>1.1096699999999999</v>
      </c>
      <c r="L6218">
        <v>17.519349999999999</v>
      </c>
      <c r="M6218">
        <v>0.99980089999999999</v>
      </c>
      <c r="N6218">
        <v>-8.8141169999999998E-3</v>
      </c>
      <c r="O6218">
        <v>1.7902120000000001E-2</v>
      </c>
      <c r="P6218">
        <v>0.94271669999999996</v>
      </c>
      <c r="Q6218">
        <v>0.33053919999999998</v>
      </c>
      <c r="R6218">
        <v>4.5046250000000003E-2</v>
      </c>
      <c r="S6218">
        <v>3.2921140000000002</v>
      </c>
      <c r="T6218">
        <v>-0.27987000000000001</v>
      </c>
      <c r="U6218">
        <v>-0.2417908</v>
      </c>
      <c r="V6218">
        <v>-2.7946929999999998E-2</v>
      </c>
      <c r="W6218">
        <v>0.33885910000000002</v>
      </c>
      <c r="X6218">
        <v>0.94042199999999998</v>
      </c>
      <c r="Y6218">
        <v>9.0680090000000005E-2</v>
      </c>
      <c r="Z6218">
        <v>-5.6033469999999998E-3</v>
      </c>
      <c r="AA6218">
        <v>0.99586430000000004</v>
      </c>
      <c r="AB6218">
        <v>30</v>
      </c>
      <c r="AC6218">
        <v>0.82010000000002403</v>
      </c>
      <c r="AD6218">
        <v>-8.3570000000000103E-2</v>
      </c>
      <c r="AE6218">
        <v>-7.4999999999999206E-2</v>
      </c>
      <c r="AF6218">
        <v>8.87560746185726E-2</v>
      </c>
      <c r="AG6218">
        <v>-8.3570000000000103E-2</v>
      </c>
      <c r="AH6218">
        <v>0.81028162706391904</v>
      </c>
      <c r="AI6218">
        <v>95.853725742620696</v>
      </c>
      <c r="AJ6218">
        <v>83.748895733069304</v>
      </c>
      <c r="AK6218">
        <v>0.81940094022343501</v>
      </c>
      <c r="AL6218">
        <v>70.192621083861397</v>
      </c>
      <c r="AM6218">
        <v>91.702182661698799</v>
      </c>
      <c r="AN6218">
        <v>1.00000002931661</v>
      </c>
    </row>
    <row r="6219" spans="1:40" x14ac:dyDescent="0.25">
      <c r="A6219" t="str">
        <f>"20190304164247565"</f>
        <v>20190304164247565</v>
      </c>
      <c r="B6219" t="str">
        <f>"1551688967557703"</f>
        <v>1551688967557703</v>
      </c>
      <c r="C6219" t="s">
        <v>40</v>
      </c>
      <c r="D6219">
        <v>4.1952369999999997</v>
      </c>
      <c r="E6219">
        <v>0.5635831</v>
      </c>
      <c r="F6219" t="s">
        <v>41</v>
      </c>
      <c r="G6219">
        <v>-344.20979999999997</v>
      </c>
      <c r="H6219">
        <v>1.039517</v>
      </c>
      <c r="I6219">
        <v>17.457519999999999</v>
      </c>
      <c r="J6219">
        <v>-344.88440000000003</v>
      </c>
      <c r="K6219">
        <v>1.1096509999999999</v>
      </c>
      <c r="L6219">
        <v>17.521879999999999</v>
      </c>
      <c r="M6219">
        <v>0.99980409999999997</v>
      </c>
      <c r="N6219">
        <v>-8.8114439999999999E-3</v>
      </c>
      <c r="O6219">
        <v>1.771913E-2</v>
      </c>
      <c r="P6219">
        <v>0.94275560000000003</v>
      </c>
      <c r="Q6219">
        <v>0.3305727</v>
      </c>
      <c r="R6219">
        <v>4.3975359999999998E-2</v>
      </c>
      <c r="S6219">
        <v>3.292084</v>
      </c>
      <c r="T6219">
        <v>-0.27944980000000003</v>
      </c>
      <c r="U6219">
        <v>-0.2462463</v>
      </c>
      <c r="V6219">
        <v>-2.7034030000000001E-2</v>
      </c>
      <c r="W6219">
        <v>0.33889130000000001</v>
      </c>
      <c r="X6219">
        <v>0.94043710000000003</v>
      </c>
      <c r="Y6219">
        <v>9.183608E-2</v>
      </c>
      <c r="Z6219">
        <v>-5.6352049999999999E-3</v>
      </c>
      <c r="AA6219">
        <v>0.99575820000000004</v>
      </c>
      <c r="AB6219">
        <v>30</v>
      </c>
      <c r="AC6219">
        <v>0.67460000000005405</v>
      </c>
      <c r="AD6219">
        <v>-7.0133999999999905E-2</v>
      </c>
      <c r="AE6219">
        <v>-6.4359999999997003E-2</v>
      </c>
      <c r="AF6219">
        <v>7.5495058498784198E-2</v>
      </c>
      <c r="AG6219">
        <v>-7.0133999999999905E-2</v>
      </c>
      <c r="AH6219">
        <v>0.66621778520465602</v>
      </c>
      <c r="AI6219">
        <v>95.971560516069403</v>
      </c>
      <c r="AJ6219">
        <v>83.534885070379104</v>
      </c>
      <c r="AK6219">
        <v>0.67413976231693395</v>
      </c>
      <c r="AL6219">
        <v>70.190660467488598</v>
      </c>
      <c r="AM6219">
        <v>91.646584743617595</v>
      </c>
      <c r="AN6219">
        <v>1.0000000455250599</v>
      </c>
    </row>
    <row r="6220" spans="1:40" x14ac:dyDescent="0.25">
      <c r="A6220" t="str">
        <f>"20190304164247576"</f>
        <v>20190304164247576</v>
      </c>
      <c r="B6220" t="str">
        <f>"1551688967567462"</f>
        <v>1551688967567462</v>
      </c>
      <c r="C6220" t="s">
        <v>40</v>
      </c>
      <c r="D6220">
        <v>4.2312149999999997</v>
      </c>
      <c r="E6220">
        <v>0.56357060000000003</v>
      </c>
      <c r="F6220" t="s">
        <v>41</v>
      </c>
      <c r="G6220">
        <v>-343.9409</v>
      </c>
      <c r="H6220">
        <v>1.0291870000000001</v>
      </c>
      <c r="I6220">
        <v>17.449950000000001</v>
      </c>
      <c r="J6220">
        <v>-344.73140000000001</v>
      </c>
      <c r="K6220">
        <v>1.1096299999999999</v>
      </c>
      <c r="L6220">
        <v>17.52441</v>
      </c>
      <c r="M6220">
        <v>0.99980760000000002</v>
      </c>
      <c r="N6220">
        <v>-8.8090640000000001E-3</v>
      </c>
      <c r="O6220">
        <v>1.7525679999999998E-2</v>
      </c>
      <c r="P6220">
        <v>0.9428107</v>
      </c>
      <c r="Q6220">
        <v>0.33054159999999999</v>
      </c>
      <c r="R6220">
        <v>4.3015629999999999E-2</v>
      </c>
      <c r="S6220">
        <v>3.2922359999999999</v>
      </c>
      <c r="T6220">
        <v>-0.2807152</v>
      </c>
      <c r="U6220">
        <v>-0.24969479999999999</v>
      </c>
      <c r="V6220">
        <v>-2.6243760000000001E-2</v>
      </c>
      <c r="W6220">
        <v>0.33885859999999901</v>
      </c>
      <c r="X6220">
        <v>0.94047119999999995</v>
      </c>
      <c r="Y6220">
        <v>9.2670760000000005E-2</v>
      </c>
      <c r="Z6220">
        <v>-5.6834210000000001E-3</v>
      </c>
      <c r="AA6220">
        <v>0.99568060000000003</v>
      </c>
      <c r="AB6220">
        <v>31</v>
      </c>
      <c r="AC6220">
        <v>0.79050000000000797</v>
      </c>
      <c r="AD6220">
        <v>-8.0442999999999806E-2</v>
      </c>
      <c r="AE6220">
        <v>-7.4459999999998402E-2</v>
      </c>
      <c r="AF6220">
        <v>8.7405974782193196E-2</v>
      </c>
      <c r="AG6220">
        <v>-8.0442999999999806E-2</v>
      </c>
      <c r="AH6220">
        <v>0.781056437515526</v>
      </c>
      <c r="AI6220">
        <v>95.844080855349105</v>
      </c>
      <c r="AJ6220">
        <v>83.614746076876997</v>
      </c>
      <c r="AK6220">
        <v>0.79003799861846502</v>
      </c>
      <c r="AL6220">
        <v>70.1926505543383</v>
      </c>
      <c r="AM6220">
        <v>91.598418513815304</v>
      </c>
      <c r="AN6220">
        <v>0.99999998188116801</v>
      </c>
    </row>
    <row r="6221" spans="1:40" x14ac:dyDescent="0.25">
      <c r="A6221" t="str">
        <f>"20190304164247588"</f>
        <v>20190304164247588</v>
      </c>
      <c r="B6221" t="str">
        <f>"1551688967577222"</f>
        <v>1551688967577222</v>
      </c>
      <c r="C6221" t="s">
        <v>40</v>
      </c>
      <c r="D6221">
        <v>4.1849879999999997</v>
      </c>
      <c r="E6221">
        <v>0.56363540000000001</v>
      </c>
      <c r="F6221" t="s">
        <v>41</v>
      </c>
      <c r="G6221">
        <v>-343.93520000000001</v>
      </c>
      <c r="H6221">
        <v>1.041296</v>
      </c>
      <c r="I6221">
        <v>17.46322</v>
      </c>
      <c r="J6221">
        <v>-344.5795</v>
      </c>
      <c r="K6221">
        <v>1.1096189999999999</v>
      </c>
      <c r="L6221">
        <v>17.526889999999899</v>
      </c>
      <c r="M6221">
        <v>0.99981109999999895</v>
      </c>
      <c r="N6221">
        <v>-8.8069740000000004E-3</v>
      </c>
      <c r="O6221">
        <v>1.7328380000000001E-2</v>
      </c>
      <c r="P6221">
        <v>0.94277619999999895</v>
      </c>
      <c r="Q6221">
        <v>0.330779299999999</v>
      </c>
      <c r="R6221">
        <v>4.19338E-2</v>
      </c>
      <c r="S6221">
        <v>3.2925420000000001</v>
      </c>
      <c r="T6221">
        <v>-0.28262100000000001</v>
      </c>
      <c r="U6221">
        <v>-0.25155640000000001</v>
      </c>
      <c r="V6221">
        <v>-2.533873E-2</v>
      </c>
      <c r="W6221">
        <v>0.3390936</v>
      </c>
      <c r="X6221">
        <v>0.94041129999999995</v>
      </c>
      <c r="Y6221">
        <v>9.3020740000000005E-2</v>
      </c>
      <c r="Z6221">
        <v>-5.7208500000000004E-3</v>
      </c>
      <c r="AA6221">
        <v>0.99564770000000002</v>
      </c>
      <c r="AB6221">
        <v>31</v>
      </c>
      <c r="AC6221">
        <v>0.64429999999998699</v>
      </c>
      <c r="AD6221">
        <v>-6.8323000000000106E-2</v>
      </c>
      <c r="AE6221">
        <v>-6.3669999999998297E-2</v>
      </c>
      <c r="AF6221">
        <v>7.4001452131215895E-2</v>
      </c>
      <c r="AG6221">
        <v>-6.8323000000000106E-2</v>
      </c>
      <c r="AH6221">
        <v>0.636017097217636</v>
      </c>
      <c r="AI6221">
        <v>96.090608280128194</v>
      </c>
      <c r="AJ6221">
        <v>83.363398936510393</v>
      </c>
      <c r="AK6221">
        <v>0.64394254029352405</v>
      </c>
      <c r="AL6221">
        <v>70.178338405375499</v>
      </c>
      <c r="AM6221">
        <v>91.543421592383098</v>
      </c>
      <c r="AN6221">
        <v>0.99999996698333105</v>
      </c>
    </row>
    <row r="6222" spans="1:40" x14ac:dyDescent="0.25">
      <c r="A6222" t="str">
        <f>"20190304164247599"</f>
        <v>20190304164247599</v>
      </c>
      <c r="B6222" t="str">
        <f>"1551688967586983"</f>
        <v>1551688967586983</v>
      </c>
      <c r="C6222" t="s">
        <v>40</v>
      </c>
      <c r="D6222">
        <v>4.9477270000000004</v>
      </c>
      <c r="E6222">
        <v>0.56366260000000001</v>
      </c>
      <c r="F6222" t="s">
        <v>41</v>
      </c>
      <c r="G6222">
        <v>-343.66570000000002</v>
      </c>
      <c r="H6222">
        <v>1.0312779999999999</v>
      </c>
      <c r="I6222">
        <v>17.456009999999999</v>
      </c>
      <c r="J6222">
        <v>-344.4196</v>
      </c>
      <c r="K6222">
        <v>1.10961</v>
      </c>
      <c r="L6222">
        <v>17.52948</v>
      </c>
      <c r="M6222">
        <v>0.99981469999999995</v>
      </c>
      <c r="N6222">
        <v>-8.8050019999999993E-3</v>
      </c>
      <c r="O6222">
        <v>1.7116320000000001E-2</v>
      </c>
      <c r="P6222">
        <v>0.94274349999999996</v>
      </c>
      <c r="Q6222">
        <v>0.33097939999999998</v>
      </c>
      <c r="R6222">
        <v>4.107442E-2</v>
      </c>
      <c r="S6222">
        <v>3.2925110000000002</v>
      </c>
      <c r="T6222">
        <v>-0.28228500000000001</v>
      </c>
      <c r="U6222">
        <v>-0.25506590000000001</v>
      </c>
      <c r="V6222">
        <v>-2.467184E-2</v>
      </c>
      <c r="W6222">
        <v>0.33929150000000002</v>
      </c>
      <c r="X6222">
        <v>0.94035769999999996</v>
      </c>
      <c r="Y6222">
        <v>9.3863500000000002E-2</v>
      </c>
      <c r="Z6222">
        <v>-5.7376399999999996E-3</v>
      </c>
      <c r="AA6222">
        <v>0.99556849999999997</v>
      </c>
      <c r="AB6222">
        <v>31</v>
      </c>
      <c r="AC6222">
        <v>0.75389999999998702</v>
      </c>
      <c r="AD6222">
        <v>-7.8331999999999805E-2</v>
      </c>
      <c r="AE6222">
        <v>-7.3470000000000299E-2</v>
      </c>
      <c r="AF6222">
        <v>8.5449917164202902E-2</v>
      </c>
      <c r="AG6222">
        <v>-7.8331999999999805E-2</v>
      </c>
      <c r="AH6222">
        <v>0.74456943451986302</v>
      </c>
      <c r="AI6222">
        <v>95.966797769047304</v>
      </c>
      <c r="AJ6222">
        <v>83.453137832064002</v>
      </c>
      <c r="AK6222">
        <v>0.75353913859108701</v>
      </c>
      <c r="AL6222">
        <v>70.166285955178793</v>
      </c>
      <c r="AM6222">
        <v>91.502904782185595</v>
      </c>
      <c r="AN6222">
        <v>1.00000001280526</v>
      </c>
    </row>
    <row r="6223" spans="1:40" x14ac:dyDescent="0.25">
      <c r="A6223" t="str">
        <f>"20190304164247611"</f>
        <v>20190304164247611</v>
      </c>
      <c r="B6223" t="str">
        <f>"1551688967607478"</f>
        <v>1551688967607478</v>
      </c>
      <c r="C6223" t="s">
        <v>40</v>
      </c>
      <c r="D6223">
        <v>4.1854139999999997</v>
      </c>
      <c r="E6223">
        <v>0.56369049999999998</v>
      </c>
      <c r="F6223" t="s">
        <v>41</v>
      </c>
      <c r="G6223">
        <v>-343.65910000000002</v>
      </c>
      <c r="H6223">
        <v>1.0453859999999999</v>
      </c>
      <c r="I6223">
        <v>17.469719999999999</v>
      </c>
      <c r="J6223">
        <v>-344.26010000000002</v>
      </c>
      <c r="K6223">
        <v>1.1096029999999999</v>
      </c>
      <c r="L6223">
        <v>17.53201</v>
      </c>
      <c r="M6223">
        <v>0.99981850000000005</v>
      </c>
      <c r="N6223">
        <v>-8.8013680000000004E-3</v>
      </c>
      <c r="O6223">
        <v>1.690032E-2</v>
      </c>
      <c r="P6223">
        <v>0.94267029999999996</v>
      </c>
      <c r="Q6223">
        <v>0.33128570000000002</v>
      </c>
      <c r="R6223">
        <v>4.0285229999999998E-2</v>
      </c>
      <c r="S6223">
        <v>3.2910159999999999</v>
      </c>
      <c r="T6223">
        <v>-0.27789259999999999</v>
      </c>
      <c r="U6223">
        <v>-0.25823970000000002</v>
      </c>
      <c r="V6223">
        <v>-2.4081640000000001E-2</v>
      </c>
      <c r="W6223">
        <v>0.3395938</v>
      </c>
      <c r="X6223">
        <v>0.94026390000000004</v>
      </c>
      <c r="Y6223">
        <v>9.4647599999999998E-2</v>
      </c>
      <c r="Z6223">
        <v>-5.6750660000000003E-3</v>
      </c>
      <c r="AA6223">
        <v>0.99549469999999995</v>
      </c>
      <c r="AB6223">
        <v>31</v>
      </c>
      <c r="AC6223">
        <v>0.60099999999999898</v>
      </c>
      <c r="AD6223">
        <v>-6.4216999999999899E-2</v>
      </c>
      <c r="AE6223">
        <v>-6.2289999999997202E-2</v>
      </c>
      <c r="AF6223">
        <v>7.1629487449393195E-2</v>
      </c>
      <c r="AG6223">
        <v>-6.4216999999999899E-2</v>
      </c>
      <c r="AH6223">
        <v>0.59316126200373498</v>
      </c>
      <c r="AI6223">
        <v>96.134682475261201</v>
      </c>
      <c r="AJ6223">
        <v>83.114367264985702</v>
      </c>
      <c r="AK6223">
        <v>0.60091171506563801</v>
      </c>
      <c r="AL6223">
        <v>70.147872675474204</v>
      </c>
      <c r="AM6223">
        <v>91.467114461213896</v>
      </c>
      <c r="AN6223">
        <v>1.00000003801336</v>
      </c>
    </row>
    <row r="6224" spans="1:40" x14ac:dyDescent="0.25">
      <c r="A6224" t="str">
        <f>"20190304164247625"</f>
        <v>20190304164247625</v>
      </c>
      <c r="B6224" t="str">
        <f>"1551688967617238"</f>
        <v>1551688967617238</v>
      </c>
      <c r="C6224" t="s">
        <v>40</v>
      </c>
      <c r="D6224">
        <v>4.2170579999999998</v>
      </c>
      <c r="E6224">
        <v>0.56370589999999998</v>
      </c>
      <c r="F6224" t="s">
        <v>41</v>
      </c>
      <c r="G6224">
        <v>-343.38780000000003</v>
      </c>
      <c r="H6224">
        <v>1.037873</v>
      </c>
      <c r="I6224">
        <v>17.462219999999999</v>
      </c>
      <c r="J6224">
        <v>-344.06849999999997</v>
      </c>
      <c r="K6224">
        <v>1.1095930000000001</v>
      </c>
      <c r="L6224">
        <v>17.535</v>
      </c>
      <c r="M6224">
        <v>0.99982289999999996</v>
      </c>
      <c r="N6224">
        <v>-8.7961440000000005E-3</v>
      </c>
      <c r="O6224">
        <v>1.663914E-2</v>
      </c>
      <c r="P6224">
        <v>0.94259910000000002</v>
      </c>
      <c r="Q6224">
        <v>0.3316057</v>
      </c>
      <c r="R6224">
        <v>3.9306470000000003E-2</v>
      </c>
      <c r="S6224">
        <v>3.2886959999999998</v>
      </c>
      <c r="T6224">
        <v>-0.27036320000000003</v>
      </c>
      <c r="U6224">
        <v>-0.26190190000000002</v>
      </c>
      <c r="V6224">
        <v>-2.334487E-2</v>
      </c>
      <c r="W6224">
        <v>0.33990769999999998</v>
      </c>
      <c r="X6224">
        <v>0.94016900000000003</v>
      </c>
      <c r="Y6224">
        <v>9.556241E-2</v>
      </c>
      <c r="Z6224">
        <v>-5.5547799999999996E-3</v>
      </c>
      <c r="AA6224">
        <v>0.99540790000000001</v>
      </c>
      <c r="AB6224">
        <v>31</v>
      </c>
      <c r="AC6224">
        <v>0.68069999999994402</v>
      </c>
      <c r="AD6224">
        <v>-7.1720000000000006E-2</v>
      </c>
      <c r="AE6224">
        <v>-7.2779999999997999E-2</v>
      </c>
      <c r="AF6224">
        <v>8.3183624938345302E-2</v>
      </c>
      <c r="AG6224">
        <v>-7.1720000000000006E-2</v>
      </c>
      <c r="AH6224">
        <v>0.67201883177173405</v>
      </c>
      <c r="AI6224">
        <v>96.045934892565498</v>
      </c>
      <c r="AJ6224">
        <v>82.9437241872253</v>
      </c>
      <c r="AK6224">
        <v>0.68093508068958397</v>
      </c>
      <c r="AL6224">
        <v>70.128748994850596</v>
      </c>
      <c r="AM6224">
        <v>91.422390796535694</v>
      </c>
      <c r="AN6224">
        <v>0.99999998801780299</v>
      </c>
    </row>
    <row r="6225" spans="1:40" x14ac:dyDescent="0.25">
      <c r="A6225" t="str">
        <f>"20190304164247656"</f>
        <v>20190304164247656</v>
      </c>
      <c r="B6225" t="str">
        <f>"1551688967647493"</f>
        <v>1551688967647493</v>
      </c>
      <c r="C6225" t="s">
        <v>40</v>
      </c>
      <c r="D6225">
        <v>4.2373659999999997</v>
      </c>
      <c r="E6225">
        <v>0.56377639999999996</v>
      </c>
      <c r="F6225" t="s">
        <v>41</v>
      </c>
      <c r="G6225">
        <v>-343.11509999999998</v>
      </c>
      <c r="H6225">
        <v>1.032395</v>
      </c>
      <c r="I6225">
        <v>17.45797</v>
      </c>
      <c r="J6225">
        <v>-343.83929999999998</v>
      </c>
      <c r="K6225">
        <v>1.1095889999999999</v>
      </c>
      <c r="L6225">
        <v>17.538540000000001</v>
      </c>
      <c r="M6225">
        <v>0.99982819999999994</v>
      </c>
      <c r="N6225">
        <v>-8.7883900000000001E-3</v>
      </c>
      <c r="O6225">
        <v>1.6325180000000002E-2</v>
      </c>
      <c r="P6225">
        <v>0.9424825</v>
      </c>
      <c r="Q6225">
        <v>0.33211950000000001</v>
      </c>
      <c r="R6225">
        <v>3.7727219999999999E-2</v>
      </c>
      <c r="S6225">
        <v>3.2874150000000002</v>
      </c>
      <c r="T6225">
        <v>-0.26619959999999998</v>
      </c>
      <c r="U6225">
        <v>-0.26550289999999999</v>
      </c>
      <c r="V6225">
        <v>-2.2058399999999999E-2</v>
      </c>
      <c r="W6225">
        <v>0.3404122</v>
      </c>
      <c r="X6225">
        <v>0.94001749999999995</v>
      </c>
      <c r="Y6225">
        <v>9.6373420000000001E-2</v>
      </c>
      <c r="Z6225">
        <v>-5.4890030000000001E-3</v>
      </c>
      <c r="AA6225">
        <v>0.9953301</v>
      </c>
      <c r="AB6225">
        <v>31</v>
      </c>
      <c r="AC6225">
        <v>0.72419999999999596</v>
      </c>
      <c r="AD6225">
        <v>-7.7193999999999693E-2</v>
      </c>
      <c r="AE6225">
        <v>-8.0570000000001502E-2</v>
      </c>
      <c r="AF6225">
        <v>9.1357115246303605E-2</v>
      </c>
      <c r="AG6225">
        <v>-7.7193999999999693E-2</v>
      </c>
      <c r="AH6225">
        <v>0.71476631460698603</v>
      </c>
      <c r="AI6225">
        <v>96.114630250454795</v>
      </c>
      <c r="AJ6225">
        <v>82.716291251239895</v>
      </c>
      <c r="AK6225">
        <v>0.72470402278377</v>
      </c>
      <c r="AL6225">
        <v>70.098009865931004</v>
      </c>
      <c r="AM6225">
        <v>91.344252972845894</v>
      </c>
      <c r="AN6225">
        <v>0.999999969612824</v>
      </c>
    </row>
    <row r="6226" spans="1:40" x14ac:dyDescent="0.25">
      <c r="A6226" t="str">
        <f>"20190304164247669"</f>
        <v>20190304164247669</v>
      </c>
      <c r="B6226" t="str">
        <f>"1551688967657254"</f>
        <v>1551688967657254</v>
      </c>
      <c r="C6226" t="s">
        <v>40</v>
      </c>
      <c r="D6226">
        <v>4.2155680000000002</v>
      </c>
      <c r="E6226">
        <v>0.56379729999999995</v>
      </c>
      <c r="F6226" t="s">
        <v>41</v>
      </c>
      <c r="G6226">
        <v>-342.84089999999998</v>
      </c>
      <c r="H6226">
        <v>1.028961</v>
      </c>
      <c r="I6226">
        <v>17.455839999999998</v>
      </c>
      <c r="J6226">
        <v>-343.46260000000001</v>
      </c>
      <c r="K6226">
        <v>1.1095809999999999</v>
      </c>
      <c r="L6226">
        <v>17.544160000000002</v>
      </c>
      <c r="M6226">
        <v>0.99983650000000002</v>
      </c>
      <c r="N6226">
        <v>-8.7745659999999993E-3</v>
      </c>
      <c r="O6226">
        <v>1.5812280000000001E-2</v>
      </c>
      <c r="P6226">
        <v>0.94238219999999995</v>
      </c>
      <c r="Q6226">
        <v>0.33253369999999999</v>
      </c>
      <c r="R6226">
        <v>3.6569190000000001E-2</v>
      </c>
      <c r="S6226">
        <v>3.2874449999999902</v>
      </c>
      <c r="T6226">
        <v>-0.265457</v>
      </c>
      <c r="U6226">
        <v>-0.27127079999999998</v>
      </c>
      <c r="V6226">
        <v>-2.1380070000000001E-2</v>
      </c>
      <c r="W6226">
        <v>0.3408117</v>
      </c>
      <c r="X6226">
        <v>0.93988850000000002</v>
      </c>
      <c r="Y6226">
        <v>9.7595899999999999E-2</v>
      </c>
      <c r="Z6226">
        <v>-5.4914780000000002E-3</v>
      </c>
      <c r="AA6226">
        <v>0.99521090000000001</v>
      </c>
      <c r="AB6226">
        <v>31</v>
      </c>
      <c r="AC6226">
        <v>0.621700000000032</v>
      </c>
      <c r="AD6226">
        <v>-8.06199999999999E-2</v>
      </c>
      <c r="AE6226">
        <v>-8.8320000000002993E-2</v>
      </c>
      <c r="AF6226">
        <v>9.6548385889936195E-2</v>
      </c>
      <c r="AG6226">
        <v>-8.06199999999999E-2</v>
      </c>
      <c r="AH6226">
        <v>0.61016804006875902</v>
      </c>
      <c r="AI6226">
        <v>97.435301289936504</v>
      </c>
      <c r="AJ6226">
        <v>81.008495310702003</v>
      </c>
      <c r="AK6226">
        <v>0.62299776270810303</v>
      </c>
      <c r="AL6226">
        <v>70.073666263333493</v>
      </c>
      <c r="AM6226">
        <v>91.303108351324695</v>
      </c>
      <c r="AN6226">
        <v>1.00000005734117</v>
      </c>
    </row>
    <row r="6227" spans="1:40" x14ac:dyDescent="0.25">
      <c r="A6227" t="str">
        <f>"20190304164247686"</f>
        <v>20190304164247686</v>
      </c>
      <c r="B6227" t="str">
        <f>"1551688967677751"</f>
        <v>1551688967677751</v>
      </c>
      <c r="C6227" t="s">
        <v>40</v>
      </c>
      <c r="D6227">
        <v>4.2142439999999999</v>
      </c>
      <c r="E6227">
        <v>0.56382410000000005</v>
      </c>
      <c r="F6227" t="s">
        <v>41</v>
      </c>
      <c r="G6227">
        <v>-342.56099999999998</v>
      </c>
      <c r="H6227">
        <v>1.036816</v>
      </c>
      <c r="I6227">
        <v>17.46857</v>
      </c>
      <c r="J6227">
        <v>-343.23160000000001</v>
      </c>
      <c r="K6227">
        <v>1.1095680000000001</v>
      </c>
      <c r="L6227">
        <v>17.547550000000001</v>
      </c>
      <c r="M6227">
        <v>0.99984150000000005</v>
      </c>
      <c r="N6227">
        <v>-8.76357E-3</v>
      </c>
      <c r="O6227">
        <v>1.5500379999999999E-2</v>
      </c>
      <c r="P6227">
        <v>0.94215139999999997</v>
      </c>
      <c r="Q6227">
        <v>0.33334180000000002</v>
      </c>
      <c r="R6227">
        <v>3.5130790000000002E-2</v>
      </c>
      <c r="S6227">
        <v>3.2877809999999998</v>
      </c>
      <c r="T6227">
        <v>-0.26536749999999998</v>
      </c>
      <c r="U6227">
        <v>-0.275177</v>
      </c>
      <c r="V6227">
        <v>-2.0235929999999999E-2</v>
      </c>
      <c r="W6227">
        <v>0.34160679999999999</v>
      </c>
      <c r="X6227">
        <v>0.93962509999999999</v>
      </c>
      <c r="Y6227">
        <v>9.844957E-2</v>
      </c>
      <c r="Z6227">
        <v>-5.5043310000000003E-3</v>
      </c>
      <c r="AA6227">
        <v>0.99512679999999998</v>
      </c>
      <c r="AB6227">
        <v>31</v>
      </c>
      <c r="AC6227">
        <v>0.67060000000003495</v>
      </c>
      <c r="AD6227">
        <v>-7.2752000000000094E-2</v>
      </c>
      <c r="AE6227">
        <v>-7.8980000000001299E-2</v>
      </c>
      <c r="AF6227">
        <v>8.8339960491853498E-2</v>
      </c>
      <c r="AG6227">
        <v>-7.2752000000000094E-2</v>
      </c>
      <c r="AH6227">
        <v>0.66161473722007902</v>
      </c>
      <c r="AI6227">
        <v>96.2203413405135</v>
      </c>
      <c r="AJ6227">
        <v>82.394749729678196</v>
      </c>
      <c r="AK6227">
        <v>0.67143939609654801</v>
      </c>
      <c r="AL6227">
        <v>70.025201006284505</v>
      </c>
      <c r="AM6227">
        <v>91.233741182900104</v>
      </c>
      <c r="AN6227">
        <v>1.0000000136095999</v>
      </c>
    </row>
    <row r="6228" spans="1:40" x14ac:dyDescent="0.25">
      <c r="A6228" t="str">
        <f>"20190304164247699"</f>
        <v>20190304164247699</v>
      </c>
      <c r="B6228" t="str">
        <f>"1551688967687509"</f>
        <v>1551688967687509</v>
      </c>
      <c r="C6228" t="s">
        <v>40</v>
      </c>
      <c r="D6228">
        <v>4.2066759999999999</v>
      </c>
      <c r="E6228">
        <v>0.56381859999999995</v>
      </c>
      <c r="F6228" t="s">
        <v>41</v>
      </c>
      <c r="G6228">
        <v>-342.28590000000003</v>
      </c>
      <c r="H6228">
        <v>1.033231</v>
      </c>
      <c r="I6228">
        <v>17.466270000000002</v>
      </c>
      <c r="J6228">
        <v>-343.05410000000001</v>
      </c>
      <c r="K6228">
        <v>1.1095600000000001</v>
      </c>
      <c r="L6228">
        <v>17.550049999999999</v>
      </c>
      <c r="M6228">
        <v>0.99984530000000005</v>
      </c>
      <c r="N6228">
        <v>-8.7540469999999992E-3</v>
      </c>
      <c r="O6228">
        <v>1.526252E-2</v>
      </c>
      <c r="P6228">
        <v>0.94212589999999996</v>
      </c>
      <c r="Q6228">
        <v>0.33342359999999999</v>
      </c>
      <c r="R6228">
        <v>3.503792E-2</v>
      </c>
      <c r="S6228">
        <v>3.288605</v>
      </c>
      <c r="T6228">
        <v>-0.26543929999999999</v>
      </c>
      <c r="U6228">
        <v>-0.28164670000000003</v>
      </c>
      <c r="V6228">
        <v>-2.0365279999999999E-2</v>
      </c>
      <c r="W6228">
        <v>0.34167940000000002</v>
      </c>
      <c r="X6228">
        <v>0.93959590000000004</v>
      </c>
      <c r="Y6228">
        <v>0.10013039999999999</v>
      </c>
      <c r="Z6228">
        <v>-5.5616609999999999E-3</v>
      </c>
      <c r="AA6228">
        <v>0.99495880000000003</v>
      </c>
      <c r="AB6228">
        <v>31</v>
      </c>
      <c r="AC6228">
        <v>0.76819999999997801</v>
      </c>
      <c r="AD6228">
        <v>-7.6328999999999994E-2</v>
      </c>
      <c r="AE6228">
        <v>-8.3779999999997301E-2</v>
      </c>
      <c r="AF6228">
        <v>9.4572655464899805E-2</v>
      </c>
      <c r="AG6228">
        <v>-7.6328999999999994E-2</v>
      </c>
      <c r="AH6228">
        <v>0.75942244186919206</v>
      </c>
      <c r="AI6228">
        <v>95.695778755689005</v>
      </c>
      <c r="AJ6228">
        <v>82.901367753636507</v>
      </c>
      <c r="AK6228">
        <v>0.76908552750474302</v>
      </c>
      <c r="AL6228">
        <v>70.020774864863995</v>
      </c>
      <c r="AM6228">
        <v>91.241663487795805</v>
      </c>
      <c r="AN6228">
        <v>1.00000000615532</v>
      </c>
    </row>
    <row r="6229" spans="1:40" x14ac:dyDescent="0.25">
      <c r="A6229" t="str">
        <f>"20190304164247710"</f>
        <v>20190304164247710</v>
      </c>
      <c r="B6229" t="str">
        <f>"1551688967707030"</f>
        <v>1551688967707030</v>
      </c>
      <c r="C6229" t="s">
        <v>40</v>
      </c>
      <c r="D6229">
        <v>4.2402240000000004</v>
      </c>
      <c r="E6229">
        <v>0.56386759999999903</v>
      </c>
      <c r="F6229" t="s">
        <v>41</v>
      </c>
      <c r="G6229">
        <v>-342.27960000000002</v>
      </c>
      <c r="H6229">
        <v>1.0468770000000001</v>
      </c>
      <c r="I6229">
        <v>17.483039999999999</v>
      </c>
      <c r="J6229">
        <v>-342.88839999999999</v>
      </c>
      <c r="K6229">
        <v>1.109559</v>
      </c>
      <c r="L6229">
        <v>17.55237</v>
      </c>
      <c r="M6229">
        <v>0.99984879999999998</v>
      </c>
      <c r="N6229">
        <v>-8.7453019999999999E-3</v>
      </c>
      <c r="O6229">
        <v>1.5041529999999999E-2</v>
      </c>
      <c r="P6229">
        <v>0.94222839999999997</v>
      </c>
      <c r="Q6229">
        <v>0.33314589999999999</v>
      </c>
      <c r="R6229">
        <v>3.4927519999999997E-2</v>
      </c>
      <c r="S6229">
        <v>3.2890009999999998</v>
      </c>
      <c r="T6229">
        <v>-0.26616800000000002</v>
      </c>
      <c r="U6229">
        <v>-0.28335569999999999</v>
      </c>
      <c r="V6229">
        <v>-2.0460280000000001E-2</v>
      </c>
      <c r="W6229">
        <v>0.34139429999999998</v>
      </c>
      <c r="X6229">
        <v>0.93969740000000002</v>
      </c>
      <c r="Y6229">
        <v>0.1004111</v>
      </c>
      <c r="Z6229">
        <v>-5.571655E-3</v>
      </c>
      <c r="AA6229">
        <v>0.99493039999999999</v>
      </c>
      <c r="AB6229">
        <v>31</v>
      </c>
      <c r="AC6229">
        <v>0.60879999999997303</v>
      </c>
      <c r="AD6229">
        <v>-6.2681999999999904E-2</v>
      </c>
      <c r="AE6229">
        <v>-6.9330000000000697E-2</v>
      </c>
      <c r="AF6229">
        <v>7.7667000755568302E-2</v>
      </c>
      <c r="AG6229">
        <v>-6.2681999999999904E-2</v>
      </c>
      <c r="AH6229">
        <v>0.60139464000981202</v>
      </c>
      <c r="AI6229">
        <v>95.901662949938199</v>
      </c>
      <c r="AJ6229">
        <v>82.641277191891405</v>
      </c>
      <c r="AK6229">
        <v>0.609620135135722</v>
      </c>
      <c r="AL6229">
        <v>70.038153762545306</v>
      </c>
      <c r="AM6229">
        <v>91.247319076919496</v>
      </c>
      <c r="AN6229">
        <v>0.99999994734846198</v>
      </c>
    </row>
    <row r="6230" spans="1:40" x14ac:dyDescent="0.25">
      <c r="A6230" t="str">
        <f>"20190304164247723"</f>
        <v>20190304164247723</v>
      </c>
      <c r="B6230" t="str">
        <f>"1551688967717766"</f>
        <v>1551688967717766</v>
      </c>
      <c r="C6230" t="s">
        <v>40</v>
      </c>
      <c r="D6230">
        <v>4.2516629999999997</v>
      </c>
      <c r="E6230">
        <v>0.56390839999999998</v>
      </c>
      <c r="F6230" t="s">
        <v>41</v>
      </c>
      <c r="G6230">
        <v>-342.0068</v>
      </c>
      <c r="H6230">
        <v>1.0373079999999999</v>
      </c>
      <c r="I6230">
        <v>17.47597</v>
      </c>
      <c r="J6230">
        <v>-342.7199</v>
      </c>
      <c r="K6230">
        <v>1.109551</v>
      </c>
      <c r="L6230">
        <v>17.55472</v>
      </c>
      <c r="M6230">
        <v>0.99985210000000002</v>
      </c>
      <c r="N6230">
        <v>-8.7365289999999998E-3</v>
      </c>
      <c r="O6230">
        <v>1.4817500000000001E-2</v>
      </c>
      <c r="P6230">
        <v>0.94222340000000004</v>
      </c>
      <c r="Q6230">
        <v>0.33312649999999999</v>
      </c>
      <c r="R6230">
        <v>3.5239340000000001E-2</v>
      </c>
      <c r="S6230">
        <v>3.2897639999999999</v>
      </c>
      <c r="T6230">
        <v>-0.26958320000000002</v>
      </c>
      <c r="U6230">
        <v>-0.2850647</v>
      </c>
      <c r="V6230">
        <v>-2.0982069999999998E-2</v>
      </c>
      <c r="W6230">
        <v>0.34136749999999999</v>
      </c>
      <c r="X6230">
        <v>0.93969570000000002</v>
      </c>
      <c r="Y6230">
        <v>0.10067130000000001</v>
      </c>
      <c r="Z6230">
        <v>-5.6327499999999997E-3</v>
      </c>
      <c r="AA6230">
        <v>0.9949038</v>
      </c>
      <c r="AB6230">
        <v>31</v>
      </c>
      <c r="AC6230">
        <v>0.71309999999999696</v>
      </c>
      <c r="AD6230">
        <v>-7.2243000000000002E-2</v>
      </c>
      <c r="AE6230">
        <v>-7.8749999999999404E-2</v>
      </c>
      <c r="AF6230">
        <v>8.8411645763014093E-2</v>
      </c>
      <c r="AG6230">
        <v>-7.2243000000000002E-2</v>
      </c>
      <c r="AH6230">
        <v>0.70470922447759898</v>
      </c>
      <c r="AI6230">
        <v>95.807993122316802</v>
      </c>
      <c r="AJ6230">
        <v>82.849128476359994</v>
      </c>
      <c r="AK6230">
        <v>0.71389828492534102</v>
      </c>
      <c r="AL6230">
        <v>70.039788797430006</v>
      </c>
      <c r="AM6230">
        <v>91.279120812241899</v>
      </c>
      <c r="AN6230">
        <v>1.0000000129581099</v>
      </c>
    </row>
    <row r="6231" spans="1:40" x14ac:dyDescent="0.25">
      <c r="A6231" t="str">
        <f>"20190304164247735"</f>
        <v>20190304164247735</v>
      </c>
      <c r="B6231" t="str">
        <f>"1551688967727526"</f>
        <v>1551688967727526</v>
      </c>
      <c r="C6231" t="s">
        <v>40</v>
      </c>
      <c r="D6231">
        <v>4.4167709999999998</v>
      </c>
      <c r="E6231">
        <v>0.56382460000000001</v>
      </c>
      <c r="F6231" t="s">
        <v>41</v>
      </c>
      <c r="G6231">
        <v>-341.73309999999998</v>
      </c>
      <c r="H6231">
        <v>1.0283719999999901</v>
      </c>
      <c r="I6231">
        <v>17.46876</v>
      </c>
      <c r="J6231">
        <v>-342.5428</v>
      </c>
      <c r="K6231">
        <v>1.1095429999999999</v>
      </c>
      <c r="L6231">
        <v>17.557099999999998</v>
      </c>
      <c r="M6231">
        <v>0.99985579999999996</v>
      </c>
      <c r="N6231">
        <v>-8.7280759999999995E-3</v>
      </c>
      <c r="O6231">
        <v>1.458107E-2</v>
      </c>
      <c r="P6231">
        <v>0.94237099999999996</v>
      </c>
      <c r="Q6231">
        <v>0.332706</v>
      </c>
      <c r="R6231">
        <v>3.5271810000000001E-2</v>
      </c>
      <c r="S6231">
        <v>3.2903440000000002</v>
      </c>
      <c r="T6231">
        <v>-0.27065919999999999</v>
      </c>
      <c r="U6231">
        <v>-0.28552250000000001</v>
      </c>
      <c r="V6231">
        <v>-2.1233350000000002E-2</v>
      </c>
      <c r="W6231">
        <v>0.34094029999999997</v>
      </c>
      <c r="X6231">
        <v>0.93984509999999999</v>
      </c>
      <c r="Y6231">
        <v>0.10055649999999999</v>
      </c>
      <c r="Z6231">
        <v>-5.6301160000000001E-3</v>
      </c>
      <c r="AA6231">
        <v>0.99491540000000001</v>
      </c>
      <c r="AB6231">
        <v>31</v>
      </c>
      <c r="AC6231">
        <v>0.80970000000001996</v>
      </c>
      <c r="AD6231">
        <v>-8.1171000000000104E-2</v>
      </c>
      <c r="AE6231">
        <v>-8.8339999999998697E-2</v>
      </c>
      <c r="AF6231">
        <v>9.9152614177958398E-2</v>
      </c>
      <c r="AG6231">
        <v>-8.1171000000000104E-2</v>
      </c>
      <c r="AH6231">
        <v>0.80037683774985802</v>
      </c>
      <c r="AI6231">
        <v>95.747272252135701</v>
      </c>
      <c r="AJ6231">
        <v>82.9380401793197</v>
      </c>
      <c r="AK6231">
        <v>0.81056958649198396</v>
      </c>
      <c r="AL6231">
        <v>70.065826960458907</v>
      </c>
      <c r="AM6231">
        <v>91.294228608173</v>
      </c>
      <c r="AN6231">
        <v>0.99999997765516102</v>
      </c>
    </row>
    <row r="6232" spans="1:40" x14ac:dyDescent="0.25">
      <c r="A6232" t="str">
        <f>"20190304164247748"</f>
        <v>20190304164247748</v>
      </c>
      <c r="B6232" t="str">
        <f>"1551688967737285"</f>
        <v>1551688967737285</v>
      </c>
      <c r="C6232" t="s">
        <v>40</v>
      </c>
      <c r="D6232">
        <v>4.2497780000000001</v>
      </c>
      <c r="E6232">
        <v>0.56383479999999997</v>
      </c>
      <c r="F6232" t="s">
        <v>41</v>
      </c>
      <c r="G6232">
        <v>-341.72699999999998</v>
      </c>
      <c r="H6232">
        <v>1.0416479999999999</v>
      </c>
      <c r="I6232">
        <v>17.486059999999998</v>
      </c>
      <c r="J6232">
        <v>-342.36219999999997</v>
      </c>
      <c r="K6232">
        <v>1.109531</v>
      </c>
      <c r="L6232">
        <v>17.559539999999998</v>
      </c>
      <c r="M6232">
        <v>0.99985919999999895</v>
      </c>
      <c r="N6232">
        <v>-8.7199289999999995E-3</v>
      </c>
      <c r="O6232">
        <v>1.4338729999999999E-2</v>
      </c>
      <c r="P6232">
        <v>0.94253089999999995</v>
      </c>
      <c r="Q6232">
        <v>0.33224619999999999</v>
      </c>
      <c r="R6232">
        <v>3.5328470000000001E-2</v>
      </c>
      <c r="S6232">
        <v>3.2908629999999999</v>
      </c>
      <c r="T6232">
        <v>-0.27388600000000002</v>
      </c>
      <c r="U6232">
        <v>-0.28527829999999998</v>
      </c>
      <c r="V6232">
        <v>-2.1513729999999998E-2</v>
      </c>
      <c r="W6232">
        <v>0.34047450000000001</v>
      </c>
      <c r="X6232">
        <v>0.94000760000000005</v>
      </c>
      <c r="Y6232">
        <v>0.10022109999999999</v>
      </c>
      <c r="Z6232">
        <v>-5.6588139999999999E-3</v>
      </c>
      <c r="AA6232">
        <v>0.99494910000000003</v>
      </c>
      <c r="AB6232">
        <v>31</v>
      </c>
      <c r="AC6232">
        <v>0.63519999999999699</v>
      </c>
      <c r="AD6232">
        <v>-6.7883000000000096E-2</v>
      </c>
      <c r="AE6232">
        <v>-7.3479999999996395E-2</v>
      </c>
      <c r="AF6232">
        <v>8.1660431073399695E-2</v>
      </c>
      <c r="AG6232">
        <v>-6.7883000000000096E-2</v>
      </c>
      <c r="AH6232">
        <v>0.62701452433327398</v>
      </c>
      <c r="AI6232">
        <v>96.127644316370095</v>
      </c>
      <c r="AJ6232">
        <v>82.579740198727805</v>
      </c>
      <c r="AK6232">
        <v>0.63594319040066405</v>
      </c>
      <c r="AL6232">
        <v>70.094214340404093</v>
      </c>
      <c r="AM6232">
        <v>91.311085970615295</v>
      </c>
      <c r="AN6232">
        <v>1.00000000689326</v>
      </c>
    </row>
    <row r="6233" spans="1:40" x14ac:dyDescent="0.25">
      <c r="A6233" t="str">
        <f>"20190304164247765"</f>
        <v>20190304164247765</v>
      </c>
      <c r="B6233" t="str">
        <f>"1551688967757782"</f>
        <v>1551688967757782</v>
      </c>
      <c r="C6233" t="s">
        <v>40</v>
      </c>
      <c r="D6233">
        <v>4.4374529999999996</v>
      </c>
      <c r="E6233">
        <v>0.56394180000000005</v>
      </c>
      <c r="F6233" t="s">
        <v>41</v>
      </c>
      <c r="G6233">
        <v>-341.45269999999999</v>
      </c>
      <c r="H6233">
        <v>1.033123</v>
      </c>
      <c r="I6233">
        <v>17.480840000000001</v>
      </c>
      <c r="J6233">
        <v>-342.13350000000003</v>
      </c>
      <c r="K6233">
        <v>1.1095219999999999</v>
      </c>
      <c r="L6233">
        <v>17.5625</v>
      </c>
      <c r="M6233">
        <v>0.99986370000000002</v>
      </c>
      <c r="N6233">
        <v>-8.7103619999999993E-3</v>
      </c>
      <c r="O6233">
        <v>1.4027700000000001E-2</v>
      </c>
      <c r="P6233">
        <v>0.9428396</v>
      </c>
      <c r="Q6233">
        <v>0.33130929999999997</v>
      </c>
      <c r="R6233">
        <v>3.588707E-2</v>
      </c>
      <c r="S6233">
        <v>3.2911069999999998</v>
      </c>
      <c r="T6233">
        <v>-0.27654210000000001</v>
      </c>
      <c r="U6233">
        <v>-0.28497309999999998</v>
      </c>
      <c r="V6233">
        <v>-2.2358220000000002E-2</v>
      </c>
      <c r="W6233">
        <v>0.33953230000000001</v>
      </c>
      <c r="X6233">
        <v>0.94032859999999996</v>
      </c>
      <c r="Y6233">
        <v>9.9808309999999997E-2</v>
      </c>
      <c r="Z6233">
        <v>-5.6673319999999998E-3</v>
      </c>
      <c r="AA6233">
        <v>0.9949905</v>
      </c>
      <c r="AB6233">
        <v>31</v>
      </c>
      <c r="AC6233">
        <v>0.68080000000003305</v>
      </c>
      <c r="AD6233">
        <v>-7.63989999999998E-2</v>
      </c>
      <c r="AE6233">
        <v>-8.16599999999994E-2</v>
      </c>
      <c r="AF6233">
        <v>9.0084028325465304E-2</v>
      </c>
      <c r="AG6233">
        <v>-7.63989999999998E-2</v>
      </c>
      <c r="AH6233">
        <v>0.67125411765723397</v>
      </c>
      <c r="AI6233">
        <v>96.435988122755106</v>
      </c>
      <c r="AJ6233">
        <v>82.356428502896804</v>
      </c>
      <c r="AK6233">
        <v>0.68156733330767505</v>
      </c>
      <c r="AL6233">
        <v>70.151617641020493</v>
      </c>
      <c r="AM6233">
        <v>91.362066745720597</v>
      </c>
      <c r="AN6233">
        <v>0.99999997436140797</v>
      </c>
    </row>
    <row r="6234" spans="1:40" x14ac:dyDescent="0.25">
      <c r="A6234" t="str">
        <f>"20190304164247776"</f>
        <v>20190304164247776</v>
      </c>
      <c r="B6234" t="str">
        <f>"1551688967767541"</f>
        <v>1551688967767541</v>
      </c>
      <c r="C6234" t="s">
        <v>40</v>
      </c>
      <c r="D6234">
        <v>4.3693929999999996</v>
      </c>
      <c r="E6234">
        <v>0.58323959999999997</v>
      </c>
      <c r="F6234" t="s">
        <v>41</v>
      </c>
      <c r="G6234">
        <v>-341.1764</v>
      </c>
      <c r="H6234">
        <v>1.027739</v>
      </c>
      <c r="I6234">
        <v>17.479679999999998</v>
      </c>
      <c r="J6234">
        <v>-341.9676</v>
      </c>
      <c r="K6234">
        <v>1.1095189999999999</v>
      </c>
      <c r="L6234">
        <v>17.564609999999998</v>
      </c>
      <c r="M6234">
        <v>0.99986710000000001</v>
      </c>
      <c r="N6234">
        <v>-8.7040390000000002E-3</v>
      </c>
      <c r="O6234">
        <v>1.379616E-2</v>
      </c>
      <c r="P6234">
        <v>0.94290099999999999</v>
      </c>
      <c r="Q6234">
        <v>0.33112269999999999</v>
      </c>
      <c r="R6234">
        <v>3.5996550000000002E-2</v>
      </c>
      <c r="S6234">
        <v>3.2915040000000002</v>
      </c>
      <c r="T6234">
        <v>-0.28124179999999999</v>
      </c>
      <c r="U6234">
        <v>-0.28341670000000002</v>
      </c>
      <c r="V6234">
        <v>-2.268092E-2</v>
      </c>
      <c r="W6234">
        <v>0.33934130000000001</v>
      </c>
      <c r="X6234">
        <v>0.9403899</v>
      </c>
      <c r="Y6234">
        <v>9.9090139999999993E-2</v>
      </c>
      <c r="Z6234">
        <v>-5.7058100000000004E-3</v>
      </c>
      <c r="AA6234">
        <v>0.99506209999999995</v>
      </c>
      <c r="AB6234">
        <v>31</v>
      </c>
      <c r="AC6234">
        <v>0.79120000000000301</v>
      </c>
      <c r="AD6234">
        <v>-8.1780000000000103E-2</v>
      </c>
      <c r="AE6234">
        <v>-8.4930000000003503E-2</v>
      </c>
      <c r="AF6234">
        <v>9.4836190427632194E-2</v>
      </c>
      <c r="AG6234">
        <v>-8.1780000000000103E-2</v>
      </c>
      <c r="AH6234">
        <v>0.78169666405133198</v>
      </c>
      <c r="AI6234">
        <v>95.929313418198603</v>
      </c>
      <c r="AJ6234">
        <v>83.082627201049306</v>
      </c>
      <c r="AK6234">
        <v>0.79166378343574995</v>
      </c>
      <c r="AL6234">
        <v>70.163253498627896</v>
      </c>
      <c r="AM6234">
        <v>91.381628087005197</v>
      </c>
      <c r="AN6234">
        <v>1.00000005301987</v>
      </c>
    </row>
    <row r="6235" spans="1:40" x14ac:dyDescent="0.25">
      <c r="A6235" t="str">
        <f>"20190304164247789"</f>
        <v>20190304164247789</v>
      </c>
      <c r="B6235" t="str">
        <f>"1551688967777302"</f>
        <v>1551688967777302</v>
      </c>
      <c r="C6235" t="s">
        <v>40</v>
      </c>
      <c r="D6235">
        <v>4.3869259999999999</v>
      </c>
      <c r="E6235">
        <v>0.58402119999999902</v>
      </c>
      <c r="F6235" t="s">
        <v>41</v>
      </c>
      <c r="G6235">
        <v>-341.1746</v>
      </c>
      <c r="H6235">
        <v>1.030489</v>
      </c>
      <c r="I6235">
        <v>17.46086</v>
      </c>
      <c r="J6235">
        <v>-341.80560000000003</v>
      </c>
      <c r="K6235">
        <v>1.1095139999999999</v>
      </c>
      <c r="L6235">
        <v>17.566649999999999</v>
      </c>
      <c r="M6235">
        <v>0.99987029999999999</v>
      </c>
      <c r="N6235">
        <v>-8.6984660000000002E-3</v>
      </c>
      <c r="O6235">
        <v>1.35649E-2</v>
      </c>
      <c r="P6235">
        <v>0.94291910000000001</v>
      </c>
      <c r="Q6235">
        <v>0.33105269999999998</v>
      </c>
      <c r="R6235">
        <v>3.6167230000000002E-2</v>
      </c>
      <c r="S6235">
        <v>3.314117</v>
      </c>
      <c r="T6235">
        <v>-0.3302426</v>
      </c>
      <c r="U6235">
        <v>-0.43188480000000001</v>
      </c>
      <c r="V6235">
        <v>-2.3063179999999999E-2</v>
      </c>
      <c r="W6235">
        <v>0.33926679999999998</v>
      </c>
      <c r="X6235">
        <v>0.94040749999999995</v>
      </c>
      <c r="Y6235">
        <v>0.14185619999999999</v>
      </c>
      <c r="Z6235">
        <v>-8.8678560000000003E-3</v>
      </c>
      <c r="AA6235">
        <v>0.98984749999999999</v>
      </c>
      <c r="AB6235">
        <v>31</v>
      </c>
      <c r="AC6235">
        <v>0.63100000000002798</v>
      </c>
      <c r="AD6235">
        <v>-7.9024999999999901E-2</v>
      </c>
      <c r="AE6235">
        <v>-0.105789999999998</v>
      </c>
      <c r="AF6235">
        <v>0.112621916519085</v>
      </c>
      <c r="AG6235">
        <v>-7.9024999999999901E-2</v>
      </c>
      <c r="AH6235">
        <v>0.62004760690630101</v>
      </c>
      <c r="AI6235">
        <v>97.147477681098806</v>
      </c>
      <c r="AJ6235">
        <v>79.705352061853006</v>
      </c>
      <c r="AK6235">
        <v>0.63512808277989297</v>
      </c>
      <c r="AL6235">
        <v>70.167791555978596</v>
      </c>
      <c r="AM6235">
        <v>91.404878251585203</v>
      </c>
      <c r="AN6235">
        <v>1.0000000689550901</v>
      </c>
    </row>
    <row r="6236" spans="1:40" x14ac:dyDescent="0.25">
      <c r="A6236" t="str">
        <f>"20190304164247802"</f>
        <v>20190304164247802</v>
      </c>
      <c r="B6236" t="str">
        <f>"1551688967797798"</f>
        <v>1551688967797798</v>
      </c>
      <c r="C6236" t="s">
        <v>40</v>
      </c>
      <c r="D6236">
        <v>4.352398</v>
      </c>
      <c r="E6236">
        <v>0.58522010000000002</v>
      </c>
      <c r="F6236" t="s">
        <v>41</v>
      </c>
      <c r="G6236">
        <v>-340.90140000000002</v>
      </c>
      <c r="H6236">
        <v>1.0166660000000001</v>
      </c>
      <c r="I6236">
        <v>17.44746</v>
      </c>
      <c r="J6236">
        <v>-341.61829999999998</v>
      </c>
      <c r="K6236">
        <v>1.1095060000000001</v>
      </c>
      <c r="L6236">
        <v>17.568939999999898</v>
      </c>
      <c r="M6236">
        <v>0.99987409999999999</v>
      </c>
      <c r="N6236">
        <v>-8.6925300000000004E-3</v>
      </c>
      <c r="O6236">
        <v>1.3292379999999999E-2</v>
      </c>
      <c r="P6236">
        <v>0.94295589999999996</v>
      </c>
      <c r="Q6236">
        <v>0.33097399999999999</v>
      </c>
      <c r="R6236">
        <v>3.5925310000000002E-2</v>
      </c>
      <c r="S6236">
        <v>3.317993</v>
      </c>
      <c r="T6236">
        <v>-0.3407539</v>
      </c>
      <c r="U6236">
        <v>-0.43646239999999997</v>
      </c>
      <c r="V6236">
        <v>-2.307064E-2</v>
      </c>
      <c r="W6236">
        <v>0.33918330000000002</v>
      </c>
      <c r="X6236">
        <v>0.94043739999999998</v>
      </c>
      <c r="Y6236">
        <v>0.14272879999999999</v>
      </c>
      <c r="Z6236">
        <v>-9.1447000000000004E-3</v>
      </c>
      <c r="AA6236">
        <v>0.98971960000000003</v>
      </c>
      <c r="AB6236">
        <v>31</v>
      </c>
      <c r="AC6236">
        <v>0.71689999999995202</v>
      </c>
      <c r="AD6236">
        <v>-9.2839999999999798E-2</v>
      </c>
      <c r="AE6236">
        <v>-0.12147999999999801</v>
      </c>
      <c r="AF6236">
        <v>0.12889755862469801</v>
      </c>
      <c r="AG6236">
        <v>-9.2839999999999798E-2</v>
      </c>
      <c r="AH6236">
        <v>0.70374886103735201</v>
      </c>
      <c r="AI6236">
        <v>97.393582361708397</v>
      </c>
      <c r="AJ6236">
        <v>79.620836093848993</v>
      </c>
      <c r="AK6236">
        <v>0.72145429905904501</v>
      </c>
      <c r="AL6236">
        <v>70.172876597430403</v>
      </c>
      <c r="AM6236">
        <v>91.405287827488095</v>
      </c>
      <c r="AN6236">
        <v>1.00000003437382</v>
      </c>
    </row>
    <row r="6237" spans="1:40" x14ac:dyDescent="0.25">
      <c r="A6237" t="str">
        <f>"20190304164247815"</f>
        <v>20190304164247815</v>
      </c>
      <c r="B6237" t="str">
        <f>"1551688967807558"</f>
        <v>1551688967807558</v>
      </c>
      <c r="C6237" t="s">
        <v>40</v>
      </c>
      <c r="D6237">
        <v>4.3678140000000001</v>
      </c>
      <c r="E6237">
        <v>0.58545219999999998</v>
      </c>
      <c r="F6237" t="s">
        <v>41</v>
      </c>
      <c r="G6237">
        <v>-340.6259</v>
      </c>
      <c r="H6237">
        <v>1.0064439999999999</v>
      </c>
      <c r="I6237">
        <v>17.435320000000001</v>
      </c>
      <c r="J6237">
        <v>-341.42759999999998</v>
      </c>
      <c r="K6237">
        <v>1.109491</v>
      </c>
      <c r="L6237">
        <v>17.571200000000001</v>
      </c>
      <c r="M6237">
        <v>0.99987789999999999</v>
      </c>
      <c r="N6237">
        <v>-8.6875549999999996E-3</v>
      </c>
      <c r="O6237">
        <v>1.2999170000000001E-2</v>
      </c>
      <c r="P6237">
        <v>0.9429305</v>
      </c>
      <c r="Q6237">
        <v>0.33105190000000001</v>
      </c>
      <c r="R6237">
        <v>3.5875459999999998E-2</v>
      </c>
      <c r="S6237">
        <v>3.3195190000000001</v>
      </c>
      <c r="T6237">
        <v>-0.34472730000000001</v>
      </c>
      <c r="U6237">
        <v>-0.44619750000000002</v>
      </c>
      <c r="V6237">
        <v>-2.328612E-2</v>
      </c>
      <c r="W6237">
        <v>0.33925739999999999</v>
      </c>
      <c r="X6237">
        <v>0.9404053</v>
      </c>
      <c r="Y6237">
        <v>0.1452003</v>
      </c>
      <c r="Z6237">
        <v>-9.349642E-3</v>
      </c>
      <c r="AA6237">
        <v>0.98935810000000002</v>
      </c>
      <c r="AB6237">
        <v>31</v>
      </c>
      <c r="AC6237">
        <v>0.80169999999998198</v>
      </c>
      <c r="AD6237">
        <v>-0.103046999999999</v>
      </c>
      <c r="AE6237">
        <v>-0.13588</v>
      </c>
      <c r="AF6237">
        <v>0.143978050121358</v>
      </c>
      <c r="AG6237">
        <v>-0.103046999999999</v>
      </c>
      <c r="AH6237">
        <v>0.78722302260164201</v>
      </c>
      <c r="AI6237">
        <v>97.337233055091502</v>
      </c>
      <c r="AJ6237">
        <v>79.6355198334156</v>
      </c>
      <c r="AK6237">
        <v>0.80688812758635498</v>
      </c>
      <c r="AL6237">
        <v>70.168362203642104</v>
      </c>
      <c r="AM6237">
        <v>91.418456288622096</v>
      </c>
      <c r="AN6237">
        <v>0.99999997755375103</v>
      </c>
    </row>
    <row r="6238" spans="1:40" x14ac:dyDescent="0.25">
      <c r="A6238" t="str">
        <f>"20190304164247831"</f>
        <v>20190304164247831</v>
      </c>
      <c r="B6238" t="str">
        <f>"1551688967817318"</f>
        <v>1551688967817318</v>
      </c>
      <c r="C6238" t="s">
        <v>40</v>
      </c>
      <c r="D6238">
        <v>4.3730609999999999</v>
      </c>
      <c r="E6238">
        <v>0.58558180000000004</v>
      </c>
      <c r="F6238" t="s">
        <v>41</v>
      </c>
      <c r="G6238">
        <v>-340.61779999999999</v>
      </c>
      <c r="H6238">
        <v>1.0251300000000001</v>
      </c>
      <c r="I6238">
        <v>17.46162</v>
      </c>
      <c r="J6238">
        <v>-341.20949999999999</v>
      </c>
      <c r="K6238">
        <v>1.109475</v>
      </c>
      <c r="L6238">
        <v>17.573699999999999</v>
      </c>
      <c r="M6238">
        <v>0.99988239999999995</v>
      </c>
      <c r="N6238">
        <v>-8.6826560000000004E-3</v>
      </c>
      <c r="O6238">
        <v>1.265174E-2</v>
      </c>
      <c r="P6238">
        <v>0.94268949999999996</v>
      </c>
      <c r="Q6238">
        <v>0.33177649999999997</v>
      </c>
      <c r="R6238">
        <v>3.5518389999999997E-2</v>
      </c>
      <c r="S6238">
        <v>3.3200069999999999</v>
      </c>
      <c r="T6238">
        <v>-0.34583629999999999</v>
      </c>
      <c r="U6238">
        <v>-0.44830320000000001</v>
      </c>
      <c r="V6238">
        <v>-2.324563E-2</v>
      </c>
      <c r="W6238">
        <v>0.33997579999999999</v>
      </c>
      <c r="X6238">
        <v>0.94014679999999995</v>
      </c>
      <c r="Y6238">
        <v>0.14544860000000001</v>
      </c>
      <c r="Z6238">
        <v>-9.3569589999999998E-3</v>
      </c>
      <c r="AA6238">
        <v>0.98932149999999996</v>
      </c>
      <c r="AB6238">
        <v>31</v>
      </c>
      <c r="AC6238">
        <v>0.591700000000002</v>
      </c>
      <c r="AD6238">
        <v>-8.43450000000001E-2</v>
      </c>
      <c r="AE6238">
        <v>-0.112079999999998</v>
      </c>
      <c r="AF6238">
        <v>0.117257249564357</v>
      </c>
      <c r="AG6238">
        <v>-8.43450000000001E-2</v>
      </c>
      <c r="AH6238">
        <v>0.57887939483375195</v>
      </c>
      <c r="AI6238">
        <v>98.127104019451593</v>
      </c>
      <c r="AJ6238">
        <v>78.549154748973507</v>
      </c>
      <c r="AK6238">
        <v>0.59662776952090402</v>
      </c>
      <c r="AL6238">
        <v>70.124599379543099</v>
      </c>
      <c r="AM6238">
        <v>91.4163800542036</v>
      </c>
      <c r="AN6238">
        <v>0.99999995472498704</v>
      </c>
    </row>
    <row r="6239" spans="1:40" x14ac:dyDescent="0.25">
      <c r="A6239" t="str">
        <f>"20190304164247843"</f>
        <v>20190304164247843</v>
      </c>
      <c r="B6239" t="str">
        <f>"1551688967837814"</f>
        <v>1551688967837814</v>
      </c>
      <c r="C6239" t="s">
        <v>40</v>
      </c>
      <c r="D6239">
        <v>4.3794399999999998</v>
      </c>
      <c r="E6239">
        <v>0.58577959999999996</v>
      </c>
      <c r="F6239" t="s">
        <v>41</v>
      </c>
      <c r="G6239">
        <v>-340.33980000000003</v>
      </c>
      <c r="H6239">
        <v>1.0195069999999999</v>
      </c>
      <c r="I6239">
        <v>17.45551</v>
      </c>
      <c r="J6239">
        <v>-341.04050000000001</v>
      </c>
      <c r="K6239">
        <v>1.109467</v>
      </c>
      <c r="L6239">
        <v>17.575589999999998</v>
      </c>
      <c r="M6239">
        <v>0.99988589999999999</v>
      </c>
      <c r="N6239">
        <v>-8.6793530000000008E-3</v>
      </c>
      <c r="O6239">
        <v>1.2374670000000001E-2</v>
      </c>
      <c r="P6239">
        <v>0.94256850000000003</v>
      </c>
      <c r="Q6239">
        <v>0.332125</v>
      </c>
      <c r="R6239">
        <v>3.5466440000000002E-2</v>
      </c>
      <c r="S6239">
        <v>3.3202820000000002</v>
      </c>
      <c r="T6239">
        <v>-0.343524</v>
      </c>
      <c r="U6239">
        <v>-0.45092769999999999</v>
      </c>
      <c r="V6239">
        <v>-2.3443800000000001E-2</v>
      </c>
      <c r="W6239">
        <v>0.3403216</v>
      </c>
      <c r="X6239">
        <v>0.94001679999999999</v>
      </c>
      <c r="Y6239">
        <v>0.14594170000000001</v>
      </c>
      <c r="Z6239">
        <v>-9.2982659999999995E-3</v>
      </c>
      <c r="AA6239">
        <v>0.9892495</v>
      </c>
      <c r="AB6239">
        <v>31</v>
      </c>
      <c r="AC6239">
        <v>0.700699999999983</v>
      </c>
      <c r="AD6239">
        <v>-8.9959999999999998E-2</v>
      </c>
      <c r="AE6239">
        <v>-0.12007999999999699</v>
      </c>
      <c r="AF6239">
        <v>0.12671304660566299</v>
      </c>
      <c r="AG6239">
        <v>-8.9959999999999998E-2</v>
      </c>
      <c r="AH6239">
        <v>0.68814135327451398</v>
      </c>
      <c r="AI6239">
        <v>97.326183321793494</v>
      </c>
      <c r="AJ6239">
        <v>79.566537804339006</v>
      </c>
      <c r="AK6239">
        <v>0.70546971576855699</v>
      </c>
      <c r="AL6239">
        <v>70.103530985145994</v>
      </c>
      <c r="AM6239">
        <v>91.428647239823306</v>
      </c>
      <c r="AN6239">
        <v>0.99999999373362003</v>
      </c>
    </row>
    <row r="6240" spans="1:40" x14ac:dyDescent="0.25">
      <c r="A6240" t="str">
        <f>"20190304164247857"</f>
        <v>20190304164247857</v>
      </c>
      <c r="B6240" t="str">
        <f>"1551688967847574"</f>
        <v>1551688967847574</v>
      </c>
      <c r="C6240" t="s">
        <v>40</v>
      </c>
      <c r="D6240">
        <v>4.389265</v>
      </c>
      <c r="E6240">
        <v>0.58581329999999998</v>
      </c>
      <c r="F6240" t="s">
        <v>41</v>
      </c>
      <c r="G6240">
        <v>-340.06360000000001</v>
      </c>
      <c r="H6240">
        <v>1.0084709999999999</v>
      </c>
      <c r="I6240">
        <v>17.442049999999998</v>
      </c>
      <c r="J6240">
        <v>-340.84469999999999</v>
      </c>
      <c r="K6240">
        <v>1.1094489999999999</v>
      </c>
      <c r="L6240">
        <v>17.5777</v>
      </c>
      <c r="M6240">
        <v>0.99988999999999995</v>
      </c>
      <c r="N6240">
        <v>-8.6763109999999904E-3</v>
      </c>
      <c r="O6240">
        <v>1.2036710000000001E-2</v>
      </c>
      <c r="P6240">
        <v>0.94232709999999997</v>
      </c>
      <c r="Q6240">
        <v>0.33283010000000002</v>
      </c>
      <c r="R6240">
        <v>3.5273739999999998E-2</v>
      </c>
      <c r="S6240">
        <v>3.3208009999999999</v>
      </c>
      <c r="T6240">
        <v>-0.34330680000000002</v>
      </c>
      <c r="U6240">
        <v>-0.45309450000000001</v>
      </c>
      <c r="V6240">
        <v>-2.3558010000000001E-2</v>
      </c>
      <c r="W6240">
        <v>0.3410223</v>
      </c>
      <c r="X6240">
        <v>0.93976000000000004</v>
      </c>
      <c r="Y6240">
        <v>0.14622189999999999</v>
      </c>
      <c r="Z6240">
        <v>-9.2746760000000008E-3</v>
      </c>
      <c r="AA6240">
        <v>0.98920830000000004</v>
      </c>
      <c r="AB6240">
        <v>31</v>
      </c>
      <c r="AC6240">
        <v>0.78109999999998003</v>
      </c>
      <c r="AD6240">
        <v>-0.100978</v>
      </c>
      <c r="AE6240">
        <v>-0.13565000000000099</v>
      </c>
      <c r="AF6240">
        <v>0.14272691650143701</v>
      </c>
      <c r="AG6240">
        <v>-0.100978</v>
      </c>
      <c r="AH6240">
        <v>0.76696791796908703</v>
      </c>
      <c r="AI6240">
        <v>97.375163442369995</v>
      </c>
      <c r="AJ6240">
        <v>79.4582738935771</v>
      </c>
      <c r="AK6240">
        <v>0.78664306796147598</v>
      </c>
      <c r="AL6240">
        <v>70.060830138485798</v>
      </c>
      <c r="AM6240">
        <v>91.435996335103198</v>
      </c>
      <c r="AN6240">
        <v>1.0000000232662201</v>
      </c>
    </row>
    <row r="6241" spans="1:40" x14ac:dyDescent="0.25">
      <c r="A6241" t="str">
        <f>"20190304164247871"</f>
        <v>20190304164247871</v>
      </c>
      <c r="B6241" t="str">
        <f>"1551688967867094"</f>
        <v>1551688967867094</v>
      </c>
      <c r="C6241" t="s">
        <v>40</v>
      </c>
      <c r="D6241">
        <v>4.3842549999999996</v>
      </c>
      <c r="E6241">
        <v>0.58591519999999897</v>
      </c>
      <c r="F6241" t="s">
        <v>41</v>
      </c>
      <c r="G6241">
        <v>-340.05489999999998</v>
      </c>
      <c r="H6241">
        <v>1.0282389999999999</v>
      </c>
      <c r="I6241">
        <v>17.469360000000002</v>
      </c>
      <c r="J6241">
        <v>-340.65210000000002</v>
      </c>
      <c r="K6241">
        <v>1.109434</v>
      </c>
      <c r="L6241">
        <v>17.57968</v>
      </c>
      <c r="M6241">
        <v>0.99989410000000001</v>
      </c>
      <c r="N6241">
        <v>-8.6757599999999994E-3</v>
      </c>
      <c r="O6241">
        <v>1.1691999999999999E-2</v>
      </c>
      <c r="P6241">
        <v>0.94214520000000002</v>
      </c>
      <c r="Q6241">
        <v>0.33339020000000003</v>
      </c>
      <c r="R6241">
        <v>3.4835640000000001E-2</v>
      </c>
      <c r="S6241">
        <v>3.3212280000000001</v>
      </c>
      <c r="T6241">
        <v>-0.3414528</v>
      </c>
      <c r="U6241">
        <v>-0.4545593</v>
      </c>
      <c r="V6241">
        <v>-2.3431960000000002E-2</v>
      </c>
      <c r="W6241">
        <v>0.34158119999999997</v>
      </c>
      <c r="X6241">
        <v>0.93956010000000001</v>
      </c>
      <c r="Y6241">
        <v>0.14630270000000001</v>
      </c>
      <c r="Z6241">
        <v>-9.1985859999999999E-3</v>
      </c>
      <c r="AA6241">
        <v>0.98919710000000005</v>
      </c>
      <c r="AB6241">
        <v>31</v>
      </c>
      <c r="AC6241">
        <v>0.59720000000004303</v>
      </c>
      <c r="AD6241">
        <v>-8.11950000000001E-2</v>
      </c>
      <c r="AE6241">
        <v>-0.110319999999997</v>
      </c>
      <c r="AF6241">
        <v>0.115235351251186</v>
      </c>
      <c r="AG6241">
        <v>-8.11950000000001E-2</v>
      </c>
      <c r="AH6241">
        <v>0.58540514891414297</v>
      </c>
      <c r="AI6241">
        <v>97.749619471238901</v>
      </c>
      <c r="AJ6241">
        <v>78.863867969991603</v>
      </c>
      <c r="AK6241">
        <v>0.602138690484322</v>
      </c>
      <c r="AL6241">
        <v>70.026760897347899</v>
      </c>
      <c r="AM6241">
        <v>91.428619814696503</v>
      </c>
      <c r="AN6241">
        <v>0.99999997722744505</v>
      </c>
    </row>
    <row r="6242" spans="1:40" x14ac:dyDescent="0.25">
      <c r="A6242" t="str">
        <f>"20190304164247888"</f>
        <v>20190304164247888</v>
      </c>
      <c r="B6242" t="str">
        <f>"1551688967877831"</f>
        <v>1551688967877831</v>
      </c>
      <c r="C6242" t="s">
        <v>40</v>
      </c>
      <c r="D6242">
        <v>4.3730949999999904</v>
      </c>
      <c r="E6242">
        <v>0.58596090000000001</v>
      </c>
      <c r="F6242" t="s">
        <v>41</v>
      </c>
      <c r="G6242">
        <v>-339.7774</v>
      </c>
      <c r="H6242">
        <v>1.019509</v>
      </c>
      <c r="I6242">
        <v>17.459109999999999</v>
      </c>
      <c r="J6242">
        <v>-340.41919999999999</v>
      </c>
      <c r="K6242">
        <v>1.109413</v>
      </c>
      <c r="L6242">
        <v>17.582000000000001</v>
      </c>
      <c r="M6242">
        <v>0.99989899999999998</v>
      </c>
      <c r="N6242">
        <v>-8.6790310000000002E-3</v>
      </c>
      <c r="O6242">
        <v>1.1259129999999999E-2</v>
      </c>
      <c r="P6242">
        <v>0.94181170000000003</v>
      </c>
      <c r="Q6242">
        <v>0.33441159999999998</v>
      </c>
      <c r="R6242">
        <v>3.4053340000000001E-2</v>
      </c>
      <c r="S6242">
        <v>3.3220209999999999</v>
      </c>
      <c r="T6242">
        <v>-0.34155849999999999</v>
      </c>
      <c r="U6242">
        <v>-0.45764159999999998</v>
      </c>
      <c r="V6242">
        <v>-2.304291E-2</v>
      </c>
      <c r="W6242">
        <v>0.3426032</v>
      </c>
      <c r="X6242">
        <v>0.93919750000000002</v>
      </c>
      <c r="Y6242">
        <v>0.14674289999999901</v>
      </c>
      <c r="Z6242">
        <v>-9.1828429999999996E-3</v>
      </c>
      <c r="AA6242">
        <v>0.98913200000000001</v>
      </c>
      <c r="AB6242">
        <v>31</v>
      </c>
      <c r="AC6242">
        <v>0.64179999999998905</v>
      </c>
      <c r="AD6242">
        <v>-8.9903999999999901E-2</v>
      </c>
      <c r="AE6242">
        <v>-0.122890000000001</v>
      </c>
      <c r="AF6242">
        <v>0.127691556082873</v>
      </c>
      <c r="AG6242">
        <v>-8.9903999999999901E-2</v>
      </c>
      <c r="AH6242">
        <v>0.62847933206200901</v>
      </c>
      <c r="AI6242">
        <v>97.980054193931295</v>
      </c>
      <c r="AJ6242">
        <v>78.515233954413802</v>
      </c>
      <c r="AK6242">
        <v>0.64759102336272001</v>
      </c>
      <c r="AL6242">
        <v>69.964443995639002</v>
      </c>
      <c r="AM6242">
        <v>91.405451649563702</v>
      </c>
      <c r="AN6242">
        <v>0.99999993617887695</v>
      </c>
    </row>
    <row r="6243" spans="1:40" x14ac:dyDescent="0.25">
      <c r="A6243" t="str">
        <f>"20190304164247900"</f>
        <v>20190304164247900</v>
      </c>
      <c r="B6243" t="str">
        <f>"1551688967887591"</f>
        <v>1551688967887591</v>
      </c>
      <c r="C6243" t="s">
        <v>40</v>
      </c>
      <c r="D6243">
        <v>4.3713959999999998</v>
      </c>
      <c r="E6243">
        <v>0.58596819999999905</v>
      </c>
      <c r="F6243" t="s">
        <v>41</v>
      </c>
      <c r="G6243">
        <v>-339.4973</v>
      </c>
      <c r="H6243">
        <v>1.015134</v>
      </c>
      <c r="I6243">
        <v>17.453879999999899</v>
      </c>
      <c r="J6243">
        <v>-340.24110000000002</v>
      </c>
      <c r="K6243">
        <v>1.1093980000000001</v>
      </c>
      <c r="L6243">
        <v>17.58371</v>
      </c>
      <c r="M6243">
        <v>0.99990270000000003</v>
      </c>
      <c r="N6243">
        <v>-8.6851810000000002E-3</v>
      </c>
      <c r="O6243">
        <v>1.0915889999999999E-2</v>
      </c>
      <c r="P6243">
        <v>0.94179869999999999</v>
      </c>
      <c r="Q6243">
        <v>0.33451959999999997</v>
      </c>
      <c r="R6243">
        <v>3.3347010000000003E-2</v>
      </c>
      <c r="S6243">
        <v>3.3226010000000001</v>
      </c>
      <c r="T6243">
        <v>-0.3397559</v>
      </c>
      <c r="U6243">
        <v>-0.46063229999999999</v>
      </c>
      <c r="V6243">
        <v>-2.2646909999999999E-2</v>
      </c>
      <c r="W6243">
        <v>0.34271750000000001</v>
      </c>
      <c r="X6243">
        <v>0.93916549999999999</v>
      </c>
      <c r="Y6243">
        <v>0.14726149999999999</v>
      </c>
      <c r="Z6243">
        <v>-9.1325959999999998E-3</v>
      </c>
      <c r="AA6243">
        <v>0.98905540000000003</v>
      </c>
      <c r="AB6243">
        <v>31</v>
      </c>
      <c r="AC6243">
        <v>0.743800000000021</v>
      </c>
      <c r="AD6243">
        <v>-9.4263999999999903E-2</v>
      </c>
      <c r="AE6243">
        <v>-0.129830000000001</v>
      </c>
      <c r="AF6243">
        <v>0.13582479352287499</v>
      </c>
      <c r="AG6243">
        <v>-9.4263999999999903E-2</v>
      </c>
      <c r="AH6243">
        <v>0.73094562663037299</v>
      </c>
      <c r="AI6243">
        <v>97.226047881726203</v>
      </c>
      <c r="AJ6243">
        <v>79.473324598193898</v>
      </c>
      <c r="AK6243">
        <v>0.74941015827222501</v>
      </c>
      <c r="AL6243">
        <v>69.957474435779702</v>
      </c>
      <c r="AM6243">
        <v>91.381354986159195</v>
      </c>
      <c r="AN6243">
        <v>1.0000000018645201</v>
      </c>
    </row>
    <row r="6244" spans="1:40" x14ac:dyDescent="0.25">
      <c r="A6244" t="str">
        <f>"20190304164247912"</f>
        <v>20190304164247912</v>
      </c>
      <c r="B6244" t="str">
        <f>"1551688967907111"</f>
        <v>1551688967907111</v>
      </c>
      <c r="C6244" t="s">
        <v>40</v>
      </c>
      <c r="D6244">
        <v>4.3757789999999996</v>
      </c>
      <c r="E6244">
        <v>0.58591139999999997</v>
      </c>
      <c r="F6244" t="s">
        <v>41</v>
      </c>
      <c r="G6244">
        <v>-339.48970000000003</v>
      </c>
      <c r="H6244">
        <v>1.0324409999999999</v>
      </c>
      <c r="I6244">
        <v>17.478770000000001</v>
      </c>
      <c r="J6244">
        <v>-340.0718</v>
      </c>
      <c r="K6244">
        <v>1.1093900000000001</v>
      </c>
      <c r="L6244">
        <v>17.585239999999999</v>
      </c>
      <c r="M6244">
        <v>0.99990630000000003</v>
      </c>
      <c r="N6244">
        <v>-8.6957639999999999E-3</v>
      </c>
      <c r="O6244">
        <v>1.05761E-2</v>
      </c>
      <c r="P6244">
        <v>0.94176190000000004</v>
      </c>
      <c r="Q6244">
        <v>0.33471709999999999</v>
      </c>
      <c r="R6244">
        <v>3.2391349999999999E-2</v>
      </c>
      <c r="S6244">
        <v>3.322632</v>
      </c>
      <c r="T6244">
        <v>-0.34024179999999998</v>
      </c>
      <c r="U6244">
        <v>-0.46258539999999998</v>
      </c>
      <c r="V6244">
        <v>-2.1999370000000001E-2</v>
      </c>
      <c r="W6244">
        <v>0.34292399999999901</v>
      </c>
      <c r="X6244">
        <v>0.93910550000000004</v>
      </c>
      <c r="Y6244">
        <v>0.1474924</v>
      </c>
      <c r="Z6244">
        <v>-9.1262180000000002E-3</v>
      </c>
      <c r="AA6244">
        <v>0.98902109999999999</v>
      </c>
      <c r="AB6244">
        <v>31</v>
      </c>
      <c r="AC6244">
        <v>0.58209999999996798</v>
      </c>
      <c r="AD6244">
        <v>-7.6948999999999906E-2</v>
      </c>
      <c r="AE6244">
        <v>-0.106469999999998</v>
      </c>
      <c r="AF6244">
        <v>0.11074798185255399</v>
      </c>
      <c r="AG6244">
        <v>-7.6948999999999906E-2</v>
      </c>
      <c r="AH6244">
        <v>0.57128153279402005</v>
      </c>
      <c r="AI6244">
        <v>97.532723548159893</v>
      </c>
      <c r="AJ6244">
        <v>79.028792353755904</v>
      </c>
      <c r="AK6244">
        <v>0.58698283943987495</v>
      </c>
      <c r="AL6244">
        <v>69.944879396847995</v>
      </c>
      <c r="AM6244">
        <v>91.341958447211098</v>
      </c>
      <c r="AN6244">
        <v>0.99999999109332305</v>
      </c>
    </row>
    <row r="6245" spans="1:40" x14ac:dyDescent="0.25">
      <c r="A6245" t="str">
        <f>"20190304164247923"</f>
        <v>20190304164247923</v>
      </c>
      <c r="B6245" t="str">
        <f>"1551688967917846"</f>
        <v>1551688967917846</v>
      </c>
      <c r="C6245" t="s">
        <v>40</v>
      </c>
      <c r="D6245">
        <v>4.3678860000000004</v>
      </c>
      <c r="E6245">
        <v>0.58588339999999905</v>
      </c>
      <c r="F6245" t="s">
        <v>41</v>
      </c>
      <c r="G6245">
        <v>-339.21249999999998</v>
      </c>
      <c r="H6245">
        <v>1.020659</v>
      </c>
      <c r="I6245">
        <v>17.464950000000002</v>
      </c>
      <c r="J6245">
        <v>-339.91059999999999</v>
      </c>
      <c r="K6245">
        <v>1.10938</v>
      </c>
      <c r="L6245">
        <v>17.586639999999999</v>
      </c>
      <c r="M6245">
        <v>0.99990970000000001</v>
      </c>
      <c r="N6245">
        <v>-8.7077109999999999E-3</v>
      </c>
      <c r="O6245">
        <v>1.024853E-2</v>
      </c>
      <c r="P6245">
        <v>0.94186970000000003</v>
      </c>
      <c r="Q6245">
        <v>0.33445809999999998</v>
      </c>
      <c r="R6245">
        <v>3.1930130000000001E-2</v>
      </c>
      <c r="S6245">
        <v>3.3235169999999998</v>
      </c>
      <c r="T6245">
        <v>-0.34317389999999998</v>
      </c>
      <c r="U6245">
        <v>-0.46496579999999899</v>
      </c>
      <c r="V6245">
        <v>-2.1834429999999998E-2</v>
      </c>
      <c r="W6245">
        <v>0.34267760000000003</v>
      </c>
      <c r="X6245">
        <v>0.93919929999999996</v>
      </c>
      <c r="Y6245">
        <v>0.1478129</v>
      </c>
      <c r="Z6245">
        <v>-9.1849159999999996E-3</v>
      </c>
      <c r="AA6245">
        <v>0.98897270000000004</v>
      </c>
      <c r="AB6245">
        <v>32</v>
      </c>
      <c r="AC6245">
        <v>0.69810000000001005</v>
      </c>
      <c r="AD6245">
        <v>-8.8720999999999994E-2</v>
      </c>
      <c r="AE6245">
        <v>-0.121689999999997</v>
      </c>
      <c r="AF6245">
        <v>0.12684995862950599</v>
      </c>
      <c r="AG6245">
        <v>-8.8720999999999994E-2</v>
      </c>
      <c r="AH6245">
        <v>0.68606187515468497</v>
      </c>
      <c r="AI6245">
        <v>97.247056602357205</v>
      </c>
      <c r="AJ6245">
        <v>79.524554665294801</v>
      </c>
      <c r="AK6245">
        <v>0.70330876888182603</v>
      </c>
      <c r="AL6245">
        <v>69.959907906726798</v>
      </c>
      <c r="AM6245">
        <v>91.331767796436793</v>
      </c>
      <c r="AN6245">
        <v>1.0000000024978299</v>
      </c>
    </row>
    <row r="6246" spans="1:40" x14ac:dyDescent="0.25">
      <c r="A6246" t="str">
        <f>"20190304164247935"</f>
        <v>20190304164247935</v>
      </c>
      <c r="B6246" t="str">
        <f>"1551688967927606"</f>
        <v>1551688967927606</v>
      </c>
      <c r="C6246" t="s">
        <v>40</v>
      </c>
      <c r="D6246">
        <v>4.3559409999999996</v>
      </c>
      <c r="E6246">
        <v>0.58589199999999997</v>
      </c>
      <c r="F6246" t="s">
        <v>41</v>
      </c>
      <c r="G6246">
        <v>-338.93529999999998</v>
      </c>
      <c r="H6246">
        <v>1.007835</v>
      </c>
      <c r="I6246">
        <v>17.4495</v>
      </c>
      <c r="J6246">
        <v>-339.73919999999998</v>
      </c>
      <c r="K6246">
        <v>1.109372</v>
      </c>
      <c r="L6246">
        <v>17.588069999999998</v>
      </c>
      <c r="M6246">
        <v>0.9999131</v>
      </c>
      <c r="N6246">
        <v>-8.7275400000000006E-3</v>
      </c>
      <c r="O6246">
        <v>9.8874759999999992E-3</v>
      </c>
      <c r="P6246">
        <v>0.94193559999999998</v>
      </c>
      <c r="Q6246">
        <v>0.3343275</v>
      </c>
      <c r="R6246">
        <v>3.1346770000000003E-2</v>
      </c>
      <c r="S6246">
        <v>3.3238219999999998</v>
      </c>
      <c r="T6246">
        <v>-0.34601969999999999</v>
      </c>
      <c r="U6246">
        <v>-0.46624759999999998</v>
      </c>
      <c r="V6246">
        <v>-2.1578739999999999E-2</v>
      </c>
      <c r="W6246">
        <v>0.3425665</v>
      </c>
      <c r="X6246">
        <v>0.93924569999999996</v>
      </c>
      <c r="Y6246">
        <v>0.14780499999999999</v>
      </c>
      <c r="Z6246">
        <v>-9.2217440000000005E-3</v>
      </c>
      <c r="AA6246">
        <v>0.98897360000000001</v>
      </c>
      <c r="AB6246">
        <v>32</v>
      </c>
      <c r="AC6246">
        <v>0.80389999999999795</v>
      </c>
      <c r="AD6246">
        <v>-0.101537</v>
      </c>
      <c r="AE6246">
        <v>-0.138570000000001</v>
      </c>
      <c r="AF6246">
        <v>0.144276824008468</v>
      </c>
      <c r="AG6246">
        <v>-0.101537</v>
      </c>
      <c r="AH6246">
        <v>0.79024742831503003</v>
      </c>
      <c r="AI6246">
        <v>97.203886422484402</v>
      </c>
      <c r="AJ6246">
        <v>79.653366684599405</v>
      </c>
      <c r="AK6246">
        <v>0.80970152665873696</v>
      </c>
      <c r="AL6246">
        <v>69.966682834033307</v>
      </c>
      <c r="AM6246">
        <v>91.316112777580003</v>
      </c>
      <c r="AN6246">
        <v>0.99999996695536297</v>
      </c>
    </row>
    <row r="6247" spans="1:40" x14ac:dyDescent="0.25">
      <c r="A6247" t="str">
        <f>"20190304164247948"</f>
        <v>20190304164247948</v>
      </c>
      <c r="B6247" t="str">
        <f>"1551688967937366"</f>
        <v>1551688967937366</v>
      </c>
      <c r="C6247" t="s">
        <v>40</v>
      </c>
      <c r="D6247">
        <v>4.3637990000000002</v>
      </c>
      <c r="E6247">
        <v>0.58589199999999997</v>
      </c>
      <c r="F6247" t="s">
        <v>41</v>
      </c>
      <c r="G6247">
        <v>-338.92809999999997</v>
      </c>
      <c r="H6247">
        <v>1.024381</v>
      </c>
      <c r="I6247">
        <v>17.473479999999999</v>
      </c>
      <c r="J6247">
        <v>-339.5686</v>
      </c>
      <c r="K6247">
        <v>1.109362</v>
      </c>
      <c r="L6247">
        <v>17.589449999999999</v>
      </c>
      <c r="M6247">
        <v>0.99991629999999998</v>
      </c>
      <c r="N6247">
        <v>-8.7505629999999994E-3</v>
      </c>
      <c r="O6247">
        <v>9.5231369999999992E-3</v>
      </c>
      <c r="P6247">
        <v>0.94197260000000005</v>
      </c>
      <c r="Q6247">
        <v>0.33427109999999999</v>
      </c>
      <c r="R6247">
        <v>3.0831799999999999E-2</v>
      </c>
      <c r="S6247">
        <v>3.3241269999999998</v>
      </c>
      <c r="T6247">
        <v>-0.34827089999999999</v>
      </c>
      <c r="U6247">
        <v>-0.46829219999999999</v>
      </c>
      <c r="V6247">
        <v>-2.1395850000000001E-2</v>
      </c>
      <c r="W6247">
        <v>0.34253250000000002</v>
      </c>
      <c r="X6247">
        <v>0.93926229999999999</v>
      </c>
      <c r="Y6247">
        <v>0.14801800000000001</v>
      </c>
      <c r="Z6247">
        <v>-9.2554349999999994E-3</v>
      </c>
      <c r="AA6247">
        <v>0.98894139999999997</v>
      </c>
      <c r="AB6247">
        <v>32</v>
      </c>
      <c r="AC6247">
        <v>0.64050000000003104</v>
      </c>
      <c r="AD6247">
        <v>-8.4981000000000195E-2</v>
      </c>
      <c r="AE6247">
        <v>-0.11597</v>
      </c>
      <c r="AF6247">
        <v>0.12001882694669699</v>
      </c>
      <c r="AG6247">
        <v>-8.4981000000000195E-2</v>
      </c>
      <c r="AH6247">
        <v>0.62865117396355596</v>
      </c>
      <c r="AI6247">
        <v>97.563587362224894</v>
      </c>
      <c r="AJ6247">
        <v>79.191452242313602</v>
      </c>
      <c r="AK6247">
        <v>0.64562263568466804</v>
      </c>
      <c r="AL6247">
        <v>69.968756653944595</v>
      </c>
      <c r="AM6247">
        <v>91.304938919460298</v>
      </c>
      <c r="AN6247">
        <v>0.99999998207738106</v>
      </c>
    </row>
    <row r="6248" spans="1:40" x14ac:dyDescent="0.25">
      <c r="A6248" t="str">
        <f>"20190304164247959"</f>
        <v>20190304164247959</v>
      </c>
      <c r="B6248" t="str">
        <f>"1551688967947126"</f>
        <v>1551688967947126</v>
      </c>
      <c r="C6248" t="s">
        <v>40</v>
      </c>
      <c r="D6248">
        <v>4.3553069999999998</v>
      </c>
      <c r="E6248">
        <v>0.58545539999999996</v>
      </c>
      <c r="F6248" t="s">
        <v>41</v>
      </c>
      <c r="G6248">
        <v>-338.64980000000003</v>
      </c>
      <c r="H6248">
        <v>1.013069</v>
      </c>
      <c r="I6248">
        <v>17.45936</v>
      </c>
      <c r="J6248">
        <v>-339.39640000000003</v>
      </c>
      <c r="K6248">
        <v>1.109356</v>
      </c>
      <c r="L6248">
        <v>17.590729999999901</v>
      </c>
      <c r="M6248">
        <v>0.99991980000000003</v>
      </c>
      <c r="N6248">
        <v>-8.7775059999999992E-3</v>
      </c>
      <c r="O6248">
        <v>9.1490080000000001E-3</v>
      </c>
      <c r="P6248">
        <v>0.94204920000000003</v>
      </c>
      <c r="Q6248">
        <v>0.33412989999999998</v>
      </c>
      <c r="R6248">
        <v>3.0011469999999998E-2</v>
      </c>
      <c r="S6248">
        <v>3.3238219999999998</v>
      </c>
      <c r="T6248">
        <v>-0.348334599999999</v>
      </c>
      <c r="U6248">
        <v>-0.47055049999999998</v>
      </c>
      <c r="V6248">
        <v>-2.091666E-2</v>
      </c>
      <c r="W6248">
        <v>0.34241779999999999</v>
      </c>
      <c r="X6248">
        <v>0.93931500000000001</v>
      </c>
      <c r="Y6248">
        <v>0.14831859999999999</v>
      </c>
      <c r="Z6248">
        <v>-9.2404889999999993E-3</v>
      </c>
      <c r="AA6248">
        <v>0.98889640000000001</v>
      </c>
      <c r="AB6248">
        <v>32</v>
      </c>
      <c r="AC6248">
        <v>0.74660000000000004</v>
      </c>
      <c r="AD6248">
        <v>-9.6286999999999998E-2</v>
      </c>
      <c r="AE6248">
        <v>-0.13136999999999599</v>
      </c>
      <c r="AF6248">
        <v>0.13600129404213299</v>
      </c>
      <c r="AG6248">
        <v>-9.6286999999999998E-2</v>
      </c>
      <c r="AH6248">
        <v>0.73353266389645999</v>
      </c>
      <c r="AI6248">
        <v>97.354235165300196</v>
      </c>
      <c r="AJ6248">
        <v>79.496295962861794</v>
      </c>
      <c r="AK6248">
        <v>0.75222184716556295</v>
      </c>
      <c r="AL6248">
        <v>69.975753164926502</v>
      </c>
      <c r="AM6248">
        <v>91.275651204835299</v>
      </c>
      <c r="AN6248">
        <v>1.00000006282369</v>
      </c>
    </row>
    <row r="6249" spans="1:40" x14ac:dyDescent="0.25">
      <c r="A6249" t="str">
        <f>"20190304164247976"</f>
        <v>20190304164247976</v>
      </c>
      <c r="B6249" t="str">
        <f>"1551688967967621"</f>
        <v>1551688967967621</v>
      </c>
      <c r="C6249" t="s">
        <v>40</v>
      </c>
      <c r="D6249">
        <v>4.3522109999999996</v>
      </c>
      <c r="E6249">
        <v>0.58584959999999997</v>
      </c>
      <c r="F6249" t="s">
        <v>41</v>
      </c>
      <c r="G6249">
        <v>-338.64589999999998</v>
      </c>
      <c r="H6249">
        <v>1.022629</v>
      </c>
      <c r="I6249">
        <v>17.48565</v>
      </c>
      <c r="J6249">
        <v>-339.16820000000001</v>
      </c>
      <c r="K6249">
        <v>1.1093459999999999</v>
      </c>
      <c r="L6249">
        <v>17.592320000000001</v>
      </c>
      <c r="M6249">
        <v>0.99992380000000003</v>
      </c>
      <c r="N6249">
        <v>-8.8193530000000003E-3</v>
      </c>
      <c r="O6249">
        <v>8.6422740000000001E-3</v>
      </c>
      <c r="P6249">
        <v>0.94215740000000003</v>
      </c>
      <c r="Q6249">
        <v>0.33392549999999999</v>
      </c>
      <c r="R6249">
        <v>2.8867420000000001E-2</v>
      </c>
      <c r="S6249">
        <v>3.336182</v>
      </c>
      <c r="T6249">
        <v>-0.38553799999999999</v>
      </c>
      <c r="U6249">
        <v>-0.46707149999999997</v>
      </c>
      <c r="V6249">
        <v>-2.0237129999999999E-2</v>
      </c>
      <c r="W6249">
        <v>0.34225290000000003</v>
      </c>
      <c r="X6249">
        <v>0.9393899</v>
      </c>
      <c r="Y6249">
        <v>0.1461269</v>
      </c>
      <c r="Z6249">
        <v>-9.9398939999999995E-3</v>
      </c>
      <c r="AA6249">
        <v>0.98921590000000004</v>
      </c>
      <c r="AB6249">
        <v>32</v>
      </c>
      <c r="AC6249">
        <v>0.52230000000002896</v>
      </c>
      <c r="AD6249">
        <v>-8.6716999999999905E-2</v>
      </c>
      <c r="AE6249">
        <v>-0.106670000000001</v>
      </c>
      <c r="AF6249">
        <v>0.108313858014652</v>
      </c>
      <c r="AG6249">
        <v>-8.6716999999999905E-2</v>
      </c>
      <c r="AH6249">
        <v>0.50791809548372402</v>
      </c>
      <c r="AI6249">
        <v>99.479555252684094</v>
      </c>
      <c r="AJ6249">
        <v>77.961956766993097</v>
      </c>
      <c r="AK6249">
        <v>0.52652874721788201</v>
      </c>
      <c r="AL6249">
        <v>69.985807232264307</v>
      </c>
      <c r="AM6249">
        <v>91.234123142774493</v>
      </c>
      <c r="AN6249">
        <v>0.99999998660552802</v>
      </c>
    </row>
    <row r="6250" spans="1:40" x14ac:dyDescent="0.25">
      <c r="A6250" t="str">
        <f>"20190304164247987"</f>
        <v>20190304164247987</v>
      </c>
      <c r="B6250" t="str">
        <f>"1551688967977381"</f>
        <v>1551688967977381</v>
      </c>
      <c r="C6250" t="s">
        <v>40</v>
      </c>
      <c r="D6250">
        <v>4.334695</v>
      </c>
      <c r="E6250">
        <v>0.58580580000000004</v>
      </c>
      <c r="F6250" t="s">
        <v>41</v>
      </c>
      <c r="G6250">
        <v>-338.3648</v>
      </c>
      <c r="H6250">
        <v>1.0168219999999999</v>
      </c>
      <c r="I6250">
        <v>17.477779999999999</v>
      </c>
      <c r="J6250">
        <v>-339.01459999999997</v>
      </c>
      <c r="K6250">
        <v>1.1093409999999999</v>
      </c>
      <c r="L6250">
        <v>17.593350000000001</v>
      </c>
      <c r="M6250">
        <v>0.99992639999999999</v>
      </c>
      <c r="N6250">
        <v>-8.8509750000000005E-3</v>
      </c>
      <c r="O6250">
        <v>8.2974869999999992E-3</v>
      </c>
      <c r="P6250">
        <v>0.94223429999999997</v>
      </c>
      <c r="Q6250">
        <v>0.33376159999999999</v>
      </c>
      <c r="R6250">
        <v>2.824629E-2</v>
      </c>
      <c r="S6250">
        <v>3.3348080000000002</v>
      </c>
      <c r="T6250">
        <v>-0.38403739999999997</v>
      </c>
      <c r="U6250">
        <v>-0.473999</v>
      </c>
      <c r="V6250">
        <v>-1.9932680000000001E-2</v>
      </c>
      <c r="W6250">
        <v>0.34211940000000002</v>
      </c>
      <c r="X6250">
        <v>0.93944510000000003</v>
      </c>
      <c r="Y6250">
        <v>0.1478536</v>
      </c>
      <c r="Z6250">
        <v>-9.978219E-3</v>
      </c>
      <c r="AA6250">
        <v>0.98895900000000003</v>
      </c>
      <c r="AB6250">
        <v>32</v>
      </c>
      <c r="AC6250">
        <v>0.64979999999996996</v>
      </c>
      <c r="AD6250">
        <v>-9.2519000000000004E-2</v>
      </c>
      <c r="AE6250">
        <v>-0.11557000000000101</v>
      </c>
      <c r="AF6250">
        <v>0.118626841765312</v>
      </c>
      <c r="AG6250">
        <v>-9.2519000000000004E-2</v>
      </c>
      <c r="AH6250">
        <v>0.63631463760593199</v>
      </c>
      <c r="AI6250">
        <v>98.134503220009705</v>
      </c>
      <c r="AJ6250">
        <v>79.439693347450302</v>
      </c>
      <c r="AK6250">
        <v>0.65385656758939104</v>
      </c>
      <c r="AL6250">
        <v>69.993948871273503</v>
      </c>
      <c r="AM6250">
        <v>91.215491045120004</v>
      </c>
      <c r="AN6250">
        <v>1.00000004575117</v>
      </c>
    </row>
    <row r="6251" spans="1:40" x14ac:dyDescent="0.25">
      <c r="A6251" t="str">
        <f>"20190304164247996"</f>
        <v>20190304164247996</v>
      </c>
      <c r="B6251" t="str">
        <f>"1551688967987142"</f>
        <v>1551688967987142</v>
      </c>
      <c r="C6251" t="s">
        <v>40</v>
      </c>
      <c r="D6251">
        <v>4.3616349999999997</v>
      </c>
      <c r="E6251">
        <v>0.58585619999999905</v>
      </c>
      <c r="F6251" t="s">
        <v>41</v>
      </c>
      <c r="G6251">
        <v>-338.08749999999998</v>
      </c>
      <c r="H6251">
        <v>1.001952</v>
      </c>
      <c r="I6251">
        <v>17.460979999999999</v>
      </c>
      <c r="J6251">
        <v>-338.86759999999998</v>
      </c>
      <c r="K6251">
        <v>1.1093390000000001</v>
      </c>
      <c r="L6251">
        <v>17.594239999999999</v>
      </c>
      <c r="M6251">
        <v>0.99992890000000001</v>
      </c>
      <c r="N6251">
        <v>-8.8846810000000002E-3</v>
      </c>
      <c r="O6251">
        <v>7.9639689999999996E-3</v>
      </c>
      <c r="P6251">
        <v>0.9423878</v>
      </c>
      <c r="Q6251">
        <v>0.33340350000000002</v>
      </c>
      <c r="R6251">
        <v>2.7343599999999999E-2</v>
      </c>
      <c r="S6251">
        <v>3.3349609999999998</v>
      </c>
      <c r="T6251">
        <v>-0.38626559999999999</v>
      </c>
      <c r="U6251">
        <v>-0.47555540000000002</v>
      </c>
      <c r="V6251">
        <v>-1.9337070000000001E-2</v>
      </c>
      <c r="W6251">
        <v>0.34179369999999998</v>
      </c>
      <c r="X6251">
        <v>0.93957599999999997</v>
      </c>
      <c r="Y6251">
        <v>0.1479587</v>
      </c>
      <c r="Z6251">
        <v>-1.000504E-2</v>
      </c>
      <c r="AA6251">
        <v>0.98894289999999996</v>
      </c>
      <c r="AB6251">
        <v>32</v>
      </c>
      <c r="AC6251">
        <v>0.78010000000000401</v>
      </c>
      <c r="AD6251">
        <v>-0.107386999999999</v>
      </c>
      <c r="AE6251">
        <v>-0.13325999999999899</v>
      </c>
      <c r="AF6251">
        <v>0.13694718000316899</v>
      </c>
      <c r="AG6251">
        <v>-0.107386999999999</v>
      </c>
      <c r="AH6251">
        <v>0.76492972266274695</v>
      </c>
      <c r="AI6251">
        <v>97.8679206856159</v>
      </c>
      <c r="AJ6251">
        <v>79.849736602124494</v>
      </c>
      <c r="AK6251">
        <v>0.78447688206391797</v>
      </c>
      <c r="AL6251">
        <v>70.0138054184834</v>
      </c>
      <c r="AM6251">
        <v>91.179017038184099</v>
      </c>
      <c r="AN6251">
        <v>0.99999995770593597</v>
      </c>
    </row>
    <row r="6252" spans="1:40" x14ac:dyDescent="0.25">
      <c r="A6252" t="str">
        <f>"20190304164248008"</f>
        <v>20190304164248008</v>
      </c>
      <c r="B6252" t="str">
        <f>"1551688967996902"</f>
        <v>1551688967996902</v>
      </c>
      <c r="C6252" t="s">
        <v>40</v>
      </c>
      <c r="D6252">
        <v>4.4015829999999996</v>
      </c>
      <c r="E6252">
        <v>0.58585619999999905</v>
      </c>
      <c r="F6252" t="s">
        <v>41</v>
      </c>
      <c r="G6252">
        <v>-338.08030000000002</v>
      </c>
      <c r="H6252">
        <v>1.017941</v>
      </c>
      <c r="I6252">
        <v>17.480979999999999</v>
      </c>
      <c r="J6252">
        <v>-338.70420000000001</v>
      </c>
      <c r="K6252">
        <v>1.1093309999999901</v>
      </c>
      <c r="L6252">
        <v>17.595210000000002</v>
      </c>
      <c r="M6252">
        <v>0.99993140000000003</v>
      </c>
      <c r="N6252">
        <v>-8.925367E-3</v>
      </c>
      <c r="O6252">
        <v>7.5908399999999997E-3</v>
      </c>
      <c r="P6252">
        <v>0.9424418</v>
      </c>
      <c r="Q6252">
        <v>0.33330749999999998</v>
      </c>
      <c r="R6252">
        <v>2.664337E-2</v>
      </c>
      <c r="S6252">
        <v>3.3342589999999999</v>
      </c>
      <c r="T6252">
        <v>-0.38707049999999998</v>
      </c>
      <c r="U6252">
        <v>-0.47900389999999998</v>
      </c>
      <c r="V6252">
        <v>-1.8981769999999999E-2</v>
      </c>
      <c r="W6252">
        <v>0.34173579999999998</v>
      </c>
      <c r="X6252">
        <v>0.93960429999999995</v>
      </c>
      <c r="Y6252">
        <v>0.14861359999999901</v>
      </c>
      <c r="Z6252">
        <v>-1.002956E-2</v>
      </c>
      <c r="AA6252">
        <v>0.98884450000000002</v>
      </c>
      <c r="AB6252">
        <v>32</v>
      </c>
      <c r="AC6252">
        <v>0.62389999999999102</v>
      </c>
      <c r="AD6252">
        <v>-9.1389999999999805E-2</v>
      </c>
      <c r="AE6252">
        <v>-0.114230000000002</v>
      </c>
      <c r="AF6252">
        <v>0.116543270832082</v>
      </c>
      <c r="AG6252">
        <v>-9.1389999999999805E-2</v>
      </c>
      <c r="AH6252">
        <v>0.61034356287615799</v>
      </c>
      <c r="AI6252">
        <v>98.366964665985805</v>
      </c>
      <c r="AJ6252">
        <v>79.189673555127698</v>
      </c>
      <c r="AK6252">
        <v>0.62805551571545204</v>
      </c>
      <c r="AL6252">
        <v>70.017335293566404</v>
      </c>
      <c r="AM6252">
        <v>91.157324836294805</v>
      </c>
      <c r="AN6252">
        <v>0.99999995258622998</v>
      </c>
    </row>
    <row r="6253" spans="1:40" x14ac:dyDescent="0.25">
      <c r="A6253" t="str">
        <f>"20190304164248019"</f>
        <v>20190304164248019</v>
      </c>
      <c r="B6253" t="str">
        <f>"1551688968007638"</f>
        <v>1551688968007638</v>
      </c>
      <c r="C6253" t="s">
        <v>40</v>
      </c>
      <c r="D6253">
        <v>4.6867229999999998</v>
      </c>
      <c r="E6253">
        <v>0.58429399999999998</v>
      </c>
      <c r="F6253" t="s">
        <v>41</v>
      </c>
      <c r="G6253">
        <v>-337.80200000000002</v>
      </c>
      <c r="H6253">
        <v>1.0044690000000001</v>
      </c>
      <c r="I6253">
        <v>17.46454</v>
      </c>
      <c r="J6253">
        <v>-338.54700000000003</v>
      </c>
      <c r="K6253">
        <v>1.1093299999999999</v>
      </c>
      <c r="L6253">
        <v>17.5961</v>
      </c>
      <c r="M6253">
        <v>0.99993370000000004</v>
      </c>
      <c r="N6253">
        <v>-8.966768E-3</v>
      </c>
      <c r="O6253">
        <v>7.230294E-3</v>
      </c>
      <c r="P6253">
        <v>0.94257400000000002</v>
      </c>
      <c r="Q6253">
        <v>0.33301459999999999</v>
      </c>
      <c r="R6253">
        <v>2.5609079999999999E-2</v>
      </c>
      <c r="S6253">
        <v>3.3338320000000001</v>
      </c>
      <c r="T6253">
        <v>-0.3874764</v>
      </c>
      <c r="U6253">
        <v>-0.48141479999999998</v>
      </c>
      <c r="V6253">
        <v>-1.8281470000000001E-2</v>
      </c>
      <c r="W6253">
        <v>0.34148260000000003</v>
      </c>
      <c r="X6253">
        <v>0.9397103</v>
      </c>
      <c r="Y6253">
        <v>0.1489723</v>
      </c>
      <c r="Z6253">
        <v>-1.002686E-2</v>
      </c>
      <c r="AA6253">
        <v>0.98879050000000002</v>
      </c>
      <c r="AB6253">
        <v>32</v>
      </c>
      <c r="AC6253">
        <v>0.74500000000000399</v>
      </c>
      <c r="AD6253">
        <v>-0.104860999999999</v>
      </c>
      <c r="AE6253">
        <v>-0.13156000000000001</v>
      </c>
      <c r="AF6253">
        <v>0.134361945333659</v>
      </c>
      <c r="AG6253">
        <v>-0.104860999999999</v>
      </c>
      <c r="AH6253">
        <v>0.73000421517147196</v>
      </c>
      <c r="AI6253">
        <v>98.041043265991803</v>
      </c>
      <c r="AJ6253">
        <v>79.571066035316406</v>
      </c>
      <c r="AK6253">
        <v>0.74963665588267603</v>
      </c>
      <c r="AL6253">
        <v>70.0327724356533</v>
      </c>
      <c r="AM6253">
        <v>91.114512590218993</v>
      </c>
      <c r="AN6253">
        <v>1.0000000130871001</v>
      </c>
    </row>
    <row r="6254" spans="1:40" x14ac:dyDescent="0.25">
      <c r="A6254" t="str">
        <f>"20190304164248032"</f>
        <v>20190304164248032</v>
      </c>
      <c r="B6254" t="str">
        <f>"1551688968027799"</f>
        <v>1551688968027799</v>
      </c>
      <c r="C6254" t="s">
        <v>40</v>
      </c>
      <c r="D6254">
        <v>4.3297509999999999</v>
      </c>
      <c r="E6254">
        <v>0.54979960000000005</v>
      </c>
      <c r="F6254" t="s">
        <v>41</v>
      </c>
      <c r="G6254">
        <v>-337.79340000000002</v>
      </c>
      <c r="H6254">
        <v>1.023549</v>
      </c>
      <c r="I6254">
        <v>17.48847</v>
      </c>
      <c r="J6254">
        <v>-338.37430000000001</v>
      </c>
      <c r="K6254">
        <v>1.109332</v>
      </c>
      <c r="L6254">
        <v>17.59695</v>
      </c>
      <c r="M6254">
        <v>0.99993600000000005</v>
      </c>
      <c r="N6254">
        <v>-9.0155440000000003E-3</v>
      </c>
      <c r="O6254">
        <v>6.8321679999999996E-3</v>
      </c>
      <c r="P6254">
        <v>0.94270189999999998</v>
      </c>
      <c r="Q6254">
        <v>0.33272380000000001</v>
      </c>
      <c r="R6254">
        <v>2.4657889999999998E-2</v>
      </c>
      <c r="S6254">
        <v>3.329529</v>
      </c>
      <c r="T6254">
        <v>-0.37893650000000001</v>
      </c>
      <c r="U6254">
        <v>-0.47378540000000002</v>
      </c>
      <c r="V6254">
        <v>-1.7699739999999999E-2</v>
      </c>
      <c r="W6254">
        <v>0.34123789999999998</v>
      </c>
      <c r="X6254">
        <v>0.93981029999999999</v>
      </c>
      <c r="Y6254">
        <v>0.14660020000000001</v>
      </c>
      <c r="Z6254">
        <v>-9.6508619999999996E-3</v>
      </c>
      <c r="AA6254">
        <v>0.98914869999999999</v>
      </c>
      <c r="AB6254">
        <v>32</v>
      </c>
      <c r="AC6254">
        <v>0.58089999999998498</v>
      </c>
      <c r="AD6254">
        <v>-8.5782999999999901E-2</v>
      </c>
      <c r="AE6254">
        <v>-0.10847999999999999</v>
      </c>
      <c r="AF6254">
        <v>0.110125828703691</v>
      </c>
      <c r="AG6254">
        <v>-8.5782999999999901E-2</v>
      </c>
      <c r="AH6254">
        <v>0.56817254215986102</v>
      </c>
      <c r="AI6254">
        <v>98.431110229582103</v>
      </c>
      <c r="AJ6254">
        <v>79.030682491352096</v>
      </c>
      <c r="AK6254">
        <v>0.58506961884982001</v>
      </c>
      <c r="AL6254">
        <v>70.047688268177396</v>
      </c>
      <c r="AM6254">
        <v>91.078941702715596</v>
      </c>
      <c r="AN6254">
        <v>0.99999999258928296</v>
      </c>
    </row>
    <row r="6255" spans="1:40" x14ac:dyDescent="0.25">
      <c r="A6255" t="str">
        <f>"20190304164248042"</f>
        <v>20190304164248042</v>
      </c>
      <c r="B6255" t="str">
        <f>"1551688968037559"</f>
        <v>1551688968037559</v>
      </c>
      <c r="C6255" t="s">
        <v>40</v>
      </c>
      <c r="D6255">
        <v>4.3191179999999996</v>
      </c>
      <c r="E6255">
        <v>0.54879369999999905</v>
      </c>
      <c r="F6255" t="s">
        <v>41</v>
      </c>
      <c r="G6255">
        <v>-337.51400000000001</v>
      </c>
      <c r="H6255">
        <v>1.013944</v>
      </c>
      <c r="I6255">
        <v>17.544280000000001</v>
      </c>
      <c r="J6255">
        <v>-338.22059999999999</v>
      </c>
      <c r="K6255">
        <v>1.1093299999999999</v>
      </c>
      <c r="L6255">
        <v>17.597719999999999</v>
      </c>
      <c r="M6255">
        <v>0.99993810000000005</v>
      </c>
      <c r="N6255">
        <v>-9.0599180000000001E-3</v>
      </c>
      <c r="O6255">
        <v>6.4775279999999998E-3</v>
      </c>
      <c r="P6255">
        <v>0.94284860000000004</v>
      </c>
      <c r="Q6255">
        <v>0.33239419999999997</v>
      </c>
      <c r="R6255">
        <v>2.3468849999999999E-2</v>
      </c>
      <c r="S6255">
        <v>3.3175050000000001</v>
      </c>
      <c r="T6255">
        <v>-0.36787819999999999</v>
      </c>
      <c r="U6255">
        <v>-0.20306399999999999</v>
      </c>
      <c r="V6255">
        <v>-1.6840730000000002E-2</v>
      </c>
      <c r="W6255">
        <v>0.34094970000000002</v>
      </c>
      <c r="X6255">
        <v>0.93993070000000001</v>
      </c>
      <c r="Y6255">
        <v>6.7083100000000007E-2</v>
      </c>
      <c r="Z6255">
        <v>-4.6668009999999999E-3</v>
      </c>
      <c r="AA6255">
        <v>0.99773650000000003</v>
      </c>
      <c r="AB6255">
        <v>32</v>
      </c>
      <c r="AC6255">
        <v>0.70659999999998002</v>
      </c>
      <c r="AD6255">
        <v>-9.5385999999999901E-2</v>
      </c>
      <c r="AE6255">
        <v>-5.3440000000001903E-2</v>
      </c>
      <c r="AF6255">
        <v>5.6983576361682303E-2</v>
      </c>
      <c r="AG6255">
        <v>-9.5385999999999901E-2</v>
      </c>
      <c r="AH6255">
        <v>0.69367008199385205</v>
      </c>
      <c r="AI6255">
        <v>97.803631578023996</v>
      </c>
      <c r="AJ6255">
        <v>85.303813867056505</v>
      </c>
      <c r="AK6255">
        <v>0.70251249072477295</v>
      </c>
      <c r="AL6255">
        <v>70.065254818187697</v>
      </c>
      <c r="AM6255">
        <v>91.026458144450899</v>
      </c>
      <c r="AN6255">
        <v>1.0000000144597501</v>
      </c>
    </row>
    <row r="6256" spans="1:40" x14ac:dyDescent="0.25">
      <c r="A6256" t="str">
        <f>"20190304164248056"</f>
        <v>20190304164248056</v>
      </c>
      <c r="B6256" t="str">
        <f>"1551688968047318"</f>
        <v>1551688968047318</v>
      </c>
      <c r="C6256" t="s">
        <v>40</v>
      </c>
      <c r="D6256">
        <v>4.3055430000000001</v>
      </c>
      <c r="E6256">
        <v>0.54832999999999998</v>
      </c>
      <c r="F6256" t="s">
        <v>41</v>
      </c>
      <c r="G6256">
        <v>-337.23649999999998</v>
      </c>
      <c r="H6256">
        <v>0.998475</v>
      </c>
      <c r="I6256">
        <v>17.538319999999999</v>
      </c>
      <c r="J6256">
        <v>-338.0333</v>
      </c>
      <c r="K6256">
        <v>1.109334</v>
      </c>
      <c r="L6256">
        <v>17.598479999999999</v>
      </c>
      <c r="M6256">
        <v>0.9999403</v>
      </c>
      <c r="N6256">
        <v>-9.1198319999999996E-3</v>
      </c>
      <c r="O6256">
        <v>6.0438929999999998E-3</v>
      </c>
      <c r="P6256">
        <v>0.94304529999999998</v>
      </c>
      <c r="Q6256">
        <v>0.33194179999999901</v>
      </c>
      <c r="R6256">
        <v>2.19151E-2</v>
      </c>
      <c r="S6256">
        <v>3.3186040000000001</v>
      </c>
      <c r="T6256">
        <v>-0.37378980000000001</v>
      </c>
      <c r="U6256">
        <v>-0.1990662</v>
      </c>
      <c r="V6256">
        <v>-1.5691699999999999E-2</v>
      </c>
      <c r="W6256">
        <v>0.34055419999999997</v>
      </c>
      <c r="X6256">
        <v>0.94009390000000004</v>
      </c>
      <c r="Y6256">
        <v>6.5431359999999994E-2</v>
      </c>
      <c r="Z6256">
        <v>-4.5928089999999998E-3</v>
      </c>
      <c r="AA6256">
        <v>0.99784649999999997</v>
      </c>
      <c r="AB6256">
        <v>32</v>
      </c>
      <c r="AC6256">
        <v>0.79680000000001805</v>
      </c>
      <c r="AD6256">
        <v>-0.110859</v>
      </c>
      <c r="AE6256">
        <v>-6.0159999999996203E-2</v>
      </c>
      <c r="AF6256">
        <v>6.3747886470504903E-2</v>
      </c>
      <c r="AG6256">
        <v>-0.110859</v>
      </c>
      <c r="AH6256">
        <v>0.78138216820294204</v>
      </c>
      <c r="AI6256">
        <v>98.048588080476193</v>
      </c>
      <c r="AJ6256">
        <v>85.335939671123299</v>
      </c>
      <c r="AK6256">
        <v>0.79177749633087402</v>
      </c>
      <c r="AL6256">
        <v>70.089356792182798</v>
      </c>
      <c r="AM6256">
        <v>90.956271177506807</v>
      </c>
      <c r="AN6256">
        <v>0.99999996670186897</v>
      </c>
    </row>
    <row r="6257" spans="1:40" x14ac:dyDescent="0.25">
      <c r="A6257" t="str">
        <f>"20190304164248068"</f>
        <v>20190304164248068</v>
      </c>
      <c r="B6257" t="str">
        <f>"1551688968057079"</f>
        <v>1551688968057079</v>
      </c>
      <c r="C6257" t="s">
        <v>40</v>
      </c>
      <c r="D6257">
        <v>4.2907140000000004</v>
      </c>
      <c r="E6257">
        <v>0.54799189999999998</v>
      </c>
      <c r="F6257" t="s">
        <v>41</v>
      </c>
      <c r="G6257">
        <v>-337.22739999999999</v>
      </c>
      <c r="H6257">
        <v>1.0173270000000001</v>
      </c>
      <c r="I6257">
        <v>17.54946</v>
      </c>
      <c r="J6257">
        <v>-337.85239999999999</v>
      </c>
      <c r="K6257">
        <v>1.109337</v>
      </c>
      <c r="L6257">
        <v>17.59918</v>
      </c>
      <c r="M6257">
        <v>0.99994209999999994</v>
      </c>
      <c r="N6257">
        <v>-9.1785570000000004E-3</v>
      </c>
      <c r="O6257">
        <v>5.6249940000000003E-3</v>
      </c>
      <c r="P6257">
        <v>0.94320170000000003</v>
      </c>
      <c r="Q6257">
        <v>0.3315901</v>
      </c>
      <c r="R6257">
        <v>2.0468799999999999E-2</v>
      </c>
      <c r="S6257">
        <v>3.3192140000000001</v>
      </c>
      <c r="T6257">
        <v>-0.37881819999999999</v>
      </c>
      <c r="U6257">
        <v>-0.20037840000000001</v>
      </c>
      <c r="V6257">
        <v>-1.4637229999999999E-2</v>
      </c>
      <c r="W6257">
        <v>0.34025749999999999</v>
      </c>
      <c r="X6257">
        <v>0.94021840000000001</v>
      </c>
      <c r="Y6257">
        <v>6.5385529999999997E-2</v>
      </c>
      <c r="Z6257">
        <v>-4.6050809999999996E-3</v>
      </c>
      <c r="AA6257">
        <v>0.99784949999999994</v>
      </c>
      <c r="AB6257">
        <v>32</v>
      </c>
      <c r="AC6257">
        <v>0.625</v>
      </c>
      <c r="AD6257">
        <v>-9.2009999999999897E-2</v>
      </c>
      <c r="AE6257">
        <v>-4.9720000000000597E-2</v>
      </c>
      <c r="AF6257">
        <v>5.21126706136485E-2</v>
      </c>
      <c r="AG6257">
        <v>-9.2009999999999897E-2</v>
      </c>
      <c r="AH6257">
        <v>0.61154013873872803</v>
      </c>
      <c r="AI6257">
        <v>98.525883025758603</v>
      </c>
      <c r="AJ6257">
        <v>85.129281244289501</v>
      </c>
      <c r="AK6257">
        <v>0.62061494650634197</v>
      </c>
      <c r="AL6257">
        <v>70.107437432125707</v>
      </c>
      <c r="AM6257">
        <v>90.891903158727203</v>
      </c>
      <c r="AN6257">
        <v>1.0000000272534399</v>
      </c>
    </row>
    <row r="6258" spans="1:40" x14ac:dyDescent="0.25">
      <c r="A6258" t="str">
        <f>"20190304164248081"</f>
        <v>20190304164248081</v>
      </c>
      <c r="B6258" t="str">
        <f>"1551688968077575"</f>
        <v>1551688968077575</v>
      </c>
      <c r="C6258" t="s">
        <v>40</v>
      </c>
      <c r="D6258">
        <v>4.280284</v>
      </c>
      <c r="E6258">
        <v>0.54807779999999995</v>
      </c>
      <c r="F6258" t="s">
        <v>41</v>
      </c>
      <c r="G6258">
        <v>-336.94779999999997</v>
      </c>
      <c r="H6258">
        <v>1.0054829999999999</v>
      </c>
      <c r="I6258">
        <v>17.543689999999899</v>
      </c>
      <c r="J6258">
        <v>-337.66230000000002</v>
      </c>
      <c r="K6258">
        <v>1.1093409999999999</v>
      </c>
      <c r="L6258">
        <v>17.599879999999999</v>
      </c>
      <c r="M6258">
        <v>0.9999439</v>
      </c>
      <c r="N6258">
        <v>-9.2410830000000006E-3</v>
      </c>
      <c r="O6258">
        <v>5.184798E-3</v>
      </c>
      <c r="P6258">
        <v>0.94342910000000002</v>
      </c>
      <c r="Q6258">
        <v>0.33104650000000002</v>
      </c>
      <c r="R6258">
        <v>1.8704620000000002E-2</v>
      </c>
      <c r="S6258">
        <v>3.3190309999999998</v>
      </c>
      <c r="T6258">
        <v>-0.38105830000000002</v>
      </c>
      <c r="U6258">
        <v>-0.2030334</v>
      </c>
      <c r="V6258">
        <v>-1.328529E-2</v>
      </c>
      <c r="W6258">
        <v>0.33977230000000003</v>
      </c>
      <c r="X6258">
        <v>0.94041390000000002</v>
      </c>
      <c r="Y6258">
        <v>6.5738980000000002E-2</v>
      </c>
      <c r="Z6258">
        <v>-4.6080970000000002E-3</v>
      </c>
      <c r="AA6258">
        <v>0.9978262</v>
      </c>
      <c r="AB6258">
        <v>32</v>
      </c>
      <c r="AC6258">
        <v>0.71450000000004299</v>
      </c>
      <c r="AD6258">
        <v>-0.10385799999999901</v>
      </c>
      <c r="AE6258">
        <v>-5.6190000000000802E-2</v>
      </c>
      <c r="AF6258">
        <v>5.8662097894980399E-2</v>
      </c>
      <c r="AG6258">
        <v>-0.10385799999999901</v>
      </c>
      <c r="AH6258">
        <v>0.69951006604490495</v>
      </c>
      <c r="AI6258">
        <v>98.416035444151504</v>
      </c>
      <c r="AJ6258">
        <v>85.206295667198205</v>
      </c>
      <c r="AK6258">
        <v>0.70960697459339195</v>
      </c>
      <c r="AL6258">
        <v>70.136998219778704</v>
      </c>
      <c r="AM6258">
        <v>90.809367465416202</v>
      </c>
      <c r="AN6258">
        <v>1.00000000904544</v>
      </c>
    </row>
    <row r="6259" spans="1:40" x14ac:dyDescent="0.25">
      <c r="A6259" t="str">
        <f>"20190304164248095"</f>
        <v>20190304164248095</v>
      </c>
      <c r="B6259" t="str">
        <f>"1551688968087335"</f>
        <v>1551688968087335</v>
      </c>
      <c r="C6259" t="s">
        <v>40</v>
      </c>
      <c r="D6259">
        <v>4.2594560000000001</v>
      </c>
      <c r="E6259">
        <v>0.54813999999999996</v>
      </c>
      <c r="F6259" t="s">
        <v>41</v>
      </c>
      <c r="G6259">
        <v>-336.93830000000003</v>
      </c>
      <c r="H6259">
        <v>1.0249919999999999</v>
      </c>
      <c r="I6259">
        <v>17.55397</v>
      </c>
      <c r="J6259">
        <v>-337.47750000000002</v>
      </c>
      <c r="K6259">
        <v>1.109345</v>
      </c>
      <c r="L6259">
        <v>17.6004</v>
      </c>
      <c r="M6259">
        <v>0.99994539999999998</v>
      </c>
      <c r="N6259">
        <v>-9.3026949999999997E-3</v>
      </c>
      <c r="O6259">
        <v>4.7569530000000004E-3</v>
      </c>
      <c r="P6259">
        <v>0.94358810000000004</v>
      </c>
      <c r="Q6259">
        <v>0.33068229999999998</v>
      </c>
      <c r="R6259">
        <v>1.7054239999999998E-2</v>
      </c>
      <c r="S6259">
        <v>3.319763</v>
      </c>
      <c r="T6259">
        <v>-0.38675130000000002</v>
      </c>
      <c r="U6259">
        <v>-0.20977779999999999</v>
      </c>
      <c r="V6259">
        <v>-1.203603E-2</v>
      </c>
      <c r="W6259">
        <v>0.33946589999999999</v>
      </c>
      <c r="X6259">
        <v>0.94054130000000002</v>
      </c>
      <c r="Y6259">
        <v>6.7294729999999997E-2</v>
      </c>
      <c r="Z6259">
        <v>-4.7250269999999997E-3</v>
      </c>
      <c r="AA6259">
        <v>0.997722</v>
      </c>
      <c r="AB6259">
        <v>32</v>
      </c>
      <c r="AC6259">
        <v>0.53919999999999302</v>
      </c>
      <c r="AD6259">
        <v>-8.4353000000000095E-2</v>
      </c>
      <c r="AE6259">
        <v>-4.6430000000000797E-2</v>
      </c>
      <c r="AF6259">
        <v>4.7832507933521E-2</v>
      </c>
      <c r="AG6259">
        <v>-8.4353000000000095E-2</v>
      </c>
      <c r="AH6259">
        <v>0.52618994323497403</v>
      </c>
      <c r="AI6259">
        <v>99.070765099290696</v>
      </c>
      <c r="AJ6259">
        <v>84.805888755925594</v>
      </c>
      <c r="AK6259">
        <v>0.53505068338040196</v>
      </c>
      <c r="AL6259">
        <v>70.155661807548896</v>
      </c>
      <c r="AM6259">
        <v>90.733169378974594</v>
      </c>
      <c r="AN6259">
        <v>0.99999995014332899</v>
      </c>
    </row>
    <row r="6260" spans="1:40" x14ac:dyDescent="0.25">
      <c r="A6260" t="str">
        <f>"20190304164248109"</f>
        <v>20190304164248109</v>
      </c>
      <c r="B6260" t="str">
        <f>"1551688968097095"</f>
        <v>1551688968097095</v>
      </c>
      <c r="C6260" t="s">
        <v>40</v>
      </c>
      <c r="D6260">
        <v>4.2685469999999999</v>
      </c>
      <c r="E6260">
        <v>0.54826809999999904</v>
      </c>
      <c r="F6260" t="s">
        <v>41</v>
      </c>
      <c r="G6260">
        <v>-336.65839999999997</v>
      </c>
      <c r="H6260">
        <v>1.0133030000000001</v>
      </c>
      <c r="I6260">
        <v>17.546679999999999</v>
      </c>
      <c r="J6260">
        <v>-337.26530000000002</v>
      </c>
      <c r="K6260">
        <v>1.109348</v>
      </c>
      <c r="L6260">
        <v>17.600950000000001</v>
      </c>
      <c r="M6260">
        <v>0.99994700000000003</v>
      </c>
      <c r="N6260">
        <v>-9.3740850000000008E-3</v>
      </c>
      <c r="O6260">
        <v>4.2660509999999999E-3</v>
      </c>
      <c r="P6260">
        <v>0.94393559999999999</v>
      </c>
      <c r="Q6260">
        <v>0.32984469999999999</v>
      </c>
      <c r="R6260">
        <v>1.37105E-2</v>
      </c>
      <c r="S6260">
        <v>3.3195800000000002</v>
      </c>
      <c r="T6260">
        <v>-0.3891559</v>
      </c>
      <c r="U6260">
        <v>-0.2163696</v>
      </c>
      <c r="V6260">
        <v>-9.1531379999999999E-3</v>
      </c>
      <c r="W6260">
        <v>0.33869440000000001</v>
      </c>
      <c r="X6260">
        <v>0.94085189999999996</v>
      </c>
      <c r="Y6260">
        <v>6.8766949999999993E-2</v>
      </c>
      <c r="Z6260">
        <v>-4.7947440000000001E-3</v>
      </c>
      <c r="AA6260">
        <v>0.99762119999999999</v>
      </c>
      <c r="AB6260">
        <v>32</v>
      </c>
      <c r="AC6260">
        <v>0.60690000000005195</v>
      </c>
      <c r="AD6260">
        <v>-9.6044999999999894E-2</v>
      </c>
      <c r="AE6260">
        <v>-5.42700000000024E-2</v>
      </c>
      <c r="AF6260">
        <v>5.54802249205106E-2</v>
      </c>
      <c r="AG6260">
        <v>-9.6044999999999894E-2</v>
      </c>
      <c r="AH6260">
        <v>0.59195523329760202</v>
      </c>
      <c r="AI6260">
        <v>99.176428352546097</v>
      </c>
      <c r="AJ6260">
        <v>84.645669649358595</v>
      </c>
      <c r="AK6260">
        <v>0.60225716733854595</v>
      </c>
      <c r="AL6260">
        <v>70.202649916922695</v>
      </c>
      <c r="AM6260">
        <v>90.557388078357604</v>
      </c>
      <c r="AN6260">
        <v>0.99999998713010796</v>
      </c>
    </row>
    <row r="6261" spans="1:40" x14ac:dyDescent="0.25">
      <c r="A6261" t="str">
        <f>"20190304164248119"</f>
        <v>20190304164248119</v>
      </c>
      <c r="B6261" t="str">
        <f>"1551688968107830"</f>
        <v>1551688968107830</v>
      </c>
      <c r="C6261" t="s">
        <v>40</v>
      </c>
      <c r="D6261">
        <v>4.2598520000000004</v>
      </c>
      <c r="E6261">
        <v>0.54843779999999998</v>
      </c>
      <c r="F6261" t="s">
        <v>41</v>
      </c>
      <c r="G6261">
        <v>-336.3768</v>
      </c>
      <c r="H6261">
        <v>1.004597</v>
      </c>
      <c r="I6261">
        <v>17.539479999999902</v>
      </c>
      <c r="J6261">
        <v>-337.11360000000002</v>
      </c>
      <c r="K6261">
        <v>1.109351</v>
      </c>
      <c r="L6261">
        <v>17.60126</v>
      </c>
      <c r="M6261">
        <v>0.9999479</v>
      </c>
      <c r="N6261">
        <v>-9.4255290000000002E-3</v>
      </c>
      <c r="O6261">
        <v>3.9156340000000003E-3</v>
      </c>
      <c r="P6261">
        <v>0.94398780000000004</v>
      </c>
      <c r="Q6261">
        <v>0.32977240000000002</v>
      </c>
      <c r="R6261">
        <v>1.1713879999999999E-2</v>
      </c>
      <c r="S6261">
        <v>3.3182680000000002</v>
      </c>
      <c r="T6261">
        <v>-0.39127479999999998</v>
      </c>
      <c r="U6261">
        <v>-0.22946169999999999</v>
      </c>
      <c r="V6261">
        <v>-7.4851800000000001E-3</v>
      </c>
      <c r="W6261">
        <v>0.33866790000000002</v>
      </c>
      <c r="X6261">
        <v>0.94087619999999905</v>
      </c>
      <c r="Y6261">
        <v>7.2330320000000003E-2</v>
      </c>
      <c r="Z6261">
        <v>-5.0100930000000002E-3</v>
      </c>
      <c r="AA6261">
        <v>0.99736820000000004</v>
      </c>
      <c r="AB6261">
        <v>32</v>
      </c>
      <c r="AC6261">
        <v>0.736800000000016</v>
      </c>
      <c r="AD6261">
        <v>-0.104754</v>
      </c>
      <c r="AE6261">
        <v>-6.1780000000002298E-2</v>
      </c>
      <c r="AF6261">
        <v>6.3392258905873203E-2</v>
      </c>
      <c r="AG6261">
        <v>-0.104754</v>
      </c>
      <c r="AH6261">
        <v>0.72205897599708802</v>
      </c>
      <c r="AI6261">
        <v>98.223500055988296</v>
      </c>
      <c r="AJ6261">
        <v>84.982653571696801</v>
      </c>
      <c r="AK6261">
        <v>0.73236680961329204</v>
      </c>
      <c r="AL6261">
        <v>70.204263869396598</v>
      </c>
      <c r="AM6261">
        <v>90.455809356678202</v>
      </c>
      <c r="AN6261">
        <v>0.999999999068241</v>
      </c>
    </row>
    <row r="6262" spans="1:40" x14ac:dyDescent="0.25">
      <c r="A6262" t="str">
        <f>"20190304164248131"</f>
        <v>20190304164248131</v>
      </c>
      <c r="B6262" t="str">
        <f>"1551688968126960"</f>
        <v>1551688968126960</v>
      </c>
      <c r="C6262" t="s">
        <v>40</v>
      </c>
      <c r="D6262">
        <v>4.2819479999999999</v>
      </c>
      <c r="E6262">
        <v>0.54856260000000001</v>
      </c>
      <c r="F6262" t="s">
        <v>41</v>
      </c>
      <c r="G6262">
        <v>-336.36849999999998</v>
      </c>
      <c r="H6262">
        <v>1.0215620000000001</v>
      </c>
      <c r="I6262">
        <v>17.54787</v>
      </c>
      <c r="J6262">
        <v>-336.94740000000002</v>
      </c>
      <c r="K6262">
        <v>1.109356</v>
      </c>
      <c r="L6262">
        <v>17.601500000000001</v>
      </c>
      <c r="M6262">
        <v>0.99994890000000003</v>
      </c>
      <c r="N6262">
        <v>-9.482954E-3</v>
      </c>
      <c r="O6262">
        <v>3.5321649999999999E-3</v>
      </c>
      <c r="P6262">
        <v>0.94406489999999998</v>
      </c>
      <c r="Q6262">
        <v>0.3296174</v>
      </c>
      <c r="R6262">
        <v>9.7146630000000001E-3</v>
      </c>
      <c r="S6262">
        <v>3.3175050000000001</v>
      </c>
      <c r="T6262">
        <v>-0.39092169999999998</v>
      </c>
      <c r="U6262">
        <v>-0.2375488</v>
      </c>
      <c r="V6262">
        <v>-5.8474010000000003E-3</v>
      </c>
      <c r="W6262">
        <v>0.3385647</v>
      </c>
      <c r="X6262">
        <v>0.94092489999999995</v>
      </c>
      <c r="Y6262">
        <v>7.4370489999999997E-2</v>
      </c>
      <c r="Z6262">
        <v>-5.0964469999999996E-3</v>
      </c>
      <c r="AA6262">
        <v>0.99721769999999998</v>
      </c>
      <c r="AB6262">
        <v>32</v>
      </c>
      <c r="AC6262">
        <v>0.57890000000003194</v>
      </c>
      <c r="AD6262">
        <v>-8.77939999999999E-2</v>
      </c>
      <c r="AE6262">
        <v>-5.3630000000001801E-2</v>
      </c>
      <c r="AF6262">
        <v>5.4433231608222402E-2</v>
      </c>
      <c r="AG6262">
        <v>-8.77939999999999E-2</v>
      </c>
      <c r="AH6262">
        <v>0.56580434298437299</v>
      </c>
      <c r="AI6262">
        <v>98.780158165803002</v>
      </c>
      <c r="AJ6262">
        <v>84.504768919649194</v>
      </c>
      <c r="AK6262">
        <v>0.57515677660903297</v>
      </c>
      <c r="AL6262">
        <v>70.210547183186094</v>
      </c>
      <c r="AM6262">
        <v>90.356061451359395</v>
      </c>
      <c r="AN6262">
        <v>0.99999995781227602</v>
      </c>
    </row>
    <row r="6263" spans="1:40" x14ac:dyDescent="0.25">
      <c r="A6263" t="str">
        <f>"20190304164248143"</f>
        <v>20190304164248143</v>
      </c>
      <c r="B6263" t="str">
        <f>"1551688968137696"</f>
        <v>1551688968137696</v>
      </c>
      <c r="C6263" t="s">
        <v>40</v>
      </c>
      <c r="D6263">
        <v>4.27346</v>
      </c>
      <c r="E6263">
        <v>0.54859939999999996</v>
      </c>
      <c r="F6263" t="s">
        <v>41</v>
      </c>
      <c r="G6263">
        <v>-336.08879999999999</v>
      </c>
      <c r="H6263">
        <v>1.00841</v>
      </c>
      <c r="I6263">
        <v>17.537769999999998</v>
      </c>
      <c r="J6263">
        <v>-336.78309999999999</v>
      </c>
      <c r="K6263">
        <v>1.1093599999999999</v>
      </c>
      <c r="L6263">
        <v>17.601779999999899</v>
      </c>
      <c r="M6263">
        <v>0.99994959999999999</v>
      </c>
      <c r="N6263">
        <v>-9.5400750000000003E-3</v>
      </c>
      <c r="O6263">
        <v>3.153168E-3</v>
      </c>
      <c r="P6263">
        <v>0.94412949999999995</v>
      </c>
      <c r="Q6263">
        <v>0.32947890000000002</v>
      </c>
      <c r="R6263">
        <v>7.9618509999999903E-3</v>
      </c>
      <c r="S6263">
        <v>3.316376</v>
      </c>
      <c r="T6263">
        <v>-0.38984530000000001</v>
      </c>
      <c r="U6263">
        <v>-0.24523929999999999</v>
      </c>
      <c r="V6263">
        <v>-4.450837E-3</v>
      </c>
      <c r="W6263">
        <v>0.33847860000000002</v>
      </c>
      <c r="X6263">
        <v>0.94096360000000001</v>
      </c>
      <c r="Y6263">
        <v>7.6307249999999993E-2</v>
      </c>
      <c r="Z6263">
        <v>-5.1683909999999996E-3</v>
      </c>
      <c r="AA6263">
        <v>0.99707100000000004</v>
      </c>
      <c r="AB6263">
        <v>32</v>
      </c>
      <c r="AC6263">
        <v>0.69429999999999803</v>
      </c>
      <c r="AD6263">
        <v>-0.10095</v>
      </c>
      <c r="AE6263">
        <v>-6.4009999999996098E-2</v>
      </c>
      <c r="AF6263">
        <v>6.4839822589551899E-2</v>
      </c>
      <c r="AG6263">
        <v>-0.10095</v>
      </c>
      <c r="AH6263">
        <v>0.67984350214210698</v>
      </c>
      <c r="AI6263">
        <v>98.4085296528322</v>
      </c>
      <c r="AJ6263">
        <v>84.551915511630696</v>
      </c>
      <c r="AK6263">
        <v>0.69034939885415303</v>
      </c>
      <c r="AL6263">
        <v>70.215791468468893</v>
      </c>
      <c r="AM6263">
        <v>90.271011836755704</v>
      </c>
      <c r="AN6263">
        <v>1.0000000345664499</v>
      </c>
    </row>
    <row r="6264" spans="1:40" x14ac:dyDescent="0.25">
      <c r="A6264" t="str">
        <f>"20190304164248154"</f>
        <v>20190304164248154</v>
      </c>
      <c r="B6264" t="str">
        <f>"1551688968147456"</f>
        <v>1551688968147456</v>
      </c>
      <c r="C6264" t="s">
        <v>40</v>
      </c>
      <c r="D6264">
        <v>4.2769380000000004</v>
      </c>
      <c r="E6264">
        <v>0.54860959999999903</v>
      </c>
      <c r="F6264" t="s">
        <v>41</v>
      </c>
      <c r="G6264">
        <v>-335.80919999999998</v>
      </c>
      <c r="H6264">
        <v>0.99468060000000003</v>
      </c>
      <c r="I6264">
        <v>17.527799999999999</v>
      </c>
      <c r="J6264">
        <v>-336.6223</v>
      </c>
      <c r="K6264">
        <v>1.1093630000000001</v>
      </c>
      <c r="L6264">
        <v>17.601929999999999</v>
      </c>
      <c r="M6264">
        <v>0.99995009999999995</v>
      </c>
      <c r="N6264">
        <v>-9.5970220000000002E-3</v>
      </c>
      <c r="O6264">
        <v>2.782517E-3</v>
      </c>
      <c r="P6264">
        <v>0.9441117</v>
      </c>
      <c r="Q6264">
        <v>0.3295708</v>
      </c>
      <c r="R6264">
        <v>6.0510669999999898E-3</v>
      </c>
      <c r="S6264">
        <v>3.3159179999999999</v>
      </c>
      <c r="T6264">
        <v>-0.39042890000000002</v>
      </c>
      <c r="U6264">
        <v>-0.25146479999999999</v>
      </c>
      <c r="V6264">
        <v>-2.8888E-3</v>
      </c>
      <c r="W6264">
        <v>0.33862170000000003</v>
      </c>
      <c r="X6264">
        <v>0.94091809999999998</v>
      </c>
      <c r="Y6264">
        <v>7.7798339999999994E-2</v>
      </c>
      <c r="Z6264">
        <v>-5.2325990000000001E-3</v>
      </c>
      <c r="AA6264">
        <v>0.99695540000000005</v>
      </c>
      <c r="AB6264">
        <v>32</v>
      </c>
      <c r="AC6264">
        <v>0.81310000000001903</v>
      </c>
      <c r="AD6264">
        <v>-0.114682399999999</v>
      </c>
      <c r="AE6264">
        <v>-7.4130000000000196E-2</v>
      </c>
      <c r="AF6264">
        <v>7.4914278650016E-2</v>
      </c>
      <c r="AG6264">
        <v>-0.114682399999999</v>
      </c>
      <c r="AH6264">
        <v>0.79716313802308503</v>
      </c>
      <c r="AI6264">
        <v>98.151152948417803</v>
      </c>
      <c r="AJ6264">
        <v>84.631333811921493</v>
      </c>
      <c r="AK6264">
        <v>0.80884687712707704</v>
      </c>
      <c r="AL6264">
        <v>70.207075856989604</v>
      </c>
      <c r="AM6264">
        <v>90.175908538484094</v>
      </c>
      <c r="AN6264">
        <v>0.99999993589196701</v>
      </c>
    </row>
    <row r="6265" spans="1:40" x14ac:dyDescent="0.25">
      <c r="A6265" t="str">
        <f>"20190304164248166"</f>
        <v>20190304164248166</v>
      </c>
      <c r="B6265" t="str">
        <f>"1551688968157216"</f>
        <v>1551688968157216</v>
      </c>
      <c r="C6265" t="s">
        <v>40</v>
      </c>
      <c r="D6265">
        <v>4.2967769999999996</v>
      </c>
      <c r="E6265">
        <v>0.54858819999999997</v>
      </c>
      <c r="F6265" t="s">
        <v>41</v>
      </c>
      <c r="G6265">
        <v>-335.80040000000002</v>
      </c>
      <c r="H6265">
        <v>1.01274</v>
      </c>
      <c r="I6265">
        <v>17.53781</v>
      </c>
      <c r="J6265">
        <v>-336.46260000000001</v>
      </c>
      <c r="K6265">
        <v>1.1093679999999999</v>
      </c>
      <c r="L6265">
        <v>17.601990000000001</v>
      </c>
      <c r="M6265">
        <v>0.99995060000000002</v>
      </c>
      <c r="N6265">
        <v>-9.6529949999999993E-3</v>
      </c>
      <c r="O6265">
        <v>2.4144940000000001E-3</v>
      </c>
      <c r="P6265">
        <v>0.94423199999999996</v>
      </c>
      <c r="Q6265">
        <v>0.32925500000000002</v>
      </c>
      <c r="R6265">
        <v>4.165892E-3</v>
      </c>
      <c r="S6265">
        <v>3.315277</v>
      </c>
      <c r="T6265">
        <v>-0.3896656</v>
      </c>
      <c r="U6265">
        <v>-0.25814819999999999</v>
      </c>
      <c r="V6265">
        <v>-1.3504579999999999E-3</v>
      </c>
      <c r="W6265">
        <v>0.33835690000000002</v>
      </c>
      <c r="X6265">
        <v>0.94101690000000004</v>
      </c>
      <c r="Y6265">
        <v>7.9435729999999996E-2</v>
      </c>
      <c r="Z6265">
        <v>-5.289925E-3</v>
      </c>
      <c r="AA6265">
        <v>0.99682590000000004</v>
      </c>
      <c r="AB6265">
        <v>32</v>
      </c>
      <c r="AC6265">
        <v>0.66219999999998402</v>
      </c>
      <c r="AD6265">
        <v>-9.6628000000000103E-2</v>
      </c>
      <c r="AE6265">
        <v>-6.4180000000000306E-2</v>
      </c>
      <c r="AF6265">
        <v>6.4419866700926198E-2</v>
      </c>
      <c r="AG6265">
        <v>-9.6628000000000103E-2</v>
      </c>
      <c r="AH6265">
        <v>0.64836620387956301</v>
      </c>
      <c r="AI6265">
        <v>98.435642023777802</v>
      </c>
      <c r="AJ6265">
        <v>84.325872845186296</v>
      </c>
      <c r="AK6265">
        <v>0.65868476826397004</v>
      </c>
      <c r="AL6265">
        <v>70.223201102032704</v>
      </c>
      <c r="AM6265">
        <v>90.082225399661496</v>
      </c>
      <c r="AN6265">
        <v>1.00000001080001</v>
      </c>
    </row>
    <row r="6266" spans="1:40" x14ac:dyDescent="0.25">
      <c r="A6266" t="str">
        <f>"20190304164248175"</f>
        <v>20190304164248175</v>
      </c>
      <c r="B6266" t="str">
        <f>"1551688968166976"</f>
        <v>1551688968166976</v>
      </c>
      <c r="C6266" t="s">
        <v>40</v>
      </c>
      <c r="D6266">
        <v>4.3129400000000002</v>
      </c>
      <c r="E6266">
        <v>0.5485776</v>
      </c>
      <c r="F6266" t="s">
        <v>41</v>
      </c>
      <c r="G6266">
        <v>-335.52080000000001</v>
      </c>
      <c r="H6266">
        <v>0.99844529999999998</v>
      </c>
      <c r="I6266">
        <v>17.526540000000001</v>
      </c>
      <c r="J6266">
        <v>-336.30720000000002</v>
      </c>
      <c r="K6266">
        <v>1.109372</v>
      </c>
      <c r="L6266">
        <v>17.602049999999998</v>
      </c>
      <c r="M6266">
        <v>0.99995080000000003</v>
      </c>
      <c r="N6266">
        <v>-9.7063610000000002E-3</v>
      </c>
      <c r="O6266">
        <v>2.0567979999999999E-3</v>
      </c>
      <c r="P6266">
        <v>0.94437610000000005</v>
      </c>
      <c r="Q6266">
        <v>0.32885900000000001</v>
      </c>
      <c r="R6266">
        <v>2.3857359999999998E-3</v>
      </c>
      <c r="S6266">
        <v>3.3144529999999999</v>
      </c>
      <c r="T6266">
        <v>-0.39030189999999998</v>
      </c>
      <c r="U6266">
        <v>-0.26446530000000001</v>
      </c>
      <c r="V6266" s="1">
        <v>9.2905010000000007E-5</v>
      </c>
      <c r="W6266">
        <v>0.33801049999999999</v>
      </c>
      <c r="X6266">
        <v>0.94114229999999999</v>
      </c>
      <c r="Y6266">
        <v>8.0974710000000005E-2</v>
      </c>
      <c r="Z6266">
        <v>-5.3600169999999999E-3</v>
      </c>
      <c r="AA6266">
        <v>0.99670170000000002</v>
      </c>
      <c r="AB6266">
        <v>32</v>
      </c>
      <c r="AC6266">
        <v>0.78640000000001398</v>
      </c>
      <c r="AD6266">
        <v>-0.110926699999999</v>
      </c>
      <c r="AE6266">
        <v>-7.5509999999997704E-2</v>
      </c>
      <c r="AF6266">
        <v>7.5636205554742195E-2</v>
      </c>
      <c r="AG6266">
        <v>-0.110926699999999</v>
      </c>
      <c r="AH6266">
        <v>0.77104183844663698</v>
      </c>
      <c r="AI6266">
        <v>98.148159687646</v>
      </c>
      <c r="AJ6266">
        <v>84.397431870283199</v>
      </c>
      <c r="AK6266">
        <v>0.78264365135020297</v>
      </c>
      <c r="AL6266">
        <v>70.244290087762394</v>
      </c>
      <c r="AM6266">
        <v>89.994344038142401</v>
      </c>
      <c r="AN6266">
        <v>0.99999996779543898</v>
      </c>
    </row>
    <row r="6267" spans="1:40" x14ac:dyDescent="0.25">
      <c r="A6267" t="str">
        <f>"20190304164248187"</f>
        <v>20190304164248187</v>
      </c>
      <c r="B6267" t="str">
        <f>"1551688968177712"</f>
        <v>1551688968177712</v>
      </c>
      <c r="C6267" t="s">
        <v>40</v>
      </c>
      <c r="D6267">
        <v>4.2419460000000004</v>
      </c>
      <c r="E6267">
        <v>0.5484772</v>
      </c>
      <c r="F6267" t="s">
        <v>41</v>
      </c>
      <c r="G6267">
        <v>-335.51249999999999</v>
      </c>
      <c r="H6267">
        <v>1.0154449999999999</v>
      </c>
      <c r="I6267">
        <v>17.536819999999999</v>
      </c>
      <c r="J6267">
        <v>-336.15789999999998</v>
      </c>
      <c r="K6267">
        <v>1.1093740000000001</v>
      </c>
      <c r="L6267">
        <v>17.60202</v>
      </c>
      <c r="M6267">
        <v>0.99995100000000003</v>
      </c>
      <c r="N6267">
        <v>-9.7571540000000005E-3</v>
      </c>
      <c r="O6267">
        <v>1.71330299999999E-3</v>
      </c>
      <c r="P6267">
        <v>0.94441850000000005</v>
      </c>
      <c r="Q6267">
        <v>0.32874510000000001</v>
      </c>
      <c r="R6267">
        <v>7.409863E-4</v>
      </c>
      <c r="S6267">
        <v>3.3137509999999999</v>
      </c>
      <c r="T6267">
        <v>-0.39162970000000003</v>
      </c>
      <c r="U6267">
        <v>-0.2707214</v>
      </c>
      <c r="V6267">
        <v>1.4137729999999999E-3</v>
      </c>
      <c r="W6267">
        <v>0.33794239999999998</v>
      </c>
      <c r="X6267">
        <v>0.94116569999999999</v>
      </c>
      <c r="Y6267">
        <v>8.2504620000000001E-2</v>
      </c>
      <c r="Z6267">
        <v>-5.4399319999999998E-3</v>
      </c>
      <c r="AA6267">
        <v>0.99657580000000001</v>
      </c>
      <c r="AB6267">
        <v>32</v>
      </c>
      <c r="AC6267">
        <v>0.64539999999999498</v>
      </c>
      <c r="AD6267">
        <v>-9.3928999999999901E-2</v>
      </c>
      <c r="AE6267">
        <v>-6.5199999999997205E-2</v>
      </c>
      <c r="AF6267">
        <v>6.49440549701297E-2</v>
      </c>
      <c r="AG6267">
        <v>-9.3928999999999901E-2</v>
      </c>
      <c r="AH6267">
        <v>0.63203558949475402</v>
      </c>
      <c r="AI6267">
        <v>98.409415374779897</v>
      </c>
      <c r="AJ6267">
        <v>84.133231224631601</v>
      </c>
      <c r="AK6267">
        <v>0.64226892631120303</v>
      </c>
      <c r="AL6267">
        <v>70.248435930589196</v>
      </c>
      <c r="AM6267">
        <v>89.913933152086898</v>
      </c>
      <c r="AN6267">
        <v>0.99999996966417204</v>
      </c>
    </row>
    <row r="6268" spans="1:40" x14ac:dyDescent="0.25">
      <c r="A6268" t="str">
        <f>"20190304164248198"</f>
        <v>20190304164248198</v>
      </c>
      <c r="B6268" t="str">
        <f>"1551688968187472"</f>
        <v>1551688968187472</v>
      </c>
      <c r="C6268" t="s">
        <v>40</v>
      </c>
      <c r="D6268">
        <v>4.28315</v>
      </c>
      <c r="E6268">
        <v>0.54838450000000005</v>
      </c>
      <c r="F6268" t="s">
        <v>41</v>
      </c>
      <c r="G6268">
        <v>-335.23309999999998</v>
      </c>
      <c r="H6268">
        <v>1.000335</v>
      </c>
      <c r="I6268">
        <v>17.524889999999999</v>
      </c>
      <c r="J6268">
        <v>-335.99250000000001</v>
      </c>
      <c r="K6268">
        <v>1.1093789999999999</v>
      </c>
      <c r="L6268">
        <v>17.601929999999999</v>
      </c>
      <c r="M6268">
        <v>0.99995089999999998</v>
      </c>
      <c r="N6268">
        <v>-9.8128360000000001E-3</v>
      </c>
      <c r="O6268">
        <v>1.3329450000000001E-3</v>
      </c>
      <c r="P6268">
        <v>0.94456519999999999</v>
      </c>
      <c r="Q6268">
        <v>0.32832250000000002</v>
      </c>
      <c r="R6268">
        <v>-9.8607319999999992E-4</v>
      </c>
      <c r="S6268">
        <v>3.3127140000000002</v>
      </c>
      <c r="T6268">
        <v>-0.39050669999999998</v>
      </c>
      <c r="U6268">
        <v>-0.27593990000000002</v>
      </c>
      <c r="V6268">
        <v>2.7819189999999999E-3</v>
      </c>
      <c r="W6268">
        <v>0.33757209999999899</v>
      </c>
      <c r="X6268">
        <v>0.94129560000000001</v>
      </c>
      <c r="Y6268">
        <v>8.3706269999999999E-2</v>
      </c>
      <c r="Z6268">
        <v>-5.4645149999999997E-3</v>
      </c>
      <c r="AA6268">
        <v>0.99647549999999996</v>
      </c>
      <c r="AB6268">
        <v>32</v>
      </c>
      <c r="AC6268">
        <v>0.75940000000002705</v>
      </c>
      <c r="AD6268">
        <v>-0.109044</v>
      </c>
      <c r="AE6268">
        <v>-7.7040000000000206E-2</v>
      </c>
      <c r="AF6268">
        <v>7.6491133501946196E-2</v>
      </c>
      <c r="AG6268">
        <v>-0.109044</v>
      </c>
      <c r="AH6268">
        <v>0.74411029966726805</v>
      </c>
      <c r="AI6268">
        <v>98.293851078261795</v>
      </c>
      <c r="AJ6268">
        <v>84.130870970167607</v>
      </c>
      <c r="AK6268">
        <v>0.75593758043328196</v>
      </c>
      <c r="AL6268">
        <v>70.270978563476405</v>
      </c>
      <c r="AM6268">
        <v>89.830667695057201</v>
      </c>
      <c r="AN6268">
        <v>1.00000003417554</v>
      </c>
    </row>
    <row r="6269" spans="1:40" x14ac:dyDescent="0.25">
      <c r="A6269" t="str">
        <f>"20190304164248210"</f>
        <v>20190304164248210</v>
      </c>
      <c r="B6269" t="str">
        <f>"1551688968197232"</f>
        <v>1551688968197232</v>
      </c>
      <c r="C6269" t="s">
        <v>40</v>
      </c>
      <c r="D6269">
        <v>4.3309119999999997</v>
      </c>
      <c r="E6269">
        <v>0.54834649999999996</v>
      </c>
      <c r="F6269" t="s">
        <v>41</v>
      </c>
      <c r="G6269">
        <v>-335.2242</v>
      </c>
      <c r="H6269">
        <v>1.018581</v>
      </c>
      <c r="I6269">
        <v>17.536519999999999</v>
      </c>
      <c r="J6269">
        <v>-335.82589999999999</v>
      </c>
      <c r="K6269">
        <v>1.10938</v>
      </c>
      <c r="L6269">
        <v>17.601779999999899</v>
      </c>
      <c r="M6269">
        <v>0.99995100000000003</v>
      </c>
      <c r="N6269">
        <v>-9.8690040000000007E-3</v>
      </c>
      <c r="O6269">
        <v>9.4978170000000004E-4</v>
      </c>
      <c r="P6269">
        <v>0.94461459999999997</v>
      </c>
      <c r="Q6269">
        <v>0.32817210000000002</v>
      </c>
      <c r="R6269">
        <v>-2.5499020000000002E-3</v>
      </c>
      <c r="S6269">
        <v>3.311798</v>
      </c>
      <c r="T6269">
        <v>-0.39136339999999997</v>
      </c>
      <c r="U6269">
        <v>-0.28146359999999998</v>
      </c>
      <c r="V6269">
        <v>3.984301E-3</v>
      </c>
      <c r="W6269">
        <v>0.33747240000000001</v>
      </c>
      <c r="X6269">
        <v>0.94132700000000002</v>
      </c>
      <c r="Y6269">
        <v>8.4986950000000006E-2</v>
      </c>
      <c r="Z6269">
        <v>-5.5192610000000001E-3</v>
      </c>
      <c r="AA6269">
        <v>0.9963668</v>
      </c>
      <c r="AB6269">
        <v>32</v>
      </c>
      <c r="AC6269">
        <v>0.60169999999999302</v>
      </c>
      <c r="AD6269">
        <v>-9.0799000000000005E-2</v>
      </c>
      <c r="AE6269">
        <v>-6.52599999999985E-2</v>
      </c>
      <c r="AF6269">
        <v>6.4382408675273395E-2</v>
      </c>
      <c r="AG6269">
        <v>-9.0799000000000005E-2</v>
      </c>
      <c r="AH6269">
        <v>0.58839457780610005</v>
      </c>
      <c r="AI6269">
        <v>98.721240626818201</v>
      </c>
      <c r="AJ6269">
        <v>83.755511471559004</v>
      </c>
      <c r="AK6269">
        <v>0.59883030329088105</v>
      </c>
      <c r="AL6269">
        <v>70.277046533017199</v>
      </c>
      <c r="AM6269">
        <v>89.757488876479201</v>
      </c>
      <c r="AN6269">
        <v>1.0000000081725999</v>
      </c>
    </row>
    <row r="6270" spans="1:40" x14ac:dyDescent="0.25">
      <c r="A6270" t="str">
        <f>"20190304164248220"</f>
        <v>20190304164248220</v>
      </c>
      <c r="B6270" t="str">
        <f>"1551688968217728"</f>
        <v>1551688968217728</v>
      </c>
      <c r="C6270" t="s">
        <v>40</v>
      </c>
      <c r="D6270">
        <v>4.3139659999999997</v>
      </c>
      <c r="E6270">
        <v>0.54819180000000001</v>
      </c>
      <c r="F6270" t="s">
        <v>41</v>
      </c>
      <c r="G6270">
        <v>-334.94389999999999</v>
      </c>
      <c r="H6270">
        <v>1.0048779999999999</v>
      </c>
      <c r="I6270">
        <v>17.52514</v>
      </c>
      <c r="J6270">
        <v>-335.66480000000001</v>
      </c>
      <c r="K6270">
        <v>1.1093839999999999</v>
      </c>
      <c r="L6270">
        <v>17.60162</v>
      </c>
      <c r="M6270">
        <v>0.99995080000000003</v>
      </c>
      <c r="N6270">
        <v>-9.923365E-3</v>
      </c>
      <c r="O6270">
        <v>5.790856E-4</v>
      </c>
      <c r="P6270">
        <v>0.94466859999999997</v>
      </c>
      <c r="Q6270">
        <v>0.32800079999999998</v>
      </c>
      <c r="R6270">
        <v>-4.1694749999999997E-3</v>
      </c>
      <c r="S6270">
        <v>3.311401</v>
      </c>
      <c r="T6270">
        <v>-0.39227590000000001</v>
      </c>
      <c r="U6270">
        <v>-0.28652949999999999</v>
      </c>
      <c r="V6270">
        <v>5.2538819999999996E-3</v>
      </c>
      <c r="W6270">
        <v>0.33735080000000001</v>
      </c>
      <c r="X6270">
        <v>0.94136430000000004</v>
      </c>
      <c r="Y6270">
        <v>8.613113E-2</v>
      </c>
      <c r="Z6270">
        <v>-5.5667700000000004E-3</v>
      </c>
      <c r="AA6270">
        <v>0.9962683</v>
      </c>
      <c r="AB6270">
        <v>32</v>
      </c>
      <c r="AC6270">
        <v>0.72090000000002796</v>
      </c>
      <c r="AD6270">
        <v>-0.104505999999999</v>
      </c>
      <c r="AE6270">
        <v>-7.6480000000000103E-2</v>
      </c>
      <c r="AF6270">
        <v>7.5331977620439097E-2</v>
      </c>
      <c r="AG6270">
        <v>-0.104505999999999</v>
      </c>
      <c r="AH6270">
        <v>0.70618027794260196</v>
      </c>
      <c r="AI6270">
        <v>98.371156767238702</v>
      </c>
      <c r="AJ6270">
        <v>83.910983991497901</v>
      </c>
      <c r="AK6270">
        <v>0.71783493634908602</v>
      </c>
      <c r="AL6270">
        <v>70.284446643289101</v>
      </c>
      <c r="AM6270">
        <v>89.680227793676494</v>
      </c>
      <c r="AN6270">
        <v>0.99999995542559905</v>
      </c>
    </row>
    <row r="6271" spans="1:40" x14ac:dyDescent="0.25">
      <c r="A6271" t="str">
        <f>"20190304164248232"</f>
        <v>20190304164248232</v>
      </c>
      <c r="B6271" t="str">
        <f>"1551688968227488"</f>
        <v>1551688968227488</v>
      </c>
      <c r="C6271" t="s">
        <v>40</v>
      </c>
      <c r="D6271">
        <v>4.2961359999999997</v>
      </c>
      <c r="E6271">
        <v>0.5480062</v>
      </c>
      <c r="F6271" t="s">
        <v>41</v>
      </c>
      <c r="G6271">
        <v>-334.93529999999998</v>
      </c>
      <c r="H6271">
        <v>1.0224959999999901</v>
      </c>
      <c r="I6271">
        <v>17.537320000000001</v>
      </c>
      <c r="J6271">
        <v>-335.5129</v>
      </c>
      <c r="K6271">
        <v>1.10938799999999</v>
      </c>
      <c r="L6271">
        <v>17.60135</v>
      </c>
      <c r="M6271">
        <v>0.99995029999999996</v>
      </c>
      <c r="N6271">
        <v>-9.9752769999999994E-3</v>
      </c>
      <c r="O6271">
        <v>2.2986069999999999E-4</v>
      </c>
      <c r="P6271">
        <v>0.94466300000000003</v>
      </c>
      <c r="Q6271">
        <v>0.3279937</v>
      </c>
      <c r="R6271">
        <v>-5.6918860000000002E-3</v>
      </c>
      <c r="S6271">
        <v>3.31134</v>
      </c>
      <c r="T6271">
        <v>-0.39432430000000002</v>
      </c>
      <c r="U6271">
        <v>-0.29040529999999998</v>
      </c>
      <c r="V6271">
        <v>6.4470919999999998E-3</v>
      </c>
      <c r="W6271">
        <v>0.33739079999999999</v>
      </c>
      <c r="X6271">
        <v>0.94134260000000003</v>
      </c>
      <c r="Y6271">
        <v>8.6931250000000002E-2</v>
      </c>
      <c r="Z6271">
        <v>-5.6090300000000001E-3</v>
      </c>
      <c r="AA6271">
        <v>0.99619849999999999</v>
      </c>
      <c r="AB6271">
        <v>32</v>
      </c>
      <c r="AC6271">
        <v>0.57760000000001799</v>
      </c>
      <c r="AD6271">
        <v>-8.68919999999999E-2</v>
      </c>
      <c r="AE6271">
        <v>-6.4029999999998893E-2</v>
      </c>
      <c r="AF6271">
        <v>6.2759695223795403E-2</v>
      </c>
      <c r="AG6271">
        <v>-8.68919999999999E-2</v>
      </c>
      <c r="AH6271">
        <v>0.56495494008315805</v>
      </c>
      <c r="AI6271">
        <v>98.691131753084406</v>
      </c>
      <c r="AJ6271">
        <v>83.661118197600501</v>
      </c>
      <c r="AK6271">
        <v>0.57503311498812704</v>
      </c>
      <c r="AL6271">
        <v>70.282013070201302</v>
      </c>
      <c r="AM6271">
        <v>89.607597291050894</v>
      </c>
      <c r="AN6271">
        <v>1.00000000374732</v>
      </c>
    </row>
    <row r="6272" spans="1:40" x14ac:dyDescent="0.25">
      <c r="A6272" t="str">
        <f>"20190304164248244"</f>
        <v>20190304164248244</v>
      </c>
      <c r="B6272" t="str">
        <f>"1551688968237248"</f>
        <v>1551688968237248</v>
      </c>
      <c r="C6272" t="s">
        <v>40</v>
      </c>
      <c r="D6272">
        <v>4.3365349999999996</v>
      </c>
      <c r="E6272">
        <v>0.54787859999999999</v>
      </c>
      <c r="F6272" t="s">
        <v>41</v>
      </c>
      <c r="G6272">
        <v>-334.65559999999999</v>
      </c>
      <c r="H6272">
        <v>1.007312</v>
      </c>
      <c r="I6272">
        <v>17.525010000000002</v>
      </c>
      <c r="J6272">
        <v>-335.33420000000001</v>
      </c>
      <c r="K6272">
        <v>1.109397</v>
      </c>
      <c r="L6272">
        <v>17.601009999999999</v>
      </c>
      <c r="M6272">
        <v>0.99994959999999999</v>
      </c>
      <c r="N6272">
        <v>-1.003649E-2</v>
      </c>
      <c r="O6272">
        <v>-1.8081210000000001E-4</v>
      </c>
      <c r="P6272">
        <v>0.94464970000000004</v>
      </c>
      <c r="Q6272">
        <v>0.32800200000000002</v>
      </c>
      <c r="R6272">
        <v>-7.1876529999999996E-3</v>
      </c>
      <c r="S6272">
        <v>3.310883</v>
      </c>
      <c r="T6272">
        <v>-0.39421640000000002</v>
      </c>
      <c r="U6272">
        <v>-0.2941589</v>
      </c>
      <c r="V6272">
        <v>7.5555400000000003E-3</v>
      </c>
      <c r="W6272">
        <v>0.3374549</v>
      </c>
      <c r="X6272">
        <v>0.94131140000000002</v>
      </c>
      <c r="Y6272">
        <v>8.7651670000000001E-2</v>
      </c>
      <c r="Z6272">
        <v>-5.6125219999999896E-3</v>
      </c>
      <c r="AA6272">
        <v>0.9961354</v>
      </c>
      <c r="AB6272">
        <v>32</v>
      </c>
      <c r="AC6272">
        <v>0.67860000000001697</v>
      </c>
      <c r="AD6272">
        <v>-0.102084999999999</v>
      </c>
      <c r="AE6272">
        <v>-7.6000000000000498E-2</v>
      </c>
      <c r="AF6272">
        <v>7.4218490450197405E-2</v>
      </c>
      <c r="AG6272">
        <v>-0.102084999999999</v>
      </c>
      <c r="AH6272">
        <v>0.66377811364260197</v>
      </c>
      <c r="AI6272">
        <v>98.689917859931001</v>
      </c>
      <c r="AJ6272">
        <v>83.620131814016702</v>
      </c>
      <c r="AK6272">
        <v>0.67567086343917204</v>
      </c>
      <c r="AL6272">
        <v>70.278112012801898</v>
      </c>
      <c r="AM6272">
        <v>89.540118968548398</v>
      </c>
      <c r="AN6272">
        <v>1.0000000237443301</v>
      </c>
    </row>
    <row r="6273" spans="1:40" x14ac:dyDescent="0.25">
      <c r="A6273" t="str">
        <f>"20190304164248255"</f>
        <v>20190304164248255</v>
      </c>
      <c r="B6273" t="str">
        <f>"1551688968247008"</f>
        <v>1551688968247008</v>
      </c>
      <c r="C6273" t="s">
        <v>40</v>
      </c>
      <c r="D6273">
        <v>4.349933</v>
      </c>
      <c r="E6273">
        <v>0.547763</v>
      </c>
      <c r="F6273" t="s">
        <v>41</v>
      </c>
      <c r="G6273">
        <v>-334.37430000000001</v>
      </c>
      <c r="H6273">
        <v>0.99509289999999995</v>
      </c>
      <c r="I6273">
        <v>17.51463</v>
      </c>
      <c r="J6273">
        <v>-335.17079999999999</v>
      </c>
      <c r="K6273">
        <v>1.1094059999999999</v>
      </c>
      <c r="L6273">
        <v>17.60059</v>
      </c>
      <c r="M6273">
        <v>0.99994890000000003</v>
      </c>
      <c r="N6273">
        <v>-1.009295E-2</v>
      </c>
      <c r="O6273">
        <v>-5.5653009999999999E-4</v>
      </c>
      <c r="P6273">
        <v>0.94472060000000002</v>
      </c>
      <c r="Q6273">
        <v>0.32776300000000003</v>
      </c>
      <c r="R6273">
        <v>-8.6482650000000005E-3</v>
      </c>
      <c r="S6273">
        <v>3.3103940000000001</v>
      </c>
      <c r="T6273">
        <v>-0.39425670000000002</v>
      </c>
      <c r="U6273">
        <v>-0.2976685</v>
      </c>
      <c r="V6273">
        <v>8.6612659999999904E-3</v>
      </c>
      <c r="W6273">
        <v>0.33726810000000002</v>
      </c>
      <c r="X6273">
        <v>0.94136880000000001</v>
      </c>
      <c r="Y6273">
        <v>8.8334490000000002E-2</v>
      </c>
      <c r="Z6273">
        <v>-5.6192550000000001E-3</v>
      </c>
      <c r="AA6273">
        <v>0.99607500000000004</v>
      </c>
      <c r="AB6273">
        <v>32</v>
      </c>
      <c r="AC6273">
        <v>0.79649999999998</v>
      </c>
      <c r="AD6273">
        <v>-0.114313099999999</v>
      </c>
      <c r="AE6273">
        <v>-8.5959999999999995E-2</v>
      </c>
      <c r="AF6273">
        <v>8.3810257635243995E-2</v>
      </c>
      <c r="AG6273">
        <v>-0.114313099999999</v>
      </c>
      <c r="AH6273">
        <v>0.78065312343924498</v>
      </c>
      <c r="AI6273">
        <v>98.283828264490495</v>
      </c>
      <c r="AJ6273">
        <v>83.872244560124798</v>
      </c>
      <c r="AK6273">
        <v>0.79341725671423702</v>
      </c>
      <c r="AL6273">
        <v>70.289480970526</v>
      </c>
      <c r="AM6273">
        <v>89.472852738909495</v>
      </c>
      <c r="AN6273">
        <v>1.0000000032098799</v>
      </c>
    </row>
    <row r="6274" spans="1:40" x14ac:dyDescent="0.25">
      <c r="A6274" t="str">
        <f>"20190304164248268"</f>
        <v>20190304164248268</v>
      </c>
      <c r="B6274" t="str">
        <f>"1551688968257744"</f>
        <v>1551688968257744</v>
      </c>
      <c r="C6274" t="s">
        <v>40</v>
      </c>
      <c r="D6274">
        <v>4.3507300000000004</v>
      </c>
      <c r="E6274">
        <v>0.54763859999999998</v>
      </c>
      <c r="F6274" t="s">
        <v>41</v>
      </c>
      <c r="G6274">
        <v>-334.3655</v>
      </c>
      <c r="H6274">
        <v>1.0132099999999999</v>
      </c>
      <c r="I6274">
        <v>17.526979999999998</v>
      </c>
      <c r="J6274">
        <v>-334.99419999999998</v>
      </c>
      <c r="K6274">
        <v>1.1094109999999999</v>
      </c>
      <c r="L6274">
        <v>17.600100000000001</v>
      </c>
      <c r="M6274">
        <v>0.99994799999999995</v>
      </c>
      <c r="N6274">
        <v>-1.015427E-2</v>
      </c>
      <c r="O6274">
        <v>-9.6255760000000005E-4</v>
      </c>
      <c r="P6274">
        <v>0.94473660000000004</v>
      </c>
      <c r="Q6274">
        <v>0.3276789</v>
      </c>
      <c r="R6274">
        <v>-9.9686529999999992E-3</v>
      </c>
      <c r="S6274">
        <v>3.3099669999999999</v>
      </c>
      <c r="T6274">
        <v>-0.39543719999999999</v>
      </c>
      <c r="U6274">
        <v>-0.30224610000000002</v>
      </c>
      <c r="V6274">
        <v>9.5985729999999991E-3</v>
      </c>
      <c r="W6274">
        <v>0.33724029999999999</v>
      </c>
      <c r="X6274">
        <v>0.94136969999999998</v>
      </c>
      <c r="Y6274">
        <v>8.9298589999999997E-2</v>
      </c>
      <c r="Z6274">
        <v>-5.6558090000000004E-3</v>
      </c>
      <c r="AA6274">
        <v>0.99598880000000001</v>
      </c>
      <c r="AB6274">
        <v>32</v>
      </c>
      <c r="AC6274">
        <v>0.62869999999998005</v>
      </c>
      <c r="AD6274">
        <v>-9.6201000000000203E-2</v>
      </c>
      <c r="AE6274">
        <v>-7.3120000000002905E-2</v>
      </c>
      <c r="AF6274">
        <v>7.0877411886261302E-2</v>
      </c>
      <c r="AG6274">
        <v>-9.6201000000000203E-2</v>
      </c>
      <c r="AH6274">
        <v>0.61457264387843802</v>
      </c>
      <c r="AI6274">
        <v>98.838843475977399</v>
      </c>
      <c r="AJ6274">
        <v>83.421258591391094</v>
      </c>
      <c r="AK6274">
        <v>0.62608128427579401</v>
      </c>
      <c r="AL6274">
        <v>70.291173515618695</v>
      </c>
      <c r="AM6274">
        <v>89.415810106911593</v>
      </c>
      <c r="AN6274">
        <v>1.0000000323128999</v>
      </c>
    </row>
    <row r="6275" spans="1:40" x14ac:dyDescent="0.25">
      <c r="A6275" t="str">
        <f>"20190304164248280"</f>
        <v>20190304164248280</v>
      </c>
      <c r="B6275" t="str">
        <f>"1551688968267504"</f>
        <v>1551688968267504</v>
      </c>
      <c r="C6275" t="s">
        <v>40</v>
      </c>
      <c r="D6275">
        <v>4.340897</v>
      </c>
      <c r="E6275">
        <v>0.54753189999999996</v>
      </c>
      <c r="F6275" t="s">
        <v>41</v>
      </c>
      <c r="G6275">
        <v>-334.08420000000001</v>
      </c>
      <c r="H6275">
        <v>1.0005580000000001</v>
      </c>
      <c r="I6275">
        <v>17.51587</v>
      </c>
      <c r="J6275">
        <v>-334.81810000000002</v>
      </c>
      <c r="K6275">
        <v>1.1094120000000001</v>
      </c>
      <c r="L6275">
        <v>17.599550000000001</v>
      </c>
      <c r="M6275">
        <v>0.99994689999999997</v>
      </c>
      <c r="N6275">
        <v>-1.0215699999999999E-2</v>
      </c>
      <c r="O6275">
        <v>-1.3671569999999999E-3</v>
      </c>
      <c r="P6275">
        <v>0.94472029999999996</v>
      </c>
      <c r="Q6275">
        <v>0.3276867</v>
      </c>
      <c r="R6275">
        <v>-1.118368E-2</v>
      </c>
      <c r="S6275">
        <v>3.3095400000000001</v>
      </c>
      <c r="T6275">
        <v>-0.39591850000000001</v>
      </c>
      <c r="U6275">
        <v>-0.3059692</v>
      </c>
      <c r="V6275">
        <v>1.043208E-2</v>
      </c>
      <c r="W6275">
        <v>0.33730450000000001</v>
      </c>
      <c r="X6275">
        <v>0.9413378</v>
      </c>
      <c r="Y6275">
        <v>9.0013209999999996E-2</v>
      </c>
      <c r="Z6275">
        <v>-5.6674869999999997E-3</v>
      </c>
      <c r="AA6275">
        <v>0.99592449999999999</v>
      </c>
      <c r="AB6275">
        <v>32</v>
      </c>
      <c r="AC6275">
        <v>0.73390000000000499</v>
      </c>
      <c r="AD6275">
        <v>-0.10885399999999899</v>
      </c>
      <c r="AE6275">
        <v>-8.3680000000001004E-2</v>
      </c>
      <c r="AF6275">
        <v>8.09191694827954E-2</v>
      </c>
      <c r="AG6275">
        <v>-0.10885399999999899</v>
      </c>
      <c r="AH6275">
        <v>0.71841178120627003</v>
      </c>
      <c r="AI6275">
        <v>98.562603774277406</v>
      </c>
      <c r="AJ6275">
        <v>83.573507514783202</v>
      </c>
      <c r="AK6275">
        <v>0.73110368121200897</v>
      </c>
      <c r="AL6275">
        <v>70.287265600774305</v>
      </c>
      <c r="AM6275">
        <v>89.365063542590306</v>
      </c>
      <c r="AN6275">
        <v>1.0000000038611001</v>
      </c>
    </row>
    <row r="6276" spans="1:40" x14ac:dyDescent="0.25">
      <c r="A6276" t="str">
        <f>"20190304164248292"</f>
        <v>20190304164248292</v>
      </c>
      <c r="B6276" t="str">
        <f>"1551688968287024"</f>
        <v>1551688968287024</v>
      </c>
      <c r="C6276" t="s">
        <v>40</v>
      </c>
      <c r="D6276">
        <v>4.3456340000000004</v>
      </c>
      <c r="E6276">
        <v>0.54725639999999998</v>
      </c>
      <c r="F6276" t="s">
        <v>41</v>
      </c>
      <c r="G6276">
        <v>-334.0745</v>
      </c>
      <c r="H6276">
        <v>1.0204719999999901</v>
      </c>
      <c r="I6276">
        <v>17.52983</v>
      </c>
      <c r="J6276">
        <v>-334.65010000000001</v>
      </c>
      <c r="K6276">
        <v>1.1094200000000001</v>
      </c>
      <c r="L6276">
        <v>17.598939999999999</v>
      </c>
      <c r="M6276">
        <v>0.9999458</v>
      </c>
      <c r="N6276">
        <v>-1.027929E-2</v>
      </c>
      <c r="O6276">
        <v>-1.754374E-3</v>
      </c>
      <c r="P6276">
        <v>0.94475039999999999</v>
      </c>
      <c r="Q6276">
        <v>0.32755980000000001</v>
      </c>
      <c r="R6276">
        <v>-1.2320920000000001E-2</v>
      </c>
      <c r="S6276">
        <v>3.3092039999999998</v>
      </c>
      <c r="T6276">
        <v>-0.39581100000000002</v>
      </c>
      <c r="U6276">
        <v>-0.30981449999999999</v>
      </c>
      <c r="V6276">
        <v>1.1204179999999999E-2</v>
      </c>
      <c r="W6276">
        <v>0.33723629999999999</v>
      </c>
      <c r="X6276">
        <v>0.94135329999999995</v>
      </c>
      <c r="Y6276">
        <v>9.0780470000000002E-2</v>
      </c>
      <c r="Z6276">
        <v>-5.6768230000000001E-3</v>
      </c>
      <c r="AA6276">
        <v>0.99585469999999998</v>
      </c>
      <c r="AB6276">
        <v>32</v>
      </c>
      <c r="AC6276">
        <v>0.57560000000000799</v>
      </c>
      <c r="AD6276">
        <v>-8.8948000000000194E-2</v>
      </c>
      <c r="AE6276">
        <v>-6.9109999999998395E-2</v>
      </c>
      <c r="AF6276">
        <v>6.6533787418505505E-2</v>
      </c>
      <c r="AG6276">
        <v>-8.8948000000000194E-2</v>
      </c>
      <c r="AH6276">
        <v>0.56247934777099595</v>
      </c>
      <c r="AI6276">
        <v>98.924881485943104</v>
      </c>
      <c r="AJ6276">
        <v>83.254021326549307</v>
      </c>
      <c r="AK6276">
        <v>0.57334240052619201</v>
      </c>
      <c r="AL6276">
        <v>70.291415179171906</v>
      </c>
      <c r="AM6276">
        <v>89.318086083125905</v>
      </c>
      <c r="AN6276">
        <v>0.99999994555402405</v>
      </c>
    </row>
    <row r="6277" spans="1:40" x14ac:dyDescent="0.25">
      <c r="A6277" t="str">
        <f>"20190304164248303"</f>
        <v>20190304164248303</v>
      </c>
      <c r="B6277" t="str">
        <f>"1551688968297760"</f>
        <v>1551688968297760</v>
      </c>
      <c r="C6277" t="s">
        <v>40</v>
      </c>
      <c r="D6277">
        <v>4.3396589999999904</v>
      </c>
      <c r="E6277">
        <v>0.54712039999999995</v>
      </c>
      <c r="F6277" t="s">
        <v>41</v>
      </c>
      <c r="G6277">
        <v>-333.7937</v>
      </c>
      <c r="H6277">
        <v>1.0067189999999999</v>
      </c>
      <c r="I6277">
        <v>17.51803</v>
      </c>
      <c r="J6277">
        <v>-334.47519999999997</v>
      </c>
      <c r="K6277">
        <v>1.109429</v>
      </c>
      <c r="L6277">
        <v>17.598240000000001</v>
      </c>
      <c r="M6277">
        <v>0.99994419999999995</v>
      </c>
      <c r="N6277">
        <v>-1.0348130000000001E-2</v>
      </c>
      <c r="O6277">
        <v>-2.1579609999999999E-3</v>
      </c>
      <c r="P6277">
        <v>0.94465940000000004</v>
      </c>
      <c r="Q6277">
        <v>0.32776119999999997</v>
      </c>
      <c r="R6277">
        <v>-1.382776E-2</v>
      </c>
      <c r="S6277">
        <v>3.3089599999999999</v>
      </c>
      <c r="T6277">
        <v>-0.3967851</v>
      </c>
      <c r="U6277">
        <v>-0.31152340000000001</v>
      </c>
      <c r="V6277">
        <v>1.2331709999999999E-2</v>
      </c>
      <c r="W6277">
        <v>0.33750019999999997</v>
      </c>
      <c r="X6277">
        <v>0.94124470000000005</v>
      </c>
      <c r="Y6277">
        <v>9.0893050000000003E-2</v>
      </c>
      <c r="Z6277">
        <v>-5.6563799999999999E-3</v>
      </c>
      <c r="AA6277">
        <v>0.99584459999999997</v>
      </c>
      <c r="AB6277">
        <v>32</v>
      </c>
      <c r="AC6277">
        <v>0.68149999999997102</v>
      </c>
      <c r="AD6277">
        <v>-0.102709999999999</v>
      </c>
      <c r="AE6277">
        <v>-8.0210000000000906E-2</v>
      </c>
      <c r="AF6277">
        <v>7.7013695399403906E-2</v>
      </c>
      <c r="AG6277">
        <v>-0.102709999999999</v>
      </c>
      <c r="AH6277">
        <v>0.66673422451304698</v>
      </c>
      <c r="AI6277">
        <v>98.700580615715594</v>
      </c>
      <c r="AJ6277">
        <v>83.411031537261096</v>
      </c>
      <c r="AK6277">
        <v>0.67898083884310501</v>
      </c>
      <c r="AL6277">
        <v>70.275354692588706</v>
      </c>
      <c r="AM6277">
        <v>89.249382743045402</v>
      </c>
      <c r="AN6277">
        <v>1.0000000206748201</v>
      </c>
    </row>
    <row r="6278" spans="1:40" x14ac:dyDescent="0.25">
      <c r="A6278" t="str">
        <f>"20190304164248315"</f>
        <v>20190304164248315</v>
      </c>
      <c r="B6278" t="str">
        <f>"1551688968307520"</f>
        <v>1551688968307520</v>
      </c>
      <c r="C6278" t="s">
        <v>40</v>
      </c>
      <c r="D6278">
        <v>4.3126259999999998</v>
      </c>
      <c r="E6278">
        <v>0.54696690000000003</v>
      </c>
      <c r="F6278" t="s">
        <v>41</v>
      </c>
      <c r="G6278">
        <v>-333.51240000000001</v>
      </c>
      <c r="H6278">
        <v>0.9941314</v>
      </c>
      <c r="I6278">
        <v>17.506139999999998</v>
      </c>
      <c r="J6278">
        <v>-334.31560000000002</v>
      </c>
      <c r="K6278">
        <v>1.109443</v>
      </c>
      <c r="L6278">
        <v>17.5975</v>
      </c>
      <c r="M6278">
        <v>0.99994260000000001</v>
      </c>
      <c r="N6278">
        <v>-1.041869E-2</v>
      </c>
      <c r="O6278">
        <v>-2.528916E-3</v>
      </c>
      <c r="P6278">
        <v>0.94456220000000002</v>
      </c>
      <c r="Q6278">
        <v>0.32796760000000003</v>
      </c>
      <c r="R6278">
        <v>-1.548419E-2</v>
      </c>
      <c r="S6278">
        <v>3.3085939999999998</v>
      </c>
      <c r="T6278">
        <v>-0.3961887</v>
      </c>
      <c r="U6278">
        <v>-0.3158569</v>
      </c>
      <c r="V6278">
        <v>1.36405E-2</v>
      </c>
      <c r="W6278">
        <v>0.33777000000000001</v>
      </c>
      <c r="X6278">
        <v>0.94112989999999996</v>
      </c>
      <c r="Y6278">
        <v>9.1823150000000006E-2</v>
      </c>
      <c r="Z6278">
        <v>-5.6722519999999896E-3</v>
      </c>
      <c r="AA6278">
        <v>0.99575919999999896</v>
      </c>
      <c r="AB6278">
        <v>32</v>
      </c>
      <c r="AC6278">
        <v>0.80320000000000302</v>
      </c>
      <c r="AD6278">
        <v>-0.115311599999999</v>
      </c>
      <c r="AE6278">
        <v>-9.1360000000001607E-2</v>
      </c>
      <c r="AF6278">
        <v>8.7546990695200194E-2</v>
      </c>
      <c r="AG6278">
        <v>-0.115311599999999</v>
      </c>
      <c r="AH6278">
        <v>0.78740655707441898</v>
      </c>
      <c r="AI6278">
        <v>98.281133324214906</v>
      </c>
      <c r="AJ6278">
        <v>83.655684424666404</v>
      </c>
      <c r="AK6278">
        <v>0.80060622455620201</v>
      </c>
      <c r="AL6278">
        <v>70.258932755102194</v>
      </c>
      <c r="AM6278">
        <v>89.169627528122604</v>
      </c>
      <c r="AN6278">
        <v>1.0000000624071199</v>
      </c>
    </row>
    <row r="6279" spans="1:40" x14ac:dyDescent="0.25">
      <c r="A6279" t="str">
        <f>"20190304164248325"</f>
        <v>20190304164248325</v>
      </c>
      <c r="B6279" t="str">
        <f>"1551688968317280"</f>
        <v>1551688968317280</v>
      </c>
      <c r="C6279" t="s">
        <v>40</v>
      </c>
      <c r="D6279">
        <v>4.3575540000000004</v>
      </c>
      <c r="E6279">
        <v>0.54685130000000004</v>
      </c>
      <c r="F6279" t="s">
        <v>41</v>
      </c>
      <c r="G6279">
        <v>-333.50349999999997</v>
      </c>
      <c r="H6279">
        <v>1.012286</v>
      </c>
      <c r="I6279">
        <v>17.518899999999999</v>
      </c>
      <c r="J6279">
        <v>-334.17009999999999</v>
      </c>
      <c r="K6279">
        <v>1.109451</v>
      </c>
      <c r="L6279">
        <v>17.596829999999901</v>
      </c>
      <c r="M6279">
        <v>0.99994110000000003</v>
      </c>
      <c r="N6279">
        <v>-1.0484479999999999E-2</v>
      </c>
      <c r="O6279">
        <v>-2.867901E-3</v>
      </c>
      <c r="P6279">
        <v>0.94442769999999998</v>
      </c>
      <c r="Q6279">
        <v>0.32828259999999998</v>
      </c>
      <c r="R6279">
        <v>-1.6941089999999999E-2</v>
      </c>
      <c r="S6279">
        <v>3.3082579999999999</v>
      </c>
      <c r="T6279">
        <v>-0.39580379999999998</v>
      </c>
      <c r="U6279">
        <v>-0.319519</v>
      </c>
      <c r="V6279">
        <v>1.4780679999999999E-2</v>
      </c>
      <c r="W6279">
        <v>0.33814339999999998</v>
      </c>
      <c r="X6279">
        <v>0.94097850000000005</v>
      </c>
      <c r="Y6279">
        <v>9.2584299999999994E-2</v>
      </c>
      <c r="Z6279">
        <v>-5.6832439999999996E-3</v>
      </c>
      <c r="AA6279">
        <v>0.99568860000000003</v>
      </c>
      <c r="AB6279">
        <v>32</v>
      </c>
      <c r="AC6279">
        <v>0.66660000000001596</v>
      </c>
      <c r="AD6279">
        <v>-9.7164999999999904E-2</v>
      </c>
      <c r="AE6279">
        <v>-7.79299999999985E-2</v>
      </c>
      <c r="AF6279">
        <v>7.4457200280571997E-2</v>
      </c>
      <c r="AG6279">
        <v>-9.7164999999999904E-2</v>
      </c>
      <c r="AH6279">
        <v>0.65313106244924202</v>
      </c>
      <c r="AI6279">
        <v>98.408044351747904</v>
      </c>
      <c r="AJ6279">
        <v>83.496335489820297</v>
      </c>
      <c r="AK6279">
        <v>0.66450364681820695</v>
      </c>
      <c r="AL6279">
        <v>70.236199368654894</v>
      </c>
      <c r="AM6279">
        <v>89.100084707583406</v>
      </c>
      <c r="AN6279">
        <v>0.99999998246353605</v>
      </c>
    </row>
    <row r="6280" spans="1:40" x14ac:dyDescent="0.25">
      <c r="A6280" t="str">
        <f>"20190304164248334"</f>
        <v>20190304164248334</v>
      </c>
      <c r="B6280" t="str">
        <f>"1551688968327040"</f>
        <v>1551688968327040</v>
      </c>
      <c r="C6280" t="s">
        <v>40</v>
      </c>
      <c r="D6280">
        <v>4.378609</v>
      </c>
      <c r="E6280">
        <v>0.546736</v>
      </c>
      <c r="F6280" t="s">
        <v>41</v>
      </c>
      <c r="G6280">
        <v>-333.22370000000001</v>
      </c>
      <c r="H6280">
        <v>0.9963495</v>
      </c>
      <c r="I6280">
        <v>17.504110000000001</v>
      </c>
      <c r="J6280">
        <v>-334.02179999999998</v>
      </c>
      <c r="K6280">
        <v>1.109459</v>
      </c>
      <c r="L6280">
        <v>17.596070000000001</v>
      </c>
      <c r="M6280">
        <v>0.99993900000000002</v>
      </c>
      <c r="N6280">
        <v>-1.055475E-2</v>
      </c>
      <c r="O6280">
        <v>-3.2157570000000001E-3</v>
      </c>
      <c r="P6280">
        <v>0.94441929999999996</v>
      </c>
      <c r="Q6280">
        <v>0.32822560000000001</v>
      </c>
      <c r="R6280">
        <v>-1.8448280000000001E-2</v>
      </c>
      <c r="S6280">
        <v>3.3081049999999999</v>
      </c>
      <c r="T6280">
        <v>-0.39529969999999998</v>
      </c>
      <c r="U6280">
        <v>-0.322876</v>
      </c>
      <c r="V6280">
        <v>1.5962609999999999E-2</v>
      </c>
      <c r="W6280">
        <v>0.33815060000000002</v>
      </c>
      <c r="X6280">
        <v>0.94095669999999998</v>
      </c>
      <c r="Y6280">
        <v>9.3241560000000001E-2</v>
      </c>
      <c r="Z6280">
        <v>-5.685051E-3</v>
      </c>
      <c r="AA6280">
        <v>0.99562729999999999</v>
      </c>
      <c r="AB6280">
        <v>32</v>
      </c>
      <c r="AC6280">
        <v>0.79809999999997605</v>
      </c>
      <c r="AD6280">
        <v>-0.113109499999999</v>
      </c>
      <c r="AE6280">
        <v>-9.1960000000000194E-2</v>
      </c>
      <c r="AF6280">
        <v>8.76553487574568E-2</v>
      </c>
      <c r="AG6280">
        <v>-0.113109499999999</v>
      </c>
      <c r="AH6280">
        <v>0.78287320809730399</v>
      </c>
      <c r="AI6280">
        <v>98.170841980990204</v>
      </c>
      <c r="AJ6280">
        <v>83.611416534483695</v>
      </c>
      <c r="AK6280">
        <v>0.79584400425749702</v>
      </c>
      <c r="AL6280">
        <v>70.235762865389205</v>
      </c>
      <c r="AM6280">
        <v>89.028114191681695</v>
      </c>
      <c r="AN6280">
        <v>1.00000007223662</v>
      </c>
    </row>
    <row r="6281" spans="1:40" x14ac:dyDescent="0.25">
      <c r="A6281" t="str">
        <f>"20190304164248345"</f>
        <v>20190304164248345</v>
      </c>
      <c r="B6281" t="str">
        <f>"1551688968337778"</f>
        <v>1551688968337778</v>
      </c>
      <c r="C6281" t="s">
        <v>40</v>
      </c>
      <c r="D6281">
        <v>4.3247489999999997</v>
      </c>
      <c r="E6281">
        <v>0.546736</v>
      </c>
      <c r="F6281" t="s">
        <v>41</v>
      </c>
      <c r="G6281">
        <v>-333.21570000000003</v>
      </c>
      <c r="H6281">
        <v>1.012845</v>
      </c>
      <c r="I6281">
        <v>17.516249999999999</v>
      </c>
      <c r="J6281">
        <v>-333.87360000000001</v>
      </c>
      <c r="K6281">
        <v>1.1094630000000001</v>
      </c>
      <c r="L6281">
        <v>17.59525</v>
      </c>
      <c r="M6281">
        <v>0.99993719999999997</v>
      </c>
      <c r="N6281">
        <v>-1.062718E-2</v>
      </c>
      <c r="O6281">
        <v>-3.566264E-3</v>
      </c>
      <c r="P6281">
        <v>0.94436940000000003</v>
      </c>
      <c r="Q6281">
        <v>0.32826880000000003</v>
      </c>
      <c r="R6281">
        <v>-2.0151809999999999E-2</v>
      </c>
      <c r="S6281">
        <v>3.3079830000000001</v>
      </c>
      <c r="T6281">
        <v>-0.39642670000000002</v>
      </c>
      <c r="U6281">
        <v>-0.32611079999999998</v>
      </c>
      <c r="V6281">
        <v>1.7339830000000001E-2</v>
      </c>
      <c r="W6281">
        <v>0.33825870000000002</v>
      </c>
      <c r="X6281">
        <v>0.94089339999999999</v>
      </c>
      <c r="Y6281">
        <v>9.3853619999999999E-2</v>
      </c>
      <c r="Z6281">
        <v>-5.7049369999999898E-3</v>
      </c>
      <c r="AA6281">
        <v>0.99556960000000005</v>
      </c>
      <c r="AB6281">
        <v>32</v>
      </c>
      <c r="AC6281">
        <v>0.65789999999998305</v>
      </c>
      <c r="AD6281">
        <v>-9.6617999999999801E-2</v>
      </c>
      <c r="AE6281">
        <v>-7.9000000000000598E-2</v>
      </c>
      <c r="AF6281">
        <v>7.5057343289307396E-2</v>
      </c>
      <c r="AG6281">
        <v>-9.6617999999999801E-2</v>
      </c>
      <c r="AH6281">
        <v>0.64447552202448199</v>
      </c>
      <c r="AI6281">
        <v>98.469721154246699</v>
      </c>
      <c r="AJ6281">
        <v>83.357106135643704</v>
      </c>
      <c r="AK6281">
        <v>0.65598577819521198</v>
      </c>
      <c r="AL6281">
        <v>70.229179955721506</v>
      </c>
      <c r="AM6281">
        <v>88.944209169032206</v>
      </c>
      <c r="AN6281">
        <v>1.00000000399683</v>
      </c>
    </row>
    <row r="6282" spans="1:40" x14ac:dyDescent="0.25">
      <c r="A6282" t="str">
        <f>"20190304164248356"</f>
        <v>20190304164248356</v>
      </c>
      <c r="B6282" t="str">
        <f>"1551688968347537"</f>
        <v>1551688968347537</v>
      </c>
      <c r="C6282" t="s">
        <v>40</v>
      </c>
      <c r="D6282">
        <v>4.3422269999999896</v>
      </c>
      <c r="E6282">
        <v>0.54121039999999998</v>
      </c>
      <c r="F6282" t="s">
        <v>41</v>
      </c>
      <c r="G6282">
        <v>-332.93579999999997</v>
      </c>
      <c r="H6282">
        <v>0.99705080000000001</v>
      </c>
      <c r="I6282">
        <v>17.501110000000001</v>
      </c>
      <c r="J6282">
        <v>-333.71879999999999</v>
      </c>
      <c r="K6282">
        <v>1.1094660000000001</v>
      </c>
      <c r="L6282">
        <v>17.594329999999999</v>
      </c>
      <c r="M6282">
        <v>0.99993500000000002</v>
      </c>
      <c r="N6282">
        <v>-1.07064E-2</v>
      </c>
      <c r="O6282">
        <v>-3.9359169999999997E-3</v>
      </c>
      <c r="P6282">
        <v>0.94424640000000004</v>
      </c>
      <c r="Q6282">
        <v>0.32851780000000003</v>
      </c>
      <c r="R6282">
        <v>-2.1794500000000001E-2</v>
      </c>
      <c r="S6282">
        <v>3.3074340000000002</v>
      </c>
      <c r="T6282">
        <v>-0.39642729999999998</v>
      </c>
      <c r="U6282">
        <v>-0.33145140000000001</v>
      </c>
      <c r="V6282">
        <v>1.8640090000000002E-2</v>
      </c>
      <c r="W6282">
        <v>0.33857910000000002</v>
      </c>
      <c r="X6282">
        <v>0.94075330000000001</v>
      </c>
      <c r="Y6282">
        <v>9.508556E-2</v>
      </c>
      <c r="Z6282">
        <v>-5.7493689999999998E-3</v>
      </c>
      <c r="AA6282">
        <v>0.99545249999999996</v>
      </c>
      <c r="AB6282">
        <v>32</v>
      </c>
      <c r="AC6282">
        <v>0.78300000000001502</v>
      </c>
      <c r="AD6282">
        <v>-0.11241520000000001</v>
      </c>
      <c r="AE6282">
        <v>-9.3219999999998707E-2</v>
      </c>
      <c r="AF6282">
        <v>8.8341799561603498E-2</v>
      </c>
      <c r="AG6282">
        <v>-0.11241520000000001</v>
      </c>
      <c r="AH6282">
        <v>0.76775679777185601</v>
      </c>
      <c r="AI6282">
        <v>98.276229680864802</v>
      </c>
      <c r="AJ6282">
        <v>83.436138055166694</v>
      </c>
      <c r="AK6282">
        <v>0.78095579341324906</v>
      </c>
      <c r="AL6282">
        <v>70.209671531079806</v>
      </c>
      <c r="AM6282">
        <v>88.864889704753395</v>
      </c>
      <c r="AN6282">
        <v>1.0000000156864499</v>
      </c>
    </row>
    <row r="6283" spans="1:40" x14ac:dyDescent="0.25">
      <c r="A6283" t="str">
        <f>"20190304164248368"</f>
        <v>20190304164248368</v>
      </c>
      <c r="B6283" t="str">
        <f>"1551688968357296"</f>
        <v>1551688968357296</v>
      </c>
      <c r="C6283" t="s">
        <v>40</v>
      </c>
      <c r="D6283">
        <v>4.3552280000000003</v>
      </c>
      <c r="E6283">
        <v>0.54121039999999998</v>
      </c>
      <c r="F6283" t="s">
        <v>41</v>
      </c>
      <c r="G6283">
        <v>-332.92680000000001</v>
      </c>
      <c r="H6283">
        <v>1.015447</v>
      </c>
      <c r="I6283">
        <v>17.524039999999999</v>
      </c>
      <c r="J6283">
        <v>-333.55829999999997</v>
      </c>
      <c r="K6283">
        <v>1.10947</v>
      </c>
      <c r="L6283">
        <v>17.593319999999999</v>
      </c>
      <c r="M6283">
        <v>0.99993259999999995</v>
      </c>
      <c r="N6283">
        <v>-1.0790370000000001E-2</v>
      </c>
      <c r="O6283">
        <v>-4.3253019999999996E-3</v>
      </c>
      <c r="P6283">
        <v>0.94418610000000003</v>
      </c>
      <c r="Q6283">
        <v>0.32860260000000002</v>
      </c>
      <c r="R6283">
        <v>-2.3091690000000002E-2</v>
      </c>
      <c r="S6283">
        <v>3.3069459999999999</v>
      </c>
      <c r="T6283">
        <v>-0.39250210000000002</v>
      </c>
      <c r="U6283">
        <v>-0.29281620000000003</v>
      </c>
      <c r="V6283">
        <v>1.9577500000000001E-2</v>
      </c>
      <c r="W6283">
        <v>0.33874019999999999</v>
      </c>
      <c r="X6283">
        <v>0.94067630000000002</v>
      </c>
      <c r="Y6283">
        <v>8.3282670000000003E-2</v>
      </c>
      <c r="Z6283">
        <v>-4.9034120000000002E-3</v>
      </c>
      <c r="AA6283">
        <v>0.99651389999999995</v>
      </c>
      <c r="AB6283">
        <v>32</v>
      </c>
      <c r="AC6283">
        <v>0.63149999999995998</v>
      </c>
      <c r="AD6283">
        <v>-9.4023000000000204E-2</v>
      </c>
      <c r="AE6283">
        <v>-6.9280000000002603E-2</v>
      </c>
      <c r="AF6283">
        <v>6.5121339840874107E-2</v>
      </c>
      <c r="AG6283">
        <v>-9.4023000000000204E-2</v>
      </c>
      <c r="AH6283">
        <v>0.61825151475109397</v>
      </c>
      <c r="AI6283">
        <v>98.600359719572694</v>
      </c>
      <c r="AJ6283">
        <v>83.987123062922294</v>
      </c>
      <c r="AK6283">
        <v>0.628741639247547</v>
      </c>
      <c r="AL6283">
        <v>70.199862234400698</v>
      </c>
      <c r="AM6283">
        <v>88.807723537709705</v>
      </c>
      <c r="AN6283">
        <v>1.00000005149198</v>
      </c>
    </row>
    <row r="6284" spans="1:40" x14ac:dyDescent="0.25">
      <c r="A6284" t="str">
        <f>"20190304164248379"</f>
        <v>20190304164248379</v>
      </c>
      <c r="B6284" t="str">
        <f>"1551688968367057"</f>
        <v>1551688968367057</v>
      </c>
      <c r="C6284" t="s">
        <v>40</v>
      </c>
      <c r="D6284">
        <v>4.340751</v>
      </c>
      <c r="E6284">
        <v>0.54202539999999999</v>
      </c>
      <c r="F6284" t="s">
        <v>41</v>
      </c>
      <c r="G6284">
        <v>-332.6463</v>
      </c>
      <c r="H6284">
        <v>1.0012589999999999</v>
      </c>
      <c r="I6284">
        <v>17.511029999999899</v>
      </c>
      <c r="J6284">
        <v>-333.3879</v>
      </c>
      <c r="K6284">
        <v>1.109472</v>
      </c>
      <c r="L6284">
        <v>17.59216</v>
      </c>
      <c r="M6284">
        <v>0.99992950000000003</v>
      </c>
      <c r="N6284">
        <v>-1.088122E-2</v>
      </c>
      <c r="O6284">
        <v>-4.7445710000000004E-3</v>
      </c>
      <c r="P6284">
        <v>0.94408239999999999</v>
      </c>
      <c r="Q6284">
        <v>0.32876</v>
      </c>
      <c r="R6284">
        <v>-2.5007149999999999E-2</v>
      </c>
      <c r="S6284">
        <v>3.3065799999999999</v>
      </c>
      <c r="T6284">
        <v>-0.3922486</v>
      </c>
      <c r="U6284">
        <v>-0.29721069999999999</v>
      </c>
      <c r="V6284">
        <v>2.110716E-2</v>
      </c>
      <c r="W6284">
        <v>0.33897880000000002</v>
      </c>
      <c r="X6284">
        <v>0.94055719999999998</v>
      </c>
      <c r="Y6284">
        <v>8.4184220000000004E-2</v>
      </c>
      <c r="Z6284">
        <v>-4.9182289999999997E-3</v>
      </c>
      <c r="AA6284">
        <v>0.99643809999999999</v>
      </c>
      <c r="AB6284">
        <v>32</v>
      </c>
      <c r="AC6284">
        <v>0.74160000000000503</v>
      </c>
      <c r="AD6284">
        <v>-0.108212999999999</v>
      </c>
      <c r="AE6284">
        <v>-8.1130000000001701E-2</v>
      </c>
      <c r="AF6284">
        <v>7.6011007426264404E-2</v>
      </c>
      <c r="AG6284">
        <v>-0.108212999999999</v>
      </c>
      <c r="AH6284">
        <v>0.72668686735076304</v>
      </c>
      <c r="AI6284">
        <v>98.424540193295798</v>
      </c>
      <c r="AJ6284">
        <v>84.028610614748203</v>
      </c>
      <c r="AK6284">
        <v>0.73862137106843895</v>
      </c>
      <c r="AL6284">
        <v>70.185330585330902</v>
      </c>
      <c r="AM6284">
        <v>88.714434129621495</v>
      </c>
      <c r="AN6284">
        <v>0.99999999276227203</v>
      </c>
    </row>
    <row r="6285" spans="1:40" x14ac:dyDescent="0.25">
      <c r="A6285" t="str">
        <f>"20190304164248391"</f>
        <v>20190304164248391</v>
      </c>
      <c r="B6285" t="str">
        <f>"1551688968377793"</f>
        <v>1551688968377793</v>
      </c>
      <c r="C6285" t="s">
        <v>40</v>
      </c>
      <c r="D6285">
        <v>4.4399129999999998</v>
      </c>
      <c r="E6285">
        <v>0.54287399999999997</v>
      </c>
      <c r="F6285" t="s">
        <v>41</v>
      </c>
      <c r="G6285">
        <v>-332.63990000000001</v>
      </c>
      <c r="H6285">
        <v>1.0141610000000001</v>
      </c>
      <c r="I6285">
        <v>17.52243</v>
      </c>
      <c r="J6285">
        <v>-333.22829999999999</v>
      </c>
      <c r="K6285">
        <v>1.10947</v>
      </c>
      <c r="L6285">
        <v>17.590969999999999</v>
      </c>
      <c r="M6285">
        <v>0.99992669999999995</v>
      </c>
      <c r="N6285">
        <v>-1.0968749999999999E-2</v>
      </c>
      <c r="O6285">
        <v>-5.1509820000000001E-3</v>
      </c>
      <c r="P6285">
        <v>0.94395079999999998</v>
      </c>
      <c r="Q6285">
        <v>0.32899679999999998</v>
      </c>
      <c r="R6285">
        <v>-2.6806070000000001E-2</v>
      </c>
      <c r="S6285">
        <v>3.3166809999999902</v>
      </c>
      <c r="T6285">
        <v>-0.42247990000000002</v>
      </c>
      <c r="U6285">
        <v>-0.30783080000000002</v>
      </c>
      <c r="V6285">
        <v>2.253409E-2</v>
      </c>
      <c r="W6285">
        <v>0.33929330000000002</v>
      </c>
      <c r="X6285">
        <v>0.94041070000000004</v>
      </c>
      <c r="Y6285">
        <v>8.6565639999999999E-2</v>
      </c>
      <c r="Z6285">
        <v>-5.3615210000000002E-3</v>
      </c>
      <c r="AA6285">
        <v>0.99623170000000005</v>
      </c>
      <c r="AB6285">
        <v>32</v>
      </c>
      <c r="AC6285">
        <v>0.58839999999997805</v>
      </c>
      <c r="AD6285">
        <v>-9.5309000000000005E-2</v>
      </c>
      <c r="AE6285">
        <v>-6.8540000000002196E-2</v>
      </c>
      <c r="AF6285">
        <v>6.38551013304689E-2</v>
      </c>
      <c r="AG6285">
        <v>-9.5309000000000005E-2</v>
      </c>
      <c r="AH6285">
        <v>0.57388941421561201</v>
      </c>
      <c r="AI6285">
        <v>99.3725619704758</v>
      </c>
      <c r="AJ6285">
        <v>83.650970970456996</v>
      </c>
      <c r="AK6285">
        <v>0.58524382884030701</v>
      </c>
      <c r="AL6285">
        <v>70.166176192195394</v>
      </c>
      <c r="AM6285">
        <v>88.627343107075305</v>
      </c>
      <c r="AN6285">
        <v>1.00000000665575</v>
      </c>
    </row>
    <row r="6286" spans="1:40" x14ac:dyDescent="0.25">
      <c r="A6286" t="str">
        <f>"20190304164248404"</f>
        <v>20190304164248404</v>
      </c>
      <c r="B6286" t="str">
        <f>"1551688968397313"</f>
        <v>1551688968397313</v>
      </c>
      <c r="C6286" t="s">
        <v>40</v>
      </c>
      <c r="D6286">
        <v>4.6430030000000002</v>
      </c>
      <c r="E6286">
        <v>0.56767100000000004</v>
      </c>
      <c r="F6286" t="s">
        <v>41</v>
      </c>
      <c r="G6286">
        <v>-332.35950000000003</v>
      </c>
      <c r="H6286">
        <v>1.000038</v>
      </c>
      <c r="I6286">
        <v>17.50686</v>
      </c>
      <c r="J6286">
        <v>-333.04109999999997</v>
      </c>
      <c r="K6286">
        <v>1.109467</v>
      </c>
      <c r="L6286">
        <v>17.58954</v>
      </c>
      <c r="M6286">
        <v>0.99992289999999995</v>
      </c>
      <c r="N6286">
        <v>-1.107233E-2</v>
      </c>
      <c r="O6286">
        <v>-5.636121E-3</v>
      </c>
      <c r="P6286">
        <v>0.94381959999999998</v>
      </c>
      <c r="Q6286">
        <v>0.32920329999999998</v>
      </c>
      <c r="R6286">
        <v>-2.8806809999999999E-2</v>
      </c>
      <c r="S6286">
        <v>3.3144840000000002</v>
      </c>
      <c r="T6286">
        <v>-0.41744730000000002</v>
      </c>
      <c r="U6286">
        <v>-0.32073970000000002</v>
      </c>
      <c r="V6286">
        <v>2.4092390000000002E-2</v>
      </c>
      <c r="W6286">
        <v>0.33959240000000002</v>
      </c>
      <c r="X6286">
        <v>0.94026410000000005</v>
      </c>
      <c r="Y6286">
        <v>8.9977080000000001E-2</v>
      </c>
      <c r="Z6286">
        <v>-5.4889409999999998E-3</v>
      </c>
      <c r="AA6286">
        <v>0.9959287</v>
      </c>
      <c r="AB6286">
        <v>32</v>
      </c>
      <c r="AC6286">
        <v>0.68159999999994603</v>
      </c>
      <c r="AD6286">
        <v>-0.109429</v>
      </c>
      <c r="AE6286">
        <v>-8.2679999999999795E-2</v>
      </c>
      <c r="AF6286">
        <v>7.6883893803841197E-2</v>
      </c>
      <c r="AG6286">
        <v>-0.109429</v>
      </c>
      <c r="AH6286">
        <v>0.66515905981471701</v>
      </c>
      <c r="AI6286">
        <v>99.281649431768003</v>
      </c>
      <c r="AJ6286">
        <v>83.406599124978101</v>
      </c>
      <c r="AK6286">
        <v>0.67847064344821795</v>
      </c>
      <c r="AL6286">
        <v>70.147957369304905</v>
      </c>
      <c r="AM6286">
        <v>88.532231220069406</v>
      </c>
      <c r="AN6286">
        <v>1.00000000957124</v>
      </c>
    </row>
    <row r="6287" spans="1:40" x14ac:dyDescent="0.25">
      <c r="A6287" t="str">
        <f>"20190304164248415"</f>
        <v>20190304164248415</v>
      </c>
      <c r="B6287" t="str">
        <f>"1551688968407074"</f>
        <v>1551688968407074</v>
      </c>
      <c r="C6287" t="s">
        <v>40</v>
      </c>
      <c r="D6287">
        <v>4.4981869999999997</v>
      </c>
      <c r="E6287">
        <v>0.57350449999999997</v>
      </c>
      <c r="F6287" t="s">
        <v>41</v>
      </c>
      <c r="G6287">
        <v>-332.06959999999998</v>
      </c>
      <c r="H6287">
        <v>1.0034190000000001</v>
      </c>
      <c r="I6287">
        <v>17.43233</v>
      </c>
      <c r="J6287">
        <v>-332.8605</v>
      </c>
      <c r="K6287">
        <v>1.1094630000000001</v>
      </c>
      <c r="L6287">
        <v>17.588010000000001</v>
      </c>
      <c r="M6287">
        <v>0.9999188</v>
      </c>
      <c r="N6287">
        <v>-1.117312E-2</v>
      </c>
      <c r="O6287">
        <v>-6.1295459999999996E-3</v>
      </c>
      <c r="P6287">
        <v>0.94369009999999998</v>
      </c>
      <c r="Q6287">
        <v>0.32938719999999999</v>
      </c>
      <c r="R6287">
        <v>-3.08738E-2</v>
      </c>
      <c r="S6287">
        <v>3.287506</v>
      </c>
      <c r="T6287">
        <v>-0.35873139999999998</v>
      </c>
      <c r="U6287">
        <v>-0.53039550000000002</v>
      </c>
      <c r="V6287">
        <v>2.57124E-2</v>
      </c>
      <c r="W6287">
        <v>0.339866</v>
      </c>
      <c r="X6287">
        <v>0.94012229999999997</v>
      </c>
      <c r="Y6287">
        <v>0.15227760000000001</v>
      </c>
      <c r="Z6287">
        <v>-8.4951479999999992E-3</v>
      </c>
      <c r="AA6287">
        <v>0.98830130000000005</v>
      </c>
      <c r="AB6287">
        <v>32</v>
      </c>
      <c r="AC6287">
        <v>0.79090000000002103</v>
      </c>
      <c r="AD6287">
        <v>-0.106043999999999</v>
      </c>
      <c r="AE6287">
        <v>-0.15568000000000001</v>
      </c>
      <c r="AF6287">
        <v>0.148262939328628</v>
      </c>
      <c r="AG6287">
        <v>-0.106043999999999</v>
      </c>
      <c r="AH6287">
        <v>0.77836828803500602</v>
      </c>
      <c r="AI6287">
        <v>97.622747900881606</v>
      </c>
      <c r="AJ6287">
        <v>79.215537830725196</v>
      </c>
      <c r="AK6287">
        <v>0.79942755827711598</v>
      </c>
      <c r="AL6287">
        <v>70.131289352672695</v>
      </c>
      <c r="AM6287">
        <v>88.433347626743</v>
      </c>
      <c r="AN6287">
        <v>0.99999998221352404</v>
      </c>
    </row>
    <row r="6288" spans="1:40" x14ac:dyDescent="0.25">
      <c r="A6288" t="str">
        <f>"20190304164248427"</f>
        <v>20190304164248427</v>
      </c>
      <c r="B6288" t="str">
        <f>"1551688968417808"</f>
        <v>1551688968417808</v>
      </c>
      <c r="C6288" t="s">
        <v>40</v>
      </c>
      <c r="D6288">
        <v>4.5148159999999997</v>
      </c>
      <c r="E6288">
        <v>0.57649740000000005</v>
      </c>
      <c r="F6288" t="s">
        <v>41</v>
      </c>
      <c r="G6288">
        <v>-332.06380000000001</v>
      </c>
      <c r="H6288">
        <v>1.0159830000000001</v>
      </c>
      <c r="I6288">
        <v>17.446739999999998</v>
      </c>
      <c r="J6288">
        <v>-332.69479999999999</v>
      </c>
      <c r="K6288">
        <v>1.109456</v>
      </c>
      <c r="L6288">
        <v>17.58652</v>
      </c>
      <c r="M6288">
        <v>0.99991490000000005</v>
      </c>
      <c r="N6288">
        <v>-1.126518E-2</v>
      </c>
      <c r="O6288">
        <v>-6.5989739999999996E-3</v>
      </c>
      <c r="P6288">
        <v>0.9436215</v>
      </c>
      <c r="Q6288">
        <v>0.3293875</v>
      </c>
      <c r="R6288">
        <v>-3.2902389999999997E-2</v>
      </c>
      <c r="S6288">
        <v>3.2948300000000001</v>
      </c>
      <c r="T6288">
        <v>-0.38642880000000002</v>
      </c>
      <c r="U6288">
        <v>-0.58233639999999998</v>
      </c>
      <c r="V6288">
        <v>2.7316750000000001E-2</v>
      </c>
      <c r="W6288">
        <v>0.33994760000000002</v>
      </c>
      <c r="X6288">
        <v>0.94004759999999998</v>
      </c>
      <c r="Y6288">
        <v>0.16636329999999999</v>
      </c>
      <c r="Z6288">
        <v>-9.9044319999999995E-3</v>
      </c>
      <c r="AA6288">
        <v>0.98601479999999997</v>
      </c>
      <c r="AB6288">
        <v>32</v>
      </c>
      <c r="AC6288">
        <v>0.63099999999997103</v>
      </c>
      <c r="AD6288">
        <v>-9.3472999999999903E-2</v>
      </c>
      <c r="AE6288">
        <v>-0.13978000000000099</v>
      </c>
      <c r="AF6288">
        <v>0.13283418909727299</v>
      </c>
      <c r="AG6288">
        <v>-9.3472999999999903E-2</v>
      </c>
      <c r="AH6288">
        <v>0.61896163151952399</v>
      </c>
      <c r="AI6288">
        <v>98.399255539417794</v>
      </c>
      <c r="AJ6288">
        <v>77.887582855639295</v>
      </c>
      <c r="AK6288">
        <v>0.63991845169165196</v>
      </c>
      <c r="AL6288">
        <v>70.1263190696463</v>
      </c>
      <c r="AM6288">
        <v>88.335516026414098</v>
      </c>
      <c r="AN6288">
        <v>1.0000000329210399</v>
      </c>
    </row>
    <row r="6289" spans="1:40" x14ac:dyDescent="0.25">
      <c r="A6289" t="str">
        <f>"20190304164248440"</f>
        <v>20190304164248440</v>
      </c>
      <c r="B6289" t="str">
        <f>"1551688968427570"</f>
        <v>1551688968427570</v>
      </c>
      <c r="C6289" t="s">
        <v>40</v>
      </c>
      <c r="D6289">
        <v>4.6819100000000002</v>
      </c>
      <c r="E6289">
        <v>0.57732899999999998</v>
      </c>
      <c r="F6289" t="s">
        <v>41</v>
      </c>
      <c r="G6289">
        <v>-331.78429999999997</v>
      </c>
      <c r="H6289">
        <v>0.99895230000000002</v>
      </c>
      <c r="I6289">
        <v>17.417210000000001</v>
      </c>
      <c r="J6289">
        <v>-332.52379999999999</v>
      </c>
      <c r="K6289">
        <v>1.1094440000000001</v>
      </c>
      <c r="L6289">
        <v>17.584900000000001</v>
      </c>
      <c r="M6289">
        <v>0.99991019999999997</v>
      </c>
      <c r="N6289">
        <v>-1.135978E-2</v>
      </c>
      <c r="O6289">
        <v>-7.098994E-3</v>
      </c>
      <c r="P6289">
        <v>0.94327969999999906</v>
      </c>
      <c r="Q6289">
        <v>0.33015260000000002</v>
      </c>
      <c r="R6289">
        <v>-3.4967959999999999E-2</v>
      </c>
      <c r="S6289">
        <v>3.2975769999999902</v>
      </c>
      <c r="T6289">
        <v>-0.40015329999999999</v>
      </c>
      <c r="U6289">
        <v>-0.61245729999999998</v>
      </c>
      <c r="V6289">
        <v>2.8934939999999999E-2</v>
      </c>
      <c r="W6289">
        <v>0.34079369999999998</v>
      </c>
      <c r="X6289">
        <v>0.93969270000000005</v>
      </c>
      <c r="Y6289">
        <v>0.17430779999999901</v>
      </c>
      <c r="Z6289">
        <v>-1.067997E-2</v>
      </c>
      <c r="AA6289">
        <v>0.98463330000000004</v>
      </c>
      <c r="AB6289">
        <v>32</v>
      </c>
      <c r="AC6289">
        <v>0.73950000000002003</v>
      </c>
      <c r="AD6289">
        <v>-0.110491699999999</v>
      </c>
      <c r="AE6289">
        <v>-0.16769000000000001</v>
      </c>
      <c r="AF6289">
        <v>0.159058478403003</v>
      </c>
      <c r="AG6289">
        <v>-0.110491699999999</v>
      </c>
      <c r="AH6289">
        <v>0.72527233793161905</v>
      </c>
      <c r="AI6289">
        <v>98.463992398288696</v>
      </c>
      <c r="AJ6289">
        <v>77.630371126635595</v>
      </c>
      <c r="AK6289">
        <v>0.75068500683679995</v>
      </c>
      <c r="AL6289">
        <v>70.074761519313896</v>
      </c>
      <c r="AM6289">
        <v>88.236310358499196</v>
      </c>
      <c r="AN6289">
        <v>0.99999997357289105</v>
      </c>
    </row>
    <row r="6290" spans="1:40" x14ac:dyDescent="0.25">
      <c r="A6290" t="str">
        <f>"20190304164248454"</f>
        <v>20190304164248454</v>
      </c>
      <c r="B6290" t="str">
        <f>"1551688968447088"</f>
        <v>1551688968447088</v>
      </c>
      <c r="C6290" t="s">
        <v>40</v>
      </c>
      <c r="D6290">
        <v>4.4879389999999999</v>
      </c>
      <c r="E6290">
        <v>0.58036690000000002</v>
      </c>
      <c r="F6290" t="s">
        <v>41</v>
      </c>
      <c r="G6290">
        <v>-331.77699999999999</v>
      </c>
      <c r="H6290">
        <v>1.015185</v>
      </c>
      <c r="I6290">
        <v>17.44332</v>
      </c>
      <c r="J6290">
        <v>-332.30579999999998</v>
      </c>
      <c r="K6290">
        <v>1.1094280000000001</v>
      </c>
      <c r="L6290">
        <v>17.582639999999898</v>
      </c>
      <c r="M6290">
        <v>0.99990400000000002</v>
      </c>
      <c r="N6290">
        <v>-1.1481659999999999E-2</v>
      </c>
      <c r="O6290">
        <v>-7.7843319999999997E-3</v>
      </c>
      <c r="P6290">
        <v>0.9427373</v>
      </c>
      <c r="Q6290">
        <v>0.331287</v>
      </c>
      <c r="R6290">
        <v>-3.8676370000000002E-2</v>
      </c>
      <c r="S6290">
        <v>3.3031009999999998</v>
      </c>
      <c r="T6290">
        <v>-0.41682740000000001</v>
      </c>
      <c r="U6290">
        <v>-0.62530520000000001</v>
      </c>
      <c r="V6290">
        <v>3.2035950000000001E-2</v>
      </c>
      <c r="W6290">
        <v>0.34202749999999998</v>
      </c>
      <c r="X6290">
        <v>0.93914370000000003</v>
      </c>
      <c r="Y6290">
        <v>0.17691760000000001</v>
      </c>
      <c r="Z6290">
        <v>-1.1169449999999999E-2</v>
      </c>
      <c r="AA6290">
        <v>0.98416230000000005</v>
      </c>
      <c r="AB6290">
        <v>32</v>
      </c>
      <c r="AC6290">
        <v>0.52879999999998895</v>
      </c>
      <c r="AD6290">
        <v>-9.4242999999999993E-2</v>
      </c>
      <c r="AE6290">
        <v>-0.139319999999997</v>
      </c>
      <c r="AF6290">
        <v>0.13129944117741801</v>
      </c>
      <c r="AG6290">
        <v>-9.4242999999999993E-2</v>
      </c>
      <c r="AH6290">
        <v>0.51458492394801203</v>
      </c>
      <c r="AI6290">
        <v>100.062843959617</v>
      </c>
      <c r="AJ6290">
        <v>75.686054963579096</v>
      </c>
      <c r="AK6290">
        <v>0.53936901121318004</v>
      </c>
      <c r="AL6290">
        <v>69.999551463509107</v>
      </c>
      <c r="AM6290">
        <v>88.046291240253794</v>
      </c>
      <c r="AN6290">
        <v>1.0000000010491701</v>
      </c>
    </row>
    <row r="6291" spans="1:40" x14ac:dyDescent="0.25">
      <c r="A6291" t="str">
        <f>"20190304164248467"</f>
        <v>20190304164248467</v>
      </c>
      <c r="B6291" t="str">
        <f>"1551688968457825"</f>
        <v>1551688968457825</v>
      </c>
      <c r="C6291" t="s">
        <v>40</v>
      </c>
      <c r="D6291">
        <v>4.4899559999999896</v>
      </c>
      <c r="E6291">
        <v>0.58130689999999996</v>
      </c>
      <c r="F6291" t="s">
        <v>41</v>
      </c>
      <c r="G6291">
        <v>-331.49360000000001</v>
      </c>
      <c r="H6291">
        <v>1.006867</v>
      </c>
      <c r="I6291">
        <v>17.419060000000002</v>
      </c>
      <c r="J6291">
        <v>-332.13170000000002</v>
      </c>
      <c r="K6291">
        <v>1.1094059999999999</v>
      </c>
      <c r="L6291">
        <v>17.580719999999999</v>
      </c>
      <c r="M6291">
        <v>0.99989799999999995</v>
      </c>
      <c r="N6291">
        <v>-1.1581620000000001E-2</v>
      </c>
      <c r="O6291">
        <v>-8.3626910000000002E-3</v>
      </c>
      <c r="P6291">
        <v>0.94242159999999997</v>
      </c>
      <c r="Q6291">
        <v>0.33192840000000001</v>
      </c>
      <c r="R6291">
        <v>-4.0807740000000002E-2</v>
      </c>
      <c r="S6291">
        <v>3.3014220000000001</v>
      </c>
      <c r="T6291">
        <v>-0.41668260000000001</v>
      </c>
      <c r="U6291">
        <v>-0.66284180000000004</v>
      </c>
      <c r="V6291">
        <v>3.3656659999999998E-2</v>
      </c>
      <c r="W6291">
        <v>0.34275329999999998</v>
      </c>
      <c r="X6291">
        <v>0.9388223</v>
      </c>
      <c r="Y6291">
        <v>0.18712970000000001</v>
      </c>
      <c r="Z6291">
        <v>-1.1801239999999999E-2</v>
      </c>
      <c r="AA6291">
        <v>0.98226429999999998</v>
      </c>
      <c r="AB6291">
        <v>32</v>
      </c>
      <c r="AC6291">
        <v>0.63810000000000799</v>
      </c>
      <c r="AD6291">
        <v>-0.10253899999999901</v>
      </c>
      <c r="AE6291">
        <v>-0.161659999999997</v>
      </c>
      <c r="AF6291">
        <v>0.15261453321137</v>
      </c>
      <c r="AG6291">
        <v>-0.10253899999999901</v>
      </c>
      <c r="AH6291">
        <v>0.62428137438222397</v>
      </c>
      <c r="AI6291">
        <v>99.065290675204494</v>
      </c>
      <c r="AJ6291">
        <v>76.262656124188695</v>
      </c>
      <c r="AK6291">
        <v>0.65079388186190101</v>
      </c>
      <c r="AL6291">
        <v>69.955289983220794</v>
      </c>
      <c r="AM6291">
        <v>87.946832879422701</v>
      </c>
      <c r="AN6291">
        <v>0.99999995320026602</v>
      </c>
    </row>
    <row r="6292" spans="1:40" x14ac:dyDescent="0.25">
      <c r="A6292" t="str">
        <f>"20190304164248479"</f>
        <v>20190304164248479</v>
      </c>
      <c r="B6292" t="str">
        <f>"1551688968467584"</f>
        <v>1551688968467584</v>
      </c>
      <c r="C6292" t="s">
        <v>40</v>
      </c>
      <c r="D6292">
        <v>4.4734030000000002</v>
      </c>
      <c r="E6292">
        <v>0.58205499999999999</v>
      </c>
      <c r="F6292" t="s">
        <v>41</v>
      </c>
      <c r="G6292">
        <v>-331.21260000000001</v>
      </c>
      <c r="H6292">
        <v>0.99325430000000003</v>
      </c>
      <c r="I6292">
        <v>17.391719999999999</v>
      </c>
      <c r="J6292">
        <v>-331.94940000000003</v>
      </c>
      <c r="K6292">
        <v>1.109378</v>
      </c>
      <c r="L6292">
        <v>17.578579999999999</v>
      </c>
      <c r="M6292">
        <v>0.99989130000000004</v>
      </c>
      <c r="N6292">
        <v>-1.16898E-2</v>
      </c>
      <c r="O6292">
        <v>-9.0036019999999994E-3</v>
      </c>
      <c r="P6292">
        <v>0.94223619999999997</v>
      </c>
      <c r="Q6292">
        <v>0.33222699999999999</v>
      </c>
      <c r="R6292">
        <v>-4.2621989999999998E-2</v>
      </c>
      <c r="S6292">
        <v>3.3008120000000001</v>
      </c>
      <c r="T6292">
        <v>-0.41700300000000001</v>
      </c>
      <c r="U6292">
        <v>-0.67758180000000001</v>
      </c>
      <c r="V6292">
        <v>3.490617E-2</v>
      </c>
      <c r="W6292">
        <v>0.3431457</v>
      </c>
      <c r="X6292">
        <v>0.93863339999999995</v>
      </c>
      <c r="Y6292">
        <v>0.1907181</v>
      </c>
      <c r="Z6292">
        <v>-1.1990580000000001E-2</v>
      </c>
      <c r="AA6292">
        <v>0.98157159999999999</v>
      </c>
      <c r="AB6292">
        <v>32</v>
      </c>
      <c r="AC6292">
        <v>0.736800000000016</v>
      </c>
      <c r="AD6292">
        <v>-0.1161237</v>
      </c>
      <c r="AE6292">
        <v>-0.186859999999999</v>
      </c>
      <c r="AF6292">
        <v>0.17610803932141</v>
      </c>
      <c r="AG6292">
        <v>-0.1161237</v>
      </c>
      <c r="AH6292">
        <v>0.72161140496180698</v>
      </c>
      <c r="AI6292">
        <v>98.885384342750498</v>
      </c>
      <c r="AJ6292">
        <v>76.285151084733997</v>
      </c>
      <c r="AK6292">
        <v>0.75181232697148204</v>
      </c>
      <c r="AL6292">
        <v>69.931357319151999</v>
      </c>
      <c r="AM6292">
        <v>87.870249432859097</v>
      </c>
      <c r="AN6292">
        <v>1.00000003586405</v>
      </c>
    </row>
    <row r="6293" spans="1:40" x14ac:dyDescent="0.25">
      <c r="A6293" t="str">
        <f>"20190304164248492"</f>
        <v>20190304164248492</v>
      </c>
      <c r="B6293" t="str">
        <f>"1551688968487648"</f>
        <v>1551688968487648</v>
      </c>
      <c r="C6293" t="s">
        <v>40</v>
      </c>
      <c r="D6293">
        <v>4.4794939999999999</v>
      </c>
      <c r="E6293">
        <v>0.58287440000000001</v>
      </c>
      <c r="F6293" t="s">
        <v>41</v>
      </c>
      <c r="G6293">
        <v>-331.20280000000002</v>
      </c>
      <c r="H6293">
        <v>1.015115</v>
      </c>
      <c r="I6293">
        <v>17.422049999999999</v>
      </c>
      <c r="J6293">
        <v>-331.76859999999999</v>
      </c>
      <c r="K6293">
        <v>1.1093409999999999</v>
      </c>
      <c r="L6293">
        <v>17.576260000000001</v>
      </c>
      <c r="M6293">
        <v>0.99988339999999998</v>
      </c>
      <c r="N6293">
        <v>-1.180197E-2</v>
      </c>
      <c r="O6293">
        <v>-9.6963169999999994E-3</v>
      </c>
      <c r="P6293">
        <v>0.94213009999999997</v>
      </c>
      <c r="Q6293">
        <v>0.33223999999999998</v>
      </c>
      <c r="R6293">
        <v>-4.4805970000000001E-2</v>
      </c>
      <c r="S6293">
        <v>3.2995000000000001</v>
      </c>
      <c r="T6293">
        <v>-0.41643950000000002</v>
      </c>
      <c r="U6293">
        <v>-0.69027709999999998</v>
      </c>
      <c r="V6293">
        <v>3.6482269999999997E-2</v>
      </c>
      <c r="W6293">
        <v>0.34325499999999998</v>
      </c>
      <c r="X6293">
        <v>0.93853339999999996</v>
      </c>
      <c r="Y6293">
        <v>0.19371740000000001</v>
      </c>
      <c r="Z6293">
        <v>-1.211489E-2</v>
      </c>
      <c r="AA6293">
        <v>0.98098249999999998</v>
      </c>
      <c r="AB6293">
        <v>32</v>
      </c>
      <c r="AC6293">
        <v>0.565799999999967</v>
      </c>
      <c r="AD6293">
        <v>-9.4225999999999893E-2</v>
      </c>
      <c r="AE6293">
        <v>-0.15421000000000201</v>
      </c>
      <c r="AF6293">
        <v>0.14497349301623</v>
      </c>
      <c r="AG6293">
        <v>-9.4225999999999893E-2</v>
      </c>
      <c r="AH6293">
        <v>0.552992477355155</v>
      </c>
      <c r="AI6293">
        <v>99.359511414220805</v>
      </c>
      <c r="AJ6293">
        <v>75.309826878382296</v>
      </c>
      <c r="AK6293">
        <v>0.57939324535648395</v>
      </c>
      <c r="AL6293">
        <v>69.924688067064096</v>
      </c>
      <c r="AM6293">
        <v>87.773943636282596</v>
      </c>
      <c r="AN6293">
        <v>0.99999994698245498</v>
      </c>
    </row>
    <row r="6294" spans="1:40" x14ac:dyDescent="0.25">
      <c r="A6294" t="str">
        <f>"20190304164248506"</f>
        <v>20190304164248506</v>
      </c>
      <c r="B6294" t="str">
        <f>"1551688968497409"</f>
        <v>1551688968497409</v>
      </c>
      <c r="C6294" t="s">
        <v>40</v>
      </c>
      <c r="D6294">
        <v>4.4921220000000002</v>
      </c>
      <c r="E6294">
        <v>0.58308090000000001</v>
      </c>
      <c r="F6294" t="s">
        <v>41</v>
      </c>
      <c r="G6294">
        <v>-330.92219999999998</v>
      </c>
      <c r="H6294">
        <v>1.001512</v>
      </c>
      <c r="I6294">
        <v>17.39528</v>
      </c>
      <c r="J6294">
        <v>-331.58440000000002</v>
      </c>
      <c r="K6294">
        <v>1.109299</v>
      </c>
      <c r="L6294">
        <v>17.573789999999999</v>
      </c>
      <c r="M6294">
        <v>0.99987470000000001</v>
      </c>
      <c r="N6294">
        <v>-1.191827E-2</v>
      </c>
      <c r="O6294">
        <v>-1.04358E-2</v>
      </c>
      <c r="P6294">
        <v>0.94200859999999997</v>
      </c>
      <c r="Q6294">
        <v>0.33227899999999999</v>
      </c>
      <c r="R6294">
        <v>-4.7020300000000001E-2</v>
      </c>
      <c r="S6294">
        <v>3.2989809999999999</v>
      </c>
      <c r="T6294">
        <v>-0.42011739999999997</v>
      </c>
      <c r="U6294">
        <v>-0.70465089999999997</v>
      </c>
      <c r="V6294">
        <v>3.804979E-2</v>
      </c>
      <c r="W6294">
        <v>0.34339340000000002</v>
      </c>
      <c r="X6294">
        <v>0.93842060000000005</v>
      </c>
      <c r="Y6294">
        <v>0.19706299999999999</v>
      </c>
      <c r="Z6294">
        <v>-1.2365900000000001E-2</v>
      </c>
      <c r="AA6294">
        <v>0.98031279999999998</v>
      </c>
      <c r="AB6294">
        <v>32</v>
      </c>
      <c r="AC6294">
        <v>0.66220000000004098</v>
      </c>
      <c r="AD6294">
        <v>-0.10778699999999899</v>
      </c>
      <c r="AE6294">
        <v>-0.178509999999999</v>
      </c>
      <c r="AF6294">
        <v>0.16745318509339999</v>
      </c>
      <c r="AG6294">
        <v>-0.10778699999999899</v>
      </c>
      <c r="AH6294">
        <v>0.648021138270515</v>
      </c>
      <c r="AI6294">
        <v>99.148516923623504</v>
      </c>
      <c r="AJ6294">
        <v>75.511310870787895</v>
      </c>
      <c r="AK6294">
        <v>0.677930676553539</v>
      </c>
      <c r="AL6294">
        <v>69.916246633847507</v>
      </c>
      <c r="AM6294">
        <v>87.678121256295498</v>
      </c>
      <c r="AN6294">
        <v>1.00000001809348</v>
      </c>
    </row>
    <row r="6295" spans="1:40" x14ac:dyDescent="0.25">
      <c r="A6295" t="str">
        <f>"20190304164248515"</f>
        <v>20190304164248515</v>
      </c>
      <c r="B6295" t="str">
        <f>"1551688968507169"</f>
        <v>1551688968507169</v>
      </c>
      <c r="C6295" t="s">
        <v>40</v>
      </c>
      <c r="D6295">
        <v>4.4828549999999998</v>
      </c>
      <c r="E6295">
        <v>0.58328040000000003</v>
      </c>
      <c r="F6295" t="s">
        <v>41</v>
      </c>
      <c r="G6295">
        <v>-330.64139999999998</v>
      </c>
      <c r="H6295">
        <v>0.98863270000000003</v>
      </c>
      <c r="I6295">
        <v>17.369420000000002</v>
      </c>
      <c r="J6295">
        <v>-331.4212</v>
      </c>
      <c r="K6295">
        <v>1.1092550000000001</v>
      </c>
      <c r="L6295">
        <v>17.57141</v>
      </c>
      <c r="M6295">
        <v>0.99986569999999997</v>
      </c>
      <c r="N6295">
        <v>-1.202394E-2</v>
      </c>
      <c r="O6295">
        <v>-1.114713E-2</v>
      </c>
      <c r="P6295">
        <v>0.94183640000000002</v>
      </c>
      <c r="Q6295">
        <v>0.33245409999999997</v>
      </c>
      <c r="R6295">
        <v>-4.917846E-2</v>
      </c>
      <c r="S6295">
        <v>3.2978209999999999</v>
      </c>
      <c r="T6295">
        <v>-0.42193209999999998</v>
      </c>
      <c r="U6295">
        <v>-0.7142944</v>
      </c>
      <c r="V6295">
        <v>3.9589930000000002E-2</v>
      </c>
      <c r="W6295">
        <v>0.34365669999999998</v>
      </c>
      <c r="X6295">
        <v>0.93826050000000005</v>
      </c>
      <c r="Y6295">
        <v>0.19914780000000001</v>
      </c>
      <c r="Z6295">
        <v>-1.248867E-2</v>
      </c>
      <c r="AA6295">
        <v>0.97988989999999998</v>
      </c>
      <c r="AB6295">
        <v>32</v>
      </c>
      <c r="AC6295">
        <v>0.77980000000002203</v>
      </c>
      <c r="AD6295">
        <v>-0.120622299999999</v>
      </c>
      <c r="AE6295">
        <v>-0.201989999999998</v>
      </c>
      <c r="AF6295">
        <v>0.18904540441405801</v>
      </c>
      <c r="AG6295">
        <v>-0.120622299999999</v>
      </c>
      <c r="AH6295">
        <v>0.76485333385052201</v>
      </c>
      <c r="AI6295">
        <v>98.704354586272899</v>
      </c>
      <c r="AJ6295">
        <v>76.116706468843901</v>
      </c>
      <c r="AK6295">
        <v>0.79704988958635603</v>
      </c>
      <c r="AL6295">
        <v>69.900183290530606</v>
      </c>
      <c r="AM6295">
        <v>87.583836110357396</v>
      </c>
      <c r="AN6295">
        <v>1.00000002793627</v>
      </c>
    </row>
    <row r="6296" spans="1:40" x14ac:dyDescent="0.25">
      <c r="A6296" t="str">
        <f>"20190304164248527"</f>
        <v>20190304164248527</v>
      </c>
      <c r="B6296" t="str">
        <f>"1551688968516929"</f>
        <v>1551688968516929</v>
      </c>
      <c r="C6296" t="s">
        <v>40</v>
      </c>
      <c r="D6296">
        <v>4.4956290000000001</v>
      </c>
      <c r="E6296">
        <v>0.58334430000000004</v>
      </c>
      <c r="F6296" t="s">
        <v>41</v>
      </c>
      <c r="G6296">
        <v>-330.63279999999997</v>
      </c>
      <c r="H6296">
        <v>1.008033</v>
      </c>
      <c r="I6296">
        <v>17.39827</v>
      </c>
      <c r="J6296">
        <v>-331.26029999999997</v>
      </c>
      <c r="K6296">
        <v>1.1092089999999999</v>
      </c>
      <c r="L6296">
        <v>17.568909999999999</v>
      </c>
      <c r="M6296">
        <v>0.99985590000000002</v>
      </c>
      <c r="N6296">
        <v>-1.21297E-2</v>
      </c>
      <c r="O6296">
        <v>-1.1888950000000001E-2</v>
      </c>
      <c r="P6296">
        <v>0.94160460000000001</v>
      </c>
      <c r="Q6296">
        <v>0.33271610000000001</v>
      </c>
      <c r="R6296">
        <v>-5.1777009999999998E-2</v>
      </c>
      <c r="S6296">
        <v>3.2968139999999999</v>
      </c>
      <c r="T6296">
        <v>-0.42316130000000002</v>
      </c>
      <c r="U6296">
        <v>-0.72351069999999995</v>
      </c>
      <c r="V6296">
        <v>4.1545289999999999E-2</v>
      </c>
      <c r="W6296">
        <v>0.34400459999999999</v>
      </c>
      <c r="X6296">
        <v>0.9380484</v>
      </c>
      <c r="Y6296">
        <v>0.20107539999999999</v>
      </c>
      <c r="Z6296">
        <v>-1.2581999999999999E-2</v>
      </c>
      <c r="AA6296">
        <v>0.97949489999999995</v>
      </c>
      <c r="AB6296">
        <v>32</v>
      </c>
      <c r="AC6296">
        <v>0.62749999999999695</v>
      </c>
      <c r="AD6296">
        <v>-0.101176</v>
      </c>
      <c r="AE6296">
        <v>-0.17063999999999799</v>
      </c>
      <c r="AF6296">
        <v>0.15931061728138299</v>
      </c>
      <c r="AG6296">
        <v>-0.101176</v>
      </c>
      <c r="AH6296">
        <v>0.61460664499156104</v>
      </c>
      <c r="AI6296">
        <v>99.054116781630398</v>
      </c>
      <c r="AJ6296">
        <v>75.468326789732004</v>
      </c>
      <c r="AK6296">
        <v>0.64292906593368304</v>
      </c>
      <c r="AL6296">
        <v>69.878955059121793</v>
      </c>
      <c r="AM6296">
        <v>87.464080507397298</v>
      </c>
      <c r="AN6296">
        <v>0.99999998834245196</v>
      </c>
    </row>
    <row r="6297" spans="1:40" x14ac:dyDescent="0.25">
      <c r="A6297" t="str">
        <f>"20190304164248538"</f>
        <v>20190304164248538</v>
      </c>
      <c r="B6297" t="str">
        <f>"1551688968527666"</f>
        <v>1551688968527666</v>
      </c>
      <c r="C6297" t="s">
        <v>40</v>
      </c>
      <c r="D6297">
        <v>4.4984489999999999</v>
      </c>
      <c r="E6297">
        <v>0.58344419999999897</v>
      </c>
      <c r="F6297" t="s">
        <v>41</v>
      </c>
      <c r="G6297">
        <v>-330.3535</v>
      </c>
      <c r="H6297">
        <v>0.99234330000000004</v>
      </c>
      <c r="I6297">
        <v>17.36713</v>
      </c>
      <c r="J6297">
        <v>-331.1019</v>
      </c>
      <c r="K6297">
        <v>1.1091599999999999</v>
      </c>
      <c r="L6297">
        <v>17.566310000000001</v>
      </c>
      <c r="M6297">
        <v>0.99984510000000004</v>
      </c>
      <c r="N6297">
        <v>-1.22351E-2</v>
      </c>
      <c r="O6297">
        <v>-1.265431E-2</v>
      </c>
      <c r="P6297">
        <v>0.94127510000000003</v>
      </c>
      <c r="Q6297">
        <v>0.33322190000000002</v>
      </c>
      <c r="R6297">
        <v>-5.4448789999999997E-2</v>
      </c>
      <c r="S6297">
        <v>3.2958370000000001</v>
      </c>
      <c r="T6297">
        <v>-0.42463640000000002</v>
      </c>
      <c r="U6297">
        <v>-0.7326355</v>
      </c>
      <c r="V6297">
        <v>4.3555799999999999E-2</v>
      </c>
      <c r="W6297">
        <v>0.34459279999999998</v>
      </c>
      <c r="X6297">
        <v>0.9377413</v>
      </c>
      <c r="Y6297">
        <v>0.2029485</v>
      </c>
      <c r="Z6297">
        <v>-1.267569E-2</v>
      </c>
      <c r="AA6297">
        <v>0.97910739999999996</v>
      </c>
      <c r="AB6297">
        <v>32</v>
      </c>
      <c r="AC6297">
        <v>0.74840000000000295</v>
      </c>
      <c r="AD6297">
        <v>-0.1168167</v>
      </c>
      <c r="AE6297">
        <v>-0.199180000000001</v>
      </c>
      <c r="AF6297">
        <v>0.185472957355894</v>
      </c>
      <c r="AG6297">
        <v>-0.1168167</v>
      </c>
      <c r="AH6297">
        <v>0.73415713073449496</v>
      </c>
      <c r="AI6297">
        <v>98.769875239702401</v>
      </c>
      <c r="AJ6297">
        <v>75.821812176054095</v>
      </c>
      <c r="AK6297">
        <v>0.76618082194579795</v>
      </c>
      <c r="AL6297">
        <v>69.843059785390594</v>
      </c>
      <c r="AM6297">
        <v>87.340661854650904</v>
      </c>
      <c r="AN6297">
        <v>1.0000000256255801</v>
      </c>
    </row>
    <row r="6298" spans="1:40" x14ac:dyDescent="0.25">
      <c r="A6298" t="str">
        <f>"20190304164248549"</f>
        <v>20190304164248549</v>
      </c>
      <c r="B6298" t="str">
        <f>"1551688968537425"</f>
        <v>1551688968537425</v>
      </c>
      <c r="C6298" t="s">
        <v>40</v>
      </c>
      <c r="D6298">
        <v>4.4739940000000002</v>
      </c>
      <c r="E6298">
        <v>0.58346260000000005</v>
      </c>
      <c r="F6298" t="s">
        <v>41</v>
      </c>
      <c r="G6298">
        <v>-330.3449</v>
      </c>
      <c r="H6298">
        <v>1.0115620000000001</v>
      </c>
      <c r="I6298">
        <v>17.395579999999999</v>
      </c>
      <c r="J6298">
        <v>-330.96230000000003</v>
      </c>
      <c r="K6298">
        <v>1.109108</v>
      </c>
      <c r="L6298">
        <v>17.563839999999999</v>
      </c>
      <c r="M6298">
        <v>0.99983449999999996</v>
      </c>
      <c r="N6298">
        <v>-1.2329379999999999E-2</v>
      </c>
      <c r="O6298">
        <v>-1.3381189999999999E-2</v>
      </c>
      <c r="P6298">
        <v>0.94101619999999997</v>
      </c>
      <c r="Q6298">
        <v>0.33348620000000001</v>
      </c>
      <c r="R6298">
        <v>-5.722907E-2</v>
      </c>
      <c r="S6298">
        <v>3.2945250000000001</v>
      </c>
      <c r="T6298">
        <v>-0.42464570000000001</v>
      </c>
      <c r="U6298">
        <v>-0.74209590000000003</v>
      </c>
      <c r="V6298">
        <v>4.5707749999999998E-2</v>
      </c>
      <c r="W6298">
        <v>0.34493040000000003</v>
      </c>
      <c r="X6298">
        <v>0.93751470000000003</v>
      </c>
      <c r="Y6298">
        <v>0.2049821</v>
      </c>
      <c r="Z6298">
        <v>-1.2746499999999999E-2</v>
      </c>
      <c r="AA6298">
        <v>0.97868270000000002</v>
      </c>
      <c r="AB6298">
        <v>32</v>
      </c>
      <c r="AC6298">
        <v>0.61740000000003104</v>
      </c>
      <c r="AD6298">
        <v>-9.7545999999999897E-2</v>
      </c>
      <c r="AE6298">
        <v>-0.16825999999999999</v>
      </c>
      <c r="AF6298">
        <v>0.156349734146846</v>
      </c>
      <c r="AG6298">
        <v>-9.7545999999999897E-2</v>
      </c>
      <c r="AH6298">
        <v>0.60552608230509597</v>
      </c>
      <c r="AI6298">
        <v>98.865410954117607</v>
      </c>
      <c r="AJ6298">
        <v>75.522170952343998</v>
      </c>
      <c r="AK6298">
        <v>0.632947310473429</v>
      </c>
      <c r="AL6298">
        <v>69.822452732124702</v>
      </c>
      <c r="AM6298">
        <v>87.208802020483006</v>
      </c>
      <c r="AN6298">
        <v>0.99999999598515599</v>
      </c>
    </row>
    <row r="6299" spans="1:40" x14ac:dyDescent="0.25">
      <c r="A6299" t="str">
        <f>"20190304164248559"</f>
        <v>20190304164248559</v>
      </c>
      <c r="B6299" t="str">
        <f>"1551688968547185"</f>
        <v>1551688968547185</v>
      </c>
      <c r="C6299" t="s">
        <v>40</v>
      </c>
      <c r="D6299">
        <v>4.4797419999999999</v>
      </c>
      <c r="E6299">
        <v>0.58343730000000005</v>
      </c>
      <c r="F6299" t="s">
        <v>41</v>
      </c>
      <c r="G6299">
        <v>-330.06740000000002</v>
      </c>
      <c r="H6299">
        <v>0.99292610000000003</v>
      </c>
      <c r="I6299">
        <v>17.359909999999999</v>
      </c>
      <c r="J6299">
        <v>-330.80399999999997</v>
      </c>
      <c r="K6299">
        <v>1.1090500000000001</v>
      </c>
      <c r="L6299">
        <v>17.560939999999999</v>
      </c>
      <c r="M6299">
        <v>0.99982139999999997</v>
      </c>
      <c r="N6299">
        <v>-1.243701E-2</v>
      </c>
      <c r="O6299">
        <v>-1.423309E-2</v>
      </c>
      <c r="P6299">
        <v>0.94070920000000002</v>
      </c>
      <c r="Q6299">
        <v>0.33382319999999999</v>
      </c>
      <c r="R6299">
        <v>-6.0235289999999997E-2</v>
      </c>
      <c r="S6299">
        <v>3.2939150000000001</v>
      </c>
      <c r="T6299">
        <v>-0.42749179999999998</v>
      </c>
      <c r="U6299">
        <v>-0.75009159999999997</v>
      </c>
      <c r="V6299">
        <v>4.7977600000000002E-2</v>
      </c>
      <c r="W6299">
        <v>0.34535060000000001</v>
      </c>
      <c r="X6299">
        <v>0.93724660000000004</v>
      </c>
      <c r="Y6299">
        <v>0.2064172</v>
      </c>
      <c r="Z6299">
        <v>-1.2836149999999999E-2</v>
      </c>
      <c r="AA6299">
        <v>0.97837980000000002</v>
      </c>
      <c r="AB6299">
        <v>32</v>
      </c>
      <c r="AC6299">
        <v>0.73660000000000903</v>
      </c>
      <c r="AD6299">
        <v>-0.1161239</v>
      </c>
      <c r="AE6299">
        <v>-0.20102999999999899</v>
      </c>
      <c r="AF6299">
        <v>0.186217473713855</v>
      </c>
      <c r="AG6299">
        <v>-0.1161239</v>
      </c>
      <c r="AH6299">
        <v>0.72267131141945795</v>
      </c>
      <c r="AI6299">
        <v>98.844529615673807</v>
      </c>
      <c r="AJ6299">
        <v>75.550398297703197</v>
      </c>
      <c r="AK6299">
        <v>0.75525858619170905</v>
      </c>
      <c r="AL6299">
        <v>69.796801646089506</v>
      </c>
      <c r="AM6299">
        <v>87.0695901536657</v>
      </c>
      <c r="AN6299">
        <v>1.0000000381168299</v>
      </c>
    </row>
    <row r="6300" spans="1:40" x14ac:dyDescent="0.25">
      <c r="A6300" t="str">
        <f>"20190304164248570"</f>
        <v>20190304164248570</v>
      </c>
      <c r="B6300" t="str">
        <f>"1551688968567681"</f>
        <v>1551688968567681</v>
      </c>
      <c r="C6300" t="s">
        <v>40</v>
      </c>
      <c r="D6300">
        <v>4.4789570000000003</v>
      </c>
      <c r="E6300">
        <v>0.58343210000000001</v>
      </c>
      <c r="F6300" t="s">
        <v>41</v>
      </c>
      <c r="G6300">
        <v>-330.05889999999999</v>
      </c>
      <c r="H6300">
        <v>1.011706</v>
      </c>
      <c r="I6300">
        <v>17.389039999999898</v>
      </c>
      <c r="J6300">
        <v>-330.65620000000001</v>
      </c>
      <c r="K6300">
        <v>1.1089899999999999</v>
      </c>
      <c r="L6300">
        <v>17.558009999999999</v>
      </c>
      <c r="M6300">
        <v>0.99980749999999996</v>
      </c>
      <c r="N6300">
        <v>-1.253809E-2</v>
      </c>
      <c r="O6300">
        <v>-1.510267E-2</v>
      </c>
      <c r="P6300">
        <v>0.94052400000000003</v>
      </c>
      <c r="Q6300">
        <v>0.33382240000000002</v>
      </c>
      <c r="R6300">
        <v>-6.306668E-2</v>
      </c>
      <c r="S6300">
        <v>3.2931520000000001</v>
      </c>
      <c r="T6300">
        <v>-0.43012210000000001</v>
      </c>
      <c r="U6300">
        <v>-0.75909419999999905</v>
      </c>
      <c r="V6300">
        <v>5.005594E-2</v>
      </c>
      <c r="W6300">
        <v>0.3454276</v>
      </c>
      <c r="X6300">
        <v>0.93710950000000004</v>
      </c>
      <c r="Y6300">
        <v>0.20812610000000001</v>
      </c>
      <c r="Z6300">
        <v>-1.293684E-2</v>
      </c>
      <c r="AA6300">
        <v>0.97801640000000001</v>
      </c>
      <c r="AB6300">
        <v>32</v>
      </c>
      <c r="AC6300">
        <v>0.59730000000001804</v>
      </c>
      <c r="AD6300">
        <v>-9.7283999999999898E-2</v>
      </c>
      <c r="AE6300">
        <v>-0.16897000000000101</v>
      </c>
      <c r="AF6300">
        <v>0.15609518638464501</v>
      </c>
      <c r="AG6300">
        <v>-9.7283999999999898E-2</v>
      </c>
      <c r="AH6300">
        <v>0.58540525247880204</v>
      </c>
      <c r="AI6300">
        <v>99.122231354877002</v>
      </c>
      <c r="AJ6300">
        <v>75.069759835600095</v>
      </c>
      <c r="AK6300">
        <v>0.61361974666582197</v>
      </c>
      <c r="AL6300">
        <v>69.792100171666704</v>
      </c>
      <c r="AM6300">
        <v>86.942437230280703</v>
      </c>
      <c r="AN6300">
        <v>1.00000001948064</v>
      </c>
    </row>
    <row r="6301" spans="1:40" x14ac:dyDescent="0.25">
      <c r="A6301" t="str">
        <f>"20190304164248580"</f>
        <v>20190304164248580</v>
      </c>
      <c r="B6301" t="str">
        <f>"1551688968577441"</f>
        <v>1551688968577441</v>
      </c>
      <c r="C6301" t="s">
        <v>40</v>
      </c>
      <c r="D6301">
        <v>4.4960100000000001</v>
      </c>
      <c r="E6301">
        <v>0.58342050000000001</v>
      </c>
      <c r="F6301" t="s">
        <v>41</v>
      </c>
      <c r="G6301">
        <v>-329.78179999999998</v>
      </c>
      <c r="H6301">
        <v>0.99324730000000006</v>
      </c>
      <c r="I6301">
        <v>17.35369</v>
      </c>
      <c r="J6301">
        <v>-330.5016</v>
      </c>
      <c r="K6301">
        <v>1.108924</v>
      </c>
      <c r="L6301">
        <v>17.554839999999999</v>
      </c>
      <c r="M6301">
        <v>0.9997916</v>
      </c>
      <c r="N6301">
        <v>-1.264389E-2</v>
      </c>
      <c r="O6301">
        <v>-1.603359E-2</v>
      </c>
      <c r="P6301">
        <v>0.94045319999999999</v>
      </c>
      <c r="Q6301">
        <v>0.33352520000000002</v>
      </c>
      <c r="R6301">
        <v>-6.5642249999999999E-2</v>
      </c>
      <c r="S6301">
        <v>3.2928160000000002</v>
      </c>
      <c r="T6301">
        <v>-0.43568370000000001</v>
      </c>
      <c r="U6301">
        <v>-0.76846309999999995</v>
      </c>
      <c r="V6301">
        <v>5.182254E-2</v>
      </c>
      <c r="W6301">
        <v>0.34521370000000001</v>
      </c>
      <c r="X6301">
        <v>0.93709229999999999</v>
      </c>
      <c r="Y6301">
        <v>0.20982529999999999</v>
      </c>
      <c r="Z6301">
        <v>-1.310616E-2</v>
      </c>
      <c r="AA6301">
        <v>0.9776511</v>
      </c>
      <c r="AB6301">
        <v>32</v>
      </c>
      <c r="AC6301">
        <v>0.71980000000001998</v>
      </c>
      <c r="AD6301">
        <v>-0.11567669999999999</v>
      </c>
      <c r="AE6301">
        <v>-0.201149999999998</v>
      </c>
      <c r="AF6301">
        <v>0.18514688832962301</v>
      </c>
      <c r="AG6301">
        <v>-0.11567669999999999</v>
      </c>
      <c r="AH6301">
        <v>0.70601957373531998</v>
      </c>
      <c r="AI6301">
        <v>99.005597041503407</v>
      </c>
      <c r="AJ6301">
        <v>75.305609632634201</v>
      </c>
      <c r="AK6301">
        <v>0.73900210262111898</v>
      </c>
      <c r="AL6301">
        <v>69.805159207590407</v>
      </c>
      <c r="AM6301">
        <v>86.834685862902205</v>
      </c>
      <c r="AN6301">
        <v>1.0000000265195099</v>
      </c>
    </row>
    <row r="6302" spans="1:40" x14ac:dyDescent="0.25">
      <c r="A6302" t="str">
        <f>"20190304164248590"</f>
        <v>20190304164248590</v>
      </c>
      <c r="B6302" t="str">
        <f>"1551688968577441"</f>
        <v>1551688968577441</v>
      </c>
      <c r="C6302" t="s">
        <v>40</v>
      </c>
      <c r="D6302">
        <v>4.4960100000000001</v>
      </c>
      <c r="E6302">
        <v>0.58342050000000001</v>
      </c>
      <c r="F6302" t="s">
        <v>41</v>
      </c>
      <c r="G6302">
        <v>-329.77339999999998</v>
      </c>
      <c r="H6302">
        <v>1.0116719999999999</v>
      </c>
      <c r="I6302">
        <v>17.38259</v>
      </c>
      <c r="J6302">
        <v>-330.37729999999999</v>
      </c>
      <c r="K6302">
        <v>1.108867</v>
      </c>
      <c r="L6302">
        <v>17.552060000000001</v>
      </c>
      <c r="M6302">
        <v>0.99977700000000003</v>
      </c>
      <c r="N6302">
        <v>-1.272641E-2</v>
      </c>
      <c r="O6302">
        <v>-1.6855800000000001E-2</v>
      </c>
      <c r="P6302">
        <v>0.94041410000000003</v>
      </c>
      <c r="Q6302">
        <v>0.33313910000000002</v>
      </c>
      <c r="R6302">
        <v>-6.8117709999999998E-2</v>
      </c>
      <c r="S6302">
        <v>3.2915649999999999</v>
      </c>
      <c r="T6302">
        <v>-0.43945879999999998</v>
      </c>
      <c r="U6302">
        <v>-0.77749630000000003</v>
      </c>
      <c r="V6302">
        <v>5.358193E-2</v>
      </c>
      <c r="W6302">
        <v>0.34488970000000002</v>
      </c>
      <c r="X6302">
        <v>0.93711259999999996</v>
      </c>
      <c r="Y6302">
        <v>0.21160470000000001</v>
      </c>
      <c r="Z6302">
        <v>-1.324753E-2</v>
      </c>
      <c r="AA6302">
        <v>0.97726550000000001</v>
      </c>
      <c r="AB6302">
        <v>32</v>
      </c>
      <c r="AC6302">
        <v>0.60390000000000998</v>
      </c>
      <c r="AD6302">
        <v>-9.7195000000000101E-2</v>
      </c>
      <c r="AE6302">
        <v>-0.16947000000000001</v>
      </c>
      <c r="AF6302">
        <v>0.15553119210241401</v>
      </c>
      <c r="AG6302">
        <v>-9.7195000000000101E-2</v>
      </c>
      <c r="AH6302">
        <v>0.59244491571614399</v>
      </c>
      <c r="AI6302">
        <v>99.016546815541105</v>
      </c>
      <c r="AJ6302">
        <v>75.290393092508296</v>
      </c>
      <c r="AK6302">
        <v>0.62018368077506403</v>
      </c>
      <c r="AL6302">
        <v>69.824936717883105</v>
      </c>
      <c r="AM6302">
        <v>86.727523028462599</v>
      </c>
      <c r="AN6302">
        <v>0.99999997673368701</v>
      </c>
    </row>
    <row r="6303" spans="1:40" x14ac:dyDescent="0.25">
      <c r="A6303" t="str">
        <f>"20190304164248600"</f>
        <v>20190304164248600</v>
      </c>
      <c r="B6303" t="str">
        <f>"1551688968596961"</f>
        <v>1551688968596961</v>
      </c>
      <c r="C6303" t="s">
        <v>40</v>
      </c>
      <c r="D6303">
        <v>4.4934329999999996</v>
      </c>
      <c r="E6303">
        <v>0.58332150000000005</v>
      </c>
      <c r="F6303" t="s">
        <v>41</v>
      </c>
      <c r="G6303">
        <v>-329.49759999999998</v>
      </c>
      <c r="H6303">
        <v>0.99100920000000003</v>
      </c>
      <c r="I6303">
        <v>17.341449999999998</v>
      </c>
      <c r="J6303">
        <v>-330.22039999999998</v>
      </c>
      <c r="K6303">
        <v>1.1087899999999999</v>
      </c>
      <c r="L6303">
        <v>17.548459999999999</v>
      </c>
      <c r="M6303">
        <v>0.99975729999999996</v>
      </c>
      <c r="N6303">
        <v>-1.282991E-2</v>
      </c>
      <c r="O6303">
        <v>-1.7905589999999999E-2</v>
      </c>
      <c r="P6303">
        <v>0.94018539999999995</v>
      </c>
      <c r="Q6303">
        <v>0.33325690000000002</v>
      </c>
      <c r="R6303">
        <v>-7.0650959999999999E-2</v>
      </c>
      <c r="S6303">
        <v>3.2891240000000002</v>
      </c>
      <c r="T6303">
        <v>-0.44052390000000002</v>
      </c>
      <c r="U6303">
        <v>-0.78717040000000005</v>
      </c>
      <c r="V6303">
        <v>5.5206499999999999E-2</v>
      </c>
      <c r="W6303">
        <v>0.34508430000000001</v>
      </c>
      <c r="X6303">
        <v>0.93694670000000002</v>
      </c>
      <c r="Y6303">
        <v>0.2134403</v>
      </c>
      <c r="Z6303">
        <v>-1.330142E-2</v>
      </c>
      <c r="AA6303">
        <v>0.97686550000000005</v>
      </c>
      <c r="AB6303">
        <v>32</v>
      </c>
      <c r="AC6303">
        <v>0.72280000000000599</v>
      </c>
      <c r="AD6303">
        <v>-0.1177808</v>
      </c>
      <c r="AE6303">
        <v>-0.207010000000003</v>
      </c>
      <c r="AF6303">
        <v>0.18938603808715199</v>
      </c>
      <c r="AG6303">
        <v>-0.1177808</v>
      </c>
      <c r="AH6303">
        <v>0.70899233863088995</v>
      </c>
      <c r="AI6303">
        <v>99.118034276412402</v>
      </c>
      <c r="AJ6303">
        <v>75.044335547491499</v>
      </c>
      <c r="AK6303">
        <v>0.74324257447234998</v>
      </c>
      <c r="AL6303">
        <v>69.813058695120702</v>
      </c>
      <c r="AM6303">
        <v>86.627933539427303</v>
      </c>
      <c r="AN6303">
        <v>1.00000002519481</v>
      </c>
    </row>
    <row r="6304" spans="1:40" x14ac:dyDescent="0.25">
      <c r="A6304" t="str">
        <f>"20190304164248612"</f>
        <v>20190304164248612</v>
      </c>
      <c r="B6304" t="str">
        <f>"1551688968607697"</f>
        <v>1551688968607697</v>
      </c>
      <c r="C6304" t="s">
        <v>40</v>
      </c>
      <c r="D6304">
        <v>4.5012919999999896</v>
      </c>
      <c r="E6304">
        <v>0.58331980000000005</v>
      </c>
      <c r="F6304" t="s">
        <v>41</v>
      </c>
      <c r="G6304">
        <v>-329.48910000000001</v>
      </c>
      <c r="H6304">
        <v>1.0097</v>
      </c>
      <c r="I6304">
        <v>17.37143</v>
      </c>
      <c r="J6304">
        <v>-330.05630000000002</v>
      </c>
      <c r="K6304">
        <v>1.1087009999999999</v>
      </c>
      <c r="L6304">
        <v>17.544339999999998</v>
      </c>
      <c r="M6304">
        <v>0.99973389999999995</v>
      </c>
      <c r="N6304">
        <v>-1.2932010000000001E-2</v>
      </c>
      <c r="O6304">
        <v>-1.9106789999999998E-2</v>
      </c>
      <c r="P6304">
        <v>0.94001619999999997</v>
      </c>
      <c r="Q6304">
        <v>0.33308140000000003</v>
      </c>
      <c r="R6304">
        <v>-7.3665499999999995E-2</v>
      </c>
      <c r="S6304">
        <v>3.2890009999999998</v>
      </c>
      <c r="T6304">
        <v>-0.44554899999999997</v>
      </c>
      <c r="U6304">
        <v>-0.79577640000000005</v>
      </c>
      <c r="V6304">
        <v>5.7176749999999998E-2</v>
      </c>
      <c r="W6304">
        <v>0.34498269999999998</v>
      </c>
      <c r="X6304">
        <v>0.93686590000000003</v>
      </c>
      <c r="Y6304">
        <v>0.2146477</v>
      </c>
      <c r="Z6304">
        <v>-1.338777E-2</v>
      </c>
      <c r="AA6304">
        <v>0.97659980000000002</v>
      </c>
      <c r="AB6304">
        <v>32</v>
      </c>
      <c r="AC6304">
        <v>0.56720000000001303</v>
      </c>
      <c r="AD6304">
        <v>-9.9000999999999895E-2</v>
      </c>
      <c r="AE6304">
        <v>-0.17290999999999801</v>
      </c>
      <c r="AF6304">
        <v>0.15764579196463799</v>
      </c>
      <c r="AG6304">
        <v>-9.9000999999999895E-2</v>
      </c>
      <c r="AH6304">
        <v>0.554931800511961</v>
      </c>
      <c r="AI6304">
        <v>99.737772309642594</v>
      </c>
      <c r="AJ6304">
        <v>74.141138911881299</v>
      </c>
      <c r="AK6304">
        <v>0.58532272888091896</v>
      </c>
      <c r="AL6304">
        <v>69.819259849852997</v>
      </c>
      <c r="AM6304">
        <v>86.5075810328931</v>
      </c>
      <c r="AN6304">
        <v>0.999999979311331</v>
      </c>
    </row>
    <row r="6305" spans="1:40" x14ac:dyDescent="0.25">
      <c r="A6305" t="str">
        <f>"20190304164248623"</f>
        <v>20190304164248623</v>
      </c>
      <c r="B6305" t="str">
        <f>"1551688968617457"</f>
        <v>1551688968617457</v>
      </c>
      <c r="C6305" t="s">
        <v>40</v>
      </c>
      <c r="D6305">
        <v>4.5006779999999997</v>
      </c>
      <c r="E6305">
        <v>0.58331299999999997</v>
      </c>
      <c r="F6305" t="s">
        <v>41</v>
      </c>
      <c r="G6305">
        <v>-329.21140000000003</v>
      </c>
      <c r="H6305">
        <v>0.99359260000000005</v>
      </c>
      <c r="I6305">
        <v>17.336849999999998</v>
      </c>
      <c r="J6305">
        <v>-329.89330000000001</v>
      </c>
      <c r="K6305">
        <v>1.108609</v>
      </c>
      <c r="L6305">
        <v>17.540129999999898</v>
      </c>
      <c r="M6305">
        <v>0.9997085</v>
      </c>
      <c r="N6305">
        <v>-1.303122E-2</v>
      </c>
      <c r="O6305">
        <v>-2.0328059999999998E-2</v>
      </c>
      <c r="P6305">
        <v>0.93978550000000005</v>
      </c>
      <c r="Q6305">
        <v>0.3330958</v>
      </c>
      <c r="R6305">
        <v>-7.6488630000000002E-2</v>
      </c>
      <c r="S6305">
        <v>3.286896</v>
      </c>
      <c r="T6305">
        <v>-0.44775130000000002</v>
      </c>
      <c r="U6305">
        <v>-0.80688479999999996</v>
      </c>
      <c r="V6305">
        <v>5.8939310000000002E-2</v>
      </c>
      <c r="W6305">
        <v>0.34506690000000001</v>
      </c>
      <c r="X6305">
        <v>0.93672569999999999</v>
      </c>
      <c r="Y6305">
        <v>0.2166824</v>
      </c>
      <c r="Z6305">
        <v>-1.3463309999999999E-2</v>
      </c>
      <c r="AA6305">
        <v>0.9761493</v>
      </c>
      <c r="AB6305">
        <v>32</v>
      </c>
      <c r="AC6305">
        <v>0.68189999999998396</v>
      </c>
      <c r="AD6305">
        <v>-0.1150164</v>
      </c>
      <c r="AE6305">
        <v>-0.20327999999999899</v>
      </c>
      <c r="AF6305">
        <v>0.18455314131578099</v>
      </c>
      <c r="AG6305">
        <v>-0.1150164</v>
      </c>
      <c r="AH6305">
        <v>0.66842718266434198</v>
      </c>
      <c r="AI6305">
        <v>99.417584321464801</v>
      </c>
      <c r="AJ6305">
        <v>74.565139518130394</v>
      </c>
      <c r="AK6305">
        <v>0.70291075732490504</v>
      </c>
      <c r="AL6305">
        <v>69.814120827809901</v>
      </c>
      <c r="AM6305">
        <v>86.399663434347204</v>
      </c>
      <c r="AN6305">
        <v>1.0000000223896801</v>
      </c>
    </row>
    <row r="6306" spans="1:40" x14ac:dyDescent="0.25">
      <c r="A6306" t="str">
        <f>"20190304164248634"</f>
        <v>20190304164248634</v>
      </c>
      <c r="B6306" t="str">
        <f>"1551688968627217"</f>
        <v>1551688968627217</v>
      </c>
      <c r="C6306" t="s">
        <v>40</v>
      </c>
      <c r="D6306">
        <v>4.8045289999999996</v>
      </c>
      <c r="E6306">
        <v>0.58350230000000003</v>
      </c>
      <c r="F6306" t="s">
        <v>41</v>
      </c>
      <c r="G6306">
        <v>-328.93110000000001</v>
      </c>
      <c r="H6306">
        <v>0.97704040000000003</v>
      </c>
      <c r="I6306">
        <v>17.30048</v>
      </c>
      <c r="J6306">
        <v>-329.73739999999998</v>
      </c>
      <c r="K6306">
        <v>1.1085199999999999</v>
      </c>
      <c r="L6306">
        <v>17.535740000000001</v>
      </c>
      <c r="M6306">
        <v>0.99968089999999998</v>
      </c>
      <c r="N6306">
        <v>-1.311973E-2</v>
      </c>
      <c r="O6306">
        <v>-2.159026E-2</v>
      </c>
      <c r="P6306">
        <v>0.93953120000000001</v>
      </c>
      <c r="Q6306">
        <v>0.33307940000000003</v>
      </c>
      <c r="R6306">
        <v>-7.9620410000000003E-2</v>
      </c>
      <c r="S6306">
        <v>3.2848510000000002</v>
      </c>
      <c r="T6306">
        <v>-0.44900469999999998</v>
      </c>
      <c r="U6306">
        <v>-0.81750489999999998</v>
      </c>
      <c r="V6306">
        <v>6.0970700000000003E-2</v>
      </c>
      <c r="W6306">
        <v>0.34510849999999998</v>
      </c>
      <c r="X6306">
        <v>0.93658039999999998</v>
      </c>
      <c r="Y6306">
        <v>0.21854370000000001</v>
      </c>
      <c r="Z6306">
        <v>-1.3495149999999999E-2</v>
      </c>
      <c r="AA6306">
        <v>0.97573379999999998</v>
      </c>
      <c r="AB6306">
        <v>32</v>
      </c>
      <c r="AC6306">
        <v>0.80629999999996405</v>
      </c>
      <c r="AD6306">
        <v>-0.1314796</v>
      </c>
      <c r="AE6306">
        <v>-0.23526</v>
      </c>
      <c r="AF6306">
        <v>0.21258617984477199</v>
      </c>
      <c r="AG6306">
        <v>-0.1314796</v>
      </c>
      <c r="AH6306">
        <v>0.79178963197279995</v>
      </c>
      <c r="AI6306">
        <v>99.111165448503698</v>
      </c>
      <c r="AJ6306">
        <v>74.971189327632104</v>
      </c>
      <c r="AK6306">
        <v>0.83030752759250304</v>
      </c>
      <c r="AL6306">
        <v>69.811582417401993</v>
      </c>
      <c r="AM6306">
        <v>86.275342261356798</v>
      </c>
      <c r="AN6306">
        <v>1.00000007434744</v>
      </c>
    </row>
    <row r="6307" spans="1:40" x14ac:dyDescent="0.25">
      <c r="A6307" t="str">
        <f>"20190304164248645"</f>
        <v>20190304164248645</v>
      </c>
      <c r="B6307" t="str">
        <f>"1551688968636978"</f>
        <v>1551688968636978</v>
      </c>
      <c r="C6307" t="s">
        <v>40</v>
      </c>
      <c r="D6307">
        <v>4.4873779999999996</v>
      </c>
      <c r="E6307">
        <v>0.58367239999999998</v>
      </c>
      <c r="F6307" t="s">
        <v>41</v>
      </c>
      <c r="G6307">
        <v>-328.92489999999998</v>
      </c>
      <c r="H6307">
        <v>0.9977589</v>
      </c>
      <c r="I6307">
        <v>17.329940000000001</v>
      </c>
      <c r="J6307">
        <v>-329.58179999999999</v>
      </c>
      <c r="K6307">
        <v>1.1084309999999999</v>
      </c>
      <c r="L6307">
        <v>17.531189999999999</v>
      </c>
      <c r="M6307">
        <v>0.99965099999999996</v>
      </c>
      <c r="N6307">
        <v>-1.320556E-2</v>
      </c>
      <c r="O6307">
        <v>-2.2882019999999999E-2</v>
      </c>
      <c r="P6307">
        <v>0.93934819999999997</v>
      </c>
      <c r="Q6307">
        <v>0.33275779999999999</v>
      </c>
      <c r="R6307">
        <v>-8.3050410000000005E-2</v>
      </c>
      <c r="S6307">
        <v>3.2812190000000001</v>
      </c>
      <c r="T6307">
        <v>-0.44712809999999997</v>
      </c>
      <c r="U6307">
        <v>-0.83047490000000002</v>
      </c>
      <c r="V6307">
        <v>6.326859E-2</v>
      </c>
      <c r="W6307">
        <v>0.34484169999999997</v>
      </c>
      <c r="X6307">
        <v>0.93652619999999998</v>
      </c>
      <c r="Y6307">
        <v>0.22115989999999999</v>
      </c>
      <c r="Z6307">
        <v>-1.350223E-2</v>
      </c>
      <c r="AA6307">
        <v>0.97514409999999896</v>
      </c>
      <c r="AB6307">
        <v>32</v>
      </c>
      <c r="AC6307">
        <v>0.65690000000000703</v>
      </c>
      <c r="AD6307">
        <v>-0.110672099999999</v>
      </c>
      <c r="AE6307">
        <v>-0.20124999999999801</v>
      </c>
      <c r="AF6307">
        <v>0.18145622438398901</v>
      </c>
      <c r="AG6307">
        <v>-0.110672099999999</v>
      </c>
      <c r="AH6307">
        <v>0.64460663828961595</v>
      </c>
      <c r="AI6307">
        <v>99.384231557593793</v>
      </c>
      <c r="AJ6307">
        <v>74.278133909068103</v>
      </c>
      <c r="AK6307">
        <v>0.67874324542726905</v>
      </c>
      <c r="AL6307">
        <v>69.827867528224701</v>
      </c>
      <c r="AM6307">
        <v>86.135160465318904</v>
      </c>
      <c r="AN6307">
        <v>1.00000001791295</v>
      </c>
    </row>
    <row r="6308" spans="1:40" x14ac:dyDescent="0.25">
      <c r="A6308" t="str">
        <f>"20190304164248656"</f>
        <v>20190304164248656</v>
      </c>
      <c r="B6308" t="str">
        <f>"1551688968647714"</f>
        <v>1551688968647714</v>
      </c>
      <c r="C6308" t="s">
        <v>40</v>
      </c>
      <c r="D6308">
        <v>4.5086399999999998</v>
      </c>
      <c r="E6308">
        <v>0.58384619999999998</v>
      </c>
      <c r="F6308" t="s">
        <v>42</v>
      </c>
      <c r="G6308">
        <v>-321.44200000000001</v>
      </c>
      <c r="H6308" s="1">
        <v>-4.7678609999999997E-6</v>
      </c>
      <c r="I6308">
        <v>15.43336</v>
      </c>
      <c r="J6308">
        <v>-329.42380000000003</v>
      </c>
      <c r="K6308">
        <v>1.1083419999999999</v>
      </c>
      <c r="L6308">
        <v>17.526209999999999</v>
      </c>
      <c r="M6308">
        <v>0.99961739999999999</v>
      </c>
      <c r="N6308">
        <v>-1.328755E-2</v>
      </c>
      <c r="O6308">
        <v>-2.4263659999999999E-2</v>
      </c>
      <c r="P6308">
        <v>0.93911770000000006</v>
      </c>
      <c r="Q6308">
        <v>0.33245049999999998</v>
      </c>
      <c r="R6308">
        <v>-8.6804510000000001E-2</v>
      </c>
      <c r="S6308">
        <v>3.2771300000000001</v>
      </c>
      <c r="T6308">
        <v>-0.44626769999999999</v>
      </c>
      <c r="U6308">
        <v>-0.84460449999999998</v>
      </c>
      <c r="V6308">
        <v>6.5806069999999994E-2</v>
      </c>
      <c r="W6308">
        <v>0.34458260000000002</v>
      </c>
      <c r="X6308">
        <v>0.93644669999999997</v>
      </c>
      <c r="Y6308">
        <v>0.2240337</v>
      </c>
      <c r="Z6308">
        <v>-1.35447999999999E-2</v>
      </c>
      <c r="AA6308">
        <v>0.97448729999999995</v>
      </c>
      <c r="AB6308">
        <v>32</v>
      </c>
      <c r="AC6308">
        <v>7.9818000000000202</v>
      </c>
      <c r="AD6308">
        <v>-1.1083467678609999</v>
      </c>
      <c r="AE6308">
        <v>-2.0928499999999901</v>
      </c>
      <c r="AF6308">
        <v>1.8649032752713799</v>
      </c>
      <c r="AG6308">
        <v>-1.1083467678609999</v>
      </c>
      <c r="AH6308">
        <v>7.8879241460817902</v>
      </c>
      <c r="AI6308">
        <v>97.786452481674999</v>
      </c>
      <c r="AJ6308">
        <v>76.698094303440001</v>
      </c>
      <c r="AK6308">
        <v>8.1808095026278504</v>
      </c>
      <c r="AL6308">
        <v>69.843682096798005</v>
      </c>
      <c r="AM6308">
        <v>85.980313565766494</v>
      </c>
      <c r="AN6308">
        <v>1.00000001450624</v>
      </c>
    </row>
    <row r="6309" spans="1:40" x14ac:dyDescent="0.25">
      <c r="A6309" t="str">
        <f>"20190304164248668"</f>
        <v>20190304164248668</v>
      </c>
      <c r="B6309" t="str">
        <f>"1551688968657474"</f>
        <v>1551688968657474</v>
      </c>
      <c r="C6309" t="s">
        <v>40</v>
      </c>
      <c r="D6309">
        <v>4.4985689999999998</v>
      </c>
      <c r="E6309">
        <v>0.58397659999999996</v>
      </c>
      <c r="F6309" t="s">
        <v>41</v>
      </c>
      <c r="G6309">
        <v>-328.63799999999998</v>
      </c>
      <c r="H6309">
        <v>1.001255</v>
      </c>
      <c r="I6309">
        <v>17.319559999999999</v>
      </c>
      <c r="J6309">
        <v>-329.25850000000003</v>
      </c>
      <c r="K6309">
        <v>1.108249</v>
      </c>
      <c r="L6309">
        <v>17.520779999999998</v>
      </c>
      <c r="M6309">
        <v>0.99957859999999998</v>
      </c>
      <c r="N6309">
        <v>-1.3368990000000001E-2</v>
      </c>
      <c r="O6309">
        <v>-2.5766379999999998E-2</v>
      </c>
      <c r="P6309">
        <v>0.9388917</v>
      </c>
      <c r="Q6309">
        <v>0.33204450000000002</v>
      </c>
      <c r="R6309">
        <v>-9.0711280000000005E-2</v>
      </c>
      <c r="S6309">
        <v>3.272888</v>
      </c>
      <c r="T6309">
        <v>-0.44579350000000001</v>
      </c>
      <c r="U6309">
        <v>-0.85934449999999996</v>
      </c>
      <c r="V6309">
        <v>6.8383749999999993E-2</v>
      </c>
      <c r="W6309">
        <v>0.34422259999999999</v>
      </c>
      <c r="X6309">
        <v>0.93639439999999996</v>
      </c>
      <c r="Y6309">
        <v>0.22696669999999999</v>
      </c>
      <c r="Z6309">
        <v>-1.358785E-2</v>
      </c>
      <c r="AA6309">
        <v>0.9738078</v>
      </c>
      <c r="AB6309">
        <v>32</v>
      </c>
      <c r="AC6309">
        <v>0.62049999999999195</v>
      </c>
      <c r="AD6309">
        <v>-0.10699400000000001</v>
      </c>
      <c r="AE6309">
        <v>-0.20121999999999901</v>
      </c>
      <c r="AF6309">
        <v>0.18031266564120099</v>
      </c>
      <c r="AG6309">
        <v>-0.10699400000000001</v>
      </c>
      <c r="AH6309">
        <v>0.60909238813718203</v>
      </c>
      <c r="AI6309">
        <v>99.560916344950002</v>
      </c>
      <c r="AJ6309">
        <v>73.509402461357396</v>
      </c>
      <c r="AK6309">
        <v>0.64416916311889005</v>
      </c>
      <c r="AL6309">
        <v>69.865652472169998</v>
      </c>
      <c r="AM6309">
        <v>85.823173308817502</v>
      </c>
      <c r="AN6309">
        <v>1.0000000039830901</v>
      </c>
    </row>
    <row r="6310" spans="1:40" x14ac:dyDescent="0.25">
      <c r="A6310" t="str">
        <f>"20190304164248680"</f>
        <v>20190304164248680</v>
      </c>
      <c r="B6310" t="str">
        <f>"1551688968676993"</f>
        <v>1551688968676993</v>
      </c>
      <c r="C6310" t="s">
        <v>40</v>
      </c>
      <c r="D6310">
        <v>4.4915969999999996</v>
      </c>
      <c r="E6310">
        <v>0.58421859999999903</v>
      </c>
      <c r="F6310" t="s">
        <v>42</v>
      </c>
      <c r="G6310">
        <v>-321.12810000000002</v>
      </c>
      <c r="H6310" s="1">
        <v>-4.9319360000000003E-6</v>
      </c>
      <c r="I6310">
        <v>15.34502</v>
      </c>
      <c r="J6310">
        <v>-329.07819999999998</v>
      </c>
      <c r="K6310">
        <v>1.1081460000000001</v>
      </c>
      <c r="L6310">
        <v>17.514559999999999</v>
      </c>
      <c r="M6310">
        <v>0.99953230000000004</v>
      </c>
      <c r="N6310">
        <v>-1.345354E-2</v>
      </c>
      <c r="O6310">
        <v>-2.74597E-2</v>
      </c>
      <c r="P6310">
        <v>0.93860129999999997</v>
      </c>
      <c r="Q6310">
        <v>0.33167449999999998</v>
      </c>
      <c r="R6310">
        <v>-9.4973070000000007E-2</v>
      </c>
      <c r="S6310">
        <v>3.2683110000000002</v>
      </c>
      <c r="T6310">
        <v>-0.44550590000000001</v>
      </c>
      <c r="U6310">
        <v>-0.87463380000000002</v>
      </c>
      <c r="V6310">
        <v>7.1143689999999996E-2</v>
      </c>
      <c r="W6310">
        <v>0.3438986</v>
      </c>
      <c r="X6310">
        <v>0.93630780000000002</v>
      </c>
      <c r="Y6310">
        <v>0.22989029999999999</v>
      </c>
      <c r="Z6310">
        <v>-1.3614009999999999E-2</v>
      </c>
      <c r="AA6310">
        <v>0.97312129999999997</v>
      </c>
      <c r="AB6310">
        <v>32</v>
      </c>
      <c r="AC6310">
        <v>7.95009999999996</v>
      </c>
      <c r="AD6310">
        <v>-1.1081509319359999</v>
      </c>
      <c r="AE6310">
        <v>-2.1695399999999898</v>
      </c>
      <c r="AF6310">
        <v>1.9157530597408401</v>
      </c>
      <c r="AG6310">
        <v>-1.1081509319359999</v>
      </c>
      <c r="AH6310">
        <v>7.8644727874695697</v>
      </c>
      <c r="AI6310">
        <v>97.795482847199906</v>
      </c>
      <c r="AJ6310">
        <v>76.309619240177895</v>
      </c>
      <c r="AK6310">
        <v>8.1699473987723099</v>
      </c>
      <c r="AL6310">
        <v>69.885422949723804</v>
      </c>
      <c r="AM6310">
        <v>85.6548310346964</v>
      </c>
      <c r="AN6310">
        <v>0.99999998402480805</v>
      </c>
    </row>
    <row r="6311" spans="1:40" x14ac:dyDescent="0.25">
      <c r="A6311" t="str">
        <f>"20190304164248694"</f>
        <v>20190304164248694</v>
      </c>
      <c r="B6311" t="str">
        <f>"1551688968687729"</f>
        <v>1551688968687729</v>
      </c>
      <c r="C6311" t="s">
        <v>40</v>
      </c>
      <c r="D6311">
        <v>4.4944899999999999</v>
      </c>
      <c r="E6311">
        <v>0.58429709999999901</v>
      </c>
      <c r="F6311" t="s">
        <v>41</v>
      </c>
      <c r="G6311">
        <v>-328.3503</v>
      </c>
      <c r="H6311">
        <v>1.0090170000000001</v>
      </c>
      <c r="I6311">
        <v>17.315770000000001</v>
      </c>
      <c r="J6311">
        <v>-328.8897</v>
      </c>
      <c r="K6311">
        <v>1.1080449999999999</v>
      </c>
      <c r="L6311">
        <v>17.507539999999999</v>
      </c>
      <c r="M6311">
        <v>0.99947790000000003</v>
      </c>
      <c r="N6311">
        <v>-1.3534259999999999E-2</v>
      </c>
      <c r="O6311">
        <v>-2.9342030000000002E-2</v>
      </c>
      <c r="P6311">
        <v>0.93826900000000002</v>
      </c>
      <c r="Q6311">
        <v>0.33116250000000003</v>
      </c>
      <c r="R6311">
        <v>-9.9914390000000006E-2</v>
      </c>
      <c r="S6311">
        <v>3.2630919999999999</v>
      </c>
      <c r="T6311">
        <v>-0.44434489999999999</v>
      </c>
      <c r="U6311">
        <v>-0.89117429999999997</v>
      </c>
      <c r="V6311">
        <v>7.4407219999999996E-2</v>
      </c>
      <c r="W6311">
        <v>0.34342339999999999</v>
      </c>
      <c r="X6311">
        <v>0.93622859999999997</v>
      </c>
      <c r="Y6311">
        <v>0.23303090000000001</v>
      </c>
      <c r="Z6311">
        <v>-1.361245E-2</v>
      </c>
      <c r="AA6311">
        <v>0.97237410000000002</v>
      </c>
      <c r="AB6311">
        <v>32</v>
      </c>
      <c r="AC6311">
        <v>0.53939999999999999</v>
      </c>
      <c r="AD6311">
        <v>-9.9028000000000102E-2</v>
      </c>
      <c r="AE6311">
        <v>-0.191769999999998</v>
      </c>
      <c r="AF6311">
        <v>0.17074956876851499</v>
      </c>
      <c r="AG6311">
        <v>-9.9028000000000102E-2</v>
      </c>
      <c r="AH6311">
        <v>0.52896696698342605</v>
      </c>
      <c r="AI6311">
        <v>100.101726148881</v>
      </c>
      <c r="AJ6311">
        <v>72.110015553234902</v>
      </c>
      <c r="AK6311">
        <v>0.56459544115966698</v>
      </c>
      <c r="AL6311">
        <v>69.914416684072094</v>
      </c>
      <c r="AM6311">
        <v>85.455941490465094</v>
      </c>
      <c r="AN6311">
        <v>1.00000002875682</v>
      </c>
    </row>
    <row r="6312" spans="1:40" x14ac:dyDescent="0.25">
      <c r="A6312" t="str">
        <f>"20190304164248707"</f>
        <v>20190304164248707</v>
      </c>
      <c r="B6312" t="str">
        <f>"1551688968697489"</f>
        <v>1551688968697489</v>
      </c>
      <c r="C6312" t="s">
        <v>40</v>
      </c>
      <c r="D6312">
        <v>4.524559</v>
      </c>
      <c r="E6312">
        <v>0.58437289999999997</v>
      </c>
      <c r="F6312" t="s">
        <v>41</v>
      </c>
      <c r="G6312">
        <v>-328.06509999999997</v>
      </c>
      <c r="H6312">
        <v>0.99522080000000002</v>
      </c>
      <c r="I6312">
        <v>17.2773</v>
      </c>
      <c r="J6312">
        <v>-328.71480000000003</v>
      </c>
      <c r="K6312">
        <v>1.1079509999999999</v>
      </c>
      <c r="L6312">
        <v>17.50067</v>
      </c>
      <c r="M6312">
        <v>0.99942229999999999</v>
      </c>
      <c r="N6312">
        <v>-1.360578E-2</v>
      </c>
      <c r="O6312">
        <v>-3.11419E-2</v>
      </c>
      <c r="P6312">
        <v>0.93783309999999998</v>
      </c>
      <c r="Q6312">
        <v>0.33102019999999999</v>
      </c>
      <c r="R6312">
        <v>-0.10437639999999999</v>
      </c>
      <c r="S6312">
        <v>3.2577820000000002</v>
      </c>
      <c r="T6312">
        <v>-0.4453278</v>
      </c>
      <c r="U6312">
        <v>-0.90835569999999999</v>
      </c>
      <c r="V6312">
        <v>7.7268569999999995E-2</v>
      </c>
      <c r="W6312">
        <v>0.34331050000000002</v>
      </c>
      <c r="X6312">
        <v>0.93603820000000004</v>
      </c>
      <c r="Y6312">
        <v>0.23641470000000001</v>
      </c>
      <c r="Z6312">
        <v>-1.369341E-2</v>
      </c>
      <c r="AA6312">
        <v>0.97155579999999997</v>
      </c>
      <c r="AB6312">
        <v>32</v>
      </c>
      <c r="AC6312">
        <v>0.64970000000005201</v>
      </c>
      <c r="AD6312">
        <v>-0.1127302</v>
      </c>
      <c r="AE6312">
        <v>-0.22336999999999901</v>
      </c>
      <c r="AF6312">
        <v>0.19770395204455399</v>
      </c>
      <c r="AG6312">
        <v>-0.1127302</v>
      </c>
      <c r="AH6312">
        <v>0.63913378778513397</v>
      </c>
      <c r="AI6312">
        <v>99.564615919587496</v>
      </c>
      <c r="AJ6312">
        <v>72.811535886314502</v>
      </c>
      <c r="AK6312">
        <v>0.67844450718879501</v>
      </c>
      <c r="AL6312">
        <v>69.921303974497107</v>
      </c>
      <c r="AM6312">
        <v>85.281017461695598</v>
      </c>
      <c r="AN6312">
        <v>1.0000000215896601</v>
      </c>
    </row>
    <row r="6313" spans="1:40" x14ac:dyDescent="0.25">
      <c r="A6313" t="str">
        <f>"20190304164248717"</f>
        <v>20190304164248717</v>
      </c>
      <c r="B6313" t="str">
        <f>"1551688968707249"</f>
        <v>1551688968707249</v>
      </c>
      <c r="C6313" t="s">
        <v>40</v>
      </c>
      <c r="D6313">
        <v>4.4907620000000001</v>
      </c>
      <c r="E6313">
        <v>0.58445179999999997</v>
      </c>
      <c r="F6313" t="s">
        <v>42</v>
      </c>
      <c r="G6313">
        <v>-320.60730000000001</v>
      </c>
      <c r="H6313" s="1">
        <v>-5.2043669999999901E-6</v>
      </c>
      <c r="I6313">
        <v>15.196949999999999</v>
      </c>
      <c r="J6313">
        <v>-328.553</v>
      </c>
      <c r="K6313">
        <v>1.1078669999999999</v>
      </c>
      <c r="L6313">
        <v>17.494019999999999</v>
      </c>
      <c r="M6313">
        <v>0.99936610000000003</v>
      </c>
      <c r="N6313">
        <v>-1.36676E-2</v>
      </c>
      <c r="O6313">
        <v>-3.2873239999999998E-2</v>
      </c>
      <c r="P6313">
        <v>0.93731920000000002</v>
      </c>
      <c r="Q6313">
        <v>0.33091540000000003</v>
      </c>
      <c r="R6313">
        <v>-0.10921549999999999</v>
      </c>
      <c r="S6313">
        <v>3.2529300000000001</v>
      </c>
      <c r="T6313">
        <v>-0.44454280000000002</v>
      </c>
      <c r="U6313">
        <v>-0.92431640000000004</v>
      </c>
      <c r="V6313">
        <v>8.0569020000000005E-2</v>
      </c>
      <c r="W6313">
        <v>0.34322229999999998</v>
      </c>
      <c r="X6313">
        <v>0.93579219999999996</v>
      </c>
      <c r="Y6313">
        <v>0.23950840000000001</v>
      </c>
      <c r="Z6313">
        <v>-1.371322E-2</v>
      </c>
      <c r="AA6313">
        <v>0.97079740000000003</v>
      </c>
      <c r="AB6313">
        <v>32</v>
      </c>
      <c r="AC6313">
        <v>7.9457000000000404</v>
      </c>
      <c r="AD6313">
        <v>-1.107872204367</v>
      </c>
      <c r="AE6313">
        <v>-2.2970700000000002</v>
      </c>
      <c r="AF6313">
        <v>1.9987428024035001</v>
      </c>
      <c r="AG6313">
        <v>-1.107872204367</v>
      </c>
      <c r="AH6313">
        <v>7.8756245245854801</v>
      </c>
      <c r="AI6313">
        <v>97.764316593729006</v>
      </c>
      <c r="AJ6313">
        <v>75.759643721923993</v>
      </c>
      <c r="AK6313">
        <v>8.2004765266185</v>
      </c>
      <c r="AL6313">
        <v>69.926683471334599</v>
      </c>
      <c r="AM6313">
        <v>85.079133041063898</v>
      </c>
      <c r="AN6313">
        <v>0.99999997789094397</v>
      </c>
    </row>
    <row r="6314" spans="1:40" x14ac:dyDescent="0.25">
      <c r="A6314" t="str">
        <f>"20190304164248728"</f>
        <v>20190304164248728</v>
      </c>
      <c r="B6314" t="str">
        <f>"1551688968717009"</f>
        <v>1551688968717009</v>
      </c>
      <c r="C6314" t="s">
        <v>40</v>
      </c>
      <c r="D6314">
        <v>4.5052310000000002</v>
      </c>
      <c r="E6314">
        <v>0.58448809999999995</v>
      </c>
      <c r="F6314" t="s">
        <v>42</v>
      </c>
      <c r="G6314">
        <v>-320.44630000000001</v>
      </c>
      <c r="H6314" s="1">
        <v>-5.289886E-6</v>
      </c>
      <c r="I6314">
        <v>15.14392</v>
      </c>
      <c r="J6314">
        <v>-328.40730000000002</v>
      </c>
      <c r="K6314">
        <v>1.107791</v>
      </c>
      <c r="L6314">
        <v>17.4877</v>
      </c>
      <c r="M6314">
        <v>0.99931099999999995</v>
      </c>
      <c r="N6314">
        <v>-1.3720120000000001E-2</v>
      </c>
      <c r="O6314">
        <v>-3.4485790000000002E-2</v>
      </c>
      <c r="P6314">
        <v>0.93685830000000003</v>
      </c>
      <c r="Q6314">
        <v>0.3307252</v>
      </c>
      <c r="R6314">
        <v>-0.1136551</v>
      </c>
      <c r="S6314">
        <v>3.2475890000000001</v>
      </c>
      <c r="T6314">
        <v>-0.44382100000000002</v>
      </c>
      <c r="U6314">
        <v>-0.94146730000000001</v>
      </c>
      <c r="V6314">
        <v>8.3571969999999995E-2</v>
      </c>
      <c r="W6314">
        <v>0.34304319999999999</v>
      </c>
      <c r="X6314">
        <v>0.9355945</v>
      </c>
      <c r="Y6314">
        <v>0.24307670000000001</v>
      </c>
      <c r="Z6314">
        <v>-1.378389E-2</v>
      </c>
      <c r="AA6314">
        <v>0.96990909999999997</v>
      </c>
      <c r="AB6314">
        <v>32</v>
      </c>
      <c r="AC6314">
        <v>7.9610000000000101</v>
      </c>
      <c r="AD6314">
        <v>-1.1077962898860001</v>
      </c>
      <c r="AE6314">
        <v>-2.3437800000000002</v>
      </c>
      <c r="AF6314">
        <v>2.0316169280576601</v>
      </c>
      <c r="AG6314">
        <v>-1.1077962898860001</v>
      </c>
      <c r="AH6314">
        <v>7.8963923237633802</v>
      </c>
      <c r="AI6314">
        <v>97.737208221499301</v>
      </c>
      <c r="AJ6314">
        <v>75.571631420038401</v>
      </c>
      <c r="AK6314">
        <v>8.2284683685996391</v>
      </c>
      <c r="AL6314">
        <v>69.937608683746006</v>
      </c>
      <c r="AM6314">
        <v>84.895602181284005</v>
      </c>
      <c r="AN6314">
        <v>0.99999998983308502</v>
      </c>
    </row>
    <row r="6315" spans="1:40" x14ac:dyDescent="0.25">
      <c r="A6315" t="str">
        <f>"20190304164248738"</f>
        <v>20190304164248738</v>
      </c>
      <c r="B6315" t="str">
        <f>"1551688968727745"</f>
        <v>1551688968727745</v>
      </c>
      <c r="C6315" t="s">
        <v>40</v>
      </c>
      <c r="D6315">
        <v>4.5167299999999999</v>
      </c>
      <c r="E6315">
        <v>0.58453379999999999</v>
      </c>
      <c r="F6315" t="s">
        <v>42</v>
      </c>
      <c r="G6315">
        <v>-320.31229999999999</v>
      </c>
      <c r="H6315" s="1">
        <v>-5.3610900000000004E-6</v>
      </c>
      <c r="I6315">
        <v>15.09957</v>
      </c>
      <c r="J6315">
        <v>-328.25670000000002</v>
      </c>
      <c r="K6315">
        <v>1.1077109999999999</v>
      </c>
      <c r="L6315">
        <v>17.480899999999998</v>
      </c>
      <c r="M6315">
        <v>0.99925030000000004</v>
      </c>
      <c r="N6315">
        <v>-1.3772029999999999E-2</v>
      </c>
      <c r="O6315">
        <v>-3.6187110000000001E-2</v>
      </c>
      <c r="P6315">
        <v>0.93629580000000001</v>
      </c>
      <c r="Q6315">
        <v>0.33067089999999999</v>
      </c>
      <c r="R6315">
        <v>-0.1183529</v>
      </c>
      <c r="S6315">
        <v>3.2428590000000002</v>
      </c>
      <c r="T6315">
        <v>-0.44378790000000001</v>
      </c>
      <c r="U6315">
        <v>-0.95669559999999998</v>
      </c>
      <c r="V6315">
        <v>8.67565E-2</v>
      </c>
      <c r="W6315">
        <v>0.3429952</v>
      </c>
      <c r="X6315">
        <v>0.93532219999999999</v>
      </c>
      <c r="Y6315">
        <v>0.2459799</v>
      </c>
      <c r="Z6315">
        <v>-1.38117E-2</v>
      </c>
      <c r="AA6315">
        <v>0.9691765</v>
      </c>
      <c r="AB6315">
        <v>32</v>
      </c>
      <c r="AC6315">
        <v>7.9444000000000301</v>
      </c>
      <c r="AD6315">
        <v>-1.10771636109</v>
      </c>
      <c r="AE6315">
        <v>-2.38132999999999</v>
      </c>
      <c r="AF6315">
        <v>2.0555884580516701</v>
      </c>
      <c r="AG6315">
        <v>-1.10771636109</v>
      </c>
      <c r="AH6315">
        <v>7.8847224472439699</v>
      </c>
      <c r="AI6315">
        <v>97.741615766284198</v>
      </c>
      <c r="AJ6315">
        <v>75.387941602984299</v>
      </c>
      <c r="AK6315">
        <v>8.2232188050406805</v>
      </c>
      <c r="AL6315">
        <v>69.940536890628493</v>
      </c>
      <c r="AM6315">
        <v>84.700650905525606</v>
      </c>
      <c r="AN6315">
        <v>1.0000000076640601</v>
      </c>
    </row>
    <row r="6316" spans="1:40" x14ac:dyDescent="0.25">
      <c r="A6316" t="str">
        <f>"20190304164248749"</f>
        <v>20190304164248749</v>
      </c>
      <c r="B6316" t="str">
        <f>"1551688968737505"</f>
        <v>1551688968737505</v>
      </c>
      <c r="C6316" t="s">
        <v>40</v>
      </c>
      <c r="D6316">
        <v>4.5570320000000004</v>
      </c>
      <c r="E6316">
        <v>0.58459819999999996</v>
      </c>
      <c r="F6316" t="s">
        <v>42</v>
      </c>
      <c r="G6316">
        <v>-320.15910000000002</v>
      </c>
      <c r="H6316" s="1">
        <v>-5.4429099999999897E-6</v>
      </c>
      <c r="I6316">
        <v>15.04669</v>
      </c>
      <c r="J6316">
        <v>-328.11070000000001</v>
      </c>
      <c r="K6316">
        <v>1.1076360000000001</v>
      </c>
      <c r="L6316">
        <v>17.473970000000001</v>
      </c>
      <c r="M6316">
        <v>0.99918620000000002</v>
      </c>
      <c r="N6316">
        <v>-1.381897E-2</v>
      </c>
      <c r="O6316">
        <v>-3.7898969999999997E-2</v>
      </c>
      <c r="P6316">
        <v>0.9356681</v>
      </c>
      <c r="Q6316">
        <v>0.33080219999999999</v>
      </c>
      <c r="R6316">
        <v>-0.1228646</v>
      </c>
      <c r="S6316">
        <v>3.237457</v>
      </c>
      <c r="T6316">
        <v>-0.44286920000000002</v>
      </c>
      <c r="U6316">
        <v>-0.9732056</v>
      </c>
      <c r="V6316">
        <v>8.9747789999999994E-2</v>
      </c>
      <c r="W6316">
        <v>0.34312779999999998</v>
      </c>
      <c r="X6316">
        <v>0.93499120000000002</v>
      </c>
      <c r="Y6316">
        <v>0.2492819</v>
      </c>
      <c r="Z6316">
        <v>-1.38459E-2</v>
      </c>
      <c r="AA6316">
        <v>0.96833199999999997</v>
      </c>
      <c r="AB6316">
        <v>32</v>
      </c>
      <c r="AC6316">
        <v>7.9515999999999796</v>
      </c>
      <c r="AD6316">
        <v>-1.1076414429100001</v>
      </c>
      <c r="AE6316">
        <v>-2.4272800000000001</v>
      </c>
      <c r="AF6316">
        <v>2.0871037033792099</v>
      </c>
      <c r="AG6316">
        <v>-1.1076414429100001</v>
      </c>
      <c r="AH6316">
        <v>7.8977026907904397</v>
      </c>
      <c r="AI6316">
        <v>97.721853970704601</v>
      </c>
      <c r="AJ6316">
        <v>75.19701187906</v>
      </c>
      <c r="AK6316">
        <v>8.2435780597280406</v>
      </c>
      <c r="AL6316">
        <v>69.932447378675207</v>
      </c>
      <c r="AM6316">
        <v>84.5170996500364</v>
      </c>
      <c r="AN6316">
        <v>0.99999994851008001</v>
      </c>
    </row>
    <row r="6317" spans="1:40" x14ac:dyDescent="0.25">
      <c r="A6317" t="str">
        <f>"20190304164248760"</f>
        <v>20190304164248760</v>
      </c>
      <c r="B6317" t="str">
        <f>"1551688968757025"</f>
        <v>1551688968757025</v>
      </c>
      <c r="C6317" t="s">
        <v>40</v>
      </c>
      <c r="D6317">
        <v>4.587656</v>
      </c>
      <c r="E6317">
        <v>0.58464559999999999</v>
      </c>
      <c r="F6317" t="s">
        <v>42</v>
      </c>
      <c r="G6317">
        <v>-319.99419999999998</v>
      </c>
      <c r="H6317" s="1">
        <v>-5.5308870000000001E-6</v>
      </c>
      <c r="I6317">
        <v>14.990030000000001</v>
      </c>
      <c r="J6317">
        <v>-327.94529999999997</v>
      </c>
      <c r="K6317">
        <v>1.1075520000000001</v>
      </c>
      <c r="L6317">
        <v>17.465910000000001</v>
      </c>
      <c r="M6317">
        <v>0.99910869999999996</v>
      </c>
      <c r="N6317">
        <v>-1.387011E-2</v>
      </c>
      <c r="O6317">
        <v>-3.9867590000000001E-2</v>
      </c>
      <c r="P6317">
        <v>0.93505609999999995</v>
      </c>
      <c r="Q6317">
        <v>0.33082800000000001</v>
      </c>
      <c r="R6317">
        <v>-0.12736919999999999</v>
      </c>
      <c r="S6317">
        <v>3.232361</v>
      </c>
      <c r="T6317">
        <v>-0.44111810000000001</v>
      </c>
      <c r="U6317">
        <v>-0.98922730000000003</v>
      </c>
      <c r="V6317">
        <v>9.2500020000000002E-2</v>
      </c>
      <c r="W6317">
        <v>0.34315820000000002</v>
      </c>
      <c r="X6317">
        <v>0.93471179999999998</v>
      </c>
      <c r="Y6317">
        <v>0.25218750000000001</v>
      </c>
      <c r="Z6317">
        <v>-1.3798990000000001E-2</v>
      </c>
      <c r="AA6317">
        <v>0.96758</v>
      </c>
      <c r="AB6317">
        <v>32</v>
      </c>
      <c r="AC6317">
        <v>7.9510999999999896</v>
      </c>
      <c r="AD6317">
        <v>-1.107557530887</v>
      </c>
      <c r="AE6317">
        <v>-2.4758800000000001</v>
      </c>
      <c r="AF6317">
        <v>2.11940091910704</v>
      </c>
      <c r="AG6317">
        <v>-1.107557530887</v>
      </c>
      <c r="AH6317">
        <v>7.9036913701052596</v>
      </c>
      <c r="AI6317">
        <v>97.708135679770507</v>
      </c>
      <c r="AJ6317">
        <v>74.989089464546694</v>
      </c>
      <c r="AK6317">
        <v>8.2575348145807208</v>
      </c>
      <c r="AL6317">
        <v>69.930593580319297</v>
      </c>
      <c r="AM6317">
        <v>84.348353473986094</v>
      </c>
      <c r="AN6317">
        <v>0.99999997649323902</v>
      </c>
    </row>
    <row r="6318" spans="1:40" x14ac:dyDescent="0.25">
      <c r="A6318" t="str">
        <f>"20190304164248771"</f>
        <v>20190304164248771</v>
      </c>
      <c r="B6318" t="str">
        <f>"1551688968767761"</f>
        <v>1551688968767761</v>
      </c>
      <c r="C6318" t="s">
        <v>40</v>
      </c>
      <c r="D6318">
        <v>4.3985050000000001</v>
      </c>
      <c r="E6318">
        <v>0.58570440000000001</v>
      </c>
      <c r="F6318" t="s">
        <v>43</v>
      </c>
      <c r="G6318">
        <v>-319.43400000000003</v>
      </c>
      <c r="H6318">
        <v>-0.05</v>
      </c>
      <c r="I6318">
        <v>14.81287</v>
      </c>
      <c r="J6318">
        <v>-327.7978</v>
      </c>
      <c r="K6318">
        <v>1.1074740000000001</v>
      </c>
      <c r="L6318">
        <v>17.458189999999998</v>
      </c>
      <c r="M6318">
        <v>0.99903299999999995</v>
      </c>
      <c r="N6318">
        <v>-1.391186E-2</v>
      </c>
      <c r="O6318">
        <v>-4.1710089999999998E-2</v>
      </c>
      <c r="P6318">
        <v>0.93432119999999996</v>
      </c>
      <c r="Q6318">
        <v>0.33120759999999899</v>
      </c>
      <c r="R6318">
        <v>-0.13170209999999999</v>
      </c>
      <c r="S6318">
        <v>3.2266539999999999</v>
      </c>
      <c r="T6318">
        <v>-0.4388262</v>
      </c>
      <c r="U6318">
        <v>-1.005768</v>
      </c>
      <c r="V6318">
        <v>9.5201690000000005E-2</v>
      </c>
      <c r="W6318">
        <v>0.3435318</v>
      </c>
      <c r="X6318">
        <v>0.9343032</v>
      </c>
      <c r="Y6318">
        <v>0.25540750000000001</v>
      </c>
      <c r="Z6318">
        <v>-1.3777029999999999E-2</v>
      </c>
      <c r="AA6318">
        <v>0.96673529999999996</v>
      </c>
      <c r="AB6318">
        <v>32</v>
      </c>
      <c r="AC6318">
        <v>8.3637999999999693</v>
      </c>
      <c r="AD6318">
        <v>-1.1574739999999999</v>
      </c>
      <c r="AE6318">
        <v>-2.6453199999999901</v>
      </c>
      <c r="AF6318">
        <v>2.2548706813732502</v>
      </c>
      <c r="AG6318">
        <v>-1.1574739999999999</v>
      </c>
      <c r="AH6318">
        <v>8.3219782029963998</v>
      </c>
      <c r="AI6318">
        <v>97.646003654966407</v>
      </c>
      <c r="AJ6318">
        <v>74.839507603724698</v>
      </c>
      <c r="AK6318">
        <v>8.6993970516088002</v>
      </c>
      <c r="AL6318">
        <v>69.907802132637997</v>
      </c>
      <c r="AM6318">
        <v>84.181874130079095</v>
      </c>
      <c r="AN6318">
        <v>0.99999996446016703</v>
      </c>
    </row>
    <row r="6319" spans="1:40" x14ac:dyDescent="0.25">
      <c r="A6319" t="str">
        <f>"20190304164248781"</f>
        <v>20190304164248781</v>
      </c>
      <c r="B6319" t="str">
        <f>"1551688968777521"</f>
        <v>1551688968777521</v>
      </c>
      <c r="C6319" t="s">
        <v>40</v>
      </c>
      <c r="D6319">
        <v>4.9090749999999996</v>
      </c>
      <c r="E6319">
        <v>0.58598649999999997</v>
      </c>
      <c r="F6319" t="s">
        <v>43</v>
      </c>
      <c r="G6319">
        <v>-319.13589999999999</v>
      </c>
      <c r="H6319">
        <v>-0.05</v>
      </c>
      <c r="I6319">
        <v>14.68451</v>
      </c>
      <c r="J6319">
        <v>-327.65410000000003</v>
      </c>
      <c r="K6319">
        <v>1.107397</v>
      </c>
      <c r="L6319">
        <v>17.450589999999998</v>
      </c>
      <c r="M6319">
        <v>0.99895540000000005</v>
      </c>
      <c r="N6319">
        <v>-1.3951720000000001E-2</v>
      </c>
      <c r="O6319">
        <v>-4.3516430000000002E-2</v>
      </c>
      <c r="P6319">
        <v>0.93350359999999999</v>
      </c>
      <c r="Q6319">
        <v>0.33180670000000001</v>
      </c>
      <c r="R6319">
        <v>-0.13592650000000001</v>
      </c>
      <c r="S6319">
        <v>3.2181090000000001</v>
      </c>
      <c r="T6319">
        <v>-0.43002689999999999</v>
      </c>
      <c r="U6319">
        <v>-1.0304869999999999</v>
      </c>
      <c r="V6319">
        <v>9.783435E-2</v>
      </c>
      <c r="W6319">
        <v>0.34412239999999999</v>
      </c>
      <c r="X6319">
        <v>0.93381380000000003</v>
      </c>
      <c r="Y6319">
        <v>0.26116699999999998</v>
      </c>
      <c r="Z6319">
        <v>-1.3780779999999999E-2</v>
      </c>
      <c r="AA6319">
        <v>0.96519520000000003</v>
      </c>
      <c r="AB6319">
        <v>32</v>
      </c>
      <c r="AC6319">
        <v>8.5182000000000304</v>
      </c>
      <c r="AD6319">
        <v>-1.157397</v>
      </c>
      <c r="AE6319">
        <v>-2.7660799999999899</v>
      </c>
      <c r="AF6319">
        <v>2.3534377797458701</v>
      </c>
      <c r="AG6319">
        <v>-1.157397</v>
      </c>
      <c r="AH6319">
        <v>8.4887440486865504</v>
      </c>
      <c r="AI6319">
        <v>97.485153180002897</v>
      </c>
      <c r="AJ6319">
        <v>74.504382972458998</v>
      </c>
      <c r="AK6319">
        <v>8.8846503995855404</v>
      </c>
      <c r="AL6319">
        <v>69.871766980891806</v>
      </c>
      <c r="AM6319">
        <v>84.019021910243595</v>
      </c>
      <c r="AN6319">
        <v>0.99999999964606101</v>
      </c>
    </row>
    <row r="6320" spans="1:40" x14ac:dyDescent="0.25">
      <c r="A6320" t="str">
        <f>"20190304164248792"</f>
        <v>20190304164248792</v>
      </c>
      <c r="B6320" t="str">
        <f>"1551688968787281"</f>
        <v>1551688968787281</v>
      </c>
      <c r="C6320" t="s">
        <v>40</v>
      </c>
      <c r="D6320">
        <v>4.8267429999999996</v>
      </c>
      <c r="E6320">
        <v>0.58636219999999994</v>
      </c>
      <c r="F6320" t="s">
        <v>43</v>
      </c>
      <c r="G6320">
        <v>-318.96769999999998</v>
      </c>
      <c r="H6320">
        <v>-0.05</v>
      </c>
      <c r="I6320">
        <v>14.61702</v>
      </c>
      <c r="J6320">
        <v>-327.5018</v>
      </c>
      <c r="K6320">
        <v>1.107308</v>
      </c>
      <c r="L6320">
        <v>17.441960000000002</v>
      </c>
      <c r="M6320">
        <v>0.99886509999999995</v>
      </c>
      <c r="N6320">
        <v>-1.3990600000000001E-2</v>
      </c>
      <c r="O6320">
        <v>-4.5531330000000002E-2</v>
      </c>
      <c r="P6320">
        <v>0.93262239999999996</v>
      </c>
      <c r="Q6320">
        <v>0.33243080000000003</v>
      </c>
      <c r="R6320">
        <v>-0.140377</v>
      </c>
      <c r="S6320">
        <v>3.2132869999999998</v>
      </c>
      <c r="T6320">
        <v>-0.42814990000000003</v>
      </c>
      <c r="U6320">
        <v>-1.0482180000000001</v>
      </c>
      <c r="V6320">
        <v>0.1005114</v>
      </c>
      <c r="W6320">
        <v>0.34473300000000001</v>
      </c>
      <c r="X6320">
        <v>0.93330409999999997</v>
      </c>
      <c r="Y6320">
        <v>0.26445960000000002</v>
      </c>
      <c r="Z6320">
        <v>-1.3751269999999999E-2</v>
      </c>
      <c r="AA6320">
        <v>0.96429869999999995</v>
      </c>
      <c r="AB6320">
        <v>32</v>
      </c>
      <c r="AC6320">
        <v>8.53410000000002</v>
      </c>
      <c r="AD6320">
        <v>-1.157308</v>
      </c>
      <c r="AE6320">
        <v>-2.8249399999999998</v>
      </c>
      <c r="AF6320">
        <v>2.39372921582875</v>
      </c>
      <c r="AG6320">
        <v>-1.157308</v>
      </c>
      <c r="AH6320">
        <v>8.5127926970430305</v>
      </c>
      <c r="AI6320">
        <v>97.456132649959002</v>
      </c>
      <c r="AJ6320">
        <v>74.294441701580894</v>
      </c>
      <c r="AK6320">
        <v>8.9183485505112099</v>
      </c>
      <c r="AL6320">
        <v>69.834501269258396</v>
      </c>
      <c r="AM6320">
        <v>83.853269492880202</v>
      </c>
      <c r="AN6320">
        <v>0.99999996294788396</v>
      </c>
    </row>
    <row r="6321" spans="1:40" x14ac:dyDescent="0.25">
      <c r="A6321" t="str">
        <f>"20190304164248803"</f>
        <v>20190304164248803</v>
      </c>
      <c r="B6321" t="str">
        <f>"1551688968797042"</f>
        <v>1551688968797042</v>
      </c>
      <c r="C6321" t="s">
        <v>40</v>
      </c>
      <c r="D6321">
        <v>4.7690359999999998</v>
      </c>
      <c r="E6321">
        <v>0.58678609999999998</v>
      </c>
      <c r="F6321" t="s">
        <v>43</v>
      </c>
      <c r="G6321">
        <v>-318.79539999999997</v>
      </c>
      <c r="H6321">
        <v>-0.05</v>
      </c>
      <c r="I6321">
        <v>14.5463</v>
      </c>
      <c r="J6321">
        <v>-327.33920000000001</v>
      </c>
      <c r="K6321">
        <v>1.1072109999999999</v>
      </c>
      <c r="L6321">
        <v>17.432559999999999</v>
      </c>
      <c r="M6321">
        <v>0.99876290000000001</v>
      </c>
      <c r="N6321">
        <v>-1.403107E-2</v>
      </c>
      <c r="O6321">
        <v>-4.7707680000000002E-2</v>
      </c>
      <c r="P6321">
        <v>0.93163929999999995</v>
      </c>
      <c r="Q6321">
        <v>0.33328380000000002</v>
      </c>
      <c r="R6321">
        <v>-0.14481229999999901</v>
      </c>
      <c r="S6321">
        <v>3.2081300000000001</v>
      </c>
      <c r="T6321">
        <v>-0.4264445</v>
      </c>
      <c r="U6321">
        <v>-1.066986</v>
      </c>
      <c r="V6321">
        <v>0.1030375</v>
      </c>
      <c r="W6321">
        <v>0.3455703</v>
      </c>
      <c r="X6321">
        <v>0.93271890000000002</v>
      </c>
      <c r="Y6321">
        <v>0.26789950000000001</v>
      </c>
      <c r="Z6321">
        <v>-1.3719719999999999E-2</v>
      </c>
      <c r="AA6321">
        <v>0.96334920000000002</v>
      </c>
      <c r="AB6321">
        <v>31</v>
      </c>
      <c r="AC6321">
        <v>8.5438000000000294</v>
      </c>
      <c r="AD6321">
        <v>-1.157211</v>
      </c>
      <c r="AE6321">
        <v>-2.88626</v>
      </c>
      <c r="AF6321">
        <v>2.4352292417662702</v>
      </c>
      <c r="AG6321">
        <v>-1.157211</v>
      </c>
      <c r="AH6321">
        <v>8.53130278364719</v>
      </c>
      <c r="AI6321">
        <v>97.431316757502202</v>
      </c>
      <c r="AJ6321">
        <v>74.068798069870994</v>
      </c>
      <c r="AK6321">
        <v>8.9472121884272298</v>
      </c>
      <c r="AL6321">
        <v>69.783388229626595</v>
      </c>
      <c r="AM6321">
        <v>83.696093183879597</v>
      </c>
      <c r="AN6321">
        <v>1.0000000525327699</v>
      </c>
    </row>
    <row r="6322" spans="1:40" x14ac:dyDescent="0.25">
      <c r="A6322" t="str">
        <f>"20190304164248814"</f>
        <v>20190304164248814</v>
      </c>
      <c r="B6322" t="str">
        <f>"1551688968807778"</f>
        <v>1551688968807778</v>
      </c>
      <c r="C6322" t="s">
        <v>40</v>
      </c>
      <c r="D6322">
        <v>4.7835700000000001</v>
      </c>
      <c r="E6322">
        <v>0.58718619999999899</v>
      </c>
      <c r="F6322" t="s">
        <v>43</v>
      </c>
      <c r="G6322">
        <v>-318.58600000000001</v>
      </c>
      <c r="H6322">
        <v>-0.05</v>
      </c>
      <c r="I6322">
        <v>14.46402</v>
      </c>
      <c r="J6322">
        <v>-327.18860000000001</v>
      </c>
      <c r="K6322">
        <v>1.1071150000000001</v>
      </c>
      <c r="L6322">
        <v>17.423279999999998</v>
      </c>
      <c r="M6322">
        <v>0.99865910000000002</v>
      </c>
      <c r="N6322">
        <v>-1.4066210000000001E-2</v>
      </c>
      <c r="O6322">
        <v>-4.9822209999999999E-2</v>
      </c>
      <c r="P6322">
        <v>0.93058030000000003</v>
      </c>
      <c r="Q6322">
        <v>0.33427109999999999</v>
      </c>
      <c r="R6322">
        <v>-0.1492763</v>
      </c>
      <c r="S6322">
        <v>3.2027589999999999</v>
      </c>
      <c r="T6322">
        <v>-0.42341980000000001</v>
      </c>
      <c r="U6322">
        <v>-1.086182</v>
      </c>
      <c r="V6322">
        <v>0.1056568</v>
      </c>
      <c r="W6322">
        <v>0.34653529999999999</v>
      </c>
      <c r="X6322">
        <v>0.9320676</v>
      </c>
      <c r="Y6322">
        <v>0.27153630000000001</v>
      </c>
      <c r="Z6322">
        <v>-1.3675299999999901E-2</v>
      </c>
      <c r="AA6322">
        <v>0.96233109999999999</v>
      </c>
      <c r="AB6322">
        <v>31</v>
      </c>
      <c r="AC6322">
        <v>8.60259999999999</v>
      </c>
      <c r="AD6322">
        <v>-1.1571149999999999</v>
      </c>
      <c r="AE6322">
        <v>-2.9592599999999898</v>
      </c>
      <c r="AF6322">
        <v>2.48671145919345</v>
      </c>
      <c r="AG6322">
        <v>-1.1571149999999999</v>
      </c>
      <c r="AH6322">
        <v>8.6002320324797807</v>
      </c>
      <c r="AI6322">
        <v>97.364656648888996</v>
      </c>
      <c r="AJ6322">
        <v>73.873055106333396</v>
      </c>
      <c r="AK6322">
        <v>9.0269950712848104</v>
      </c>
      <c r="AL6322">
        <v>69.724456503700196</v>
      </c>
      <c r="AM6322">
        <v>83.532704030908405</v>
      </c>
      <c r="AN6322">
        <v>1.00000004225104</v>
      </c>
    </row>
    <row r="6323" spans="1:40" x14ac:dyDescent="0.25">
      <c r="A6323" t="str">
        <f>"20190304164248825"</f>
        <v>20190304164248825</v>
      </c>
      <c r="B6323" t="str">
        <f>"1551688968817537"</f>
        <v>1551688968817537</v>
      </c>
      <c r="C6323" t="s">
        <v>40</v>
      </c>
      <c r="D6323">
        <v>4.737018</v>
      </c>
      <c r="E6323">
        <v>0.58763350000000003</v>
      </c>
      <c r="F6323" t="s">
        <v>43</v>
      </c>
      <c r="G6323">
        <v>-318.3811</v>
      </c>
      <c r="H6323">
        <v>-0.05</v>
      </c>
      <c r="I6323">
        <v>14.379490000000001</v>
      </c>
      <c r="J6323">
        <v>-327.04129999999998</v>
      </c>
      <c r="K6323">
        <v>1.107022</v>
      </c>
      <c r="L6323">
        <v>17.41403</v>
      </c>
      <c r="M6323">
        <v>0.998552</v>
      </c>
      <c r="N6323">
        <v>-1.40996E-2</v>
      </c>
      <c r="O6323">
        <v>-5.1916440000000001E-2</v>
      </c>
      <c r="P6323">
        <v>0.92950359999999999</v>
      </c>
      <c r="Q6323">
        <v>0.3353313</v>
      </c>
      <c r="R6323">
        <v>-0.15354660000000001</v>
      </c>
      <c r="S6323">
        <v>3.1974490000000002</v>
      </c>
      <c r="T6323">
        <v>-0.42007729999999999</v>
      </c>
      <c r="U6323">
        <v>-1.105011</v>
      </c>
      <c r="V6323">
        <v>0.1081047</v>
      </c>
      <c r="W6323">
        <v>0.34757139999999997</v>
      </c>
      <c r="X6323">
        <v>0.93140080000000003</v>
      </c>
      <c r="Y6323">
        <v>0.27508480000000002</v>
      </c>
      <c r="Z6323">
        <v>-1.361892E-2</v>
      </c>
      <c r="AA6323">
        <v>0.9613235</v>
      </c>
      <c r="AB6323">
        <v>31</v>
      </c>
      <c r="AC6323">
        <v>8.6601999999999695</v>
      </c>
      <c r="AD6323">
        <v>-1.157022</v>
      </c>
      <c r="AE6323">
        <v>-3.0345399999999998</v>
      </c>
      <c r="AF6323">
        <v>2.5404090099088501</v>
      </c>
      <c r="AG6323">
        <v>-1.157022</v>
      </c>
      <c r="AH6323">
        <v>8.6682719629567409</v>
      </c>
      <c r="AI6323">
        <v>97.299285714251695</v>
      </c>
      <c r="AJ6323">
        <v>73.665730807617294</v>
      </c>
      <c r="AK6323">
        <v>9.1066633115478695</v>
      </c>
      <c r="AL6323">
        <v>69.661156674092695</v>
      </c>
      <c r="AM6323">
        <v>83.379486219680103</v>
      </c>
      <c r="AN6323">
        <v>0.99999997725034395</v>
      </c>
    </row>
    <row r="6324" spans="1:40" x14ac:dyDescent="0.25">
      <c r="A6324" t="str">
        <f>"20190304164248836"</f>
        <v>20190304164248836</v>
      </c>
      <c r="B6324" t="str">
        <f>"1551688968827297"</f>
        <v>1551688968827297</v>
      </c>
      <c r="C6324" t="s">
        <v>40</v>
      </c>
      <c r="D6324">
        <v>4.7467610000000002</v>
      </c>
      <c r="E6324">
        <v>0.58801870000000001</v>
      </c>
      <c r="F6324" t="s">
        <v>43</v>
      </c>
      <c r="G6324">
        <v>-318.16239999999999</v>
      </c>
      <c r="H6324">
        <v>-0.05</v>
      </c>
      <c r="I6324">
        <v>14.288449999999999</v>
      </c>
      <c r="J6324">
        <v>-326.88799999999998</v>
      </c>
      <c r="K6324">
        <v>1.106919</v>
      </c>
      <c r="L6324">
        <v>17.403839999999999</v>
      </c>
      <c r="M6324">
        <v>0.99843130000000002</v>
      </c>
      <c r="N6324">
        <v>-1.4132530000000001E-2</v>
      </c>
      <c r="O6324">
        <v>-5.4177250000000003E-2</v>
      </c>
      <c r="P6324">
        <v>0.92830849999999998</v>
      </c>
      <c r="Q6324">
        <v>0.33653179999999999</v>
      </c>
      <c r="R6324">
        <v>-0.15808</v>
      </c>
      <c r="S6324">
        <v>3.191986</v>
      </c>
      <c r="T6324">
        <v>-0.41595320000000002</v>
      </c>
      <c r="U6324">
        <v>-1.1236569999999999</v>
      </c>
      <c r="V6324">
        <v>0.1106743</v>
      </c>
      <c r="W6324">
        <v>0.34874309999999997</v>
      </c>
      <c r="X6324">
        <v>0.93066079999999995</v>
      </c>
      <c r="Y6324">
        <v>0.27844059999999998</v>
      </c>
      <c r="Z6324">
        <v>-1.3511479999999999E-2</v>
      </c>
      <c r="AA6324">
        <v>0.96035839999999995</v>
      </c>
      <c r="AB6324">
        <v>31</v>
      </c>
      <c r="AC6324">
        <v>8.7255999999999805</v>
      </c>
      <c r="AD6324">
        <v>-1.156919</v>
      </c>
      <c r="AE6324">
        <v>-3.1153900000000001</v>
      </c>
      <c r="AF6324">
        <v>2.5975360845810598</v>
      </c>
      <c r="AG6324">
        <v>-1.156919</v>
      </c>
      <c r="AH6324">
        <v>8.7452252871796805</v>
      </c>
      <c r="AI6324">
        <v>97.227424879885305</v>
      </c>
      <c r="AJ6324">
        <v>73.4573512445576</v>
      </c>
      <c r="AK6324">
        <v>9.1959023813211793</v>
      </c>
      <c r="AL6324">
        <v>69.589544044797606</v>
      </c>
      <c r="AM6324">
        <v>83.218228242973694</v>
      </c>
      <c r="AN6324">
        <v>1.0000000375673599</v>
      </c>
    </row>
    <row r="6325" spans="1:40" x14ac:dyDescent="0.25">
      <c r="A6325" t="str">
        <f>"20190304164248846"</f>
        <v>20190304164248846</v>
      </c>
      <c r="B6325" t="str">
        <f>"1551688968837057"</f>
        <v>1551688968837057</v>
      </c>
      <c r="C6325" t="s">
        <v>40</v>
      </c>
      <c r="D6325">
        <v>4.7455189999999998</v>
      </c>
      <c r="E6325">
        <v>0.58834409999999904</v>
      </c>
      <c r="F6325" t="s">
        <v>43</v>
      </c>
      <c r="G6325">
        <v>-317.93509999999998</v>
      </c>
      <c r="H6325">
        <v>-0.05</v>
      </c>
      <c r="I6325">
        <v>14.1953</v>
      </c>
      <c r="J6325">
        <v>-326.73520000000002</v>
      </c>
      <c r="K6325">
        <v>1.1068209999999901</v>
      </c>
      <c r="L6325">
        <v>17.3934</v>
      </c>
      <c r="M6325">
        <v>0.9983033</v>
      </c>
      <c r="N6325">
        <v>-1.4164009999999999E-2</v>
      </c>
      <c r="O6325">
        <v>-5.6479929999999998E-2</v>
      </c>
      <c r="P6325">
        <v>0.92696540000000005</v>
      </c>
      <c r="Q6325">
        <v>0.33806930000000002</v>
      </c>
      <c r="R6325">
        <v>-0.16261719999999999</v>
      </c>
      <c r="S6325">
        <v>3.1864620000000001</v>
      </c>
      <c r="T6325">
        <v>-0.41176370000000001</v>
      </c>
      <c r="U6325">
        <v>-1.1419680000000001</v>
      </c>
      <c r="V6325">
        <v>0.11322400000000001</v>
      </c>
      <c r="W6325">
        <v>0.35024729999999998</v>
      </c>
      <c r="X6325">
        <v>0.92978879999999997</v>
      </c>
      <c r="Y6325">
        <v>0.28166740000000001</v>
      </c>
      <c r="Z6325">
        <v>-1.339018E-2</v>
      </c>
      <c r="AA6325">
        <v>0.95941869999999996</v>
      </c>
      <c r="AB6325">
        <v>31</v>
      </c>
      <c r="AC6325">
        <v>8.8001000000000396</v>
      </c>
      <c r="AD6325">
        <v>-1.1568210000000001</v>
      </c>
      <c r="AE6325">
        <v>-3.1981000000000002</v>
      </c>
      <c r="AF6325">
        <v>2.6553819398732998</v>
      </c>
      <c r="AG6325">
        <v>-1.1568210000000001</v>
      </c>
      <c r="AH6325">
        <v>8.8318819841362206</v>
      </c>
      <c r="AI6325">
        <v>97.149589788832003</v>
      </c>
      <c r="AJ6325">
        <v>73.2661388086686</v>
      </c>
      <c r="AK6325">
        <v>9.2946988899240992</v>
      </c>
      <c r="AL6325">
        <v>69.497558791381095</v>
      </c>
      <c r="AM6325">
        <v>83.057054030579295</v>
      </c>
      <c r="AN6325">
        <v>1.00000002896936</v>
      </c>
    </row>
    <row r="6326" spans="1:40" x14ac:dyDescent="0.25">
      <c r="A6326" t="str">
        <f>"20190304164248857"</f>
        <v>20190304164248857</v>
      </c>
      <c r="B6326" t="str">
        <f>"1551688968847794"</f>
        <v>1551688968847794</v>
      </c>
      <c r="C6326" t="s">
        <v>40</v>
      </c>
      <c r="D6326">
        <v>4.7262199999999996</v>
      </c>
      <c r="E6326">
        <v>0.58867939999999996</v>
      </c>
      <c r="F6326" t="s">
        <v>43</v>
      </c>
      <c r="G6326">
        <v>-317.69260000000003</v>
      </c>
      <c r="H6326">
        <v>-0.05</v>
      </c>
      <c r="I6326">
        <v>14.09726</v>
      </c>
      <c r="J6326">
        <v>-326.57339999999999</v>
      </c>
      <c r="K6326">
        <v>1.1067129999999901</v>
      </c>
      <c r="L6326">
        <v>17.38184</v>
      </c>
      <c r="M6326">
        <v>0.99815759999999998</v>
      </c>
      <c r="N6326">
        <v>-1.419553E-2</v>
      </c>
      <c r="O6326">
        <v>-5.8989689999999997E-2</v>
      </c>
      <c r="P6326">
        <v>0.92567969999999999</v>
      </c>
      <c r="Q6326">
        <v>0.3392289</v>
      </c>
      <c r="R6326">
        <v>-0.16745470000000001</v>
      </c>
      <c r="S6326">
        <v>3.1813349999999998</v>
      </c>
      <c r="T6326">
        <v>-0.40698869999999998</v>
      </c>
      <c r="U6326">
        <v>-1.159637</v>
      </c>
      <c r="V6326">
        <v>0.1158835</v>
      </c>
      <c r="W6326">
        <v>0.35137119999999999</v>
      </c>
      <c r="X6326">
        <v>0.92903670000000005</v>
      </c>
      <c r="Y6326">
        <v>0.28449000000000002</v>
      </c>
      <c r="Z6326">
        <v>-1.320436E-2</v>
      </c>
      <c r="AA6326">
        <v>0.95858810000000005</v>
      </c>
      <c r="AB6326">
        <v>31</v>
      </c>
      <c r="AC6326">
        <v>8.8807999999999598</v>
      </c>
      <c r="AD6326">
        <v>-1.1567130000000001</v>
      </c>
      <c r="AE6326">
        <v>-3.2845800000000001</v>
      </c>
      <c r="AF6326">
        <v>2.7144222862096901</v>
      </c>
      <c r="AG6326">
        <v>-1.1567130000000001</v>
      </c>
      <c r="AH6326">
        <v>8.9259031907667996</v>
      </c>
      <c r="AI6326">
        <v>97.067707418429293</v>
      </c>
      <c r="AJ6326">
        <v>73.085159565564794</v>
      </c>
      <c r="AK6326">
        <v>9.4009478821649601</v>
      </c>
      <c r="AL6326">
        <v>69.428792093941496</v>
      </c>
      <c r="AM6326">
        <v>82.889927417927595</v>
      </c>
      <c r="AN6326">
        <v>0.99999994785428803</v>
      </c>
    </row>
    <row r="6327" spans="1:40" x14ac:dyDescent="0.25">
      <c r="A6327" t="str">
        <f>"20190304164248869"</f>
        <v>20190304164248869</v>
      </c>
      <c r="B6327" t="str">
        <f>"1551688968857554"</f>
        <v>1551688968857554</v>
      </c>
      <c r="C6327" t="s">
        <v>40</v>
      </c>
      <c r="D6327">
        <v>4.7539720000000001</v>
      </c>
      <c r="E6327">
        <v>0.58897880000000002</v>
      </c>
      <c r="F6327" t="s">
        <v>43</v>
      </c>
      <c r="G6327">
        <v>-317.46589999999998</v>
      </c>
      <c r="H6327">
        <v>-0.05</v>
      </c>
      <c r="I6327">
        <v>14.003690000000001</v>
      </c>
      <c r="J6327">
        <v>-326.41719999999998</v>
      </c>
      <c r="K6327">
        <v>1.106608</v>
      </c>
      <c r="L6327">
        <v>17.370179999999898</v>
      </c>
      <c r="M6327">
        <v>0.99800610000000001</v>
      </c>
      <c r="N6327">
        <v>-1.4224560000000001E-2</v>
      </c>
      <c r="O6327">
        <v>-6.1495010000000003E-2</v>
      </c>
      <c r="P6327">
        <v>0.92449289999999995</v>
      </c>
      <c r="Q6327">
        <v>0.33998129999999999</v>
      </c>
      <c r="R6327">
        <v>-0.1724128</v>
      </c>
      <c r="S6327">
        <v>3.1755680000000002</v>
      </c>
      <c r="T6327">
        <v>-0.40332020000000002</v>
      </c>
      <c r="U6327">
        <v>-1.1778869999999999</v>
      </c>
      <c r="V6327">
        <v>0.1186606</v>
      </c>
      <c r="W6327">
        <v>0.35208489999999998</v>
      </c>
      <c r="X6327">
        <v>0.92841580000000001</v>
      </c>
      <c r="Y6327">
        <v>0.28751520000000003</v>
      </c>
      <c r="Z6327">
        <v>-1.3064569999999999E-2</v>
      </c>
      <c r="AA6327">
        <v>0.95768699999999995</v>
      </c>
      <c r="AB6327">
        <v>31</v>
      </c>
      <c r="AC6327">
        <v>8.9512999999999998</v>
      </c>
      <c r="AD6327">
        <v>-1.1566080000000001</v>
      </c>
      <c r="AE6327">
        <v>-3.36648999999999</v>
      </c>
      <c r="AF6327">
        <v>2.7690985972994402</v>
      </c>
      <c r="AG6327">
        <v>-1.1566080000000001</v>
      </c>
      <c r="AH6327">
        <v>9.00961771682306</v>
      </c>
      <c r="AI6327">
        <v>96.995779059012705</v>
      </c>
      <c r="AJ6327">
        <v>72.915232343621994</v>
      </c>
      <c r="AK6327">
        <v>9.4962550782148707</v>
      </c>
      <c r="AL6327">
        <v>69.385110087391695</v>
      </c>
      <c r="AM6327">
        <v>82.7165282264789</v>
      </c>
      <c r="AN6327">
        <v>1.0000000062450001</v>
      </c>
    </row>
    <row r="6328" spans="1:40" x14ac:dyDescent="0.25">
      <c r="A6328" t="str">
        <f>"20190304164248880"</f>
        <v>20190304164248880</v>
      </c>
      <c r="B6328" t="str">
        <f>"1551688968877073"</f>
        <v>1551688968877073</v>
      </c>
      <c r="C6328" t="s">
        <v>40</v>
      </c>
      <c r="D6328">
        <v>4.7439600000000004</v>
      </c>
      <c r="E6328">
        <v>0.58943299999999998</v>
      </c>
      <c r="F6328" t="s">
        <v>43</v>
      </c>
      <c r="G6328">
        <v>-317.28719999999998</v>
      </c>
      <c r="H6328">
        <v>-0.05</v>
      </c>
      <c r="I6328">
        <v>13.926030000000001</v>
      </c>
      <c r="J6328">
        <v>-326.25839999999999</v>
      </c>
      <c r="K6328">
        <v>1.106498</v>
      </c>
      <c r="L6328">
        <v>17.358000000000001</v>
      </c>
      <c r="M6328">
        <v>0.99784240000000002</v>
      </c>
      <c r="N6328">
        <v>-1.425298E-2</v>
      </c>
      <c r="O6328">
        <v>-6.4091060000000005E-2</v>
      </c>
      <c r="P6328">
        <v>0.92338290000000001</v>
      </c>
      <c r="Q6328">
        <v>0.34038040000000003</v>
      </c>
      <c r="R6328">
        <v>-0.17749819999999999</v>
      </c>
      <c r="S6328">
        <v>3.1696780000000002</v>
      </c>
      <c r="T6328">
        <v>-0.40154089999999998</v>
      </c>
      <c r="U6328">
        <v>-1.1957089999999999</v>
      </c>
      <c r="V6328">
        <v>0.12147810000000001</v>
      </c>
      <c r="W6328">
        <v>0.3524446</v>
      </c>
      <c r="X6328">
        <v>0.92791480000000004</v>
      </c>
      <c r="Y6328">
        <v>0.29033199999999998</v>
      </c>
      <c r="Z6328">
        <v>-1.2949799999999999E-2</v>
      </c>
      <c r="AA6328">
        <v>0.95683839999999998</v>
      </c>
      <c r="AB6328">
        <v>31</v>
      </c>
      <c r="AC6328">
        <v>8.9712000000000103</v>
      </c>
      <c r="AD6328">
        <v>-1.156498</v>
      </c>
      <c r="AE6328">
        <v>-3.4319700000000002</v>
      </c>
      <c r="AF6328">
        <v>2.8091567705157798</v>
      </c>
      <c r="AG6328">
        <v>-1.156498</v>
      </c>
      <c r="AH6328">
        <v>9.04165770763057</v>
      </c>
      <c r="AI6328">
        <v>96.964074453986896</v>
      </c>
      <c r="AJ6328">
        <v>72.740478983859504</v>
      </c>
      <c r="AK6328">
        <v>9.5383658709075494</v>
      </c>
      <c r="AL6328">
        <v>69.363089144749793</v>
      </c>
      <c r="AM6328">
        <v>82.541531413668494</v>
      </c>
      <c r="AN6328">
        <v>1.0000000004539</v>
      </c>
    </row>
    <row r="6329" spans="1:40" x14ac:dyDescent="0.25">
      <c r="A6329" t="str">
        <f>"20190304164248891"</f>
        <v>20190304164248891</v>
      </c>
      <c r="B6329" t="str">
        <f>"1551688968887810"</f>
        <v>1551688968887810</v>
      </c>
      <c r="C6329" t="s">
        <v>40</v>
      </c>
      <c r="D6329">
        <v>4.727849</v>
      </c>
      <c r="E6329">
        <v>0.58962550000000002</v>
      </c>
      <c r="F6329" t="s">
        <v>43</v>
      </c>
      <c r="G6329">
        <v>-317.16460000000001</v>
      </c>
      <c r="H6329">
        <v>-0.05</v>
      </c>
      <c r="I6329">
        <v>13.866490000000001</v>
      </c>
      <c r="J6329">
        <v>-326.1069</v>
      </c>
      <c r="K6329">
        <v>1.1063909999999999</v>
      </c>
      <c r="L6329">
        <v>17.345700000000001</v>
      </c>
      <c r="M6329">
        <v>0.99767240000000001</v>
      </c>
      <c r="N6329">
        <v>-1.4279099999999999E-2</v>
      </c>
      <c r="O6329">
        <v>-6.6677410000000006E-2</v>
      </c>
      <c r="P6329">
        <v>0.92238580000000003</v>
      </c>
      <c r="Q6329">
        <v>0.34014339999999998</v>
      </c>
      <c r="R6329">
        <v>-0.18304880000000001</v>
      </c>
      <c r="S6329">
        <v>3.1637569999999999</v>
      </c>
      <c r="T6329">
        <v>-0.40235300000000002</v>
      </c>
      <c r="U6329">
        <v>-1.2147220000000001</v>
      </c>
      <c r="V6329">
        <v>0.12475609999999999</v>
      </c>
      <c r="W6329">
        <v>0.35216180000000002</v>
      </c>
      <c r="X6329">
        <v>0.92758719999999995</v>
      </c>
      <c r="Y6329">
        <v>0.2934447</v>
      </c>
      <c r="Z6329">
        <v>-1.2919389999999999E-2</v>
      </c>
      <c r="AA6329">
        <v>0.95588870000000004</v>
      </c>
      <c r="AB6329">
        <v>31</v>
      </c>
      <c r="AC6329">
        <v>8.9422999999999799</v>
      </c>
      <c r="AD6329">
        <v>-1.1563909999999999</v>
      </c>
      <c r="AE6329">
        <v>-3.4792100000000001</v>
      </c>
      <c r="AF6329">
        <v>2.8339939629152902</v>
      </c>
      <c r="AG6329">
        <v>-1.1563909999999999</v>
      </c>
      <c r="AH6329">
        <v>9.0233468475970504</v>
      </c>
      <c r="AI6329">
        <v>96.970779240966294</v>
      </c>
      <c r="AJ6329">
        <v>72.563879130833797</v>
      </c>
      <c r="AK6329">
        <v>9.5283550657372604</v>
      </c>
      <c r="AL6329">
        <v>69.380402745154797</v>
      </c>
      <c r="AM6329">
        <v>82.339954862503404</v>
      </c>
      <c r="AN6329">
        <v>1.0000000157351401</v>
      </c>
    </row>
    <row r="6330" spans="1:40" x14ac:dyDescent="0.25">
      <c r="A6330" t="str">
        <f>"20190304164248903"</f>
        <v>20190304164248903</v>
      </c>
      <c r="B6330" t="str">
        <f>"1551688968897569"</f>
        <v>1551688968897569</v>
      </c>
      <c r="C6330" t="s">
        <v>40</v>
      </c>
      <c r="D6330">
        <v>4.7631759999999996</v>
      </c>
      <c r="E6330">
        <v>0.58979179999999998</v>
      </c>
      <c r="F6330" t="s">
        <v>43</v>
      </c>
      <c r="G6330">
        <v>-317.09320000000002</v>
      </c>
      <c r="H6330">
        <v>-0.05</v>
      </c>
      <c r="I6330">
        <v>13.826140000000001</v>
      </c>
      <c r="J6330">
        <v>-325.94319999999999</v>
      </c>
      <c r="K6330">
        <v>1.1062730000000001</v>
      </c>
      <c r="L6330">
        <v>17.332179999999902</v>
      </c>
      <c r="M6330">
        <v>0.99747940000000002</v>
      </c>
      <c r="N6330">
        <v>-1.430647E-2</v>
      </c>
      <c r="O6330">
        <v>-6.9501939999999998E-2</v>
      </c>
      <c r="P6330">
        <v>0.9213884</v>
      </c>
      <c r="Q6330">
        <v>0.33983360000000001</v>
      </c>
      <c r="R6330">
        <v>-0.18856510000000001</v>
      </c>
      <c r="S6330">
        <v>3.1571959999999999</v>
      </c>
      <c r="T6330">
        <v>-0.40504679999999998</v>
      </c>
      <c r="U6330">
        <v>-1.232788</v>
      </c>
      <c r="V6330">
        <v>0.12778619999999999</v>
      </c>
      <c r="W6330">
        <v>0.35180650000000002</v>
      </c>
      <c r="X6330">
        <v>0.92730950000000001</v>
      </c>
      <c r="Y6330">
        <v>0.29612660000000002</v>
      </c>
      <c r="Z6330">
        <v>-1.288069E-2</v>
      </c>
      <c r="AA6330">
        <v>0.95506190000000002</v>
      </c>
      <c r="AB6330">
        <v>31</v>
      </c>
      <c r="AC6330">
        <v>8.8499999999999606</v>
      </c>
      <c r="AD6330">
        <v>-1.1562729999999899</v>
      </c>
      <c r="AE6330">
        <v>-3.5060399999999898</v>
      </c>
      <c r="AF6330">
        <v>2.8404951956906199</v>
      </c>
      <c r="AG6330">
        <v>-1.1562729999999899</v>
      </c>
      <c r="AH6330">
        <v>8.9403861426747309</v>
      </c>
      <c r="AI6330">
        <v>97.026827425837695</v>
      </c>
      <c r="AJ6330">
        <v>72.374164475199606</v>
      </c>
      <c r="AK6330">
        <v>9.4517662152320003</v>
      </c>
      <c r="AL6330">
        <v>69.402151781101196</v>
      </c>
      <c r="AM6330">
        <v>82.153875454117099</v>
      </c>
      <c r="AN6330">
        <v>1.0000000175714601</v>
      </c>
    </row>
    <row r="6331" spans="1:40" x14ac:dyDescent="0.25">
      <c r="A6331" t="str">
        <f>"20190304164248915"</f>
        <v>20190304164248915</v>
      </c>
      <c r="B6331" t="str">
        <f>"1551688968907329"</f>
        <v>1551688968907329</v>
      </c>
      <c r="C6331" t="s">
        <v>40</v>
      </c>
      <c r="D6331">
        <v>4.7807430000000002</v>
      </c>
      <c r="E6331">
        <v>0.58994060000000004</v>
      </c>
      <c r="F6331" t="s">
        <v>43</v>
      </c>
      <c r="G6331">
        <v>-317.01560000000001</v>
      </c>
      <c r="H6331">
        <v>-0.05</v>
      </c>
      <c r="I6331">
        <v>13.788270000000001</v>
      </c>
      <c r="J6331">
        <v>-325.77</v>
      </c>
      <c r="K6331">
        <v>1.10615</v>
      </c>
      <c r="L6331">
        <v>17.317019999999999</v>
      </c>
      <c r="M6331">
        <v>0.99725649999999999</v>
      </c>
      <c r="N6331">
        <v>-1.433457E-2</v>
      </c>
      <c r="O6331">
        <v>-7.2624359999999999E-2</v>
      </c>
      <c r="P6331">
        <v>0.92038350000000002</v>
      </c>
      <c r="Q6331">
        <v>0.33935470000000001</v>
      </c>
      <c r="R6331">
        <v>-0.19425000000000001</v>
      </c>
      <c r="S6331">
        <v>3.1505130000000001</v>
      </c>
      <c r="T6331">
        <v>-0.40804659999999998</v>
      </c>
      <c r="U6331">
        <v>-1.2506409999999999</v>
      </c>
      <c r="V6331">
        <v>0.1307142</v>
      </c>
      <c r="W6331">
        <v>0.35128019999999999</v>
      </c>
      <c r="X6331">
        <v>0.92710090000000001</v>
      </c>
      <c r="Y6331">
        <v>0.2984772</v>
      </c>
      <c r="Z6331">
        <v>-1.2791840000000001E-2</v>
      </c>
      <c r="AA6331">
        <v>0.95433100000000004</v>
      </c>
      <c r="AB6331">
        <v>31</v>
      </c>
      <c r="AC6331">
        <v>8.7543999999999702</v>
      </c>
      <c r="AD6331">
        <v>-1.15615</v>
      </c>
      <c r="AE6331">
        <v>-3.5287499999999898</v>
      </c>
      <c r="AF6331">
        <v>2.8409577959787899</v>
      </c>
      <c r="AG6331">
        <v>-1.15615</v>
      </c>
      <c r="AH6331">
        <v>8.85472598734715</v>
      </c>
      <c r="AI6331">
        <v>97.087012228819106</v>
      </c>
      <c r="AJ6331">
        <v>72.211637078504594</v>
      </c>
      <c r="AK6331">
        <v>9.3709069108615992</v>
      </c>
      <c r="AL6331">
        <v>69.434362773642803</v>
      </c>
      <c r="AM6331">
        <v>81.974628773352705</v>
      </c>
      <c r="AN6331">
        <v>1.00000002988724</v>
      </c>
    </row>
    <row r="6332" spans="1:40" x14ac:dyDescent="0.25">
      <c r="A6332" t="str">
        <f>"20190304164248925"</f>
        <v>20190304164248925</v>
      </c>
      <c r="B6332" t="str">
        <f>"1551688968917089"</f>
        <v>1551688968917089</v>
      </c>
      <c r="C6332" t="s">
        <v>40</v>
      </c>
      <c r="D6332">
        <v>4.7617729999999998</v>
      </c>
      <c r="E6332">
        <v>0.59008899999999997</v>
      </c>
      <c r="F6332" t="s">
        <v>43</v>
      </c>
      <c r="G6332">
        <v>-316.93360000000001</v>
      </c>
      <c r="H6332">
        <v>-0.05</v>
      </c>
      <c r="I6332">
        <v>13.748250000000001</v>
      </c>
      <c r="J6332">
        <v>-325.61680000000001</v>
      </c>
      <c r="K6332">
        <v>1.1060449999999999</v>
      </c>
      <c r="L6332">
        <v>17.30322</v>
      </c>
      <c r="M6332">
        <v>0.99704769999999998</v>
      </c>
      <c r="N6332">
        <v>-1.4358630000000001E-2</v>
      </c>
      <c r="O6332">
        <v>-7.5430499999999998E-2</v>
      </c>
      <c r="P6332">
        <v>0.91939369999999998</v>
      </c>
      <c r="Q6332">
        <v>0.3388774</v>
      </c>
      <c r="R6332">
        <v>-0.1996937</v>
      </c>
      <c r="S6332">
        <v>3.1432190000000002</v>
      </c>
      <c r="T6332">
        <v>-0.4112595</v>
      </c>
      <c r="U6332">
        <v>-1.2694700000000001</v>
      </c>
      <c r="V6332">
        <v>0.13368339999999901</v>
      </c>
      <c r="W6332">
        <v>0.35075469999999997</v>
      </c>
      <c r="X6332">
        <v>0.92687640000000004</v>
      </c>
      <c r="Y6332">
        <v>0.30143639999999999</v>
      </c>
      <c r="Z6332">
        <v>-1.278232E-2</v>
      </c>
      <c r="AA6332">
        <v>0.95340060000000004</v>
      </c>
      <c r="AB6332">
        <v>31</v>
      </c>
      <c r="AC6332">
        <v>8.6831999999999994</v>
      </c>
      <c r="AD6332">
        <v>-1.156045</v>
      </c>
      <c r="AE6332">
        <v>-3.5549699999999902</v>
      </c>
      <c r="AF6332">
        <v>2.8465814381378101</v>
      </c>
      <c r="AG6332">
        <v>-1.156045</v>
      </c>
      <c r="AH6332">
        <v>8.7931520551642102</v>
      </c>
      <c r="AI6332">
        <v>97.129539261527398</v>
      </c>
      <c r="AJ6332">
        <v>72.061828414051604</v>
      </c>
      <c r="AK6332">
        <v>9.3144505469305194</v>
      </c>
      <c r="AL6332">
        <v>69.466516818962106</v>
      </c>
      <c r="AM6332">
        <v>81.792825744562705</v>
      </c>
      <c r="AN6332">
        <v>0.99999998594230499</v>
      </c>
    </row>
    <row r="6333" spans="1:40" x14ac:dyDescent="0.25">
      <c r="A6333" t="str">
        <f>"20190304164248935"</f>
        <v>20190304164248935</v>
      </c>
      <c r="B6333" t="str">
        <f>"1551688968927826"</f>
        <v>1551688968927826</v>
      </c>
      <c r="C6333" t="s">
        <v>40</v>
      </c>
      <c r="D6333">
        <v>4.7888840000000004</v>
      </c>
      <c r="E6333">
        <v>0.59021129999999999</v>
      </c>
      <c r="F6333" t="s">
        <v>43</v>
      </c>
      <c r="G6333">
        <v>-316.86360000000002</v>
      </c>
      <c r="H6333">
        <v>-0.05</v>
      </c>
      <c r="I6333">
        <v>13.70627</v>
      </c>
      <c r="J6333">
        <v>-325.47449999999998</v>
      </c>
      <c r="K6333">
        <v>1.105953</v>
      </c>
      <c r="L6333">
        <v>17.289919999999999</v>
      </c>
      <c r="M6333">
        <v>0.99684150000000005</v>
      </c>
      <c r="N6333">
        <v>-1.438031E-2</v>
      </c>
      <c r="O6333">
        <v>-7.8104229999999997E-2</v>
      </c>
      <c r="P6333">
        <v>0.91841850000000003</v>
      </c>
      <c r="Q6333">
        <v>0.33863349999999998</v>
      </c>
      <c r="R6333">
        <v>-0.2045362</v>
      </c>
      <c r="S6333">
        <v>3.135742</v>
      </c>
      <c r="T6333">
        <v>-0.4141417</v>
      </c>
      <c r="U6333">
        <v>-1.2885740000000001</v>
      </c>
      <c r="V6333">
        <v>0.13617109999999999</v>
      </c>
      <c r="W6333">
        <v>0.35046749999999999</v>
      </c>
      <c r="X6333">
        <v>0.92662290000000003</v>
      </c>
      <c r="Y6333">
        <v>0.30460859999999901</v>
      </c>
      <c r="Z6333">
        <v>-1.279254E-2</v>
      </c>
      <c r="AA6333">
        <v>0.95239169999999995</v>
      </c>
      <c r="AB6333">
        <v>31</v>
      </c>
      <c r="AC6333">
        <v>8.6108999999999494</v>
      </c>
      <c r="AD6333">
        <v>-1.155953</v>
      </c>
      <c r="AE6333">
        <v>-3.58365</v>
      </c>
      <c r="AF6333">
        <v>2.8562098333354302</v>
      </c>
      <c r="AG6333">
        <v>-1.155953</v>
      </c>
      <c r="AH6333">
        <v>8.7304121064084903</v>
      </c>
      <c r="AI6333">
        <v>97.172510191675897</v>
      </c>
      <c r="AJ6333">
        <v>71.884162353015299</v>
      </c>
      <c r="AK6333">
        <v>9.2581994738704498</v>
      </c>
      <c r="AL6333">
        <v>69.484088221752899</v>
      </c>
      <c r="AM6333">
        <v>81.639983189141702</v>
      </c>
      <c r="AN6333">
        <v>1.00000001791793</v>
      </c>
    </row>
    <row r="6334" spans="1:40" x14ac:dyDescent="0.25">
      <c r="A6334" t="str">
        <f>"20190304164248946"</f>
        <v>20190304164248946</v>
      </c>
      <c r="B6334" t="str">
        <f>"1551688968937585"</f>
        <v>1551688968937585</v>
      </c>
      <c r="C6334" t="s">
        <v>40</v>
      </c>
      <c r="D6334">
        <v>4.7604839999999999</v>
      </c>
      <c r="E6334">
        <v>0.59034869999999995</v>
      </c>
      <c r="F6334" t="s">
        <v>43</v>
      </c>
      <c r="G6334">
        <v>-316.77780000000001</v>
      </c>
      <c r="H6334">
        <v>-0.05</v>
      </c>
      <c r="I6334">
        <v>13.66142</v>
      </c>
      <c r="J6334">
        <v>-325.33150000000001</v>
      </c>
      <c r="K6334">
        <v>1.1058589999999999</v>
      </c>
      <c r="L6334">
        <v>17.276119999999999</v>
      </c>
      <c r="M6334">
        <v>0.99662329999999999</v>
      </c>
      <c r="N6334">
        <v>-1.440114E-2</v>
      </c>
      <c r="O6334">
        <v>-8.0838010000000002E-2</v>
      </c>
      <c r="P6334">
        <v>0.91734939999999998</v>
      </c>
      <c r="Q6334">
        <v>0.33847830000000001</v>
      </c>
      <c r="R6334">
        <v>-0.20953069999999999</v>
      </c>
      <c r="S6334">
        <v>3.129089</v>
      </c>
      <c r="T6334">
        <v>-0.41591549999999999</v>
      </c>
      <c r="U6334">
        <v>-1.305542</v>
      </c>
      <c r="V6334">
        <v>0.13876279999999999</v>
      </c>
      <c r="W6334">
        <v>0.35026479999999999</v>
      </c>
      <c r="X6334">
        <v>0.926315</v>
      </c>
      <c r="Y6334">
        <v>0.30709229999999998</v>
      </c>
      <c r="Z6334">
        <v>-1.271914E-2</v>
      </c>
      <c r="AA6334">
        <v>0.95159470000000002</v>
      </c>
      <c r="AB6334">
        <v>31</v>
      </c>
      <c r="AC6334">
        <v>8.5536999999999903</v>
      </c>
      <c r="AD6334">
        <v>-1.155859</v>
      </c>
      <c r="AE6334">
        <v>-3.6147</v>
      </c>
      <c r="AF6334">
        <v>2.8669140378273199</v>
      </c>
      <c r="AG6334">
        <v>-1.155859</v>
      </c>
      <c r="AH6334">
        <v>8.6834015555188806</v>
      </c>
      <c r="AI6334">
        <v>97.2039990182991</v>
      </c>
      <c r="AJ6334">
        <v>71.728830435818196</v>
      </c>
      <c r="AK6334">
        <v>9.2171941881767907</v>
      </c>
      <c r="AL6334">
        <v>69.496487940679799</v>
      </c>
      <c r="AM6334">
        <v>81.480392533991207</v>
      </c>
      <c r="AN6334">
        <v>1.0000000120039301</v>
      </c>
    </row>
    <row r="6335" spans="1:40" x14ac:dyDescent="0.25">
      <c r="A6335" t="str">
        <f>"20190304164248957"</f>
        <v>20190304164248957</v>
      </c>
      <c r="B6335" t="str">
        <f>"1551688968947346"</f>
        <v>1551688968947346</v>
      </c>
      <c r="C6335" t="s">
        <v>40</v>
      </c>
      <c r="D6335">
        <v>4.7510009999999996</v>
      </c>
      <c r="E6335">
        <v>0.59048059999999902</v>
      </c>
      <c r="F6335" t="s">
        <v>43</v>
      </c>
      <c r="G6335">
        <v>-316.68099999999998</v>
      </c>
      <c r="H6335">
        <v>-0.05</v>
      </c>
      <c r="I6335">
        <v>13.60924</v>
      </c>
      <c r="J6335">
        <v>-325.18009999999998</v>
      </c>
      <c r="K6335">
        <v>1.1057600000000001</v>
      </c>
      <c r="L6335">
        <v>17.261019999999998</v>
      </c>
      <c r="M6335">
        <v>0.99637869999999995</v>
      </c>
      <c r="N6335">
        <v>-1.442213E-2</v>
      </c>
      <c r="O6335">
        <v>-8.3795670000000003E-2</v>
      </c>
      <c r="P6335">
        <v>0.91610380000000002</v>
      </c>
      <c r="Q6335">
        <v>0.33846019999999999</v>
      </c>
      <c r="R6335">
        <v>-0.2149392</v>
      </c>
      <c r="S6335">
        <v>3.1219480000000002</v>
      </c>
      <c r="T6335">
        <v>-0.4171453</v>
      </c>
      <c r="U6335">
        <v>-1.323364</v>
      </c>
      <c r="V6335">
        <v>0.14157839999999999</v>
      </c>
      <c r="W6335">
        <v>0.35019420000000001</v>
      </c>
      <c r="X6335">
        <v>0.9259155</v>
      </c>
      <c r="Y6335">
        <v>0.30963819999999997</v>
      </c>
      <c r="Z6335">
        <v>-1.26126E-2</v>
      </c>
      <c r="AA6335">
        <v>0.95077080000000003</v>
      </c>
      <c r="AB6335">
        <v>31</v>
      </c>
      <c r="AC6335">
        <v>8.4990999999999897</v>
      </c>
      <c r="AD6335">
        <v>-1.1557599999999999</v>
      </c>
      <c r="AE6335">
        <v>-3.65178</v>
      </c>
      <c r="AF6335">
        <v>2.8816879143869301</v>
      </c>
      <c r="AG6335">
        <v>-1.1557599999999999</v>
      </c>
      <c r="AH6335">
        <v>8.6403581726831504</v>
      </c>
      <c r="AI6335">
        <v>97.2317152019085</v>
      </c>
      <c r="AJ6335">
        <v>71.555690639983496</v>
      </c>
      <c r="AK6335">
        <v>9.1812687448835799</v>
      </c>
      <c r="AL6335">
        <v>69.500805584321796</v>
      </c>
      <c r="AM6335">
        <v>81.306444486600398</v>
      </c>
      <c r="AN6335">
        <v>0.99999996710022399</v>
      </c>
    </row>
    <row r="6336" spans="1:40" x14ac:dyDescent="0.25">
      <c r="A6336" t="str">
        <f>"20190304164248968"</f>
        <v>20190304164248968</v>
      </c>
      <c r="B6336" t="str">
        <f>"1551688968958082"</f>
        <v>1551688968958082</v>
      </c>
      <c r="C6336" t="s">
        <v>40</v>
      </c>
      <c r="D6336">
        <v>4.7704680000000002</v>
      </c>
      <c r="E6336">
        <v>0.59060380000000001</v>
      </c>
      <c r="F6336" t="s">
        <v>43</v>
      </c>
      <c r="G6336">
        <v>-316.57479999999998</v>
      </c>
      <c r="H6336">
        <v>-0.05</v>
      </c>
      <c r="I6336">
        <v>13.554080000000001</v>
      </c>
      <c r="J6336">
        <v>-325.02960000000002</v>
      </c>
      <c r="K6336">
        <v>1.1056629999999901</v>
      </c>
      <c r="L6336">
        <v>17.245450000000002</v>
      </c>
      <c r="M6336">
        <v>0.99612149999999999</v>
      </c>
      <c r="N6336">
        <v>-1.444206E-2</v>
      </c>
      <c r="O6336">
        <v>-8.6795910000000004E-2</v>
      </c>
      <c r="P6336">
        <v>0.914655</v>
      </c>
      <c r="Q6336">
        <v>0.338783099999999</v>
      </c>
      <c r="R6336">
        <v>-0.22052820000000001</v>
      </c>
      <c r="S6336">
        <v>3.114471</v>
      </c>
      <c r="T6336">
        <v>-0.4182998</v>
      </c>
      <c r="U6336">
        <v>-1.3416440000000001</v>
      </c>
      <c r="V6336">
        <v>0.14455489999999999</v>
      </c>
      <c r="W6336">
        <v>0.35045859999999901</v>
      </c>
      <c r="X6336">
        <v>0.92535540000000005</v>
      </c>
      <c r="Y6336">
        <v>0.31229420000000002</v>
      </c>
      <c r="Z6336">
        <v>-1.2506679999999999E-2</v>
      </c>
      <c r="AA6336">
        <v>0.9499031</v>
      </c>
      <c r="AB6336">
        <v>31</v>
      </c>
      <c r="AC6336">
        <v>8.4548000000000307</v>
      </c>
      <c r="AD6336">
        <v>-1.1556630000000001</v>
      </c>
      <c r="AE6336">
        <v>-3.69137</v>
      </c>
      <c r="AF6336">
        <v>2.8980412227168202</v>
      </c>
      <c r="AG6336">
        <v>-1.1556630000000001</v>
      </c>
      <c r="AH6336">
        <v>8.6082333717817097</v>
      </c>
      <c r="AI6336">
        <v>97.251014354217304</v>
      </c>
      <c r="AJ6336">
        <v>71.393718755954097</v>
      </c>
      <c r="AK6336">
        <v>9.1561936240553194</v>
      </c>
      <c r="AL6336">
        <v>69.484631934532601</v>
      </c>
      <c r="AM6336">
        <v>81.121267824833893</v>
      </c>
      <c r="AN6336">
        <v>0.99999998286856495</v>
      </c>
    </row>
    <row r="6337" spans="1:40" x14ac:dyDescent="0.25">
      <c r="A6337" t="str">
        <f>"20190304164248979"</f>
        <v>20190304164248979</v>
      </c>
      <c r="B6337" t="str">
        <f>"1551688968967841"</f>
        <v>1551688968967841</v>
      </c>
      <c r="C6337" t="s">
        <v>40</v>
      </c>
      <c r="D6337">
        <v>4.7695509999999999</v>
      </c>
      <c r="E6337">
        <v>0.5907133</v>
      </c>
      <c r="F6337" t="s">
        <v>43</v>
      </c>
      <c r="G6337">
        <v>-316.44720000000001</v>
      </c>
      <c r="H6337">
        <v>-0.05</v>
      </c>
      <c r="I6337">
        <v>13.487109999999999</v>
      </c>
      <c r="J6337">
        <v>-324.87290000000002</v>
      </c>
      <c r="K6337">
        <v>1.1055699999999999</v>
      </c>
      <c r="L6337">
        <v>17.228850000000001</v>
      </c>
      <c r="M6337">
        <v>0.99583980000000005</v>
      </c>
      <c r="N6337">
        <v>-1.44619E-2</v>
      </c>
      <c r="O6337">
        <v>-8.9965870000000003E-2</v>
      </c>
      <c r="P6337">
        <v>0.91314450000000003</v>
      </c>
      <c r="Q6337">
        <v>0.33906130000000001</v>
      </c>
      <c r="R6337">
        <v>-0.2262845</v>
      </c>
      <c r="S6337">
        <v>3.1068730000000002</v>
      </c>
      <c r="T6337">
        <v>-0.41835489999999997</v>
      </c>
      <c r="U6337">
        <v>-1.360535</v>
      </c>
      <c r="V6337">
        <v>0.14754979999999901</v>
      </c>
      <c r="W6337">
        <v>0.3506765</v>
      </c>
      <c r="X6337">
        <v>0.92479999999999996</v>
      </c>
      <c r="Y6337">
        <v>0.3149653</v>
      </c>
      <c r="Z6337">
        <v>-1.23587E-2</v>
      </c>
      <c r="AA6337">
        <v>0.9490227</v>
      </c>
      <c r="AB6337">
        <v>31</v>
      </c>
      <c r="AC6337">
        <v>8.4257000000000009</v>
      </c>
      <c r="AD6337">
        <v>-1.15557</v>
      </c>
      <c r="AE6337">
        <v>-3.7417400000000001</v>
      </c>
      <c r="AF6337">
        <v>2.9225421282478399</v>
      </c>
      <c r="AG6337">
        <v>-1.15557</v>
      </c>
      <c r="AH6337">
        <v>8.59318035229564</v>
      </c>
      <c r="AI6337">
        <v>97.255499433356107</v>
      </c>
      <c r="AJ6337">
        <v>71.216822155556102</v>
      </c>
      <c r="AK6337">
        <v>9.1498274892679401</v>
      </c>
      <c r="AL6337">
        <v>69.471301452636695</v>
      </c>
      <c r="AM6337">
        <v>80.934987621703499</v>
      </c>
      <c r="AN6337">
        <v>0.99999999556614505</v>
      </c>
    </row>
    <row r="6338" spans="1:40" x14ac:dyDescent="0.25">
      <c r="A6338" t="str">
        <f>"20190304164248992"</f>
        <v>20190304164248992</v>
      </c>
      <c r="B6338" t="str">
        <f>"1551688968987361"</f>
        <v>1551688968987361</v>
      </c>
      <c r="C6338" t="s">
        <v>40</v>
      </c>
      <c r="D6338">
        <v>4.7670349999999999</v>
      </c>
      <c r="E6338">
        <v>0.59090209999999999</v>
      </c>
      <c r="F6338" t="s">
        <v>43</v>
      </c>
      <c r="G6338">
        <v>-316.31990000000002</v>
      </c>
      <c r="H6338">
        <v>-0.05</v>
      </c>
      <c r="I6338">
        <v>13.423019999999999</v>
      </c>
      <c r="J6338">
        <v>-324.70229999999998</v>
      </c>
      <c r="K6338">
        <v>1.1054729999999999</v>
      </c>
      <c r="L6338">
        <v>17.20993</v>
      </c>
      <c r="M6338">
        <v>0.99551310000000004</v>
      </c>
      <c r="N6338">
        <v>-1.4482719999999999E-2</v>
      </c>
      <c r="O6338">
        <v>-9.350936E-2</v>
      </c>
      <c r="P6338">
        <v>0.91143609999999997</v>
      </c>
      <c r="Q6338">
        <v>0.33953489999999997</v>
      </c>
      <c r="R6338">
        <v>-0.23238</v>
      </c>
      <c r="S6338">
        <v>3.099091</v>
      </c>
      <c r="T6338">
        <v>-0.41870669999999999</v>
      </c>
      <c r="U6338">
        <v>-1.3789979999999999</v>
      </c>
      <c r="V6338">
        <v>0.1505619</v>
      </c>
      <c r="W6338">
        <v>0.35108640000000002</v>
      </c>
      <c r="X6338">
        <v>0.92415879999999995</v>
      </c>
      <c r="Y6338">
        <v>0.31719039999999998</v>
      </c>
      <c r="Z6338">
        <v>-1.214321E-2</v>
      </c>
      <c r="AA6338">
        <v>0.94828409999999996</v>
      </c>
      <c r="AB6338">
        <v>31</v>
      </c>
      <c r="AC6338">
        <v>8.3823999999999597</v>
      </c>
      <c r="AD6338">
        <v>-1.155473</v>
      </c>
      <c r="AE6338">
        <v>-3.78690999999999</v>
      </c>
      <c r="AF6338">
        <v>2.9400038876956902</v>
      </c>
      <c r="AG6338">
        <v>-1.155473</v>
      </c>
      <c r="AH6338">
        <v>8.5646576713484599</v>
      </c>
      <c r="AI6338">
        <v>97.271815069000894</v>
      </c>
      <c r="AJ6338">
        <v>71.054108592148395</v>
      </c>
      <c r="AK6338">
        <v>9.1286418344013693</v>
      </c>
      <c r="AL6338">
        <v>69.446221770563994</v>
      </c>
      <c r="AM6338">
        <v>80.746794098627106</v>
      </c>
      <c r="AN6338">
        <v>1.000000016807</v>
      </c>
    </row>
    <row r="6339" spans="1:40" x14ac:dyDescent="0.25">
      <c r="A6339" t="str">
        <f>"20190304164249002"</f>
        <v>20190304164249002</v>
      </c>
      <c r="B6339" t="str">
        <f>"1551688968997121"</f>
        <v>1551688968997121</v>
      </c>
      <c r="C6339" t="s">
        <v>40</v>
      </c>
      <c r="D6339">
        <v>4.8705540000000003</v>
      </c>
      <c r="E6339">
        <v>0.59077209999999902</v>
      </c>
      <c r="F6339" t="s">
        <v>43</v>
      </c>
      <c r="G6339">
        <v>-316.17259999999999</v>
      </c>
      <c r="H6339">
        <v>-0.05</v>
      </c>
      <c r="I6339">
        <v>13.34787</v>
      </c>
      <c r="J6339">
        <v>-324.54660000000001</v>
      </c>
      <c r="K6339">
        <v>1.1053839999999999</v>
      </c>
      <c r="L6339">
        <v>17.192350000000001</v>
      </c>
      <c r="M6339">
        <v>0.99520059999999999</v>
      </c>
      <c r="N6339">
        <v>-1.450098E-2</v>
      </c>
      <c r="O6339">
        <v>-9.6775239999999998E-2</v>
      </c>
      <c r="P6339">
        <v>0.90986690000000003</v>
      </c>
      <c r="Q6339">
        <v>0.33996209999999999</v>
      </c>
      <c r="R6339">
        <v>-0.237841</v>
      </c>
      <c r="S6339">
        <v>3.0907290000000001</v>
      </c>
      <c r="T6339">
        <v>-0.41868349999999999</v>
      </c>
      <c r="U6339">
        <v>-1.3994139999999999</v>
      </c>
      <c r="V6339">
        <v>0.15318419999999999</v>
      </c>
      <c r="W6339">
        <v>0.35145609999999999</v>
      </c>
      <c r="X6339">
        <v>0.92358709999999999</v>
      </c>
      <c r="Y6339">
        <v>0.32023390000000002</v>
      </c>
      <c r="Z6339">
        <v>-1.200991E-2</v>
      </c>
      <c r="AA6339">
        <v>0.94726239999999995</v>
      </c>
      <c r="AB6339">
        <v>31</v>
      </c>
      <c r="AC6339">
        <v>8.3740000000000201</v>
      </c>
      <c r="AD6339">
        <v>-1.155384</v>
      </c>
      <c r="AE6339">
        <v>-3.8444799999999999</v>
      </c>
      <c r="AF6339">
        <v>2.96926546856877</v>
      </c>
      <c r="AG6339">
        <v>-1.155384</v>
      </c>
      <c r="AH6339">
        <v>8.5720015829012102</v>
      </c>
      <c r="AI6339">
        <v>97.258191247558599</v>
      </c>
      <c r="AJ6339">
        <v>70.894367330476896</v>
      </c>
      <c r="AK6339">
        <v>9.1449800845902196</v>
      </c>
      <c r="AL6339">
        <v>69.423596563654698</v>
      </c>
      <c r="AM6339">
        <v>80.582771228774106</v>
      </c>
      <c r="AN6339">
        <v>0.99999996032162897</v>
      </c>
    </row>
    <row r="6340" spans="1:40" x14ac:dyDescent="0.25">
      <c r="A6340" t="str">
        <f>"20190304164249013"</f>
        <v>20190304164249013</v>
      </c>
      <c r="B6340" t="str">
        <f>"1551688969007857"</f>
        <v>1551688969007857</v>
      </c>
      <c r="C6340" t="s">
        <v>40</v>
      </c>
      <c r="D6340">
        <v>4.8324490000000004</v>
      </c>
      <c r="E6340">
        <v>0.59070140000000004</v>
      </c>
      <c r="F6340" t="s">
        <v>43</v>
      </c>
      <c r="G6340">
        <v>-316.07119999999998</v>
      </c>
      <c r="H6340">
        <v>-0.05</v>
      </c>
      <c r="I6340">
        <v>13.301329999999901</v>
      </c>
      <c r="J6340">
        <v>-324.39339999999999</v>
      </c>
      <c r="K6340">
        <v>1.1052999999999999</v>
      </c>
      <c r="L6340">
        <v>17.174099999999999</v>
      </c>
      <c r="M6340">
        <v>0.99487389999999998</v>
      </c>
      <c r="N6340">
        <v>-1.4518379999999999E-2</v>
      </c>
      <c r="O6340">
        <v>-0.1000766</v>
      </c>
      <c r="P6340">
        <v>0.90840659999999895</v>
      </c>
      <c r="Q6340">
        <v>0.34033849999999999</v>
      </c>
      <c r="R6340">
        <v>-0.24283199999999999</v>
      </c>
      <c r="S6340">
        <v>3.0841980000000002</v>
      </c>
      <c r="T6340">
        <v>-0.42044710000000002</v>
      </c>
      <c r="U6340">
        <v>-1.4159550000000001</v>
      </c>
      <c r="V6340">
        <v>0.15529379999999901</v>
      </c>
      <c r="W6340">
        <v>0.35178229999999999</v>
      </c>
      <c r="X6340">
        <v>0.92311049999999994</v>
      </c>
      <c r="Y6340">
        <v>0.32203670000000001</v>
      </c>
      <c r="Z6340">
        <v>-1.181375E-2</v>
      </c>
      <c r="AA6340">
        <v>0.94665350000000004</v>
      </c>
      <c r="AB6340">
        <v>31</v>
      </c>
      <c r="AC6340">
        <v>8.3222000000000094</v>
      </c>
      <c r="AD6340">
        <v>-1.1553</v>
      </c>
      <c r="AE6340">
        <v>-3.87277</v>
      </c>
      <c r="AF6340">
        <v>2.9732787599626298</v>
      </c>
      <c r="AG6340">
        <v>-1.1553</v>
      </c>
      <c r="AH6340">
        <v>8.5328572905936593</v>
      </c>
      <c r="AI6340">
        <v>97.286003199474493</v>
      </c>
      <c r="AJ6340">
        <v>70.789080886971703</v>
      </c>
      <c r="AK6340">
        <v>9.1095970391715095</v>
      </c>
      <c r="AL6340">
        <v>69.403632065595502</v>
      </c>
      <c r="AM6340">
        <v>80.450613574782295</v>
      </c>
      <c r="AN6340">
        <v>0.99999997306098898</v>
      </c>
    </row>
    <row r="6341" spans="1:40" x14ac:dyDescent="0.25">
      <c r="A6341" t="str">
        <f>"20190304164249026"</f>
        <v>20190304164249026</v>
      </c>
      <c r="B6341" t="str">
        <f>"1551688969017617"</f>
        <v>1551688969017617</v>
      </c>
      <c r="C6341" t="s">
        <v>40</v>
      </c>
      <c r="D6341">
        <v>4.8619300000000001</v>
      </c>
      <c r="E6341">
        <v>0.59058849999999996</v>
      </c>
      <c r="F6341" t="s">
        <v>43</v>
      </c>
      <c r="G6341">
        <v>-315.95460000000003</v>
      </c>
      <c r="H6341">
        <v>-0.05</v>
      </c>
      <c r="I6341">
        <v>13.245799999999999</v>
      </c>
      <c r="J6341">
        <v>-324.23129999999998</v>
      </c>
      <c r="K6341">
        <v>1.1052169999999999</v>
      </c>
      <c r="L6341">
        <v>17.154509999999998</v>
      </c>
      <c r="M6341">
        <v>0.99451330000000004</v>
      </c>
      <c r="N6341">
        <v>-1.45361E-2</v>
      </c>
      <c r="O6341">
        <v>-0.1035967</v>
      </c>
      <c r="P6341">
        <v>0.90690970000000004</v>
      </c>
      <c r="Q6341">
        <v>0.34048149999999999</v>
      </c>
      <c r="R6341">
        <v>-0.24816779999999999</v>
      </c>
      <c r="S6341">
        <v>3.0773619999999999</v>
      </c>
      <c r="T6341">
        <v>-0.42130099999999998</v>
      </c>
      <c r="U6341">
        <v>-1.432526</v>
      </c>
      <c r="V6341">
        <v>0.15754949999999901</v>
      </c>
      <c r="W6341">
        <v>0.35187249999999998</v>
      </c>
      <c r="X6341">
        <v>0.92269380000000001</v>
      </c>
      <c r="Y6341">
        <v>0.32368079999999999</v>
      </c>
      <c r="Z6341">
        <v>-1.1562909999999999E-2</v>
      </c>
      <c r="AA6341">
        <v>0.94609569999999998</v>
      </c>
      <c r="AB6341">
        <v>31</v>
      </c>
      <c r="AC6341">
        <v>8.2766999999999395</v>
      </c>
      <c r="AD6341">
        <v>-1.1552169999999999</v>
      </c>
      <c r="AE6341">
        <v>-3.9087100000000001</v>
      </c>
      <c r="AF6341">
        <v>2.9826357920290101</v>
      </c>
      <c r="AG6341">
        <v>-1.1552169999999999</v>
      </c>
      <c r="AH6341">
        <v>8.5017087300507601</v>
      </c>
      <c r="AI6341">
        <v>97.306534632745198</v>
      </c>
      <c r="AJ6341">
        <v>70.667711155311594</v>
      </c>
      <c r="AK6341">
        <v>9.0834846791087198</v>
      </c>
      <c r="AL6341">
        <v>69.398111035163694</v>
      </c>
      <c r="AM6341">
        <v>80.310223173263395</v>
      </c>
      <c r="AN6341">
        <v>0.99999997488246894</v>
      </c>
    </row>
    <row r="6342" spans="1:40" x14ac:dyDescent="0.25">
      <c r="A6342" t="str">
        <f>"20190304164249036"</f>
        <v>20190304164249036</v>
      </c>
      <c r="B6342" t="str">
        <f>"1551688969027378"</f>
        <v>1551688969027378</v>
      </c>
      <c r="C6342" t="s">
        <v>40</v>
      </c>
      <c r="D6342">
        <v>4.7768079999999999</v>
      </c>
      <c r="E6342">
        <v>0.59065440000000002</v>
      </c>
      <c r="F6342" t="s">
        <v>43</v>
      </c>
      <c r="G6342">
        <v>-315.84649999999999</v>
      </c>
      <c r="H6342">
        <v>-0.05</v>
      </c>
      <c r="I6342">
        <v>13.19196</v>
      </c>
      <c r="J6342">
        <v>-324.07679999999999</v>
      </c>
      <c r="K6342">
        <v>1.1051310000000001</v>
      </c>
      <c r="L6342">
        <v>17.135100000000001</v>
      </c>
      <c r="M6342">
        <v>0.99415109999999995</v>
      </c>
      <c r="N6342">
        <v>-1.455244E-2</v>
      </c>
      <c r="O6342">
        <v>-0.10701430000000001</v>
      </c>
      <c r="P6342">
        <v>0.9055453</v>
      </c>
      <c r="Q6342">
        <v>0.3405609</v>
      </c>
      <c r="R6342">
        <v>-0.25299480000000002</v>
      </c>
      <c r="S6342">
        <v>3.0697329999999998</v>
      </c>
      <c r="T6342">
        <v>-0.42293009999999898</v>
      </c>
      <c r="U6342">
        <v>-1.4507139999999901</v>
      </c>
      <c r="V6342">
        <v>0.1593763</v>
      </c>
      <c r="W6342">
        <v>0.35190779999999999</v>
      </c>
      <c r="X6342">
        <v>0.92236660000000004</v>
      </c>
      <c r="Y6342">
        <v>0.32590659999999999</v>
      </c>
      <c r="Z6342">
        <v>-1.137875E-2</v>
      </c>
      <c r="AA6342">
        <v>0.94533350000000005</v>
      </c>
      <c r="AB6342">
        <v>31</v>
      </c>
      <c r="AC6342">
        <v>8.2302999999999997</v>
      </c>
      <c r="AD6342">
        <v>-1.1551309999999999</v>
      </c>
      <c r="AE6342">
        <v>-3.9431400000000001</v>
      </c>
      <c r="AF6342">
        <v>2.9917085329412201</v>
      </c>
      <c r="AG6342">
        <v>-1.1551309999999999</v>
      </c>
      <c r="AH6342">
        <v>8.4693568052194799</v>
      </c>
      <c r="AI6342">
        <v>97.328124739586997</v>
      </c>
      <c r="AJ6342">
        <v>70.544784281688493</v>
      </c>
      <c r="AK6342">
        <v>9.0561941381218194</v>
      </c>
      <c r="AL6342">
        <v>69.395951370191298</v>
      </c>
      <c r="AM6342">
        <v>80.196626785966302</v>
      </c>
      <c r="AN6342">
        <v>1.0000000247490399</v>
      </c>
    </row>
    <row r="6343" spans="1:40" x14ac:dyDescent="0.25">
      <c r="A6343" t="str">
        <f>"20190304164249046"</f>
        <v>20190304164249046</v>
      </c>
      <c r="B6343" t="str">
        <f>"1551688969037138"</f>
        <v>1551688969037138</v>
      </c>
      <c r="C6343" t="s">
        <v>40</v>
      </c>
      <c r="D6343">
        <v>4.8263259999999999</v>
      </c>
      <c r="E6343">
        <v>0.59055719999999901</v>
      </c>
      <c r="F6343" t="s">
        <v>43</v>
      </c>
      <c r="G6343">
        <v>-315.71050000000002</v>
      </c>
      <c r="H6343">
        <v>-0.05</v>
      </c>
      <c r="I6343">
        <v>13.12283</v>
      </c>
      <c r="J6343">
        <v>-323.9366</v>
      </c>
      <c r="K6343">
        <v>1.105062</v>
      </c>
      <c r="L6343">
        <v>17.117069999999998</v>
      </c>
      <c r="M6343">
        <v>0.99380829999999998</v>
      </c>
      <c r="N6343">
        <v>-1.456668E-2</v>
      </c>
      <c r="O6343">
        <v>-0.11015</v>
      </c>
      <c r="P6343">
        <v>0.90407130000000002</v>
      </c>
      <c r="Q6343">
        <v>0.34096179999999998</v>
      </c>
      <c r="R6343">
        <v>-0.25768289999999999</v>
      </c>
      <c r="S6343">
        <v>3.0616460000000001</v>
      </c>
      <c r="T6343">
        <v>-0.42272159999999898</v>
      </c>
      <c r="U6343">
        <v>-1.4682919999999999</v>
      </c>
      <c r="V6343">
        <v>0.1613387</v>
      </c>
      <c r="W6343">
        <v>0.3522612</v>
      </c>
      <c r="X6343">
        <v>0.9218904</v>
      </c>
      <c r="Y6343">
        <v>0.32830920000000002</v>
      </c>
      <c r="Z6343">
        <v>-1.120726E-2</v>
      </c>
      <c r="AA6343">
        <v>0.9445038</v>
      </c>
      <c r="AB6343">
        <v>31</v>
      </c>
      <c r="AC6343">
        <v>8.2260999999999704</v>
      </c>
      <c r="AD6343">
        <v>-1.155062</v>
      </c>
      <c r="AE6343">
        <v>-3.99424</v>
      </c>
      <c r="AF6343">
        <v>3.01561577146007</v>
      </c>
      <c r="AG6343">
        <v>-1.155062</v>
      </c>
      <c r="AH6343">
        <v>8.4807385317361206</v>
      </c>
      <c r="AI6343">
        <v>97.312621575581304</v>
      </c>
      <c r="AJ6343">
        <v>70.425422298466401</v>
      </c>
      <c r="AK6343">
        <v>9.0747469798665108</v>
      </c>
      <c r="AL6343">
        <v>69.374317690637</v>
      </c>
      <c r="AM6343">
        <v>80.073279302296399</v>
      </c>
      <c r="AN6343">
        <v>1.0000000193776399</v>
      </c>
    </row>
    <row r="6344" spans="1:40" x14ac:dyDescent="0.25">
      <c r="A6344" t="str">
        <f>"20190304164249057"</f>
        <v>20190304164249057</v>
      </c>
      <c r="B6344" t="str">
        <f>"1551688969047873"</f>
        <v>1551688969047873</v>
      </c>
      <c r="C6344" t="s">
        <v>40</v>
      </c>
      <c r="D6344">
        <v>4.2932860000000002</v>
      </c>
      <c r="E6344">
        <v>0.59128919999999996</v>
      </c>
      <c r="F6344" t="s">
        <v>43</v>
      </c>
      <c r="G6344">
        <v>-315.60140000000001</v>
      </c>
      <c r="H6344">
        <v>-0.05</v>
      </c>
      <c r="I6344">
        <v>13.06766</v>
      </c>
      <c r="J6344">
        <v>-323.78269999999998</v>
      </c>
      <c r="K6344">
        <v>1.1049899999999999</v>
      </c>
      <c r="L6344">
        <v>17.09665</v>
      </c>
      <c r="M6344">
        <v>0.99341570000000001</v>
      </c>
      <c r="N6344">
        <v>-1.4581709999999999E-2</v>
      </c>
      <c r="O6344">
        <v>-0.11363470000000001</v>
      </c>
      <c r="P6344">
        <v>0.90249880000000005</v>
      </c>
      <c r="Q6344">
        <v>0.34118609999999999</v>
      </c>
      <c r="R6344">
        <v>-0.26284679999999999</v>
      </c>
      <c r="S6344">
        <v>3.0549620000000002</v>
      </c>
      <c r="T6344">
        <v>-0.42334519999999998</v>
      </c>
      <c r="U6344">
        <v>-1.4841610000000001</v>
      </c>
      <c r="V6344">
        <v>0.1634641</v>
      </c>
      <c r="W6344">
        <v>0.35243439999999998</v>
      </c>
      <c r="X6344">
        <v>0.92144970000000004</v>
      </c>
      <c r="Y6344">
        <v>0.32978220000000003</v>
      </c>
      <c r="Z6344">
        <v>-1.093938E-2</v>
      </c>
      <c r="AA6344">
        <v>0.94399359999999999</v>
      </c>
      <c r="AB6344">
        <v>31</v>
      </c>
      <c r="AC6344">
        <v>8.1812999999999594</v>
      </c>
      <c r="AD6344">
        <v>-1.15499</v>
      </c>
      <c r="AE6344">
        <v>-4.0289900000000003</v>
      </c>
      <c r="AF6344">
        <v>3.0245938004003801</v>
      </c>
      <c r="AG6344">
        <v>-1.15499</v>
      </c>
      <c r="AH6344">
        <v>8.4506275236315709</v>
      </c>
      <c r="AI6344">
        <v>97.332593089236298</v>
      </c>
      <c r="AJ6344">
        <v>70.307025024922197</v>
      </c>
      <c r="AK6344">
        <v>9.0496008254883797</v>
      </c>
      <c r="AL6344">
        <v>69.363714355188407</v>
      </c>
      <c r="AM6344">
        <v>79.940450228381494</v>
      </c>
      <c r="AN6344">
        <v>1.0000000339611199</v>
      </c>
    </row>
    <row r="6345" spans="1:40" x14ac:dyDescent="0.25">
      <c r="A6345" t="str">
        <f>"20190304164249069"</f>
        <v>20190304164249069</v>
      </c>
      <c r="B6345" t="str">
        <f>"1551688969057634"</f>
        <v>1551688969057634</v>
      </c>
      <c r="C6345" t="s">
        <v>40</v>
      </c>
      <c r="D6345">
        <v>4.7950269999999904</v>
      </c>
      <c r="E6345">
        <v>0.59132850000000003</v>
      </c>
      <c r="F6345" t="s">
        <v>43</v>
      </c>
      <c r="G6345">
        <v>-315.3381</v>
      </c>
      <c r="H6345">
        <v>-0.05</v>
      </c>
      <c r="I6345">
        <v>12.91455</v>
      </c>
      <c r="J6345">
        <v>-323.63330000000002</v>
      </c>
      <c r="K6345">
        <v>1.1049209999999901</v>
      </c>
      <c r="L6345">
        <v>17.076229999999999</v>
      </c>
      <c r="M6345">
        <v>0.99301689999999998</v>
      </c>
      <c r="N6345">
        <v>-1.459572E-2</v>
      </c>
      <c r="O6345">
        <v>-0.1170665</v>
      </c>
      <c r="P6345">
        <v>0.90077320000000005</v>
      </c>
      <c r="Q6345">
        <v>0.34151799999999999</v>
      </c>
      <c r="R6345">
        <v>-0.26827830000000003</v>
      </c>
      <c r="S6345">
        <v>3.0425719999999998</v>
      </c>
      <c r="T6345">
        <v>-0.4161416</v>
      </c>
      <c r="U6345">
        <v>-1.5068049999999999</v>
      </c>
      <c r="V6345">
        <v>0.1659243</v>
      </c>
      <c r="W6345">
        <v>0.35270970000000001</v>
      </c>
      <c r="X6345">
        <v>0.92090450000000001</v>
      </c>
      <c r="Y6345">
        <v>0.33373370000000002</v>
      </c>
      <c r="Z6345">
        <v>-1.07446E-2</v>
      </c>
      <c r="AA6345">
        <v>0.94260619999999995</v>
      </c>
      <c r="AB6345">
        <v>31</v>
      </c>
      <c r="AC6345">
        <v>8.2952000000000208</v>
      </c>
      <c r="AD6345">
        <v>-1.1549210000000001</v>
      </c>
      <c r="AE6345">
        <v>-4.1616799999999898</v>
      </c>
      <c r="AF6345">
        <v>3.11364592525468</v>
      </c>
      <c r="AG6345">
        <v>-1.1549210000000001</v>
      </c>
      <c r="AH6345">
        <v>8.5923315511561995</v>
      </c>
      <c r="AI6345">
        <v>97.202379056075003</v>
      </c>
      <c r="AJ6345">
        <v>70.080751046594202</v>
      </c>
      <c r="AK6345">
        <v>9.2117747990867898</v>
      </c>
      <c r="AL6345">
        <v>69.346858806831705</v>
      </c>
      <c r="AM6345">
        <v>79.786294495777199</v>
      </c>
      <c r="AN6345">
        <v>1.0000000519624099</v>
      </c>
    </row>
    <row r="6346" spans="1:40" x14ac:dyDescent="0.25">
      <c r="A6346" t="str">
        <f>"20190304164249081"</f>
        <v>20190304164249081</v>
      </c>
      <c r="B6346" t="str">
        <f>"1551688969077153"</f>
        <v>1551688969077153</v>
      </c>
      <c r="C6346" t="s">
        <v>40</v>
      </c>
      <c r="D6346">
        <v>4.7968169999999999</v>
      </c>
      <c r="E6346">
        <v>0.59134969999999998</v>
      </c>
      <c r="F6346" t="s">
        <v>43</v>
      </c>
      <c r="G6346">
        <v>-315.20620000000002</v>
      </c>
      <c r="H6346">
        <v>-0.05</v>
      </c>
      <c r="I6346">
        <v>12.842560000000001</v>
      </c>
      <c r="J6346">
        <v>-323.46769999999998</v>
      </c>
      <c r="K6346">
        <v>1.104846</v>
      </c>
      <c r="L6346">
        <v>17.053129999999999</v>
      </c>
      <c r="M6346">
        <v>0.99255649999999995</v>
      </c>
      <c r="N6346">
        <v>-1.461059E-2</v>
      </c>
      <c r="O6346">
        <v>-0.12090670000000001</v>
      </c>
      <c r="P6346">
        <v>0.89906280000000005</v>
      </c>
      <c r="Q6346">
        <v>0.34163120000000002</v>
      </c>
      <c r="R6346">
        <v>-0.27381529999999998</v>
      </c>
      <c r="S6346">
        <v>3.0341490000000002</v>
      </c>
      <c r="T6346">
        <v>-0.41582560000000002</v>
      </c>
      <c r="U6346">
        <v>-1.5243230000000001</v>
      </c>
      <c r="V6346">
        <v>0.1681134</v>
      </c>
      <c r="W6346">
        <v>0.35276859999999999</v>
      </c>
      <c r="X6346">
        <v>0.92048479999999999</v>
      </c>
      <c r="Y6346">
        <v>0.33549250000000003</v>
      </c>
      <c r="Z6346">
        <v>-1.0450249999999999E-2</v>
      </c>
      <c r="AA6346">
        <v>0.94198490000000001</v>
      </c>
      <c r="AB6346">
        <v>31</v>
      </c>
      <c r="AC6346">
        <v>8.2614999999999501</v>
      </c>
      <c r="AD6346">
        <v>-1.15484599999999</v>
      </c>
      <c r="AE6346">
        <v>-4.2105699999999899</v>
      </c>
      <c r="AF6346">
        <v>3.1321142237513602</v>
      </c>
      <c r="AG6346">
        <v>-1.15484599999999</v>
      </c>
      <c r="AH6346">
        <v>8.5769811176182298</v>
      </c>
      <c r="AI6346">
        <v>97.2082472377096</v>
      </c>
      <c r="AJ6346">
        <v>69.938981102397406</v>
      </c>
      <c r="AK6346">
        <v>9.2037173949617408</v>
      </c>
      <c r="AL6346">
        <v>69.343251869014196</v>
      </c>
      <c r="AM6346">
        <v>79.649817756951094</v>
      </c>
      <c r="AN6346">
        <v>1.00000003371827</v>
      </c>
    </row>
    <row r="6347" spans="1:40" x14ac:dyDescent="0.25">
      <c r="A6347" t="str">
        <f>"20190304164249092"</f>
        <v>20190304164249092</v>
      </c>
      <c r="B6347" t="str">
        <f>"1551688969087890"</f>
        <v>1551688969087890</v>
      </c>
      <c r="C6347" t="s">
        <v>40</v>
      </c>
      <c r="D6347">
        <v>4.8091429999999997</v>
      </c>
      <c r="E6347">
        <v>0.5913389</v>
      </c>
      <c r="F6347" t="s">
        <v>43</v>
      </c>
      <c r="G6347">
        <v>-315.08940000000001</v>
      </c>
      <c r="H6347">
        <v>-0.05</v>
      </c>
      <c r="I6347">
        <v>12.78302</v>
      </c>
      <c r="J6347">
        <v>-323.30549999999999</v>
      </c>
      <c r="K6347">
        <v>1.10477</v>
      </c>
      <c r="L6347">
        <v>17.02948</v>
      </c>
      <c r="M6347">
        <v>0.99208180000000001</v>
      </c>
      <c r="N6347">
        <v>-1.462492E-2</v>
      </c>
      <c r="O6347">
        <v>-0.1247399</v>
      </c>
      <c r="P6347">
        <v>0.89719689999999996</v>
      </c>
      <c r="Q6347">
        <v>0.34213769999999999</v>
      </c>
      <c r="R6347">
        <v>-0.27924860000000001</v>
      </c>
      <c r="S6347">
        <v>3.0256349999999999</v>
      </c>
      <c r="T6347">
        <v>-0.41704730000000001</v>
      </c>
      <c r="U6347">
        <v>-1.5420529999999999</v>
      </c>
      <c r="V6347">
        <v>0.1702321</v>
      </c>
      <c r="W6347">
        <v>0.35322009999999998</v>
      </c>
      <c r="X6347">
        <v>0.91992209999999996</v>
      </c>
      <c r="Y6347">
        <v>0.337304299999999</v>
      </c>
      <c r="Z6347">
        <v>-1.0182E-2</v>
      </c>
      <c r="AA6347">
        <v>0.94134059999999997</v>
      </c>
      <c r="AB6347">
        <v>31</v>
      </c>
      <c r="AC6347">
        <v>8.2160999999999795</v>
      </c>
      <c r="AD6347">
        <v>-1.1547700000000001</v>
      </c>
      <c r="AE6347">
        <v>-4.2464599999999901</v>
      </c>
      <c r="AF6347">
        <v>3.1393590748343199</v>
      </c>
      <c r="AG6347">
        <v>-1.1547700000000001</v>
      </c>
      <c r="AH6347">
        <v>8.5484064982673402</v>
      </c>
      <c r="AI6347">
        <v>97.226839736734703</v>
      </c>
      <c r="AJ6347">
        <v>69.834495743813093</v>
      </c>
      <c r="AK6347">
        <v>9.1795600555399108</v>
      </c>
      <c r="AL6347">
        <v>69.315603041042394</v>
      </c>
      <c r="AM6347">
        <v>79.515980856789895</v>
      </c>
      <c r="AN6347">
        <v>1.0000000384914101</v>
      </c>
    </row>
    <row r="6348" spans="1:40" x14ac:dyDescent="0.25">
      <c r="A6348" t="str">
        <f>"20190304164249105"</f>
        <v>20190304164249105</v>
      </c>
      <c r="B6348" t="str">
        <f>"1551688969097649"</f>
        <v>1551688969097649</v>
      </c>
      <c r="C6348" t="s">
        <v>40</v>
      </c>
      <c r="D6348">
        <v>4.8148019999999896</v>
      </c>
      <c r="E6348">
        <v>0.59132510000000005</v>
      </c>
      <c r="F6348" t="s">
        <v>43</v>
      </c>
      <c r="G6348">
        <v>-314.93619999999999</v>
      </c>
      <c r="H6348">
        <v>-0.05</v>
      </c>
      <c r="I6348">
        <v>12.70276</v>
      </c>
      <c r="J6348">
        <v>-323.13749999999999</v>
      </c>
      <c r="K6348">
        <v>1.1046910000000001</v>
      </c>
      <c r="L6348">
        <v>17.004639999999998</v>
      </c>
      <c r="M6348">
        <v>0.99157079999999997</v>
      </c>
      <c r="N6348">
        <v>-1.4639269999999999E-2</v>
      </c>
      <c r="O6348">
        <v>-0.1287372</v>
      </c>
      <c r="P6348">
        <v>0.89526510000000004</v>
      </c>
      <c r="Q6348">
        <v>0.34268670000000001</v>
      </c>
      <c r="R6348">
        <v>-0.28472189999999997</v>
      </c>
      <c r="S6348">
        <v>3.017029</v>
      </c>
      <c r="T6348">
        <v>-0.41627979999999998</v>
      </c>
      <c r="U6348">
        <v>-1.559723</v>
      </c>
      <c r="V6348">
        <v>0.1722535</v>
      </c>
      <c r="W6348">
        <v>0.35371350000000001</v>
      </c>
      <c r="X6348">
        <v>0.91935599999999995</v>
      </c>
      <c r="Y6348">
        <v>0.3389723</v>
      </c>
      <c r="Z6348">
        <v>-9.8567329999999995E-3</v>
      </c>
      <c r="AA6348">
        <v>0.94074469999999999</v>
      </c>
      <c r="AB6348">
        <v>31</v>
      </c>
      <c r="AC6348">
        <v>8.2012999999999998</v>
      </c>
      <c r="AD6348">
        <v>-1.1546909999999999</v>
      </c>
      <c r="AE6348">
        <v>-4.3018799999999899</v>
      </c>
      <c r="AF6348">
        <v>3.1610098820171202</v>
      </c>
      <c r="AG6348">
        <v>-1.1546909999999999</v>
      </c>
      <c r="AH6348">
        <v>8.5539350256007403</v>
      </c>
      <c r="AI6348">
        <v>97.216414922960894</v>
      </c>
      <c r="AJ6348">
        <v>69.718778552036198</v>
      </c>
      <c r="AK6348">
        <v>9.1921215832847807</v>
      </c>
      <c r="AL6348">
        <v>69.285381244386699</v>
      </c>
      <c r="AM6348">
        <v>79.387915697939107</v>
      </c>
      <c r="AN6348">
        <v>0.99999998154024905</v>
      </c>
    </row>
    <row r="6349" spans="1:40" x14ac:dyDescent="0.25">
      <c r="A6349" t="str">
        <f>"20190304164249117"</f>
        <v>20190304164249117</v>
      </c>
      <c r="B6349" t="str">
        <f>"1551688969107410"</f>
        <v>1551688969107410</v>
      </c>
      <c r="C6349" t="s">
        <v>40</v>
      </c>
      <c r="D6349">
        <v>4.7966930000000003</v>
      </c>
      <c r="E6349">
        <v>0.59132430000000002</v>
      </c>
      <c r="F6349" t="s">
        <v>43</v>
      </c>
      <c r="G6349">
        <v>-314.77179999999998</v>
      </c>
      <c r="H6349">
        <v>-0.05</v>
      </c>
      <c r="I6349">
        <v>12.617710000000001</v>
      </c>
      <c r="J6349">
        <v>-322.96699999999998</v>
      </c>
      <c r="K6349">
        <v>1.1046149999999999</v>
      </c>
      <c r="L6349">
        <v>16.978390000000001</v>
      </c>
      <c r="M6349">
        <v>0.99102610000000002</v>
      </c>
      <c r="N6349">
        <v>-1.465378E-2</v>
      </c>
      <c r="O6349">
        <v>-0.13286410000000001</v>
      </c>
      <c r="P6349">
        <v>0.8931808</v>
      </c>
      <c r="Q6349">
        <v>0.34345720000000002</v>
      </c>
      <c r="R6349">
        <v>-0.29028520000000002</v>
      </c>
      <c r="S6349">
        <v>3.0081790000000002</v>
      </c>
      <c r="T6349">
        <v>-0.4152054</v>
      </c>
      <c r="U6349">
        <v>-1.5774539999999999</v>
      </c>
      <c r="V6349">
        <v>0.17427279999999901</v>
      </c>
      <c r="W6349">
        <v>0.35442649999999998</v>
      </c>
      <c r="X6349">
        <v>0.91870059999999998</v>
      </c>
      <c r="Y6349">
        <v>0.34056320000000001</v>
      </c>
      <c r="Z6349">
        <v>-9.5091299999999993E-3</v>
      </c>
      <c r="AA6349">
        <v>0.94017360000000005</v>
      </c>
      <c r="AB6349">
        <v>31</v>
      </c>
      <c r="AC6349">
        <v>8.1951999999999998</v>
      </c>
      <c r="AD6349">
        <v>-1.1546149999999999</v>
      </c>
      <c r="AE6349">
        <v>-4.3606800000000003</v>
      </c>
      <c r="AF6349">
        <v>3.1837938634697398</v>
      </c>
      <c r="AG6349">
        <v>-1.1546149999999999</v>
      </c>
      <c r="AH6349">
        <v>8.5694011535249395</v>
      </c>
      <c r="AI6349">
        <v>97.198434673526904</v>
      </c>
      <c r="AJ6349">
        <v>69.618433081854306</v>
      </c>
      <c r="AK6349">
        <v>9.2143537642814195</v>
      </c>
      <c r="AL6349">
        <v>69.241699413324</v>
      </c>
      <c r="AM6349">
        <v>79.2589068335447</v>
      </c>
      <c r="AN6349">
        <v>0.99999997258122397</v>
      </c>
    </row>
    <row r="6350" spans="1:40" x14ac:dyDescent="0.25">
      <c r="A6350" t="str">
        <f>"20190304164249127"</f>
        <v>20190304164249127</v>
      </c>
      <c r="B6350" t="str">
        <f>"1551688969117169"</f>
        <v>1551688969117169</v>
      </c>
      <c r="C6350" t="s">
        <v>40</v>
      </c>
      <c r="D6350">
        <v>4.7734269999999999</v>
      </c>
      <c r="E6350">
        <v>0.59132549999999995</v>
      </c>
      <c r="F6350" t="s">
        <v>43</v>
      </c>
      <c r="G6350">
        <v>-314.58780000000002</v>
      </c>
      <c r="H6350">
        <v>-0.05</v>
      </c>
      <c r="I6350">
        <v>12.52013</v>
      </c>
      <c r="J6350">
        <v>-322.82279999999997</v>
      </c>
      <c r="K6350">
        <v>1.104552</v>
      </c>
      <c r="L6350">
        <v>16.955690000000001</v>
      </c>
      <c r="M6350">
        <v>0.99054660000000005</v>
      </c>
      <c r="N6350">
        <v>-1.466578E-2</v>
      </c>
      <c r="O6350">
        <v>-0.1363907</v>
      </c>
      <c r="P6350">
        <v>0.89122659999999998</v>
      </c>
      <c r="Q6350">
        <v>0.34405200000000002</v>
      </c>
      <c r="R6350">
        <v>-0.29553950000000001</v>
      </c>
      <c r="S6350">
        <v>2.9990839999999999</v>
      </c>
      <c r="T6350">
        <v>-0.41325970000000001</v>
      </c>
      <c r="U6350">
        <v>-1.5957030000000001</v>
      </c>
      <c r="V6350">
        <v>0.17651900000000001</v>
      </c>
      <c r="W6350">
        <v>0.35496329999999998</v>
      </c>
      <c r="X6350">
        <v>0.91806430000000006</v>
      </c>
      <c r="Y6350">
        <v>0.34287479999999998</v>
      </c>
      <c r="Z6350">
        <v>-9.2721250000000009E-3</v>
      </c>
      <c r="AA6350">
        <v>0.93933529999999998</v>
      </c>
      <c r="AB6350">
        <v>31</v>
      </c>
      <c r="AC6350">
        <v>8.2349999999999497</v>
      </c>
      <c r="AD6350">
        <v>-1.154552</v>
      </c>
      <c r="AE6350">
        <v>-4.4355599999999997</v>
      </c>
      <c r="AF6350">
        <v>3.2217169724144501</v>
      </c>
      <c r="AG6350">
        <v>-1.154552</v>
      </c>
      <c r="AH6350">
        <v>8.63155202860111</v>
      </c>
      <c r="AI6350">
        <v>97.142781182974403</v>
      </c>
      <c r="AJ6350">
        <v>69.531968396955705</v>
      </c>
      <c r="AK6350">
        <v>9.2852647239319595</v>
      </c>
      <c r="AL6350">
        <v>69.208804432158203</v>
      </c>
      <c r="AM6350">
        <v>79.116388416676102</v>
      </c>
      <c r="AN6350">
        <v>0.99999998032118897</v>
      </c>
    </row>
    <row r="6351" spans="1:40" x14ac:dyDescent="0.25">
      <c r="A6351" t="str">
        <f>"20190304164249137"</f>
        <v>20190304164249137</v>
      </c>
      <c r="B6351" t="str">
        <f>"1551688969127906"</f>
        <v>1551688969127906</v>
      </c>
      <c r="C6351" t="s">
        <v>40</v>
      </c>
      <c r="D6351">
        <v>4.7923150000000003</v>
      </c>
      <c r="E6351">
        <v>0.59131599999999995</v>
      </c>
      <c r="F6351" t="s">
        <v>43</v>
      </c>
      <c r="G6351">
        <v>-314.44499999999999</v>
      </c>
      <c r="H6351">
        <v>-0.05</v>
      </c>
      <c r="I6351">
        <v>12.439970000000001</v>
      </c>
      <c r="J6351">
        <v>-322.68040000000002</v>
      </c>
      <c r="K6351">
        <v>1.104495</v>
      </c>
      <c r="L6351">
        <v>16.932739999999999</v>
      </c>
      <c r="M6351">
        <v>0.99005659999999895</v>
      </c>
      <c r="N6351">
        <v>-1.467736E-2</v>
      </c>
      <c r="O6351">
        <v>-0.139902</v>
      </c>
      <c r="P6351">
        <v>0.88921649999999997</v>
      </c>
      <c r="Q6351">
        <v>0.34457880000000002</v>
      </c>
      <c r="R6351">
        <v>-0.30093180000000003</v>
      </c>
      <c r="S6351">
        <v>2.990723</v>
      </c>
      <c r="T6351">
        <v>-0.4121552</v>
      </c>
      <c r="U6351">
        <v>-1.6120300000000001</v>
      </c>
      <c r="V6351">
        <v>0.1789259</v>
      </c>
      <c r="W6351">
        <v>0.35542960000000001</v>
      </c>
      <c r="X6351">
        <v>0.91741779999999995</v>
      </c>
      <c r="Y6351">
        <v>0.34462920000000002</v>
      </c>
      <c r="Z6351">
        <v>-9.0072820000000001E-3</v>
      </c>
      <c r="AA6351">
        <v>0.93869570000000002</v>
      </c>
      <c r="AB6351">
        <v>31</v>
      </c>
      <c r="AC6351">
        <v>8.2354000000000198</v>
      </c>
      <c r="AD6351">
        <v>-1.154495</v>
      </c>
      <c r="AE6351">
        <v>-4.4927700000000002</v>
      </c>
      <c r="AF6351">
        <v>3.2471250698469598</v>
      </c>
      <c r="AG6351">
        <v>-1.154495</v>
      </c>
      <c r="AH6351">
        <v>8.6519717357096901</v>
      </c>
      <c r="AI6351">
        <v>97.120990586877994</v>
      </c>
      <c r="AJ6351">
        <v>69.428654055351998</v>
      </c>
      <c r="AK6351">
        <v>9.3130711819341894</v>
      </c>
      <c r="AL6351">
        <v>69.180225204491293</v>
      </c>
      <c r="AM6351">
        <v>78.964020396403896</v>
      </c>
      <c r="AN6351">
        <v>1.0000000490019001</v>
      </c>
    </row>
    <row r="6352" spans="1:40" x14ac:dyDescent="0.25">
      <c r="A6352" t="str">
        <f>"20190304164249148"</f>
        <v>20190304164249148</v>
      </c>
      <c r="B6352" t="str">
        <f>"1551688969137666"</f>
        <v>1551688969137666</v>
      </c>
      <c r="C6352" t="s">
        <v>40</v>
      </c>
      <c r="D6352">
        <v>4.8000910000000001</v>
      </c>
      <c r="E6352">
        <v>0.59129830000000005</v>
      </c>
      <c r="F6352" t="s">
        <v>43</v>
      </c>
      <c r="G6352">
        <v>-314.3134</v>
      </c>
      <c r="H6352">
        <v>-0.05</v>
      </c>
      <c r="I6352">
        <v>12.36253</v>
      </c>
      <c r="J6352">
        <v>-322.5351</v>
      </c>
      <c r="K6352">
        <v>1.104438</v>
      </c>
      <c r="L6352">
        <v>16.9086</v>
      </c>
      <c r="M6352">
        <v>0.98953679999999999</v>
      </c>
      <c r="N6352">
        <v>-1.46889E-2</v>
      </c>
      <c r="O6352">
        <v>-0.14353160000000001</v>
      </c>
      <c r="P6352">
        <v>0.887069</v>
      </c>
      <c r="Q6352">
        <v>0.34517680000000001</v>
      </c>
      <c r="R6352">
        <v>-0.30653150000000001</v>
      </c>
      <c r="S6352">
        <v>2.981995</v>
      </c>
      <c r="T6352">
        <v>-0.41145929999999997</v>
      </c>
      <c r="U6352">
        <v>-1.6288149999999999</v>
      </c>
      <c r="V6352">
        <v>0.181454</v>
      </c>
      <c r="W6352">
        <v>0.35596299999999997</v>
      </c>
      <c r="X6352">
        <v>0.91671409999999998</v>
      </c>
      <c r="Y6352">
        <v>0.3464237</v>
      </c>
      <c r="Z6352">
        <v>-8.7379829999999995E-3</v>
      </c>
      <c r="AA6352">
        <v>0.93803749999999997</v>
      </c>
      <c r="AB6352">
        <v>31</v>
      </c>
      <c r="AC6352">
        <v>8.2216999999999896</v>
      </c>
      <c r="AD6352">
        <v>-1.1544379999999901</v>
      </c>
      <c r="AE6352">
        <v>-4.5460699999999896</v>
      </c>
      <c r="AF6352">
        <v>3.2694210289745498</v>
      </c>
      <c r="AG6352">
        <v>-1.1544379999999901</v>
      </c>
      <c r="AH6352">
        <v>8.6583897381492108</v>
      </c>
      <c r="AI6352">
        <v>97.110087001581803</v>
      </c>
      <c r="AJ6352">
        <v>69.313387906569105</v>
      </c>
      <c r="AK6352">
        <v>9.3268190621579397</v>
      </c>
      <c r="AL6352">
        <v>69.147523515869096</v>
      </c>
      <c r="AM6352">
        <v>78.803625465247407</v>
      </c>
      <c r="AN6352">
        <v>0.99999997631190396</v>
      </c>
    </row>
    <row r="6353" spans="1:40" x14ac:dyDescent="0.25">
      <c r="A6353" t="str">
        <f>"20190304164249159"</f>
        <v>20190304164249159</v>
      </c>
      <c r="B6353" t="str">
        <f>"1551688969147425"</f>
        <v>1551688969147425</v>
      </c>
      <c r="C6353" t="s">
        <v>40</v>
      </c>
      <c r="D6353">
        <v>4.8123040000000001</v>
      </c>
      <c r="E6353">
        <v>0.5912809</v>
      </c>
      <c r="F6353" t="s">
        <v>43</v>
      </c>
      <c r="G6353">
        <v>-314.17230000000001</v>
      </c>
      <c r="H6353">
        <v>-0.05</v>
      </c>
      <c r="I6353">
        <v>12.276490000000001</v>
      </c>
      <c r="J6353">
        <v>-322.38760000000002</v>
      </c>
      <c r="K6353">
        <v>1.1043799999999999</v>
      </c>
      <c r="L6353">
        <v>16.88373</v>
      </c>
      <c r="M6353">
        <v>0.98899190000000003</v>
      </c>
      <c r="N6353">
        <v>-1.470021E-2</v>
      </c>
      <c r="O6353">
        <v>-0.14723849999999999</v>
      </c>
      <c r="P6353">
        <v>0.88504519999999998</v>
      </c>
      <c r="Q6353">
        <v>0.34551169999999998</v>
      </c>
      <c r="R6353">
        <v>-0.31195650000000003</v>
      </c>
      <c r="S6353">
        <v>2.9726560000000002</v>
      </c>
      <c r="T6353">
        <v>-0.41036080000000003</v>
      </c>
      <c r="U6353">
        <v>-1.6465449999999999</v>
      </c>
      <c r="V6353">
        <v>0.18372069999999999</v>
      </c>
      <c r="W6353">
        <v>0.35623929999999998</v>
      </c>
      <c r="X6353">
        <v>0.91615519999999995</v>
      </c>
      <c r="Y6353">
        <v>0.34845219999999999</v>
      </c>
      <c r="Z6353">
        <v>-8.4746890000000005E-3</v>
      </c>
      <c r="AA6353">
        <v>0.93728820000000002</v>
      </c>
      <c r="AB6353">
        <v>31</v>
      </c>
      <c r="AC6353">
        <v>8.2153000000000098</v>
      </c>
      <c r="AD6353">
        <v>-1.15438</v>
      </c>
      <c r="AE6353">
        <v>-4.60724</v>
      </c>
      <c r="AF6353">
        <v>3.2977418584717402</v>
      </c>
      <c r="AG6353">
        <v>-1.15438</v>
      </c>
      <c r="AH6353">
        <v>8.6738915891929196</v>
      </c>
      <c r="AI6353">
        <v>97.091130436337906</v>
      </c>
      <c r="AJ6353">
        <v>69.183610348622295</v>
      </c>
      <c r="AK6353">
        <v>9.3511544661923107</v>
      </c>
      <c r="AL6353">
        <v>69.130583585908596</v>
      </c>
      <c r="AM6353">
        <v>78.660625330199693</v>
      </c>
      <c r="AN6353">
        <v>1.00000004248</v>
      </c>
    </row>
    <row r="6354" spans="1:40" x14ac:dyDescent="0.25">
      <c r="A6354" t="str">
        <f>"20190304164249169"</f>
        <v>20190304164249169</v>
      </c>
      <c r="B6354" t="str">
        <f>"1551688969157185"</f>
        <v>1551688969157185</v>
      </c>
      <c r="C6354" t="s">
        <v>40</v>
      </c>
      <c r="D6354">
        <v>4.8190759999999999</v>
      </c>
      <c r="E6354">
        <v>0.59124509999999997</v>
      </c>
      <c r="F6354" t="s">
        <v>43</v>
      </c>
      <c r="G6354">
        <v>-314.04390000000001</v>
      </c>
      <c r="H6354">
        <v>-0.05</v>
      </c>
      <c r="I6354">
        <v>12.19868</v>
      </c>
      <c r="J6354">
        <v>-322.25</v>
      </c>
      <c r="K6354">
        <v>1.10433</v>
      </c>
      <c r="L6354">
        <v>16.859770000000001</v>
      </c>
      <c r="M6354">
        <v>0.98846310000000004</v>
      </c>
      <c r="N6354">
        <v>-1.471067E-2</v>
      </c>
      <c r="O6354">
        <v>-0.15074580000000001</v>
      </c>
      <c r="P6354">
        <v>0.88313280000000005</v>
      </c>
      <c r="Q6354">
        <v>0.34563129999999997</v>
      </c>
      <c r="R6354">
        <v>-0.31720009999999998</v>
      </c>
      <c r="S6354">
        <v>2.9632260000000001</v>
      </c>
      <c r="T6354">
        <v>-0.40997470000000003</v>
      </c>
      <c r="U6354">
        <v>-1.6638790000000001</v>
      </c>
      <c r="V6354">
        <v>0.18597359999999999</v>
      </c>
      <c r="W6354">
        <v>0.35630209999999901</v>
      </c>
      <c r="X6354">
        <v>0.91567609999999999</v>
      </c>
      <c r="Y6354">
        <v>0.35057369999999999</v>
      </c>
      <c r="Z6354">
        <v>-8.2473230000000008E-3</v>
      </c>
      <c r="AA6354">
        <v>0.93649879999999996</v>
      </c>
      <c r="AB6354">
        <v>31</v>
      </c>
      <c r="AC6354">
        <v>8.2060999999999904</v>
      </c>
      <c r="AD6354">
        <v>-1.1543299999999901</v>
      </c>
      <c r="AE6354">
        <v>-4.6610899999999997</v>
      </c>
      <c r="AF6354">
        <v>3.3209615369663399</v>
      </c>
      <c r="AG6354">
        <v>-1.1543299999999901</v>
      </c>
      <c r="AH6354">
        <v>8.6850865925735992</v>
      </c>
      <c r="AI6354">
        <v>97.0766859733655</v>
      </c>
      <c r="AJ6354">
        <v>69.074386662146097</v>
      </c>
      <c r="AK6354">
        <v>9.3697381179738208</v>
      </c>
      <c r="AL6354">
        <v>69.126732745119497</v>
      </c>
      <c r="AM6354">
        <v>78.5193972627671</v>
      </c>
      <c r="AN6354">
        <v>1.0000000432362799</v>
      </c>
    </row>
    <row r="6355" spans="1:40" x14ac:dyDescent="0.25">
      <c r="A6355" t="str">
        <f>"20190304164249180"</f>
        <v>20190304164249180</v>
      </c>
      <c r="B6355" t="str">
        <f>"1551688969177682"</f>
        <v>1551688969177682</v>
      </c>
      <c r="C6355" t="s">
        <v>40</v>
      </c>
      <c r="D6355">
        <v>4.6905289999999997</v>
      </c>
      <c r="E6355">
        <v>0.59123879999999995</v>
      </c>
      <c r="F6355" t="s">
        <v>43</v>
      </c>
      <c r="G6355">
        <v>-313.94380000000001</v>
      </c>
      <c r="H6355">
        <v>-0.05</v>
      </c>
      <c r="I6355">
        <v>12.135009999999999</v>
      </c>
      <c r="J6355">
        <v>-322.09530000000001</v>
      </c>
      <c r="K6355">
        <v>1.1042700000000001</v>
      </c>
      <c r="L6355">
        <v>16.83249</v>
      </c>
      <c r="M6355">
        <v>0.98785069999999997</v>
      </c>
      <c r="N6355">
        <v>-1.4722010000000001E-2</v>
      </c>
      <c r="O6355">
        <v>-0.15470699999999901</v>
      </c>
      <c r="P6355">
        <v>0.88090210000000002</v>
      </c>
      <c r="Q6355">
        <v>0.34606300000000001</v>
      </c>
      <c r="R6355">
        <v>-0.32288099999999997</v>
      </c>
      <c r="S6355">
        <v>2.9541629999999999</v>
      </c>
      <c r="T6355">
        <v>-0.41054619999999997</v>
      </c>
      <c r="U6355">
        <v>-1.6803889999999999</v>
      </c>
      <c r="V6355">
        <v>0.18829989999999999</v>
      </c>
      <c r="W6355">
        <v>0.35667100000000002</v>
      </c>
      <c r="X6355">
        <v>0.9150568</v>
      </c>
      <c r="Y6355">
        <v>0.35201440000000001</v>
      </c>
      <c r="Z6355">
        <v>-7.927903E-3</v>
      </c>
      <c r="AA6355">
        <v>0.93596100000000004</v>
      </c>
      <c r="AB6355">
        <v>31</v>
      </c>
      <c r="AC6355">
        <v>8.1514999999999898</v>
      </c>
      <c r="AD6355">
        <v>-1.1542699999999999</v>
      </c>
      <c r="AE6355">
        <v>-4.6974799999999899</v>
      </c>
      <c r="AF6355">
        <v>3.3295630759268402</v>
      </c>
      <c r="AG6355">
        <v>-1.1542699999999999</v>
      </c>
      <c r="AH6355">
        <v>8.6499469059706904</v>
      </c>
      <c r="AI6355">
        <v>97.098786426869694</v>
      </c>
      <c r="AJ6355">
        <v>68.947139285884404</v>
      </c>
      <c r="AK6355">
        <v>9.3402307779619296</v>
      </c>
      <c r="AL6355">
        <v>69.104109104864605</v>
      </c>
      <c r="AM6355">
        <v>78.372021370073895</v>
      </c>
      <c r="AN6355">
        <v>1.0000000009036201</v>
      </c>
    </row>
    <row r="6356" spans="1:40" x14ac:dyDescent="0.25">
      <c r="A6356" t="str">
        <f>"20190304164249193"</f>
        <v>20190304164249193</v>
      </c>
      <c r="B6356" t="str">
        <f>"1551688969187441"</f>
        <v>1551688969187441</v>
      </c>
      <c r="C6356" t="s">
        <v>40</v>
      </c>
      <c r="D6356">
        <v>4.6990460000000001</v>
      </c>
      <c r="E6356">
        <v>0.59122059999999999</v>
      </c>
      <c r="F6356" t="s">
        <v>43</v>
      </c>
      <c r="G6356">
        <v>-313.81029999999998</v>
      </c>
      <c r="H6356">
        <v>-0.05</v>
      </c>
      <c r="I6356">
        <v>12.05049</v>
      </c>
      <c r="J6356">
        <v>-321.93029999999999</v>
      </c>
      <c r="K6356">
        <v>1.1042080000000001</v>
      </c>
      <c r="L6356">
        <v>16.80228</v>
      </c>
      <c r="M6356">
        <v>0.98716760000000003</v>
      </c>
      <c r="N6356">
        <v>-1.4734280000000001E-2</v>
      </c>
      <c r="O6356">
        <v>-0.1590067</v>
      </c>
      <c r="P6356">
        <v>0.87870159999999997</v>
      </c>
      <c r="Q6356">
        <v>0.34618199999999999</v>
      </c>
      <c r="R6356">
        <v>-0.32869700000000002</v>
      </c>
      <c r="S6356">
        <v>2.9439090000000001</v>
      </c>
      <c r="T6356">
        <v>-0.41014539999999999</v>
      </c>
      <c r="U6356">
        <v>-1.6991879999999999</v>
      </c>
      <c r="V6356">
        <v>0.19044320000000001</v>
      </c>
      <c r="W6356">
        <v>0.35673059999999901</v>
      </c>
      <c r="X6356">
        <v>0.91458989999999996</v>
      </c>
      <c r="Y6356">
        <v>0.353846299999999</v>
      </c>
      <c r="Z6356">
        <v>-7.5928380000000002E-3</v>
      </c>
      <c r="AA6356">
        <v>0.93527280000000002</v>
      </c>
      <c r="AB6356">
        <v>31</v>
      </c>
      <c r="AC6356">
        <v>8.1199999999999992</v>
      </c>
      <c r="AD6356">
        <v>-1.1542079999999999</v>
      </c>
      <c r="AE6356">
        <v>-4.7517899999999997</v>
      </c>
      <c r="AF6356">
        <v>3.34963332937861</v>
      </c>
      <c r="AG6356">
        <v>-1.1542079999999999</v>
      </c>
      <c r="AH6356">
        <v>8.6422473468371201</v>
      </c>
      <c r="AI6356">
        <v>97.098371766698705</v>
      </c>
      <c r="AJ6356">
        <v>68.814255528312003</v>
      </c>
      <c r="AK6356">
        <v>9.3402718778663605</v>
      </c>
      <c r="AL6356">
        <v>69.100454010960803</v>
      </c>
      <c r="AM6356">
        <v>78.237496841591394</v>
      </c>
      <c r="AN6356">
        <v>1.0000000092923</v>
      </c>
    </row>
    <row r="6357" spans="1:40" x14ac:dyDescent="0.25">
      <c r="A6357" t="str">
        <f>"20190304164249204"</f>
        <v>20190304164249204</v>
      </c>
      <c r="B6357" t="str">
        <f>"1551688969197201"</f>
        <v>1551688969197201</v>
      </c>
      <c r="C6357" t="s">
        <v>40</v>
      </c>
      <c r="D6357">
        <v>4.6770820000000004</v>
      </c>
      <c r="E6357">
        <v>0.59120879999999998</v>
      </c>
      <c r="F6357" t="s">
        <v>43</v>
      </c>
      <c r="G6357">
        <v>-313.68369999999999</v>
      </c>
      <c r="H6357">
        <v>-0.05</v>
      </c>
      <c r="I6357">
        <v>11.97118</v>
      </c>
      <c r="J6357">
        <v>-321.78149999999999</v>
      </c>
      <c r="K6357">
        <v>1.104144</v>
      </c>
      <c r="L6357">
        <v>16.77469</v>
      </c>
      <c r="M6357">
        <v>0.98653150000000001</v>
      </c>
      <c r="N6357">
        <v>-1.4745019999999999E-2</v>
      </c>
      <c r="O6357">
        <v>-0.1629061</v>
      </c>
      <c r="P6357">
        <v>0.87656990000000001</v>
      </c>
      <c r="Q6357">
        <v>0.3464238</v>
      </c>
      <c r="R6357">
        <v>-0.33409050000000001</v>
      </c>
      <c r="S6357">
        <v>2.9331049999999999</v>
      </c>
      <c r="T6357">
        <v>-0.41052070000000002</v>
      </c>
      <c r="U6357">
        <v>-1.7182919999999999</v>
      </c>
      <c r="V6357">
        <v>0.19253229999999999</v>
      </c>
      <c r="W6357">
        <v>0.35691420000000001</v>
      </c>
      <c r="X6357">
        <v>0.91408069999999997</v>
      </c>
      <c r="Y6357">
        <v>0.35618689999999997</v>
      </c>
      <c r="Z6357">
        <v>-7.3434619999999898E-3</v>
      </c>
      <c r="AA6357">
        <v>0.93438589999999999</v>
      </c>
      <c r="AB6357">
        <v>31</v>
      </c>
      <c r="AC6357">
        <v>8.0977999999999994</v>
      </c>
      <c r="AD6357">
        <v>-1.1541440000000001</v>
      </c>
      <c r="AE6357">
        <v>-4.8035099999999904</v>
      </c>
      <c r="AF6357">
        <v>3.3693752601866498</v>
      </c>
      <c r="AG6357">
        <v>-1.1541440000000001</v>
      </c>
      <c r="AH6357">
        <v>8.6423464991061199</v>
      </c>
      <c r="AI6357">
        <v>97.092494581846196</v>
      </c>
      <c r="AJ6357">
        <v>68.7007759797185</v>
      </c>
      <c r="AK6357">
        <v>9.3474537189175599</v>
      </c>
      <c r="AL6357">
        <v>69.089192580029703</v>
      </c>
      <c r="AM6357">
        <v>78.105684615540696</v>
      </c>
      <c r="AN6357">
        <v>0.99999997940870899</v>
      </c>
    </row>
    <row r="6358" spans="1:40" x14ac:dyDescent="0.25">
      <c r="A6358" t="str">
        <f>"20190304164249214"</f>
        <v>20190304164249214</v>
      </c>
      <c r="B6358" t="str">
        <f>"1551688969207938"</f>
        <v>1551688969207938</v>
      </c>
      <c r="C6358" t="s">
        <v>40</v>
      </c>
      <c r="D6358">
        <v>4.679837</v>
      </c>
      <c r="E6358">
        <v>0.59117559999999902</v>
      </c>
      <c r="F6358" t="s">
        <v>43</v>
      </c>
      <c r="G6358">
        <v>-313.56279999999998</v>
      </c>
      <c r="H6358">
        <v>-0.05</v>
      </c>
      <c r="I6358">
        <v>11.894959999999999</v>
      </c>
      <c r="J6358">
        <v>-321.62990000000002</v>
      </c>
      <c r="K6358">
        <v>1.104085</v>
      </c>
      <c r="L6358">
        <v>16.745539999999998</v>
      </c>
      <c r="M6358">
        <v>0.98585670000000003</v>
      </c>
      <c r="N6358">
        <v>-1.4756379999999999E-2</v>
      </c>
      <c r="O6358">
        <v>-0.1669397</v>
      </c>
      <c r="P6358">
        <v>0.87419530000000001</v>
      </c>
      <c r="Q6358">
        <v>0.34695910000000002</v>
      </c>
      <c r="R6358">
        <v>-0.33970909999999999</v>
      </c>
      <c r="S6358">
        <v>2.9231569999999998</v>
      </c>
      <c r="T6358">
        <v>-0.410499</v>
      </c>
      <c r="U6358">
        <v>-1.7355959999999999</v>
      </c>
      <c r="V6358">
        <v>0.19476969999999999</v>
      </c>
      <c r="W6358">
        <v>0.35738579999999998</v>
      </c>
      <c r="X6358">
        <v>0.91342219999999996</v>
      </c>
      <c r="Y6358">
        <v>0.35785939999999999</v>
      </c>
      <c r="Z6358">
        <v>-7.0275850000000003E-3</v>
      </c>
      <c r="AA6358">
        <v>0.93374900000000005</v>
      </c>
      <c r="AB6358">
        <v>31</v>
      </c>
      <c r="AC6358">
        <v>8.0671000000000301</v>
      </c>
      <c r="AD6358">
        <v>-1.154085</v>
      </c>
      <c r="AE6358">
        <v>-4.8505799999999901</v>
      </c>
      <c r="AF6358">
        <v>3.3847525682650201</v>
      </c>
      <c r="AG6358">
        <v>-1.154085</v>
      </c>
      <c r="AH6358">
        <v>8.6339293483614892</v>
      </c>
      <c r="AI6358">
        <v>97.093831541498005</v>
      </c>
      <c r="AJ6358">
        <v>68.593369510239</v>
      </c>
      <c r="AK6358">
        <v>9.3452232786648608</v>
      </c>
      <c r="AL6358">
        <v>69.060263991168696</v>
      </c>
      <c r="AM6358">
        <v>77.963046761526996</v>
      </c>
      <c r="AN6358">
        <v>0.99999998076628405</v>
      </c>
    </row>
    <row r="6359" spans="1:40" x14ac:dyDescent="0.25">
      <c r="A6359" t="str">
        <f>"20190304164249226"</f>
        <v>20190304164249226</v>
      </c>
      <c r="B6359" t="str">
        <f>"1551688969217697"</f>
        <v>1551688969217697</v>
      </c>
      <c r="C6359" t="s">
        <v>40</v>
      </c>
      <c r="D6359">
        <v>4.6962010000000003</v>
      </c>
      <c r="E6359">
        <v>0.59114089999999997</v>
      </c>
      <c r="F6359" t="s">
        <v>43</v>
      </c>
      <c r="G6359">
        <v>-313.42259999999999</v>
      </c>
      <c r="H6359">
        <v>-0.05</v>
      </c>
      <c r="I6359">
        <v>11.804349999999999</v>
      </c>
      <c r="J6359">
        <v>-321.47980000000001</v>
      </c>
      <c r="K6359">
        <v>1.1040239999999999</v>
      </c>
      <c r="L6359">
        <v>16.71631</v>
      </c>
      <c r="M6359">
        <v>0.98516760000000003</v>
      </c>
      <c r="N6359">
        <v>-1.476738E-2</v>
      </c>
      <c r="O6359">
        <v>-0.1709582</v>
      </c>
      <c r="P6359">
        <v>0.87187870000000001</v>
      </c>
      <c r="Q6359">
        <v>0.34758070000000002</v>
      </c>
      <c r="R6359">
        <v>-0.34498600000000001</v>
      </c>
      <c r="S6359">
        <v>2.9128419999999999</v>
      </c>
      <c r="T6359">
        <v>-0.40959970000000001</v>
      </c>
      <c r="U6359">
        <v>-1.7536929999999999</v>
      </c>
      <c r="V6359">
        <v>0.19668079999999999</v>
      </c>
      <c r="W6359">
        <v>0.35794910000000002</v>
      </c>
      <c r="X6359">
        <v>0.91279189999999999</v>
      </c>
      <c r="Y6359">
        <v>0.35978470000000001</v>
      </c>
      <c r="Z6359">
        <v>-6.7283569999999999E-3</v>
      </c>
      <c r="AA6359">
        <v>0.93301109999999998</v>
      </c>
      <c r="AB6359">
        <v>31</v>
      </c>
      <c r="AC6359">
        <v>8.0572000000000195</v>
      </c>
      <c r="AD6359">
        <v>-1.1540239999999999</v>
      </c>
      <c r="AE6359">
        <v>-4.9119599999999997</v>
      </c>
      <c r="AF6359">
        <v>3.41102166128824</v>
      </c>
      <c r="AG6359">
        <v>-1.1540239999999999</v>
      </c>
      <c r="AH6359">
        <v>8.6490343762349795</v>
      </c>
      <c r="AI6359">
        <v>97.075584482028802</v>
      </c>
      <c r="AJ6359">
        <v>68.476626725985597</v>
      </c>
      <c r="AK6359">
        <v>9.3687051297203308</v>
      </c>
      <c r="AL6359">
        <v>69.025702887385094</v>
      </c>
      <c r="AM6359">
        <v>77.840291360740096</v>
      </c>
      <c r="AN6359">
        <v>0.99999997399252905</v>
      </c>
    </row>
    <row r="6360" spans="1:40" x14ac:dyDescent="0.25">
      <c r="A6360" t="str">
        <f>"20190304164249236"</f>
        <v>20190304164249236</v>
      </c>
      <c r="B6360" t="str">
        <f>"1551688969227457"</f>
        <v>1551688969227457</v>
      </c>
      <c r="C6360" t="s">
        <v>40</v>
      </c>
      <c r="D6360">
        <v>4.6297139999999999</v>
      </c>
      <c r="E6360">
        <v>0.59109909999999999</v>
      </c>
      <c r="F6360" t="s">
        <v>43</v>
      </c>
      <c r="G6360">
        <v>-313.27159999999998</v>
      </c>
      <c r="H6360">
        <v>-0.05</v>
      </c>
      <c r="I6360">
        <v>11.707369999999999</v>
      </c>
      <c r="J6360">
        <v>-321.33890000000002</v>
      </c>
      <c r="K6360">
        <v>1.1039730000000001</v>
      </c>
      <c r="L6360">
        <v>16.688079999999999</v>
      </c>
      <c r="M6360">
        <v>0.98449799999999998</v>
      </c>
      <c r="N6360">
        <v>-1.4777759999999999E-2</v>
      </c>
      <c r="O6360">
        <v>-0.17477139999999999</v>
      </c>
      <c r="P6360">
        <v>0.86959279999999906</v>
      </c>
      <c r="Q6360">
        <v>0.34839209999999998</v>
      </c>
      <c r="R6360">
        <v>-0.34990199999999999</v>
      </c>
      <c r="S6360">
        <v>2.902679</v>
      </c>
      <c r="T6360">
        <v>-0.40810170000000001</v>
      </c>
      <c r="U6360">
        <v>-1.7713319999999999</v>
      </c>
      <c r="V6360">
        <v>0.19842750000000001</v>
      </c>
      <c r="W6360">
        <v>0.358705</v>
      </c>
      <c r="X6360">
        <v>0.91211690000000001</v>
      </c>
      <c r="Y6360">
        <v>0.3617726</v>
      </c>
      <c r="Z6360">
        <v>-6.4556910000000004E-3</v>
      </c>
      <c r="AA6360">
        <v>0.93224399999999996</v>
      </c>
      <c r="AB6360">
        <v>31</v>
      </c>
      <c r="AC6360">
        <v>8.0673000000000403</v>
      </c>
      <c r="AD6360">
        <v>-1.1539729999999999</v>
      </c>
      <c r="AE6360">
        <v>-4.9807100000000002</v>
      </c>
      <c r="AF6360">
        <v>3.4429423894126998</v>
      </c>
      <c r="AG6360">
        <v>-1.1539729999999999</v>
      </c>
      <c r="AH6360">
        <v>8.6850260304678493</v>
      </c>
      <c r="AI6360">
        <v>97.041383067238399</v>
      </c>
      <c r="AJ6360">
        <v>68.375496200072007</v>
      </c>
      <c r="AK6360">
        <v>9.4135637848504494</v>
      </c>
      <c r="AL6360">
        <v>68.979312955449501</v>
      </c>
      <c r="AM6360">
        <v>77.726756099488199</v>
      </c>
      <c r="AN6360">
        <v>0.99999999452343002</v>
      </c>
    </row>
    <row r="6361" spans="1:40" x14ac:dyDescent="0.25">
      <c r="A6361" t="str">
        <f>"20190304164249247"</f>
        <v>20190304164249247</v>
      </c>
      <c r="B6361" t="str">
        <f>"1551688969237218"</f>
        <v>1551688969237218</v>
      </c>
      <c r="C6361" t="s">
        <v>40</v>
      </c>
      <c r="D6361">
        <v>4.6762680000000003</v>
      </c>
      <c r="E6361">
        <v>0.59106300000000001</v>
      </c>
      <c r="F6361" t="s">
        <v>43</v>
      </c>
      <c r="G6361">
        <v>-313.1155</v>
      </c>
      <c r="H6361">
        <v>-0.05</v>
      </c>
      <c r="I6361">
        <v>11.605650000000001</v>
      </c>
      <c r="J6361">
        <v>-321.18599999999998</v>
      </c>
      <c r="K6361">
        <v>1.1039030000000001</v>
      </c>
      <c r="L6361">
        <v>16.656949999999998</v>
      </c>
      <c r="M6361">
        <v>0.9836916</v>
      </c>
      <c r="N6361">
        <v>-1.4640520000000001E-2</v>
      </c>
      <c r="O6361">
        <v>-0.1792665</v>
      </c>
      <c r="P6361">
        <v>0.86708669999999999</v>
      </c>
      <c r="Q6361">
        <v>0.3493463</v>
      </c>
      <c r="R6361">
        <v>-0.35513109999999998</v>
      </c>
      <c r="S6361">
        <v>2.8930660000000001</v>
      </c>
      <c r="T6361">
        <v>-0.4059799</v>
      </c>
      <c r="U6361">
        <v>-1.7880549999999999</v>
      </c>
      <c r="V6361">
        <v>0.19987189999999999</v>
      </c>
      <c r="W6361">
        <v>0.3594852</v>
      </c>
      <c r="X6361">
        <v>0.91149409999999997</v>
      </c>
      <c r="Y6361">
        <v>0.36283949999999998</v>
      </c>
      <c r="Z6361">
        <v>-5.9886549999999998E-3</v>
      </c>
      <c r="AA6361">
        <v>0.93183240000000001</v>
      </c>
      <c r="AB6361">
        <v>31</v>
      </c>
      <c r="AC6361">
        <v>8.0704999999999796</v>
      </c>
      <c r="AD6361">
        <v>-1.1539029999999999</v>
      </c>
      <c r="AE6361">
        <v>-5.0512999999999897</v>
      </c>
      <c r="AF6361">
        <v>3.4715369759030601</v>
      </c>
      <c r="AG6361">
        <v>-1.1539029999999999</v>
      </c>
      <c r="AH6361">
        <v>8.7173157115398094</v>
      </c>
      <c r="AI6361">
        <v>97.010823449555701</v>
      </c>
      <c r="AJ6361">
        <v>68.285840446461606</v>
      </c>
      <c r="AK6361">
        <v>9.4538169182151002</v>
      </c>
      <c r="AL6361">
        <v>68.931414907349406</v>
      </c>
      <c r="AM6361">
        <v>77.6319674684147</v>
      </c>
      <c r="AN6361">
        <v>0.99999993988172797</v>
      </c>
    </row>
    <row r="6362" spans="1:40" x14ac:dyDescent="0.25">
      <c r="A6362" t="str">
        <f>"20190304164249258"</f>
        <v>20190304164249258</v>
      </c>
      <c r="B6362" t="str">
        <f>"1551688969247953"</f>
        <v>1551688969247953</v>
      </c>
      <c r="C6362" t="s">
        <v>40</v>
      </c>
      <c r="D6362">
        <v>4.6802449999999904</v>
      </c>
      <c r="E6362">
        <v>0.59101300000000001</v>
      </c>
      <c r="F6362" t="s">
        <v>43</v>
      </c>
      <c r="G6362">
        <v>-312.93329999999997</v>
      </c>
      <c r="H6362">
        <v>-0.05</v>
      </c>
      <c r="I6362">
        <v>11.48537</v>
      </c>
      <c r="J6362">
        <v>-321.0301</v>
      </c>
      <c r="K6362">
        <v>1.10382</v>
      </c>
      <c r="L6362">
        <v>16.62463</v>
      </c>
      <c r="M6362">
        <v>0.98278180000000004</v>
      </c>
      <c r="N6362">
        <v>-1.4350419999999999E-2</v>
      </c>
      <c r="O6362">
        <v>-0.18421180000000001</v>
      </c>
      <c r="P6362">
        <v>0.86440090000000003</v>
      </c>
      <c r="Q6362">
        <v>0.35060259999999999</v>
      </c>
      <c r="R6362">
        <v>-0.36040100000000003</v>
      </c>
      <c r="S6362">
        <v>2.8824459999999998</v>
      </c>
      <c r="T6362">
        <v>-0.40302359999999998</v>
      </c>
      <c r="U6362">
        <v>-1.8062739999999999</v>
      </c>
      <c r="V6362">
        <v>0.2009551</v>
      </c>
      <c r="W6362">
        <v>0.36044609999999999</v>
      </c>
      <c r="X6362">
        <v>0.91087629999999997</v>
      </c>
      <c r="Y6362">
        <v>0.3639812</v>
      </c>
      <c r="Z6362">
        <v>-5.4246090000000004E-3</v>
      </c>
      <c r="AA6362">
        <v>0.93139050000000001</v>
      </c>
      <c r="AB6362">
        <v>31</v>
      </c>
      <c r="AC6362">
        <v>8.0968000000000302</v>
      </c>
      <c r="AD6362">
        <v>-1.1538200000000001</v>
      </c>
      <c r="AE6362">
        <v>-5.1392600000000002</v>
      </c>
      <c r="AF6362">
        <v>3.50882024261068</v>
      </c>
      <c r="AG6362">
        <v>-1.1538200000000001</v>
      </c>
      <c r="AH6362">
        <v>8.7779530683703797</v>
      </c>
      <c r="AI6362">
        <v>96.958824507655606</v>
      </c>
      <c r="AJ6362">
        <v>68.211876837742807</v>
      </c>
      <c r="AK6362">
        <v>9.5234227123375899</v>
      </c>
      <c r="AL6362">
        <v>68.872404672834904</v>
      </c>
      <c r="AM6362">
        <v>77.558848174233404</v>
      </c>
      <c r="AN6362">
        <v>0.999999988561455</v>
      </c>
    </row>
    <row r="6363" spans="1:40" x14ac:dyDescent="0.25">
      <c r="A6363" t="str">
        <f>"20190304164249270"</f>
        <v>20190304164249270</v>
      </c>
      <c r="B6363" t="str">
        <f>"1551688969257713"</f>
        <v>1551688969257713</v>
      </c>
      <c r="C6363" t="s">
        <v>40</v>
      </c>
      <c r="D6363">
        <v>4.6687370000000001</v>
      </c>
      <c r="E6363">
        <v>0.59095039999999999</v>
      </c>
      <c r="F6363" t="s">
        <v>43</v>
      </c>
      <c r="G6363">
        <v>-312.7278</v>
      </c>
      <c r="H6363">
        <v>-0.05</v>
      </c>
      <c r="I6363">
        <v>11.348979999999999</v>
      </c>
      <c r="J6363">
        <v>-320.88040000000001</v>
      </c>
      <c r="K6363">
        <v>1.1036140000000001</v>
      </c>
      <c r="L6363">
        <v>16.592739999999999</v>
      </c>
      <c r="M6363">
        <v>0.98190140000000004</v>
      </c>
      <c r="N6363">
        <v>-1.403476E-2</v>
      </c>
      <c r="O6363">
        <v>-0.18887229999999999</v>
      </c>
      <c r="P6363">
        <v>0.86195869999999997</v>
      </c>
      <c r="Q6363">
        <v>0.35150090000000001</v>
      </c>
      <c r="R6363">
        <v>-0.36534179999999999</v>
      </c>
      <c r="S6363">
        <v>2.8716740000000001</v>
      </c>
      <c r="T6363">
        <v>-0.3990958</v>
      </c>
      <c r="U6363">
        <v>-1.8247990000000001</v>
      </c>
      <c r="V6363">
        <v>0.2020187</v>
      </c>
      <c r="W6363">
        <v>0.36098429999999998</v>
      </c>
      <c r="X6363">
        <v>0.91042780000000001</v>
      </c>
      <c r="Y6363">
        <v>0.36548209999999998</v>
      </c>
      <c r="Z6363">
        <v>-4.9124290000000003E-3</v>
      </c>
      <c r="AA6363">
        <v>0.93080540000000001</v>
      </c>
      <c r="AB6363">
        <v>31</v>
      </c>
      <c r="AC6363">
        <v>8.1525999999999996</v>
      </c>
      <c r="AD6363">
        <v>-1.1536139999999999</v>
      </c>
      <c r="AE6363">
        <v>-5.2437599999999902</v>
      </c>
      <c r="AF6363">
        <v>3.5590025532031402</v>
      </c>
      <c r="AG6363">
        <v>-1.1536139999999999</v>
      </c>
      <c r="AH6363">
        <v>8.8706963634093299</v>
      </c>
      <c r="AI6363">
        <v>96.882077068480498</v>
      </c>
      <c r="AJ6363">
        <v>68.138903082497393</v>
      </c>
      <c r="AK6363">
        <v>9.6273868939866603</v>
      </c>
      <c r="AL6363">
        <v>68.839342427442801</v>
      </c>
      <c r="AM6363">
        <v>77.489100287607101</v>
      </c>
      <c r="AN6363">
        <v>0.99999999950451002</v>
      </c>
    </row>
    <row r="6364" spans="1:40" x14ac:dyDescent="0.25">
      <c r="A6364" t="str">
        <f>"20190304164249281"</f>
        <v>20190304164249281</v>
      </c>
      <c r="B6364" t="str">
        <f>"1551688969277234"</f>
        <v>1551688969277234</v>
      </c>
      <c r="C6364" t="s">
        <v>40</v>
      </c>
      <c r="D6364">
        <v>4.6859149999999996</v>
      </c>
      <c r="E6364">
        <v>0.59080639999999995</v>
      </c>
      <c r="F6364" t="s">
        <v>43</v>
      </c>
      <c r="G6364">
        <v>-312.55200000000002</v>
      </c>
      <c r="H6364">
        <v>-0.05</v>
      </c>
      <c r="I6364">
        <v>11.22939</v>
      </c>
      <c r="J6364">
        <v>-320.72269999999997</v>
      </c>
      <c r="K6364">
        <v>1.1033500000000001</v>
      </c>
      <c r="L6364">
        <v>16.55875</v>
      </c>
      <c r="M6364">
        <v>0.98095509999999997</v>
      </c>
      <c r="N6364">
        <v>-1.3685910000000001E-2</v>
      </c>
      <c r="O6364">
        <v>-0.1937519</v>
      </c>
      <c r="P6364">
        <v>0.85950559999999998</v>
      </c>
      <c r="Q6364">
        <v>0.35248049999999997</v>
      </c>
      <c r="R6364">
        <v>-0.37014590000000003</v>
      </c>
      <c r="S6364">
        <v>2.861145</v>
      </c>
      <c r="T6364">
        <v>-0.39631329999999998</v>
      </c>
      <c r="U6364">
        <v>-1.8425290000000001</v>
      </c>
      <c r="V6364">
        <v>0.20278950000000001</v>
      </c>
      <c r="W6364">
        <v>0.36155779999999998</v>
      </c>
      <c r="X6364">
        <v>0.91002879999999997</v>
      </c>
      <c r="Y6364">
        <v>0.36654550000000002</v>
      </c>
      <c r="Z6364">
        <v>-4.3361270000000004E-3</v>
      </c>
      <c r="AA6364">
        <v>0.9303901</v>
      </c>
      <c r="AB6364">
        <v>31</v>
      </c>
      <c r="AC6364">
        <v>8.1706999999999503</v>
      </c>
      <c r="AD6364">
        <v>-1.1533500000000001</v>
      </c>
      <c r="AE6364">
        <v>-5.3293600000000003</v>
      </c>
      <c r="AF6364">
        <v>3.5948652063045401</v>
      </c>
      <c r="AG6364">
        <v>-1.1533500000000001</v>
      </c>
      <c r="AH6364">
        <v>8.9237710186897505</v>
      </c>
      <c r="AI6364">
        <v>96.836156783307402</v>
      </c>
      <c r="AJ6364">
        <v>68.058378747537603</v>
      </c>
      <c r="AK6364">
        <v>9.6895284337271104</v>
      </c>
      <c r="AL6364">
        <v>68.804103739698306</v>
      </c>
      <c r="AM6364">
        <v>77.4375453880767</v>
      </c>
      <c r="AN6364">
        <v>1.0000000204402599</v>
      </c>
    </row>
    <row r="6365" spans="1:40" x14ac:dyDescent="0.25">
      <c r="A6365" t="str">
        <f>"20190304164249294"</f>
        <v>20190304164249294</v>
      </c>
      <c r="B6365" t="str">
        <f>"1551688969287970"</f>
        <v>1551688969287970</v>
      </c>
      <c r="C6365" t="s">
        <v>40</v>
      </c>
      <c r="D6365">
        <v>4.7213789999999998</v>
      </c>
      <c r="E6365">
        <v>0.59072860000000005</v>
      </c>
      <c r="F6365" t="s">
        <v>43</v>
      </c>
      <c r="G6365">
        <v>-312.38119999999998</v>
      </c>
      <c r="H6365">
        <v>-0.05</v>
      </c>
      <c r="I6365">
        <v>11.11923</v>
      </c>
      <c r="J6365">
        <v>-320.55349999999999</v>
      </c>
      <c r="K6365">
        <v>1.102983</v>
      </c>
      <c r="L6365">
        <v>16.52094</v>
      </c>
      <c r="M6365">
        <v>0.9799679</v>
      </c>
      <c r="N6365">
        <v>-1.3618730000000001E-2</v>
      </c>
      <c r="O6365">
        <v>-0.19868959999999999</v>
      </c>
      <c r="P6365">
        <v>0.85712330000000003</v>
      </c>
      <c r="Q6365">
        <v>0.35313230000000001</v>
      </c>
      <c r="R6365">
        <v>-0.37501640000000003</v>
      </c>
      <c r="S6365">
        <v>2.8513489999999999</v>
      </c>
      <c r="T6365">
        <v>-0.39424670000000001</v>
      </c>
      <c r="U6365">
        <v>-1.859375</v>
      </c>
      <c r="V6365">
        <v>0.2036403</v>
      </c>
      <c r="W6365">
        <v>0.3620179</v>
      </c>
      <c r="X6365">
        <v>0.90965580000000001</v>
      </c>
      <c r="Y6365">
        <v>0.3672204</v>
      </c>
      <c r="Z6365">
        <v>-3.8355680000000001E-3</v>
      </c>
      <c r="AA6365">
        <v>0.93012609999999996</v>
      </c>
      <c r="AB6365">
        <v>31</v>
      </c>
      <c r="AC6365">
        <v>8.1722999999999999</v>
      </c>
      <c r="AD6365">
        <v>-1.1529830000000001</v>
      </c>
      <c r="AE6365">
        <v>-5.4017099999999996</v>
      </c>
      <c r="AF6365">
        <v>3.6199456715445599</v>
      </c>
      <c r="AG6365">
        <v>-1.1529830000000001</v>
      </c>
      <c r="AH6365">
        <v>8.9585967007438292</v>
      </c>
      <c r="AI6365">
        <v>96.804799418643995</v>
      </c>
      <c r="AJ6365">
        <v>67.997593745079001</v>
      </c>
      <c r="AK6365">
        <v>9.7308700181330892</v>
      </c>
      <c r="AL6365">
        <v>68.775826075680797</v>
      </c>
      <c r="AM6365">
        <v>77.381516442843704</v>
      </c>
      <c r="AN6365">
        <v>1.0000000030890701</v>
      </c>
    </row>
    <row r="6366" spans="1:40" x14ac:dyDescent="0.25">
      <c r="A6366" t="str">
        <f>"20190304164249306"</f>
        <v>20190304164249306</v>
      </c>
      <c r="B6366" t="str">
        <f>"1551688969297729"</f>
        <v>1551688969297729</v>
      </c>
      <c r="C6366" t="s">
        <v>40</v>
      </c>
      <c r="D6366">
        <v>4.6988269999999996</v>
      </c>
      <c r="E6366">
        <v>0.59065249999999903</v>
      </c>
      <c r="F6366" t="s">
        <v>43</v>
      </c>
      <c r="G6366">
        <v>-312.20870000000002</v>
      </c>
      <c r="H6366">
        <v>-0.05</v>
      </c>
      <c r="I6366">
        <v>11.009460000000001</v>
      </c>
      <c r="J6366">
        <v>-320.39210000000003</v>
      </c>
      <c r="K6366">
        <v>1.1026049999999901</v>
      </c>
      <c r="L6366">
        <v>16.484310000000001</v>
      </c>
      <c r="M6366">
        <v>0.9790065</v>
      </c>
      <c r="N6366">
        <v>-1.364689E-2</v>
      </c>
      <c r="O6366">
        <v>-0.2033722</v>
      </c>
      <c r="P6366">
        <v>0.85488419999999898</v>
      </c>
      <c r="Q6366">
        <v>0.35377629999999999</v>
      </c>
      <c r="R6366">
        <v>-0.37949430000000001</v>
      </c>
      <c r="S6366">
        <v>2.8408509999999998</v>
      </c>
      <c r="T6366">
        <v>-0.3925128</v>
      </c>
      <c r="U6366">
        <v>-1.876282</v>
      </c>
      <c r="V6366">
        <v>0.20431740000000001</v>
      </c>
      <c r="W6366">
        <v>0.36256100000000002</v>
      </c>
      <c r="X6366">
        <v>0.90928759999999997</v>
      </c>
      <c r="Y6366">
        <v>0.3682376</v>
      </c>
      <c r="Z6366">
        <v>-3.4261460000000001E-3</v>
      </c>
      <c r="AA6366">
        <v>0.92972549999999998</v>
      </c>
      <c r="AB6366">
        <v>31</v>
      </c>
      <c r="AC6366">
        <v>8.1834000000000007</v>
      </c>
      <c r="AD6366">
        <v>-1.1526050000000001</v>
      </c>
      <c r="AE6366">
        <v>-5.47485</v>
      </c>
      <c r="AF6366">
        <v>3.6460162664464901</v>
      </c>
      <c r="AG6366">
        <v>-1.1526050000000001</v>
      </c>
      <c r="AH6366">
        <v>9.0025120473380795</v>
      </c>
      <c r="AI6366">
        <v>96.767558335989705</v>
      </c>
      <c r="AJ6366">
        <v>67.952058620375695</v>
      </c>
      <c r="AK6366">
        <v>9.7809588519574504</v>
      </c>
      <c r="AL6366">
        <v>68.742440858533797</v>
      </c>
      <c r="AM6366">
        <v>77.335949474476806</v>
      </c>
      <c r="AN6366">
        <v>1.00000000908876</v>
      </c>
    </row>
    <row r="6367" spans="1:40" x14ac:dyDescent="0.25">
      <c r="A6367" t="str">
        <f>"20190304164249317"</f>
        <v>20190304164249317</v>
      </c>
      <c r="B6367" t="str">
        <f>"1551688969307490"</f>
        <v>1551688969307490</v>
      </c>
      <c r="C6367" t="s">
        <v>40</v>
      </c>
      <c r="D6367">
        <v>4.7105240000000004</v>
      </c>
      <c r="E6367">
        <v>0.59057490000000001</v>
      </c>
      <c r="F6367" t="s">
        <v>43</v>
      </c>
      <c r="G6367">
        <v>-312.04419999999999</v>
      </c>
      <c r="H6367">
        <v>-0.05</v>
      </c>
      <c r="I6367">
        <v>10.90588</v>
      </c>
      <c r="J6367">
        <v>-320.23059999999998</v>
      </c>
      <c r="K6367">
        <v>1.1021829999999999</v>
      </c>
      <c r="L6367">
        <v>16.446809999999999</v>
      </c>
      <c r="M6367">
        <v>0.97802789999999995</v>
      </c>
      <c r="N6367">
        <v>-1.3848249999999999E-2</v>
      </c>
      <c r="O6367">
        <v>-0.20801359999999999</v>
      </c>
      <c r="P6367">
        <v>0.85282190000000002</v>
      </c>
      <c r="Q6367">
        <v>0.3539215</v>
      </c>
      <c r="R6367">
        <v>-0.38397199999999998</v>
      </c>
      <c r="S6367">
        <v>2.831207</v>
      </c>
      <c r="T6367">
        <v>-0.39090920000000001</v>
      </c>
      <c r="U6367">
        <v>-1.891937</v>
      </c>
      <c r="V6367">
        <v>0.20499899999999999</v>
      </c>
      <c r="W6367">
        <v>0.36276269999999999</v>
      </c>
      <c r="X6367">
        <v>0.90905369999999996</v>
      </c>
      <c r="Y6367">
        <v>0.36886750000000001</v>
      </c>
      <c r="Z6367">
        <v>-3.0659049999999998E-3</v>
      </c>
      <c r="AA6367">
        <v>0.92947690000000005</v>
      </c>
      <c r="AB6367">
        <v>31</v>
      </c>
      <c r="AC6367">
        <v>8.1863999999999901</v>
      </c>
      <c r="AD6367">
        <v>-1.152183</v>
      </c>
      <c r="AE6367">
        <v>-5.5409300000000004</v>
      </c>
      <c r="AF6367">
        <v>3.6668434515569399</v>
      </c>
      <c r="AG6367">
        <v>-1.152183</v>
      </c>
      <c r="AH6367">
        <v>9.0372229237535695</v>
      </c>
      <c r="AI6367">
        <v>96.737617872975406</v>
      </c>
      <c r="AJ6367">
        <v>67.915198656814198</v>
      </c>
      <c r="AK6367">
        <v>9.8206244576061508</v>
      </c>
      <c r="AL6367">
        <v>68.730039816369398</v>
      </c>
      <c r="AM6367">
        <v>77.291908679891705</v>
      </c>
      <c r="AN6367">
        <v>0.99999999799799</v>
      </c>
    </row>
    <row r="6368" spans="1:40" x14ac:dyDescent="0.25">
      <c r="A6368" t="str">
        <f>"20190304164249329"</f>
        <v>20190304164249329</v>
      </c>
      <c r="B6368" t="str">
        <f>"1551688969317250"</f>
        <v>1551688969317250</v>
      </c>
      <c r="C6368" t="s">
        <v>40</v>
      </c>
      <c r="D6368">
        <v>4.7054839999999896</v>
      </c>
      <c r="E6368">
        <v>0.59049770000000001</v>
      </c>
      <c r="F6368" t="s">
        <v>43</v>
      </c>
      <c r="G6368">
        <v>-311.91570000000002</v>
      </c>
      <c r="H6368">
        <v>-0.05</v>
      </c>
      <c r="I6368">
        <v>10.82452</v>
      </c>
      <c r="J6368">
        <v>-320.07260000000002</v>
      </c>
      <c r="K6368">
        <v>1.1017049999999999</v>
      </c>
      <c r="L6368">
        <v>16.409269999999999</v>
      </c>
      <c r="M6368">
        <v>0.97705359999999997</v>
      </c>
      <c r="N6368">
        <v>-1.418401E-2</v>
      </c>
      <c r="O6368">
        <v>-0.21252070000000001</v>
      </c>
      <c r="P6368">
        <v>0.85092019999999902</v>
      </c>
      <c r="Q6368">
        <v>0.35401149999999998</v>
      </c>
      <c r="R6368">
        <v>-0.3880865</v>
      </c>
      <c r="S6368">
        <v>2.8211360000000001</v>
      </c>
      <c r="T6368">
        <v>-0.39092060000000001</v>
      </c>
      <c r="U6368">
        <v>-1.907562</v>
      </c>
      <c r="V6368">
        <v>0.2054164</v>
      </c>
      <c r="W6368">
        <v>0.36303829999999998</v>
      </c>
      <c r="X6368">
        <v>0.90884940000000003</v>
      </c>
      <c r="Y6368">
        <v>0.36965750000000003</v>
      </c>
      <c r="Z6368">
        <v>-2.7783220000000002E-3</v>
      </c>
      <c r="AA6368">
        <v>0.92916390000000004</v>
      </c>
      <c r="AB6368">
        <v>31</v>
      </c>
      <c r="AC6368">
        <v>8.1569000000000091</v>
      </c>
      <c r="AD6368">
        <v>-1.151705</v>
      </c>
      <c r="AE6368">
        <v>-5.5847499999999997</v>
      </c>
      <c r="AF6368">
        <v>3.67360242337912</v>
      </c>
      <c r="AG6368">
        <v>-1.151705</v>
      </c>
      <c r="AH6368">
        <v>9.0348932781562699</v>
      </c>
      <c r="AI6368">
        <v>96.734584858232296</v>
      </c>
      <c r="AJ6368">
        <v>67.873260379841994</v>
      </c>
      <c r="AK6368">
        <v>9.8209508561928693</v>
      </c>
      <c r="AL6368">
        <v>68.713093194078098</v>
      </c>
      <c r="AM6368">
        <v>77.264107472421102</v>
      </c>
      <c r="AN6368">
        <v>0.999999968268104</v>
      </c>
    </row>
    <row r="6369" spans="1:40" x14ac:dyDescent="0.25">
      <c r="A6369" t="str">
        <f>"20190304164249340"</f>
        <v>20190304164249340</v>
      </c>
      <c r="B6369" t="str">
        <f>"1551688969327985"</f>
        <v>1551688969327985</v>
      </c>
      <c r="C6369" t="s">
        <v>40</v>
      </c>
      <c r="D6369">
        <v>4.7675369999999999</v>
      </c>
      <c r="E6369">
        <v>0.59041719999999998</v>
      </c>
      <c r="F6369" t="s">
        <v>43</v>
      </c>
      <c r="G6369">
        <v>-311.79079999999999</v>
      </c>
      <c r="H6369">
        <v>-0.05</v>
      </c>
      <c r="I6369">
        <v>10.747680000000001</v>
      </c>
      <c r="J6369">
        <v>-319.92259999999999</v>
      </c>
      <c r="K6369">
        <v>1.1012169999999999</v>
      </c>
      <c r="L6369">
        <v>16.37311</v>
      </c>
      <c r="M6369">
        <v>0.97611139999999996</v>
      </c>
      <c r="N6369">
        <v>-1.4578320000000001E-2</v>
      </c>
      <c r="O6369">
        <v>-0.21678140000000001</v>
      </c>
      <c r="P6369">
        <v>0.84910239999999904</v>
      </c>
      <c r="Q6369">
        <v>0.35387020000000002</v>
      </c>
      <c r="R6369">
        <v>-0.39217449999999998</v>
      </c>
      <c r="S6369">
        <v>2.8116460000000001</v>
      </c>
      <c r="T6369">
        <v>-0.39100020000000002</v>
      </c>
      <c r="U6369">
        <v>-1.9220889999999999</v>
      </c>
      <c r="V6369">
        <v>0.20600850000000001</v>
      </c>
      <c r="W6369">
        <v>0.3631374</v>
      </c>
      <c r="X6369">
        <v>0.90867580000000003</v>
      </c>
      <c r="Y6369">
        <v>0.3703359</v>
      </c>
      <c r="Z6369">
        <v>-2.5345720000000001E-3</v>
      </c>
      <c r="AA6369">
        <v>0.92889449999999996</v>
      </c>
      <c r="AB6369">
        <v>31</v>
      </c>
      <c r="AC6369">
        <v>8.1317999999999895</v>
      </c>
      <c r="AD6369">
        <v>-1.1512169999999999</v>
      </c>
      <c r="AE6369">
        <v>-5.6254299999999997</v>
      </c>
      <c r="AF6369">
        <v>3.67875355575186</v>
      </c>
      <c r="AG6369">
        <v>-1.1512169999999999</v>
      </c>
      <c r="AH6369">
        <v>9.0355265940950495</v>
      </c>
      <c r="AI6369">
        <v>96.730029122133203</v>
      </c>
      <c r="AJ6369">
        <v>67.846636537103294</v>
      </c>
      <c r="AK6369">
        <v>9.8234041522094007</v>
      </c>
      <c r="AL6369">
        <v>68.706999821228393</v>
      </c>
      <c r="AM6369">
        <v>77.2262394789864</v>
      </c>
      <c r="AN6369">
        <v>0.99999999142832496</v>
      </c>
    </row>
    <row r="6370" spans="1:40" x14ac:dyDescent="0.25">
      <c r="A6370" t="str">
        <f>"20190304164249350"</f>
        <v>20190304164249350</v>
      </c>
      <c r="B6370" t="str">
        <f>"1551688969337745"</f>
        <v>1551688969337745</v>
      </c>
      <c r="C6370" t="s">
        <v>40</v>
      </c>
      <c r="D6370">
        <v>4.771992</v>
      </c>
      <c r="E6370">
        <v>0.59033530000000001</v>
      </c>
      <c r="F6370" t="s">
        <v>43</v>
      </c>
      <c r="G6370">
        <v>-311.6936</v>
      </c>
      <c r="H6370">
        <v>-0.05</v>
      </c>
      <c r="I6370">
        <v>10.687390000000001</v>
      </c>
      <c r="J6370">
        <v>-319.79239999999999</v>
      </c>
      <c r="K6370">
        <v>1.100724</v>
      </c>
      <c r="L6370">
        <v>16.340789999999998</v>
      </c>
      <c r="M6370">
        <v>0.97529969999999999</v>
      </c>
      <c r="N6370">
        <v>-1.506793E-2</v>
      </c>
      <c r="O6370">
        <v>-0.2203715</v>
      </c>
      <c r="P6370">
        <v>0.84752689999999997</v>
      </c>
      <c r="Q6370">
        <v>0.35386339999999999</v>
      </c>
      <c r="R6370">
        <v>-0.39557399999999998</v>
      </c>
      <c r="S6370">
        <v>2.8022459999999998</v>
      </c>
      <c r="T6370">
        <v>-0.39202999999999999</v>
      </c>
      <c r="U6370">
        <v>-1.936188</v>
      </c>
      <c r="V6370">
        <v>0.2064773</v>
      </c>
      <c r="W6370">
        <v>0.36347629999999997</v>
      </c>
      <c r="X6370">
        <v>0.90843390000000002</v>
      </c>
      <c r="Y6370">
        <v>0.37151919999999999</v>
      </c>
      <c r="Z6370">
        <v>-2.4296980000000001E-3</v>
      </c>
      <c r="AA6370">
        <v>0.92842210000000003</v>
      </c>
      <c r="AB6370">
        <v>31</v>
      </c>
      <c r="AC6370">
        <v>8.0987999999999793</v>
      </c>
      <c r="AD6370">
        <v>-1.1507240000000001</v>
      </c>
      <c r="AE6370">
        <v>-5.6534000000000004</v>
      </c>
      <c r="AF6370">
        <v>3.67949224910743</v>
      </c>
      <c r="AG6370">
        <v>-1.1507240000000001</v>
      </c>
      <c r="AH6370">
        <v>9.0231624972119793</v>
      </c>
      <c r="AI6370">
        <v>96.734814818146901</v>
      </c>
      <c r="AJ6370">
        <v>67.815200274775506</v>
      </c>
      <c r="AK6370">
        <v>9.8122520547787797</v>
      </c>
      <c r="AL6370">
        <v>68.686158875096694</v>
      </c>
      <c r="AM6370">
        <v>77.1948313419974</v>
      </c>
      <c r="AN6370">
        <v>1.0000000233730899</v>
      </c>
    </row>
    <row r="6371" spans="1:40" x14ac:dyDescent="0.25">
      <c r="A6371" t="str">
        <f>"20190304164249360"</f>
        <v>20190304164249360</v>
      </c>
      <c r="B6371" t="str">
        <f>"1551688969357266"</f>
        <v>1551688969357266</v>
      </c>
      <c r="C6371" t="s">
        <v>40</v>
      </c>
      <c r="D6371">
        <v>4.8038970000000001</v>
      </c>
      <c r="E6371">
        <v>0.5901573</v>
      </c>
      <c r="F6371" t="s">
        <v>43</v>
      </c>
      <c r="G6371">
        <v>-311.60489999999999</v>
      </c>
      <c r="H6371">
        <v>-0.05</v>
      </c>
      <c r="I6371">
        <v>10.634230000000001</v>
      </c>
      <c r="J6371">
        <v>-319.64879999999999</v>
      </c>
      <c r="K6371">
        <v>1.1001669999999999</v>
      </c>
      <c r="L6371">
        <v>16.304929999999999</v>
      </c>
      <c r="M6371">
        <v>0.97439229999999999</v>
      </c>
      <c r="N6371">
        <v>-1.5637080000000001E-2</v>
      </c>
      <c r="O6371">
        <v>-0.22431100000000001</v>
      </c>
      <c r="P6371">
        <v>0.84582819999999903</v>
      </c>
      <c r="Q6371">
        <v>0.3535354</v>
      </c>
      <c r="R6371">
        <v>-0.39948450000000002</v>
      </c>
      <c r="S6371">
        <v>2.7945859999999998</v>
      </c>
      <c r="T6371">
        <v>-0.39276929999999999</v>
      </c>
      <c r="U6371">
        <v>-1.947784</v>
      </c>
      <c r="V6371">
        <v>0.20715539999999999</v>
      </c>
      <c r="W6371">
        <v>0.36355320000000002</v>
      </c>
      <c r="X6371">
        <v>0.90824870000000002</v>
      </c>
      <c r="Y6371">
        <v>0.37154369999999998</v>
      </c>
      <c r="Z6371">
        <v>-2.243325E-3</v>
      </c>
      <c r="AA6371">
        <v>0.92841269999999998</v>
      </c>
      <c r="AB6371">
        <v>31</v>
      </c>
      <c r="AC6371">
        <v>8.0439000000000007</v>
      </c>
      <c r="AD6371">
        <v>-1.1501669999999999</v>
      </c>
      <c r="AE6371">
        <v>-5.6706999999999903</v>
      </c>
      <c r="AF6371">
        <v>3.6714625334808799</v>
      </c>
      <c r="AG6371">
        <v>-1.1501669999999999</v>
      </c>
      <c r="AH6371">
        <v>8.9882696805725502</v>
      </c>
      <c r="AI6371">
        <v>96.755860670402299</v>
      </c>
      <c r="AJ6371">
        <v>67.781327037342706</v>
      </c>
      <c r="AK6371">
        <v>9.7770912399006793</v>
      </c>
      <c r="AL6371">
        <v>68.681428636050299</v>
      </c>
      <c r="AM6371">
        <v>77.151637951179197</v>
      </c>
      <c r="AN6371">
        <v>0.99999999501554504</v>
      </c>
    </row>
    <row r="6372" spans="1:40" x14ac:dyDescent="0.25">
      <c r="A6372" t="str">
        <f>"20190304164249371"</f>
        <v>20190304164249371</v>
      </c>
      <c r="B6372" t="str">
        <f>"1551688969368002"</f>
        <v>1551688969368002</v>
      </c>
      <c r="C6372" t="s">
        <v>40</v>
      </c>
      <c r="D6372">
        <v>4.8077870000000003</v>
      </c>
      <c r="E6372">
        <v>0.59006130000000001</v>
      </c>
      <c r="F6372" t="s">
        <v>43</v>
      </c>
      <c r="G6372">
        <v>-311.55189999999999</v>
      </c>
      <c r="H6372">
        <v>-0.05</v>
      </c>
      <c r="I6372">
        <v>10.612489999999999</v>
      </c>
      <c r="J6372">
        <v>-319.51150000000001</v>
      </c>
      <c r="K6372">
        <v>1.0995569999999999</v>
      </c>
      <c r="L6372">
        <v>16.269559999999998</v>
      </c>
      <c r="M6372">
        <v>0.97352640000000001</v>
      </c>
      <c r="N6372">
        <v>-1.628889E-2</v>
      </c>
      <c r="O6372">
        <v>-0.22799349999999999</v>
      </c>
      <c r="P6372">
        <v>0.84429500000000002</v>
      </c>
      <c r="Q6372">
        <v>0.35279490000000002</v>
      </c>
      <c r="R6372">
        <v>-0.40336359999999999</v>
      </c>
      <c r="S6372">
        <v>2.7868650000000001</v>
      </c>
      <c r="T6372">
        <v>-0.39587660000000002</v>
      </c>
      <c r="U6372">
        <v>-1.95929</v>
      </c>
      <c r="V6372">
        <v>0.20797589999999999</v>
      </c>
      <c r="W6372">
        <v>0.36330440000000003</v>
      </c>
      <c r="X6372">
        <v>0.90816070000000004</v>
      </c>
      <c r="Y6372">
        <v>0.37177539999999998</v>
      </c>
      <c r="Z6372">
        <v>-2.1075199999999999E-3</v>
      </c>
      <c r="AA6372">
        <v>0.92832029999999999</v>
      </c>
      <c r="AB6372">
        <v>31</v>
      </c>
      <c r="AC6372">
        <v>7.9596000000000204</v>
      </c>
      <c r="AD6372">
        <v>-1.1495569999999999</v>
      </c>
      <c r="AE6372">
        <v>-5.65707</v>
      </c>
      <c r="AF6372">
        <v>3.6425804292903599</v>
      </c>
      <c r="AG6372">
        <v>-1.1495569999999999</v>
      </c>
      <c r="AH6372">
        <v>8.9162918517352701</v>
      </c>
      <c r="AI6372">
        <v>96.806172868402896</v>
      </c>
      <c r="AJ6372">
        <v>67.778469613631103</v>
      </c>
      <c r="AK6372">
        <v>9.7000069002768807</v>
      </c>
      <c r="AL6372">
        <v>68.6967293179477</v>
      </c>
      <c r="AM6372">
        <v>77.101238874317104</v>
      </c>
      <c r="AN6372">
        <v>0.99999995953232901</v>
      </c>
    </row>
    <row r="6373" spans="1:40" x14ac:dyDescent="0.25">
      <c r="A6373" t="str">
        <f>"20190304164249383"</f>
        <v>20190304164249383</v>
      </c>
      <c r="B6373" t="str">
        <f>"1551688969377762"</f>
        <v>1551688969377762</v>
      </c>
      <c r="C6373" t="s">
        <v>40</v>
      </c>
      <c r="D6373">
        <v>4.8214389999999998</v>
      </c>
      <c r="E6373">
        <v>0.58996159999999997</v>
      </c>
      <c r="F6373" t="s">
        <v>43</v>
      </c>
      <c r="G6373">
        <v>-311.52190000000002</v>
      </c>
      <c r="H6373">
        <v>-0.05</v>
      </c>
      <c r="I6373">
        <v>10.60408</v>
      </c>
      <c r="J6373">
        <v>-319.35059999999999</v>
      </c>
      <c r="K6373">
        <v>1.0988260000000001</v>
      </c>
      <c r="L6373">
        <v>16.227779999999999</v>
      </c>
      <c r="M6373">
        <v>0.97249540000000001</v>
      </c>
      <c r="N6373">
        <v>-1.7075259999999998E-2</v>
      </c>
      <c r="O6373">
        <v>-0.23229549999999999</v>
      </c>
      <c r="P6373">
        <v>0.84277459999999904</v>
      </c>
      <c r="Q6373">
        <v>0.35173739999999998</v>
      </c>
      <c r="R6373">
        <v>-0.40744560000000002</v>
      </c>
      <c r="S6373">
        <v>2.778931</v>
      </c>
      <c r="T6373">
        <v>-0.39983479999999999</v>
      </c>
      <c r="U6373">
        <v>-1.9705509999999999</v>
      </c>
      <c r="V6373">
        <v>0.20842459999999999</v>
      </c>
      <c r="W6373">
        <v>0.36285830000000002</v>
      </c>
      <c r="X6373">
        <v>0.90823620000000005</v>
      </c>
      <c r="Y6373">
        <v>0.37138680000000002</v>
      </c>
      <c r="Z6373">
        <v>-1.9036439999999999E-3</v>
      </c>
      <c r="AA6373">
        <v>0.92847630000000003</v>
      </c>
      <c r="AB6373">
        <v>31</v>
      </c>
      <c r="AC6373">
        <v>7.8286999999999596</v>
      </c>
      <c r="AD6373">
        <v>-1.1488259999999999</v>
      </c>
      <c r="AE6373">
        <v>-5.6237000000000004</v>
      </c>
      <c r="AF6373">
        <v>3.5998488473151</v>
      </c>
      <c r="AG6373">
        <v>-1.1488259999999999</v>
      </c>
      <c r="AH6373">
        <v>8.7960915142255107</v>
      </c>
      <c r="AI6373">
        <v>96.892212932795601</v>
      </c>
      <c r="AJ6373">
        <v>67.742898315387606</v>
      </c>
      <c r="AK6373">
        <v>9.5733974548444305</v>
      </c>
      <c r="AL6373">
        <v>68.724161371144604</v>
      </c>
      <c r="AM6373">
        <v>77.075382371144798</v>
      </c>
      <c r="AN6373">
        <v>0.999999977377244</v>
      </c>
    </row>
    <row r="6374" spans="1:40" x14ac:dyDescent="0.25">
      <c r="A6374" t="str">
        <f>"20190304164249394"</f>
        <v>20190304164249394</v>
      </c>
      <c r="B6374" t="str">
        <f>"1551688969387522"</f>
        <v>1551688969387522</v>
      </c>
      <c r="C6374" t="s">
        <v>40</v>
      </c>
      <c r="D6374">
        <v>4.821167</v>
      </c>
      <c r="E6374">
        <v>0.58987129999999999</v>
      </c>
      <c r="F6374" t="s">
        <v>43</v>
      </c>
      <c r="G6374">
        <v>-311.48520000000002</v>
      </c>
      <c r="H6374">
        <v>-0.05</v>
      </c>
      <c r="I6374">
        <v>10.5966</v>
      </c>
      <c r="J6374">
        <v>-319.19279999999998</v>
      </c>
      <c r="K6374">
        <v>1.0980490000000001</v>
      </c>
      <c r="L6374">
        <v>16.185420000000001</v>
      </c>
      <c r="M6374">
        <v>0.97145800000000004</v>
      </c>
      <c r="N6374">
        <v>-1.7924490000000001E-2</v>
      </c>
      <c r="O6374">
        <v>-0.23653379999999999</v>
      </c>
      <c r="P6374">
        <v>0.84132240000000003</v>
      </c>
      <c r="Q6374">
        <v>0.35064410000000001</v>
      </c>
      <c r="R6374">
        <v>-0.41137030000000002</v>
      </c>
      <c r="S6374">
        <v>2.769806</v>
      </c>
      <c r="T6374">
        <v>-0.40455459999999999</v>
      </c>
      <c r="U6374">
        <v>-1.9830019999999999</v>
      </c>
      <c r="V6374">
        <v>0.20872080000000001</v>
      </c>
      <c r="W6374">
        <v>0.36246060000000002</v>
      </c>
      <c r="X6374">
        <v>0.908327</v>
      </c>
      <c r="Y6374">
        <v>0.37149399999999999</v>
      </c>
      <c r="Z6374">
        <v>-1.753356E-3</v>
      </c>
      <c r="AA6374">
        <v>0.92843370000000003</v>
      </c>
      <c r="AB6374">
        <v>31</v>
      </c>
      <c r="AC6374">
        <v>7.7075999999999496</v>
      </c>
      <c r="AD6374">
        <v>-1.1480489999999901</v>
      </c>
      <c r="AE6374">
        <v>-5.5888200000000001</v>
      </c>
      <c r="AF6374">
        <v>3.5550810414101202</v>
      </c>
      <c r="AG6374">
        <v>-1.1480489999999901</v>
      </c>
      <c r="AH6374">
        <v>8.68468612980414</v>
      </c>
      <c r="AI6374">
        <v>96.974853860135198</v>
      </c>
      <c r="AJ6374">
        <v>67.738233900269407</v>
      </c>
      <c r="AK6374">
        <v>9.4541203128904101</v>
      </c>
      <c r="AL6374">
        <v>68.748612973408001</v>
      </c>
      <c r="AM6374">
        <v>77.058882972236205</v>
      </c>
      <c r="AN6374">
        <v>0.99999999891699998</v>
      </c>
    </row>
    <row r="6375" spans="1:40" x14ac:dyDescent="0.25">
      <c r="A6375" t="str">
        <f>"20190304164249407"</f>
        <v>20190304164249407</v>
      </c>
      <c r="B6375" t="str">
        <f>"1551688969397282"</f>
        <v>1551688969397282</v>
      </c>
      <c r="C6375" t="s">
        <v>40</v>
      </c>
      <c r="D6375">
        <v>4.7813730000000003</v>
      </c>
      <c r="E6375">
        <v>0.58978090000000005</v>
      </c>
      <c r="F6375" t="s">
        <v>43</v>
      </c>
      <c r="G6375">
        <v>-311.44839999999999</v>
      </c>
      <c r="H6375">
        <v>-0.05</v>
      </c>
      <c r="I6375">
        <v>10.58859</v>
      </c>
      <c r="J6375">
        <v>-319.05250000000001</v>
      </c>
      <c r="K6375">
        <v>1.097361</v>
      </c>
      <c r="L6375">
        <v>16.14734</v>
      </c>
      <c r="M6375">
        <v>0.97050270000000005</v>
      </c>
      <c r="N6375">
        <v>-1.8707140000000001E-2</v>
      </c>
      <c r="O6375">
        <v>-0.24036360000000001</v>
      </c>
      <c r="P6375">
        <v>0.84019489999999997</v>
      </c>
      <c r="Q6375">
        <v>0.34935749999999999</v>
      </c>
      <c r="R6375">
        <v>-0.4147556</v>
      </c>
      <c r="S6375">
        <v>2.7608030000000001</v>
      </c>
      <c r="T6375">
        <v>-0.40926610000000002</v>
      </c>
      <c r="U6375">
        <v>-1.995209</v>
      </c>
      <c r="V6375">
        <v>0.2087532</v>
      </c>
      <c r="W6375">
        <v>0.36183789999999999</v>
      </c>
      <c r="X6375">
        <v>0.90856780000000004</v>
      </c>
      <c r="Y6375">
        <v>0.37191220000000003</v>
      </c>
      <c r="Z6375">
        <v>-1.6364420000000001E-3</v>
      </c>
      <c r="AA6375">
        <v>0.92826649999999999</v>
      </c>
      <c r="AB6375">
        <v>31</v>
      </c>
      <c r="AC6375">
        <v>7.6041000000000096</v>
      </c>
      <c r="AD6375">
        <v>-1.1473610000000001</v>
      </c>
      <c r="AE6375">
        <v>-5.5587499999999999</v>
      </c>
      <c r="AF6375">
        <v>3.5154950487130798</v>
      </c>
      <c r="AG6375">
        <v>-1.1473610000000001</v>
      </c>
      <c r="AH6375">
        <v>8.5899894767361502</v>
      </c>
      <c r="AI6375">
        <v>97.047026320111996</v>
      </c>
      <c r="AJ6375">
        <v>67.742929199675899</v>
      </c>
      <c r="AK6375">
        <v>9.3521688346759895</v>
      </c>
      <c r="AL6375">
        <v>68.786889397872102</v>
      </c>
      <c r="AM6375">
        <v>77.060256608733596</v>
      </c>
      <c r="AN6375">
        <v>1.00000000579174</v>
      </c>
    </row>
    <row r="6376" spans="1:40" x14ac:dyDescent="0.25">
      <c r="A6376" t="str">
        <f>"20190304164249419"</f>
        <v>20190304164249419</v>
      </c>
      <c r="B6376" t="str">
        <f>"1551688969408019"</f>
        <v>1551688969408019</v>
      </c>
      <c r="C6376" t="s">
        <v>40</v>
      </c>
      <c r="D6376">
        <v>4.774934</v>
      </c>
      <c r="E6376">
        <v>0.58969189999999905</v>
      </c>
      <c r="F6376" t="s">
        <v>43</v>
      </c>
      <c r="G6376">
        <v>-311.43270000000001</v>
      </c>
      <c r="H6376">
        <v>-0.05</v>
      </c>
      <c r="I6376">
        <v>10.593719999999999</v>
      </c>
      <c r="J6376">
        <v>-318.86790000000002</v>
      </c>
      <c r="K6376">
        <v>1.0964609999999999</v>
      </c>
      <c r="L6376">
        <v>16.096039999999999</v>
      </c>
      <c r="M6376">
        <v>0.96917399999999998</v>
      </c>
      <c r="N6376">
        <v>-1.981496E-2</v>
      </c>
      <c r="O6376">
        <v>-0.24557960000000001</v>
      </c>
      <c r="P6376">
        <v>0.83870270000000002</v>
      </c>
      <c r="Q6376">
        <v>0.34774529999999998</v>
      </c>
      <c r="R6376">
        <v>-0.41910770000000003</v>
      </c>
      <c r="S6376">
        <v>2.7525940000000002</v>
      </c>
      <c r="T6376">
        <v>-0.41447420000000001</v>
      </c>
      <c r="U6376">
        <v>-2.006195</v>
      </c>
      <c r="V6376">
        <v>0.20846770000000001</v>
      </c>
      <c r="W6376">
        <v>0.36121189999999997</v>
      </c>
      <c r="X6376">
        <v>0.90888239999999998</v>
      </c>
      <c r="Y6376">
        <v>0.37060530000000003</v>
      </c>
      <c r="Z6376">
        <v>-1.3648009999999999E-3</v>
      </c>
      <c r="AA6376">
        <v>0.92878939999999999</v>
      </c>
      <c r="AB6376">
        <v>30</v>
      </c>
      <c r="AC6376">
        <v>7.4352</v>
      </c>
      <c r="AD6376">
        <v>-1.146461</v>
      </c>
      <c r="AE6376">
        <v>-5.5023199999999903</v>
      </c>
      <c r="AF6376">
        <v>3.45439251081805</v>
      </c>
      <c r="AG6376">
        <v>-1.146461</v>
      </c>
      <c r="AH6376">
        <v>8.4294430162819101</v>
      </c>
      <c r="AI6376">
        <v>97.172923181827002</v>
      </c>
      <c r="AJ6376">
        <v>67.716142252654805</v>
      </c>
      <c r="AK6376">
        <v>9.1816507234843492</v>
      </c>
      <c r="AL6376">
        <v>68.825358780460704</v>
      </c>
      <c r="AM6376">
        <v>77.081682053709898</v>
      </c>
      <c r="AN6376">
        <v>1.0000000178373201</v>
      </c>
    </row>
    <row r="6377" spans="1:40" x14ac:dyDescent="0.25">
      <c r="A6377" t="str">
        <f>"20190304164249431"</f>
        <v>20190304164249431</v>
      </c>
      <c r="B6377" t="str">
        <f>"1551688969427538"</f>
        <v>1551688969427538</v>
      </c>
      <c r="C6377" t="s">
        <v>40</v>
      </c>
      <c r="D6377">
        <v>4.780405</v>
      </c>
      <c r="E6377">
        <v>0.58952459999999995</v>
      </c>
      <c r="F6377" t="s">
        <v>43</v>
      </c>
      <c r="G6377">
        <v>-311.39839999999998</v>
      </c>
      <c r="H6377">
        <v>-0.05</v>
      </c>
      <c r="I6377">
        <v>10.59338</v>
      </c>
      <c r="J6377">
        <v>-318.71699999999998</v>
      </c>
      <c r="K6377">
        <v>1.0957479999999999</v>
      </c>
      <c r="L6377">
        <v>16.053100000000001</v>
      </c>
      <c r="M6377">
        <v>0.96792140000000004</v>
      </c>
      <c r="N6377">
        <v>-2.063021E-2</v>
      </c>
      <c r="O6377">
        <v>-0.25040479999999998</v>
      </c>
      <c r="P6377">
        <v>0.83708590000000005</v>
      </c>
      <c r="Q6377">
        <v>0.346613</v>
      </c>
      <c r="R6377">
        <v>-0.42325760000000001</v>
      </c>
      <c r="S6377">
        <v>2.742035</v>
      </c>
      <c r="T6377">
        <v>-0.42086509999999999</v>
      </c>
      <c r="U6377">
        <v>-2.0200200000000001</v>
      </c>
      <c r="V6377">
        <v>0.2082833</v>
      </c>
      <c r="W6377">
        <v>0.36085040000000002</v>
      </c>
      <c r="X6377">
        <v>0.90906819999999999</v>
      </c>
      <c r="Y6377">
        <v>0.37066139999999997</v>
      </c>
      <c r="Z6377">
        <v>-1.0815320000000001E-3</v>
      </c>
      <c r="AA6377">
        <v>0.92876740000000002</v>
      </c>
      <c r="AB6377">
        <v>30</v>
      </c>
      <c r="AC6377">
        <v>7.3186</v>
      </c>
      <c r="AD6377">
        <v>-1.145748</v>
      </c>
      <c r="AE6377">
        <v>-5.4597199999999999</v>
      </c>
      <c r="AF6377">
        <v>3.3991791087061798</v>
      </c>
      <c r="AG6377">
        <v>-1.145748</v>
      </c>
      <c r="AH6377">
        <v>8.3217357973965793</v>
      </c>
      <c r="AI6377">
        <v>97.263656980802395</v>
      </c>
      <c r="AJ6377">
        <v>67.781460086424602</v>
      </c>
      <c r="AK6377">
        <v>9.0619227415731292</v>
      </c>
      <c r="AL6377">
        <v>68.847568115484506</v>
      </c>
      <c r="AM6377">
        <v>77.095275821430704</v>
      </c>
      <c r="AN6377">
        <v>0.99999996824514403</v>
      </c>
    </row>
    <row r="6378" spans="1:40" x14ac:dyDescent="0.25">
      <c r="A6378" t="str">
        <f>"20190304164249443"</f>
        <v>20190304164249443</v>
      </c>
      <c r="B6378" t="str">
        <f>"1551688969437299"</f>
        <v>1551688969437299</v>
      </c>
      <c r="C6378" t="s">
        <v>40</v>
      </c>
      <c r="D6378">
        <v>4.7916889999999999</v>
      </c>
      <c r="E6378">
        <v>0.58944249999999998</v>
      </c>
      <c r="F6378" t="s">
        <v>43</v>
      </c>
      <c r="G6378">
        <v>-311.37599999999998</v>
      </c>
      <c r="H6378">
        <v>-0.05</v>
      </c>
      <c r="I6378">
        <v>10.59276</v>
      </c>
      <c r="J6378">
        <v>-318.55340000000001</v>
      </c>
      <c r="K6378">
        <v>1.0949739999999999</v>
      </c>
      <c r="L6378">
        <v>16.006129999999999</v>
      </c>
      <c r="M6378">
        <v>0.96647839999999996</v>
      </c>
      <c r="N6378">
        <v>-2.147899E-2</v>
      </c>
      <c r="O6378">
        <v>-0.25584810000000002</v>
      </c>
      <c r="P6378">
        <v>0.83517379999999997</v>
      </c>
      <c r="Q6378">
        <v>0.3448427</v>
      </c>
      <c r="R6378">
        <v>-0.42844919999999997</v>
      </c>
      <c r="S6378">
        <v>2.7327270000000001</v>
      </c>
      <c r="T6378">
        <v>-0.42651250000000002</v>
      </c>
      <c r="U6378">
        <v>-2.032654</v>
      </c>
      <c r="V6378">
        <v>0.2085506</v>
      </c>
      <c r="W6378">
        <v>0.35988880000000001</v>
      </c>
      <c r="X6378">
        <v>0.90938810000000003</v>
      </c>
      <c r="Y6378">
        <v>0.36967040000000001</v>
      </c>
      <c r="Z6378">
        <v>-6.6586960000000002E-4</v>
      </c>
      <c r="AA6378">
        <v>0.92916270000000001</v>
      </c>
      <c r="AB6378">
        <v>30</v>
      </c>
      <c r="AC6378">
        <v>7.1774000000000298</v>
      </c>
      <c r="AD6378">
        <v>-1.1449739999999999</v>
      </c>
      <c r="AE6378">
        <v>-5.4133699999999898</v>
      </c>
      <c r="AF6378">
        <v>3.3421517736453801</v>
      </c>
      <c r="AG6378">
        <v>-1.1449739999999999</v>
      </c>
      <c r="AH6378">
        <v>8.1908594686886698</v>
      </c>
      <c r="AI6378">
        <v>97.374631311886503</v>
      </c>
      <c r="AJ6378">
        <v>67.802854719843907</v>
      </c>
      <c r="AK6378">
        <v>8.9202647255876801</v>
      </c>
      <c r="AL6378">
        <v>68.906633183651195</v>
      </c>
      <c r="AM6378">
        <v>77.083662753302903</v>
      </c>
      <c r="AN6378">
        <v>1.0000000087737</v>
      </c>
    </row>
    <row r="6379" spans="1:40" x14ac:dyDescent="0.25">
      <c r="A6379" t="str">
        <f>"20190304164249453"</f>
        <v>20190304164249453</v>
      </c>
      <c r="B6379" t="str">
        <f>"1551688969447058"</f>
        <v>1551688969447058</v>
      </c>
      <c r="C6379" t="s">
        <v>40</v>
      </c>
      <c r="D6379">
        <v>4.813809</v>
      </c>
      <c r="E6379">
        <v>0.58935869999999901</v>
      </c>
      <c r="F6379" t="s">
        <v>43</v>
      </c>
      <c r="G6379">
        <v>-311.3725</v>
      </c>
      <c r="H6379">
        <v>-0.05</v>
      </c>
      <c r="I6379">
        <v>10.60144</v>
      </c>
      <c r="J6379">
        <v>-318.40309999999999</v>
      </c>
      <c r="K6379">
        <v>1.094139</v>
      </c>
      <c r="L6379">
        <v>15.9617</v>
      </c>
      <c r="M6379">
        <v>0.96502840000000001</v>
      </c>
      <c r="N6379">
        <v>-2.2194410000000001E-2</v>
      </c>
      <c r="O6379">
        <v>-0.2612042</v>
      </c>
      <c r="P6379">
        <v>0.83340820000000004</v>
      </c>
      <c r="Q6379">
        <v>0.34329019999999999</v>
      </c>
      <c r="R6379">
        <v>-0.4331083</v>
      </c>
      <c r="S6379">
        <v>2.7207029999999999</v>
      </c>
      <c r="T6379">
        <v>-0.43380669999999999</v>
      </c>
      <c r="U6379">
        <v>-2.0477289999999999</v>
      </c>
      <c r="V6379">
        <v>0.20839160000000001</v>
      </c>
      <c r="W6379">
        <v>0.35900680000000001</v>
      </c>
      <c r="X6379">
        <v>0.9097731</v>
      </c>
      <c r="Y6379">
        <v>0.36971779999999999</v>
      </c>
      <c r="Z6379">
        <v>-2.321061E-4</v>
      </c>
      <c r="AA6379">
        <v>0.92914399999999997</v>
      </c>
      <c r="AB6379">
        <v>30</v>
      </c>
      <c r="AC6379">
        <v>7.03059999999999</v>
      </c>
      <c r="AD6379">
        <v>-1.144139</v>
      </c>
      <c r="AE6379">
        <v>-5.3602600000000002</v>
      </c>
      <c r="AF6379">
        <v>3.2822319746244299</v>
      </c>
      <c r="AG6379">
        <v>-1.144139</v>
      </c>
      <c r="AH6379">
        <v>8.0520123187010899</v>
      </c>
      <c r="AI6379">
        <v>97.496005290452104</v>
      </c>
      <c r="AJ6379">
        <v>67.822776766991396</v>
      </c>
      <c r="AK6379">
        <v>8.7702339288688407</v>
      </c>
      <c r="AL6379">
        <v>68.960787644516998</v>
      </c>
      <c r="AM6379">
        <v>77.098459477348399</v>
      </c>
      <c r="AN6379">
        <v>1.0000000174402</v>
      </c>
    </row>
    <row r="6380" spans="1:40" x14ac:dyDescent="0.25">
      <c r="A6380" t="str">
        <f>"20190304164249464"</f>
        <v>20190304164249464</v>
      </c>
      <c r="B6380" t="str">
        <f>"1551688969457793"</f>
        <v>1551688969457793</v>
      </c>
      <c r="C6380" t="s">
        <v>40</v>
      </c>
      <c r="D6380">
        <v>4.8762860000000003</v>
      </c>
      <c r="E6380">
        <v>0.58926829999999997</v>
      </c>
      <c r="F6380" t="s">
        <v>43</v>
      </c>
      <c r="G6380">
        <v>-311.3596</v>
      </c>
      <c r="H6380">
        <v>-0.05</v>
      </c>
      <c r="I6380">
        <v>10.59962</v>
      </c>
      <c r="J6380">
        <v>-318.2627</v>
      </c>
      <c r="K6380">
        <v>1.0932949999999999</v>
      </c>
      <c r="L6380">
        <v>15.91986</v>
      </c>
      <c r="M6380">
        <v>0.96365520000000005</v>
      </c>
      <c r="N6380">
        <v>-2.283669E-2</v>
      </c>
      <c r="O6380">
        <v>-0.26617160000000001</v>
      </c>
      <c r="P6380">
        <v>0.83179669999999895</v>
      </c>
      <c r="Q6380">
        <v>0.3414508</v>
      </c>
      <c r="R6380">
        <v>-0.4376371</v>
      </c>
      <c r="S6380">
        <v>2.7091370000000001</v>
      </c>
      <c r="T6380">
        <v>-0.44006909999999999</v>
      </c>
      <c r="U6380">
        <v>-2.062408</v>
      </c>
      <c r="V6380">
        <v>0.20845849999999999</v>
      </c>
      <c r="W6380">
        <v>0.35774739999999999</v>
      </c>
      <c r="X6380">
        <v>0.91025370000000005</v>
      </c>
      <c r="Y6380">
        <v>0.36997859999999999</v>
      </c>
      <c r="Z6380">
        <v>1.653805E-4</v>
      </c>
      <c r="AA6380">
        <v>0.92904030000000004</v>
      </c>
      <c r="AB6380">
        <v>30</v>
      </c>
      <c r="AC6380">
        <v>6.9030999999999896</v>
      </c>
      <c r="AD6380">
        <v>-1.143295</v>
      </c>
      <c r="AE6380">
        <v>-5.3202400000000001</v>
      </c>
      <c r="AF6380">
        <v>3.2346616888931501</v>
      </c>
      <c r="AG6380">
        <v>-1.143295</v>
      </c>
      <c r="AH6380">
        <v>7.9338783420808401</v>
      </c>
      <c r="AI6380">
        <v>97.600583236231202</v>
      </c>
      <c r="AJ6380">
        <v>67.819157095760502</v>
      </c>
      <c r="AK6380">
        <v>8.6438755917445693</v>
      </c>
      <c r="AL6380">
        <v>69.038078982314502</v>
      </c>
      <c r="AM6380">
        <v>77.101042306495899</v>
      </c>
      <c r="AN6380">
        <v>0.99999997339634905</v>
      </c>
    </row>
    <row r="6381" spans="1:40" x14ac:dyDescent="0.25">
      <c r="A6381" t="str">
        <f>"20190304164249475"</f>
        <v>20190304164249475</v>
      </c>
      <c r="B6381" t="str">
        <f>"1551688969467554"</f>
        <v>1551688969467554</v>
      </c>
      <c r="C6381" t="s">
        <v>40</v>
      </c>
      <c r="D6381">
        <v>4.8222019999999999</v>
      </c>
      <c r="E6381">
        <v>0.58918519999999996</v>
      </c>
      <c r="F6381" t="s">
        <v>43</v>
      </c>
      <c r="G6381">
        <v>-311.36610000000002</v>
      </c>
      <c r="H6381">
        <v>-0.05</v>
      </c>
      <c r="I6381">
        <v>10.611800000000001</v>
      </c>
      <c r="J6381">
        <v>-318.1232</v>
      </c>
      <c r="K6381">
        <v>1.0922860000000001</v>
      </c>
      <c r="L6381">
        <v>15.87726</v>
      </c>
      <c r="M6381">
        <v>0.96228340000000001</v>
      </c>
      <c r="N6381">
        <v>-2.341064E-2</v>
      </c>
      <c r="O6381">
        <v>-0.27104</v>
      </c>
      <c r="P6381">
        <v>0.83011449999999998</v>
      </c>
      <c r="Q6381">
        <v>0.3402308</v>
      </c>
      <c r="R6381">
        <v>-0.44176179999999898</v>
      </c>
      <c r="S6381">
        <v>2.697784</v>
      </c>
      <c r="T6381">
        <v>-0.44723030000000003</v>
      </c>
      <c r="U6381">
        <v>-2.0763850000000001</v>
      </c>
      <c r="V6381">
        <v>0.2083458</v>
      </c>
      <c r="W6381">
        <v>0.35699429999999999</v>
      </c>
      <c r="X6381">
        <v>0.91057520000000003</v>
      </c>
      <c r="Y6381">
        <v>0.37013960000000001</v>
      </c>
      <c r="Z6381">
        <v>6.2722339999999905E-4</v>
      </c>
      <c r="AA6381">
        <v>0.92897589999999997</v>
      </c>
      <c r="AB6381">
        <v>30</v>
      </c>
      <c r="AC6381">
        <v>6.7570999999999799</v>
      </c>
      <c r="AD6381">
        <v>-1.1422859999999999</v>
      </c>
      <c r="AE6381">
        <v>-5.2654599999999903</v>
      </c>
      <c r="AF6381">
        <v>3.1797683516688302</v>
      </c>
      <c r="AG6381">
        <v>-1.1422859999999999</v>
      </c>
      <c r="AH6381">
        <v>7.7930030125385201</v>
      </c>
      <c r="AI6381">
        <v>97.728714797657005</v>
      </c>
      <c r="AJ6381">
        <v>67.803134146733399</v>
      </c>
      <c r="AK6381">
        <v>8.49391782568593</v>
      </c>
      <c r="AL6381">
        <v>69.084281043091593</v>
      </c>
      <c r="AM6381">
        <v>77.1121827486039</v>
      </c>
      <c r="AN6381">
        <v>1.00000004873258</v>
      </c>
    </row>
    <row r="6382" spans="1:40" x14ac:dyDescent="0.25">
      <c r="A6382" t="str">
        <f>"20190304164249485"</f>
        <v>20190304164249485</v>
      </c>
      <c r="B6382" t="str">
        <f>"1551688969477314"</f>
        <v>1551688969477314</v>
      </c>
      <c r="C6382" t="s">
        <v>40</v>
      </c>
      <c r="D6382">
        <v>4.8709610000000003</v>
      </c>
      <c r="E6382">
        <v>0.58910299999999904</v>
      </c>
      <c r="F6382" t="s">
        <v>43</v>
      </c>
      <c r="G6382">
        <v>-311.33100000000002</v>
      </c>
      <c r="H6382">
        <v>-0.05</v>
      </c>
      <c r="I6382">
        <v>10.59196</v>
      </c>
      <c r="J6382">
        <v>-318.00630000000001</v>
      </c>
      <c r="K6382">
        <v>1.0913999999999999</v>
      </c>
      <c r="L6382">
        <v>15.84122</v>
      </c>
      <c r="M6382">
        <v>0.96112960000000003</v>
      </c>
      <c r="N6382">
        <v>-2.386653E-2</v>
      </c>
      <c r="O6382">
        <v>-0.27506449999999999</v>
      </c>
      <c r="P6382">
        <v>0.8288103</v>
      </c>
      <c r="Q6382">
        <v>0.33920220000000001</v>
      </c>
      <c r="R6382">
        <v>-0.44498969999999999</v>
      </c>
      <c r="S6382">
        <v>2.6866150000000002</v>
      </c>
      <c r="T6382">
        <v>-0.45182600000000001</v>
      </c>
      <c r="U6382">
        <v>-2.090576</v>
      </c>
      <c r="V6382">
        <v>0.20807410000000001</v>
      </c>
      <c r="W6382">
        <v>0.35632570000000002</v>
      </c>
      <c r="X6382">
        <v>0.91089909999999996</v>
      </c>
      <c r="Y6382">
        <v>0.37113620000000003</v>
      </c>
      <c r="Z6382">
        <v>9.2193859999999996E-4</v>
      </c>
      <c r="AA6382">
        <v>0.92857800000000001</v>
      </c>
      <c r="AB6382">
        <v>30</v>
      </c>
      <c r="AC6382">
        <v>6.6753000000000497</v>
      </c>
      <c r="AD6382">
        <v>-1.1414</v>
      </c>
      <c r="AE6382">
        <v>-5.2492599999999996</v>
      </c>
      <c r="AF6382">
        <v>3.1530334933320399</v>
      </c>
      <c r="AG6382">
        <v>-1.1414</v>
      </c>
      <c r="AH6382">
        <v>7.7224411204186296</v>
      </c>
      <c r="AI6382">
        <v>97.791777416158894</v>
      </c>
      <c r="AJ6382">
        <v>67.790055642916997</v>
      </c>
      <c r="AK6382">
        <v>8.4190564215003398</v>
      </c>
      <c r="AL6382">
        <v>69.125284702453897</v>
      </c>
      <c r="AM6382">
        <v>77.132853922278699</v>
      </c>
      <c r="AN6382">
        <v>1.0000000029760501</v>
      </c>
    </row>
    <row r="6383" spans="1:40" x14ac:dyDescent="0.25">
      <c r="A6383" t="str">
        <f>"20190304164249495"</f>
        <v>20190304164249495</v>
      </c>
      <c r="B6383" t="str">
        <f>"1551688969487074"</f>
        <v>1551688969487074</v>
      </c>
      <c r="C6383" t="s">
        <v>40</v>
      </c>
      <c r="D6383">
        <v>4.8186159999999996</v>
      </c>
      <c r="E6383">
        <v>0.58902100000000002</v>
      </c>
      <c r="F6383" t="s">
        <v>43</v>
      </c>
      <c r="G6383">
        <v>-311.2998</v>
      </c>
      <c r="H6383">
        <v>-0.05</v>
      </c>
      <c r="I6383">
        <v>10.576930000000001</v>
      </c>
      <c r="J6383">
        <v>-317.8503</v>
      </c>
      <c r="K6383">
        <v>1.0900559999999999</v>
      </c>
      <c r="L6383">
        <v>15.791869999999999</v>
      </c>
      <c r="M6383">
        <v>0.95961110000000005</v>
      </c>
      <c r="N6383">
        <v>-2.439241E-2</v>
      </c>
      <c r="O6383">
        <v>-0.28027099999999999</v>
      </c>
      <c r="P6383">
        <v>0.82675560000000003</v>
      </c>
      <c r="Q6383">
        <v>0.33816560000000001</v>
      </c>
      <c r="R6383">
        <v>-0.44957710000000001</v>
      </c>
      <c r="S6383">
        <v>2.6777039999999999</v>
      </c>
      <c r="T6383">
        <v>-0.45572410000000002</v>
      </c>
      <c r="U6383">
        <v>-2.1018680000000001</v>
      </c>
      <c r="V6383">
        <v>0.2083055</v>
      </c>
      <c r="W6383">
        <v>0.35562969999999999</v>
      </c>
      <c r="X6383">
        <v>0.91111819999999999</v>
      </c>
      <c r="Y6383">
        <v>0.37001250000000002</v>
      </c>
      <c r="Z6383">
        <v>1.490148E-3</v>
      </c>
      <c r="AA6383">
        <v>0.92902560000000001</v>
      </c>
      <c r="AB6383">
        <v>30</v>
      </c>
      <c r="AC6383">
        <v>6.5505000000000004</v>
      </c>
      <c r="AD6383">
        <v>-1.140056</v>
      </c>
      <c r="AE6383">
        <v>-5.2149400000000004</v>
      </c>
      <c r="AF6383">
        <v>3.1116521973609399</v>
      </c>
      <c r="AG6383">
        <v>-1.140056</v>
      </c>
      <c r="AH6383">
        <v>7.6087685181896703</v>
      </c>
      <c r="AI6383">
        <v>97.895724755310098</v>
      </c>
      <c r="AJ6383">
        <v>67.757593969665606</v>
      </c>
      <c r="AK6383">
        <v>8.2991243781420394</v>
      </c>
      <c r="AL6383">
        <v>69.167958259959406</v>
      </c>
      <c r="AM6383">
        <v>77.122015628165002</v>
      </c>
      <c r="AN6383">
        <v>1.00000001961178</v>
      </c>
    </row>
    <row r="6384" spans="1:40" x14ac:dyDescent="0.25">
      <c r="A6384" t="str">
        <f>"20190304164249508"</f>
        <v>20190304164249508</v>
      </c>
      <c r="B6384" t="str">
        <f>"1551688969497810"</f>
        <v>1551688969497810</v>
      </c>
      <c r="C6384" t="s">
        <v>40</v>
      </c>
      <c r="D6384">
        <v>4.825704</v>
      </c>
      <c r="E6384">
        <v>0.58894429999999998</v>
      </c>
      <c r="F6384" t="s">
        <v>43</v>
      </c>
      <c r="G6384">
        <v>-311.24009999999998</v>
      </c>
      <c r="H6384">
        <v>-0.05</v>
      </c>
      <c r="I6384">
        <v>10.540039999999999</v>
      </c>
      <c r="J6384">
        <v>-317.69830000000002</v>
      </c>
      <c r="K6384">
        <v>1.0886720000000001</v>
      </c>
      <c r="L6384">
        <v>15.74295</v>
      </c>
      <c r="M6384">
        <v>0.9581288</v>
      </c>
      <c r="N6384">
        <v>-2.4834599999999998E-2</v>
      </c>
      <c r="O6384">
        <v>-0.28525879999999998</v>
      </c>
      <c r="P6384">
        <v>0.82453410000000005</v>
      </c>
      <c r="Q6384">
        <v>0.33766829999999998</v>
      </c>
      <c r="R6384">
        <v>-0.45400829999999998</v>
      </c>
      <c r="S6384">
        <v>2.665222</v>
      </c>
      <c r="T6384">
        <v>-0.45966780000000002</v>
      </c>
      <c r="U6384">
        <v>-2.1175229999999998</v>
      </c>
      <c r="V6384">
        <v>0.20866699999999999</v>
      </c>
      <c r="W6384">
        <v>0.35537790000000002</v>
      </c>
      <c r="X6384">
        <v>0.91113370000000005</v>
      </c>
      <c r="Y6384">
        <v>0.3706158</v>
      </c>
      <c r="Z6384">
        <v>1.935773E-3</v>
      </c>
      <c r="AA6384">
        <v>0.92878430000000001</v>
      </c>
      <c r="AB6384">
        <v>30</v>
      </c>
      <c r="AC6384">
        <v>6.4582000000000299</v>
      </c>
      <c r="AD6384">
        <v>-1.1386719999999999</v>
      </c>
      <c r="AE6384">
        <v>-5.2029100000000001</v>
      </c>
      <c r="AF6384">
        <v>3.0856010088245802</v>
      </c>
      <c r="AG6384">
        <v>-1.1386719999999999</v>
      </c>
      <c r="AH6384">
        <v>7.5323345915827504</v>
      </c>
      <c r="AI6384">
        <v>97.963358216006</v>
      </c>
      <c r="AJ6384">
        <v>67.723669929022194</v>
      </c>
      <c r="AK6384">
        <v>8.2190979984909092</v>
      </c>
      <c r="AL6384">
        <v>69.183393098607098</v>
      </c>
      <c r="AM6384">
        <v>77.100625850508393</v>
      </c>
      <c r="AN6384">
        <v>0.99999999398655004</v>
      </c>
    </row>
    <row r="6385" spans="1:40" x14ac:dyDescent="0.25">
      <c r="A6385" t="str">
        <f>"20190304164249521"</f>
        <v>20190304164249521</v>
      </c>
      <c r="B6385" t="str">
        <f>"1551688969517330"</f>
        <v>1551688969517330</v>
      </c>
      <c r="C6385" t="s">
        <v>40</v>
      </c>
      <c r="D6385">
        <v>4.8915220000000001</v>
      </c>
      <c r="E6385">
        <v>0.58877270000000004</v>
      </c>
      <c r="F6385" t="s">
        <v>43</v>
      </c>
      <c r="G6385">
        <v>-311.15789999999998</v>
      </c>
      <c r="H6385">
        <v>-0.05</v>
      </c>
      <c r="I6385">
        <v>10.48705</v>
      </c>
      <c r="J6385">
        <v>-317.52949999999998</v>
      </c>
      <c r="K6385">
        <v>1.0870500000000001</v>
      </c>
      <c r="L6385">
        <v>15.687620000000001</v>
      </c>
      <c r="M6385">
        <v>0.95647599999999999</v>
      </c>
      <c r="N6385">
        <v>-2.5251969999999999E-2</v>
      </c>
      <c r="O6385">
        <v>-0.29071710000000001</v>
      </c>
      <c r="P6385">
        <v>0.8217177</v>
      </c>
      <c r="Q6385">
        <v>0.33739639999999999</v>
      </c>
      <c r="R6385">
        <v>-0.45928659999999999</v>
      </c>
      <c r="S6385">
        <v>2.653473</v>
      </c>
      <c r="T6385">
        <v>-0.46196690000000001</v>
      </c>
      <c r="U6385">
        <v>-2.132355</v>
      </c>
      <c r="V6385">
        <v>0.20961550000000001</v>
      </c>
      <c r="W6385">
        <v>0.35527720000000002</v>
      </c>
      <c r="X6385">
        <v>0.91095530000000002</v>
      </c>
      <c r="Y6385">
        <v>0.37047799999999997</v>
      </c>
      <c r="Z6385">
        <v>2.469424E-3</v>
      </c>
      <c r="AA6385">
        <v>0.92883800000000005</v>
      </c>
      <c r="AB6385">
        <v>30</v>
      </c>
      <c r="AC6385">
        <v>6.3715999999999999</v>
      </c>
      <c r="AD6385">
        <v>-1.1370499999999999</v>
      </c>
      <c r="AE6385">
        <v>-5.2005699999999999</v>
      </c>
      <c r="AF6385">
        <v>3.0643134362114401</v>
      </c>
      <c r="AG6385">
        <v>-1.1370499999999999</v>
      </c>
      <c r="AH6385">
        <v>7.4659039071713202</v>
      </c>
      <c r="AI6385">
        <v>98.019794558318196</v>
      </c>
      <c r="AJ6385">
        <v>67.684740525588097</v>
      </c>
      <c r="AK6385">
        <v>8.1500074042274306</v>
      </c>
      <c r="AL6385">
        <v>69.189566866177699</v>
      </c>
      <c r="AM6385">
        <v>77.041514013917705</v>
      </c>
      <c r="AN6385">
        <v>1.00000005263908</v>
      </c>
    </row>
    <row r="6386" spans="1:40" x14ac:dyDescent="0.25">
      <c r="A6386" t="str">
        <f>"20190304164249533"</f>
        <v>20190304164249533</v>
      </c>
      <c r="B6386" t="str">
        <f>"1551688969527091"</f>
        <v>1551688969527091</v>
      </c>
      <c r="C6386" t="s">
        <v>40</v>
      </c>
      <c r="D6386">
        <v>4.9025919999999896</v>
      </c>
      <c r="E6386">
        <v>0.58869450000000001</v>
      </c>
      <c r="F6386" t="s">
        <v>43</v>
      </c>
      <c r="G6386">
        <v>-311.06790000000001</v>
      </c>
      <c r="H6386">
        <v>-0.05</v>
      </c>
      <c r="I6386">
        <v>10.427350000000001</v>
      </c>
      <c r="J6386">
        <v>-317.3612</v>
      </c>
      <c r="K6386">
        <v>1.0853539999999999</v>
      </c>
      <c r="L6386">
        <v>15.630710000000001</v>
      </c>
      <c r="M6386">
        <v>0.95482319999999998</v>
      </c>
      <c r="N6386">
        <v>-2.5550449999999999E-2</v>
      </c>
      <c r="O6386">
        <v>-0.2960739</v>
      </c>
      <c r="P6386">
        <v>0.81882889999999997</v>
      </c>
      <c r="Q6386">
        <v>0.33744030000000003</v>
      </c>
      <c r="R6386">
        <v>-0.4643851</v>
      </c>
      <c r="S6386">
        <v>2.6402589999999999</v>
      </c>
      <c r="T6386">
        <v>-0.46460689999999999</v>
      </c>
      <c r="U6386">
        <v>-2.149384</v>
      </c>
      <c r="V6386">
        <v>0.21051030000000001</v>
      </c>
      <c r="W6386">
        <v>0.35538370000000002</v>
      </c>
      <c r="X6386">
        <v>0.91070739999999994</v>
      </c>
      <c r="Y6386">
        <v>0.37114209999999997</v>
      </c>
      <c r="Z6386">
        <v>2.9930040000000001E-3</v>
      </c>
      <c r="AA6386">
        <v>0.92857120000000004</v>
      </c>
      <c r="AB6386">
        <v>30</v>
      </c>
      <c r="AC6386">
        <v>6.2932999999999799</v>
      </c>
      <c r="AD6386">
        <v>-1.135354</v>
      </c>
      <c r="AE6386">
        <v>-5.20336</v>
      </c>
      <c r="AF6386">
        <v>3.0471160930304699</v>
      </c>
      <c r="AG6386">
        <v>-1.135354</v>
      </c>
      <c r="AH6386">
        <v>7.4088110454838203</v>
      </c>
      <c r="AI6386">
        <v>98.066532619871595</v>
      </c>
      <c r="AJ6386">
        <v>67.643480355172699</v>
      </c>
      <c r="AK6386">
        <v>8.0910089789472099</v>
      </c>
      <c r="AL6386">
        <v>69.183039111654296</v>
      </c>
      <c r="AM6386">
        <v>76.984654556491805</v>
      </c>
      <c r="AN6386">
        <v>1.0000000645232601</v>
      </c>
    </row>
    <row r="6387" spans="1:40" x14ac:dyDescent="0.25">
      <c r="A6387" t="str">
        <f>"20190304164249545"</f>
        <v>20190304164249545</v>
      </c>
      <c r="B6387" t="str">
        <f>"1551688969537825"</f>
        <v>1551688969537825</v>
      </c>
      <c r="C6387" t="s">
        <v>40</v>
      </c>
      <c r="D6387">
        <v>4.8295820000000003</v>
      </c>
      <c r="E6387">
        <v>0.58867590000000003</v>
      </c>
      <c r="F6387" t="s">
        <v>43</v>
      </c>
      <c r="G6387">
        <v>-310.94709999999998</v>
      </c>
      <c r="H6387">
        <v>-0.05</v>
      </c>
      <c r="I6387">
        <v>10.34183</v>
      </c>
      <c r="J6387">
        <v>-317.20460000000003</v>
      </c>
      <c r="K6387">
        <v>1.0837669999999999</v>
      </c>
      <c r="L6387">
        <v>15.576930000000001</v>
      </c>
      <c r="M6387">
        <v>0.95326379999999999</v>
      </c>
      <c r="N6387">
        <v>-2.579209E-2</v>
      </c>
      <c r="O6387">
        <v>-0.30103639999999998</v>
      </c>
      <c r="P6387">
        <v>0.81610179999999999</v>
      </c>
      <c r="Q6387">
        <v>0.33734160000000002</v>
      </c>
      <c r="R6387">
        <v>-0.46923189999999998</v>
      </c>
      <c r="S6387">
        <v>2.6269529999999999</v>
      </c>
      <c r="T6387">
        <v>-0.46499479999999999</v>
      </c>
      <c r="U6387">
        <v>-2.1661069999999998</v>
      </c>
      <c r="V6387">
        <v>0.211454</v>
      </c>
      <c r="W6387">
        <v>0.35531550000000001</v>
      </c>
      <c r="X6387">
        <v>0.91051530000000003</v>
      </c>
      <c r="Y6387">
        <v>0.37214229999999998</v>
      </c>
      <c r="Z6387">
        <v>3.397536E-3</v>
      </c>
      <c r="AA6387">
        <v>0.92816949999999998</v>
      </c>
      <c r="AB6387">
        <v>30</v>
      </c>
      <c r="AC6387">
        <v>6.25750000000005</v>
      </c>
      <c r="AD6387">
        <v>-1.133767</v>
      </c>
      <c r="AE6387">
        <v>-5.2350999999999903</v>
      </c>
      <c r="AF6387">
        <v>3.04885176868126</v>
      </c>
      <c r="AG6387">
        <v>-1.133767</v>
      </c>
      <c r="AH6387">
        <v>7.4005962259103599</v>
      </c>
      <c r="AI6387">
        <v>98.062293851719801</v>
      </c>
      <c r="AJ6387">
        <v>67.609622140525204</v>
      </c>
      <c r="AK6387">
        <v>8.0839191743014407</v>
      </c>
      <c r="AL6387">
        <v>69.187218230271199</v>
      </c>
      <c r="AM6387">
        <v>76.925644151016996</v>
      </c>
      <c r="AN6387">
        <v>1.0000000050951601</v>
      </c>
    </row>
    <row r="6388" spans="1:40" x14ac:dyDescent="0.25">
      <c r="A6388" t="str">
        <f>"20190304164249557"</f>
        <v>20190304164249557</v>
      </c>
      <c r="B6388" t="str">
        <f>"1551688969547586"</f>
        <v>1551688969547586</v>
      </c>
      <c r="C6388" t="s">
        <v>40</v>
      </c>
      <c r="D6388">
        <v>5.0990419999999999</v>
      </c>
      <c r="E6388">
        <v>0.58863369999999904</v>
      </c>
      <c r="F6388" t="s">
        <v>43</v>
      </c>
      <c r="G6388">
        <v>-310.84010000000001</v>
      </c>
      <c r="H6388">
        <v>-0.05</v>
      </c>
      <c r="I6388">
        <v>10.263</v>
      </c>
      <c r="J6388">
        <v>-317.05689999999998</v>
      </c>
      <c r="K6388">
        <v>1.0822579999999999</v>
      </c>
      <c r="L6388">
        <v>15.52505</v>
      </c>
      <c r="M6388">
        <v>0.9517774</v>
      </c>
      <c r="N6388">
        <v>-2.5973360000000001E-2</v>
      </c>
      <c r="O6388">
        <v>-0.30568820000000002</v>
      </c>
      <c r="P6388">
        <v>0.81346680000000005</v>
      </c>
      <c r="Q6388">
        <v>0.33761869999999999</v>
      </c>
      <c r="R6388">
        <v>-0.47358800000000001</v>
      </c>
      <c r="S6388">
        <v>2.6137079999999999</v>
      </c>
      <c r="T6388">
        <v>-0.46559909999999999</v>
      </c>
      <c r="U6388">
        <v>-2.1822509999999999</v>
      </c>
      <c r="V6388">
        <v>0.21216579999999999</v>
      </c>
      <c r="W6388">
        <v>0.35559590000000002</v>
      </c>
      <c r="X6388">
        <v>0.91024020000000005</v>
      </c>
      <c r="Y6388">
        <v>0.37330239999999998</v>
      </c>
      <c r="Z6388">
        <v>3.7885890000000002E-3</v>
      </c>
      <c r="AA6388">
        <v>0.92770200000000003</v>
      </c>
      <c r="AB6388">
        <v>30</v>
      </c>
      <c r="AC6388">
        <v>6.2167999999999699</v>
      </c>
      <c r="AD6388">
        <v>-1.132258</v>
      </c>
      <c r="AE6388">
        <v>-5.2620500000000003</v>
      </c>
      <c r="AF6388">
        <v>3.05000380686745</v>
      </c>
      <c r="AG6388">
        <v>-1.132258</v>
      </c>
      <c r="AH6388">
        <v>7.3853699365764598</v>
      </c>
      <c r="AI6388">
        <v>98.065264662254293</v>
      </c>
      <c r="AJ6388">
        <v>67.560395228397496</v>
      </c>
      <c r="AK6388">
        <v>8.0702057285150595</v>
      </c>
      <c r="AL6388">
        <v>69.170029790052993</v>
      </c>
      <c r="AM6388">
        <v>76.879325179410998</v>
      </c>
      <c r="AN6388">
        <v>0.99999999624124503</v>
      </c>
    </row>
    <row r="6389" spans="1:40" x14ac:dyDescent="0.25">
      <c r="A6389" t="str">
        <f>"20190304164249569"</f>
        <v>20190304164249569</v>
      </c>
      <c r="B6389" t="str">
        <f>"1551688969557347"</f>
        <v>1551688969557347</v>
      </c>
      <c r="C6389" t="s">
        <v>40</v>
      </c>
      <c r="D6389">
        <v>5.121016</v>
      </c>
      <c r="E6389">
        <v>0.58865619999999996</v>
      </c>
      <c r="F6389" t="s">
        <v>43</v>
      </c>
      <c r="G6389">
        <v>-310.72430000000003</v>
      </c>
      <c r="H6389">
        <v>-0.05</v>
      </c>
      <c r="I6389">
        <v>10.17572</v>
      </c>
      <c r="J6389">
        <v>-316.91730000000001</v>
      </c>
      <c r="K6389">
        <v>1.080851</v>
      </c>
      <c r="L6389">
        <v>15.47504</v>
      </c>
      <c r="M6389">
        <v>0.95034099999999999</v>
      </c>
      <c r="N6389">
        <v>-2.609595E-2</v>
      </c>
      <c r="O6389">
        <v>-0.31011440000000001</v>
      </c>
      <c r="P6389">
        <v>0.81120969999999903</v>
      </c>
      <c r="Q6389">
        <v>0.3376729</v>
      </c>
      <c r="R6389">
        <v>-0.47740490000000002</v>
      </c>
      <c r="S6389">
        <v>2.6015630000000001</v>
      </c>
      <c r="T6389">
        <v>-0.4651573</v>
      </c>
      <c r="U6389">
        <v>-2.197632</v>
      </c>
      <c r="V6389">
        <v>0.21240719999999999</v>
      </c>
      <c r="W6389">
        <v>0.35564610000000002</v>
      </c>
      <c r="X6389">
        <v>0.91016419999999998</v>
      </c>
      <c r="Y6389">
        <v>0.37433270000000002</v>
      </c>
      <c r="Z6389">
        <v>4.152991E-3</v>
      </c>
      <c r="AA6389">
        <v>0.92728520000000003</v>
      </c>
      <c r="AB6389">
        <v>30</v>
      </c>
      <c r="AC6389">
        <v>6.1929999999999801</v>
      </c>
      <c r="AD6389">
        <v>-1.1308510000000001</v>
      </c>
      <c r="AE6389">
        <v>-5.2993199999999998</v>
      </c>
      <c r="AF6389">
        <v>3.0578241651567502</v>
      </c>
      <c r="AG6389">
        <v>-1.1308510000000001</v>
      </c>
      <c r="AH6389">
        <v>7.3891881939946398</v>
      </c>
      <c r="AI6389">
        <v>98.048896061508501</v>
      </c>
      <c r="AJ6389">
        <v>67.519049209205505</v>
      </c>
      <c r="AK6389">
        <v>8.0764605351284597</v>
      </c>
      <c r="AL6389">
        <v>69.1669506880055</v>
      </c>
      <c r="AM6389">
        <v>76.863855154252406</v>
      </c>
      <c r="AN6389">
        <v>0.99999991900934104</v>
      </c>
    </row>
    <row r="6390" spans="1:40" x14ac:dyDescent="0.25">
      <c r="A6390" t="str">
        <f>"20190304164249579"</f>
        <v>20190304164249579</v>
      </c>
      <c r="B6390" t="str">
        <f>"1551688969577842"</f>
        <v>1551688969577842</v>
      </c>
      <c r="C6390" t="s">
        <v>40</v>
      </c>
      <c r="D6390">
        <v>5.0362410000000004</v>
      </c>
      <c r="E6390">
        <v>0.588758</v>
      </c>
      <c r="F6390" t="s">
        <v>43</v>
      </c>
      <c r="G6390">
        <v>-310.61739999999998</v>
      </c>
      <c r="H6390">
        <v>-0.05</v>
      </c>
      <c r="I6390">
        <v>10.09248</v>
      </c>
      <c r="J6390">
        <v>-316.76679999999999</v>
      </c>
      <c r="K6390">
        <v>1.0793549999999901</v>
      </c>
      <c r="L6390">
        <v>15.42041</v>
      </c>
      <c r="M6390">
        <v>0.94876059999999995</v>
      </c>
      <c r="N6390">
        <v>-2.6189799999999999E-2</v>
      </c>
      <c r="O6390">
        <v>-0.31490869999999999</v>
      </c>
      <c r="P6390">
        <v>0.80850489999999997</v>
      </c>
      <c r="Q6390">
        <v>0.33794679999999999</v>
      </c>
      <c r="R6390">
        <v>-0.4817804</v>
      </c>
      <c r="S6390">
        <v>2.5895999999999999</v>
      </c>
      <c r="T6390">
        <v>-0.46484120000000001</v>
      </c>
      <c r="U6390">
        <v>-2.2125240000000002</v>
      </c>
      <c r="V6390">
        <v>0.21295130000000001</v>
      </c>
      <c r="W6390">
        <v>0.35588589999999998</v>
      </c>
      <c r="X6390">
        <v>0.90994339999999996</v>
      </c>
      <c r="Y6390">
        <v>0.37486960000000003</v>
      </c>
      <c r="Z6390">
        <v>4.6220829999999999E-3</v>
      </c>
      <c r="AA6390">
        <v>0.92706599999999995</v>
      </c>
      <c r="AB6390">
        <v>30</v>
      </c>
      <c r="AC6390">
        <v>6.1494000000000097</v>
      </c>
      <c r="AD6390">
        <v>-1.1293550000000001</v>
      </c>
      <c r="AE6390">
        <v>-5.3279300000000003</v>
      </c>
      <c r="AF6390">
        <v>3.0605363199784699</v>
      </c>
      <c r="AG6390">
        <v>-1.1293550000000001</v>
      </c>
      <c r="AH6390">
        <v>7.3726561806214601</v>
      </c>
      <c r="AI6390">
        <v>98.052532730121897</v>
      </c>
      <c r="AJ6390">
        <v>67.455689603606203</v>
      </c>
      <c r="AK6390">
        <v>8.0621575548725293</v>
      </c>
      <c r="AL6390">
        <v>69.152251321280403</v>
      </c>
      <c r="AM6390">
        <v>76.828292871146004</v>
      </c>
      <c r="AN6390">
        <v>1.0000000105970299</v>
      </c>
    </row>
    <row r="6391" spans="1:40" x14ac:dyDescent="0.25">
      <c r="A6391" t="str">
        <f>"20190304164249594"</f>
        <v>20190304164249594</v>
      </c>
      <c r="B6391" t="str">
        <f>"1551688969587601"</f>
        <v>1551688969587601</v>
      </c>
      <c r="C6391" t="s">
        <v>40</v>
      </c>
      <c r="D6391">
        <v>5.0490009999999996</v>
      </c>
      <c r="E6391">
        <v>0.58880559999999904</v>
      </c>
      <c r="F6391" t="s">
        <v>43</v>
      </c>
      <c r="G6391">
        <v>-310.50580000000002</v>
      </c>
      <c r="H6391">
        <v>-0.05</v>
      </c>
      <c r="I6391">
        <v>10.001300000000001</v>
      </c>
      <c r="J6391">
        <v>-316.5847</v>
      </c>
      <c r="K6391">
        <v>1.0776110000000001</v>
      </c>
      <c r="L6391">
        <v>15.352510000000001</v>
      </c>
      <c r="M6391">
        <v>0.94676590000000005</v>
      </c>
      <c r="N6391">
        <v>-2.6190410000000001E-2</v>
      </c>
      <c r="O6391">
        <v>-0.32085629999999998</v>
      </c>
      <c r="P6391">
        <v>0.80447999999999997</v>
      </c>
      <c r="Q6391">
        <v>0.33873439999999999</v>
      </c>
      <c r="R6391">
        <v>-0.48792570000000002</v>
      </c>
      <c r="S6391">
        <v>2.576111</v>
      </c>
      <c r="T6391">
        <v>-0.46467419999999998</v>
      </c>
      <c r="U6391">
        <v>-2.2297060000000002</v>
      </c>
      <c r="V6391">
        <v>0.2144402</v>
      </c>
      <c r="W6391">
        <v>0.35654360000000002</v>
      </c>
      <c r="X6391">
        <v>0.90933600000000003</v>
      </c>
      <c r="Y6391">
        <v>0.3750272</v>
      </c>
      <c r="Z6391">
        <v>5.3120329999999999E-3</v>
      </c>
      <c r="AA6391">
        <v>0.92699860000000001</v>
      </c>
      <c r="AB6391">
        <v>30</v>
      </c>
      <c r="AC6391">
        <v>6.0788999999999698</v>
      </c>
      <c r="AD6391">
        <v>-1.1276109999999999</v>
      </c>
      <c r="AE6391">
        <v>-5.35121</v>
      </c>
      <c r="AF6391">
        <v>3.0576818004298101</v>
      </c>
      <c r="AG6391">
        <v>-1.1276109999999999</v>
      </c>
      <c r="AH6391">
        <v>7.3326751694308703</v>
      </c>
      <c r="AI6391">
        <v>98.078221285843298</v>
      </c>
      <c r="AJ6391">
        <v>67.364154802637302</v>
      </c>
      <c r="AK6391">
        <v>8.0242787651220606</v>
      </c>
      <c r="AL6391">
        <v>69.111921144258105</v>
      </c>
      <c r="AM6391">
        <v>76.730898342005901</v>
      </c>
      <c r="AN6391">
        <v>0.99999994948649795</v>
      </c>
    </row>
    <row r="6392" spans="1:40" x14ac:dyDescent="0.25">
      <c r="A6392" t="str">
        <f>"20190304164249605"</f>
        <v>20190304164249605</v>
      </c>
      <c r="B6392" t="str">
        <f>"1551688969597362"</f>
        <v>1551688969597362</v>
      </c>
      <c r="C6392" t="s">
        <v>40</v>
      </c>
      <c r="D6392">
        <v>5.0825180000000003</v>
      </c>
      <c r="E6392">
        <v>0.58885379999999998</v>
      </c>
      <c r="F6392" t="s">
        <v>43</v>
      </c>
      <c r="G6392">
        <v>-310.34530000000001</v>
      </c>
      <c r="H6392">
        <v>-0.05</v>
      </c>
      <c r="I6392">
        <v>9.8596190000000004</v>
      </c>
      <c r="J6392">
        <v>-316.44900000000001</v>
      </c>
      <c r="K6392">
        <v>1.076344</v>
      </c>
      <c r="L6392">
        <v>15.30124</v>
      </c>
      <c r="M6392">
        <v>0.94523109999999999</v>
      </c>
      <c r="N6392">
        <v>-2.615054E-2</v>
      </c>
      <c r="O6392">
        <v>-0.32535259999999999</v>
      </c>
      <c r="P6392">
        <v>0.80156079999999996</v>
      </c>
      <c r="Q6392">
        <v>0.33897529999999998</v>
      </c>
      <c r="R6392">
        <v>-0.49254029999999999</v>
      </c>
      <c r="S6392">
        <v>2.5579830000000001</v>
      </c>
      <c r="T6392">
        <v>-0.46228789999999997</v>
      </c>
      <c r="U6392">
        <v>-2.2519230000000001</v>
      </c>
      <c r="V6392">
        <v>0.2154566</v>
      </c>
      <c r="W6392">
        <v>0.35667270000000001</v>
      </c>
      <c r="X6392">
        <v>0.90904510000000005</v>
      </c>
      <c r="Y6392">
        <v>0.37842179999999997</v>
      </c>
      <c r="Z6392">
        <v>5.4807099999999997E-3</v>
      </c>
      <c r="AA6392">
        <v>0.92561700000000002</v>
      </c>
      <c r="AB6392">
        <v>30</v>
      </c>
      <c r="AC6392">
        <v>6.1036999999999999</v>
      </c>
      <c r="AD6392">
        <v>-1.126344</v>
      </c>
      <c r="AE6392">
        <v>-5.4416209999999996</v>
      </c>
      <c r="AF6392">
        <v>3.09999897028192</v>
      </c>
      <c r="AG6392">
        <v>-1.126344</v>
      </c>
      <c r="AH6392">
        <v>7.4019945453042597</v>
      </c>
      <c r="AI6392">
        <v>97.989592139798702</v>
      </c>
      <c r="AJ6392">
        <v>67.275777012488703</v>
      </c>
      <c r="AK6392">
        <v>8.1035898014891607</v>
      </c>
      <c r="AL6392">
        <v>69.104004335541603</v>
      </c>
      <c r="AM6392">
        <v>76.666132353291999</v>
      </c>
      <c r="AN6392">
        <v>0.999999977621429</v>
      </c>
    </row>
    <row r="6393" spans="1:40" x14ac:dyDescent="0.25">
      <c r="A6393" t="str">
        <f>"20190304164249615"</f>
        <v>20190304164249615</v>
      </c>
      <c r="B6393" t="str">
        <f>"1551688969607122"</f>
        <v>1551688969607122</v>
      </c>
      <c r="C6393" t="s">
        <v>40</v>
      </c>
      <c r="D6393">
        <v>5.105264</v>
      </c>
      <c r="E6393">
        <v>0.58891450000000001</v>
      </c>
      <c r="F6393" t="s">
        <v>43</v>
      </c>
      <c r="G6393">
        <v>-310.2491</v>
      </c>
      <c r="H6393">
        <v>-0.05</v>
      </c>
      <c r="I6393">
        <v>9.7794950000000007</v>
      </c>
      <c r="J6393">
        <v>-316.30860000000001</v>
      </c>
      <c r="K6393">
        <v>1.075081</v>
      </c>
      <c r="L6393">
        <v>15.24704</v>
      </c>
      <c r="M6393">
        <v>0.94357780000000002</v>
      </c>
      <c r="N6393">
        <v>-2.6041269999999998E-2</v>
      </c>
      <c r="O6393">
        <v>-0.33012590000000003</v>
      </c>
      <c r="P6393">
        <v>0.79832499999999995</v>
      </c>
      <c r="Q6393">
        <v>0.3394682</v>
      </c>
      <c r="R6393">
        <v>-0.4974325</v>
      </c>
      <c r="S6393">
        <v>2.5452880000000002</v>
      </c>
      <c r="T6393">
        <v>-0.46240399999999998</v>
      </c>
      <c r="U6393">
        <v>-2.2668759999999999</v>
      </c>
      <c r="V6393">
        <v>0.21652779999999999</v>
      </c>
      <c r="W6393">
        <v>0.357014</v>
      </c>
      <c r="X6393">
        <v>0.90865649999999998</v>
      </c>
      <c r="Y6393">
        <v>0.37909809999999999</v>
      </c>
      <c r="Z6393">
        <v>6.0545319999999996E-3</v>
      </c>
      <c r="AA6393">
        <v>0.92533670000000001</v>
      </c>
      <c r="AB6393">
        <v>30</v>
      </c>
      <c r="AC6393">
        <v>6.0595000000000097</v>
      </c>
      <c r="AD6393">
        <v>-1.125081</v>
      </c>
      <c r="AE6393">
        <v>-5.4675450000000003</v>
      </c>
      <c r="AF6393">
        <v>3.1008032742410601</v>
      </c>
      <c r="AG6393">
        <v>-1.125081</v>
      </c>
      <c r="AH6393">
        <v>7.3848066252229101</v>
      </c>
      <c r="AI6393">
        <v>97.996032646163997</v>
      </c>
      <c r="AJ6393">
        <v>67.222972928674807</v>
      </c>
      <c r="AK6393">
        <v>8.0880255374251497</v>
      </c>
      <c r="AL6393">
        <v>69.083070739045695</v>
      </c>
      <c r="AM6393">
        <v>76.596701123048803</v>
      </c>
      <c r="AN6393">
        <v>0.999999959680544</v>
      </c>
    </row>
    <row r="6394" spans="1:40" x14ac:dyDescent="0.25">
      <c r="A6394" t="str">
        <f>"20190304164249627"</f>
        <v>20190304164249627</v>
      </c>
      <c r="B6394" t="str">
        <f>"1551688969617858"</f>
        <v>1551688969617858</v>
      </c>
      <c r="C6394" t="s">
        <v>40</v>
      </c>
      <c r="D6394">
        <v>5.0899960000000002</v>
      </c>
      <c r="E6394">
        <v>0.58895819999999999</v>
      </c>
      <c r="F6394" t="s">
        <v>43</v>
      </c>
      <c r="G6394">
        <v>-310.13569999999999</v>
      </c>
      <c r="H6394">
        <v>-0.05</v>
      </c>
      <c r="I6394">
        <v>9.6788939999999997</v>
      </c>
      <c r="J6394">
        <v>-316.16849999999999</v>
      </c>
      <c r="K6394">
        <v>1.073858</v>
      </c>
      <c r="L6394">
        <v>15.19223</v>
      </c>
      <c r="M6394">
        <v>0.94187410000000005</v>
      </c>
      <c r="N6394">
        <v>-2.589464E-2</v>
      </c>
      <c r="O6394">
        <v>-0.33496670000000001</v>
      </c>
      <c r="P6394">
        <v>0.79525919999999894</v>
      </c>
      <c r="Q6394">
        <v>0.33999740000000001</v>
      </c>
      <c r="R6394">
        <v>-0.50196099999999999</v>
      </c>
      <c r="S6394">
        <v>2.5313110000000001</v>
      </c>
      <c r="T6394">
        <v>-0.4613603</v>
      </c>
      <c r="U6394">
        <v>-2.283325</v>
      </c>
      <c r="V6394">
        <v>0.21710769999999999</v>
      </c>
      <c r="W6394">
        <v>0.35739070000000001</v>
      </c>
      <c r="X6394">
        <v>0.90837000000000001</v>
      </c>
      <c r="Y6394">
        <v>0.38023649999999998</v>
      </c>
      <c r="Z6394">
        <v>6.5678259999999997E-3</v>
      </c>
      <c r="AA6394">
        <v>0.92486599999999997</v>
      </c>
      <c r="AB6394">
        <v>30</v>
      </c>
      <c r="AC6394">
        <v>6.0327999999999999</v>
      </c>
      <c r="AD6394">
        <v>-1.123858</v>
      </c>
      <c r="AE6394">
        <v>-5.51333599999999</v>
      </c>
      <c r="AF6394">
        <v>3.1142533694031802</v>
      </c>
      <c r="AG6394">
        <v>-1.123858</v>
      </c>
      <c r="AH6394">
        <v>7.3916677365238703</v>
      </c>
      <c r="AI6394">
        <v>97.976109943031403</v>
      </c>
      <c r="AJ6394">
        <v>67.153361724901501</v>
      </c>
      <c r="AK6394">
        <v>8.0992828559182293</v>
      </c>
      <c r="AL6394">
        <v>69.059962963634305</v>
      </c>
      <c r="AM6394">
        <v>76.5580205037257</v>
      </c>
      <c r="AN6394">
        <v>0.99999996137288905</v>
      </c>
    </row>
    <row r="6395" spans="1:40" x14ac:dyDescent="0.25">
      <c r="A6395" t="str">
        <f>"20190304164249638"</f>
        <v>20190304164249638</v>
      </c>
      <c r="B6395" t="str">
        <f>"1551688969627618"</f>
        <v>1551688969627618</v>
      </c>
      <c r="C6395" t="s">
        <v>40</v>
      </c>
      <c r="D6395">
        <v>5.1139049999999999</v>
      </c>
      <c r="E6395">
        <v>0.58898439999999996</v>
      </c>
      <c r="F6395" t="s">
        <v>43</v>
      </c>
      <c r="G6395">
        <v>-310.01850000000002</v>
      </c>
      <c r="H6395">
        <v>-0.05</v>
      </c>
      <c r="I6395">
        <v>9.5776369999999993</v>
      </c>
      <c r="J6395">
        <v>-316.02850000000001</v>
      </c>
      <c r="K6395">
        <v>1.0726770000000001</v>
      </c>
      <c r="L6395">
        <v>15.13654</v>
      </c>
      <c r="M6395">
        <v>0.94011140000000004</v>
      </c>
      <c r="N6395">
        <v>-2.570681E-2</v>
      </c>
      <c r="O6395">
        <v>-0.33989709999999901</v>
      </c>
      <c r="P6395">
        <v>0.79226649999999998</v>
      </c>
      <c r="Q6395">
        <v>0.34002490000000002</v>
      </c>
      <c r="R6395">
        <v>-0.50665309999999997</v>
      </c>
      <c r="S6395">
        <v>2.5180660000000001</v>
      </c>
      <c r="T6395">
        <v>-0.4601498</v>
      </c>
      <c r="U6395">
        <v>-2.2988279999999999</v>
      </c>
      <c r="V6395">
        <v>0.2176836</v>
      </c>
      <c r="W6395">
        <v>0.35725050000000003</v>
      </c>
      <c r="X6395">
        <v>0.90828730000000002</v>
      </c>
      <c r="Y6395">
        <v>0.38096079999999999</v>
      </c>
      <c r="Z6395">
        <v>7.1406530000000003E-3</v>
      </c>
      <c r="AA6395">
        <v>0.92456360000000004</v>
      </c>
      <c r="AB6395">
        <v>30</v>
      </c>
      <c r="AC6395">
        <v>6.00999999999999</v>
      </c>
      <c r="AD6395">
        <v>-1.1226769999999999</v>
      </c>
      <c r="AE6395">
        <v>-5.5589029999999999</v>
      </c>
      <c r="AF6395">
        <v>3.1254806511098101</v>
      </c>
      <c r="AG6395">
        <v>-1.1226769999999999</v>
      </c>
      <c r="AH6395">
        <v>7.4027990125447696</v>
      </c>
      <c r="AI6395">
        <v>97.9535254342603</v>
      </c>
      <c r="AJ6395">
        <v>67.110404748261899</v>
      </c>
      <c r="AK6395">
        <v>8.1135976093792497</v>
      </c>
      <c r="AL6395">
        <v>69.068563261109304</v>
      </c>
      <c r="AM6395">
        <v>76.522480991983002</v>
      </c>
      <c r="AN6395">
        <v>0.99999994440024798</v>
      </c>
    </row>
    <row r="6396" spans="1:40" x14ac:dyDescent="0.25">
      <c r="A6396" t="str">
        <f>"20190304164249650"</f>
        <v>20190304164249650</v>
      </c>
      <c r="B6396" t="str">
        <f>"1551688969637378"</f>
        <v>1551688969637378</v>
      </c>
      <c r="C6396" t="s">
        <v>40</v>
      </c>
      <c r="D6396">
        <v>5.1142969999999996</v>
      </c>
      <c r="E6396">
        <v>0.58901749999999997</v>
      </c>
      <c r="F6396" t="s">
        <v>43</v>
      </c>
      <c r="G6396">
        <v>-309.92869999999999</v>
      </c>
      <c r="H6396">
        <v>-0.05</v>
      </c>
      <c r="I6396">
        <v>9.5003510000000002</v>
      </c>
      <c r="J6396">
        <v>-315.89190000000002</v>
      </c>
      <c r="K6396">
        <v>1.071566</v>
      </c>
      <c r="L6396">
        <v>15.0811799999999</v>
      </c>
      <c r="M6396">
        <v>0.93832570000000004</v>
      </c>
      <c r="N6396">
        <v>-2.548251E-2</v>
      </c>
      <c r="O6396">
        <v>-0.34481240000000002</v>
      </c>
      <c r="P6396">
        <v>0.78909209999999996</v>
      </c>
      <c r="Q6396">
        <v>0.34042299999999998</v>
      </c>
      <c r="R6396">
        <v>-0.51131800000000005</v>
      </c>
      <c r="S6396">
        <v>2.5045169999999999</v>
      </c>
      <c r="T6396">
        <v>-0.46096290000000001</v>
      </c>
      <c r="U6396">
        <v>-2.3141780000000001</v>
      </c>
      <c r="V6396">
        <v>0.21829589999999999</v>
      </c>
      <c r="W6396">
        <v>0.35745670000000002</v>
      </c>
      <c r="X6396">
        <v>0.90805930000000001</v>
      </c>
      <c r="Y6396">
        <v>0.38170530000000003</v>
      </c>
      <c r="Z6396">
        <v>7.8228840000000004E-3</v>
      </c>
      <c r="AA6396">
        <v>0.92425100000000004</v>
      </c>
      <c r="AB6396">
        <v>30</v>
      </c>
      <c r="AC6396">
        <v>5.96320000000002</v>
      </c>
      <c r="AD6396">
        <v>-1.1215660000000001</v>
      </c>
      <c r="AE6396">
        <v>-5.5808289999999898</v>
      </c>
      <c r="AF6396">
        <v>3.1225979895655098</v>
      </c>
      <c r="AG6396">
        <v>-1.1215660000000001</v>
      </c>
      <c r="AH6396">
        <v>7.3829793157683197</v>
      </c>
      <c r="AI6396">
        <v>97.964717426544496</v>
      </c>
      <c r="AJ6396">
        <v>67.074285920488705</v>
      </c>
      <c r="AK6396">
        <v>8.0942517920965003</v>
      </c>
      <c r="AL6396">
        <v>69.055915750566896</v>
      </c>
      <c r="AM6396">
        <v>76.482691372036001</v>
      </c>
      <c r="AN6396">
        <v>1.00000004232409</v>
      </c>
    </row>
    <row r="6397" spans="1:40" x14ac:dyDescent="0.25">
      <c r="A6397" t="str">
        <f>"20190304164249660"</f>
        <v>20190304164249660</v>
      </c>
      <c r="B6397" t="str">
        <f>"1551688969657874"</f>
        <v>1551688969657874</v>
      </c>
      <c r="C6397" t="s">
        <v>40</v>
      </c>
      <c r="D6397">
        <v>5.0410199999999996</v>
      </c>
      <c r="E6397">
        <v>0.58910640000000003</v>
      </c>
      <c r="F6397" t="s">
        <v>43</v>
      </c>
      <c r="G6397">
        <v>-309.82209999999998</v>
      </c>
      <c r="H6397">
        <v>-0.05</v>
      </c>
      <c r="I6397">
        <v>9.4029849999999993</v>
      </c>
      <c r="J6397">
        <v>-315.74489999999997</v>
      </c>
      <c r="K6397">
        <v>1.0703940000000001</v>
      </c>
      <c r="L6397">
        <v>15.02103</v>
      </c>
      <c r="M6397">
        <v>0.93635389999999996</v>
      </c>
      <c r="N6397">
        <v>-2.5220179999999998E-2</v>
      </c>
      <c r="O6397">
        <v>-0.35015039999999997</v>
      </c>
      <c r="P6397">
        <v>0.78577149999999996</v>
      </c>
      <c r="Q6397">
        <v>0.34097810000000001</v>
      </c>
      <c r="R6397">
        <v>-0.51603999999999906</v>
      </c>
      <c r="S6397">
        <v>2.490631</v>
      </c>
      <c r="T6397">
        <v>-0.46021719999999999</v>
      </c>
      <c r="U6397">
        <v>-2.3299560000000001</v>
      </c>
      <c r="V6397">
        <v>0.21858420000000001</v>
      </c>
      <c r="W6397">
        <v>0.35780659999999997</v>
      </c>
      <c r="X6397">
        <v>0.90785210000000005</v>
      </c>
      <c r="Y6397">
        <v>0.38218439999999998</v>
      </c>
      <c r="Z6397">
        <v>8.5295309999999999E-3</v>
      </c>
      <c r="AA6397">
        <v>0.9240467</v>
      </c>
      <c r="AB6397">
        <v>30</v>
      </c>
      <c r="AC6397">
        <v>5.9227999999999899</v>
      </c>
      <c r="AD6397">
        <v>-1.1203939999999999</v>
      </c>
      <c r="AE6397">
        <v>-5.6180449999999897</v>
      </c>
      <c r="AF6397">
        <v>3.1286888457575901</v>
      </c>
      <c r="AG6397">
        <v>-1.1203939999999999</v>
      </c>
      <c r="AH6397">
        <v>7.3764438561346397</v>
      </c>
      <c r="AI6397">
        <v>97.960071837193496</v>
      </c>
      <c r="AJ6397">
        <v>67.015967425128196</v>
      </c>
      <c r="AK6397">
        <v>8.09048209759532</v>
      </c>
      <c r="AL6397">
        <v>69.034447779936102</v>
      </c>
      <c r="AM6397">
        <v>76.462520278682703</v>
      </c>
      <c r="AN6397">
        <v>1.0000000254838</v>
      </c>
    </row>
    <row r="6398" spans="1:40" x14ac:dyDescent="0.25">
      <c r="A6398" t="str">
        <f>"20190304164249675"</f>
        <v>20190304164249675</v>
      </c>
      <c r="B6398" t="str">
        <f>"1551688969667634"</f>
        <v>1551688969667634</v>
      </c>
      <c r="C6398" t="s">
        <v>40</v>
      </c>
      <c r="D6398">
        <v>5.052187</v>
      </c>
      <c r="E6398">
        <v>0.58915469999999903</v>
      </c>
      <c r="F6398" t="s">
        <v>43</v>
      </c>
      <c r="G6398">
        <v>-309.70519999999999</v>
      </c>
      <c r="H6398">
        <v>-0.05</v>
      </c>
      <c r="I6398">
        <v>9.2973789999999994</v>
      </c>
      <c r="J6398">
        <v>-315.56670000000003</v>
      </c>
      <c r="K6398">
        <v>1.069042</v>
      </c>
      <c r="L6398">
        <v>14.946109999999999</v>
      </c>
      <c r="M6398">
        <v>0.93383839999999996</v>
      </c>
      <c r="N6398">
        <v>-2.485602E-2</v>
      </c>
      <c r="O6398">
        <v>-0.35683100000000001</v>
      </c>
      <c r="P6398">
        <v>0.78159219999999996</v>
      </c>
      <c r="Q6398">
        <v>0.34151740000000003</v>
      </c>
      <c r="R6398">
        <v>-0.52199629999999997</v>
      </c>
      <c r="S6398">
        <v>2.4761660000000001</v>
      </c>
      <c r="T6398">
        <v>-0.45934009999999997</v>
      </c>
      <c r="U6398">
        <v>-2.3465880000000001</v>
      </c>
      <c r="V6398">
        <v>0.21896869999999999</v>
      </c>
      <c r="W6398">
        <v>0.35806850000000001</v>
      </c>
      <c r="X6398">
        <v>0.90765609999999997</v>
      </c>
      <c r="Y6398">
        <v>0.38162469999999998</v>
      </c>
      <c r="Z6398">
        <v>9.5337870000000002E-3</v>
      </c>
      <c r="AA6398">
        <v>0.92426819999999998</v>
      </c>
      <c r="AB6398">
        <v>30</v>
      </c>
      <c r="AC6398">
        <v>5.8615000000000297</v>
      </c>
      <c r="AD6398">
        <v>-1.1190420000000001</v>
      </c>
      <c r="AE6398">
        <v>-5.6487309999999997</v>
      </c>
      <c r="AF6398">
        <v>3.12535859174388</v>
      </c>
      <c r="AG6398">
        <v>-1.1190420000000001</v>
      </c>
      <c r="AH6398">
        <v>7.3527011450161197</v>
      </c>
      <c r="AI6398">
        <v>97.973336671430403</v>
      </c>
      <c r="AJ6398">
        <v>66.971467927638699</v>
      </c>
      <c r="AK6398">
        <v>8.0673623603178193</v>
      </c>
      <c r="AL6398">
        <v>69.018376033095706</v>
      </c>
      <c r="AM6398">
        <v>76.436765741545202</v>
      </c>
      <c r="AN6398">
        <v>0.999999969069574</v>
      </c>
    </row>
    <row r="6399" spans="1:40" x14ac:dyDescent="0.25">
      <c r="A6399" t="str">
        <f>"20190304164249686"</f>
        <v>20190304164249686</v>
      </c>
      <c r="B6399" t="str">
        <f>"1551688969677394"</f>
        <v>1551688969677394</v>
      </c>
      <c r="C6399" t="s">
        <v>40</v>
      </c>
      <c r="D6399">
        <v>5.0911350000000004</v>
      </c>
      <c r="E6399">
        <v>0.58918990000000004</v>
      </c>
      <c r="F6399" t="s">
        <v>43</v>
      </c>
      <c r="G6399">
        <v>-309.5609</v>
      </c>
      <c r="H6399">
        <v>-0.05</v>
      </c>
      <c r="I6399">
        <v>9.1641390000000005</v>
      </c>
      <c r="J6399">
        <v>-315.43900000000002</v>
      </c>
      <c r="K6399">
        <v>1.0680959999999999</v>
      </c>
      <c r="L6399">
        <v>14.891690000000001</v>
      </c>
      <c r="M6399">
        <v>0.93197209999999997</v>
      </c>
      <c r="N6399">
        <v>-2.458954E-2</v>
      </c>
      <c r="O6399">
        <v>-0.3616955</v>
      </c>
      <c r="P6399">
        <v>0.77847489999999997</v>
      </c>
      <c r="Q6399">
        <v>0.34206439999999999</v>
      </c>
      <c r="R6399">
        <v>-0.52627849999999998</v>
      </c>
      <c r="S6399">
        <v>2.458008</v>
      </c>
      <c r="T6399">
        <v>-0.45799210000000001</v>
      </c>
      <c r="U6399">
        <v>-2.3663940000000001</v>
      </c>
      <c r="V6399">
        <v>0.219224</v>
      </c>
      <c r="W6399">
        <v>0.35841440000000002</v>
      </c>
      <c r="X6399">
        <v>0.90745790000000004</v>
      </c>
      <c r="Y6399">
        <v>0.38410929999999999</v>
      </c>
      <c r="Z6399">
        <v>9.9908340000000005E-3</v>
      </c>
      <c r="AA6399">
        <v>0.92323359999999999</v>
      </c>
      <c r="AB6399">
        <v>30</v>
      </c>
      <c r="AC6399">
        <v>5.8781000000000097</v>
      </c>
      <c r="AD6399">
        <v>-1.118096</v>
      </c>
      <c r="AE6399">
        <v>-5.7275509999999903</v>
      </c>
      <c r="AF6399">
        <v>3.15426354506591</v>
      </c>
      <c r="AG6399">
        <v>-1.118096</v>
      </c>
      <c r="AH6399">
        <v>7.4145241380101101</v>
      </c>
      <c r="AI6399">
        <v>97.900103250303999</v>
      </c>
      <c r="AJ6399">
        <v>66.954281004954694</v>
      </c>
      <c r="AK6399">
        <v>8.1347824414720797</v>
      </c>
      <c r="AL6399">
        <v>68.9971479419129</v>
      </c>
      <c r="AM6399">
        <v>76.418681393761304</v>
      </c>
      <c r="AN6399">
        <v>0.99999994228788303</v>
      </c>
    </row>
    <row r="6400" spans="1:40" x14ac:dyDescent="0.25">
      <c r="A6400" t="str">
        <f>"20190304164249698"</f>
        <v>20190304164249698</v>
      </c>
      <c r="B6400" t="str">
        <f>"1551688969687154"</f>
        <v>1551688969687154</v>
      </c>
      <c r="C6400" t="s">
        <v>40</v>
      </c>
      <c r="D6400">
        <v>5.1087189999999998</v>
      </c>
      <c r="E6400">
        <v>0.58918490000000001</v>
      </c>
      <c r="F6400" t="s">
        <v>43</v>
      </c>
      <c r="G6400">
        <v>-309.45330000000001</v>
      </c>
      <c r="H6400">
        <v>-0.05</v>
      </c>
      <c r="I6400">
        <v>9.0623170000000002</v>
      </c>
      <c r="J6400">
        <v>-315.27870000000001</v>
      </c>
      <c r="K6400">
        <v>1.066953</v>
      </c>
      <c r="L6400">
        <v>14.82217</v>
      </c>
      <c r="M6400">
        <v>0.92952840000000003</v>
      </c>
      <c r="N6400">
        <v>-2.4247310000000001E-2</v>
      </c>
      <c r="O6400">
        <v>-0.3679521</v>
      </c>
      <c r="P6400">
        <v>0.77465949999999995</v>
      </c>
      <c r="Q6400">
        <v>0.3424179</v>
      </c>
      <c r="R6400">
        <v>-0.53165130000000005</v>
      </c>
      <c r="S6400">
        <v>2.444763</v>
      </c>
      <c r="T6400">
        <v>-0.45666869999999998</v>
      </c>
      <c r="U6400">
        <v>-2.3809200000000001</v>
      </c>
      <c r="V6400">
        <v>0.21934039999999999</v>
      </c>
      <c r="W6400">
        <v>0.3585217</v>
      </c>
      <c r="X6400">
        <v>0.90738739999999996</v>
      </c>
      <c r="Y6400">
        <v>0.38329410000000003</v>
      </c>
      <c r="Z6400">
        <v>1.0933480000000001E-2</v>
      </c>
      <c r="AA6400">
        <v>0.92356159999999998</v>
      </c>
      <c r="AB6400">
        <v>30</v>
      </c>
      <c r="AC6400">
        <v>5.8254000000000001</v>
      </c>
      <c r="AD6400">
        <v>-1.1169530000000001</v>
      </c>
      <c r="AE6400">
        <v>-5.7598529999999997</v>
      </c>
      <c r="AF6400">
        <v>3.1528132229626502</v>
      </c>
      <c r="AG6400">
        <v>-1.1169530000000001</v>
      </c>
      <c r="AH6400">
        <v>7.3988974976628201</v>
      </c>
      <c r="AI6400">
        <v>97.906609853450107</v>
      </c>
      <c r="AJ6400">
        <v>66.920208896921196</v>
      </c>
      <c r="AK6400">
        <v>8.1198213899086706</v>
      </c>
      <c r="AL6400">
        <v>68.990562770476203</v>
      </c>
      <c r="AM6400">
        <v>76.410720908474204</v>
      </c>
      <c r="AN6400">
        <v>0.99999995706090405</v>
      </c>
    </row>
    <row r="6401" spans="1:40" x14ac:dyDescent="0.25">
      <c r="A6401" t="str">
        <f>"20190304164249712"</f>
        <v>20190304164249712</v>
      </c>
      <c r="B6401" t="str">
        <f>"1551688969707650"</f>
        <v>1551688969707650</v>
      </c>
      <c r="C6401" t="s">
        <v>40</v>
      </c>
      <c r="D6401">
        <v>5.1048749999999998</v>
      </c>
      <c r="E6401">
        <v>0.58919860000000002</v>
      </c>
      <c r="F6401" t="s">
        <v>43</v>
      </c>
      <c r="G6401">
        <v>-309.33370000000002</v>
      </c>
      <c r="H6401">
        <v>-0.05</v>
      </c>
      <c r="I6401">
        <v>8.9494779999999992</v>
      </c>
      <c r="J6401">
        <v>-315.11189999999999</v>
      </c>
      <c r="K6401">
        <v>1.065798</v>
      </c>
      <c r="L6401">
        <v>14.74823</v>
      </c>
      <c r="M6401">
        <v>0.9268653</v>
      </c>
      <c r="N6401">
        <v>-2.388676E-2</v>
      </c>
      <c r="O6401">
        <v>-0.37463350000000001</v>
      </c>
      <c r="P6401">
        <v>0.77033130000000005</v>
      </c>
      <c r="Q6401">
        <v>0.34298919999999999</v>
      </c>
      <c r="R6401">
        <v>-0.53753919999999999</v>
      </c>
      <c r="S6401">
        <v>2.428131</v>
      </c>
      <c r="T6401">
        <v>-0.45619920000000003</v>
      </c>
      <c r="U6401">
        <v>-2.39859</v>
      </c>
      <c r="V6401">
        <v>0.21971270000000001</v>
      </c>
      <c r="W6401">
        <v>0.35881760000000001</v>
      </c>
      <c r="X6401">
        <v>0.9071804</v>
      </c>
      <c r="Y6401">
        <v>0.3832776</v>
      </c>
      <c r="Z6401">
        <v>1.191917E-2</v>
      </c>
      <c r="AA6401">
        <v>0.9235563</v>
      </c>
      <c r="AB6401">
        <v>30</v>
      </c>
      <c r="AC6401">
        <v>5.7781999999999698</v>
      </c>
      <c r="AD6401">
        <v>-1.1157979999999901</v>
      </c>
      <c r="AE6401">
        <v>-5.7987519999999897</v>
      </c>
      <c r="AF6401">
        <v>3.1523054857031299</v>
      </c>
      <c r="AG6401">
        <v>-1.1157979999999901</v>
      </c>
      <c r="AH6401">
        <v>7.39282023297491</v>
      </c>
      <c r="AI6401">
        <v>97.904155288323906</v>
      </c>
      <c r="AJ6401">
        <v>66.9065546887648</v>
      </c>
      <c r="AK6401">
        <v>8.1139279050951192</v>
      </c>
      <c r="AL6401">
        <v>68.972401666973298</v>
      </c>
      <c r="AM6401">
        <v>76.385522130847704</v>
      </c>
      <c r="AN6401">
        <v>1.0000000093776</v>
      </c>
    </row>
    <row r="6402" spans="1:40" x14ac:dyDescent="0.25">
      <c r="A6402" t="str">
        <f>"20190304164249728"</f>
        <v>20190304164249728</v>
      </c>
      <c r="B6402" t="str">
        <f>"1551688969717410"</f>
        <v>1551688969717410</v>
      </c>
      <c r="C6402" t="s">
        <v>40</v>
      </c>
      <c r="D6402">
        <v>5.1248680000000002</v>
      </c>
      <c r="E6402">
        <v>0.58919299999999997</v>
      </c>
      <c r="F6402" t="s">
        <v>43</v>
      </c>
      <c r="G6402">
        <v>-309.21300000000002</v>
      </c>
      <c r="H6402">
        <v>-0.05</v>
      </c>
      <c r="I6402">
        <v>8.8300929999999997</v>
      </c>
      <c r="J6402">
        <v>-314.9153</v>
      </c>
      <c r="K6402">
        <v>1.0644720000000001</v>
      </c>
      <c r="L6402">
        <v>14.659330000000001</v>
      </c>
      <c r="M6402">
        <v>0.92359570000000002</v>
      </c>
      <c r="N6402">
        <v>-2.3457169999999999E-2</v>
      </c>
      <c r="O6402">
        <v>-0.38264999999999999</v>
      </c>
      <c r="P6402">
        <v>0.76486519999999902</v>
      </c>
      <c r="Q6402">
        <v>0.34408090000000002</v>
      </c>
      <c r="R6402">
        <v>-0.54460069999999905</v>
      </c>
      <c r="S6402">
        <v>2.4101560000000002</v>
      </c>
      <c r="T6402">
        <v>-0.45589269999999998</v>
      </c>
      <c r="U6402">
        <v>-2.4180299999999999</v>
      </c>
      <c r="V6402">
        <v>0.22028909999999999</v>
      </c>
      <c r="W6402">
        <v>0.35956129999999997</v>
      </c>
      <c r="X6402">
        <v>0.90674600000000005</v>
      </c>
      <c r="Y6402">
        <v>0.38251930000000001</v>
      </c>
      <c r="Z6402">
        <v>1.3177090000000001E-2</v>
      </c>
      <c r="AA6402">
        <v>0.92385349999999999</v>
      </c>
      <c r="AB6402">
        <v>30</v>
      </c>
      <c r="AC6402">
        <v>5.7023000000000303</v>
      </c>
      <c r="AD6402">
        <v>-1.1144719999999999</v>
      </c>
      <c r="AE6402">
        <v>-5.8292369999999902</v>
      </c>
      <c r="AF6402">
        <v>3.14402830844841</v>
      </c>
      <c r="AG6402">
        <v>-1.1144719999999999</v>
      </c>
      <c r="AH6402">
        <v>7.3617337988055596</v>
      </c>
      <c r="AI6402">
        <v>97.925884913805604</v>
      </c>
      <c r="AJ6402">
        <v>66.873779116420096</v>
      </c>
      <c r="AK6402">
        <v>8.0822080131350909</v>
      </c>
      <c r="AL6402">
        <v>68.926742761849994</v>
      </c>
      <c r="AM6402">
        <v>76.344845792022596</v>
      </c>
      <c r="AN6402">
        <v>0.99999996227624899</v>
      </c>
    </row>
    <row r="6403" spans="1:40" x14ac:dyDescent="0.25">
      <c r="A6403" t="str">
        <f>"20190304164249740"</f>
        <v>20190304164249740</v>
      </c>
      <c r="B6403" t="str">
        <f>"1551688969727169"</f>
        <v>1551688969727169</v>
      </c>
      <c r="C6403" t="s">
        <v>40</v>
      </c>
      <c r="D6403">
        <v>5.1318109999999999</v>
      </c>
      <c r="E6403">
        <v>0.58916499999999905</v>
      </c>
      <c r="F6403" t="s">
        <v>43</v>
      </c>
      <c r="G6403">
        <v>-309.04129999999998</v>
      </c>
      <c r="H6403">
        <v>-0.05</v>
      </c>
      <c r="I6403">
        <v>8.6547999999999998</v>
      </c>
      <c r="J6403">
        <v>-314.7647</v>
      </c>
      <c r="K6403">
        <v>1.063472</v>
      </c>
      <c r="L6403">
        <v>14.590059999999999</v>
      </c>
      <c r="M6403">
        <v>0.92099810000000004</v>
      </c>
      <c r="N6403">
        <v>-2.312401E-2</v>
      </c>
      <c r="O6403">
        <v>-0.38888020000000001</v>
      </c>
      <c r="P6403">
        <v>0.76031700000000002</v>
      </c>
      <c r="Q6403">
        <v>0.34513959999999999</v>
      </c>
      <c r="R6403">
        <v>-0.55026949999999997</v>
      </c>
      <c r="S6403">
        <v>2.3879700000000001</v>
      </c>
      <c r="T6403">
        <v>-0.45306940000000001</v>
      </c>
      <c r="U6403">
        <v>-2.4410400000000001</v>
      </c>
      <c r="V6403">
        <v>0.22104480000000001</v>
      </c>
      <c r="W6403">
        <v>0.36032599999999998</v>
      </c>
      <c r="X6403">
        <v>0.90625849999999997</v>
      </c>
      <c r="Y6403">
        <v>0.3849688</v>
      </c>
      <c r="Z6403">
        <v>1.375942E-2</v>
      </c>
      <c r="AA6403">
        <v>0.92282699999999995</v>
      </c>
      <c r="AB6403">
        <v>30</v>
      </c>
      <c r="AC6403">
        <v>5.7234000000000202</v>
      </c>
      <c r="AD6403">
        <v>-1.113472</v>
      </c>
      <c r="AE6403">
        <v>-5.9352600000000004</v>
      </c>
      <c r="AF6403">
        <v>3.1834569895410398</v>
      </c>
      <c r="AG6403">
        <v>-1.113472</v>
      </c>
      <c r="AH6403">
        <v>7.44558923144508</v>
      </c>
      <c r="AI6403">
        <v>97.829433391904203</v>
      </c>
      <c r="AJ6403">
        <v>66.850249966664094</v>
      </c>
      <c r="AK6403">
        <v>8.1738006644677004</v>
      </c>
      <c r="AL6403">
        <v>68.879782947151597</v>
      </c>
      <c r="AM6403">
        <v>76.2926725199316</v>
      </c>
      <c r="AN6403">
        <v>1.00000004935264</v>
      </c>
    </row>
    <row r="6404" spans="1:40" x14ac:dyDescent="0.25">
      <c r="A6404" t="str">
        <f>"20190304164249756"</f>
        <v>20190304164249756</v>
      </c>
      <c r="B6404" t="str">
        <f>"1551688969747551"</f>
        <v>1551688969747551</v>
      </c>
      <c r="C6404" t="s">
        <v>40</v>
      </c>
      <c r="D6404">
        <v>5.1325000000000003</v>
      </c>
      <c r="E6404">
        <v>0.58910039999999997</v>
      </c>
      <c r="F6404" t="s">
        <v>43</v>
      </c>
      <c r="G6404">
        <v>-308.91239999999999</v>
      </c>
      <c r="H6404">
        <v>-0.05</v>
      </c>
      <c r="I6404">
        <v>8.5219729999999991</v>
      </c>
      <c r="J6404">
        <v>-314.57589999999999</v>
      </c>
      <c r="K6404">
        <v>1.062257</v>
      </c>
      <c r="L6404">
        <v>14.50079</v>
      </c>
      <c r="M6404">
        <v>0.91761919999999997</v>
      </c>
      <c r="N6404">
        <v>-2.270018E-2</v>
      </c>
      <c r="O6404">
        <v>-0.39681159999999999</v>
      </c>
      <c r="P6404">
        <v>0.75490480000000004</v>
      </c>
      <c r="Q6404">
        <v>0.34598430000000002</v>
      </c>
      <c r="R6404">
        <v>-0.55714770000000002</v>
      </c>
      <c r="S6404">
        <v>2.3711549999999999</v>
      </c>
      <c r="T6404">
        <v>-0.45114120000000002</v>
      </c>
      <c r="U6404">
        <v>-2.4585880000000002</v>
      </c>
      <c r="V6404">
        <v>0.22157170000000001</v>
      </c>
      <c r="W6404">
        <v>0.36079299999999997</v>
      </c>
      <c r="X6404">
        <v>0.90594390000000002</v>
      </c>
      <c r="Y6404">
        <v>0.38366349999999999</v>
      </c>
      <c r="Z6404">
        <v>1.4953070000000001E-2</v>
      </c>
      <c r="AA6404">
        <v>0.9233519</v>
      </c>
      <c r="AB6404">
        <v>30</v>
      </c>
      <c r="AC6404">
        <v>5.6634999999999902</v>
      </c>
      <c r="AD6404">
        <v>-1.1122570000000001</v>
      </c>
      <c r="AE6404">
        <v>-5.9788170000000003</v>
      </c>
      <c r="AF6404">
        <v>3.18173279421837</v>
      </c>
      <c r="AG6404">
        <v>-1.1122570000000001</v>
      </c>
      <c r="AH6404">
        <v>7.4357190764715497</v>
      </c>
      <c r="AI6404">
        <v>97.830310058281697</v>
      </c>
      <c r="AJ6404">
        <v>66.833992161533203</v>
      </c>
      <c r="AK6404">
        <v>8.16397313763688</v>
      </c>
      <c r="AL6404">
        <v>68.851094672905901</v>
      </c>
      <c r="AM6404">
        <v>76.256645306301607</v>
      </c>
      <c r="AN6404">
        <v>0.99999997851854905</v>
      </c>
    </row>
    <row r="6405" spans="1:40" x14ac:dyDescent="0.25">
      <c r="A6405" t="str">
        <f>"20190304164249773"</f>
        <v>20190304164249773</v>
      </c>
      <c r="B6405" t="str">
        <f>"1551688969767071"</f>
        <v>1551688969767071</v>
      </c>
      <c r="C6405" t="s">
        <v>40</v>
      </c>
      <c r="D6405">
        <v>5.1330090000000004</v>
      </c>
      <c r="E6405">
        <v>0.58902500000000002</v>
      </c>
      <c r="F6405" t="s">
        <v>43</v>
      </c>
      <c r="G6405">
        <v>-308.77949999999998</v>
      </c>
      <c r="H6405">
        <v>-0.05</v>
      </c>
      <c r="I6405">
        <v>8.3854980000000001</v>
      </c>
      <c r="J6405">
        <v>-314.3646</v>
      </c>
      <c r="K6405">
        <v>1.0609360000000001</v>
      </c>
      <c r="L6405">
        <v>14.398529999999999</v>
      </c>
      <c r="M6405">
        <v>0.91369659999999997</v>
      </c>
      <c r="N6405">
        <v>-2.2224710000000002E-2</v>
      </c>
      <c r="O6405">
        <v>-0.40578920000000002</v>
      </c>
      <c r="P6405">
        <v>0.74848809999999999</v>
      </c>
      <c r="Q6405">
        <v>0.34693499999999999</v>
      </c>
      <c r="R6405">
        <v>-0.56515689999999996</v>
      </c>
      <c r="S6405">
        <v>2.3505250000000002</v>
      </c>
      <c r="T6405">
        <v>-0.4510344</v>
      </c>
      <c r="U6405">
        <v>-2.4798279999999999</v>
      </c>
      <c r="V6405">
        <v>0.2225124</v>
      </c>
      <c r="W6405">
        <v>0.36129149999999999</v>
      </c>
      <c r="X6405">
        <v>0.90551459999999995</v>
      </c>
      <c r="Y6405">
        <v>0.38270110000000002</v>
      </c>
      <c r="Z6405">
        <v>1.6389959999999999E-2</v>
      </c>
      <c r="AA6405">
        <v>0.92372690000000002</v>
      </c>
      <c r="AB6405">
        <v>30</v>
      </c>
      <c r="AC6405">
        <v>5.5851000000000104</v>
      </c>
      <c r="AD6405">
        <v>-1.1109359999999999</v>
      </c>
      <c r="AE6405">
        <v>-6.0130319999999902</v>
      </c>
      <c r="AF6405">
        <v>3.1704131634435599</v>
      </c>
      <c r="AG6405">
        <v>-1.1109359999999999</v>
      </c>
      <c r="AH6405">
        <v>7.4092001296354004</v>
      </c>
      <c r="AI6405">
        <v>97.848759867657293</v>
      </c>
      <c r="AJ6405">
        <v>66.833810545086905</v>
      </c>
      <c r="AK6405">
        <v>8.1352286374767306</v>
      </c>
      <c r="AL6405">
        <v>68.820467417209798</v>
      </c>
      <c r="AM6405">
        <v>76.194230750681697</v>
      </c>
      <c r="AN6405">
        <v>1.00000000346958</v>
      </c>
    </row>
    <row r="6406" spans="1:40" x14ac:dyDescent="0.25">
      <c r="A6406" t="str">
        <f>"20190304164249784"</f>
        <v>20190304164249784</v>
      </c>
      <c r="B6406" t="str">
        <f>"1551688969777808"</f>
        <v>1551688969777808</v>
      </c>
      <c r="C6406" t="s">
        <v>40</v>
      </c>
      <c r="D6406">
        <v>5.0665930000000001</v>
      </c>
      <c r="E6406">
        <v>0.58900059999999999</v>
      </c>
      <c r="F6406" t="s">
        <v>43</v>
      </c>
      <c r="G6406">
        <v>-308.63069999999999</v>
      </c>
      <c r="H6406">
        <v>-0.05</v>
      </c>
      <c r="I6406">
        <v>8.2259829999999994</v>
      </c>
      <c r="J6406">
        <v>-314.22910000000002</v>
      </c>
      <c r="K6406">
        <v>1.060122</v>
      </c>
      <c r="L6406">
        <v>14.33179</v>
      </c>
      <c r="M6406">
        <v>0.91110559999999996</v>
      </c>
      <c r="N6406">
        <v>-2.192127E-2</v>
      </c>
      <c r="O6406">
        <v>-0.41159020000000002</v>
      </c>
      <c r="P6406">
        <v>0.74461089999999996</v>
      </c>
      <c r="Q6406">
        <v>0.34753020000000001</v>
      </c>
      <c r="R6406">
        <v>-0.56989250000000002</v>
      </c>
      <c r="S6406">
        <v>2.3261720000000001</v>
      </c>
      <c r="T6406">
        <v>-0.45069749999999997</v>
      </c>
      <c r="U6406">
        <v>-2.5041500000000001</v>
      </c>
      <c r="V6406">
        <v>0.22261619999999999</v>
      </c>
      <c r="W6406">
        <v>0.36160809999999999</v>
      </c>
      <c r="X6406">
        <v>0.90536269999999996</v>
      </c>
      <c r="Y6406">
        <v>0.38614670000000001</v>
      </c>
      <c r="Z6406">
        <v>1.697978E-2</v>
      </c>
      <c r="AA6406">
        <v>0.92228109999999996</v>
      </c>
      <c r="AB6406">
        <v>29</v>
      </c>
      <c r="AC6406">
        <v>5.5984000000000202</v>
      </c>
      <c r="AD6406">
        <v>-1.1101219999999901</v>
      </c>
      <c r="AE6406">
        <v>-6.1058069999999898</v>
      </c>
      <c r="AF6406">
        <v>3.2020663564017799</v>
      </c>
      <c r="AG6406">
        <v>-1.1101219999999901</v>
      </c>
      <c r="AH6406">
        <v>7.48129875303656</v>
      </c>
      <c r="AI6406">
        <v>97.768125157638295</v>
      </c>
      <c r="AJ6406">
        <v>66.828618971645298</v>
      </c>
      <c r="AK6406">
        <v>8.2131255218625796</v>
      </c>
      <c r="AL6406">
        <v>68.801012262690904</v>
      </c>
      <c r="AM6406">
        <v>76.185808468223101</v>
      </c>
      <c r="AN6406">
        <v>1.00000000451967</v>
      </c>
    </row>
    <row r="6407" spans="1:40" x14ac:dyDescent="0.25">
      <c r="A6407" t="str">
        <f>"20190304164249796"</f>
        <v>20190304164249796</v>
      </c>
      <c r="B6407" t="str">
        <f>"1551688969787567"</f>
        <v>1551688969787567</v>
      </c>
      <c r="C6407" t="s">
        <v>40</v>
      </c>
      <c r="D6407">
        <v>5.0623370000000003</v>
      </c>
      <c r="E6407">
        <v>0.58898289999999998</v>
      </c>
      <c r="F6407" t="s">
        <v>43</v>
      </c>
      <c r="G6407">
        <v>-308.52519999999998</v>
      </c>
      <c r="H6407">
        <v>-0.05</v>
      </c>
      <c r="I6407">
        <v>8.1124419999999997</v>
      </c>
      <c r="J6407">
        <v>-314.084</v>
      </c>
      <c r="K6407">
        <v>1.0592980000000001</v>
      </c>
      <c r="L6407">
        <v>14.258699999999999</v>
      </c>
      <c r="M6407">
        <v>0.90824660000000002</v>
      </c>
      <c r="N6407">
        <v>-2.1600669999999999E-2</v>
      </c>
      <c r="O6407">
        <v>-0.41787760000000002</v>
      </c>
      <c r="P6407">
        <v>0.74054370000000003</v>
      </c>
      <c r="Q6407">
        <v>0.34765469999999998</v>
      </c>
      <c r="R6407">
        <v>-0.5750923</v>
      </c>
      <c r="S6407">
        <v>2.3106080000000002</v>
      </c>
      <c r="T6407">
        <v>-0.4497023</v>
      </c>
      <c r="U6407">
        <v>-2.519409</v>
      </c>
      <c r="V6407">
        <v>0.22272330000000001</v>
      </c>
      <c r="W6407">
        <v>0.36143649999999999</v>
      </c>
      <c r="X6407">
        <v>0.90540489999999996</v>
      </c>
      <c r="Y6407">
        <v>0.38571450000000002</v>
      </c>
      <c r="Z6407">
        <v>1.7907940000000001E-2</v>
      </c>
      <c r="AA6407">
        <v>0.92244440000000005</v>
      </c>
      <c r="AB6407">
        <v>29</v>
      </c>
      <c r="AC6407">
        <v>5.5588000000000104</v>
      </c>
      <c r="AD6407">
        <v>-1.1092979999999999</v>
      </c>
      <c r="AE6407">
        <v>-6.1462580000000004</v>
      </c>
      <c r="AF6407">
        <v>3.2027930525391599</v>
      </c>
      <c r="AG6407">
        <v>-1.1092979999999999</v>
      </c>
      <c r="AH6407">
        <v>7.4848098117230402</v>
      </c>
      <c r="AI6407">
        <v>97.759120031838293</v>
      </c>
      <c r="AJ6407">
        <v>66.833640129018306</v>
      </c>
      <c r="AK6407">
        <v>8.2164958046519203</v>
      </c>
      <c r="AL6407">
        <v>68.811557856548603</v>
      </c>
      <c r="AM6407">
        <v>76.180036722471598</v>
      </c>
      <c r="AN6407">
        <v>1.00000002241957</v>
      </c>
    </row>
    <row r="6408" spans="1:40" x14ac:dyDescent="0.25">
      <c r="A6408" t="str">
        <f>"20190304164249808"</f>
        <v>20190304164249808</v>
      </c>
      <c r="B6408" t="str">
        <f>"1551688969797328"</f>
        <v>1551688969797328</v>
      </c>
      <c r="C6408" t="s">
        <v>40</v>
      </c>
      <c r="D6408">
        <v>5.0660559999999997</v>
      </c>
      <c r="E6408">
        <v>0.58895839999999999</v>
      </c>
      <c r="F6408" t="s">
        <v>43</v>
      </c>
      <c r="G6408">
        <v>-308.43490000000003</v>
      </c>
      <c r="H6408">
        <v>-0.05</v>
      </c>
      <c r="I6408">
        <v>8.0114900000000002</v>
      </c>
      <c r="J6408">
        <v>-313.95400000000001</v>
      </c>
      <c r="K6408">
        <v>1.058595</v>
      </c>
      <c r="L6408">
        <v>14.19214</v>
      </c>
      <c r="M6408">
        <v>0.90561650000000005</v>
      </c>
      <c r="N6408">
        <v>-2.1319379999999999E-2</v>
      </c>
      <c r="O6408">
        <v>-0.42356139999999998</v>
      </c>
      <c r="P6408">
        <v>0.73674050000000002</v>
      </c>
      <c r="Q6408">
        <v>0.34803539999999999</v>
      </c>
      <c r="R6408">
        <v>-0.57972849999999998</v>
      </c>
      <c r="S6408">
        <v>2.2931210000000002</v>
      </c>
      <c r="T6408">
        <v>-0.45029649999999999</v>
      </c>
      <c r="U6408">
        <v>-2.5359189999999998</v>
      </c>
      <c r="V6408">
        <v>0.22281690000000001</v>
      </c>
      <c r="W6408">
        <v>0.3615543</v>
      </c>
      <c r="X6408">
        <v>0.9053348</v>
      </c>
      <c r="Y6408">
        <v>0.38646360000000002</v>
      </c>
      <c r="Z6408">
        <v>1.8759390000000001E-2</v>
      </c>
      <c r="AA6408">
        <v>0.92211379999999998</v>
      </c>
      <c r="AB6408">
        <v>29</v>
      </c>
      <c r="AC6408">
        <v>5.5190999999999804</v>
      </c>
      <c r="AD6408">
        <v>-1.108595</v>
      </c>
      <c r="AE6408">
        <v>-6.18065</v>
      </c>
      <c r="AF6408">
        <v>3.2030298602790199</v>
      </c>
      <c r="AG6408">
        <v>-1.108595</v>
      </c>
      <c r="AH6408">
        <v>7.4838483782290997</v>
      </c>
      <c r="AI6408">
        <v>97.755006702007094</v>
      </c>
      <c r="AJ6408">
        <v>66.829445654755503</v>
      </c>
      <c r="AK6408">
        <v>8.2156174270827904</v>
      </c>
      <c r="AL6408">
        <v>68.804318180877601</v>
      </c>
      <c r="AM6408">
        <v>76.173422209259996</v>
      </c>
      <c r="AN6408">
        <v>0.99999999143257001</v>
      </c>
    </row>
    <row r="6409" spans="1:40" x14ac:dyDescent="0.25">
      <c r="A6409" t="str">
        <f>"20190304164249820"</f>
        <v>20190304164249820</v>
      </c>
      <c r="B6409" t="str">
        <f>"1551688969807087"</f>
        <v>1551688969807087</v>
      </c>
      <c r="C6409" t="s">
        <v>40</v>
      </c>
      <c r="D6409">
        <v>5.0730180000000002</v>
      </c>
      <c r="E6409">
        <v>0.58893569999999995</v>
      </c>
      <c r="F6409" t="s">
        <v>43</v>
      </c>
      <c r="G6409">
        <v>-308.34059999999999</v>
      </c>
      <c r="H6409">
        <v>-0.05</v>
      </c>
      <c r="I6409">
        <v>7.904236</v>
      </c>
      <c r="J6409">
        <v>-313.80599999999998</v>
      </c>
      <c r="K6409">
        <v>1.057831</v>
      </c>
      <c r="L6409">
        <v>14.1153</v>
      </c>
      <c r="M6409">
        <v>0.90254679999999998</v>
      </c>
      <c r="N6409">
        <v>-2.1004410000000001E-2</v>
      </c>
      <c r="O6409">
        <v>-0.4300795</v>
      </c>
      <c r="P6409">
        <v>0.73195250000000001</v>
      </c>
      <c r="Q6409">
        <v>0.3486013</v>
      </c>
      <c r="R6409">
        <v>-0.58542539999999998</v>
      </c>
      <c r="S6409">
        <v>2.2772220000000001</v>
      </c>
      <c r="T6409">
        <v>-0.44972869999999998</v>
      </c>
      <c r="U6409">
        <v>-2.5508419999999998</v>
      </c>
      <c r="V6409">
        <v>0.2234479</v>
      </c>
      <c r="W6409">
        <v>0.36180679999999998</v>
      </c>
      <c r="X6409">
        <v>0.90507839999999995</v>
      </c>
      <c r="Y6409">
        <v>0.3857604</v>
      </c>
      <c r="Z6409">
        <v>1.9770679999999999E-2</v>
      </c>
      <c r="AA6409">
        <v>0.92238710000000002</v>
      </c>
      <c r="AB6409">
        <v>29</v>
      </c>
      <c r="AC6409">
        <v>5.4653999999999803</v>
      </c>
      <c r="AD6409">
        <v>-1.107831</v>
      </c>
      <c r="AE6409">
        <v>-6.2110640000000004</v>
      </c>
      <c r="AF6409">
        <v>3.19858578010829</v>
      </c>
      <c r="AG6409">
        <v>-1.107831</v>
      </c>
      <c r="AH6409">
        <v>7.4717371732472797</v>
      </c>
      <c r="AI6409">
        <v>97.761861518773301</v>
      </c>
      <c r="AJ6409">
        <v>66.824653525518499</v>
      </c>
      <c r="AK6409">
        <v>8.2027493502701407</v>
      </c>
      <c r="AL6409">
        <v>68.788801056561994</v>
      </c>
      <c r="AM6409">
        <v>76.1319990584512</v>
      </c>
      <c r="AN6409">
        <v>1.0000000173435999</v>
      </c>
    </row>
    <row r="6410" spans="1:40" x14ac:dyDescent="0.25">
      <c r="A6410" t="str">
        <f>"20190304164249839"</f>
        <v>20190304164249839</v>
      </c>
      <c r="B6410" t="str">
        <f>"1551688969827583"</f>
        <v>1551688969827583</v>
      </c>
      <c r="C6410" t="s">
        <v>40</v>
      </c>
      <c r="D6410">
        <v>5.0700229999999999</v>
      </c>
      <c r="E6410">
        <v>0.58879490000000001</v>
      </c>
      <c r="F6410" t="s">
        <v>43</v>
      </c>
      <c r="G6410">
        <v>-308.2337</v>
      </c>
      <c r="H6410">
        <v>-0.05</v>
      </c>
      <c r="I6410">
        <v>7.776535</v>
      </c>
      <c r="J6410">
        <v>-313.58629999999999</v>
      </c>
      <c r="K6410">
        <v>1.0568040000000001</v>
      </c>
      <c r="L6410">
        <v>13.9980799999999</v>
      </c>
      <c r="M6410">
        <v>0.89779909999999996</v>
      </c>
      <c r="N6410">
        <v>-2.0559919999999999E-2</v>
      </c>
      <c r="O6410">
        <v>-0.43992530000000002</v>
      </c>
      <c r="P6410">
        <v>0.72323689999999996</v>
      </c>
      <c r="Q6410">
        <v>0.35044180000000003</v>
      </c>
      <c r="R6410">
        <v>-0.59507909999999997</v>
      </c>
      <c r="S6410">
        <v>2.2580260000000001</v>
      </c>
      <c r="T6410">
        <v>-0.44891690000000001</v>
      </c>
      <c r="U6410">
        <v>-2.5686040000000001</v>
      </c>
      <c r="V6410">
        <v>0.2260115</v>
      </c>
      <c r="W6410">
        <v>0.3631413</v>
      </c>
      <c r="X6410">
        <v>0.9039066</v>
      </c>
      <c r="Y6410">
        <v>0.38283460000000002</v>
      </c>
      <c r="Z6410">
        <v>2.1430100000000001E-2</v>
      </c>
      <c r="AA6410">
        <v>0.92356830000000001</v>
      </c>
      <c r="AB6410">
        <v>29</v>
      </c>
      <c r="AC6410">
        <v>5.35259999999999</v>
      </c>
      <c r="AD6410">
        <v>-1.1068039999999999</v>
      </c>
      <c r="AE6410">
        <v>-6.2215449999999901</v>
      </c>
      <c r="AF6410">
        <v>3.1739132730801498</v>
      </c>
      <c r="AG6410">
        <v>-1.1068039999999999</v>
      </c>
      <c r="AH6410">
        <v>7.4094159944288602</v>
      </c>
      <c r="AI6410">
        <v>97.818419096070201</v>
      </c>
      <c r="AJ6410">
        <v>66.811540999313493</v>
      </c>
      <c r="AK6410">
        <v>8.1362267629379996</v>
      </c>
      <c r="AL6410">
        <v>68.706759555665698</v>
      </c>
      <c r="AM6410">
        <v>75.961677462710696</v>
      </c>
      <c r="AN6410">
        <v>0.99999997171074895</v>
      </c>
    </row>
    <row r="6411" spans="1:40" x14ac:dyDescent="0.25">
      <c r="A6411" t="str">
        <f>"20190304164249850"</f>
        <v>20190304164249850</v>
      </c>
      <c r="B6411" t="str">
        <f>"1551688969847678"</f>
        <v>1551688969847678</v>
      </c>
      <c r="C6411" t="s">
        <v>40</v>
      </c>
      <c r="D6411">
        <v>5.0835460000000001</v>
      </c>
      <c r="E6411">
        <v>0.58862879999999995</v>
      </c>
      <c r="F6411" t="s">
        <v>43</v>
      </c>
      <c r="G6411">
        <v>-308.07190000000003</v>
      </c>
      <c r="H6411">
        <v>-0.05</v>
      </c>
      <c r="I6411">
        <v>7.5752869999999897</v>
      </c>
      <c r="J6411">
        <v>-313.45479999999998</v>
      </c>
      <c r="K6411">
        <v>1.0562389999999999</v>
      </c>
      <c r="L6411">
        <v>13.92624</v>
      </c>
      <c r="M6411">
        <v>0.89484640000000004</v>
      </c>
      <c r="N6411">
        <v>-2.0308739999999999E-2</v>
      </c>
      <c r="O6411">
        <v>-0.44591180000000002</v>
      </c>
      <c r="P6411">
        <v>0.71805240000000004</v>
      </c>
      <c r="Q6411">
        <v>0.35115750000000001</v>
      </c>
      <c r="R6411">
        <v>-0.60090690000000002</v>
      </c>
      <c r="S6411">
        <v>2.2288209999999999</v>
      </c>
      <c r="T6411">
        <v>-0.44735009999999997</v>
      </c>
      <c r="U6411">
        <v>-2.5959780000000001</v>
      </c>
      <c r="V6411">
        <v>0.22747339999999999</v>
      </c>
      <c r="W6411">
        <v>0.36357220000000001</v>
      </c>
      <c r="X6411">
        <v>0.90336649999999996</v>
      </c>
      <c r="Y6411">
        <v>0.38747239999999999</v>
      </c>
      <c r="Z6411">
        <v>2.184635E-2</v>
      </c>
      <c r="AA6411">
        <v>0.92162239999999995</v>
      </c>
      <c r="AB6411">
        <v>29</v>
      </c>
      <c r="AC6411">
        <v>5.3828999999999496</v>
      </c>
      <c r="AD6411">
        <v>-1.106239</v>
      </c>
      <c r="AE6411">
        <v>-6.3509529999999996</v>
      </c>
      <c r="AF6411">
        <v>3.2265373960318202</v>
      </c>
      <c r="AG6411">
        <v>-1.106239</v>
      </c>
      <c r="AH6411">
        <v>7.51767729960756</v>
      </c>
      <c r="AI6411">
        <v>97.701011669466993</v>
      </c>
      <c r="AJ6411">
        <v>66.771310248695599</v>
      </c>
      <c r="AK6411">
        <v>8.2552880188487503</v>
      </c>
      <c r="AL6411">
        <v>68.680259329634893</v>
      </c>
      <c r="AM6411">
        <v>75.866391048391804</v>
      </c>
      <c r="AN6411">
        <v>0.99999996282132397</v>
      </c>
    </row>
    <row r="6412" spans="1:40" x14ac:dyDescent="0.25">
      <c r="A6412" t="str">
        <f>"20190304164249862"</f>
        <v>20190304164249862</v>
      </c>
      <c r="B6412" t="str">
        <f>"1551688969857438"</f>
        <v>1551688969857438</v>
      </c>
      <c r="C6412" t="s">
        <v>40</v>
      </c>
      <c r="D6412">
        <v>5.0657920000000001</v>
      </c>
      <c r="E6412">
        <v>0.58859659999999903</v>
      </c>
      <c r="F6412" t="s">
        <v>43</v>
      </c>
      <c r="G6412">
        <v>-308.00850000000003</v>
      </c>
      <c r="H6412">
        <v>-0.05</v>
      </c>
      <c r="I6412">
        <v>7.4943850000000003</v>
      </c>
      <c r="J6412">
        <v>-313.31659999999999</v>
      </c>
      <c r="K6412">
        <v>1.055663</v>
      </c>
      <c r="L6412">
        <v>13.85004</v>
      </c>
      <c r="M6412">
        <v>0.89167609999999997</v>
      </c>
      <c r="N6412">
        <v>-2.004966E-2</v>
      </c>
      <c r="O6412">
        <v>-0.45223010000000002</v>
      </c>
      <c r="P6412">
        <v>0.71254770000000001</v>
      </c>
      <c r="Q6412">
        <v>0.35142370000000001</v>
      </c>
      <c r="R6412">
        <v>-0.60727039999999999</v>
      </c>
      <c r="S6412">
        <v>2.211792</v>
      </c>
      <c r="T6412">
        <v>-0.44924649999999999</v>
      </c>
      <c r="U6412">
        <v>-2.6120000000000001</v>
      </c>
      <c r="V6412">
        <v>0.22920560000000001</v>
      </c>
      <c r="W6412">
        <v>0.36353980000000002</v>
      </c>
      <c r="X6412">
        <v>0.90294160000000001</v>
      </c>
      <c r="Y6412">
        <v>0.38729279999999999</v>
      </c>
      <c r="Z6412">
        <v>2.29508E-2</v>
      </c>
      <c r="AA6412">
        <v>0.92167100000000002</v>
      </c>
      <c r="AB6412">
        <v>29</v>
      </c>
      <c r="AC6412">
        <v>5.3080999999999596</v>
      </c>
      <c r="AD6412">
        <v>-1.1056629999999901</v>
      </c>
      <c r="AE6412">
        <v>-6.3556549999999996</v>
      </c>
      <c r="AF6412">
        <v>3.21012824183261</v>
      </c>
      <c r="AG6412">
        <v>-1.1056629999999901</v>
      </c>
      <c r="AH6412">
        <v>7.4755759522161602</v>
      </c>
      <c r="AI6412">
        <v>97.739259010565704</v>
      </c>
      <c r="AJ6412">
        <v>66.760564286161298</v>
      </c>
      <c r="AK6412">
        <v>8.2104597810313305</v>
      </c>
      <c r="AL6412">
        <v>68.682252078600101</v>
      </c>
      <c r="AM6412">
        <v>75.756697539191194</v>
      </c>
      <c r="AN6412">
        <v>0.99999996313297901</v>
      </c>
    </row>
    <row r="6413" spans="1:40" x14ac:dyDescent="0.25">
      <c r="A6413" t="str">
        <f>"20190304164249873"</f>
        <v>20190304164249873</v>
      </c>
      <c r="B6413" t="str">
        <f>"1551688969867198"</f>
        <v>1551688969867198</v>
      </c>
      <c r="C6413" t="s">
        <v>40</v>
      </c>
      <c r="D6413">
        <v>5.0481249999999998</v>
      </c>
      <c r="E6413">
        <v>0.58856049999999904</v>
      </c>
      <c r="F6413" t="s">
        <v>43</v>
      </c>
      <c r="G6413">
        <v>-307.93560000000002</v>
      </c>
      <c r="H6413">
        <v>-0.05</v>
      </c>
      <c r="I6413">
        <v>7.3899689999999998</v>
      </c>
      <c r="J6413">
        <v>-313.18189999999998</v>
      </c>
      <c r="K6413">
        <v>1.055159</v>
      </c>
      <c r="L6413">
        <v>13.773680000000001</v>
      </c>
      <c r="M6413">
        <v>0.88846950000000002</v>
      </c>
      <c r="N6413">
        <v>-1.9816919999999998E-2</v>
      </c>
      <c r="O6413">
        <v>-0.45850780000000002</v>
      </c>
      <c r="P6413">
        <v>0.70755699999999999</v>
      </c>
      <c r="Q6413">
        <v>0.35148879999999999</v>
      </c>
      <c r="R6413">
        <v>-0.61304080000000005</v>
      </c>
      <c r="S6413">
        <v>2.1907649999999999</v>
      </c>
      <c r="T6413">
        <v>-0.45015080000000002</v>
      </c>
      <c r="U6413">
        <v>-2.630096</v>
      </c>
      <c r="V6413">
        <v>0.23021130000000001</v>
      </c>
      <c r="W6413">
        <v>0.36335240000000002</v>
      </c>
      <c r="X6413">
        <v>0.90276120000000004</v>
      </c>
      <c r="Y6413">
        <v>0.3883008</v>
      </c>
      <c r="Z6413">
        <v>2.388361E-2</v>
      </c>
      <c r="AA6413">
        <v>0.92122309999999996</v>
      </c>
      <c r="AB6413">
        <v>29</v>
      </c>
      <c r="AC6413">
        <v>5.2462999999999598</v>
      </c>
      <c r="AD6413">
        <v>-1.105159</v>
      </c>
      <c r="AE6413">
        <v>-6.3837109999999901</v>
      </c>
      <c r="AF6413">
        <v>3.20948988018925</v>
      </c>
      <c r="AG6413">
        <v>-1.105159</v>
      </c>
      <c r="AH6413">
        <v>7.4562638064319504</v>
      </c>
      <c r="AI6413">
        <v>97.752713121194702</v>
      </c>
      <c r="AJ6413">
        <v>66.7109207077946</v>
      </c>
      <c r="AK6413">
        <v>8.1925619715340101</v>
      </c>
      <c r="AL6413">
        <v>68.693778220130497</v>
      </c>
      <c r="AM6413">
        <v>75.694019447389906</v>
      </c>
      <c r="AN6413">
        <v>0.99999999672944495</v>
      </c>
    </row>
    <row r="6414" spans="1:40" x14ac:dyDescent="0.25">
      <c r="A6414" t="str">
        <f>"20190304164249884"</f>
        <v>20190304164249884</v>
      </c>
      <c r="B6414" t="str">
        <f>"1551688969877935"</f>
        <v>1551688969877935</v>
      </c>
      <c r="C6414" t="s">
        <v>40</v>
      </c>
      <c r="D6414">
        <v>5.093566</v>
      </c>
      <c r="E6414">
        <v>0.58851109999999995</v>
      </c>
      <c r="F6414" t="s">
        <v>43</v>
      </c>
      <c r="G6414">
        <v>-307.86579999999998</v>
      </c>
      <c r="H6414">
        <v>-0.05</v>
      </c>
      <c r="I6414">
        <v>7.2899630000000002</v>
      </c>
      <c r="J6414">
        <v>-313.06139999999999</v>
      </c>
      <c r="K6414">
        <v>1.054719</v>
      </c>
      <c r="L6414">
        <v>13.70486</v>
      </c>
      <c r="M6414">
        <v>0.88554820000000001</v>
      </c>
      <c r="N6414">
        <v>-1.9612419999999998E-2</v>
      </c>
      <c r="O6414">
        <v>-0.46413359999999898</v>
      </c>
      <c r="P6414">
        <v>0.70309739999999998</v>
      </c>
      <c r="Q6414">
        <v>0.35150429999999999</v>
      </c>
      <c r="R6414">
        <v>-0.61814169999999902</v>
      </c>
      <c r="S6414">
        <v>2.1705019999999999</v>
      </c>
      <c r="T6414">
        <v>-0.45122240000000002</v>
      </c>
      <c r="U6414">
        <v>-2.6472169999999999</v>
      </c>
      <c r="V6414">
        <v>0.23103589999999999</v>
      </c>
      <c r="W6414">
        <v>0.36314800000000003</v>
      </c>
      <c r="X6414">
        <v>0.90263280000000001</v>
      </c>
      <c r="Y6414">
        <v>0.38962720000000001</v>
      </c>
      <c r="Z6414">
        <v>2.4713499999999999E-2</v>
      </c>
      <c r="AA6414">
        <v>0.92064100000000004</v>
      </c>
      <c r="AB6414">
        <v>29</v>
      </c>
      <c r="AC6414">
        <v>5.1956000000000104</v>
      </c>
      <c r="AD6414">
        <v>-1.104719</v>
      </c>
      <c r="AE6414">
        <v>-6.4148969999999998</v>
      </c>
      <c r="AF6414">
        <v>3.2123469084802099</v>
      </c>
      <c r="AG6414">
        <v>-1.104719</v>
      </c>
      <c r="AH6414">
        <v>7.4464232326478603</v>
      </c>
      <c r="AI6414">
        <v>97.757127577126994</v>
      </c>
      <c r="AJ6414">
        <v>66.664892634492901</v>
      </c>
      <c r="AK6414">
        <v>8.1846683310382993</v>
      </c>
      <c r="AL6414">
        <v>68.706348498656197</v>
      </c>
      <c r="AM6414">
        <v>75.642932987678094</v>
      </c>
      <c r="AN6414">
        <v>1.00000001431432</v>
      </c>
    </row>
    <row r="6415" spans="1:40" x14ac:dyDescent="0.25">
      <c r="A6415" t="str">
        <f>"20190304164249895"</f>
        <v>20190304164249895</v>
      </c>
      <c r="B6415" t="str">
        <f>"1551688969887693"</f>
        <v>1551688969887693</v>
      </c>
      <c r="C6415" t="s">
        <v>40</v>
      </c>
      <c r="D6415">
        <v>5.0683009999999999</v>
      </c>
      <c r="E6415">
        <v>0.58851109999999995</v>
      </c>
      <c r="F6415" t="s">
        <v>43</v>
      </c>
      <c r="G6415">
        <v>-307.8039</v>
      </c>
      <c r="H6415">
        <v>-0.05</v>
      </c>
      <c r="I6415">
        <v>7.1955259999999903</v>
      </c>
      <c r="J6415">
        <v>-312.9273</v>
      </c>
      <c r="K6415">
        <v>1.054268</v>
      </c>
      <c r="L6415">
        <v>13.62656</v>
      </c>
      <c r="M6415">
        <v>0.88219539999999996</v>
      </c>
      <c r="N6415">
        <v>-1.9399989999999999E-2</v>
      </c>
      <c r="O6415">
        <v>-0.4704834</v>
      </c>
      <c r="P6415">
        <v>0.69827260000000002</v>
      </c>
      <c r="Q6415">
        <v>0.35149609999999998</v>
      </c>
      <c r="R6415">
        <v>-0.62359069999999905</v>
      </c>
      <c r="S6415">
        <v>2.1512150000000001</v>
      </c>
      <c r="T6415">
        <v>-0.45201279999999999</v>
      </c>
      <c r="U6415">
        <v>-2.6633909999999998</v>
      </c>
      <c r="V6415">
        <v>0.23158880000000001</v>
      </c>
      <c r="W6415">
        <v>0.36291869999999998</v>
      </c>
      <c r="X6415">
        <v>0.90258329999999998</v>
      </c>
      <c r="Y6415">
        <v>0.38982699999999998</v>
      </c>
      <c r="Z6415">
        <v>2.570923E-2</v>
      </c>
      <c r="AA6415">
        <v>0.92052909999999999</v>
      </c>
      <c r="AB6415">
        <v>29</v>
      </c>
      <c r="AC6415">
        <v>5.1234000000000002</v>
      </c>
      <c r="AD6415">
        <v>-1.104268</v>
      </c>
      <c r="AE6415">
        <v>-6.4310340000000004</v>
      </c>
      <c r="AF6415">
        <v>3.2057478460404698</v>
      </c>
      <c r="AG6415">
        <v>-1.104268</v>
      </c>
      <c r="AH6415">
        <v>7.41324632766998</v>
      </c>
      <c r="AI6415">
        <v>97.785363205891898</v>
      </c>
      <c r="AJ6415">
        <v>66.614650643017299</v>
      </c>
      <c r="AK6415">
        <v>8.1518371047837803</v>
      </c>
      <c r="AL6415">
        <v>68.720447697655004</v>
      </c>
      <c r="AM6415">
        <v>75.609243306777103</v>
      </c>
      <c r="AN6415">
        <v>0.99999998426700898</v>
      </c>
    </row>
    <row r="6416" spans="1:40" x14ac:dyDescent="0.25">
      <c r="A6416" t="str">
        <f>"20190304164249909"</f>
        <v>20190304164249909</v>
      </c>
      <c r="B6416" t="str">
        <f>"1551688969897453"</f>
        <v>1551688969897453</v>
      </c>
      <c r="C6416" t="s">
        <v>40</v>
      </c>
      <c r="D6416">
        <v>5.0748800000000003</v>
      </c>
      <c r="E6416">
        <v>0.58846799999999999</v>
      </c>
      <c r="F6416" t="s">
        <v>43</v>
      </c>
      <c r="G6416">
        <v>-307.71980000000002</v>
      </c>
      <c r="H6416">
        <v>-0.05</v>
      </c>
      <c r="I6416">
        <v>7.0726929999999903</v>
      </c>
      <c r="J6416">
        <v>-312.78579999999999</v>
      </c>
      <c r="K6416">
        <v>1.0538149999999999</v>
      </c>
      <c r="L6416">
        <v>13.542719999999999</v>
      </c>
      <c r="M6416">
        <v>0.87856939999999994</v>
      </c>
      <c r="N6416">
        <v>-1.91857E-2</v>
      </c>
      <c r="O6416">
        <v>-0.47722930000000002</v>
      </c>
      <c r="P6416">
        <v>0.69327629999999996</v>
      </c>
      <c r="Q6416">
        <v>0.35119349999999999</v>
      </c>
      <c r="R6416">
        <v>-0.62930969999999997</v>
      </c>
      <c r="S6416">
        <v>2.1298520000000001</v>
      </c>
      <c r="T6416">
        <v>-0.45164310000000002</v>
      </c>
      <c r="U6416">
        <v>-2.6805110000000001</v>
      </c>
      <c r="V6416">
        <v>0.23203409999999999</v>
      </c>
      <c r="W6416">
        <v>0.36239700000000002</v>
      </c>
      <c r="X6416">
        <v>0.90267850000000005</v>
      </c>
      <c r="Y6416">
        <v>0.39018180000000002</v>
      </c>
      <c r="Z6416">
        <v>2.6657159999999999E-2</v>
      </c>
      <c r="AA6416">
        <v>0.9203519</v>
      </c>
      <c r="AB6416">
        <v>29</v>
      </c>
      <c r="AC6416">
        <v>5.0659999999999696</v>
      </c>
      <c r="AD6416">
        <v>-1.103815</v>
      </c>
      <c r="AE6416">
        <v>-6.470027</v>
      </c>
      <c r="AF6416">
        <v>3.2094158202199701</v>
      </c>
      <c r="AG6416">
        <v>-1.103815</v>
      </c>
      <c r="AH6416">
        <v>7.4062704639744901</v>
      </c>
      <c r="AI6416">
        <v>97.786917386826403</v>
      </c>
      <c r="AJ6416">
        <v>66.571099081710599</v>
      </c>
      <c r="AK6416">
        <v>8.1468766804735804</v>
      </c>
      <c r="AL6416">
        <v>68.752521535797996</v>
      </c>
      <c r="AM6416">
        <v>75.584182110768793</v>
      </c>
      <c r="AN6416">
        <v>0.999999941767028</v>
      </c>
    </row>
    <row r="6417" spans="1:40" x14ac:dyDescent="0.25">
      <c r="A6417" t="str">
        <f>"20190304164249922"</f>
        <v>20190304164249922</v>
      </c>
      <c r="B6417" t="str">
        <f>"1551688969917950"</f>
        <v>1551688969917950</v>
      </c>
      <c r="C6417" t="s">
        <v>40</v>
      </c>
      <c r="D6417">
        <v>5.0860479999999999</v>
      </c>
      <c r="E6417">
        <v>0.58837150000000005</v>
      </c>
      <c r="F6417" t="s">
        <v>43</v>
      </c>
      <c r="G6417">
        <v>-307.65449999999998</v>
      </c>
      <c r="H6417">
        <v>-0.05</v>
      </c>
      <c r="I6417">
        <v>6.9716639999999996</v>
      </c>
      <c r="J6417">
        <v>-312.62459999999999</v>
      </c>
      <c r="K6417">
        <v>1.053328</v>
      </c>
      <c r="L6417">
        <v>13.445679999999999</v>
      </c>
      <c r="M6417">
        <v>0.8743244</v>
      </c>
      <c r="N6417">
        <v>-1.8952610000000002E-2</v>
      </c>
      <c r="O6417">
        <v>-0.4849716</v>
      </c>
      <c r="P6417">
        <v>0.68760859999999902</v>
      </c>
      <c r="Q6417">
        <v>0.35079880000000002</v>
      </c>
      <c r="R6417">
        <v>-0.63571599999999995</v>
      </c>
      <c r="S6417">
        <v>2.1073300000000001</v>
      </c>
      <c r="T6417">
        <v>-0.45331070000000001</v>
      </c>
      <c r="U6417">
        <v>-2.6985779999999999</v>
      </c>
      <c r="V6417">
        <v>0.2323557</v>
      </c>
      <c r="W6417">
        <v>0.3617668</v>
      </c>
      <c r="X6417">
        <v>0.90284869999999995</v>
      </c>
      <c r="Y6417">
        <v>0.38986989999999999</v>
      </c>
      <c r="Z6417">
        <v>2.797637E-2</v>
      </c>
      <c r="AA6417">
        <v>0.92044490000000001</v>
      </c>
      <c r="AB6417">
        <v>29</v>
      </c>
      <c r="AC6417">
        <v>4.9701000000000004</v>
      </c>
      <c r="AD6417">
        <v>-1.1033280000000001</v>
      </c>
      <c r="AE6417">
        <v>-6.4740159999999998</v>
      </c>
      <c r="AF6417">
        <v>3.19228056170819</v>
      </c>
      <c r="AG6417">
        <v>-1.1033280000000001</v>
      </c>
      <c r="AH6417">
        <v>7.3521836405322496</v>
      </c>
      <c r="AI6417">
        <v>97.837651679703299</v>
      </c>
      <c r="AJ6417">
        <v>66.529760699675293</v>
      </c>
      <c r="AK6417">
        <v>8.0908956330157906</v>
      </c>
      <c r="AL6417">
        <v>68.791260852273297</v>
      </c>
      <c r="AM6417">
        <v>75.5676435386831</v>
      </c>
      <c r="AN6417">
        <v>1.0000000819982</v>
      </c>
    </row>
    <row r="6418" spans="1:40" x14ac:dyDescent="0.25">
      <c r="A6418" t="str">
        <f>"20190304164249935"</f>
        <v>20190304164249935</v>
      </c>
      <c r="B6418" t="str">
        <f>"1551688969927710"</f>
        <v>1551688969927710</v>
      </c>
      <c r="C6418" t="s">
        <v>40</v>
      </c>
      <c r="D6418">
        <v>4.7269290000000002</v>
      </c>
      <c r="E6418">
        <v>0.58847320000000003</v>
      </c>
      <c r="F6418" t="s">
        <v>43</v>
      </c>
      <c r="G6418">
        <v>-307.58909999999997</v>
      </c>
      <c r="H6418">
        <v>-0.05</v>
      </c>
      <c r="I6418">
        <v>6.8762049999999997</v>
      </c>
      <c r="J6418">
        <v>-312.47739999999999</v>
      </c>
      <c r="K6418">
        <v>1.0529269999999999</v>
      </c>
      <c r="L6418">
        <v>13.35458</v>
      </c>
      <c r="M6418">
        <v>0.87030549999999995</v>
      </c>
      <c r="N6418">
        <v>-1.875831E-2</v>
      </c>
      <c r="O6418">
        <v>-0.49215500000000001</v>
      </c>
      <c r="P6418">
        <v>0.68194790000000005</v>
      </c>
      <c r="Q6418">
        <v>0.35065560000000001</v>
      </c>
      <c r="R6418">
        <v>-0.64186279999999996</v>
      </c>
      <c r="S6418">
        <v>2.0831599999999999</v>
      </c>
      <c r="T6418">
        <v>-0.45643899999999998</v>
      </c>
      <c r="U6418">
        <v>-2.717743</v>
      </c>
      <c r="V6418">
        <v>0.23301910000000001</v>
      </c>
      <c r="W6418">
        <v>0.36140840000000002</v>
      </c>
      <c r="X6418">
        <v>0.90282110000000004</v>
      </c>
      <c r="Y6418">
        <v>0.39062330000000001</v>
      </c>
      <c r="Z6418">
        <v>2.9262380000000001E-2</v>
      </c>
      <c r="AA6418">
        <v>0.92008540000000005</v>
      </c>
      <c r="AB6418">
        <v>29</v>
      </c>
      <c r="AC6418">
        <v>4.8883000000000099</v>
      </c>
      <c r="AD6418">
        <v>-1.102927</v>
      </c>
      <c r="AE6418">
        <v>-6.47837499999999</v>
      </c>
      <c r="AF6418">
        <v>3.1743069944792199</v>
      </c>
      <c r="AG6418">
        <v>-1.102927</v>
      </c>
      <c r="AH6418">
        <v>7.3089996362764502</v>
      </c>
      <c r="AI6418">
        <v>97.8802472929234</v>
      </c>
      <c r="AJ6418">
        <v>66.524638028289502</v>
      </c>
      <c r="AK6418">
        <v>8.0445104602839592</v>
      </c>
      <c r="AL6418">
        <v>68.813282662885499</v>
      </c>
      <c r="AM6418">
        <v>75.527741825727006</v>
      </c>
      <c r="AN6418">
        <v>0.99999993558028799</v>
      </c>
    </row>
    <row r="6419" spans="1:40" x14ac:dyDescent="0.25">
      <c r="A6419" t="str">
        <f>"20190304164249948"</f>
        <v>20190304164249948</v>
      </c>
      <c r="B6419" t="str">
        <f>"1551688969937470"</f>
        <v>1551688969937470</v>
      </c>
      <c r="C6419" t="s">
        <v>40</v>
      </c>
      <c r="D6419">
        <v>4.6997749999999998</v>
      </c>
      <c r="E6419">
        <v>0.58857890000000002</v>
      </c>
      <c r="F6419" t="s">
        <v>43</v>
      </c>
      <c r="G6419">
        <v>-307.49869999999999</v>
      </c>
      <c r="H6419">
        <v>-0.05</v>
      </c>
      <c r="I6419">
        <v>6.7328799999999998</v>
      </c>
      <c r="J6419">
        <v>-312.33909999999997</v>
      </c>
      <c r="K6419">
        <v>1.0525690000000001</v>
      </c>
      <c r="L6419">
        <v>13.267729999999901</v>
      </c>
      <c r="M6419">
        <v>0.86643400000000004</v>
      </c>
      <c r="N6419">
        <v>-1.8583829999999999E-2</v>
      </c>
      <c r="O6419">
        <v>-0.49894549999999999</v>
      </c>
      <c r="P6419">
        <v>0.67670779999999997</v>
      </c>
      <c r="Q6419">
        <v>0.35029480000000002</v>
      </c>
      <c r="R6419">
        <v>-0.6475803</v>
      </c>
      <c r="S6419">
        <v>2.0576780000000001</v>
      </c>
      <c r="T6419">
        <v>-0.4558353</v>
      </c>
      <c r="U6419">
        <v>-2.7367249999999999</v>
      </c>
      <c r="V6419">
        <v>0.23348840000000001</v>
      </c>
      <c r="W6419">
        <v>0.36085790000000001</v>
      </c>
      <c r="X6419">
        <v>0.9029201</v>
      </c>
      <c r="Y6419">
        <v>0.39200119999999999</v>
      </c>
      <c r="Z6419">
        <v>3.0117330000000001E-2</v>
      </c>
      <c r="AA6419">
        <v>0.91947159999999994</v>
      </c>
      <c r="AB6419">
        <v>29</v>
      </c>
      <c r="AC6419">
        <v>4.8403999999999803</v>
      </c>
      <c r="AD6419">
        <v>-1.1025689999999999</v>
      </c>
      <c r="AE6419">
        <v>-6.5348499999999898</v>
      </c>
      <c r="AF6419">
        <v>3.18886436785268</v>
      </c>
      <c r="AG6419">
        <v>-1.1025689999999999</v>
      </c>
      <c r="AH6419">
        <v>7.3211335093349401</v>
      </c>
      <c r="AI6419">
        <v>97.861226012387405</v>
      </c>
      <c r="AJ6419">
        <v>66.463514963871106</v>
      </c>
      <c r="AK6419">
        <v>8.0612350305538492</v>
      </c>
      <c r="AL6419">
        <v>68.847107655865102</v>
      </c>
      <c r="AM6419">
        <v>75.501345111197907</v>
      </c>
      <c r="AN6419">
        <v>0.999999981955489</v>
      </c>
    </row>
    <row r="6420" spans="1:40" x14ac:dyDescent="0.25">
      <c r="A6420" t="str">
        <f>"20190304164249962"</f>
        <v>20190304164249962</v>
      </c>
      <c r="B6420" t="str">
        <f>"1551688969957966"</f>
        <v>1551688969957966</v>
      </c>
      <c r="C6420" t="s">
        <v>40</v>
      </c>
      <c r="D6420">
        <v>5.0763129999999999</v>
      </c>
      <c r="E6420">
        <v>0.58846719999999997</v>
      </c>
      <c r="F6420" t="s">
        <v>43</v>
      </c>
      <c r="G6420">
        <v>-307.4203</v>
      </c>
      <c r="H6420">
        <v>-0.05</v>
      </c>
      <c r="I6420">
        <v>6.6083369999999997</v>
      </c>
      <c r="J6420">
        <v>-312.17529999999999</v>
      </c>
      <c r="K6420">
        <v>1.052173</v>
      </c>
      <c r="L6420">
        <v>13.163209999999999</v>
      </c>
      <c r="M6420">
        <v>0.86172689999999996</v>
      </c>
      <c r="N6420">
        <v>-1.8388580000000002E-2</v>
      </c>
      <c r="O6420">
        <v>-0.50703909999999996</v>
      </c>
      <c r="P6420">
        <v>0.66984679999999996</v>
      </c>
      <c r="Q6420">
        <v>0.35027639999999999</v>
      </c>
      <c r="R6420">
        <v>-0.65468479999999996</v>
      </c>
      <c r="S6420">
        <v>2.0339969999999998</v>
      </c>
      <c r="T6420">
        <v>-0.45593329999999999</v>
      </c>
      <c r="U6420">
        <v>-2.753784</v>
      </c>
      <c r="V6420">
        <v>0.2345971</v>
      </c>
      <c r="W6420">
        <v>0.36060310000000001</v>
      </c>
      <c r="X6420">
        <v>0.9027345</v>
      </c>
      <c r="Y6420">
        <v>0.39128600000000002</v>
      </c>
      <c r="Z6420">
        <v>3.1384429999999998E-2</v>
      </c>
      <c r="AA6420">
        <v>0.91973380000000005</v>
      </c>
      <c r="AB6420">
        <v>29</v>
      </c>
      <c r="AC6420">
        <v>4.7549999999999901</v>
      </c>
      <c r="AD6420">
        <v>-1.1021729999999901</v>
      </c>
      <c r="AE6420">
        <v>-6.5548729999999997</v>
      </c>
      <c r="AF6420">
        <v>3.1791931964317799</v>
      </c>
      <c r="AG6420">
        <v>-1.1021729999999901</v>
      </c>
      <c r="AH6420">
        <v>7.2873469822935002</v>
      </c>
      <c r="AI6420">
        <v>97.892437225791895</v>
      </c>
      <c r="AJ6420">
        <v>66.430181697131104</v>
      </c>
      <c r="AK6420">
        <v>8.0266730805800997</v>
      </c>
      <c r="AL6420">
        <v>68.862760622854793</v>
      </c>
      <c r="AM6420">
        <v>75.432553615189306</v>
      </c>
      <c r="AN6420">
        <v>0.999999986274134</v>
      </c>
    </row>
    <row r="6421" spans="1:40" x14ac:dyDescent="0.25">
      <c r="A6421" t="str">
        <f>"20190304164249974"</f>
        <v>20190304164249974</v>
      </c>
      <c r="B6421" t="str">
        <f>"1551688969967726"</f>
        <v>1551688969967726</v>
      </c>
      <c r="C6421" t="s">
        <v>40</v>
      </c>
      <c r="D6421">
        <v>5.085826</v>
      </c>
      <c r="E6421">
        <v>0.58840669999999995</v>
      </c>
      <c r="F6421" t="s">
        <v>43</v>
      </c>
      <c r="G6421">
        <v>-307.35000000000002</v>
      </c>
      <c r="H6421">
        <v>-0.05</v>
      </c>
      <c r="I6421">
        <v>6.4919739999999999</v>
      </c>
      <c r="J6421">
        <v>-312.04230000000001</v>
      </c>
      <c r="K6421">
        <v>1.0518780000000001</v>
      </c>
      <c r="L6421">
        <v>13.07602</v>
      </c>
      <c r="M6421">
        <v>0.85777029999999999</v>
      </c>
      <c r="N6421">
        <v>-1.8245460000000002E-2</v>
      </c>
      <c r="O6421">
        <v>-0.51370939999999998</v>
      </c>
      <c r="P6421">
        <v>0.66419729999999999</v>
      </c>
      <c r="Q6421">
        <v>0.35081869999999998</v>
      </c>
      <c r="R6421">
        <v>-0.66012749999999998</v>
      </c>
      <c r="S6421">
        <v>2.0067140000000001</v>
      </c>
      <c r="T6421">
        <v>-0.45836880000000002</v>
      </c>
      <c r="U6421">
        <v>-2.7744140000000002</v>
      </c>
      <c r="V6421">
        <v>0.23515739999999999</v>
      </c>
      <c r="W6421">
        <v>0.36097180000000001</v>
      </c>
      <c r="X6421">
        <v>0.9024413</v>
      </c>
      <c r="Y6421">
        <v>0.39336179999999998</v>
      </c>
      <c r="Z6421">
        <v>3.2442659999999998E-2</v>
      </c>
      <c r="AA6421">
        <v>0.91881109999999999</v>
      </c>
      <c r="AB6421">
        <v>29</v>
      </c>
      <c r="AC6421">
        <v>4.6922999999999799</v>
      </c>
      <c r="AD6421">
        <v>-1.1018779999999999</v>
      </c>
      <c r="AE6421">
        <v>-6.5840459999999998</v>
      </c>
      <c r="AF6421">
        <v>3.1786194478984302</v>
      </c>
      <c r="AG6421">
        <v>-1.1018779999999999</v>
      </c>
      <c r="AH6421">
        <v>7.2733393911938702</v>
      </c>
      <c r="AI6421">
        <v>97.903176450375199</v>
      </c>
      <c r="AJ6421">
        <v>66.393546806744993</v>
      </c>
      <c r="AK6421">
        <v>8.0136897008141403</v>
      </c>
      <c r="AL6421">
        <v>68.840109786396596</v>
      </c>
      <c r="AM6421">
        <v>75.394705682181595</v>
      </c>
      <c r="AN6421">
        <v>0.99999997155784404</v>
      </c>
    </row>
    <row r="6422" spans="1:40" x14ac:dyDescent="0.25">
      <c r="A6422" t="str">
        <f>"20190304164249986"</f>
        <v>20190304164249986</v>
      </c>
      <c r="B6422" t="str">
        <f>"1551688969977486"</f>
        <v>1551688969977486</v>
      </c>
      <c r="C6422" t="s">
        <v>40</v>
      </c>
      <c r="D6422">
        <v>5.0682980000000004</v>
      </c>
      <c r="E6422">
        <v>0.58834619999999904</v>
      </c>
      <c r="F6422" t="s">
        <v>43</v>
      </c>
      <c r="G6422">
        <v>-307.2636</v>
      </c>
      <c r="H6422">
        <v>-0.05</v>
      </c>
      <c r="I6422">
        <v>6.3597869999999999</v>
      </c>
      <c r="J6422">
        <v>-311.91980000000001</v>
      </c>
      <c r="K6422">
        <v>1.05162</v>
      </c>
      <c r="L6422">
        <v>12.994809999999999</v>
      </c>
      <c r="M6422">
        <v>0.85404999999999998</v>
      </c>
      <c r="N6422">
        <v>-1.811778E-2</v>
      </c>
      <c r="O6422">
        <v>-0.51987519999999998</v>
      </c>
      <c r="P6422">
        <v>0.65879049999999995</v>
      </c>
      <c r="Q6422">
        <v>0.35116219999999998</v>
      </c>
      <c r="R6422">
        <v>-0.66534249999999995</v>
      </c>
      <c r="S6422">
        <v>1.985352</v>
      </c>
      <c r="T6422">
        <v>-0.4577794</v>
      </c>
      <c r="U6422">
        <v>-2.7902830000000001</v>
      </c>
      <c r="V6422">
        <v>0.23591139999999999</v>
      </c>
      <c r="W6422">
        <v>0.36115140000000001</v>
      </c>
      <c r="X6422">
        <v>0.90217259999999999</v>
      </c>
      <c r="Y6422">
        <v>0.39391680000000001</v>
      </c>
      <c r="Z6422">
        <v>3.324966E-2</v>
      </c>
      <c r="AA6422">
        <v>0.91854449999999999</v>
      </c>
      <c r="AB6422">
        <v>29</v>
      </c>
      <c r="AC6422">
        <v>4.6562000000000099</v>
      </c>
      <c r="AD6422">
        <v>-1.10162</v>
      </c>
      <c r="AE6422">
        <v>-6.6350230000000003</v>
      </c>
      <c r="AF6422">
        <v>3.1876546769800198</v>
      </c>
      <c r="AG6422">
        <v>-1.10162</v>
      </c>
      <c r="AH6422">
        <v>7.2925358547517503</v>
      </c>
      <c r="AI6422">
        <v>97.880559006754098</v>
      </c>
      <c r="AJ6422">
        <v>66.389285876313394</v>
      </c>
      <c r="AK6422">
        <v>8.0346616703450895</v>
      </c>
      <c r="AL6422">
        <v>68.829074856738004</v>
      </c>
      <c r="AM6422">
        <v>75.345711849518395</v>
      </c>
      <c r="AN6422">
        <v>0.99999996128133894</v>
      </c>
    </row>
    <row r="6423" spans="1:40" x14ac:dyDescent="0.25">
      <c r="A6423" t="str">
        <f>"20190304164249997"</f>
        <v>20190304164249997</v>
      </c>
      <c r="B6423" t="str">
        <f>"1551688969987246"</f>
        <v>1551688969987246</v>
      </c>
      <c r="C6423" t="s">
        <v>40</v>
      </c>
      <c r="D6423">
        <v>5.0444050000000002</v>
      </c>
      <c r="E6423">
        <v>0.58828950000000002</v>
      </c>
      <c r="F6423" t="s">
        <v>43</v>
      </c>
      <c r="G6423">
        <v>-307.19459999999998</v>
      </c>
      <c r="H6423">
        <v>-0.05</v>
      </c>
      <c r="I6423">
        <v>6.2501220000000002</v>
      </c>
      <c r="J6423">
        <v>-311.7851</v>
      </c>
      <c r="K6423">
        <v>1.05135499999999</v>
      </c>
      <c r="L6423">
        <v>12.90387</v>
      </c>
      <c r="M6423">
        <v>0.84985140000000003</v>
      </c>
      <c r="N6423">
        <v>-1.798746E-2</v>
      </c>
      <c r="O6423">
        <v>-0.5267155</v>
      </c>
      <c r="P6423">
        <v>0.65290159999999997</v>
      </c>
      <c r="Q6423">
        <v>0.35166239999999999</v>
      </c>
      <c r="R6423">
        <v>-0.67085989999999995</v>
      </c>
      <c r="S6423">
        <v>1.9651179999999999</v>
      </c>
      <c r="T6423">
        <v>-0.458148</v>
      </c>
      <c r="U6423">
        <v>-2.8050229999999998</v>
      </c>
      <c r="V6423">
        <v>0.2364531</v>
      </c>
      <c r="W6423">
        <v>0.36148760000000002</v>
      </c>
      <c r="X6423">
        <v>0.90189609999999998</v>
      </c>
      <c r="Y6423">
        <v>0.3933025</v>
      </c>
      <c r="Z6423">
        <v>3.4332939999999999E-2</v>
      </c>
      <c r="AA6423">
        <v>0.91876789999999997</v>
      </c>
      <c r="AB6423">
        <v>29</v>
      </c>
      <c r="AC6423">
        <v>4.59050000000002</v>
      </c>
      <c r="AD6423">
        <v>-1.1013550000000001</v>
      </c>
      <c r="AE6423">
        <v>-6.6537479999999896</v>
      </c>
      <c r="AF6423">
        <v>3.1783344596049798</v>
      </c>
      <c r="AG6423">
        <v>-1.1013550000000001</v>
      </c>
      <c r="AH6423">
        <v>7.2720830587962402</v>
      </c>
      <c r="AI6423">
        <v>97.900716164520304</v>
      </c>
      <c r="AJ6423">
        <v>66.391799979283604</v>
      </c>
      <c r="AK6423">
        <v>8.0123644941533101</v>
      </c>
      <c r="AL6423">
        <v>68.808416437714897</v>
      </c>
      <c r="AM6423">
        <v>75.309207980369393</v>
      </c>
      <c r="AN6423">
        <v>0.99999996432428895</v>
      </c>
    </row>
    <row r="6424" spans="1:40" x14ac:dyDescent="0.25">
      <c r="A6424" t="str">
        <f>"20190304164250010"</f>
        <v>20190304164250010</v>
      </c>
      <c r="B6424" t="str">
        <f>"1551688970007742"</f>
        <v>1551688970007742</v>
      </c>
      <c r="C6424" t="s">
        <v>40</v>
      </c>
      <c r="D6424">
        <v>5.0734000000000004</v>
      </c>
      <c r="E6424">
        <v>0.58817120000000001</v>
      </c>
      <c r="F6424" t="s">
        <v>43</v>
      </c>
      <c r="G6424">
        <v>-307.11169999999998</v>
      </c>
      <c r="H6424">
        <v>-0.05</v>
      </c>
      <c r="I6424">
        <v>6.1195529999999998</v>
      </c>
      <c r="J6424">
        <v>-311.65530000000001</v>
      </c>
      <c r="K6424">
        <v>1.0511140000000001</v>
      </c>
      <c r="L6424">
        <v>12.81451</v>
      </c>
      <c r="M6424">
        <v>0.84569319999999903</v>
      </c>
      <c r="N6424">
        <v>-1.7871089999999999E-2</v>
      </c>
      <c r="O6424">
        <v>-0.53337000000000001</v>
      </c>
      <c r="P6424">
        <v>0.64712109999999901</v>
      </c>
      <c r="Q6424">
        <v>0.35205999999999998</v>
      </c>
      <c r="R6424">
        <v>-0.67623100000000003</v>
      </c>
      <c r="S6424">
        <v>1.943146</v>
      </c>
      <c r="T6424">
        <v>-0.4579241</v>
      </c>
      <c r="U6424">
        <v>-2.8208009999999999</v>
      </c>
      <c r="V6424">
        <v>0.23699390000000001</v>
      </c>
      <c r="W6424">
        <v>0.3617339</v>
      </c>
      <c r="X6424">
        <v>0.9016554</v>
      </c>
      <c r="Y6424">
        <v>0.39338459999999997</v>
      </c>
      <c r="Z6424">
        <v>3.5273680000000002E-2</v>
      </c>
      <c r="AA6424">
        <v>0.91869710000000004</v>
      </c>
      <c r="AB6424">
        <v>29</v>
      </c>
      <c r="AC6424">
        <v>4.5436000000000201</v>
      </c>
      <c r="AD6424">
        <v>-1.1011139999999999</v>
      </c>
      <c r="AE6424">
        <v>-6.6949569999999996</v>
      </c>
      <c r="AF6424">
        <v>3.1800815804446199</v>
      </c>
      <c r="AG6424">
        <v>-1.1011139999999999</v>
      </c>
      <c r="AH6424">
        <v>7.2797435211926302</v>
      </c>
      <c r="AI6424">
        <v>97.891430489555404</v>
      </c>
      <c r="AJ6424">
        <v>66.402380382240693</v>
      </c>
      <c r="AK6424">
        <v>8.0199773462039907</v>
      </c>
      <c r="AL6424">
        <v>68.793280813573503</v>
      </c>
      <c r="AM6424">
        <v>75.273306746394297</v>
      </c>
      <c r="AN6424">
        <v>0.99999999169778997</v>
      </c>
    </row>
    <row r="6425" spans="1:40" x14ac:dyDescent="0.25">
      <c r="A6425" t="str">
        <f>"20190304164250023"</f>
        <v>20190304164250023</v>
      </c>
      <c r="B6425" t="str">
        <f>"1551688970017502"</f>
        <v>1551688970017502</v>
      </c>
      <c r="C6425" t="s">
        <v>40</v>
      </c>
      <c r="D6425">
        <v>4.9780379999999997</v>
      </c>
      <c r="E6425">
        <v>0.58814750000000005</v>
      </c>
      <c r="F6425" t="s">
        <v>43</v>
      </c>
      <c r="G6425">
        <v>-307.04079999999999</v>
      </c>
      <c r="H6425">
        <v>-0.05</v>
      </c>
      <c r="I6425">
        <v>6.0037079999999996</v>
      </c>
      <c r="J6425">
        <v>-311.51620000000003</v>
      </c>
      <c r="K6425">
        <v>1.0508649999999999</v>
      </c>
      <c r="L6425">
        <v>12.71759</v>
      </c>
      <c r="M6425">
        <v>0.84113780000000005</v>
      </c>
      <c r="N6425">
        <v>-1.7751670000000001E-2</v>
      </c>
      <c r="O6425">
        <v>-0.54052939999999905</v>
      </c>
      <c r="P6425">
        <v>0.64133890000000005</v>
      </c>
      <c r="Q6425">
        <v>0.35240189999999999</v>
      </c>
      <c r="R6425">
        <v>-0.68154029999999999</v>
      </c>
      <c r="S6425">
        <v>1.9216</v>
      </c>
      <c r="T6425">
        <v>-0.45853070000000001</v>
      </c>
      <c r="U6425">
        <v>-2.836182</v>
      </c>
      <c r="V6425">
        <v>0.23692489999999999</v>
      </c>
      <c r="W6425">
        <v>0.3619388</v>
      </c>
      <c r="X6425">
        <v>0.90159129999999998</v>
      </c>
      <c r="Y6425">
        <v>0.392731</v>
      </c>
      <c r="Z6425">
        <v>3.6426060000000003E-2</v>
      </c>
      <c r="AA6425">
        <v>0.91893170000000002</v>
      </c>
      <c r="AB6425">
        <v>29</v>
      </c>
      <c r="AC6425">
        <v>4.4754000000000298</v>
      </c>
      <c r="AD6425">
        <v>-1.100865</v>
      </c>
      <c r="AE6425">
        <v>-6.7138819999999901</v>
      </c>
      <c r="AF6425">
        <v>3.1697207780320502</v>
      </c>
      <c r="AG6425">
        <v>-1.100865</v>
      </c>
      <c r="AH6425">
        <v>7.2595120212862598</v>
      </c>
      <c r="AI6425">
        <v>97.911979110710703</v>
      </c>
      <c r="AJ6425">
        <v>66.412474408775694</v>
      </c>
      <c r="AK6425">
        <v>7.9974713720095902</v>
      </c>
      <c r="AL6425">
        <v>68.780687524789101</v>
      </c>
      <c r="AM6425">
        <v>75.276406842801094</v>
      </c>
      <c r="AN6425">
        <v>0.99999998771056997</v>
      </c>
    </row>
    <row r="6426" spans="1:40" x14ac:dyDescent="0.25">
      <c r="A6426" t="str">
        <f>"20190304164250034"</f>
        <v>20190304164250034</v>
      </c>
      <c r="B6426" t="str">
        <f>"1551688970027262"</f>
        <v>1551688970027262</v>
      </c>
      <c r="C6426" t="s">
        <v>40</v>
      </c>
      <c r="D6426">
        <v>5.0553730000000003</v>
      </c>
      <c r="E6426">
        <v>0.58808649999999996</v>
      </c>
      <c r="F6426" t="s">
        <v>43</v>
      </c>
      <c r="G6426">
        <v>-306.95209999999997</v>
      </c>
      <c r="H6426">
        <v>-0.05</v>
      </c>
      <c r="I6426">
        <v>5.8587490000000004</v>
      </c>
      <c r="J6426">
        <v>-311.38990000000001</v>
      </c>
      <c r="K6426">
        <v>1.0506580000000001</v>
      </c>
      <c r="L6426">
        <v>12.62717</v>
      </c>
      <c r="M6426">
        <v>0.83685980000000004</v>
      </c>
      <c r="N6426">
        <v>-1.765531E-2</v>
      </c>
      <c r="O6426">
        <v>-0.54713250000000002</v>
      </c>
      <c r="P6426">
        <v>0.63591819999999999</v>
      </c>
      <c r="Q6426">
        <v>0.35268719999999998</v>
      </c>
      <c r="R6426">
        <v>-0.68645469999999997</v>
      </c>
      <c r="S6426">
        <v>1.8980710000000001</v>
      </c>
      <c r="T6426">
        <v>-0.45781660000000002</v>
      </c>
      <c r="U6426">
        <v>-2.8523860000000001</v>
      </c>
      <c r="V6426">
        <v>0.2369048</v>
      </c>
      <c r="W6426">
        <v>0.36210680000000001</v>
      </c>
      <c r="X6426">
        <v>0.90152909999999997</v>
      </c>
      <c r="Y6426">
        <v>0.39319369999999998</v>
      </c>
      <c r="Z6426">
        <v>3.7273029999999999E-2</v>
      </c>
      <c r="AA6426">
        <v>0.91869990000000001</v>
      </c>
      <c r="AB6426">
        <v>29</v>
      </c>
      <c r="AC6426">
        <v>4.4378000000000304</v>
      </c>
      <c r="AD6426">
        <v>-1.1006579999999999</v>
      </c>
      <c r="AE6426">
        <v>-6.768421</v>
      </c>
      <c r="AF6426">
        <v>3.17788805167128</v>
      </c>
      <c r="AG6426">
        <v>-1.1006579999999999</v>
      </c>
      <c r="AH6426">
        <v>7.2834961474406104</v>
      </c>
      <c r="AI6426">
        <v>97.885692892427002</v>
      </c>
      <c r="AJ6426">
        <v>66.427704607495301</v>
      </c>
      <c r="AK6426">
        <v>8.0224520336179808</v>
      </c>
      <c r="AL6426">
        <v>68.770360977729794</v>
      </c>
      <c r="AM6426">
        <v>75.276630058473799</v>
      </c>
      <c r="AN6426">
        <v>0.99999996850804396</v>
      </c>
    </row>
    <row r="6427" spans="1:40" x14ac:dyDescent="0.25">
      <c r="A6427" t="str">
        <f>"20190304164250045"</f>
        <v>20190304164250045</v>
      </c>
      <c r="B6427" t="str">
        <f>"1551688970037998"</f>
        <v>1551688970037998</v>
      </c>
      <c r="C6427" t="s">
        <v>40</v>
      </c>
      <c r="D6427">
        <v>5.339766</v>
      </c>
      <c r="E6427">
        <v>0.58806789999999998</v>
      </c>
      <c r="F6427" t="s">
        <v>43</v>
      </c>
      <c r="G6427">
        <v>-306.87450000000001</v>
      </c>
      <c r="H6427">
        <v>-0.05</v>
      </c>
      <c r="I6427">
        <v>5.7230379999999998</v>
      </c>
      <c r="J6427">
        <v>-311.26870000000002</v>
      </c>
      <c r="K6427">
        <v>1.0504629999999999</v>
      </c>
      <c r="L6427">
        <v>12.53946</v>
      </c>
      <c r="M6427">
        <v>0.83267179999999996</v>
      </c>
      <c r="N6427">
        <v>-1.756634E-2</v>
      </c>
      <c r="O6427">
        <v>-0.55348830000000004</v>
      </c>
      <c r="P6427">
        <v>0.63113520000000001</v>
      </c>
      <c r="Q6427">
        <v>0.35275659999999998</v>
      </c>
      <c r="R6427">
        <v>-0.69081949999999903</v>
      </c>
      <c r="S6427">
        <v>1.8755489999999999</v>
      </c>
      <c r="T6427">
        <v>-0.4571693</v>
      </c>
      <c r="U6427">
        <v>-2.8677060000000001</v>
      </c>
      <c r="V6427">
        <v>0.236315</v>
      </c>
      <c r="W6427">
        <v>0.36208679999999999</v>
      </c>
      <c r="X6427">
        <v>0.90169200000000005</v>
      </c>
      <c r="Y6427">
        <v>0.39353270000000001</v>
      </c>
      <c r="Z6427">
        <v>3.8097079999999998E-2</v>
      </c>
      <c r="AA6427">
        <v>0.91852089999999997</v>
      </c>
      <c r="AB6427">
        <v>29</v>
      </c>
      <c r="AC6427">
        <v>4.3942000000000103</v>
      </c>
      <c r="AD6427">
        <v>-1.100463</v>
      </c>
      <c r="AE6427">
        <v>-6.8164220000000002</v>
      </c>
      <c r="AF6427">
        <v>3.1855513109964799</v>
      </c>
      <c r="AG6427">
        <v>-1.100463</v>
      </c>
      <c r="AH6427">
        <v>7.2985008816051904</v>
      </c>
      <c r="AI6427">
        <v>97.867871825957295</v>
      </c>
      <c r="AJ6427">
        <v>66.420341894758593</v>
      </c>
      <c r="AK6427">
        <v>8.0390839707115997</v>
      </c>
      <c r="AL6427">
        <v>68.771592049460907</v>
      </c>
      <c r="AM6427">
        <v>75.314237489952006</v>
      </c>
      <c r="AN6427">
        <v>1.0000000464116101</v>
      </c>
    </row>
    <row r="6428" spans="1:40" x14ac:dyDescent="0.25">
      <c r="A6428" t="str">
        <f>"20190304164250058"</f>
        <v>20190304164250058</v>
      </c>
      <c r="B6428" t="str">
        <f>"1551688970047759"</f>
        <v>1551688970047759</v>
      </c>
      <c r="C6428" t="s">
        <v>40</v>
      </c>
      <c r="D6428">
        <v>5.0521440000000002</v>
      </c>
      <c r="E6428">
        <v>0.58805169999999996</v>
      </c>
      <c r="F6428" t="s">
        <v>43</v>
      </c>
      <c r="G6428">
        <v>-306.79899999999998</v>
      </c>
      <c r="H6428">
        <v>-0.05</v>
      </c>
      <c r="I6428">
        <v>5.5916139999999999</v>
      </c>
      <c r="J6428">
        <v>-311.13420000000002</v>
      </c>
      <c r="K6428">
        <v>1.0502659999999999</v>
      </c>
      <c r="L6428">
        <v>12.440340000000001</v>
      </c>
      <c r="M6428">
        <v>0.82790269999999999</v>
      </c>
      <c r="N6428">
        <v>-1.7475899999999999E-2</v>
      </c>
      <c r="O6428">
        <v>-0.56059939999999997</v>
      </c>
      <c r="P6428">
        <v>0.62553289999999995</v>
      </c>
      <c r="Q6428">
        <v>0.35281200000000001</v>
      </c>
      <c r="R6428">
        <v>-0.69586789999999998</v>
      </c>
      <c r="S6428">
        <v>1.854004</v>
      </c>
      <c r="T6428">
        <v>-0.45646599999999998</v>
      </c>
      <c r="U6428">
        <v>-2.8819270000000001</v>
      </c>
      <c r="V6428">
        <v>0.23590340000000001</v>
      </c>
      <c r="W6428">
        <v>0.36204199999999997</v>
      </c>
      <c r="X6428">
        <v>0.90181770000000006</v>
      </c>
      <c r="Y6428">
        <v>0.39262849999999999</v>
      </c>
      <c r="Z6428">
        <v>3.9108980000000002E-2</v>
      </c>
      <c r="AA6428">
        <v>0.9188653</v>
      </c>
      <c r="AB6428">
        <v>29</v>
      </c>
      <c r="AC6428">
        <v>4.33519999999998</v>
      </c>
      <c r="AD6428">
        <v>-1.100266</v>
      </c>
      <c r="AE6428">
        <v>-6.8487259999999903</v>
      </c>
      <c r="AF6428">
        <v>3.1816375088926399</v>
      </c>
      <c r="AG6428">
        <v>-1.100266</v>
      </c>
      <c r="AH6428">
        <v>7.2952266320652397</v>
      </c>
      <c r="AI6428">
        <v>97.870937603227304</v>
      </c>
      <c r="AJ6428">
        <v>66.436735777880997</v>
      </c>
      <c r="AK6428">
        <v>8.0345338459640896</v>
      </c>
      <c r="AL6428">
        <v>68.774344561795004</v>
      </c>
      <c r="AM6428">
        <v>75.340668911762407</v>
      </c>
      <c r="AN6428">
        <v>0.99999999396442496</v>
      </c>
    </row>
    <row r="6429" spans="1:40" x14ac:dyDescent="0.25">
      <c r="A6429" t="str">
        <f>"20190304164250072"</f>
        <v>20190304164250072</v>
      </c>
      <c r="B6429" t="str">
        <f>"1551688970067278"</f>
        <v>1551688970067278</v>
      </c>
      <c r="C6429" t="s">
        <v>40</v>
      </c>
      <c r="D6429">
        <v>5.0416949999999998</v>
      </c>
      <c r="E6429">
        <v>0.58797670000000002</v>
      </c>
      <c r="F6429" t="s">
        <v>43</v>
      </c>
      <c r="G6429">
        <v>-306.71769999999998</v>
      </c>
      <c r="H6429">
        <v>-0.05</v>
      </c>
      <c r="I6429">
        <v>5.44252</v>
      </c>
      <c r="J6429">
        <v>-310.99860000000001</v>
      </c>
      <c r="K6429">
        <v>1.0500769999999999</v>
      </c>
      <c r="L6429">
        <v>12.338200000000001</v>
      </c>
      <c r="M6429">
        <v>0.82294959999999995</v>
      </c>
      <c r="N6429">
        <v>-1.739315E-2</v>
      </c>
      <c r="O6429">
        <v>-0.56784809999999997</v>
      </c>
      <c r="P6429">
        <v>0.61964960000000002</v>
      </c>
      <c r="Q6429">
        <v>0.35346319999999998</v>
      </c>
      <c r="R6429">
        <v>-0.70078399999999996</v>
      </c>
      <c r="S6429">
        <v>1.8290409999999999</v>
      </c>
      <c r="T6429">
        <v>-0.45565339999999999</v>
      </c>
      <c r="U6429">
        <v>-2.8980100000000002</v>
      </c>
      <c r="V6429">
        <v>0.23537820000000001</v>
      </c>
      <c r="W6429">
        <v>0.36259839999999999</v>
      </c>
      <c r="X6429">
        <v>0.90173139999999996</v>
      </c>
      <c r="Y6429">
        <v>0.3925572</v>
      </c>
      <c r="Z6429">
        <v>4.0063550000000003E-2</v>
      </c>
      <c r="AA6429">
        <v>0.91885459999999997</v>
      </c>
      <c r="AB6429">
        <v>29</v>
      </c>
      <c r="AC6429">
        <v>4.2809000000000301</v>
      </c>
      <c r="AD6429">
        <v>-1.100077</v>
      </c>
      <c r="AE6429">
        <v>-6.8956799999999996</v>
      </c>
      <c r="AF6429">
        <v>3.1858617536163298</v>
      </c>
      <c r="AG6429">
        <v>-1.100077</v>
      </c>
      <c r="AH6429">
        <v>7.3055834884420996</v>
      </c>
      <c r="AI6429">
        <v>97.858699455558593</v>
      </c>
      <c r="AJ6429">
        <v>66.438664185930506</v>
      </c>
      <c r="AK6429">
        <v>8.0455847907832094</v>
      </c>
      <c r="AL6429">
        <v>68.740141492317406</v>
      </c>
      <c r="AM6429">
        <v>75.370564269521594</v>
      </c>
      <c r="AN6429">
        <v>1.00000000723187</v>
      </c>
    </row>
    <row r="6430" spans="1:40" x14ac:dyDescent="0.25">
      <c r="A6430" t="str">
        <f>"20190304164250084"</f>
        <v>20190304164250084</v>
      </c>
      <c r="B6430" t="str">
        <f>"1551688970077038"</f>
        <v>1551688970077038</v>
      </c>
      <c r="C6430" t="s">
        <v>40</v>
      </c>
      <c r="D6430">
        <v>5.018319</v>
      </c>
      <c r="E6430">
        <v>0.58791459999999995</v>
      </c>
      <c r="F6430" t="s">
        <v>43</v>
      </c>
      <c r="G6430">
        <v>-306.62110000000001</v>
      </c>
      <c r="H6430">
        <v>-0.05</v>
      </c>
      <c r="I6430">
        <v>5.2663729999999997</v>
      </c>
      <c r="J6430">
        <v>-310.85950000000003</v>
      </c>
      <c r="K6430">
        <v>1.0498989999999999</v>
      </c>
      <c r="L6430">
        <v>12.23193</v>
      </c>
      <c r="M6430">
        <v>0.81774769999999997</v>
      </c>
      <c r="N6430">
        <v>-1.731307E-2</v>
      </c>
      <c r="O6430">
        <v>-0.57531639999999995</v>
      </c>
      <c r="P6430">
        <v>0.61301490000000003</v>
      </c>
      <c r="Q6430">
        <v>0.35464459999999998</v>
      </c>
      <c r="R6430">
        <v>-0.70600309999999999</v>
      </c>
      <c r="S6430">
        <v>1.804047</v>
      </c>
      <c r="T6430">
        <v>-0.45335760000000003</v>
      </c>
      <c r="U6430">
        <v>-2.9143979999999998</v>
      </c>
      <c r="V6430">
        <v>0.23527670000000001</v>
      </c>
      <c r="W6430">
        <v>0.36366959999999998</v>
      </c>
      <c r="X6430">
        <v>0.90132639999999997</v>
      </c>
      <c r="Y6430">
        <v>0.39223839999999999</v>
      </c>
      <c r="Z6430">
        <v>4.0881109999999998E-2</v>
      </c>
      <c r="AA6430">
        <v>0.91895470000000001</v>
      </c>
      <c r="AB6430">
        <v>29</v>
      </c>
      <c r="AC6430">
        <v>4.2384000000000102</v>
      </c>
      <c r="AD6430">
        <v>-1.099899</v>
      </c>
      <c r="AE6430">
        <v>-6.9655570000000004</v>
      </c>
      <c r="AF6430">
        <v>3.1999074605883902</v>
      </c>
      <c r="AG6430">
        <v>-1.099899</v>
      </c>
      <c r="AH6430">
        <v>7.3408808096790503</v>
      </c>
      <c r="AI6430">
        <v>97.820650387875901</v>
      </c>
      <c r="AJ6430">
        <v>66.447497990714297</v>
      </c>
      <c r="AK6430">
        <v>8.0831749101726391</v>
      </c>
      <c r="AL6430">
        <v>68.674269279844196</v>
      </c>
      <c r="AM6430">
        <v>75.370313313350806</v>
      </c>
      <c r="AN6430">
        <v>0.99999999143200402</v>
      </c>
    </row>
    <row r="6431" spans="1:40" x14ac:dyDescent="0.25">
      <c r="A6431" t="str">
        <f>"20190304164250097"</f>
        <v>20190304164250097</v>
      </c>
      <c r="B6431" t="str">
        <f>"1551688970087774"</f>
        <v>1551688970087774</v>
      </c>
      <c r="C6431" t="s">
        <v>40</v>
      </c>
      <c r="D6431">
        <v>5.0661250000000004</v>
      </c>
      <c r="E6431">
        <v>0.58785719999999997</v>
      </c>
      <c r="F6431" t="s">
        <v>43</v>
      </c>
      <c r="G6431">
        <v>-306.50990000000002</v>
      </c>
      <c r="H6431">
        <v>-0.05</v>
      </c>
      <c r="I6431">
        <v>5.0568390000000001</v>
      </c>
      <c r="J6431">
        <v>-310.72809999999998</v>
      </c>
      <c r="K6431">
        <v>1.0497379999999901</v>
      </c>
      <c r="L6431">
        <v>12.129239999999999</v>
      </c>
      <c r="M6431">
        <v>0.81268319999999905</v>
      </c>
      <c r="N6431">
        <v>-1.724527E-2</v>
      </c>
      <c r="O6431">
        <v>-0.58245069999999999</v>
      </c>
      <c r="P6431">
        <v>0.60654469999999905</v>
      </c>
      <c r="Q6431">
        <v>0.35522730000000002</v>
      </c>
      <c r="R6431">
        <v>-0.71127859999999998</v>
      </c>
      <c r="S6431">
        <v>1.7773129999999999</v>
      </c>
      <c r="T6431">
        <v>-0.44943680000000003</v>
      </c>
      <c r="U6431">
        <v>-2.931854</v>
      </c>
      <c r="V6431">
        <v>0.23545140000000001</v>
      </c>
      <c r="W6431">
        <v>0.36414920000000001</v>
      </c>
      <c r="X6431">
        <v>0.90108719999999998</v>
      </c>
      <c r="Y6431">
        <v>0.39277509999999999</v>
      </c>
      <c r="Z6431">
        <v>4.1379550000000001E-2</v>
      </c>
      <c r="AA6431">
        <v>0.91870309999999999</v>
      </c>
      <c r="AB6431">
        <v>29</v>
      </c>
      <c r="AC6431">
        <v>4.2181999999999604</v>
      </c>
      <c r="AD6431">
        <v>-1.0997380000000001</v>
      </c>
      <c r="AE6431">
        <v>-7.0724009999999904</v>
      </c>
      <c r="AF6431">
        <v>3.2335469494282201</v>
      </c>
      <c r="AG6431">
        <v>-1.0997380000000001</v>
      </c>
      <c r="AH6431">
        <v>7.4162388508099903</v>
      </c>
      <c r="AI6431">
        <v>97.740733468814</v>
      </c>
      <c r="AJ6431">
        <v>66.442364602234406</v>
      </c>
      <c r="AK6431">
        <v>8.1649156906280496</v>
      </c>
      <c r="AL6431">
        <v>68.644769209006697</v>
      </c>
      <c r="AM6431">
        <v>75.356197569722895</v>
      </c>
      <c r="AN6431">
        <v>1.00000007181321</v>
      </c>
    </row>
    <row r="6432" spans="1:40" x14ac:dyDescent="0.25">
      <c r="A6432" t="str">
        <f>"20190304164250109"</f>
        <v>20190304164250109</v>
      </c>
      <c r="B6432" t="str">
        <f>"1551688970097534"</f>
        <v>1551688970097534</v>
      </c>
      <c r="C6432" t="s">
        <v>40</v>
      </c>
      <c r="D6432">
        <v>4.9714559999999999</v>
      </c>
      <c r="E6432">
        <v>0.58787019999999901</v>
      </c>
      <c r="F6432" t="s">
        <v>43</v>
      </c>
      <c r="G6432">
        <v>-306.42840000000001</v>
      </c>
      <c r="H6432">
        <v>-0.05</v>
      </c>
      <c r="I6432">
        <v>4.8933410000000004</v>
      </c>
      <c r="J6432">
        <v>-310.61040000000003</v>
      </c>
      <c r="K6432">
        <v>1.049601</v>
      </c>
      <c r="L6432">
        <v>12.03543</v>
      </c>
      <c r="M6432">
        <v>0.80802169999999995</v>
      </c>
      <c r="N6432">
        <v>-1.7189409999999999E-2</v>
      </c>
      <c r="O6432">
        <v>-0.58890209999999998</v>
      </c>
      <c r="P6432">
        <v>0.60064099999999998</v>
      </c>
      <c r="Q6432">
        <v>0.35586230000000002</v>
      </c>
      <c r="R6432">
        <v>-0.71595569999999997</v>
      </c>
      <c r="S6432">
        <v>1.75161699999999</v>
      </c>
      <c r="T6432">
        <v>-0.4480093</v>
      </c>
      <c r="U6432">
        <v>-2.9477540000000002</v>
      </c>
      <c r="V6432">
        <v>0.23554249999999999</v>
      </c>
      <c r="W6432">
        <v>0.36469760000000001</v>
      </c>
      <c r="X6432">
        <v>0.90084149999999996</v>
      </c>
      <c r="Y6432">
        <v>0.39357690000000001</v>
      </c>
      <c r="Z6432">
        <v>4.2056980000000001E-2</v>
      </c>
      <c r="AA6432">
        <v>0.91832919999999996</v>
      </c>
      <c r="AB6432">
        <v>29</v>
      </c>
      <c r="AC6432">
        <v>4.1820000000000102</v>
      </c>
      <c r="AD6432">
        <v>-1.0996010000000001</v>
      </c>
      <c r="AE6432">
        <v>-7.1420890000000004</v>
      </c>
      <c r="AF6432">
        <v>3.2512720097132499</v>
      </c>
      <c r="AG6432">
        <v>-1.0996010000000001</v>
      </c>
      <c r="AH6432">
        <v>7.4546696771401697</v>
      </c>
      <c r="AI6432">
        <v>97.699997870253199</v>
      </c>
      <c r="AJ6432">
        <v>66.436107750051406</v>
      </c>
      <c r="AK6432">
        <v>8.2068259415939195</v>
      </c>
      <c r="AL6432">
        <v>68.611026509202304</v>
      </c>
      <c r="AM6432">
        <v>75.346951742860597</v>
      </c>
      <c r="AN6432">
        <v>1.0000000084371199</v>
      </c>
    </row>
    <row r="6433" spans="1:40" x14ac:dyDescent="0.25">
      <c r="A6433" t="str">
        <f>"20190304164250123"</f>
        <v>20190304164250123</v>
      </c>
      <c r="B6433" t="str">
        <f>"1551688970117053"</f>
        <v>1551688970117053</v>
      </c>
      <c r="C6433" t="s">
        <v>40</v>
      </c>
      <c r="D6433">
        <v>4.9829699999999999</v>
      </c>
      <c r="E6433">
        <v>0.58787599999999995</v>
      </c>
      <c r="F6433" t="s">
        <v>43</v>
      </c>
      <c r="G6433">
        <v>-306.34949999999998</v>
      </c>
      <c r="H6433">
        <v>-0.05</v>
      </c>
      <c r="I6433">
        <v>4.729889</v>
      </c>
      <c r="J6433">
        <v>-310.46660000000003</v>
      </c>
      <c r="K6433">
        <v>1.0494399999999999</v>
      </c>
      <c r="L6433">
        <v>11.91943</v>
      </c>
      <c r="M6433">
        <v>0.80220819999999904</v>
      </c>
      <c r="N6433">
        <v>-1.7125399999999999E-2</v>
      </c>
      <c r="O6433">
        <v>-0.59679890000000002</v>
      </c>
      <c r="P6433">
        <v>0.59368379999999998</v>
      </c>
      <c r="Q6433">
        <v>0.35621409999999998</v>
      </c>
      <c r="R6433">
        <v>-0.72156160000000003</v>
      </c>
      <c r="S6433">
        <v>1.7277530000000001</v>
      </c>
      <c r="T6433">
        <v>-0.44588430000000001</v>
      </c>
      <c r="U6433">
        <v>-2.9623719999999998</v>
      </c>
      <c r="V6433">
        <v>0.23535149999999999</v>
      </c>
      <c r="W6433">
        <v>0.36496089999999998</v>
      </c>
      <c r="X6433">
        <v>0.90078480000000005</v>
      </c>
      <c r="Y6433">
        <v>0.39210210000000001</v>
      </c>
      <c r="Z6433">
        <v>4.2996350000000003E-2</v>
      </c>
      <c r="AA6433">
        <v>0.91891630000000002</v>
      </c>
      <c r="AB6433">
        <v>29</v>
      </c>
      <c r="AC6433">
        <v>4.1171000000000504</v>
      </c>
      <c r="AD6433">
        <v>-1.09944</v>
      </c>
      <c r="AE6433">
        <v>-7.1895410000000002</v>
      </c>
      <c r="AF6433">
        <v>3.2536161847873202</v>
      </c>
      <c r="AG6433">
        <v>-1.09944</v>
      </c>
      <c r="AH6433">
        <v>7.46316623999697</v>
      </c>
      <c r="AI6433">
        <v>97.690731887698703</v>
      </c>
      <c r="AJ6433">
        <v>66.444890332831903</v>
      </c>
      <c r="AK6433">
        <v>8.2154511085722195</v>
      </c>
      <c r="AL6433">
        <v>68.594824039356993</v>
      </c>
      <c r="AM6433">
        <v>75.357441023525197</v>
      </c>
      <c r="AN6433">
        <v>1.0000000214960401</v>
      </c>
    </row>
    <row r="6434" spans="1:40" x14ac:dyDescent="0.25">
      <c r="A6434" t="str">
        <f>"20190304164250139"</f>
        <v>20190304164250139</v>
      </c>
      <c r="B6434" t="str">
        <f>"1551688970127790"</f>
        <v>1551688970127790</v>
      </c>
      <c r="C6434" t="s">
        <v>40</v>
      </c>
      <c r="D6434">
        <v>5.0858800000000004</v>
      </c>
      <c r="E6434">
        <v>0.58785010000000004</v>
      </c>
      <c r="F6434" t="s">
        <v>43</v>
      </c>
      <c r="G6434">
        <v>-306.26569999999998</v>
      </c>
      <c r="H6434">
        <v>-0.05</v>
      </c>
      <c r="I6434">
        <v>4.5526119999999999</v>
      </c>
      <c r="J6434">
        <v>-310.3</v>
      </c>
      <c r="K6434">
        <v>1.0492709999999901</v>
      </c>
      <c r="L6434">
        <v>11.78131</v>
      </c>
      <c r="M6434">
        <v>0.79523060000000001</v>
      </c>
      <c r="N6434">
        <v>-1.706044E-2</v>
      </c>
      <c r="O6434">
        <v>-0.60606689999999996</v>
      </c>
      <c r="P6434">
        <v>0.58552729999999997</v>
      </c>
      <c r="Q6434">
        <v>0.35645199999999999</v>
      </c>
      <c r="R6434">
        <v>-0.72807939999999904</v>
      </c>
      <c r="S6434">
        <v>1.69894399999999</v>
      </c>
      <c r="T6434">
        <v>-0.44463829999999999</v>
      </c>
      <c r="U6434">
        <v>-2.9793090000000002</v>
      </c>
      <c r="V6434">
        <v>0.2350093</v>
      </c>
      <c r="W6434">
        <v>0.36511189999999999</v>
      </c>
      <c r="X6434">
        <v>0.90081290000000003</v>
      </c>
      <c r="Y6434">
        <v>0.39043739999999999</v>
      </c>
      <c r="Z6434">
        <v>4.4238800000000002E-2</v>
      </c>
      <c r="AA6434">
        <v>0.91956599999999999</v>
      </c>
      <c r="AB6434">
        <v>29</v>
      </c>
      <c r="AC6434">
        <v>4.0343000000000302</v>
      </c>
      <c r="AD6434">
        <v>-1.0992710000000001</v>
      </c>
      <c r="AE6434">
        <v>-7.2286979999999996</v>
      </c>
      <c r="AF6434">
        <v>3.2466582862183602</v>
      </c>
      <c r="AG6434">
        <v>-1.0992710000000001</v>
      </c>
      <c r="AH6434">
        <v>7.4588552068142997</v>
      </c>
      <c r="AI6434">
        <v>97.695850291759399</v>
      </c>
      <c r="AJ6434">
        <v>66.477679012710198</v>
      </c>
      <c r="AK6434">
        <v>8.2087579910198496</v>
      </c>
      <c r="AL6434">
        <v>68.585530072474597</v>
      </c>
      <c r="AM6434">
        <v>75.378254745362497</v>
      </c>
      <c r="AN6434">
        <v>0.99999997570725396</v>
      </c>
    </row>
    <row r="6435" spans="1:40" x14ac:dyDescent="0.25">
      <c r="A6435" t="str">
        <f>"20190304164250156"</f>
        <v>20190304164250156</v>
      </c>
      <c r="B6435" t="str">
        <f>"1551688970147310"</f>
        <v>1551688970147310</v>
      </c>
      <c r="C6435" t="s">
        <v>40</v>
      </c>
      <c r="D6435">
        <v>5.12134</v>
      </c>
      <c r="E6435">
        <v>0.58777369999999995</v>
      </c>
      <c r="F6435" t="s">
        <v>43</v>
      </c>
      <c r="G6435">
        <v>-306.17770000000002</v>
      </c>
      <c r="H6435">
        <v>-0.05</v>
      </c>
      <c r="I6435">
        <v>4.3557589999999999</v>
      </c>
      <c r="J6435">
        <v>-310.14729999999997</v>
      </c>
      <c r="K6435">
        <v>1.049132</v>
      </c>
      <c r="L6435">
        <v>11.65146</v>
      </c>
      <c r="M6435">
        <v>0.78862019999999899</v>
      </c>
      <c r="N6435">
        <v>-1.700743E-2</v>
      </c>
      <c r="O6435">
        <v>-0.61464540000000001</v>
      </c>
      <c r="P6435">
        <v>0.57862819999999904</v>
      </c>
      <c r="Q6435">
        <v>0.35591660000000003</v>
      </c>
      <c r="R6435">
        <v>-0.73383449999999995</v>
      </c>
      <c r="S6435">
        <v>1.6648559999999999</v>
      </c>
      <c r="T6435">
        <v>-0.4439496</v>
      </c>
      <c r="U6435">
        <v>-2.9988709999999998</v>
      </c>
      <c r="V6435">
        <v>0.23398910000000001</v>
      </c>
      <c r="W6435">
        <v>0.36453419999999997</v>
      </c>
      <c r="X6435">
        <v>0.90131240000000001</v>
      </c>
      <c r="Y6435">
        <v>0.39103870000000002</v>
      </c>
      <c r="Z6435">
        <v>4.5299560000000003E-2</v>
      </c>
      <c r="AA6435">
        <v>0.91925880000000004</v>
      </c>
      <c r="AB6435">
        <v>29</v>
      </c>
      <c r="AC6435">
        <v>3.9695999999999501</v>
      </c>
      <c r="AD6435">
        <v>-1.099132</v>
      </c>
      <c r="AE6435">
        <v>-7.2957009999999904</v>
      </c>
      <c r="AF6435">
        <v>3.2570808406969798</v>
      </c>
      <c r="AG6435">
        <v>-1.099132</v>
      </c>
      <c r="AH6435">
        <v>7.4848005153186197</v>
      </c>
      <c r="AI6435">
        <v>97.668855798487201</v>
      </c>
      <c r="AJ6435">
        <v>66.483283441439099</v>
      </c>
      <c r="AK6435">
        <v>8.2364376711277991</v>
      </c>
      <c r="AL6435">
        <v>68.621082001185101</v>
      </c>
      <c r="AM6435">
        <v>75.446752702096305</v>
      </c>
      <c r="AN6435">
        <v>1.0000000621411</v>
      </c>
    </row>
    <row r="6436" spans="1:40" x14ac:dyDescent="0.25">
      <c r="A6436" t="str">
        <f>"20190304164250174"</f>
        <v>20190304164250174</v>
      </c>
      <c r="B6436" t="str">
        <f>"1551688970167806"</f>
        <v>1551688970167806</v>
      </c>
      <c r="C6436" t="s">
        <v>40</v>
      </c>
      <c r="D6436">
        <v>5.1077709999999996</v>
      </c>
      <c r="E6436">
        <v>0.58782140000000005</v>
      </c>
      <c r="F6436" t="s">
        <v>43</v>
      </c>
      <c r="G6436">
        <v>-306.12369999999999</v>
      </c>
      <c r="H6436">
        <v>-0.05</v>
      </c>
      <c r="I6436">
        <v>4.2237400000000003</v>
      </c>
      <c r="J6436">
        <v>-309.9529</v>
      </c>
      <c r="K6436">
        <v>1.048975</v>
      </c>
      <c r="L6436">
        <v>11.48221</v>
      </c>
      <c r="M6436">
        <v>0.77992399999999995</v>
      </c>
      <c r="N6436">
        <v>-1.6946180000000002E-2</v>
      </c>
      <c r="O6436">
        <v>-0.62564500000000001</v>
      </c>
      <c r="P6436">
        <v>0.56976419999999905</v>
      </c>
      <c r="Q6436">
        <v>0.35494569999999998</v>
      </c>
      <c r="R6436">
        <v>-0.74120369999999902</v>
      </c>
      <c r="S6436">
        <v>1.633942</v>
      </c>
      <c r="T6436">
        <v>-0.44633810000000002</v>
      </c>
      <c r="U6436">
        <v>-3.0162659999999999</v>
      </c>
      <c r="V6436">
        <v>0.23256760000000001</v>
      </c>
      <c r="W6436">
        <v>0.36352469999999998</v>
      </c>
      <c r="X6436">
        <v>0.90208759999999999</v>
      </c>
      <c r="Y6436">
        <v>0.38771250000000002</v>
      </c>
      <c r="Z6436">
        <v>4.7359749999999999E-2</v>
      </c>
      <c r="AA6436">
        <v>0.92056289999999996</v>
      </c>
      <c r="AB6436">
        <v>29</v>
      </c>
      <c r="AC6436">
        <v>3.8292000000000099</v>
      </c>
      <c r="AD6436">
        <v>-1.098975</v>
      </c>
      <c r="AE6436">
        <v>-7.25847</v>
      </c>
      <c r="AF6436">
        <v>3.2082701127239499</v>
      </c>
      <c r="AG6436">
        <v>-1.098975</v>
      </c>
      <c r="AH6436">
        <v>7.3961561463564598</v>
      </c>
      <c r="AI6436">
        <v>97.762437976436203</v>
      </c>
      <c r="AJ6436">
        <v>66.549989427440806</v>
      </c>
      <c r="AK6436">
        <v>8.1365759941211895</v>
      </c>
      <c r="AL6436">
        <v>68.683180873713695</v>
      </c>
      <c r="AM6436">
        <v>75.543355337157195</v>
      </c>
      <c r="AN6436">
        <v>0.99999996707680405</v>
      </c>
    </row>
    <row r="6437" spans="1:40" x14ac:dyDescent="0.25">
      <c r="A6437" t="str">
        <f>"20190304164250187"</f>
        <v>20190304164250187</v>
      </c>
      <c r="B6437" t="str">
        <f>"1551688970177567"</f>
        <v>1551688970177567</v>
      </c>
      <c r="C6437" t="s">
        <v>40</v>
      </c>
      <c r="D6437">
        <v>5.0884419999999997</v>
      </c>
      <c r="E6437">
        <v>0.587781</v>
      </c>
      <c r="F6437" t="s">
        <v>43</v>
      </c>
      <c r="G6437">
        <v>-306.04739999999998</v>
      </c>
      <c r="H6437">
        <v>-0.05</v>
      </c>
      <c r="I6437">
        <v>4.0386350000000002</v>
      </c>
      <c r="J6437">
        <v>-309.83049999999997</v>
      </c>
      <c r="K6437">
        <v>1.0488820000000001</v>
      </c>
      <c r="L6437">
        <v>11.37317</v>
      </c>
      <c r="M6437">
        <v>0.77428109999999895</v>
      </c>
      <c r="N6437">
        <v>-1.6910990000000001E-2</v>
      </c>
      <c r="O6437">
        <v>-0.63261590000000001</v>
      </c>
      <c r="P6437">
        <v>0.56404989999999999</v>
      </c>
      <c r="Q6437">
        <v>0.35442580000000001</v>
      </c>
      <c r="R6437">
        <v>-0.74580829999999998</v>
      </c>
      <c r="S6437">
        <v>1.593567</v>
      </c>
      <c r="T6437">
        <v>-0.44841920000000002</v>
      </c>
      <c r="U6437">
        <v>-3.0372309999999998</v>
      </c>
      <c r="V6437">
        <v>0.2316116</v>
      </c>
      <c r="W6437">
        <v>0.36298809999999998</v>
      </c>
      <c r="X6437">
        <v>0.90254959999999995</v>
      </c>
      <c r="Y6437">
        <v>0.39166079999999998</v>
      </c>
      <c r="Z6437">
        <v>4.8375960000000003E-2</v>
      </c>
      <c r="AA6437">
        <v>0.91883709999999996</v>
      </c>
      <c r="AB6437">
        <v>29</v>
      </c>
      <c r="AC6437">
        <v>3.7830999999999899</v>
      </c>
      <c r="AD6437">
        <v>-1.0988819999999999</v>
      </c>
      <c r="AE6437">
        <v>-7.3345349999999998</v>
      </c>
      <c r="AF6437">
        <v>3.2289628983103298</v>
      </c>
      <c r="AG6437">
        <v>-1.0988819999999999</v>
      </c>
      <c r="AH6437">
        <v>7.4383269823852904</v>
      </c>
      <c r="AI6437">
        <v>97.717417900215295</v>
      </c>
      <c r="AJ6437">
        <v>66.534431443741695</v>
      </c>
      <c r="AK6437">
        <v>8.1830588012961094</v>
      </c>
      <c r="AL6437">
        <v>68.716181551939798</v>
      </c>
      <c r="AM6437">
        <v>75.607370316727199</v>
      </c>
      <c r="AN6437">
        <v>1.0000000372281601</v>
      </c>
    </row>
    <row r="6438" spans="1:40" x14ac:dyDescent="0.25">
      <c r="A6438" t="str">
        <f>"20190304164250200"</f>
        <v>20190304164250200</v>
      </c>
      <c r="B6438" t="str">
        <f>"1551688970197086"</f>
        <v>1551688970197086</v>
      </c>
      <c r="C6438" t="s">
        <v>40</v>
      </c>
      <c r="D6438">
        <v>4.7880339999999997</v>
      </c>
      <c r="E6438">
        <v>0.58780069999999995</v>
      </c>
      <c r="F6438" t="s">
        <v>43</v>
      </c>
      <c r="G6438">
        <v>-306.00380000000001</v>
      </c>
      <c r="H6438">
        <v>-0.05</v>
      </c>
      <c r="I6438">
        <v>3.9288789999999998</v>
      </c>
      <c r="J6438">
        <v>-309.69929999999999</v>
      </c>
      <c r="K6438">
        <v>1.0487949999999999</v>
      </c>
      <c r="L6438">
        <v>11.25433</v>
      </c>
      <c r="M6438">
        <v>0.7680941</v>
      </c>
      <c r="N6438">
        <v>-1.6875689999999999E-2</v>
      </c>
      <c r="O6438">
        <v>-0.64011470000000004</v>
      </c>
      <c r="P6438">
        <v>0.55785309999999999</v>
      </c>
      <c r="Q6438">
        <v>0.35407650000000002</v>
      </c>
      <c r="R6438">
        <v>-0.75061990000000001</v>
      </c>
      <c r="S6438">
        <v>1.568085</v>
      </c>
      <c r="T6438">
        <v>-0.45030209999999998</v>
      </c>
      <c r="U6438">
        <v>-3.0505369999999998</v>
      </c>
      <c r="V6438">
        <v>0.23045109999999999</v>
      </c>
      <c r="W6438">
        <v>0.36262860000000002</v>
      </c>
      <c r="X6438">
        <v>0.90299110000000005</v>
      </c>
      <c r="Y6438">
        <v>0.39046150000000002</v>
      </c>
      <c r="Z6438">
        <v>4.9772400000000001E-2</v>
      </c>
      <c r="AA6438">
        <v>0.9192728</v>
      </c>
      <c r="AB6438">
        <v>29</v>
      </c>
      <c r="AC6438">
        <v>3.69549999999998</v>
      </c>
      <c r="AD6438">
        <v>-1.098795</v>
      </c>
      <c r="AE6438">
        <v>-7.3254509999999904</v>
      </c>
      <c r="AF6438">
        <v>3.2040913452090698</v>
      </c>
      <c r="AG6438">
        <v>-1.098795</v>
      </c>
      <c r="AH6438">
        <v>7.3960456813430202</v>
      </c>
      <c r="AI6438">
        <v>97.762859326870895</v>
      </c>
      <c r="AJ6438">
        <v>66.576928072669702</v>
      </c>
      <c r="AK6438">
        <v>8.1348044549934606</v>
      </c>
      <c r="AL6438">
        <v>68.7382861659041</v>
      </c>
      <c r="AM6438">
        <v>75.683226205465502</v>
      </c>
      <c r="AN6438">
        <v>1.0000000688541799</v>
      </c>
    </row>
    <row r="6439" spans="1:40" x14ac:dyDescent="0.25">
      <c r="A6439" t="str">
        <f>"20190304164250212"</f>
        <v>20190304164250212</v>
      </c>
      <c r="B6439" t="str">
        <f>"1551688970207823"</f>
        <v>1551688970207823</v>
      </c>
      <c r="C6439" t="s">
        <v>40</v>
      </c>
      <c r="D6439">
        <v>4.9918120000000004</v>
      </c>
      <c r="E6439">
        <v>0.58779539999999997</v>
      </c>
      <c r="F6439" t="s">
        <v>43</v>
      </c>
      <c r="G6439">
        <v>-305.94319999999999</v>
      </c>
      <c r="H6439">
        <v>-0.05</v>
      </c>
      <c r="I6439">
        <v>3.7839200000000002</v>
      </c>
      <c r="J6439">
        <v>-309.58609999999999</v>
      </c>
      <c r="K6439">
        <v>1.048729</v>
      </c>
      <c r="L6439">
        <v>11.14899</v>
      </c>
      <c r="M6439">
        <v>0.76260030000000001</v>
      </c>
      <c r="N6439">
        <v>-1.6847930000000001E-2</v>
      </c>
      <c r="O6439">
        <v>-0.64665069999999902</v>
      </c>
      <c r="P6439">
        <v>0.55312099999999997</v>
      </c>
      <c r="Q6439">
        <v>0.35346100000000003</v>
      </c>
      <c r="R6439">
        <v>-0.75440189999999996</v>
      </c>
      <c r="S6439">
        <v>1.54071</v>
      </c>
      <c r="T6439">
        <v>-0.45071129999999998</v>
      </c>
      <c r="U6439">
        <v>-3.06427</v>
      </c>
      <c r="V6439">
        <v>0.22862869999999999</v>
      </c>
      <c r="W6439">
        <v>0.36204150000000002</v>
      </c>
      <c r="X6439">
        <v>0.90368959999999998</v>
      </c>
      <c r="Y6439">
        <v>0.39083669999999998</v>
      </c>
      <c r="Z6439">
        <v>5.0737339999999999E-2</v>
      </c>
      <c r="AA6439">
        <v>0.91906060000000001</v>
      </c>
      <c r="AB6439">
        <v>29</v>
      </c>
      <c r="AC6439">
        <v>3.6428999999999898</v>
      </c>
      <c r="AD6439">
        <v>-1.0987290000000001</v>
      </c>
      <c r="AE6439">
        <v>-7.3650699999999896</v>
      </c>
      <c r="AF6439">
        <v>3.2040923846216098</v>
      </c>
      <c r="AG6439">
        <v>-1.0987290000000001</v>
      </c>
      <c r="AH6439">
        <v>7.4092917427620897</v>
      </c>
      <c r="AI6439">
        <v>97.750851147120798</v>
      </c>
      <c r="AJ6439">
        <v>66.614294681035105</v>
      </c>
      <c r="AK6439">
        <v>8.1468409554865993</v>
      </c>
      <c r="AL6439">
        <v>68.774375688473796</v>
      </c>
      <c r="AM6439">
        <v>75.802378920056995</v>
      </c>
      <c r="AN6439">
        <v>1.00000001166705</v>
      </c>
    </row>
    <row r="6440" spans="1:40" x14ac:dyDescent="0.25">
      <c r="A6440" t="str">
        <f>"20190304164250231"</f>
        <v>20190304164250231</v>
      </c>
      <c r="B6440" t="str">
        <f>"1551688970227342"</f>
        <v>1551688970227342</v>
      </c>
      <c r="C6440" t="s">
        <v>40</v>
      </c>
      <c r="D6440">
        <v>5.3603860000000001</v>
      </c>
      <c r="E6440">
        <v>0.58778129999999995</v>
      </c>
      <c r="F6440" t="s">
        <v>43</v>
      </c>
      <c r="G6440">
        <v>-305.89729999999997</v>
      </c>
      <c r="H6440">
        <v>-0.05</v>
      </c>
      <c r="I6440">
        <v>3.6726990000000002</v>
      </c>
      <c r="J6440">
        <v>-309.41849999999999</v>
      </c>
      <c r="K6440">
        <v>1.048646</v>
      </c>
      <c r="L6440">
        <v>10.990360000000001</v>
      </c>
      <c r="M6440">
        <v>0.75427559999999905</v>
      </c>
      <c r="N6440">
        <v>-1.6808440000000001E-2</v>
      </c>
      <c r="O6440">
        <v>-0.65634269999999995</v>
      </c>
      <c r="P6440">
        <v>0.54545149999999998</v>
      </c>
      <c r="Q6440">
        <v>0.35313309999999998</v>
      </c>
      <c r="R6440">
        <v>-0.76011809999999902</v>
      </c>
      <c r="S6440">
        <v>1.517609</v>
      </c>
      <c r="T6440">
        <v>-0.4520208</v>
      </c>
      <c r="U6440">
        <v>-3.0757750000000001</v>
      </c>
      <c r="V6440">
        <v>0.2263493</v>
      </c>
      <c r="W6440">
        <v>0.36174149999999999</v>
      </c>
      <c r="X6440">
        <v>0.9043833</v>
      </c>
      <c r="Y6440">
        <v>0.38606200000000002</v>
      </c>
      <c r="Z6440">
        <v>5.2608799999999997E-2</v>
      </c>
      <c r="AA6440">
        <v>0.92097150000000005</v>
      </c>
      <c r="AB6440">
        <v>28</v>
      </c>
      <c r="AC6440">
        <v>3.5212000000000199</v>
      </c>
      <c r="AD6440">
        <v>-1.098646</v>
      </c>
      <c r="AE6440">
        <v>-7.3176610000000002</v>
      </c>
      <c r="AF6440">
        <v>3.1511965336245602</v>
      </c>
      <c r="AG6440">
        <v>-1.098646</v>
      </c>
      <c r="AH6440">
        <v>7.3258188108169602</v>
      </c>
      <c r="AI6440">
        <v>97.843947500615698</v>
      </c>
      <c r="AJ6440">
        <v>66.725071565754902</v>
      </c>
      <c r="AK6440">
        <v>8.0501356433145297</v>
      </c>
      <c r="AL6440">
        <v>68.792814717205204</v>
      </c>
      <c r="AM6440">
        <v>75.948643637883507</v>
      </c>
      <c r="AN6440">
        <v>1.0000000358758101</v>
      </c>
    </row>
    <row r="6441" spans="1:40" x14ac:dyDescent="0.25">
      <c r="A6441" t="str">
        <f>"20190304164250244"</f>
        <v>20190304164250244</v>
      </c>
      <c r="B6441" t="str">
        <f>"1551688970237102"</f>
        <v>1551688970237102</v>
      </c>
      <c r="C6441" t="s">
        <v>40</v>
      </c>
      <c r="D6441">
        <v>5.1402320000000001</v>
      </c>
      <c r="E6441">
        <v>0.58776890000000004</v>
      </c>
      <c r="F6441" t="s">
        <v>43</v>
      </c>
      <c r="G6441">
        <v>-305.8175</v>
      </c>
      <c r="H6441">
        <v>-0.05</v>
      </c>
      <c r="I6441">
        <v>3.4813230000000002</v>
      </c>
      <c r="J6441">
        <v>-309.28519999999997</v>
      </c>
      <c r="K6441">
        <v>1.0485960000000001</v>
      </c>
      <c r="L6441">
        <v>10.861599999999999</v>
      </c>
      <c r="M6441">
        <v>0.74748340000000002</v>
      </c>
      <c r="N6441">
        <v>-1.6778709999999999E-2</v>
      </c>
      <c r="O6441">
        <v>-0.66406869999999996</v>
      </c>
      <c r="P6441">
        <v>0.53849939999999996</v>
      </c>
      <c r="Q6441">
        <v>0.35344700000000001</v>
      </c>
      <c r="R6441">
        <v>-0.76491419999999999</v>
      </c>
      <c r="S6441">
        <v>1.483093</v>
      </c>
      <c r="T6441">
        <v>-0.45249470000000003</v>
      </c>
      <c r="U6441">
        <v>-3.0927120000000001</v>
      </c>
      <c r="V6441">
        <v>0.22519810000000001</v>
      </c>
      <c r="W6441">
        <v>0.36205700000000002</v>
      </c>
      <c r="X6441">
        <v>0.90454440000000003</v>
      </c>
      <c r="Y6441">
        <v>0.38692490000000002</v>
      </c>
      <c r="Z6441">
        <v>5.37283E-2</v>
      </c>
      <c r="AA6441">
        <v>0.92054460000000005</v>
      </c>
      <c r="AB6441">
        <v>28</v>
      </c>
      <c r="AC6441">
        <v>3.4676999999999798</v>
      </c>
      <c r="AD6441">
        <v>-1.0985959999999999</v>
      </c>
      <c r="AE6441">
        <v>-7.3802769999999898</v>
      </c>
      <c r="AF6441">
        <v>3.1569935251519401</v>
      </c>
      <c r="AG6441">
        <v>-1.0985959999999999</v>
      </c>
      <c r="AH6441">
        <v>7.3605136913692499</v>
      </c>
      <c r="AI6441">
        <v>97.810547943769294</v>
      </c>
      <c r="AJ6441">
        <v>66.785051870155002</v>
      </c>
      <c r="AK6441">
        <v>8.0839769352653104</v>
      </c>
      <c r="AL6441">
        <v>68.7734230120371</v>
      </c>
      <c r="AM6441">
        <v>76.0196900949677</v>
      </c>
      <c r="AN6441">
        <v>1.00000001353198</v>
      </c>
    </row>
    <row r="6442" spans="1:40" x14ac:dyDescent="0.25">
      <c r="A6442" t="str">
        <f>"20190304164250264"</f>
        <v>20190304164250264</v>
      </c>
      <c r="B6442" t="str">
        <f>"1551688970257598"</f>
        <v>1551688970257598</v>
      </c>
      <c r="C6442" t="s">
        <v>40</v>
      </c>
      <c r="D6442">
        <v>5.1261960000000002</v>
      </c>
      <c r="E6442">
        <v>0.5877289</v>
      </c>
      <c r="F6442" t="s">
        <v>43</v>
      </c>
      <c r="G6442">
        <v>-305.74180000000001</v>
      </c>
      <c r="H6442">
        <v>-0.05</v>
      </c>
      <c r="I6442">
        <v>3.2948909999999998</v>
      </c>
      <c r="J6442">
        <v>-309.10579999999999</v>
      </c>
      <c r="K6442">
        <v>1.048548</v>
      </c>
      <c r="L6442">
        <v>10.683529999999999</v>
      </c>
      <c r="M6442">
        <v>0.73805790000000004</v>
      </c>
      <c r="N6442">
        <v>-1.674113E-2</v>
      </c>
      <c r="O6442">
        <v>-0.67452990000000002</v>
      </c>
      <c r="P6442">
        <v>0.52966959999999996</v>
      </c>
      <c r="Q6442">
        <v>0.35448449999999998</v>
      </c>
      <c r="R6442">
        <v>-0.77057849999999894</v>
      </c>
      <c r="S6442">
        <v>1.4546509999999999</v>
      </c>
      <c r="T6442">
        <v>-0.45100069999999998</v>
      </c>
      <c r="U6442">
        <v>-3.1063230000000002</v>
      </c>
      <c r="V6442">
        <v>0.2225345</v>
      </c>
      <c r="W6442">
        <v>0.36313780000000001</v>
      </c>
      <c r="X6442">
        <v>0.90477030000000003</v>
      </c>
      <c r="Y6442">
        <v>0.3824649</v>
      </c>
      <c r="Z6442">
        <v>5.5278699999999903E-2</v>
      </c>
      <c r="AA6442">
        <v>0.92231490000000005</v>
      </c>
      <c r="AB6442">
        <v>28</v>
      </c>
      <c r="AC6442">
        <v>3.3639999999999701</v>
      </c>
      <c r="AD6442">
        <v>-1.0985479999999901</v>
      </c>
      <c r="AE6442">
        <v>-7.3886390000000004</v>
      </c>
      <c r="AF6442">
        <v>3.12730846427884</v>
      </c>
      <c r="AG6442">
        <v>-1.0985479999999901</v>
      </c>
      <c r="AH6442">
        <v>7.3334519621914103</v>
      </c>
      <c r="AI6442">
        <v>97.845576758718096</v>
      </c>
      <c r="AJ6442">
        <v>66.904454655428296</v>
      </c>
      <c r="AK6442">
        <v>8.0477564339897398</v>
      </c>
      <c r="AL6442">
        <v>68.706974982440897</v>
      </c>
      <c r="AM6442">
        <v>76.181988923290305</v>
      </c>
      <c r="AN6442">
        <v>0.99999998062058904</v>
      </c>
    </row>
    <row r="6443" spans="1:40" x14ac:dyDescent="0.25">
      <c r="A6443" t="str">
        <f>"20190304164250277"</f>
        <v>20190304164250277</v>
      </c>
      <c r="B6443" t="str">
        <f>"1551688970267359"</f>
        <v>1551688970267359</v>
      </c>
      <c r="C6443" t="s">
        <v>40</v>
      </c>
      <c r="D6443">
        <v>5.1157320000000004</v>
      </c>
      <c r="E6443">
        <v>0.58770599999999995</v>
      </c>
      <c r="F6443" t="s">
        <v>43</v>
      </c>
      <c r="G6443">
        <v>-305.61829999999998</v>
      </c>
      <c r="H6443">
        <v>-0.05</v>
      </c>
      <c r="I6443">
        <v>2.9929350000000001</v>
      </c>
      <c r="J6443">
        <v>-308.98379999999997</v>
      </c>
      <c r="K6443">
        <v>1.0485230000000001</v>
      </c>
      <c r="L6443">
        <v>10.55927</v>
      </c>
      <c r="M6443">
        <v>0.73146499999999903</v>
      </c>
      <c r="N6443">
        <v>-1.6716999999999999E-2</v>
      </c>
      <c r="O6443">
        <v>-0.681674</v>
      </c>
      <c r="P6443">
        <v>0.52330670000000001</v>
      </c>
      <c r="Q6443">
        <v>0.354539099999999</v>
      </c>
      <c r="R6443">
        <v>-0.77488859999999904</v>
      </c>
      <c r="S6443">
        <v>1.4169309999999999</v>
      </c>
      <c r="T6443">
        <v>-0.44631890000000002</v>
      </c>
      <c r="U6443">
        <v>-3.1245419999999999</v>
      </c>
      <c r="V6443">
        <v>0.22116459999999999</v>
      </c>
      <c r="W6443">
        <v>0.36321560000000003</v>
      </c>
      <c r="X6443">
        <v>0.90507499999999996</v>
      </c>
      <c r="Y6443">
        <v>0.38474540000000002</v>
      </c>
      <c r="Z6443">
        <v>5.543199E-2</v>
      </c>
      <c r="AA6443">
        <v>0.92135679999999998</v>
      </c>
      <c r="AB6443">
        <v>28</v>
      </c>
      <c r="AC6443">
        <v>3.3654999999999902</v>
      </c>
      <c r="AD6443">
        <v>-1.0985229999999999</v>
      </c>
      <c r="AE6443">
        <v>-7.5663349999999996</v>
      </c>
      <c r="AF6443">
        <v>3.184745410908</v>
      </c>
      <c r="AG6443">
        <v>-1.0985229999999999</v>
      </c>
      <c r="AH6443">
        <v>7.48880170021868</v>
      </c>
      <c r="AI6443">
        <v>97.687839229516001</v>
      </c>
      <c r="AJ6443">
        <v>66.961518165587904</v>
      </c>
      <c r="AK6443">
        <v>8.2116689545443098</v>
      </c>
      <c r="AL6443">
        <v>68.702192340361705</v>
      </c>
      <c r="AM6443">
        <v>76.2682690343796</v>
      </c>
      <c r="AN6443">
        <v>1.0000000540007501</v>
      </c>
    </row>
    <row r="6444" spans="1:40" x14ac:dyDescent="0.25">
      <c r="A6444" t="str">
        <f>"20190304164250290"</f>
        <v>20190304164250290</v>
      </c>
      <c r="B6444" t="str">
        <f>"1551688970287854"</f>
        <v>1551688970287854</v>
      </c>
      <c r="C6444" t="s">
        <v>40</v>
      </c>
      <c r="D6444">
        <v>4.8652819999999997</v>
      </c>
      <c r="E6444">
        <v>0.58773619999999904</v>
      </c>
      <c r="F6444" t="s">
        <v>43</v>
      </c>
      <c r="G6444">
        <v>-305.55939999999998</v>
      </c>
      <c r="H6444">
        <v>-0.05</v>
      </c>
      <c r="I6444">
        <v>2.829437</v>
      </c>
      <c r="J6444">
        <v>-308.86869999999999</v>
      </c>
      <c r="K6444">
        <v>1.0485040000000001</v>
      </c>
      <c r="L6444">
        <v>10.4397</v>
      </c>
      <c r="M6444">
        <v>0.72510730000000001</v>
      </c>
      <c r="N6444">
        <v>-1.6695049999999999E-2</v>
      </c>
      <c r="O6444">
        <v>-0.68843359999999998</v>
      </c>
      <c r="P6444">
        <v>0.51723370000000002</v>
      </c>
      <c r="Q6444">
        <v>0.35431590000000002</v>
      </c>
      <c r="R6444">
        <v>-0.77905709999999995</v>
      </c>
      <c r="S6444">
        <v>1.3897090000000001</v>
      </c>
      <c r="T6444">
        <v>-0.44580880000000001</v>
      </c>
      <c r="U6444">
        <v>-3.1369630000000002</v>
      </c>
      <c r="V6444">
        <v>0.21989719999999999</v>
      </c>
      <c r="W6444">
        <v>0.36301689999999998</v>
      </c>
      <c r="X6444">
        <v>0.90546340000000003</v>
      </c>
      <c r="Y6444">
        <v>0.384243</v>
      </c>
      <c r="Z6444">
        <v>5.6341589999999997E-2</v>
      </c>
      <c r="AA6444">
        <v>0.92151119999999997</v>
      </c>
      <c r="AB6444">
        <v>28</v>
      </c>
      <c r="AC6444">
        <v>3.3092999999999999</v>
      </c>
      <c r="AD6444">
        <v>-1.0985039999999999</v>
      </c>
      <c r="AE6444">
        <v>-7.6102629999999998</v>
      </c>
      <c r="AF6444">
        <v>3.1846728821234098</v>
      </c>
      <c r="AG6444">
        <v>-1.0985039999999999</v>
      </c>
      <c r="AH6444">
        <v>7.5082613483862701</v>
      </c>
      <c r="AI6444">
        <v>97.671052204623294</v>
      </c>
      <c r="AJ6444">
        <v>67.015487666865596</v>
      </c>
      <c r="AK6444">
        <v>8.2293888521456804</v>
      </c>
      <c r="AL6444">
        <v>68.714409994794295</v>
      </c>
      <c r="AM6444">
        <v>76.349643862636199</v>
      </c>
      <c r="AN6444">
        <v>1.0000000084964999</v>
      </c>
    </row>
    <row r="6445" spans="1:40" x14ac:dyDescent="0.25">
      <c r="A6445" t="str">
        <f>"20190304164250303"</f>
        <v>20190304164250303</v>
      </c>
      <c r="B6445" t="str">
        <f>"1551688970297615"</f>
        <v>1551688970297615</v>
      </c>
      <c r="C6445" t="s">
        <v>40</v>
      </c>
      <c r="D6445">
        <v>4.8816860000000002</v>
      </c>
      <c r="E6445">
        <v>0.58774230000000005</v>
      </c>
      <c r="F6445" t="s">
        <v>43</v>
      </c>
      <c r="G6445">
        <v>-305.50990000000002</v>
      </c>
      <c r="H6445">
        <v>-0.05</v>
      </c>
      <c r="I6445">
        <v>2.687103</v>
      </c>
      <c r="J6445">
        <v>-308.75209999999998</v>
      </c>
      <c r="K6445">
        <v>1.048489</v>
      </c>
      <c r="L6445">
        <v>10.316990000000001</v>
      </c>
      <c r="M6445">
        <v>0.71855259999999999</v>
      </c>
      <c r="N6445">
        <v>-1.6673449999999999E-2</v>
      </c>
      <c r="O6445">
        <v>-0.69527280000000002</v>
      </c>
      <c r="P6445">
        <v>0.51103379999999998</v>
      </c>
      <c r="Q6445">
        <v>0.35392069999999998</v>
      </c>
      <c r="R6445">
        <v>-0.78331669999999998</v>
      </c>
      <c r="S6445">
        <v>1.363953</v>
      </c>
      <c r="T6445">
        <v>-0.44607930000000001</v>
      </c>
      <c r="U6445">
        <v>-3.1481629999999998</v>
      </c>
      <c r="V6445">
        <v>0.21861059999999999</v>
      </c>
      <c r="W6445">
        <v>0.36264950000000001</v>
      </c>
      <c r="X6445">
        <v>0.90592209999999995</v>
      </c>
      <c r="Y6445">
        <v>0.38307409999999997</v>
      </c>
      <c r="Z6445">
        <v>5.743111E-2</v>
      </c>
      <c r="AA6445">
        <v>0.92193060000000004</v>
      </c>
      <c r="AB6445">
        <v>28</v>
      </c>
      <c r="AC6445">
        <v>3.24219999999996</v>
      </c>
      <c r="AD6445">
        <v>-1.098489</v>
      </c>
      <c r="AE6445">
        <v>-7.6298869999999903</v>
      </c>
      <c r="AF6445">
        <v>3.1730002247455702</v>
      </c>
      <c r="AG6445">
        <v>-1.098489</v>
      </c>
      <c r="AH6445">
        <v>7.5038558661501096</v>
      </c>
      <c r="AI6445">
        <v>97.678957577212202</v>
      </c>
      <c r="AJ6445">
        <v>67.078962145635998</v>
      </c>
      <c r="AK6445">
        <v>8.2208552699406994</v>
      </c>
      <c r="AL6445">
        <v>68.737000858849598</v>
      </c>
      <c r="AM6445">
        <v>76.433166537830999</v>
      </c>
      <c r="AN6445">
        <v>1.0000000527755</v>
      </c>
    </row>
    <row r="6446" spans="1:40" x14ac:dyDescent="0.25">
      <c r="A6446" t="str">
        <f>"20190304164250317"</f>
        <v>20190304164250317</v>
      </c>
      <c r="B6446" t="str">
        <f>"1551688970307376"</f>
        <v>1551688970307376</v>
      </c>
      <c r="C6446" t="s">
        <v>40</v>
      </c>
      <c r="D6446">
        <v>4.8889690000000003</v>
      </c>
      <c r="E6446">
        <v>0.58774569999999904</v>
      </c>
      <c r="F6446" t="s">
        <v>43</v>
      </c>
      <c r="G6446">
        <v>-305.4658</v>
      </c>
      <c r="H6446">
        <v>-0.05</v>
      </c>
      <c r="I6446">
        <v>2.5580599999999998</v>
      </c>
      <c r="J6446">
        <v>-308.63229999999999</v>
      </c>
      <c r="K6446">
        <v>1.048476</v>
      </c>
      <c r="L6446">
        <v>10.187530000000001</v>
      </c>
      <c r="M6446">
        <v>0.71164620000000001</v>
      </c>
      <c r="N6446">
        <v>-1.6652420000000001E-2</v>
      </c>
      <c r="O6446">
        <v>-0.70234049999999904</v>
      </c>
      <c r="P6446">
        <v>0.50415779999999999</v>
      </c>
      <c r="Q6446">
        <v>0.3539658</v>
      </c>
      <c r="R6446">
        <v>-0.78773919999999997</v>
      </c>
      <c r="S6446">
        <v>1.3380129999999999</v>
      </c>
      <c r="T6446">
        <v>-0.44724629999999999</v>
      </c>
      <c r="U6446">
        <v>-3.159027</v>
      </c>
      <c r="V6446">
        <v>0.2175617</v>
      </c>
      <c r="W6446">
        <v>0.36271350000000002</v>
      </c>
      <c r="X6446">
        <v>0.90614890000000003</v>
      </c>
      <c r="Y6446">
        <v>0.38154100000000002</v>
      </c>
      <c r="Z6446">
        <v>5.8724760000000001E-2</v>
      </c>
      <c r="AA6446">
        <v>0.92248459999999999</v>
      </c>
      <c r="AB6446">
        <v>28</v>
      </c>
      <c r="AC6446">
        <v>3.1664999999999801</v>
      </c>
      <c r="AD6446">
        <v>-1.098476</v>
      </c>
      <c r="AE6446">
        <v>-7.6294700000000004</v>
      </c>
      <c r="AF6446">
        <v>3.1502591075743802</v>
      </c>
      <c r="AG6446">
        <v>-1.098476</v>
      </c>
      <c r="AH6446">
        <v>7.4806844799986401</v>
      </c>
      <c r="AI6446">
        <v>97.707085654595701</v>
      </c>
      <c r="AJ6446">
        <v>67.163111085415096</v>
      </c>
      <c r="AK6446">
        <v>8.1909353712945308</v>
      </c>
      <c r="AL6446">
        <v>68.733064901150399</v>
      </c>
      <c r="AM6446">
        <v>76.499127361008803</v>
      </c>
      <c r="AN6446">
        <v>1.0000000026801701</v>
      </c>
    </row>
    <row r="6447" spans="1:40" x14ac:dyDescent="0.25">
      <c r="A6447" t="str">
        <f>"20190304164250331"</f>
        <v>20190304164250331</v>
      </c>
      <c r="B6447" t="str">
        <f>"1551688970327871"</f>
        <v>1551688970327871</v>
      </c>
      <c r="C6447" t="s">
        <v>40</v>
      </c>
      <c r="D6447">
        <v>5.07822</v>
      </c>
      <c r="E6447">
        <v>0.58774469999999901</v>
      </c>
      <c r="F6447" t="s">
        <v>43</v>
      </c>
      <c r="G6447">
        <v>-305.41329999999999</v>
      </c>
      <c r="H6447">
        <v>-0.05</v>
      </c>
      <c r="I6447">
        <v>2.3912960000000001</v>
      </c>
      <c r="J6447">
        <v>-308.51319999999998</v>
      </c>
      <c r="K6447">
        <v>1.0484690000000001</v>
      </c>
      <c r="L6447">
        <v>10.05646</v>
      </c>
      <c r="M6447">
        <v>0.70463699999999996</v>
      </c>
      <c r="N6447">
        <v>-1.6632230000000001E-2</v>
      </c>
      <c r="O6447">
        <v>-0.70937309999999998</v>
      </c>
      <c r="P6447">
        <v>0.49879299999999999</v>
      </c>
      <c r="Q6447">
        <v>0.353979299999999</v>
      </c>
      <c r="R6447">
        <v>-0.79114130000000005</v>
      </c>
      <c r="S6447">
        <v>1.309326</v>
      </c>
      <c r="T6447">
        <v>-0.44681320000000002</v>
      </c>
      <c r="U6447">
        <v>-3.171173</v>
      </c>
      <c r="V6447">
        <v>0.21469160000000001</v>
      </c>
      <c r="W6447">
        <v>0.36280990000000002</v>
      </c>
      <c r="X6447">
        <v>0.90679460000000001</v>
      </c>
      <c r="Y6447">
        <v>0.3807683</v>
      </c>
      <c r="Z6447">
        <v>5.9707990000000002E-2</v>
      </c>
      <c r="AA6447">
        <v>0.92274080000000003</v>
      </c>
      <c r="AB6447">
        <v>28</v>
      </c>
      <c r="AC6447">
        <v>3.0998999999999901</v>
      </c>
      <c r="AD6447">
        <v>-1.0984689999999999</v>
      </c>
      <c r="AE6447">
        <v>-7.6651639999999999</v>
      </c>
      <c r="AF6447">
        <v>3.1470691766221601</v>
      </c>
      <c r="AG6447">
        <v>-1.0984689999999999</v>
      </c>
      <c r="AH6447">
        <v>7.4906092562595799</v>
      </c>
      <c r="AI6447">
        <v>97.699622447797694</v>
      </c>
      <c r="AJ6447">
        <v>67.211006129468799</v>
      </c>
      <c r="AK6447">
        <v>8.1987746387108391</v>
      </c>
      <c r="AL6447">
        <v>68.727137267339998</v>
      </c>
      <c r="AM6447">
        <v>76.679988424003</v>
      </c>
      <c r="AN6447">
        <v>0.99999997661886397</v>
      </c>
    </row>
    <row r="6448" spans="1:40" x14ac:dyDescent="0.25">
      <c r="A6448" t="str">
        <f>"20190304164250354"</f>
        <v>20190304164250354</v>
      </c>
      <c r="B6448" t="str">
        <f>"1551688970347389"</f>
        <v>1551688970347389</v>
      </c>
      <c r="C6448" t="s">
        <v>40</v>
      </c>
      <c r="D6448">
        <v>4.9515149999999997</v>
      </c>
      <c r="E6448">
        <v>0.58772159999999996</v>
      </c>
      <c r="F6448" t="s">
        <v>43</v>
      </c>
      <c r="G6448">
        <v>-305.346</v>
      </c>
      <c r="H6448">
        <v>-0.05</v>
      </c>
      <c r="I6448">
        <v>2.2213750000000001</v>
      </c>
      <c r="J6448">
        <v>-308.31610000000001</v>
      </c>
      <c r="K6448">
        <v>1.0484599999999999</v>
      </c>
      <c r="L6448">
        <v>9.8338319999999992</v>
      </c>
      <c r="M6448">
        <v>0.69270509999999996</v>
      </c>
      <c r="N6448">
        <v>-1.6600219999999999E-2</v>
      </c>
      <c r="O6448">
        <v>-0.7210299</v>
      </c>
      <c r="P6448">
        <v>0.4875893</v>
      </c>
      <c r="Q6448">
        <v>0.35422730000000002</v>
      </c>
      <c r="R6448">
        <v>-0.79798469999999999</v>
      </c>
      <c r="S6448">
        <v>1.2857970000000001</v>
      </c>
      <c r="T6448">
        <v>-0.44595040000000002</v>
      </c>
      <c r="U6448">
        <v>-3.180847</v>
      </c>
      <c r="V6448">
        <v>0.21224760000000001</v>
      </c>
      <c r="W6448">
        <v>0.36311909999999997</v>
      </c>
      <c r="X6448">
        <v>0.90724610000000006</v>
      </c>
      <c r="Y6448">
        <v>0.37225419999999998</v>
      </c>
      <c r="Z6448">
        <v>6.1727089999999998E-2</v>
      </c>
      <c r="AA6448">
        <v>0.92607589999999995</v>
      </c>
      <c r="AB6448">
        <v>28</v>
      </c>
      <c r="AC6448">
        <v>2.9701</v>
      </c>
      <c r="AD6448">
        <v>-1.09846</v>
      </c>
      <c r="AE6448">
        <v>-7.612457</v>
      </c>
      <c r="AF6448">
        <v>3.07649328723886</v>
      </c>
      <c r="AG6448">
        <v>-1.09846</v>
      </c>
      <c r="AH6448">
        <v>7.4132872987777398</v>
      </c>
      <c r="AI6448">
        <v>97.792939623797096</v>
      </c>
      <c r="AJ6448">
        <v>67.461688033935303</v>
      </c>
      <c r="AK6448">
        <v>8.1011267051099196</v>
      </c>
      <c r="AL6448">
        <v>68.7081254580105</v>
      </c>
      <c r="AM6448">
        <v>76.832631381281303</v>
      </c>
      <c r="AN6448">
        <v>1.0000000052278899</v>
      </c>
    </row>
    <row r="6449" spans="1:40" x14ac:dyDescent="0.25">
      <c r="A6449" t="str">
        <f>"20190304164250370"</f>
        <v>20190304164250370</v>
      </c>
      <c r="B6449" t="str">
        <f>"1551688970357151"</f>
        <v>1551688970357151</v>
      </c>
      <c r="C6449" t="s">
        <v>40</v>
      </c>
      <c r="D6449">
        <v>4.9384119999999996</v>
      </c>
      <c r="E6449">
        <v>0.58771180000000001</v>
      </c>
      <c r="F6449" t="s">
        <v>43</v>
      </c>
      <c r="G6449">
        <v>-305.25420000000003</v>
      </c>
      <c r="H6449">
        <v>-0.05</v>
      </c>
      <c r="I6449">
        <v>1.9284060000000001</v>
      </c>
      <c r="J6449">
        <v>-308.1823</v>
      </c>
      <c r="K6449">
        <v>1.0484610000000001</v>
      </c>
      <c r="L6449">
        <v>9.6783140000000003</v>
      </c>
      <c r="M6449">
        <v>0.68435639999999998</v>
      </c>
      <c r="N6449">
        <v>-1.6579320000000002E-2</v>
      </c>
      <c r="O6449">
        <v>-0.72895929999999998</v>
      </c>
      <c r="P6449">
        <v>0.47937550000000001</v>
      </c>
      <c r="Q6449">
        <v>0.35452810000000001</v>
      </c>
      <c r="R6449">
        <v>-0.80281359999999902</v>
      </c>
      <c r="S6449">
        <v>1.239258</v>
      </c>
      <c r="T6449">
        <v>-0.44457819999999998</v>
      </c>
      <c r="U6449">
        <v>-3.199554</v>
      </c>
      <c r="V6449">
        <v>0.21100569999999999</v>
      </c>
      <c r="W6449">
        <v>0.36344880000000002</v>
      </c>
      <c r="X6449">
        <v>0.90740379999999998</v>
      </c>
      <c r="Y6449">
        <v>0.37511290000000003</v>
      </c>
      <c r="Z6449">
        <v>6.2470530000000003E-2</v>
      </c>
      <c r="AA6449">
        <v>0.92487169999999996</v>
      </c>
      <c r="AB6449">
        <v>28</v>
      </c>
      <c r="AC6449">
        <v>2.9280999999999699</v>
      </c>
      <c r="AD6449">
        <v>-1.0984609999999999</v>
      </c>
      <c r="AE6449">
        <v>-7.7499079999999996</v>
      </c>
      <c r="AF6449">
        <v>3.1149079200083301</v>
      </c>
      <c r="AG6449">
        <v>-1.0984609999999999</v>
      </c>
      <c r="AH6449">
        <v>7.5220434289285301</v>
      </c>
      <c r="AI6449">
        <v>97.684027350217505</v>
      </c>
      <c r="AJ6449">
        <v>67.505360645431907</v>
      </c>
      <c r="AK6449">
        <v>8.2152544248695403</v>
      </c>
      <c r="AL6449">
        <v>68.687850684046097</v>
      </c>
      <c r="AM6449">
        <v>76.909211520344897</v>
      </c>
      <c r="AN6449">
        <v>1.00000004595418</v>
      </c>
    </row>
    <row r="6450" spans="1:40" x14ac:dyDescent="0.25">
      <c r="A6450" t="str">
        <f>"20190304164250387"</f>
        <v>20190304164250387</v>
      </c>
      <c r="B6450" t="str">
        <f>"1551688970377647"</f>
        <v>1551688970377647</v>
      </c>
      <c r="C6450" t="s">
        <v>40</v>
      </c>
      <c r="D6450">
        <v>4.9657619999999998</v>
      </c>
      <c r="E6450">
        <v>0.58762550000000002</v>
      </c>
      <c r="F6450" t="s">
        <v>43</v>
      </c>
      <c r="G6450">
        <v>-305.19319999999999</v>
      </c>
      <c r="H6450">
        <v>-0.05</v>
      </c>
      <c r="I6450">
        <v>1.715408</v>
      </c>
      <c r="J6450">
        <v>-308.04270000000002</v>
      </c>
      <c r="K6450">
        <v>1.0484709999999999</v>
      </c>
      <c r="L6450">
        <v>9.5122990000000005</v>
      </c>
      <c r="M6450">
        <v>0.67543399999999998</v>
      </c>
      <c r="N6450">
        <v>-1.655804E-2</v>
      </c>
      <c r="O6450">
        <v>-0.73723459999999996</v>
      </c>
      <c r="P6450">
        <v>0.47097159999999899</v>
      </c>
      <c r="Q6450">
        <v>0.35501319999999997</v>
      </c>
      <c r="R6450">
        <v>-0.80755880000000002</v>
      </c>
      <c r="S6450">
        <v>1.205902</v>
      </c>
      <c r="T6450">
        <v>-0.44315460000000001</v>
      </c>
      <c r="U6450">
        <v>-3.212494</v>
      </c>
      <c r="V6450">
        <v>0.20927280000000001</v>
      </c>
      <c r="W6450">
        <v>0.36398000000000003</v>
      </c>
      <c r="X6450">
        <v>0.90759210000000001</v>
      </c>
      <c r="Y6450">
        <v>0.37350670000000002</v>
      </c>
      <c r="Z6450">
        <v>6.3503270000000001E-2</v>
      </c>
      <c r="AA6450">
        <v>0.92545129999999998</v>
      </c>
      <c r="AB6450">
        <v>28</v>
      </c>
      <c r="AC6450">
        <v>2.8495000000000301</v>
      </c>
      <c r="AD6450">
        <v>-1.098471</v>
      </c>
      <c r="AE6450">
        <v>-7.7968909999999996</v>
      </c>
      <c r="AF6450">
        <v>3.1114868185831601</v>
      </c>
      <c r="AG6450">
        <v>-1.098471</v>
      </c>
      <c r="AH6450">
        <v>7.5417815566637003</v>
      </c>
      <c r="AI6450">
        <v>97.668336516718</v>
      </c>
      <c r="AJ6450">
        <v>67.580593893085293</v>
      </c>
      <c r="AK6450">
        <v>8.2320384965384203</v>
      </c>
      <c r="AL6450">
        <v>68.655175971311493</v>
      </c>
      <c r="AM6450">
        <v>77.01566475928</v>
      </c>
      <c r="AN6450">
        <v>0.99999998260112399</v>
      </c>
    </row>
    <row r="6451" spans="1:40" x14ac:dyDescent="0.25">
      <c r="A6451" t="str">
        <f>"20190304164250409"</f>
        <v>20190304164250409</v>
      </c>
      <c r="B6451" t="str">
        <f>"1551688970397166"</f>
        <v>1551688970397166</v>
      </c>
      <c r="C6451" t="s">
        <v>40</v>
      </c>
      <c r="D6451">
        <v>4.9578530000000001</v>
      </c>
      <c r="E6451">
        <v>0.58752669999999996</v>
      </c>
      <c r="F6451" t="s">
        <v>43</v>
      </c>
      <c r="G6451">
        <v>-305.1284</v>
      </c>
      <c r="H6451">
        <v>-0.05</v>
      </c>
      <c r="I6451">
        <v>1.5054780000000001</v>
      </c>
      <c r="J6451">
        <v>-307.86020000000002</v>
      </c>
      <c r="K6451">
        <v>1.048484</v>
      </c>
      <c r="L6451">
        <v>9.2883610000000001</v>
      </c>
      <c r="M6451">
        <v>0.66340319999999997</v>
      </c>
      <c r="N6451">
        <v>-1.653044E-2</v>
      </c>
      <c r="O6451">
        <v>-0.74807959999999996</v>
      </c>
      <c r="P6451">
        <v>0.45824100000000001</v>
      </c>
      <c r="Q6451">
        <v>0.35502679999999998</v>
      </c>
      <c r="R6451">
        <v>-0.81484480000000004</v>
      </c>
      <c r="S6451">
        <v>1.1737979999999999</v>
      </c>
      <c r="T6451">
        <v>-0.44242019999999999</v>
      </c>
      <c r="U6451">
        <v>-3.2248230000000002</v>
      </c>
      <c r="V6451">
        <v>0.20877480000000001</v>
      </c>
      <c r="W6451">
        <v>0.36400179999999999</v>
      </c>
      <c r="X6451">
        <v>0.90769809999999995</v>
      </c>
      <c r="Y6451">
        <v>0.36780859999999999</v>
      </c>
      <c r="Z6451">
        <v>6.5238480000000001E-2</v>
      </c>
      <c r="AA6451">
        <v>0.92761020000000005</v>
      </c>
      <c r="AB6451">
        <v>28</v>
      </c>
      <c r="AC6451">
        <v>2.7318000000000202</v>
      </c>
      <c r="AD6451">
        <v>-1.098484</v>
      </c>
      <c r="AE6451">
        <v>-7.782883</v>
      </c>
      <c r="AF6451">
        <v>3.0656403880052698</v>
      </c>
      <c r="AG6451">
        <v>-1.098484</v>
      </c>
      <c r="AH6451">
        <v>7.50248171342019</v>
      </c>
      <c r="AI6451">
        <v>97.718689065209702</v>
      </c>
      <c r="AJ6451">
        <v>67.774248203460601</v>
      </c>
      <c r="AK6451">
        <v>8.1787560146411895</v>
      </c>
      <c r="AL6451">
        <v>68.653836085156797</v>
      </c>
      <c r="AM6451">
        <v>77.046981475871704</v>
      </c>
      <c r="AN6451">
        <v>1.0000000341309401</v>
      </c>
    </row>
    <row r="6452" spans="1:40" x14ac:dyDescent="0.25">
      <c r="A6452" t="str">
        <f>"20190304164250432"</f>
        <v>20190304164250432</v>
      </c>
      <c r="B6452" t="str">
        <f>"1551688970427422"</f>
        <v>1551688970427422</v>
      </c>
      <c r="C6452" t="s">
        <v>40</v>
      </c>
      <c r="D6452">
        <v>4.9460259999999998</v>
      </c>
      <c r="E6452">
        <v>0.58737510000000004</v>
      </c>
      <c r="F6452" t="s">
        <v>43</v>
      </c>
      <c r="G6452">
        <v>-305.07569999999998</v>
      </c>
      <c r="H6452">
        <v>-0.05</v>
      </c>
      <c r="I6452">
        <v>1.2785029999999999</v>
      </c>
      <c r="J6452">
        <v>-307.67779999999999</v>
      </c>
      <c r="K6452">
        <v>1.0485120000000001</v>
      </c>
      <c r="L6452">
        <v>9.0571289999999998</v>
      </c>
      <c r="M6452">
        <v>0.65097899999999997</v>
      </c>
      <c r="N6452">
        <v>-1.65024E-2</v>
      </c>
      <c r="O6452">
        <v>-0.75891640000000005</v>
      </c>
      <c r="P6452">
        <v>0.44477689999999998</v>
      </c>
      <c r="Q6452">
        <v>0.35456979999999999</v>
      </c>
      <c r="R6452">
        <v>-0.82246819999999898</v>
      </c>
      <c r="S6452">
        <v>1.1269229999999999</v>
      </c>
      <c r="T6452">
        <v>-0.44456259999999997</v>
      </c>
      <c r="U6452">
        <v>-3.241638</v>
      </c>
      <c r="V6452">
        <v>0.20881089999999999</v>
      </c>
      <c r="W6452">
        <v>0.36354300000000001</v>
      </c>
      <c r="X6452">
        <v>0.90787359999999995</v>
      </c>
      <c r="Y6452">
        <v>0.36598730000000002</v>
      </c>
      <c r="Z6452">
        <v>6.7292820000000003E-2</v>
      </c>
      <c r="AA6452">
        <v>0.92818369999999994</v>
      </c>
      <c r="AB6452">
        <v>28</v>
      </c>
      <c r="AC6452">
        <v>2.6021000000000001</v>
      </c>
      <c r="AD6452">
        <v>-1.0985119999999999</v>
      </c>
      <c r="AE6452">
        <v>-7.7786259999999903</v>
      </c>
      <c r="AF6452">
        <v>3.0349304356918299</v>
      </c>
      <c r="AG6452">
        <v>-1.0985119999999999</v>
      </c>
      <c r="AH6452">
        <v>7.4643888835007299</v>
      </c>
      <c r="AI6452">
        <v>97.763232980884396</v>
      </c>
      <c r="AJ6452">
        <v>67.8739343901685</v>
      </c>
      <c r="AK6452">
        <v>8.1323202573288906</v>
      </c>
      <c r="AL6452">
        <v>68.682055848451299</v>
      </c>
      <c r="AM6452">
        <v>77.047237164918897</v>
      </c>
      <c r="AN6452">
        <v>0.99999998919238398</v>
      </c>
    </row>
    <row r="6453" spans="1:40" x14ac:dyDescent="0.25">
      <c r="A6453" t="str">
        <f>"20190304164250454"</f>
        <v>20190304164250454</v>
      </c>
      <c r="B6453" t="str">
        <f>"1551688970447918"</f>
        <v>1551688970447918</v>
      </c>
      <c r="C6453" t="s">
        <v>40</v>
      </c>
      <c r="D6453">
        <v>4.961938</v>
      </c>
      <c r="E6453">
        <v>0.58726599999999995</v>
      </c>
      <c r="F6453" t="s">
        <v>43</v>
      </c>
      <c r="G6453">
        <v>-305.04149999999998</v>
      </c>
      <c r="H6453">
        <v>-0.05</v>
      </c>
      <c r="I6453">
        <v>1.0758669999999999</v>
      </c>
      <c r="J6453">
        <v>-307.50689999999997</v>
      </c>
      <c r="K6453">
        <v>1.0485599999999999</v>
      </c>
      <c r="L6453">
        <v>8.8330990000000007</v>
      </c>
      <c r="M6453">
        <v>0.63895900000000005</v>
      </c>
      <c r="N6453">
        <v>-1.6474809999999999E-2</v>
      </c>
      <c r="O6453">
        <v>-0.76906430000000003</v>
      </c>
      <c r="P6453">
        <v>0.43243140000000002</v>
      </c>
      <c r="Q6453">
        <v>0.35393730000000001</v>
      </c>
      <c r="R6453">
        <v>-0.82929589999999997</v>
      </c>
      <c r="S6453">
        <v>1.076416</v>
      </c>
      <c r="T6453">
        <v>-0.44853140000000002</v>
      </c>
      <c r="U6453">
        <v>-3.2588200000000001</v>
      </c>
      <c r="V6453">
        <v>0.2081982</v>
      </c>
      <c r="W6453">
        <v>0.36293700000000001</v>
      </c>
      <c r="X6453">
        <v>0.90825670000000003</v>
      </c>
      <c r="Y6453">
        <v>0.36582120000000001</v>
      </c>
      <c r="Z6453">
        <v>6.9525680000000006E-2</v>
      </c>
      <c r="AA6453">
        <v>0.92808460000000004</v>
      </c>
      <c r="AB6453">
        <v>28</v>
      </c>
      <c r="AC6453">
        <v>2.4653999999999798</v>
      </c>
      <c r="AD6453">
        <v>-1.09856</v>
      </c>
      <c r="AE6453">
        <v>-7.7572320000000001</v>
      </c>
      <c r="AF6453">
        <v>3.0061586949475898</v>
      </c>
      <c r="AG6453">
        <v>-1.09856</v>
      </c>
      <c r="AH6453">
        <v>7.4071972237380104</v>
      </c>
      <c r="AI6453">
        <v>97.824779069162503</v>
      </c>
      <c r="AJ6453">
        <v>67.910573437324601</v>
      </c>
      <c r="AK6453">
        <v>8.0691012438908594</v>
      </c>
      <c r="AL6453">
        <v>68.719322697759296</v>
      </c>
      <c r="AM6453">
        <v>77.089232608607503</v>
      </c>
      <c r="AN6453">
        <v>0.99999999477356405</v>
      </c>
    </row>
    <row r="6454" spans="1:40" x14ac:dyDescent="0.25">
      <c r="A6454" t="str">
        <f>"20190304164250469"</f>
        <v>20190304164250469</v>
      </c>
      <c r="B6454" t="str">
        <f>"1551688970457679"</f>
        <v>1551688970457679</v>
      </c>
      <c r="C6454" t="s">
        <v>40</v>
      </c>
      <c r="D6454">
        <v>4.9364559999999997</v>
      </c>
      <c r="E6454">
        <v>0.58720989999999995</v>
      </c>
      <c r="F6454" t="s">
        <v>43</v>
      </c>
      <c r="G6454">
        <v>-305.00810000000001</v>
      </c>
      <c r="H6454">
        <v>-0.05</v>
      </c>
      <c r="I6454">
        <v>0.86532589999999998</v>
      </c>
      <c r="J6454">
        <v>-307.3922</v>
      </c>
      <c r="K6454">
        <v>1.0486040000000001</v>
      </c>
      <c r="L6454">
        <v>8.6786189999999994</v>
      </c>
      <c r="M6454">
        <v>0.63069129999999995</v>
      </c>
      <c r="N6454">
        <v>-1.6454940000000001E-2</v>
      </c>
      <c r="O6454">
        <v>-0.77585930000000003</v>
      </c>
      <c r="P6454">
        <v>0.42357869999999997</v>
      </c>
      <c r="Q6454">
        <v>0.35422680000000001</v>
      </c>
      <c r="R6454">
        <v>-0.83372939999999995</v>
      </c>
      <c r="S6454">
        <v>1.0270079999999999</v>
      </c>
      <c r="T6454">
        <v>-0.45150289999999998</v>
      </c>
      <c r="U6454">
        <v>-3.2747190000000002</v>
      </c>
      <c r="V6454">
        <v>0.2080331</v>
      </c>
      <c r="W6454">
        <v>0.36323549999999999</v>
      </c>
      <c r="X6454">
        <v>0.90817519999999996</v>
      </c>
      <c r="Y6454">
        <v>0.3699056</v>
      </c>
      <c r="Z6454">
        <v>7.0886809999999995E-2</v>
      </c>
      <c r="AA6454">
        <v>0.92636110000000005</v>
      </c>
      <c r="AB6454">
        <v>28</v>
      </c>
      <c r="AC6454">
        <v>2.3840999999999801</v>
      </c>
      <c r="AD6454">
        <v>-1.0986039999999999</v>
      </c>
      <c r="AE6454">
        <v>-7.8132930999999903</v>
      </c>
      <c r="AF6454">
        <v>3.0237775442063501</v>
      </c>
      <c r="AG6454">
        <v>-1.0986039999999999</v>
      </c>
      <c r="AH6454">
        <v>7.4322494892225404</v>
      </c>
      <c r="AI6454">
        <v>97.796344264017904</v>
      </c>
      <c r="AJ6454">
        <v>67.861269596355399</v>
      </c>
      <c r="AK6454">
        <v>8.09867235142349</v>
      </c>
      <c r="AL6454">
        <v>68.700967288740003</v>
      </c>
      <c r="AM6454">
        <v>77.098009110280799</v>
      </c>
      <c r="AN6454">
        <v>0.99999999652544902</v>
      </c>
    </row>
    <row r="6455" spans="1:40" x14ac:dyDescent="0.25">
      <c r="A6455" t="str">
        <f>"20190304164250486"</f>
        <v>20190304164250486</v>
      </c>
      <c r="B6455" t="str">
        <f>"1551688970477199"</f>
        <v>1551688970477199</v>
      </c>
      <c r="C6455" t="s">
        <v>40</v>
      </c>
      <c r="D6455">
        <v>4.934647</v>
      </c>
      <c r="E6455">
        <v>0.58710289999999998</v>
      </c>
      <c r="F6455" t="s">
        <v>43</v>
      </c>
      <c r="G6455">
        <v>-304.97399999999999</v>
      </c>
      <c r="H6455">
        <v>-0.05</v>
      </c>
      <c r="I6455">
        <v>0.67037959999999996</v>
      </c>
      <c r="J6455">
        <v>-307.26069999999999</v>
      </c>
      <c r="K6455">
        <v>1.0486719999999901</v>
      </c>
      <c r="L6455">
        <v>8.4972840000000005</v>
      </c>
      <c r="M6455">
        <v>0.62100809999999995</v>
      </c>
      <c r="N6455">
        <v>-1.6430360000000001E-2</v>
      </c>
      <c r="O6455">
        <v>-0.783632199999999</v>
      </c>
      <c r="P6455">
        <v>0.4133056</v>
      </c>
      <c r="Q6455">
        <v>0.35432909999999901</v>
      </c>
      <c r="R6455">
        <v>-0.83882619999999897</v>
      </c>
      <c r="S6455">
        <v>0.99215699999999996</v>
      </c>
      <c r="T6455">
        <v>-0.45074730000000002</v>
      </c>
      <c r="U6455">
        <v>-3.2857059999999998</v>
      </c>
      <c r="V6455">
        <v>0.20782590000000001</v>
      </c>
      <c r="W6455">
        <v>0.3633537</v>
      </c>
      <c r="X6455">
        <v>0.90817530000000002</v>
      </c>
      <c r="Y6455">
        <v>0.36825999999999998</v>
      </c>
      <c r="Z6455">
        <v>7.2000430000000004E-2</v>
      </c>
      <c r="AA6455">
        <v>0.9269307</v>
      </c>
      <c r="AB6455">
        <v>28</v>
      </c>
      <c r="AC6455">
        <v>2.28669999999999</v>
      </c>
      <c r="AD6455">
        <v>-1.0986720000000001</v>
      </c>
      <c r="AE6455">
        <v>-7.8269044000000001</v>
      </c>
      <c r="AF6455">
        <v>3.0143293410330001</v>
      </c>
      <c r="AG6455">
        <v>-1.0986720000000001</v>
      </c>
      <c r="AH6455">
        <v>7.41978930742117</v>
      </c>
      <c r="AI6455">
        <v>97.811341110431599</v>
      </c>
      <c r="AJ6455">
        <v>67.890286963353304</v>
      </c>
      <c r="AK6455">
        <v>8.0837203629466305</v>
      </c>
      <c r="AL6455">
        <v>68.693697132545296</v>
      </c>
      <c r="AM6455">
        <v>77.110431404716493</v>
      </c>
      <c r="AN6455">
        <v>0.99999994577229301</v>
      </c>
    </row>
    <row r="6456" spans="1:40" x14ac:dyDescent="0.25">
      <c r="A6456" t="str">
        <f>"20190304164250509"</f>
        <v>20190304164250509</v>
      </c>
      <c r="B6456" t="str">
        <f>"1551688970497695"</f>
        <v>1551688970497695</v>
      </c>
      <c r="C6456" t="s">
        <v>40</v>
      </c>
      <c r="D6456">
        <v>4.9612949999999998</v>
      </c>
      <c r="E6456">
        <v>0.58701769999999998</v>
      </c>
      <c r="F6456" t="s">
        <v>43</v>
      </c>
      <c r="G6456">
        <v>-304.94029999999998</v>
      </c>
      <c r="H6456">
        <v>-0.05</v>
      </c>
      <c r="I6456">
        <v>0.47128300000000001</v>
      </c>
      <c r="J6456">
        <v>-307.09719999999999</v>
      </c>
      <c r="K6456">
        <v>1.048772</v>
      </c>
      <c r="L6456">
        <v>8.2648619999999902</v>
      </c>
      <c r="M6456">
        <v>0.60866419999999999</v>
      </c>
      <c r="N6456">
        <v>-1.6395980000000001E-2</v>
      </c>
      <c r="O6456">
        <v>-0.79325859999999904</v>
      </c>
      <c r="P6456">
        <v>0.40066970000000002</v>
      </c>
      <c r="Q6456">
        <v>0.35419650000000003</v>
      </c>
      <c r="R6456">
        <v>-0.84499059999999904</v>
      </c>
      <c r="S6456">
        <v>0.95327759999999995</v>
      </c>
      <c r="T6456">
        <v>-0.45137739999999998</v>
      </c>
      <c r="U6456">
        <v>-3.2973940000000002</v>
      </c>
      <c r="V6456">
        <v>0.20717340000000001</v>
      </c>
      <c r="W6456">
        <v>0.36326039999999998</v>
      </c>
      <c r="X6456">
        <v>0.90836170000000005</v>
      </c>
      <c r="Y6456">
        <v>0.36471290000000001</v>
      </c>
      <c r="Z6456">
        <v>7.3764440000000001E-2</v>
      </c>
      <c r="AA6456">
        <v>0.92819359999999995</v>
      </c>
      <c r="AB6456">
        <v>28</v>
      </c>
      <c r="AC6456">
        <v>2.1568999999999998</v>
      </c>
      <c r="AD6456">
        <v>-1.0987719999999901</v>
      </c>
      <c r="AE6456">
        <v>-7.7935789999999896</v>
      </c>
      <c r="AF6456">
        <v>2.9781171388885599</v>
      </c>
      <c r="AG6456">
        <v>-1.0987719999999901</v>
      </c>
      <c r="AH6456">
        <v>7.3602696985896596</v>
      </c>
      <c r="AI6456">
        <v>97.878854079716902</v>
      </c>
      <c r="AJ6456">
        <v>67.970727216472199</v>
      </c>
      <c r="AK6456">
        <v>8.0156129919615502</v>
      </c>
      <c r="AL6456">
        <v>68.699435143125399</v>
      </c>
      <c r="AM6456">
        <v>77.152104014647904</v>
      </c>
      <c r="AN6456">
        <v>0.99999995695130395</v>
      </c>
    </row>
    <row r="6457" spans="1:40" x14ac:dyDescent="0.25">
      <c r="A6457" t="str">
        <f>"20190304164250527"</f>
        <v>20190304164250527</v>
      </c>
      <c r="B6457" t="str">
        <f>"1551688970517215"</f>
        <v>1551688970517215</v>
      </c>
      <c r="C6457" t="s">
        <v>40</v>
      </c>
      <c r="D6457">
        <v>5.0832930000000003</v>
      </c>
      <c r="E6457">
        <v>0.58699599999999996</v>
      </c>
      <c r="F6457" t="s">
        <v>43</v>
      </c>
      <c r="G6457">
        <v>-304.90230000000003</v>
      </c>
      <c r="H6457">
        <v>-0.05</v>
      </c>
      <c r="I6457">
        <v>0.2391663</v>
      </c>
      <c r="J6457">
        <v>-306.96730000000002</v>
      </c>
      <c r="K6457">
        <v>1.048861</v>
      </c>
      <c r="L6457">
        <v>8.0749209999999998</v>
      </c>
      <c r="M6457">
        <v>0.5986224</v>
      </c>
      <c r="N6457">
        <v>-1.6366189999999999E-2</v>
      </c>
      <c r="O6457">
        <v>-0.80086409999999997</v>
      </c>
      <c r="P6457">
        <v>0.39081519999999997</v>
      </c>
      <c r="Q6457">
        <v>0.3541781</v>
      </c>
      <c r="R6457">
        <v>-0.84960040000000003</v>
      </c>
      <c r="S6457">
        <v>0.90551760000000003</v>
      </c>
      <c r="T6457">
        <v>-0.45329520000000001</v>
      </c>
      <c r="U6457">
        <v>-3.3109739999999999</v>
      </c>
      <c r="V6457">
        <v>0.20620959999999999</v>
      </c>
      <c r="W6457">
        <v>0.36329060000000002</v>
      </c>
      <c r="X6457">
        <v>0.90856899999999996</v>
      </c>
      <c r="Y6457">
        <v>0.36643039999999999</v>
      </c>
      <c r="Z6457">
        <v>7.5224319999999997E-2</v>
      </c>
      <c r="AA6457">
        <v>0.92739959999999999</v>
      </c>
      <c r="AB6457">
        <v>28</v>
      </c>
      <c r="AC6457">
        <v>2.0649999999999902</v>
      </c>
      <c r="AD6457">
        <v>-1.0988610000000001</v>
      </c>
      <c r="AE6457">
        <v>-7.8357546999999999</v>
      </c>
      <c r="AF6457">
        <v>2.9824361802886799</v>
      </c>
      <c r="AG6457">
        <v>-1.0988610000000001</v>
      </c>
      <c r="AH6457">
        <v>7.3768813340063204</v>
      </c>
      <c r="AI6457">
        <v>97.862841838433397</v>
      </c>
      <c r="AJ6457">
        <v>67.986763033139397</v>
      </c>
      <c r="AK6457">
        <v>8.0324840045173307</v>
      </c>
      <c r="AL6457">
        <v>68.697579861872896</v>
      </c>
      <c r="AM6457">
        <v>77.212726217991403</v>
      </c>
      <c r="AN6457">
        <v>1.0000000434707501</v>
      </c>
    </row>
    <row r="6458" spans="1:40" x14ac:dyDescent="0.25">
      <c r="A6458" t="str">
        <f>"20190304164250544"</f>
        <v>20190304164250544</v>
      </c>
      <c r="B6458" t="str">
        <f>"1551688970537712"</f>
        <v>1551688970537712</v>
      </c>
      <c r="C6458" t="s">
        <v>40</v>
      </c>
      <c r="D6458">
        <v>5.0711190000000004</v>
      </c>
      <c r="E6458">
        <v>0.58700659999999905</v>
      </c>
      <c r="F6458" t="s">
        <v>43</v>
      </c>
      <c r="G6458">
        <v>-304.87090000000001</v>
      </c>
      <c r="H6458">
        <v>-0.05</v>
      </c>
      <c r="I6458">
        <v>3.8421629999999998E-2</v>
      </c>
      <c r="J6458">
        <v>-306.851</v>
      </c>
      <c r="K6458">
        <v>1.048948</v>
      </c>
      <c r="L6458">
        <v>7.9005429999999901</v>
      </c>
      <c r="M6458">
        <v>0.58944339999999995</v>
      </c>
      <c r="N6458">
        <v>-1.6337839999999999E-2</v>
      </c>
      <c r="O6458">
        <v>-0.80764449999999999</v>
      </c>
      <c r="P6458">
        <v>0.38320660000000001</v>
      </c>
      <c r="Q6458">
        <v>0.35448180000000001</v>
      </c>
      <c r="R6458">
        <v>-0.85293369999999902</v>
      </c>
      <c r="S6458">
        <v>0.86654659999999994</v>
      </c>
      <c r="T6458">
        <v>-0.45419910000000002</v>
      </c>
      <c r="U6458">
        <v>-3.3217769999999902</v>
      </c>
      <c r="V6458">
        <v>0.20379939999999999</v>
      </c>
      <c r="W6458">
        <v>0.36368729999999999</v>
      </c>
      <c r="X6458">
        <v>0.90895400000000004</v>
      </c>
      <c r="Y6458">
        <v>0.36675799999999997</v>
      </c>
      <c r="Z6458">
        <v>7.6436019999999993E-2</v>
      </c>
      <c r="AA6458">
        <v>0.92717110000000003</v>
      </c>
      <c r="AB6458">
        <v>28</v>
      </c>
      <c r="AC6458">
        <v>1.98009999999999</v>
      </c>
      <c r="AD6458">
        <v>-1.098948</v>
      </c>
      <c r="AE6458">
        <v>-7.8621213699999899</v>
      </c>
      <c r="AF6458">
        <v>2.9807010637802001</v>
      </c>
      <c r="AG6458">
        <v>-1.098948</v>
      </c>
      <c r="AH6458">
        <v>7.3823279902049297</v>
      </c>
      <c r="AI6458">
        <v>97.859164950872895</v>
      </c>
      <c r="AJ6458">
        <v>68.013032109481898</v>
      </c>
      <c r="AK6458">
        <v>8.0368546144177309</v>
      </c>
      <c r="AL6458">
        <v>68.673181031243899</v>
      </c>
      <c r="AM6458">
        <v>77.362536929359095</v>
      </c>
      <c r="AN6458">
        <v>1.0000000108688201</v>
      </c>
    </row>
    <row r="6459" spans="1:40" x14ac:dyDescent="0.25">
      <c r="A6459" t="str">
        <f>"20190304164250565"</f>
        <v>20190304164250565</v>
      </c>
      <c r="B6459" t="str">
        <f>"1551688970557230"</f>
        <v>1551688970557230</v>
      </c>
      <c r="C6459" t="s">
        <v>40</v>
      </c>
      <c r="D6459">
        <v>5.0674900000000003</v>
      </c>
      <c r="E6459">
        <v>0.58727949999999995</v>
      </c>
      <c r="F6459" t="s">
        <v>43</v>
      </c>
      <c r="G6459">
        <v>-304.82580000000002</v>
      </c>
      <c r="H6459">
        <v>-0.05</v>
      </c>
      <c r="I6459">
        <v>-0.1839142</v>
      </c>
      <c r="J6459">
        <v>-306.70330000000001</v>
      </c>
      <c r="K6459">
        <v>1.0490699999999999</v>
      </c>
      <c r="L6459">
        <v>7.6722720000000004</v>
      </c>
      <c r="M6459">
        <v>0.57752060000000005</v>
      </c>
      <c r="N6459">
        <v>-1.629765E-2</v>
      </c>
      <c r="O6459">
        <v>-0.81621350000000004</v>
      </c>
      <c r="P6459">
        <v>0.37310500000000002</v>
      </c>
      <c r="Q6459">
        <v>0.35466419999999999</v>
      </c>
      <c r="R6459">
        <v>-0.85732520000000001</v>
      </c>
      <c r="S6459">
        <v>0.83432009999999901</v>
      </c>
      <c r="T6459">
        <v>-0.45273859999999999</v>
      </c>
      <c r="U6459">
        <v>-3.330597</v>
      </c>
      <c r="V6459">
        <v>0.20102239999999999</v>
      </c>
      <c r="W6459">
        <v>0.36397869999999999</v>
      </c>
      <c r="X6459">
        <v>0.90945569999999998</v>
      </c>
      <c r="Y6459">
        <v>0.36215320000000001</v>
      </c>
      <c r="Z6459">
        <v>7.7697279999999994E-2</v>
      </c>
      <c r="AA6459">
        <v>0.92887470000000005</v>
      </c>
      <c r="AB6459">
        <v>28</v>
      </c>
      <c r="AC6459">
        <v>1.87749999999999</v>
      </c>
      <c r="AD6459">
        <v>-1.09907</v>
      </c>
      <c r="AE6459">
        <v>-7.8561861999999998</v>
      </c>
      <c r="AF6459">
        <v>2.9504422690107899</v>
      </c>
      <c r="AG6459">
        <v>-1.09907</v>
      </c>
      <c r="AH6459">
        <v>7.3613261627483499</v>
      </c>
      <c r="AI6459">
        <v>97.8901466332578</v>
      </c>
      <c r="AJ6459">
        <v>68.158934570594795</v>
      </c>
      <c r="AK6459">
        <v>8.0063841602829005</v>
      </c>
      <c r="AL6459">
        <v>68.6552582296586</v>
      </c>
      <c r="AM6459">
        <v>77.5359786955906</v>
      </c>
      <c r="AN6459">
        <v>1.0000000848089601</v>
      </c>
    </row>
    <row r="6460" spans="1:40" x14ac:dyDescent="0.25">
      <c r="A6460" t="str">
        <f>"20190304164250587"</f>
        <v>20190304164250587</v>
      </c>
      <c r="B6460" t="str">
        <f>"1551688970577727"</f>
        <v>1551688970577727</v>
      </c>
      <c r="C6460" t="s">
        <v>40</v>
      </c>
      <c r="D6460">
        <v>5.4419969999999998</v>
      </c>
      <c r="E6460">
        <v>0.58730199999999999</v>
      </c>
      <c r="F6460" t="s">
        <v>43</v>
      </c>
      <c r="G6460">
        <v>-304.76780000000002</v>
      </c>
      <c r="H6460">
        <v>-0.05</v>
      </c>
      <c r="I6460">
        <v>-0.48922729999999998</v>
      </c>
      <c r="J6460">
        <v>-306.5521</v>
      </c>
      <c r="K6460">
        <v>1.049193</v>
      </c>
      <c r="L6460">
        <v>7.4309389999999897</v>
      </c>
      <c r="M6460">
        <v>0.56500950000000005</v>
      </c>
      <c r="N6460">
        <v>-1.6252809999999999E-2</v>
      </c>
      <c r="O6460">
        <v>-0.82492449999999995</v>
      </c>
      <c r="P6460">
        <v>0.3614655</v>
      </c>
      <c r="Q6460">
        <v>0.35503689999999999</v>
      </c>
      <c r="R6460">
        <v>-0.86214369999999996</v>
      </c>
      <c r="S6460">
        <v>0.7922363</v>
      </c>
      <c r="T6460">
        <v>-0.44985819999999999</v>
      </c>
      <c r="U6460">
        <v>-3.340576</v>
      </c>
      <c r="V6460">
        <v>0.19926170000000001</v>
      </c>
      <c r="W6460">
        <v>0.36442540000000001</v>
      </c>
      <c r="X6460">
        <v>0.90966420000000003</v>
      </c>
      <c r="Y6460">
        <v>0.35966749999999997</v>
      </c>
      <c r="Z6460">
        <v>7.8608360000000002E-2</v>
      </c>
      <c r="AA6460">
        <v>0.92976340000000002</v>
      </c>
      <c r="AB6460">
        <v>28</v>
      </c>
      <c r="AC6460">
        <v>1.78429999999997</v>
      </c>
      <c r="AD6460">
        <v>-1.0991930000000001</v>
      </c>
      <c r="AE6460">
        <v>-7.9201663</v>
      </c>
      <c r="AF6460">
        <v>2.9493883753163899</v>
      </c>
      <c r="AG6460">
        <v>-1.0991930000000001</v>
      </c>
      <c r="AH6460">
        <v>7.4069071583098696</v>
      </c>
      <c r="AI6460">
        <v>97.850028850765995</v>
      </c>
      <c r="AJ6460">
        <v>68.287833696960107</v>
      </c>
      <c r="AK6460">
        <v>8.0479432584681305</v>
      </c>
      <c r="AL6460">
        <v>68.627775483982305</v>
      </c>
      <c r="AM6460">
        <v>77.644524567716203</v>
      </c>
      <c r="AN6460">
        <v>1.0000000270068401</v>
      </c>
    </row>
    <row r="6461" spans="1:40" x14ac:dyDescent="0.25">
      <c r="A6461" t="str">
        <f>"20190304164250609"</f>
        <v>20190304164250609</v>
      </c>
      <c r="B6461" t="str">
        <f>"1551688970607983"</f>
        <v>1551688970607983</v>
      </c>
      <c r="C6461" t="s">
        <v>40</v>
      </c>
      <c r="D6461">
        <v>5.0795360000000001</v>
      </c>
      <c r="E6461">
        <v>0.58739949999999996</v>
      </c>
      <c r="F6461" t="s">
        <v>42</v>
      </c>
      <c r="G6461">
        <v>-304.80399999999997</v>
      </c>
      <c r="H6461" s="1">
        <v>-5.1392470000000001E-6</v>
      </c>
      <c r="I6461">
        <v>-0.38592530000000003</v>
      </c>
      <c r="J6461">
        <v>-306.4076</v>
      </c>
      <c r="K6461">
        <v>1.0493269999999999</v>
      </c>
      <c r="L6461">
        <v>7.1925660000000002</v>
      </c>
      <c r="M6461">
        <v>0.55274650000000003</v>
      </c>
      <c r="N6461">
        <v>-1.620607E-2</v>
      </c>
      <c r="O6461">
        <v>-0.83319189999999999</v>
      </c>
      <c r="P6461">
        <v>0.35018100000000002</v>
      </c>
      <c r="Q6461">
        <v>0.35491990000000001</v>
      </c>
      <c r="R6461">
        <v>-0.86683619999999995</v>
      </c>
      <c r="S6461">
        <v>0.74932860000000001</v>
      </c>
      <c r="T6461">
        <v>-0.44974409999999998</v>
      </c>
      <c r="U6461">
        <v>-3.3507389999999999</v>
      </c>
      <c r="V6461">
        <v>0.19757630000000001</v>
      </c>
      <c r="W6461">
        <v>0.36437890000000001</v>
      </c>
      <c r="X6461">
        <v>0.91005040000000004</v>
      </c>
      <c r="Y6461">
        <v>0.35783500000000001</v>
      </c>
      <c r="Z6461">
        <v>7.9973909999999995E-2</v>
      </c>
      <c r="AA6461">
        <v>0.93035389999999996</v>
      </c>
      <c r="AB6461">
        <v>28</v>
      </c>
      <c r="AC6461">
        <v>1.6035999999999699</v>
      </c>
      <c r="AD6461">
        <v>-1.0493321392470001</v>
      </c>
      <c r="AE6461">
        <v>-7.5784912999999996</v>
      </c>
      <c r="AF6461">
        <v>2.80183864276737</v>
      </c>
      <c r="AG6461">
        <v>-1.0493321392470001</v>
      </c>
      <c r="AH6461">
        <v>7.0718974553329703</v>
      </c>
      <c r="AI6461">
        <v>97.854280073396197</v>
      </c>
      <c r="AJ6461">
        <v>68.386859205035293</v>
      </c>
      <c r="AK6461">
        <v>7.67874542730166</v>
      </c>
      <c r="AL6461">
        <v>68.630637054034096</v>
      </c>
      <c r="AM6461">
        <v>77.750902528903893</v>
      </c>
      <c r="AN6461">
        <v>1.0000000538135201</v>
      </c>
    </row>
    <row r="6462" spans="1:40" x14ac:dyDescent="0.25">
      <c r="A6462" t="str">
        <f>"20190304164250632"</f>
        <v>20190304164250632</v>
      </c>
      <c r="B6462" t="str">
        <f>"1551688970627502"</f>
        <v>1551688970627502</v>
      </c>
      <c r="C6462" t="s">
        <v>40</v>
      </c>
      <c r="D6462">
        <v>4.5582789999999997</v>
      </c>
      <c r="E6462">
        <v>0.58742329999999998</v>
      </c>
      <c r="F6462" t="s">
        <v>42</v>
      </c>
      <c r="G6462">
        <v>-304.76389999999998</v>
      </c>
      <c r="H6462" s="1">
        <v>-5.0328689999999999E-6</v>
      </c>
      <c r="I6462">
        <v>-0.64441680000000001</v>
      </c>
      <c r="J6462">
        <v>-306.26310000000001</v>
      </c>
      <c r="K6462">
        <v>1.049458</v>
      </c>
      <c r="L6462">
        <v>6.9462590000000004</v>
      </c>
      <c r="M6462">
        <v>0.54018029999999995</v>
      </c>
      <c r="N6462">
        <v>-1.6152880000000001E-2</v>
      </c>
      <c r="O6462">
        <v>-0.84139439999999999</v>
      </c>
      <c r="P6462">
        <v>0.33914030000000001</v>
      </c>
      <c r="Q6462">
        <v>0.35402889999999998</v>
      </c>
      <c r="R6462">
        <v>-0.87157799999999996</v>
      </c>
      <c r="S6462">
        <v>0.70477290000000004</v>
      </c>
      <c r="T6462">
        <v>-0.4499341</v>
      </c>
      <c r="U6462">
        <v>-3.3603519999999998</v>
      </c>
      <c r="V6462">
        <v>0.1955172</v>
      </c>
      <c r="W6462">
        <v>0.36356919999999998</v>
      </c>
      <c r="X6462">
        <v>0.91081860000000003</v>
      </c>
      <c r="Y6462">
        <v>0.3561993</v>
      </c>
      <c r="Z6462">
        <v>8.1406300000000001E-2</v>
      </c>
      <c r="AA6462">
        <v>0.93085720000000005</v>
      </c>
      <c r="AB6462">
        <v>28</v>
      </c>
      <c r="AC6462">
        <v>1.4992000000000301</v>
      </c>
      <c r="AD6462">
        <v>-1.049463032869</v>
      </c>
      <c r="AE6462">
        <v>-7.5906757999999996</v>
      </c>
      <c r="AF6462">
        <v>2.7879935972176502</v>
      </c>
      <c r="AG6462">
        <v>-1.049463032869</v>
      </c>
      <c r="AH6462">
        <v>7.0675056048438396</v>
      </c>
      <c r="AI6462">
        <v>97.864614543614394</v>
      </c>
      <c r="AJ6462">
        <v>68.471729324131402</v>
      </c>
      <c r="AK6462">
        <v>7.6696751189332897</v>
      </c>
      <c r="AL6462">
        <v>68.680445354953903</v>
      </c>
      <c r="AM6462">
        <v>77.8846881136798</v>
      </c>
      <c r="AN6462">
        <v>1.0000000303952099</v>
      </c>
    </row>
    <row r="6463" spans="1:40" x14ac:dyDescent="0.25">
      <c r="A6463" t="str">
        <f>"20190304164250654"</f>
        <v>20190304164250654</v>
      </c>
      <c r="B6463" t="str">
        <f>"1551688970647022"</f>
        <v>1551688970647022</v>
      </c>
      <c r="C6463" t="s">
        <v>40</v>
      </c>
      <c r="D6463">
        <v>5.5060000000000002</v>
      </c>
      <c r="E6463">
        <v>0.58744960000000002</v>
      </c>
      <c r="F6463" t="s">
        <v>42</v>
      </c>
      <c r="G6463">
        <v>-304.73419999999999</v>
      </c>
      <c r="H6463" s="1">
        <v>-4.94171299999999E-6</v>
      </c>
      <c r="I6463">
        <v>-0.8680677</v>
      </c>
      <c r="J6463">
        <v>-306.12439999999998</v>
      </c>
      <c r="K6463">
        <v>1.0495890000000001</v>
      </c>
      <c r="L6463">
        <v>6.7019650000000004</v>
      </c>
      <c r="M6463">
        <v>0.52782430000000002</v>
      </c>
      <c r="N6463">
        <v>-1.609706E-2</v>
      </c>
      <c r="O6463">
        <v>-0.84920099999999998</v>
      </c>
      <c r="P6463">
        <v>0.32896310000000001</v>
      </c>
      <c r="Q6463">
        <v>0.35324250000000001</v>
      </c>
      <c r="R6463">
        <v>-0.87578739999999999</v>
      </c>
      <c r="S6463">
        <v>0.65921019999999997</v>
      </c>
      <c r="T6463">
        <v>-0.4524995</v>
      </c>
      <c r="U6463">
        <v>-3.3693240000000002</v>
      </c>
      <c r="V6463">
        <v>0.1928232</v>
      </c>
      <c r="W6463">
        <v>0.3628787</v>
      </c>
      <c r="X6463">
        <v>0.91166780000000003</v>
      </c>
      <c r="Y6463">
        <v>0.355161</v>
      </c>
      <c r="Z6463">
        <v>8.3279370000000005E-2</v>
      </c>
      <c r="AA6463">
        <v>0.93108820000000003</v>
      </c>
      <c r="AB6463">
        <v>28</v>
      </c>
      <c r="AC6463">
        <v>1.3901999999999901</v>
      </c>
      <c r="AD6463">
        <v>-1.04959394171299</v>
      </c>
      <c r="AE6463">
        <v>-7.5700326999999996</v>
      </c>
      <c r="AF6463">
        <v>2.76404992916473</v>
      </c>
      <c r="AG6463">
        <v>-1.04959394171299</v>
      </c>
      <c r="AH6463">
        <v>7.0324076061860801</v>
      </c>
      <c r="AI6463">
        <v>97.908165944778702</v>
      </c>
      <c r="AJ6463">
        <v>68.542959119199907</v>
      </c>
      <c r="AK6463">
        <v>7.62865493995763</v>
      </c>
      <c r="AL6463">
        <v>68.722906598326801</v>
      </c>
      <c r="AM6463">
        <v>78.057603652962797</v>
      </c>
      <c r="AN6463">
        <v>0.99999995746438397</v>
      </c>
    </row>
    <row r="6464" spans="1:40" x14ac:dyDescent="0.25">
      <c r="A6464" t="str">
        <f>"20190304164250688"</f>
        <v>20190304164250688</v>
      </c>
      <c r="B6464" t="str">
        <f>"1551688970677279"</f>
        <v>1551688970677279</v>
      </c>
      <c r="C6464" t="s">
        <v>40</v>
      </c>
      <c r="D6464">
        <v>5.1169739999999999</v>
      </c>
      <c r="E6464">
        <v>0.58748459999999902</v>
      </c>
      <c r="F6464" t="s">
        <v>42</v>
      </c>
      <c r="G6464">
        <v>-304.69880000000001</v>
      </c>
      <c r="H6464" s="1">
        <v>-4.8517819999999998E-6</v>
      </c>
      <c r="I6464">
        <v>-1.085917</v>
      </c>
      <c r="J6464">
        <v>-305.92450000000002</v>
      </c>
      <c r="K6464">
        <v>1.0497860000000001</v>
      </c>
      <c r="L6464">
        <v>6.334778</v>
      </c>
      <c r="M6464">
        <v>0.50947159999999903</v>
      </c>
      <c r="N6464">
        <v>-1.6003880000000002E-2</v>
      </c>
      <c r="O6464">
        <v>-0.86033869999999901</v>
      </c>
      <c r="P6464">
        <v>0.31265039999999999</v>
      </c>
      <c r="Q6464">
        <v>0.35237249999999998</v>
      </c>
      <c r="R6464">
        <v>-0.88209069999999901</v>
      </c>
      <c r="S6464">
        <v>0.6181335</v>
      </c>
      <c r="T6464">
        <v>-0.45510879999999998</v>
      </c>
      <c r="U6464">
        <v>-3.376862</v>
      </c>
      <c r="V6464">
        <v>0.19012019999999999</v>
      </c>
      <c r="W6464">
        <v>0.3621028</v>
      </c>
      <c r="X6464">
        <v>0.91254369999999996</v>
      </c>
      <c r="Y6464">
        <v>0.34646440000000001</v>
      </c>
      <c r="Z6464">
        <v>8.6072529999999994E-2</v>
      </c>
      <c r="AA6464">
        <v>0.93410590000000004</v>
      </c>
      <c r="AB6464">
        <v>28</v>
      </c>
      <c r="AC6464">
        <v>1.22570000000001</v>
      </c>
      <c r="AD6464">
        <v>-1.049790851782</v>
      </c>
      <c r="AE6464">
        <v>-7.4206949999999896</v>
      </c>
      <c r="AF6464">
        <v>2.6743640993948898</v>
      </c>
      <c r="AG6464">
        <v>-1.049790851782</v>
      </c>
      <c r="AH6464">
        <v>6.8757171640958603</v>
      </c>
      <c r="AI6464">
        <v>98.098592915040697</v>
      </c>
      <c r="AJ6464">
        <v>68.746062925522693</v>
      </c>
      <c r="AK6464">
        <v>7.4518300228373402</v>
      </c>
      <c r="AL6464">
        <v>68.770609023005406</v>
      </c>
      <c r="AM6464">
        <v>78.231294105168502</v>
      </c>
      <c r="AN6464">
        <v>1.0000000663127799</v>
      </c>
    </row>
    <row r="6465" spans="1:40" x14ac:dyDescent="0.25">
      <c r="A6465" t="str">
        <f>"20190304164250710"</f>
        <v>20190304164250710</v>
      </c>
      <c r="B6465" t="str">
        <f>"1551688970707535"</f>
        <v>1551688970707535</v>
      </c>
      <c r="C6465" t="s">
        <v>40</v>
      </c>
      <c r="D6465">
        <v>5.1257099999999998</v>
      </c>
      <c r="E6465">
        <v>0.58750029999999998</v>
      </c>
      <c r="F6465" t="s">
        <v>42</v>
      </c>
      <c r="G6465">
        <v>-304.65820000000002</v>
      </c>
      <c r="H6465" s="1">
        <v>-4.7067880000000001E-6</v>
      </c>
      <c r="I6465">
        <v>-1.4447380000000001</v>
      </c>
      <c r="J6465">
        <v>-305.7944</v>
      </c>
      <c r="K6465">
        <v>1.0499240000000001</v>
      </c>
      <c r="L6465">
        <v>6.0855709999999998</v>
      </c>
      <c r="M6465">
        <v>0.49716909999999997</v>
      </c>
      <c r="N6465">
        <v>-1.5930369999999999E-2</v>
      </c>
      <c r="O6465">
        <v>-0.86750729999999998</v>
      </c>
      <c r="P6465">
        <v>0.30167640000000001</v>
      </c>
      <c r="Q6465">
        <v>0.35206910000000002</v>
      </c>
      <c r="R6465">
        <v>-0.88602389999999998</v>
      </c>
      <c r="S6465">
        <v>0.55148319999999995</v>
      </c>
      <c r="T6465">
        <v>-0.45721129999999999</v>
      </c>
      <c r="U6465">
        <v>-3.3881839999999999</v>
      </c>
      <c r="V6465">
        <v>0.18836410000000001</v>
      </c>
      <c r="W6465">
        <v>0.3618499</v>
      </c>
      <c r="X6465">
        <v>0.91300800000000004</v>
      </c>
      <c r="Y6465">
        <v>0.35150379999999998</v>
      </c>
      <c r="Z6465">
        <v>8.7559629999999999E-2</v>
      </c>
      <c r="AA6465">
        <v>0.93208279999999999</v>
      </c>
      <c r="AB6465">
        <v>28</v>
      </c>
      <c r="AC6465">
        <v>1.1361999999999699</v>
      </c>
      <c r="AD6465">
        <v>-1.0499287067880001</v>
      </c>
      <c r="AE6465">
        <v>-7.5303089999999999</v>
      </c>
      <c r="AF6465">
        <v>2.7070716561118502</v>
      </c>
      <c r="AG6465">
        <v>-1.0499287067880001</v>
      </c>
      <c r="AH6465">
        <v>6.9659793481644803</v>
      </c>
      <c r="AI6465">
        <v>97.996975402260304</v>
      </c>
      <c r="AJ6465">
        <v>68.763215595089704</v>
      </c>
      <c r="AK6465">
        <v>7.5468838284232103</v>
      </c>
      <c r="AL6465">
        <v>68.786151659139804</v>
      </c>
      <c r="AM6465">
        <v>78.3427765330201</v>
      </c>
      <c r="AN6465">
        <v>0.99999999618141</v>
      </c>
    </row>
    <row r="6466" spans="1:40" x14ac:dyDescent="0.25">
      <c r="A6466" t="str">
        <f>"20190304164250733"</f>
        <v>20190304164250733</v>
      </c>
      <c r="B6466" t="str">
        <f>"1551688970727055"</f>
        <v>1551688970727055</v>
      </c>
      <c r="C6466" t="s">
        <v>40</v>
      </c>
      <c r="D6466">
        <v>4.9168349999999998</v>
      </c>
      <c r="E6466">
        <v>0.58751330000000002</v>
      </c>
      <c r="F6466" t="s">
        <v>42</v>
      </c>
      <c r="G6466">
        <v>-304.63279999999997</v>
      </c>
      <c r="H6466" s="1">
        <v>-4.6003800000000003E-6</v>
      </c>
      <c r="I6466">
        <v>-1.710089</v>
      </c>
      <c r="J6466">
        <v>-305.66340000000002</v>
      </c>
      <c r="K6466">
        <v>1.0500670000000001</v>
      </c>
      <c r="L6466">
        <v>5.825958</v>
      </c>
      <c r="M6466">
        <v>0.48447000000000001</v>
      </c>
      <c r="N6466">
        <v>-1.5846760000000001E-2</v>
      </c>
      <c r="O6466">
        <v>-0.87466440000000001</v>
      </c>
      <c r="P6466">
        <v>0.2896109</v>
      </c>
      <c r="Q6466">
        <v>0.35165010000000002</v>
      </c>
      <c r="R6466">
        <v>-0.89020669999999902</v>
      </c>
      <c r="S6466">
        <v>0.50592040000000005</v>
      </c>
      <c r="T6466">
        <v>-0.4572946</v>
      </c>
      <c r="U6466">
        <v>-3.3953859999999998</v>
      </c>
      <c r="V6466">
        <v>0.187388</v>
      </c>
      <c r="W6466">
        <v>0.3614503</v>
      </c>
      <c r="X6466">
        <v>0.91336709999999999</v>
      </c>
      <c r="Y6466">
        <v>0.35040149999999998</v>
      </c>
      <c r="Z6466">
        <v>8.8868119999999995E-2</v>
      </c>
      <c r="AA6466">
        <v>0.93237400000000004</v>
      </c>
      <c r="AB6466">
        <v>27</v>
      </c>
      <c r="AC6466">
        <v>1.0306000000000399</v>
      </c>
      <c r="AD6466">
        <v>-1.0500716003799999</v>
      </c>
      <c r="AE6466">
        <v>-7.5360469999999999</v>
      </c>
      <c r="AF6466">
        <v>2.6984740981966699</v>
      </c>
      <c r="AG6466">
        <v>-1.0500716003799999</v>
      </c>
      <c r="AH6466">
        <v>6.9590631144292603</v>
      </c>
      <c r="AI6466">
        <v>98.008159684026694</v>
      </c>
      <c r="AJ6466">
        <v>68.805500705593502</v>
      </c>
      <c r="AK6466">
        <v>7.53743804320625</v>
      </c>
      <c r="AL6466">
        <v>68.810709804562805</v>
      </c>
      <c r="AM6466">
        <v>78.405979785313093</v>
      </c>
      <c r="AN6466">
        <v>1.00000002063824</v>
      </c>
    </row>
    <row r="6467" spans="1:40" x14ac:dyDescent="0.25">
      <c r="A6467" t="str">
        <f>"20190304164250756"</f>
        <v>20190304164250756</v>
      </c>
      <c r="B6467" t="str">
        <f>"1551688970747550"</f>
        <v>1551688970747550</v>
      </c>
      <c r="C6467" t="s">
        <v>40</v>
      </c>
      <c r="D6467">
        <v>5.011323</v>
      </c>
      <c r="E6467">
        <v>0.58750519999999995</v>
      </c>
      <c r="F6467" t="s">
        <v>42</v>
      </c>
      <c r="G6467">
        <v>-304.61279999999999</v>
      </c>
      <c r="H6467" s="1">
        <v>-4.4997700000000001E-6</v>
      </c>
      <c r="I6467">
        <v>-1.962844</v>
      </c>
      <c r="J6467">
        <v>-305.5412</v>
      </c>
      <c r="K6467">
        <v>1.0502100000000001</v>
      </c>
      <c r="L6467">
        <v>5.5751039999999996</v>
      </c>
      <c r="M6467">
        <v>0.4723369</v>
      </c>
      <c r="N6467">
        <v>-1.5757719999999999E-2</v>
      </c>
      <c r="O6467">
        <v>-0.88127730000000004</v>
      </c>
      <c r="P6467">
        <v>0.2775029</v>
      </c>
      <c r="Q6467">
        <v>0.35107830000000001</v>
      </c>
      <c r="R6467">
        <v>-0.89427979999999996</v>
      </c>
      <c r="S6467">
        <v>0.4588623</v>
      </c>
      <c r="T6467">
        <v>-0.45863569999999998</v>
      </c>
      <c r="U6467">
        <v>-3.4018860000000002</v>
      </c>
      <c r="V6467">
        <v>0.1871176</v>
      </c>
      <c r="W6467">
        <v>0.36087209999999997</v>
      </c>
      <c r="X6467">
        <v>0.91365099999999999</v>
      </c>
      <c r="Y6467">
        <v>0.35037929999999901</v>
      </c>
      <c r="Z6467">
        <v>9.0354329999999997E-2</v>
      </c>
      <c r="AA6467">
        <v>0.9322395</v>
      </c>
      <c r="AB6467">
        <v>27</v>
      </c>
      <c r="AC6467">
        <v>0.92840000000001</v>
      </c>
      <c r="AD6467">
        <v>-1.05021449977</v>
      </c>
      <c r="AE6467">
        <v>-7.5379479999999903</v>
      </c>
      <c r="AF6467">
        <v>2.6911558160124902</v>
      </c>
      <c r="AG6467">
        <v>-1.05021449977</v>
      </c>
      <c r="AH6467">
        <v>6.9495366259766502</v>
      </c>
      <c r="AI6467">
        <v>98.021462650552905</v>
      </c>
      <c r="AJ6467">
        <v>68.831480008547004</v>
      </c>
      <c r="AK6467">
        <v>7.5260434118716004</v>
      </c>
      <c r="AL6467">
        <v>68.846233662006</v>
      </c>
      <c r="AM6467">
        <v>78.425758352936796</v>
      </c>
      <c r="AN6467">
        <v>0.99999990929458005</v>
      </c>
    </row>
    <row r="6468" spans="1:40" x14ac:dyDescent="0.25">
      <c r="A6468" t="str">
        <f>"20190304164250776"</f>
        <v>20190304164250776</v>
      </c>
      <c r="B6468" t="str">
        <f>"1551688970767071"</f>
        <v>1551688970767071</v>
      </c>
      <c r="C6468" t="s">
        <v>40</v>
      </c>
      <c r="D6468">
        <v>4.9714169999999998</v>
      </c>
      <c r="E6468">
        <v>0.58745150000000002</v>
      </c>
      <c r="F6468" t="s">
        <v>42</v>
      </c>
      <c r="G6468">
        <v>-304.60469999999998</v>
      </c>
      <c r="H6468" s="1">
        <v>-4.4042330000000004E-6</v>
      </c>
      <c r="I6468">
        <v>-2.2078720000000001</v>
      </c>
      <c r="J6468">
        <v>-305.42689999999999</v>
      </c>
      <c r="K6468">
        <v>1.0503549999999999</v>
      </c>
      <c r="L6468">
        <v>5.3327030000000004</v>
      </c>
      <c r="M6468">
        <v>0.46075110000000002</v>
      </c>
      <c r="N6468">
        <v>-1.5664259999999999E-2</v>
      </c>
      <c r="O6468">
        <v>-0.88739129999999999</v>
      </c>
      <c r="P6468">
        <v>0.26673049999999998</v>
      </c>
      <c r="Q6468">
        <v>0.35015859999999999</v>
      </c>
      <c r="R6468">
        <v>-0.89791089999999996</v>
      </c>
      <c r="S6468">
        <v>0.4100647</v>
      </c>
      <c r="T6468">
        <v>-0.45985670000000001</v>
      </c>
      <c r="U6468">
        <v>-3.4079280000000001</v>
      </c>
      <c r="V6468">
        <v>0.1861313</v>
      </c>
      <c r="W6468">
        <v>0.35996660000000003</v>
      </c>
      <c r="X6468">
        <v>0.91420959999999996</v>
      </c>
      <c r="Y6468">
        <v>0.3514756</v>
      </c>
      <c r="Z6468">
        <v>9.1709689999999996E-2</v>
      </c>
      <c r="AA6468">
        <v>0.93169429999999998</v>
      </c>
      <c r="AB6468">
        <v>27</v>
      </c>
      <c r="AC6468">
        <v>0.82220000000000903</v>
      </c>
      <c r="AD6468">
        <v>-1.050359404233</v>
      </c>
      <c r="AE6468">
        <v>-7.5405749999999996</v>
      </c>
      <c r="AF6468">
        <v>2.6934056366435399</v>
      </c>
      <c r="AG6468">
        <v>-1.050359404233</v>
      </c>
      <c r="AH6468">
        <v>6.9380991977418196</v>
      </c>
      <c r="AI6468">
        <v>98.0330347712475</v>
      </c>
      <c r="AJ6468">
        <v>68.783532800704506</v>
      </c>
      <c r="AK6468">
        <v>7.5163095518525296</v>
      </c>
      <c r="AL6468">
        <v>68.901855243451095</v>
      </c>
      <c r="AM6468">
        <v>78.491980772852699</v>
      </c>
      <c r="AN6468">
        <v>1.0000000033437</v>
      </c>
    </row>
    <row r="6469" spans="1:40" x14ac:dyDescent="0.25">
      <c r="A6469" t="str">
        <f>"20190304164250800"</f>
        <v>20190304164250800</v>
      </c>
      <c r="B6469" t="str">
        <f>"1551688970787567"</f>
        <v>1551688970787567</v>
      </c>
      <c r="C6469" t="s">
        <v>40</v>
      </c>
      <c r="D6469">
        <v>4.8682129999999999</v>
      </c>
      <c r="E6469">
        <v>0.58736309999999903</v>
      </c>
      <c r="F6469" t="s">
        <v>42</v>
      </c>
      <c r="G6469">
        <v>-304.59750000000003</v>
      </c>
      <c r="H6469" s="1">
        <v>-4.3163410000000002E-6</v>
      </c>
      <c r="I6469">
        <v>-2.4334479999999998</v>
      </c>
      <c r="J6469">
        <v>-305.31119999999999</v>
      </c>
      <c r="K6469">
        <v>1.050513</v>
      </c>
      <c r="L6469">
        <v>5.0789489999999997</v>
      </c>
      <c r="M6469">
        <v>0.4487777</v>
      </c>
      <c r="N6469">
        <v>-1.555803E-2</v>
      </c>
      <c r="O6469">
        <v>-0.89350830000000003</v>
      </c>
      <c r="P6469">
        <v>0.25586700000000001</v>
      </c>
      <c r="Q6469">
        <v>0.34958299999999998</v>
      </c>
      <c r="R6469">
        <v>-0.90129040000000005</v>
      </c>
      <c r="S6469">
        <v>0.3644714</v>
      </c>
      <c r="T6469">
        <v>-0.46157720000000002</v>
      </c>
      <c r="U6469">
        <v>-3.412811</v>
      </c>
      <c r="V6469">
        <v>0.1848051</v>
      </c>
      <c r="W6469">
        <v>0.35940729999999999</v>
      </c>
      <c r="X6469">
        <v>0.91469849999999997</v>
      </c>
      <c r="Y6469">
        <v>0.35135050000000001</v>
      </c>
      <c r="Z6469">
        <v>9.3260460000000003E-2</v>
      </c>
      <c r="AA6469">
        <v>0.93158750000000001</v>
      </c>
      <c r="AB6469">
        <v>27</v>
      </c>
      <c r="AC6469">
        <v>0.71369999999996003</v>
      </c>
      <c r="AD6469">
        <v>-1.050517316341</v>
      </c>
      <c r="AE6469">
        <v>-7.512397</v>
      </c>
      <c r="AF6469">
        <v>2.6820521351559399</v>
      </c>
      <c r="AG6469">
        <v>-1.050517316341</v>
      </c>
      <c r="AH6469">
        <v>6.8998146606477802</v>
      </c>
      <c r="AI6469">
        <v>98.076850681592106</v>
      </c>
      <c r="AJ6469">
        <v>68.758216513901303</v>
      </c>
      <c r="AK6469">
        <v>7.4769266840672497</v>
      </c>
      <c r="AL6469">
        <v>68.936197900135895</v>
      </c>
      <c r="AM6469">
        <v>78.577759071145394</v>
      </c>
      <c r="AN6469">
        <v>0.999999939090773</v>
      </c>
    </row>
    <row r="6470" spans="1:40" x14ac:dyDescent="0.25">
      <c r="A6470" t="str">
        <f>"20190304164250823"</f>
        <v>20190304164250823</v>
      </c>
      <c r="B6470" t="str">
        <f>"1551688970817823"</f>
        <v>1551688970817823</v>
      </c>
      <c r="C6470" t="s">
        <v>40</v>
      </c>
      <c r="D6470">
        <v>4.8201510000000001</v>
      </c>
      <c r="E6470">
        <v>0.58723769999999997</v>
      </c>
      <c r="F6470" t="s">
        <v>42</v>
      </c>
      <c r="G6470">
        <v>-304.58330000000001</v>
      </c>
      <c r="H6470" s="1">
        <v>-4.2209459999999997E-6</v>
      </c>
      <c r="I6470">
        <v>-2.6752950000000002</v>
      </c>
      <c r="J6470">
        <v>-305.19409999999999</v>
      </c>
      <c r="K6470">
        <v>1.050683</v>
      </c>
      <c r="L6470">
        <v>4.8133239999999997</v>
      </c>
      <c r="M6470">
        <v>0.43641839999999998</v>
      </c>
      <c r="N6470">
        <v>-1.5437849999999999E-2</v>
      </c>
      <c r="O6470">
        <v>-0.89961150000000001</v>
      </c>
      <c r="P6470">
        <v>0.244866</v>
      </c>
      <c r="Q6470">
        <v>0.34930020000000001</v>
      </c>
      <c r="R6470">
        <v>-0.90445019999999998</v>
      </c>
      <c r="S6470">
        <v>0.32073970000000002</v>
      </c>
      <c r="T6470">
        <v>-0.46293000000000001</v>
      </c>
      <c r="U6470">
        <v>-3.4170530000000001</v>
      </c>
      <c r="V6470">
        <v>0.18320800000000001</v>
      </c>
      <c r="W6470">
        <v>0.35913899999999999</v>
      </c>
      <c r="X6470">
        <v>0.91512510000000002</v>
      </c>
      <c r="Y6470">
        <v>0.35038799999999998</v>
      </c>
      <c r="Z6470">
        <v>9.4781850000000001E-2</v>
      </c>
      <c r="AA6470">
        <v>0.93179650000000003</v>
      </c>
      <c r="AB6470">
        <v>27</v>
      </c>
      <c r="AC6470">
        <v>0.61079999999998302</v>
      </c>
      <c r="AD6470">
        <v>-1.0506872209460001</v>
      </c>
      <c r="AE6470">
        <v>-7.4886189999999999</v>
      </c>
      <c r="AF6470">
        <v>2.6668609919633401</v>
      </c>
      <c r="AG6470">
        <v>-1.0506872209460001</v>
      </c>
      <c r="AH6470">
        <v>6.8699033317643297</v>
      </c>
      <c r="AI6470">
        <v>98.114246309795007</v>
      </c>
      <c r="AJ6470">
        <v>68.784044937095601</v>
      </c>
      <c r="AK6470">
        <v>7.4439010588871701</v>
      </c>
      <c r="AL6470">
        <v>68.952670867302203</v>
      </c>
      <c r="AM6470">
        <v>78.6790522408199</v>
      </c>
      <c r="AN6470">
        <v>0.99999997061750401</v>
      </c>
    </row>
    <row r="6471" spans="1:40" x14ac:dyDescent="0.25">
      <c r="A6471" t="str">
        <f>"20190304164250844"</f>
        <v>20190304164250844</v>
      </c>
      <c r="B6471" t="str">
        <f>"1551688970837342"</f>
        <v>1551688970837342</v>
      </c>
      <c r="C6471" t="s">
        <v>40</v>
      </c>
      <c r="D6471">
        <v>4.7964929999999999</v>
      </c>
      <c r="E6471">
        <v>0.58713970000000004</v>
      </c>
      <c r="F6471" t="s">
        <v>42</v>
      </c>
      <c r="G6471">
        <v>-304.55799999999999</v>
      </c>
      <c r="H6471" s="1">
        <v>-4.1195619999999997E-6</v>
      </c>
      <c r="I6471">
        <v>-2.927603</v>
      </c>
      <c r="J6471">
        <v>-305.08870000000002</v>
      </c>
      <c r="K6471">
        <v>1.0508470000000001</v>
      </c>
      <c r="L6471">
        <v>4.5650019999999998</v>
      </c>
      <c r="M6471">
        <v>0.42504209999999898</v>
      </c>
      <c r="N6471">
        <v>-1.5323929999999999E-2</v>
      </c>
      <c r="O6471">
        <v>-0.90504379999999995</v>
      </c>
      <c r="P6471">
        <v>0.2355207</v>
      </c>
      <c r="Q6471">
        <v>0.34885179999999999</v>
      </c>
      <c r="R6471">
        <v>-0.90710100000000005</v>
      </c>
      <c r="S6471">
        <v>0.28106690000000001</v>
      </c>
      <c r="T6471">
        <v>-0.46421560000000001</v>
      </c>
      <c r="U6471">
        <v>-3.420105</v>
      </c>
      <c r="V6471">
        <v>0.181009</v>
      </c>
      <c r="W6471">
        <v>0.358720599999999</v>
      </c>
      <c r="X6471">
        <v>0.9157267</v>
      </c>
      <c r="Y6471">
        <v>0.34939819999999999</v>
      </c>
      <c r="Z6471">
        <v>9.6191170000000006E-2</v>
      </c>
      <c r="AA6471">
        <v>0.93202370000000001</v>
      </c>
      <c r="AB6471">
        <v>27</v>
      </c>
      <c r="AC6471">
        <v>0.53070000000002404</v>
      </c>
      <c r="AD6471">
        <v>-1.0508511195619901</v>
      </c>
      <c r="AE6471">
        <v>-7.4926049999999904</v>
      </c>
      <c r="AF6471">
        <v>2.6527627018819402</v>
      </c>
      <c r="AG6471">
        <v>-1.0508511195619901</v>
      </c>
      <c r="AH6471">
        <v>6.8730077116010699</v>
      </c>
      <c r="AI6471">
        <v>98.117880022896401</v>
      </c>
      <c r="AJ6471">
        <v>68.894995384902998</v>
      </c>
      <c r="AK6471">
        <v>7.44175201358581</v>
      </c>
      <c r="AL6471">
        <v>68.9783568131202</v>
      </c>
      <c r="AM6471">
        <v>78.818651826281098</v>
      </c>
      <c r="AN6471">
        <v>1.00000005801912</v>
      </c>
    </row>
    <row r="6472" spans="1:40" x14ac:dyDescent="0.25">
      <c r="A6472" t="str">
        <f>"20190304164250866"</f>
        <v>20190304164250866</v>
      </c>
      <c r="B6472" t="str">
        <f>"1551688970857840"</f>
        <v>1551688970857840</v>
      </c>
      <c r="C6472" t="s">
        <v>40</v>
      </c>
      <c r="D6472">
        <v>4.795814</v>
      </c>
      <c r="E6472">
        <v>0.5870417</v>
      </c>
      <c r="F6472" t="s">
        <v>42</v>
      </c>
      <c r="G6472">
        <v>-304.52999999999997</v>
      </c>
      <c r="H6472" s="1">
        <v>-4.0360059999999997E-6</v>
      </c>
      <c r="I6472">
        <v>-3.132279</v>
      </c>
      <c r="J6472">
        <v>-304.98329999999999</v>
      </c>
      <c r="K6472">
        <v>1.051015</v>
      </c>
      <c r="L6472">
        <v>4.3084720000000001</v>
      </c>
      <c r="M6472">
        <v>0.41343049999999998</v>
      </c>
      <c r="N6472">
        <v>-1.521279E-2</v>
      </c>
      <c r="O6472">
        <v>-0.91040869999999996</v>
      </c>
      <c r="P6472">
        <v>0.2271</v>
      </c>
      <c r="Q6472">
        <v>0.34906039999999999</v>
      </c>
      <c r="R6472">
        <v>-0.90916569999999997</v>
      </c>
      <c r="S6472">
        <v>0.24838260000000001</v>
      </c>
      <c r="T6472">
        <v>-0.46723749999999997</v>
      </c>
      <c r="U6472">
        <v>-3.4224239999999999</v>
      </c>
      <c r="V6472">
        <v>0.177593899999999</v>
      </c>
      <c r="W6472">
        <v>0.35898360000000001</v>
      </c>
      <c r="X6472">
        <v>0.91629210000000005</v>
      </c>
      <c r="Y6472">
        <v>0.346331</v>
      </c>
      <c r="Z6472">
        <v>9.8077499999999998E-2</v>
      </c>
      <c r="AA6472">
        <v>0.93297140000000001</v>
      </c>
      <c r="AB6472">
        <v>27</v>
      </c>
      <c r="AC6472">
        <v>0.45330000000001203</v>
      </c>
      <c r="AD6472">
        <v>-1.0510190360060001</v>
      </c>
      <c r="AE6472">
        <v>-7.4407509999999997</v>
      </c>
      <c r="AF6472">
        <v>2.61193241026103</v>
      </c>
      <c r="AG6472">
        <v>-1.0510190360060001</v>
      </c>
      <c r="AH6472">
        <v>6.8266356918292601</v>
      </c>
      <c r="AI6472">
        <v>98.1826433242652</v>
      </c>
      <c r="AJ6472">
        <v>69.062698380963496</v>
      </c>
      <c r="AK6472">
        <v>7.3844286711143896</v>
      </c>
      <c r="AL6472">
        <v>68.962211800834993</v>
      </c>
      <c r="AM6472">
        <v>79.031048349152798</v>
      </c>
      <c r="AN6472">
        <v>1.0000000154542801</v>
      </c>
    </row>
    <row r="6473" spans="1:40" x14ac:dyDescent="0.25">
      <c r="A6473" t="str">
        <f>"20190304164250889"</f>
        <v>20190304164250889</v>
      </c>
      <c r="B6473" t="str">
        <f>"1551688970877359"</f>
        <v>1551688970877359</v>
      </c>
      <c r="C6473" t="s">
        <v>40</v>
      </c>
      <c r="D6473">
        <v>4.7807959999999996</v>
      </c>
      <c r="E6473">
        <v>0.58693830000000002</v>
      </c>
      <c r="F6473" t="s">
        <v>42</v>
      </c>
      <c r="G6473">
        <v>-304.49779999999998</v>
      </c>
      <c r="H6473" s="1">
        <v>-3.9228659999999997E-6</v>
      </c>
      <c r="I6473">
        <v>-3.4120029999999999</v>
      </c>
      <c r="J6473">
        <v>-304.88229999999999</v>
      </c>
      <c r="K6473">
        <v>1.051166</v>
      </c>
      <c r="L6473">
        <v>4.0537409999999996</v>
      </c>
      <c r="M6473">
        <v>0.40203810000000001</v>
      </c>
      <c r="N6473">
        <v>-1.511124E-2</v>
      </c>
      <c r="O6473">
        <v>-0.91549820000000004</v>
      </c>
      <c r="P6473">
        <v>0.2194632</v>
      </c>
      <c r="Q6473">
        <v>0.34922399999999998</v>
      </c>
      <c r="R6473">
        <v>-0.91097660000000003</v>
      </c>
      <c r="S6473">
        <v>0.2153931</v>
      </c>
      <c r="T6473">
        <v>-0.46624890000000002</v>
      </c>
      <c r="U6473">
        <v>-3.4249269999999998</v>
      </c>
      <c r="V6473">
        <v>0.17367569999999999</v>
      </c>
      <c r="W6473">
        <v>0.35921330000000001</v>
      </c>
      <c r="X6473">
        <v>0.91695280000000001</v>
      </c>
      <c r="Y6473">
        <v>0.34363470000000002</v>
      </c>
      <c r="Z6473">
        <v>9.8932300000000001E-2</v>
      </c>
      <c r="AA6473">
        <v>0.93387779999999998</v>
      </c>
      <c r="AB6473">
        <v>27</v>
      </c>
      <c r="AC6473">
        <v>0.38450000000000201</v>
      </c>
      <c r="AD6473">
        <v>-1.0511699228659901</v>
      </c>
      <c r="AE6473">
        <v>-7.4657439999999999</v>
      </c>
      <c r="AF6473">
        <v>2.5984310967074</v>
      </c>
      <c r="AG6473">
        <v>-1.0511699228659901</v>
      </c>
      <c r="AH6473">
        <v>6.8547259983258204</v>
      </c>
      <c r="AI6473">
        <v>98.160183383412402</v>
      </c>
      <c r="AJ6473">
        <v>69.239711036127105</v>
      </c>
      <c r="AK6473">
        <v>7.4056782865040898</v>
      </c>
      <c r="AL6473">
        <v>68.948108740125605</v>
      </c>
      <c r="AM6473">
        <v>79.274924305568206</v>
      </c>
      <c r="AN6473">
        <v>0.99999994054760799</v>
      </c>
    </row>
    <row r="6474" spans="1:40" x14ac:dyDescent="0.25">
      <c r="A6474" t="str">
        <f>"20190304164250912"</f>
        <v>20190304164250912</v>
      </c>
      <c r="B6474" t="str">
        <f>"1551688970907614"</f>
        <v>1551688970907614</v>
      </c>
      <c r="C6474" t="s">
        <v>40</v>
      </c>
      <c r="D6474">
        <v>4.7894319999999997</v>
      </c>
      <c r="E6474">
        <v>0.58679079999999995</v>
      </c>
      <c r="F6474" t="s">
        <v>42</v>
      </c>
      <c r="G6474">
        <v>-304.46640000000002</v>
      </c>
      <c r="H6474" s="1">
        <v>-3.8085629999999999E-6</v>
      </c>
      <c r="I6474">
        <v>-3.6951580000000002</v>
      </c>
      <c r="J6474">
        <v>-304.77879999999999</v>
      </c>
      <c r="K6474">
        <v>1.0513159999999999</v>
      </c>
      <c r="L6474">
        <v>3.7831730000000001</v>
      </c>
      <c r="M6474">
        <v>0.39008429999999999</v>
      </c>
      <c r="N6474">
        <v>-1.5011419999999999E-2</v>
      </c>
      <c r="O6474">
        <v>-0.9206569</v>
      </c>
      <c r="P6474">
        <v>0.2102455</v>
      </c>
      <c r="Q6474">
        <v>0.35005570000000003</v>
      </c>
      <c r="R6474">
        <v>-0.91282940000000001</v>
      </c>
      <c r="S6474">
        <v>0.18392939999999999</v>
      </c>
      <c r="T6474">
        <v>-0.46489910000000001</v>
      </c>
      <c r="U6474">
        <v>-3.4270939999999999</v>
      </c>
      <c r="V6474">
        <v>0.170757399999999</v>
      </c>
      <c r="W6474">
        <v>0.36007919999999999</v>
      </c>
      <c r="X6474">
        <v>0.91716129999999996</v>
      </c>
      <c r="Y6474">
        <v>0.34000439999999998</v>
      </c>
      <c r="Z6474">
        <v>9.9739289999999994E-2</v>
      </c>
      <c r="AA6474">
        <v>0.93511979999999995</v>
      </c>
      <c r="AB6474">
        <v>27</v>
      </c>
      <c r="AC6474">
        <v>0.31239999999996798</v>
      </c>
      <c r="AD6474">
        <v>-1.051319808563</v>
      </c>
      <c r="AE6474">
        <v>-7.4783309999999998</v>
      </c>
      <c r="AF6474">
        <v>2.5789818175941499</v>
      </c>
      <c r="AG6474">
        <v>-1.051319808563</v>
      </c>
      <c r="AH6474">
        <v>6.8720500989082902</v>
      </c>
      <c r="AI6474">
        <v>98.151079678402098</v>
      </c>
      <c r="AJ6474">
        <v>69.429607166417995</v>
      </c>
      <c r="AK6474">
        <v>7.4149506483363501</v>
      </c>
      <c r="AL6474">
        <v>68.894939624286707</v>
      </c>
      <c r="AM6474">
        <v>79.453405338626396</v>
      </c>
      <c r="AN6474">
        <v>0.99999998507254395</v>
      </c>
    </row>
    <row r="6475" spans="1:40" x14ac:dyDescent="0.25">
      <c r="A6475" t="str">
        <f>"20190304164250934"</f>
        <v>20190304164250934</v>
      </c>
      <c r="B6475" t="str">
        <f>"1551688970927135"</f>
        <v>1551688970927135</v>
      </c>
      <c r="C6475" t="s">
        <v>40</v>
      </c>
      <c r="D6475">
        <v>4.9064959999999997</v>
      </c>
      <c r="E6475">
        <v>0.58674289999999996</v>
      </c>
      <c r="F6475" t="s">
        <v>42</v>
      </c>
      <c r="G6475">
        <v>-304.43740000000003</v>
      </c>
      <c r="H6475" s="1">
        <v>-3.680241E-6</v>
      </c>
      <c r="I6475">
        <v>-4.015943</v>
      </c>
      <c r="J6475">
        <v>-304.68389999999999</v>
      </c>
      <c r="K6475">
        <v>1.0514540000000001</v>
      </c>
      <c r="L6475">
        <v>3.5259399999999999</v>
      </c>
      <c r="M6475">
        <v>0.37885279999999999</v>
      </c>
      <c r="N6475">
        <v>-1.4919760000000001E-2</v>
      </c>
      <c r="O6475">
        <v>-0.92533679999999996</v>
      </c>
      <c r="P6475">
        <v>0.20067080000000001</v>
      </c>
      <c r="Q6475">
        <v>0.35138130000000001</v>
      </c>
      <c r="R6475">
        <v>-0.91447420000000001</v>
      </c>
      <c r="S6475">
        <v>0.15008540000000001</v>
      </c>
      <c r="T6475">
        <v>-0.46225139999999998</v>
      </c>
      <c r="U6475">
        <v>-3.4291689999999999</v>
      </c>
      <c r="V6475">
        <v>0.16892019999999999</v>
      </c>
      <c r="W6475">
        <v>0.36140929999999999</v>
      </c>
      <c r="X6475">
        <v>0.91697839999999997</v>
      </c>
      <c r="Y6475">
        <v>0.33781099999999997</v>
      </c>
      <c r="Z6475">
        <v>0.1000849</v>
      </c>
      <c r="AA6475">
        <v>0.93587759999999998</v>
      </c>
      <c r="AB6475">
        <v>27</v>
      </c>
      <c r="AC6475">
        <v>0.24649999999996899</v>
      </c>
      <c r="AD6475">
        <v>-1.0514576802410001</v>
      </c>
      <c r="AE6475">
        <v>-7.5418830000000003</v>
      </c>
      <c r="AF6475">
        <v>2.5793790452705099</v>
      </c>
      <c r="AG6475">
        <v>-1.0514576802410001</v>
      </c>
      <c r="AH6475">
        <v>6.9382424309432098</v>
      </c>
      <c r="AI6475">
        <v>98.084599577842496</v>
      </c>
      <c r="AJ6475">
        <v>69.606748420195402</v>
      </c>
      <c r="AK6475">
        <v>7.4764943351185096</v>
      </c>
      <c r="AL6475">
        <v>68.813229923586704</v>
      </c>
      <c r="AM6475">
        <v>79.562335717764697</v>
      </c>
      <c r="AN6475">
        <v>1.00000005108054</v>
      </c>
    </row>
    <row r="6476" spans="1:40" x14ac:dyDescent="0.25">
      <c r="A6476" t="str">
        <f>"20190304164250956"</f>
        <v>20190304164250956</v>
      </c>
      <c r="B6476" t="str">
        <f>"1551688970947631"</f>
        <v>1551688970947631</v>
      </c>
      <c r="C6476" t="s">
        <v>40</v>
      </c>
      <c r="D6476">
        <v>4.8089709999999997</v>
      </c>
      <c r="E6476">
        <v>0.56314189999999997</v>
      </c>
      <c r="F6476" t="s">
        <v>42</v>
      </c>
      <c r="G6476">
        <v>-304.41460000000001</v>
      </c>
      <c r="H6476" s="1">
        <v>-3.5499099999999999E-6</v>
      </c>
      <c r="I6476">
        <v>-4.3447610000000001</v>
      </c>
      <c r="J6476">
        <v>-304.59230000000002</v>
      </c>
      <c r="K6476">
        <v>1.051588</v>
      </c>
      <c r="L6476">
        <v>3.2686459999999999</v>
      </c>
      <c r="M6476">
        <v>0.36775560000000002</v>
      </c>
      <c r="N6476">
        <v>-1.482845E-2</v>
      </c>
      <c r="O6476">
        <v>-0.92980439999999998</v>
      </c>
      <c r="P6476">
        <v>0.19260469999999999</v>
      </c>
      <c r="Q6476">
        <v>0.35121019999999997</v>
      </c>
      <c r="R6476">
        <v>-0.91627259999999999</v>
      </c>
      <c r="S6476">
        <v>0.11740109999999999</v>
      </c>
      <c r="T6476">
        <v>-0.45834390000000003</v>
      </c>
      <c r="U6476">
        <v>-3.430939</v>
      </c>
      <c r="V6476">
        <v>0.1659196</v>
      </c>
      <c r="W6476">
        <v>0.36127910000000002</v>
      </c>
      <c r="X6476">
        <v>0.91757730000000004</v>
      </c>
      <c r="Y6476">
        <v>0.33548620000000001</v>
      </c>
      <c r="Z6476">
        <v>0.1000783</v>
      </c>
      <c r="AA6476">
        <v>0.93671409999999999</v>
      </c>
      <c r="AB6476">
        <v>27</v>
      </c>
      <c r="AC6476">
        <v>0.17770000000001501</v>
      </c>
      <c r="AD6476">
        <v>-1.0515915499099999</v>
      </c>
      <c r="AE6476">
        <v>-7.6134069999999996</v>
      </c>
      <c r="AF6476">
        <v>2.5856339117800702</v>
      </c>
      <c r="AG6476">
        <v>-1.0515915499099999</v>
      </c>
      <c r="AH6476">
        <v>7.0114219878991602</v>
      </c>
      <c r="AI6476">
        <v>98.010011901255794</v>
      </c>
      <c r="AJ6476">
        <v>69.757309847286507</v>
      </c>
      <c r="AK6476">
        <v>7.54661419485487</v>
      </c>
      <c r="AL6476">
        <v>68.821229308230102</v>
      </c>
      <c r="AM6476">
        <v>79.750326835541102</v>
      </c>
      <c r="AN6476">
        <v>1.0000000016181301</v>
      </c>
    </row>
    <row r="6477" spans="1:40" x14ac:dyDescent="0.25">
      <c r="A6477" t="str">
        <f>"20190304164250978"</f>
        <v>20190304164250978</v>
      </c>
      <c r="B6477" t="str">
        <f>"1551688970967151"</f>
        <v>1551688970967151</v>
      </c>
      <c r="C6477" t="s">
        <v>40</v>
      </c>
      <c r="D6477">
        <v>4.7866600000000004</v>
      </c>
      <c r="E6477">
        <v>0.56289449999999996</v>
      </c>
      <c r="F6477" t="s">
        <v>42</v>
      </c>
      <c r="G6477">
        <v>-303.96859999999998</v>
      </c>
      <c r="H6477" s="1">
        <v>-3.4275950000000001E-6</v>
      </c>
      <c r="I6477">
        <v>-4.445487</v>
      </c>
      <c r="J6477">
        <v>-304.50360000000001</v>
      </c>
      <c r="K6477">
        <v>1.0517190000000001</v>
      </c>
      <c r="L6477">
        <v>3.009979</v>
      </c>
      <c r="M6477">
        <v>0.35673850000000001</v>
      </c>
      <c r="N6477">
        <v>-1.4739520000000001E-2</v>
      </c>
      <c r="O6477">
        <v>-0.93408820000000004</v>
      </c>
      <c r="P6477">
        <v>0.18605949999999999</v>
      </c>
      <c r="Q6477">
        <v>0.35132909999999901</v>
      </c>
      <c r="R6477">
        <v>-0.91757860000000002</v>
      </c>
      <c r="S6477">
        <v>0.27441409999999899</v>
      </c>
      <c r="T6477">
        <v>-0.46263870000000001</v>
      </c>
      <c r="U6477">
        <v>-3.3937680000000001</v>
      </c>
      <c r="V6477">
        <v>0.1614631</v>
      </c>
      <c r="W6477">
        <v>0.36147469999999998</v>
      </c>
      <c r="X6477">
        <v>0.91829499999999997</v>
      </c>
      <c r="Y6477">
        <v>0.28041070000000001</v>
      </c>
      <c r="Z6477">
        <v>0.1045442</v>
      </c>
      <c r="AA6477">
        <v>0.95416999999999996</v>
      </c>
      <c r="AB6477">
        <v>27</v>
      </c>
      <c r="AC6477">
        <v>0.53500000000002501</v>
      </c>
      <c r="AD6477">
        <v>-1.0517224275949999</v>
      </c>
      <c r="AE6477">
        <v>-7.4554659999999897</v>
      </c>
      <c r="AF6477">
        <v>2.1182123868179499</v>
      </c>
      <c r="AG6477">
        <v>-1.0517224275949999</v>
      </c>
      <c r="AH6477">
        <v>7.0167755508766199</v>
      </c>
      <c r="AI6477">
        <v>98.165700142057801</v>
      </c>
      <c r="AJ6477">
        <v>73.202073321923805</v>
      </c>
      <c r="AK6477">
        <v>7.4045987677763598</v>
      </c>
      <c r="AL6477">
        <v>68.809209932462494</v>
      </c>
      <c r="AM6477">
        <v>80.027661580939096</v>
      </c>
      <c r="AN6477">
        <v>0.99999999921334903</v>
      </c>
    </row>
    <row r="6478" spans="1:40" x14ac:dyDescent="0.25">
      <c r="A6478" t="str">
        <f>"20190304164251001"</f>
        <v>20190304164251001</v>
      </c>
      <c r="B6478" t="str">
        <f>"1551688970987647"</f>
        <v>1551688970987647</v>
      </c>
      <c r="C6478" t="s">
        <v>40</v>
      </c>
      <c r="D6478">
        <v>4.7938199999999904</v>
      </c>
      <c r="E6478">
        <v>0.56238369999999904</v>
      </c>
      <c r="F6478" t="s">
        <v>42</v>
      </c>
      <c r="G6478">
        <v>-303.91469999999998</v>
      </c>
      <c r="H6478" s="1">
        <v>-3.130233E-6</v>
      </c>
      <c r="I6478">
        <v>-5.0442260000000001</v>
      </c>
      <c r="J6478">
        <v>-304.41579999999999</v>
      </c>
      <c r="K6478">
        <v>1.051866</v>
      </c>
      <c r="L6478">
        <v>2.744354</v>
      </c>
      <c r="M6478">
        <v>0.3455761</v>
      </c>
      <c r="N6478">
        <v>-1.465311E-2</v>
      </c>
      <c r="O6478">
        <v>-0.93827640000000001</v>
      </c>
      <c r="P6478">
        <v>0.1802628</v>
      </c>
      <c r="Q6478">
        <v>0.35113169999999999</v>
      </c>
      <c r="R6478">
        <v>-0.91881009999999996</v>
      </c>
      <c r="S6478">
        <v>0.2477722</v>
      </c>
      <c r="T6478">
        <v>-0.44249450000000001</v>
      </c>
      <c r="U6478">
        <v>-3.3886720000000001</v>
      </c>
      <c r="V6478">
        <v>0.156170899999999</v>
      </c>
      <c r="W6478">
        <v>0.36137999999999998</v>
      </c>
      <c r="X6478">
        <v>0.91924700000000004</v>
      </c>
      <c r="Y6478">
        <v>0.2762985</v>
      </c>
      <c r="Z6478">
        <v>0.10057430000000001</v>
      </c>
      <c r="AA6478">
        <v>0.9557949</v>
      </c>
      <c r="AB6478">
        <v>27</v>
      </c>
      <c r="AC6478">
        <v>0.50110000000000798</v>
      </c>
      <c r="AD6478">
        <v>-1.0518691302330001</v>
      </c>
      <c r="AE6478">
        <v>-7.7885799999999996</v>
      </c>
      <c r="AF6478">
        <v>2.1819815034566101</v>
      </c>
      <c r="AG6478">
        <v>-1.0518691302330001</v>
      </c>
      <c r="AH6478">
        <v>7.3483360680212897</v>
      </c>
      <c r="AI6478">
        <v>97.813451216543996</v>
      </c>
      <c r="AJ6478">
        <v>73.461979009201599</v>
      </c>
      <c r="AK6478">
        <v>7.7372808477621202</v>
      </c>
      <c r="AL6478">
        <v>68.815028148274095</v>
      </c>
      <c r="AM6478">
        <v>80.358078657786606</v>
      </c>
      <c r="AN6478">
        <v>0.99999995070790304</v>
      </c>
    </row>
    <row r="6479" spans="1:40" x14ac:dyDescent="0.25">
      <c r="A6479" t="str">
        <f>"20190304164251024"</f>
        <v>20190304164251024</v>
      </c>
      <c r="B6479" t="str">
        <f>"1551688971017903"</f>
        <v>1551688971017903</v>
      </c>
      <c r="C6479" t="s">
        <v>40</v>
      </c>
      <c r="D6479">
        <v>4.7881349999999996</v>
      </c>
      <c r="E6479">
        <v>0.56103840000000005</v>
      </c>
      <c r="F6479" t="s">
        <v>42</v>
      </c>
      <c r="G6479">
        <v>-303.86860000000001</v>
      </c>
      <c r="H6479" s="1">
        <v>-2.9341E-6</v>
      </c>
      <c r="I6479">
        <v>-5.4331750000000003</v>
      </c>
      <c r="J6479">
        <v>-304.32929999999999</v>
      </c>
      <c r="K6479">
        <v>1.05203</v>
      </c>
      <c r="L6479">
        <v>2.4718930000000001</v>
      </c>
      <c r="M6479">
        <v>0.33431650000000002</v>
      </c>
      <c r="N6479">
        <v>-1.456913E-2</v>
      </c>
      <c r="O6479">
        <v>-0.94234839999999997</v>
      </c>
      <c r="P6479">
        <v>0.1739319</v>
      </c>
      <c r="Q6479">
        <v>0.35101130000000003</v>
      </c>
      <c r="R6479">
        <v>-0.92007559999999999</v>
      </c>
      <c r="S6479">
        <v>0.2266541</v>
      </c>
      <c r="T6479">
        <v>-0.43568560000000001</v>
      </c>
      <c r="U6479">
        <v>-3.387146</v>
      </c>
      <c r="V6479">
        <v>0.1513321</v>
      </c>
      <c r="W6479">
        <v>0.36135509999999998</v>
      </c>
      <c r="X6479">
        <v>0.92006580000000004</v>
      </c>
      <c r="Y6479">
        <v>0.27069470000000001</v>
      </c>
      <c r="Z6479">
        <v>9.9833959999999999E-2</v>
      </c>
      <c r="AA6479">
        <v>0.95747459999999995</v>
      </c>
      <c r="AB6479">
        <v>27</v>
      </c>
      <c r="AC6479">
        <v>0.46069999999997402</v>
      </c>
      <c r="AD6479">
        <v>-1.0520329340999901</v>
      </c>
      <c r="AE6479">
        <v>-7.9050679999999902</v>
      </c>
      <c r="AF6479">
        <v>2.1705755594496701</v>
      </c>
      <c r="AG6479">
        <v>-1.0520329340999901</v>
      </c>
      <c r="AH6479">
        <v>7.4722592243833601</v>
      </c>
      <c r="AI6479">
        <v>97.699871685730699</v>
      </c>
      <c r="AJ6479">
        <v>73.802237461239997</v>
      </c>
      <c r="AK6479">
        <v>7.8519315757393997</v>
      </c>
      <c r="AL6479">
        <v>68.816559183193405</v>
      </c>
      <c r="AM6479">
        <v>80.659641062174899</v>
      </c>
      <c r="AN6479">
        <v>0.99999999455803001</v>
      </c>
    </row>
    <row r="6480" spans="1:40" x14ac:dyDescent="0.25">
      <c r="A6480" t="str">
        <f>"20190304164251045"</f>
        <v>20190304164251045</v>
      </c>
      <c r="B6480" t="str">
        <f>"1551688971037423"</f>
        <v>1551688971037423</v>
      </c>
      <c r="C6480" t="s">
        <v>40</v>
      </c>
      <c r="D6480">
        <v>4.75136</v>
      </c>
      <c r="E6480">
        <v>0.5606565</v>
      </c>
      <c r="F6480" t="s">
        <v>42</v>
      </c>
      <c r="G6480">
        <v>-303.81619999999998</v>
      </c>
      <c r="H6480" s="1">
        <v>-2.8103839999999998E-6</v>
      </c>
      <c r="I6480">
        <v>-5.6654210000000003</v>
      </c>
      <c r="J6480">
        <v>-304.25259999999997</v>
      </c>
      <c r="K6480">
        <v>1.0521879999999999</v>
      </c>
      <c r="L6480">
        <v>2.2209469999999998</v>
      </c>
      <c r="M6480">
        <v>0.32412439999999998</v>
      </c>
      <c r="N6480">
        <v>-1.4495050000000001E-2</v>
      </c>
      <c r="O6480">
        <v>-0.94590370000000001</v>
      </c>
      <c r="P6480">
        <v>0.1689648</v>
      </c>
      <c r="Q6480">
        <v>0.3505144</v>
      </c>
      <c r="R6480">
        <v>-0.92118999999999995</v>
      </c>
      <c r="S6480">
        <v>0.21359249999999999</v>
      </c>
      <c r="T6480">
        <v>-0.43792710000000001</v>
      </c>
      <c r="U6480">
        <v>-3.3872990000000001</v>
      </c>
      <c r="V6480">
        <v>0.14624200000000001</v>
      </c>
      <c r="W6480">
        <v>0.36096519999999999</v>
      </c>
      <c r="X6480">
        <v>0.92104149999999996</v>
      </c>
      <c r="Y6480">
        <v>0.26399479999999997</v>
      </c>
      <c r="Z6480">
        <v>0.1012744</v>
      </c>
      <c r="AA6480">
        <v>0.9591925</v>
      </c>
      <c r="AB6480">
        <v>27</v>
      </c>
      <c r="AC6480">
        <v>0.43639999999999102</v>
      </c>
      <c r="AD6480">
        <v>-1.0521908103840001</v>
      </c>
      <c r="AE6480">
        <v>-7.886368</v>
      </c>
      <c r="AF6480">
        <v>2.1062190087677801</v>
      </c>
      <c r="AG6480">
        <v>-1.0521908103840001</v>
      </c>
      <c r="AH6480">
        <v>7.4694345373838198</v>
      </c>
      <c r="AI6480">
        <v>97.721037246854493</v>
      </c>
      <c r="AJ6480">
        <v>74.252695881449995</v>
      </c>
      <c r="AK6480">
        <v>7.8317122216417996</v>
      </c>
      <c r="AL6480">
        <v>68.840516384003394</v>
      </c>
      <c r="AM6480">
        <v>80.977950896724593</v>
      </c>
      <c r="AN6480">
        <v>1.00000002144864</v>
      </c>
    </row>
    <row r="6481" spans="1:40" x14ac:dyDescent="0.25">
      <c r="A6481" t="str">
        <f>"20190304164251067"</f>
        <v>20190304164251067</v>
      </c>
      <c r="B6481" t="str">
        <f>"1551688971057919"</f>
        <v>1551688971057919</v>
      </c>
      <c r="C6481" t="s">
        <v>40</v>
      </c>
      <c r="D6481">
        <v>4.755935</v>
      </c>
      <c r="E6481">
        <v>0.55981639999999999</v>
      </c>
      <c r="F6481" t="s">
        <v>42</v>
      </c>
      <c r="G6481">
        <v>-303.77519999999998</v>
      </c>
      <c r="H6481" s="1">
        <v>-2.7017279999999998E-6</v>
      </c>
      <c r="I6481">
        <v>-5.8721949999999996</v>
      </c>
      <c r="J6481">
        <v>-304.1737</v>
      </c>
      <c r="K6481">
        <v>1.052357</v>
      </c>
      <c r="L6481">
        <v>1.952515</v>
      </c>
      <c r="M6481">
        <v>0.31339460000000002</v>
      </c>
      <c r="N6481">
        <v>-1.4420199999999999E-2</v>
      </c>
      <c r="O6481">
        <v>-0.94951350000000001</v>
      </c>
      <c r="P6481">
        <v>0.16414589999999901</v>
      </c>
      <c r="Q6481">
        <v>0.34982950000000002</v>
      </c>
      <c r="R6481">
        <v>-0.92232060000000005</v>
      </c>
      <c r="S6481">
        <v>0.19982910000000001</v>
      </c>
      <c r="T6481">
        <v>-0.440419</v>
      </c>
      <c r="U6481">
        <v>-3.3875730000000002</v>
      </c>
      <c r="V6481">
        <v>0.14051629999999901</v>
      </c>
      <c r="W6481">
        <v>0.36039939999999998</v>
      </c>
      <c r="X6481">
        <v>0.92215369999999997</v>
      </c>
      <c r="Y6481">
        <v>0.25697490000000001</v>
      </c>
      <c r="Z6481">
        <v>0.102798</v>
      </c>
      <c r="AA6481">
        <v>0.96093519999999999</v>
      </c>
      <c r="AB6481">
        <v>27</v>
      </c>
      <c r="AC6481">
        <v>0.39850000000001201</v>
      </c>
      <c r="AD6481">
        <v>-1.052359701728</v>
      </c>
      <c r="AE6481">
        <v>-7.8247099999999996</v>
      </c>
      <c r="AF6481">
        <v>2.0373008976960998</v>
      </c>
      <c r="AG6481">
        <v>-1.052359701728</v>
      </c>
      <c r="AH6481">
        <v>7.4214487773873703</v>
      </c>
      <c r="AI6481">
        <v>97.786393383809695</v>
      </c>
      <c r="AJ6481">
        <v>74.649573112648497</v>
      </c>
      <c r="AK6481">
        <v>7.7676224061780301</v>
      </c>
      <c r="AL6481">
        <v>68.875273484010506</v>
      </c>
      <c r="AM6481">
        <v>81.336007814438005</v>
      </c>
      <c r="AN6481">
        <v>1.0000000022548601</v>
      </c>
    </row>
    <row r="6482" spans="1:40" x14ac:dyDescent="0.25">
      <c r="A6482" t="str">
        <f>"20190304164251091"</f>
        <v>20190304164251091</v>
      </c>
      <c r="B6482" t="str">
        <f>"1551688971077439"</f>
        <v>1551688971077439</v>
      </c>
      <c r="C6482" t="s">
        <v>40</v>
      </c>
      <c r="D6482">
        <v>4.764678</v>
      </c>
      <c r="E6482">
        <v>0.55905119999999997</v>
      </c>
      <c r="F6482" t="s">
        <v>42</v>
      </c>
      <c r="G6482">
        <v>-303.72640000000001</v>
      </c>
      <c r="H6482" s="1">
        <v>-2.5897730000000001E-6</v>
      </c>
      <c r="I6482">
        <v>-6.08155</v>
      </c>
      <c r="J6482">
        <v>-304.09899999999999</v>
      </c>
      <c r="K6482">
        <v>1.0525249999999999</v>
      </c>
      <c r="L6482">
        <v>1.6886289999999999</v>
      </c>
      <c r="M6482">
        <v>0.30303249999999998</v>
      </c>
      <c r="N6482">
        <v>-1.435152E-2</v>
      </c>
      <c r="O6482">
        <v>-0.95287219999999995</v>
      </c>
      <c r="P6482">
        <v>0.16037660000000001</v>
      </c>
      <c r="Q6482">
        <v>0.34877849999999999</v>
      </c>
      <c r="R6482">
        <v>-0.92338149999999997</v>
      </c>
      <c r="S6482">
        <v>0.18859860000000001</v>
      </c>
      <c r="T6482">
        <v>-0.4437046</v>
      </c>
      <c r="U6482">
        <v>-3.3873899999999999</v>
      </c>
      <c r="V6482">
        <v>0.13415579999999999</v>
      </c>
      <c r="W6482">
        <v>0.35948210000000003</v>
      </c>
      <c r="X6482">
        <v>0.92345809999999995</v>
      </c>
      <c r="Y6482">
        <v>0.24963199999999999</v>
      </c>
      <c r="Z6482">
        <v>0.1045031</v>
      </c>
      <c r="AA6482">
        <v>0.96268529999999997</v>
      </c>
      <c r="AB6482">
        <v>27</v>
      </c>
      <c r="AC6482">
        <v>0.37259999999997701</v>
      </c>
      <c r="AD6482">
        <v>-1.052527589773</v>
      </c>
      <c r="AE6482">
        <v>-7.7701789999999997</v>
      </c>
      <c r="AF6482">
        <v>1.9638313938926899</v>
      </c>
      <c r="AG6482">
        <v>-1.052527589773</v>
      </c>
      <c r="AH6482">
        <v>7.3825225471369498</v>
      </c>
      <c r="AI6482">
        <v>97.844751357938094</v>
      </c>
      <c r="AJ6482">
        <v>75.1036672872021</v>
      </c>
      <c r="AK6482">
        <v>7.7114257585648396</v>
      </c>
      <c r="AL6482">
        <v>68.9316068108742</v>
      </c>
      <c r="AM6482">
        <v>81.734155695098806</v>
      </c>
      <c r="AN6482">
        <v>1.0000000106748299</v>
      </c>
    </row>
    <row r="6483" spans="1:40" x14ac:dyDescent="0.25">
      <c r="A6483" t="str">
        <f>"20190304164251112"</f>
        <v>20190304164251112</v>
      </c>
      <c r="B6483" t="str">
        <f>"1551688971107695"</f>
        <v>1551688971107695</v>
      </c>
      <c r="C6483" t="s">
        <v>40</v>
      </c>
      <c r="D6483">
        <v>4.7767929999999996</v>
      </c>
      <c r="E6483">
        <v>0.55813179999999996</v>
      </c>
      <c r="F6483" t="s">
        <v>42</v>
      </c>
      <c r="G6483">
        <v>-303.68119999999999</v>
      </c>
      <c r="H6483" s="1">
        <v>-2.496455E-6</v>
      </c>
      <c r="I6483">
        <v>-6.2535530000000001</v>
      </c>
      <c r="J6483">
        <v>-304.02539999999999</v>
      </c>
      <c r="K6483">
        <v>1.0527120000000001</v>
      </c>
      <c r="L6483">
        <v>1.418121</v>
      </c>
      <c r="M6483">
        <v>0.2926415</v>
      </c>
      <c r="N6483">
        <v>-1.4283560000000001E-2</v>
      </c>
      <c r="O6483">
        <v>-0.95611570000000001</v>
      </c>
      <c r="P6483">
        <v>0.15662100000000001</v>
      </c>
      <c r="Q6483">
        <v>0.34852919999999998</v>
      </c>
      <c r="R6483">
        <v>-0.9241201</v>
      </c>
      <c r="S6483">
        <v>0.17819209999999999</v>
      </c>
      <c r="T6483">
        <v>-0.44892989999999999</v>
      </c>
      <c r="U6483">
        <v>-3.387543</v>
      </c>
      <c r="V6483">
        <v>0.12768350000000001</v>
      </c>
      <c r="W6483">
        <v>0.35936459999999998</v>
      </c>
      <c r="X6483">
        <v>0.92442089999999999</v>
      </c>
      <c r="Y6483">
        <v>0.2420552</v>
      </c>
      <c r="Z6483">
        <v>0.1066988</v>
      </c>
      <c r="AA6483">
        <v>0.96437790000000001</v>
      </c>
      <c r="AB6483">
        <v>27</v>
      </c>
      <c r="AC6483">
        <v>0.34420000000000001</v>
      </c>
      <c r="AD6483">
        <v>-1.0527144964549999</v>
      </c>
      <c r="AE6483">
        <v>-7.6716740000000003</v>
      </c>
      <c r="AF6483">
        <v>1.88080667527571</v>
      </c>
      <c r="AG6483">
        <v>-1.0527144964549999</v>
      </c>
      <c r="AH6483">
        <v>7.2993254732342203</v>
      </c>
      <c r="AI6483">
        <v>97.950452386146594</v>
      </c>
      <c r="AJ6483">
        <v>75.550978083536194</v>
      </c>
      <c r="AK6483">
        <v>7.61089967907962</v>
      </c>
      <c r="AL6483">
        <v>68.938820846152296</v>
      </c>
      <c r="AM6483">
        <v>82.135911024404393</v>
      </c>
      <c r="AN6483">
        <v>0.99999999613111001</v>
      </c>
    </row>
    <row r="6484" spans="1:40" x14ac:dyDescent="0.25">
      <c r="A6484" t="str">
        <f>"20190304164251135"</f>
        <v>20190304164251135</v>
      </c>
      <c r="B6484" t="str">
        <f>"1551688971127214"</f>
        <v>1551688971127214</v>
      </c>
      <c r="C6484" t="s">
        <v>40</v>
      </c>
      <c r="D6484">
        <v>4.7478009999999999</v>
      </c>
      <c r="E6484">
        <v>0.55748980000000004</v>
      </c>
      <c r="F6484" t="s">
        <v>41</v>
      </c>
      <c r="G6484">
        <v>-303.98309999999998</v>
      </c>
      <c r="H6484">
        <v>0.93974199999999997</v>
      </c>
      <c r="I6484">
        <v>0.57156119999999899</v>
      </c>
      <c r="J6484">
        <v>-303.95609999999999</v>
      </c>
      <c r="K6484">
        <v>1.053118</v>
      </c>
      <c r="L6484">
        <v>1.1542049999999999</v>
      </c>
      <c r="M6484">
        <v>0.28228209999999998</v>
      </c>
      <c r="N6484">
        <v>-1.449078E-2</v>
      </c>
      <c r="O6484">
        <v>-0.95922220000000002</v>
      </c>
      <c r="P6484">
        <v>0.15113360000000001</v>
      </c>
      <c r="Q6484">
        <v>0.34830519999999998</v>
      </c>
      <c r="R6484">
        <v>-0.92511770000000004</v>
      </c>
      <c r="S6484">
        <v>0.16983029999999999</v>
      </c>
      <c r="T6484">
        <v>-0.45163419999999999</v>
      </c>
      <c r="U6484">
        <v>-3.3878780000000002</v>
      </c>
      <c r="V6484">
        <v>0.1228781</v>
      </c>
      <c r="W6484">
        <v>0.359529299999999</v>
      </c>
      <c r="X6484">
        <v>0.92500789999999999</v>
      </c>
      <c r="Y6484">
        <v>0.23394409999999999</v>
      </c>
      <c r="Z6484">
        <v>0.10793949999999999</v>
      </c>
      <c r="AA6484">
        <v>0.96623970000000003</v>
      </c>
      <c r="AB6484">
        <v>27</v>
      </c>
      <c r="AC6484">
        <v>-2.6999999999986798E-2</v>
      </c>
      <c r="AD6484">
        <v>-0.113376</v>
      </c>
      <c r="AE6484">
        <v>-0.58264380000000005</v>
      </c>
      <c r="AF6484">
        <v>0.18345717805893999</v>
      </c>
      <c r="AG6484">
        <v>-0.113376</v>
      </c>
      <c r="AH6484">
        <v>0.53124849970955101</v>
      </c>
      <c r="AI6484">
        <v>101.404917028116</v>
      </c>
      <c r="AJ6484">
        <v>70.948561624516401</v>
      </c>
      <c r="AK6484">
        <v>0.57335470871093297</v>
      </c>
      <c r="AL6484">
        <v>68.928708013857204</v>
      </c>
      <c r="AM6484">
        <v>82.433127536635197</v>
      </c>
      <c r="AN6484">
        <v>0.99999998004025403</v>
      </c>
    </row>
    <row r="6485" spans="1:40" x14ac:dyDescent="0.25">
      <c r="A6485" t="str">
        <f>"20190304164251158"</f>
        <v>20190304164251158</v>
      </c>
      <c r="B6485" t="str">
        <f>"1551688971147711"</f>
        <v>1551688971147711</v>
      </c>
      <c r="C6485" t="s">
        <v>40</v>
      </c>
      <c r="D6485">
        <v>4.7505800000000002</v>
      </c>
      <c r="E6485">
        <v>0.55684659999999997</v>
      </c>
      <c r="F6485" t="s">
        <v>41</v>
      </c>
      <c r="G6485">
        <v>-303.91770000000002</v>
      </c>
      <c r="H6485">
        <v>0.94347970000000003</v>
      </c>
      <c r="I6485">
        <v>0.3389645</v>
      </c>
      <c r="J6485">
        <v>-303.88900000000001</v>
      </c>
      <c r="K6485">
        <v>1.0536799999999999</v>
      </c>
      <c r="L6485">
        <v>0.89105219999999896</v>
      </c>
      <c r="M6485">
        <v>0.27110050000000002</v>
      </c>
      <c r="N6485">
        <v>-1.4886099999999999E-2</v>
      </c>
      <c r="O6485">
        <v>-0.96243599999999996</v>
      </c>
      <c r="P6485">
        <v>0.14374919999999999</v>
      </c>
      <c r="Q6485">
        <v>0.3480665</v>
      </c>
      <c r="R6485">
        <v>-0.92638330000000002</v>
      </c>
      <c r="S6485">
        <v>0.16061400000000001</v>
      </c>
      <c r="T6485">
        <v>-0.45501760000000002</v>
      </c>
      <c r="U6485">
        <v>-3.3879090000000001</v>
      </c>
      <c r="V6485">
        <v>0.1192213</v>
      </c>
      <c r="W6485">
        <v>0.35981929999999901</v>
      </c>
      <c r="X6485">
        <v>0.92537360000000002</v>
      </c>
      <c r="Y6485">
        <v>0.22525490000000001</v>
      </c>
      <c r="Z6485">
        <v>0.1092221</v>
      </c>
      <c r="AA6485">
        <v>0.96815839999999997</v>
      </c>
      <c r="AB6485">
        <v>27</v>
      </c>
      <c r="AC6485">
        <v>-2.87000000000148E-2</v>
      </c>
      <c r="AD6485">
        <v>-0.1102003</v>
      </c>
      <c r="AE6485">
        <v>-0.55208769999999896</v>
      </c>
      <c r="AF6485">
        <v>0.17053646882544499</v>
      </c>
      <c r="AG6485">
        <v>-0.1102003</v>
      </c>
      <c r="AH6485">
        <v>0.50361514036685695</v>
      </c>
      <c r="AI6485">
        <v>101.709232343463</v>
      </c>
      <c r="AJ6485">
        <v>71.292635814633599</v>
      </c>
      <c r="AK6485">
        <v>0.54300552752828501</v>
      </c>
      <c r="AL6485">
        <v>68.910900374023697</v>
      </c>
      <c r="AM6485">
        <v>82.658689630963593</v>
      </c>
      <c r="AN6485">
        <v>0.99999997330156898</v>
      </c>
    </row>
    <row r="6486" spans="1:40" x14ac:dyDescent="0.25">
      <c r="A6486" t="str">
        <f>"20190304164251179"</f>
        <v>20190304164251179</v>
      </c>
      <c r="B6486" t="str">
        <f>"1551688971167233"</f>
        <v>1551688971167233</v>
      </c>
      <c r="C6486" t="s">
        <v>40</v>
      </c>
      <c r="D6486">
        <v>4.750597</v>
      </c>
      <c r="E6486">
        <v>0.55633959999999905</v>
      </c>
      <c r="F6486" t="s">
        <v>41</v>
      </c>
      <c r="G6486">
        <v>-303.85539999999997</v>
      </c>
      <c r="H6486">
        <v>0.94688879999999997</v>
      </c>
      <c r="I6486">
        <v>0.104379399999999</v>
      </c>
      <c r="J6486">
        <v>-303.82470000000001</v>
      </c>
      <c r="K6486">
        <v>1.0539339999999999</v>
      </c>
      <c r="L6486">
        <v>0.63082890000000003</v>
      </c>
      <c r="M6486">
        <v>0.2614746</v>
      </c>
      <c r="N6486">
        <v>-1.541407E-2</v>
      </c>
      <c r="O6486">
        <v>-0.96508729999999998</v>
      </c>
      <c r="P6486">
        <v>0.13846429999999901</v>
      </c>
      <c r="Q6486">
        <v>0.3472962</v>
      </c>
      <c r="R6486">
        <v>-0.92747659999999998</v>
      </c>
      <c r="S6486">
        <v>0.14523320000000001</v>
      </c>
      <c r="T6486">
        <v>-0.45963389999999998</v>
      </c>
      <c r="U6486">
        <v>-3.38855</v>
      </c>
      <c r="V6486">
        <v>0.115504</v>
      </c>
      <c r="W6486">
        <v>0.35955510000000002</v>
      </c>
      <c r="X6486">
        <v>0.92594759999999998</v>
      </c>
      <c r="Y6486">
        <v>0.21991869999999999</v>
      </c>
      <c r="Z6486">
        <v>0.1105279</v>
      </c>
      <c r="AA6486">
        <v>0.96923649999999995</v>
      </c>
      <c r="AB6486">
        <v>27</v>
      </c>
      <c r="AC6486">
        <v>-3.06999999999675E-2</v>
      </c>
      <c r="AD6486">
        <v>-0.10704519999999899</v>
      </c>
      <c r="AE6486">
        <v>-0.52644950000000001</v>
      </c>
      <c r="AF6486">
        <v>0.16068043733689699</v>
      </c>
      <c r="AG6486">
        <v>-0.10704519999999899</v>
      </c>
      <c r="AH6486">
        <v>0.48031080181658697</v>
      </c>
      <c r="AI6486">
        <v>101.934032075316</v>
      </c>
      <c r="AJ6486">
        <v>71.503144273428205</v>
      </c>
      <c r="AK6486">
        <v>0.51766335018765697</v>
      </c>
      <c r="AL6486">
        <v>68.927124309267796</v>
      </c>
      <c r="AM6486">
        <v>82.889572851642995</v>
      </c>
      <c r="AN6486">
        <v>1.0000000009488801</v>
      </c>
    </row>
    <row r="6487" spans="1:40" x14ac:dyDescent="0.25">
      <c r="A6487" t="str">
        <f>"20190304164251202"</f>
        <v>20190304164251202</v>
      </c>
      <c r="B6487" t="str">
        <f>"1551688971197487"</f>
        <v>1551688971197487</v>
      </c>
      <c r="C6487" t="s">
        <v>40</v>
      </c>
      <c r="D6487">
        <v>4.7320379999999904</v>
      </c>
      <c r="E6487">
        <v>0.55586639999999998</v>
      </c>
      <c r="F6487" t="s">
        <v>41</v>
      </c>
      <c r="G6487">
        <v>-303.79579999999999</v>
      </c>
      <c r="H6487">
        <v>0.95003570000000004</v>
      </c>
      <c r="I6487">
        <v>-0.1279682</v>
      </c>
      <c r="J6487">
        <v>-303.76420000000002</v>
      </c>
      <c r="K6487">
        <v>1.0540039999999999</v>
      </c>
      <c r="L6487">
        <v>0.37490839999999998</v>
      </c>
      <c r="M6487">
        <v>0.25515959999999999</v>
      </c>
      <c r="N6487">
        <v>-1.527824E-2</v>
      </c>
      <c r="O6487">
        <v>-0.96677820000000003</v>
      </c>
      <c r="P6487">
        <v>0.1356224</v>
      </c>
      <c r="Q6487">
        <v>0.34734660000000001</v>
      </c>
      <c r="R6487">
        <v>-0.92787770000000003</v>
      </c>
      <c r="S6487">
        <v>0.13037109999999999</v>
      </c>
      <c r="T6487">
        <v>-0.46306120000000001</v>
      </c>
      <c r="U6487">
        <v>-3.3885190000000001</v>
      </c>
      <c r="V6487">
        <v>0.1127734</v>
      </c>
      <c r="W6487">
        <v>0.35938419999999999</v>
      </c>
      <c r="X6487">
        <v>0.92635049999999997</v>
      </c>
      <c r="Y6487">
        <v>0.2177936</v>
      </c>
      <c r="Z6487">
        <v>0.1119579</v>
      </c>
      <c r="AA6487">
        <v>0.96955219999999998</v>
      </c>
      <c r="AB6487">
        <v>27</v>
      </c>
      <c r="AC6487">
        <v>-3.1599999999968903E-2</v>
      </c>
      <c r="AD6487">
        <v>-0.1039683</v>
      </c>
      <c r="AE6487">
        <v>-0.50287660000000001</v>
      </c>
      <c r="AF6487">
        <v>0.15239415956716401</v>
      </c>
      <c r="AG6487">
        <v>-0.1039683</v>
      </c>
      <c r="AH6487">
        <v>0.45863591487421601</v>
      </c>
      <c r="AI6487">
        <v>102.14074476088</v>
      </c>
      <c r="AJ6487">
        <v>71.619540236572504</v>
      </c>
      <c r="AK6487">
        <v>0.494348348523166</v>
      </c>
      <c r="AL6487">
        <v>68.937618552688704</v>
      </c>
      <c r="AM6487">
        <v>83.058998551905901</v>
      </c>
      <c r="AN6487">
        <v>1.0000000459037199</v>
      </c>
    </row>
    <row r="6488" spans="1:40" x14ac:dyDescent="0.25">
      <c r="A6488" t="str">
        <f>"20190304164251224"</f>
        <v>20190304164251224</v>
      </c>
      <c r="B6488" t="str">
        <f>"1551688971217983"</f>
        <v>1551688971217983</v>
      </c>
      <c r="C6488" t="s">
        <v>40</v>
      </c>
      <c r="D6488">
        <v>4.724253</v>
      </c>
      <c r="E6488">
        <v>0.55540009999999995</v>
      </c>
      <c r="F6488" t="s">
        <v>41</v>
      </c>
      <c r="G6488">
        <v>-303.73779999999999</v>
      </c>
      <c r="H6488">
        <v>0.95371229999999996</v>
      </c>
      <c r="I6488">
        <v>-0.35987659999999899</v>
      </c>
      <c r="J6488">
        <v>-303.70400000000001</v>
      </c>
      <c r="K6488">
        <v>1.0545340000000001</v>
      </c>
      <c r="L6488">
        <v>0.1062317</v>
      </c>
      <c r="M6488">
        <v>0.2495174</v>
      </c>
      <c r="N6488">
        <v>-1.373916E-2</v>
      </c>
      <c r="O6488">
        <v>-0.96827269999999999</v>
      </c>
      <c r="P6488">
        <v>0.13358719999999999</v>
      </c>
      <c r="Q6488">
        <v>0.34798649999999998</v>
      </c>
      <c r="R6488">
        <v>-0.92793320000000001</v>
      </c>
      <c r="S6488">
        <v>0.1221313</v>
      </c>
      <c r="T6488">
        <v>-0.46221960000000001</v>
      </c>
      <c r="U6488">
        <v>-3.3883670000000001</v>
      </c>
      <c r="V6488">
        <v>0.1095319</v>
      </c>
      <c r="W6488">
        <v>0.35859819999999998</v>
      </c>
      <c r="X6488">
        <v>0.92704370000000003</v>
      </c>
      <c r="Y6488">
        <v>0.21448800000000001</v>
      </c>
      <c r="Z6488">
        <v>0.1136021</v>
      </c>
      <c r="AA6488">
        <v>0.97009769999999895</v>
      </c>
      <c r="AB6488">
        <v>26</v>
      </c>
      <c r="AC6488">
        <v>-3.3799999999985099E-2</v>
      </c>
      <c r="AD6488">
        <v>-0.1008217</v>
      </c>
      <c r="AE6488">
        <v>-0.46610829999999898</v>
      </c>
      <c r="AF6488">
        <v>0.14241536454523401</v>
      </c>
      <c r="AG6488">
        <v>-0.1008217</v>
      </c>
      <c r="AH6488">
        <v>0.42322964372501898</v>
      </c>
      <c r="AI6488">
        <v>102.72291410335001</v>
      </c>
      <c r="AJ6488">
        <v>71.402085163425497</v>
      </c>
      <c r="AK6488">
        <v>0.45778868769012698</v>
      </c>
      <c r="AL6488">
        <v>68.985867586072999</v>
      </c>
      <c r="AM6488">
        <v>83.261639024740902</v>
      </c>
      <c r="AN6488">
        <v>0.99999996393526902</v>
      </c>
    </row>
    <row r="6489" spans="1:40" x14ac:dyDescent="0.25">
      <c r="A6489" t="str">
        <f>"20190304164251246"</f>
        <v>20190304164251246</v>
      </c>
      <c r="B6489" t="str">
        <f>"1551688971237503"</f>
        <v>1551688971237503</v>
      </c>
      <c r="C6489" t="s">
        <v>40</v>
      </c>
      <c r="D6489">
        <v>4.7355910000000003</v>
      </c>
      <c r="E6489">
        <v>0.55496730000000005</v>
      </c>
      <c r="F6489" t="s">
        <v>41</v>
      </c>
      <c r="G6489">
        <v>-303.67219999999998</v>
      </c>
      <c r="H6489">
        <v>0.9279577</v>
      </c>
      <c r="I6489">
        <v>-0.82547209999999904</v>
      </c>
      <c r="J6489">
        <v>-303.64870000000002</v>
      </c>
      <c r="K6489">
        <v>1.0559780000000001</v>
      </c>
      <c r="L6489">
        <v>-0.14913940000000001</v>
      </c>
      <c r="M6489">
        <v>0.24294569999999999</v>
      </c>
      <c r="N6489">
        <v>-1.1704839999999999E-2</v>
      </c>
      <c r="O6489">
        <v>-0.96996919999999998</v>
      </c>
      <c r="P6489">
        <v>0.1298704</v>
      </c>
      <c r="Q6489">
        <v>0.34879339999999998</v>
      </c>
      <c r="R6489">
        <v>-0.92815789999999998</v>
      </c>
      <c r="S6489">
        <v>0.11621090000000001</v>
      </c>
      <c r="T6489">
        <v>-0.45993270000000003</v>
      </c>
      <c r="U6489">
        <v>-3.3887330000000002</v>
      </c>
      <c r="V6489">
        <v>0.1064262</v>
      </c>
      <c r="W6489">
        <v>0.35769709999999899</v>
      </c>
      <c r="X6489">
        <v>0.9277533</v>
      </c>
      <c r="Y6489">
        <v>0.20960200000000001</v>
      </c>
      <c r="Z6489">
        <v>0.1153856</v>
      </c>
      <c r="AA6489">
        <v>0.97095480000000001</v>
      </c>
      <c r="AB6489">
        <v>27</v>
      </c>
      <c r="AC6489">
        <v>-2.3499999999955799E-2</v>
      </c>
      <c r="AD6489">
        <v>-0.1280203</v>
      </c>
      <c r="AE6489">
        <v>-0.67633269999999901</v>
      </c>
      <c r="AF6489">
        <v>0.18065433616372201</v>
      </c>
      <c r="AG6489">
        <v>-0.1280203</v>
      </c>
      <c r="AH6489">
        <v>0.62788768436161901</v>
      </c>
      <c r="AI6489">
        <v>101.086168961406</v>
      </c>
      <c r="AJ6489">
        <v>73.948541765975506</v>
      </c>
      <c r="AK6489">
        <v>0.66578384672492796</v>
      </c>
      <c r="AL6489">
        <v>69.041165073035103</v>
      </c>
      <c r="AM6489">
        <v>83.455982444184897</v>
      </c>
      <c r="AN6489">
        <v>0.99999996852786899</v>
      </c>
    </row>
    <row r="6490" spans="1:40" x14ac:dyDescent="0.25">
      <c r="A6490" t="str">
        <f>"20190304164251268"</f>
        <v>20190304164251268</v>
      </c>
      <c r="B6490" t="str">
        <f>"1551688971257999"</f>
        <v>1551688971257999</v>
      </c>
      <c r="C6490" t="s">
        <v>40</v>
      </c>
      <c r="D6490">
        <v>4.6853530000000001</v>
      </c>
      <c r="E6490">
        <v>0.55452389999999996</v>
      </c>
      <c r="F6490" t="s">
        <v>41</v>
      </c>
      <c r="G6490">
        <v>-303.61950000000002</v>
      </c>
      <c r="H6490">
        <v>0.93252250000000003</v>
      </c>
      <c r="I6490">
        <v>-1.0616829999999999</v>
      </c>
      <c r="J6490">
        <v>-303.59289999999999</v>
      </c>
      <c r="K6490">
        <v>1.0582309999999999</v>
      </c>
      <c r="L6490">
        <v>-0.41363529999999998</v>
      </c>
      <c r="M6490">
        <v>0.2348529</v>
      </c>
      <c r="N6490">
        <v>-9.8141970000000002E-3</v>
      </c>
      <c r="O6490">
        <v>-0.97198130000000005</v>
      </c>
      <c r="P6490">
        <v>0.1247545</v>
      </c>
      <c r="Q6490">
        <v>0.34960289999999999</v>
      </c>
      <c r="R6490">
        <v>-0.92855489999999996</v>
      </c>
      <c r="S6490">
        <v>0.1096191</v>
      </c>
      <c r="T6490">
        <v>-0.45770880000000003</v>
      </c>
      <c r="U6490">
        <v>-3.3888850000000001</v>
      </c>
      <c r="V6490">
        <v>0.102919</v>
      </c>
      <c r="W6490">
        <v>0.3570295</v>
      </c>
      <c r="X6490">
        <v>0.92840590000000001</v>
      </c>
      <c r="Y6490">
        <v>0.2033768</v>
      </c>
      <c r="Z6490">
        <v>0.1171301</v>
      </c>
      <c r="AA6490">
        <v>0.97206910000000002</v>
      </c>
      <c r="AB6490">
        <v>27</v>
      </c>
      <c r="AC6490">
        <v>-2.6600000000030301E-2</v>
      </c>
      <c r="AD6490">
        <v>-0.125708499999999</v>
      </c>
      <c r="AE6490">
        <v>-0.6480477</v>
      </c>
      <c r="AF6490">
        <v>0.17161253526432299</v>
      </c>
      <c r="AG6490">
        <v>-0.125708499999999</v>
      </c>
      <c r="AH6490">
        <v>0.60109313327567804</v>
      </c>
      <c r="AI6490">
        <v>101.37040369368</v>
      </c>
      <c r="AJ6490">
        <v>74.065916508965103</v>
      </c>
      <c r="AK6490">
        <v>0.63762563005518402</v>
      </c>
      <c r="AL6490">
        <v>69.082119780238102</v>
      </c>
      <c r="AM6490">
        <v>83.674269413212301</v>
      </c>
      <c r="AN6490">
        <v>0.99999994979302798</v>
      </c>
    </row>
    <row r="6491" spans="1:40" x14ac:dyDescent="0.25">
      <c r="A6491" t="str">
        <f>"20190304164251292"</f>
        <v>20190304164251292</v>
      </c>
      <c r="B6491" t="str">
        <f>"1551688971287279"</f>
        <v>1551688971287279</v>
      </c>
      <c r="C6491" t="s">
        <v>40</v>
      </c>
      <c r="D6491">
        <v>4.7083680000000001</v>
      </c>
      <c r="E6491">
        <v>0.54596789999999995</v>
      </c>
      <c r="F6491" t="s">
        <v>41</v>
      </c>
      <c r="G6491">
        <v>-303.56689999999998</v>
      </c>
      <c r="H6491">
        <v>0.93909799999999999</v>
      </c>
      <c r="I6491">
        <v>-1.298262</v>
      </c>
      <c r="J6491">
        <v>-303.53680000000003</v>
      </c>
      <c r="K6491">
        <v>1.060727</v>
      </c>
      <c r="L6491">
        <v>-0.68499759999999998</v>
      </c>
      <c r="M6491">
        <v>0.22611419999999999</v>
      </c>
      <c r="N6491">
        <v>-8.1306590000000002E-3</v>
      </c>
      <c r="O6491">
        <v>-0.97406700000000002</v>
      </c>
      <c r="P6491">
        <v>0.12043760000000001</v>
      </c>
      <c r="Q6491">
        <v>0.35030899999999998</v>
      </c>
      <c r="R6491">
        <v>-0.92885870000000004</v>
      </c>
      <c r="S6491">
        <v>9.9792480000000003E-2</v>
      </c>
      <c r="T6491">
        <v>-0.45625379999999899</v>
      </c>
      <c r="U6491">
        <v>-3.3891909999999998</v>
      </c>
      <c r="V6491">
        <v>9.8047590000000004E-2</v>
      </c>
      <c r="W6491">
        <v>0.35645179999999999</v>
      </c>
      <c r="X6491">
        <v>0.92915490000000001</v>
      </c>
      <c r="Y6491">
        <v>0.1974331</v>
      </c>
      <c r="Z6491">
        <v>0.11888070000000001</v>
      </c>
      <c r="AA6491">
        <v>0.97308150000000004</v>
      </c>
      <c r="AB6491">
        <v>27</v>
      </c>
      <c r="AC6491">
        <v>-3.0099999999947599E-2</v>
      </c>
      <c r="AD6491">
        <v>-0.121629</v>
      </c>
      <c r="AE6491">
        <v>-0.61326440000000004</v>
      </c>
      <c r="AF6491">
        <v>0.161649538892506</v>
      </c>
      <c r="AG6491">
        <v>-0.121629</v>
      </c>
      <c r="AH6491">
        <v>0.56827467626254102</v>
      </c>
      <c r="AI6491">
        <v>101.632691147472</v>
      </c>
      <c r="AJ6491">
        <v>74.121242514832105</v>
      </c>
      <c r="AK6491">
        <v>0.60320833444710897</v>
      </c>
      <c r="AL6491">
        <v>69.117552369106093</v>
      </c>
      <c r="AM6491">
        <v>83.976246718583198</v>
      </c>
      <c r="AN6491">
        <v>1.0000000219110201</v>
      </c>
    </row>
    <row r="6492" spans="1:40" x14ac:dyDescent="0.25">
      <c r="A6492" t="str">
        <f>"20190304164251313"</f>
        <v>20190304164251313</v>
      </c>
      <c r="B6492" t="str">
        <f>"1551688971307775"</f>
        <v>1551688971307775</v>
      </c>
      <c r="C6492" t="s">
        <v>40</v>
      </c>
      <c r="D6492">
        <v>4.6810589999999896</v>
      </c>
      <c r="E6492">
        <v>0.54563739999999905</v>
      </c>
      <c r="F6492" t="s">
        <v>41</v>
      </c>
      <c r="G6492">
        <v>-303.49970000000002</v>
      </c>
      <c r="H6492">
        <v>0.94912839999999998</v>
      </c>
      <c r="I6492">
        <v>-1.532449</v>
      </c>
      <c r="J6492">
        <v>-303.48390000000001</v>
      </c>
      <c r="K6492">
        <v>1.0629230000000001</v>
      </c>
      <c r="L6492">
        <v>-0.94833369999999995</v>
      </c>
      <c r="M6492">
        <v>0.21809190000000001</v>
      </c>
      <c r="N6492">
        <v>-6.5490790000000002E-3</v>
      </c>
      <c r="O6492">
        <v>-0.9759063</v>
      </c>
      <c r="P6492">
        <v>0.11814860000000001</v>
      </c>
      <c r="Q6492">
        <v>0.35174240000000001</v>
      </c>
      <c r="R6492">
        <v>-0.92861070000000001</v>
      </c>
      <c r="S6492">
        <v>0.14889530000000001</v>
      </c>
      <c r="T6492">
        <v>-0.44419910000000001</v>
      </c>
      <c r="U6492">
        <v>-3.3779910000000002</v>
      </c>
      <c r="V6492">
        <v>9.2065439999999998E-2</v>
      </c>
      <c r="W6492">
        <v>0.35662329999999998</v>
      </c>
      <c r="X6492">
        <v>0.92970090000000005</v>
      </c>
      <c r="Y6492">
        <v>0.1751318</v>
      </c>
      <c r="Z6492">
        <v>0.1181595</v>
      </c>
      <c r="AA6492">
        <v>0.97742890000000004</v>
      </c>
      <c r="AB6492">
        <v>27</v>
      </c>
      <c r="AC6492">
        <v>-1.5800000000012901E-2</v>
      </c>
      <c r="AD6492">
        <v>-0.1137946</v>
      </c>
      <c r="AE6492">
        <v>-0.5841153</v>
      </c>
      <c r="AF6492">
        <v>0.13759487210059301</v>
      </c>
      <c r="AG6492">
        <v>-0.1137946</v>
      </c>
      <c r="AH6492">
        <v>0.54590451220672198</v>
      </c>
      <c r="AI6492">
        <v>101.42721894464501</v>
      </c>
      <c r="AJ6492">
        <v>75.853298361917993</v>
      </c>
      <c r="AK6492">
        <v>0.57436338346485605</v>
      </c>
      <c r="AL6492">
        <v>69.107034325231993</v>
      </c>
      <c r="AM6492">
        <v>84.344612102620601</v>
      </c>
      <c r="AN6492">
        <v>0.99999999340304602</v>
      </c>
    </row>
    <row r="6493" spans="1:40" x14ac:dyDescent="0.25">
      <c r="A6493" t="str">
        <f>"20190304164251336"</f>
        <v>20190304164251336</v>
      </c>
      <c r="B6493" t="str">
        <f>"1551688971327295"</f>
        <v>1551688971327295</v>
      </c>
      <c r="C6493" t="s">
        <v>40</v>
      </c>
      <c r="D6493">
        <v>4.6760780000000004</v>
      </c>
      <c r="E6493">
        <v>0.54523159999999904</v>
      </c>
      <c r="F6493" t="s">
        <v>41</v>
      </c>
      <c r="G6493">
        <v>-303.45030000000003</v>
      </c>
      <c r="H6493">
        <v>0.95669400000000004</v>
      </c>
      <c r="I6493">
        <v>-1.7701209999999901</v>
      </c>
      <c r="J6493">
        <v>-303.43200000000002</v>
      </c>
      <c r="K6493">
        <v>1.0648569999999999</v>
      </c>
      <c r="L6493">
        <v>-1.214569</v>
      </c>
      <c r="M6493">
        <v>0.21080750000000001</v>
      </c>
      <c r="N6493">
        <v>-4.9815470000000002E-3</v>
      </c>
      <c r="O6493">
        <v>-0.97751500000000002</v>
      </c>
      <c r="P6493">
        <v>0.1151705</v>
      </c>
      <c r="Q6493">
        <v>0.35420839999999998</v>
      </c>
      <c r="R6493">
        <v>-0.92804799999999998</v>
      </c>
      <c r="S6493">
        <v>0.13803099999999999</v>
      </c>
      <c r="T6493">
        <v>-0.4367201</v>
      </c>
      <c r="U6493">
        <v>-3.378479</v>
      </c>
      <c r="V6493">
        <v>8.7641609999999995E-2</v>
      </c>
      <c r="W6493">
        <v>0.35775279999999998</v>
      </c>
      <c r="X6493">
        <v>0.92969449999999998</v>
      </c>
      <c r="Y6493">
        <v>0.1709512</v>
      </c>
      <c r="Z6493">
        <v>0.1179825</v>
      </c>
      <c r="AA6493">
        <v>0.97819009999999995</v>
      </c>
      <c r="AB6493">
        <v>27</v>
      </c>
      <c r="AC6493">
        <v>-1.8300000000010599E-2</v>
      </c>
      <c r="AD6493">
        <v>-0.108162999999999</v>
      </c>
      <c r="AE6493">
        <v>-0.55555199999999905</v>
      </c>
      <c r="AF6493">
        <v>0.13007927360708399</v>
      </c>
      <c r="AG6493">
        <v>-0.108162999999999</v>
      </c>
      <c r="AH6493">
        <v>0.51953704600207395</v>
      </c>
      <c r="AI6493">
        <v>101.417718318254</v>
      </c>
      <c r="AJ6493">
        <v>75.943517004380098</v>
      </c>
      <c r="AK6493">
        <v>0.54638685394115005</v>
      </c>
      <c r="AL6493">
        <v>69.037748033009194</v>
      </c>
      <c r="AM6493">
        <v>84.6146843403926</v>
      </c>
      <c r="AN6493">
        <v>0.99999999052074096</v>
      </c>
    </row>
    <row r="6494" spans="1:40" x14ac:dyDescent="0.25">
      <c r="A6494" t="str">
        <f>"20190304164251358"</f>
        <v>20190304164251358</v>
      </c>
      <c r="B6494" t="str">
        <f>"1551688971347960"</f>
        <v>1551688971347960</v>
      </c>
      <c r="C6494" t="s">
        <v>40</v>
      </c>
      <c r="D6494">
        <v>4.6719269999999904</v>
      </c>
      <c r="E6494">
        <v>0.54496119999999904</v>
      </c>
      <c r="F6494" t="s">
        <v>41</v>
      </c>
      <c r="G6494">
        <v>-303.40159999999997</v>
      </c>
      <c r="H6494">
        <v>0.96473319999999996</v>
      </c>
      <c r="I6494">
        <v>-2.0081609999999999</v>
      </c>
      <c r="J6494">
        <v>-303.3818</v>
      </c>
      <c r="K6494">
        <v>1.066835</v>
      </c>
      <c r="L6494">
        <v>-1.479889</v>
      </c>
      <c r="M6494">
        <v>0.20346410000000001</v>
      </c>
      <c r="N6494">
        <v>-3.7721569999999999E-3</v>
      </c>
      <c r="O6494">
        <v>-0.97907520000000003</v>
      </c>
      <c r="P6494">
        <v>0.110970899999999</v>
      </c>
      <c r="Q6494">
        <v>0.35649530000000001</v>
      </c>
      <c r="R6494">
        <v>-0.92768340000000005</v>
      </c>
      <c r="S6494">
        <v>0.1294556</v>
      </c>
      <c r="T6494">
        <v>-0.42623810000000001</v>
      </c>
      <c r="U6494">
        <v>-3.3792110000000002</v>
      </c>
      <c r="V6494">
        <v>8.4403279999999997E-2</v>
      </c>
      <c r="W6494">
        <v>0.3590197</v>
      </c>
      <c r="X6494">
        <v>0.92950580000000005</v>
      </c>
      <c r="Y6494">
        <v>0.16605039999999999</v>
      </c>
      <c r="Z6494">
        <v>0.1165933</v>
      </c>
      <c r="AA6494">
        <v>0.97920030000000002</v>
      </c>
      <c r="AB6494">
        <v>27</v>
      </c>
      <c r="AC6494">
        <v>-1.9799999999975101E-2</v>
      </c>
      <c r="AD6494">
        <v>-0.10210179999999899</v>
      </c>
      <c r="AE6494">
        <v>-0.52827199999999896</v>
      </c>
      <c r="AF6494">
        <v>0.122308515779512</v>
      </c>
      <c r="AG6494">
        <v>-0.10210179999999899</v>
      </c>
      <c r="AH6494">
        <v>0.49473791497150699</v>
      </c>
      <c r="AI6494">
        <v>101.32888796601701</v>
      </c>
      <c r="AJ6494">
        <v>76.113831598810194</v>
      </c>
      <c r="AK6494">
        <v>0.51975932421244897</v>
      </c>
      <c r="AL6494">
        <v>68.959996351559099</v>
      </c>
      <c r="AM6494">
        <v>84.811516444555593</v>
      </c>
      <c r="AN6494">
        <v>1.0000000454482401</v>
      </c>
    </row>
    <row r="6495" spans="1:40" x14ac:dyDescent="0.25">
      <c r="A6495" t="str">
        <f>"20190304164251383"</f>
        <v>20190304164251383</v>
      </c>
      <c r="B6495" t="str">
        <f>"1551688971378216"</f>
        <v>1551688971378216</v>
      </c>
      <c r="C6495" t="s">
        <v>40</v>
      </c>
      <c r="D6495">
        <v>4.6959980000000003</v>
      </c>
      <c r="E6495">
        <v>0.54474400000000001</v>
      </c>
      <c r="F6495" t="s">
        <v>41</v>
      </c>
      <c r="G6495">
        <v>-303.35399999999998</v>
      </c>
      <c r="H6495">
        <v>0.97189449999999999</v>
      </c>
      <c r="I6495">
        <v>-2.244971</v>
      </c>
      <c r="J6495">
        <v>-303.3297</v>
      </c>
      <c r="K6495">
        <v>1.068935</v>
      </c>
      <c r="L6495">
        <v>-1.7607119999999901</v>
      </c>
      <c r="M6495">
        <v>0.19516610000000001</v>
      </c>
      <c r="N6495">
        <v>-3.0865469999999998E-3</v>
      </c>
      <c r="O6495">
        <v>-0.98076549999999996</v>
      </c>
      <c r="P6495">
        <v>0.1087037</v>
      </c>
      <c r="Q6495">
        <v>0.3572092</v>
      </c>
      <c r="R6495">
        <v>-0.92767750000000004</v>
      </c>
      <c r="S6495">
        <v>0.1225281</v>
      </c>
      <c r="T6495">
        <v>-0.41955890000000001</v>
      </c>
      <c r="U6495">
        <v>-3.3804319999999999</v>
      </c>
      <c r="V6495">
        <v>7.8588549999999993E-2</v>
      </c>
      <c r="W6495">
        <v>0.35919820000000002</v>
      </c>
      <c r="X6495">
        <v>0.92994650000000001</v>
      </c>
      <c r="Y6495">
        <v>0.1597201</v>
      </c>
      <c r="Z6495">
        <v>0.115749</v>
      </c>
      <c r="AA6495">
        <v>0.98035280000000002</v>
      </c>
      <c r="AB6495">
        <v>27</v>
      </c>
      <c r="AC6495">
        <v>-2.43000000000392E-2</v>
      </c>
      <c r="AD6495">
        <v>-9.7040499999999905E-2</v>
      </c>
      <c r="AE6495">
        <v>-0.484259</v>
      </c>
      <c r="AF6495">
        <v>0.11378635736906</v>
      </c>
      <c r="AG6495">
        <v>-9.7040499999999905E-2</v>
      </c>
      <c r="AH6495">
        <v>0.45209540001237197</v>
      </c>
      <c r="AI6495">
        <v>101.758463199815</v>
      </c>
      <c r="AJ6495">
        <v>75.872841652169498</v>
      </c>
      <c r="AK6495">
        <v>0.47618740478504501</v>
      </c>
      <c r="AL6495">
        <v>68.949037088846495</v>
      </c>
      <c r="AM6495">
        <v>85.169486943664197</v>
      </c>
      <c r="AN6495">
        <v>0.99999999996829603</v>
      </c>
    </row>
    <row r="6496" spans="1:40" x14ac:dyDescent="0.25">
      <c r="A6496" t="str">
        <f>"20190304164251404"</f>
        <v>20190304164251404</v>
      </c>
      <c r="B6496" t="str">
        <f>"1551688971397736"</f>
        <v>1551688971397736</v>
      </c>
      <c r="C6496" t="s">
        <v>40</v>
      </c>
      <c r="D6496">
        <v>4.7243339999999998</v>
      </c>
      <c r="E6496">
        <v>0.54630489999999998</v>
      </c>
      <c r="F6496" t="s">
        <v>41</v>
      </c>
      <c r="G6496">
        <v>-303.29849999999999</v>
      </c>
      <c r="H6496">
        <v>0.95336540000000003</v>
      </c>
      <c r="I6496">
        <v>-2.707951</v>
      </c>
      <c r="J6496">
        <v>-303.28370000000001</v>
      </c>
      <c r="K6496">
        <v>1.070635</v>
      </c>
      <c r="L6496">
        <v>-2.014008</v>
      </c>
      <c r="M6496">
        <v>0.1888504</v>
      </c>
      <c r="N6496">
        <v>-3.1587160000000002E-3</v>
      </c>
      <c r="O6496">
        <v>-0.98200089999999995</v>
      </c>
      <c r="P6496">
        <v>0.1096743</v>
      </c>
      <c r="Q6496">
        <v>0.35797459999999998</v>
      </c>
      <c r="R6496">
        <v>-0.92726810000000004</v>
      </c>
      <c r="S6496">
        <v>0.1114807</v>
      </c>
      <c r="T6496">
        <v>-0.41213699999999998</v>
      </c>
      <c r="U6496">
        <v>-3.3795169999999999</v>
      </c>
      <c r="V6496">
        <v>7.1864399999999995E-2</v>
      </c>
      <c r="W6496">
        <v>0.36005510000000002</v>
      </c>
      <c r="X6496">
        <v>0.93015899999999996</v>
      </c>
      <c r="Y6496">
        <v>0.15655150000000001</v>
      </c>
      <c r="Z6496">
        <v>0.11389580000000001</v>
      </c>
      <c r="AA6496">
        <v>0.98108070000000003</v>
      </c>
      <c r="AB6496">
        <v>26</v>
      </c>
      <c r="AC6496">
        <v>-1.4799999999979699E-2</v>
      </c>
      <c r="AD6496">
        <v>-0.117269599999999</v>
      </c>
      <c r="AE6496">
        <v>-0.69394299999999998</v>
      </c>
      <c r="AF6496">
        <v>0.14154536399814399</v>
      </c>
      <c r="AG6496">
        <v>-0.117269599999999</v>
      </c>
      <c r="AH6496">
        <v>0.659826415629719</v>
      </c>
      <c r="AI6496">
        <v>99.858102458105805</v>
      </c>
      <c r="AJ6496">
        <v>77.892458983903893</v>
      </c>
      <c r="AK6496">
        <v>0.68495120112040797</v>
      </c>
      <c r="AL6496">
        <v>68.896419310152396</v>
      </c>
      <c r="AM6496">
        <v>85.582085095758302</v>
      </c>
      <c r="AN6496">
        <v>0.99999996615218401</v>
      </c>
    </row>
    <row r="6497" spans="1:40" x14ac:dyDescent="0.25">
      <c r="A6497" t="str">
        <f>"20190304164251426"</f>
        <v>20190304164251426</v>
      </c>
      <c r="B6497" t="str">
        <f>"1551688971417255"</f>
        <v>1551688971417255</v>
      </c>
      <c r="C6497" t="s">
        <v>40</v>
      </c>
      <c r="D6497">
        <v>4.6982419999999996</v>
      </c>
      <c r="E6497">
        <v>0.54481669999999904</v>
      </c>
      <c r="F6497" t="s">
        <v>41</v>
      </c>
      <c r="G6497">
        <v>-303.25900000000001</v>
      </c>
      <c r="H6497">
        <v>0.97253540000000005</v>
      </c>
      <c r="I6497">
        <v>-2.9486159999999999</v>
      </c>
      <c r="J6497">
        <v>-303.24</v>
      </c>
      <c r="K6497">
        <v>1.072425</v>
      </c>
      <c r="L6497">
        <v>-2.2645569999999999</v>
      </c>
      <c r="M6497">
        <v>0.1845455</v>
      </c>
      <c r="N6497">
        <v>-3.426924E-3</v>
      </c>
      <c r="O6497">
        <v>-0.98281810000000003</v>
      </c>
      <c r="P6497">
        <v>0.1101541</v>
      </c>
      <c r="Q6497">
        <v>0.3589022</v>
      </c>
      <c r="R6497">
        <v>-0.92685240000000002</v>
      </c>
      <c r="S6497">
        <v>8.9538569999999998E-2</v>
      </c>
      <c r="T6497">
        <v>-0.35246670000000002</v>
      </c>
      <c r="U6497">
        <v>-3.3608090000000002</v>
      </c>
      <c r="V6497">
        <v>6.7667099999999994E-2</v>
      </c>
      <c r="W6497">
        <v>0.361211</v>
      </c>
      <c r="X6497">
        <v>0.93002569999999996</v>
      </c>
      <c r="Y6497">
        <v>0.15839929999999999</v>
      </c>
      <c r="Z6497">
        <v>9.7547330000000002E-2</v>
      </c>
      <c r="AA6497">
        <v>0.9825448</v>
      </c>
      <c r="AB6497">
        <v>26</v>
      </c>
      <c r="AC6497">
        <v>-1.9000000000005401E-2</v>
      </c>
      <c r="AD6497">
        <v>-9.9889599999999995E-2</v>
      </c>
      <c r="AE6497">
        <v>-0.68405899999999997</v>
      </c>
      <c r="AF6497">
        <v>0.141891142162481</v>
      </c>
      <c r="AG6497">
        <v>-9.9889599999999995E-2</v>
      </c>
      <c r="AH6497">
        <v>0.65485028831478997</v>
      </c>
      <c r="AI6497">
        <v>98.479131430343699</v>
      </c>
      <c r="AJ6497">
        <v>77.774299595068499</v>
      </c>
      <c r="AK6497">
        <v>0.67745105248888404</v>
      </c>
      <c r="AL6497">
        <v>68.825413968530995</v>
      </c>
      <c r="AM6497">
        <v>85.838588650937098</v>
      </c>
      <c r="AN6497">
        <v>1.00000001280194</v>
      </c>
    </row>
    <row r="6498" spans="1:40" x14ac:dyDescent="0.25">
      <c r="A6498" t="str">
        <f>"20190304164251447"</f>
        <v>20190304164251447</v>
      </c>
      <c r="B6498" t="str">
        <f>"1551688971437753"</f>
        <v>1551688971437753</v>
      </c>
      <c r="C6498" t="s">
        <v>40</v>
      </c>
      <c r="D6498">
        <v>4.7439970000000002</v>
      </c>
      <c r="E6498">
        <v>0.54479549999999999</v>
      </c>
      <c r="F6498" t="s">
        <v>41</v>
      </c>
      <c r="G6498">
        <v>-303.21350000000001</v>
      </c>
      <c r="H6498">
        <v>1.0007900000000001</v>
      </c>
      <c r="I6498">
        <v>-3.1926670000000001</v>
      </c>
      <c r="J6498">
        <v>-303.19740000000002</v>
      </c>
      <c r="K6498">
        <v>1.0747329999999999</v>
      </c>
      <c r="L6498">
        <v>-2.5201419999999999</v>
      </c>
      <c r="M6498">
        <v>0.18093590000000001</v>
      </c>
      <c r="N6498">
        <v>-3.6494589999999999E-3</v>
      </c>
      <c r="O6498">
        <v>-0.98348809999999998</v>
      </c>
      <c r="P6498">
        <v>0.1113277</v>
      </c>
      <c r="Q6498">
        <v>0.35925669999999998</v>
      </c>
      <c r="R6498">
        <v>-0.92657469999999997</v>
      </c>
      <c r="S6498">
        <v>9.4848630000000003E-2</v>
      </c>
      <c r="T6498">
        <v>-0.25666879999999997</v>
      </c>
      <c r="U6498">
        <v>-3.3248899999999999</v>
      </c>
      <c r="V6498">
        <v>6.3204560000000007E-2</v>
      </c>
      <c r="W6498">
        <v>0.36180859999999998</v>
      </c>
      <c r="X6498">
        <v>0.93010740000000003</v>
      </c>
      <c r="Y6498">
        <v>0.15286620000000001</v>
      </c>
      <c r="Z6498">
        <v>7.0968329999999996E-2</v>
      </c>
      <c r="AA6498">
        <v>0.9856954</v>
      </c>
      <c r="AB6498">
        <v>26</v>
      </c>
      <c r="AC6498">
        <v>-1.60999999999944E-2</v>
      </c>
      <c r="AD6498">
        <v>-7.3942999999999801E-2</v>
      </c>
      <c r="AE6498">
        <v>-0.67252499999999904</v>
      </c>
      <c r="AF6498">
        <v>0.13587736198443301</v>
      </c>
      <c r="AG6498">
        <v>-7.3942999999999801E-2</v>
      </c>
      <c r="AH6498">
        <v>0.65065069084497895</v>
      </c>
      <c r="AI6498">
        <v>96.347759164967997</v>
      </c>
      <c r="AJ6498">
        <v>78.204273681463903</v>
      </c>
      <c r="AK6498">
        <v>0.66878736998084598</v>
      </c>
      <c r="AL6498">
        <v>68.7886906550292</v>
      </c>
      <c r="AM6498">
        <v>86.112496519572403</v>
      </c>
      <c r="AN6498">
        <v>1.00000002748675</v>
      </c>
    </row>
    <row r="6499" spans="1:40" x14ac:dyDescent="0.25">
      <c r="A6499" t="str">
        <f>"20190304164251469"</f>
        <v>20190304164251469</v>
      </c>
      <c r="B6499" t="str">
        <f>"1551688971457271"</f>
        <v>1551688971457271</v>
      </c>
      <c r="C6499" t="s">
        <v>40</v>
      </c>
      <c r="D6499">
        <v>4.7069869999999998</v>
      </c>
      <c r="E6499">
        <v>0.54443560000000002</v>
      </c>
      <c r="F6499" t="s">
        <v>41</v>
      </c>
      <c r="G6499">
        <v>-303.1703</v>
      </c>
      <c r="H6499">
        <v>1.005682</v>
      </c>
      <c r="I6499">
        <v>-3.4269729999999998</v>
      </c>
      <c r="J6499">
        <v>-303.15480000000002</v>
      </c>
      <c r="K6499">
        <v>1.07769</v>
      </c>
      <c r="L6499">
        <v>-2.7836910000000001</v>
      </c>
      <c r="M6499">
        <v>0.17667859999999999</v>
      </c>
      <c r="N6499">
        <v>-3.812508E-3</v>
      </c>
      <c r="O6499">
        <v>-0.98426139999999995</v>
      </c>
      <c r="P6499">
        <v>0.1129279</v>
      </c>
      <c r="Q6499">
        <v>0.35887750000000002</v>
      </c>
      <c r="R6499">
        <v>-0.92652809999999997</v>
      </c>
      <c r="S6499">
        <v>0.1004028</v>
      </c>
      <c r="T6499">
        <v>-0.25276900000000002</v>
      </c>
      <c r="U6499">
        <v>-3.3236690000000002</v>
      </c>
      <c r="V6499">
        <v>5.7327990000000002E-2</v>
      </c>
      <c r="W6499">
        <v>0.36170229999999998</v>
      </c>
      <c r="X6499">
        <v>0.93052939999999995</v>
      </c>
      <c r="Y6499">
        <v>0.14692920000000001</v>
      </c>
      <c r="Z6499">
        <v>6.9826260000000001E-2</v>
      </c>
      <c r="AA6499">
        <v>0.98667930000000004</v>
      </c>
      <c r="AB6499">
        <v>26</v>
      </c>
      <c r="AC6499">
        <v>-1.5499999999974499E-2</v>
      </c>
      <c r="AD6499">
        <v>-7.2008000000000003E-2</v>
      </c>
      <c r="AE6499">
        <v>-0.64328200000000002</v>
      </c>
      <c r="AF6499">
        <v>0.12731674692953601</v>
      </c>
      <c r="AG6499">
        <v>-7.2008000000000003E-2</v>
      </c>
      <c r="AH6499">
        <v>0.622626469940738</v>
      </c>
      <c r="AI6499">
        <v>96.464463833815401</v>
      </c>
      <c r="AJ6499">
        <v>78.443284628865598</v>
      </c>
      <c r="AK6499">
        <v>0.639576756287769</v>
      </c>
      <c r="AL6499">
        <v>68.795223229321806</v>
      </c>
      <c r="AM6499">
        <v>86.474581415058097</v>
      </c>
      <c r="AN6499">
        <v>1.0000000082635401</v>
      </c>
    </row>
    <row r="6500" spans="1:40" x14ac:dyDescent="0.25">
      <c r="A6500" t="str">
        <f>"20190304164251493"</f>
        <v>20190304164251493</v>
      </c>
      <c r="B6500" t="str">
        <f>"1551688971487528"</f>
        <v>1551688971487528</v>
      </c>
      <c r="C6500" t="s">
        <v>40</v>
      </c>
      <c r="D6500">
        <v>4.6431870000000002</v>
      </c>
      <c r="E6500">
        <v>0.54447060000000003</v>
      </c>
      <c r="F6500" t="s">
        <v>41</v>
      </c>
      <c r="G6500">
        <v>-303.12709999999998</v>
      </c>
      <c r="H6500">
        <v>1.0098240000000001</v>
      </c>
      <c r="I6500">
        <v>-3.6616599999999999</v>
      </c>
      <c r="J6500">
        <v>-303.1112</v>
      </c>
      <c r="K6500">
        <v>1.08117</v>
      </c>
      <c r="L6500">
        <v>-3.060181</v>
      </c>
      <c r="M6500">
        <v>0.17156360000000001</v>
      </c>
      <c r="N6500">
        <v>-4.1763879999999996E-3</v>
      </c>
      <c r="O6500">
        <v>-0.98516420000000005</v>
      </c>
      <c r="P6500">
        <v>0.1128367</v>
      </c>
      <c r="Q6500">
        <v>0.35935679999999998</v>
      </c>
      <c r="R6500">
        <v>-0.92635330000000005</v>
      </c>
      <c r="S6500">
        <v>0.1051025</v>
      </c>
      <c r="T6500">
        <v>-0.2568955</v>
      </c>
      <c r="U6500">
        <v>-3.3245849999999999</v>
      </c>
      <c r="V6500">
        <v>5.202909E-2</v>
      </c>
      <c r="W6500">
        <v>0.36266019999999999</v>
      </c>
      <c r="X6500">
        <v>0.93046799999999996</v>
      </c>
      <c r="Y6500">
        <v>0.1404039</v>
      </c>
      <c r="Z6500">
        <v>7.0778359999999998E-2</v>
      </c>
      <c r="AA6500">
        <v>0.98756120000000003</v>
      </c>
      <c r="AB6500">
        <v>26</v>
      </c>
      <c r="AC6500">
        <v>-1.5899999999987799E-2</v>
      </c>
      <c r="AD6500">
        <v>-7.1345999999999896E-2</v>
      </c>
      <c r="AE6500">
        <v>-0.60147899999999899</v>
      </c>
      <c r="AF6500">
        <v>0.117209053400831</v>
      </c>
      <c r="AG6500">
        <v>-7.1345999999999896E-2</v>
      </c>
      <c r="AH6500">
        <v>0.58165461206685498</v>
      </c>
      <c r="AI6500">
        <v>96.856520973834705</v>
      </c>
      <c r="AJ6500">
        <v>78.606918523227506</v>
      </c>
      <c r="AK6500">
        <v>0.59762053315943098</v>
      </c>
      <c r="AL6500">
        <v>68.736343459780997</v>
      </c>
      <c r="AM6500">
        <v>86.799517969651504</v>
      </c>
      <c r="AN6500">
        <v>1.0000000729471299</v>
      </c>
    </row>
    <row r="6501" spans="1:40" x14ac:dyDescent="0.25">
      <c r="A6501" t="str">
        <f>"20190304164251514"</f>
        <v>20190304164251514</v>
      </c>
      <c r="B6501" t="str">
        <f>"1551688971508024"</f>
        <v>1551688971508024</v>
      </c>
      <c r="C6501" t="s">
        <v>40</v>
      </c>
      <c r="D6501">
        <v>4.6847139999999996</v>
      </c>
      <c r="E6501">
        <v>0.54430429999999996</v>
      </c>
      <c r="F6501" t="s">
        <v>41</v>
      </c>
      <c r="G6501">
        <v>-303.08589999999998</v>
      </c>
      <c r="H6501">
        <v>1.01616</v>
      </c>
      <c r="I6501">
        <v>-3.8980269999999999</v>
      </c>
      <c r="J6501">
        <v>-303.07249999999999</v>
      </c>
      <c r="K6501">
        <v>1.084357</v>
      </c>
      <c r="L6501">
        <v>-3.3105159999999998</v>
      </c>
      <c r="M6501">
        <v>0.16681289999999999</v>
      </c>
      <c r="N6501">
        <v>-4.7206399999999999E-3</v>
      </c>
      <c r="O6501">
        <v>-0.98597729999999995</v>
      </c>
      <c r="P6501">
        <v>0.1098962</v>
      </c>
      <c r="Q6501">
        <v>0.36154510000000001</v>
      </c>
      <c r="R6501">
        <v>-0.92585519999999999</v>
      </c>
      <c r="S6501">
        <v>0.1009216</v>
      </c>
      <c r="T6501">
        <v>-0.25797189999999998</v>
      </c>
      <c r="U6501">
        <v>-3.3262939999999999</v>
      </c>
      <c r="V6501">
        <v>4.9878190000000003E-2</v>
      </c>
      <c r="W6501">
        <v>0.36543989999999998</v>
      </c>
      <c r="X6501">
        <v>0.92949769999999998</v>
      </c>
      <c r="Y6501">
        <v>0.13688410000000001</v>
      </c>
      <c r="Z6501">
        <v>7.0624699999999999E-2</v>
      </c>
      <c r="AA6501">
        <v>0.98806629999999995</v>
      </c>
      <c r="AB6501">
        <v>26</v>
      </c>
      <c r="AC6501">
        <v>-1.339999999999E-2</v>
      </c>
      <c r="AD6501">
        <v>-6.8196999999999994E-2</v>
      </c>
      <c r="AE6501">
        <v>-0.58751099999999901</v>
      </c>
      <c r="AF6501">
        <v>0.10973987214276799</v>
      </c>
      <c r="AG6501">
        <v>-6.8196999999999994E-2</v>
      </c>
      <c r="AH6501">
        <v>0.56937581168158802</v>
      </c>
      <c r="AI6501">
        <v>96.7077688199157</v>
      </c>
      <c r="AJ6501">
        <v>79.090746169946897</v>
      </c>
      <c r="AK6501">
        <v>0.58385142397272505</v>
      </c>
      <c r="AL6501">
        <v>68.565344043151995</v>
      </c>
      <c r="AM6501">
        <v>86.928371703430599</v>
      </c>
      <c r="AN6501">
        <v>1.00000006432748</v>
      </c>
    </row>
    <row r="6502" spans="1:40" x14ac:dyDescent="0.25">
      <c r="A6502" t="str">
        <f>"20190304164251537"</f>
        <v>20190304164251537</v>
      </c>
      <c r="B6502" t="str">
        <f>"1551688971527544"</f>
        <v>1551688971527544</v>
      </c>
      <c r="C6502" t="s">
        <v>40</v>
      </c>
      <c r="D6502">
        <v>4.7158189999999998</v>
      </c>
      <c r="E6502">
        <v>0.54611880000000002</v>
      </c>
      <c r="F6502" t="s">
        <v>41</v>
      </c>
      <c r="G6502">
        <v>-303.0489</v>
      </c>
      <c r="H6502">
        <v>1.0214259999999999</v>
      </c>
      <c r="I6502">
        <v>-4.1345720000000004</v>
      </c>
      <c r="J6502">
        <v>-303.03289999999998</v>
      </c>
      <c r="K6502">
        <v>1.087491</v>
      </c>
      <c r="L6502">
        <v>-3.572479</v>
      </c>
      <c r="M6502">
        <v>0.16221450000000001</v>
      </c>
      <c r="N6502">
        <v>-5.4127089999999999E-3</v>
      </c>
      <c r="O6502">
        <v>-0.98674059999999997</v>
      </c>
      <c r="P6502">
        <v>0.1075846</v>
      </c>
      <c r="Q6502">
        <v>0.36295569999999999</v>
      </c>
      <c r="R6502">
        <v>-0.92557520000000004</v>
      </c>
      <c r="S6502">
        <v>9.5275879999999993E-2</v>
      </c>
      <c r="T6502">
        <v>-0.25421450000000001</v>
      </c>
      <c r="U6502">
        <v>-3.328217</v>
      </c>
      <c r="V6502">
        <v>4.7361630000000002E-2</v>
      </c>
      <c r="W6502">
        <v>0.36756899999999998</v>
      </c>
      <c r="X6502">
        <v>0.92878950000000005</v>
      </c>
      <c r="Y6502">
        <v>0.1339515</v>
      </c>
      <c r="Z6502">
        <v>6.89057E-2</v>
      </c>
      <c r="AA6502">
        <v>0.98858939999999995</v>
      </c>
      <c r="AB6502">
        <v>26</v>
      </c>
      <c r="AC6502">
        <v>-1.6000000000019499E-2</v>
      </c>
      <c r="AD6502">
        <v>-6.6064999999999999E-2</v>
      </c>
      <c r="AE6502">
        <v>-0.56209299999999995</v>
      </c>
      <c r="AF6502">
        <v>0.10551266375554599</v>
      </c>
      <c r="AG6502">
        <v>-6.6064999999999999E-2</v>
      </c>
      <c r="AH6502">
        <v>0.54453642101711996</v>
      </c>
      <c r="AI6502">
        <v>96.792386485836701</v>
      </c>
      <c r="AJ6502">
        <v>79.0339177654579</v>
      </c>
      <c r="AK6502">
        <v>0.55858519515998994</v>
      </c>
      <c r="AL6502">
        <v>68.4342312031647</v>
      </c>
      <c r="AM6502">
        <v>87.080852957751304</v>
      </c>
      <c r="AN6502">
        <v>1.00000001453375</v>
      </c>
    </row>
    <row r="6503" spans="1:40" x14ac:dyDescent="0.25">
      <c r="A6503" t="str">
        <f>"20190304164251559"</f>
        <v>20190304164251559</v>
      </c>
      <c r="B6503" t="str">
        <f>"1551688971548040"</f>
        <v>1551688971548040</v>
      </c>
      <c r="C6503" t="s">
        <v>40</v>
      </c>
      <c r="D6503">
        <v>4.682912</v>
      </c>
      <c r="E6503">
        <v>0.54571800000000004</v>
      </c>
      <c r="F6503" t="s">
        <v>41</v>
      </c>
      <c r="G6503">
        <v>-303.01310000000001</v>
      </c>
      <c r="H6503">
        <v>1.0003310000000001</v>
      </c>
      <c r="I6503">
        <v>-4.3582049999999999</v>
      </c>
      <c r="J6503">
        <v>-302.9932</v>
      </c>
      <c r="K6503">
        <v>1.090376</v>
      </c>
      <c r="L6503">
        <v>-3.8410950000000001</v>
      </c>
      <c r="M6503">
        <v>0.15809889999999999</v>
      </c>
      <c r="N6503">
        <v>-6.1595209999999899E-3</v>
      </c>
      <c r="O6503">
        <v>-0.98740410000000001</v>
      </c>
      <c r="P6503">
        <v>0.1088118</v>
      </c>
      <c r="Q6503">
        <v>0.36244989999999999</v>
      </c>
      <c r="R6503">
        <v>-0.92562960000000005</v>
      </c>
      <c r="S6503">
        <v>8.5845950000000004E-2</v>
      </c>
      <c r="T6503">
        <v>-0.37451570000000001</v>
      </c>
      <c r="U6503">
        <v>-3.3781129999999999</v>
      </c>
      <c r="V6503">
        <v>4.1965049999999997E-2</v>
      </c>
      <c r="W6503">
        <v>0.36784210000000001</v>
      </c>
      <c r="X6503">
        <v>0.92894089999999996</v>
      </c>
      <c r="Y6503">
        <v>0.13304669999999999</v>
      </c>
      <c r="Z6503">
        <v>0.1014989</v>
      </c>
      <c r="AA6503">
        <v>0.98589890000000002</v>
      </c>
      <c r="AB6503">
        <v>26</v>
      </c>
      <c r="AC6503">
        <v>-1.9900000000006898E-2</v>
      </c>
      <c r="AD6503">
        <v>-9.0045000000000097E-2</v>
      </c>
      <c r="AE6503">
        <v>-0.51710999999999996</v>
      </c>
      <c r="AF6503">
        <v>9.8425762754660306E-2</v>
      </c>
      <c r="AG6503">
        <v>-9.0045000000000097E-2</v>
      </c>
      <c r="AH6503">
        <v>0.492547201667699</v>
      </c>
      <c r="AI6503">
        <v>100.16349289398801</v>
      </c>
      <c r="AJ6503">
        <v>78.699427286306303</v>
      </c>
      <c r="AK6503">
        <v>0.51029254224368004</v>
      </c>
      <c r="AL6503">
        <v>68.417405396917303</v>
      </c>
      <c r="AM6503">
        <v>87.413412834729499</v>
      </c>
      <c r="AN6503">
        <v>1.0000000358233601</v>
      </c>
    </row>
    <row r="6504" spans="1:40" x14ac:dyDescent="0.25">
      <c r="A6504" t="str">
        <f>"20190304164251583"</f>
        <v>20190304164251583</v>
      </c>
      <c r="B6504" t="str">
        <f>"1551688971577320"</f>
        <v>1551688971577320</v>
      </c>
      <c r="C6504" t="s">
        <v>40</v>
      </c>
      <c r="D6504">
        <v>4.7279730000000004</v>
      </c>
      <c r="E6504">
        <v>0.54554069999999899</v>
      </c>
      <c r="F6504" t="s">
        <v>41</v>
      </c>
      <c r="G6504">
        <v>-302.97379999999998</v>
      </c>
      <c r="H6504">
        <v>1.005973</v>
      </c>
      <c r="I6504">
        <v>-4.5941689999999999</v>
      </c>
      <c r="J6504">
        <v>-302.95490000000001</v>
      </c>
      <c r="K6504">
        <v>1.0929260000000001</v>
      </c>
      <c r="L6504">
        <v>-4.106903</v>
      </c>
      <c r="M6504">
        <v>0.15453049999999999</v>
      </c>
      <c r="N6504">
        <v>-6.8966929999999997E-3</v>
      </c>
      <c r="O6504">
        <v>-0.98796419999999996</v>
      </c>
      <c r="P6504">
        <v>0.11147509999999999</v>
      </c>
      <c r="Q6504">
        <v>0.36069119999999999</v>
      </c>
      <c r="R6504">
        <v>-0.92599989999999999</v>
      </c>
      <c r="S6504">
        <v>8.7249759999999996E-2</v>
      </c>
      <c r="T6504">
        <v>-0.37869819999999998</v>
      </c>
      <c r="U6504">
        <v>-3.3790589999999998</v>
      </c>
      <c r="V6504">
        <v>3.5788889999999997E-2</v>
      </c>
      <c r="W6504">
        <v>0.36684610000000001</v>
      </c>
      <c r="X6504">
        <v>0.929593</v>
      </c>
      <c r="Y6504">
        <v>0.12905990000000001</v>
      </c>
      <c r="Z6504">
        <v>0.10204770000000001</v>
      </c>
      <c r="AA6504">
        <v>0.98637209999999997</v>
      </c>
      <c r="AB6504">
        <v>26</v>
      </c>
      <c r="AC6504">
        <v>-1.8899999999973702E-2</v>
      </c>
      <c r="AD6504">
        <v>-8.6953000000000003E-2</v>
      </c>
      <c r="AE6504">
        <v>-0.48726599999999998</v>
      </c>
      <c r="AF6504">
        <v>9.1076255854165997E-2</v>
      </c>
      <c r="AG6504">
        <v>-8.6953000000000003E-2</v>
      </c>
      <c r="AH6504">
        <v>0.46374632769928897</v>
      </c>
      <c r="AI6504">
        <v>100.425066165309</v>
      </c>
      <c r="AJ6504">
        <v>78.888954767764105</v>
      </c>
      <c r="AK6504">
        <v>0.48053757922142798</v>
      </c>
      <c r="AL6504">
        <v>68.478761486248601</v>
      </c>
      <c r="AM6504">
        <v>87.795228522913405</v>
      </c>
      <c r="AN6504">
        <v>1.0000000256908199</v>
      </c>
    </row>
    <row r="6505" spans="1:40" x14ac:dyDescent="0.25">
      <c r="A6505" t="str">
        <f>"20190304164251604"</f>
        <v>20190304164251604</v>
      </c>
      <c r="B6505" t="str">
        <f>"1551688971597816"</f>
        <v>1551688971597816</v>
      </c>
      <c r="C6505" t="s">
        <v>40</v>
      </c>
      <c r="D6505">
        <v>4.681254</v>
      </c>
      <c r="E6505">
        <v>0.54535100000000003</v>
      </c>
      <c r="F6505" t="s">
        <v>41</v>
      </c>
      <c r="G6505">
        <v>-302.92950000000002</v>
      </c>
      <c r="H6505">
        <v>0.9847591</v>
      </c>
      <c r="I6505">
        <v>-5.0551139999999997</v>
      </c>
      <c r="J6505">
        <v>-302.91879999999998</v>
      </c>
      <c r="K6505">
        <v>1.0951470000000001</v>
      </c>
      <c r="L6505">
        <v>-4.363861</v>
      </c>
      <c r="M6505">
        <v>0.15135779999999999</v>
      </c>
      <c r="N6505">
        <v>-7.5869259999999999E-3</v>
      </c>
      <c r="O6505">
        <v>-0.9884501</v>
      </c>
      <c r="P6505">
        <v>0.113848</v>
      </c>
      <c r="Q6505">
        <v>0.36068650000000002</v>
      </c>
      <c r="R6505">
        <v>-0.92571309999999996</v>
      </c>
      <c r="S6505">
        <v>9.0576169999999998E-2</v>
      </c>
      <c r="T6505">
        <v>-0.3855073</v>
      </c>
      <c r="U6505">
        <v>-3.3789980000000002</v>
      </c>
      <c r="V6505">
        <v>3.0214339999999999E-2</v>
      </c>
      <c r="W6505">
        <v>0.36754239999999999</v>
      </c>
      <c r="X6505">
        <v>0.9295158</v>
      </c>
      <c r="Y6505">
        <v>0.1249043</v>
      </c>
      <c r="Z6505">
        <v>0.10341160000000001</v>
      </c>
      <c r="AA6505">
        <v>0.98676489999999994</v>
      </c>
      <c r="AB6505">
        <v>26</v>
      </c>
      <c r="AC6505">
        <v>-1.07000000000425E-2</v>
      </c>
      <c r="AD6505">
        <v>-0.110387899999999</v>
      </c>
      <c r="AE6505">
        <v>-0.69125299999999901</v>
      </c>
      <c r="AF6505">
        <v>0.112342020676091</v>
      </c>
      <c r="AG6505">
        <v>-0.110387899999999</v>
      </c>
      <c r="AH6505">
        <v>0.66472160932672097</v>
      </c>
      <c r="AI6505">
        <v>99.299331931713198</v>
      </c>
      <c r="AJ6505">
        <v>80.407309346443</v>
      </c>
      <c r="AK6505">
        <v>0.68312592981228804</v>
      </c>
      <c r="AL6505">
        <v>68.435869026543301</v>
      </c>
      <c r="AM6505">
        <v>88.1382297819749</v>
      </c>
      <c r="AN6505">
        <v>0.99999997229451698</v>
      </c>
    </row>
    <row r="6506" spans="1:40" x14ac:dyDescent="0.25">
      <c r="A6506" t="str">
        <f>"20190304164251626"</f>
        <v>20190304164251626</v>
      </c>
      <c r="B6506" t="str">
        <f>"1551688971617336"</f>
        <v>1551688971617336</v>
      </c>
      <c r="C6506" t="s">
        <v>40</v>
      </c>
      <c r="D6506">
        <v>4.7018509999999996</v>
      </c>
      <c r="E6506">
        <v>0.54526859999999999</v>
      </c>
      <c r="F6506" t="s">
        <v>41</v>
      </c>
      <c r="G6506">
        <v>-302.89240000000001</v>
      </c>
      <c r="H6506">
        <v>0.98867919999999998</v>
      </c>
      <c r="I6506">
        <v>-5.2897309999999997</v>
      </c>
      <c r="J6506">
        <v>-302.88339999999999</v>
      </c>
      <c r="K6506">
        <v>1.097151</v>
      </c>
      <c r="L6506">
        <v>-4.6208799999999997</v>
      </c>
      <c r="M6506">
        <v>0.1482706</v>
      </c>
      <c r="N6506">
        <v>-8.2400310000000001E-3</v>
      </c>
      <c r="O6506">
        <v>-0.98891260000000003</v>
      </c>
      <c r="P6506">
        <v>0.1154152</v>
      </c>
      <c r="Q6506">
        <v>0.3621376</v>
      </c>
      <c r="R6506">
        <v>-0.92495190000000005</v>
      </c>
      <c r="S6506">
        <v>9.7290039999999994E-2</v>
      </c>
      <c r="T6506">
        <v>-0.3884474</v>
      </c>
      <c r="U6506">
        <v>-3.3801269999999999</v>
      </c>
      <c r="V6506">
        <v>2.546787E-2</v>
      </c>
      <c r="W6506">
        <v>0.36964259999999999</v>
      </c>
      <c r="X6506">
        <v>0.92882500000000001</v>
      </c>
      <c r="Y6506">
        <v>0.1198536</v>
      </c>
      <c r="Z6506">
        <v>0.1036758</v>
      </c>
      <c r="AA6506">
        <v>0.9873634</v>
      </c>
      <c r="AB6506">
        <v>26</v>
      </c>
      <c r="AC6506">
        <v>-9.0000000000145502E-3</v>
      </c>
      <c r="AD6506">
        <v>-0.10847179999999999</v>
      </c>
      <c r="AE6506">
        <v>-0.66885099999999897</v>
      </c>
      <c r="AF6506">
        <v>0.105305651226626</v>
      </c>
      <c r="AG6506">
        <v>-0.10847179999999999</v>
      </c>
      <c r="AH6506">
        <v>0.64320900943071602</v>
      </c>
      <c r="AI6506">
        <v>99.448900552393098</v>
      </c>
      <c r="AJ6506">
        <v>80.702070208733403</v>
      </c>
      <c r="AK6506">
        <v>0.66073689271021296</v>
      </c>
      <c r="AL6506">
        <v>68.306424456714794</v>
      </c>
      <c r="AM6506">
        <v>88.429374811800699</v>
      </c>
      <c r="AN6506">
        <v>1.0000000723810401</v>
      </c>
    </row>
    <row r="6507" spans="1:40" x14ac:dyDescent="0.25">
      <c r="A6507" t="str">
        <f>"20190304164251648"</f>
        <v>20190304164251648</v>
      </c>
      <c r="B6507" t="str">
        <f>"1551688971637832"</f>
        <v>1551688971637832</v>
      </c>
      <c r="C6507" t="s">
        <v>40</v>
      </c>
      <c r="D6507">
        <v>4.6654949999999999</v>
      </c>
      <c r="E6507">
        <v>0.54532890000000001</v>
      </c>
      <c r="F6507" t="s">
        <v>41</v>
      </c>
      <c r="G6507">
        <v>-302.85550000000001</v>
      </c>
      <c r="H6507">
        <v>0.99364269999999999</v>
      </c>
      <c r="I6507">
        <v>-5.5246940000000002</v>
      </c>
      <c r="J6507">
        <v>-302.84809999999999</v>
      </c>
      <c r="K6507">
        <v>1.098949</v>
      </c>
      <c r="L6507">
        <v>-4.8821719999999997</v>
      </c>
      <c r="M6507">
        <v>0.14517659999999999</v>
      </c>
      <c r="N6507">
        <v>-8.8549259999999904E-3</v>
      </c>
      <c r="O6507">
        <v>-0.98936610000000003</v>
      </c>
      <c r="P6507">
        <v>0.1166112</v>
      </c>
      <c r="Q6507">
        <v>0.36387249999999999</v>
      </c>
      <c r="R6507">
        <v>-0.92412030000000001</v>
      </c>
      <c r="S6507">
        <v>0.104187</v>
      </c>
      <c r="T6507">
        <v>-0.38735459999999999</v>
      </c>
      <c r="U6507">
        <v>-3.3820800000000002</v>
      </c>
      <c r="V6507">
        <v>2.1092429999999999E-2</v>
      </c>
      <c r="W6507">
        <v>0.37198110000000001</v>
      </c>
      <c r="X6507">
        <v>0.92800059999999995</v>
      </c>
      <c r="Y6507">
        <v>0.1147478</v>
      </c>
      <c r="Z6507">
        <v>0.10280110000000001</v>
      </c>
      <c r="AA6507">
        <v>0.98806119999999997</v>
      </c>
      <c r="AB6507">
        <v>26</v>
      </c>
      <c r="AC6507">
        <v>-7.40000000001828E-3</v>
      </c>
      <c r="AD6507">
        <v>-0.10530629999999901</v>
      </c>
      <c r="AE6507">
        <v>-0.64252200000000004</v>
      </c>
      <c r="AF6507">
        <v>9.7973047296548002E-2</v>
      </c>
      <c r="AG6507">
        <v>-0.10530629999999901</v>
      </c>
      <c r="AH6507">
        <v>0.61804068913649501</v>
      </c>
      <c r="AI6507">
        <v>99.552571601657903</v>
      </c>
      <c r="AJ6507">
        <v>80.992311344730993</v>
      </c>
      <c r="AK6507">
        <v>0.63455687550019901</v>
      </c>
      <c r="AL6507">
        <v>68.162150507004199</v>
      </c>
      <c r="AM6507">
        <v>88.6979543147893</v>
      </c>
      <c r="AN6507">
        <v>0.99999997148043696</v>
      </c>
    </row>
    <row r="6508" spans="1:40" x14ac:dyDescent="0.25">
      <c r="A6508" t="str">
        <f>"20190304164251671"</f>
        <v>20190304164251671</v>
      </c>
      <c r="B6508" t="str">
        <f>"1551688971657353"</f>
        <v>1551688971657353</v>
      </c>
      <c r="C6508" t="s">
        <v>40</v>
      </c>
      <c r="D6508">
        <v>4.6585660000000004</v>
      </c>
      <c r="E6508">
        <v>0.54535669999999903</v>
      </c>
      <c r="F6508" t="s">
        <v>41</v>
      </c>
      <c r="G6508">
        <v>-302.8202</v>
      </c>
      <c r="H6508">
        <v>0.99939809999999996</v>
      </c>
      <c r="I6508">
        <v>-5.7601139999999997</v>
      </c>
      <c r="J6508">
        <v>-302.81330000000003</v>
      </c>
      <c r="K6508">
        <v>1.100517</v>
      </c>
      <c r="L6508">
        <v>-5.1445309999999997</v>
      </c>
      <c r="M6508">
        <v>0.14212040000000001</v>
      </c>
      <c r="N6508">
        <v>-9.4193279999999994E-3</v>
      </c>
      <c r="O6508">
        <v>-0.98980460000000003</v>
      </c>
      <c r="P6508">
        <v>0.1188258</v>
      </c>
      <c r="Q6508">
        <v>0.36450729999999998</v>
      </c>
      <c r="R6508">
        <v>-0.92358799999999996</v>
      </c>
      <c r="S6508">
        <v>0.1080627</v>
      </c>
      <c r="T6508">
        <v>-0.38352530000000001</v>
      </c>
      <c r="U6508">
        <v>-3.3836979999999999</v>
      </c>
      <c r="V6508">
        <v>1.5812710000000001E-2</v>
      </c>
      <c r="W6508">
        <v>0.3731759</v>
      </c>
      <c r="X6508">
        <v>0.92762579999999994</v>
      </c>
      <c r="Y6508">
        <v>0.11055710000000001</v>
      </c>
      <c r="Z6508">
        <v>0.10119839999999999</v>
      </c>
      <c r="AA6508">
        <v>0.98870420000000003</v>
      </c>
      <c r="AB6508">
        <v>26</v>
      </c>
      <c r="AC6508">
        <v>-6.89999999997326E-3</v>
      </c>
      <c r="AD6508">
        <v>-0.1011189</v>
      </c>
      <c r="AE6508">
        <v>-0.61558299999999999</v>
      </c>
      <c r="AF6508">
        <v>9.1842843590696097E-2</v>
      </c>
      <c r="AG6508">
        <v>-0.1011189</v>
      </c>
      <c r="AH6508">
        <v>0.59237122962929201</v>
      </c>
      <c r="AI6508">
        <v>99.574884553889703</v>
      </c>
      <c r="AJ6508">
        <v>81.1868770724016</v>
      </c>
      <c r="AK6508">
        <v>0.60791760424300401</v>
      </c>
      <c r="AL6508">
        <v>68.088381958382598</v>
      </c>
      <c r="AM6508">
        <v>89.023405983966796</v>
      </c>
      <c r="AN6508">
        <v>0.99999995948199605</v>
      </c>
    </row>
    <row r="6509" spans="1:40" x14ac:dyDescent="0.25">
      <c r="A6509" t="str">
        <f>"20190304164251694"</f>
        <v>20190304164251694</v>
      </c>
      <c r="B6509" t="str">
        <f>"1551688971687608"</f>
        <v>1551688971687608</v>
      </c>
      <c r="C6509" t="s">
        <v>40</v>
      </c>
      <c r="D6509">
        <v>4.656498</v>
      </c>
      <c r="E6509">
        <v>0.545311199999999</v>
      </c>
      <c r="F6509" t="s">
        <v>41</v>
      </c>
      <c r="G6509">
        <v>-302.78480000000002</v>
      </c>
      <c r="H6509">
        <v>1.0038279999999999</v>
      </c>
      <c r="I6509">
        <v>-5.9946729999999997</v>
      </c>
      <c r="J6509">
        <v>-302.77839999999998</v>
      </c>
      <c r="K6509">
        <v>1.1018889999999999</v>
      </c>
      <c r="L6509">
        <v>-5.4136350000000002</v>
      </c>
      <c r="M6509">
        <v>0.1390441</v>
      </c>
      <c r="N6509">
        <v>-9.9440480000000005E-3</v>
      </c>
      <c r="O6509">
        <v>-0.99023649999999996</v>
      </c>
      <c r="P6509">
        <v>0.1213548</v>
      </c>
      <c r="Q6509">
        <v>0.36391630000000003</v>
      </c>
      <c r="R6509">
        <v>-0.92349239999999999</v>
      </c>
      <c r="S6509">
        <v>0.1141968</v>
      </c>
      <c r="T6509">
        <v>-0.38485170000000002</v>
      </c>
      <c r="U6509">
        <v>-3.3854060000000001</v>
      </c>
      <c r="V6509">
        <v>1.0291E-2</v>
      </c>
      <c r="W6509">
        <v>0.37310919999999997</v>
      </c>
      <c r="X6509">
        <v>0.92773039999999996</v>
      </c>
      <c r="Y6509">
        <v>0.1056935</v>
      </c>
      <c r="Z6509">
        <v>0.10110139999999999</v>
      </c>
      <c r="AA6509">
        <v>0.98924590000000001</v>
      </c>
      <c r="AB6509">
        <v>26</v>
      </c>
      <c r="AC6509">
        <v>-6.4000000000419199E-3</v>
      </c>
      <c r="AD6509">
        <v>-9.8060999999999704E-2</v>
      </c>
      <c r="AE6509">
        <v>-0.58103800000000005</v>
      </c>
      <c r="AF6509">
        <v>8.4718961484691005E-2</v>
      </c>
      <c r="AG6509">
        <v>-9.8060999999999704E-2</v>
      </c>
      <c r="AH6509">
        <v>0.55859497194449004</v>
      </c>
      <c r="AI6509">
        <v>99.846425002571195</v>
      </c>
      <c r="AJ6509">
        <v>81.375993578304303</v>
      </c>
      <c r="AK6509">
        <v>0.57342968604503797</v>
      </c>
      <c r="AL6509">
        <v>68.092502892160596</v>
      </c>
      <c r="AM6509">
        <v>89.364463334799893</v>
      </c>
      <c r="AN6509">
        <v>1.0000000374448901</v>
      </c>
    </row>
    <row r="6510" spans="1:40" x14ac:dyDescent="0.25">
      <c r="A6510" t="str">
        <f>"20190304164251714"</f>
        <v>20190304164251714</v>
      </c>
      <c r="B6510" t="str">
        <f>"1551688971708104"</f>
        <v>1551688971708104</v>
      </c>
      <c r="C6510" t="s">
        <v>40</v>
      </c>
      <c r="D6510">
        <v>4.8069430000000004</v>
      </c>
      <c r="E6510">
        <v>0.54558090000000004</v>
      </c>
      <c r="F6510" t="s">
        <v>41</v>
      </c>
      <c r="G6510">
        <v>-302.74959999999999</v>
      </c>
      <c r="H6510">
        <v>1.0078240000000001</v>
      </c>
      <c r="I6510">
        <v>-6.2287819999999998</v>
      </c>
      <c r="J6510">
        <v>-302.74669999999998</v>
      </c>
      <c r="K6510">
        <v>1.102976</v>
      </c>
      <c r="L6510">
        <v>-5.6632689999999997</v>
      </c>
      <c r="M6510">
        <v>0.136232399999999</v>
      </c>
      <c r="N6510">
        <v>-1.0383689999999999E-2</v>
      </c>
      <c r="O6510">
        <v>-0.99062260000000002</v>
      </c>
      <c r="P6510">
        <v>0.1238479</v>
      </c>
      <c r="Q6510">
        <v>0.36294290000000001</v>
      </c>
      <c r="R6510">
        <v>-0.92354449999999999</v>
      </c>
      <c r="S6510">
        <v>0.1204529</v>
      </c>
      <c r="T6510">
        <v>-0.39068770000000003</v>
      </c>
      <c r="U6510">
        <v>-3.3866580000000002</v>
      </c>
      <c r="V6510">
        <v>5.1088409999999898E-3</v>
      </c>
      <c r="W6510">
        <v>0.37257689999999999</v>
      </c>
      <c r="X6510">
        <v>0.92798729999999996</v>
      </c>
      <c r="Y6510">
        <v>0.1010609</v>
      </c>
      <c r="Z6510">
        <v>0.1023786</v>
      </c>
      <c r="AA6510">
        <v>0.98959859999999999</v>
      </c>
      <c r="AB6510">
        <v>26</v>
      </c>
      <c r="AC6510">
        <v>-2.9000000000110001E-3</v>
      </c>
      <c r="AD6510">
        <v>-9.5151999999999903E-2</v>
      </c>
      <c r="AE6510">
        <v>-0.56551299999999904</v>
      </c>
      <c r="AF6510">
        <v>7.7718102122242394E-2</v>
      </c>
      <c r="AG6510">
        <v>-9.5151999999999903E-2</v>
      </c>
      <c r="AH6510">
        <v>0.54443215246907795</v>
      </c>
      <c r="AI6510">
        <v>99.816075326912198</v>
      </c>
      <c r="AJ6510">
        <v>81.875871263284495</v>
      </c>
      <c r="AK6510">
        <v>0.55812218657171897</v>
      </c>
      <c r="AL6510">
        <v>68.125371449066805</v>
      </c>
      <c r="AM6510">
        <v>89.684573193694007</v>
      </c>
      <c r="AN6510">
        <v>1.00000003781563</v>
      </c>
    </row>
    <row r="6511" spans="1:40" x14ac:dyDescent="0.25">
      <c r="A6511" t="str">
        <f>"20190304164251738"</f>
        <v>20190304164251738</v>
      </c>
      <c r="B6511" t="str">
        <f>"1551688971727625"</f>
        <v>1551688971727625</v>
      </c>
      <c r="C6511" t="s">
        <v>40</v>
      </c>
      <c r="D6511">
        <v>4.712523</v>
      </c>
      <c r="E6511">
        <v>0.5469041</v>
      </c>
      <c r="F6511" t="s">
        <v>41</v>
      </c>
      <c r="G6511">
        <v>-302.71640000000002</v>
      </c>
      <c r="H6511">
        <v>0.99603739999999996</v>
      </c>
      <c r="I6511">
        <v>-6.4551600000000002</v>
      </c>
      <c r="J6511">
        <v>-302.71420000000001</v>
      </c>
      <c r="K6511">
        <v>1.103952</v>
      </c>
      <c r="L6511">
        <v>-5.9248960000000004</v>
      </c>
      <c r="M6511">
        <v>0.13331370000000001</v>
      </c>
      <c r="N6511">
        <v>-1.0799019999999999E-2</v>
      </c>
      <c r="O6511">
        <v>-0.99101519999999999</v>
      </c>
      <c r="P6511">
        <v>0.1255752</v>
      </c>
      <c r="Q6511">
        <v>0.36191909999999999</v>
      </c>
      <c r="R6511">
        <v>-0.92371309999999995</v>
      </c>
      <c r="S6511">
        <v>0.131073</v>
      </c>
      <c r="T6511">
        <v>-0.46062229999999998</v>
      </c>
      <c r="U6511">
        <v>-3.4118040000000001</v>
      </c>
      <c r="V6511">
        <v>6.1851319999999997E-4</v>
      </c>
      <c r="W6511">
        <v>0.37196659999999998</v>
      </c>
      <c r="X6511">
        <v>0.92824589999999996</v>
      </c>
      <c r="Y6511">
        <v>9.5383620000000002E-2</v>
      </c>
      <c r="Z6511">
        <v>0.1209761</v>
      </c>
      <c r="AA6511">
        <v>0.98806210000000005</v>
      </c>
      <c r="AB6511">
        <v>26</v>
      </c>
      <c r="AC6511">
        <v>-2.2000000000161799E-3</v>
      </c>
      <c r="AD6511">
        <v>-0.1079146</v>
      </c>
      <c r="AE6511">
        <v>-0.53026399999999996</v>
      </c>
      <c r="AF6511">
        <v>6.9977727369591805E-2</v>
      </c>
      <c r="AG6511">
        <v>-0.1079146</v>
      </c>
      <c r="AH6511">
        <v>0.50434881115040697</v>
      </c>
      <c r="AI6511">
        <v>101.96608029930999</v>
      </c>
      <c r="AJ6511">
        <v>82.100719287572801</v>
      </c>
      <c r="AK6511">
        <v>0.52049031357922704</v>
      </c>
      <c r="AL6511">
        <v>68.163046000947105</v>
      </c>
      <c r="AM6511">
        <v>89.961822410755104</v>
      </c>
      <c r="AN6511">
        <v>0.999999992470474</v>
      </c>
    </row>
    <row r="6512" spans="1:40" x14ac:dyDescent="0.25">
      <c r="A6512" t="str">
        <f>"20190304164251760"</f>
        <v>20190304164251760</v>
      </c>
      <c r="B6512" t="str">
        <f>"1551688971757880"</f>
        <v>1551688971757880</v>
      </c>
      <c r="C6512" t="s">
        <v>40</v>
      </c>
      <c r="D6512">
        <v>4.8638309999999896</v>
      </c>
      <c r="E6512">
        <v>0.54644230000000005</v>
      </c>
      <c r="F6512" t="s">
        <v>41</v>
      </c>
      <c r="G6512">
        <v>-302.68579999999997</v>
      </c>
      <c r="H6512">
        <v>1.000248</v>
      </c>
      <c r="I6512">
        <v>-6.6895789999999904</v>
      </c>
      <c r="J6512">
        <v>-302.68220000000002</v>
      </c>
      <c r="K6512">
        <v>1.1047800000000001</v>
      </c>
      <c r="L6512">
        <v>-6.1885379999999897</v>
      </c>
      <c r="M6512">
        <v>0.1303918</v>
      </c>
      <c r="N6512">
        <v>-1.1173550000000001E-2</v>
      </c>
      <c r="O6512">
        <v>-0.99139949999999999</v>
      </c>
      <c r="P6512">
        <v>0.12644</v>
      </c>
      <c r="Q6512">
        <v>0.36140099999999997</v>
      </c>
      <c r="R6512">
        <v>-0.92379770000000005</v>
      </c>
      <c r="S6512">
        <v>0.12792970000000001</v>
      </c>
      <c r="T6512">
        <v>-0.4624143</v>
      </c>
      <c r="U6512">
        <v>-3.41153</v>
      </c>
      <c r="V6512">
        <v>-3.0147279999999999E-3</v>
      </c>
      <c r="W6512">
        <v>0.37181649999999999</v>
      </c>
      <c r="X6512">
        <v>0.9283013</v>
      </c>
      <c r="Y6512">
        <v>9.3355359999999998E-2</v>
      </c>
      <c r="Z6512">
        <v>0.12121129999999999</v>
      </c>
      <c r="AA6512">
        <v>0.98822699999999997</v>
      </c>
      <c r="AB6512">
        <v>26</v>
      </c>
      <c r="AC6512">
        <v>-3.59999999994897E-3</v>
      </c>
      <c r="AD6512">
        <v>-0.104531999999999</v>
      </c>
      <c r="AE6512">
        <v>-0.50104099999999896</v>
      </c>
      <c r="AF6512">
        <v>6.6031042912004401E-2</v>
      </c>
      <c r="AG6512">
        <v>-0.104531999999999</v>
      </c>
      <c r="AH6512">
        <v>0.47559363425753198</v>
      </c>
      <c r="AI6512">
        <v>102.281903565729</v>
      </c>
      <c r="AJ6512">
        <v>82.095630021624402</v>
      </c>
      <c r="AK6512">
        <v>0.491402424290249</v>
      </c>
      <c r="AL6512">
        <v>68.172309635607903</v>
      </c>
      <c r="AM6512">
        <v>90.186071681180707</v>
      </c>
      <c r="AN6512">
        <v>0.99999995091942495</v>
      </c>
    </row>
    <row r="6513" spans="1:40" x14ac:dyDescent="0.25">
      <c r="A6513" t="str">
        <f>"20190304164251785"</f>
        <v>20190304164251785</v>
      </c>
      <c r="B6513" t="str">
        <f>"1551688971777400"</f>
        <v>1551688971777400</v>
      </c>
      <c r="C6513" t="s">
        <v>40</v>
      </c>
      <c r="D6513">
        <v>4.7437170000000002</v>
      </c>
      <c r="E6513">
        <v>0.51658210000000004</v>
      </c>
      <c r="F6513" t="s">
        <v>41</v>
      </c>
      <c r="G6513">
        <v>-302.65269999999998</v>
      </c>
      <c r="H6513">
        <v>1.006329</v>
      </c>
      <c r="I6513">
        <v>-6.9243839999999999</v>
      </c>
      <c r="J6513">
        <v>-302.64960000000002</v>
      </c>
      <c r="K6513">
        <v>1.1055090000000001</v>
      </c>
      <c r="L6513">
        <v>-6.4631959999999999</v>
      </c>
      <c r="M6513">
        <v>0.12736610000000001</v>
      </c>
      <c r="N6513">
        <v>-1.151865E-2</v>
      </c>
      <c r="O6513">
        <v>-0.99178880000000003</v>
      </c>
      <c r="P6513">
        <v>0.12630749999999999</v>
      </c>
      <c r="Q6513">
        <v>0.36126130000000001</v>
      </c>
      <c r="R6513">
        <v>-0.92387039999999998</v>
      </c>
      <c r="S6513">
        <v>0.1366272</v>
      </c>
      <c r="T6513">
        <v>-0.4557561</v>
      </c>
      <c r="U6513">
        <v>-3.4070429999999998</v>
      </c>
      <c r="V6513">
        <v>-5.7493539999999999E-3</v>
      </c>
      <c r="W6513">
        <v>0.37201089999999998</v>
      </c>
      <c r="X6513">
        <v>0.9282106</v>
      </c>
      <c r="Y6513">
        <v>8.7742529999999999E-2</v>
      </c>
      <c r="Z6513">
        <v>0.1192713</v>
      </c>
      <c r="AA6513">
        <v>0.98897710000000005</v>
      </c>
      <c r="AB6513">
        <v>26</v>
      </c>
      <c r="AC6513">
        <v>-3.0999999999607999E-3</v>
      </c>
      <c r="AD6513">
        <v>-9.9180000000000004E-2</v>
      </c>
      <c r="AE6513">
        <v>-0.46118799999999899</v>
      </c>
      <c r="AF6513">
        <v>5.90858925072483E-2</v>
      </c>
      <c r="AG6513">
        <v>-9.9180000000000004E-2</v>
      </c>
      <c r="AH6513">
        <v>0.436834828763353</v>
      </c>
      <c r="AI6513">
        <v>102.680030803145</v>
      </c>
      <c r="AJ6513">
        <v>82.296972242818697</v>
      </c>
      <c r="AK6513">
        <v>0.451832361295742</v>
      </c>
      <c r="AL6513">
        <v>68.160312690283305</v>
      </c>
      <c r="AM6513">
        <v>90.354886602755499</v>
      </c>
      <c r="AN6513">
        <v>1.0000000413712899</v>
      </c>
    </row>
    <row r="6514" spans="1:40" x14ac:dyDescent="0.25">
      <c r="A6514" t="str">
        <f>"20190304164251805"</f>
        <v>20190304164251805</v>
      </c>
      <c r="B6514" t="str">
        <f>"1551688971797896"</f>
        <v>1551688971797896</v>
      </c>
      <c r="C6514" t="s">
        <v>40</v>
      </c>
      <c r="D6514">
        <v>4.7067909999999999</v>
      </c>
      <c r="E6514">
        <v>0.5120789</v>
      </c>
      <c r="F6514" t="s">
        <v>41</v>
      </c>
      <c r="G6514">
        <v>-302.5489</v>
      </c>
      <c r="H6514">
        <v>1.0107079999999999</v>
      </c>
      <c r="I6514">
        <v>-7.3850949999999997</v>
      </c>
      <c r="J6514">
        <v>-302.62110000000001</v>
      </c>
      <c r="K6514">
        <v>1.1060650000000001</v>
      </c>
      <c r="L6514">
        <v>-6.7096559999999998</v>
      </c>
      <c r="M6514">
        <v>0.12467010000000001</v>
      </c>
      <c r="N6514">
        <v>-1.179361E-2</v>
      </c>
      <c r="O6514">
        <v>-0.99212820000000002</v>
      </c>
      <c r="P6514">
        <v>0.12591269999999999</v>
      </c>
      <c r="Q6514">
        <v>0.36159750000000002</v>
      </c>
      <c r="R6514">
        <v>-0.92379290000000003</v>
      </c>
      <c r="S6514">
        <v>0.36492920000000001</v>
      </c>
      <c r="T6514">
        <v>-0.3422848</v>
      </c>
      <c r="U6514">
        <v>-3.3311459999999999</v>
      </c>
      <c r="V6514">
        <v>-7.9231300000000005E-3</v>
      </c>
      <c r="W6514">
        <v>0.37261050000000001</v>
      </c>
      <c r="X6514">
        <v>0.92795399999999995</v>
      </c>
      <c r="Y6514">
        <v>1.6313290000000001E-2</v>
      </c>
      <c r="Z6514">
        <v>8.9060219999999995E-2</v>
      </c>
      <c r="AA6514">
        <v>0.99589260000000002</v>
      </c>
      <c r="AB6514">
        <v>26</v>
      </c>
      <c r="AC6514">
        <v>7.2200000000009298E-2</v>
      </c>
      <c r="AD6514">
        <v>-9.53569999999999E-2</v>
      </c>
      <c r="AE6514">
        <v>-0.67543899999999901</v>
      </c>
      <c r="AF6514">
        <v>1.23332270307064E-2</v>
      </c>
      <c r="AG6514">
        <v>-9.53569999999999E-2</v>
      </c>
      <c r="AH6514">
        <v>0.66604536840068695</v>
      </c>
      <c r="AI6514">
        <v>98.146230431992507</v>
      </c>
      <c r="AJ6514">
        <v>88.939169699793695</v>
      </c>
      <c r="AK6514">
        <v>0.67294984858159901</v>
      </c>
      <c r="AL6514">
        <v>68.123295913035605</v>
      </c>
      <c r="AM6514">
        <v>90.489195454093405</v>
      </c>
      <c r="AN6514">
        <v>0.99999999340762302</v>
      </c>
    </row>
    <row r="6515" spans="1:40" x14ac:dyDescent="0.25">
      <c r="A6515" t="str">
        <f>"20190304164251829"</f>
        <v>20190304164251829</v>
      </c>
      <c r="B6515" t="str">
        <f>"1551688971817417"</f>
        <v>1551688971817417</v>
      </c>
      <c r="C6515" t="s">
        <v>40</v>
      </c>
      <c r="D6515">
        <v>4.6925520000000001</v>
      </c>
      <c r="E6515">
        <v>0.51010140000000004</v>
      </c>
      <c r="F6515" t="s">
        <v>41</v>
      </c>
      <c r="G6515">
        <v>-302.51150000000001</v>
      </c>
      <c r="H6515">
        <v>1.014257</v>
      </c>
      <c r="I6515">
        <v>-7.6176679999999903</v>
      </c>
      <c r="J6515">
        <v>-302.59050000000002</v>
      </c>
      <c r="K6515">
        <v>1.1065799999999999</v>
      </c>
      <c r="L6515">
        <v>-6.9801330000000004</v>
      </c>
      <c r="M6515">
        <v>0.1217308</v>
      </c>
      <c r="N6515">
        <v>-1.2061489999999999E-2</v>
      </c>
      <c r="O6515">
        <v>-0.99248999999999998</v>
      </c>
      <c r="P6515">
        <v>0.1242658</v>
      </c>
      <c r="Q6515">
        <v>0.3626257</v>
      </c>
      <c r="R6515">
        <v>-0.92361309999999996</v>
      </c>
      <c r="S6515">
        <v>0.40142820000000001</v>
      </c>
      <c r="T6515">
        <v>-0.33606039999999998</v>
      </c>
      <c r="U6515">
        <v>-3.3243100000000001</v>
      </c>
      <c r="V6515">
        <v>-9.088456E-3</v>
      </c>
      <c r="W6515">
        <v>0.37388759999999999</v>
      </c>
      <c r="X6515">
        <v>0.92742950000000002</v>
      </c>
      <c r="Y6515">
        <v>2.3275460000000002E-3</v>
      </c>
      <c r="Z6515">
        <v>8.7186410000000006E-2</v>
      </c>
      <c r="AA6515">
        <v>0.99618930000000006</v>
      </c>
      <c r="AB6515">
        <v>26</v>
      </c>
      <c r="AC6515">
        <v>7.9000000000007703E-2</v>
      </c>
      <c r="AD6515">
        <v>-9.2322999999999905E-2</v>
      </c>
      <c r="AE6515">
        <v>-0.63753499999999796</v>
      </c>
      <c r="AF6515">
        <v>-7.8295174262735202E-4</v>
      </c>
      <c r="AG6515">
        <v>-9.2322999999999905E-2</v>
      </c>
      <c r="AH6515">
        <v>0.62941094393097796</v>
      </c>
      <c r="AI6515">
        <v>98.344722431768005</v>
      </c>
      <c r="AJ6515">
        <v>90.0712726839418</v>
      </c>
      <c r="AK6515">
        <v>0.63614643415059402</v>
      </c>
      <c r="AL6515">
        <v>68.044423768538806</v>
      </c>
      <c r="AM6515">
        <v>90.561458852707801</v>
      </c>
      <c r="AN6515">
        <v>1.00000000746823</v>
      </c>
    </row>
    <row r="6516" spans="1:40" x14ac:dyDescent="0.25">
      <c r="A6516" t="str">
        <f>"20190304164251850"</f>
        <v>20190304164251850</v>
      </c>
      <c r="B6516" t="str">
        <f>"1551688971837912"</f>
        <v>1551688971837912</v>
      </c>
      <c r="C6516" t="s">
        <v>40</v>
      </c>
      <c r="D6516">
        <v>4.6833169999999997</v>
      </c>
      <c r="E6516">
        <v>0.50917829999999997</v>
      </c>
      <c r="F6516" t="s">
        <v>41</v>
      </c>
      <c r="G6516">
        <v>-302.4819</v>
      </c>
      <c r="H6516">
        <v>1.0197830000000001</v>
      </c>
      <c r="I6516">
        <v>-7.8517570000000001</v>
      </c>
      <c r="J6516">
        <v>-302.56319999999999</v>
      </c>
      <c r="K6516">
        <v>1.106976</v>
      </c>
      <c r="L6516">
        <v>-7.2286679999999901</v>
      </c>
      <c r="M6516">
        <v>0.1190517</v>
      </c>
      <c r="N6516">
        <v>-1.22807E-2</v>
      </c>
      <c r="O6516">
        <v>-0.99281229999999998</v>
      </c>
      <c r="P6516">
        <v>0.1230378</v>
      </c>
      <c r="Q6516">
        <v>0.3633479</v>
      </c>
      <c r="R6516">
        <v>-0.92349369999999997</v>
      </c>
      <c r="S6516">
        <v>0.4140625</v>
      </c>
      <c r="T6516">
        <v>-0.33079560000000002</v>
      </c>
      <c r="U6516">
        <v>-3.3222960000000001</v>
      </c>
      <c r="V6516">
        <v>-1.041271E-2</v>
      </c>
      <c r="W6516">
        <v>0.37481490000000001</v>
      </c>
      <c r="X6516">
        <v>0.92704120000000001</v>
      </c>
      <c r="Y6516">
        <v>-4.1888869999999996E-3</v>
      </c>
      <c r="Z6516">
        <v>8.5514699999999999E-2</v>
      </c>
      <c r="AA6516">
        <v>0.99632810000000005</v>
      </c>
      <c r="AB6516">
        <v>26</v>
      </c>
      <c r="AC6516">
        <v>8.1299999999998804E-2</v>
      </c>
      <c r="AD6516">
        <v>-8.7193000000000007E-2</v>
      </c>
      <c r="AE6516">
        <v>-0.623089000000002</v>
      </c>
      <c r="AF6516">
        <v>-6.41285089687736E-3</v>
      </c>
      <c r="AG6516">
        <v>-8.7193000000000007E-2</v>
      </c>
      <c r="AH6516">
        <v>0.61646684660181195</v>
      </c>
      <c r="AI6516">
        <v>98.050077943416795</v>
      </c>
      <c r="AJ6516">
        <v>90.5960029160982</v>
      </c>
      <c r="AK6516">
        <v>0.62263562126239402</v>
      </c>
      <c r="AL6516">
        <v>67.987127243418598</v>
      </c>
      <c r="AM6516">
        <v>90.643530458561401</v>
      </c>
      <c r="AN6516">
        <v>1.0000000101444899</v>
      </c>
    </row>
    <row r="6517" spans="1:40" x14ac:dyDescent="0.25">
      <c r="A6517" t="str">
        <f>"20190304164251874"</f>
        <v>20190304164251874</v>
      </c>
      <c r="B6517" t="str">
        <f>"1551688971867192"</f>
        <v>1551688971867192</v>
      </c>
      <c r="C6517" t="s">
        <v>40</v>
      </c>
      <c r="D6517">
        <v>4.6919219999999999</v>
      </c>
      <c r="E6517">
        <v>0.50883149999999999</v>
      </c>
      <c r="F6517" t="s">
        <v>41</v>
      </c>
      <c r="G6517">
        <v>-302.45490000000001</v>
      </c>
      <c r="H6517">
        <v>1.0229629999999901</v>
      </c>
      <c r="I6517">
        <v>-8.0846769999999992</v>
      </c>
      <c r="J6517">
        <v>-302.53410000000002</v>
      </c>
      <c r="K6517">
        <v>1.107343</v>
      </c>
      <c r="L6517">
        <v>-7.4993899999999902</v>
      </c>
      <c r="M6517">
        <v>0.1161618</v>
      </c>
      <c r="N6517">
        <v>-1.2492390000000001E-2</v>
      </c>
      <c r="O6517">
        <v>-0.99315169999999997</v>
      </c>
      <c r="P6517">
        <v>0.1215512</v>
      </c>
      <c r="Q6517">
        <v>0.36332510000000001</v>
      </c>
      <c r="R6517">
        <v>-0.92369939999999995</v>
      </c>
      <c r="S6517">
        <v>0.42034909999999998</v>
      </c>
      <c r="T6517">
        <v>-0.32586910000000002</v>
      </c>
      <c r="U6517">
        <v>-3.3207399999999998</v>
      </c>
      <c r="V6517">
        <v>-1.164157E-2</v>
      </c>
      <c r="W6517">
        <v>0.37499389999999999</v>
      </c>
      <c r="X6517">
        <v>0.92695419999999995</v>
      </c>
      <c r="Y6517">
        <v>-9.0266749999999996E-3</v>
      </c>
      <c r="Z6517">
        <v>8.3943569999999995E-2</v>
      </c>
      <c r="AA6517">
        <v>0.99642960000000003</v>
      </c>
      <c r="AB6517">
        <v>26</v>
      </c>
      <c r="AC6517">
        <v>7.9200000000014301E-2</v>
      </c>
      <c r="AD6517">
        <v>-8.4380000000000094E-2</v>
      </c>
      <c r="AE6517">
        <v>-0.585287000000001</v>
      </c>
      <c r="AF6517">
        <v>-1.0457019724235799E-2</v>
      </c>
      <c r="AG6517">
        <v>-8.4380000000000094E-2</v>
      </c>
      <c r="AH6517">
        <v>0.578712881765166</v>
      </c>
      <c r="AI6517">
        <v>98.294294757347402</v>
      </c>
      <c r="AJ6517">
        <v>91.035190196097204</v>
      </c>
      <c r="AK6517">
        <v>0.584925579182905</v>
      </c>
      <c r="AL6517">
        <v>67.976064644153197</v>
      </c>
      <c r="AM6517">
        <v>90.719536911898203</v>
      </c>
      <c r="AN6517">
        <v>1.00000002004345</v>
      </c>
    </row>
    <row r="6518" spans="1:40" x14ac:dyDescent="0.25">
      <c r="A6518" t="str">
        <f>"20190304164251894"</f>
        <v>20190304164251894</v>
      </c>
      <c r="B6518" t="str">
        <f>"1551688971887689"</f>
        <v>1551688971887689</v>
      </c>
      <c r="C6518" t="s">
        <v>40</v>
      </c>
      <c r="D6518">
        <v>4.6837</v>
      </c>
      <c r="E6518">
        <v>0.50865439999999995</v>
      </c>
      <c r="F6518" t="s">
        <v>41</v>
      </c>
      <c r="G6518">
        <v>-302.42989999999998</v>
      </c>
      <c r="H6518">
        <v>1.0268550000000001</v>
      </c>
      <c r="I6518">
        <v>-8.3187320000000007</v>
      </c>
      <c r="J6518">
        <v>-302.50819999999999</v>
      </c>
      <c r="K6518">
        <v>1.1076239999999999</v>
      </c>
      <c r="L6518">
        <v>-7.7463069999999998</v>
      </c>
      <c r="M6518">
        <v>0.1135485</v>
      </c>
      <c r="N6518">
        <v>-1.266337E-2</v>
      </c>
      <c r="O6518">
        <v>-0.9934518</v>
      </c>
      <c r="P6518">
        <v>0.1194674</v>
      </c>
      <c r="Q6518">
        <v>0.3630873</v>
      </c>
      <c r="R6518">
        <v>-0.92406449999999996</v>
      </c>
      <c r="S6518">
        <v>0.42248540000000001</v>
      </c>
      <c r="T6518">
        <v>-0.32608510000000002</v>
      </c>
      <c r="U6518">
        <v>-3.320465</v>
      </c>
      <c r="V6518">
        <v>-1.199778E-2</v>
      </c>
      <c r="W6518">
        <v>0.374917</v>
      </c>
      <c r="X6518">
        <v>0.92698069999999999</v>
      </c>
      <c r="Y6518">
        <v>-1.2296710000000001E-2</v>
      </c>
      <c r="Z6518">
        <v>8.3882289999999998E-2</v>
      </c>
      <c r="AA6518">
        <v>0.99639979999999995</v>
      </c>
      <c r="AB6518">
        <v>26</v>
      </c>
      <c r="AC6518">
        <v>7.8300000000012901E-2</v>
      </c>
      <c r="AD6518">
        <v>-8.0768999999999994E-2</v>
      </c>
      <c r="AE6518">
        <v>-0.57242499999999996</v>
      </c>
      <c r="AF6518">
        <v>-1.2545125605709801E-2</v>
      </c>
      <c r="AG6518">
        <v>-8.0768999999999994E-2</v>
      </c>
      <c r="AH6518">
        <v>0.56654159764760803</v>
      </c>
      <c r="AI6518">
        <v>98.111735631336799</v>
      </c>
      <c r="AJ6518">
        <v>91.268512865616202</v>
      </c>
      <c r="AK6518">
        <v>0.57240754135717598</v>
      </c>
      <c r="AL6518">
        <v>67.980816069439697</v>
      </c>
      <c r="AM6518">
        <v>90.741529760311195</v>
      </c>
      <c r="AN6518">
        <v>0.99999996089320797</v>
      </c>
    </row>
    <row r="6519" spans="1:40" x14ac:dyDescent="0.25">
      <c r="A6519" t="str">
        <f>"20190304164251916"</f>
        <v>20190304164251916</v>
      </c>
      <c r="B6519" t="str">
        <f>"1551688971907209"</f>
        <v>1551688971907209</v>
      </c>
      <c r="C6519" t="s">
        <v>40</v>
      </c>
      <c r="D6519">
        <v>4.6953050000000003</v>
      </c>
      <c r="E6519">
        <v>0.50858879999999995</v>
      </c>
      <c r="F6519" t="s">
        <v>41</v>
      </c>
      <c r="G6519">
        <v>-302.4067</v>
      </c>
      <c r="H6519">
        <v>1.028017</v>
      </c>
      <c r="I6519">
        <v>-8.5509959999999996</v>
      </c>
      <c r="J6519">
        <v>-302.48259999999999</v>
      </c>
      <c r="K6519">
        <v>1.1078669999999999</v>
      </c>
      <c r="L6519">
        <v>-7.9967649999999901</v>
      </c>
      <c r="M6519">
        <v>0.1109155</v>
      </c>
      <c r="N6519">
        <v>-1.2817449999999999E-2</v>
      </c>
      <c r="O6519">
        <v>-0.99374720000000005</v>
      </c>
      <c r="P6519">
        <v>0.1172757</v>
      </c>
      <c r="Q6519">
        <v>0.3623864</v>
      </c>
      <c r="R6519">
        <v>-0.9246202</v>
      </c>
      <c r="S6519">
        <v>0.41983029999999999</v>
      </c>
      <c r="T6519">
        <v>-0.3283547</v>
      </c>
      <c r="U6519">
        <v>-3.3212589999999902</v>
      </c>
      <c r="V6519">
        <v>-1.2243850000000001E-2</v>
      </c>
      <c r="W6519">
        <v>0.37436259999999999</v>
      </c>
      <c r="X6519">
        <v>0.92720159999999996</v>
      </c>
      <c r="Y6519">
        <v>-1.4125520000000001E-2</v>
      </c>
      <c r="Z6519">
        <v>8.4416779999999997E-2</v>
      </c>
      <c r="AA6519">
        <v>0.99633039999999995</v>
      </c>
      <c r="AB6519">
        <v>26</v>
      </c>
      <c r="AC6519">
        <v>7.5899999999990003E-2</v>
      </c>
      <c r="AD6519">
        <v>-7.9849999999999893E-2</v>
      </c>
      <c r="AE6519">
        <v>-0.55423100000000203</v>
      </c>
      <c r="AF6519">
        <v>-1.36751187641443E-2</v>
      </c>
      <c r="AG6519">
        <v>-7.9849999999999893E-2</v>
      </c>
      <c r="AH6519">
        <v>0.54806310608437703</v>
      </c>
      <c r="AI6519">
        <v>98.286834993929304</v>
      </c>
      <c r="AJ6519">
        <v>91.429331835455301</v>
      </c>
      <c r="AK6519">
        <v>0.55401823040769005</v>
      </c>
      <c r="AL6519">
        <v>68.015077760679503</v>
      </c>
      <c r="AM6519">
        <v>90.756556241954598</v>
      </c>
      <c r="AN6519">
        <v>1.0000000375920699</v>
      </c>
    </row>
    <row r="6520" spans="1:40" x14ac:dyDescent="0.25">
      <c r="A6520" t="str">
        <f>"20190304164251939"</f>
        <v>20190304164251939</v>
      </c>
      <c r="B6520" t="str">
        <f>"1551688971927704"</f>
        <v>1551688971927704</v>
      </c>
      <c r="C6520" t="s">
        <v>40</v>
      </c>
      <c r="D6520">
        <v>4.6924939999999999</v>
      </c>
      <c r="E6520">
        <v>0.50839429999999997</v>
      </c>
      <c r="F6520" t="s">
        <v>41</v>
      </c>
      <c r="G6520">
        <v>-302.38479999999998</v>
      </c>
      <c r="H6520">
        <v>1.0293509999999999</v>
      </c>
      <c r="I6520">
        <v>-8.7831259999999993</v>
      </c>
      <c r="J6520">
        <v>-302.45690000000002</v>
      </c>
      <c r="K6520">
        <v>1.108077</v>
      </c>
      <c r="L6520">
        <v>-8.2548220000000008</v>
      </c>
      <c r="M6520">
        <v>0.10821450000000001</v>
      </c>
      <c r="N6520">
        <v>-1.2958290000000001E-2</v>
      </c>
      <c r="O6520">
        <v>-0.99404340000000002</v>
      </c>
      <c r="P6520">
        <v>0.1148223</v>
      </c>
      <c r="Q6520">
        <v>0.36273159999999999</v>
      </c>
      <c r="R6520">
        <v>-0.92479310000000003</v>
      </c>
      <c r="S6520">
        <v>0.41354370000000001</v>
      </c>
      <c r="T6520">
        <v>-0.33166580000000001</v>
      </c>
      <c r="U6520">
        <v>-3.3221129999999999</v>
      </c>
      <c r="V6520">
        <v>-1.2327960000000001E-2</v>
      </c>
      <c r="W6520">
        <v>0.37483699999999998</v>
      </c>
      <c r="X6520">
        <v>0.92700870000000002</v>
      </c>
      <c r="Y6520">
        <v>-1.494476E-2</v>
      </c>
      <c r="Z6520">
        <v>8.5274550000000005E-2</v>
      </c>
      <c r="AA6520">
        <v>0.99624539999999995</v>
      </c>
      <c r="AB6520">
        <v>26</v>
      </c>
      <c r="AC6520">
        <v>7.21000000000344E-2</v>
      </c>
      <c r="AD6520">
        <v>-7.8725999999999796E-2</v>
      </c>
      <c r="AE6520">
        <v>-0.528303999999998</v>
      </c>
      <c r="AF6520">
        <v>-1.4192201041898601E-2</v>
      </c>
      <c r="AG6520">
        <v>-7.8725999999999796E-2</v>
      </c>
      <c r="AH6520">
        <v>0.52163244314748003</v>
      </c>
      <c r="AI6520">
        <v>98.579315602050002</v>
      </c>
      <c r="AJ6520">
        <v>91.558477965914093</v>
      </c>
      <c r="AK6520">
        <v>0.52773062009932903</v>
      </c>
      <c r="AL6520">
        <v>67.985759866003804</v>
      </c>
      <c r="AM6520">
        <v>90.761911342085199</v>
      </c>
      <c r="AN6520">
        <v>0.99999994252122404</v>
      </c>
    </row>
    <row r="6521" spans="1:40" x14ac:dyDescent="0.25">
      <c r="A6521" t="str">
        <f>"20190304164251962"</f>
        <v>20190304164251962</v>
      </c>
      <c r="B6521" t="str">
        <f>"1551688971957960"</f>
        <v>1551688971957960</v>
      </c>
      <c r="C6521" t="s">
        <v>40</v>
      </c>
      <c r="D6521">
        <v>4.7209149999999998</v>
      </c>
      <c r="E6521">
        <v>0.50820600000000005</v>
      </c>
      <c r="F6521" t="s">
        <v>41</v>
      </c>
      <c r="G6521">
        <v>-302.36380000000003</v>
      </c>
      <c r="H6521">
        <v>1.0325740000000001</v>
      </c>
      <c r="I6521">
        <v>-9.016534</v>
      </c>
      <c r="J6521">
        <v>-302.43099999999998</v>
      </c>
      <c r="K6521">
        <v>1.108257</v>
      </c>
      <c r="L6521">
        <v>-8.5222470000000001</v>
      </c>
      <c r="M6521">
        <v>0.1054221</v>
      </c>
      <c r="N6521">
        <v>-1.308727E-2</v>
      </c>
      <c r="O6521">
        <v>-0.99434160000000005</v>
      </c>
      <c r="P6521">
        <v>0.113009</v>
      </c>
      <c r="Q6521">
        <v>0.36325390000000002</v>
      </c>
      <c r="R6521">
        <v>-0.92481120000000006</v>
      </c>
      <c r="S6521">
        <v>0.40661619999999998</v>
      </c>
      <c r="T6521">
        <v>-0.3292001</v>
      </c>
      <c r="U6521">
        <v>-3.3226010000000001</v>
      </c>
      <c r="V6521">
        <v>-1.3143800000000001E-2</v>
      </c>
      <c r="W6521">
        <v>0.37547920000000001</v>
      </c>
      <c r="X6521">
        <v>0.92673760000000005</v>
      </c>
      <c r="Y6521">
        <v>-1.5697079999999999E-2</v>
      </c>
      <c r="Z6521">
        <v>8.4461670000000003E-2</v>
      </c>
      <c r="AA6521">
        <v>0.9963031</v>
      </c>
      <c r="AB6521">
        <v>26</v>
      </c>
      <c r="AC6521">
        <v>6.7199999999957002E-2</v>
      </c>
      <c r="AD6521">
        <v>-7.5683000000000097E-2</v>
      </c>
      <c r="AE6521">
        <v>-0.49428699999999898</v>
      </c>
      <c r="AF6521">
        <v>-1.43812003889221E-2</v>
      </c>
      <c r="AG6521">
        <v>-7.5683000000000097E-2</v>
      </c>
      <c r="AH6521">
        <v>0.487397760598341</v>
      </c>
      <c r="AI6521">
        <v>98.822605251518496</v>
      </c>
      <c r="AJ6521">
        <v>91.690083861543499</v>
      </c>
      <c r="AK6521">
        <v>0.49344838884112702</v>
      </c>
      <c r="AL6521">
        <v>67.946066218600393</v>
      </c>
      <c r="AM6521">
        <v>90.812564179541994</v>
      </c>
      <c r="AN6521">
        <v>0.99999998418241998</v>
      </c>
    </row>
    <row r="6522" spans="1:40" x14ac:dyDescent="0.25">
      <c r="A6522" t="str">
        <f>"20190304164251987"</f>
        <v>20190304164251987</v>
      </c>
      <c r="B6522" t="str">
        <f>"1551688971977481"</f>
        <v>1551688971977481</v>
      </c>
      <c r="C6522" t="s">
        <v>40</v>
      </c>
      <c r="D6522">
        <v>4.7246889999999997</v>
      </c>
      <c r="E6522">
        <v>0.50800500000000004</v>
      </c>
      <c r="F6522" t="s">
        <v>41</v>
      </c>
      <c r="G6522">
        <v>-302.34269999999998</v>
      </c>
      <c r="H6522">
        <v>1.035873</v>
      </c>
      <c r="I6522">
        <v>-9.2570370000000004</v>
      </c>
      <c r="J6522">
        <v>-302.40530000000001</v>
      </c>
      <c r="K6522">
        <v>1.1083889999999901</v>
      </c>
      <c r="L6522">
        <v>-8.7963559999999994</v>
      </c>
      <c r="M6522">
        <v>0.1025476</v>
      </c>
      <c r="N6522">
        <v>-1.320166E-2</v>
      </c>
      <c r="O6522">
        <v>-0.99464050000000004</v>
      </c>
      <c r="P6522">
        <v>0.1120319</v>
      </c>
      <c r="Q6522">
        <v>0.36333330000000003</v>
      </c>
      <c r="R6522">
        <v>-0.92489889999999997</v>
      </c>
      <c r="S6522">
        <v>0.39959719999999999</v>
      </c>
      <c r="T6522">
        <v>-0.327297</v>
      </c>
      <c r="U6522">
        <v>-3.323639</v>
      </c>
      <c r="V6522">
        <v>-1.4852249999999999E-2</v>
      </c>
      <c r="W6522">
        <v>0.37567139999999999</v>
      </c>
      <c r="X6522">
        <v>0.92663390000000001</v>
      </c>
      <c r="Y6522">
        <v>-1.648202E-2</v>
      </c>
      <c r="Z6522">
        <v>8.3811750000000004E-2</v>
      </c>
      <c r="AA6522">
        <v>0.99634529999999999</v>
      </c>
      <c r="AB6522">
        <v>26</v>
      </c>
      <c r="AC6522">
        <v>6.26000000000317E-2</v>
      </c>
      <c r="AD6522">
        <v>-7.2515999999999803E-2</v>
      </c>
      <c r="AE6522">
        <v>-0.46068100000000101</v>
      </c>
      <c r="AF6522">
        <v>-1.46672370045601E-2</v>
      </c>
      <c r="AG6522">
        <v>-7.2515999999999803E-2</v>
      </c>
      <c r="AH6522">
        <v>0.45363553393572498</v>
      </c>
      <c r="AI6522">
        <v>99.077522979217903</v>
      </c>
      <c r="AJ6522">
        <v>91.851879001933099</v>
      </c>
      <c r="AK6522">
        <v>0.45962908496579902</v>
      </c>
      <c r="AL6522">
        <v>67.934184176175094</v>
      </c>
      <c r="AM6522">
        <v>90.918268131916804</v>
      </c>
      <c r="AN6522">
        <v>0.99999998736861595</v>
      </c>
    </row>
    <row r="6523" spans="1:40" x14ac:dyDescent="0.25">
      <c r="A6523" t="str">
        <f>"20190304164252006"</f>
        <v>20190304164252006</v>
      </c>
      <c r="B6523" t="str">
        <f>"1551688971997977"</f>
        <v>1551688971997977</v>
      </c>
      <c r="C6523" t="s">
        <v>40</v>
      </c>
      <c r="D6523">
        <v>4.7298720000000003</v>
      </c>
      <c r="E6523">
        <v>0.50784039999999997</v>
      </c>
      <c r="F6523" t="s">
        <v>41</v>
      </c>
      <c r="G6523">
        <v>-302.29829999999998</v>
      </c>
      <c r="H6523">
        <v>1.0195449999999999</v>
      </c>
      <c r="I6523">
        <v>-9.6978279999999994</v>
      </c>
      <c r="J6523">
        <v>-302.38339999999999</v>
      </c>
      <c r="K6523">
        <v>1.1084719999999999</v>
      </c>
      <c r="L6523">
        <v>-9.0364380000000004</v>
      </c>
      <c r="M6523">
        <v>0.1000033</v>
      </c>
      <c r="N6523">
        <v>-1.329075E-2</v>
      </c>
      <c r="O6523">
        <v>-0.99489850000000002</v>
      </c>
      <c r="P6523">
        <v>0.1111606</v>
      </c>
      <c r="Q6523">
        <v>0.3627359</v>
      </c>
      <c r="R6523">
        <v>-0.92523869999999997</v>
      </c>
      <c r="S6523">
        <v>0.39514159999999998</v>
      </c>
      <c r="T6523">
        <v>-0.32754680000000003</v>
      </c>
      <c r="U6523">
        <v>-3.3244020000000001</v>
      </c>
      <c r="V6523">
        <v>-1.6323219999999999E-2</v>
      </c>
      <c r="W6523">
        <v>0.37516719999999998</v>
      </c>
      <c r="X6523">
        <v>0.92681340000000001</v>
      </c>
      <c r="Y6523">
        <v>-1.769459E-2</v>
      </c>
      <c r="Z6523">
        <v>8.3816390000000005E-2</v>
      </c>
      <c r="AA6523">
        <v>0.99632410000000005</v>
      </c>
      <c r="AB6523">
        <v>26</v>
      </c>
      <c r="AC6523">
        <v>8.5100000000011194E-2</v>
      </c>
      <c r="AD6523">
        <v>-8.8926999999999701E-2</v>
      </c>
      <c r="AE6523">
        <v>-0.66138999999999903</v>
      </c>
      <c r="AF6523">
        <v>-1.8202604312485E-2</v>
      </c>
      <c r="AG6523">
        <v>-8.8926999999999701E-2</v>
      </c>
      <c r="AH6523">
        <v>0.65493778208721898</v>
      </c>
      <c r="AI6523">
        <v>97.729346623371697</v>
      </c>
      <c r="AJ6523">
        <v>91.592004646173507</v>
      </c>
      <c r="AK6523">
        <v>0.661198037306586</v>
      </c>
      <c r="AL6523">
        <v>67.965352272861693</v>
      </c>
      <c r="AM6523">
        <v>91.009000226281699</v>
      </c>
      <c r="AN6523">
        <v>0.99999997694328402</v>
      </c>
    </row>
    <row r="6524" spans="1:40" x14ac:dyDescent="0.25">
      <c r="A6524" t="str">
        <f>"20190304164252028"</f>
        <v>20190304164252028</v>
      </c>
      <c r="B6524" t="str">
        <f>"1551688972017498"</f>
        <v>1551688972017498</v>
      </c>
      <c r="C6524" t="s">
        <v>40</v>
      </c>
      <c r="D6524">
        <v>4.7207030000000003</v>
      </c>
      <c r="E6524">
        <v>0.50755640000000002</v>
      </c>
      <c r="F6524" t="s">
        <v>41</v>
      </c>
      <c r="G6524">
        <v>-302.27859999999998</v>
      </c>
      <c r="H6524">
        <v>1.0198309999999999</v>
      </c>
      <c r="I6524">
        <v>-9.9277680000000004</v>
      </c>
      <c r="J6524">
        <v>-302.36180000000002</v>
      </c>
      <c r="K6524">
        <v>1.108541</v>
      </c>
      <c r="L6524">
        <v>-9.2810670000000002</v>
      </c>
      <c r="M6524">
        <v>9.7376829999999998E-2</v>
      </c>
      <c r="N6524">
        <v>-1.3371600000000001E-2</v>
      </c>
      <c r="O6524">
        <v>-0.99515779999999998</v>
      </c>
      <c r="P6524">
        <v>0.11053399999999999</v>
      </c>
      <c r="Q6524">
        <v>0.36258879999999999</v>
      </c>
      <c r="R6524">
        <v>-0.92537130000000001</v>
      </c>
      <c r="S6524">
        <v>0.39151000000000002</v>
      </c>
      <c r="T6524">
        <v>-0.3305111</v>
      </c>
      <c r="U6524">
        <v>-3.324951</v>
      </c>
      <c r="V6524">
        <v>-1.8125470000000001E-2</v>
      </c>
      <c r="W6524">
        <v>0.37510480000000002</v>
      </c>
      <c r="X6524">
        <v>0.9268052</v>
      </c>
      <c r="Y6524">
        <v>-1.92318E-2</v>
      </c>
      <c r="Z6524">
        <v>8.4630910000000004E-2</v>
      </c>
      <c r="AA6524">
        <v>0.99622670000000002</v>
      </c>
      <c r="AB6524">
        <v>26</v>
      </c>
      <c r="AC6524">
        <v>8.32000000000334E-2</v>
      </c>
      <c r="AD6524">
        <v>-8.8709999999999997E-2</v>
      </c>
      <c r="AE6524">
        <v>-0.64670099999999797</v>
      </c>
      <c r="AF6524">
        <v>-1.94649097945233E-2</v>
      </c>
      <c r="AG6524">
        <v>-8.8709999999999997E-2</v>
      </c>
      <c r="AH6524">
        <v>0.63988519685396805</v>
      </c>
      <c r="AI6524">
        <v>97.889244917084895</v>
      </c>
      <c r="AJ6524">
        <v>91.742364691893201</v>
      </c>
      <c r="AK6524">
        <v>0.64629823763193905</v>
      </c>
      <c r="AL6524">
        <v>67.969209996115893</v>
      </c>
      <c r="AM6524">
        <v>91.120387069209301</v>
      </c>
      <c r="AN6524">
        <v>1.0000000111964</v>
      </c>
    </row>
    <row r="6525" spans="1:40" x14ac:dyDescent="0.25">
      <c r="A6525" t="str">
        <f>"20190304164252050"</f>
        <v>20190304164252050</v>
      </c>
      <c r="B6525" t="str">
        <f>"1551688972037993"</f>
        <v>1551688972037993</v>
      </c>
      <c r="C6525" t="s">
        <v>40</v>
      </c>
      <c r="D6525">
        <v>4.7121360000000001</v>
      </c>
      <c r="E6525">
        <v>0.5073609</v>
      </c>
      <c r="F6525" t="s">
        <v>41</v>
      </c>
      <c r="G6525">
        <v>-302.25889999999998</v>
      </c>
      <c r="H6525">
        <v>1.021196</v>
      </c>
      <c r="I6525">
        <v>-10.15818</v>
      </c>
      <c r="J6525">
        <v>-302.33969999999999</v>
      </c>
      <c r="K6525">
        <v>1.1085849999999999</v>
      </c>
      <c r="L6525">
        <v>-9.5404660000000003</v>
      </c>
      <c r="M6525">
        <v>9.4531249999999997E-2</v>
      </c>
      <c r="N6525">
        <v>-1.344765E-2</v>
      </c>
      <c r="O6525">
        <v>-0.99543110000000001</v>
      </c>
      <c r="P6525">
        <v>0.1106234</v>
      </c>
      <c r="Q6525">
        <v>0.36324020000000001</v>
      </c>
      <c r="R6525">
        <v>-0.92510499999999996</v>
      </c>
      <c r="S6525">
        <v>0.39004519999999998</v>
      </c>
      <c r="T6525">
        <v>-0.3310902</v>
      </c>
      <c r="U6525">
        <v>-3.3250730000000002</v>
      </c>
      <c r="V6525">
        <v>-2.086665E-2</v>
      </c>
      <c r="W6525">
        <v>0.37583759999999999</v>
      </c>
      <c r="X6525">
        <v>0.92645060000000001</v>
      </c>
      <c r="Y6525">
        <v>-2.1649890000000001E-2</v>
      </c>
      <c r="Z6525">
        <v>8.4760000000000002E-2</v>
      </c>
      <c r="AA6525">
        <v>0.9961662</v>
      </c>
      <c r="AB6525">
        <v>26</v>
      </c>
      <c r="AC6525">
        <v>8.0800000000010599E-2</v>
      </c>
      <c r="AD6525">
        <v>-8.7388999999999897E-2</v>
      </c>
      <c r="AE6525">
        <v>-0.61771399999999899</v>
      </c>
      <c r="AF6525">
        <v>-2.16142335245448E-2</v>
      </c>
      <c r="AG6525">
        <v>-8.7388999999999897E-2</v>
      </c>
      <c r="AH6525">
        <v>0.61057158028662495</v>
      </c>
      <c r="AI6525">
        <v>98.140198118840104</v>
      </c>
      <c r="AJ6525">
        <v>92.027423942905301</v>
      </c>
      <c r="AK6525">
        <v>0.61717231553720897</v>
      </c>
      <c r="AL6525">
        <v>67.923909292422806</v>
      </c>
      <c r="AM6525">
        <v>91.290267252100193</v>
      </c>
      <c r="AN6525">
        <v>1.0000000164481699</v>
      </c>
    </row>
    <row r="6526" spans="1:40" x14ac:dyDescent="0.25">
      <c r="A6526" t="str">
        <f>"20190304164252074"</f>
        <v>20190304164252074</v>
      </c>
      <c r="B6526" t="str">
        <f>"1551688972067272"</f>
        <v>1551688972067272</v>
      </c>
      <c r="C6526" t="s">
        <v>40</v>
      </c>
      <c r="D6526">
        <v>4.7481679999999997</v>
      </c>
      <c r="E6526">
        <v>0.50541670000000005</v>
      </c>
      <c r="F6526" t="s">
        <v>41</v>
      </c>
      <c r="G6526">
        <v>-302.2405</v>
      </c>
      <c r="H6526">
        <v>1.024459</v>
      </c>
      <c r="I6526">
        <v>-10.390420000000001</v>
      </c>
      <c r="J6526">
        <v>-302.31790000000001</v>
      </c>
      <c r="K6526">
        <v>1.108603</v>
      </c>
      <c r="L6526">
        <v>-9.8053279999999994</v>
      </c>
      <c r="M6526">
        <v>9.153762E-2</v>
      </c>
      <c r="N6526">
        <v>-1.351666E-2</v>
      </c>
      <c r="O6526">
        <v>-0.99571010000000004</v>
      </c>
      <c r="P6526">
        <v>0.110983</v>
      </c>
      <c r="Q6526">
        <v>0.36457889999999998</v>
      </c>
      <c r="R6526">
        <v>-0.92453529999999995</v>
      </c>
      <c r="S6526">
        <v>0.38864140000000003</v>
      </c>
      <c r="T6526">
        <v>-0.32889849999999998</v>
      </c>
      <c r="U6526">
        <v>-3.3255309999999998</v>
      </c>
      <c r="V6526">
        <v>-2.4022180000000001E-2</v>
      </c>
      <c r="W6526">
        <v>0.37725029999999998</v>
      </c>
      <c r="X6526">
        <v>0.9257997</v>
      </c>
      <c r="Y6526">
        <v>-2.423024E-2</v>
      </c>
      <c r="Z6526">
        <v>8.4072419999999995E-2</v>
      </c>
      <c r="AA6526">
        <v>0.99616499999999997</v>
      </c>
      <c r="AB6526">
        <v>26</v>
      </c>
      <c r="AC6526">
        <v>7.7400000000011404E-2</v>
      </c>
      <c r="AD6526">
        <v>-8.4143999999999997E-2</v>
      </c>
      <c r="AE6526">
        <v>-0.58509199999999895</v>
      </c>
      <c r="AF6526">
        <v>-2.30437749373382E-2</v>
      </c>
      <c r="AG6526">
        <v>-8.4143999999999997E-2</v>
      </c>
      <c r="AH6526">
        <v>0.57797258173288801</v>
      </c>
      <c r="AI6526">
        <v>98.276714308847005</v>
      </c>
      <c r="AJ6526">
        <v>92.283174253278304</v>
      </c>
      <c r="AK6526">
        <v>0.58451991714084695</v>
      </c>
      <c r="AL6526">
        <v>67.836535709596504</v>
      </c>
      <c r="AM6526">
        <v>91.486348248892696</v>
      </c>
      <c r="AN6526">
        <v>0.99999996925106505</v>
      </c>
    </row>
    <row r="6527" spans="1:40" x14ac:dyDescent="0.25">
      <c r="A6527" t="str">
        <f>"20190304164252095"</f>
        <v>20190304164252095</v>
      </c>
      <c r="B6527" t="str">
        <f>"1551688972087769"</f>
        <v>1551688972087769</v>
      </c>
      <c r="C6527" t="s">
        <v>40</v>
      </c>
      <c r="D6527">
        <v>4.6860350000000004</v>
      </c>
      <c r="E6527">
        <v>0.4150568</v>
      </c>
      <c r="F6527" t="s">
        <v>41</v>
      </c>
      <c r="G6527">
        <v>-302.21839999999997</v>
      </c>
      <c r="H6527">
        <v>1.0290220000000001</v>
      </c>
      <c r="I6527">
        <v>-10.628080000000001</v>
      </c>
      <c r="J6527">
        <v>-302.29849999999999</v>
      </c>
      <c r="K6527">
        <v>1.108592</v>
      </c>
      <c r="L6527">
        <v>-10.051030000000001</v>
      </c>
      <c r="M6527">
        <v>8.8660230000000007E-2</v>
      </c>
      <c r="N6527">
        <v>-1.357395E-2</v>
      </c>
      <c r="O6527">
        <v>-0.99596949999999995</v>
      </c>
      <c r="P6527">
        <v>0.1114363</v>
      </c>
      <c r="Q6527">
        <v>0.36498819999999998</v>
      </c>
      <c r="R6527">
        <v>-0.92431929999999995</v>
      </c>
      <c r="S6527">
        <v>0.40219120000000003</v>
      </c>
      <c r="T6527">
        <v>-0.32134889999999999</v>
      </c>
      <c r="U6527">
        <v>-3.3233030000000001</v>
      </c>
      <c r="V6527">
        <v>-2.7121530000000001E-2</v>
      </c>
      <c r="W6527">
        <v>0.37772850000000002</v>
      </c>
      <c r="X6527">
        <v>0.92551910000000004</v>
      </c>
      <c r="Y6527">
        <v>-3.1217330000000001E-2</v>
      </c>
      <c r="Z6527">
        <v>8.1864889999999996E-2</v>
      </c>
      <c r="AA6527">
        <v>0.9961544</v>
      </c>
      <c r="AB6527">
        <v>26</v>
      </c>
      <c r="AC6527">
        <v>8.0100000000015797E-2</v>
      </c>
      <c r="AD6527">
        <v>-7.9570000000000099E-2</v>
      </c>
      <c r="AE6527">
        <v>-0.57704999999999895</v>
      </c>
      <c r="AF6527">
        <v>-2.8094320684590401E-2</v>
      </c>
      <c r="AG6527">
        <v>-7.9570000000000099E-2</v>
      </c>
      <c r="AH6527">
        <v>0.57122356928070495</v>
      </c>
      <c r="AI6527">
        <v>97.920676259348099</v>
      </c>
      <c r="AJ6527">
        <v>92.815692593930606</v>
      </c>
      <c r="AK6527">
        <v>0.57742275834653101</v>
      </c>
      <c r="AL6527">
        <v>67.806948507348807</v>
      </c>
      <c r="AM6527">
        <v>91.678522489046699</v>
      </c>
      <c r="AN6527">
        <v>1.0000000007833001</v>
      </c>
    </row>
    <row r="6528" spans="1:40" x14ac:dyDescent="0.25">
      <c r="A6528" t="str">
        <f>"20190304164252118"</f>
        <v>20190304164252118</v>
      </c>
      <c r="B6528" t="str">
        <f>"1551688972107289"</f>
        <v>1551688972107289</v>
      </c>
      <c r="C6528" t="s">
        <v>40</v>
      </c>
      <c r="D6528">
        <v>4.6708660000000002</v>
      </c>
      <c r="E6528">
        <v>0.39896330000000002</v>
      </c>
      <c r="F6528" t="s">
        <v>42</v>
      </c>
      <c r="G6528">
        <v>-295.46390000000002</v>
      </c>
      <c r="H6528" s="1">
        <v>-1.4300930000000001E-6</v>
      </c>
      <c r="I6528">
        <v>-29.696210000000001</v>
      </c>
      <c r="J6528">
        <v>-302.2792</v>
      </c>
      <c r="K6528">
        <v>1.108557</v>
      </c>
      <c r="L6528">
        <v>-10.30682</v>
      </c>
      <c r="M6528">
        <v>8.5548860000000004E-2</v>
      </c>
      <c r="N6528">
        <v>-1.362757E-2</v>
      </c>
      <c r="O6528">
        <v>-0.99624089999999998</v>
      </c>
      <c r="P6528">
        <v>0.1108219</v>
      </c>
      <c r="Q6528">
        <v>0.36508459999999998</v>
      </c>
      <c r="R6528">
        <v>-0.92435489999999998</v>
      </c>
      <c r="S6528">
        <v>1.107391</v>
      </c>
      <c r="T6528">
        <v>-0.1796218</v>
      </c>
      <c r="U6528">
        <v>-3.1830440000000002</v>
      </c>
      <c r="V6528">
        <v>-2.9339210000000001E-2</v>
      </c>
      <c r="W6528">
        <v>0.37789050000000002</v>
      </c>
      <c r="X6528">
        <v>0.92538529999999997</v>
      </c>
      <c r="Y6528">
        <v>-0.24620069999999999</v>
      </c>
      <c r="Z6528">
        <v>4.0179409999999999E-2</v>
      </c>
      <c r="AA6528">
        <v>0.96838570000000002</v>
      </c>
      <c r="AB6528">
        <v>26</v>
      </c>
      <c r="AC6528">
        <v>6.8152999999999704</v>
      </c>
      <c r="AD6528">
        <v>-1.108558430093</v>
      </c>
      <c r="AE6528">
        <v>-19.389389999999999</v>
      </c>
      <c r="AF6528">
        <v>-5.1165304583933198</v>
      </c>
      <c r="AG6528">
        <v>-1.108558430093</v>
      </c>
      <c r="AH6528">
        <v>19.8436578185534</v>
      </c>
      <c r="AI6528">
        <v>93.096417581602793</v>
      </c>
      <c r="AJ6528">
        <v>104.458345792106</v>
      </c>
      <c r="AK6528">
        <v>20.522634853849301</v>
      </c>
      <c r="AL6528">
        <v>67.796923239161103</v>
      </c>
      <c r="AM6528">
        <v>91.815946283575798</v>
      </c>
      <c r="AN6528">
        <v>0.99999998634488196</v>
      </c>
    </row>
    <row r="6529" spans="1:40" x14ac:dyDescent="0.25">
      <c r="A6529" t="str">
        <f>"20190304164252140"</f>
        <v>20190304164252140</v>
      </c>
      <c r="B6529" t="str">
        <f>"1551688972127785"</f>
        <v>1551688972127785</v>
      </c>
      <c r="C6529" t="s">
        <v>40</v>
      </c>
      <c r="D6529">
        <v>4.6676869999999999</v>
      </c>
      <c r="E6529">
        <v>0.39338319999999999</v>
      </c>
      <c r="F6529" t="s">
        <v>42</v>
      </c>
      <c r="G6529">
        <v>-294.59300000000002</v>
      </c>
      <c r="H6529" s="1">
        <v>-1.54095E-6</v>
      </c>
      <c r="I6529">
        <v>-30.051349999999999</v>
      </c>
      <c r="J6529">
        <v>-302.26100000000002</v>
      </c>
      <c r="K6529">
        <v>1.1085149999999999</v>
      </c>
      <c r="L6529">
        <v>-10.56128</v>
      </c>
      <c r="M6529">
        <v>8.2330189999999998E-2</v>
      </c>
      <c r="N6529">
        <v>-1.367527E-2</v>
      </c>
      <c r="O6529">
        <v>-0.99651149999999999</v>
      </c>
      <c r="P6529">
        <v>0.1101591</v>
      </c>
      <c r="Q6529">
        <v>0.36522690000000002</v>
      </c>
      <c r="R6529">
        <v>-0.92437800000000003</v>
      </c>
      <c r="S6529">
        <v>1.233215</v>
      </c>
      <c r="T6529">
        <v>-0.17786250000000001</v>
      </c>
      <c r="U6529">
        <v>-3.1679080000000002</v>
      </c>
      <c r="V6529">
        <v>-3.1603020000000002E-2</v>
      </c>
      <c r="W6529">
        <v>0.37809399999999999</v>
      </c>
      <c r="X6529">
        <v>0.92522760000000004</v>
      </c>
      <c r="Y6529">
        <v>-0.28440270000000001</v>
      </c>
      <c r="Z6529">
        <v>3.9245700000000001E-2</v>
      </c>
      <c r="AA6529">
        <v>0.95790129999999996</v>
      </c>
      <c r="AB6529">
        <v>26</v>
      </c>
      <c r="AC6529">
        <v>7.6679999999999398</v>
      </c>
      <c r="AD6529">
        <v>-1.10851654095</v>
      </c>
      <c r="AE6529">
        <v>-19.490069999999999</v>
      </c>
      <c r="AF6529">
        <v>-6.0203276468516496</v>
      </c>
      <c r="AG6529">
        <v>-1.10851654095</v>
      </c>
      <c r="AH6529">
        <v>19.999234436210902</v>
      </c>
      <c r="AI6529">
        <v>93.038140432096498</v>
      </c>
      <c r="AJ6529">
        <v>106.75326070371899</v>
      </c>
      <c r="AK6529">
        <v>20.915126868645299</v>
      </c>
      <c r="AL6529">
        <v>67.784328743852598</v>
      </c>
      <c r="AM6529">
        <v>91.956292665940296</v>
      </c>
      <c r="AN6529">
        <v>0.99999996775543898</v>
      </c>
    </row>
    <row r="6530" spans="1:40" x14ac:dyDescent="0.25">
      <c r="A6530" t="str">
        <f>"20190304164252163"</f>
        <v>20190304164252163</v>
      </c>
      <c r="B6530" t="str">
        <f>"1551688972158041"</f>
        <v>1551688972158041</v>
      </c>
      <c r="C6530" t="s">
        <v>40</v>
      </c>
      <c r="D6530">
        <v>4.6502840000000001</v>
      </c>
      <c r="E6530">
        <v>0.39055469999999998</v>
      </c>
      <c r="F6530" t="s">
        <v>42</v>
      </c>
      <c r="G6530">
        <v>-294.35809999999998</v>
      </c>
      <c r="H6530" s="1">
        <v>-1.5677400000000001E-6</v>
      </c>
      <c r="I6530">
        <v>-30.156269999999999</v>
      </c>
      <c r="J6530">
        <v>-302.24290000000002</v>
      </c>
      <c r="K6530">
        <v>1.108465</v>
      </c>
      <c r="L6530">
        <v>-10.827640000000001</v>
      </c>
      <c r="M6530">
        <v>7.8832169999999993E-2</v>
      </c>
      <c r="N6530">
        <v>-1.371938E-2</v>
      </c>
      <c r="O6530">
        <v>-0.99679340000000005</v>
      </c>
      <c r="P6530">
        <v>0.1096584</v>
      </c>
      <c r="Q6530">
        <v>0.3650737</v>
      </c>
      <c r="R6530">
        <v>-0.92449809999999999</v>
      </c>
      <c r="S6530">
        <v>1.2760929999999999</v>
      </c>
      <c r="T6530">
        <v>-0.1789955</v>
      </c>
      <c r="U6530">
        <v>-3.1640630000000001</v>
      </c>
      <c r="V6530">
        <v>-3.4281369999999999E-2</v>
      </c>
      <c r="W6530">
        <v>0.37800299999999998</v>
      </c>
      <c r="X6530">
        <v>0.92516940000000003</v>
      </c>
      <c r="Y6530">
        <v>-0.29933310000000002</v>
      </c>
      <c r="Z6530">
        <v>3.9366690000000003E-2</v>
      </c>
      <c r="AA6530">
        <v>0.95333619999999997</v>
      </c>
      <c r="AB6530">
        <v>26</v>
      </c>
      <c r="AC6530">
        <v>7.8848000000000402</v>
      </c>
      <c r="AD6530">
        <v>-1.1084665677399901</v>
      </c>
      <c r="AE6530">
        <v>-19.32863</v>
      </c>
      <c r="AF6530">
        <v>-6.3185796466505799</v>
      </c>
      <c r="AG6530">
        <v>-1.1084665677399901</v>
      </c>
      <c r="AH6530">
        <v>19.834175510495701</v>
      </c>
      <c r="AI6530">
        <v>93.048115344754706</v>
      </c>
      <c r="AJ6530">
        <v>107.67033511229501</v>
      </c>
      <c r="AK6530">
        <v>20.845806894049701</v>
      </c>
      <c r="AL6530">
        <v>67.789960198977596</v>
      </c>
      <c r="AM6530">
        <v>92.122075817953899</v>
      </c>
      <c r="AN6530">
        <v>0.99999994951721705</v>
      </c>
    </row>
    <row r="6531" spans="1:40" x14ac:dyDescent="0.25">
      <c r="A6531" t="str">
        <f>"20190304164252185"</f>
        <v>20190304164252185</v>
      </c>
      <c r="B6531" t="str">
        <f>"1551688972177561"</f>
        <v>1551688972177561</v>
      </c>
      <c r="C6531" t="s">
        <v>40</v>
      </c>
      <c r="D6531">
        <v>4.6513809999999998</v>
      </c>
      <c r="E6531">
        <v>0.38934839999999998</v>
      </c>
      <c r="F6531" t="s">
        <v>42</v>
      </c>
      <c r="G6531">
        <v>-294.34070000000003</v>
      </c>
      <c r="H6531" s="1">
        <v>-1.590806E-6</v>
      </c>
      <c r="I6531">
        <v>-30.102119999999999</v>
      </c>
      <c r="J6531">
        <v>-302.2269</v>
      </c>
      <c r="K6531">
        <v>1.108425</v>
      </c>
      <c r="L6531">
        <v>-11.0784</v>
      </c>
      <c r="M6531">
        <v>7.5432360000000004E-2</v>
      </c>
      <c r="N6531">
        <v>-1.375551E-2</v>
      </c>
      <c r="O6531">
        <v>-0.9970561</v>
      </c>
      <c r="P6531">
        <v>0.108845</v>
      </c>
      <c r="Q6531">
        <v>0.3653592</v>
      </c>
      <c r="R6531">
        <v>-0.92448160000000001</v>
      </c>
      <c r="S6531">
        <v>1.296783</v>
      </c>
      <c r="T6531">
        <v>-0.18190410000000001</v>
      </c>
      <c r="U6531">
        <v>-3.1630250000000002</v>
      </c>
      <c r="V6531">
        <v>-3.6580429999999997E-2</v>
      </c>
      <c r="W6531">
        <v>0.37833860000000002</v>
      </c>
      <c r="X6531">
        <v>0.92494419999999999</v>
      </c>
      <c r="Y6531">
        <v>-0.30801709999999999</v>
      </c>
      <c r="Z6531">
        <v>4.0080259999999999E-2</v>
      </c>
      <c r="AA6531">
        <v>0.95053620000000005</v>
      </c>
      <c r="AB6531">
        <v>25</v>
      </c>
      <c r="AC6531">
        <v>7.8861999999999703</v>
      </c>
      <c r="AD6531">
        <v>-1.108426590806</v>
      </c>
      <c r="AE6531">
        <v>-19.023720000000001</v>
      </c>
      <c r="AF6531">
        <v>-6.4100175912249497</v>
      </c>
      <c r="AG6531">
        <v>-1.108426590806</v>
      </c>
      <c r="AH6531">
        <v>19.507925706509901</v>
      </c>
      <c r="AI6531">
        <v>93.089822415638494</v>
      </c>
      <c r="AJ6531">
        <v>108.18976295045699</v>
      </c>
      <c r="AK6531">
        <v>20.563951478199101</v>
      </c>
      <c r="AL6531">
        <v>67.769190342440794</v>
      </c>
      <c r="AM6531">
        <v>92.264798823979305</v>
      </c>
      <c r="AN6531">
        <v>0.99999999861129196</v>
      </c>
    </row>
    <row r="6532" spans="1:40" x14ac:dyDescent="0.25">
      <c r="A6532" t="str">
        <f>"20190304164252207"</f>
        <v>20190304164252207</v>
      </c>
      <c r="B6532" t="str">
        <f>"1551688972198058"</f>
        <v>1551688972198058</v>
      </c>
      <c r="C6532" t="s">
        <v>40</v>
      </c>
      <c r="D6532">
        <v>4.627624</v>
      </c>
      <c r="E6532">
        <v>0.38827640000000002</v>
      </c>
      <c r="F6532" t="s">
        <v>42</v>
      </c>
      <c r="G6532">
        <v>-294.24709999999999</v>
      </c>
      <c r="H6532" s="1">
        <v>-5.2848230000000002E-6</v>
      </c>
      <c r="I6532">
        <v>-30.426880000000001</v>
      </c>
      <c r="J6532">
        <v>-302.21179999999998</v>
      </c>
      <c r="K6532">
        <v>1.108395</v>
      </c>
      <c r="L6532">
        <v>-11.33051</v>
      </c>
      <c r="M6532">
        <v>7.194275E-2</v>
      </c>
      <c r="N6532">
        <v>-1.3786990000000001E-2</v>
      </c>
      <c r="O6532">
        <v>-0.99731360000000002</v>
      </c>
      <c r="P6532">
        <v>0.10618669999999999</v>
      </c>
      <c r="Q6532">
        <v>0.36539779999999999</v>
      </c>
      <c r="R6532">
        <v>-0.92477509999999996</v>
      </c>
      <c r="S6532">
        <v>1.304535</v>
      </c>
      <c r="T6532">
        <v>-0.1812059</v>
      </c>
      <c r="U6532">
        <v>-3.1630859999999998</v>
      </c>
      <c r="V6532">
        <v>-3.7119050000000001E-2</v>
      </c>
      <c r="W6532">
        <v>0.37841320000000001</v>
      </c>
      <c r="X6532">
        <v>0.92489219999999905</v>
      </c>
      <c r="Y6532">
        <v>-0.31332939999999998</v>
      </c>
      <c r="Z6532">
        <v>3.9784220000000002E-2</v>
      </c>
      <c r="AA6532">
        <v>0.94881079999999995</v>
      </c>
      <c r="AB6532">
        <v>25</v>
      </c>
      <c r="AC6532">
        <v>7.9646999999999899</v>
      </c>
      <c r="AD6532">
        <v>-1.1084002848229999</v>
      </c>
      <c r="AE6532">
        <v>-19.09637</v>
      </c>
      <c r="AF6532">
        <v>-6.5512814967602298</v>
      </c>
      <c r="AG6532">
        <v>-1.1084002848229999</v>
      </c>
      <c r="AH6532">
        <v>19.563791506692301</v>
      </c>
      <c r="AI6532">
        <v>93.075175552648801</v>
      </c>
      <c r="AJ6532">
        <v>108.514032859816</v>
      </c>
      <c r="AK6532">
        <v>20.661311152937898</v>
      </c>
      <c r="AL6532">
        <v>67.764572280664296</v>
      </c>
      <c r="AM6532">
        <v>92.298239897654796</v>
      </c>
      <c r="AN6532">
        <v>0.99999997771399096</v>
      </c>
    </row>
    <row r="6533" spans="1:40" x14ac:dyDescent="0.25">
      <c r="A6533" t="str">
        <f>"20190304164252229"</f>
        <v>20190304164252229</v>
      </c>
      <c r="B6533" t="str">
        <f>"1551688972217577"</f>
        <v>1551688972217577</v>
      </c>
      <c r="C6533" t="s">
        <v>40</v>
      </c>
      <c r="D6533">
        <v>4.6309579999999997</v>
      </c>
      <c r="E6533">
        <v>0.38741150000000002</v>
      </c>
      <c r="F6533" t="s">
        <v>42</v>
      </c>
      <c r="G6533">
        <v>-294.18169999999998</v>
      </c>
      <c r="H6533" s="1">
        <v>-5.1402740000000003E-6</v>
      </c>
      <c r="I6533">
        <v>-30.790900000000001</v>
      </c>
      <c r="J6533">
        <v>-302.19779999999997</v>
      </c>
      <c r="K6533">
        <v>1.108385</v>
      </c>
      <c r="L6533">
        <v>-11.579219999999999</v>
      </c>
      <c r="M6533">
        <v>6.8452719999999995E-2</v>
      </c>
      <c r="N6533">
        <v>-1.381363E-2</v>
      </c>
      <c r="O6533">
        <v>-0.99755870000000002</v>
      </c>
      <c r="P6533">
        <v>0.1034508</v>
      </c>
      <c r="Q6533">
        <v>0.36550440000000001</v>
      </c>
      <c r="R6533">
        <v>-0.92504310000000001</v>
      </c>
      <c r="S6533">
        <v>1.306122</v>
      </c>
      <c r="T6533">
        <v>-0.1802841</v>
      </c>
      <c r="U6533">
        <v>-3.1652830000000001</v>
      </c>
      <c r="V6533">
        <v>-3.7600580000000002E-2</v>
      </c>
      <c r="W6533">
        <v>0.37854910000000003</v>
      </c>
      <c r="X6533">
        <v>0.92481709999999995</v>
      </c>
      <c r="Y6533">
        <v>-0.316828</v>
      </c>
      <c r="Z6533">
        <v>3.9427209999999997E-2</v>
      </c>
      <c r="AA6533">
        <v>0.94766320000000004</v>
      </c>
      <c r="AB6533">
        <v>25</v>
      </c>
      <c r="AC6533">
        <v>8.0160999999999891</v>
      </c>
      <c r="AD6533">
        <v>-1.108390140274</v>
      </c>
      <c r="AE6533">
        <v>-19.211679999999902</v>
      </c>
      <c r="AF6533">
        <v>-6.6631862614638804</v>
      </c>
      <c r="AG6533">
        <v>-1.108390140274</v>
      </c>
      <c r="AH6533">
        <v>19.659649240986099</v>
      </c>
      <c r="AI6533">
        <v>93.056433023436199</v>
      </c>
      <c r="AJ6533">
        <v>108.72290815876499</v>
      </c>
      <c r="AK6533">
        <v>20.787697999937901</v>
      </c>
      <c r="AL6533">
        <v>67.756159255576307</v>
      </c>
      <c r="AM6533">
        <v>92.328210254174905</v>
      </c>
      <c r="AN6533">
        <v>0.99999994658977598</v>
      </c>
    </row>
    <row r="6534" spans="1:40" x14ac:dyDescent="0.25">
      <c r="A6534" t="str">
        <f>"20190304164252252"</f>
        <v>20190304164252252</v>
      </c>
      <c r="B6534" t="str">
        <f>"1551688972247833"</f>
        <v>1551688972247833</v>
      </c>
      <c r="C6534" t="s">
        <v>40</v>
      </c>
      <c r="D6534">
        <v>4.6046060000000004</v>
      </c>
      <c r="E6534">
        <v>0.38671129999999998</v>
      </c>
      <c r="F6534" t="s">
        <v>42</v>
      </c>
      <c r="G6534">
        <v>-294.22919999999999</v>
      </c>
      <c r="H6534" s="1">
        <v>-5.0588380000000004E-6</v>
      </c>
      <c r="I6534">
        <v>-30.961089999999999</v>
      </c>
      <c r="J6534">
        <v>-302.18380000000002</v>
      </c>
      <c r="K6534">
        <v>1.108395</v>
      </c>
      <c r="L6534">
        <v>-11.84531</v>
      </c>
      <c r="M6534">
        <v>6.4693399999999998E-2</v>
      </c>
      <c r="N6534">
        <v>-1.383767E-2</v>
      </c>
      <c r="O6534">
        <v>-0.99780939999999996</v>
      </c>
      <c r="P6534">
        <v>0.10066310000000001</v>
      </c>
      <c r="Q6534">
        <v>0.36573810000000001</v>
      </c>
      <c r="R6534">
        <v>-0.92525860000000004</v>
      </c>
      <c r="S6534">
        <v>1.3028869999999999</v>
      </c>
      <c r="T6534">
        <v>-0.1812241</v>
      </c>
      <c r="U6534">
        <v>-3.1689759999999998</v>
      </c>
      <c r="V6534">
        <v>-3.8298239999999997E-2</v>
      </c>
      <c r="W6534">
        <v>0.37880819999999998</v>
      </c>
      <c r="X6534">
        <v>0.92468240000000002</v>
      </c>
      <c r="Y6534">
        <v>-0.31917909999999999</v>
      </c>
      <c r="Z6534">
        <v>3.9620089999999997E-2</v>
      </c>
      <c r="AA6534">
        <v>0.94686590000000004</v>
      </c>
      <c r="AB6534">
        <v>25</v>
      </c>
      <c r="AC6534">
        <v>7.9546000000000197</v>
      </c>
      <c r="AD6534">
        <v>-1.1084000588380001</v>
      </c>
      <c r="AE6534">
        <v>-19.115779999999901</v>
      </c>
      <c r="AF6534">
        <v>-6.6820008899439802</v>
      </c>
      <c r="AG6534">
        <v>-1.1084000588380001</v>
      </c>
      <c r="AH6534">
        <v>19.5344053184436</v>
      </c>
      <c r="AI6534">
        <v>93.073082746498599</v>
      </c>
      <c r="AJ6534">
        <v>108.883929012861</v>
      </c>
      <c r="AK6534">
        <v>20.675364028932599</v>
      </c>
      <c r="AL6534">
        <v>67.740120049604002</v>
      </c>
      <c r="AM6534">
        <v>92.371705212320805</v>
      </c>
      <c r="AN6534">
        <v>0.999999974222048</v>
      </c>
    </row>
    <row r="6535" spans="1:40" x14ac:dyDescent="0.25">
      <c r="A6535" t="str">
        <f>"20190304164252274"</f>
        <v>20190304164252274</v>
      </c>
      <c r="B6535" t="str">
        <f>"1551688972267352"</f>
        <v>1551688972267352</v>
      </c>
      <c r="C6535" t="s">
        <v>40</v>
      </c>
      <c r="D6535">
        <v>4.719868</v>
      </c>
      <c r="E6535">
        <v>0.3865941</v>
      </c>
      <c r="F6535" t="s">
        <v>42</v>
      </c>
      <c r="G6535">
        <v>-294.27550000000002</v>
      </c>
      <c r="H6535" s="1">
        <v>-4.949476E-6</v>
      </c>
      <c r="I6535">
        <v>-31.196829999999999</v>
      </c>
      <c r="J6535">
        <v>-302.17180000000002</v>
      </c>
      <c r="K6535">
        <v>1.108411</v>
      </c>
      <c r="L6535">
        <v>-12.091799999999999</v>
      </c>
      <c r="M6535">
        <v>6.1209050000000001E-2</v>
      </c>
      <c r="N6535">
        <v>-1.3856490000000001E-2</v>
      </c>
      <c r="O6535">
        <v>-0.9980289</v>
      </c>
      <c r="P6535">
        <v>9.8219500000000001E-2</v>
      </c>
      <c r="Q6535">
        <v>0.36582910000000002</v>
      </c>
      <c r="R6535">
        <v>-0.9254848</v>
      </c>
      <c r="S6535">
        <v>1.2967219999999999</v>
      </c>
      <c r="T6535">
        <v>-0.18174580000000001</v>
      </c>
      <c r="U6535">
        <v>-3.1730960000000001</v>
      </c>
      <c r="V6535">
        <v>-3.9095240000000003E-2</v>
      </c>
      <c r="W6535">
        <v>0.37892029999999999</v>
      </c>
      <c r="X6535">
        <v>0.92460319999999996</v>
      </c>
      <c r="Y6535">
        <v>-0.32047730000000002</v>
      </c>
      <c r="Z6535">
        <v>3.9704919999999998E-2</v>
      </c>
      <c r="AA6535">
        <v>0.94642369999999998</v>
      </c>
      <c r="AB6535">
        <v>25</v>
      </c>
      <c r="AC6535">
        <v>7.8962999999999903</v>
      </c>
      <c r="AD6535">
        <v>-1.108415949476</v>
      </c>
      <c r="AE6535">
        <v>-19.105029999999999</v>
      </c>
      <c r="AF6535">
        <v>-6.6927377219890998</v>
      </c>
      <c r="AG6535">
        <v>-1.108415949476</v>
      </c>
      <c r="AH6535">
        <v>19.4965220113919</v>
      </c>
      <c r="AI6535">
        <v>93.0779414030617</v>
      </c>
      <c r="AJ6535">
        <v>108.946246545026</v>
      </c>
      <c r="AK6535">
        <v>20.643054393017501</v>
      </c>
      <c r="AL6535">
        <v>67.733181696826094</v>
      </c>
      <c r="AM6535">
        <v>92.421210244264699</v>
      </c>
      <c r="AN6535">
        <v>1.00000005449649</v>
      </c>
    </row>
    <row r="6536" spans="1:40" x14ac:dyDescent="0.25">
      <c r="A6536" t="str">
        <f>"20190304164252296"</f>
        <v>20190304164252296</v>
      </c>
      <c r="B6536" t="str">
        <f>"1551688972287849"</f>
        <v>1551688972287849</v>
      </c>
      <c r="C6536" t="s">
        <v>40</v>
      </c>
      <c r="D6536">
        <v>5.1313230000000001</v>
      </c>
      <c r="E6536">
        <v>0.46787279999999998</v>
      </c>
      <c r="F6536" t="s">
        <v>42</v>
      </c>
      <c r="G6536">
        <v>-294.38619999999997</v>
      </c>
      <c r="H6536" s="1">
        <v>-4.8863439999999996E-6</v>
      </c>
      <c r="I6536">
        <v>-31.29823</v>
      </c>
      <c r="J6536">
        <v>-302.16050000000001</v>
      </c>
      <c r="K6536">
        <v>1.10843799999999</v>
      </c>
      <c r="L6536">
        <v>-12.339449999999999</v>
      </c>
      <c r="M6536">
        <v>5.7726039999999999E-2</v>
      </c>
      <c r="N6536">
        <v>-1.387248E-2</v>
      </c>
      <c r="O6536">
        <v>-0.99823629999999997</v>
      </c>
      <c r="P6536">
        <v>9.6079010000000006E-2</v>
      </c>
      <c r="Q6536">
        <v>0.36611320000000003</v>
      </c>
      <c r="R6536">
        <v>-0.92559749999999996</v>
      </c>
      <c r="S6536">
        <v>1.2879640000000001</v>
      </c>
      <c r="T6536">
        <v>-0.18336620000000001</v>
      </c>
      <c r="U6536">
        <v>-3.1773380000000002</v>
      </c>
      <c r="V6536">
        <v>-4.020659E-2</v>
      </c>
      <c r="W6536">
        <v>0.37922210000000001</v>
      </c>
      <c r="X6536">
        <v>0.92443169999999997</v>
      </c>
      <c r="Y6536">
        <v>-0.32109339999999997</v>
      </c>
      <c r="Z6536">
        <v>4.012512E-2</v>
      </c>
      <c r="AA6536">
        <v>0.94619719999999996</v>
      </c>
      <c r="AB6536">
        <v>25</v>
      </c>
      <c r="AC6536">
        <v>7.7743000000000304</v>
      </c>
      <c r="AD6536">
        <v>-1.1084428863439999</v>
      </c>
      <c r="AE6536">
        <v>-18.958779999999901</v>
      </c>
      <c r="AF6536">
        <v>-6.6473615751162196</v>
      </c>
      <c r="AG6536">
        <v>-1.1084428863439999</v>
      </c>
      <c r="AH6536">
        <v>19.319449172429501</v>
      </c>
      <c r="AI6536">
        <v>93.105412765558498</v>
      </c>
      <c r="AJ6536">
        <v>108.987118057358</v>
      </c>
      <c r="AK6536">
        <v>20.461113798342101</v>
      </c>
      <c r="AL6536">
        <v>67.714493216491306</v>
      </c>
      <c r="AM6536">
        <v>92.490413267706103</v>
      </c>
      <c r="AN6536">
        <v>0.99999996948636305</v>
      </c>
    </row>
    <row r="6537" spans="1:40" x14ac:dyDescent="0.25">
      <c r="A6537" t="str">
        <f>"20190304164252319"</f>
        <v>20190304164252319</v>
      </c>
      <c r="B6537" t="str">
        <f>"1551688972307369"</f>
        <v>1551688972307369</v>
      </c>
      <c r="C6537" t="s">
        <v>40</v>
      </c>
      <c r="D6537">
        <v>5.012588</v>
      </c>
      <c r="E6537">
        <v>0.5402882</v>
      </c>
      <c r="F6537" t="s">
        <v>57</v>
      </c>
      <c r="G6537">
        <v>-296.37380000000002</v>
      </c>
      <c r="H6537" s="1">
        <v>-1.892119E-6</v>
      </c>
      <c r="I6537">
        <v>-41.862679999999997</v>
      </c>
      <c r="J6537">
        <v>-302.1497</v>
      </c>
      <c r="K6537">
        <v>1.1084689999999999</v>
      </c>
      <c r="L6537">
        <v>-12.59552</v>
      </c>
      <c r="M6537">
        <v>5.4156530000000001E-2</v>
      </c>
      <c r="N6537">
        <v>-1.388612E-2</v>
      </c>
      <c r="O6537">
        <v>-0.99843579999999998</v>
      </c>
      <c r="P6537">
        <v>9.4363249999999996E-2</v>
      </c>
      <c r="Q6537">
        <v>0.36736639999999998</v>
      </c>
      <c r="R6537">
        <v>-0.92527709999999996</v>
      </c>
      <c r="S6537">
        <v>0.63180539999999996</v>
      </c>
      <c r="T6537">
        <v>-0.1210233</v>
      </c>
      <c r="U6537">
        <v>-3.2234500000000001</v>
      </c>
      <c r="V6537">
        <v>-4.1848379999999998E-2</v>
      </c>
      <c r="W6537">
        <v>0.38048710000000002</v>
      </c>
      <c r="X6537">
        <v>0.92383890000000002</v>
      </c>
      <c r="Y6537">
        <v>-0.13881060000000001</v>
      </c>
      <c r="Z6537">
        <v>2.3096350000000002E-2</v>
      </c>
      <c r="AA6537">
        <v>0.99004959999999997</v>
      </c>
      <c r="AB6537">
        <v>25</v>
      </c>
      <c r="AC6537">
        <v>5.7758999999999698</v>
      </c>
      <c r="AD6537">
        <v>-1.1084708921189901</v>
      </c>
      <c r="AE6537">
        <v>-29.267160000000001</v>
      </c>
      <c r="AF6537">
        <v>-4.1764947516414397</v>
      </c>
      <c r="AG6537">
        <v>-1.1084708921189901</v>
      </c>
      <c r="AH6537">
        <v>29.496308776543501</v>
      </c>
      <c r="AI6537">
        <v>92.1309265089657</v>
      </c>
      <c r="AJ6537">
        <v>98.059153894990601</v>
      </c>
      <c r="AK6537">
        <v>29.811139655678399</v>
      </c>
      <c r="AL6537">
        <v>67.636142380673604</v>
      </c>
      <c r="AM6537">
        <v>92.593631385164699</v>
      </c>
      <c r="AN6537">
        <v>1.0000000166641201</v>
      </c>
    </row>
    <row r="6538" spans="1:40" x14ac:dyDescent="0.25">
      <c r="A6538" t="str">
        <f>"20190304164252341"</f>
        <v>20190304164252341</v>
      </c>
      <c r="B6538" t="str">
        <f>"1551688972327865"</f>
        <v>1551688972327865</v>
      </c>
      <c r="C6538" t="s">
        <v>40</v>
      </c>
      <c r="D6538">
        <v>4.7985519999999999</v>
      </c>
      <c r="E6538">
        <v>0.55249550000000003</v>
      </c>
      <c r="F6538" t="s">
        <v>41</v>
      </c>
      <c r="G6538">
        <v>-302.1343</v>
      </c>
      <c r="H6538">
        <v>1.0378590000000001</v>
      </c>
      <c r="I6538">
        <v>-13.361459999999999</v>
      </c>
      <c r="J6538">
        <v>-302.14010000000002</v>
      </c>
      <c r="K6538">
        <v>1.1085130000000001</v>
      </c>
      <c r="L6538">
        <v>-12.84512</v>
      </c>
      <c r="M6538">
        <v>5.0717569999999997E-2</v>
      </c>
      <c r="N6538">
        <v>-1.3896820000000001E-2</v>
      </c>
      <c r="O6538">
        <v>-0.99861650000000002</v>
      </c>
      <c r="P6538">
        <v>9.3377660000000001E-2</v>
      </c>
      <c r="Q6538">
        <v>0.36927149999999997</v>
      </c>
      <c r="R6538">
        <v>-0.92461859999999996</v>
      </c>
      <c r="S6538">
        <v>6.7657469999999997E-2</v>
      </c>
      <c r="T6538">
        <v>-0.30958029999999997</v>
      </c>
      <c r="U6538">
        <v>-3.358276</v>
      </c>
      <c r="V6538">
        <v>-4.4114050000000002E-2</v>
      </c>
      <c r="W6538">
        <v>0.38240020000000002</v>
      </c>
      <c r="X6538">
        <v>0.92294319999999996</v>
      </c>
      <c r="Y6538">
        <v>3.063418E-2</v>
      </c>
      <c r="Z6538">
        <v>7.7747499999999997E-2</v>
      </c>
      <c r="AA6538">
        <v>0.99650229999999995</v>
      </c>
      <c r="AB6538">
        <v>25</v>
      </c>
      <c r="AC6538">
        <v>5.8000000000220098E-3</v>
      </c>
      <c r="AD6538">
        <v>-7.0653999999999703E-2</v>
      </c>
      <c r="AE6538">
        <v>-0.51634000000000102</v>
      </c>
      <c r="AF6538">
        <v>2.00226414329111E-2</v>
      </c>
      <c r="AG6538">
        <v>-7.0653999999999703E-2</v>
      </c>
      <c r="AH6538">
        <v>0.50648720815746195</v>
      </c>
      <c r="AI6538">
        <v>97.9352849454487</v>
      </c>
      <c r="AJ6538">
        <v>87.736140685451204</v>
      </c>
      <c r="AK6538">
        <v>0.51178333883889904</v>
      </c>
      <c r="AL6538">
        <v>67.517565303799998</v>
      </c>
      <c r="AM6538">
        <v>92.736492052085396</v>
      </c>
      <c r="AN6538">
        <v>1.0000000563968301</v>
      </c>
    </row>
    <row r="6539" spans="1:40" x14ac:dyDescent="0.25">
      <c r="A6539" t="str">
        <f>"20190304164252364"</f>
        <v>20190304164252364</v>
      </c>
      <c r="B6539" t="str">
        <f>"1551688972357145"</f>
        <v>1551688972357145</v>
      </c>
      <c r="C6539" t="s">
        <v>40</v>
      </c>
      <c r="D6539">
        <v>4.7996359999999996</v>
      </c>
      <c r="E6539">
        <v>0.55811980000000005</v>
      </c>
      <c r="F6539" t="s">
        <v>41</v>
      </c>
      <c r="G6539">
        <v>-302.14589999999998</v>
      </c>
      <c r="H6539">
        <v>1.032572</v>
      </c>
      <c r="I6539">
        <v>-13.585660000000001</v>
      </c>
      <c r="J6539">
        <v>-302.1309</v>
      </c>
      <c r="K6539">
        <v>1.108562</v>
      </c>
      <c r="L6539">
        <v>-13.107060000000001</v>
      </c>
      <c r="M6539">
        <v>4.7163209999999997E-2</v>
      </c>
      <c r="N6539">
        <v>-1.390548E-2</v>
      </c>
      <c r="O6539">
        <v>-0.99879050000000003</v>
      </c>
      <c r="P6539">
        <v>9.3639559999999997E-2</v>
      </c>
      <c r="Q6539">
        <v>0.37009760000000003</v>
      </c>
      <c r="R6539">
        <v>-0.92426160000000002</v>
      </c>
      <c r="S6539">
        <v>-2.554321E-2</v>
      </c>
      <c r="T6539">
        <v>-0.3468368</v>
      </c>
      <c r="U6539">
        <v>-3.3856809999999999</v>
      </c>
      <c r="V6539">
        <v>-4.7727730000000003E-2</v>
      </c>
      <c r="W6539">
        <v>0.38324330000000001</v>
      </c>
      <c r="X6539">
        <v>0.9224135</v>
      </c>
      <c r="Y6539">
        <v>5.4628780000000002E-2</v>
      </c>
      <c r="Z6539">
        <v>8.7816119999999998E-2</v>
      </c>
      <c r="AA6539">
        <v>0.99463760000000001</v>
      </c>
      <c r="AB6539">
        <v>25</v>
      </c>
      <c r="AC6539">
        <v>-1.49999999999863E-2</v>
      </c>
      <c r="AD6539">
        <v>-7.5990000000000002E-2</v>
      </c>
      <c r="AE6539">
        <v>-0.47860000000000003</v>
      </c>
      <c r="AF6539">
        <v>3.6635143193084301E-2</v>
      </c>
      <c r="AG6539">
        <v>-7.5990000000000002E-2</v>
      </c>
      <c r="AH6539">
        <v>0.46563285232580398</v>
      </c>
      <c r="AI6539">
        <v>99.240741260424002</v>
      </c>
      <c r="AJ6539">
        <v>85.501339958360404</v>
      </c>
      <c r="AK6539">
        <v>0.47321302494948497</v>
      </c>
      <c r="AL6539">
        <v>67.465274940247696</v>
      </c>
      <c r="AM6539">
        <v>92.961969875293804</v>
      </c>
      <c r="AN6539">
        <v>1.0000000140940399</v>
      </c>
    </row>
    <row r="6540" spans="1:40" x14ac:dyDescent="0.25">
      <c r="A6540" t="str">
        <f>"20190304164252392"</f>
        <v>20190304164252392</v>
      </c>
      <c r="B6540" t="str">
        <f>"1551688972377641"</f>
        <v>1551688972377641</v>
      </c>
      <c r="C6540" t="s">
        <v>40</v>
      </c>
      <c r="D6540">
        <v>4.8463510000000003</v>
      </c>
      <c r="E6540">
        <v>0.55910799999999905</v>
      </c>
      <c r="F6540" t="s">
        <v>41</v>
      </c>
      <c r="G6540">
        <v>-302.14920000000001</v>
      </c>
      <c r="H6540">
        <v>1.007339</v>
      </c>
      <c r="I6540">
        <v>-14.02501</v>
      </c>
      <c r="J6540">
        <v>-302.12169999999998</v>
      </c>
      <c r="K6540">
        <v>1.1086229999999999</v>
      </c>
      <c r="L6540">
        <v>-13.398129999999901</v>
      </c>
      <c r="M6540">
        <v>4.3283099999999998E-2</v>
      </c>
      <c r="N6540">
        <v>-1.391246E-2</v>
      </c>
      <c r="O6540">
        <v>-0.99896620000000003</v>
      </c>
      <c r="P6540">
        <v>9.4945390000000005E-2</v>
      </c>
      <c r="Q6540">
        <v>0.37039919999999998</v>
      </c>
      <c r="R6540">
        <v>-0.92400780000000005</v>
      </c>
      <c r="S6540">
        <v>-6.7749019999999993E-2</v>
      </c>
      <c r="T6540">
        <v>-0.37515749999999998</v>
      </c>
      <c r="U6540">
        <v>-3.4029240000000001</v>
      </c>
      <c r="V6540">
        <v>-5.2692620000000003E-2</v>
      </c>
      <c r="W6540">
        <v>0.3835674</v>
      </c>
      <c r="X6540">
        <v>0.92200839999999995</v>
      </c>
      <c r="Y6540">
        <v>6.3019539999999999E-2</v>
      </c>
      <c r="Z6540">
        <v>9.5463010000000001E-2</v>
      </c>
      <c r="AA6540">
        <v>0.99343619999999999</v>
      </c>
      <c r="AB6540">
        <v>25</v>
      </c>
      <c r="AC6540">
        <v>-2.7500000000031801E-2</v>
      </c>
      <c r="AD6540">
        <v>-0.101283999999999</v>
      </c>
      <c r="AE6540">
        <v>-0.62688000000000099</v>
      </c>
      <c r="AF6540">
        <v>5.3223458076115601E-2</v>
      </c>
      <c r="AG6540">
        <v>-0.101283999999999</v>
      </c>
      <c r="AH6540">
        <v>0.60922902337204499</v>
      </c>
      <c r="AI6540">
        <v>99.403888655201897</v>
      </c>
      <c r="AJ6540">
        <v>85.007202971337506</v>
      </c>
      <c r="AK6540">
        <v>0.61987997875752998</v>
      </c>
      <c r="AL6540">
        <v>67.445167972409195</v>
      </c>
      <c r="AM6540">
        <v>93.270885932464395</v>
      </c>
      <c r="AN6540">
        <v>0.99999997610789104</v>
      </c>
    </row>
    <row r="6541" spans="1:40" x14ac:dyDescent="0.25">
      <c r="A6541" t="str">
        <f>"20190304164252412"</f>
        <v>20190304164252412</v>
      </c>
      <c r="B6541" t="str">
        <f>"1551688972407897"</f>
        <v>1551688972407897</v>
      </c>
      <c r="C6541" t="s">
        <v>40</v>
      </c>
      <c r="D6541">
        <v>4.8286550000000004</v>
      </c>
      <c r="E6541">
        <v>0.55932749999999998</v>
      </c>
      <c r="F6541" t="s">
        <v>41</v>
      </c>
      <c r="G6541">
        <v>-302.1397</v>
      </c>
      <c r="H6541">
        <v>1.0122949999999999</v>
      </c>
      <c r="I6541">
        <v>-14.252459999999999</v>
      </c>
      <c r="J6541">
        <v>-302.11470000000003</v>
      </c>
      <c r="K6541">
        <v>1.10867</v>
      </c>
      <c r="L6541">
        <v>-13.647030000000001</v>
      </c>
      <c r="M6541">
        <v>4.0013220000000002E-2</v>
      </c>
      <c r="N6541">
        <v>-1.3916929999999999E-2</v>
      </c>
      <c r="O6541">
        <v>-0.99910220000000005</v>
      </c>
      <c r="P6541">
        <v>9.6379270000000003E-2</v>
      </c>
      <c r="Q6541">
        <v>0.37086950000000002</v>
      </c>
      <c r="R6541">
        <v>-0.9236704</v>
      </c>
      <c r="S6541">
        <v>-7.1990970000000001E-2</v>
      </c>
      <c r="T6541">
        <v>-0.38433210000000001</v>
      </c>
      <c r="U6541">
        <v>-3.4082029999999999</v>
      </c>
      <c r="V6541">
        <v>-5.7210860000000002E-2</v>
      </c>
      <c r="W6541">
        <v>0.38405479999999997</v>
      </c>
      <c r="X6541">
        <v>0.92153609999999997</v>
      </c>
      <c r="Y6541">
        <v>6.0953830000000001E-2</v>
      </c>
      <c r="Z6541">
        <v>9.7959630000000006E-2</v>
      </c>
      <c r="AA6541">
        <v>0.99332200000000004</v>
      </c>
      <c r="AB6541">
        <v>25</v>
      </c>
      <c r="AC6541">
        <v>-2.49999999999772E-2</v>
      </c>
      <c r="AD6541">
        <v>-9.6374999999999794E-2</v>
      </c>
      <c r="AE6541">
        <v>-0.60543000000000102</v>
      </c>
      <c r="AF6541">
        <v>4.79934575282892E-2</v>
      </c>
      <c r="AG6541">
        <v>-9.6374999999999794E-2</v>
      </c>
      <c r="AH6541">
        <v>0.58904385244903101</v>
      </c>
      <c r="AI6541">
        <v>99.261825979600005</v>
      </c>
      <c r="AJ6541">
        <v>85.342007579854894</v>
      </c>
      <c r="AK6541">
        <v>0.59880228180803996</v>
      </c>
      <c r="AL6541">
        <v>67.414925849550997</v>
      </c>
      <c r="AM6541">
        <v>93.552480767409307</v>
      </c>
      <c r="AN6541">
        <v>0.99999997775409399</v>
      </c>
    </row>
    <row r="6542" spans="1:40" x14ac:dyDescent="0.25">
      <c r="A6542" t="str">
        <f>"20190304164252430"</f>
        <v>20190304164252430</v>
      </c>
      <c r="B6542" t="str">
        <f>"1551688972417657"</f>
        <v>1551688972417657</v>
      </c>
      <c r="C6542" t="s">
        <v>40</v>
      </c>
      <c r="D6542">
        <v>4.825107</v>
      </c>
      <c r="E6542">
        <v>0.55940599999999996</v>
      </c>
      <c r="F6542" t="s">
        <v>41</v>
      </c>
      <c r="G6542">
        <v>-302.13150000000002</v>
      </c>
      <c r="H6542">
        <v>1.013234</v>
      </c>
      <c r="I6542">
        <v>-14.477729999999999</v>
      </c>
      <c r="J6542">
        <v>-302.10930000000002</v>
      </c>
      <c r="K6542">
        <v>1.108716</v>
      </c>
      <c r="L6542">
        <v>-13.854340000000001</v>
      </c>
      <c r="M6542">
        <v>3.732982E-2</v>
      </c>
      <c r="N6542">
        <v>-1.391974E-2</v>
      </c>
      <c r="O6542">
        <v>-0.99920609999999999</v>
      </c>
      <c r="P6542">
        <v>9.8548869999999997E-2</v>
      </c>
      <c r="Q6542">
        <v>0.37293290000000001</v>
      </c>
      <c r="R6542">
        <v>-0.92260989999999998</v>
      </c>
      <c r="S6542">
        <v>-6.8756100000000001E-2</v>
      </c>
      <c r="T6542">
        <v>-0.39192129999999997</v>
      </c>
      <c r="U6542">
        <v>-3.4124449999999902</v>
      </c>
      <c r="V6542">
        <v>-6.1930789999999999E-2</v>
      </c>
      <c r="W6542">
        <v>0.38612489999999999</v>
      </c>
      <c r="X6542">
        <v>0.92036519999999999</v>
      </c>
      <c r="Y6542">
        <v>5.7303729999999997E-2</v>
      </c>
      <c r="Z6542">
        <v>0.1000311</v>
      </c>
      <c r="AA6542">
        <v>0.99333280000000002</v>
      </c>
      <c r="AB6542">
        <v>25</v>
      </c>
      <c r="AC6542">
        <v>-2.2199999999997999E-2</v>
      </c>
      <c r="AD6542">
        <v>-9.5481999999999997E-2</v>
      </c>
      <c r="AE6542">
        <v>-0.62339</v>
      </c>
      <c r="AF6542">
        <v>4.4417119035408098E-2</v>
      </c>
      <c r="AG6542">
        <v>-9.5481999999999997E-2</v>
      </c>
      <c r="AH6542">
        <v>0.60788387019645296</v>
      </c>
      <c r="AI6542">
        <v>98.903316829372201</v>
      </c>
      <c r="AJ6542">
        <v>85.820914251565299</v>
      </c>
      <c r="AK6542">
        <v>0.61693799723507303</v>
      </c>
      <c r="AL6542">
        <v>67.286406351919098</v>
      </c>
      <c r="AM6542">
        <v>93.849593488662904</v>
      </c>
      <c r="AN6542">
        <v>0.99999998126053602</v>
      </c>
    </row>
    <row r="6543" spans="1:40" x14ac:dyDescent="0.25">
      <c r="A6543" t="str">
        <f>"20190304164252453"</f>
        <v>20190304164252453</v>
      </c>
      <c r="B6543" t="str">
        <f>"1551688972447913"</f>
        <v>1551688972447913</v>
      </c>
      <c r="C6543" t="s">
        <v>40</v>
      </c>
      <c r="D6543">
        <v>4.7868760000000004</v>
      </c>
      <c r="E6543">
        <v>0.55959440000000005</v>
      </c>
      <c r="F6543" t="s">
        <v>41</v>
      </c>
      <c r="G6543">
        <v>-302.12470000000002</v>
      </c>
      <c r="H6543">
        <v>1.0127809999999999</v>
      </c>
      <c r="I6543">
        <v>-14.702030000000001</v>
      </c>
      <c r="J6543">
        <v>-302.1035</v>
      </c>
      <c r="K6543">
        <v>1.108779</v>
      </c>
      <c r="L6543">
        <v>-14.110749999999999</v>
      </c>
      <c r="M6543">
        <v>3.4071490000000003E-2</v>
      </c>
      <c r="N6543">
        <v>-1.392198E-2</v>
      </c>
      <c r="O6543">
        <v>-0.99932259999999995</v>
      </c>
      <c r="P6543">
        <v>0.1004405</v>
      </c>
      <c r="Q6543">
        <v>0.37477250000000001</v>
      </c>
      <c r="R6543">
        <v>-0.92166020000000004</v>
      </c>
      <c r="S6543">
        <v>-6.14624E-2</v>
      </c>
      <c r="T6543">
        <v>-0.38631959999999999</v>
      </c>
      <c r="U6543">
        <v>-3.4143680000000001</v>
      </c>
      <c r="V6543">
        <v>-6.6907380000000002E-2</v>
      </c>
      <c r="W6543">
        <v>0.3879706</v>
      </c>
      <c r="X6543">
        <v>0.91923999999999995</v>
      </c>
      <c r="Y6543">
        <v>5.1923570000000002E-2</v>
      </c>
      <c r="Z6543">
        <v>9.8396479999999995E-2</v>
      </c>
      <c r="AA6543">
        <v>0.9937918</v>
      </c>
      <c r="AB6543">
        <v>25</v>
      </c>
      <c r="AC6543">
        <v>-2.1200000000021601E-2</v>
      </c>
      <c r="AD6543">
        <v>-9.5998000000000194E-2</v>
      </c>
      <c r="AE6543">
        <v>-0.59127999999999903</v>
      </c>
      <c r="AF6543">
        <v>4.0275156617408298E-2</v>
      </c>
      <c r="AG6543">
        <v>-9.5998000000000194E-2</v>
      </c>
      <c r="AH6543">
        <v>0.57507499392036598</v>
      </c>
      <c r="AI6543">
        <v>99.454334477568906</v>
      </c>
      <c r="AJ6543">
        <v>85.993853359889002</v>
      </c>
      <c r="AK6543">
        <v>0.58442189630186303</v>
      </c>
      <c r="AL6543">
        <v>67.171716529338099</v>
      </c>
      <c r="AM6543">
        <v>94.162963196455806</v>
      </c>
      <c r="AN6543">
        <v>0.99999998078141195</v>
      </c>
    </row>
    <row r="6544" spans="1:40" x14ac:dyDescent="0.25">
      <c r="A6544" t="str">
        <f>"20190304164252475"</f>
        <v>20190304164252475</v>
      </c>
      <c r="B6544" t="str">
        <f>"1551688972467433"</f>
        <v>1551688972467433</v>
      </c>
      <c r="C6544" t="s">
        <v>40</v>
      </c>
      <c r="D6544">
        <v>4.8044560000000001</v>
      </c>
      <c r="E6544">
        <v>0.5596759</v>
      </c>
      <c r="F6544" t="s">
        <v>41</v>
      </c>
      <c r="G6544">
        <v>-302.11759999999998</v>
      </c>
      <c r="H6544">
        <v>1.016281</v>
      </c>
      <c r="I6544">
        <v>-14.92802</v>
      </c>
      <c r="J6544">
        <v>-302.09859999999998</v>
      </c>
      <c r="K6544">
        <v>1.1088420000000001</v>
      </c>
      <c r="L6544">
        <v>-14.36002</v>
      </c>
      <c r="M6544">
        <v>3.0972929999999999E-2</v>
      </c>
      <c r="N6544">
        <v>-1.3922759999999999E-2</v>
      </c>
      <c r="O6544">
        <v>-0.99942339999999996</v>
      </c>
      <c r="P6544">
        <v>0.1022155</v>
      </c>
      <c r="Q6544">
        <v>0.3760077</v>
      </c>
      <c r="R6544">
        <v>-0.92096169999999999</v>
      </c>
      <c r="S6544">
        <v>-5.7617189999999999E-2</v>
      </c>
      <c r="T6544">
        <v>-0.38659520000000003</v>
      </c>
      <c r="U6544">
        <v>-3.4184879999999902</v>
      </c>
      <c r="V6544">
        <v>-7.1613360000000001E-2</v>
      </c>
      <c r="W6544">
        <v>0.38920959999999899</v>
      </c>
      <c r="X6544">
        <v>0.91836119999999999</v>
      </c>
      <c r="Y6544">
        <v>4.7691600000000001E-2</v>
      </c>
      <c r="Z6544">
        <v>9.8371600000000003E-2</v>
      </c>
      <c r="AA6544">
        <v>0.99400630000000001</v>
      </c>
      <c r="AB6544">
        <v>25</v>
      </c>
      <c r="AC6544">
        <v>-1.9000000000005401E-2</v>
      </c>
      <c r="AD6544">
        <v>-9.2561000000000102E-2</v>
      </c>
      <c r="AE6544">
        <v>-0.56800000000000095</v>
      </c>
      <c r="AF6544">
        <v>3.5639823244157202E-2</v>
      </c>
      <c r="AG6544">
        <v>-9.2561000000000102E-2</v>
      </c>
      <c r="AH6544">
        <v>0.55248364447429399</v>
      </c>
      <c r="AI6544">
        <v>99.491420475276797</v>
      </c>
      <c r="AJ6544">
        <v>86.309056329354206</v>
      </c>
      <c r="AK6544">
        <v>0.56131623273647802</v>
      </c>
      <c r="AL6544">
        <v>67.094671199824106</v>
      </c>
      <c r="AM6544">
        <v>94.458873799450998</v>
      </c>
      <c r="AN6544">
        <v>0.99999993986404201</v>
      </c>
    </row>
    <row r="6545" spans="1:40" x14ac:dyDescent="0.25">
      <c r="A6545" t="str">
        <f>"20190304164252497"</f>
        <v>20190304164252497</v>
      </c>
      <c r="B6545" t="str">
        <f>"1551688972487929"</f>
        <v>1551688972487929</v>
      </c>
      <c r="C6545" t="s">
        <v>40</v>
      </c>
      <c r="D6545">
        <v>4.6955790000000004</v>
      </c>
      <c r="E6545">
        <v>0.55974419999999903</v>
      </c>
      <c r="F6545" t="s">
        <v>41</v>
      </c>
      <c r="G6545">
        <v>-302.1112</v>
      </c>
      <c r="H6545">
        <v>1.019126</v>
      </c>
      <c r="I6545">
        <v>-15.1534</v>
      </c>
      <c r="J6545">
        <v>-302.09440000000001</v>
      </c>
      <c r="K6545">
        <v>1.1089100000000001</v>
      </c>
      <c r="L6545">
        <v>-14.605259999999999</v>
      </c>
      <c r="M6545">
        <v>2.7992880000000001E-2</v>
      </c>
      <c r="N6545">
        <v>-1.392238E-2</v>
      </c>
      <c r="O6545">
        <v>-0.99951120000000004</v>
      </c>
      <c r="P6545">
        <v>0.1034896</v>
      </c>
      <c r="Q6545">
        <v>0.3779246</v>
      </c>
      <c r="R6545">
        <v>-0.92003429999999997</v>
      </c>
      <c r="S6545">
        <v>-5.3558349999999998E-2</v>
      </c>
      <c r="T6545">
        <v>-0.3866965</v>
      </c>
      <c r="U6545">
        <v>-3.4212950000000002</v>
      </c>
      <c r="V6545">
        <v>-7.5711819999999999E-2</v>
      </c>
      <c r="W6545">
        <v>0.39112079999999999</v>
      </c>
      <c r="X6545">
        <v>0.91721980000000003</v>
      </c>
      <c r="Y6545">
        <v>4.3524100000000003E-2</v>
      </c>
      <c r="Z6545">
        <v>9.8337090000000002E-2</v>
      </c>
      <c r="AA6545">
        <v>0.99420090000000005</v>
      </c>
      <c r="AB6545">
        <v>25</v>
      </c>
      <c r="AC6545">
        <v>-1.6799999999989199E-2</v>
      </c>
      <c r="AD6545">
        <v>-8.9784000000000003E-2</v>
      </c>
      <c r="AE6545">
        <v>-0.54813999999999796</v>
      </c>
      <c r="AF6545">
        <v>3.1299941005219101E-2</v>
      </c>
      <c r="AG6545">
        <v>-8.9784000000000003E-2</v>
      </c>
      <c r="AH6545">
        <v>0.53316366215580202</v>
      </c>
      <c r="AI6545">
        <v>99.542717071068097</v>
      </c>
      <c r="AJ6545">
        <v>86.640246347384803</v>
      </c>
      <c r="AK6545">
        <v>0.54157579673238398</v>
      </c>
      <c r="AL6545">
        <v>66.975742201928696</v>
      </c>
      <c r="AM6545">
        <v>94.718776620846299</v>
      </c>
      <c r="AN6545">
        <v>0.99999996069619501</v>
      </c>
    </row>
    <row r="6546" spans="1:40" x14ac:dyDescent="0.25">
      <c r="A6546" t="str">
        <f>"20190304164252520"</f>
        <v>20190304164252520</v>
      </c>
      <c r="B6546" t="str">
        <f>"1551688972507450"</f>
        <v>1551688972507450</v>
      </c>
      <c r="C6546" t="s">
        <v>40</v>
      </c>
      <c r="D6546">
        <v>4.8096189999999996</v>
      </c>
      <c r="E6546">
        <v>0.5597818</v>
      </c>
      <c r="F6546" t="s">
        <v>41</v>
      </c>
      <c r="G6546">
        <v>-302.1062</v>
      </c>
      <c r="H6546">
        <v>1.022249</v>
      </c>
      <c r="I6546">
        <v>-15.37867</v>
      </c>
      <c r="J6546">
        <v>-302.09089999999998</v>
      </c>
      <c r="K6546">
        <v>1.108981</v>
      </c>
      <c r="L6546">
        <v>-14.85352</v>
      </c>
      <c r="M6546">
        <v>2.5047239999999998E-2</v>
      </c>
      <c r="N6546">
        <v>-1.392122E-2</v>
      </c>
      <c r="O6546">
        <v>-0.99958930000000001</v>
      </c>
      <c r="P6546">
        <v>0.1047748</v>
      </c>
      <c r="Q6546">
        <v>0.3798319</v>
      </c>
      <c r="R6546">
        <v>-0.91910270000000005</v>
      </c>
      <c r="S6546">
        <v>-5.1635739999999999E-2</v>
      </c>
      <c r="T6546">
        <v>-0.3835056</v>
      </c>
      <c r="U6546">
        <v>-3.4240719999999998</v>
      </c>
      <c r="V6546">
        <v>-7.9787040000000004E-2</v>
      </c>
      <c r="W6546">
        <v>0.39301979999999997</v>
      </c>
      <c r="X6546">
        <v>0.91606189999999998</v>
      </c>
      <c r="Y6546">
        <v>4.001383E-2</v>
      </c>
      <c r="Z6546">
        <v>9.7355540000000004E-2</v>
      </c>
      <c r="AA6546">
        <v>0.99444500000000002</v>
      </c>
      <c r="AB6546">
        <v>25</v>
      </c>
      <c r="AC6546">
        <v>-1.53000000000247E-2</v>
      </c>
      <c r="AD6546">
        <v>-8.6732000000000004E-2</v>
      </c>
      <c r="AE6546">
        <v>-0.52515000000000001</v>
      </c>
      <c r="AF6546">
        <v>2.7695237989034099E-2</v>
      </c>
      <c r="AG6546">
        <v>-8.6732000000000004E-2</v>
      </c>
      <c r="AH6546">
        <v>0.51068398708065399</v>
      </c>
      <c r="AI6546">
        <v>99.624976844540797</v>
      </c>
      <c r="AJ6546">
        <v>86.8957958780789</v>
      </c>
      <c r="AK6546">
        <v>0.51873654266097702</v>
      </c>
      <c r="AL6546">
        <v>66.857468101258604</v>
      </c>
      <c r="AM6546">
        <v>94.977778493601207</v>
      </c>
      <c r="AN6546">
        <v>0.99999996978780503</v>
      </c>
    </row>
    <row r="6547" spans="1:40" x14ac:dyDescent="0.25">
      <c r="A6547" t="str">
        <f>"20190304164252543"</f>
        <v>20190304164252543</v>
      </c>
      <c r="B6547" t="str">
        <f>"1551688972537705"</f>
        <v>1551688972537705</v>
      </c>
      <c r="C6547" t="s">
        <v>40</v>
      </c>
      <c r="D6547">
        <v>4.8007439999999999</v>
      </c>
      <c r="E6547">
        <v>0.55974919999999995</v>
      </c>
      <c r="F6547" t="s">
        <v>41</v>
      </c>
      <c r="G6547">
        <v>-302.10199999999998</v>
      </c>
      <c r="H6547">
        <v>1.025665</v>
      </c>
      <c r="I6547">
        <v>-15.60379</v>
      </c>
      <c r="J6547">
        <v>-302.08780000000002</v>
      </c>
      <c r="K6547">
        <v>1.1090549999999999</v>
      </c>
      <c r="L6547">
        <v>-15.10989</v>
      </c>
      <c r="M6547">
        <v>2.2086149999999999E-2</v>
      </c>
      <c r="N6547">
        <v>-1.391935E-2</v>
      </c>
      <c r="O6547">
        <v>-0.99965950000000003</v>
      </c>
      <c r="P6547">
        <v>0.1065473</v>
      </c>
      <c r="Q6547">
        <v>0.38161210000000001</v>
      </c>
      <c r="R6547">
        <v>-0.91816160000000002</v>
      </c>
      <c r="S6547">
        <v>-5.0170899999999997E-2</v>
      </c>
      <c r="T6547">
        <v>-0.38046869999999999</v>
      </c>
      <c r="U6547">
        <v>-3.4270019999999999</v>
      </c>
      <c r="V6547">
        <v>-8.4361779999999997E-2</v>
      </c>
      <c r="W6547">
        <v>0.3947909</v>
      </c>
      <c r="X6547">
        <v>0.91488979999999998</v>
      </c>
      <c r="Y6547">
        <v>3.6620560000000003E-2</v>
      </c>
      <c r="Z6547">
        <v>9.6412460000000005E-2</v>
      </c>
      <c r="AA6547">
        <v>0.99466759999999999</v>
      </c>
      <c r="AB6547">
        <v>25</v>
      </c>
      <c r="AC6547">
        <v>-1.42000000000166E-2</v>
      </c>
      <c r="AD6547">
        <v>-8.3389999999999798E-2</v>
      </c>
      <c r="AE6547">
        <v>-0.49390000000000001</v>
      </c>
      <c r="AF6547">
        <v>2.44106414813797E-2</v>
      </c>
      <c r="AG6547">
        <v>-8.3389999999999798E-2</v>
      </c>
      <c r="AH6547">
        <v>0.47979954864743102</v>
      </c>
      <c r="AI6547">
        <v>99.847130900713196</v>
      </c>
      <c r="AJ6547">
        <v>87.087488199500498</v>
      </c>
      <c r="AK6547">
        <v>0.48760371040406503</v>
      </c>
      <c r="AL6547">
        <v>66.747067693747198</v>
      </c>
      <c r="AM6547">
        <v>95.2683328965269</v>
      </c>
      <c r="AN6547">
        <v>1.0000000553957999</v>
      </c>
    </row>
    <row r="6548" spans="1:40" x14ac:dyDescent="0.25">
      <c r="A6548" t="str">
        <f>"20190304164252565"</f>
        <v>20190304164252565</v>
      </c>
      <c r="B6548" t="str">
        <f>"1551688972557225"</f>
        <v>1551688972557225</v>
      </c>
      <c r="C6548" t="s">
        <v>40</v>
      </c>
      <c r="D6548">
        <v>4.7863340000000001</v>
      </c>
      <c r="E6548">
        <v>0.55980109999999905</v>
      </c>
      <c r="F6548" t="s">
        <v>41</v>
      </c>
      <c r="G6548">
        <v>-302.10059999999999</v>
      </c>
      <c r="H6548">
        <v>1.0056339999999999</v>
      </c>
      <c r="I6548">
        <v>-16.040019999999998</v>
      </c>
      <c r="J6548">
        <v>-302.08550000000002</v>
      </c>
      <c r="K6548">
        <v>1.1091260000000001</v>
      </c>
      <c r="L6548">
        <v>-15.35886</v>
      </c>
      <c r="M6548">
        <v>1.930285E-2</v>
      </c>
      <c r="N6548">
        <v>-1.391678E-2</v>
      </c>
      <c r="O6548">
        <v>-0.99971679999999996</v>
      </c>
      <c r="P6548">
        <v>0.10825609999999999</v>
      </c>
      <c r="Q6548">
        <v>0.38284309999999999</v>
      </c>
      <c r="R6548">
        <v>-0.9174485</v>
      </c>
      <c r="S6548">
        <v>-4.6783449999999997E-2</v>
      </c>
      <c r="T6548">
        <v>-0.38153090000000001</v>
      </c>
      <c r="U6548">
        <v>-3.4313959999999999</v>
      </c>
      <c r="V6548">
        <v>-8.8701310000000005E-2</v>
      </c>
      <c r="W6548">
        <v>0.39601330000000001</v>
      </c>
      <c r="X6548">
        <v>0.9139505</v>
      </c>
      <c r="Y6548">
        <v>3.2840679999999997E-2</v>
      </c>
      <c r="Z6548">
        <v>9.6597429999999998E-2</v>
      </c>
      <c r="AA6548">
        <v>0.99478160000000004</v>
      </c>
      <c r="AB6548">
        <v>25</v>
      </c>
      <c r="AC6548">
        <v>-1.50999999999612E-2</v>
      </c>
      <c r="AD6548">
        <v>-0.103492</v>
      </c>
      <c r="AE6548">
        <v>-0.68116000000000199</v>
      </c>
      <c r="AF6548">
        <v>2.7609752435059198E-2</v>
      </c>
      <c r="AG6548">
        <v>-0.103492</v>
      </c>
      <c r="AH6548">
        <v>0.66538911514747701</v>
      </c>
      <c r="AI6548">
        <v>98.833242735706904</v>
      </c>
      <c r="AJ6548">
        <v>87.623923671558003</v>
      </c>
      <c r="AK6548">
        <v>0.67395516694381596</v>
      </c>
      <c r="AL6548">
        <v>66.670813678970404</v>
      </c>
      <c r="AM6548">
        <v>95.543345581950703</v>
      </c>
      <c r="AN6548">
        <v>0.99999998631142795</v>
      </c>
    </row>
    <row r="6549" spans="1:40" x14ac:dyDescent="0.25">
      <c r="A6549" t="str">
        <f>"20190304164252587"</f>
        <v>20190304164252587</v>
      </c>
      <c r="B6549" t="str">
        <f>"1551688972577721"</f>
        <v>1551688972577721</v>
      </c>
      <c r="C6549" t="s">
        <v>40</v>
      </c>
      <c r="D6549">
        <v>4.8062459999999998</v>
      </c>
      <c r="E6549">
        <v>0.55983539999999998</v>
      </c>
      <c r="F6549" t="s">
        <v>41</v>
      </c>
      <c r="G6549">
        <v>-302.09710000000001</v>
      </c>
      <c r="H6549">
        <v>1.0087269999999999</v>
      </c>
      <c r="I6549">
        <v>-16.264109999999999</v>
      </c>
      <c r="J6549">
        <v>-302.08390000000003</v>
      </c>
      <c r="K6549">
        <v>1.1091839999999999</v>
      </c>
      <c r="L6549">
        <v>-15.609439999999999</v>
      </c>
      <c r="M6549">
        <v>1.6573899999999999E-2</v>
      </c>
      <c r="N6549">
        <v>-1.3913729999999999E-2</v>
      </c>
      <c r="O6549">
        <v>-0.99976589999999999</v>
      </c>
      <c r="P6549">
        <v>0.1092844</v>
      </c>
      <c r="Q6549">
        <v>0.38364779999999998</v>
      </c>
      <c r="R6549">
        <v>-0.91699070000000005</v>
      </c>
      <c r="S6549">
        <v>-4.379272E-2</v>
      </c>
      <c r="T6549">
        <v>-0.38080180000000002</v>
      </c>
      <c r="U6549">
        <v>-3.434021</v>
      </c>
      <c r="V6549">
        <v>-9.2298050000000006E-2</v>
      </c>
      <c r="W6549">
        <v>0.39680919999999997</v>
      </c>
      <c r="X6549">
        <v>0.91324890000000003</v>
      </c>
      <c r="Y6549">
        <v>2.9239279999999999E-2</v>
      </c>
      <c r="Z6549">
        <v>9.6323599999999995E-2</v>
      </c>
      <c r="AA6549">
        <v>0.99492049999999999</v>
      </c>
      <c r="AB6549">
        <v>25</v>
      </c>
      <c r="AC6549">
        <v>-1.31999999999834E-2</v>
      </c>
      <c r="AD6549">
        <v>-0.10045699999999901</v>
      </c>
      <c r="AE6549">
        <v>-0.65467000000000197</v>
      </c>
      <c r="AF6549">
        <v>2.34966461703566E-2</v>
      </c>
      <c r="AG6549">
        <v>-0.10045699999999901</v>
      </c>
      <c r="AH6549">
        <v>0.63931414499132599</v>
      </c>
      <c r="AI6549">
        <v>98.924080255595896</v>
      </c>
      <c r="AJ6549">
        <v>87.895161564497997</v>
      </c>
      <c r="AK6549">
        <v>0.64758495752777101</v>
      </c>
      <c r="AL6549">
        <v>66.621143205426804</v>
      </c>
      <c r="AM6549">
        <v>95.771036744278206</v>
      </c>
      <c r="AN6549">
        <v>1.0000000122948201</v>
      </c>
    </row>
    <row r="6550" spans="1:40" x14ac:dyDescent="0.25">
      <c r="A6550" t="str">
        <f>"20190304164252608"</f>
        <v>20190304164252608</v>
      </c>
      <c r="B6550" t="str">
        <f>"1551688972597241"</f>
        <v>1551688972597241</v>
      </c>
      <c r="C6550" t="s">
        <v>40</v>
      </c>
      <c r="D6550">
        <v>4.778378</v>
      </c>
      <c r="E6550">
        <v>0.559782</v>
      </c>
      <c r="F6550" t="s">
        <v>41</v>
      </c>
      <c r="G6550">
        <v>-302.0949</v>
      </c>
      <c r="H6550">
        <v>1.011557</v>
      </c>
      <c r="I6550">
        <v>-16.48781</v>
      </c>
      <c r="J6550">
        <v>-302.0829</v>
      </c>
      <c r="K6550">
        <v>1.109237</v>
      </c>
      <c r="L6550">
        <v>-15.84995</v>
      </c>
      <c r="M6550">
        <v>1.402552E-2</v>
      </c>
      <c r="N6550">
        <v>-1.3910499999999999E-2</v>
      </c>
      <c r="O6550">
        <v>-0.99980500000000005</v>
      </c>
      <c r="P6550">
        <v>0.1111531</v>
      </c>
      <c r="Q6550">
        <v>0.3844825</v>
      </c>
      <c r="R6550">
        <v>-0.91641649999999997</v>
      </c>
      <c r="S6550">
        <v>-4.3273930000000002E-2</v>
      </c>
      <c r="T6550">
        <v>-0.38196799999999997</v>
      </c>
      <c r="U6550">
        <v>-3.4365230000000002</v>
      </c>
      <c r="V6550">
        <v>-9.6563969999999999E-2</v>
      </c>
      <c r="W6550">
        <v>0.3976362</v>
      </c>
      <c r="X6550">
        <v>0.91244769999999997</v>
      </c>
      <c r="Y6550">
        <v>2.6533910000000001E-2</v>
      </c>
      <c r="Z6550">
        <v>9.6591930000000006E-2</v>
      </c>
      <c r="AA6550">
        <v>0.99497029999999997</v>
      </c>
      <c r="AB6550">
        <v>25</v>
      </c>
      <c r="AC6550">
        <v>-1.2000000000000399E-2</v>
      </c>
      <c r="AD6550">
        <v>-9.7680000000000003E-2</v>
      </c>
      <c r="AE6550">
        <v>-0.63785999999999898</v>
      </c>
      <c r="AF6550">
        <v>2.0466219537613999E-2</v>
      </c>
      <c r="AG6550">
        <v>-9.7680000000000003E-2</v>
      </c>
      <c r="AH6550">
        <v>0.62302359377621097</v>
      </c>
      <c r="AI6550">
        <v>98.905784914255193</v>
      </c>
      <c r="AJ6550">
        <v>88.118519927726496</v>
      </c>
      <c r="AK6550">
        <v>0.63096643884123305</v>
      </c>
      <c r="AL6550">
        <v>66.569510561475795</v>
      </c>
      <c r="AM6550">
        <v>96.041102817424999</v>
      </c>
      <c r="AN6550">
        <v>0.99999997654394501</v>
      </c>
    </row>
    <row r="6551" spans="1:40" x14ac:dyDescent="0.25">
      <c r="A6551" t="str">
        <f>"20190304164252632"</f>
        <v>20190304164252632</v>
      </c>
      <c r="B6551" t="str">
        <f>"1551688972627497"</f>
        <v>1551688972627497</v>
      </c>
      <c r="C6551" t="s">
        <v>40</v>
      </c>
      <c r="D6551">
        <v>4.65238</v>
      </c>
      <c r="E6551">
        <v>0.55989919999999904</v>
      </c>
      <c r="F6551" t="s">
        <v>41</v>
      </c>
      <c r="G6551">
        <v>-302.09280000000001</v>
      </c>
      <c r="H6551">
        <v>1.013309</v>
      </c>
      <c r="I6551">
        <v>-16.71067</v>
      </c>
      <c r="J6551">
        <v>-302.08229999999998</v>
      </c>
      <c r="K6551">
        <v>1.109299</v>
      </c>
      <c r="L6551">
        <v>-16.104369999999999</v>
      </c>
      <c r="M6551">
        <v>1.142109E-2</v>
      </c>
      <c r="N6551">
        <v>-1.390657E-2</v>
      </c>
      <c r="O6551">
        <v>-0.99983820000000001</v>
      </c>
      <c r="P6551">
        <v>0.112868899999999</v>
      </c>
      <c r="Q6551">
        <v>0.38413380000000003</v>
      </c>
      <c r="R6551">
        <v>-0.91635270000000002</v>
      </c>
      <c r="S6551">
        <v>-3.9459229999999998E-2</v>
      </c>
      <c r="T6551">
        <v>-0.38318750000000001</v>
      </c>
      <c r="U6551">
        <v>-3.4391780000000001</v>
      </c>
      <c r="V6551">
        <v>-0.1007323</v>
      </c>
      <c r="W6551">
        <v>0.39728229999999998</v>
      </c>
      <c r="X6551">
        <v>0.91215119999999905</v>
      </c>
      <c r="Y6551">
        <v>2.2819519999999999E-2</v>
      </c>
      <c r="Z6551">
        <v>9.6871609999999997E-2</v>
      </c>
      <c r="AA6551">
        <v>0.99503520000000001</v>
      </c>
      <c r="AB6551">
        <v>25</v>
      </c>
      <c r="AC6551">
        <v>-1.0500000000035901E-2</v>
      </c>
      <c r="AD6551">
        <v>-9.5990000000000006E-2</v>
      </c>
      <c r="AE6551">
        <v>-0.60630000000000095</v>
      </c>
      <c r="AF6551">
        <v>1.69986385857035E-2</v>
      </c>
      <c r="AG6551">
        <v>-9.5990000000000006E-2</v>
      </c>
      <c r="AH6551">
        <v>0.59132313259509395</v>
      </c>
      <c r="AI6551">
        <v>99.216702927056204</v>
      </c>
      <c r="AJ6551">
        <v>88.353384056633203</v>
      </c>
      <c r="AK6551">
        <v>0.599304664553716</v>
      </c>
      <c r="AL6551">
        <v>66.591608924326295</v>
      </c>
      <c r="AM6551">
        <v>96.301853651426399</v>
      </c>
      <c r="AN6551">
        <v>1.000000016909</v>
      </c>
    </row>
    <row r="6552" spans="1:40" x14ac:dyDescent="0.25">
      <c r="A6552" t="str">
        <f>"20190304164252653"</f>
        <v>20190304164252653</v>
      </c>
      <c r="B6552" t="str">
        <f>"1551688972647993"</f>
        <v>1551688972647993</v>
      </c>
      <c r="C6552" t="s">
        <v>40</v>
      </c>
      <c r="D6552">
        <v>4.7268429999999997</v>
      </c>
      <c r="E6552">
        <v>0.55993780000000004</v>
      </c>
      <c r="F6552" t="s">
        <v>41</v>
      </c>
      <c r="G6552">
        <v>-302.0915</v>
      </c>
      <c r="H6552">
        <v>1.0153970000000001</v>
      </c>
      <c r="I6552">
        <v>-16.933420000000002</v>
      </c>
      <c r="J6552">
        <v>-302.08229999999998</v>
      </c>
      <c r="K6552">
        <v>1.1093729999999999</v>
      </c>
      <c r="L6552">
        <v>-16.349519999999998</v>
      </c>
      <c r="M6552">
        <v>9.0148469999999994E-3</v>
      </c>
      <c r="N6552">
        <v>-1.3902039999999999E-2</v>
      </c>
      <c r="O6552">
        <v>-0.99986280000000005</v>
      </c>
      <c r="P6552">
        <v>0.1153115</v>
      </c>
      <c r="Q6552">
        <v>0.38316820000000001</v>
      </c>
      <c r="R6552">
        <v>-0.91645290000000001</v>
      </c>
      <c r="S6552">
        <v>-3.7750239999999997E-2</v>
      </c>
      <c r="T6552">
        <v>-0.3897774</v>
      </c>
      <c r="U6552">
        <v>-3.4418950000000001</v>
      </c>
      <c r="V6552">
        <v>-0.1054552</v>
      </c>
      <c r="W6552">
        <v>0.39631189999999999</v>
      </c>
      <c r="X6552">
        <v>0.9120395</v>
      </c>
      <c r="Y6552">
        <v>1.9910799999999999E-2</v>
      </c>
      <c r="Z6552">
        <v>9.8679130000000004E-2</v>
      </c>
      <c r="AA6552">
        <v>0.99492009999999997</v>
      </c>
      <c r="AB6552">
        <v>25</v>
      </c>
      <c r="AC6552">
        <v>-9.2000000000211895E-3</v>
      </c>
      <c r="AD6552">
        <v>-9.3976000000000004E-2</v>
      </c>
      <c r="AE6552">
        <v>-0.58389999999999898</v>
      </c>
      <c r="AF6552">
        <v>1.40987875299715E-2</v>
      </c>
      <c r="AG6552">
        <v>-9.3976000000000004E-2</v>
      </c>
      <c r="AH6552">
        <v>0.56905647878991805</v>
      </c>
      <c r="AI6552">
        <v>99.374565349984394</v>
      </c>
      <c r="AJ6552">
        <v>88.580745801650593</v>
      </c>
      <c r="AK6552">
        <v>0.57693634002253302</v>
      </c>
      <c r="AL6552">
        <v>66.652180585916497</v>
      </c>
      <c r="AM6552">
        <v>96.595575577191497</v>
      </c>
      <c r="AN6552">
        <v>0.99999998542444901</v>
      </c>
    </row>
    <row r="6553" spans="1:40" x14ac:dyDescent="0.25">
      <c r="A6553" t="str">
        <f>"20190304164252676"</f>
        <v>20190304164252676</v>
      </c>
      <c r="B6553" t="str">
        <f>"1551688972667513"</f>
        <v>1551688972667513</v>
      </c>
      <c r="C6553" t="s">
        <v>40</v>
      </c>
      <c r="D6553">
        <v>4.6933189999999998</v>
      </c>
      <c r="E6553">
        <v>0.55997669999999999</v>
      </c>
      <c r="F6553" t="s">
        <v>41</v>
      </c>
      <c r="G6553">
        <v>-302.09059999999999</v>
      </c>
      <c r="H6553">
        <v>1.0166379999999999</v>
      </c>
      <c r="I6553">
        <v>-17.155429999999999</v>
      </c>
      <c r="J6553">
        <v>-302.08280000000002</v>
      </c>
      <c r="K6553">
        <v>1.1094580000000001</v>
      </c>
      <c r="L6553">
        <v>-16.593900000000001</v>
      </c>
      <c r="M6553">
        <v>6.7320419999999997E-3</v>
      </c>
      <c r="N6553">
        <v>-1.3896830000000001E-2</v>
      </c>
      <c r="O6553">
        <v>-0.99988100000000002</v>
      </c>
      <c r="P6553">
        <v>0.1176141</v>
      </c>
      <c r="Q6553">
        <v>0.3820595</v>
      </c>
      <c r="R6553">
        <v>-0.91662319999999997</v>
      </c>
      <c r="S6553">
        <v>-3.4240720000000002E-2</v>
      </c>
      <c r="T6553">
        <v>-0.39600469999999999</v>
      </c>
      <c r="U6553">
        <v>-3.4433590000000001</v>
      </c>
      <c r="V6553">
        <v>-0.10993940000000001</v>
      </c>
      <c r="W6553">
        <v>0.39519209999999999</v>
      </c>
      <c r="X6553">
        <v>0.91199589999999997</v>
      </c>
      <c r="Y6553">
        <v>1.661048E-2</v>
      </c>
      <c r="Z6553">
        <v>0.10042040000000001</v>
      </c>
      <c r="AA6553">
        <v>0.99480639999999998</v>
      </c>
      <c r="AB6553">
        <v>25</v>
      </c>
      <c r="AC6553">
        <v>-7.79999999997471E-3</v>
      </c>
      <c r="AD6553">
        <v>-9.2820000000000097E-2</v>
      </c>
      <c r="AE6553">
        <v>-0.56152999999999698</v>
      </c>
      <c r="AF6553">
        <v>1.12724860009011E-2</v>
      </c>
      <c r="AG6553">
        <v>-9.2820000000000097E-2</v>
      </c>
      <c r="AH6553">
        <v>0.54653437683295603</v>
      </c>
      <c r="AI6553">
        <v>99.6367778413248</v>
      </c>
      <c r="AJ6553">
        <v>88.818419594507304</v>
      </c>
      <c r="AK6553">
        <v>0.55447492855928804</v>
      </c>
      <c r="AL6553">
        <v>66.722044483427595</v>
      </c>
      <c r="AM6553">
        <v>96.873731098618705</v>
      </c>
      <c r="AN6553">
        <v>0.99999999459578903</v>
      </c>
    </row>
    <row r="6554" spans="1:40" x14ac:dyDescent="0.25">
      <c r="A6554" t="str">
        <f>"20190304164252698"</f>
        <v>20190304164252698</v>
      </c>
      <c r="B6554" t="str">
        <f>"1551688972688009"</f>
        <v>1551688972688009</v>
      </c>
      <c r="C6554" t="s">
        <v>40</v>
      </c>
      <c r="D6554">
        <v>4.6661820000000001</v>
      </c>
      <c r="E6554">
        <v>0.56037740000000003</v>
      </c>
      <c r="F6554" t="s">
        <v>41</v>
      </c>
      <c r="G6554">
        <v>-302.08960000000002</v>
      </c>
      <c r="H6554">
        <v>1.0177020000000001</v>
      </c>
      <c r="I6554">
        <v>-17.377079999999999</v>
      </c>
      <c r="J6554">
        <v>-302.08359999999999</v>
      </c>
      <c r="K6554">
        <v>1.109553</v>
      </c>
      <c r="L6554">
        <v>-16.836670000000002</v>
      </c>
      <c r="M6554">
        <v>4.5975809999999999E-3</v>
      </c>
      <c r="N6554">
        <v>-1.389118E-2</v>
      </c>
      <c r="O6554">
        <v>-0.99989320000000004</v>
      </c>
      <c r="P6554">
        <v>0.1198736</v>
      </c>
      <c r="Q6554">
        <v>0.38153179999999998</v>
      </c>
      <c r="R6554">
        <v>-0.91655050000000005</v>
      </c>
      <c r="S6554">
        <v>-2.8564450000000002E-2</v>
      </c>
      <c r="T6554">
        <v>-0.40329429999999999</v>
      </c>
      <c r="U6554">
        <v>-3.4446409999999998</v>
      </c>
      <c r="V6554">
        <v>-0.1142575</v>
      </c>
      <c r="W6554">
        <v>0.39464280000000002</v>
      </c>
      <c r="X6554">
        <v>0.91170300000000004</v>
      </c>
      <c r="Y6554">
        <v>1.28346E-2</v>
      </c>
      <c r="Z6554">
        <v>0.1024675</v>
      </c>
      <c r="AA6554">
        <v>0.99465349999999997</v>
      </c>
      <c r="AB6554">
        <v>25</v>
      </c>
      <c r="AC6554">
        <v>-6.0000000000286404E-3</v>
      </c>
      <c r="AD6554">
        <v>-9.1850999999999905E-2</v>
      </c>
      <c r="AE6554">
        <v>-0.54040999999999695</v>
      </c>
      <c r="AF6554">
        <v>8.2465553613546693E-3</v>
      </c>
      <c r="AG6554">
        <v>-9.1850999999999905E-2</v>
      </c>
      <c r="AH6554">
        <v>0.52520628608278497</v>
      </c>
      <c r="AI6554">
        <v>99.9186854632501</v>
      </c>
      <c r="AJ6554">
        <v>89.100441090075293</v>
      </c>
      <c r="AK6554">
        <v>0.53324127261231402</v>
      </c>
      <c r="AL6554">
        <v>66.756302659257599</v>
      </c>
      <c r="AM6554">
        <v>97.143246412079094</v>
      </c>
      <c r="AN6554">
        <v>1.0000000380535401</v>
      </c>
    </row>
    <row r="6555" spans="1:40" x14ac:dyDescent="0.25">
      <c r="A6555" t="str">
        <f>"20190304164252721"</f>
        <v>20190304164252721</v>
      </c>
      <c r="B6555" t="str">
        <f>"1551688972717289"</f>
        <v>1551688972717289</v>
      </c>
      <c r="C6555" t="s">
        <v>40</v>
      </c>
      <c r="D6555">
        <v>5.0328390000000001</v>
      </c>
      <c r="E6555">
        <v>0.56043690000000002</v>
      </c>
      <c r="F6555" t="s">
        <v>41</v>
      </c>
      <c r="G6555">
        <v>-302.08940000000001</v>
      </c>
      <c r="H6555">
        <v>1.0198</v>
      </c>
      <c r="I6555">
        <v>-17.598879999999902</v>
      </c>
      <c r="J6555">
        <v>-302.0849</v>
      </c>
      <c r="K6555">
        <v>1.1096729999999999</v>
      </c>
      <c r="L6555">
        <v>-17.085539999999899</v>
      </c>
      <c r="M6555">
        <v>2.5703710000000001E-3</v>
      </c>
      <c r="N6555">
        <v>-1.3885099999999999E-2</v>
      </c>
      <c r="O6555">
        <v>-0.99990049999999997</v>
      </c>
      <c r="P6555">
        <v>0.12182</v>
      </c>
      <c r="Q6555">
        <v>0.38155309999999998</v>
      </c>
      <c r="R6555">
        <v>-0.91628489999999996</v>
      </c>
      <c r="S6555">
        <v>-2.5115970000000001E-2</v>
      </c>
      <c r="T6555">
        <v>-0.40554479999999998</v>
      </c>
      <c r="U6555">
        <v>-3.4452509999999998</v>
      </c>
      <c r="V6555">
        <v>-0.11817800000000001</v>
      </c>
      <c r="W6555">
        <v>0.39463100000000001</v>
      </c>
      <c r="X6555">
        <v>0.91120820000000002</v>
      </c>
      <c r="Y6555">
        <v>9.8125350000000007E-3</v>
      </c>
      <c r="Z6555">
        <v>0.10309790000000001</v>
      </c>
      <c r="AA6555">
        <v>0.99462280000000003</v>
      </c>
      <c r="AB6555">
        <v>25</v>
      </c>
      <c r="AC6555">
        <v>-4.5000000000072699E-3</v>
      </c>
      <c r="AD6555">
        <v>-8.98729999999998E-2</v>
      </c>
      <c r="AE6555">
        <v>-0.51333999999999902</v>
      </c>
      <c r="AF6555">
        <v>5.6465264953444397E-3</v>
      </c>
      <c r="AG6555">
        <v>-8.98729999999998E-2</v>
      </c>
      <c r="AH6555">
        <v>0.49806169305843001</v>
      </c>
      <c r="AI6555">
        <v>100.228053585517</v>
      </c>
      <c r="AJ6555">
        <v>89.350465450044197</v>
      </c>
      <c r="AK6555">
        <v>0.50613682881479005</v>
      </c>
      <c r="AL6555">
        <v>66.757038143674507</v>
      </c>
      <c r="AM6555">
        <v>97.389655709229999</v>
      </c>
      <c r="AN6555">
        <v>1.0000000247961101</v>
      </c>
    </row>
    <row r="6556" spans="1:40" x14ac:dyDescent="0.25">
      <c r="A6556" t="str">
        <f>"20190304164252743"</f>
        <v>20190304164252743</v>
      </c>
      <c r="B6556" t="str">
        <f>"1551688972737785"</f>
        <v>1551688972737785</v>
      </c>
      <c r="C6556" t="s">
        <v>40</v>
      </c>
      <c r="D6556">
        <v>4.6114730000000002</v>
      </c>
      <c r="E6556">
        <v>0.51534599999999997</v>
      </c>
      <c r="F6556" t="s">
        <v>41</v>
      </c>
      <c r="G6556">
        <v>-302.08909999999997</v>
      </c>
      <c r="H6556">
        <v>1.02267</v>
      </c>
      <c r="I6556">
        <v>-17.820729999999902</v>
      </c>
      <c r="J6556">
        <v>-302.0865</v>
      </c>
      <c r="K6556">
        <v>1.1098140000000001</v>
      </c>
      <c r="L6556">
        <v>-17.337489999999999</v>
      </c>
      <c r="M6556">
        <v>7.2377200000000002E-4</v>
      </c>
      <c r="N6556">
        <v>-1.38786E-2</v>
      </c>
      <c r="O6556">
        <v>-0.9999034</v>
      </c>
      <c r="P6556">
        <v>0.1235169</v>
      </c>
      <c r="Q6556">
        <v>0.38188470000000002</v>
      </c>
      <c r="R6556">
        <v>-0.91591920000000004</v>
      </c>
      <c r="S6556">
        <v>-1.876831E-2</v>
      </c>
      <c r="T6556">
        <v>-0.4076766</v>
      </c>
      <c r="U6556">
        <v>-3.4463499999999998</v>
      </c>
      <c r="V6556">
        <v>-0.1216975</v>
      </c>
      <c r="W6556">
        <v>0.39491929999999997</v>
      </c>
      <c r="X6556">
        <v>0.91061990000000004</v>
      </c>
      <c r="Y6556">
        <v>6.134614E-3</v>
      </c>
      <c r="Z6556">
        <v>0.1036774</v>
      </c>
      <c r="AA6556">
        <v>0.99459209999999998</v>
      </c>
      <c r="AB6556">
        <v>25</v>
      </c>
      <c r="AC6556">
        <v>-2.5999999999726199E-3</v>
      </c>
      <c r="AD6556">
        <v>-8.7143999999999805E-2</v>
      </c>
      <c r="AE6556">
        <v>-0.483239999999998</v>
      </c>
      <c r="AF6556">
        <v>2.8568856458984701E-3</v>
      </c>
      <c r="AG6556">
        <v>-8.7143999999999805E-2</v>
      </c>
      <c r="AH6556">
        <v>0.46801851566529201</v>
      </c>
      <c r="AI6556">
        <v>100.547367468407</v>
      </c>
      <c r="AJ6556">
        <v>89.650258586891496</v>
      </c>
      <c r="AK6556">
        <v>0.47607097111369501</v>
      </c>
      <c r="AL6556">
        <v>66.7390605856734</v>
      </c>
      <c r="AM6556">
        <v>97.612045959010999</v>
      </c>
      <c r="AN6556">
        <v>1.00000006864737</v>
      </c>
    </row>
    <row r="6557" spans="1:40" x14ac:dyDescent="0.25">
      <c r="A6557" t="str">
        <f>"20190304164252766"</f>
        <v>20190304164252766</v>
      </c>
      <c r="B6557" t="str">
        <f>"1551688972757306"</f>
        <v>1551688972757306</v>
      </c>
      <c r="C6557" t="s">
        <v>40</v>
      </c>
      <c r="D6557">
        <v>4.5882009999999998</v>
      </c>
      <c r="E6557">
        <v>0.50930520000000001</v>
      </c>
      <c r="F6557" t="s">
        <v>42</v>
      </c>
      <c r="G6557">
        <v>-301.1327</v>
      </c>
      <c r="H6557" s="1">
        <v>-1.876304E-6</v>
      </c>
      <c r="I6557">
        <v>-26.73969</v>
      </c>
      <c r="J6557">
        <v>-302.08819999999997</v>
      </c>
      <c r="K6557">
        <v>1.1099589999999999</v>
      </c>
      <c r="L6557">
        <v>-17.579129999999999</v>
      </c>
      <c r="M6557">
        <v>-8.3431450000000002E-4</v>
      </c>
      <c r="N6557">
        <v>-1.3872199999999999E-2</v>
      </c>
      <c r="O6557">
        <v>-0.9999034</v>
      </c>
      <c r="P6557">
        <v>0.12598190000000001</v>
      </c>
      <c r="Q6557">
        <v>0.38148959999999998</v>
      </c>
      <c r="R6557">
        <v>-0.91574800000000001</v>
      </c>
      <c r="S6557">
        <v>0.34451290000000001</v>
      </c>
      <c r="T6557">
        <v>-0.40086699999999997</v>
      </c>
      <c r="U6557">
        <v>-3.3960880000000002</v>
      </c>
      <c r="V6557">
        <v>-0.12572729999999999</v>
      </c>
      <c r="W6557">
        <v>0.39448119999999998</v>
      </c>
      <c r="X6557">
        <v>0.91026220000000002</v>
      </c>
      <c r="Y6557">
        <v>-0.101129</v>
      </c>
      <c r="Z6557">
        <v>0.10283970000000001</v>
      </c>
      <c r="AA6557">
        <v>0.98954379999999997</v>
      </c>
      <c r="AB6557">
        <v>25</v>
      </c>
      <c r="AC6557">
        <v>0.95549999999997204</v>
      </c>
      <c r="AD6557">
        <v>-1.1099608763040001</v>
      </c>
      <c r="AE6557">
        <v>-9.1605600000000003</v>
      </c>
      <c r="AF6557">
        <v>-0.94935521396874201</v>
      </c>
      <c r="AG6557">
        <v>-1.1099608763040001</v>
      </c>
      <c r="AH6557">
        <v>9.0286320504488202</v>
      </c>
      <c r="AI6557">
        <v>96.970606071662402</v>
      </c>
      <c r="AJ6557">
        <v>96.002559280632198</v>
      </c>
      <c r="AK6557">
        <v>9.1460092483884399</v>
      </c>
      <c r="AL6557">
        <v>66.766378774584595</v>
      </c>
      <c r="AM6557">
        <v>97.864054245213097</v>
      </c>
      <c r="AN6557">
        <v>1.0000000219337799</v>
      </c>
    </row>
    <row r="6558" spans="1:40" x14ac:dyDescent="0.25">
      <c r="A6558" t="str">
        <f>"20190304164252789"</f>
        <v>20190304164252789</v>
      </c>
      <c r="B6558" t="str">
        <f>"1551688972777802"</f>
        <v>1551688972777802</v>
      </c>
      <c r="C6558" t="s">
        <v>40</v>
      </c>
      <c r="D6558">
        <v>4.5313569999999999</v>
      </c>
      <c r="E6558">
        <v>0.50749769999999905</v>
      </c>
      <c r="F6558" t="s">
        <v>42</v>
      </c>
      <c r="G6558">
        <v>-300.94470000000001</v>
      </c>
      <c r="H6558" s="1">
        <v>-1.58051E-6</v>
      </c>
      <c r="I6558">
        <v>-27.312619999999999</v>
      </c>
      <c r="J6558">
        <v>-302.09010000000001</v>
      </c>
      <c r="K6558">
        <v>1.110101</v>
      </c>
      <c r="L6558">
        <v>-17.831240000000001</v>
      </c>
      <c r="M6558">
        <v>-2.270649E-3</v>
      </c>
      <c r="N6558">
        <v>-1.386562E-2</v>
      </c>
      <c r="O6558">
        <v>-0.99990140000000005</v>
      </c>
      <c r="P6558">
        <v>0.127851399999999</v>
      </c>
      <c r="Q6558">
        <v>0.38091380000000002</v>
      </c>
      <c r="R6558">
        <v>-0.91572889999999996</v>
      </c>
      <c r="S6558">
        <v>0.3973083</v>
      </c>
      <c r="T6558">
        <v>-0.3856694</v>
      </c>
      <c r="U6558">
        <v>-3.3820190000000001</v>
      </c>
      <c r="V6558">
        <v>-0.12904779999999999</v>
      </c>
      <c r="W6558">
        <v>0.39386060000000001</v>
      </c>
      <c r="X6558">
        <v>0.91006620000000005</v>
      </c>
      <c r="Y6558">
        <v>-0.1182552</v>
      </c>
      <c r="Z6558">
        <v>9.8731669999999994E-2</v>
      </c>
      <c r="AA6558">
        <v>0.98806260000000001</v>
      </c>
      <c r="AB6558">
        <v>25</v>
      </c>
      <c r="AC6558">
        <v>1.14539999999999</v>
      </c>
      <c r="AD6558">
        <v>-1.11010258051</v>
      </c>
      <c r="AE6558">
        <v>-9.4813799999999997</v>
      </c>
      <c r="AF6558">
        <v>-1.1513716960935401</v>
      </c>
      <c r="AG6558">
        <v>-1.11010258051</v>
      </c>
      <c r="AH6558">
        <v>9.3523933322735697</v>
      </c>
      <c r="AI6558">
        <v>96.718919204842095</v>
      </c>
      <c r="AJ6558">
        <v>97.018359893134203</v>
      </c>
      <c r="AK6558">
        <v>9.4881634452287607</v>
      </c>
      <c r="AL6558">
        <v>66.805068410335593</v>
      </c>
      <c r="AM6558">
        <v>98.0707606406651</v>
      </c>
      <c r="AN6558">
        <v>0.99999999764981995</v>
      </c>
    </row>
    <row r="6559" spans="1:40" x14ac:dyDescent="0.25">
      <c r="A6559" t="str">
        <f>"20190304164252812"</f>
        <v>20190304164252812</v>
      </c>
      <c r="B6559" t="str">
        <f>"1551688972808057"</f>
        <v>1551688972808057</v>
      </c>
      <c r="C6559" t="s">
        <v>40</v>
      </c>
      <c r="D6559">
        <v>4.5212409999999998</v>
      </c>
      <c r="E6559">
        <v>0.50705040000000001</v>
      </c>
      <c r="F6559" t="s">
        <v>42</v>
      </c>
      <c r="G6559">
        <v>-300.87619999999998</v>
      </c>
      <c r="H6559" s="1">
        <v>-1.4229960000000001E-6</v>
      </c>
      <c r="I6559">
        <v>-27.637280000000001</v>
      </c>
      <c r="J6559">
        <v>-302.09230000000002</v>
      </c>
      <c r="K6559">
        <v>1.110233</v>
      </c>
      <c r="L6559">
        <v>-18.081700000000001</v>
      </c>
      <c r="M6559">
        <v>-3.4989130000000002E-3</v>
      </c>
      <c r="N6559">
        <v>-1.385924E-2</v>
      </c>
      <c r="O6559">
        <v>-0.99989810000000001</v>
      </c>
      <c r="P6559">
        <v>0.13012099999999999</v>
      </c>
      <c r="Q6559">
        <v>0.38057780000000002</v>
      </c>
      <c r="R6559">
        <v>-0.91554880000000005</v>
      </c>
      <c r="S6559">
        <v>0.41802980000000001</v>
      </c>
      <c r="T6559">
        <v>-0.38226700000000002</v>
      </c>
      <c r="U6559">
        <v>-3.3767399999999999</v>
      </c>
      <c r="V6559">
        <v>-0.13256899999999999</v>
      </c>
      <c r="W6559">
        <v>0.39347880000000002</v>
      </c>
      <c r="X6559">
        <v>0.90972520000000001</v>
      </c>
      <c r="Y6559">
        <v>-0.12563179999999999</v>
      </c>
      <c r="Z6559">
        <v>9.7834710000000005E-2</v>
      </c>
      <c r="AA6559">
        <v>0.98724109999999998</v>
      </c>
      <c r="AB6559">
        <v>24</v>
      </c>
      <c r="AC6559">
        <v>1.2161000000000399</v>
      </c>
      <c r="AD6559">
        <v>-1.1102344229959999</v>
      </c>
      <c r="AE6559">
        <v>-9.5555800000000009</v>
      </c>
      <c r="AF6559">
        <v>-1.23314842992545</v>
      </c>
      <c r="AG6559">
        <v>-1.1102344229959999</v>
      </c>
      <c r="AH6559">
        <v>9.4260479443601994</v>
      </c>
      <c r="AI6559">
        <v>96.6613114473774</v>
      </c>
      <c r="AJ6559">
        <v>97.453305250365801</v>
      </c>
      <c r="AK6559">
        <v>9.5709798544145901</v>
      </c>
      <c r="AL6559">
        <v>66.8288661216436</v>
      </c>
      <c r="AM6559">
        <v>98.291023627075504</v>
      </c>
      <c r="AN6559">
        <v>1.0000000226627399</v>
      </c>
    </row>
    <row r="6560" spans="1:40" x14ac:dyDescent="0.25">
      <c r="A6560" t="str">
        <f>"20190304164252833"</f>
        <v>20190304164252833</v>
      </c>
      <c r="B6560" t="str">
        <f>"1551688972827577"</f>
        <v>1551688972827577</v>
      </c>
      <c r="C6560" t="s">
        <v>40</v>
      </c>
      <c r="D6560">
        <v>4.5142350000000002</v>
      </c>
      <c r="E6560">
        <v>0.50713869999999905</v>
      </c>
      <c r="F6560" t="s">
        <v>42</v>
      </c>
      <c r="G6560">
        <v>-300.85219999999998</v>
      </c>
      <c r="H6560" s="1">
        <v>-1.3236520000000001E-6</v>
      </c>
      <c r="I6560">
        <v>-27.853999999999999</v>
      </c>
      <c r="J6560">
        <v>-302.09429999999998</v>
      </c>
      <c r="K6560">
        <v>1.1103590000000001</v>
      </c>
      <c r="L6560">
        <v>-18.32001</v>
      </c>
      <c r="M6560">
        <v>-4.4669200000000001E-3</v>
      </c>
      <c r="N6560">
        <v>-1.3853290000000001E-2</v>
      </c>
      <c r="O6560">
        <v>-0.99989419999999996</v>
      </c>
      <c r="P6560">
        <v>0.13343269999999999</v>
      </c>
      <c r="Q6560">
        <v>0.38001570000000001</v>
      </c>
      <c r="R6560">
        <v>-0.91530540000000005</v>
      </c>
      <c r="S6560">
        <v>0.42828369999999999</v>
      </c>
      <c r="T6560">
        <v>-0.38346219999999998</v>
      </c>
      <c r="U6560">
        <v>-3.3752439999999999</v>
      </c>
      <c r="V6560">
        <v>-0.13688889999999901</v>
      </c>
      <c r="W6560">
        <v>0.39287159999999999</v>
      </c>
      <c r="X6560">
        <v>0.90934780000000004</v>
      </c>
      <c r="Y6560">
        <v>-0.12958919999999999</v>
      </c>
      <c r="Z6560">
        <v>9.8183380000000001E-2</v>
      </c>
      <c r="AA6560">
        <v>0.98669479999999998</v>
      </c>
      <c r="AB6560">
        <v>24</v>
      </c>
      <c r="AC6560">
        <v>1.24209999999999</v>
      </c>
      <c r="AD6560">
        <v>-1.1103603236519901</v>
      </c>
      <c r="AE6560">
        <v>-9.5339899999999993</v>
      </c>
      <c r="AF6560">
        <v>-1.2677705796540299</v>
      </c>
      <c r="AG6560">
        <v>-1.1103603236519901</v>
      </c>
      <c r="AH6560">
        <v>9.40293588855012</v>
      </c>
      <c r="AI6560">
        <v>96.674830001676398</v>
      </c>
      <c r="AJ6560">
        <v>97.678718433877904</v>
      </c>
      <c r="AK6560">
        <v>9.5527663854592806</v>
      </c>
      <c r="AL6560">
        <v>66.866703900706398</v>
      </c>
      <c r="AM6560">
        <v>98.560756079875802</v>
      </c>
      <c r="AN6560">
        <v>1.0000000431973</v>
      </c>
    </row>
    <row r="6561" spans="1:40" x14ac:dyDescent="0.25">
      <c r="A6561" t="str">
        <f>"20190304164252855"</f>
        <v>20190304164252855</v>
      </c>
      <c r="B6561" t="str">
        <f>"1551688972848073"</f>
        <v>1551688972848073</v>
      </c>
      <c r="C6561" t="s">
        <v>40</v>
      </c>
      <c r="D6561">
        <v>4.5205080000000004</v>
      </c>
      <c r="E6561">
        <v>0.50715849999999996</v>
      </c>
      <c r="F6561" t="s">
        <v>42</v>
      </c>
      <c r="G6561">
        <v>-300.84300000000002</v>
      </c>
      <c r="H6561" s="1">
        <v>-1.257484E-6</v>
      </c>
      <c r="I6561">
        <v>-28.002510000000001</v>
      </c>
      <c r="J6561">
        <v>-302.09640000000002</v>
      </c>
      <c r="K6561">
        <v>1.1104959999999999</v>
      </c>
      <c r="L6561">
        <v>-18.556270000000001</v>
      </c>
      <c r="M6561">
        <v>-5.2229420000000004E-3</v>
      </c>
      <c r="N6561">
        <v>-1.384751E-2</v>
      </c>
      <c r="O6561">
        <v>-0.99989059999999996</v>
      </c>
      <c r="P6561">
        <v>0.1368373</v>
      </c>
      <c r="Q6561">
        <v>0.38008059999999999</v>
      </c>
      <c r="R6561">
        <v>-0.91477589999999998</v>
      </c>
      <c r="S6561">
        <v>0.43612669999999998</v>
      </c>
      <c r="T6561">
        <v>-0.3869995</v>
      </c>
      <c r="U6561">
        <v>-3.374695</v>
      </c>
      <c r="V6561">
        <v>-0.141112299999999</v>
      </c>
      <c r="W6561">
        <v>0.39288210000000001</v>
      </c>
      <c r="X6561">
        <v>0.90869739999999999</v>
      </c>
      <c r="Y6561">
        <v>-0.13259799999999999</v>
      </c>
      <c r="Z6561">
        <v>9.9187890000000001E-2</v>
      </c>
      <c r="AA6561">
        <v>0.98619449999999997</v>
      </c>
      <c r="AB6561">
        <v>24</v>
      </c>
      <c r="AC6561">
        <v>1.2533999999999901</v>
      </c>
      <c r="AD6561">
        <v>-1.110497257484</v>
      </c>
      <c r="AE6561">
        <v>-9.4462399999999906</v>
      </c>
      <c r="AF6561">
        <v>-1.2852693212664701</v>
      </c>
      <c r="AG6561">
        <v>-1.110497257484</v>
      </c>
      <c r="AH6561">
        <v>9.3130814764001997</v>
      </c>
      <c r="AI6561">
        <v>96.736620986186395</v>
      </c>
      <c r="AJ6561">
        <v>97.857577775579003</v>
      </c>
      <c r="AK6561">
        <v>9.4667105149115507</v>
      </c>
      <c r="AL6561">
        <v>66.866048516786293</v>
      </c>
      <c r="AM6561">
        <v>98.827000133620899</v>
      </c>
      <c r="AN6561">
        <v>0.99999999523923</v>
      </c>
    </row>
    <row r="6562" spans="1:40" x14ac:dyDescent="0.25">
      <c r="A6562" t="str">
        <f>"20190304164252877"</f>
        <v>20190304164252877</v>
      </c>
      <c r="B6562" t="str">
        <f>"1551688972868070"</f>
        <v>1551688972868070</v>
      </c>
      <c r="C6562" t="s">
        <v>40</v>
      </c>
      <c r="D6562">
        <v>4.5207309999999996</v>
      </c>
      <c r="E6562">
        <v>0.50722539999999905</v>
      </c>
      <c r="F6562" t="s">
        <v>42</v>
      </c>
      <c r="G6562">
        <v>-300.8152</v>
      </c>
      <c r="H6562" s="1">
        <v>-1.1427699999999999E-6</v>
      </c>
      <c r="I6562">
        <v>-28.252690000000001</v>
      </c>
      <c r="J6562">
        <v>-302.0985</v>
      </c>
      <c r="K6562">
        <v>1.110654</v>
      </c>
      <c r="L6562">
        <v>-18.80396</v>
      </c>
      <c r="M6562">
        <v>-5.7984600000000001E-3</v>
      </c>
      <c r="N6562">
        <v>-1.3841849999999999E-2</v>
      </c>
      <c r="O6562">
        <v>-0.99988730000000003</v>
      </c>
      <c r="P6562">
        <v>0.13998169999999999</v>
      </c>
      <c r="Q6562">
        <v>0.38051299999999999</v>
      </c>
      <c r="R6562">
        <v>-0.91411989999999999</v>
      </c>
      <c r="S6562">
        <v>0.44570920000000003</v>
      </c>
      <c r="T6562">
        <v>-0.38633810000000002</v>
      </c>
      <c r="U6562">
        <v>-3.3733520000000001</v>
      </c>
      <c r="V6562">
        <v>-0.14492669999999999</v>
      </c>
      <c r="W6562">
        <v>0.3932486</v>
      </c>
      <c r="X6562">
        <v>0.90793820000000003</v>
      </c>
      <c r="Y6562">
        <v>-0.1359717</v>
      </c>
      <c r="Z6562">
        <v>9.8999190000000001E-2</v>
      </c>
      <c r="AA6562">
        <v>0.98575400000000002</v>
      </c>
      <c r="AB6562">
        <v>24</v>
      </c>
      <c r="AC6562">
        <v>1.2832999999999899</v>
      </c>
      <c r="AD6562">
        <v>-1.11065514277</v>
      </c>
      <c r="AE6562">
        <v>-9.4487299999999994</v>
      </c>
      <c r="AF6562">
        <v>-1.3201615551629999</v>
      </c>
      <c r="AG6562">
        <v>-1.11065514277</v>
      </c>
      <c r="AH6562">
        <v>9.3147589331548204</v>
      </c>
      <c r="AI6562">
        <v>96.732961530358807</v>
      </c>
      <c r="AJ6562">
        <v>98.066687526788996</v>
      </c>
      <c r="AK6562">
        <v>9.4731787358140398</v>
      </c>
      <c r="AL6562">
        <v>66.843211402161501</v>
      </c>
      <c r="AM6562">
        <v>99.069145465607903</v>
      </c>
      <c r="AN6562">
        <v>0.99999999239704496</v>
      </c>
    </row>
    <row r="6563" spans="1:40" x14ac:dyDescent="0.25">
      <c r="A6563" t="str">
        <f>"20190304164252899"</f>
        <v>20190304164252899</v>
      </c>
      <c r="B6563" t="str">
        <f>"1551688972887589"</f>
        <v>1551688972887589</v>
      </c>
      <c r="C6563" t="s">
        <v>40</v>
      </c>
      <c r="D6563">
        <v>4.5100449999999999</v>
      </c>
      <c r="E6563">
        <v>0.50726579999999999</v>
      </c>
      <c r="F6563" t="s">
        <v>42</v>
      </c>
      <c r="G6563">
        <v>-300.7953</v>
      </c>
      <c r="H6563" s="1">
        <v>-1.036473E-6</v>
      </c>
      <c r="I6563">
        <v>-28.48809</v>
      </c>
      <c r="J6563">
        <v>-302.10039999999998</v>
      </c>
      <c r="K6563">
        <v>1.1107910000000001</v>
      </c>
      <c r="L6563">
        <v>-19.037600000000001</v>
      </c>
      <c r="M6563">
        <v>-6.1354929999999997E-3</v>
      </c>
      <c r="N6563">
        <v>-1.383705E-2</v>
      </c>
      <c r="O6563">
        <v>-0.99988569999999999</v>
      </c>
      <c r="P6563">
        <v>0.14366189999999901</v>
      </c>
      <c r="Q6563">
        <v>0.38078489999999998</v>
      </c>
      <c r="R6563">
        <v>-0.91343580000000002</v>
      </c>
      <c r="S6563">
        <v>0.45397949999999998</v>
      </c>
      <c r="T6563">
        <v>-0.38688669999999997</v>
      </c>
      <c r="U6563">
        <v>-3.373383</v>
      </c>
      <c r="V6563">
        <v>-0.149056299999999</v>
      </c>
      <c r="W6563">
        <v>0.39345380000000002</v>
      </c>
      <c r="X6563">
        <v>0.9071804</v>
      </c>
      <c r="Y6563">
        <v>-0.1386742</v>
      </c>
      <c r="Z6563">
        <v>9.9121280000000006E-2</v>
      </c>
      <c r="AA6563">
        <v>0.98536520000000005</v>
      </c>
      <c r="AB6563">
        <v>24</v>
      </c>
      <c r="AC6563">
        <v>1.3050999999999799</v>
      </c>
      <c r="AD6563">
        <v>-1.110792036473</v>
      </c>
      <c r="AE6563">
        <v>-9.4504900000000003</v>
      </c>
      <c r="AF6563">
        <v>-1.3448329552487499</v>
      </c>
      <c r="AG6563">
        <v>-1.110792036473</v>
      </c>
      <c r="AH6563">
        <v>9.3160100218224091</v>
      </c>
      <c r="AI6563">
        <v>96.730429572056906</v>
      </c>
      <c r="AJ6563">
        <v>98.214311608969595</v>
      </c>
      <c r="AK6563">
        <v>9.4778941412378401</v>
      </c>
      <c r="AL6563">
        <v>66.830423040522305</v>
      </c>
      <c r="AM6563">
        <v>99.330740084648397</v>
      </c>
      <c r="AN6563">
        <v>0.99999997572414401</v>
      </c>
    </row>
    <row r="6564" spans="1:40" x14ac:dyDescent="0.25">
      <c r="A6564" t="str">
        <f>"20190304164252922"</f>
        <v>20190304164252922</v>
      </c>
      <c r="B6564" t="str">
        <f>"1551688972917845"</f>
        <v>1551688972917845</v>
      </c>
      <c r="C6564" t="s">
        <v>40</v>
      </c>
      <c r="D6564">
        <v>4.5110700000000001</v>
      </c>
      <c r="E6564">
        <v>0.50735269999999999</v>
      </c>
      <c r="F6564" t="s">
        <v>42</v>
      </c>
      <c r="G6564">
        <v>-300.76049999999998</v>
      </c>
      <c r="H6564" s="1">
        <v>-9.1790660000000005E-7</v>
      </c>
      <c r="I6564">
        <v>-28.74288</v>
      </c>
      <c r="J6564">
        <v>-302.10219999999998</v>
      </c>
      <c r="K6564">
        <v>1.1109329999999999</v>
      </c>
      <c r="L6564">
        <v>-19.284790000000001</v>
      </c>
      <c r="M6564">
        <v>-6.2997699999999997E-3</v>
      </c>
      <c r="N6564">
        <v>-1.3832240000000001E-2</v>
      </c>
      <c r="O6564">
        <v>-0.99988460000000001</v>
      </c>
      <c r="P6564">
        <v>0.14771879999999901</v>
      </c>
      <c r="Q6564">
        <v>0.38067590000000001</v>
      </c>
      <c r="R6564">
        <v>-0.91283360000000002</v>
      </c>
      <c r="S6564">
        <v>0.46554570000000001</v>
      </c>
      <c r="T6564">
        <v>-0.38593080000000002</v>
      </c>
      <c r="U6564">
        <v>-3.3719790000000001</v>
      </c>
      <c r="V6564">
        <v>-0.15340509999999999</v>
      </c>
      <c r="W6564">
        <v>0.39327709999999999</v>
      </c>
      <c r="X6564">
        <v>0.90653189999999995</v>
      </c>
      <c r="Y6564">
        <v>-0.14220949999999999</v>
      </c>
      <c r="Z6564">
        <v>9.8841730000000003E-2</v>
      </c>
      <c r="AA6564">
        <v>0.98488920000000002</v>
      </c>
      <c r="AB6564">
        <v>24</v>
      </c>
      <c r="AC6564">
        <v>1.3416999999999999</v>
      </c>
      <c r="AD6564">
        <v>-1.1109339179066</v>
      </c>
      <c r="AE6564">
        <v>-9.4580900000000003</v>
      </c>
      <c r="AF6564">
        <v>-1.38256455185705</v>
      </c>
      <c r="AG6564">
        <v>-1.1109339179066</v>
      </c>
      <c r="AH6564">
        <v>9.3233566151433998</v>
      </c>
      <c r="AI6564">
        <v>96.722271773535994</v>
      </c>
      <c r="AJ6564">
        <v>98.434945868783402</v>
      </c>
      <c r="AK6564">
        <v>9.4905551725462907</v>
      </c>
      <c r="AL6564">
        <v>66.841436632952295</v>
      </c>
      <c r="AM6564">
        <v>99.604713172808999</v>
      </c>
      <c r="AN6564">
        <v>1.00000004390401</v>
      </c>
    </row>
    <row r="6565" spans="1:40" x14ac:dyDescent="0.25">
      <c r="A6565" t="str">
        <f>"20190304164252945"</f>
        <v>20190304164252945</v>
      </c>
      <c r="B6565" t="str">
        <f>"1551688972937365"</f>
        <v>1551688972937365</v>
      </c>
      <c r="C6565" t="s">
        <v>40</v>
      </c>
      <c r="D6565">
        <v>4.4859369999999998</v>
      </c>
      <c r="E6565">
        <v>0.50738419999999995</v>
      </c>
      <c r="F6565" t="s">
        <v>42</v>
      </c>
      <c r="G6565">
        <v>-300.74250000000001</v>
      </c>
      <c r="H6565" s="1">
        <v>-8.355526E-7</v>
      </c>
      <c r="I6565">
        <v>-28.923690000000001</v>
      </c>
      <c r="J6565">
        <v>-302.10379999999998</v>
      </c>
      <c r="K6565">
        <v>1.1110500000000001</v>
      </c>
      <c r="L6565">
        <v>-19.529879999999999</v>
      </c>
      <c r="M6565">
        <v>-6.252456E-3</v>
      </c>
      <c r="N6565">
        <v>-1.3827849999999999E-2</v>
      </c>
      <c r="O6565">
        <v>-0.99988509999999997</v>
      </c>
      <c r="P6565">
        <v>0.15271109999999999</v>
      </c>
      <c r="Q6565">
        <v>0.37962509999999999</v>
      </c>
      <c r="R6565">
        <v>-0.91244970000000003</v>
      </c>
      <c r="S6565">
        <v>0.4756165</v>
      </c>
      <c r="T6565">
        <v>-0.38858910000000002</v>
      </c>
      <c r="U6565">
        <v>-3.3715519999999999</v>
      </c>
      <c r="V6565">
        <v>-0.1584749</v>
      </c>
      <c r="W6565">
        <v>0.39216760000000001</v>
      </c>
      <c r="X6565">
        <v>0.90614030000000001</v>
      </c>
      <c r="Y6565">
        <v>-0.14505100000000001</v>
      </c>
      <c r="Z6565">
        <v>9.9580349999999998E-2</v>
      </c>
      <c r="AA6565">
        <v>0.98440030000000001</v>
      </c>
      <c r="AB6565">
        <v>24</v>
      </c>
      <c r="AC6565">
        <v>1.36129999999997</v>
      </c>
      <c r="AD6565">
        <v>-1.1110508355526001</v>
      </c>
      <c r="AE6565">
        <v>-9.3938100000000002</v>
      </c>
      <c r="AF6565">
        <v>-1.4008204550704899</v>
      </c>
      <c r="AG6565">
        <v>-1.1110508355526001</v>
      </c>
      <c r="AH6565">
        <v>9.2582647670843201</v>
      </c>
      <c r="AI6565">
        <v>96.766841163483207</v>
      </c>
      <c r="AJ6565">
        <v>98.603869400400896</v>
      </c>
      <c r="AK6565">
        <v>9.4293265085031805</v>
      </c>
      <c r="AL6565">
        <v>66.910558349164802</v>
      </c>
      <c r="AM6565">
        <v>99.920131543452399</v>
      </c>
      <c r="AN6565">
        <v>0.99999998185192895</v>
      </c>
    </row>
    <row r="6566" spans="1:40" x14ac:dyDescent="0.25">
      <c r="A6566" t="str">
        <f>"20190304164252966"</f>
        <v>20190304164252966</v>
      </c>
      <c r="B6566" t="str">
        <f>"1551688972957862"</f>
        <v>1551688972957862</v>
      </c>
      <c r="C6566" t="s">
        <v>40</v>
      </c>
      <c r="D6566">
        <v>4.530132</v>
      </c>
      <c r="E6566">
        <v>0.50734389999999996</v>
      </c>
      <c r="F6566" t="s">
        <v>42</v>
      </c>
      <c r="G6566">
        <v>-300.72070000000002</v>
      </c>
      <c r="H6566" s="1">
        <v>-7.7565349999999897E-7</v>
      </c>
      <c r="I6566">
        <v>-29.049790000000002</v>
      </c>
      <c r="J6566">
        <v>-302.10509999999999</v>
      </c>
      <c r="K6566">
        <v>1.1111549999999999</v>
      </c>
      <c r="L6566">
        <v>-19.765529999999998</v>
      </c>
      <c r="M6566">
        <v>-6.0406440000000004E-3</v>
      </c>
      <c r="N6566">
        <v>-1.382399E-2</v>
      </c>
      <c r="O6566">
        <v>-0.99988639999999995</v>
      </c>
      <c r="P6566">
        <v>0.1575222</v>
      </c>
      <c r="Q6566">
        <v>0.37779249999999998</v>
      </c>
      <c r="R6566">
        <v>-0.91239230000000004</v>
      </c>
      <c r="S6566">
        <v>0.48956300000000003</v>
      </c>
      <c r="T6566">
        <v>-0.39325209999999999</v>
      </c>
      <c r="U6566">
        <v>-3.3695369999999998</v>
      </c>
      <c r="V6566">
        <v>-0.16319320000000001</v>
      </c>
      <c r="W6566">
        <v>0.39028859999999999</v>
      </c>
      <c r="X6566">
        <v>0.90611419999999998</v>
      </c>
      <c r="Y6566">
        <v>-0.14888989999999999</v>
      </c>
      <c r="Z6566">
        <v>0.10092959999999999</v>
      </c>
      <c r="AA6566">
        <v>0.98368949999999999</v>
      </c>
      <c r="AB6566">
        <v>24</v>
      </c>
      <c r="AC6566">
        <v>1.3843999999999701</v>
      </c>
      <c r="AD6566">
        <v>-1.1111557756535</v>
      </c>
      <c r="AE6566">
        <v>-9.2842599999999997</v>
      </c>
      <c r="AF6566">
        <v>-1.42055792534838</v>
      </c>
      <c r="AG6566">
        <v>-1.1111557756535</v>
      </c>
      <c r="AH6566">
        <v>9.1475502751488804</v>
      </c>
      <c r="AI6566">
        <v>96.844557262387397</v>
      </c>
      <c r="AJ6566">
        <v>98.8271713222057</v>
      </c>
      <c r="AK6566">
        <v>9.3236434945473192</v>
      </c>
      <c r="AL6566">
        <v>67.027543760043002</v>
      </c>
      <c r="AM6566">
        <v>100.209647877511</v>
      </c>
      <c r="AN6566">
        <v>1.00000007762891</v>
      </c>
    </row>
    <row r="6567" spans="1:40" x14ac:dyDescent="0.25">
      <c r="A6567" t="str">
        <f>"20190304164253012"</f>
        <v>20190304164253012</v>
      </c>
      <c r="B6567" t="str">
        <f>"1551688973007636"</f>
        <v>1551688973007636</v>
      </c>
      <c r="C6567" t="s">
        <v>40</v>
      </c>
      <c r="D6567">
        <v>4.5051240000000004</v>
      </c>
      <c r="E6567">
        <v>0.50753909999999902</v>
      </c>
      <c r="F6567" t="s">
        <v>42</v>
      </c>
      <c r="G6567">
        <v>-300.70960000000002</v>
      </c>
      <c r="H6567" s="1">
        <v>-7.5166019999999903E-7</v>
      </c>
      <c r="I6567">
        <v>-29.098849999999999</v>
      </c>
      <c r="J6567">
        <v>-302.10730000000001</v>
      </c>
      <c r="K6567">
        <v>1.111329</v>
      </c>
      <c r="L6567">
        <v>-20.257570000000001</v>
      </c>
      <c r="M6567">
        <v>-5.2120639999999998E-3</v>
      </c>
      <c r="N6567">
        <v>-1.3816790000000001E-2</v>
      </c>
      <c r="O6567">
        <v>-0.99989119999999998</v>
      </c>
      <c r="P6567">
        <v>0.1675642</v>
      </c>
      <c r="Q6567">
        <v>0.37404369999999998</v>
      </c>
      <c r="R6567">
        <v>-0.91214830000000002</v>
      </c>
      <c r="S6567">
        <v>0.50344849999999997</v>
      </c>
      <c r="T6567">
        <v>-0.40086509999999997</v>
      </c>
      <c r="U6567">
        <v>-3.3671259999999998</v>
      </c>
      <c r="V6567">
        <v>-0.1726335</v>
      </c>
      <c r="W6567">
        <v>0.38645699999999999</v>
      </c>
      <c r="X6567">
        <v>0.90600700000000001</v>
      </c>
      <c r="Y6567">
        <v>-0.15210129999999999</v>
      </c>
      <c r="Z6567">
        <v>0.1031498</v>
      </c>
      <c r="AA6567">
        <v>0.98296760000000005</v>
      </c>
      <c r="AB6567">
        <v>24</v>
      </c>
      <c r="AC6567">
        <v>1.39769999999998</v>
      </c>
      <c r="AD6567">
        <v>-1.1113297516601901</v>
      </c>
      <c r="AE6567">
        <v>-8.8412799999999905</v>
      </c>
      <c r="AF6567">
        <v>-1.4218493298236601</v>
      </c>
      <c r="AG6567">
        <v>-1.1113297516601901</v>
      </c>
      <c r="AH6567">
        <v>8.6997699103823898</v>
      </c>
      <c r="AI6567">
        <v>97.185360142375501</v>
      </c>
      <c r="AJ6567">
        <v>99.282087444588797</v>
      </c>
      <c r="AK6567">
        <v>8.8849707837020997</v>
      </c>
      <c r="AL6567">
        <v>67.265777836380096</v>
      </c>
      <c r="AM6567">
        <v>100.788004412628</v>
      </c>
      <c r="AN6567">
        <v>1.0000000111101199</v>
      </c>
    </row>
    <row r="6568" spans="1:40" x14ac:dyDescent="0.25">
      <c r="A6568" t="str">
        <f>"20190304164253034"</f>
        <v>20190304164253034</v>
      </c>
      <c r="B6568" t="str">
        <f>"1551688973027157"</f>
        <v>1551688973027157</v>
      </c>
      <c r="C6568" t="s">
        <v>40</v>
      </c>
      <c r="D6568">
        <v>4.5509399999999998</v>
      </c>
      <c r="E6568">
        <v>0.5077142</v>
      </c>
      <c r="F6568" t="s">
        <v>42</v>
      </c>
      <c r="G6568">
        <v>-300.68270000000001</v>
      </c>
      <c r="H6568" s="1">
        <v>-6.897736E-7</v>
      </c>
      <c r="I6568">
        <v>-29.22645</v>
      </c>
      <c r="J6568">
        <v>-302.108</v>
      </c>
      <c r="K6568">
        <v>1.111394</v>
      </c>
      <c r="L6568">
        <v>-20.501709999999999</v>
      </c>
      <c r="M6568">
        <v>-4.6315339999999997E-3</v>
      </c>
      <c r="N6568">
        <v>-1.381362E-2</v>
      </c>
      <c r="O6568">
        <v>-0.99989419999999996</v>
      </c>
      <c r="P6568">
        <v>0.17325850000000001</v>
      </c>
      <c r="Q6568">
        <v>0.3718417</v>
      </c>
      <c r="R6568">
        <v>-0.91198480000000004</v>
      </c>
      <c r="S6568">
        <v>0.53393550000000001</v>
      </c>
      <c r="T6568">
        <v>-0.41654219999999997</v>
      </c>
      <c r="U6568">
        <v>-3.3616640000000002</v>
      </c>
      <c r="V6568">
        <v>-0.1778662</v>
      </c>
      <c r="W6568">
        <v>0.38421470000000002</v>
      </c>
      <c r="X6568">
        <v>0.90594850000000005</v>
      </c>
      <c r="Y6568">
        <v>-0.160374499999999</v>
      </c>
      <c r="Z6568">
        <v>0.1076955</v>
      </c>
      <c r="AA6568">
        <v>0.98116340000000002</v>
      </c>
      <c r="AB6568">
        <v>24</v>
      </c>
      <c r="AC6568">
        <v>1.42529999999999</v>
      </c>
      <c r="AD6568">
        <v>-1.1113946897736</v>
      </c>
      <c r="AE6568">
        <v>-8.7247399999999899</v>
      </c>
      <c r="AF6568">
        <v>-1.4428926228754599</v>
      </c>
      <c r="AG6568">
        <v>-1.1113946897736</v>
      </c>
      <c r="AH6568">
        <v>8.5823999690192903</v>
      </c>
      <c r="AI6568">
        <v>97.277551274473296</v>
      </c>
      <c r="AJ6568">
        <v>99.543449256693293</v>
      </c>
      <c r="AK6568">
        <v>8.7735241782209599</v>
      </c>
      <c r="AL6568">
        <v>67.405003534512204</v>
      </c>
      <c r="AM6568">
        <v>101.107683578199</v>
      </c>
      <c r="AN6568">
        <v>1.0000000027253899</v>
      </c>
    </row>
    <row r="6569" spans="1:40" x14ac:dyDescent="0.25">
      <c r="A6569" t="str">
        <f>"20190304164253055"</f>
        <v>20190304164253055</v>
      </c>
      <c r="B6569" t="str">
        <f>"1551688973047653"</f>
        <v>1551688973047653</v>
      </c>
      <c r="C6569" t="s">
        <v>40</v>
      </c>
      <c r="D6569">
        <v>4.5308510000000002</v>
      </c>
      <c r="E6569">
        <v>0.50890069999999998</v>
      </c>
      <c r="F6569" t="s">
        <v>42</v>
      </c>
      <c r="G6569">
        <v>-300.67360000000002</v>
      </c>
      <c r="H6569" s="1">
        <v>-6.7047039999999996E-7</v>
      </c>
      <c r="I6569">
        <v>-29.265779999999999</v>
      </c>
      <c r="J6569">
        <v>-302.10829999999999</v>
      </c>
      <c r="K6569">
        <v>1.1114569999999999</v>
      </c>
      <c r="L6569">
        <v>-20.728179999999998</v>
      </c>
      <c r="M6569">
        <v>-3.9910659999999997E-3</v>
      </c>
      <c r="N6569">
        <v>-1.381105E-2</v>
      </c>
      <c r="O6569">
        <v>-0.99989680000000003</v>
      </c>
      <c r="P6569">
        <v>0.17900199999999999</v>
      </c>
      <c r="Q6569">
        <v>0.37026300000000001</v>
      </c>
      <c r="R6569">
        <v>-0.91151720000000003</v>
      </c>
      <c r="S6569">
        <v>0.54971309999999995</v>
      </c>
      <c r="T6569">
        <v>-0.42593379999999997</v>
      </c>
      <c r="U6569">
        <v>-3.358765</v>
      </c>
      <c r="V6569">
        <v>-0.18308830000000001</v>
      </c>
      <c r="W6569">
        <v>0.38259179999999998</v>
      </c>
      <c r="X6569">
        <v>0.90559489999999998</v>
      </c>
      <c r="Y6569">
        <v>-0.16430919999999999</v>
      </c>
      <c r="Z6569">
        <v>0.1104173</v>
      </c>
      <c r="AA6569">
        <v>0.98020940000000001</v>
      </c>
      <c r="AB6569">
        <v>24</v>
      </c>
      <c r="AC6569">
        <v>1.4346999999999599</v>
      </c>
      <c r="AD6569">
        <v>-1.11145767047039</v>
      </c>
      <c r="AE6569">
        <v>-8.5375999999999994</v>
      </c>
      <c r="AF6569">
        <v>-1.4449497195221399</v>
      </c>
      <c r="AG6569">
        <v>-1.11145767047039</v>
      </c>
      <c r="AH6569">
        <v>8.3934611769448999</v>
      </c>
      <c r="AI6569">
        <v>97.435072241534002</v>
      </c>
      <c r="AJ6569">
        <v>99.767830427255703</v>
      </c>
      <c r="AK6569">
        <v>8.5891447987605698</v>
      </c>
      <c r="AL6569">
        <v>67.505681818510197</v>
      </c>
      <c r="AM6569">
        <v>101.42968630133601</v>
      </c>
      <c r="AN6569">
        <v>0.99999996696506899</v>
      </c>
    </row>
    <row r="6570" spans="1:40" x14ac:dyDescent="0.25">
      <c r="A6570" t="str">
        <f>"20190304164253077"</f>
        <v>20190304164253077</v>
      </c>
      <c r="B6570" t="str">
        <f>"1551688973067173"</f>
        <v>1551688973067173</v>
      </c>
      <c r="C6570" t="s">
        <v>40</v>
      </c>
      <c r="D6570">
        <v>4.6821429999999999</v>
      </c>
      <c r="E6570">
        <v>0.537224699999999</v>
      </c>
      <c r="F6570" t="s">
        <v>42</v>
      </c>
      <c r="G6570">
        <v>-300.69490000000002</v>
      </c>
      <c r="H6570" s="1">
        <v>-6.8191209999999898E-7</v>
      </c>
      <c r="I6570">
        <v>-29.252330000000001</v>
      </c>
      <c r="J6570">
        <v>-302.10840000000002</v>
      </c>
      <c r="K6570">
        <v>1.1115159999999999</v>
      </c>
      <c r="L6570">
        <v>-20.96585</v>
      </c>
      <c r="M6570">
        <v>-3.2158479999999999E-3</v>
      </c>
      <c r="N6570">
        <v>-1.380874E-2</v>
      </c>
      <c r="O6570">
        <v>-0.9998996</v>
      </c>
      <c r="P6570">
        <v>0.1840879</v>
      </c>
      <c r="Q6570">
        <v>0.36986170000000002</v>
      </c>
      <c r="R6570">
        <v>-0.91066689999999995</v>
      </c>
      <c r="S6570">
        <v>0.55709839999999999</v>
      </c>
      <c r="T6570">
        <v>-0.43807819999999997</v>
      </c>
      <c r="U6570">
        <v>-3.359772</v>
      </c>
      <c r="V6570">
        <v>-0.18753429999999999</v>
      </c>
      <c r="W6570">
        <v>0.38213930000000002</v>
      </c>
      <c r="X6570">
        <v>0.90487589999999996</v>
      </c>
      <c r="Y6570">
        <v>-0.16552709999999901</v>
      </c>
      <c r="Z6570">
        <v>0.1138361</v>
      </c>
      <c r="AA6570">
        <v>0.97961319999999996</v>
      </c>
      <c r="AB6570">
        <v>24</v>
      </c>
      <c r="AC6570">
        <v>1.41349999999999</v>
      </c>
      <c r="AD6570">
        <v>-1.1115166819120901</v>
      </c>
      <c r="AE6570">
        <v>-8.2864799999999992</v>
      </c>
      <c r="AF6570">
        <v>-1.4153967979754101</v>
      </c>
      <c r="AG6570">
        <v>-1.1115166819120901</v>
      </c>
      <c r="AH6570">
        <v>8.1395804558496998</v>
      </c>
      <c r="AI6570">
        <v>97.662453247727399</v>
      </c>
      <c r="AJ6570">
        <v>99.8645606097665</v>
      </c>
      <c r="AK6570">
        <v>8.3361614324062998</v>
      </c>
      <c r="AL6570">
        <v>67.533740513666004</v>
      </c>
      <c r="AM6570">
        <v>101.708712928118</v>
      </c>
      <c r="AN6570">
        <v>0.99999997634089399</v>
      </c>
    </row>
    <row r="6571" spans="1:40" x14ac:dyDescent="0.25">
      <c r="A6571" t="str">
        <f>"20190304164253101"</f>
        <v>20190304164253101</v>
      </c>
      <c r="B6571" t="str">
        <f>"1551688973087670"</f>
        <v>1551688973087670</v>
      </c>
      <c r="C6571" t="s">
        <v>40</v>
      </c>
      <c r="D6571">
        <v>4.7664260000000001</v>
      </c>
      <c r="E6571">
        <v>0.52608390000000005</v>
      </c>
      <c r="F6571" t="s">
        <v>41</v>
      </c>
      <c r="G6571">
        <v>-302.03309999999999</v>
      </c>
      <c r="H6571">
        <v>0.88989529999999994</v>
      </c>
      <c r="I6571">
        <v>-21.67362</v>
      </c>
      <c r="J6571">
        <v>-302.10820000000001</v>
      </c>
      <c r="K6571">
        <v>1.1115919999999999</v>
      </c>
      <c r="L6571">
        <v>-21.212489999999999</v>
      </c>
      <c r="M6571">
        <v>-2.3013E-3</v>
      </c>
      <c r="N6571">
        <v>-1.380663E-2</v>
      </c>
      <c r="O6571">
        <v>-0.99990219999999996</v>
      </c>
      <c r="P6571">
        <v>0.18896009999999999</v>
      </c>
      <c r="Q6571">
        <v>0.36969049999999998</v>
      </c>
      <c r="R6571">
        <v>-0.90973820000000005</v>
      </c>
      <c r="S6571">
        <v>0.39187620000000001</v>
      </c>
      <c r="T6571">
        <v>-1.153397</v>
      </c>
      <c r="U6571">
        <v>-3.6835330000000002</v>
      </c>
      <c r="V6571">
        <v>-0.19164110000000001</v>
      </c>
      <c r="W6571">
        <v>0.381915</v>
      </c>
      <c r="X6571">
        <v>0.90410979999999996</v>
      </c>
      <c r="Y6571">
        <v>-0.10348350000000001</v>
      </c>
      <c r="Z6571">
        <v>0.28404049999999997</v>
      </c>
      <c r="AA6571">
        <v>0.95321149999999999</v>
      </c>
      <c r="AB6571">
        <v>24</v>
      </c>
      <c r="AC6571">
        <v>7.5100000000020303E-2</v>
      </c>
      <c r="AD6571">
        <v>-0.221696699999999</v>
      </c>
      <c r="AE6571">
        <v>-0.46112999999999998</v>
      </c>
      <c r="AF6571">
        <v>-6.2163904854978802E-2</v>
      </c>
      <c r="AG6571">
        <v>-0.221696699999999</v>
      </c>
      <c r="AH6571">
        <v>0.37623958496832199</v>
      </c>
      <c r="AI6571">
        <v>120.172072280672</v>
      </c>
      <c r="AJ6571">
        <v>99.381892931143298</v>
      </c>
      <c r="AK6571">
        <v>0.441100899063745</v>
      </c>
      <c r="AL6571">
        <v>67.547646210081794</v>
      </c>
      <c r="AM6571">
        <v>101.967656183491</v>
      </c>
      <c r="AN6571">
        <v>0.99999995444512302</v>
      </c>
    </row>
    <row r="6572" spans="1:40" x14ac:dyDescent="0.25">
      <c r="A6572" t="str">
        <f>"20190304164253124"</f>
        <v>20190304164253124</v>
      </c>
      <c r="B6572" t="str">
        <f>"1551688973117925"</f>
        <v>1551688973117925</v>
      </c>
      <c r="C6572" t="s">
        <v>40</v>
      </c>
      <c r="D6572">
        <v>4.6657970000000004</v>
      </c>
      <c r="E6572">
        <v>0.52035299999999995</v>
      </c>
      <c r="F6572" t="s">
        <v>41</v>
      </c>
      <c r="G6572">
        <v>-302.01780000000002</v>
      </c>
      <c r="H6572">
        <v>0.87559259999999905</v>
      </c>
      <c r="I6572">
        <v>-21.882680000000001</v>
      </c>
      <c r="J6572">
        <v>-302.10759999999999</v>
      </c>
      <c r="K6572">
        <v>1.1116549999999901</v>
      </c>
      <c r="L6572">
        <v>-21.458100000000002</v>
      </c>
      <c r="M6572">
        <v>-1.2691880000000001E-3</v>
      </c>
      <c r="N6572">
        <v>-1.380471E-2</v>
      </c>
      <c r="O6572">
        <v>-0.99990420000000002</v>
      </c>
      <c r="P6572">
        <v>0.19394800000000001</v>
      </c>
      <c r="Q6572">
        <v>0.36933270000000001</v>
      </c>
      <c r="R6572">
        <v>-0.90883340000000001</v>
      </c>
      <c r="S6572">
        <v>0.50390630000000003</v>
      </c>
      <c r="T6572">
        <v>-1.3122959999999999</v>
      </c>
      <c r="U6572">
        <v>-3.7262879999999998</v>
      </c>
      <c r="V6572">
        <v>-0.19575090000000001</v>
      </c>
      <c r="W6572">
        <v>0.38150780000000001</v>
      </c>
      <c r="X6572">
        <v>0.90340100000000001</v>
      </c>
      <c r="Y6572">
        <v>-0.1280549</v>
      </c>
      <c r="Z6572">
        <v>0.31641529999999901</v>
      </c>
      <c r="AA6572">
        <v>0.93993789999999999</v>
      </c>
      <c r="AB6572">
        <v>24</v>
      </c>
      <c r="AC6572">
        <v>8.9799999999968294E-2</v>
      </c>
      <c r="AD6572">
        <v>-0.23606239999999901</v>
      </c>
      <c r="AE6572">
        <v>-0.42457999999999801</v>
      </c>
      <c r="AF6572">
        <v>-6.97118667190747E-2</v>
      </c>
      <c r="AG6572">
        <v>-0.23606239999999901</v>
      </c>
      <c r="AH6572">
        <v>0.32754782985532499</v>
      </c>
      <c r="AI6572">
        <v>125.18031030504901</v>
      </c>
      <c r="AJ6572">
        <v>102.014965714555</v>
      </c>
      <c r="AK6572">
        <v>0.409722811054194</v>
      </c>
      <c r="AL6572">
        <v>67.572889225869602</v>
      </c>
      <c r="AM6572">
        <v>102.22597178148099</v>
      </c>
      <c r="AN6572">
        <v>0.99999999155632502</v>
      </c>
    </row>
    <row r="6573" spans="1:40" x14ac:dyDescent="0.25">
      <c r="A6573" t="str">
        <f>"20190304164253145"</f>
        <v>20190304164253145</v>
      </c>
      <c r="B6573" t="str">
        <f>"1551688973137445"</f>
        <v>1551688973137445</v>
      </c>
      <c r="C6573" t="s">
        <v>40</v>
      </c>
      <c r="D6573">
        <v>4.6415459999999999</v>
      </c>
      <c r="E6573">
        <v>0.51957209999999998</v>
      </c>
      <c r="F6573" t="s">
        <v>42</v>
      </c>
      <c r="G6573">
        <v>-301.6515</v>
      </c>
      <c r="H6573" s="1">
        <v>-2.9929089999999998E-6</v>
      </c>
      <c r="I6573">
        <v>-24.458629999999999</v>
      </c>
      <c r="J6573">
        <v>-302.10669999999999</v>
      </c>
      <c r="K6573">
        <v>1.1117010000000001</v>
      </c>
      <c r="L6573">
        <v>-21.683720000000001</v>
      </c>
      <c r="M6573">
        <v>-2.2339530000000001E-4</v>
      </c>
      <c r="N6573">
        <v>-1.380309E-2</v>
      </c>
      <c r="O6573">
        <v>-0.99990489999999999</v>
      </c>
      <c r="P6573">
        <v>0.1971338</v>
      </c>
      <c r="Q6573">
        <v>0.36804599999999998</v>
      </c>
      <c r="R6573">
        <v>-0.90867010000000004</v>
      </c>
      <c r="S6573">
        <v>0.56903079999999995</v>
      </c>
      <c r="T6573">
        <v>-1.386749</v>
      </c>
      <c r="U6573">
        <v>-3.743042</v>
      </c>
      <c r="V6573">
        <v>-0.19803570000000001</v>
      </c>
      <c r="W6573">
        <v>0.380189</v>
      </c>
      <c r="X6573">
        <v>0.90345900000000001</v>
      </c>
      <c r="Y6573">
        <v>-0.1416685</v>
      </c>
      <c r="Z6573">
        <v>0.33093899999999998</v>
      </c>
      <c r="AA6573">
        <v>0.93295740000000005</v>
      </c>
      <c r="AB6573">
        <v>24</v>
      </c>
      <c r="AC6573">
        <v>0.45519999999999</v>
      </c>
      <c r="AD6573">
        <v>-1.111703992909</v>
      </c>
      <c r="AE6573">
        <v>-2.77490999999999</v>
      </c>
      <c r="AF6573">
        <v>-0.39420691901732202</v>
      </c>
      <c r="AG6573">
        <v>-1.111703992909</v>
      </c>
      <c r="AH6573">
        <v>2.39973832908289</v>
      </c>
      <c r="AI6573">
        <v>114.566737887748</v>
      </c>
      <c r="AJ6573">
        <v>99.328707198330207</v>
      </c>
      <c r="AK6573">
        <v>2.6739537974543399</v>
      </c>
      <c r="AL6573">
        <v>67.654609509502805</v>
      </c>
      <c r="AM6573">
        <v>102.36353859446599</v>
      </c>
      <c r="AN6573">
        <v>0.99999998943824397</v>
      </c>
    </row>
    <row r="6574" spans="1:40" x14ac:dyDescent="0.25">
      <c r="A6574" t="str">
        <f>"20190304164253167"</f>
        <v>20190304164253167</v>
      </c>
      <c r="B6574" t="str">
        <f>"1551688973157942"</f>
        <v>1551688973157942</v>
      </c>
      <c r="C6574" t="s">
        <v>40</v>
      </c>
      <c r="D6574">
        <v>4.6102600000000002</v>
      </c>
      <c r="E6574">
        <v>0.52216679999999904</v>
      </c>
      <c r="F6574" t="s">
        <v>42</v>
      </c>
      <c r="G6574">
        <v>-301.64080000000001</v>
      </c>
      <c r="H6574" s="1">
        <v>-2.906914E-6</v>
      </c>
      <c r="I6574">
        <v>-24.652460000000001</v>
      </c>
      <c r="J6574">
        <v>-302.10539999999997</v>
      </c>
      <c r="K6574">
        <v>1.11175</v>
      </c>
      <c r="L6574">
        <v>-21.922149999999998</v>
      </c>
      <c r="M6574">
        <v>9.6162980000000003E-4</v>
      </c>
      <c r="N6574">
        <v>-1.3801290000000001E-2</v>
      </c>
      <c r="O6574">
        <v>-0.99990440000000003</v>
      </c>
      <c r="P6574">
        <v>0.19894149999999999</v>
      </c>
      <c r="Q6574">
        <v>0.3660447</v>
      </c>
      <c r="R6574">
        <v>-0.90908409999999995</v>
      </c>
      <c r="S6574">
        <v>0.58721919999999905</v>
      </c>
      <c r="T6574">
        <v>-1.4011279999999999</v>
      </c>
      <c r="U6574">
        <v>-3.741638</v>
      </c>
      <c r="V6574">
        <v>-0.19880510000000001</v>
      </c>
      <c r="W6574">
        <v>0.3781718</v>
      </c>
      <c r="X6574">
        <v>0.90413639999999995</v>
      </c>
      <c r="Y6574">
        <v>-0.14479719999999999</v>
      </c>
      <c r="Z6574">
        <v>0.33401439999999999</v>
      </c>
      <c r="AA6574">
        <v>0.93137970000000003</v>
      </c>
      <c r="AB6574">
        <v>24</v>
      </c>
      <c r="AC6574">
        <v>0.46459999999996099</v>
      </c>
      <c r="AD6574">
        <v>-1.111752906914</v>
      </c>
      <c r="AE6574">
        <v>-2.7303099999999998</v>
      </c>
      <c r="AF6574">
        <v>-0.39786337850665499</v>
      </c>
      <c r="AG6574">
        <v>-1.111752906914</v>
      </c>
      <c r="AH6574">
        <v>2.3517939510491002</v>
      </c>
      <c r="AI6574">
        <v>114.99034872845399</v>
      </c>
      <c r="AJ6574">
        <v>99.602065462564397</v>
      </c>
      <c r="AK6574">
        <v>2.6315821442964</v>
      </c>
      <c r="AL6574">
        <v>67.779514462329303</v>
      </c>
      <c r="AM6574">
        <v>102.401077190214</v>
      </c>
      <c r="AN6574">
        <v>1.0000000039531001</v>
      </c>
    </row>
    <row r="6575" spans="1:40" x14ac:dyDescent="0.25">
      <c r="A6575" t="str">
        <f>"20190304164253191"</f>
        <v>20190304164253191</v>
      </c>
      <c r="B6575" t="str">
        <f>"1551688973188197"</f>
        <v>1551688973188197</v>
      </c>
      <c r="C6575" t="s">
        <v>40</v>
      </c>
      <c r="D6575">
        <v>4.660819</v>
      </c>
      <c r="E6575">
        <v>0.52125100000000002</v>
      </c>
      <c r="F6575" t="s">
        <v>42</v>
      </c>
      <c r="G6575">
        <v>-301.63909999999998</v>
      </c>
      <c r="H6575" s="1">
        <v>-2.7766249999999999E-6</v>
      </c>
      <c r="I6575">
        <v>-24.955110000000001</v>
      </c>
      <c r="J6575">
        <v>-302.10379999999998</v>
      </c>
      <c r="K6575">
        <v>1.1117900000000001</v>
      </c>
      <c r="L6575">
        <v>-22.166229999999999</v>
      </c>
      <c r="M6575">
        <v>2.25049E-3</v>
      </c>
      <c r="N6575">
        <v>-1.3799469999999999E-2</v>
      </c>
      <c r="O6575">
        <v>-0.99990239999999997</v>
      </c>
      <c r="P6575">
        <v>0.20002519999999999</v>
      </c>
      <c r="Q6575">
        <v>0.36382680000000001</v>
      </c>
      <c r="R6575">
        <v>-0.90973669999999995</v>
      </c>
      <c r="S6575">
        <v>0.57266240000000002</v>
      </c>
      <c r="T6575">
        <v>-1.3652150000000001</v>
      </c>
      <c r="U6575">
        <v>-3.7244259999999998</v>
      </c>
      <c r="V6575">
        <v>-0.1987458</v>
      </c>
      <c r="W6575">
        <v>0.37594680000000003</v>
      </c>
      <c r="X6575">
        <v>0.90507689999999996</v>
      </c>
      <c r="Y6575">
        <v>-0.140983</v>
      </c>
      <c r="Z6575">
        <v>0.32768809999999998</v>
      </c>
      <c r="AA6575">
        <v>0.93420789999999998</v>
      </c>
      <c r="AB6575">
        <v>24</v>
      </c>
      <c r="AC6575">
        <v>0.46469999999999301</v>
      </c>
      <c r="AD6575">
        <v>-1.111792776625</v>
      </c>
      <c r="AE6575">
        <v>-2.7888799999999998</v>
      </c>
      <c r="AF6575">
        <v>-0.39702915115911402</v>
      </c>
      <c r="AG6575">
        <v>-1.111792776625</v>
      </c>
      <c r="AH6575">
        <v>2.4162876102332</v>
      </c>
      <c r="AI6575">
        <v>114.419754968996</v>
      </c>
      <c r="AJ6575">
        <v>99.331100812779496</v>
      </c>
      <c r="AK6575">
        <v>2.6892677703032999</v>
      </c>
      <c r="AL6575">
        <v>67.917158033312006</v>
      </c>
      <c r="AM6575">
        <v>102.385007616625</v>
      </c>
      <c r="AN6575">
        <v>1.00000004218074</v>
      </c>
    </row>
    <row r="6576" spans="1:40" x14ac:dyDescent="0.25">
      <c r="A6576" t="str">
        <f>"20190304164253213"</f>
        <v>20190304164253213</v>
      </c>
      <c r="B6576" t="str">
        <f>"1551688973207718"</f>
        <v>1551688973207718</v>
      </c>
      <c r="C6576" t="s">
        <v>40</v>
      </c>
      <c r="D6576">
        <v>4.6768429999999999</v>
      </c>
      <c r="E6576">
        <v>0.52095029999999998</v>
      </c>
      <c r="F6576" t="s">
        <v>42</v>
      </c>
      <c r="G6576">
        <v>-301.63499999999999</v>
      </c>
      <c r="H6576" s="1">
        <v>-2.6901989999999999E-6</v>
      </c>
      <c r="I6576">
        <v>-25.154050000000002</v>
      </c>
      <c r="J6576">
        <v>-302.10169999999999</v>
      </c>
      <c r="K6576">
        <v>1.1118209999999999</v>
      </c>
      <c r="L6576">
        <v>-22.40765</v>
      </c>
      <c r="M6576">
        <v>3.5949630000000001E-3</v>
      </c>
      <c r="N6576">
        <v>-1.3797790000000001E-2</v>
      </c>
      <c r="O6576">
        <v>-0.99989850000000002</v>
      </c>
      <c r="P6576">
        <v>0.19977800000000001</v>
      </c>
      <c r="Q6576">
        <v>0.36189250000000001</v>
      </c>
      <c r="R6576">
        <v>-0.91056190000000004</v>
      </c>
      <c r="S6576">
        <v>0.58410640000000003</v>
      </c>
      <c r="T6576">
        <v>-1.3854789999999999</v>
      </c>
      <c r="U6576">
        <v>-3.723328</v>
      </c>
      <c r="V6576">
        <v>-0.19729959999999999</v>
      </c>
      <c r="W6576">
        <v>0.37401240000000002</v>
      </c>
      <c r="X6576">
        <v>0.90619400000000006</v>
      </c>
      <c r="Y6576">
        <v>-0.14224809999999999</v>
      </c>
      <c r="Z6576">
        <v>0.33215109999999998</v>
      </c>
      <c r="AA6576">
        <v>0.93243830000000005</v>
      </c>
      <c r="AB6576">
        <v>24</v>
      </c>
      <c r="AC6576">
        <v>0.466700000000003</v>
      </c>
      <c r="AD6576">
        <v>-1.111823690199</v>
      </c>
      <c r="AE6576">
        <v>-2.7464</v>
      </c>
      <c r="AF6576">
        <v>-0.39405492673666997</v>
      </c>
      <c r="AG6576">
        <v>-1.111823690199</v>
      </c>
      <c r="AH6576">
        <v>2.3704739783868898</v>
      </c>
      <c r="AI6576">
        <v>114.829075893045</v>
      </c>
      <c r="AJ6576">
        <v>99.438237126694901</v>
      </c>
      <c r="AK6576">
        <v>2.64774962667971</v>
      </c>
      <c r="AL6576">
        <v>68.036713412487003</v>
      </c>
      <c r="AM6576">
        <v>102.282939165804</v>
      </c>
      <c r="AN6576">
        <v>0.99999998657496003</v>
      </c>
    </row>
    <row r="6577" spans="1:40" x14ac:dyDescent="0.25">
      <c r="A6577" t="str">
        <f>"20190304164253235"</f>
        <v>20190304164253235</v>
      </c>
      <c r="B6577" t="str">
        <f>"1551688973228214"</f>
        <v>1551688973228214</v>
      </c>
      <c r="C6577" t="s">
        <v>40</v>
      </c>
      <c r="D6577">
        <v>4.6182210000000001</v>
      </c>
      <c r="E6577">
        <v>0.52082099999999998</v>
      </c>
      <c r="F6577" t="s">
        <v>42</v>
      </c>
      <c r="G6577">
        <v>-301.63380000000001</v>
      </c>
      <c r="H6577" s="1">
        <v>-2.5974700000000001E-6</v>
      </c>
      <c r="I6577">
        <v>-25.369450000000001</v>
      </c>
      <c r="J6577">
        <v>-302.0994</v>
      </c>
      <c r="K6577">
        <v>1.1118520000000001</v>
      </c>
      <c r="L6577">
        <v>-22.640689999999999</v>
      </c>
      <c r="M6577">
        <v>4.9527180000000001E-3</v>
      </c>
      <c r="N6577">
        <v>-1.379623E-2</v>
      </c>
      <c r="O6577">
        <v>-0.99989269999999997</v>
      </c>
      <c r="P6577">
        <v>0.19756389999999999</v>
      </c>
      <c r="Q6577">
        <v>0.35988409999999998</v>
      </c>
      <c r="R6577">
        <v>-0.91184019999999999</v>
      </c>
      <c r="S6577">
        <v>0.58779910000000002</v>
      </c>
      <c r="T6577">
        <v>-1.3967510000000001</v>
      </c>
      <c r="U6577">
        <v>-3.720825</v>
      </c>
      <c r="V6577">
        <v>-0.19386709999999999</v>
      </c>
      <c r="W6577">
        <v>0.37201529999999999</v>
      </c>
      <c r="X6577">
        <v>0.9077556</v>
      </c>
      <c r="Y6577">
        <v>-0.14175550000000001</v>
      </c>
      <c r="Z6577">
        <v>0.3348235</v>
      </c>
      <c r="AA6577">
        <v>0.93155710000000003</v>
      </c>
      <c r="AB6577">
        <v>24</v>
      </c>
      <c r="AC6577">
        <v>0.46559999999999402</v>
      </c>
      <c r="AD6577">
        <v>-1.11185459747</v>
      </c>
      <c r="AE6577">
        <v>-2.7287599999999999</v>
      </c>
      <c r="AF6577">
        <v>-0.389277916323301</v>
      </c>
      <c r="AG6577">
        <v>-1.11185459747</v>
      </c>
      <c r="AH6577">
        <v>2.3516521513244899</v>
      </c>
      <c r="AI6577">
        <v>115.006684999909</v>
      </c>
      <c r="AJ6577">
        <v>99.399156420639201</v>
      </c>
      <c r="AK6577">
        <v>2.6302140184557699</v>
      </c>
      <c r="AL6577">
        <v>68.160040894752697</v>
      </c>
      <c r="AM6577">
        <v>102.055407615416</v>
      </c>
      <c r="AN6577">
        <v>1.00000003261392</v>
      </c>
    </row>
    <row r="6578" spans="1:40" x14ac:dyDescent="0.25">
      <c r="A6578" t="str">
        <f>"20190304164253257"</f>
        <v>20190304164253257</v>
      </c>
      <c r="B6578" t="str">
        <f>"1551688973247733"</f>
        <v>1551688973247733</v>
      </c>
      <c r="C6578" t="s">
        <v>40</v>
      </c>
      <c r="D6578">
        <v>4.6287250000000002</v>
      </c>
      <c r="E6578">
        <v>0.52254219999999996</v>
      </c>
      <c r="F6578" t="s">
        <v>42</v>
      </c>
      <c r="G6578">
        <v>-301.63819999999998</v>
      </c>
      <c r="H6578" s="1">
        <v>-2.5071160000000001E-6</v>
      </c>
      <c r="I6578">
        <v>-25.582750000000001</v>
      </c>
      <c r="J6578">
        <v>-302.09660000000002</v>
      </c>
      <c r="K6578">
        <v>1.111882</v>
      </c>
      <c r="L6578">
        <v>-22.876249999999999</v>
      </c>
      <c r="M6578">
        <v>6.3782539999999999E-3</v>
      </c>
      <c r="N6578">
        <v>-1.379475E-2</v>
      </c>
      <c r="O6578">
        <v>-0.99988469999999996</v>
      </c>
      <c r="P6578">
        <v>0.1964611</v>
      </c>
      <c r="Q6578">
        <v>0.3597011</v>
      </c>
      <c r="R6578">
        <v>-0.91215060000000003</v>
      </c>
      <c r="S6578">
        <v>0.58291630000000005</v>
      </c>
      <c r="T6578">
        <v>-1.4052370000000001</v>
      </c>
      <c r="U6578">
        <v>-3.7183839999999999</v>
      </c>
      <c r="V6578">
        <v>-0.19149169999999999</v>
      </c>
      <c r="W6578">
        <v>0.37182850000000001</v>
      </c>
      <c r="X6578">
        <v>0.90833609999999998</v>
      </c>
      <c r="Y6578">
        <v>-0.1391317</v>
      </c>
      <c r="Z6578">
        <v>0.33698159999999999</v>
      </c>
      <c r="AA6578">
        <v>0.93117439999999996</v>
      </c>
      <c r="AB6578">
        <v>24</v>
      </c>
      <c r="AC6578">
        <v>0.45840000000004</v>
      </c>
      <c r="AD6578">
        <v>-1.111884507116</v>
      </c>
      <c r="AE6578">
        <v>-2.7065000000000001</v>
      </c>
      <c r="AF6578">
        <v>-0.378952769065864</v>
      </c>
      <c r="AG6578">
        <v>-1.111884507116</v>
      </c>
      <c r="AH6578">
        <v>2.3275032803182198</v>
      </c>
      <c r="AI6578">
        <v>115.244200626636</v>
      </c>
      <c r="AJ6578">
        <v>99.247476946842696</v>
      </c>
      <c r="AK6578">
        <v>2.60713710384386</v>
      </c>
      <c r="AL6578">
        <v>68.171569825536594</v>
      </c>
      <c r="AM6578">
        <v>101.90454535463201</v>
      </c>
      <c r="AN6578">
        <v>0.99999998757217401</v>
      </c>
    </row>
    <row r="6579" spans="1:40" x14ac:dyDescent="0.25">
      <c r="A6579" t="str">
        <f>"20190304164253278"</f>
        <v>20190304164253278</v>
      </c>
      <c r="B6579" t="str">
        <f>"1551688973268229"</f>
        <v>1551688973268229</v>
      </c>
      <c r="C6579" t="s">
        <v>40</v>
      </c>
      <c r="D6579">
        <v>4.7311310000000004</v>
      </c>
      <c r="E6579">
        <v>0.5223776</v>
      </c>
      <c r="F6579" t="s">
        <v>41</v>
      </c>
      <c r="G6579">
        <v>-301.99029999999999</v>
      </c>
      <c r="H6579">
        <v>0.85133269999999905</v>
      </c>
      <c r="I6579">
        <v>-23.57741</v>
      </c>
      <c r="J6579">
        <v>-302.09339999999997</v>
      </c>
      <c r="K6579">
        <v>1.1118939999999999</v>
      </c>
      <c r="L6579">
        <v>-23.108280000000001</v>
      </c>
      <c r="M6579">
        <v>7.8294950000000006E-3</v>
      </c>
      <c r="N6579">
        <v>-1.379328E-2</v>
      </c>
      <c r="O6579">
        <v>-0.99987440000000005</v>
      </c>
      <c r="P6579">
        <v>0.195656</v>
      </c>
      <c r="Q6579">
        <v>0.35922910000000002</v>
      </c>
      <c r="R6579">
        <v>-0.91250960000000003</v>
      </c>
      <c r="S6579">
        <v>0.56454469999999901</v>
      </c>
      <c r="T6579">
        <v>-1.379375</v>
      </c>
      <c r="U6579">
        <v>-3.7113040000000002</v>
      </c>
      <c r="V6579">
        <v>-0.189385</v>
      </c>
      <c r="W6579">
        <v>0.37135430000000003</v>
      </c>
      <c r="X6579">
        <v>0.90897150000000004</v>
      </c>
      <c r="Y6579">
        <v>-0.133744899999999</v>
      </c>
      <c r="Z6579">
        <v>0.33210489999999998</v>
      </c>
      <c r="AA6579">
        <v>0.93371230000000005</v>
      </c>
      <c r="AB6579">
        <v>24</v>
      </c>
      <c r="AC6579">
        <v>0.103099999999983</v>
      </c>
      <c r="AD6579">
        <v>-0.2605613</v>
      </c>
      <c r="AE6579">
        <v>-0.46912999999999899</v>
      </c>
      <c r="AF6579">
        <v>-7.6818055742856495E-2</v>
      </c>
      <c r="AG6579">
        <v>-0.2605613</v>
      </c>
      <c r="AH6579">
        <v>0.36307901735000098</v>
      </c>
      <c r="AI6579">
        <v>125.072741765733</v>
      </c>
      <c r="AJ6579">
        <v>101.94612249744701</v>
      </c>
      <c r="AK6579">
        <v>0.4534529496934</v>
      </c>
      <c r="AL6579">
        <v>68.200833910485102</v>
      </c>
      <c r="AM6579">
        <v>101.769251738611</v>
      </c>
      <c r="AN6579">
        <v>0.99999994108286805</v>
      </c>
    </row>
    <row r="6580" spans="1:40" x14ac:dyDescent="0.25">
      <c r="A6580" t="str">
        <f>"20190304164253302"</f>
        <v>20190304164253302</v>
      </c>
      <c r="B6580" t="str">
        <f>"1551688973297509"</f>
        <v>1551688973297509</v>
      </c>
      <c r="C6580" t="s">
        <v>40</v>
      </c>
      <c r="D6580">
        <v>4.685568</v>
      </c>
      <c r="E6580">
        <v>0.52105310000000005</v>
      </c>
      <c r="F6580" t="s">
        <v>41</v>
      </c>
      <c r="G6580">
        <v>-301.99059999999997</v>
      </c>
      <c r="H6580">
        <v>0.85797849999999998</v>
      </c>
      <c r="I6580">
        <v>-23.789490000000001</v>
      </c>
      <c r="J6580">
        <v>-302.0899</v>
      </c>
      <c r="K6580">
        <v>1.1119190000000001</v>
      </c>
      <c r="L6580">
        <v>-23.347629999999999</v>
      </c>
      <c r="M6580">
        <v>9.3698489999999995E-3</v>
      </c>
      <c r="N6580">
        <v>-1.3791640000000001E-2</v>
      </c>
      <c r="O6580">
        <v>-0.99986120000000001</v>
      </c>
      <c r="P6580">
        <v>0.1948751</v>
      </c>
      <c r="Q6580">
        <v>0.35788109999999901</v>
      </c>
      <c r="R6580">
        <v>-0.91320630000000003</v>
      </c>
      <c r="S6580">
        <v>0.56121829999999995</v>
      </c>
      <c r="T6580">
        <v>-1.383775</v>
      </c>
      <c r="U6580">
        <v>-3.7120669999999998</v>
      </c>
      <c r="V6580">
        <v>-0.1872105</v>
      </c>
      <c r="W6580">
        <v>0.3700116</v>
      </c>
      <c r="X6580">
        <v>0.90996900000000003</v>
      </c>
      <c r="Y6580">
        <v>-0.13132679999999999</v>
      </c>
      <c r="Z6580">
        <v>0.33308959999999999</v>
      </c>
      <c r="AA6580">
        <v>0.93370469999999905</v>
      </c>
      <c r="AB6580">
        <v>24</v>
      </c>
      <c r="AC6580">
        <v>9.9300000000027894E-2</v>
      </c>
      <c r="AD6580">
        <v>-0.25394050000000001</v>
      </c>
      <c r="AE6580">
        <v>-0.44186000000000097</v>
      </c>
      <c r="AF6580">
        <v>-7.2393749089811193E-2</v>
      </c>
      <c r="AG6580">
        <v>-0.25394050000000001</v>
      </c>
      <c r="AH6580">
        <v>0.33685914617763502</v>
      </c>
      <c r="AI6580">
        <v>126.390957863149</v>
      </c>
      <c r="AJ6580">
        <v>102.128845613443</v>
      </c>
      <c r="AK6580">
        <v>0.42801952853935699</v>
      </c>
      <c r="AL6580">
        <v>68.283666587499795</v>
      </c>
      <c r="AM6580">
        <v>101.625415237848</v>
      </c>
      <c r="AN6580">
        <v>0.99999996820290404</v>
      </c>
    </row>
    <row r="6581" spans="1:40" x14ac:dyDescent="0.25">
      <c r="A6581" t="str">
        <f>"20190304164253324"</f>
        <v>20190304164253324</v>
      </c>
      <c r="B6581" t="str">
        <f>"1551688973318005"</f>
        <v>1551688973318005</v>
      </c>
      <c r="C6581" t="s">
        <v>40</v>
      </c>
      <c r="D6581">
        <v>4.3852359999999999</v>
      </c>
      <c r="E6581">
        <v>0.52122709999999906</v>
      </c>
      <c r="F6581" t="s">
        <v>41</v>
      </c>
      <c r="G6581">
        <v>-301.98939999999999</v>
      </c>
      <c r="H6581">
        <v>0.86470840000000004</v>
      </c>
      <c r="I6581">
        <v>-24.00292</v>
      </c>
      <c r="J6581">
        <v>-302.08580000000001</v>
      </c>
      <c r="K6581">
        <v>1.1119380000000001</v>
      </c>
      <c r="L6581">
        <v>-23.58578</v>
      </c>
      <c r="M6581">
        <v>1.094183E-2</v>
      </c>
      <c r="N6581">
        <v>-1.378982E-2</v>
      </c>
      <c r="O6581">
        <v>-0.99984530000000005</v>
      </c>
      <c r="P6581">
        <v>0.1937507</v>
      </c>
      <c r="Q6581">
        <v>0.35681610000000002</v>
      </c>
      <c r="R6581">
        <v>-0.91386210000000001</v>
      </c>
      <c r="S6581">
        <v>0.57061770000000001</v>
      </c>
      <c r="T6581">
        <v>-1.400609</v>
      </c>
      <c r="U6581">
        <v>-3.71225</v>
      </c>
      <c r="V6581">
        <v>-0.1846527</v>
      </c>
      <c r="W6581">
        <v>0.36895660000000002</v>
      </c>
      <c r="X6581">
        <v>0.91091949999999999</v>
      </c>
      <c r="Y6581">
        <v>-0.1318725</v>
      </c>
      <c r="Z6581">
        <v>0.33671190000000001</v>
      </c>
      <c r="AA6581">
        <v>0.93232760000000003</v>
      </c>
      <c r="AB6581">
        <v>24</v>
      </c>
      <c r="AC6581">
        <v>9.6400000000016903E-2</v>
      </c>
      <c r="AD6581">
        <v>-0.24722959999999899</v>
      </c>
      <c r="AE6581">
        <v>-0.41713999999999901</v>
      </c>
      <c r="AF6581">
        <v>-6.8865688817276893E-2</v>
      </c>
      <c r="AG6581">
        <v>-0.24722959999999899</v>
      </c>
      <c r="AH6581">
        <v>0.313598059267231</v>
      </c>
      <c r="AI6581">
        <v>127.596871967675</v>
      </c>
      <c r="AJ6581">
        <v>102.385478856161</v>
      </c>
      <c r="AK6581">
        <v>0.40522672788034603</v>
      </c>
      <c r="AL6581">
        <v>68.348716687569507</v>
      </c>
      <c r="AM6581">
        <v>101.45916652436399</v>
      </c>
      <c r="AN6581">
        <v>0.99999996389054902</v>
      </c>
    </row>
    <row r="6582" spans="1:40" x14ac:dyDescent="0.25">
      <c r="A6582" t="str">
        <f>"20190304164253346"</f>
        <v>20190304164253346</v>
      </c>
      <c r="B6582" t="str">
        <f>"1551688973337525"</f>
        <v>1551688973337525</v>
      </c>
      <c r="C6582" t="s">
        <v>40</v>
      </c>
      <c r="D6582">
        <v>4.622128</v>
      </c>
      <c r="E6582">
        <v>0.52151139999999996</v>
      </c>
      <c r="F6582" t="s">
        <v>42</v>
      </c>
      <c r="G6582">
        <v>-301.63459999999998</v>
      </c>
      <c r="H6582" s="1">
        <v>-2.0960229999999999E-6</v>
      </c>
      <c r="I6582">
        <v>-26.538799999999998</v>
      </c>
      <c r="J6582">
        <v>-302.08159999999998</v>
      </c>
      <c r="K6582">
        <v>1.1119380000000001</v>
      </c>
      <c r="L6582">
        <v>-23.814450000000001</v>
      </c>
      <c r="M6582">
        <v>1.2474580000000001E-2</v>
      </c>
      <c r="N6582">
        <v>-1.378803E-2</v>
      </c>
      <c r="O6582">
        <v>-0.99982720000000003</v>
      </c>
      <c r="P6582">
        <v>0.19354070000000001</v>
      </c>
      <c r="Q6582">
        <v>0.35675469999999998</v>
      </c>
      <c r="R6582">
        <v>-0.91393020000000003</v>
      </c>
      <c r="S6582">
        <v>0.56661989999999995</v>
      </c>
      <c r="T6582">
        <v>-1.3961349999999999</v>
      </c>
      <c r="U6582">
        <v>-3.7077640000000001</v>
      </c>
      <c r="V6582">
        <v>-0.1830445</v>
      </c>
      <c r="W6582">
        <v>0.36889899999999998</v>
      </c>
      <c r="X6582">
        <v>0.91126739999999995</v>
      </c>
      <c r="Y6582">
        <v>-0.129578</v>
      </c>
      <c r="Z6582">
        <v>0.33616770000000001</v>
      </c>
      <c r="AA6582">
        <v>0.93284549999999999</v>
      </c>
      <c r="AB6582">
        <v>24</v>
      </c>
      <c r="AC6582">
        <v>0.44700000000000201</v>
      </c>
      <c r="AD6582">
        <v>-1.1119400960229999</v>
      </c>
      <c r="AE6582">
        <v>-2.7243499999999901</v>
      </c>
      <c r="AF6582">
        <v>-0.35533500191486</v>
      </c>
      <c r="AG6582">
        <v>-1.1119400960229999</v>
      </c>
      <c r="AH6582">
        <v>2.3487106612165598</v>
      </c>
      <c r="AI6582">
        <v>115.08424773199</v>
      </c>
      <c r="AJ6582">
        <v>98.603002835209097</v>
      </c>
      <c r="AK6582">
        <v>2.6228068001364102</v>
      </c>
      <c r="AL6582">
        <v>68.352268623265701</v>
      </c>
      <c r="AM6582">
        <v>101.357746832274</v>
      </c>
      <c r="AN6582">
        <v>1.0000000177420001</v>
      </c>
    </row>
    <row r="6583" spans="1:40" x14ac:dyDescent="0.25">
      <c r="A6583" t="str">
        <f>"20190304164253368"</f>
        <v>20190304164253368</v>
      </c>
      <c r="B6583" t="str">
        <f>"1551688973358023"</f>
        <v>1551688973358023</v>
      </c>
      <c r="C6583" t="s">
        <v>40</v>
      </c>
      <c r="D6583">
        <v>4.6961199999999996</v>
      </c>
      <c r="E6583">
        <v>0.52096809999999905</v>
      </c>
      <c r="F6583" t="s">
        <v>42</v>
      </c>
      <c r="G6583">
        <v>-301.6302</v>
      </c>
      <c r="H6583" s="1">
        <v>-1.9894010000000002E-6</v>
      </c>
      <c r="I6583">
        <v>-26.784669999999998</v>
      </c>
      <c r="J6583">
        <v>-302.07679999999999</v>
      </c>
      <c r="K6583">
        <v>1.111942</v>
      </c>
      <c r="L6583">
        <v>-24.051909999999999</v>
      </c>
      <c r="M6583">
        <v>1.4078739999999999E-2</v>
      </c>
      <c r="N6583">
        <v>-1.3786059999999999E-2</v>
      </c>
      <c r="O6583">
        <v>-0.99980590000000003</v>
      </c>
      <c r="P6583">
        <v>0.1932507</v>
      </c>
      <c r="Q6583">
        <v>0.35787249999999998</v>
      </c>
      <c r="R6583">
        <v>-0.91355439999999999</v>
      </c>
      <c r="S6583">
        <v>0.56295779999999995</v>
      </c>
      <c r="T6583">
        <v>-1.3868990000000001</v>
      </c>
      <c r="U6583">
        <v>-3.7046809999999999</v>
      </c>
      <c r="V6583">
        <v>-0.1812927</v>
      </c>
      <c r="W6583">
        <v>0.37001780000000001</v>
      </c>
      <c r="X6583">
        <v>0.91116399999999997</v>
      </c>
      <c r="Y6583">
        <v>-0.12730350000000001</v>
      </c>
      <c r="Z6583">
        <v>0.33444889999999999</v>
      </c>
      <c r="AA6583">
        <v>0.9337761</v>
      </c>
      <c r="AB6583">
        <v>24</v>
      </c>
      <c r="AC6583">
        <v>0.44659999999998901</v>
      </c>
      <c r="AD6583">
        <v>-1.1119439894009999</v>
      </c>
      <c r="AE6583">
        <v>-2.7327599999999999</v>
      </c>
      <c r="AF6583">
        <v>-0.35141108592819098</v>
      </c>
      <c r="AG6583">
        <v>-1.1119439894009999</v>
      </c>
      <c r="AH6583">
        <v>2.3584610972340601</v>
      </c>
      <c r="AI6583">
        <v>115.000681460885</v>
      </c>
      <c r="AJ6583">
        <v>98.474731503242296</v>
      </c>
      <c r="AK6583">
        <v>2.6310165210512699</v>
      </c>
      <c r="AL6583">
        <v>68.283285514499397</v>
      </c>
      <c r="AM6583">
        <v>101.253079546875</v>
      </c>
      <c r="AN6583">
        <v>1.0000000251430601</v>
      </c>
    </row>
    <row r="6584" spans="1:40" x14ac:dyDescent="0.25">
      <c r="A6584" t="str">
        <f>"20190304164253393"</f>
        <v>20190304164253393</v>
      </c>
      <c r="B6584" t="str">
        <f>"1551688973387301"</f>
        <v>1551688973387301</v>
      </c>
      <c r="C6584" t="s">
        <v>40</v>
      </c>
      <c r="D6584">
        <v>4.7176419999999997</v>
      </c>
      <c r="E6584">
        <v>0.51960490000000004</v>
      </c>
      <c r="F6584" t="s">
        <v>42</v>
      </c>
      <c r="G6584">
        <v>-301.62119999999999</v>
      </c>
      <c r="H6584" s="1">
        <v>-1.8850500000000001E-6</v>
      </c>
      <c r="I6584">
        <v>-27.022300000000001</v>
      </c>
      <c r="J6584">
        <v>-302.07130000000001</v>
      </c>
      <c r="K6584">
        <v>1.111937</v>
      </c>
      <c r="L6584">
        <v>-24.302759999999999</v>
      </c>
      <c r="M6584">
        <v>1.5776559999999999E-2</v>
      </c>
      <c r="N6584">
        <v>-1.378382E-2</v>
      </c>
      <c r="O6584">
        <v>-0.99978060000000002</v>
      </c>
      <c r="P6584">
        <v>0.1934235</v>
      </c>
      <c r="Q6584">
        <v>0.35857240000000001</v>
      </c>
      <c r="R6584">
        <v>-0.91324340000000004</v>
      </c>
      <c r="S6584">
        <v>0.568573</v>
      </c>
      <c r="T6584">
        <v>-1.387777</v>
      </c>
      <c r="U6584">
        <v>-3.7072449999999999</v>
      </c>
      <c r="V6584">
        <v>-0.1799113</v>
      </c>
      <c r="W6584">
        <v>0.37072119999999997</v>
      </c>
      <c r="X6584">
        <v>0.91115190000000001</v>
      </c>
      <c r="Y6584">
        <v>-0.1269112</v>
      </c>
      <c r="Z6584">
        <v>0.33439950000000002</v>
      </c>
      <c r="AA6584">
        <v>0.93384719999999999</v>
      </c>
      <c r="AB6584">
        <v>24</v>
      </c>
      <c r="AC6584">
        <v>0.45010000000001998</v>
      </c>
      <c r="AD6584">
        <v>-1.11193888505</v>
      </c>
      <c r="AE6584">
        <v>-2.7195399999999998</v>
      </c>
      <c r="AF6584">
        <v>-0.35015802116961697</v>
      </c>
      <c r="AG6584">
        <v>-1.11193888505</v>
      </c>
      <c r="AH6584">
        <v>2.3447680279599301</v>
      </c>
      <c r="AI6584">
        <v>115.127528543761</v>
      </c>
      <c r="AJ6584">
        <v>98.493548611483007</v>
      </c>
      <c r="AK6584">
        <v>2.61857897127789</v>
      </c>
      <c r="AL6584">
        <v>68.239898361731605</v>
      </c>
      <c r="AM6584">
        <v>101.16964270681601</v>
      </c>
      <c r="AN6584">
        <v>1.0000000344353599</v>
      </c>
    </row>
    <row r="6585" spans="1:40" x14ac:dyDescent="0.25">
      <c r="A6585" t="str">
        <f>"20190304164253415"</f>
        <v>20190304164253415</v>
      </c>
      <c r="B6585" t="str">
        <f>"1551688973407797"</f>
        <v>1551688973407797</v>
      </c>
      <c r="C6585" t="s">
        <v>40</v>
      </c>
      <c r="D6585">
        <v>4.5293780000000003</v>
      </c>
      <c r="E6585">
        <v>0.51957619999999904</v>
      </c>
      <c r="F6585" t="s">
        <v>42</v>
      </c>
      <c r="G6585">
        <v>-301.60739999999998</v>
      </c>
      <c r="H6585" s="1">
        <v>-1.78212799999999E-6</v>
      </c>
      <c r="I6585">
        <v>-27.253630000000001</v>
      </c>
      <c r="J6585">
        <v>-302.06560000000002</v>
      </c>
      <c r="K6585">
        <v>1.111923</v>
      </c>
      <c r="L6585">
        <v>-24.543980000000001</v>
      </c>
      <c r="M6585">
        <v>1.7406270000000001E-2</v>
      </c>
      <c r="N6585">
        <v>-1.378154E-2</v>
      </c>
      <c r="O6585">
        <v>-0.99975380000000003</v>
      </c>
      <c r="P6585">
        <v>0.19452659999999999</v>
      </c>
      <c r="Q6585">
        <v>0.3585544</v>
      </c>
      <c r="R6585">
        <v>-0.91301639999999995</v>
      </c>
      <c r="S6585">
        <v>0.58328250000000004</v>
      </c>
      <c r="T6585">
        <v>-1.39815</v>
      </c>
      <c r="U6585">
        <v>-3.7104189999999999</v>
      </c>
      <c r="V6585">
        <v>-0.1795166</v>
      </c>
      <c r="W6585">
        <v>0.37070700000000001</v>
      </c>
      <c r="X6585">
        <v>0.91123549999999998</v>
      </c>
      <c r="Y6585">
        <v>-0.12868019999999999</v>
      </c>
      <c r="Z6585">
        <v>0.3362868</v>
      </c>
      <c r="AA6585">
        <v>0.9329269</v>
      </c>
      <c r="AB6585">
        <v>24</v>
      </c>
      <c r="AC6585">
        <v>0.45820000000003303</v>
      </c>
      <c r="AD6585">
        <v>-1.1119247821280001</v>
      </c>
      <c r="AE6585">
        <v>-2.7096499999999999</v>
      </c>
      <c r="AF6585">
        <v>-0.35314686667742801</v>
      </c>
      <c r="AG6585">
        <v>-1.1119247821280001</v>
      </c>
      <c r="AH6585">
        <v>2.3349557286993399</v>
      </c>
      <c r="AI6585">
        <v>115.213553171417</v>
      </c>
      <c r="AJ6585">
        <v>98.600432138024999</v>
      </c>
      <c r="AK6585">
        <v>2.6101930360684702</v>
      </c>
      <c r="AL6585">
        <v>68.240773890330303</v>
      </c>
      <c r="AM6585">
        <v>101.144755322321</v>
      </c>
      <c r="AN6585">
        <v>1.0000000129924</v>
      </c>
    </row>
    <row r="6586" spans="1:40" x14ac:dyDescent="0.25">
      <c r="A6586" t="str">
        <f>"20190304164253439"</f>
        <v>20190304164253439</v>
      </c>
      <c r="B6586" t="str">
        <f>"1551688973427317"</f>
        <v>1551688973427317</v>
      </c>
      <c r="C6586" t="s">
        <v>40</v>
      </c>
      <c r="D6586">
        <v>4.5797220000000003</v>
      </c>
      <c r="E6586">
        <v>0.51986880000000002</v>
      </c>
      <c r="F6586" t="s">
        <v>41</v>
      </c>
      <c r="G6586">
        <v>-301.95170000000002</v>
      </c>
      <c r="H6586">
        <v>0.84281609999999996</v>
      </c>
      <c r="I6586">
        <v>-25.258240000000001</v>
      </c>
      <c r="J6586">
        <v>-302.05950000000001</v>
      </c>
      <c r="K6586">
        <v>1.111909</v>
      </c>
      <c r="L6586">
        <v>-24.78436</v>
      </c>
      <c r="M6586">
        <v>1.9022910000000001E-2</v>
      </c>
      <c r="N6586">
        <v>-1.3779130000000001E-2</v>
      </c>
      <c r="O6586">
        <v>-0.99972419999999995</v>
      </c>
      <c r="P6586">
        <v>0.19627790000000001</v>
      </c>
      <c r="Q6586">
        <v>0.35780790000000001</v>
      </c>
      <c r="R6586">
        <v>-0.91293389999999996</v>
      </c>
      <c r="S6586">
        <v>0.59243769999999996</v>
      </c>
      <c r="T6586">
        <v>-1.397286</v>
      </c>
      <c r="U6586">
        <v>-3.708313</v>
      </c>
      <c r="V6586">
        <v>-0.1797772</v>
      </c>
      <c r="W6586">
        <v>0.36996499999999999</v>
      </c>
      <c r="X6586">
        <v>0.91148560000000001</v>
      </c>
      <c r="Y6586">
        <v>-0.12941059999999999</v>
      </c>
      <c r="Z6586">
        <v>0.33618389999999998</v>
      </c>
      <c r="AA6586">
        <v>0.93286290000000005</v>
      </c>
      <c r="AB6586">
        <v>24</v>
      </c>
      <c r="AC6586">
        <v>0.107799999999997</v>
      </c>
      <c r="AD6586">
        <v>-0.26909290000000002</v>
      </c>
      <c r="AE6586">
        <v>-0.47388000000000102</v>
      </c>
      <c r="AF6586">
        <v>-7.5590033380403598E-2</v>
      </c>
      <c r="AG6586">
        <v>-0.26909290000000002</v>
      </c>
      <c r="AH6586">
        <v>0.36418899099756002</v>
      </c>
      <c r="AI6586">
        <v>125.884365309329</v>
      </c>
      <c r="AJ6586">
        <v>101.725660877976</v>
      </c>
      <c r="AK6586">
        <v>0.45908437475118002</v>
      </c>
      <c r="AL6586">
        <v>68.286540577497405</v>
      </c>
      <c r="AM6586">
        <v>101.157542579384</v>
      </c>
      <c r="AN6586">
        <v>0.99999997093609905</v>
      </c>
    </row>
    <row r="6587" spans="1:40" x14ac:dyDescent="0.25">
      <c r="A6587" t="str">
        <f>"20190304164253458"</f>
        <v>20190304164253458</v>
      </c>
      <c r="B6587" t="str">
        <f>"1551688973447814"</f>
        <v>1551688973447814</v>
      </c>
      <c r="C6587" t="s">
        <v>40</v>
      </c>
      <c r="D6587">
        <v>4.6584620000000001</v>
      </c>
      <c r="E6587">
        <v>0.51980199999999999</v>
      </c>
      <c r="F6587" t="s">
        <v>41</v>
      </c>
      <c r="G6587">
        <v>-301.9479</v>
      </c>
      <c r="H6587">
        <v>0.85326399999999902</v>
      </c>
      <c r="I6587">
        <v>-25.469460000000002</v>
      </c>
      <c r="J6587">
        <v>-302.05399999999997</v>
      </c>
      <c r="K6587">
        <v>1.1119019999999999</v>
      </c>
      <c r="L6587">
        <v>-24.991969999999998</v>
      </c>
      <c r="M6587">
        <v>2.041275E-2</v>
      </c>
      <c r="N6587">
        <v>-1.3776989999999999E-2</v>
      </c>
      <c r="O6587">
        <v>-0.99969669999999999</v>
      </c>
      <c r="P6587">
        <v>0.19812759999999999</v>
      </c>
      <c r="Q6587">
        <v>0.35723319999999997</v>
      </c>
      <c r="R6587">
        <v>-0.91275949999999995</v>
      </c>
      <c r="S6587">
        <v>0.60308839999999997</v>
      </c>
      <c r="T6587">
        <v>-1.3984989999999999</v>
      </c>
      <c r="U6587">
        <v>-3.7045590000000002</v>
      </c>
      <c r="V6587">
        <v>-0.1803477</v>
      </c>
      <c r="W6587">
        <v>0.3693922</v>
      </c>
      <c r="X6587">
        <v>0.9116052</v>
      </c>
      <c r="Y6587">
        <v>-0.13076409999999999</v>
      </c>
      <c r="Z6587">
        <v>0.33664909999999998</v>
      </c>
      <c r="AA6587">
        <v>0.93250639999999996</v>
      </c>
      <c r="AB6587">
        <v>24</v>
      </c>
      <c r="AC6587">
        <v>0.10610000000002601</v>
      </c>
      <c r="AD6587">
        <v>-0.25863799999999998</v>
      </c>
      <c r="AE6587">
        <v>-0.47748999999999903</v>
      </c>
      <c r="AF6587">
        <v>-7.5281837202192697E-2</v>
      </c>
      <c r="AG6587">
        <v>-0.25863799999999998</v>
      </c>
      <c r="AH6587">
        <v>0.37477279947056902</v>
      </c>
      <c r="AI6587">
        <v>124.082436599047</v>
      </c>
      <c r="AJ6587">
        <v>101.358034580454</v>
      </c>
      <c r="AK6587">
        <v>0.46153615381630198</v>
      </c>
      <c r="AL6587">
        <v>68.321861641736604</v>
      </c>
      <c r="AM6587">
        <v>101.19062583287101</v>
      </c>
      <c r="AN6587">
        <v>0.99999996549158399</v>
      </c>
    </row>
    <row r="6588" spans="1:40" x14ac:dyDescent="0.25">
      <c r="A6588" t="str">
        <f>"20190304164253480"</f>
        <v>20190304164253480</v>
      </c>
      <c r="B6588" t="str">
        <f>"1551688973467334"</f>
        <v>1551688973467334</v>
      </c>
      <c r="C6588" t="s">
        <v>40</v>
      </c>
      <c r="D6588">
        <v>4.8829320000000003</v>
      </c>
      <c r="E6588">
        <v>0.51964560000000004</v>
      </c>
      <c r="F6588" t="s">
        <v>41</v>
      </c>
      <c r="G6588">
        <v>-301.94</v>
      </c>
      <c r="H6588">
        <v>0.85190560000000004</v>
      </c>
      <c r="I6588">
        <v>-25.67849</v>
      </c>
      <c r="J6588">
        <v>-302.04750000000001</v>
      </c>
      <c r="K6588">
        <v>1.1119059999999901</v>
      </c>
      <c r="L6588">
        <v>-25.220030000000001</v>
      </c>
      <c r="M6588">
        <v>2.1933939999999999E-2</v>
      </c>
      <c r="N6588">
        <v>-1.377462E-2</v>
      </c>
      <c r="O6588">
        <v>-0.99966469999999996</v>
      </c>
      <c r="P6588">
        <v>0.2006087</v>
      </c>
      <c r="Q6588">
        <v>0.35735729999999999</v>
      </c>
      <c r="R6588">
        <v>-0.91216920000000001</v>
      </c>
      <c r="S6588">
        <v>0.61584469999999902</v>
      </c>
      <c r="T6588">
        <v>-1.4021170000000001</v>
      </c>
      <c r="U6588">
        <v>-3.701813</v>
      </c>
      <c r="V6588">
        <v>-0.18143899999999999</v>
      </c>
      <c r="W6588">
        <v>0.36951089999999998</v>
      </c>
      <c r="X6588">
        <v>0.9113405</v>
      </c>
      <c r="Y6588">
        <v>-0.132438</v>
      </c>
      <c r="Z6588">
        <v>0.337536</v>
      </c>
      <c r="AA6588">
        <v>0.93194940000000004</v>
      </c>
      <c r="AB6588">
        <v>23</v>
      </c>
      <c r="AC6588">
        <v>0.107500000000015</v>
      </c>
      <c r="AD6588">
        <v>-0.26000039999999902</v>
      </c>
      <c r="AE6588">
        <v>-0.45846000000000198</v>
      </c>
      <c r="AF6588">
        <v>-7.4657317826846606E-2</v>
      </c>
      <c r="AG6588">
        <v>-0.26000039999999902</v>
      </c>
      <c r="AH6588">
        <v>0.35307068314802298</v>
      </c>
      <c r="AI6588">
        <v>125.77150714745299</v>
      </c>
      <c r="AJ6588">
        <v>101.939406785476</v>
      </c>
      <c r="AK6588">
        <v>0.44478402669595801</v>
      </c>
      <c r="AL6588">
        <v>68.314542733878994</v>
      </c>
      <c r="AM6588">
        <v>101.25980320004901</v>
      </c>
      <c r="AN6588">
        <v>0.99999996144002901</v>
      </c>
    </row>
    <row r="6589" spans="1:40" x14ac:dyDescent="0.25">
      <c r="A6589" t="str">
        <f>"20190304164253503"</f>
        <v>20190304164253503</v>
      </c>
      <c r="B6589" t="str">
        <f>"1551688973497589"</f>
        <v>1551688973497589</v>
      </c>
      <c r="C6589" t="s">
        <v>40</v>
      </c>
      <c r="D6589">
        <v>4.7936329999999998</v>
      </c>
      <c r="E6589">
        <v>0.54516609999999999</v>
      </c>
      <c r="F6589" t="s">
        <v>41</v>
      </c>
      <c r="G6589">
        <v>-301.93340000000001</v>
      </c>
      <c r="H6589">
        <v>0.85771810000000004</v>
      </c>
      <c r="I6589">
        <v>-25.88916</v>
      </c>
      <c r="J6589">
        <v>-302.04050000000001</v>
      </c>
      <c r="K6589">
        <v>1.111901</v>
      </c>
      <c r="L6589">
        <v>-25.458130000000001</v>
      </c>
      <c r="M6589">
        <v>2.351725E-2</v>
      </c>
      <c r="N6589">
        <v>-1.377214E-2</v>
      </c>
      <c r="O6589">
        <v>-0.99962859999999998</v>
      </c>
      <c r="P6589">
        <v>0.2035661</v>
      </c>
      <c r="Q6589">
        <v>0.35757159999999999</v>
      </c>
      <c r="R6589">
        <v>-0.9114293</v>
      </c>
      <c r="S6589">
        <v>0.63195800000000002</v>
      </c>
      <c r="T6589">
        <v>-1.406012</v>
      </c>
      <c r="U6589">
        <v>-3.7007140000000001</v>
      </c>
      <c r="V6589">
        <v>-0.18295529999999999</v>
      </c>
      <c r="W6589">
        <v>0.36971739999999997</v>
      </c>
      <c r="X6589">
        <v>0.91095360000000003</v>
      </c>
      <c r="Y6589">
        <v>-0.1348067</v>
      </c>
      <c r="Z6589">
        <v>0.33830389999999999</v>
      </c>
      <c r="AA6589">
        <v>0.93133109999999997</v>
      </c>
      <c r="AB6589">
        <v>23</v>
      </c>
      <c r="AC6589">
        <v>0.107100000000002</v>
      </c>
      <c r="AD6589">
        <v>-0.25418289999999999</v>
      </c>
      <c r="AE6589">
        <v>-0.43102999999999903</v>
      </c>
      <c r="AF6589">
        <v>-7.3017032680461405E-2</v>
      </c>
      <c r="AG6589">
        <v>-0.25418289999999999</v>
      </c>
      <c r="AH6589">
        <v>0.32649175362837002</v>
      </c>
      <c r="AI6589">
        <v>127.226107053175</v>
      </c>
      <c r="AJ6589">
        <v>102.60626407273</v>
      </c>
      <c r="AK6589">
        <v>0.42016341928016299</v>
      </c>
      <c r="AL6589">
        <v>68.301811003520598</v>
      </c>
      <c r="AM6589">
        <v>101.35616480421101</v>
      </c>
      <c r="AN6589">
        <v>1.0000000295069</v>
      </c>
    </row>
    <row r="6590" spans="1:40" x14ac:dyDescent="0.25">
      <c r="A6590" t="str">
        <f>"20190304164253524"</f>
        <v>20190304164253524</v>
      </c>
      <c r="B6590" t="str">
        <f>"1551688973518086"</f>
        <v>1551688973518086</v>
      </c>
      <c r="C6590" t="s">
        <v>40</v>
      </c>
      <c r="D6590">
        <v>4.6697319999999998</v>
      </c>
      <c r="E6590">
        <v>0.47094799999999998</v>
      </c>
      <c r="F6590" t="s">
        <v>41</v>
      </c>
      <c r="G6590">
        <v>-301.9409</v>
      </c>
      <c r="H6590">
        <v>0.91669889999999998</v>
      </c>
      <c r="I6590">
        <v>-26.328499999999998</v>
      </c>
      <c r="J6590">
        <v>-302.0333</v>
      </c>
      <c r="K6590">
        <v>1.11189</v>
      </c>
      <c r="L6590">
        <v>-25.688600000000001</v>
      </c>
      <c r="M6590">
        <v>2.5047570000000002E-2</v>
      </c>
      <c r="N6590">
        <v>-1.3769750000000001E-2</v>
      </c>
      <c r="O6590">
        <v>-0.99959140000000002</v>
      </c>
      <c r="P6590">
        <v>0.20601749999999999</v>
      </c>
      <c r="Q6590">
        <v>0.35744979999999998</v>
      </c>
      <c r="R6590">
        <v>-0.91092640000000002</v>
      </c>
      <c r="S6590">
        <v>0.4020996</v>
      </c>
      <c r="T6590">
        <v>-0.78741130000000004</v>
      </c>
      <c r="U6590">
        <v>-3.5106510000000002</v>
      </c>
      <c r="V6590">
        <v>-0.18401020000000001</v>
      </c>
      <c r="W6590">
        <v>0.36959120000000001</v>
      </c>
      <c r="X6590">
        <v>0.9107923</v>
      </c>
      <c r="Y6590">
        <v>-8.6329539999999996E-2</v>
      </c>
      <c r="Z6590">
        <v>0.204231</v>
      </c>
      <c r="AA6590">
        <v>0.97510870000000005</v>
      </c>
      <c r="AB6590">
        <v>23</v>
      </c>
      <c r="AC6590">
        <v>9.2399999999997803E-2</v>
      </c>
      <c r="AD6590">
        <v>-0.19519110000000001</v>
      </c>
      <c r="AE6590">
        <v>-0.63989999999999703</v>
      </c>
      <c r="AF6590">
        <v>-6.9964609606917597E-2</v>
      </c>
      <c r="AG6590">
        <v>-0.19519110000000001</v>
      </c>
      <c r="AH6590">
        <v>0.58838534142450605</v>
      </c>
      <c r="AI6590">
        <v>108.232891696641</v>
      </c>
      <c r="AJ6590">
        <v>96.781171670668201</v>
      </c>
      <c r="AK6590">
        <v>0.623852484262018</v>
      </c>
      <c r="AL6590">
        <v>68.3095925140791</v>
      </c>
      <c r="AM6590">
        <v>101.421896789578</v>
      </c>
      <c r="AN6590">
        <v>1.00000001128038</v>
      </c>
    </row>
    <row r="6591" spans="1:40" x14ac:dyDescent="0.25">
      <c r="A6591" t="str">
        <f>"20190304164253547"</f>
        <v>20190304164253547</v>
      </c>
      <c r="B6591" t="str">
        <f>"1551688973537606"</f>
        <v>1551688973537606</v>
      </c>
      <c r="C6591" t="s">
        <v>40</v>
      </c>
      <c r="D6591">
        <v>4.6048010000000001</v>
      </c>
      <c r="E6591">
        <v>0.46241959999999999</v>
      </c>
      <c r="F6591" t="s">
        <v>42</v>
      </c>
      <c r="G6591">
        <v>-298.26100000000002</v>
      </c>
      <c r="H6591" s="1">
        <v>-1.181199E-6</v>
      </c>
      <c r="I6591">
        <v>-38.332850000000001</v>
      </c>
      <c r="J6591">
        <v>-302.0258</v>
      </c>
      <c r="K6591">
        <v>1.1118840000000001</v>
      </c>
      <c r="L6591">
        <v>-25.91779</v>
      </c>
      <c r="M6591">
        <v>2.656851E-2</v>
      </c>
      <c r="N6591">
        <v>-1.3767359999999999E-2</v>
      </c>
      <c r="O6591">
        <v>-0.9995522</v>
      </c>
      <c r="P6591">
        <v>0.20833769999999999</v>
      </c>
      <c r="Q6591">
        <v>0.35767090000000001</v>
      </c>
      <c r="R6591">
        <v>-0.9103116</v>
      </c>
      <c r="S6591">
        <v>0.95117189999999996</v>
      </c>
      <c r="T6591">
        <v>-0.28036480000000003</v>
      </c>
      <c r="U6591">
        <v>-3.1882630000000001</v>
      </c>
      <c r="V6591">
        <v>-0.18494849999999999</v>
      </c>
      <c r="W6591">
        <v>0.36980649999999998</v>
      </c>
      <c r="X6591">
        <v>0.91051479999999996</v>
      </c>
      <c r="Y6591">
        <v>-0.25943820000000001</v>
      </c>
      <c r="Z6591">
        <v>7.056163E-2</v>
      </c>
      <c r="AA6591">
        <v>0.96317850000000005</v>
      </c>
      <c r="AB6591">
        <v>23</v>
      </c>
      <c r="AC6591">
        <v>3.7648000000000299</v>
      </c>
      <c r="AD6591">
        <v>-1.111885181199</v>
      </c>
      <c r="AE6591">
        <v>-12.41506</v>
      </c>
      <c r="AF6591">
        <v>-3.4085526007425</v>
      </c>
      <c r="AG6591">
        <v>-1.111885181199</v>
      </c>
      <c r="AH6591">
        <v>12.419484872016399</v>
      </c>
      <c r="AI6591">
        <v>94.934393424125204</v>
      </c>
      <c r="AJ6591">
        <v>105.347057204178</v>
      </c>
      <c r="AK6591">
        <v>12.9266439563579</v>
      </c>
      <c r="AL6591">
        <v>68.296315820644793</v>
      </c>
      <c r="AM6591">
        <v>101.482002308288</v>
      </c>
      <c r="AN6591">
        <v>0.99999999805676998</v>
      </c>
    </row>
    <row r="6592" spans="1:40" x14ac:dyDescent="0.25">
      <c r="A6592" t="str">
        <f>"20190304164253569"</f>
        <v>20190304164253569</v>
      </c>
      <c r="B6592" t="str">
        <f>"1551688973558102"</f>
        <v>1551688973558102</v>
      </c>
      <c r="C6592" t="s">
        <v>40</v>
      </c>
      <c r="D6592">
        <v>4.6341749999999999</v>
      </c>
      <c r="E6592">
        <v>0.45948270000000002</v>
      </c>
      <c r="F6592" t="s">
        <v>57</v>
      </c>
      <c r="G6592">
        <v>-296.92860000000002</v>
      </c>
      <c r="H6592" s="1">
        <v>-1.6083510000000001E-6</v>
      </c>
      <c r="I6592">
        <v>-41.648479999999999</v>
      </c>
      <c r="J6592">
        <v>-302.01760000000002</v>
      </c>
      <c r="K6592">
        <v>1.1118779999999999</v>
      </c>
      <c r="L6592">
        <v>-26.153079999999999</v>
      </c>
      <c r="M6592">
        <v>2.8131380000000001E-2</v>
      </c>
      <c r="N6592">
        <v>-1.3764139999999999E-2</v>
      </c>
      <c r="O6592">
        <v>-0.99950950000000005</v>
      </c>
      <c r="P6592">
        <v>0.21054339999999999</v>
      </c>
      <c r="Q6592">
        <v>0.35716389999999998</v>
      </c>
      <c r="R6592">
        <v>-0.91000320000000001</v>
      </c>
      <c r="S6592">
        <v>1.020508</v>
      </c>
      <c r="T6592">
        <v>-0.2226129</v>
      </c>
      <c r="U6592">
        <v>-3.1494749999999998</v>
      </c>
      <c r="V6592">
        <v>-0.1857248</v>
      </c>
      <c r="W6592">
        <v>0.36929780000000001</v>
      </c>
      <c r="X6592">
        <v>0.91056320000000002</v>
      </c>
      <c r="Y6592">
        <v>-0.28076479999999998</v>
      </c>
      <c r="Z6592">
        <v>5.3655670000000003E-2</v>
      </c>
      <c r="AA6592">
        <v>0.95827560000000001</v>
      </c>
      <c r="AB6592">
        <v>23</v>
      </c>
      <c r="AC6592">
        <v>5.0889999999999898</v>
      </c>
      <c r="AD6592">
        <v>-1.1118796083509901</v>
      </c>
      <c r="AE6592">
        <v>-15.4954</v>
      </c>
      <c r="AF6592">
        <v>-4.6295213124014998</v>
      </c>
      <c r="AG6592">
        <v>-1.1118796083509901</v>
      </c>
      <c r="AH6592">
        <v>15.560123806245899</v>
      </c>
      <c r="AI6592">
        <v>93.918061581846402</v>
      </c>
      <c r="AJ6592">
        <v>106.569042260275</v>
      </c>
      <c r="AK6592">
        <v>16.272252355195</v>
      </c>
      <c r="AL6592">
        <v>68.327681634312498</v>
      </c>
      <c r="AM6592">
        <v>101.528312487481</v>
      </c>
      <c r="AN6592">
        <v>0.99999995380705897</v>
      </c>
    </row>
    <row r="6593" spans="1:40" x14ac:dyDescent="0.25">
      <c r="A6593" t="str">
        <f>"20190304164253593"</f>
        <v>20190304164253593</v>
      </c>
      <c r="B6593" t="str">
        <f>"1551688973587381"</f>
        <v>1551688973587381</v>
      </c>
      <c r="C6593" t="s">
        <v>40</v>
      </c>
      <c r="D6593">
        <v>4.5407699999999904</v>
      </c>
      <c r="E6593">
        <v>0.45852120000000002</v>
      </c>
      <c r="F6593" t="s">
        <v>57</v>
      </c>
      <c r="G6593">
        <v>-296.50729999999999</v>
      </c>
      <c r="H6593" s="1">
        <v>-2.334198E-6</v>
      </c>
      <c r="I6593">
        <v>-42.614049999999999</v>
      </c>
      <c r="J6593">
        <v>-302.00909999999999</v>
      </c>
      <c r="K6593">
        <v>1.111869</v>
      </c>
      <c r="L6593">
        <v>-26.389949999999999</v>
      </c>
      <c r="M6593">
        <v>2.97071E-2</v>
      </c>
      <c r="N6593">
        <v>-1.3756050000000001E-2</v>
      </c>
      <c r="O6593">
        <v>-0.99946389999999996</v>
      </c>
      <c r="P6593">
        <v>0.2131364</v>
      </c>
      <c r="Q6593">
        <v>0.35654039999999998</v>
      </c>
      <c r="R6593">
        <v>-0.90964370000000006</v>
      </c>
      <c r="S6593">
        <v>1.050079</v>
      </c>
      <c r="T6593">
        <v>-0.21188660000000001</v>
      </c>
      <c r="U6593">
        <v>-3.1369020000000001</v>
      </c>
      <c r="V6593">
        <v>-0.1868793</v>
      </c>
      <c r="W6593">
        <v>0.36866539999999998</v>
      </c>
      <c r="X6593">
        <v>0.91058329999999998</v>
      </c>
      <c r="Y6593">
        <v>-0.28856890000000002</v>
      </c>
      <c r="Z6593">
        <v>5.0507110000000001E-2</v>
      </c>
      <c r="AA6593">
        <v>0.95612600000000003</v>
      </c>
      <c r="AB6593">
        <v>23</v>
      </c>
      <c r="AC6593">
        <v>5.5018000000000002</v>
      </c>
      <c r="AD6593">
        <v>-1.111871334198</v>
      </c>
      <c r="AE6593">
        <v>-16.2241</v>
      </c>
      <c r="AF6593">
        <v>-4.9963089986159197</v>
      </c>
      <c r="AG6593">
        <v>-1.111871334198</v>
      </c>
      <c r="AH6593">
        <v>16.311687212155402</v>
      </c>
      <c r="AI6593">
        <v>93.728990834646794</v>
      </c>
      <c r="AJ6593">
        <v>107.029952340284</v>
      </c>
      <c r="AK6593">
        <v>17.095920600560099</v>
      </c>
      <c r="AL6593">
        <v>68.366667386691503</v>
      </c>
      <c r="AM6593">
        <v>101.59778968024099</v>
      </c>
      <c r="AN6593">
        <v>0.99999999808226903</v>
      </c>
    </row>
    <row r="6594" spans="1:40" x14ac:dyDescent="0.25">
      <c r="A6594" t="str">
        <f>"20190304164253615"</f>
        <v>20190304164253615</v>
      </c>
      <c r="B6594" t="str">
        <f>"1551688973607877"</f>
        <v>1551688973607877</v>
      </c>
      <c r="C6594" t="s">
        <v>40</v>
      </c>
      <c r="D6594">
        <v>4.6063599999999996</v>
      </c>
      <c r="E6594">
        <v>0.45857490000000001</v>
      </c>
      <c r="F6594" t="s">
        <v>57</v>
      </c>
      <c r="G6594">
        <v>-296.39929999999998</v>
      </c>
      <c r="H6594" s="1">
        <v>-2.5317310000000001E-6</v>
      </c>
      <c r="I6594">
        <v>-42.879620000000003</v>
      </c>
      <c r="J6594">
        <v>-302.00040000000001</v>
      </c>
      <c r="K6594">
        <v>1.1118539999999999</v>
      </c>
      <c r="L6594">
        <v>-26.621369999999999</v>
      </c>
      <c r="M6594">
        <v>3.1251059999999997E-2</v>
      </c>
      <c r="N6594">
        <v>-1.3735020000000001E-2</v>
      </c>
      <c r="O6594">
        <v>-0.99941740000000001</v>
      </c>
      <c r="P6594">
        <v>0.21601100000000001</v>
      </c>
      <c r="Q6594">
        <v>0.35595589999999999</v>
      </c>
      <c r="R6594">
        <v>-0.90919459999999996</v>
      </c>
      <c r="S6594">
        <v>1.0652159999999999</v>
      </c>
      <c r="T6594">
        <v>-0.21112929999999999</v>
      </c>
      <c r="U6594">
        <v>-3.1311650000000002</v>
      </c>
      <c r="V6594">
        <v>-0.18834980000000001</v>
      </c>
      <c r="W6594">
        <v>0.368058</v>
      </c>
      <c r="X6594">
        <v>0.91052599999999995</v>
      </c>
      <c r="Y6594">
        <v>-0.29176639999999998</v>
      </c>
      <c r="Z6594">
        <v>5.0330340000000001E-2</v>
      </c>
      <c r="AA6594">
        <v>0.95516449999999997</v>
      </c>
      <c r="AB6594">
        <v>23</v>
      </c>
      <c r="AC6594">
        <v>5.6011000000000299</v>
      </c>
      <c r="AD6594">
        <v>-1.1118565317309901</v>
      </c>
      <c r="AE6594">
        <v>-16.25825</v>
      </c>
      <c r="AF6594">
        <v>-5.06903657959817</v>
      </c>
      <c r="AG6594">
        <v>-1.1118565317309901</v>
      </c>
      <c r="AH6594">
        <v>16.356981725090399</v>
      </c>
      <c r="AI6594">
        <v>93.7148919040783</v>
      </c>
      <c r="AJ6594">
        <v>107.218234188179</v>
      </c>
      <c r="AK6594">
        <v>17.160483907728199</v>
      </c>
      <c r="AL6594">
        <v>68.404100394815003</v>
      </c>
      <c r="AM6594">
        <v>101.687263814011</v>
      </c>
      <c r="AN6594">
        <v>0.99999996760001897</v>
      </c>
    </row>
    <row r="6595" spans="1:40" x14ac:dyDescent="0.25">
      <c r="A6595" t="str">
        <f>"20190304164253637"</f>
        <v>20190304164253637</v>
      </c>
      <c r="B6595" t="str">
        <f>"1551688973627398"</f>
        <v>1551688973627398</v>
      </c>
      <c r="C6595" t="s">
        <v>40</v>
      </c>
      <c r="D6595">
        <v>4.634042</v>
      </c>
      <c r="E6595">
        <v>0.4584028</v>
      </c>
      <c r="F6595" t="s">
        <v>57</v>
      </c>
      <c r="G6595">
        <v>-296.40730000000002</v>
      </c>
      <c r="H6595" s="1">
        <v>-2.549628E-6</v>
      </c>
      <c r="I6595">
        <v>-42.911140000000003</v>
      </c>
      <c r="J6595">
        <v>-301.99160000000001</v>
      </c>
      <c r="K6595">
        <v>1.1118479999999999</v>
      </c>
      <c r="L6595">
        <v>-26.846070000000001</v>
      </c>
      <c r="M6595">
        <v>3.2760450000000003E-2</v>
      </c>
      <c r="N6595">
        <v>-1.3690890000000001E-2</v>
      </c>
      <c r="O6595">
        <v>-0.99936950000000002</v>
      </c>
      <c r="P6595">
        <v>0.2196776</v>
      </c>
      <c r="Q6595">
        <v>0.35526849999999999</v>
      </c>
      <c r="R6595">
        <v>-0.90858470000000002</v>
      </c>
      <c r="S6595">
        <v>1.0740050000000001</v>
      </c>
      <c r="T6595">
        <v>-0.21350479999999999</v>
      </c>
      <c r="U6595">
        <v>-3.1280519999999998</v>
      </c>
      <c r="V6595">
        <v>-0.19065319999999999</v>
      </c>
      <c r="W6595">
        <v>0.36732009999999998</v>
      </c>
      <c r="X6595">
        <v>0.91034459999999995</v>
      </c>
      <c r="Y6595">
        <v>-0.29300009999999999</v>
      </c>
      <c r="Z6595">
        <v>5.1110410000000002E-2</v>
      </c>
      <c r="AA6595">
        <v>0.95474539999999997</v>
      </c>
      <c r="AB6595">
        <v>23</v>
      </c>
      <c r="AC6595">
        <v>5.5842999999999803</v>
      </c>
      <c r="AD6595">
        <v>-1.111850549628</v>
      </c>
      <c r="AE6595">
        <v>-16.065069999999999</v>
      </c>
      <c r="AF6595">
        <v>-5.0334430977347804</v>
      </c>
      <c r="AG6595">
        <v>-1.111850549628</v>
      </c>
      <c r="AH6595">
        <v>16.170302009265001</v>
      </c>
      <c r="AI6595">
        <v>93.756175840024198</v>
      </c>
      <c r="AJ6595">
        <v>107.29016391579999</v>
      </c>
      <c r="AK6595">
        <v>16.9720484365819</v>
      </c>
      <c r="AL6595">
        <v>68.449564325884594</v>
      </c>
      <c r="AM6595">
        <v>101.828480101349</v>
      </c>
      <c r="AN6595">
        <v>0.99999999464170497</v>
      </c>
    </row>
    <row r="6596" spans="1:40" x14ac:dyDescent="0.25">
      <c r="A6596" t="str">
        <f>"20190304164253659"</f>
        <v>20190304164253659</v>
      </c>
      <c r="B6596" t="str">
        <f>"1551688973647895"</f>
        <v>1551688973647895</v>
      </c>
      <c r="C6596" t="s">
        <v>40</v>
      </c>
      <c r="D6596">
        <v>4.6387140000000002</v>
      </c>
      <c r="E6596">
        <v>0.45843390000000001</v>
      </c>
      <c r="F6596" t="s">
        <v>57</v>
      </c>
      <c r="G6596">
        <v>-296.46699999999998</v>
      </c>
      <c r="H6596" s="1">
        <v>-2.395961E-6</v>
      </c>
      <c r="I6596">
        <v>-42.694339999999997</v>
      </c>
      <c r="J6596">
        <v>-301.98219999999998</v>
      </c>
      <c r="K6596">
        <v>1.111839</v>
      </c>
      <c r="L6596">
        <v>-27.0762</v>
      </c>
      <c r="M6596">
        <v>3.4323010000000001E-2</v>
      </c>
      <c r="N6596">
        <v>-1.36144E-2</v>
      </c>
      <c r="O6596">
        <v>-0.99931800000000004</v>
      </c>
      <c r="P6596">
        <v>0.2224585</v>
      </c>
      <c r="Q6596">
        <v>0.35469590000000001</v>
      </c>
      <c r="R6596">
        <v>-0.90813180000000004</v>
      </c>
      <c r="S6596">
        <v>1.089081</v>
      </c>
      <c r="T6596">
        <v>-0.2191815</v>
      </c>
      <c r="U6596">
        <v>-3.1242070000000002</v>
      </c>
      <c r="V6596">
        <v>-0.19202530000000001</v>
      </c>
      <c r="W6596">
        <v>0.36666860000000001</v>
      </c>
      <c r="X6596">
        <v>0.91031890000000004</v>
      </c>
      <c r="Y6596">
        <v>-0.2959445</v>
      </c>
      <c r="Z6596">
        <v>5.2895079999999997E-2</v>
      </c>
      <c r="AA6596">
        <v>0.95373949999999996</v>
      </c>
      <c r="AB6596">
        <v>23</v>
      </c>
      <c r="AC6596">
        <v>5.5151999999999903</v>
      </c>
      <c r="AD6596">
        <v>-1.1118413959610001</v>
      </c>
      <c r="AE6596">
        <v>-15.61814</v>
      </c>
      <c r="AF6596">
        <v>-4.9535179796333004</v>
      </c>
      <c r="AG6596">
        <v>-1.1118413959610001</v>
      </c>
      <c r="AH6596">
        <v>15.7273842746476</v>
      </c>
      <c r="AI6596">
        <v>93.857567895040305</v>
      </c>
      <c r="AJ6596">
        <v>107.48241204181301</v>
      </c>
      <c r="AK6596">
        <v>16.526468097774401</v>
      </c>
      <c r="AL6596">
        <v>68.489693546670395</v>
      </c>
      <c r="AM6596">
        <v>101.91151112508599</v>
      </c>
      <c r="AN6596">
        <v>1.0000000388816199</v>
      </c>
    </row>
    <row r="6597" spans="1:40" x14ac:dyDescent="0.25">
      <c r="A6597" t="str">
        <f>"20190304164253682"</f>
        <v>20190304164253682</v>
      </c>
      <c r="B6597" t="str">
        <f>"1551688973678150"</f>
        <v>1551688973678150</v>
      </c>
      <c r="C6597" t="s">
        <v>40</v>
      </c>
      <c r="D6597">
        <v>4.6333840000000004</v>
      </c>
      <c r="E6597">
        <v>0.45869219999999999</v>
      </c>
      <c r="F6597" t="s">
        <v>57</v>
      </c>
      <c r="G6597">
        <v>-296.49329999999998</v>
      </c>
      <c r="H6597" s="1">
        <v>-2.3640050000000001E-6</v>
      </c>
      <c r="I6597">
        <v>-42.655070000000002</v>
      </c>
      <c r="J6597">
        <v>-301.97239999999999</v>
      </c>
      <c r="K6597">
        <v>1.1118269999999999</v>
      </c>
      <c r="L6597">
        <v>-27.30884</v>
      </c>
      <c r="M6597">
        <v>3.5925470000000001E-2</v>
      </c>
      <c r="N6597">
        <v>-1.350989E-2</v>
      </c>
      <c r="O6597">
        <v>-0.99926309999999996</v>
      </c>
      <c r="P6597">
        <v>0.22584580000000001</v>
      </c>
      <c r="Q6597">
        <v>0.35324739999999999</v>
      </c>
      <c r="R6597">
        <v>-0.90786</v>
      </c>
      <c r="S6597">
        <v>1.0996699999999999</v>
      </c>
      <c r="T6597">
        <v>-0.222748</v>
      </c>
      <c r="U6597">
        <v>-3.1210939999999998</v>
      </c>
      <c r="V6597">
        <v>-0.1939631</v>
      </c>
      <c r="W6597">
        <v>0.36511539999999998</v>
      </c>
      <c r="X6597">
        <v>0.91053229999999996</v>
      </c>
      <c r="Y6597">
        <v>-0.29756729999999998</v>
      </c>
      <c r="Z6597">
        <v>5.408309E-2</v>
      </c>
      <c r="AA6597">
        <v>0.95316769999999995</v>
      </c>
      <c r="AB6597">
        <v>23</v>
      </c>
      <c r="AC6597">
        <v>5.4791000000000096</v>
      </c>
      <c r="AD6597">
        <v>-1.1118293640050001</v>
      </c>
      <c r="AE6597">
        <v>-15.346229999999901</v>
      </c>
      <c r="AF6597">
        <v>-4.9013731859933998</v>
      </c>
      <c r="AG6597">
        <v>-1.1118293640050001</v>
      </c>
      <c r="AH6597">
        <v>15.4611992490186</v>
      </c>
      <c r="AI6597">
        <v>93.921430115906702</v>
      </c>
      <c r="AJ6597">
        <v>107.589197724846</v>
      </c>
      <c r="AK6597">
        <v>16.257561497988899</v>
      </c>
      <c r="AL6597">
        <v>68.585315311229905</v>
      </c>
      <c r="AM6597">
        <v>102.02549370841599</v>
      </c>
      <c r="AN6597">
        <v>1.00000000441103</v>
      </c>
    </row>
    <row r="6598" spans="1:40" x14ac:dyDescent="0.25">
      <c r="A6598" t="str">
        <f>"20190304164253704"</f>
        <v>20190304164253704</v>
      </c>
      <c r="B6598" t="str">
        <f>"1551688973697669"</f>
        <v>1551688973697669</v>
      </c>
      <c r="C6598" t="s">
        <v>40</v>
      </c>
      <c r="D6598">
        <v>4.5762099999999997</v>
      </c>
      <c r="E6598">
        <v>0.45908270000000001</v>
      </c>
      <c r="F6598" t="s">
        <v>57</v>
      </c>
      <c r="G6598">
        <v>-296.60539999999997</v>
      </c>
      <c r="H6598" s="1">
        <v>-2.1704669999999999E-6</v>
      </c>
      <c r="I6598">
        <v>-42.397539999999999</v>
      </c>
      <c r="J6598">
        <v>-301.96210000000002</v>
      </c>
      <c r="K6598">
        <v>1.1118220000000001</v>
      </c>
      <c r="L6598">
        <v>-27.54166</v>
      </c>
      <c r="M6598">
        <v>3.7564930000000003E-2</v>
      </c>
      <c r="N6598">
        <v>-1.338027E-2</v>
      </c>
      <c r="O6598">
        <v>-0.9992048</v>
      </c>
      <c r="P6598">
        <v>0.2300374</v>
      </c>
      <c r="Q6598">
        <v>0.35315999999999997</v>
      </c>
      <c r="R6598">
        <v>-0.90684129999999996</v>
      </c>
      <c r="S6598">
        <v>1.1090390000000001</v>
      </c>
      <c r="T6598">
        <v>-0.22975229999999999</v>
      </c>
      <c r="U6598">
        <v>-3.1179809999999999</v>
      </c>
      <c r="V6598">
        <v>-0.19670570000000001</v>
      </c>
      <c r="W6598">
        <v>0.36488579999999998</v>
      </c>
      <c r="X6598">
        <v>0.91003579999999995</v>
      </c>
      <c r="Y6598">
        <v>-0.29879929999999999</v>
      </c>
      <c r="Z6598">
        <v>5.6340870000000001E-2</v>
      </c>
      <c r="AA6598">
        <v>0.95265140000000004</v>
      </c>
      <c r="AB6598">
        <v>23</v>
      </c>
      <c r="AC6598">
        <v>5.35670000000004</v>
      </c>
      <c r="AD6598">
        <v>-1.11182417046699</v>
      </c>
      <c r="AE6598">
        <v>-14.855880000000001</v>
      </c>
      <c r="AF6598">
        <v>-4.7711594572514198</v>
      </c>
      <c r="AG6598">
        <v>-1.11182417046699</v>
      </c>
      <c r="AH6598">
        <v>14.9724212413982</v>
      </c>
      <c r="AI6598">
        <v>94.047084072338393</v>
      </c>
      <c r="AJ6598">
        <v>107.67516555917599</v>
      </c>
      <c r="AK6598">
        <v>15.753523840158</v>
      </c>
      <c r="AL6598">
        <v>68.599444478309493</v>
      </c>
      <c r="AM6598">
        <v>102.196932138543</v>
      </c>
      <c r="AN6598">
        <v>0.99999996836788396</v>
      </c>
    </row>
    <row r="6599" spans="1:40" x14ac:dyDescent="0.25">
      <c r="A6599" t="str">
        <f>"20190304164253725"</f>
        <v>20190304164253725</v>
      </c>
      <c r="B6599" t="str">
        <f>"1551688973718166"</f>
        <v>1551688973718166</v>
      </c>
      <c r="C6599" t="s">
        <v>40</v>
      </c>
      <c r="D6599">
        <v>4.6498160000000004</v>
      </c>
      <c r="E6599">
        <v>0.45930720000000003</v>
      </c>
      <c r="F6599" t="s">
        <v>57</v>
      </c>
      <c r="G6599">
        <v>-296.58409999999998</v>
      </c>
      <c r="H6599" s="1">
        <v>-2.2506780000000001E-6</v>
      </c>
      <c r="I6599">
        <v>-42.514800000000001</v>
      </c>
      <c r="J6599">
        <v>-301.95150000000001</v>
      </c>
      <c r="K6599">
        <v>1.111815</v>
      </c>
      <c r="L6599">
        <v>-27.771999999999998</v>
      </c>
      <c r="M6599">
        <v>3.9229609999999998E-2</v>
      </c>
      <c r="N6599">
        <v>-1.323452E-2</v>
      </c>
      <c r="O6599">
        <v>-0.99914250000000004</v>
      </c>
      <c r="P6599">
        <v>0.2350005</v>
      </c>
      <c r="Q6599">
        <v>0.35308679999999998</v>
      </c>
      <c r="R6599">
        <v>-0.90559599999999996</v>
      </c>
      <c r="S6599">
        <v>1.118652</v>
      </c>
      <c r="T6599">
        <v>-0.231266</v>
      </c>
      <c r="U6599">
        <v>-3.1145019999999999</v>
      </c>
      <c r="V6599">
        <v>-0.20020859999999999</v>
      </c>
      <c r="W6599">
        <v>0.364651</v>
      </c>
      <c r="X6599">
        <v>0.9093658</v>
      </c>
      <c r="Y6599">
        <v>-0.30014089999999999</v>
      </c>
      <c r="Z6599">
        <v>5.696296E-2</v>
      </c>
      <c r="AA6599">
        <v>0.9521925</v>
      </c>
      <c r="AB6599">
        <v>23</v>
      </c>
      <c r="AC6599">
        <v>5.3674000000000301</v>
      </c>
      <c r="AD6599">
        <v>-1.111817250678</v>
      </c>
      <c r="AE6599">
        <v>-14.742800000000001</v>
      </c>
      <c r="AF6599">
        <v>-4.76095448708229</v>
      </c>
      <c r="AG6599">
        <v>-1.111817250678</v>
      </c>
      <c r="AH6599">
        <v>14.8673693168515</v>
      </c>
      <c r="AI6599">
        <v>94.073716719599105</v>
      </c>
      <c r="AJ6599">
        <v>107.756543717432</v>
      </c>
      <c r="AK6599">
        <v>15.6506068773908</v>
      </c>
      <c r="AL6599">
        <v>68.613893697064199</v>
      </c>
      <c r="AM6599">
        <v>102.416320117393</v>
      </c>
      <c r="AN6599">
        <v>0.9999999967623</v>
      </c>
    </row>
    <row r="6600" spans="1:40" x14ac:dyDescent="0.25">
      <c r="A6600" t="str">
        <f>"20190304164253748"</f>
        <v>20190304164253748</v>
      </c>
      <c r="B6600" t="str">
        <f>"1551688973737686"</f>
        <v>1551688973737686</v>
      </c>
      <c r="C6600" t="s">
        <v>40</v>
      </c>
      <c r="D6600">
        <v>4.7023960000000002</v>
      </c>
      <c r="E6600">
        <v>0.41743140000000001</v>
      </c>
      <c r="F6600" t="s">
        <v>57</v>
      </c>
      <c r="G6600">
        <v>-296.47280000000001</v>
      </c>
      <c r="H6600" s="1">
        <v>-2.4733929999999999E-6</v>
      </c>
      <c r="I6600">
        <v>-42.818620000000003</v>
      </c>
      <c r="J6600">
        <v>-301.94060000000002</v>
      </c>
      <c r="K6600">
        <v>1.1118189999999999</v>
      </c>
      <c r="L6600">
        <v>-27.998539999999998</v>
      </c>
      <c r="M6600">
        <v>4.090394E-2</v>
      </c>
      <c r="N6600">
        <v>-1.308608E-2</v>
      </c>
      <c r="O6600">
        <v>-0.9990774</v>
      </c>
      <c r="P6600">
        <v>0.24007410000000001</v>
      </c>
      <c r="Q6600">
        <v>0.35335260000000002</v>
      </c>
      <c r="R6600">
        <v>-0.90416070000000004</v>
      </c>
      <c r="S6600">
        <v>1.131866</v>
      </c>
      <c r="T6600">
        <v>-0.22969790000000001</v>
      </c>
      <c r="U6600">
        <v>-3.1085820000000002</v>
      </c>
      <c r="V6600">
        <v>-0.20382349999999999</v>
      </c>
      <c r="W6600">
        <v>0.36475089999999999</v>
      </c>
      <c r="X6600">
        <v>0.9085223</v>
      </c>
      <c r="Y6600">
        <v>-0.30270419999999998</v>
      </c>
      <c r="Z6600">
        <v>5.6681450000000001E-2</v>
      </c>
      <c r="AA6600">
        <v>0.95139759999999995</v>
      </c>
      <c r="AB6600">
        <v>23</v>
      </c>
      <c r="AC6600">
        <v>5.4678000000000102</v>
      </c>
      <c r="AD6600">
        <v>-1.1118214733930001</v>
      </c>
      <c r="AE6600">
        <v>-14.8200799999999</v>
      </c>
      <c r="AF6600">
        <v>-4.8330293631416401</v>
      </c>
      <c r="AG6600">
        <v>-1.1118214733930001</v>
      </c>
      <c r="AH6600">
        <v>14.9572521466618</v>
      </c>
      <c r="AI6600">
        <v>94.045929682478899</v>
      </c>
      <c r="AJ6600">
        <v>107.906828181414</v>
      </c>
      <c r="AK6600">
        <v>15.7579729531595</v>
      </c>
      <c r="AL6600">
        <v>68.607746615808594</v>
      </c>
      <c r="AM6600">
        <v>102.644722016267</v>
      </c>
      <c r="AN6600">
        <v>1.00000000390017</v>
      </c>
    </row>
    <row r="6601" spans="1:40" x14ac:dyDescent="0.25">
      <c r="A6601" t="str">
        <f>"20190304164253770"</f>
        <v>20190304164253770</v>
      </c>
      <c r="B6601" t="str">
        <f>"1551688973767942"</f>
        <v>1551688973767942</v>
      </c>
      <c r="C6601" t="s">
        <v>40</v>
      </c>
      <c r="D6601">
        <v>4.6562349999999997</v>
      </c>
      <c r="E6601">
        <v>0.3699055</v>
      </c>
      <c r="F6601" t="s">
        <v>57</v>
      </c>
      <c r="G6601">
        <v>-286.45299999999997</v>
      </c>
      <c r="H6601" s="1">
        <v>-3.1390599999999999E-6</v>
      </c>
      <c r="I6601">
        <v>-59.523130000000002</v>
      </c>
      <c r="J6601">
        <v>-301.92910000000001</v>
      </c>
      <c r="K6601">
        <v>1.1118209999999999</v>
      </c>
      <c r="L6601">
        <v>-28.228850000000001</v>
      </c>
      <c r="M6601">
        <v>4.2649640000000003E-2</v>
      </c>
      <c r="N6601">
        <v>-1.2924420000000001E-2</v>
      </c>
      <c r="O6601">
        <v>-0.99900650000000002</v>
      </c>
      <c r="P6601">
        <v>0.24551990000000001</v>
      </c>
      <c r="Q6601">
        <v>0.35372189999999998</v>
      </c>
      <c r="R6601">
        <v>-0.90255240000000003</v>
      </c>
      <c r="S6601">
        <v>1.459778</v>
      </c>
      <c r="T6601">
        <v>-0.1047945</v>
      </c>
      <c r="U6601">
        <v>-2.9713440000000002</v>
      </c>
      <c r="V6601">
        <v>-0.20775869999999999</v>
      </c>
      <c r="W6601">
        <v>0.36493779999999998</v>
      </c>
      <c r="X6601">
        <v>0.90755529999999995</v>
      </c>
      <c r="Y6601">
        <v>-0.40207179999999998</v>
      </c>
      <c r="Z6601">
        <v>1.910065E-2</v>
      </c>
      <c r="AA6601">
        <v>0.91540880000000002</v>
      </c>
      <c r="AB6601">
        <v>23</v>
      </c>
      <c r="AC6601">
        <v>15.476100000000001</v>
      </c>
      <c r="AD6601">
        <v>-1.1118241390600001</v>
      </c>
      <c r="AE6601">
        <v>-31.294280000000001</v>
      </c>
      <c r="AF6601">
        <v>-14.1129011921619</v>
      </c>
      <c r="AG6601">
        <v>-1.1118241390600001</v>
      </c>
      <c r="AH6601">
        <v>31.893558943568401</v>
      </c>
      <c r="AI6601">
        <v>91.825905415564606</v>
      </c>
      <c r="AJ6601">
        <v>113.86939210731801</v>
      </c>
      <c r="AK6601">
        <v>34.894257909616002</v>
      </c>
      <c r="AL6601">
        <v>68.596243992333996</v>
      </c>
      <c r="AM6601">
        <v>102.894048612427</v>
      </c>
      <c r="AN6601">
        <v>0.99999994892630795</v>
      </c>
    </row>
    <row r="6602" spans="1:40" x14ac:dyDescent="0.25">
      <c r="A6602" t="str">
        <f>"20190304164253794"</f>
        <v>20190304164253794</v>
      </c>
      <c r="B6602" t="str">
        <f>"1551688973787461"</f>
        <v>1551688973787461</v>
      </c>
      <c r="C6602" t="s">
        <v>40</v>
      </c>
      <c r="D6602">
        <v>4.6275389999999996</v>
      </c>
      <c r="E6602">
        <v>0.3714035</v>
      </c>
      <c r="F6602" t="s">
        <v>41</v>
      </c>
      <c r="G6602">
        <v>-301.35840000000002</v>
      </c>
      <c r="H6602">
        <v>1.0662670000000001</v>
      </c>
      <c r="I6602">
        <v>-29.119589999999999</v>
      </c>
      <c r="J6602">
        <v>-301.91669999999999</v>
      </c>
      <c r="K6602">
        <v>1.1118250000000001</v>
      </c>
      <c r="L6602">
        <v>-28.470700000000001</v>
      </c>
      <c r="M6602">
        <v>4.4536340000000001E-2</v>
      </c>
      <c r="N6602">
        <v>-1.2741830000000001E-2</v>
      </c>
      <c r="O6602">
        <v>-0.9989266</v>
      </c>
      <c r="P6602">
        <v>0.25047829999999999</v>
      </c>
      <c r="Q6602">
        <v>0.35454609999999998</v>
      </c>
      <c r="R6602">
        <v>-0.90086509999999997</v>
      </c>
      <c r="S6602">
        <v>1.8453059999999999</v>
      </c>
      <c r="T6602">
        <v>-0.1472696</v>
      </c>
      <c r="U6602">
        <v>-2.8796689999999998</v>
      </c>
      <c r="V6602">
        <v>-0.21109359999999999</v>
      </c>
      <c r="W6602">
        <v>0.36555789999999999</v>
      </c>
      <c r="X6602">
        <v>0.90653570000000006</v>
      </c>
      <c r="Y6602">
        <v>-0.50107879999999905</v>
      </c>
      <c r="Z6602">
        <v>3.092425E-2</v>
      </c>
      <c r="AA6602">
        <v>0.86484899999999998</v>
      </c>
      <c r="AB6602">
        <v>23</v>
      </c>
      <c r="AC6602">
        <v>0.55829999999997404</v>
      </c>
      <c r="AD6602">
        <v>-4.5557999999999897E-2</v>
      </c>
      <c r="AE6602">
        <v>-0.64889000000000097</v>
      </c>
      <c r="AF6602">
        <v>-0.52735069759205799</v>
      </c>
      <c r="AG6602">
        <v>-4.5557999999999897E-2</v>
      </c>
      <c r="AH6602">
        <v>0.67121149539371605</v>
      </c>
      <c r="AI6602">
        <v>93.055088483286099</v>
      </c>
      <c r="AJ6602">
        <v>128.155655692208</v>
      </c>
      <c r="AK6602">
        <v>0.85480942973478002</v>
      </c>
      <c r="AL6602">
        <v>68.558079842086997</v>
      </c>
      <c r="AM6602">
        <v>103.10816183073401</v>
      </c>
      <c r="AN6602">
        <v>1.0000000307939201</v>
      </c>
    </row>
    <row r="6603" spans="1:40" x14ac:dyDescent="0.25">
      <c r="A6603" t="str">
        <f>"20190304164253818"</f>
        <v>20190304164253818</v>
      </c>
      <c r="B6603" t="str">
        <f>"1551688973807958"</f>
        <v>1551688973807958</v>
      </c>
      <c r="C6603" t="s">
        <v>40</v>
      </c>
      <c r="D6603">
        <v>4.6126529999999999</v>
      </c>
      <c r="E6603">
        <v>0.37286649999999999</v>
      </c>
      <c r="F6603" t="s">
        <v>57</v>
      </c>
      <c r="G6603">
        <v>-288.53870000000001</v>
      </c>
      <c r="H6603">
        <v>7.9987050000000004E-2</v>
      </c>
      <c r="I6603">
        <v>-49.264249999999997</v>
      </c>
      <c r="J6603">
        <v>-301.90359999999998</v>
      </c>
      <c r="K6603">
        <v>1.1118399999999999</v>
      </c>
      <c r="L6603">
        <v>-28.713200000000001</v>
      </c>
      <c r="M6603">
        <v>4.648861E-2</v>
      </c>
      <c r="N6603">
        <v>-1.255628E-2</v>
      </c>
      <c r="O6603">
        <v>-0.99883980000000006</v>
      </c>
      <c r="P6603">
        <v>0.2554845</v>
      </c>
      <c r="Q6603">
        <v>0.35460199999999997</v>
      </c>
      <c r="R6603">
        <v>-0.89943609999999896</v>
      </c>
      <c r="S6603">
        <v>1.8480220000000001</v>
      </c>
      <c r="T6603">
        <v>-0.14253740000000001</v>
      </c>
      <c r="U6603">
        <v>-2.8724059999999998</v>
      </c>
      <c r="V6603">
        <v>-0.21441360000000001</v>
      </c>
      <c r="W6603">
        <v>0.36540699999999998</v>
      </c>
      <c r="X6603">
        <v>0.90581710000000004</v>
      </c>
      <c r="Y6603">
        <v>-0.5009844</v>
      </c>
      <c r="Z6603">
        <v>2.9794419999999999E-2</v>
      </c>
      <c r="AA6603">
        <v>0.86494329999999997</v>
      </c>
      <c r="AB6603">
        <v>23</v>
      </c>
      <c r="AC6603">
        <v>13.364899999999899</v>
      </c>
      <c r="AD6603">
        <v>-1.03185295</v>
      </c>
      <c r="AE6603">
        <v>-20.55105</v>
      </c>
      <c r="AF6603">
        <v>-12.373061568035601</v>
      </c>
      <c r="AG6603">
        <v>-1.03185295</v>
      </c>
      <c r="AH6603">
        <v>21.112786652230401</v>
      </c>
      <c r="AI6603">
        <v>92.414498712518395</v>
      </c>
      <c r="AJ6603">
        <v>120.372259288884</v>
      </c>
      <c r="AK6603">
        <v>24.493001720888</v>
      </c>
      <c r="AL6603">
        <v>68.567368648249399</v>
      </c>
      <c r="AM6603">
        <v>103.31722230415301</v>
      </c>
      <c r="AN6603">
        <v>1.0000000430831799</v>
      </c>
    </row>
    <row r="6604" spans="1:40" x14ac:dyDescent="0.25">
      <c r="A6604" t="str">
        <f>"20190304164253842"</f>
        <v>20190304164253842</v>
      </c>
      <c r="B6604" t="str">
        <f>"1551688973838214"</f>
        <v>1551688973838214</v>
      </c>
      <c r="C6604" t="s">
        <v>40</v>
      </c>
      <c r="D6604">
        <v>4.5835179999999998</v>
      </c>
      <c r="E6604">
        <v>0.37422850000000002</v>
      </c>
      <c r="F6604" t="s">
        <v>57</v>
      </c>
      <c r="G6604">
        <v>-288.6841</v>
      </c>
      <c r="H6604">
        <v>7.9987059999999999E-2</v>
      </c>
      <c r="I6604">
        <v>-49.175629999999998</v>
      </c>
      <c r="J6604">
        <v>-301.89</v>
      </c>
      <c r="K6604">
        <v>1.1118680000000001</v>
      </c>
      <c r="L6604">
        <v>-28.958010000000002</v>
      </c>
      <c r="M6604">
        <v>4.8530900000000002E-2</v>
      </c>
      <c r="N6604">
        <v>-1.237414E-2</v>
      </c>
      <c r="O6604">
        <v>-0.99874499999999999</v>
      </c>
      <c r="P6604">
        <v>0.26068200000000002</v>
      </c>
      <c r="Q6604">
        <v>0.35478759999999998</v>
      </c>
      <c r="R6604">
        <v>-0.8978699</v>
      </c>
      <c r="S6604">
        <v>1.851807</v>
      </c>
      <c r="T6604">
        <v>-0.1445427</v>
      </c>
      <c r="U6604">
        <v>-2.8663940000000001</v>
      </c>
      <c r="V6604">
        <v>-0.2178629</v>
      </c>
      <c r="W6604">
        <v>0.36538090000000001</v>
      </c>
      <c r="X6604">
        <v>0.90500420000000004</v>
      </c>
      <c r="Y6604">
        <v>-0.50083370000000005</v>
      </c>
      <c r="Z6604">
        <v>3.0630979999999999E-2</v>
      </c>
      <c r="AA6604">
        <v>0.86500129999999997</v>
      </c>
      <c r="AB6604">
        <v>23</v>
      </c>
      <c r="AC6604">
        <v>13.2058999999999</v>
      </c>
      <c r="AD6604">
        <v>-1.03188094</v>
      </c>
      <c r="AE6604">
        <v>-20.21762</v>
      </c>
      <c r="AF6604">
        <v>-12.1868303009073</v>
      </c>
      <c r="AG6604">
        <v>-1.03188094</v>
      </c>
      <c r="AH6604">
        <v>20.7967637472116</v>
      </c>
      <c r="AI6604">
        <v>92.451263636953996</v>
      </c>
      <c r="AJ6604">
        <v>120.37015244770301</v>
      </c>
      <c r="AK6604">
        <v>24.1265205409894</v>
      </c>
      <c r="AL6604">
        <v>68.568974715986997</v>
      </c>
      <c r="AM6604">
        <v>103.535348821236</v>
      </c>
      <c r="AN6604">
        <v>1.00000002364942</v>
      </c>
    </row>
    <row r="6605" spans="1:40" x14ac:dyDescent="0.25">
      <c r="A6605" t="str">
        <f>"20190304164253859"</f>
        <v>20190304164253859</v>
      </c>
      <c r="B6605" t="str">
        <f>"1551688973847974"</f>
        <v>1551688973847974</v>
      </c>
      <c r="C6605" t="s">
        <v>40</v>
      </c>
      <c r="D6605">
        <v>4.590579</v>
      </c>
      <c r="E6605">
        <v>0.37482090000000001</v>
      </c>
      <c r="F6605" t="s">
        <v>57</v>
      </c>
      <c r="G6605">
        <v>-288.98230000000001</v>
      </c>
      <c r="H6605">
        <v>7.9987240000000001E-2</v>
      </c>
      <c r="I6605">
        <v>-48.822479999999999</v>
      </c>
      <c r="J6605">
        <v>-301.87860000000001</v>
      </c>
      <c r="K6605">
        <v>1.111899</v>
      </c>
      <c r="L6605">
        <v>-29.15259</v>
      </c>
      <c r="M6605">
        <v>5.0224770000000002E-2</v>
      </c>
      <c r="N6605">
        <v>-1.2233340000000001E-2</v>
      </c>
      <c r="O6605">
        <v>-0.99866310000000003</v>
      </c>
      <c r="P6605">
        <v>0.26573600000000003</v>
      </c>
      <c r="Q6605">
        <v>0.35440250000000001</v>
      </c>
      <c r="R6605">
        <v>-0.8965398</v>
      </c>
      <c r="S6605">
        <v>1.8586119999999999</v>
      </c>
      <c r="T6605">
        <v>-0.14858389999999999</v>
      </c>
      <c r="U6605">
        <v>-2.8603519999999998</v>
      </c>
      <c r="V6605">
        <v>-0.22147510000000001</v>
      </c>
      <c r="W6605">
        <v>0.36482369999999997</v>
      </c>
      <c r="X6605">
        <v>0.90435189999999999</v>
      </c>
      <c r="Y6605">
        <v>-0.50162209999999996</v>
      </c>
      <c r="Z6605">
        <v>3.2007029999999999E-2</v>
      </c>
      <c r="AA6605">
        <v>0.8644946</v>
      </c>
      <c r="AB6605">
        <v>23</v>
      </c>
      <c r="AC6605">
        <v>12.896299999999901</v>
      </c>
      <c r="AD6605">
        <v>-1.0319117600000001</v>
      </c>
      <c r="AE6605">
        <v>-19.669889999999899</v>
      </c>
      <c r="AF6605">
        <v>-11.869186177857101</v>
      </c>
      <c r="AG6605">
        <v>-1.0319117600000001</v>
      </c>
      <c r="AH6605">
        <v>20.253839022019601</v>
      </c>
      <c r="AI6605">
        <v>92.516936433946796</v>
      </c>
      <c r="AJ6605">
        <v>120.371221862685</v>
      </c>
      <c r="AK6605">
        <v>23.4980939128038</v>
      </c>
      <c r="AL6605">
        <v>68.603265695447305</v>
      </c>
      <c r="AM6605">
        <v>103.76085476312601</v>
      </c>
      <c r="AN6605">
        <v>0.99999995551765397</v>
      </c>
    </row>
    <row r="6606" spans="1:40" x14ac:dyDescent="0.25">
      <c r="A6606" t="str">
        <f>"20190304164253884"</f>
        <v>20190304164253884</v>
      </c>
      <c r="B6606" t="str">
        <f>"1551688973877254"</f>
        <v>1551688973877254</v>
      </c>
      <c r="C6606" t="s">
        <v>40</v>
      </c>
      <c r="D6606">
        <v>4.549728</v>
      </c>
      <c r="E6606">
        <v>0.37563049999999998</v>
      </c>
      <c r="F6606" t="s">
        <v>57</v>
      </c>
      <c r="G6606">
        <v>-289.2011</v>
      </c>
      <c r="H6606">
        <v>7.9987320000000001E-2</v>
      </c>
      <c r="I6606">
        <v>-48.508159999999997</v>
      </c>
      <c r="J6606">
        <v>-301.86380000000003</v>
      </c>
      <c r="K6606">
        <v>1.111945</v>
      </c>
      <c r="L6606">
        <v>-29.39761</v>
      </c>
      <c r="M6606">
        <v>5.245462E-2</v>
      </c>
      <c r="N6606">
        <v>-1.2064719999999999E-2</v>
      </c>
      <c r="O6606">
        <v>-0.99855050000000001</v>
      </c>
      <c r="P6606">
        <v>0.26970119999999997</v>
      </c>
      <c r="Q6606">
        <v>0.35549140000000001</v>
      </c>
      <c r="R6606">
        <v>-0.89492299999999902</v>
      </c>
      <c r="S6606">
        <v>1.868347</v>
      </c>
      <c r="T6606">
        <v>-0.15207850000000001</v>
      </c>
      <c r="U6606">
        <v>-2.8525390000000002</v>
      </c>
      <c r="V6606">
        <v>-0.22355800000000001</v>
      </c>
      <c r="W6606">
        <v>0.36570350000000001</v>
      </c>
      <c r="X6606">
        <v>0.9034837</v>
      </c>
      <c r="Y6606">
        <v>-0.50281640000000005</v>
      </c>
      <c r="Z6606">
        <v>3.3256199999999903E-2</v>
      </c>
      <c r="AA6606">
        <v>0.86375329999999995</v>
      </c>
      <c r="AB6606">
        <v>23</v>
      </c>
      <c r="AC6606">
        <v>12.662699999999999</v>
      </c>
      <c r="AD6606">
        <v>-1.0319576800000001</v>
      </c>
      <c r="AE6606">
        <v>-19.11055</v>
      </c>
      <c r="AF6606">
        <v>-11.6192112909928</v>
      </c>
      <c r="AG6606">
        <v>-1.0319576800000001</v>
      </c>
      <c r="AH6606">
        <v>19.708566778449701</v>
      </c>
      <c r="AI6606">
        <v>92.582613532115204</v>
      </c>
      <c r="AJ6606">
        <v>120.521531116654</v>
      </c>
      <c r="AK6606">
        <v>22.9019346811281</v>
      </c>
      <c r="AL6606">
        <v>68.549116582120206</v>
      </c>
      <c r="AM6606">
        <v>103.898111003854</v>
      </c>
      <c r="AN6606">
        <v>1.0000000127209601</v>
      </c>
    </row>
    <row r="6607" spans="1:40" x14ac:dyDescent="0.25">
      <c r="A6607" t="str">
        <f>"20190304164253905"</f>
        <v>20190304164253905</v>
      </c>
      <c r="B6607" t="str">
        <f>"1551688973897751"</f>
        <v>1551688973897751</v>
      </c>
      <c r="C6607" t="s">
        <v>40</v>
      </c>
      <c r="D6607">
        <v>4.5574949999999896</v>
      </c>
      <c r="E6607">
        <v>0.3763359</v>
      </c>
      <c r="F6607" t="s">
        <v>41</v>
      </c>
      <c r="G6607">
        <v>-301.28840000000002</v>
      </c>
      <c r="H6607">
        <v>1.066638</v>
      </c>
      <c r="I6607">
        <v>-30.271070000000002</v>
      </c>
      <c r="J6607">
        <v>-301.84930000000003</v>
      </c>
      <c r="K6607">
        <v>1.1120000000000001</v>
      </c>
      <c r="L6607">
        <v>-29.62518</v>
      </c>
      <c r="M6607">
        <v>5.4636499999999998E-2</v>
      </c>
      <c r="N6607">
        <v>-1.191821E-2</v>
      </c>
      <c r="O6607">
        <v>-0.99843530000000003</v>
      </c>
      <c r="P6607">
        <v>0.27288889999999999</v>
      </c>
      <c r="Q6607">
        <v>0.35575040000000002</v>
      </c>
      <c r="R6607">
        <v>-0.89385309999999996</v>
      </c>
      <c r="S6607">
        <v>1.8754580000000001</v>
      </c>
      <c r="T6607">
        <v>-0.1476161</v>
      </c>
      <c r="U6607">
        <v>-2.8456730000000001</v>
      </c>
      <c r="V6607">
        <v>-0.224883</v>
      </c>
      <c r="W6607">
        <v>0.36577979999999999</v>
      </c>
      <c r="X6607">
        <v>0.90312389999999998</v>
      </c>
      <c r="Y6607">
        <v>-0.5034149</v>
      </c>
      <c r="Z6607">
        <v>3.2131649999999998E-2</v>
      </c>
      <c r="AA6607">
        <v>0.86344709999999902</v>
      </c>
      <c r="AB6607">
        <v>23</v>
      </c>
      <c r="AC6607">
        <v>0.56090000000000295</v>
      </c>
      <c r="AD6607">
        <v>-4.5362000000000097E-2</v>
      </c>
      <c r="AE6607">
        <v>-0.64589000000000096</v>
      </c>
      <c r="AF6607">
        <v>-0.52329892721930205</v>
      </c>
      <c r="AG6607">
        <v>-4.5362000000000097E-2</v>
      </c>
      <c r="AH6607">
        <v>0.67367856300982798</v>
      </c>
      <c r="AI6607">
        <v>93.043928061579095</v>
      </c>
      <c r="AJ6607">
        <v>127.839287361419</v>
      </c>
      <c r="AK6607">
        <v>0.85424954464831904</v>
      </c>
      <c r="AL6607">
        <v>68.544419246822898</v>
      </c>
      <c r="AM6607">
        <v>103.982612937353</v>
      </c>
      <c r="AN6607">
        <v>1.00000000226412</v>
      </c>
    </row>
    <row r="6608" spans="1:40" x14ac:dyDescent="0.25">
      <c r="A6608" t="str">
        <f>"20190304164253927"</f>
        <v>20190304164253927</v>
      </c>
      <c r="B6608" t="str">
        <f>"1551688973917270"</f>
        <v>1551688973917270</v>
      </c>
      <c r="C6608" t="s">
        <v>40</v>
      </c>
      <c r="D6608">
        <v>4.563949</v>
      </c>
      <c r="E6608">
        <v>0.37714569999999997</v>
      </c>
      <c r="F6608" t="s">
        <v>41</v>
      </c>
      <c r="G6608">
        <v>-301.28300000000002</v>
      </c>
      <c r="H6608">
        <v>1.0687070000000001</v>
      </c>
      <c r="I6608">
        <v>-30.480640000000001</v>
      </c>
      <c r="J6608">
        <v>-301.83460000000002</v>
      </c>
      <c r="K6608">
        <v>1.1120509999999999</v>
      </c>
      <c r="L6608">
        <v>-29.848299999999998</v>
      </c>
      <c r="M6608">
        <v>5.6861450000000001E-2</v>
      </c>
      <c r="N6608">
        <v>-1.178542E-2</v>
      </c>
      <c r="O6608">
        <v>-0.9983128</v>
      </c>
      <c r="P6608">
        <v>0.2764489</v>
      </c>
      <c r="Q6608">
        <v>0.35471780000000003</v>
      </c>
      <c r="R6608">
        <v>-0.89316960000000001</v>
      </c>
      <c r="S6608">
        <v>1.8800049999999999</v>
      </c>
      <c r="T6608">
        <v>-0.14370060000000001</v>
      </c>
      <c r="U6608">
        <v>-2.8395079999999999</v>
      </c>
      <c r="V6608">
        <v>-0.22651060000000001</v>
      </c>
      <c r="W6608">
        <v>0.3645835</v>
      </c>
      <c r="X6608">
        <v>0.90320089999999997</v>
      </c>
      <c r="Y6608">
        <v>-0.50333470000000002</v>
      </c>
      <c r="Z6608">
        <v>3.1162200000000001E-2</v>
      </c>
      <c r="AA6608">
        <v>0.8635294</v>
      </c>
      <c r="AB6608">
        <v>23</v>
      </c>
      <c r="AC6608">
        <v>0.55160000000000697</v>
      </c>
      <c r="AD6608">
        <v>-4.3344000000000001E-2</v>
      </c>
      <c r="AE6608">
        <v>-0.63234000000000201</v>
      </c>
      <c r="AF6608">
        <v>-0.51337939127136001</v>
      </c>
      <c r="AG6608">
        <v>-4.3344000000000001E-2</v>
      </c>
      <c r="AH6608">
        <v>0.66092027984949198</v>
      </c>
      <c r="AI6608">
        <v>92.964822767726901</v>
      </c>
      <c r="AJ6608">
        <v>127.8387911423</v>
      </c>
      <c r="AK6608">
        <v>0.83800520167507497</v>
      </c>
      <c r="AL6608">
        <v>68.618047682603603</v>
      </c>
      <c r="AM6608">
        <v>104.078648418206</v>
      </c>
      <c r="AN6608">
        <v>1.0000000230727</v>
      </c>
    </row>
    <row r="6609" spans="1:40" x14ac:dyDescent="0.25">
      <c r="A6609" t="str">
        <f>"20190304164253949"</f>
        <v>20190304164253949</v>
      </c>
      <c r="B6609" t="str">
        <f>"1551688973937766"</f>
        <v>1551688973937766</v>
      </c>
      <c r="C6609" t="s">
        <v>40</v>
      </c>
      <c r="D6609">
        <v>4.5543620000000002</v>
      </c>
      <c r="E6609">
        <v>0.37781039999999999</v>
      </c>
      <c r="F6609" t="s">
        <v>41</v>
      </c>
      <c r="G6609">
        <v>-301.27510000000001</v>
      </c>
      <c r="H6609">
        <v>1.0688550000000001</v>
      </c>
      <c r="I6609">
        <v>-30.69042</v>
      </c>
      <c r="J6609">
        <v>-301.81880000000001</v>
      </c>
      <c r="K6609">
        <v>1.1121099999999999</v>
      </c>
      <c r="L6609">
        <v>-30.079129999999999</v>
      </c>
      <c r="M6609">
        <v>5.9258699999999997E-2</v>
      </c>
      <c r="N6609">
        <v>-1.1661680000000001E-2</v>
      </c>
      <c r="O6609">
        <v>-0.99817460000000002</v>
      </c>
      <c r="P6609">
        <v>0.28085539999999998</v>
      </c>
      <c r="Q6609">
        <v>0.3538712</v>
      </c>
      <c r="R6609">
        <v>-0.89212979999999997</v>
      </c>
      <c r="S6609">
        <v>1.8831180000000001</v>
      </c>
      <c r="T6609">
        <v>-0.1453565</v>
      </c>
      <c r="U6609">
        <v>-2.83371</v>
      </c>
      <c r="V6609">
        <v>-0.22884650000000001</v>
      </c>
      <c r="W6609">
        <v>0.3635776</v>
      </c>
      <c r="X6609">
        <v>0.90301750000000003</v>
      </c>
      <c r="Y6609">
        <v>-0.5027201</v>
      </c>
      <c r="Z6609">
        <v>3.1844730000000002E-2</v>
      </c>
      <c r="AA6609">
        <v>0.86386249999999998</v>
      </c>
      <c r="AB6609">
        <v>23</v>
      </c>
      <c r="AC6609">
        <v>0.54370000000000096</v>
      </c>
      <c r="AD6609">
        <v>-4.3255000000000002E-2</v>
      </c>
      <c r="AE6609">
        <v>-0.61129</v>
      </c>
      <c r="AF6609">
        <v>-0.50510566265516399</v>
      </c>
      <c r="AG6609">
        <v>-4.3255000000000002E-2</v>
      </c>
      <c r="AH6609">
        <v>0.64064581984972402</v>
      </c>
      <c r="AI6609">
        <v>93.035004028998003</v>
      </c>
      <c r="AJ6609">
        <v>128.253376573738</v>
      </c>
      <c r="AK6609">
        <v>0.81696376416719896</v>
      </c>
      <c r="AL6609">
        <v>68.679928002188305</v>
      </c>
      <c r="AM6609">
        <v>104.22074641127099</v>
      </c>
      <c r="AN6609">
        <v>0.99999999854513</v>
      </c>
    </row>
    <row r="6610" spans="1:40" x14ac:dyDescent="0.25">
      <c r="A6610" t="str">
        <f>"20190304164253972"</f>
        <v>20190304164253972</v>
      </c>
      <c r="B6610" t="str">
        <f>"1551688973968022"</f>
        <v>1551688973968022</v>
      </c>
      <c r="C6610" t="s">
        <v>40</v>
      </c>
      <c r="D6610">
        <v>4.527399</v>
      </c>
      <c r="E6610">
        <v>0.37862040000000002</v>
      </c>
      <c r="F6610" t="s">
        <v>41</v>
      </c>
      <c r="G6610">
        <v>-301.26519999999999</v>
      </c>
      <c r="H6610">
        <v>1.068908</v>
      </c>
      <c r="I6610">
        <v>-30.907129999999999</v>
      </c>
      <c r="J6610">
        <v>-301.80090000000001</v>
      </c>
      <c r="K6610">
        <v>1.1121730000000001</v>
      </c>
      <c r="L6610">
        <v>-30.327639999999999</v>
      </c>
      <c r="M6610">
        <v>6.194976E-2</v>
      </c>
      <c r="N6610">
        <v>-1.1544250000000001E-2</v>
      </c>
      <c r="O6610">
        <v>-0.99801280000000003</v>
      </c>
      <c r="P6610">
        <v>0.28621380000000002</v>
      </c>
      <c r="Q6610">
        <v>0.35309230000000003</v>
      </c>
      <c r="R6610">
        <v>-0.89073459999999904</v>
      </c>
      <c r="S6610">
        <v>1.8896790000000001</v>
      </c>
      <c r="T6610">
        <v>-0.1474702</v>
      </c>
      <c r="U6610">
        <v>-2.8263240000000001</v>
      </c>
      <c r="V6610">
        <v>-0.23188929999999999</v>
      </c>
      <c r="W6610">
        <v>0.36263879999999998</v>
      </c>
      <c r="X6610">
        <v>0.90261860000000005</v>
      </c>
      <c r="Y6610">
        <v>-0.50280259999999999</v>
      </c>
      <c r="Z6610">
        <v>3.2655799999999999E-2</v>
      </c>
      <c r="AA6610">
        <v>0.863784199999999</v>
      </c>
      <c r="AB6610">
        <v>23</v>
      </c>
      <c r="AC6610">
        <v>0.53570000000001905</v>
      </c>
      <c r="AD6610">
        <v>-4.3264999999999797E-2</v>
      </c>
      <c r="AE6610">
        <v>-0.57948999999999595</v>
      </c>
      <c r="AF6610">
        <v>-0.49727465234739898</v>
      </c>
      <c r="AG6610">
        <v>-4.3264999999999797E-2</v>
      </c>
      <c r="AH6610">
        <v>0.60973286018872097</v>
      </c>
      <c r="AI6610">
        <v>93.1474376085351</v>
      </c>
      <c r="AJ6610">
        <v>129.199360395166</v>
      </c>
      <c r="AK6610">
        <v>0.78798991166520904</v>
      </c>
      <c r="AL6610">
        <v>68.737656232579994</v>
      </c>
      <c r="AM6610">
        <v>104.408112602367</v>
      </c>
      <c r="AN6610">
        <v>0.99999994189294295</v>
      </c>
    </row>
    <row r="6611" spans="1:40" x14ac:dyDescent="0.25">
      <c r="A6611" t="str">
        <f>"20190304164253994"</f>
        <v>20190304164253994</v>
      </c>
      <c r="B6611" t="str">
        <f>"1551688973987542"</f>
        <v>1551688973987542</v>
      </c>
      <c r="C6611" t="s">
        <v>40</v>
      </c>
      <c r="D6611">
        <v>4.5161879999999996</v>
      </c>
      <c r="E6611">
        <v>0.3790018</v>
      </c>
      <c r="F6611" t="s">
        <v>41</v>
      </c>
      <c r="G6611">
        <v>-301.24770000000001</v>
      </c>
      <c r="H6611">
        <v>1.0686800000000001</v>
      </c>
      <c r="I6611">
        <v>-31.148959999999999</v>
      </c>
      <c r="J6611">
        <v>-301.78429999999997</v>
      </c>
      <c r="K6611">
        <v>1.112223</v>
      </c>
      <c r="L6611">
        <v>-30.550080000000001</v>
      </c>
      <c r="M6611">
        <v>6.4449409999999999E-2</v>
      </c>
      <c r="N6611">
        <v>-1.144886E-2</v>
      </c>
      <c r="O6611">
        <v>-0.9978553</v>
      </c>
      <c r="P6611">
        <v>0.2914196</v>
      </c>
      <c r="Q6611">
        <v>0.35325430000000002</v>
      </c>
      <c r="R6611">
        <v>-0.88898029999999995</v>
      </c>
      <c r="S6611">
        <v>1.8986510000000001</v>
      </c>
      <c r="T6611">
        <v>-0.14918819999999999</v>
      </c>
      <c r="U6611">
        <v>-2.817078</v>
      </c>
      <c r="V6611">
        <v>-0.23497560000000001</v>
      </c>
      <c r="W6611">
        <v>0.36266100000000001</v>
      </c>
      <c r="X6611">
        <v>0.90181120000000004</v>
      </c>
      <c r="Y6611">
        <v>-0.50382850000000001</v>
      </c>
      <c r="Z6611">
        <v>3.3330369999999998E-2</v>
      </c>
      <c r="AA6611">
        <v>0.8631605</v>
      </c>
      <c r="AB6611">
        <v>23</v>
      </c>
      <c r="AC6611">
        <v>0.53659999999996399</v>
      </c>
      <c r="AD6611">
        <v>-4.3543000000000102E-2</v>
      </c>
      <c r="AE6611">
        <v>-0.59888000000000097</v>
      </c>
      <c r="AF6611">
        <v>-0.49543152041112898</v>
      </c>
      <c r="AG6611">
        <v>-4.3543000000000102E-2</v>
      </c>
      <c r="AH6611">
        <v>0.63037215275755598</v>
      </c>
      <c r="AI6611">
        <v>93.108632372648898</v>
      </c>
      <c r="AJ6611">
        <v>128.16504374375299</v>
      </c>
      <c r="AK6611">
        <v>0.80294298380275997</v>
      </c>
      <c r="AL6611">
        <v>68.736292357924995</v>
      </c>
      <c r="AM6611">
        <v>104.604246672537</v>
      </c>
      <c r="AN6611">
        <v>0.99999998698089998</v>
      </c>
    </row>
    <row r="6612" spans="1:40" x14ac:dyDescent="0.25">
      <c r="A6612" t="str">
        <f>"20190304164254018"</f>
        <v>20190304164254018</v>
      </c>
      <c r="B6612" t="str">
        <f>"1551688974008038"</f>
        <v>1551688974008038</v>
      </c>
      <c r="C6612" t="s">
        <v>40</v>
      </c>
      <c r="D6612">
        <v>4.5157769999999999</v>
      </c>
      <c r="E6612">
        <v>0.3789554</v>
      </c>
      <c r="F6612" t="s">
        <v>41</v>
      </c>
      <c r="G6612">
        <v>-301.23110000000003</v>
      </c>
      <c r="H6612">
        <v>1.068764</v>
      </c>
      <c r="I6612">
        <v>-31.363130000000002</v>
      </c>
      <c r="J6612">
        <v>-301.7654</v>
      </c>
      <c r="K6612">
        <v>1.1122749999999999</v>
      </c>
      <c r="L6612">
        <v>-30.794799999999999</v>
      </c>
      <c r="M6612">
        <v>6.7279749999999999E-2</v>
      </c>
      <c r="N6612">
        <v>-1.135048E-2</v>
      </c>
      <c r="O6612">
        <v>-0.99766969999999999</v>
      </c>
      <c r="P6612">
        <v>0.29717320000000003</v>
      </c>
      <c r="Q6612">
        <v>0.35351569999999999</v>
      </c>
      <c r="R6612">
        <v>-0.88696949999999997</v>
      </c>
      <c r="S6612">
        <v>1.9105829999999999</v>
      </c>
      <c r="T6612">
        <v>-0.150093899999999</v>
      </c>
      <c r="U6612">
        <v>-2.8079830000000001</v>
      </c>
      <c r="V6612">
        <v>-0.23833209999999999</v>
      </c>
      <c r="W6612">
        <v>0.36277609999999999</v>
      </c>
      <c r="X6612">
        <v>0.90088360000000001</v>
      </c>
      <c r="Y6612">
        <v>-0.50517719999999999</v>
      </c>
      <c r="Z6612">
        <v>3.3747369999999999E-2</v>
      </c>
      <c r="AA6612">
        <v>0.8623556</v>
      </c>
      <c r="AB6612">
        <v>23</v>
      </c>
      <c r="AC6612">
        <v>0.53429999999997302</v>
      </c>
      <c r="AD6612">
        <v>-4.35109999999998E-2</v>
      </c>
      <c r="AE6612">
        <v>-0.568329999999999</v>
      </c>
      <c r="AF6612">
        <v>-0.493314744797965</v>
      </c>
      <c r="AG6612">
        <v>-4.35109999999998E-2</v>
      </c>
      <c r="AH6612">
        <v>0.60112163971819899</v>
      </c>
      <c r="AI6612">
        <v>93.202555804527094</v>
      </c>
      <c r="AJ6612">
        <v>129.37425754943101</v>
      </c>
      <c r="AK6612">
        <v>0.77884521587641398</v>
      </c>
      <c r="AL6612">
        <v>68.729215408840602</v>
      </c>
      <c r="AM6612">
        <v>104.818331827824</v>
      </c>
      <c r="AN6612">
        <v>0.99999997468528901</v>
      </c>
    </row>
    <row r="6613" spans="1:40" x14ac:dyDescent="0.25">
      <c r="A6613" t="str">
        <f>"20190304164254041"</f>
        <v>20190304164254041</v>
      </c>
      <c r="B6613" t="str">
        <f>"1551688974037318"</f>
        <v>1551688974037318</v>
      </c>
      <c r="C6613" t="s">
        <v>40</v>
      </c>
      <c r="D6613">
        <v>4.8101609999999999</v>
      </c>
      <c r="E6613">
        <v>0.44214350000000002</v>
      </c>
      <c r="F6613" t="s">
        <v>41</v>
      </c>
      <c r="G6613">
        <v>-301.22129999999999</v>
      </c>
      <c r="H6613">
        <v>1.0687230000000001</v>
      </c>
      <c r="I6613">
        <v>-31.584779999999999</v>
      </c>
      <c r="J6613">
        <v>-301.74599999999998</v>
      </c>
      <c r="K6613">
        <v>1.112311</v>
      </c>
      <c r="L6613">
        <v>-31.034579999999998</v>
      </c>
      <c r="M6613">
        <v>7.0115120000000003E-2</v>
      </c>
      <c r="N6613">
        <v>-1.126314E-2</v>
      </c>
      <c r="O6613">
        <v>-0.99747540000000001</v>
      </c>
      <c r="P6613">
        <v>0.30200110000000002</v>
      </c>
      <c r="Q6613">
        <v>0.3533309</v>
      </c>
      <c r="R6613">
        <v>-0.88541069999999999</v>
      </c>
      <c r="S6613">
        <v>1.927246</v>
      </c>
      <c r="T6613">
        <v>-0.15425739999999999</v>
      </c>
      <c r="U6613">
        <v>-2.7980649999999998</v>
      </c>
      <c r="V6613">
        <v>-0.2407243</v>
      </c>
      <c r="W6613">
        <v>0.3624695</v>
      </c>
      <c r="X6613">
        <v>0.90037080000000003</v>
      </c>
      <c r="Y6613">
        <v>-0.50760709999999998</v>
      </c>
      <c r="Z6613">
        <v>3.5101500000000001E-2</v>
      </c>
      <c r="AA6613">
        <v>0.86087340000000001</v>
      </c>
      <c r="AB6613">
        <v>23</v>
      </c>
      <c r="AC6613">
        <v>0.52469999999999495</v>
      </c>
      <c r="AD6613">
        <v>-4.3588000000000099E-2</v>
      </c>
      <c r="AE6613">
        <v>-0.55020000000000002</v>
      </c>
      <c r="AF6613">
        <v>-0.48324036586091801</v>
      </c>
      <c r="AG6613">
        <v>-4.3588000000000099E-2</v>
      </c>
      <c r="AH6613">
        <v>0.58371885689407299</v>
      </c>
      <c r="AI6613">
        <v>93.292010379822401</v>
      </c>
      <c r="AJ6613">
        <v>129.62016477644701</v>
      </c>
      <c r="AK6613">
        <v>0.75904470806080804</v>
      </c>
      <c r="AL6613">
        <v>68.748064794526798</v>
      </c>
      <c r="AM6613">
        <v>104.968567562541</v>
      </c>
      <c r="AN6613">
        <v>0.99999995226668803</v>
      </c>
    </row>
    <row r="6614" spans="1:40" x14ac:dyDescent="0.25">
      <c r="A6614" t="str">
        <f>"20190304164254061"</f>
        <v>20190304164254061</v>
      </c>
      <c r="B6614" t="str">
        <f>"1551688974057814"</f>
        <v>1551688974057814</v>
      </c>
      <c r="C6614" t="s">
        <v>40</v>
      </c>
      <c r="D6614">
        <v>4.7795339999999999</v>
      </c>
      <c r="E6614">
        <v>0.51369779999999998</v>
      </c>
      <c r="F6614" t="s">
        <v>57</v>
      </c>
      <c r="G6614">
        <v>-293.53469999999999</v>
      </c>
      <c r="H6614" s="1">
        <v>-5.6847789999999901E-6</v>
      </c>
      <c r="I6614">
        <v>-47.628579999999999</v>
      </c>
      <c r="J6614">
        <v>-301.7285</v>
      </c>
      <c r="K6614">
        <v>1.112331</v>
      </c>
      <c r="L6614">
        <v>-31.24457</v>
      </c>
      <c r="M6614">
        <v>7.2638300000000003E-2</v>
      </c>
      <c r="N6614">
        <v>-1.119178E-2</v>
      </c>
      <c r="O6614">
        <v>-0.9972955</v>
      </c>
      <c r="P6614">
        <v>0.30599999999999999</v>
      </c>
      <c r="Q6614">
        <v>0.35284460000000001</v>
      </c>
      <c r="R6614">
        <v>-0.88423099999999999</v>
      </c>
      <c r="S6614">
        <v>1.4681090000000001</v>
      </c>
      <c r="T6614">
        <v>-0.1988722</v>
      </c>
      <c r="U6614">
        <v>-2.9668580000000002</v>
      </c>
      <c r="V6614">
        <v>-0.2425341</v>
      </c>
      <c r="W6614">
        <v>0.3618904</v>
      </c>
      <c r="X6614">
        <v>0.90011810000000003</v>
      </c>
      <c r="Y6614">
        <v>-0.37654090000000001</v>
      </c>
      <c r="Z6614">
        <v>4.9677949999999998E-2</v>
      </c>
      <c r="AA6614">
        <v>0.92506710000000003</v>
      </c>
      <c r="AB6614">
        <v>23</v>
      </c>
      <c r="AC6614">
        <v>8.1938000000000102</v>
      </c>
      <c r="AD6614">
        <v>-1.1123366847789999</v>
      </c>
      <c r="AE6614">
        <v>-16.38401</v>
      </c>
      <c r="AF6614">
        <v>-6.9563222849499002</v>
      </c>
      <c r="AG6614">
        <v>-1.1123366847789999</v>
      </c>
      <c r="AH6614">
        <v>16.873729749345799</v>
      </c>
      <c r="AI6614">
        <v>93.487595804591805</v>
      </c>
      <c r="AJ6614">
        <v>112.404274508432</v>
      </c>
      <c r="AK6614">
        <v>18.2852527542376</v>
      </c>
      <c r="AL6614">
        <v>68.783663072882703</v>
      </c>
      <c r="AM6614">
        <v>105.08003802258</v>
      </c>
      <c r="AN6614">
        <v>1.00000002261128</v>
      </c>
    </row>
    <row r="6615" spans="1:40" x14ac:dyDescent="0.25">
      <c r="A6615" t="str">
        <f>"20190304164254084"</f>
        <v>20190304164254084</v>
      </c>
      <c r="B6615" t="str">
        <f>"1551688974077334"</f>
        <v>1551688974077334</v>
      </c>
      <c r="C6615" t="s">
        <v>40</v>
      </c>
      <c r="D6615">
        <v>4.6906410000000003</v>
      </c>
      <c r="E6615">
        <v>0.52710959999999996</v>
      </c>
      <c r="F6615" t="s">
        <v>57</v>
      </c>
      <c r="G6615">
        <v>-298.5095</v>
      </c>
      <c r="H6615" s="1">
        <v>-1.4211799999999999E-6</v>
      </c>
      <c r="I6615">
        <v>-42.015790000000003</v>
      </c>
      <c r="J6615">
        <v>-301.7081</v>
      </c>
      <c r="K6615">
        <v>1.1123400000000001</v>
      </c>
      <c r="L6615">
        <v>-31.479430000000001</v>
      </c>
      <c r="M6615">
        <v>7.5493640000000001E-2</v>
      </c>
      <c r="N6615">
        <v>-1.1116060000000001E-2</v>
      </c>
      <c r="O6615">
        <v>-0.99708459999999999</v>
      </c>
      <c r="P6615">
        <v>0.31056899999999998</v>
      </c>
      <c r="Q6615">
        <v>0.35236990000000001</v>
      </c>
      <c r="R6615">
        <v>-0.88282660000000002</v>
      </c>
      <c r="S6615">
        <v>0.95452879999999996</v>
      </c>
      <c r="T6615">
        <v>-0.32984750000000002</v>
      </c>
      <c r="U6615">
        <v>-3.194061</v>
      </c>
      <c r="V6615">
        <v>-0.24462420000000001</v>
      </c>
      <c r="W6615">
        <v>0.3613209</v>
      </c>
      <c r="X6615">
        <v>0.89978119999999995</v>
      </c>
      <c r="Y6615">
        <v>-0.21193960000000001</v>
      </c>
      <c r="Z6615">
        <v>8.8036959999999997E-2</v>
      </c>
      <c r="AA6615">
        <v>0.97330930000000004</v>
      </c>
      <c r="AB6615">
        <v>23</v>
      </c>
      <c r="AC6615">
        <v>3.1985999999999901</v>
      </c>
      <c r="AD6615">
        <v>-1.11234142117999</v>
      </c>
      <c r="AE6615">
        <v>-10.53636</v>
      </c>
      <c r="AF6615">
        <v>-2.36981018713103</v>
      </c>
      <c r="AG6615">
        <v>-1.11234142117999</v>
      </c>
      <c r="AH6615">
        <v>10.6392052145188</v>
      </c>
      <c r="AI6615">
        <v>95.826876127600897</v>
      </c>
      <c r="AJ6615">
        <v>102.557247504077</v>
      </c>
      <c r="AK6615">
        <v>10.956550157643001</v>
      </c>
      <c r="AL6615">
        <v>68.818660806630007</v>
      </c>
      <c r="AM6615">
        <v>105.209431763228</v>
      </c>
      <c r="AN6615">
        <v>0.99999999993794497</v>
      </c>
    </row>
    <row r="6616" spans="1:40" x14ac:dyDescent="0.25">
      <c r="A6616" t="str">
        <f>"20190304164254105"</f>
        <v>20190304164254105</v>
      </c>
      <c r="B6616" t="str">
        <f>"1551688974097831"</f>
        <v>1551688974097831</v>
      </c>
      <c r="C6616" t="s">
        <v>40</v>
      </c>
      <c r="D6616">
        <v>4.5989230000000001</v>
      </c>
      <c r="E6616">
        <v>0.53178309999999995</v>
      </c>
      <c r="F6616" t="s">
        <v>42</v>
      </c>
      <c r="G6616">
        <v>-299.52999999999997</v>
      </c>
      <c r="H6616" s="1">
        <v>-4.261837E-7</v>
      </c>
      <c r="I6616">
        <v>-39.56812</v>
      </c>
      <c r="J6616">
        <v>-301.68759999999997</v>
      </c>
      <c r="K6616">
        <v>1.112349</v>
      </c>
      <c r="L6616">
        <v>-31.707609999999999</v>
      </c>
      <c r="M6616">
        <v>7.8290670000000007E-2</v>
      </c>
      <c r="N6616">
        <v>-1.1044089999999999E-2</v>
      </c>
      <c r="O6616">
        <v>-0.99686940000000002</v>
      </c>
      <c r="P6616">
        <v>0.31563020000000003</v>
      </c>
      <c r="Q6616">
        <v>0.35210590000000003</v>
      </c>
      <c r="R6616">
        <v>-0.88113529999999995</v>
      </c>
      <c r="S6616">
        <v>0.88000489999999998</v>
      </c>
      <c r="T6616">
        <v>-0.44940540000000001</v>
      </c>
      <c r="U6616">
        <v>-3.2679749999999999</v>
      </c>
      <c r="V6616">
        <v>-0.24727640000000001</v>
      </c>
      <c r="W6616">
        <v>0.36096509999999998</v>
      </c>
      <c r="X6616">
        <v>0.89919879999999996</v>
      </c>
      <c r="Y6616">
        <v>-0.1815542</v>
      </c>
      <c r="Z6616">
        <v>0.1213361</v>
      </c>
      <c r="AA6616">
        <v>0.97586660000000003</v>
      </c>
      <c r="AB6616">
        <v>24</v>
      </c>
      <c r="AC6616">
        <v>2.1576</v>
      </c>
      <c r="AD6616">
        <v>-1.1123494261836999</v>
      </c>
      <c r="AE6616">
        <v>-7.8605099999999997</v>
      </c>
      <c r="AF6616">
        <v>-1.50746200509843</v>
      </c>
      <c r="AG6616">
        <v>-1.1123494261836999</v>
      </c>
      <c r="AH6616">
        <v>7.8589578941083102</v>
      </c>
      <c r="AI6616">
        <v>97.913686945764297</v>
      </c>
      <c r="AJ6616">
        <v>100.85827397572</v>
      </c>
      <c r="AK6616">
        <v>8.0791696432315305</v>
      </c>
      <c r="AL6616">
        <v>68.840520980281994</v>
      </c>
      <c r="AM6616">
        <v>105.37605753787101</v>
      </c>
      <c r="AN6616">
        <v>0.99999995166820299</v>
      </c>
    </row>
    <row r="6617" spans="1:40" x14ac:dyDescent="0.25">
      <c r="A6617" t="str">
        <f>"20190304164254128"</f>
        <v>20190304164254128</v>
      </c>
      <c r="B6617" t="str">
        <f>"1551688974117350"</f>
        <v>1551688974117350</v>
      </c>
      <c r="C6617" t="s">
        <v>40</v>
      </c>
      <c r="D6617">
        <v>4.5939389999999998</v>
      </c>
      <c r="E6617">
        <v>0.53368040000000005</v>
      </c>
      <c r="F6617" t="s">
        <v>42</v>
      </c>
      <c r="G6617">
        <v>-299.68849999999998</v>
      </c>
      <c r="H6617" s="1">
        <v>-5.1046880000000003E-7</v>
      </c>
      <c r="I6617">
        <v>-39.306089999999998</v>
      </c>
      <c r="J6617">
        <v>-301.666</v>
      </c>
      <c r="K6617">
        <v>1.1123479999999999</v>
      </c>
      <c r="L6617">
        <v>-31.94116</v>
      </c>
      <c r="M6617">
        <v>8.1166390000000005E-2</v>
      </c>
      <c r="N6617">
        <v>-1.0973170000000001E-2</v>
      </c>
      <c r="O6617">
        <v>-0.99664010000000003</v>
      </c>
      <c r="P6617">
        <v>0.32005489999999998</v>
      </c>
      <c r="Q6617">
        <v>0.35191620000000001</v>
      </c>
      <c r="R6617">
        <v>-0.8796136</v>
      </c>
      <c r="S6617">
        <v>0.86483759999999998</v>
      </c>
      <c r="T6617">
        <v>-0.4812167</v>
      </c>
      <c r="U6617">
        <v>-3.287201</v>
      </c>
      <c r="V6617">
        <v>-0.2492104</v>
      </c>
      <c r="W6617">
        <v>0.36069250000000003</v>
      </c>
      <c r="X6617">
        <v>0.89877419999999997</v>
      </c>
      <c r="Y6617">
        <v>-0.17279229999999901</v>
      </c>
      <c r="Z6617">
        <v>0.12995280000000001</v>
      </c>
      <c r="AA6617">
        <v>0.97634790000000005</v>
      </c>
      <c r="AB6617">
        <v>24</v>
      </c>
      <c r="AC6617">
        <v>1.97750000000002</v>
      </c>
      <c r="AD6617">
        <v>-1.11234851046879</v>
      </c>
      <c r="AE6617">
        <v>-7.3649300000000002</v>
      </c>
      <c r="AF6617">
        <v>-1.3445457737117701</v>
      </c>
      <c r="AG6617">
        <v>-1.11234851046879</v>
      </c>
      <c r="AH6617">
        <v>7.3448659274417398</v>
      </c>
      <c r="AI6617">
        <v>98.473054315502495</v>
      </c>
      <c r="AJ6617">
        <v>100.37366486655201</v>
      </c>
      <c r="AK6617">
        <v>7.5493163954389297</v>
      </c>
      <c r="AL6617">
        <v>68.857268714352401</v>
      </c>
      <c r="AM6617">
        <v>105.497528815922</v>
      </c>
      <c r="AN6617">
        <v>0.999999982805024</v>
      </c>
    </row>
    <row r="6618" spans="1:40" x14ac:dyDescent="0.25">
      <c r="A6618" t="str">
        <f>"20190304164254150"</f>
        <v>20190304164254150</v>
      </c>
      <c r="B6618" t="str">
        <f>"1551688974137847"</f>
        <v>1551688974137847</v>
      </c>
      <c r="C6618" t="s">
        <v>40</v>
      </c>
      <c r="D6618">
        <v>4.6159290000000004</v>
      </c>
      <c r="E6618">
        <v>0.53513750000000004</v>
      </c>
      <c r="F6618" t="s">
        <v>42</v>
      </c>
      <c r="G6618">
        <v>-299.72699999999998</v>
      </c>
      <c r="H6618" s="1">
        <v>-5.0949990000000001E-7</v>
      </c>
      <c r="I6618">
        <v>-39.292430000000003</v>
      </c>
      <c r="J6618">
        <v>-301.64339999999999</v>
      </c>
      <c r="K6618">
        <v>1.112333</v>
      </c>
      <c r="L6618">
        <v>-32.177639999999997</v>
      </c>
      <c r="M6618">
        <v>8.4088490000000002E-2</v>
      </c>
      <c r="N6618">
        <v>-1.090121E-2</v>
      </c>
      <c r="O6618">
        <v>-0.99639860000000002</v>
      </c>
      <c r="P6618">
        <v>0.32422210000000001</v>
      </c>
      <c r="Q6618">
        <v>0.35209620000000003</v>
      </c>
      <c r="R6618">
        <v>-0.87801379999999996</v>
      </c>
      <c r="S6618">
        <v>0.86880489999999999</v>
      </c>
      <c r="T6618">
        <v>-0.49841000000000002</v>
      </c>
      <c r="U6618">
        <v>-3.2938839999999998</v>
      </c>
      <c r="V6618">
        <v>-0.25085659999999999</v>
      </c>
      <c r="W6618">
        <v>0.36079040000000001</v>
      </c>
      <c r="X6618">
        <v>0.89827690000000004</v>
      </c>
      <c r="Y6618">
        <v>-0.1703557</v>
      </c>
      <c r="Z6618">
        <v>0.1346329</v>
      </c>
      <c r="AA6618">
        <v>0.97614190000000001</v>
      </c>
      <c r="AB6618">
        <v>24</v>
      </c>
      <c r="AC6618">
        <v>1.9163999999999499</v>
      </c>
      <c r="AD6618">
        <v>-1.1123335094998901</v>
      </c>
      <c r="AE6618">
        <v>-7.1147899999999904</v>
      </c>
      <c r="AF6618">
        <v>-1.28208669491284</v>
      </c>
      <c r="AG6618">
        <v>-1.1123335094998901</v>
      </c>
      <c r="AH6618">
        <v>7.0891888585601102</v>
      </c>
      <c r="AI6618">
        <v>98.777210792104796</v>
      </c>
      <c r="AJ6618">
        <v>100.251193649348</v>
      </c>
      <c r="AK6618">
        <v>7.2895562829270801</v>
      </c>
      <c r="AL6618">
        <v>68.851256378686401</v>
      </c>
      <c r="AM6618">
        <v>105.60314686668001</v>
      </c>
      <c r="AN6618">
        <v>1.0000000677846601</v>
      </c>
    </row>
    <row r="6619" spans="1:40" x14ac:dyDescent="0.25">
      <c r="A6619" t="str">
        <f>"20190304164254172"</f>
        <v>20190304164254172</v>
      </c>
      <c r="B6619" t="str">
        <f>"1551688974168102"</f>
        <v>1551688974168102</v>
      </c>
      <c r="C6619" t="s">
        <v>40</v>
      </c>
      <c r="D6619">
        <v>4.6108880000000001</v>
      </c>
      <c r="E6619">
        <v>0.53645149999999997</v>
      </c>
      <c r="F6619" t="s">
        <v>42</v>
      </c>
      <c r="G6619">
        <v>-299.71969999999999</v>
      </c>
      <c r="H6619" s="1">
        <v>-4.5614089999999999E-7</v>
      </c>
      <c r="I6619">
        <v>-39.419849999999997</v>
      </c>
      <c r="J6619">
        <v>-301.62009999999998</v>
      </c>
      <c r="K6619">
        <v>1.1123339999999999</v>
      </c>
      <c r="L6619">
        <v>-32.414279999999998</v>
      </c>
      <c r="M6619">
        <v>8.702791E-2</v>
      </c>
      <c r="N6619">
        <v>-1.082546E-2</v>
      </c>
      <c r="O6619">
        <v>-0.99614720000000001</v>
      </c>
      <c r="P6619">
        <v>0.32761940000000001</v>
      </c>
      <c r="Q6619">
        <v>0.35150160000000003</v>
      </c>
      <c r="R6619">
        <v>-0.87699039999999995</v>
      </c>
      <c r="S6619">
        <v>0.87564089999999895</v>
      </c>
      <c r="T6619">
        <v>-0.50631210000000004</v>
      </c>
      <c r="U6619">
        <v>-3.2965089999999901</v>
      </c>
      <c r="V6619">
        <v>-0.25167460000000003</v>
      </c>
      <c r="W6619">
        <v>0.36011650000000001</v>
      </c>
      <c r="X6619">
        <v>0.89831839999999996</v>
      </c>
      <c r="Y6619">
        <v>-0.1690738</v>
      </c>
      <c r="Z6619">
        <v>0.1367805</v>
      </c>
      <c r="AA6619">
        <v>0.97606619999999999</v>
      </c>
      <c r="AB6619">
        <v>24</v>
      </c>
      <c r="AC6619">
        <v>1.9003999999999901</v>
      </c>
      <c r="AD6619">
        <v>-1.1123344561409001</v>
      </c>
      <c r="AE6619">
        <v>-7.0055699999999899</v>
      </c>
      <c r="AF6619">
        <v>-1.2540252524344599</v>
      </c>
      <c r="AG6619">
        <v>-1.1123344561409001</v>
      </c>
      <c r="AH6619">
        <v>6.9804648139288599</v>
      </c>
      <c r="AI6619">
        <v>98.913591625486703</v>
      </c>
      <c r="AJ6619">
        <v>100.184427087834</v>
      </c>
      <c r="AK6619">
        <v>7.1789105228133598</v>
      </c>
      <c r="AL6619">
        <v>68.892648540405006</v>
      </c>
      <c r="AM6619">
        <v>105.650848506987</v>
      </c>
      <c r="AN6619">
        <v>0.99999997281798403</v>
      </c>
    </row>
    <row r="6620" spans="1:40" x14ac:dyDescent="0.25">
      <c r="A6620" t="str">
        <f>"20190304164254195"</f>
        <v>20190304164254195</v>
      </c>
      <c r="B6620" t="str">
        <f>"1551688974187623"</f>
        <v>1551688974187623</v>
      </c>
      <c r="C6620" t="s">
        <v>40</v>
      </c>
      <c r="D6620">
        <v>4.6007069999999999</v>
      </c>
      <c r="E6620">
        <v>0.53688080000000005</v>
      </c>
      <c r="F6620" t="s">
        <v>42</v>
      </c>
      <c r="G6620">
        <v>-299.72660000000002</v>
      </c>
      <c r="H6620" s="1">
        <v>-4.175213E-7</v>
      </c>
      <c r="I6620">
        <v>-39.506999999999998</v>
      </c>
      <c r="J6620">
        <v>-301.59640000000002</v>
      </c>
      <c r="K6620">
        <v>1.1123400000000001</v>
      </c>
      <c r="L6620">
        <v>-32.647640000000003</v>
      </c>
      <c r="M6620">
        <v>8.9953080000000005E-2</v>
      </c>
      <c r="N6620">
        <v>-1.074957E-2</v>
      </c>
      <c r="O6620">
        <v>-0.9958882</v>
      </c>
      <c r="P6620">
        <v>0.33134069999999999</v>
      </c>
      <c r="Q6620">
        <v>0.35199049999999998</v>
      </c>
      <c r="R6620">
        <v>-0.87539500000000003</v>
      </c>
      <c r="S6620">
        <v>0.88073729999999995</v>
      </c>
      <c r="T6620">
        <v>-0.51740029999999904</v>
      </c>
      <c r="U6620">
        <v>-3.2991640000000002</v>
      </c>
      <c r="V6620">
        <v>-0.25289299999999998</v>
      </c>
      <c r="W6620">
        <v>0.36051420000000001</v>
      </c>
      <c r="X6620">
        <v>0.89781659999999996</v>
      </c>
      <c r="Y6620">
        <v>-0.16728229999999999</v>
      </c>
      <c r="Z6620">
        <v>0.13983970000000001</v>
      </c>
      <c r="AA6620">
        <v>0.97594139999999996</v>
      </c>
      <c r="AB6620">
        <v>24</v>
      </c>
      <c r="AC6620">
        <v>1.8697999999999899</v>
      </c>
      <c r="AD6620">
        <v>-1.1123404175213001</v>
      </c>
      <c r="AE6620">
        <v>-6.8593599999999899</v>
      </c>
      <c r="AF6620">
        <v>-1.21541173407573</v>
      </c>
      <c r="AG6620">
        <v>-1.1123404175213001</v>
      </c>
      <c r="AH6620">
        <v>6.8325051852288397</v>
      </c>
      <c r="AI6620">
        <v>99.106198048159101</v>
      </c>
      <c r="AJ6620">
        <v>100.086646923826</v>
      </c>
      <c r="AK6620">
        <v>7.0283464622882299</v>
      </c>
      <c r="AL6620">
        <v>68.868221898025197</v>
      </c>
      <c r="AM6620">
        <v>105.731231157445</v>
      </c>
      <c r="AN6620">
        <v>1.0000000025431</v>
      </c>
    </row>
    <row r="6621" spans="1:40" x14ac:dyDescent="0.25">
      <c r="A6621" t="str">
        <f>"20190304164254218"</f>
        <v>20190304164254218</v>
      </c>
      <c r="B6621" t="str">
        <f>"1551688974208119"</f>
        <v>1551688974208119</v>
      </c>
      <c r="C6621" t="s">
        <v>40</v>
      </c>
      <c r="D6621">
        <v>4.6175699999999997</v>
      </c>
      <c r="E6621">
        <v>0.53716149999999996</v>
      </c>
      <c r="F6621" t="s">
        <v>42</v>
      </c>
      <c r="G6621">
        <v>-299.65910000000002</v>
      </c>
      <c r="H6621" s="1">
        <v>-3.0184009999999899E-7</v>
      </c>
      <c r="I6621">
        <v>-39.804560000000002</v>
      </c>
      <c r="J6621">
        <v>-301.57100000000003</v>
      </c>
      <c r="K6621">
        <v>1.1123670000000001</v>
      </c>
      <c r="L6621">
        <v>-32.890229999999903</v>
      </c>
      <c r="M6621">
        <v>9.3038780000000001E-2</v>
      </c>
      <c r="N6621">
        <v>-1.0672610000000001E-2</v>
      </c>
      <c r="O6621">
        <v>-0.99560539999999997</v>
      </c>
      <c r="P6621">
        <v>0.33517209999999997</v>
      </c>
      <c r="Q6621">
        <v>0.35309430000000003</v>
      </c>
      <c r="R6621">
        <v>-0.87348989999999904</v>
      </c>
      <c r="S6621">
        <v>0.89199830000000002</v>
      </c>
      <c r="T6621">
        <v>-0.51216899999999999</v>
      </c>
      <c r="U6621">
        <v>-3.2953489999999999</v>
      </c>
      <c r="V6621">
        <v>-0.25412360000000001</v>
      </c>
      <c r="W6621">
        <v>0.36151509999999998</v>
      </c>
      <c r="X6621">
        <v>0.89706629999999998</v>
      </c>
      <c r="Y6621">
        <v>-0.1676723</v>
      </c>
      <c r="Z6621">
        <v>0.13846420000000001</v>
      </c>
      <c r="AA6621">
        <v>0.97607049999999995</v>
      </c>
      <c r="AB6621">
        <v>24</v>
      </c>
      <c r="AC6621">
        <v>1.91189999999994</v>
      </c>
      <c r="AD6621">
        <v>-1.1123673018400999</v>
      </c>
      <c r="AE6621">
        <v>-6.9143299999999996</v>
      </c>
      <c r="AF6621">
        <v>-1.2306788766817101</v>
      </c>
      <c r="AG6621">
        <v>-1.1123673018400999</v>
      </c>
      <c r="AH6621">
        <v>6.8964122873323301</v>
      </c>
      <c r="AI6621">
        <v>99.022556217201299</v>
      </c>
      <c r="AJ6621">
        <v>100.11804272795101</v>
      </c>
      <c r="AK6621">
        <v>7.0931258235408396</v>
      </c>
      <c r="AL6621">
        <v>68.806726401004795</v>
      </c>
      <c r="AM6621">
        <v>105.816522401405</v>
      </c>
      <c r="AN6621">
        <v>0.99999995910032902</v>
      </c>
    </row>
    <row r="6622" spans="1:40" x14ac:dyDescent="0.25">
      <c r="A6622" t="str">
        <f>"20190304164254245"</f>
        <v>20190304164254245</v>
      </c>
      <c r="B6622" t="str">
        <f>"1551688974237398"</f>
        <v>1551688974237398</v>
      </c>
      <c r="C6622" t="s">
        <v>40</v>
      </c>
      <c r="D6622">
        <v>4.6163080000000001</v>
      </c>
      <c r="E6622">
        <v>0.53769169999999999</v>
      </c>
      <c r="F6622" t="s">
        <v>42</v>
      </c>
      <c r="G6622">
        <v>-299.56650000000002</v>
      </c>
      <c r="H6622" s="1">
        <v>-1.792983E-7</v>
      </c>
      <c r="I6622">
        <v>-40.163960000000003</v>
      </c>
      <c r="J6622">
        <v>-301.54270000000002</v>
      </c>
      <c r="K6622">
        <v>1.1124069999999999</v>
      </c>
      <c r="L6622">
        <v>-33.151670000000003</v>
      </c>
      <c r="M6622">
        <v>9.644163E-2</v>
      </c>
      <c r="N6622">
        <v>-1.0588129999999999E-2</v>
      </c>
      <c r="O6622">
        <v>-0.99528220000000001</v>
      </c>
      <c r="P6622">
        <v>0.33965250000000002</v>
      </c>
      <c r="Q6622">
        <v>0.35402549999999999</v>
      </c>
      <c r="R6622">
        <v>-0.87137949999999997</v>
      </c>
      <c r="S6622">
        <v>0.90664670000000003</v>
      </c>
      <c r="T6622">
        <v>-0.50313409999999903</v>
      </c>
      <c r="U6622">
        <v>-3.2899780000000001</v>
      </c>
      <c r="V6622">
        <v>-0.2557565</v>
      </c>
      <c r="W6622">
        <v>0.362321</v>
      </c>
      <c r="X6622">
        <v>0.89627679999999998</v>
      </c>
      <c r="Y6622">
        <v>-0.16884089999999999</v>
      </c>
      <c r="Z6622">
        <v>0.13603870000000001</v>
      </c>
      <c r="AA6622">
        <v>0.97621009999999997</v>
      </c>
      <c r="AB6622">
        <v>24</v>
      </c>
      <c r="AC6622">
        <v>1.9762</v>
      </c>
      <c r="AD6622">
        <v>-1.1124071792982999</v>
      </c>
      <c r="AE6622">
        <v>-7.0122899999999904</v>
      </c>
      <c r="AF6622">
        <v>-1.2612673490133901</v>
      </c>
      <c r="AG6622">
        <v>-1.1124071792982999</v>
      </c>
      <c r="AH6622">
        <v>7.00684081355364</v>
      </c>
      <c r="AI6622">
        <v>98.880601178801896</v>
      </c>
      <c r="AJ6622">
        <v>100.204258879721</v>
      </c>
      <c r="AK6622">
        <v>7.20583536064506</v>
      </c>
      <c r="AL6622">
        <v>68.757194789245503</v>
      </c>
      <c r="AM6622">
        <v>105.92632869336801</v>
      </c>
      <c r="AN6622">
        <v>0.99999999827574504</v>
      </c>
    </row>
    <row r="6623" spans="1:40" x14ac:dyDescent="0.25">
      <c r="A6623" t="str">
        <f>"20190304164254264"</f>
        <v>20190304164254264</v>
      </c>
      <c r="B6623" t="str">
        <f>"1551688974257894"</f>
        <v>1551688974257894</v>
      </c>
      <c r="C6623" t="s">
        <v>40</v>
      </c>
      <c r="D6623">
        <v>4.7167029999999999</v>
      </c>
      <c r="E6623">
        <v>0.53797099999999998</v>
      </c>
      <c r="F6623" t="s">
        <v>57</v>
      </c>
      <c r="G6623">
        <v>-299.49130000000002</v>
      </c>
      <c r="H6623" s="1">
        <v>-1.7054110000000001E-7</v>
      </c>
      <c r="I6623">
        <v>-40.459209999999999</v>
      </c>
      <c r="J6623">
        <v>-301.51819999999998</v>
      </c>
      <c r="K6623">
        <v>1.1124540000000001</v>
      </c>
      <c r="L6623">
        <v>-33.370059999999903</v>
      </c>
      <c r="M6623">
        <v>9.9363190000000004E-2</v>
      </c>
      <c r="N6623">
        <v>-1.0514040000000001E-2</v>
      </c>
      <c r="O6623">
        <v>-0.99499579999999999</v>
      </c>
      <c r="P6623">
        <v>0.3434084</v>
      </c>
      <c r="Q6623">
        <v>0.35498449999999998</v>
      </c>
      <c r="R6623">
        <v>-0.8695155</v>
      </c>
      <c r="S6623">
        <v>0.92257690000000003</v>
      </c>
      <c r="T6623">
        <v>-0.50029539999999995</v>
      </c>
      <c r="U6623">
        <v>-3.2864990000000001</v>
      </c>
      <c r="V6623">
        <v>-0.25708950000000003</v>
      </c>
      <c r="W6623">
        <v>0.36316490000000001</v>
      </c>
      <c r="X6623">
        <v>0.89555359999999995</v>
      </c>
      <c r="Y6623">
        <v>-0.17063299999999901</v>
      </c>
      <c r="Z6623">
        <v>0.1352777</v>
      </c>
      <c r="AA6623">
        <v>0.97600419999999999</v>
      </c>
      <c r="AB6623">
        <v>24</v>
      </c>
      <c r="AC6623">
        <v>2.0268999999999502</v>
      </c>
      <c r="AD6623">
        <v>-1.1124541705411</v>
      </c>
      <c r="AE6623">
        <v>-7.0891500000000001</v>
      </c>
      <c r="AF6623">
        <v>-1.2832175677480699</v>
      </c>
      <c r="AG6623">
        <v>-1.1124541705411</v>
      </c>
      <c r="AH6623">
        <v>7.0939859451329301</v>
      </c>
      <c r="AI6623">
        <v>98.7722483487223</v>
      </c>
      <c r="AJ6623">
        <v>100.253252989289</v>
      </c>
      <c r="AK6623">
        <v>7.2944388541871499</v>
      </c>
      <c r="AL6623">
        <v>68.705308996655504</v>
      </c>
      <c r="AM6623">
        <v>106.017357536986</v>
      </c>
      <c r="AN6623">
        <v>1.0000000030376099</v>
      </c>
    </row>
    <row r="6624" spans="1:40" x14ac:dyDescent="0.25">
      <c r="A6624" t="str">
        <f>"20190304164254284"</f>
        <v>20190304164254284</v>
      </c>
      <c r="B6624" t="str">
        <f>"1551688974277414"</f>
        <v>1551688974277414</v>
      </c>
      <c r="C6624" t="s">
        <v>40</v>
      </c>
      <c r="D6624">
        <v>4.6605800000000004</v>
      </c>
      <c r="E6624">
        <v>0.53843160000000001</v>
      </c>
      <c r="F6624" t="s">
        <v>57</v>
      </c>
      <c r="G6624">
        <v>-299.42759999999998</v>
      </c>
      <c r="H6624" s="1">
        <v>-3.3800679999999998E-7</v>
      </c>
      <c r="I6624">
        <v>-40.695999999999998</v>
      </c>
      <c r="J6624">
        <v>-301.49349999999998</v>
      </c>
      <c r="K6624">
        <v>1.112501</v>
      </c>
      <c r="L6624">
        <v>-33.585079999999998</v>
      </c>
      <c r="M6624">
        <v>0.1023033</v>
      </c>
      <c r="N6624">
        <v>-1.0441590000000001E-2</v>
      </c>
      <c r="O6624">
        <v>-0.99469859999999999</v>
      </c>
      <c r="P6624">
        <v>0.34748099999999998</v>
      </c>
      <c r="Q6624">
        <v>0.35574549999999999</v>
      </c>
      <c r="R6624">
        <v>-0.86758419999999903</v>
      </c>
      <c r="S6624">
        <v>0.93707280000000004</v>
      </c>
      <c r="T6624">
        <v>-0.49863289999999999</v>
      </c>
      <c r="U6624">
        <v>-3.2836910000000001</v>
      </c>
      <c r="V6624">
        <v>-0.25873239999999997</v>
      </c>
      <c r="W6624">
        <v>0.36380990000000002</v>
      </c>
      <c r="X6624">
        <v>0.89481840000000001</v>
      </c>
      <c r="Y6624">
        <v>-0.17194479999999901</v>
      </c>
      <c r="Z6624">
        <v>0.1348327</v>
      </c>
      <c r="AA6624">
        <v>0.97583560000000003</v>
      </c>
      <c r="AB6624">
        <v>24</v>
      </c>
      <c r="AC6624">
        <v>2.0658999999999899</v>
      </c>
      <c r="AD6624">
        <v>-1.1125013380068001</v>
      </c>
      <c r="AE6624">
        <v>-7.1109200000000001</v>
      </c>
      <c r="AF6624">
        <v>-1.2982462233423699</v>
      </c>
      <c r="AG6624">
        <v>-1.1125013380068001</v>
      </c>
      <c r="AH6624">
        <v>7.1241644047746204</v>
      </c>
      <c r="AI6624">
        <v>98.733997010217493</v>
      </c>
      <c r="AJ6624">
        <v>100.32776104762701</v>
      </c>
      <c r="AK6624">
        <v>7.3264466796495098</v>
      </c>
      <c r="AL6624">
        <v>68.665640493568205</v>
      </c>
      <c r="AM6624">
        <v>106.126968976767</v>
      </c>
      <c r="AN6624">
        <v>1.00000003356316</v>
      </c>
    </row>
    <row r="6625" spans="1:40" x14ac:dyDescent="0.25">
      <c r="A6625" t="str">
        <f>"20190304164254306"</f>
        <v>20190304164254306</v>
      </c>
      <c r="B6625" t="str">
        <f>"1551688974297911"</f>
        <v>1551688974297911</v>
      </c>
      <c r="C6625" t="s">
        <v>40</v>
      </c>
      <c r="D6625">
        <v>4.6437109999999997</v>
      </c>
      <c r="E6625">
        <v>0.538605</v>
      </c>
      <c r="F6625" t="s">
        <v>57</v>
      </c>
      <c r="G6625">
        <v>-299.37610000000001</v>
      </c>
      <c r="H6625" s="1">
        <v>-4.8773640000000002E-7</v>
      </c>
      <c r="I6625">
        <v>-40.909999999999997</v>
      </c>
      <c r="J6625">
        <v>-301.46559999999999</v>
      </c>
      <c r="K6625">
        <v>1.112549</v>
      </c>
      <c r="L6625">
        <v>-33.820219999999999</v>
      </c>
      <c r="M6625">
        <v>0.1056048</v>
      </c>
      <c r="N6625">
        <v>-1.035784E-2</v>
      </c>
      <c r="O6625">
        <v>-0.99435419999999997</v>
      </c>
      <c r="P6625">
        <v>0.35102509999999998</v>
      </c>
      <c r="Q6625">
        <v>0.35577239999999999</v>
      </c>
      <c r="R6625">
        <v>-0.86614530000000001</v>
      </c>
      <c r="S6625">
        <v>0.94879150000000001</v>
      </c>
      <c r="T6625">
        <v>-0.49851060000000003</v>
      </c>
      <c r="U6625">
        <v>-3.2822879999999999</v>
      </c>
      <c r="V6625">
        <v>-0.25947789999999998</v>
      </c>
      <c r="W6625">
        <v>0.36371750000000003</v>
      </c>
      <c r="X6625">
        <v>0.89463999999999999</v>
      </c>
      <c r="Y6625">
        <v>-0.17200650000000001</v>
      </c>
      <c r="Z6625">
        <v>0.13480039999999999</v>
      </c>
      <c r="AA6625">
        <v>0.97582919999999995</v>
      </c>
      <c r="AB6625">
        <v>24</v>
      </c>
      <c r="AC6625">
        <v>2.0894999999999802</v>
      </c>
      <c r="AD6625">
        <v>-1.1125494877363999</v>
      </c>
      <c r="AE6625">
        <v>-7.0897799999999904</v>
      </c>
      <c r="AF6625">
        <v>-1.2996144670955601</v>
      </c>
      <c r="AG6625">
        <v>-1.1125494877363999</v>
      </c>
      <c r="AH6625">
        <v>7.1097201359431903</v>
      </c>
      <c r="AI6625">
        <v>98.750983387584796</v>
      </c>
      <c r="AJ6625">
        <v>100.35896051336501</v>
      </c>
      <c r="AK6625">
        <v>7.3126523599295199</v>
      </c>
      <c r="AL6625">
        <v>68.671322458815396</v>
      </c>
      <c r="AM6625">
        <v>106.174067125327</v>
      </c>
      <c r="AN6625">
        <v>0.99999996499732902</v>
      </c>
    </row>
    <row r="6626" spans="1:40" x14ac:dyDescent="0.25">
      <c r="A6626" t="str">
        <f>"20190304164254329"</f>
        <v>20190304164254329</v>
      </c>
      <c r="B6626" t="str">
        <f>"1551688974317430"</f>
        <v>1551688974317430</v>
      </c>
      <c r="C6626" t="s">
        <v>40</v>
      </c>
      <c r="D6626">
        <v>4.6520210000000004</v>
      </c>
      <c r="E6626">
        <v>0.54594279999999995</v>
      </c>
      <c r="F6626" t="s">
        <v>57</v>
      </c>
      <c r="G6626">
        <v>-299.327</v>
      </c>
      <c r="H6626" s="1">
        <v>-6.4186389999999996E-7</v>
      </c>
      <c r="I6626">
        <v>-41.131900000000002</v>
      </c>
      <c r="J6626">
        <v>-301.43700000000001</v>
      </c>
      <c r="K6626">
        <v>1.112601</v>
      </c>
      <c r="L6626">
        <v>-34.053339999999999</v>
      </c>
      <c r="M6626">
        <v>0.1089724</v>
      </c>
      <c r="N6626">
        <v>-1.0270110000000001E-2</v>
      </c>
      <c r="O6626">
        <v>-0.99399179999999998</v>
      </c>
      <c r="P6626">
        <v>0.35363699999999998</v>
      </c>
      <c r="Q6626">
        <v>0.3566087</v>
      </c>
      <c r="R6626">
        <v>-0.86473770000000005</v>
      </c>
      <c r="S6626">
        <v>0.95932010000000001</v>
      </c>
      <c r="T6626">
        <v>-0.49905850000000002</v>
      </c>
      <c r="U6626">
        <v>-3.2798159999999998</v>
      </c>
      <c r="V6626">
        <v>-0.259243</v>
      </c>
      <c r="W6626">
        <v>0.3644348</v>
      </c>
      <c r="X6626">
        <v>0.89441619999999999</v>
      </c>
      <c r="Y6626">
        <v>-0.17174809999999999</v>
      </c>
      <c r="Z6626">
        <v>0.13501350000000001</v>
      </c>
      <c r="AA6626">
        <v>0.97584519999999997</v>
      </c>
      <c r="AB6626">
        <v>24</v>
      </c>
      <c r="AC6626">
        <v>2.1100000000000101</v>
      </c>
      <c r="AD6626">
        <v>-1.1126016418639</v>
      </c>
      <c r="AE6626">
        <v>-7.0785599999999897</v>
      </c>
      <c r="AF6626">
        <v>-1.2966058460324099</v>
      </c>
      <c r="AG6626">
        <v>-1.1126016418639</v>
      </c>
      <c r="AH6626">
        <v>7.10513485467155</v>
      </c>
      <c r="AI6626">
        <v>98.757412925352398</v>
      </c>
      <c r="AJ6626">
        <v>100.342022941734</v>
      </c>
      <c r="AK6626">
        <v>7.3076679205141897</v>
      </c>
      <c r="AL6626">
        <v>68.627196472746604</v>
      </c>
      <c r="AM6626">
        <v>106.164022112636</v>
      </c>
      <c r="AN6626">
        <v>0.99999999766123904</v>
      </c>
    </row>
    <row r="6627" spans="1:40" x14ac:dyDescent="0.25">
      <c r="A6627" t="str">
        <f>"20190304164254352"</f>
        <v>20190304164254352</v>
      </c>
      <c r="B6627" t="str">
        <f>"1551688974347686"</f>
        <v>1551688974347686</v>
      </c>
      <c r="C6627" t="s">
        <v>40</v>
      </c>
      <c r="D6627">
        <v>4.636927</v>
      </c>
      <c r="E6627">
        <v>0.51697159999999998</v>
      </c>
      <c r="F6627" t="s">
        <v>42</v>
      </c>
      <c r="G6627">
        <v>-299.68549999999999</v>
      </c>
      <c r="H6627" s="1">
        <v>-8.3534769999999999E-8</v>
      </c>
      <c r="I6627">
        <v>-40.352310000000003</v>
      </c>
      <c r="J6627">
        <v>-301.40609999999998</v>
      </c>
      <c r="K6627">
        <v>1.1126560000000001</v>
      </c>
      <c r="L6627">
        <v>-34.298490000000001</v>
      </c>
      <c r="M6627">
        <v>0.1126196</v>
      </c>
      <c r="N6627">
        <v>-1.017963E-2</v>
      </c>
      <c r="O6627">
        <v>-0.99358619999999997</v>
      </c>
      <c r="P6627">
        <v>0.3568617</v>
      </c>
      <c r="Q6627">
        <v>0.35731980000000002</v>
      </c>
      <c r="R6627">
        <v>-0.86311819999999895</v>
      </c>
      <c r="S6627">
        <v>0.92678830000000001</v>
      </c>
      <c r="T6627">
        <v>-0.58872199999999997</v>
      </c>
      <c r="U6627">
        <v>-3.3330380000000002</v>
      </c>
      <c r="V6627">
        <v>-0.25939719999999999</v>
      </c>
      <c r="W6627">
        <v>0.36501729999999999</v>
      </c>
      <c r="X6627">
        <v>0.89413390000000004</v>
      </c>
      <c r="Y6627">
        <v>-0.15415299999999901</v>
      </c>
      <c r="Z6627">
        <v>0.15829480000000001</v>
      </c>
      <c r="AA6627">
        <v>0.97528440000000005</v>
      </c>
      <c r="AB6627">
        <v>24</v>
      </c>
      <c r="AC6627">
        <v>1.7205999999999899</v>
      </c>
      <c r="AD6627">
        <v>-1.1126560835347701</v>
      </c>
      <c r="AE6627">
        <v>-6.0538199999999902</v>
      </c>
      <c r="AF6627">
        <v>-0.99668681346784804</v>
      </c>
      <c r="AG6627">
        <v>-1.1126560835347701</v>
      </c>
      <c r="AH6627">
        <v>6.0209000026882302</v>
      </c>
      <c r="AI6627">
        <v>100.332556174362</v>
      </c>
      <c r="AJ6627">
        <v>99.399382033166006</v>
      </c>
      <c r="AK6627">
        <v>6.2034365481351301</v>
      </c>
      <c r="AL6627">
        <v>68.591352259254606</v>
      </c>
      <c r="AM6627">
        <v>106.17797329924601</v>
      </c>
      <c r="AN6627">
        <v>0.99999998389816902</v>
      </c>
    </row>
    <row r="6628" spans="1:40" x14ac:dyDescent="0.25">
      <c r="A6628" t="str">
        <f>"20190304164254375"</f>
        <v>20190304164254375</v>
      </c>
      <c r="B6628" t="str">
        <f>"1551688974368183"</f>
        <v>1551688974368183</v>
      </c>
      <c r="C6628" t="s">
        <v>40</v>
      </c>
      <c r="D6628">
        <v>4.6157529999999998</v>
      </c>
      <c r="E6628">
        <v>0.50928370000000001</v>
      </c>
      <c r="F6628" t="s">
        <v>57</v>
      </c>
      <c r="G6628">
        <v>-298.40120000000002</v>
      </c>
      <c r="H6628" s="1">
        <v>-1.9068610000000001E-6</v>
      </c>
      <c r="I6628">
        <v>-42.734529999999999</v>
      </c>
      <c r="J6628">
        <v>-301.37380000000002</v>
      </c>
      <c r="K6628">
        <v>1.1127180000000001</v>
      </c>
      <c r="L6628">
        <v>-34.545499999999997</v>
      </c>
      <c r="M6628">
        <v>0.11640730000000001</v>
      </c>
      <c r="N6628">
        <v>-1.008969E-2</v>
      </c>
      <c r="O6628">
        <v>-0.99315050000000005</v>
      </c>
      <c r="P6628">
        <v>0.3605701</v>
      </c>
      <c r="Q6628">
        <v>0.35714359999999901</v>
      </c>
      <c r="R6628">
        <v>-0.86164869999999905</v>
      </c>
      <c r="S6628">
        <v>1.133057</v>
      </c>
      <c r="T6628">
        <v>-0.41955290000000001</v>
      </c>
      <c r="U6628">
        <v>-3.181</v>
      </c>
      <c r="V6628">
        <v>-0.25989449999999997</v>
      </c>
      <c r="W6628">
        <v>0.36470829999999999</v>
      </c>
      <c r="X6628">
        <v>0.89411559999999901</v>
      </c>
      <c r="Y6628">
        <v>-0.22125040000000001</v>
      </c>
      <c r="Z6628">
        <v>0.1142611</v>
      </c>
      <c r="AA6628">
        <v>0.96850020000000003</v>
      </c>
      <c r="AB6628">
        <v>24</v>
      </c>
      <c r="AC6628">
        <v>2.9725999999999999</v>
      </c>
      <c r="AD6628">
        <v>-1.1127199068610001</v>
      </c>
      <c r="AE6628">
        <v>-8.1890300000000007</v>
      </c>
      <c r="AF6628">
        <v>-1.96698902787937</v>
      </c>
      <c r="AG6628">
        <v>-1.1127199068610001</v>
      </c>
      <c r="AH6628">
        <v>8.3432925277964802</v>
      </c>
      <c r="AI6628">
        <v>97.396112055626702</v>
      </c>
      <c r="AJ6628">
        <v>103.265643420103</v>
      </c>
      <c r="AK6628">
        <v>8.6439413250731398</v>
      </c>
      <c r="AL6628">
        <v>68.610367921574493</v>
      </c>
      <c r="AM6628">
        <v>106.207676206662</v>
      </c>
      <c r="AN6628">
        <v>1.00000000069124</v>
      </c>
    </row>
    <row r="6629" spans="1:40" x14ac:dyDescent="0.25">
      <c r="A6629" t="str">
        <f>"20190304164254396"</f>
        <v>20190304164254396</v>
      </c>
      <c r="B6629" t="str">
        <f>"1551688974387703"</f>
        <v>1551688974387703</v>
      </c>
      <c r="C6629" t="s">
        <v>40</v>
      </c>
      <c r="D6629">
        <v>4.5579580000000002</v>
      </c>
      <c r="E6629">
        <v>0.50623030000000002</v>
      </c>
      <c r="F6629" t="s">
        <v>57</v>
      </c>
      <c r="G6629">
        <v>-297.94940000000003</v>
      </c>
      <c r="H6629" s="1">
        <v>-2.5347320000000001E-6</v>
      </c>
      <c r="I6629">
        <v>-43.533200000000001</v>
      </c>
      <c r="J6629">
        <v>-301.34429999999998</v>
      </c>
      <c r="K6629">
        <v>1.1127739999999999</v>
      </c>
      <c r="L6629">
        <v>-34.76538</v>
      </c>
      <c r="M6629">
        <v>0.11987639999999999</v>
      </c>
      <c r="N6629">
        <v>-1.001079E-2</v>
      </c>
      <c r="O6629">
        <v>-0.99273829999999996</v>
      </c>
      <c r="P6629">
        <v>0.36426199999999997</v>
      </c>
      <c r="Q6629">
        <v>0.35712569999999999</v>
      </c>
      <c r="R6629">
        <v>-0.86010159999999902</v>
      </c>
      <c r="S6629">
        <v>1.197144</v>
      </c>
      <c r="T6629">
        <v>-0.38899420000000001</v>
      </c>
      <c r="U6629">
        <v>-3.1419980000000001</v>
      </c>
      <c r="V6629">
        <v>-0.26067360000000001</v>
      </c>
      <c r="W6629">
        <v>0.3645658</v>
      </c>
      <c r="X6629">
        <v>0.89394689999999999</v>
      </c>
      <c r="Y6629">
        <v>-0.23929329999999999</v>
      </c>
      <c r="Z6629">
        <v>0.10604710000000001</v>
      </c>
      <c r="AA6629">
        <v>0.96513870000000002</v>
      </c>
      <c r="AB6629">
        <v>24</v>
      </c>
      <c r="AC6629">
        <v>3.3948999999999501</v>
      </c>
      <c r="AD6629">
        <v>-1.112776534732</v>
      </c>
      <c r="AE6629">
        <v>-8.7678200000000004</v>
      </c>
      <c r="AF6629">
        <v>-2.2872697435853699</v>
      </c>
      <c r="AG6629">
        <v>-1.112776534732</v>
      </c>
      <c r="AH6629">
        <v>8.9857079826680195</v>
      </c>
      <c r="AI6629">
        <v>96.843425103334397</v>
      </c>
      <c r="AJ6629">
        <v>104.281087476427</v>
      </c>
      <c r="AK6629">
        <v>9.3387805652534208</v>
      </c>
      <c r="AL6629">
        <v>68.619136350983197</v>
      </c>
      <c r="AM6629">
        <v>106.256606653673</v>
      </c>
      <c r="AN6629">
        <v>1.0000000041431001</v>
      </c>
    </row>
    <row r="6630" spans="1:40" x14ac:dyDescent="0.25">
      <c r="A6630" t="str">
        <f>"20190304164254426"</f>
        <v>20190304164254426</v>
      </c>
      <c r="B6630" t="str">
        <f>"1551688974417958"</f>
        <v>1551688974417958</v>
      </c>
      <c r="C6630" t="s">
        <v>40</v>
      </c>
      <c r="D6630">
        <v>4.5407169999999999</v>
      </c>
      <c r="E6630">
        <v>0.5046235</v>
      </c>
      <c r="F6630" t="s">
        <v>57</v>
      </c>
      <c r="G6630">
        <v>-297.68689999999998</v>
      </c>
      <c r="H6630" s="1">
        <v>-2.940162E-6</v>
      </c>
      <c r="I6630">
        <v>-44.061149999999998</v>
      </c>
      <c r="J6630">
        <v>-301.30029999999999</v>
      </c>
      <c r="K6630">
        <v>1.1128750000000001</v>
      </c>
      <c r="L6630">
        <v>-35.080379999999998</v>
      </c>
      <c r="M6630">
        <v>0.12500729999999999</v>
      </c>
      <c r="N6630">
        <v>-9.9011440000000006E-3</v>
      </c>
      <c r="O6630">
        <v>-0.99210640000000005</v>
      </c>
      <c r="P6630">
        <v>0.36927690000000002</v>
      </c>
      <c r="Q6630">
        <v>0.3575624</v>
      </c>
      <c r="R6630">
        <v>-0.8577785</v>
      </c>
      <c r="S6630">
        <v>1.2286680000000001</v>
      </c>
      <c r="T6630">
        <v>-0.37382759999999998</v>
      </c>
      <c r="U6630">
        <v>-3.122833</v>
      </c>
      <c r="V6630">
        <v>-0.26139820000000002</v>
      </c>
      <c r="W6630">
        <v>0.36482550000000002</v>
      </c>
      <c r="X6630">
        <v>0.89362929999999996</v>
      </c>
      <c r="Y6630">
        <v>-0.24486749999999999</v>
      </c>
      <c r="Z6630">
        <v>0.1019591</v>
      </c>
      <c r="AA6630">
        <v>0.96418060000000005</v>
      </c>
      <c r="AB6630">
        <v>24</v>
      </c>
      <c r="AC6630">
        <v>3.6134000000000102</v>
      </c>
      <c r="AD6630">
        <v>-1.1128779401619999</v>
      </c>
      <c r="AE6630">
        <v>-8.9807699999999997</v>
      </c>
      <c r="AF6630">
        <v>-2.4302180647702998</v>
      </c>
      <c r="AG6630">
        <v>-1.1128779401619999</v>
      </c>
      <c r="AH6630">
        <v>9.2399236019676003</v>
      </c>
      <c r="AI6630">
        <v>96.643922443263605</v>
      </c>
      <c r="AJ6630">
        <v>104.735787011356</v>
      </c>
      <c r="AK6630">
        <v>9.6187652701494404</v>
      </c>
      <c r="AL6630">
        <v>68.603155817567895</v>
      </c>
      <c r="AM6630">
        <v>106.304884885232</v>
      </c>
      <c r="AN6630">
        <v>0.99999999511598903</v>
      </c>
    </row>
    <row r="6631" spans="1:40" x14ac:dyDescent="0.25">
      <c r="A6631" t="str">
        <f>"20190304164254449"</f>
        <v>20190304164254449</v>
      </c>
      <c r="B6631" t="str">
        <f>"1551688974437478"</f>
        <v>1551688974437478</v>
      </c>
      <c r="C6631" t="s">
        <v>40</v>
      </c>
      <c r="D6631">
        <v>4.514977</v>
      </c>
      <c r="E6631">
        <v>0.50416119999999998</v>
      </c>
      <c r="F6631" t="s">
        <v>57</v>
      </c>
      <c r="G6631">
        <v>-297.44549999999998</v>
      </c>
      <c r="H6631" s="1">
        <v>-3.3176120000000001E-6</v>
      </c>
      <c r="I6631">
        <v>-44.623080000000002</v>
      </c>
      <c r="J6631">
        <v>-301.26530000000002</v>
      </c>
      <c r="K6631">
        <v>1.112946</v>
      </c>
      <c r="L6631">
        <v>-35.321779999999997</v>
      </c>
      <c r="M6631">
        <v>0.12907099999999999</v>
      </c>
      <c r="N6631">
        <v>-9.8230279999999993E-3</v>
      </c>
      <c r="O6631">
        <v>-0.99158670000000004</v>
      </c>
      <c r="P6631">
        <v>0.37413970000000002</v>
      </c>
      <c r="Q6631">
        <v>0.358186</v>
      </c>
      <c r="R6631">
        <v>-0.85540749999999999</v>
      </c>
      <c r="S6631">
        <v>1.255493</v>
      </c>
      <c r="T6631">
        <v>-0.36245810000000001</v>
      </c>
      <c r="U6631">
        <v>-3.1080019999999999</v>
      </c>
      <c r="V6631">
        <v>-0.26292759999999998</v>
      </c>
      <c r="W6631">
        <v>0.3653093</v>
      </c>
      <c r="X6631">
        <v>0.89298269999999902</v>
      </c>
      <c r="Y6631">
        <v>-0.2497567</v>
      </c>
      <c r="Z6631">
        <v>9.8847950000000004E-2</v>
      </c>
      <c r="AA6631">
        <v>0.96325000000000005</v>
      </c>
      <c r="AB6631">
        <v>24</v>
      </c>
      <c r="AC6631">
        <v>3.8198000000000398</v>
      </c>
      <c r="AD6631">
        <v>-1.112949317612</v>
      </c>
      <c r="AE6631">
        <v>-9.3012999999999995</v>
      </c>
      <c r="AF6631">
        <v>-2.5559462570915801</v>
      </c>
      <c r="AG6631">
        <v>-1.112949317612</v>
      </c>
      <c r="AH6631">
        <v>9.5989412264473195</v>
      </c>
      <c r="AI6631">
        <v>96.3928192786301</v>
      </c>
      <c r="AJ6631">
        <v>104.910398266935</v>
      </c>
      <c r="AK6631">
        <v>9.9955585197378305</v>
      </c>
      <c r="AL6631">
        <v>68.573380198445605</v>
      </c>
      <c r="AM6631">
        <v>106.40640637273199</v>
      </c>
      <c r="AN6631">
        <v>0.99999995500376804</v>
      </c>
    </row>
    <row r="6632" spans="1:40" x14ac:dyDescent="0.25">
      <c r="A6632" t="str">
        <f>"20190304164254485"</f>
        <v>20190304164254485</v>
      </c>
      <c r="B6632" t="str">
        <f>"1551688974478076"</f>
        <v>1551688974478076</v>
      </c>
      <c r="C6632" t="s">
        <v>40</v>
      </c>
      <c r="D6632">
        <v>4.5003950000000001</v>
      </c>
      <c r="E6632">
        <v>0.50388329999999903</v>
      </c>
      <c r="F6632" t="s">
        <v>57</v>
      </c>
      <c r="G6632">
        <v>-297.30369999999999</v>
      </c>
      <c r="H6632" s="1">
        <v>-3.5260530000000002E-6</v>
      </c>
      <c r="I6632">
        <v>-44.946719999999999</v>
      </c>
      <c r="J6632">
        <v>-301.20609999999999</v>
      </c>
      <c r="K6632">
        <v>1.113043</v>
      </c>
      <c r="L6632">
        <v>-35.713679999999997</v>
      </c>
      <c r="M6632">
        <v>0.13587360000000001</v>
      </c>
      <c r="N6632">
        <v>-9.7122430000000006E-3</v>
      </c>
      <c r="O6632">
        <v>-0.99067859999999996</v>
      </c>
      <c r="P6632">
        <v>0.38352700000000001</v>
      </c>
      <c r="Q6632">
        <v>0.35795959999999899</v>
      </c>
      <c r="R6632">
        <v>-0.85133549999999902</v>
      </c>
      <c r="S6632">
        <v>1.2756350000000001</v>
      </c>
      <c r="T6632">
        <v>-0.3583711</v>
      </c>
      <c r="U6632">
        <v>-3.099243</v>
      </c>
      <c r="V6632">
        <v>-0.26673029999999998</v>
      </c>
      <c r="W6632">
        <v>0.36486950000000001</v>
      </c>
      <c r="X6632">
        <v>0.89203429999999995</v>
      </c>
      <c r="Y6632">
        <v>-0.24946740000000001</v>
      </c>
      <c r="Z6632">
        <v>9.7772510000000007E-2</v>
      </c>
      <c r="AA6632">
        <v>0.96343480000000004</v>
      </c>
      <c r="AB6632">
        <v>24</v>
      </c>
      <c r="AC6632">
        <v>3.9024000000000001</v>
      </c>
      <c r="AD6632">
        <v>-1.113046526053</v>
      </c>
      <c r="AE6632">
        <v>-9.2330400000000008</v>
      </c>
      <c r="AF6632">
        <v>-2.5798122749609198</v>
      </c>
      <c r="AG6632">
        <v>-1.113046526053</v>
      </c>
      <c r="AH6632">
        <v>9.5597939413373592</v>
      </c>
      <c r="AI6632">
        <v>96.413627761793094</v>
      </c>
      <c r="AJ6632">
        <v>105.10213357258201</v>
      </c>
      <c r="AK6632">
        <v>9.9641338883029995</v>
      </c>
      <c r="AL6632">
        <v>68.600448236723807</v>
      </c>
      <c r="AM6632">
        <v>106.647374964508</v>
      </c>
      <c r="AN6632">
        <v>0.99999999867241496</v>
      </c>
    </row>
    <row r="6633" spans="1:40" x14ac:dyDescent="0.25">
      <c r="A6633" t="str">
        <f>"20190304164254508"</f>
        <v>20190304164254508</v>
      </c>
      <c r="B6633" t="str">
        <f>"1551688974497597"</f>
        <v>1551688974497597</v>
      </c>
      <c r="C6633" t="s">
        <v>40</v>
      </c>
      <c r="D6633">
        <v>4.5101620000000002</v>
      </c>
      <c r="E6633">
        <v>0.50385249999999904</v>
      </c>
      <c r="F6633" t="s">
        <v>57</v>
      </c>
      <c r="G6633">
        <v>-297.13240000000002</v>
      </c>
      <c r="H6633" s="1">
        <v>-3.7659779999999998E-6</v>
      </c>
      <c r="I6633">
        <v>-45.315899999999999</v>
      </c>
      <c r="J6633">
        <v>-301.16809999999998</v>
      </c>
      <c r="K6633">
        <v>1.1131059999999999</v>
      </c>
      <c r="L6633">
        <v>-35.956049999999998</v>
      </c>
      <c r="M6633">
        <v>0.14022760000000001</v>
      </c>
      <c r="N6633">
        <v>-9.6495859999999999E-3</v>
      </c>
      <c r="O6633">
        <v>-0.99007239999999996</v>
      </c>
      <c r="P6633">
        <v>0.38940429999999998</v>
      </c>
      <c r="Q6633">
        <v>0.35816429999999999</v>
      </c>
      <c r="R6633">
        <v>-0.84857709999999997</v>
      </c>
      <c r="S6633">
        <v>1.3086850000000001</v>
      </c>
      <c r="T6633">
        <v>-0.35755959999999998</v>
      </c>
      <c r="U6633">
        <v>-3.0846559999999998</v>
      </c>
      <c r="V6633">
        <v>-0.26906570000000002</v>
      </c>
      <c r="W6633">
        <v>0.36494579999999999</v>
      </c>
      <c r="X6633">
        <v>0.89130140000000002</v>
      </c>
      <c r="Y6633">
        <v>-0.25559300000000001</v>
      </c>
      <c r="Z6633">
        <v>9.7673769999999993E-2</v>
      </c>
      <c r="AA6633">
        <v>0.96183779999999997</v>
      </c>
      <c r="AB6633">
        <v>24</v>
      </c>
      <c r="AC6633">
        <v>4.0356999999999603</v>
      </c>
      <c r="AD6633">
        <v>-1.1131097659779901</v>
      </c>
      <c r="AE6633">
        <v>-9.3598499999999998</v>
      </c>
      <c r="AF6633">
        <v>-2.6516277352850399</v>
      </c>
      <c r="AG6633">
        <v>-1.1131097659779901</v>
      </c>
      <c r="AH6633">
        <v>9.7174144846232497</v>
      </c>
      <c r="AI6633">
        <v>96.306032121869805</v>
      </c>
      <c r="AJ6633">
        <v>105.262932140882</v>
      </c>
      <c r="AK6633">
        <v>10.134016344155601</v>
      </c>
      <c r="AL6633">
        <v>68.595752520253896</v>
      </c>
      <c r="AM6633">
        <v>106.797993507516</v>
      </c>
      <c r="AN6633">
        <v>0.99999998674804402</v>
      </c>
    </row>
    <row r="6634" spans="1:40" x14ac:dyDescent="0.25">
      <c r="A6634" t="str">
        <f>"20190304164254530"</f>
        <v>20190304164254530</v>
      </c>
      <c r="B6634" t="str">
        <f>"1551688974518092"</f>
        <v>1551688974518092</v>
      </c>
      <c r="C6634" t="s">
        <v>40</v>
      </c>
      <c r="D6634">
        <v>4.5155010000000004</v>
      </c>
      <c r="E6634">
        <v>0.50395409999999996</v>
      </c>
      <c r="F6634" t="s">
        <v>57</v>
      </c>
      <c r="G6634">
        <v>-297.0179</v>
      </c>
      <c r="H6634" s="1">
        <v>-3.9156369999999998E-6</v>
      </c>
      <c r="I6634">
        <v>-45.554839999999999</v>
      </c>
      <c r="J6634">
        <v>-301.12990000000002</v>
      </c>
      <c r="K6634">
        <v>1.113173</v>
      </c>
      <c r="L6634">
        <v>-36.190950000000001</v>
      </c>
      <c r="M6634">
        <v>0.14454139999999999</v>
      </c>
      <c r="N6634">
        <v>-9.5926910000000004E-3</v>
      </c>
      <c r="O6634">
        <v>-0.9894522</v>
      </c>
      <c r="P6634">
        <v>0.39486710000000003</v>
      </c>
      <c r="Q6634">
        <v>0.35811500000000002</v>
      </c>
      <c r="R6634">
        <v>-0.84606930000000002</v>
      </c>
      <c r="S6634">
        <v>1.3298030000000001</v>
      </c>
      <c r="T6634">
        <v>-0.35666409999999998</v>
      </c>
      <c r="U6634">
        <v>-3.075653</v>
      </c>
      <c r="V6634">
        <v>-0.27099630000000002</v>
      </c>
      <c r="W6634">
        <v>0.36477880000000001</v>
      </c>
      <c r="X6634">
        <v>0.89078469999999998</v>
      </c>
      <c r="Y6634">
        <v>-0.25797720000000002</v>
      </c>
      <c r="Z6634">
        <v>9.7488720000000001E-2</v>
      </c>
      <c r="AA6634">
        <v>0.96121990000000002</v>
      </c>
      <c r="AB6634">
        <v>24</v>
      </c>
      <c r="AC6634">
        <v>4.1120000000000196</v>
      </c>
      <c r="AD6634">
        <v>-1.1131769156369999</v>
      </c>
      <c r="AE6634">
        <v>-9.3638899999999996</v>
      </c>
      <c r="AF6634">
        <v>-2.6834895686099398</v>
      </c>
      <c r="AG6634">
        <v>-1.1131769156369999</v>
      </c>
      <c r="AH6634">
        <v>9.7444802878050005</v>
      </c>
      <c r="AI6634">
        <v>96.285039452428094</v>
      </c>
      <c r="AJ6634">
        <v>105.39678924191401</v>
      </c>
      <c r="AK6634">
        <v>10.168341811217999</v>
      </c>
      <c r="AL6634">
        <v>68.606029115894799</v>
      </c>
      <c r="AM6634">
        <v>106.92091452171</v>
      </c>
      <c r="AN6634">
        <v>0.99999997464860901</v>
      </c>
    </row>
    <row r="6635" spans="1:40" x14ac:dyDescent="0.25">
      <c r="A6635" t="str">
        <f>"20190304164254553"</f>
        <v>20190304164254553</v>
      </c>
      <c r="B6635" t="str">
        <f>"1551688974547372"</f>
        <v>1551688974547372</v>
      </c>
      <c r="C6635" t="s">
        <v>40</v>
      </c>
      <c r="D6635">
        <v>4.6652009999999997</v>
      </c>
      <c r="E6635">
        <v>0.50401039999999997</v>
      </c>
      <c r="F6635" t="s">
        <v>57</v>
      </c>
      <c r="G6635">
        <v>-296.93119999999999</v>
      </c>
      <c r="H6635" s="1">
        <v>-4.0295129999999999E-6</v>
      </c>
      <c r="I6635">
        <v>-45.740580000000001</v>
      </c>
      <c r="J6635">
        <v>-301.08890000000002</v>
      </c>
      <c r="K6635">
        <v>1.1132569999999999</v>
      </c>
      <c r="L6635">
        <v>-36.436</v>
      </c>
      <c r="M6635">
        <v>0.1491606</v>
      </c>
      <c r="N6635">
        <v>-9.5385590000000003E-3</v>
      </c>
      <c r="O6635">
        <v>-0.98876699999999995</v>
      </c>
      <c r="P6635">
        <v>0.4009142</v>
      </c>
      <c r="Q6635">
        <v>0.35852620000000002</v>
      </c>
      <c r="R6635">
        <v>-0.84304609999999902</v>
      </c>
      <c r="S6635">
        <v>1.3487849999999999</v>
      </c>
      <c r="T6635">
        <v>-0.35758909999999899</v>
      </c>
      <c r="U6635">
        <v>-3.0676570000000001</v>
      </c>
      <c r="V6635">
        <v>-0.27332800000000002</v>
      </c>
      <c r="W6635">
        <v>0.36505989999999999</v>
      </c>
      <c r="X6635">
        <v>0.88995679999999999</v>
      </c>
      <c r="Y6635">
        <v>-0.25936110000000001</v>
      </c>
      <c r="Z6635">
        <v>9.7823969999999996E-2</v>
      </c>
      <c r="AA6635">
        <v>0.96081329999999998</v>
      </c>
      <c r="AB6635">
        <v>24</v>
      </c>
      <c r="AC6635">
        <v>4.1577000000000304</v>
      </c>
      <c r="AD6635">
        <v>-1.1132610295130001</v>
      </c>
      <c r="AE6635">
        <v>-9.3045799999999996</v>
      </c>
      <c r="AF6635">
        <v>-2.6911311846492101</v>
      </c>
      <c r="AG6635">
        <v>-1.1132610295130001</v>
      </c>
      <c r="AH6635">
        <v>9.7048679459342999</v>
      </c>
      <c r="AI6635">
        <v>96.307888243653693</v>
      </c>
      <c r="AJ6635">
        <v>105.498536828277</v>
      </c>
      <c r="AK6635">
        <v>10.1324231564244</v>
      </c>
      <c r="AL6635">
        <v>68.588731262099003</v>
      </c>
      <c r="AM6635">
        <v>107.07303213269699</v>
      </c>
      <c r="AN6635">
        <v>1.00000001601912</v>
      </c>
    </row>
    <row r="6636" spans="1:40" x14ac:dyDescent="0.25">
      <c r="A6636" t="str">
        <f>"20190304164254574"</f>
        <v>20190304164254574</v>
      </c>
      <c r="B6636" t="str">
        <f>"1551688974568158"</f>
        <v>1551688974568158</v>
      </c>
      <c r="C6636" t="s">
        <v>40</v>
      </c>
      <c r="D6636">
        <v>4.4434089999999999</v>
      </c>
      <c r="E6636">
        <v>0.45729389999999998</v>
      </c>
      <c r="F6636" t="s">
        <v>57</v>
      </c>
      <c r="G6636">
        <v>-296.80829999999997</v>
      </c>
      <c r="H6636" s="1">
        <v>-4.1877940000000002E-6</v>
      </c>
      <c r="I6636">
        <v>-45.997770000000003</v>
      </c>
      <c r="J6636">
        <v>-301.04840000000002</v>
      </c>
      <c r="K6636">
        <v>1.1133550000000001</v>
      </c>
      <c r="L6636">
        <v>-36.671300000000002</v>
      </c>
      <c r="M6636">
        <v>0.15372330000000001</v>
      </c>
      <c r="N6636">
        <v>-9.4869069999999993E-3</v>
      </c>
      <c r="O6636">
        <v>-0.98806859999999996</v>
      </c>
      <c r="P6636">
        <v>0.40647509999999998</v>
      </c>
      <c r="Q6636">
        <v>0.35871769999999997</v>
      </c>
      <c r="R6636">
        <v>-0.84029779999999998</v>
      </c>
      <c r="S6636">
        <v>1.369354</v>
      </c>
      <c r="T6636">
        <v>-0.35612870000000002</v>
      </c>
      <c r="U6636">
        <v>-3.0587770000000001</v>
      </c>
      <c r="V6636">
        <v>-0.27520529999999999</v>
      </c>
      <c r="W6636">
        <v>0.36512119999999998</v>
      </c>
      <c r="X6636">
        <v>0.8893529</v>
      </c>
      <c r="Y6636">
        <v>-0.26134259999999998</v>
      </c>
      <c r="Z6636">
        <v>9.7455159999999999E-2</v>
      </c>
      <c r="AA6636">
        <v>0.9603138</v>
      </c>
      <c r="AB6636">
        <v>24</v>
      </c>
      <c r="AC6636">
        <v>4.2401000000000399</v>
      </c>
      <c r="AD6636">
        <v>-1.1133591877939999</v>
      </c>
      <c r="AE6636">
        <v>-9.3264700000000005</v>
      </c>
      <c r="AF6636">
        <v>-2.7237703389347199</v>
      </c>
      <c r="AG6636">
        <v>-1.1133591877939999</v>
      </c>
      <c r="AH6636">
        <v>9.7522645556188898</v>
      </c>
      <c r="AI6636">
        <v>96.274810880919404</v>
      </c>
      <c r="AJ6636">
        <v>105.60484597524</v>
      </c>
      <c r="AK6636">
        <v>10.1865184191207</v>
      </c>
      <c r="AL6636">
        <v>68.584958573570702</v>
      </c>
      <c r="AM6636">
        <v>107.19439058046601</v>
      </c>
      <c r="AN6636">
        <v>1.0000000142879699</v>
      </c>
    </row>
    <row r="6637" spans="1:40" x14ac:dyDescent="0.25">
      <c r="A6637" t="str">
        <f>"20190304164254597"</f>
        <v>20190304164254597</v>
      </c>
      <c r="B6637" t="str">
        <f>"1551688974587678"</f>
        <v>1551688974587678</v>
      </c>
      <c r="C6637" t="s">
        <v>40</v>
      </c>
      <c r="D6637">
        <v>4.4516640000000001</v>
      </c>
      <c r="E6637">
        <v>0.38196350000000001</v>
      </c>
      <c r="F6637" t="s">
        <v>57</v>
      </c>
      <c r="G6637">
        <v>-293.19970000000001</v>
      </c>
      <c r="H6637" s="1">
        <v>-6.533354E-6</v>
      </c>
      <c r="I6637">
        <v>-49.732550000000003</v>
      </c>
      <c r="J6637">
        <v>-301.00619999999998</v>
      </c>
      <c r="K6637">
        <v>1.1134550000000001</v>
      </c>
      <c r="L6637">
        <v>-36.90851</v>
      </c>
      <c r="M6637">
        <v>0.1584564</v>
      </c>
      <c r="N6637">
        <v>-9.4346289999999999E-3</v>
      </c>
      <c r="O6637">
        <v>-0.98732089999999995</v>
      </c>
      <c r="P6637">
        <v>0.41161150000000002</v>
      </c>
      <c r="Q6637">
        <v>0.35892299999999999</v>
      </c>
      <c r="R6637">
        <v>-0.83770529999999999</v>
      </c>
      <c r="S6637">
        <v>1.7104189999999999</v>
      </c>
      <c r="T6637">
        <v>-0.24262929999999999</v>
      </c>
      <c r="U6637">
        <v>-2.8463750000000001</v>
      </c>
      <c r="V6637">
        <v>-0.27650350000000001</v>
      </c>
      <c r="W6637">
        <v>0.36519400000000002</v>
      </c>
      <c r="X6637">
        <v>0.88892019999999905</v>
      </c>
      <c r="Y6637">
        <v>-0.37150569999999999</v>
      </c>
      <c r="Z6637">
        <v>6.517415E-2</v>
      </c>
      <c r="AA6637">
        <v>0.92614030000000003</v>
      </c>
      <c r="AB6637">
        <v>24</v>
      </c>
      <c r="AC6637">
        <v>7.8064999999999696</v>
      </c>
      <c r="AD6637">
        <v>-1.1134615333540001</v>
      </c>
      <c r="AE6637">
        <v>-12.82404</v>
      </c>
      <c r="AF6637">
        <v>-5.6446735216027104</v>
      </c>
      <c r="AG6637">
        <v>-1.1134615333540001</v>
      </c>
      <c r="AH6637">
        <v>13.8230178067507</v>
      </c>
      <c r="AI6637">
        <v>94.264837771055099</v>
      </c>
      <c r="AJ6637">
        <v>112.21280616806401</v>
      </c>
      <c r="AK6637">
        <v>14.9725734941422</v>
      </c>
      <c r="AL6637">
        <v>68.580477327742301</v>
      </c>
      <c r="AM6637">
        <v>107.278592213742</v>
      </c>
      <c r="AN6637">
        <v>0.99999998255814404</v>
      </c>
    </row>
    <row r="6638" spans="1:40" x14ac:dyDescent="0.25">
      <c r="A6638" t="str">
        <f>"20190304164254620"</f>
        <v>20190304164254620</v>
      </c>
      <c r="B6638" t="str">
        <f>"1551688974608174"</f>
        <v>1551688974608174</v>
      </c>
      <c r="C6638" t="s">
        <v>40</v>
      </c>
      <c r="D6638">
        <v>4.434393</v>
      </c>
      <c r="E6638">
        <v>0.38127349999999999</v>
      </c>
      <c r="F6638" t="s">
        <v>41</v>
      </c>
      <c r="G6638">
        <v>-300.40010000000001</v>
      </c>
      <c r="H6638">
        <v>1.063815</v>
      </c>
      <c r="I6638">
        <v>-37.592289999999998</v>
      </c>
      <c r="J6638">
        <v>-300.96100000000001</v>
      </c>
      <c r="K6638">
        <v>1.113567</v>
      </c>
      <c r="L6638">
        <v>-37.155029999999996</v>
      </c>
      <c r="M6638">
        <v>0.16352459999999999</v>
      </c>
      <c r="N6638">
        <v>-9.3809960000000008E-3</v>
      </c>
      <c r="O6638">
        <v>-0.98649469999999995</v>
      </c>
      <c r="P6638">
        <v>0.41722160000000003</v>
      </c>
      <c r="Q6638">
        <v>0.35911209999999999</v>
      </c>
      <c r="R6638">
        <v>-0.83484419999999904</v>
      </c>
      <c r="S6638">
        <v>2.2604060000000001</v>
      </c>
      <c r="T6638">
        <v>-0.1851091</v>
      </c>
      <c r="U6638">
        <v>-2.5498660000000002</v>
      </c>
      <c r="V6638">
        <v>-0.27802759999999999</v>
      </c>
      <c r="W6638">
        <v>0.36523879999999997</v>
      </c>
      <c r="X6638">
        <v>0.8884263</v>
      </c>
      <c r="Y6638">
        <v>-0.53118140000000003</v>
      </c>
      <c r="Z6638">
        <v>4.7266009999999997E-2</v>
      </c>
      <c r="AA6638">
        <v>0.84593869999999904</v>
      </c>
      <c r="AB6638">
        <v>25</v>
      </c>
      <c r="AC6638">
        <v>0.56090000000000295</v>
      </c>
      <c r="AD6638">
        <v>-4.9751999999999998E-2</v>
      </c>
      <c r="AE6638">
        <v>-0.43726000000000897</v>
      </c>
      <c r="AF6638">
        <v>-0.47949677480845398</v>
      </c>
      <c r="AG6638">
        <v>-4.9751999999999998E-2</v>
      </c>
      <c r="AH6638">
        <v>0.52055119006127204</v>
      </c>
      <c r="AI6638">
        <v>94.021127399065506</v>
      </c>
      <c r="AJ6638">
        <v>132.649188112731</v>
      </c>
      <c r="AK6638">
        <v>0.70948288212607102</v>
      </c>
      <c r="AL6638">
        <v>68.577720601953004</v>
      </c>
      <c r="AM6638">
        <v>107.377193045946</v>
      </c>
      <c r="AN6638">
        <v>1.0000000089594401</v>
      </c>
    </row>
    <row r="6639" spans="1:40" x14ac:dyDescent="0.25">
      <c r="A6639" t="str">
        <f>"20190304164254644"</f>
        <v>20190304164254644</v>
      </c>
      <c r="B6639" t="str">
        <f>"1551688974637455"</f>
        <v>1551688974637455</v>
      </c>
      <c r="C6639" t="s">
        <v>40</v>
      </c>
      <c r="D6639">
        <v>4.4127470000000004</v>
      </c>
      <c r="E6639">
        <v>0.38420880000000002</v>
      </c>
      <c r="F6639" t="s">
        <v>41</v>
      </c>
      <c r="G6639">
        <v>-300.37049999999999</v>
      </c>
      <c r="H6639">
        <v>1.069569</v>
      </c>
      <c r="I6639">
        <v>-37.809539999999998</v>
      </c>
      <c r="J6639">
        <v>-300.91379999999998</v>
      </c>
      <c r="K6639">
        <v>1.11368</v>
      </c>
      <c r="L6639">
        <v>-37.404539999999997</v>
      </c>
      <c r="M6639">
        <v>0.16882359999999999</v>
      </c>
      <c r="N6639">
        <v>-9.3290969999999997E-3</v>
      </c>
      <c r="O6639">
        <v>-0.98560219999999998</v>
      </c>
      <c r="P6639">
        <v>0.4231664</v>
      </c>
      <c r="Q6639">
        <v>0.35854979999999997</v>
      </c>
      <c r="R6639">
        <v>-0.83208930000000003</v>
      </c>
      <c r="S6639">
        <v>2.280243</v>
      </c>
      <c r="T6639">
        <v>-0.16987669999999999</v>
      </c>
      <c r="U6639">
        <v>-2.5269780000000002</v>
      </c>
      <c r="V6639">
        <v>-0.27966099999999999</v>
      </c>
      <c r="W6639">
        <v>0.3645311</v>
      </c>
      <c r="X6639">
        <v>0.88820429999999995</v>
      </c>
      <c r="Y6639">
        <v>-0.53423330000000002</v>
      </c>
      <c r="Z6639">
        <v>4.2841890000000001E-2</v>
      </c>
      <c r="AA6639">
        <v>0.84425069999999902</v>
      </c>
      <c r="AB6639">
        <v>25</v>
      </c>
      <c r="AC6639">
        <v>0.54329999999998702</v>
      </c>
      <c r="AD6639">
        <v>-4.4110999999999997E-2</v>
      </c>
      <c r="AE6639">
        <v>-0.40500000000000103</v>
      </c>
      <c r="AF6639">
        <v>-0.46515340587366999</v>
      </c>
      <c r="AG6639">
        <v>-4.4110999999999997E-2</v>
      </c>
      <c r="AH6639">
        <v>0.48884070419556802</v>
      </c>
      <c r="AI6639">
        <v>93.740137126530001</v>
      </c>
      <c r="AJ6639">
        <v>133.57766058979399</v>
      </c>
      <c r="AK6639">
        <v>0.676223857457939</v>
      </c>
      <c r="AL6639">
        <v>68.621272205103807</v>
      </c>
      <c r="AM6639">
        <v>107.47718804207101</v>
      </c>
      <c r="AN6639">
        <v>1.00000003816334</v>
      </c>
    </row>
    <row r="6640" spans="1:40" x14ac:dyDescent="0.25">
      <c r="A6640" t="str">
        <f>"20190304164254667"</f>
        <v>20190304164254667</v>
      </c>
      <c r="B6640" t="str">
        <f>"1551688974657950"</f>
        <v>1551688974657950</v>
      </c>
      <c r="C6640" t="s">
        <v>40</v>
      </c>
      <c r="D6640">
        <v>4.4149659999999997</v>
      </c>
      <c r="E6640">
        <v>0.3856078</v>
      </c>
      <c r="F6640" t="s">
        <v>41</v>
      </c>
      <c r="G6640">
        <v>-300.19600000000003</v>
      </c>
      <c r="H6640">
        <v>1.0585009999999999</v>
      </c>
      <c r="I6640">
        <v>-38.199539999999999</v>
      </c>
      <c r="J6640">
        <v>-300.86439999999999</v>
      </c>
      <c r="K6640">
        <v>1.1137870000000001</v>
      </c>
      <c r="L6640">
        <v>-37.65598</v>
      </c>
      <c r="M6640">
        <v>0.174340299999999</v>
      </c>
      <c r="N6640">
        <v>-9.2773969999999997E-3</v>
      </c>
      <c r="O6640">
        <v>-0.98464180000000001</v>
      </c>
      <c r="P6640">
        <v>0.42983549999999998</v>
      </c>
      <c r="Q6640">
        <v>0.35735699999999998</v>
      </c>
      <c r="R6640">
        <v>-0.829179</v>
      </c>
      <c r="S6640">
        <v>2.2778320000000001</v>
      </c>
      <c r="T6640">
        <v>-0.17508660000000001</v>
      </c>
      <c r="U6640">
        <v>-2.5224299999999999</v>
      </c>
      <c r="V6640">
        <v>-0.28183509999999901</v>
      </c>
      <c r="W6640">
        <v>0.36319020000000002</v>
      </c>
      <c r="X6640">
        <v>0.88806640000000003</v>
      </c>
      <c r="Y6640">
        <v>-0.52975430000000001</v>
      </c>
      <c r="Z6640">
        <v>4.4572710000000001E-2</v>
      </c>
      <c r="AA6640">
        <v>0.84697909999999899</v>
      </c>
      <c r="AB6640">
        <v>25</v>
      </c>
      <c r="AC6640">
        <v>0.66840000000001898</v>
      </c>
      <c r="AD6640">
        <v>-5.5286000000000099E-2</v>
      </c>
      <c r="AE6640">
        <v>-0.54355999999999904</v>
      </c>
      <c r="AF6640">
        <v>-0.561083772368837</v>
      </c>
      <c r="AG6640">
        <v>-5.5286000000000099E-2</v>
      </c>
      <c r="AH6640">
        <v>0.64909591418870305</v>
      </c>
      <c r="AI6640">
        <v>93.686866756759798</v>
      </c>
      <c r="AJ6640">
        <v>130.840401330774</v>
      </c>
      <c r="AK6640">
        <v>0.85976569321421104</v>
      </c>
      <c r="AL6640">
        <v>68.703753960735398</v>
      </c>
      <c r="AM6640">
        <v>107.607259284957</v>
      </c>
      <c r="AN6640">
        <v>1.0000000378884999</v>
      </c>
    </row>
    <row r="6641" spans="1:40" x14ac:dyDescent="0.25">
      <c r="A6641" t="str">
        <f>"20190304164254686"</f>
        <v>20190304164254686</v>
      </c>
      <c r="B6641" t="str">
        <f>"1551688974677977"</f>
        <v>1551688974677977</v>
      </c>
      <c r="C6641" t="s">
        <v>40</v>
      </c>
      <c r="D6641">
        <v>4.3771409999999999</v>
      </c>
      <c r="E6641">
        <v>0.38686300000000001</v>
      </c>
      <c r="F6641" t="s">
        <v>41</v>
      </c>
      <c r="G6641">
        <v>-300.16849999999999</v>
      </c>
      <c r="H6641">
        <v>1.0588740000000001</v>
      </c>
      <c r="I6641">
        <v>-38.419319999999999</v>
      </c>
      <c r="J6641">
        <v>-300.8211</v>
      </c>
      <c r="K6641">
        <v>1.113853</v>
      </c>
      <c r="L6641">
        <v>-37.870150000000002</v>
      </c>
      <c r="M6641">
        <v>0.1791449</v>
      </c>
      <c r="N6641">
        <v>-9.2344409999999995E-3</v>
      </c>
      <c r="O6641">
        <v>-0.98377950000000003</v>
      </c>
      <c r="P6641">
        <v>0.43562859999999998</v>
      </c>
      <c r="Q6641">
        <v>0.35622979999999999</v>
      </c>
      <c r="R6641">
        <v>-0.8266367</v>
      </c>
      <c r="S6641">
        <v>2.287598</v>
      </c>
      <c r="T6641">
        <v>-0.1805534</v>
      </c>
      <c r="U6641">
        <v>-2.509979</v>
      </c>
      <c r="V6641">
        <v>-0.2837073</v>
      </c>
      <c r="W6641">
        <v>0.36194409999999999</v>
      </c>
      <c r="X6641">
        <v>0.88797890000000002</v>
      </c>
      <c r="Y6641">
        <v>-0.52944760000000002</v>
      </c>
      <c r="Z6641">
        <v>4.6360119999999998E-2</v>
      </c>
      <c r="AA6641">
        <v>0.84707500000000002</v>
      </c>
      <c r="AB6641">
        <v>25</v>
      </c>
      <c r="AC6641">
        <v>0.65260000000000595</v>
      </c>
      <c r="AD6641">
        <v>-5.4979000000000097E-2</v>
      </c>
      <c r="AE6641">
        <v>-0.54916999999999605</v>
      </c>
      <c r="AF6641">
        <v>-0.54140703131595602</v>
      </c>
      <c r="AG6641">
        <v>-5.4979000000000097E-2</v>
      </c>
      <c r="AH6641">
        <v>0.65448068348880994</v>
      </c>
      <c r="AI6641">
        <v>93.703445489411806</v>
      </c>
      <c r="AJ6641">
        <v>129.59862384108101</v>
      </c>
      <c r="AK6641">
        <v>0.85116933042687604</v>
      </c>
      <c r="AL6641">
        <v>68.780360826124394</v>
      </c>
      <c r="AM6641">
        <v>107.71856634917</v>
      </c>
      <c r="AN6641">
        <v>0.99999994522165303</v>
      </c>
    </row>
    <row r="6642" spans="1:40" x14ac:dyDescent="0.25">
      <c r="A6642" t="str">
        <f>"20190304164254709"</f>
        <v>20190304164254709</v>
      </c>
      <c r="B6642" t="str">
        <f>"1551688974697497"</f>
        <v>1551688974697497</v>
      </c>
      <c r="C6642" t="s">
        <v>40</v>
      </c>
      <c r="D6642">
        <v>4.4003459999999999</v>
      </c>
      <c r="E6642">
        <v>0.3878202</v>
      </c>
      <c r="F6642" t="s">
        <v>41</v>
      </c>
      <c r="G6642">
        <v>-300.12150000000003</v>
      </c>
      <c r="H6642">
        <v>1.0573189999999999</v>
      </c>
      <c r="I6642">
        <v>-38.631839999999997</v>
      </c>
      <c r="J6642">
        <v>-300.77069999999998</v>
      </c>
      <c r="K6642">
        <v>1.113936</v>
      </c>
      <c r="L6642">
        <v>-38.112760000000002</v>
      </c>
      <c r="M6642">
        <v>0.18471090000000001</v>
      </c>
      <c r="N6642">
        <v>-9.1903650000000007E-3</v>
      </c>
      <c r="O6642">
        <v>-0.98274989999999995</v>
      </c>
      <c r="P6642">
        <v>0.4417778</v>
      </c>
      <c r="Q6642">
        <v>0.3553058</v>
      </c>
      <c r="R6642">
        <v>-0.82376579999999999</v>
      </c>
      <c r="S6642">
        <v>2.2955320000000001</v>
      </c>
      <c r="T6642">
        <v>-0.185504</v>
      </c>
      <c r="U6642">
        <v>-2.4993590000000001</v>
      </c>
      <c r="V6642">
        <v>-0.28530680000000003</v>
      </c>
      <c r="W6642">
        <v>0.36089969999999999</v>
      </c>
      <c r="X6642">
        <v>0.88789149999999994</v>
      </c>
      <c r="Y6642">
        <v>-0.52784249999999999</v>
      </c>
      <c r="Z6642">
        <v>4.7988719999999999E-2</v>
      </c>
      <c r="AA6642">
        <v>0.847985399999999</v>
      </c>
      <c r="AB6642">
        <v>25</v>
      </c>
      <c r="AC6642">
        <v>0.64919999999995004</v>
      </c>
      <c r="AD6642">
        <v>-5.6616999999999897E-2</v>
      </c>
      <c r="AE6642">
        <v>-0.51908000000000898</v>
      </c>
      <c r="AF6642">
        <v>-0.53964072348908199</v>
      </c>
      <c r="AG6642">
        <v>-5.6616999999999897E-2</v>
      </c>
      <c r="AH6642">
        <v>0.62715703628209996</v>
      </c>
      <c r="AI6642">
        <v>93.914661080484393</v>
      </c>
      <c r="AJ6642">
        <v>130.71053021024599</v>
      </c>
      <c r="AK6642">
        <v>0.82930304671752397</v>
      </c>
      <c r="AL6642">
        <v>68.844538703319301</v>
      </c>
      <c r="AM6642">
        <v>107.813806419076</v>
      </c>
      <c r="AN6642">
        <v>0.99999993967928802</v>
      </c>
    </row>
    <row r="6643" spans="1:40" x14ac:dyDescent="0.25">
      <c r="A6643" t="str">
        <f>"20190304164254731"</f>
        <v>20190304164254731</v>
      </c>
      <c r="B6643" t="str">
        <f>"1551688974727753"</f>
        <v>1551688974727753</v>
      </c>
      <c r="C6643" t="s">
        <v>40</v>
      </c>
      <c r="D6643">
        <v>4.4040569999999999</v>
      </c>
      <c r="E6643">
        <v>0.38921030000000001</v>
      </c>
      <c r="F6643" t="s">
        <v>41</v>
      </c>
      <c r="G6643">
        <v>-300.0865</v>
      </c>
      <c r="H6643">
        <v>1.057744</v>
      </c>
      <c r="I6643">
        <v>-38.850099999999998</v>
      </c>
      <c r="J6643">
        <v>-300.71879999999999</v>
      </c>
      <c r="K6643">
        <v>1.1140219999999901</v>
      </c>
      <c r="L6643">
        <v>-38.35492</v>
      </c>
      <c r="M6643">
        <v>0.1903937</v>
      </c>
      <c r="N6643">
        <v>-9.1528029999999993E-3</v>
      </c>
      <c r="O6643">
        <v>-0.98166509999999996</v>
      </c>
      <c r="P6643">
        <v>0.44788850000000002</v>
      </c>
      <c r="Q6643">
        <v>0.35454530000000001</v>
      </c>
      <c r="R6643">
        <v>-0.82078809999999902</v>
      </c>
      <c r="S6643">
        <v>2.30722</v>
      </c>
      <c r="T6643">
        <v>-0.1894739</v>
      </c>
      <c r="U6643">
        <v>-2.4862060000000001</v>
      </c>
      <c r="V6643">
        <v>-0.28678710000000002</v>
      </c>
      <c r="W6643">
        <v>0.36002620000000002</v>
      </c>
      <c r="X6643">
        <v>0.88776929999999998</v>
      </c>
      <c r="Y6643">
        <v>-0.52726260000000003</v>
      </c>
      <c r="Z6643">
        <v>4.9310069999999998E-2</v>
      </c>
      <c r="AA6643">
        <v>0.84827039999999998</v>
      </c>
      <c r="AB6643">
        <v>25</v>
      </c>
      <c r="AC6643">
        <v>0.63229999999998598</v>
      </c>
      <c r="AD6643">
        <v>-5.62779999999998E-2</v>
      </c>
      <c r="AE6643">
        <v>-0.49517999999999701</v>
      </c>
      <c r="AF6643">
        <v>-0.52387734203527503</v>
      </c>
      <c r="AG6643">
        <v>-5.62779999999998E-2</v>
      </c>
      <c r="AH6643">
        <v>0.60354865519672096</v>
      </c>
      <c r="AI6643">
        <v>94.028007307374907</v>
      </c>
      <c r="AJ6643">
        <v>130.957824166373</v>
      </c>
      <c r="AK6643">
        <v>0.80117767191286304</v>
      </c>
      <c r="AL6643">
        <v>68.8981953276746</v>
      </c>
      <c r="AM6643">
        <v>107.902654932164</v>
      </c>
      <c r="AN6643">
        <v>1.00000001771767</v>
      </c>
    </row>
    <row r="6644" spans="1:40" x14ac:dyDescent="0.25">
      <c r="A6644" t="str">
        <f>"20190304164254754"</f>
        <v>20190304164254754</v>
      </c>
      <c r="B6644" t="str">
        <f>"1551688974747273"</f>
        <v>1551688974747273</v>
      </c>
      <c r="C6644" t="s">
        <v>40</v>
      </c>
      <c r="D6644">
        <v>4.3822299999999998</v>
      </c>
      <c r="E6644">
        <v>0.38983089999999998</v>
      </c>
      <c r="F6644" t="s">
        <v>41</v>
      </c>
      <c r="G6644">
        <v>-300.05079999999998</v>
      </c>
      <c r="H6644">
        <v>1.058386</v>
      </c>
      <c r="I6644">
        <v>-39.068899999999999</v>
      </c>
      <c r="J6644">
        <v>-300.66460000000001</v>
      </c>
      <c r="K6644">
        <v>1.1141099999999999</v>
      </c>
      <c r="L6644">
        <v>-38.600160000000002</v>
      </c>
      <c r="M6644">
        <v>0.19628139999999999</v>
      </c>
      <c r="N6644">
        <v>-9.1215329999999994E-3</v>
      </c>
      <c r="O6644">
        <v>-0.98050530000000002</v>
      </c>
      <c r="P6644">
        <v>0.45389859999999999</v>
      </c>
      <c r="Q6644">
        <v>0.35402149999999999</v>
      </c>
      <c r="R6644">
        <v>-0.81770699999999996</v>
      </c>
      <c r="S6644">
        <v>2.3156430000000001</v>
      </c>
      <c r="T6644">
        <v>-0.1928512</v>
      </c>
      <c r="U6644">
        <v>-2.4747309999999998</v>
      </c>
      <c r="V6644">
        <v>-0.28801549999999998</v>
      </c>
      <c r="W6644">
        <v>0.35939219999999999</v>
      </c>
      <c r="X6644">
        <v>0.88762849999999904</v>
      </c>
      <c r="Y6644">
        <v>-0.52562399999999998</v>
      </c>
      <c r="Z6644">
        <v>5.0454310000000002E-2</v>
      </c>
      <c r="AA6644">
        <v>0.84921959999999996</v>
      </c>
      <c r="AB6644">
        <v>25</v>
      </c>
      <c r="AC6644">
        <v>0.61380000000002599</v>
      </c>
      <c r="AD6644">
        <v>-5.5723999999999801E-2</v>
      </c>
      <c r="AE6644">
        <v>-0.46874000000000299</v>
      </c>
      <c r="AF6644">
        <v>-0.50720986575465399</v>
      </c>
      <c r="AG6644">
        <v>-5.5723999999999801E-2</v>
      </c>
      <c r="AH6644">
        <v>0.577099309146344</v>
      </c>
      <c r="AI6644">
        <v>94.148267407185401</v>
      </c>
      <c r="AJ6644">
        <v>131.31208639383601</v>
      </c>
      <c r="AK6644">
        <v>0.77033150312838805</v>
      </c>
      <c r="AL6644">
        <v>68.937126750300905</v>
      </c>
      <c r="AM6644">
        <v>107.97708178143399</v>
      </c>
      <c r="AN6644">
        <v>1.0000000178366599</v>
      </c>
    </row>
    <row r="6645" spans="1:40" x14ac:dyDescent="0.25">
      <c r="A6645" t="str">
        <f>"20190304164254776"</f>
        <v>20190304164254776</v>
      </c>
      <c r="B6645" t="str">
        <f>"1551688974767769"</f>
        <v>1551688974767769</v>
      </c>
      <c r="C6645" t="s">
        <v>40</v>
      </c>
      <c r="D6645">
        <v>4.3829089999999997</v>
      </c>
      <c r="E6645">
        <v>0.39033109999999999</v>
      </c>
      <c r="F6645" t="s">
        <v>41</v>
      </c>
      <c r="G6645">
        <v>-300.01350000000002</v>
      </c>
      <c r="H6645">
        <v>1.059545</v>
      </c>
      <c r="I6645">
        <v>-39.28783</v>
      </c>
      <c r="J6645">
        <v>-300.61070000000001</v>
      </c>
      <c r="K6645">
        <v>1.1142179999999999</v>
      </c>
      <c r="L6645">
        <v>-38.837159999999997</v>
      </c>
      <c r="M6645">
        <v>0.20210310000000001</v>
      </c>
      <c r="N6645">
        <v>-9.0974539999999996E-3</v>
      </c>
      <c r="O6645">
        <v>-0.97932209999999997</v>
      </c>
      <c r="P6645">
        <v>0.4593911</v>
      </c>
      <c r="Q6645">
        <v>0.35353970000000001</v>
      </c>
      <c r="R6645">
        <v>-0.81484330000000005</v>
      </c>
      <c r="S6645">
        <v>2.3296199999999998</v>
      </c>
      <c r="T6645">
        <v>-0.1952093</v>
      </c>
      <c r="U6645">
        <v>-2.4601440000000001</v>
      </c>
      <c r="V6645">
        <v>-0.28876439999999998</v>
      </c>
      <c r="W6645">
        <v>0.35880699999999999</v>
      </c>
      <c r="X6645">
        <v>0.88762189999999996</v>
      </c>
      <c r="Y6645">
        <v>-0.525599699999999</v>
      </c>
      <c r="Z6645">
        <v>5.1265669999999999E-2</v>
      </c>
      <c r="AA6645">
        <v>0.84918590000000005</v>
      </c>
      <c r="AB6645">
        <v>25</v>
      </c>
      <c r="AC6645">
        <v>0.59719999999998596</v>
      </c>
      <c r="AD6645">
        <v>-5.4672999999999701E-2</v>
      </c>
      <c r="AE6645">
        <v>-0.45067000000000201</v>
      </c>
      <c r="AF6645">
        <v>-0.49116685039772201</v>
      </c>
      <c r="AG6645">
        <v>-5.4672999999999701E-2</v>
      </c>
      <c r="AH6645">
        <v>0.55908468806303901</v>
      </c>
      <c r="AI6645">
        <v>94.201762306812299</v>
      </c>
      <c r="AJ6645">
        <v>131.299939301839</v>
      </c>
      <c r="AK6645">
        <v>0.74619682409211796</v>
      </c>
      <c r="AL6645">
        <v>68.973051895737797</v>
      </c>
      <c r="AM6645">
        <v>108.020932438209</v>
      </c>
      <c r="AN6645">
        <v>0.99999998965798498</v>
      </c>
    </row>
    <row r="6646" spans="1:40" x14ac:dyDescent="0.25">
      <c r="A6646" t="str">
        <f>"20190304164254798"</f>
        <v>20190304164254798</v>
      </c>
      <c r="B6646" t="str">
        <f>"1551688974787289"</f>
        <v>1551688974787289</v>
      </c>
      <c r="C6646" t="s">
        <v>40</v>
      </c>
      <c r="D6646">
        <v>4.3754489999999997</v>
      </c>
      <c r="E6646">
        <v>0.39103019999999999</v>
      </c>
      <c r="F6646" t="s">
        <v>41</v>
      </c>
      <c r="G6646">
        <v>-299.9708</v>
      </c>
      <c r="H6646">
        <v>1.060214</v>
      </c>
      <c r="I6646">
        <v>-39.505249999999997</v>
      </c>
      <c r="J6646">
        <v>-300.5548</v>
      </c>
      <c r="K6646">
        <v>1.1143339999999999</v>
      </c>
      <c r="L6646">
        <v>-39.07544</v>
      </c>
      <c r="M6646">
        <v>0.2080939</v>
      </c>
      <c r="N6646">
        <v>-9.0789949999999994E-3</v>
      </c>
      <c r="O6646">
        <v>-0.97806669999999996</v>
      </c>
      <c r="P6646">
        <v>0.4653677</v>
      </c>
      <c r="Q6646">
        <v>0.35250169999999997</v>
      </c>
      <c r="R6646">
        <v>-0.81189630000000002</v>
      </c>
      <c r="S6646">
        <v>2.3436279999999998</v>
      </c>
      <c r="T6646">
        <v>-0.19775239999999999</v>
      </c>
      <c r="U6646">
        <v>-2.4462280000000001</v>
      </c>
      <c r="V6646">
        <v>-0.2898578</v>
      </c>
      <c r="W6646">
        <v>0.35765970000000002</v>
      </c>
      <c r="X6646">
        <v>0.88772859999999998</v>
      </c>
      <c r="Y6646">
        <v>-0.52531190000000005</v>
      </c>
      <c r="Z6646">
        <v>5.2115370000000001E-2</v>
      </c>
      <c r="AA6646">
        <v>0.84931229999999902</v>
      </c>
      <c r="AB6646">
        <v>25</v>
      </c>
      <c r="AC6646">
        <v>0.58400000000000296</v>
      </c>
      <c r="AD6646">
        <v>-5.4119999999999897E-2</v>
      </c>
      <c r="AE6646">
        <v>-0.42980999999999597</v>
      </c>
      <c r="AF6646">
        <v>-0.47910110213908602</v>
      </c>
      <c r="AG6646">
        <v>-5.4119999999999897E-2</v>
      </c>
      <c r="AH6646">
        <v>0.53892987346743804</v>
      </c>
      <c r="AI6646">
        <v>94.292124211737004</v>
      </c>
      <c r="AJ6646">
        <v>131.63664676901701</v>
      </c>
      <c r="AK6646">
        <v>0.72312671710186205</v>
      </c>
      <c r="AL6646">
        <v>69.0434612252118</v>
      </c>
      <c r="AM6646">
        <v>108.082700982532</v>
      </c>
      <c r="AN6646">
        <v>1.0000000362414401</v>
      </c>
    </row>
    <row r="6647" spans="1:40" x14ac:dyDescent="0.25">
      <c r="A6647" t="str">
        <f>"20190304164254822"</f>
        <v>20190304164254822</v>
      </c>
      <c r="B6647" t="str">
        <f>"1551688974817545"</f>
        <v>1551688974817545</v>
      </c>
      <c r="C6647" t="s">
        <v>40</v>
      </c>
      <c r="D6647">
        <v>4.3579679999999996</v>
      </c>
      <c r="E6647">
        <v>0.39203070000000001</v>
      </c>
      <c r="F6647" t="s">
        <v>41</v>
      </c>
      <c r="G6647">
        <v>-299.9271</v>
      </c>
      <c r="H6647">
        <v>1.0606610000000001</v>
      </c>
      <c r="I6647">
        <v>-39.723010000000002</v>
      </c>
      <c r="J6647">
        <v>-300.49329999999998</v>
      </c>
      <c r="K6647">
        <v>1.114463</v>
      </c>
      <c r="L6647">
        <v>-39.33005</v>
      </c>
      <c r="M6647">
        <v>0.21465600000000001</v>
      </c>
      <c r="N6647">
        <v>-9.0651440000000007E-3</v>
      </c>
      <c r="O6647">
        <v>-0.97664770000000001</v>
      </c>
      <c r="P6647">
        <v>0.4715703</v>
      </c>
      <c r="Q6647">
        <v>0.35265180000000002</v>
      </c>
      <c r="R6647">
        <v>-0.80824430000000003</v>
      </c>
      <c r="S6647">
        <v>2.356995</v>
      </c>
      <c r="T6647">
        <v>-0.2015364</v>
      </c>
      <c r="U6647">
        <v>-2.4315799999999999</v>
      </c>
      <c r="V6647">
        <v>-0.29083239999999999</v>
      </c>
      <c r="W6647">
        <v>0.35768870000000003</v>
      </c>
      <c r="X6647">
        <v>0.88739809999999997</v>
      </c>
      <c r="Y6647">
        <v>-0.52451700000000001</v>
      </c>
      <c r="Z6647">
        <v>5.3353449999999997E-2</v>
      </c>
      <c r="AA6647">
        <v>0.8497266</v>
      </c>
      <c r="AB6647">
        <v>25</v>
      </c>
      <c r="AC6647">
        <v>0.56619999999998005</v>
      </c>
      <c r="AD6647">
        <v>-5.3801999999999899E-2</v>
      </c>
      <c r="AE6647">
        <v>-0.39295999999999498</v>
      </c>
      <c r="AF6647">
        <v>-0.46580730287296701</v>
      </c>
      <c r="AG6647">
        <v>-5.3801999999999899E-2</v>
      </c>
      <c r="AH6647">
        <v>0.502281535814735</v>
      </c>
      <c r="AI6647">
        <v>94.490784399394101</v>
      </c>
      <c r="AJ6647">
        <v>132.842314136243</v>
      </c>
      <c r="AK6647">
        <v>0.68713742427130098</v>
      </c>
      <c r="AL6647">
        <v>69.041682011938903</v>
      </c>
      <c r="AM6647">
        <v>108.14583818434799</v>
      </c>
      <c r="AN6647">
        <v>1.00000003944052</v>
      </c>
    </row>
    <row r="6648" spans="1:40" x14ac:dyDescent="0.25">
      <c r="A6648" t="str">
        <f>"20190304164254844"</f>
        <v>20190304164254844</v>
      </c>
      <c r="B6648" t="str">
        <f>"1551688974838041"</f>
        <v>1551688974838041</v>
      </c>
      <c r="C6648" t="s">
        <v>40</v>
      </c>
      <c r="D6648">
        <v>4.3252540000000002</v>
      </c>
      <c r="E6648">
        <v>0.39262000000000002</v>
      </c>
      <c r="F6648" t="s">
        <v>41</v>
      </c>
      <c r="G6648">
        <v>-299.89030000000002</v>
      </c>
      <c r="H6648">
        <v>1.063361</v>
      </c>
      <c r="I6648">
        <v>-39.944760000000002</v>
      </c>
      <c r="J6648">
        <v>-300.43119999999999</v>
      </c>
      <c r="K6648">
        <v>1.1146039999999999</v>
      </c>
      <c r="L6648">
        <v>-39.577849999999998</v>
      </c>
      <c r="M6648">
        <v>0.2212451</v>
      </c>
      <c r="N6648">
        <v>-9.058244E-3</v>
      </c>
      <c r="O6648">
        <v>-0.97517619999999905</v>
      </c>
      <c r="P6648">
        <v>0.47797289999999998</v>
      </c>
      <c r="Q6648">
        <v>0.35285650000000002</v>
      </c>
      <c r="R6648">
        <v>-0.80438449999999995</v>
      </c>
      <c r="S6648">
        <v>2.3707280000000002</v>
      </c>
      <c r="T6648">
        <v>-0.20087679999999999</v>
      </c>
      <c r="U6648">
        <v>-2.4161679999999999</v>
      </c>
      <c r="V6648">
        <v>-0.29203810000000002</v>
      </c>
      <c r="W6648">
        <v>0.35776930000000001</v>
      </c>
      <c r="X6648">
        <v>0.88696949999999997</v>
      </c>
      <c r="Y6648">
        <v>-0.52394529999999995</v>
      </c>
      <c r="Z6648">
        <v>5.323315E-2</v>
      </c>
      <c r="AA6648">
        <v>0.85008680000000003</v>
      </c>
      <c r="AB6648">
        <v>25</v>
      </c>
      <c r="AC6648">
        <v>0.54089999999996496</v>
      </c>
      <c r="AD6648">
        <v>-5.1243000000000101E-2</v>
      </c>
      <c r="AE6648">
        <v>-0.36690999999999702</v>
      </c>
      <c r="AF6648">
        <v>-0.44358746279754202</v>
      </c>
      <c r="AG6648">
        <v>-5.1243000000000101E-2</v>
      </c>
      <c r="AH6648">
        <v>0.47457587159583298</v>
      </c>
      <c r="AI6648">
        <v>94.510312598901805</v>
      </c>
      <c r="AJ6648">
        <v>133.06697645445601</v>
      </c>
      <c r="AK6648">
        <v>0.651627148069435</v>
      </c>
      <c r="AL6648">
        <v>69.036736049446205</v>
      </c>
      <c r="AM6648">
        <v>108.22432722068601</v>
      </c>
      <c r="AN6648">
        <v>1.0000000089021699</v>
      </c>
    </row>
    <row r="6649" spans="1:40" x14ac:dyDescent="0.25">
      <c r="A6649" t="str">
        <f>"20190304164254866"</f>
        <v>20190304164254866</v>
      </c>
      <c r="B6649" t="str">
        <f>"1551688974857561"</f>
        <v>1551688974857561</v>
      </c>
      <c r="C6649" t="s">
        <v>40</v>
      </c>
      <c r="D6649">
        <v>4.3086060000000002</v>
      </c>
      <c r="E6649">
        <v>0.39330929999999997</v>
      </c>
      <c r="F6649" t="s">
        <v>41</v>
      </c>
      <c r="G6649">
        <v>-299.68439999999998</v>
      </c>
      <c r="H6649">
        <v>1.051839</v>
      </c>
      <c r="I6649">
        <v>-40.32891</v>
      </c>
      <c r="J6649">
        <v>-300.3698</v>
      </c>
      <c r="K6649">
        <v>1.1147419999999999</v>
      </c>
      <c r="L6649">
        <v>-39.816070000000003</v>
      </c>
      <c r="M6649">
        <v>0.22776080000000001</v>
      </c>
      <c r="N6649">
        <v>-9.0566329999999997E-3</v>
      </c>
      <c r="O6649">
        <v>-0.97367499999999996</v>
      </c>
      <c r="P6649">
        <v>0.48408240000000002</v>
      </c>
      <c r="Q6649">
        <v>0.35303479999999998</v>
      </c>
      <c r="R6649">
        <v>-0.80064369999999996</v>
      </c>
      <c r="S6649">
        <v>2.3863829999999999</v>
      </c>
      <c r="T6649">
        <v>-0.20053180000000001</v>
      </c>
      <c r="U6649">
        <v>-2.3995060000000001</v>
      </c>
      <c r="V6649">
        <v>-0.29300799999999999</v>
      </c>
      <c r="W6649">
        <v>0.3578307</v>
      </c>
      <c r="X6649">
        <v>0.88662479999999999</v>
      </c>
      <c r="Y6649">
        <v>-0.52399379999999995</v>
      </c>
      <c r="Z6649">
        <v>5.3195979999999997E-2</v>
      </c>
      <c r="AA6649">
        <v>0.85005919999999902</v>
      </c>
      <c r="AB6649">
        <v>25</v>
      </c>
      <c r="AC6649">
        <v>0.685400000000015</v>
      </c>
      <c r="AD6649">
        <v>-6.2902999999999903E-2</v>
      </c>
      <c r="AE6649">
        <v>-0.51283999999999696</v>
      </c>
      <c r="AF6649">
        <v>-0.547617598591157</v>
      </c>
      <c r="AG6649">
        <v>-6.2902999999999903E-2</v>
      </c>
      <c r="AH6649">
        <v>0.65195326106305096</v>
      </c>
      <c r="AI6649">
        <v>94.225306690373998</v>
      </c>
      <c r="AJ6649">
        <v>130.02906689623299</v>
      </c>
      <c r="AK6649">
        <v>0.85374754834581601</v>
      </c>
      <c r="AL6649">
        <v>69.032968859011902</v>
      </c>
      <c r="AM6649">
        <v>108.287468246275</v>
      </c>
      <c r="AN6649">
        <v>1.0000000169507599</v>
      </c>
    </row>
    <row r="6650" spans="1:40" x14ac:dyDescent="0.25">
      <c r="A6650" t="str">
        <f>"20190304164254888"</f>
        <v>20190304164254888</v>
      </c>
      <c r="B6650" t="str">
        <f>"1551688974877591"</f>
        <v>1551688974877591</v>
      </c>
      <c r="C6650" t="s">
        <v>40</v>
      </c>
      <c r="D6650">
        <v>4.3036839999999996</v>
      </c>
      <c r="E6650">
        <v>0.39357999999999999</v>
      </c>
      <c r="F6650" t="s">
        <v>41</v>
      </c>
      <c r="G6650">
        <v>-299.63470000000001</v>
      </c>
      <c r="H6650">
        <v>1.0534680000000001</v>
      </c>
      <c r="I6650">
        <v>-40.546439999999997</v>
      </c>
      <c r="J6650">
        <v>-300.30869999999999</v>
      </c>
      <c r="K6650">
        <v>1.1148629999999999</v>
      </c>
      <c r="L6650">
        <v>-40.045900000000003</v>
      </c>
      <c r="M6650">
        <v>0.2341946</v>
      </c>
      <c r="N6650">
        <v>-9.0579630000000005E-3</v>
      </c>
      <c r="O6650">
        <v>-0.97214769999999995</v>
      </c>
      <c r="P6650">
        <v>0.48998969999999997</v>
      </c>
      <c r="Q6650">
        <v>0.35268149999999998</v>
      </c>
      <c r="R6650">
        <v>-0.79719910000000005</v>
      </c>
      <c r="S6650">
        <v>2.3997190000000002</v>
      </c>
      <c r="T6650">
        <v>-0.20002880000000001</v>
      </c>
      <c r="U6650">
        <v>-2.3842469999999998</v>
      </c>
      <c r="V6650">
        <v>-0.29377700000000001</v>
      </c>
      <c r="W6650">
        <v>0.357377</v>
      </c>
      <c r="X6650">
        <v>0.88655329999999999</v>
      </c>
      <c r="Y6650">
        <v>-0.52344880000000005</v>
      </c>
      <c r="Z6650">
        <v>5.3107939999999999E-2</v>
      </c>
      <c r="AA6650">
        <v>0.850400499999999</v>
      </c>
      <c r="AB6650">
        <v>25</v>
      </c>
      <c r="AC6650">
        <v>0.67399999999997795</v>
      </c>
      <c r="AD6650">
        <v>-6.1394999999999797E-2</v>
      </c>
      <c r="AE6650">
        <v>-0.50053999999999998</v>
      </c>
      <c r="AF6650">
        <v>-0.53516372705466597</v>
      </c>
      <c r="AG6650">
        <v>-6.1394999999999797E-2</v>
      </c>
      <c r="AH6650">
        <v>0.64104401692486801</v>
      </c>
      <c r="AI6650">
        <v>94.204878043550096</v>
      </c>
      <c r="AJ6650">
        <v>129.85619205495701</v>
      </c>
      <c r="AK6650">
        <v>0.83732131969466295</v>
      </c>
      <c r="AL6650">
        <v>69.060804264190395</v>
      </c>
      <c r="AM6650">
        <v>108.333637893437</v>
      </c>
      <c r="AN6650">
        <v>0.99999999979944498</v>
      </c>
    </row>
    <row r="6651" spans="1:40" x14ac:dyDescent="0.25">
      <c r="A6651" t="str">
        <f>"20190304164254909"</f>
        <v>20190304164254909</v>
      </c>
      <c r="B6651" t="str">
        <f>"1551688974898088"</f>
        <v>1551688974898088</v>
      </c>
      <c r="C6651" t="s">
        <v>40</v>
      </c>
      <c r="D6651">
        <v>4.2855629999999998</v>
      </c>
      <c r="E6651">
        <v>0.40293220000000002</v>
      </c>
      <c r="F6651" t="s">
        <v>41</v>
      </c>
      <c r="G6651">
        <v>-299.57859999999999</v>
      </c>
      <c r="H6651">
        <v>1.0540689999999999</v>
      </c>
      <c r="I6651">
        <v>-40.761659999999999</v>
      </c>
      <c r="J6651">
        <v>-300.24279999999999</v>
      </c>
      <c r="K6651">
        <v>1.1149880000000001</v>
      </c>
      <c r="L6651">
        <v>-40.28687</v>
      </c>
      <c r="M6651">
        <v>0.24110200000000001</v>
      </c>
      <c r="N6651">
        <v>-9.0616059999999998E-3</v>
      </c>
      <c r="O6651">
        <v>-0.97045760000000003</v>
      </c>
      <c r="P6651">
        <v>0.495946</v>
      </c>
      <c r="Q6651">
        <v>0.35195900000000002</v>
      </c>
      <c r="R6651">
        <v>-0.79382779999999997</v>
      </c>
      <c r="S6651">
        <v>2.415222</v>
      </c>
      <c r="T6651">
        <v>-0.20109550000000001</v>
      </c>
      <c r="U6651">
        <v>-2.367645</v>
      </c>
      <c r="V6651">
        <v>-0.29414129999999999</v>
      </c>
      <c r="W6651">
        <v>0.35656270000000001</v>
      </c>
      <c r="X6651">
        <v>0.886760399999999</v>
      </c>
      <c r="Y6651">
        <v>-0.52308650000000001</v>
      </c>
      <c r="Z6651">
        <v>5.3487060000000003E-2</v>
      </c>
      <c r="AA6651">
        <v>0.85059949999999995</v>
      </c>
      <c r="AB6651">
        <v>25</v>
      </c>
      <c r="AC6651">
        <v>0.66419999999999302</v>
      </c>
      <c r="AD6651">
        <v>-6.0918999999999703E-2</v>
      </c>
      <c r="AE6651">
        <v>-0.47478999999999799</v>
      </c>
      <c r="AF6651">
        <v>-0.52719175974704402</v>
      </c>
      <c r="AG6651">
        <v>-6.0918999999999703E-2</v>
      </c>
      <c r="AH6651">
        <v>0.61749114155360896</v>
      </c>
      <c r="AI6651">
        <v>94.290867538700496</v>
      </c>
      <c r="AJ6651">
        <v>130.48950958947799</v>
      </c>
      <c r="AK6651">
        <v>0.81420979237747104</v>
      </c>
      <c r="AL6651">
        <v>69.110751683169894</v>
      </c>
      <c r="AM6651">
        <v>108.350850164241</v>
      </c>
      <c r="AN6651">
        <v>1.00000003520256</v>
      </c>
    </row>
    <row r="6652" spans="1:40" x14ac:dyDescent="0.25">
      <c r="A6652" t="str">
        <f>"20190304164254934"</f>
        <v>20190304164254934</v>
      </c>
      <c r="B6652" t="str">
        <f>"1551688974927367"</f>
        <v>1551688974927367</v>
      </c>
      <c r="C6652" t="s">
        <v>40</v>
      </c>
      <c r="D6652">
        <v>4.2723409999999999</v>
      </c>
      <c r="E6652">
        <v>0.40368769999999998</v>
      </c>
      <c r="F6652" t="s">
        <v>41</v>
      </c>
      <c r="G6652">
        <v>-299.54640000000001</v>
      </c>
      <c r="H6652">
        <v>1.0538689999999999</v>
      </c>
      <c r="I6652">
        <v>-40.98948</v>
      </c>
      <c r="J6652">
        <v>-300.1705</v>
      </c>
      <c r="K6652">
        <v>1.1151260000000001</v>
      </c>
      <c r="L6652">
        <v>-40.542879999999997</v>
      </c>
      <c r="M6652">
        <v>0.24863209999999999</v>
      </c>
      <c r="N6652">
        <v>-9.0689140000000008E-3</v>
      </c>
      <c r="O6652">
        <v>-0.96855550000000001</v>
      </c>
      <c r="P6652">
        <v>0.50276299999999996</v>
      </c>
      <c r="Q6652">
        <v>0.35151759999999999</v>
      </c>
      <c r="R6652">
        <v>-0.78972430000000005</v>
      </c>
      <c r="S6652">
        <v>2.36972</v>
      </c>
      <c r="T6652">
        <v>-0.20798459999999999</v>
      </c>
      <c r="U6652">
        <v>-2.3908689999999999</v>
      </c>
      <c r="V6652">
        <v>-0.29496070000000002</v>
      </c>
      <c r="W6652">
        <v>0.3560178</v>
      </c>
      <c r="X6652">
        <v>0.88670709999999997</v>
      </c>
      <c r="Y6652">
        <v>-0.50401609999999997</v>
      </c>
      <c r="Z6652">
        <v>5.5726070000000003E-2</v>
      </c>
      <c r="AA6652">
        <v>0.86189459999999996</v>
      </c>
      <c r="AB6652">
        <v>25</v>
      </c>
      <c r="AC6652">
        <v>0.62409999999999799</v>
      </c>
      <c r="AD6652">
        <v>-6.1257000000000103E-2</v>
      </c>
      <c r="AE6652">
        <v>-0.44660000000000299</v>
      </c>
      <c r="AF6652">
        <v>-0.49033262394235</v>
      </c>
      <c r="AG6652">
        <v>-6.1257000000000103E-2</v>
      </c>
      <c r="AH6652">
        <v>0.58403130671639802</v>
      </c>
      <c r="AI6652">
        <v>94.592667419146295</v>
      </c>
      <c r="AJ6652">
        <v>130.01566516031099</v>
      </c>
      <c r="AK6652">
        <v>0.76503011011074196</v>
      </c>
      <c r="AL6652">
        <v>69.144163783358394</v>
      </c>
      <c r="AM6652">
        <v>108.39956409102</v>
      </c>
      <c r="AN6652">
        <v>0.99999998482586905</v>
      </c>
    </row>
    <row r="6653" spans="1:40" x14ac:dyDescent="0.25">
      <c r="A6653" t="str">
        <f>"20190304164254954"</f>
        <v>20190304164254954</v>
      </c>
      <c r="B6653" t="str">
        <f>"1551688974947864"</f>
        <v>1551688974947864</v>
      </c>
      <c r="C6653" t="s">
        <v>40</v>
      </c>
      <c r="D6653">
        <v>4.2690149999999996</v>
      </c>
      <c r="E6653">
        <v>0.40407480000000001</v>
      </c>
      <c r="F6653" t="s">
        <v>41</v>
      </c>
      <c r="G6653">
        <v>-299.49959999999999</v>
      </c>
      <c r="H6653">
        <v>1.054127</v>
      </c>
      <c r="I6653">
        <v>-41.211179999999999</v>
      </c>
      <c r="J6653">
        <v>-300.10289999999998</v>
      </c>
      <c r="K6653">
        <v>1.115256</v>
      </c>
      <c r="L6653">
        <v>-40.775120000000001</v>
      </c>
      <c r="M6653">
        <v>0.25564379999999998</v>
      </c>
      <c r="N6653">
        <v>-9.0797440000000007E-3</v>
      </c>
      <c r="O6653">
        <v>-0.96672860000000005</v>
      </c>
      <c r="P6653">
        <v>0.50943859999999996</v>
      </c>
      <c r="Q6653">
        <v>0.35188059999999899</v>
      </c>
      <c r="R6653">
        <v>-0.78527269999999905</v>
      </c>
      <c r="S6653">
        <v>2.386139</v>
      </c>
      <c r="T6653">
        <v>-0.2169073</v>
      </c>
      <c r="U6653">
        <v>-2.3762509999999999</v>
      </c>
      <c r="V6653">
        <v>-0.29621910000000001</v>
      </c>
      <c r="W6653">
        <v>0.35627360000000002</v>
      </c>
      <c r="X6653">
        <v>0.88618479999999999</v>
      </c>
      <c r="Y6653">
        <v>-0.50326309999999996</v>
      </c>
      <c r="Z6653">
        <v>5.8453379999999999E-2</v>
      </c>
      <c r="AA6653">
        <v>0.86215399999999998</v>
      </c>
      <c r="AB6653">
        <v>25</v>
      </c>
      <c r="AC6653">
        <v>0.60329999999998996</v>
      </c>
      <c r="AD6653">
        <v>-6.1128999999999899E-2</v>
      </c>
      <c r="AE6653">
        <v>-0.43605999999999701</v>
      </c>
      <c r="AF6653">
        <v>-0.46861056734244799</v>
      </c>
      <c r="AG6653">
        <v>-6.1128999999999899E-2</v>
      </c>
      <c r="AH6653">
        <v>0.57194821785417005</v>
      </c>
      <c r="AI6653">
        <v>94.726075613858697</v>
      </c>
      <c r="AJ6653">
        <v>129.328565411265</v>
      </c>
      <c r="AK6653">
        <v>0.74192815175903104</v>
      </c>
      <c r="AL6653">
        <v>69.128480868161802</v>
      </c>
      <c r="AM6653">
        <v>108.48289286390499</v>
      </c>
      <c r="AN6653">
        <v>1.0000000665063999</v>
      </c>
    </row>
    <row r="6654" spans="1:40" x14ac:dyDescent="0.25">
      <c r="A6654" t="str">
        <f>"20190304164254977"</f>
        <v>20190304164254977</v>
      </c>
      <c r="B6654" t="str">
        <f>"1551688974967890"</f>
        <v>1551688974967890</v>
      </c>
      <c r="C6654" t="s">
        <v>40</v>
      </c>
      <c r="D6654">
        <v>4.260923</v>
      </c>
      <c r="E6654">
        <v>0.41017989999999999</v>
      </c>
      <c r="F6654" t="s">
        <v>41</v>
      </c>
      <c r="G6654">
        <v>-299.43900000000002</v>
      </c>
      <c r="H6654">
        <v>1.0553760000000001</v>
      </c>
      <c r="I6654">
        <v>-41.426819999999999</v>
      </c>
      <c r="J6654">
        <v>-300.03089999999997</v>
      </c>
      <c r="K6654">
        <v>1.1153979999999999</v>
      </c>
      <c r="L6654">
        <v>-41.015590000000003</v>
      </c>
      <c r="M6654">
        <v>0.26309060000000001</v>
      </c>
      <c r="N6654">
        <v>-9.0951450000000007E-3</v>
      </c>
      <c r="O6654">
        <v>-0.96472840000000004</v>
      </c>
      <c r="P6654">
        <v>0.51687340000000004</v>
      </c>
      <c r="Q6654">
        <v>0.35210619999999998</v>
      </c>
      <c r="R6654">
        <v>-0.78029700000000002</v>
      </c>
      <c r="S6654">
        <v>2.4028930000000002</v>
      </c>
      <c r="T6654">
        <v>-0.21671609999999999</v>
      </c>
      <c r="U6654">
        <v>-2.3585820000000002</v>
      </c>
      <c r="V6654">
        <v>-0.29796889999999998</v>
      </c>
      <c r="W6654">
        <v>0.35637649999999998</v>
      </c>
      <c r="X6654">
        <v>0.88555649999999997</v>
      </c>
      <c r="Y6654">
        <v>-0.50283829999999996</v>
      </c>
      <c r="Z6654">
        <v>5.8423509999999998E-2</v>
      </c>
      <c r="AA6654">
        <v>0.86240380000000005</v>
      </c>
      <c r="AB6654">
        <v>25</v>
      </c>
      <c r="AC6654">
        <v>0.59189999999995202</v>
      </c>
      <c r="AD6654">
        <v>-6.0021999999999798E-2</v>
      </c>
      <c r="AE6654">
        <v>-0.41122999999999599</v>
      </c>
      <c r="AF6654">
        <v>-0.45966312001926701</v>
      </c>
      <c r="AG6654">
        <v>-6.0021999999999798E-2</v>
      </c>
      <c r="AH6654">
        <v>0.54866613550279697</v>
      </c>
      <c r="AI6654">
        <v>94.793420761081094</v>
      </c>
      <c r="AJ6654">
        <v>129.95570028656601</v>
      </c>
      <c r="AK6654">
        <v>0.71828083131698595</v>
      </c>
      <c r="AL6654">
        <v>69.122169399028195</v>
      </c>
      <c r="AM6654">
        <v>108.596873864019</v>
      </c>
      <c r="AN6654">
        <v>0.99999999490585501</v>
      </c>
    </row>
    <row r="6655" spans="1:40" x14ac:dyDescent="0.25">
      <c r="A6655" t="str">
        <f>"20190304164254999"</f>
        <v>20190304164254999</v>
      </c>
      <c r="B6655" t="str">
        <f>"1551688974987411"</f>
        <v>1551688974987411</v>
      </c>
      <c r="C6655" t="s">
        <v>40</v>
      </c>
      <c r="D6655">
        <v>4.2463600000000001</v>
      </c>
      <c r="E6655">
        <v>0.41045870000000001</v>
      </c>
      <c r="F6655" t="s">
        <v>41</v>
      </c>
      <c r="G6655">
        <v>-299.39190000000002</v>
      </c>
      <c r="H6655">
        <v>1.0509580000000001</v>
      </c>
      <c r="I6655">
        <v>-41.650289999999998</v>
      </c>
      <c r="J6655">
        <v>-299.95670000000001</v>
      </c>
      <c r="K6655">
        <v>1.115553</v>
      </c>
      <c r="L6655">
        <v>-41.255710000000001</v>
      </c>
      <c r="M6655">
        <v>0.27072210000000002</v>
      </c>
      <c r="N6655">
        <v>-9.1139840000000003E-3</v>
      </c>
      <c r="O6655">
        <v>-0.96261439999999998</v>
      </c>
      <c r="P6655">
        <v>0.52391379999999999</v>
      </c>
      <c r="Q6655">
        <v>0.35159990000000002</v>
      </c>
      <c r="R6655">
        <v>-0.77581719999999998</v>
      </c>
      <c r="S6655">
        <v>2.387848</v>
      </c>
      <c r="T6655">
        <v>-0.24080560000000001</v>
      </c>
      <c r="U6655">
        <v>-2.371613</v>
      </c>
      <c r="V6655">
        <v>-0.29904709999999901</v>
      </c>
      <c r="W6655">
        <v>0.35575449999999997</v>
      </c>
      <c r="X6655">
        <v>0.88544319999999899</v>
      </c>
      <c r="Y6655">
        <v>-0.49052970000000001</v>
      </c>
      <c r="Z6655">
        <v>6.5676490000000004E-2</v>
      </c>
      <c r="AA6655">
        <v>0.86894609999999906</v>
      </c>
      <c r="AB6655">
        <v>26</v>
      </c>
      <c r="AC6655">
        <v>0.56479999999999098</v>
      </c>
      <c r="AD6655">
        <v>-6.4594999999999902E-2</v>
      </c>
      <c r="AE6655">
        <v>-0.39458000000000398</v>
      </c>
      <c r="AF6655">
        <v>-0.433074535594624</v>
      </c>
      <c r="AG6655">
        <v>-6.4594999999999902E-2</v>
      </c>
      <c r="AH6655">
        <v>0.52811228712328195</v>
      </c>
      <c r="AI6655">
        <v>95.402890655551502</v>
      </c>
      <c r="AJ6655">
        <v>129.35320962731899</v>
      </c>
      <c r="AK6655">
        <v>0.68602380076502001</v>
      </c>
      <c r="AL6655">
        <v>69.1603079886995</v>
      </c>
      <c r="AM6655">
        <v>108.661738273458</v>
      </c>
      <c r="AN6655">
        <v>1.0000000463574401</v>
      </c>
    </row>
    <row r="6656" spans="1:40" x14ac:dyDescent="0.25">
      <c r="A6656" t="str">
        <f>"20190304164255023"</f>
        <v>20190304164255023</v>
      </c>
      <c r="B6656" t="str">
        <f>"1551688975017666"</f>
        <v>1551688975017666</v>
      </c>
      <c r="C6656" t="s">
        <v>40</v>
      </c>
      <c r="D6656">
        <v>4.2595349999999996</v>
      </c>
      <c r="E6656">
        <v>0.40554190000000001</v>
      </c>
      <c r="F6656" t="s">
        <v>41</v>
      </c>
      <c r="G6656">
        <v>-299.33049999999997</v>
      </c>
      <c r="H6656">
        <v>1.052475</v>
      </c>
      <c r="I6656">
        <v>-41.867310000000003</v>
      </c>
      <c r="J6656">
        <v>-299.87720000000002</v>
      </c>
      <c r="K6656">
        <v>1.1157319999999999</v>
      </c>
      <c r="L6656">
        <v>-41.505099999999999</v>
      </c>
      <c r="M6656">
        <v>0.2788619</v>
      </c>
      <c r="N6656">
        <v>-9.1362530000000004E-3</v>
      </c>
      <c r="O6656">
        <v>-0.96028789999999997</v>
      </c>
      <c r="P6656">
        <v>0.5310549</v>
      </c>
      <c r="Q6656">
        <v>0.35204800000000003</v>
      </c>
      <c r="R6656">
        <v>-0.77074200000000004</v>
      </c>
      <c r="S6656">
        <v>2.4073180000000001</v>
      </c>
      <c r="T6656">
        <v>-0.24248919999999999</v>
      </c>
      <c r="U6656">
        <v>-2.351105</v>
      </c>
      <c r="V6656">
        <v>-0.29994569999999998</v>
      </c>
      <c r="W6656">
        <v>0.3560798</v>
      </c>
      <c r="X6656">
        <v>0.88500840000000003</v>
      </c>
      <c r="Y6656">
        <v>-0.49043130000000001</v>
      </c>
      <c r="Z6656">
        <v>6.6207879999999997E-2</v>
      </c>
      <c r="AA6656">
        <v>0.86896130000000005</v>
      </c>
      <c r="AB6656">
        <v>26</v>
      </c>
      <c r="AC6656">
        <v>0.54670000000004304</v>
      </c>
      <c r="AD6656">
        <v>-6.3256999999999897E-2</v>
      </c>
      <c r="AE6656">
        <v>-0.36220999999999698</v>
      </c>
      <c r="AF6656">
        <v>-0.42009191597128798</v>
      </c>
      <c r="AG6656">
        <v>-6.3256999999999897E-2</v>
      </c>
      <c r="AH6656">
        <v>0.495688591035576</v>
      </c>
      <c r="AI6656">
        <v>95.560497649139606</v>
      </c>
      <c r="AJ6656">
        <v>130.28099585625799</v>
      </c>
      <c r="AK6656">
        <v>0.65282910872315003</v>
      </c>
      <c r="AL6656">
        <v>69.140363911946096</v>
      </c>
      <c r="AM6656">
        <v>108.72246935109</v>
      </c>
      <c r="AN6656">
        <v>1.0000000574935399</v>
      </c>
    </row>
    <row r="6657" spans="1:40" x14ac:dyDescent="0.25">
      <c r="A6657" t="str">
        <f>"20190304164255044"</f>
        <v>20190304164255044</v>
      </c>
      <c r="B6657" t="str">
        <f>"1551688975038162"</f>
        <v>1551688975038162</v>
      </c>
      <c r="C6657" t="s">
        <v>40</v>
      </c>
      <c r="D6657">
        <v>4.2478069999999999</v>
      </c>
      <c r="E6657">
        <v>0.4077711</v>
      </c>
      <c r="F6657" t="s">
        <v>41</v>
      </c>
      <c r="G6657">
        <v>-299.08940000000001</v>
      </c>
      <c r="H6657">
        <v>1.0583209999999901</v>
      </c>
      <c r="I6657">
        <v>-42.239570000000001</v>
      </c>
      <c r="J6657">
        <v>-299.79790000000003</v>
      </c>
      <c r="K6657">
        <v>1.1159030000000001</v>
      </c>
      <c r="L6657">
        <v>-41.745570000000001</v>
      </c>
      <c r="M6657">
        <v>0.28693180000000001</v>
      </c>
      <c r="N6657">
        <v>-9.1599690000000004E-3</v>
      </c>
      <c r="O6657">
        <v>-0.95790739999999996</v>
      </c>
      <c r="P6657">
        <v>0.53765669999999899</v>
      </c>
      <c r="Q6657">
        <v>0.35147600000000001</v>
      </c>
      <c r="R6657">
        <v>-0.76641389999999998</v>
      </c>
      <c r="S6657">
        <v>2.4509280000000002</v>
      </c>
      <c r="T6657">
        <v>-0.1786286</v>
      </c>
      <c r="U6657">
        <v>-2.2852169999999998</v>
      </c>
      <c r="V6657">
        <v>-0.3001665</v>
      </c>
      <c r="W6657">
        <v>0.35540549999999999</v>
      </c>
      <c r="X6657">
        <v>0.88520449999999995</v>
      </c>
      <c r="Y6657">
        <v>-0.50401819999999997</v>
      </c>
      <c r="Z6657">
        <v>4.7075829999999999E-2</v>
      </c>
      <c r="AA6657">
        <v>0.86240910000000004</v>
      </c>
      <c r="AB6657">
        <v>26</v>
      </c>
      <c r="AC6657">
        <v>0.70850000000001501</v>
      </c>
      <c r="AD6657">
        <v>-5.7582000000000202E-2</v>
      </c>
      <c r="AE6657">
        <v>-0.493999999999999</v>
      </c>
      <c r="AF6657">
        <v>-0.53457954008867603</v>
      </c>
      <c r="AG6657">
        <v>-5.7582000000000202E-2</v>
      </c>
      <c r="AH6657">
        <v>0.673532138609366</v>
      </c>
      <c r="AI6657">
        <v>93.831030825746197</v>
      </c>
      <c r="AJ6657">
        <v>128.43887890929801</v>
      </c>
      <c r="AK6657">
        <v>0.86182162489991299</v>
      </c>
      <c r="AL6657">
        <v>69.1817014637748</v>
      </c>
      <c r="AM6657">
        <v>108.731429320793</v>
      </c>
      <c r="AN6657">
        <v>1.00000000198637</v>
      </c>
    </row>
    <row r="6658" spans="1:40" x14ac:dyDescent="0.25">
      <c r="A6658" t="str">
        <f>"20190304164255067"</f>
        <v>20190304164255067</v>
      </c>
      <c r="B6658" t="str">
        <f>"1551688975057683"</f>
        <v>1551688975057683</v>
      </c>
      <c r="C6658" t="s">
        <v>40</v>
      </c>
      <c r="D6658">
        <v>4.2369070000000004</v>
      </c>
      <c r="E6658">
        <v>0.40779110000000002</v>
      </c>
      <c r="F6658" t="s">
        <v>41</v>
      </c>
      <c r="G6658">
        <v>-299.02820000000003</v>
      </c>
      <c r="H6658">
        <v>1.054195</v>
      </c>
      <c r="I6658">
        <v>-42.45834</v>
      </c>
      <c r="J6658">
        <v>-299.71429999999998</v>
      </c>
      <c r="K6658">
        <v>1.1160600000000001</v>
      </c>
      <c r="L6658">
        <v>-41.991549999999997</v>
      </c>
      <c r="M6658">
        <v>0.29535939999999999</v>
      </c>
      <c r="N6658">
        <v>-9.1836550000000006E-3</v>
      </c>
      <c r="O6658">
        <v>-0.95534240000000004</v>
      </c>
      <c r="P6658">
        <v>0.54493789999999998</v>
      </c>
      <c r="Q6658">
        <v>0.35106999999999999</v>
      </c>
      <c r="R6658">
        <v>-0.76144129999999999</v>
      </c>
      <c r="S6658">
        <v>2.4610289999999999</v>
      </c>
      <c r="T6658">
        <v>-0.19726569999999999</v>
      </c>
      <c r="U6658">
        <v>-2.2783509999999998</v>
      </c>
      <c r="V6658">
        <v>-0.30088090000000001</v>
      </c>
      <c r="W6658">
        <v>0.35489910000000002</v>
      </c>
      <c r="X6658">
        <v>0.88516519999999999</v>
      </c>
      <c r="Y6658">
        <v>-0.49924770000000002</v>
      </c>
      <c r="Z6658">
        <v>5.2711479999999998E-2</v>
      </c>
      <c r="AA6658">
        <v>0.86485449999999997</v>
      </c>
      <c r="AB6658">
        <v>26</v>
      </c>
      <c r="AC6658">
        <v>0.68609999999995297</v>
      </c>
      <c r="AD6658">
        <v>-6.1865000000000003E-2</v>
      </c>
      <c r="AE6658">
        <v>-0.46679000000000298</v>
      </c>
      <c r="AF6658">
        <v>-0.51475037136548496</v>
      </c>
      <c r="AG6658">
        <v>-6.1865000000000003E-2</v>
      </c>
      <c r="AH6658">
        <v>0.64503252435345304</v>
      </c>
      <c r="AI6658">
        <v>94.287176764370798</v>
      </c>
      <c r="AJ6658">
        <v>128.59064952218401</v>
      </c>
      <c r="AK6658">
        <v>0.82756400388108597</v>
      </c>
      <c r="AL6658">
        <v>69.212740707103606</v>
      </c>
      <c r="AM6658">
        <v>108.773665938533</v>
      </c>
      <c r="AN6658">
        <v>1.00000005922832</v>
      </c>
    </row>
    <row r="6659" spans="1:40" x14ac:dyDescent="0.25">
      <c r="A6659" t="str">
        <f>"20190304164255088"</f>
        <v>20190304164255088</v>
      </c>
      <c r="B6659" t="str">
        <f>"1551688975077708"</f>
        <v>1551688975077708</v>
      </c>
      <c r="C6659" t="s">
        <v>40</v>
      </c>
      <c r="D6659">
        <v>4.253387</v>
      </c>
      <c r="E6659">
        <v>0.40853109999999998</v>
      </c>
      <c r="F6659" t="s">
        <v>41</v>
      </c>
      <c r="G6659">
        <v>-298.96140000000003</v>
      </c>
      <c r="H6659">
        <v>1.05644</v>
      </c>
      <c r="I6659">
        <v>-42.675060000000002</v>
      </c>
      <c r="J6659">
        <v>-299.63569999999999</v>
      </c>
      <c r="K6659">
        <v>1.1161890000000001</v>
      </c>
      <c r="L6659">
        <v>-42.216279999999998</v>
      </c>
      <c r="M6659">
        <v>0.30320409999999998</v>
      </c>
      <c r="N6659">
        <v>-9.2043679999999992E-3</v>
      </c>
      <c r="O6659">
        <v>-0.95288139999999999</v>
      </c>
      <c r="P6659">
        <v>0.55247250000000003</v>
      </c>
      <c r="Q6659">
        <v>0.35176020000000002</v>
      </c>
      <c r="R6659">
        <v>-0.7556716</v>
      </c>
      <c r="S6659">
        <v>2.4823300000000001</v>
      </c>
      <c r="T6659">
        <v>-0.1966</v>
      </c>
      <c r="U6659">
        <v>-2.2540279999999999</v>
      </c>
      <c r="V6659">
        <v>-0.30261539999999998</v>
      </c>
      <c r="W6659">
        <v>0.355483099999999</v>
      </c>
      <c r="X6659">
        <v>0.88433919999999999</v>
      </c>
      <c r="Y6659">
        <v>-0.50046979999999996</v>
      </c>
      <c r="Z6659">
        <v>5.2538750000000002E-2</v>
      </c>
      <c r="AA6659">
        <v>0.86415830000000005</v>
      </c>
      <c r="AB6659">
        <v>26</v>
      </c>
      <c r="AC6659">
        <v>0.67429999999995904</v>
      </c>
      <c r="AD6659">
        <v>-5.9748999999999802E-2</v>
      </c>
      <c r="AE6659">
        <v>-0.45877999999999702</v>
      </c>
      <c r="AF6659">
        <v>-0.50075758481711796</v>
      </c>
      <c r="AG6659">
        <v>-5.9748999999999802E-2</v>
      </c>
      <c r="AH6659">
        <v>0.63821517156554797</v>
      </c>
      <c r="AI6659">
        <v>94.212418516327702</v>
      </c>
      <c r="AJ6659">
        <v>128.118506555056</v>
      </c>
      <c r="AK6659">
        <v>0.81341668717165805</v>
      </c>
      <c r="AL6659">
        <v>69.176946112861501</v>
      </c>
      <c r="AM6659">
        <v>108.89062904161401</v>
      </c>
      <c r="AN6659">
        <v>1.0000000676797001</v>
      </c>
    </row>
    <row r="6660" spans="1:40" x14ac:dyDescent="0.25">
      <c r="A6660" t="str">
        <f>"20190304164255111"</f>
        <v>20190304164255111</v>
      </c>
      <c r="B6660" t="str">
        <f>"1551688975107964"</f>
        <v>1551688975107964</v>
      </c>
      <c r="C6660" t="s">
        <v>40</v>
      </c>
      <c r="D6660">
        <v>4.2575500000000002</v>
      </c>
      <c r="E6660">
        <v>0.40963329999999998</v>
      </c>
      <c r="F6660" t="s">
        <v>41</v>
      </c>
      <c r="G6660">
        <v>-298.8854</v>
      </c>
      <c r="H6660">
        <v>1.057707</v>
      </c>
      <c r="I6660">
        <v>-42.88747</v>
      </c>
      <c r="J6660">
        <v>-299.54649999999998</v>
      </c>
      <c r="K6660">
        <v>1.1163190000000001</v>
      </c>
      <c r="L6660">
        <v>-42.463839999999998</v>
      </c>
      <c r="M6660">
        <v>0.31201139999999999</v>
      </c>
      <c r="N6660">
        <v>-9.2278159999999998E-3</v>
      </c>
      <c r="O6660">
        <v>-0.95003380000000004</v>
      </c>
      <c r="P6660">
        <v>0.56061909999999904</v>
      </c>
      <c r="Q6660">
        <v>0.35176800000000003</v>
      </c>
      <c r="R6660">
        <v>-0.74964379999999997</v>
      </c>
      <c r="S6660">
        <v>2.497833</v>
      </c>
      <c r="T6660">
        <v>-0.1946939</v>
      </c>
      <c r="U6660">
        <v>-2.2344360000000001</v>
      </c>
      <c r="V6660">
        <v>-0.30412099999999997</v>
      </c>
      <c r="W6660">
        <v>0.35538940000000002</v>
      </c>
      <c r="X6660">
        <v>0.88386019999999899</v>
      </c>
      <c r="Y6660">
        <v>-0.49891029999999997</v>
      </c>
      <c r="Z6660">
        <v>5.1961420000000001E-2</v>
      </c>
      <c r="AA6660">
        <v>0.86509449999999999</v>
      </c>
      <c r="AB6660">
        <v>26</v>
      </c>
      <c r="AC6660">
        <v>0.66109999999997604</v>
      </c>
      <c r="AD6660">
        <v>-5.8612000000000102E-2</v>
      </c>
      <c r="AE6660">
        <v>-0.42362999999999501</v>
      </c>
      <c r="AF6660">
        <v>-0.49316293222225799</v>
      </c>
      <c r="AG6660">
        <v>-5.8612000000000102E-2</v>
      </c>
      <c r="AH6660">
        <v>0.60538597632651903</v>
      </c>
      <c r="AI6660">
        <v>94.292761111642406</v>
      </c>
      <c r="AJ6660">
        <v>129.167142940986</v>
      </c>
      <c r="AK6660">
        <v>0.78303079415490995</v>
      </c>
      <c r="AL6660">
        <v>69.182688980422895</v>
      </c>
      <c r="AM6660">
        <v>108.987453691723</v>
      </c>
      <c r="AN6660">
        <v>1.00000003070869</v>
      </c>
    </row>
    <row r="6661" spans="1:40" x14ac:dyDescent="0.25">
      <c r="A6661" t="str">
        <f>"20190304164255134"</f>
        <v>20190304164255134</v>
      </c>
      <c r="B6661" t="str">
        <f>"1551688975127484"</f>
        <v>1551688975127484</v>
      </c>
      <c r="C6661" t="s">
        <v>40</v>
      </c>
      <c r="D6661">
        <v>4.3123670000000001</v>
      </c>
      <c r="E6661">
        <v>0.41065869999999999</v>
      </c>
      <c r="F6661" t="s">
        <v>41</v>
      </c>
      <c r="G6661">
        <v>-298.81810000000002</v>
      </c>
      <c r="H6661">
        <v>1.0582560000000001</v>
      </c>
      <c r="I6661">
        <v>-43.105820000000001</v>
      </c>
      <c r="J6661">
        <v>-299.45639999999997</v>
      </c>
      <c r="K6661">
        <v>1.1164339999999999</v>
      </c>
      <c r="L6661">
        <v>-42.706539999999997</v>
      </c>
      <c r="M6661">
        <v>0.32080110000000001</v>
      </c>
      <c r="N6661">
        <v>-9.2497880000000001E-3</v>
      </c>
      <c r="O6661">
        <v>-0.94710159999999999</v>
      </c>
      <c r="P6661">
        <v>0.5683262</v>
      </c>
      <c r="Q6661">
        <v>0.3510142</v>
      </c>
      <c r="R6661">
        <v>-0.74417369999999905</v>
      </c>
      <c r="S6661">
        <v>2.514221</v>
      </c>
      <c r="T6661">
        <v>-0.20040369999999999</v>
      </c>
      <c r="U6661">
        <v>-2.2156980000000002</v>
      </c>
      <c r="V6661">
        <v>-0.30503950000000002</v>
      </c>
      <c r="W6661">
        <v>0.35455009999999998</v>
      </c>
      <c r="X6661">
        <v>0.88388069999999896</v>
      </c>
      <c r="Y6661">
        <v>-0.49723440000000002</v>
      </c>
      <c r="Z6661">
        <v>5.3690639999999998E-2</v>
      </c>
      <c r="AA6661">
        <v>0.86595339999999998</v>
      </c>
      <c r="AB6661">
        <v>26</v>
      </c>
      <c r="AC6661">
        <v>0.63829999999995801</v>
      </c>
      <c r="AD6661">
        <v>-5.8178000000000001E-2</v>
      </c>
      <c r="AE6661">
        <v>-0.39927999999999703</v>
      </c>
      <c r="AF6661">
        <v>-0.47363769022628299</v>
      </c>
      <c r="AG6661">
        <v>-5.8178000000000001E-2</v>
      </c>
      <c r="AH6661">
        <v>0.57949075769549296</v>
      </c>
      <c r="AI6661">
        <v>94.444877625455604</v>
      </c>
      <c r="AJ6661">
        <v>129.260308360582</v>
      </c>
      <c r="AK6661">
        <v>0.75068427420679695</v>
      </c>
      <c r="AL6661">
        <v>69.2341260103899</v>
      </c>
      <c r="AM6661">
        <v>109.040265104515</v>
      </c>
      <c r="AN6661">
        <v>0.99999998090137399</v>
      </c>
    </row>
    <row r="6662" spans="1:40" x14ac:dyDescent="0.25">
      <c r="A6662" t="str">
        <f>"20190304164255155"</f>
        <v>20190304164255155</v>
      </c>
      <c r="B6662" t="str">
        <f>"1551688975147982"</f>
        <v>1551688975147982</v>
      </c>
      <c r="C6662" t="s">
        <v>40</v>
      </c>
      <c r="D6662">
        <v>4.2927739999999996</v>
      </c>
      <c r="E6662">
        <v>0.41164479999999998</v>
      </c>
      <c r="F6662" t="s">
        <v>41</v>
      </c>
      <c r="G6662">
        <v>-298.74630000000002</v>
      </c>
      <c r="H6662">
        <v>1.0586789999999999</v>
      </c>
      <c r="I6662">
        <v>-43.322719999999997</v>
      </c>
      <c r="J6662">
        <v>-299.3682</v>
      </c>
      <c r="K6662">
        <v>1.1165320000000001</v>
      </c>
      <c r="L6662">
        <v>-42.937190000000001</v>
      </c>
      <c r="M6662">
        <v>0.3292834</v>
      </c>
      <c r="N6662">
        <v>-9.2668690000000005E-3</v>
      </c>
      <c r="O6662">
        <v>-0.94418590000000002</v>
      </c>
      <c r="P6662">
        <v>0.57603939999999998</v>
      </c>
      <c r="Q6662">
        <v>0.35061360000000003</v>
      </c>
      <c r="R6662">
        <v>-0.73841009999999996</v>
      </c>
      <c r="S6662">
        <v>2.5305789999999999</v>
      </c>
      <c r="T6662">
        <v>-0.20582510000000001</v>
      </c>
      <c r="U6662">
        <v>-2.1958009999999999</v>
      </c>
      <c r="V6662">
        <v>-0.30634499999999998</v>
      </c>
      <c r="W6662">
        <v>0.35405679999999901</v>
      </c>
      <c r="X6662">
        <v>0.88362689999999999</v>
      </c>
      <c r="Y6662">
        <v>-0.49603570000000002</v>
      </c>
      <c r="Z6662">
        <v>5.5344539999999998E-2</v>
      </c>
      <c r="AA6662">
        <v>0.86653659999999999</v>
      </c>
      <c r="AB6662">
        <v>26</v>
      </c>
      <c r="AC6662">
        <v>0.62189999999998202</v>
      </c>
      <c r="AD6662">
        <v>-5.7852999999999898E-2</v>
      </c>
      <c r="AE6662">
        <v>-0.38553000000000198</v>
      </c>
      <c r="AF6662">
        <v>-0.45740083472680199</v>
      </c>
      <c r="AG6662">
        <v>-5.7852999999999898E-2</v>
      </c>
      <c r="AH6662">
        <v>0.565283803877345</v>
      </c>
      <c r="AI6662">
        <v>94.548883892425096</v>
      </c>
      <c r="AJ6662">
        <v>128.97814153426401</v>
      </c>
      <c r="AK6662">
        <v>0.72945751908100598</v>
      </c>
      <c r="AL6662">
        <v>69.264350822122097</v>
      </c>
      <c r="AM6662">
        <v>109.12094237106101</v>
      </c>
      <c r="AN6662">
        <v>0.99999998752742403</v>
      </c>
    </row>
    <row r="6663" spans="1:40" x14ac:dyDescent="0.25">
      <c r="A6663" t="str">
        <f>"20190304164255178"</f>
        <v>20190304164255178</v>
      </c>
      <c r="B6663" t="str">
        <f>"1551688975167499"</f>
        <v>1551688975167499</v>
      </c>
      <c r="C6663" t="s">
        <v>40</v>
      </c>
      <c r="D6663">
        <v>4.3156759999999998</v>
      </c>
      <c r="E6663">
        <v>0.41258030000000001</v>
      </c>
      <c r="F6663" t="s">
        <v>41</v>
      </c>
      <c r="G6663">
        <v>-298.66719999999998</v>
      </c>
      <c r="H6663">
        <v>1.058656</v>
      </c>
      <c r="I6663">
        <v>-43.536140000000003</v>
      </c>
      <c r="J6663">
        <v>-299.27409999999998</v>
      </c>
      <c r="K6663">
        <v>1.116638</v>
      </c>
      <c r="L6663">
        <v>-43.176819999999999</v>
      </c>
      <c r="M6663">
        <v>0.3382095</v>
      </c>
      <c r="N6663">
        <v>-9.2819719999999994E-3</v>
      </c>
      <c r="O6663">
        <v>-0.94102529999999995</v>
      </c>
      <c r="P6663">
        <v>0.58418689999999995</v>
      </c>
      <c r="Q6663">
        <v>0.3502074</v>
      </c>
      <c r="R6663">
        <v>-0.73217589999999999</v>
      </c>
      <c r="S6663">
        <v>2.546967</v>
      </c>
      <c r="T6663">
        <v>-0.2102501</v>
      </c>
      <c r="U6663">
        <v>-2.1756899999999999</v>
      </c>
      <c r="V6663">
        <v>-0.3078033</v>
      </c>
      <c r="W6663">
        <v>0.35355209999999998</v>
      </c>
      <c r="X6663">
        <v>0.88332219999999995</v>
      </c>
      <c r="Y6663">
        <v>-0.49446299999999999</v>
      </c>
      <c r="Z6663">
        <v>5.667999E-2</v>
      </c>
      <c r="AA6663">
        <v>0.86734869999999997</v>
      </c>
      <c r="AB6663">
        <v>26</v>
      </c>
      <c r="AC6663">
        <v>0.606899999999996</v>
      </c>
      <c r="AD6663">
        <v>-5.7981999999999902E-2</v>
      </c>
      <c r="AE6663">
        <v>-0.35932000000000303</v>
      </c>
      <c r="AF6663">
        <v>-0.44658387300401098</v>
      </c>
      <c r="AG6663">
        <v>-5.7981999999999902E-2</v>
      </c>
      <c r="AH6663">
        <v>0.53976388075095305</v>
      </c>
      <c r="AI6663">
        <v>94.7313240884083</v>
      </c>
      <c r="AJ6663">
        <v>129.603299386326</v>
      </c>
      <c r="AK6663">
        <v>0.70295384977578101</v>
      </c>
      <c r="AL6663">
        <v>69.295268731866202</v>
      </c>
      <c r="AM6663">
        <v>109.21145121305101</v>
      </c>
      <c r="AN6663">
        <v>1.00000003395906</v>
      </c>
    </row>
    <row r="6664" spans="1:40" x14ac:dyDescent="0.25">
      <c r="A6664" t="str">
        <f>"20190304164255200"</f>
        <v>20190304164255200</v>
      </c>
      <c r="B6664" t="str">
        <f>"1551688975187997"</f>
        <v>1551688975187997</v>
      </c>
      <c r="C6664" t="s">
        <v>40</v>
      </c>
      <c r="D6664">
        <v>4.3344630000000004</v>
      </c>
      <c r="E6664">
        <v>0.42119909999999999</v>
      </c>
      <c r="F6664" t="s">
        <v>41</v>
      </c>
      <c r="G6664">
        <v>-298.5899</v>
      </c>
      <c r="H6664">
        <v>1.05911</v>
      </c>
      <c r="I6664">
        <v>-43.751759999999997</v>
      </c>
      <c r="J6664">
        <v>-299.17840000000001</v>
      </c>
      <c r="K6664">
        <v>1.116738</v>
      </c>
      <c r="L6664">
        <v>-43.413600000000002</v>
      </c>
      <c r="M6664">
        <v>0.34713319999999998</v>
      </c>
      <c r="N6664">
        <v>-9.2920610000000008E-3</v>
      </c>
      <c r="O6664">
        <v>-0.93776999999999999</v>
      </c>
      <c r="P6664">
        <v>0.59193409999999902</v>
      </c>
      <c r="Q6664">
        <v>0.35050789999999998</v>
      </c>
      <c r="R6664">
        <v>-0.72578129999999996</v>
      </c>
      <c r="S6664">
        <v>2.5648499999999999</v>
      </c>
      <c r="T6664">
        <v>-0.21558060000000001</v>
      </c>
      <c r="U6664">
        <v>-2.1540530000000002</v>
      </c>
      <c r="V6664">
        <v>-0.30894929999999998</v>
      </c>
      <c r="W6664">
        <v>0.35376030000000003</v>
      </c>
      <c r="X6664">
        <v>0.88283860000000003</v>
      </c>
      <c r="Y6664">
        <v>-0.49340200000000001</v>
      </c>
      <c r="Z6664">
        <v>5.8288550000000001E-2</v>
      </c>
      <c r="AA6664">
        <v>0.86784609999999995</v>
      </c>
      <c r="AB6664">
        <v>26</v>
      </c>
      <c r="AC6664">
        <v>0.58850000000001002</v>
      </c>
      <c r="AD6664">
        <v>-5.7627999999999999E-2</v>
      </c>
      <c r="AE6664">
        <v>-0.33815999999999402</v>
      </c>
      <c r="AF6664">
        <v>-0.43139987997993801</v>
      </c>
      <c r="AG6664">
        <v>-5.7627999999999999E-2</v>
      </c>
      <c r="AH6664">
        <v>0.51769464291428902</v>
      </c>
      <c r="AI6664">
        <v>94.887858034037606</v>
      </c>
      <c r="AJ6664">
        <v>129.804766225994</v>
      </c>
      <c r="AK6664">
        <v>0.67633910587282997</v>
      </c>
      <c r="AL6664">
        <v>69.282514995149697</v>
      </c>
      <c r="AM6664">
        <v>109.287490093145</v>
      </c>
      <c r="AN6664">
        <v>1.0000000067382699</v>
      </c>
    </row>
    <row r="6665" spans="1:40" x14ac:dyDescent="0.25">
      <c r="A6665" t="str">
        <f>"20190304164255224"</f>
        <v>20190304164255224</v>
      </c>
      <c r="B6665" t="str">
        <f>"1551688975217279"</f>
        <v>1551688975217279</v>
      </c>
      <c r="C6665" t="s">
        <v>40</v>
      </c>
      <c r="D6665">
        <v>4.3649230000000001</v>
      </c>
      <c r="E6665">
        <v>0.42157509999999998</v>
      </c>
      <c r="F6665" t="s">
        <v>41</v>
      </c>
      <c r="G6665">
        <v>-298.51859999999999</v>
      </c>
      <c r="H6665">
        <v>1.056014</v>
      </c>
      <c r="I6665">
        <v>-43.979210000000002</v>
      </c>
      <c r="J6665">
        <v>-299.07639999999998</v>
      </c>
      <c r="K6665">
        <v>1.116824</v>
      </c>
      <c r="L6665">
        <v>-43.658630000000002</v>
      </c>
      <c r="M6665">
        <v>0.35645359999999998</v>
      </c>
      <c r="N6665">
        <v>-9.2962659999999992E-3</v>
      </c>
      <c r="O6665">
        <v>-0.93426670000000001</v>
      </c>
      <c r="P6665">
        <v>0.59952349999999999</v>
      </c>
      <c r="Q6665">
        <v>0.34994409999999998</v>
      </c>
      <c r="R6665">
        <v>-0.71979930000000003</v>
      </c>
      <c r="S6665">
        <v>2.5382389999999999</v>
      </c>
      <c r="T6665">
        <v>-0.2336249</v>
      </c>
      <c r="U6665">
        <v>-2.1762079999999999</v>
      </c>
      <c r="V6665">
        <v>-0.309405599999999</v>
      </c>
      <c r="W6665">
        <v>0.35312379999999999</v>
      </c>
      <c r="X6665">
        <v>0.88293369999999904</v>
      </c>
      <c r="Y6665">
        <v>-0.47553519999999999</v>
      </c>
      <c r="Z6665">
        <v>6.3603750000000001E-2</v>
      </c>
      <c r="AA6665">
        <v>0.87739439999999902</v>
      </c>
      <c r="AB6665">
        <v>26</v>
      </c>
      <c r="AC6665">
        <v>0.55779999999998597</v>
      </c>
      <c r="AD6665">
        <v>-6.0810000000000003E-2</v>
      </c>
      <c r="AE6665">
        <v>-0.32057999999999198</v>
      </c>
      <c r="AF6665">
        <v>-0.40327684199603098</v>
      </c>
      <c r="AG6665">
        <v>-6.0810000000000003E-2</v>
      </c>
      <c r="AH6665">
        <v>0.49394574026449301</v>
      </c>
      <c r="AI6665">
        <v>95.447469158560907</v>
      </c>
      <c r="AJ6665">
        <v>129.229560134613</v>
      </c>
      <c r="AK6665">
        <v>0.64055636888234102</v>
      </c>
      <c r="AL6665">
        <v>69.321501596958299</v>
      </c>
      <c r="AM6665">
        <v>109.31194226927801</v>
      </c>
      <c r="AN6665">
        <v>1.00000008101674</v>
      </c>
    </row>
    <row r="6666" spans="1:40" x14ac:dyDescent="0.25">
      <c r="A6666" t="str">
        <f>"20190304164255245"</f>
        <v>20190304164255245</v>
      </c>
      <c r="B6666" t="str">
        <f>"1551688975237772"</f>
        <v>1551688975237772</v>
      </c>
      <c r="C6666" t="s">
        <v>40</v>
      </c>
      <c r="D6666">
        <v>4.3367259999999996</v>
      </c>
      <c r="E6666">
        <v>0.40704089999999998</v>
      </c>
      <c r="F6666" t="s">
        <v>41</v>
      </c>
      <c r="G6666">
        <v>-298.26310000000001</v>
      </c>
      <c r="H6666">
        <v>1.0393570000000001</v>
      </c>
      <c r="I6666">
        <v>-44.343139999999998</v>
      </c>
      <c r="J6666">
        <v>-298.9744</v>
      </c>
      <c r="K6666">
        <v>1.116881</v>
      </c>
      <c r="L6666">
        <v>-43.896639999999998</v>
      </c>
      <c r="M6666">
        <v>0.36557230000000002</v>
      </c>
      <c r="N6666">
        <v>-9.297329E-3</v>
      </c>
      <c r="O6666">
        <v>-0.93073660000000003</v>
      </c>
      <c r="P6666">
        <v>0.60711910000000002</v>
      </c>
      <c r="Q6666">
        <v>0.34919139999999999</v>
      </c>
      <c r="R6666">
        <v>-0.71377290000000004</v>
      </c>
      <c r="S6666">
        <v>2.5597840000000001</v>
      </c>
      <c r="T6666">
        <v>-0.24380599999999999</v>
      </c>
      <c r="U6666">
        <v>-2.1542970000000001</v>
      </c>
      <c r="V6666">
        <v>-0.31004779999999998</v>
      </c>
      <c r="W6666">
        <v>0.35230899999999998</v>
      </c>
      <c r="X6666">
        <v>0.88303379999999998</v>
      </c>
      <c r="Y6666">
        <v>-0.4748156</v>
      </c>
      <c r="Z6666">
        <v>6.6606830000000006E-2</v>
      </c>
      <c r="AA6666">
        <v>0.87756119999999904</v>
      </c>
      <c r="AB6666">
        <v>26</v>
      </c>
      <c r="AC6666">
        <v>0.71129999999999405</v>
      </c>
      <c r="AD6666">
        <v>-7.7524000000000107E-2</v>
      </c>
      <c r="AE6666">
        <v>-0.44650000000000001</v>
      </c>
      <c r="AF6666">
        <v>-0.49461182559148498</v>
      </c>
      <c r="AG6666">
        <v>-7.7524000000000107E-2</v>
      </c>
      <c r="AH6666">
        <v>0.66992615059722904</v>
      </c>
      <c r="AI6666">
        <v>95.318679160906598</v>
      </c>
      <c r="AJ6666">
        <v>126.43874802037701</v>
      </c>
      <c r="AK6666">
        <v>0.83633239554913996</v>
      </c>
      <c r="AL6666">
        <v>69.3713905220215</v>
      </c>
      <c r="AM6666">
        <v>109.34701951444499</v>
      </c>
      <c r="AN6666">
        <v>0.99999998085413899</v>
      </c>
    </row>
    <row r="6667" spans="1:40" x14ac:dyDescent="0.25">
      <c r="A6667" t="str">
        <f>"20190304164255268"</f>
        <v>20190304164255268</v>
      </c>
      <c r="B6667" t="str">
        <f>"1551688975257292"</f>
        <v>1551688975257292</v>
      </c>
      <c r="C6667" t="s">
        <v>40</v>
      </c>
      <c r="D6667">
        <v>4.3741320000000004</v>
      </c>
      <c r="E6667">
        <v>0.40580959999999999</v>
      </c>
      <c r="F6667" t="s">
        <v>41</v>
      </c>
      <c r="G6667">
        <v>-298.14359999999999</v>
      </c>
      <c r="H6667">
        <v>1.0505799999999901</v>
      </c>
      <c r="I6667">
        <v>-44.534410000000001</v>
      </c>
      <c r="J6667">
        <v>-298.87060000000002</v>
      </c>
      <c r="K6667">
        <v>1.116924</v>
      </c>
      <c r="L6667">
        <v>-44.132510000000003</v>
      </c>
      <c r="M6667">
        <v>0.37464510000000001</v>
      </c>
      <c r="N6667">
        <v>-9.2961620000000002E-3</v>
      </c>
      <c r="O6667">
        <v>-0.92712159999999999</v>
      </c>
      <c r="P6667">
        <v>0.61433839999999995</v>
      </c>
      <c r="Q6667">
        <v>0.34916770000000003</v>
      </c>
      <c r="R6667">
        <v>-0.7075806</v>
      </c>
      <c r="S6667">
        <v>2.661743</v>
      </c>
      <c r="T6667">
        <v>-0.2124017</v>
      </c>
      <c r="U6667">
        <v>-2.0428769999999998</v>
      </c>
      <c r="V6667">
        <v>-0.31043569999999998</v>
      </c>
      <c r="W6667">
        <v>0.35223670000000001</v>
      </c>
      <c r="X6667">
        <v>0.88292630000000005</v>
      </c>
      <c r="Y6667">
        <v>-0.50589649999999997</v>
      </c>
      <c r="Z6667">
        <v>5.7362160000000002E-2</v>
      </c>
      <c r="AA6667">
        <v>0.86068480000000003</v>
      </c>
      <c r="AB6667">
        <v>26</v>
      </c>
      <c r="AC6667">
        <v>0.72700000000003195</v>
      </c>
      <c r="AD6667">
        <v>-6.6344000000000097E-2</v>
      </c>
      <c r="AE6667">
        <v>-0.40190000000000398</v>
      </c>
      <c r="AF6667">
        <v>-0.52015238964548605</v>
      </c>
      <c r="AG6667">
        <v>-6.6344000000000097E-2</v>
      </c>
      <c r="AH6667">
        <v>0.64091697131911396</v>
      </c>
      <c r="AI6667">
        <v>94.595279715019402</v>
      </c>
      <c r="AJ6667">
        <v>129.06193127716</v>
      </c>
      <c r="AK6667">
        <v>0.82809093638004305</v>
      </c>
      <c r="AL6667">
        <v>69.375815727750904</v>
      </c>
      <c r="AM6667">
        <v>109.37160569997501</v>
      </c>
      <c r="AN6667">
        <v>0.99999993394653197</v>
      </c>
    </row>
    <row r="6668" spans="1:40" x14ac:dyDescent="0.25">
      <c r="A6668" t="str">
        <f>"20190304164255289"</f>
        <v>20190304164255289</v>
      </c>
      <c r="B6668" t="str">
        <f>"1551688975277788"</f>
        <v>1551688975277788</v>
      </c>
      <c r="C6668" t="s">
        <v>40</v>
      </c>
      <c r="D6668">
        <v>4.3871440000000002</v>
      </c>
      <c r="E6668">
        <v>0.40647060000000002</v>
      </c>
      <c r="F6668" t="s">
        <v>41</v>
      </c>
      <c r="G6668">
        <v>-298.05119999999999</v>
      </c>
      <c r="H6668">
        <v>1.0527519999999999</v>
      </c>
      <c r="I6668">
        <v>-44.744509999999998</v>
      </c>
      <c r="J6668">
        <v>-298.76459999999997</v>
      </c>
      <c r="K6668">
        <v>1.1169629999999999</v>
      </c>
      <c r="L6668">
        <v>-44.367220000000003</v>
      </c>
      <c r="M6668">
        <v>0.38369510000000001</v>
      </c>
      <c r="N6668">
        <v>-9.2895630000000007E-3</v>
      </c>
      <c r="O6668">
        <v>-0.92341329999999999</v>
      </c>
      <c r="P6668">
        <v>0.62058169999999901</v>
      </c>
      <c r="Q6668">
        <v>0.34923349999999997</v>
      </c>
      <c r="R6668">
        <v>-0.70207889999999995</v>
      </c>
      <c r="S6668">
        <v>2.6893310000000001</v>
      </c>
      <c r="T6668">
        <v>-0.21063689999999999</v>
      </c>
      <c r="U6668">
        <v>-2.0088200000000001</v>
      </c>
      <c r="V6668">
        <v>-0.30966690000000002</v>
      </c>
      <c r="W6668">
        <v>0.35228140000000002</v>
      </c>
      <c r="X6668">
        <v>0.88317849999999998</v>
      </c>
      <c r="Y6668">
        <v>-0.50872249999999997</v>
      </c>
      <c r="Z6668">
        <v>5.6829629999999999E-2</v>
      </c>
      <c r="AA6668">
        <v>0.85905290000000001</v>
      </c>
      <c r="AB6668">
        <v>26</v>
      </c>
      <c r="AC6668">
        <v>0.71339999999997805</v>
      </c>
      <c r="AD6668">
        <v>-6.4210999999999796E-2</v>
      </c>
      <c r="AE6668">
        <v>-0.37728999999999502</v>
      </c>
      <c r="AF6668">
        <v>-0.51078721402638305</v>
      </c>
      <c r="AG6668">
        <v>-6.4210999999999796E-2</v>
      </c>
      <c r="AH6668">
        <v>0.61823561020028694</v>
      </c>
      <c r="AI6668">
        <v>94.577843315801502</v>
      </c>
      <c r="AJ6668">
        <v>129.56357000026199</v>
      </c>
      <c r="AK6668">
        <v>0.80451345560752097</v>
      </c>
      <c r="AL6668">
        <v>69.373081021125103</v>
      </c>
      <c r="AM6668">
        <v>109.32208275545</v>
      </c>
      <c r="AN6668">
        <v>1.0000000183019</v>
      </c>
    </row>
    <row r="6669" spans="1:40" x14ac:dyDescent="0.25">
      <c r="A6669" t="str">
        <f>"20190304164255312"</f>
        <v>20190304164255312</v>
      </c>
      <c r="B6669" t="str">
        <f>"1551688975308044"</f>
        <v>1551688975308044</v>
      </c>
      <c r="C6669" t="s">
        <v>40</v>
      </c>
      <c r="D6669">
        <v>4.4208230000000004</v>
      </c>
      <c r="E6669">
        <v>0.40780620000000001</v>
      </c>
      <c r="F6669" t="s">
        <v>41</v>
      </c>
      <c r="G6669">
        <v>-297.96120000000002</v>
      </c>
      <c r="H6669">
        <v>1.0549059999999999</v>
      </c>
      <c r="I6669">
        <v>-44.9574</v>
      </c>
      <c r="J6669">
        <v>-298.65230000000003</v>
      </c>
      <c r="K6669">
        <v>1.116992</v>
      </c>
      <c r="L6669">
        <v>-44.609409999999997</v>
      </c>
      <c r="M6669">
        <v>0.39304080000000002</v>
      </c>
      <c r="N6669">
        <v>-9.2794469999999997E-3</v>
      </c>
      <c r="O6669">
        <v>-0.91947440000000003</v>
      </c>
      <c r="P6669">
        <v>0.62675829999999999</v>
      </c>
      <c r="Q6669">
        <v>0.3496513</v>
      </c>
      <c r="R6669">
        <v>-0.6963608</v>
      </c>
      <c r="S6669">
        <v>2.7041930000000001</v>
      </c>
      <c r="T6669">
        <v>-0.2088882</v>
      </c>
      <c r="U6669">
        <v>-1.9866330000000001</v>
      </c>
      <c r="V6669">
        <v>-0.30862390000000001</v>
      </c>
      <c r="W6669">
        <v>0.35268430000000001</v>
      </c>
      <c r="X6669">
        <v>0.88338269999999997</v>
      </c>
      <c r="Y6669">
        <v>-0.50684960000000001</v>
      </c>
      <c r="Z6669">
        <v>5.6270540000000001E-2</v>
      </c>
      <c r="AA6669">
        <v>0.86019599999999996</v>
      </c>
      <c r="AB6669">
        <v>26</v>
      </c>
      <c r="AC6669">
        <v>0.69110000000000504</v>
      </c>
      <c r="AD6669">
        <v>-6.2086000000000002E-2</v>
      </c>
      <c r="AE6669">
        <v>-0.34799000000000202</v>
      </c>
      <c r="AF6669">
        <v>-0.49550569533807798</v>
      </c>
      <c r="AG6669">
        <v>-6.2086000000000002E-2</v>
      </c>
      <c r="AH6669">
        <v>0.58783911994414695</v>
      </c>
      <c r="AI6669">
        <v>94.616911000461499</v>
      </c>
      <c r="AJ6669">
        <v>130.12845666951199</v>
      </c>
      <c r="AK6669">
        <v>0.77132055362552199</v>
      </c>
      <c r="AL6669">
        <v>69.348412097399006</v>
      </c>
      <c r="AM6669">
        <v>109.257679690084</v>
      </c>
      <c r="AN6669">
        <v>0.99999996088849397</v>
      </c>
    </row>
    <row r="6670" spans="1:40" x14ac:dyDescent="0.25">
      <c r="A6670" t="str">
        <f>"20190304164255334"</f>
        <v>20190304164255334</v>
      </c>
      <c r="B6670" t="str">
        <f>"1551688975327564"</f>
        <v>1551688975327564</v>
      </c>
      <c r="C6670" t="s">
        <v>40</v>
      </c>
      <c r="D6670">
        <v>4.4076579999999996</v>
      </c>
      <c r="E6670">
        <v>0.4156821</v>
      </c>
      <c r="F6670" t="s">
        <v>41</v>
      </c>
      <c r="G6670">
        <v>-297.8741</v>
      </c>
      <c r="H6670">
        <v>1.0574429999999999</v>
      </c>
      <c r="I6670">
        <v>-45.173679999999997</v>
      </c>
      <c r="J6670">
        <v>-298.54230000000001</v>
      </c>
      <c r="K6670">
        <v>1.1170100000000001</v>
      </c>
      <c r="L6670">
        <v>-44.840789999999998</v>
      </c>
      <c r="M6670">
        <v>0.4019682</v>
      </c>
      <c r="N6670">
        <v>-9.267239E-3</v>
      </c>
      <c r="O6670">
        <v>-0.9156069</v>
      </c>
      <c r="P6670">
        <v>0.6325501</v>
      </c>
      <c r="Q6670">
        <v>0.34955389999999997</v>
      </c>
      <c r="R6670">
        <v>-0.69115280000000001</v>
      </c>
      <c r="S6670">
        <v>2.7153019999999999</v>
      </c>
      <c r="T6670">
        <v>-0.20775279999999999</v>
      </c>
      <c r="U6670">
        <v>-1.9685060000000001</v>
      </c>
      <c r="V6670">
        <v>-0.30740319999999999</v>
      </c>
      <c r="W6670">
        <v>0.3525799</v>
      </c>
      <c r="X6670">
        <v>0.88384989999999997</v>
      </c>
      <c r="Y6670">
        <v>-0.50391660000000005</v>
      </c>
      <c r="Z6670">
        <v>5.5884700000000002E-2</v>
      </c>
      <c r="AA6670">
        <v>0.86194249999999994</v>
      </c>
      <c r="AB6670">
        <v>26</v>
      </c>
      <c r="AC6670">
        <v>0.66820000000001301</v>
      </c>
      <c r="AD6670">
        <v>-5.9566999999999898E-2</v>
      </c>
      <c r="AE6670">
        <v>-0.33288999999999103</v>
      </c>
      <c r="AF6670">
        <v>-0.47499362922578497</v>
      </c>
      <c r="AG6670">
        <v>-5.9566999999999898E-2</v>
      </c>
      <c r="AH6670">
        <v>0.56978837338821298</v>
      </c>
      <c r="AI6670">
        <v>94.590991972761699</v>
      </c>
      <c r="AJ6670">
        <v>129.81565730026</v>
      </c>
      <c r="AK6670">
        <v>0.74419484393703605</v>
      </c>
      <c r="AL6670">
        <v>69.354804807495299</v>
      </c>
      <c r="AM6670">
        <v>109.177686498634</v>
      </c>
      <c r="AN6670">
        <v>0.99999997949212904</v>
      </c>
    </row>
    <row r="6671" spans="1:40" x14ac:dyDescent="0.25">
      <c r="A6671" t="str">
        <f>"20190304164255356"</f>
        <v>20190304164255356</v>
      </c>
      <c r="B6671" t="str">
        <f>"1551688975348060"</f>
        <v>1551688975348060</v>
      </c>
      <c r="C6671" t="s">
        <v>40</v>
      </c>
      <c r="D6671">
        <v>4.4227489999999996</v>
      </c>
      <c r="E6671">
        <v>0.41675590000000001</v>
      </c>
      <c r="F6671" t="s">
        <v>41</v>
      </c>
      <c r="G6671">
        <v>-297.79320000000001</v>
      </c>
      <c r="H6671">
        <v>1.0534289999999999</v>
      </c>
      <c r="I6671">
        <v>-45.395870000000002</v>
      </c>
      <c r="J6671">
        <v>-298.42869999999999</v>
      </c>
      <c r="K6671">
        <v>1.1170230000000001</v>
      </c>
      <c r="L6671">
        <v>-45.073880000000003</v>
      </c>
      <c r="M6671">
        <v>0.41095680000000001</v>
      </c>
      <c r="N6671">
        <v>-9.2482999999999992E-3</v>
      </c>
      <c r="O6671">
        <v>-0.91160799999999997</v>
      </c>
      <c r="P6671">
        <v>0.63846959999999997</v>
      </c>
      <c r="Q6671">
        <v>0.34957779999999999</v>
      </c>
      <c r="R6671">
        <v>-0.68567619999999996</v>
      </c>
      <c r="S6671">
        <v>2.6908569999999998</v>
      </c>
      <c r="T6671">
        <v>-0.2283683</v>
      </c>
      <c r="U6671">
        <v>-1.9934080000000001</v>
      </c>
      <c r="V6671">
        <v>-0.30633280000000002</v>
      </c>
      <c r="W6671">
        <v>0.35258790000000001</v>
      </c>
      <c r="X6671">
        <v>0.88421830000000001</v>
      </c>
      <c r="Y6671">
        <v>-0.48612739999999999</v>
      </c>
      <c r="Z6671">
        <v>6.187376E-2</v>
      </c>
      <c r="AA6671">
        <v>0.87169479999999999</v>
      </c>
      <c r="AB6671">
        <v>27</v>
      </c>
      <c r="AC6671">
        <v>0.63549999999997897</v>
      </c>
      <c r="AD6671">
        <v>-6.3593999999999706E-2</v>
      </c>
      <c r="AE6671">
        <v>-0.32199000000000599</v>
      </c>
      <c r="AF6671">
        <v>-0.44348815186357798</v>
      </c>
      <c r="AG6671">
        <v>-6.3593999999999706E-2</v>
      </c>
      <c r="AH6671">
        <v>0.55033020480675199</v>
      </c>
      <c r="AI6671">
        <v>95.141425462561202</v>
      </c>
      <c r="AJ6671">
        <v>128.86389166536301</v>
      </c>
      <c r="AK6671">
        <v>0.70964024125046199</v>
      </c>
      <c r="AL6671">
        <v>69.354315574874406</v>
      </c>
      <c r="AM6671">
        <v>109.10837547393901</v>
      </c>
      <c r="AN6671">
        <v>1.0000000068185699</v>
      </c>
    </row>
    <row r="6672" spans="1:40" x14ac:dyDescent="0.25">
      <c r="A6672" t="str">
        <f>"20190304164255379"</f>
        <v>20190304164255379</v>
      </c>
      <c r="B6672" t="str">
        <f>"1551688975367580"</f>
        <v>1551688975367580</v>
      </c>
      <c r="C6672" t="s">
        <v>40</v>
      </c>
      <c r="D6672">
        <v>4.4446830000000004</v>
      </c>
      <c r="E6672">
        <v>0.41760999999999998</v>
      </c>
      <c r="F6672" t="s">
        <v>41</v>
      </c>
      <c r="G6672">
        <v>-297.69720000000001</v>
      </c>
      <c r="H6672">
        <v>1.0538700000000001</v>
      </c>
      <c r="I6672">
        <v>-45.608559999999997</v>
      </c>
      <c r="J6672">
        <v>-298.31099999999998</v>
      </c>
      <c r="K6672">
        <v>1.1170439999999999</v>
      </c>
      <c r="L6672">
        <v>-45.309600000000003</v>
      </c>
      <c r="M6672">
        <v>0.42004069999999999</v>
      </c>
      <c r="N6672">
        <v>-9.2198120000000008E-3</v>
      </c>
      <c r="O6672">
        <v>-0.90745869999999995</v>
      </c>
      <c r="P6672">
        <v>0.64501189999999997</v>
      </c>
      <c r="Q6672">
        <v>0.34887240000000003</v>
      </c>
      <c r="R6672">
        <v>-0.67988850000000001</v>
      </c>
      <c r="S6672">
        <v>2.7039179999999998</v>
      </c>
      <c r="T6672">
        <v>-0.23343169999999999</v>
      </c>
      <c r="U6672">
        <v>-1.97644</v>
      </c>
      <c r="V6672">
        <v>-0.30583539999999998</v>
      </c>
      <c r="W6672">
        <v>0.35184890000000002</v>
      </c>
      <c r="X6672">
        <v>0.88468469999999999</v>
      </c>
      <c r="Y6672">
        <v>-0.48289399999999899</v>
      </c>
      <c r="Z6672">
        <v>6.3288670000000005E-2</v>
      </c>
      <c r="AA6672">
        <v>0.87338879999999997</v>
      </c>
      <c r="AB6672">
        <v>27</v>
      </c>
      <c r="AC6672">
        <v>0.61379999999996904</v>
      </c>
      <c r="AD6672">
        <v>-6.3173999999999994E-2</v>
      </c>
      <c r="AE6672">
        <v>-0.29895999999999301</v>
      </c>
      <c r="AF6672">
        <v>-0.42777840350962998</v>
      </c>
      <c r="AG6672">
        <v>-6.3173999999999994E-2</v>
      </c>
      <c r="AH6672">
        <v>0.52464521685835797</v>
      </c>
      <c r="AI6672">
        <v>95.331570540811796</v>
      </c>
      <c r="AJ6672">
        <v>129.19266731445799</v>
      </c>
      <c r="AK6672">
        <v>0.67988081334716399</v>
      </c>
      <c r="AL6672">
        <v>69.399555688179305</v>
      </c>
      <c r="AM6672">
        <v>109.070261849243</v>
      </c>
      <c r="AN6672">
        <v>0.99999997936922902</v>
      </c>
    </row>
    <row r="6673" spans="1:40" x14ac:dyDescent="0.25">
      <c r="A6673" t="str">
        <f>"20190304164255401"</f>
        <v>20190304164255401</v>
      </c>
      <c r="B6673" t="str">
        <f>"1551688975397836"</f>
        <v>1551688975397836</v>
      </c>
      <c r="C6673" t="s">
        <v>40</v>
      </c>
      <c r="D6673">
        <v>4.4324560000000002</v>
      </c>
      <c r="E6673">
        <v>0.41867090000000001</v>
      </c>
      <c r="F6673" t="s">
        <v>41</v>
      </c>
      <c r="G6673">
        <v>-297.59969999999998</v>
      </c>
      <c r="H6673">
        <v>1.0544990000000001</v>
      </c>
      <c r="I6673">
        <v>-45.821660000000001</v>
      </c>
      <c r="J6673">
        <v>-298.18959999999998</v>
      </c>
      <c r="K6673">
        <v>1.117057</v>
      </c>
      <c r="L6673">
        <v>-45.547029999999999</v>
      </c>
      <c r="M6673">
        <v>0.42918240000000002</v>
      </c>
      <c r="N6673">
        <v>-9.1817340000000004E-3</v>
      </c>
      <c r="O6673">
        <v>-0.90317119999999995</v>
      </c>
      <c r="P6673">
        <v>0.65303849999999997</v>
      </c>
      <c r="Q6673">
        <v>0.34825339999999999</v>
      </c>
      <c r="R6673">
        <v>-0.67250319999999997</v>
      </c>
      <c r="S6673">
        <v>2.7182309999999998</v>
      </c>
      <c r="T6673">
        <v>-0.23897499999999999</v>
      </c>
      <c r="U6673">
        <v>-1.956329</v>
      </c>
      <c r="V6673">
        <v>-0.30728749999999999</v>
      </c>
      <c r="W6673">
        <v>0.35114709999999899</v>
      </c>
      <c r="X6673">
        <v>0.88446029999999998</v>
      </c>
      <c r="Y6673">
        <v>-0.4804003</v>
      </c>
      <c r="Z6673">
        <v>6.4866850000000004E-2</v>
      </c>
      <c r="AA6673">
        <v>0.87464730000000002</v>
      </c>
      <c r="AB6673">
        <v>27</v>
      </c>
      <c r="AC6673">
        <v>0.58989999999999998</v>
      </c>
      <c r="AD6673">
        <v>-6.2557999999999794E-2</v>
      </c>
      <c r="AE6673">
        <v>-0.27462999999999399</v>
      </c>
      <c r="AF6673">
        <v>-0.4111317334033</v>
      </c>
      <c r="AG6673">
        <v>-6.2557999999999794E-2</v>
      </c>
      <c r="AH6673">
        <v>0.49664326529202102</v>
      </c>
      <c r="AI6673">
        <v>95.542000277319502</v>
      </c>
      <c r="AJ6673">
        <v>129.618672177349</v>
      </c>
      <c r="AK6673">
        <v>0.64776333528158503</v>
      </c>
      <c r="AL6673">
        <v>69.442506165001703</v>
      </c>
      <c r="AM6673">
        <v>109.158729376396</v>
      </c>
      <c r="AN6673">
        <v>0.99999995788537399</v>
      </c>
    </row>
    <row r="6674" spans="1:40" x14ac:dyDescent="0.25">
      <c r="A6674" t="str">
        <f>"20190304164255425"</f>
        <v>20190304164255425</v>
      </c>
      <c r="B6674" t="str">
        <f>"1551688975418333"</f>
        <v>1551688975418333</v>
      </c>
      <c r="C6674" t="s">
        <v>40</v>
      </c>
      <c r="D6674">
        <v>4.4407180000000004</v>
      </c>
      <c r="E6674">
        <v>0.42440689999999998</v>
      </c>
      <c r="F6674" t="s">
        <v>41</v>
      </c>
      <c r="G6674">
        <v>-297.48129999999998</v>
      </c>
      <c r="H6674">
        <v>1.053415</v>
      </c>
      <c r="I6674">
        <v>-46.047649999999997</v>
      </c>
      <c r="J6674">
        <v>-298.06560000000002</v>
      </c>
      <c r="K6674">
        <v>1.1170770000000001</v>
      </c>
      <c r="L6674">
        <v>-45.782989999999998</v>
      </c>
      <c r="M6674">
        <v>0.43826270000000001</v>
      </c>
      <c r="N6674">
        <v>-9.1397319999999994E-3</v>
      </c>
      <c r="O6674">
        <v>-0.8988003</v>
      </c>
      <c r="P6674">
        <v>0.66109189999999995</v>
      </c>
      <c r="Q6674">
        <v>0.34870759999999901</v>
      </c>
      <c r="R6674">
        <v>-0.66434959999999998</v>
      </c>
      <c r="S6674">
        <v>2.7344970000000002</v>
      </c>
      <c r="T6674">
        <v>-0.24571809999999999</v>
      </c>
      <c r="U6674">
        <v>-1.9328609999999999</v>
      </c>
      <c r="V6674">
        <v>-0.30917149999999999</v>
      </c>
      <c r="W6674">
        <v>0.35150160000000003</v>
      </c>
      <c r="X6674">
        <v>0.88366259999999996</v>
      </c>
      <c r="Y6674">
        <v>-0.47890569999999999</v>
      </c>
      <c r="Z6674">
        <v>6.6815470000000002E-2</v>
      </c>
      <c r="AA6674">
        <v>0.87531999999999999</v>
      </c>
      <c r="AB6674">
        <v>27</v>
      </c>
      <c r="AC6674">
        <v>0.58430000000004101</v>
      </c>
      <c r="AD6674">
        <v>-6.3662000000000094E-2</v>
      </c>
      <c r="AE6674">
        <v>-0.26465999999999201</v>
      </c>
      <c r="AF6674">
        <v>-0.40520424528847998</v>
      </c>
      <c r="AG6674">
        <v>-6.3662000000000094E-2</v>
      </c>
      <c r="AH6674">
        <v>0.48915583841718302</v>
      </c>
      <c r="AI6674">
        <v>95.723381170324203</v>
      </c>
      <c r="AJ6674">
        <v>129.63748568348299</v>
      </c>
      <c r="AK6674">
        <v>0.63837039788936401</v>
      </c>
      <c r="AL6674">
        <v>69.420812592989904</v>
      </c>
      <c r="AM6674">
        <v>109.28366835692</v>
      </c>
      <c r="AN6674">
        <v>0.99999999092678404</v>
      </c>
    </row>
    <row r="6675" spans="1:40" x14ac:dyDescent="0.25">
      <c r="A6675" t="str">
        <f>"20190304164255447"</f>
        <v>20190304164255447</v>
      </c>
      <c r="B6675" t="str">
        <f>"1551688975437853"</f>
        <v>1551688975437853</v>
      </c>
      <c r="C6675" t="s">
        <v>40</v>
      </c>
      <c r="D6675">
        <v>4.4467639999999999</v>
      </c>
      <c r="E6675">
        <v>0.42543029999999998</v>
      </c>
      <c r="F6675" t="s">
        <v>41</v>
      </c>
      <c r="G6675">
        <v>-297.20890000000003</v>
      </c>
      <c r="H6675">
        <v>1.0349919999999999</v>
      </c>
      <c r="I6675">
        <v>-46.391509999999997</v>
      </c>
      <c r="J6675">
        <v>-297.93720000000002</v>
      </c>
      <c r="K6675">
        <v>1.1170990000000001</v>
      </c>
      <c r="L6675">
        <v>-46.02158</v>
      </c>
      <c r="M6675">
        <v>0.44743929999999998</v>
      </c>
      <c r="N6675">
        <v>-9.0942130000000003E-3</v>
      </c>
      <c r="O6675">
        <v>-0.89426819999999896</v>
      </c>
      <c r="P6675">
        <v>0.66819139999999999</v>
      </c>
      <c r="Q6675">
        <v>0.34882449999999998</v>
      </c>
      <c r="R6675">
        <v>-0.65714700000000004</v>
      </c>
      <c r="S6675">
        <v>2.7283940000000002</v>
      </c>
      <c r="T6675">
        <v>-0.2614245</v>
      </c>
      <c r="U6675">
        <v>-1.937927</v>
      </c>
      <c r="V6675">
        <v>-0.30967749999999999</v>
      </c>
      <c r="W6675">
        <v>0.35154530000000001</v>
      </c>
      <c r="X6675">
        <v>0.88346800000000003</v>
      </c>
      <c r="Y6675">
        <v>-0.46760610000000002</v>
      </c>
      <c r="Z6675">
        <v>7.1234779999999998E-2</v>
      </c>
      <c r="AA6675">
        <v>0.88106200000000001</v>
      </c>
      <c r="AB6675">
        <v>27</v>
      </c>
      <c r="AC6675">
        <v>0.72829999999998996</v>
      </c>
      <c r="AD6675">
        <v>-8.2107000000000097E-2</v>
      </c>
      <c r="AE6675">
        <v>-0.36992999999999598</v>
      </c>
      <c r="AF6675">
        <v>-0.48093534877301503</v>
      </c>
      <c r="AG6675">
        <v>-8.2107000000000097E-2</v>
      </c>
      <c r="AH6675">
        <v>0.65014520088667205</v>
      </c>
      <c r="AI6675">
        <v>95.797388360976001</v>
      </c>
      <c r="AJ6675">
        <v>126.491639698348</v>
      </c>
      <c r="AK6675">
        <v>0.81285247824214302</v>
      </c>
      <c r="AL6675">
        <v>69.418137831300001</v>
      </c>
      <c r="AM6675">
        <v>109.316832440638</v>
      </c>
      <c r="AN6675">
        <v>0.99999997949116903</v>
      </c>
    </row>
    <row r="6676" spans="1:40" x14ac:dyDescent="0.25">
      <c r="A6676" t="str">
        <f>"20190304164255469"</f>
        <v>20190304164255469</v>
      </c>
      <c r="B6676" t="str">
        <f>"1551688975458348"</f>
        <v>1551688975458348</v>
      </c>
      <c r="C6676" t="s">
        <v>40</v>
      </c>
      <c r="D6676">
        <v>4.4789779999999997</v>
      </c>
      <c r="E6676">
        <v>0.42603750000000001</v>
      </c>
      <c r="F6676" t="s">
        <v>41</v>
      </c>
      <c r="G6676">
        <v>-297.1035</v>
      </c>
      <c r="H6676">
        <v>1.0372969999999999</v>
      </c>
      <c r="I6676">
        <v>-46.603020000000001</v>
      </c>
      <c r="J6676">
        <v>-297.8141</v>
      </c>
      <c r="K6676">
        <v>1.1171219999999999</v>
      </c>
      <c r="L6676">
        <v>-46.245150000000002</v>
      </c>
      <c r="M6676">
        <v>0.4560322</v>
      </c>
      <c r="N6676">
        <v>-9.0514270000000008E-3</v>
      </c>
      <c r="O6676">
        <v>-0.88991739999999997</v>
      </c>
      <c r="P6676">
        <v>0.67396</v>
      </c>
      <c r="Q6676">
        <v>0.34871999999999997</v>
      </c>
      <c r="R6676">
        <v>-0.65128490000000006</v>
      </c>
      <c r="S6676">
        <v>2.7446290000000002</v>
      </c>
      <c r="T6676">
        <v>-0.2626964</v>
      </c>
      <c r="U6676">
        <v>-1.9138790000000001</v>
      </c>
      <c r="V6676">
        <v>-0.30895400000000001</v>
      </c>
      <c r="W6676">
        <v>0.35139619999999999</v>
      </c>
      <c r="X6676">
        <v>0.88378060000000003</v>
      </c>
      <c r="Y6676">
        <v>-0.46671449999999998</v>
      </c>
      <c r="Z6676">
        <v>7.1525480000000002E-2</v>
      </c>
      <c r="AA6676">
        <v>0.88151100000000004</v>
      </c>
      <c r="AB6676">
        <v>27</v>
      </c>
      <c r="AC6676">
        <v>0.71059999999999901</v>
      </c>
      <c r="AD6676">
        <v>-7.9824999999999993E-2</v>
      </c>
      <c r="AE6676">
        <v>-0.35786999999999802</v>
      </c>
      <c r="AF6676">
        <v>-0.46451836202089702</v>
      </c>
      <c r="AG6676">
        <v>-7.9824999999999993E-2</v>
      </c>
      <c r="AH6676">
        <v>0.63615391191798998</v>
      </c>
      <c r="AI6676">
        <v>95.786572000673701</v>
      </c>
      <c r="AJ6676">
        <v>126.13684697655</v>
      </c>
      <c r="AK6676">
        <v>0.79173299724600299</v>
      </c>
      <c r="AL6676">
        <v>69.427263391336794</v>
      </c>
      <c r="AM6676">
        <v>109.26871960910501</v>
      </c>
      <c r="AN6676">
        <v>1.0000000062134</v>
      </c>
    </row>
    <row r="6677" spans="1:40" x14ac:dyDescent="0.25">
      <c r="A6677" t="str">
        <f>"20190304164255491"</f>
        <v>20190304164255491</v>
      </c>
      <c r="B6677" t="str">
        <f>"1551688975487628"</f>
        <v>1551688975487628</v>
      </c>
      <c r="C6677" t="s">
        <v>40</v>
      </c>
      <c r="D6677">
        <v>4.4669059999999998</v>
      </c>
      <c r="E6677">
        <v>0.43085489999999999</v>
      </c>
      <c r="F6677" t="s">
        <v>41</v>
      </c>
      <c r="G6677">
        <v>-296.99009999999998</v>
      </c>
      <c r="H6677">
        <v>1.0392250000000001</v>
      </c>
      <c r="I6677">
        <v>-46.809429999999999</v>
      </c>
      <c r="J6677">
        <v>-297.68369999999999</v>
      </c>
      <c r="K6677">
        <v>1.117146</v>
      </c>
      <c r="L6677">
        <v>-46.47672</v>
      </c>
      <c r="M6677">
        <v>0.46492820000000001</v>
      </c>
      <c r="N6677">
        <v>-9.0099140000000008E-3</v>
      </c>
      <c r="O6677">
        <v>-0.88530249999999999</v>
      </c>
      <c r="P6677">
        <v>0.67941929999999995</v>
      </c>
      <c r="Q6677">
        <v>0.34864319999999999</v>
      </c>
      <c r="R6677">
        <v>-0.64562909999999996</v>
      </c>
      <c r="S6677">
        <v>2.76004</v>
      </c>
      <c r="T6677">
        <v>-0.26089299999999999</v>
      </c>
      <c r="U6677">
        <v>-1.889832</v>
      </c>
      <c r="V6677">
        <v>-0.30753829999999999</v>
      </c>
      <c r="W6677">
        <v>0.35128819999999999</v>
      </c>
      <c r="X6677">
        <v>0.88431719999999903</v>
      </c>
      <c r="Y6677">
        <v>-0.46541739999999998</v>
      </c>
      <c r="Z6677">
        <v>7.0887359999999996E-2</v>
      </c>
      <c r="AA6677">
        <v>0.88224799999999903</v>
      </c>
      <c r="AB6677">
        <v>27</v>
      </c>
      <c r="AC6677">
        <v>0.69360000000000299</v>
      </c>
      <c r="AD6677">
        <v>-7.7920999999999893E-2</v>
      </c>
      <c r="AE6677">
        <v>-0.33270999999999801</v>
      </c>
      <c r="AF6677">
        <v>-0.45471282282692599</v>
      </c>
      <c r="AG6677">
        <v>-7.7920999999999893E-2</v>
      </c>
      <c r="AH6677">
        <v>0.61078159113698505</v>
      </c>
      <c r="AI6677">
        <v>95.842816401819903</v>
      </c>
      <c r="AJ6677">
        <v>126.666834194167</v>
      </c>
      <c r="AK6677">
        <v>0.76543424639616098</v>
      </c>
      <c r="AL6677">
        <v>69.433873807279497</v>
      </c>
      <c r="AM6677">
        <v>109.17610121945</v>
      </c>
      <c r="AN6677">
        <v>1.00000005782098</v>
      </c>
    </row>
    <row r="6678" spans="1:40" x14ac:dyDescent="0.25">
      <c r="A6678" t="str">
        <f>"20190304164255513"</f>
        <v>20190304164255513</v>
      </c>
      <c r="B6678" t="str">
        <f>"1551688975508124"</f>
        <v>1551688975508124</v>
      </c>
      <c r="C6678" t="s">
        <v>40</v>
      </c>
      <c r="D6678">
        <v>4.469036</v>
      </c>
      <c r="E6678">
        <v>0.43179289999999998</v>
      </c>
      <c r="F6678" t="s">
        <v>41</v>
      </c>
      <c r="G6678">
        <v>-296.88600000000002</v>
      </c>
      <c r="H6678">
        <v>1.0399039999999999</v>
      </c>
      <c r="I6678">
        <v>-47.025089999999999</v>
      </c>
      <c r="J6678">
        <v>-297.54989999999998</v>
      </c>
      <c r="K6678">
        <v>1.1171660000000001</v>
      </c>
      <c r="L6678">
        <v>-46.708649999999999</v>
      </c>
      <c r="M6678">
        <v>0.47383760000000003</v>
      </c>
      <c r="N6678">
        <v>-8.9701950000000003E-3</v>
      </c>
      <c r="O6678">
        <v>-0.88056679999999998</v>
      </c>
      <c r="P6678">
        <v>0.68459769999999998</v>
      </c>
      <c r="Q6678">
        <v>0.34952030000000001</v>
      </c>
      <c r="R6678">
        <v>-0.63965819999999995</v>
      </c>
      <c r="S6678">
        <v>2.753571</v>
      </c>
      <c r="T6678">
        <v>-0.26663599999999998</v>
      </c>
      <c r="U6678">
        <v>-1.892914</v>
      </c>
      <c r="V6678">
        <v>-0.30600110000000003</v>
      </c>
      <c r="W6678">
        <v>0.35213450000000002</v>
      </c>
      <c r="X6678">
        <v>0.88451369999999896</v>
      </c>
      <c r="Y6678">
        <v>-0.45472479999999998</v>
      </c>
      <c r="Z6678">
        <v>7.2301019999999994E-2</v>
      </c>
      <c r="AA6678">
        <v>0.887692499999999</v>
      </c>
      <c r="AB6678">
        <v>27</v>
      </c>
      <c r="AC6678">
        <v>0.66390000000001204</v>
      </c>
      <c r="AD6678">
        <v>-7.7261999999999706E-2</v>
      </c>
      <c r="AE6678">
        <v>-0.31644000000000699</v>
      </c>
      <c r="AF6678">
        <v>-0.42993965344650897</v>
      </c>
      <c r="AG6678">
        <v>-7.7261999999999706E-2</v>
      </c>
      <c r="AH6678">
        <v>0.58677535217633803</v>
      </c>
      <c r="AI6678">
        <v>96.062791058941201</v>
      </c>
      <c r="AJ6678">
        <v>126.230827600735</v>
      </c>
      <c r="AK6678">
        <v>0.73152090617518895</v>
      </c>
      <c r="AL6678">
        <v>69.382072174888094</v>
      </c>
      <c r="AM6678">
        <v>109.08326897331401</v>
      </c>
      <c r="AN6678">
        <v>0.99999993238957197</v>
      </c>
    </row>
    <row r="6679" spans="1:40" x14ac:dyDescent="0.25">
      <c r="A6679" t="str">
        <f>"20190304164255535"</f>
        <v>20190304164255535</v>
      </c>
      <c r="B6679" t="str">
        <f>"1551688975527644"</f>
        <v>1551688975527644</v>
      </c>
      <c r="C6679" t="s">
        <v>40</v>
      </c>
      <c r="D6679">
        <v>4.4626099999999997</v>
      </c>
      <c r="E6679">
        <v>0.43220629999999999</v>
      </c>
      <c r="F6679" t="s">
        <v>41</v>
      </c>
      <c r="G6679">
        <v>-296.77300000000002</v>
      </c>
      <c r="H6679">
        <v>1.042915</v>
      </c>
      <c r="I6679">
        <v>-47.234839999999998</v>
      </c>
      <c r="J6679">
        <v>-297.41579999999999</v>
      </c>
      <c r="K6679">
        <v>1.117194</v>
      </c>
      <c r="L6679">
        <v>-46.936219999999999</v>
      </c>
      <c r="M6679">
        <v>0.48257729999999999</v>
      </c>
      <c r="N6679">
        <v>-8.9308389999999994E-3</v>
      </c>
      <c r="O6679">
        <v>-0.87580809999999998</v>
      </c>
      <c r="P6679">
        <v>0.68976719999999903</v>
      </c>
      <c r="Q6679">
        <v>0.35013739999999999</v>
      </c>
      <c r="R6679">
        <v>-0.63373900000000005</v>
      </c>
      <c r="S6679">
        <v>2.7659910000000001</v>
      </c>
      <c r="T6679">
        <v>-0.26441100000000001</v>
      </c>
      <c r="U6679">
        <v>-1.8741760000000001</v>
      </c>
      <c r="V6679">
        <v>-0.30457600000000001</v>
      </c>
      <c r="W6679">
        <v>0.35271960000000002</v>
      </c>
      <c r="X6679">
        <v>0.88477249999999996</v>
      </c>
      <c r="Y6679">
        <v>-0.45189010000000002</v>
      </c>
      <c r="Z6679">
        <v>7.1461860000000002E-2</v>
      </c>
      <c r="AA6679">
        <v>0.88920669999999902</v>
      </c>
      <c r="AB6679">
        <v>27</v>
      </c>
      <c r="AC6679">
        <v>0.64280000000002202</v>
      </c>
      <c r="AD6679">
        <v>-7.4278999999999901E-2</v>
      </c>
      <c r="AE6679">
        <v>-0.29862000000000599</v>
      </c>
      <c r="AF6679">
        <v>-0.41432835174870902</v>
      </c>
      <c r="AG6679">
        <v>-7.4278999999999901E-2</v>
      </c>
      <c r="AH6679">
        <v>0.56554591658571396</v>
      </c>
      <c r="AI6679">
        <v>96.047908944141895</v>
      </c>
      <c r="AJ6679">
        <v>126.227125634316</v>
      </c>
      <c r="AK6679">
        <v>0.70500179905485105</v>
      </c>
      <c r="AL6679">
        <v>69.346251851028995</v>
      </c>
      <c r="AM6679">
        <v>108.995622935797</v>
      </c>
      <c r="AN6679">
        <v>1.0000000163781999</v>
      </c>
    </row>
    <row r="6680" spans="1:40" x14ac:dyDescent="0.25">
      <c r="A6680" t="str">
        <f>"20190304164255557"</f>
        <v>20190304164255557</v>
      </c>
      <c r="B6680" t="str">
        <f>"1551688975548140"</f>
        <v>1551688975548140</v>
      </c>
      <c r="C6680" t="s">
        <v>40</v>
      </c>
      <c r="D6680">
        <v>4.463724</v>
      </c>
      <c r="E6680">
        <v>0.4334769</v>
      </c>
      <c r="F6680" t="s">
        <v>41</v>
      </c>
      <c r="G6680">
        <v>-296.6429</v>
      </c>
      <c r="H6680">
        <v>1.0440480000000001</v>
      </c>
      <c r="I6680">
        <v>-47.451419999999999</v>
      </c>
      <c r="J6680">
        <v>-297.279</v>
      </c>
      <c r="K6680">
        <v>1.117219</v>
      </c>
      <c r="L6680">
        <v>-47.163150000000002</v>
      </c>
      <c r="M6680">
        <v>0.49129040000000002</v>
      </c>
      <c r="N6680">
        <v>-8.8901399999999995E-3</v>
      </c>
      <c r="O6680">
        <v>-0.87095069999999997</v>
      </c>
      <c r="P6680">
        <v>0.69529669999999999</v>
      </c>
      <c r="Q6680">
        <v>0.34945520000000002</v>
      </c>
      <c r="R6680">
        <v>-0.62804789999999999</v>
      </c>
      <c r="S6680">
        <v>2.7802730000000002</v>
      </c>
      <c r="T6680">
        <v>-0.26311050000000002</v>
      </c>
      <c r="U6680">
        <v>-1.853119</v>
      </c>
      <c r="V6680">
        <v>-0.30333270000000001</v>
      </c>
      <c r="W6680">
        <v>0.3520046</v>
      </c>
      <c r="X6680">
        <v>0.8854841</v>
      </c>
      <c r="Y6680">
        <v>-0.4498008</v>
      </c>
      <c r="Z6680">
        <v>7.0898589999999997E-2</v>
      </c>
      <c r="AA6680">
        <v>0.89031039999999995</v>
      </c>
      <c r="AB6680">
        <v>27</v>
      </c>
      <c r="AC6680">
        <v>0.636099999999999</v>
      </c>
      <c r="AD6680">
        <v>-7.3171000000000097E-2</v>
      </c>
      <c r="AE6680">
        <v>-0.28826999999999697</v>
      </c>
      <c r="AF6680">
        <v>-0.40792564976351697</v>
      </c>
      <c r="AG6680">
        <v>-7.3171000000000097E-2</v>
      </c>
      <c r="AH6680">
        <v>0.55748116732406106</v>
      </c>
      <c r="AI6680">
        <v>96.046446279298493</v>
      </c>
      <c r="AJ6680">
        <v>126.194050747734</v>
      </c>
      <c r="AK6680">
        <v>0.69465285063619098</v>
      </c>
      <c r="AL6680">
        <v>69.390026090859706</v>
      </c>
      <c r="AM6680">
        <v>108.909482150223</v>
      </c>
      <c r="AN6680">
        <v>1.0000000283316199</v>
      </c>
    </row>
    <row r="6681" spans="1:40" x14ac:dyDescent="0.25">
      <c r="A6681" t="str">
        <f>"20190304164255580"</f>
        <v>20190304164255580</v>
      </c>
      <c r="B6681" t="str">
        <f>"1551688975567661"</f>
        <v>1551688975567661</v>
      </c>
      <c r="C6681" t="s">
        <v>40</v>
      </c>
      <c r="D6681">
        <v>4.4674959999999997</v>
      </c>
      <c r="E6681">
        <v>0.43398720000000002</v>
      </c>
      <c r="F6681" t="s">
        <v>41</v>
      </c>
      <c r="G6681">
        <v>-296.47949999999997</v>
      </c>
      <c r="H6681">
        <v>1.0407959999999901</v>
      </c>
      <c r="I6681">
        <v>-47.68938</v>
      </c>
      <c r="J6681">
        <v>-297.1354</v>
      </c>
      <c r="K6681">
        <v>1.1172500000000001</v>
      </c>
      <c r="L6681">
        <v>-47.396059999999999</v>
      </c>
      <c r="M6681">
        <v>0.50022889999999998</v>
      </c>
      <c r="N6681">
        <v>-8.8476619999999992E-3</v>
      </c>
      <c r="O6681">
        <v>-0.86584810000000001</v>
      </c>
      <c r="P6681">
        <v>0.70089460000000003</v>
      </c>
      <c r="Q6681">
        <v>0.3484604</v>
      </c>
      <c r="R6681">
        <v>-0.62235269999999898</v>
      </c>
      <c r="S6681">
        <v>2.7899479999999999</v>
      </c>
      <c r="T6681">
        <v>-0.26669530000000002</v>
      </c>
      <c r="U6681">
        <v>-1.8364259999999999</v>
      </c>
      <c r="V6681">
        <v>-0.30187910000000001</v>
      </c>
      <c r="W6681">
        <v>0.35098010000000002</v>
      </c>
      <c r="X6681">
        <v>0.88638709999999898</v>
      </c>
      <c r="Y6681">
        <v>-0.44568059999999998</v>
      </c>
      <c r="Z6681">
        <v>7.1729760000000004E-2</v>
      </c>
      <c r="AA6681">
        <v>0.89231369999999899</v>
      </c>
      <c r="AB6681">
        <v>27</v>
      </c>
      <c r="AC6681">
        <v>0.65590000000003101</v>
      </c>
      <c r="AD6681">
        <v>-7.6454000000000202E-2</v>
      </c>
      <c r="AE6681">
        <v>-0.29332000000000102</v>
      </c>
      <c r="AF6681">
        <v>-0.416483389167496</v>
      </c>
      <c r="AG6681">
        <v>-7.6454000000000202E-2</v>
      </c>
      <c r="AH6681">
        <v>0.57557639354052204</v>
      </c>
      <c r="AI6681">
        <v>96.142116503143896</v>
      </c>
      <c r="AJ6681">
        <v>125.88925799038699</v>
      </c>
      <c r="AK6681">
        <v>0.71455707425618398</v>
      </c>
      <c r="AL6681">
        <v>69.452727085336306</v>
      </c>
      <c r="AM6681">
        <v>108.807432655409</v>
      </c>
      <c r="AN6681">
        <v>1.0000000563296101</v>
      </c>
    </row>
    <row r="6682" spans="1:40" x14ac:dyDescent="0.25">
      <c r="A6682" t="str">
        <f>"20190304164255603"</f>
        <v>20190304164255603</v>
      </c>
      <c r="B6682" t="str">
        <f>"1551688975597916"</f>
        <v>1551688975597916</v>
      </c>
      <c r="C6682" t="s">
        <v>40</v>
      </c>
      <c r="D6682">
        <v>4.4579370000000003</v>
      </c>
      <c r="E6682">
        <v>0.44050689999999998</v>
      </c>
      <c r="F6682" t="s">
        <v>57</v>
      </c>
      <c r="G6682">
        <v>-285.60759999999999</v>
      </c>
      <c r="H6682" s="1">
        <v>-4.489302E-6</v>
      </c>
      <c r="I6682">
        <v>-54.85859</v>
      </c>
      <c r="J6682">
        <v>-296.98770000000002</v>
      </c>
      <c r="K6682">
        <v>1.117273</v>
      </c>
      <c r="L6682">
        <v>-47.630220000000001</v>
      </c>
      <c r="M6682">
        <v>0.50921119999999997</v>
      </c>
      <c r="N6682">
        <v>-8.8074580000000006E-3</v>
      </c>
      <c r="O6682">
        <v>-0.86059660000000004</v>
      </c>
      <c r="P6682">
        <v>0.70690969999999997</v>
      </c>
      <c r="Q6682">
        <v>0.3479872</v>
      </c>
      <c r="R6682">
        <v>-0.61577899999999997</v>
      </c>
      <c r="S6682">
        <v>2.803741</v>
      </c>
      <c r="T6682">
        <v>-0.27173389999999997</v>
      </c>
      <c r="U6682">
        <v>-1.815002</v>
      </c>
      <c r="V6682">
        <v>-0.30115350000000002</v>
      </c>
      <c r="W6682">
        <v>0.35046300000000002</v>
      </c>
      <c r="X6682">
        <v>0.88683840000000003</v>
      </c>
      <c r="Y6682">
        <v>-0.4430848</v>
      </c>
      <c r="Z6682">
        <v>7.2977760000000003E-2</v>
      </c>
      <c r="AA6682">
        <v>0.89350439999999998</v>
      </c>
      <c r="AB6682">
        <v>27</v>
      </c>
      <c r="AC6682">
        <v>11.380100000000001</v>
      </c>
      <c r="AD6682">
        <v>-1.1172774893020001</v>
      </c>
      <c r="AE6682">
        <v>-7.2283699999999902</v>
      </c>
      <c r="AF6682">
        <v>-6.0714461460091798</v>
      </c>
      <c r="AG6682">
        <v>-1.1172774893020001</v>
      </c>
      <c r="AH6682">
        <v>11.9340864501232</v>
      </c>
      <c r="AI6682">
        <v>94.769874186955704</v>
      </c>
      <c r="AJ6682">
        <v>116.964638743454</v>
      </c>
      <c r="AK6682">
        <v>13.436263866529501</v>
      </c>
      <c r="AL6682">
        <v>69.484364121891403</v>
      </c>
      <c r="AM6682">
        <v>108.756512871309</v>
      </c>
      <c r="AN6682">
        <v>1.0000000463229</v>
      </c>
    </row>
    <row r="6683" spans="1:40" x14ac:dyDescent="0.25">
      <c r="A6683" t="str">
        <f>"20190304164255625"</f>
        <v>20190304164255625</v>
      </c>
      <c r="B6683" t="str">
        <f>"1551688975617439"</f>
        <v>1551688975617439</v>
      </c>
      <c r="C6683" t="s">
        <v>40</v>
      </c>
      <c r="D6683">
        <v>4.4685579999999998</v>
      </c>
      <c r="E6683">
        <v>0.42432619999999999</v>
      </c>
      <c r="F6683" t="s">
        <v>41</v>
      </c>
      <c r="G6683">
        <v>-296.10270000000003</v>
      </c>
      <c r="H6683">
        <v>1.025854</v>
      </c>
      <c r="I6683">
        <v>-48.210270000000001</v>
      </c>
      <c r="J6683">
        <v>-296.84480000000002</v>
      </c>
      <c r="K6683">
        <v>1.1172979999999999</v>
      </c>
      <c r="L6683">
        <v>-47.851590000000002</v>
      </c>
      <c r="M6683">
        <v>0.51770169999999904</v>
      </c>
      <c r="N6683">
        <v>-8.7691739999999994E-3</v>
      </c>
      <c r="O6683">
        <v>-0.85551630000000001</v>
      </c>
      <c r="P6683">
        <v>0.71274850000000001</v>
      </c>
      <c r="Q6683">
        <v>0.34756920000000002</v>
      </c>
      <c r="R6683">
        <v>-0.60924979999999995</v>
      </c>
      <c r="S6683">
        <v>2.7919010000000002</v>
      </c>
      <c r="T6683">
        <v>-0.28839389999999998</v>
      </c>
      <c r="U6683">
        <v>-1.829742</v>
      </c>
      <c r="V6683">
        <v>-0.30072949999999998</v>
      </c>
      <c r="W6683">
        <v>0.3499968</v>
      </c>
      <c r="X6683">
        <v>0.88716629999999996</v>
      </c>
      <c r="Y6683">
        <v>-0.42881130000000001</v>
      </c>
      <c r="Z6683">
        <v>7.7286779999999999E-2</v>
      </c>
      <c r="AA6683">
        <v>0.9000821</v>
      </c>
      <c r="AB6683">
        <v>27</v>
      </c>
      <c r="AC6683">
        <v>0.74209999999999299</v>
      </c>
      <c r="AD6683">
        <v>-9.1443999999999803E-2</v>
      </c>
      <c r="AE6683">
        <v>-0.358679999999999</v>
      </c>
      <c r="AF6683">
        <v>-0.44374478314749999</v>
      </c>
      <c r="AG6683">
        <v>-9.1443999999999803E-2</v>
      </c>
      <c r="AH6683">
        <v>0.68266689701133698</v>
      </c>
      <c r="AI6683">
        <v>96.408014723436693</v>
      </c>
      <c r="AJ6683">
        <v>123.02453427065799</v>
      </c>
      <c r="AK6683">
        <v>0.81933236844501001</v>
      </c>
      <c r="AL6683">
        <v>69.512880997109406</v>
      </c>
      <c r="AM6683">
        <v>108.72550753901101</v>
      </c>
      <c r="AN6683">
        <v>1.0000000180180899</v>
      </c>
    </row>
    <row r="6684" spans="1:40" x14ac:dyDescent="0.25">
      <c r="A6684" t="str">
        <f>"20190304164255647"</f>
        <v>20190304164255647</v>
      </c>
      <c r="B6684" t="str">
        <f>"1551688975637933"</f>
        <v>1551688975637933</v>
      </c>
      <c r="C6684" t="s">
        <v>40</v>
      </c>
      <c r="D6684">
        <v>4.466278</v>
      </c>
      <c r="E6684">
        <v>0.41502090000000003</v>
      </c>
      <c r="F6684" t="s">
        <v>41</v>
      </c>
      <c r="G6684">
        <v>-295.9409</v>
      </c>
      <c r="H6684">
        <v>1.0380450000000001</v>
      </c>
      <c r="I6684">
        <v>-48.382640000000002</v>
      </c>
      <c r="J6684">
        <v>-296.69459999999998</v>
      </c>
      <c r="K6684">
        <v>1.1173219999999999</v>
      </c>
      <c r="L6684">
        <v>-48.079189999999997</v>
      </c>
      <c r="M6684">
        <v>0.52643030000000002</v>
      </c>
      <c r="N6684">
        <v>-8.7305179999999996E-3</v>
      </c>
      <c r="O6684">
        <v>-0.85017369999999903</v>
      </c>
      <c r="P6684">
        <v>0.71889809999999998</v>
      </c>
      <c r="Q6684">
        <v>0.34739999999999999</v>
      </c>
      <c r="R6684">
        <v>-0.60207900000000003</v>
      </c>
      <c r="S6684">
        <v>2.8838499999999998</v>
      </c>
      <c r="T6684">
        <v>-0.252862799999999</v>
      </c>
      <c r="U6684">
        <v>-1.69458</v>
      </c>
      <c r="V6684">
        <v>-0.30063299999999998</v>
      </c>
      <c r="W6684">
        <v>0.34977079999999999</v>
      </c>
      <c r="X6684">
        <v>0.88728819999999997</v>
      </c>
      <c r="Y6684">
        <v>-0.4639472</v>
      </c>
      <c r="Z6684">
        <v>6.7624020000000007E-2</v>
      </c>
      <c r="AA6684">
        <v>0.88327800000000001</v>
      </c>
      <c r="AB6684">
        <v>28</v>
      </c>
      <c r="AC6684">
        <v>0.75369999999998005</v>
      </c>
      <c r="AD6684">
        <v>-7.9276999999999806E-2</v>
      </c>
      <c r="AE6684">
        <v>-0.303449999999998</v>
      </c>
      <c r="AF6684">
        <v>-0.476512297482869</v>
      </c>
      <c r="AG6684">
        <v>-7.9276999999999806E-2</v>
      </c>
      <c r="AH6684">
        <v>0.64860557202483005</v>
      </c>
      <c r="AI6684">
        <v>95.625567708130902</v>
      </c>
      <c r="AJ6684">
        <v>126.30367986555299</v>
      </c>
      <c r="AK6684">
        <v>0.80872615911880796</v>
      </c>
      <c r="AL6684">
        <v>69.526704880737896</v>
      </c>
      <c r="AM6684">
        <v>108.717524710223</v>
      </c>
      <c r="AN6684">
        <v>1.00000008154043</v>
      </c>
    </row>
    <row r="6685" spans="1:40" x14ac:dyDescent="0.25">
      <c r="A6685" t="str">
        <f>"20190304164255670"</f>
        <v>20190304164255670</v>
      </c>
      <c r="B6685" t="str">
        <f>"1551688975657453"</f>
        <v>1551688975657453</v>
      </c>
      <c r="C6685" t="s">
        <v>40</v>
      </c>
      <c r="D6685">
        <v>4.4592850000000004</v>
      </c>
      <c r="E6685">
        <v>0.41158149999999899</v>
      </c>
      <c r="F6685" t="s">
        <v>41</v>
      </c>
      <c r="G6685">
        <v>-295.79379999999998</v>
      </c>
      <c r="H6685">
        <v>1.047388</v>
      </c>
      <c r="I6685">
        <v>-48.56973</v>
      </c>
      <c r="J6685">
        <v>-296.5428</v>
      </c>
      <c r="K6685">
        <v>1.117335</v>
      </c>
      <c r="L6685">
        <v>-48.30444</v>
      </c>
      <c r="M6685">
        <v>0.53506239999999905</v>
      </c>
      <c r="N6685">
        <v>-8.6955350000000008E-3</v>
      </c>
      <c r="O6685">
        <v>-0.84476770000000001</v>
      </c>
      <c r="P6685">
        <v>0.72517209999999999</v>
      </c>
      <c r="Q6685">
        <v>0.34698099999999998</v>
      </c>
      <c r="R6685">
        <v>-0.59475199999999995</v>
      </c>
      <c r="S6685">
        <v>2.942078</v>
      </c>
      <c r="T6685">
        <v>-0.22837479999999999</v>
      </c>
      <c r="U6685">
        <v>-1.601593</v>
      </c>
      <c r="V6685">
        <v>-0.30079260000000002</v>
      </c>
      <c r="W6685">
        <v>0.34929310000000002</v>
      </c>
      <c r="X6685">
        <v>0.88742219999999905</v>
      </c>
      <c r="Y6685">
        <v>-0.48418470000000002</v>
      </c>
      <c r="Z6685">
        <v>6.0765319999999998E-2</v>
      </c>
      <c r="AA6685">
        <v>0.87285330000000005</v>
      </c>
      <c r="AB6685">
        <v>28</v>
      </c>
      <c r="AC6685">
        <v>0.74900000000002298</v>
      </c>
      <c r="AD6685">
        <v>-6.9946999999999898E-2</v>
      </c>
      <c r="AE6685">
        <v>-0.26529000000000003</v>
      </c>
      <c r="AF6685">
        <v>-0.48702889247020198</v>
      </c>
      <c r="AG6685">
        <v>-6.9946999999999898E-2</v>
      </c>
      <c r="AH6685">
        <v>0.62008874434797501</v>
      </c>
      <c r="AI6685">
        <v>95.069479893613206</v>
      </c>
      <c r="AJ6685">
        <v>128.14673069854601</v>
      </c>
      <c r="AK6685">
        <v>0.79158055545648698</v>
      </c>
      <c r="AL6685">
        <v>69.555916147489697</v>
      </c>
      <c r="AM6685">
        <v>108.724138280741</v>
      </c>
      <c r="AN6685">
        <v>1.0000000094876</v>
      </c>
    </row>
    <row r="6686" spans="1:40" x14ac:dyDescent="0.25">
      <c r="A6686" t="str">
        <f>"20190304164255692"</f>
        <v>20190304164255692</v>
      </c>
      <c r="B6686" t="str">
        <f>"1551688975687708"</f>
        <v>1551688975687708</v>
      </c>
      <c r="C6686" t="s">
        <v>40</v>
      </c>
      <c r="D6686">
        <v>4.4738290000000003</v>
      </c>
      <c r="E6686">
        <v>0.41075139999999999</v>
      </c>
      <c r="F6686" t="s">
        <v>41</v>
      </c>
      <c r="G6686">
        <v>-295.65530000000001</v>
      </c>
      <c r="H6686">
        <v>1.05047</v>
      </c>
      <c r="I6686">
        <v>-48.766300000000001</v>
      </c>
      <c r="J6686">
        <v>-296.38490000000002</v>
      </c>
      <c r="K6686">
        <v>1.117372</v>
      </c>
      <c r="L6686">
        <v>-48.533569999999997</v>
      </c>
      <c r="M6686">
        <v>0.54384149999999998</v>
      </c>
      <c r="N6686">
        <v>-8.6643569999999993E-3</v>
      </c>
      <c r="O6686">
        <v>-0.83914339999999998</v>
      </c>
      <c r="P6686">
        <v>0.7313231</v>
      </c>
      <c r="Q6686">
        <v>0.34750029999999998</v>
      </c>
      <c r="R6686">
        <v>-0.58686499999999997</v>
      </c>
      <c r="S6686">
        <v>2.9746090000000001</v>
      </c>
      <c r="T6686">
        <v>-0.22411310000000001</v>
      </c>
      <c r="U6686">
        <v>-1.547974</v>
      </c>
      <c r="V6686">
        <v>-0.30098419999999998</v>
      </c>
      <c r="W6686">
        <v>0.3497519</v>
      </c>
      <c r="X6686">
        <v>0.88717649999999904</v>
      </c>
      <c r="Y6686">
        <v>-0.49143500000000001</v>
      </c>
      <c r="Z6686">
        <v>5.9501369999999998E-2</v>
      </c>
      <c r="AA6686">
        <v>0.86887930000000002</v>
      </c>
      <c r="AB6686">
        <v>28</v>
      </c>
      <c r="AC6686">
        <v>0.72960000000000402</v>
      </c>
      <c r="AD6686">
        <v>-6.6902000000000003E-2</v>
      </c>
      <c r="AE6686">
        <v>-0.232729999999996</v>
      </c>
      <c r="AF6686">
        <v>-0.482010358373544</v>
      </c>
      <c r="AG6686">
        <v>-6.6902000000000003E-2</v>
      </c>
      <c r="AH6686">
        <v>0.58761817180975195</v>
      </c>
      <c r="AI6686">
        <v>95.030593317301395</v>
      </c>
      <c r="AJ6686">
        <v>129.36128130855801</v>
      </c>
      <c r="AK6686">
        <v>0.76295804538941003</v>
      </c>
      <c r="AL6686">
        <v>69.527859273660795</v>
      </c>
      <c r="AM6686">
        <v>108.740059784252</v>
      </c>
      <c r="AN6686">
        <v>1.0000000111777401</v>
      </c>
    </row>
    <row r="6687" spans="1:40" x14ac:dyDescent="0.25">
      <c r="A6687" t="str">
        <f>"20190304164255715"</f>
        <v>20190304164255715</v>
      </c>
      <c r="B6687" t="str">
        <f>"1551688975708205"</f>
        <v>1551688975708205</v>
      </c>
      <c r="C6687" t="s">
        <v>40</v>
      </c>
      <c r="D6687">
        <v>4.4687679999999999</v>
      </c>
      <c r="E6687">
        <v>0.41095429999999999</v>
      </c>
      <c r="F6687" t="s">
        <v>41</v>
      </c>
      <c r="G6687">
        <v>-295.52159999999998</v>
      </c>
      <c r="H6687">
        <v>1.0538670000000001</v>
      </c>
      <c r="I6687">
        <v>-48.969140000000003</v>
      </c>
      <c r="J6687">
        <v>-296.22750000000002</v>
      </c>
      <c r="K6687">
        <v>1.117416</v>
      </c>
      <c r="L6687">
        <v>-48.757199999999997</v>
      </c>
      <c r="M6687">
        <v>0.55240459999999902</v>
      </c>
      <c r="N6687">
        <v>-8.6379639999999997E-3</v>
      </c>
      <c r="O6687">
        <v>-0.83353159999999904</v>
      </c>
      <c r="P6687">
        <v>0.73692179999999996</v>
      </c>
      <c r="Q6687">
        <v>0.3484833</v>
      </c>
      <c r="R6687">
        <v>-0.57922890000000005</v>
      </c>
      <c r="S6687">
        <v>2.99472</v>
      </c>
      <c r="T6687">
        <v>-0.2202617</v>
      </c>
      <c r="U6687">
        <v>-1.510437</v>
      </c>
      <c r="V6687">
        <v>-0.30078919999999998</v>
      </c>
      <c r="W6687">
        <v>0.35068539999999998</v>
      </c>
      <c r="X6687">
        <v>0.8868741</v>
      </c>
      <c r="Y6687">
        <v>-0.49362499999999998</v>
      </c>
      <c r="Z6687">
        <v>5.8285389999999999E-2</v>
      </c>
      <c r="AA6687">
        <v>0.86771949999999998</v>
      </c>
      <c r="AB6687">
        <v>28</v>
      </c>
      <c r="AC6687">
        <v>0.70590000000004205</v>
      </c>
      <c r="AD6687">
        <v>-6.35489999999998E-2</v>
      </c>
      <c r="AE6687">
        <v>-0.21194000000000501</v>
      </c>
      <c r="AF6687">
        <v>-0.46785260726655598</v>
      </c>
      <c r="AG6687">
        <v>-6.35489999999998E-2</v>
      </c>
      <c r="AH6687">
        <v>0.562440705501983</v>
      </c>
      <c r="AI6687">
        <v>94.964484527800806</v>
      </c>
      <c r="AJ6687">
        <v>129.754552728833</v>
      </c>
      <c r="AK6687">
        <v>0.73434602520384196</v>
      </c>
      <c r="AL6687">
        <v>69.4707576997301</v>
      </c>
      <c r="AM6687">
        <v>108.73470590181</v>
      </c>
      <c r="AN6687">
        <v>1.0000000309303001</v>
      </c>
    </row>
    <row r="6688" spans="1:40" x14ac:dyDescent="0.25">
      <c r="A6688" t="str">
        <f>"20190304164255736"</f>
        <v>20190304164255736</v>
      </c>
      <c r="B6688" t="str">
        <f>"1551688975727724"</f>
        <v>1551688975727724</v>
      </c>
      <c r="C6688" t="s">
        <v>40</v>
      </c>
      <c r="D6688">
        <v>4.4626970000000004</v>
      </c>
      <c r="E6688">
        <v>0.41151860000000001</v>
      </c>
      <c r="F6688" t="s">
        <v>41</v>
      </c>
      <c r="G6688">
        <v>-295.3854</v>
      </c>
      <c r="H6688">
        <v>1.056559</v>
      </c>
      <c r="I6688">
        <v>-49.171140000000001</v>
      </c>
      <c r="J6688">
        <v>-296.07240000000002</v>
      </c>
      <c r="K6688">
        <v>1.117459</v>
      </c>
      <c r="L6688">
        <v>-48.972810000000003</v>
      </c>
      <c r="M6688">
        <v>0.56065690000000001</v>
      </c>
      <c r="N6688">
        <v>-8.6161199999999997E-3</v>
      </c>
      <c r="O6688">
        <v>-0.82800359999999995</v>
      </c>
      <c r="P6688">
        <v>0.74239980000000005</v>
      </c>
      <c r="Q6688">
        <v>0.34886519999999999</v>
      </c>
      <c r="R6688">
        <v>-0.57195790000000002</v>
      </c>
      <c r="S6688">
        <v>3.0106809999999999</v>
      </c>
      <c r="T6688">
        <v>-0.21757670000000001</v>
      </c>
      <c r="U6688">
        <v>-1.479919</v>
      </c>
      <c r="V6688">
        <v>-0.30058639999999998</v>
      </c>
      <c r="W6688">
        <v>0.35102480000000003</v>
      </c>
      <c r="X6688">
        <v>0.88680859999999995</v>
      </c>
      <c r="Y6688">
        <v>-0.49395139999999998</v>
      </c>
      <c r="Z6688">
        <v>5.7365359999999997E-2</v>
      </c>
      <c r="AA6688">
        <v>0.86759509999999995</v>
      </c>
      <c r="AB6688">
        <v>28</v>
      </c>
      <c r="AC6688">
        <v>0.68700000000001105</v>
      </c>
      <c r="AD6688">
        <v>-6.0899999999999899E-2</v>
      </c>
      <c r="AE6688">
        <v>-0.198330000000005</v>
      </c>
      <c r="AF6688">
        <v>-0.45436450292759201</v>
      </c>
      <c r="AG6688">
        <v>-6.0899999999999899E-2</v>
      </c>
      <c r="AH6688">
        <v>0.54545302352787906</v>
      </c>
      <c r="AI6688">
        <v>94.903173762459801</v>
      </c>
      <c r="AJ6688">
        <v>129.79443029861201</v>
      </c>
      <c r="AK6688">
        <v>0.71251309629812598</v>
      </c>
      <c r="AL6688">
        <v>69.449991664884493</v>
      </c>
      <c r="AM6688">
        <v>108.724241451259</v>
      </c>
      <c r="AN6688">
        <v>1.00000004355697</v>
      </c>
    </row>
    <row r="6689" spans="1:40" x14ac:dyDescent="0.25">
      <c r="A6689" t="str">
        <f>"20190304164255758"</f>
        <v>20190304164255758</v>
      </c>
      <c r="B6689" t="str">
        <f>"1551688975748221"</f>
        <v>1551688975748221</v>
      </c>
      <c r="C6689" t="s">
        <v>40</v>
      </c>
      <c r="D6689">
        <v>4.4886169999999996</v>
      </c>
      <c r="E6689">
        <v>0.412381</v>
      </c>
      <c r="F6689" t="s">
        <v>41</v>
      </c>
      <c r="G6689">
        <v>-295.24520000000001</v>
      </c>
      <c r="H6689">
        <v>1.0578860000000001</v>
      </c>
      <c r="I6689">
        <v>-49.370629999999998</v>
      </c>
      <c r="J6689">
        <v>-295.90480000000002</v>
      </c>
      <c r="K6689">
        <v>1.117489</v>
      </c>
      <c r="L6689">
        <v>-49.201230000000002</v>
      </c>
      <c r="M6689">
        <v>0.56939229999999996</v>
      </c>
      <c r="N6689">
        <v>-8.5965690000000001E-3</v>
      </c>
      <c r="O6689">
        <v>-0.82202109999999995</v>
      </c>
      <c r="P6689">
        <v>0.74891129999999995</v>
      </c>
      <c r="Q6689">
        <v>0.34867670000000001</v>
      </c>
      <c r="R6689">
        <v>-0.56352199999999997</v>
      </c>
      <c r="S6689">
        <v>3.0233759999999998</v>
      </c>
      <c r="T6689">
        <v>-0.2177047</v>
      </c>
      <c r="U6689">
        <v>-1.4535830000000001</v>
      </c>
      <c r="V6689">
        <v>-0.30133300000000002</v>
      </c>
      <c r="W6689">
        <v>0.35077649999999999</v>
      </c>
      <c r="X6689">
        <v>0.88665339999999904</v>
      </c>
      <c r="Y6689">
        <v>-0.49231580000000003</v>
      </c>
      <c r="Z6689">
        <v>5.7209339999999997E-2</v>
      </c>
      <c r="AA6689">
        <v>0.86853459999999905</v>
      </c>
      <c r="AB6689">
        <v>28</v>
      </c>
      <c r="AC6689">
        <v>0.65960000000001096</v>
      </c>
      <c r="AD6689">
        <v>-5.9602999999999802E-2</v>
      </c>
      <c r="AE6689">
        <v>-0.16940000000000299</v>
      </c>
      <c r="AF6689">
        <v>-0.442377830576139</v>
      </c>
      <c r="AG6689">
        <v>-5.9602999999999802E-2</v>
      </c>
      <c r="AH6689">
        <v>0.510926757882609</v>
      </c>
      <c r="AI6689">
        <v>95.040016916440294</v>
      </c>
      <c r="AJ6689">
        <v>130.88713203090199</v>
      </c>
      <c r="AK6689">
        <v>0.67845177758974595</v>
      </c>
      <c r="AL6689">
        <v>69.465183130103895</v>
      </c>
      <c r="AM6689">
        <v>108.770551628947</v>
      </c>
      <c r="AN6689">
        <v>0.999999990786404</v>
      </c>
    </row>
    <row r="6690" spans="1:40" x14ac:dyDescent="0.25">
      <c r="A6690" t="str">
        <f>"20190304164255781"</f>
        <v>20190304164255781</v>
      </c>
      <c r="B6690" t="str">
        <f>"1551688975777505"</f>
        <v>1551688975777505</v>
      </c>
      <c r="C6690" t="s">
        <v>40</v>
      </c>
      <c r="D6690">
        <v>4.4906739999999896</v>
      </c>
      <c r="E6690">
        <v>0.4138096</v>
      </c>
      <c r="F6690" t="s">
        <v>41</v>
      </c>
      <c r="G6690">
        <v>-295.10829999999999</v>
      </c>
      <c r="H6690">
        <v>1.0593360000000001</v>
      </c>
      <c r="I6690">
        <v>-49.575330000000001</v>
      </c>
      <c r="J6690">
        <v>-295.74090000000001</v>
      </c>
      <c r="K6690">
        <v>1.117513</v>
      </c>
      <c r="L6690">
        <v>-49.41977</v>
      </c>
      <c r="M6690">
        <v>0.57773969999999997</v>
      </c>
      <c r="N6690">
        <v>-8.5807309999999994E-3</v>
      </c>
      <c r="O6690">
        <v>-0.81617600000000001</v>
      </c>
      <c r="P6690">
        <v>0.75515489999999996</v>
      </c>
      <c r="Q6690">
        <v>0.34820099999999998</v>
      </c>
      <c r="R6690">
        <v>-0.55542539999999996</v>
      </c>
      <c r="S6690">
        <v>3.036041</v>
      </c>
      <c r="T6690">
        <v>-0.22165309999999999</v>
      </c>
      <c r="U6690">
        <v>-1.425934</v>
      </c>
      <c r="V6690">
        <v>-0.30204389999999998</v>
      </c>
      <c r="W6690">
        <v>0.35024949999999999</v>
      </c>
      <c r="X6690">
        <v>0.88661990000000002</v>
      </c>
      <c r="Y6690">
        <v>-0.49125849999999999</v>
      </c>
      <c r="Z6690">
        <v>5.8168209999999998E-2</v>
      </c>
      <c r="AA6690">
        <v>0.86906930000000004</v>
      </c>
      <c r="AB6690">
        <v>28</v>
      </c>
      <c r="AC6690">
        <v>0.63260000000002403</v>
      </c>
      <c r="AD6690">
        <v>-5.8176999999999902E-2</v>
      </c>
      <c r="AE6690">
        <v>-0.155560000000001</v>
      </c>
      <c r="AF6690">
        <v>-0.42308124655655799</v>
      </c>
      <c r="AG6690">
        <v>-5.8176999999999902E-2</v>
      </c>
      <c r="AH6690">
        <v>0.48856415309699402</v>
      </c>
      <c r="AI6690">
        <v>95.1437114238378</v>
      </c>
      <c r="AJ6690">
        <v>130.89153688574299</v>
      </c>
      <c r="AK6690">
        <v>0.64890464338624898</v>
      </c>
      <c r="AL6690">
        <v>69.497424418882105</v>
      </c>
      <c r="AM6690">
        <v>108.812384340937</v>
      </c>
      <c r="AN6690">
        <v>1.00000003842673</v>
      </c>
    </row>
    <row r="6691" spans="1:40" x14ac:dyDescent="0.25">
      <c r="A6691" t="str">
        <f>"20190304164255803"</f>
        <v>20190304164255803</v>
      </c>
      <c r="B6691" t="str">
        <f>"1551688975797997"</f>
        <v>1551688975797997</v>
      </c>
      <c r="C6691" t="s">
        <v>40</v>
      </c>
      <c r="D6691">
        <v>4.4955220000000002</v>
      </c>
      <c r="E6691">
        <v>0.41465000000000002</v>
      </c>
      <c r="F6691" t="s">
        <v>41</v>
      </c>
      <c r="G6691">
        <v>-294.96589999999998</v>
      </c>
      <c r="H6691">
        <v>1.059744</v>
      </c>
      <c r="I6691">
        <v>-49.777479999999997</v>
      </c>
      <c r="J6691">
        <v>-295.5711</v>
      </c>
      <c r="K6691">
        <v>1.1175349999999999</v>
      </c>
      <c r="L6691">
        <v>-49.641109999999998</v>
      </c>
      <c r="M6691">
        <v>0.58618380000000003</v>
      </c>
      <c r="N6691">
        <v>-8.5673150000000007E-3</v>
      </c>
      <c r="O6691">
        <v>-0.81013269999999904</v>
      </c>
      <c r="P6691">
        <v>0.76100080000000003</v>
      </c>
      <c r="Q6691">
        <v>0.34891549999999999</v>
      </c>
      <c r="R6691">
        <v>-0.5469328</v>
      </c>
      <c r="S6691">
        <v>3.0443120000000001</v>
      </c>
      <c r="T6691">
        <v>-0.226881</v>
      </c>
      <c r="U6691">
        <v>-1.4044490000000001</v>
      </c>
      <c r="V6691">
        <v>-0.30254300000000001</v>
      </c>
      <c r="W6691">
        <v>0.3509176</v>
      </c>
      <c r="X6691">
        <v>0.88618539999999901</v>
      </c>
      <c r="Y6691">
        <v>-0.48808040000000003</v>
      </c>
      <c r="Z6691">
        <v>5.9435439999999999E-2</v>
      </c>
      <c r="AA6691">
        <v>0.87077269999999896</v>
      </c>
      <c r="AB6691">
        <v>28</v>
      </c>
      <c r="AC6691">
        <v>0.60520000000002405</v>
      </c>
      <c r="AD6691">
        <v>-5.7790999999999898E-2</v>
      </c>
      <c r="AE6691">
        <v>-0.13636999999999899</v>
      </c>
      <c r="AF6691">
        <v>-0.406839021374514</v>
      </c>
      <c r="AG6691">
        <v>-5.7790999999999898E-2</v>
      </c>
      <c r="AH6691">
        <v>0.46125066946923698</v>
      </c>
      <c r="AI6691">
        <v>95.367950594689404</v>
      </c>
      <c r="AJ6691">
        <v>131.41340668052101</v>
      </c>
      <c r="AK6691">
        <v>0.61774587742840603</v>
      </c>
      <c r="AL6691">
        <v>69.456550017478904</v>
      </c>
      <c r="AM6691">
        <v>108.84986443956301</v>
      </c>
      <c r="AN6691">
        <v>0.99999999600595901</v>
      </c>
    </row>
    <row r="6692" spans="1:40" x14ac:dyDescent="0.25">
      <c r="A6692" t="str">
        <f>"20190304164255826"</f>
        <v>20190304164255826</v>
      </c>
      <c r="B6692" t="str">
        <f>"1551688975817516"</f>
        <v>1551688975817516</v>
      </c>
      <c r="C6692" t="s">
        <v>40</v>
      </c>
      <c r="D6692">
        <v>4.4853120000000004</v>
      </c>
      <c r="E6692">
        <v>0.4252417</v>
      </c>
      <c r="F6692" t="s">
        <v>41</v>
      </c>
      <c r="G6692">
        <v>-294.59190000000001</v>
      </c>
      <c r="H6692">
        <v>1.0451569999999999</v>
      </c>
      <c r="I6692">
        <v>-50.08229</v>
      </c>
      <c r="J6692">
        <v>-295.40109999999999</v>
      </c>
      <c r="K6692">
        <v>1.117561</v>
      </c>
      <c r="L6692">
        <v>-49.858150000000002</v>
      </c>
      <c r="M6692">
        <v>0.59444830000000004</v>
      </c>
      <c r="N6692">
        <v>-8.5563940000000002E-3</v>
      </c>
      <c r="O6692">
        <v>-0.80408849999999998</v>
      </c>
      <c r="P6692">
        <v>0.76613509999999996</v>
      </c>
      <c r="Q6692">
        <v>0.34961819999999999</v>
      </c>
      <c r="R6692">
        <v>-0.53926300000000005</v>
      </c>
      <c r="S6692">
        <v>3.0564879999999999</v>
      </c>
      <c r="T6692">
        <v>-0.2258725</v>
      </c>
      <c r="U6692">
        <v>-1.376465</v>
      </c>
      <c r="V6692">
        <v>-0.30214530000000001</v>
      </c>
      <c r="W6692">
        <v>0.35159940000000001</v>
      </c>
      <c r="X6692">
        <v>0.88605089999999997</v>
      </c>
      <c r="Y6692">
        <v>-0.4871008</v>
      </c>
      <c r="Z6692">
        <v>5.8946560000000002E-2</v>
      </c>
      <c r="AA6692">
        <v>0.87135419999999997</v>
      </c>
      <c r="AB6692">
        <v>28</v>
      </c>
      <c r="AC6692">
        <v>0.80919999999997505</v>
      </c>
      <c r="AD6692">
        <v>-7.2404000000000093E-2</v>
      </c>
      <c r="AE6692">
        <v>-0.22413999999999801</v>
      </c>
      <c r="AF6692">
        <v>-0.51362855702727095</v>
      </c>
      <c r="AG6692">
        <v>-7.2404000000000093E-2</v>
      </c>
      <c r="AH6692">
        <v>0.65639941798498402</v>
      </c>
      <c r="AI6692">
        <v>94.964844025532699</v>
      </c>
      <c r="AJ6692">
        <v>128.042964187867</v>
      </c>
      <c r="AK6692">
        <v>0.83661032132106905</v>
      </c>
      <c r="AL6692">
        <v>69.414828461289503</v>
      </c>
      <c r="AM6692">
        <v>108.82948883361701</v>
      </c>
      <c r="AN6692">
        <v>1.00000005889162</v>
      </c>
    </row>
    <row r="6693" spans="1:40" x14ac:dyDescent="0.25">
      <c r="A6693" t="str">
        <f>"20190304164255848"</f>
        <v>20190304164255848</v>
      </c>
      <c r="B6693" t="str">
        <f>"1551688975838013"</f>
        <v>1551688975838013</v>
      </c>
      <c r="C6693" t="s">
        <v>40</v>
      </c>
      <c r="D6693">
        <v>4.4989530000000002</v>
      </c>
      <c r="E6693">
        <v>0.4256141</v>
      </c>
      <c r="F6693" t="s">
        <v>41</v>
      </c>
      <c r="G6693">
        <v>-294.46030000000002</v>
      </c>
      <c r="H6693">
        <v>1.0379529999999999</v>
      </c>
      <c r="I6693">
        <v>-50.299190000000003</v>
      </c>
      <c r="J6693">
        <v>-295.22969999999998</v>
      </c>
      <c r="K6693">
        <v>1.1175809999999999</v>
      </c>
      <c r="L6693">
        <v>-50.072629999999997</v>
      </c>
      <c r="M6693">
        <v>0.60259619999999903</v>
      </c>
      <c r="N6693">
        <v>-8.5479309999999999E-3</v>
      </c>
      <c r="O6693">
        <v>-0.79800059999999995</v>
      </c>
      <c r="P6693">
        <v>0.77089469999999904</v>
      </c>
      <c r="Q6693">
        <v>0.3496862</v>
      </c>
      <c r="R6693">
        <v>-0.53239179999999997</v>
      </c>
      <c r="S6693">
        <v>3.0321349999999998</v>
      </c>
      <c r="T6693">
        <v>-0.25660060000000001</v>
      </c>
      <c r="U6693">
        <v>-1.4217219999999999</v>
      </c>
      <c r="V6693">
        <v>-0.30104629999999999</v>
      </c>
      <c r="W6693">
        <v>0.35166720000000001</v>
      </c>
      <c r="X6693">
        <v>0.88639799999999902</v>
      </c>
      <c r="Y6693">
        <v>-0.4641653</v>
      </c>
      <c r="Z6693">
        <v>6.6820379999999999E-2</v>
      </c>
      <c r="AA6693">
        <v>0.88322449999999997</v>
      </c>
      <c r="AB6693">
        <v>28</v>
      </c>
      <c r="AC6693">
        <v>0.769399999999961</v>
      </c>
      <c r="AD6693">
        <v>-7.9627999999999796E-2</v>
      </c>
      <c r="AE6693">
        <v>-0.22656000000000601</v>
      </c>
      <c r="AF6693">
        <v>-0.472814656145359</v>
      </c>
      <c r="AG6693">
        <v>-7.9627999999999796E-2</v>
      </c>
      <c r="AH6693">
        <v>0.63816605135278304</v>
      </c>
      <c r="AI6693">
        <v>95.725197563042897</v>
      </c>
      <c r="AJ6693">
        <v>126.534597850838</v>
      </c>
      <c r="AK6693">
        <v>0.79821690444957205</v>
      </c>
      <c r="AL6693">
        <v>69.410678703664303</v>
      </c>
      <c r="AM6693">
        <v>108.75896734600001</v>
      </c>
      <c r="AN6693">
        <v>1.00000005435176</v>
      </c>
    </row>
    <row r="6694" spans="1:40" x14ac:dyDescent="0.25">
      <c r="A6694" t="str">
        <f>"20190304164255871"</f>
        <v>20190304164255871</v>
      </c>
      <c r="B6694" t="str">
        <f>"1551688975868269"</f>
        <v>1551688975868269</v>
      </c>
      <c r="C6694" t="s">
        <v>40</v>
      </c>
      <c r="D6694">
        <v>4.5118309999999999</v>
      </c>
      <c r="E6694">
        <v>0.42713869999999998</v>
      </c>
      <c r="F6694" t="s">
        <v>41</v>
      </c>
      <c r="G6694">
        <v>-294.30860000000001</v>
      </c>
      <c r="H6694">
        <v>1.0390029999999999</v>
      </c>
      <c r="I6694">
        <v>-50.495249999999999</v>
      </c>
      <c r="J6694">
        <v>-295.048</v>
      </c>
      <c r="K6694">
        <v>1.117612</v>
      </c>
      <c r="L6694">
        <v>-50.295200000000001</v>
      </c>
      <c r="M6694">
        <v>0.61103030000000003</v>
      </c>
      <c r="N6694">
        <v>-8.5412990000000005E-3</v>
      </c>
      <c r="O6694">
        <v>-0.79156110000000002</v>
      </c>
      <c r="P6694">
        <v>0.77561590000000002</v>
      </c>
      <c r="Q6694">
        <v>0.35020319999999999</v>
      </c>
      <c r="R6694">
        <v>-0.52514530000000004</v>
      </c>
      <c r="S6694">
        <v>3.0449220000000001</v>
      </c>
      <c r="T6694">
        <v>-0.25973939999999901</v>
      </c>
      <c r="U6694">
        <v>-1.3965449999999999</v>
      </c>
      <c r="V6694">
        <v>-0.29978630000000001</v>
      </c>
      <c r="W6694">
        <v>0.35218759999999999</v>
      </c>
      <c r="X6694">
        <v>0.88661829999999997</v>
      </c>
      <c r="Y6694">
        <v>-0.46216249999999998</v>
      </c>
      <c r="Z6694">
        <v>6.7357749999999994E-2</v>
      </c>
      <c r="AA6694">
        <v>0.88423349999999901</v>
      </c>
      <c r="AB6694">
        <v>28</v>
      </c>
      <c r="AC6694">
        <v>0.73939999999998895</v>
      </c>
      <c r="AD6694">
        <v>-7.8608999999999901E-2</v>
      </c>
      <c r="AE6694">
        <v>-0.20004999999999701</v>
      </c>
      <c r="AF6694">
        <v>-0.45823451194492698</v>
      </c>
      <c r="AG6694">
        <v>-7.8608999999999901E-2</v>
      </c>
      <c r="AH6694">
        <v>0.60381063211698305</v>
      </c>
      <c r="AI6694">
        <v>95.920728828651903</v>
      </c>
      <c r="AJ6694">
        <v>127.19502060641901</v>
      </c>
      <c r="AK6694">
        <v>0.76206661275502396</v>
      </c>
      <c r="AL6694">
        <v>69.378822353951904</v>
      </c>
      <c r="AM6694">
        <v>108.681592942953</v>
      </c>
      <c r="AN6694">
        <v>0.99999997057816903</v>
      </c>
    </row>
    <row r="6695" spans="1:40" x14ac:dyDescent="0.25">
      <c r="A6695" t="str">
        <f>"20190304164255895"</f>
        <v>20190304164255895</v>
      </c>
      <c r="B6695" t="str">
        <f>"1551688975887788"</f>
        <v>1551688975887788</v>
      </c>
      <c r="C6695" t="s">
        <v>40</v>
      </c>
      <c r="D6695">
        <v>4.517709</v>
      </c>
      <c r="E6695">
        <v>0.42756690000000003</v>
      </c>
      <c r="F6695" t="s">
        <v>41</v>
      </c>
      <c r="G6695">
        <v>-294.15969999999999</v>
      </c>
      <c r="H6695">
        <v>1.0416799999999999</v>
      </c>
      <c r="I6695">
        <v>-50.696449999999999</v>
      </c>
      <c r="J6695">
        <v>-294.8612</v>
      </c>
      <c r="K6695">
        <v>1.117629</v>
      </c>
      <c r="L6695">
        <v>-50.519289999999998</v>
      </c>
      <c r="M6695">
        <v>0.61949309999999902</v>
      </c>
      <c r="N6695">
        <v>-8.5362270000000004E-3</v>
      </c>
      <c r="O6695">
        <v>-0.78495559999999998</v>
      </c>
      <c r="P6695">
        <v>0.78065280000000004</v>
      </c>
      <c r="Q6695">
        <v>0.35009400000000002</v>
      </c>
      <c r="R6695">
        <v>-0.517702</v>
      </c>
      <c r="S6695">
        <v>3.0523069999999999</v>
      </c>
      <c r="T6695">
        <v>-0.2608992</v>
      </c>
      <c r="U6695">
        <v>-1.378571</v>
      </c>
      <c r="V6695">
        <v>-0.29879850000000002</v>
      </c>
      <c r="W6695">
        <v>0.35208230000000001</v>
      </c>
      <c r="X6695">
        <v>0.88699349999999999</v>
      </c>
      <c r="Y6695">
        <v>-0.4577637</v>
      </c>
      <c r="Z6695">
        <v>6.7283029999999994E-2</v>
      </c>
      <c r="AA6695">
        <v>0.88652430000000004</v>
      </c>
      <c r="AB6695">
        <v>28</v>
      </c>
      <c r="AC6695">
        <v>0.70150000000001</v>
      </c>
      <c r="AD6695">
        <v>-7.5949000000000003E-2</v>
      </c>
      <c r="AE6695">
        <v>-0.17715999999999299</v>
      </c>
      <c r="AF6695">
        <v>-0.43610763280666798</v>
      </c>
      <c r="AG6695">
        <v>-7.5949000000000003E-2</v>
      </c>
      <c r="AH6695">
        <v>0.56740590642737798</v>
      </c>
      <c r="AI6695">
        <v>96.057982826852495</v>
      </c>
      <c r="AJ6695">
        <v>127.54584507541701</v>
      </c>
      <c r="AK6695">
        <v>0.71965796086885003</v>
      </c>
      <c r="AL6695">
        <v>69.385268667129694</v>
      </c>
      <c r="AM6695">
        <v>108.616953326317</v>
      </c>
      <c r="AN6695">
        <v>0.99999997930889395</v>
      </c>
    </row>
    <row r="6696" spans="1:40" x14ac:dyDescent="0.25">
      <c r="A6696" t="str">
        <f>"20190304164255917"</f>
        <v>20190304164255917</v>
      </c>
      <c r="B6696" t="str">
        <f>"1551688975908285"</f>
        <v>1551688975908285</v>
      </c>
      <c r="C6696" t="s">
        <v>40</v>
      </c>
      <c r="D6696">
        <v>4.4965469999999996</v>
      </c>
      <c r="E6696">
        <v>0.43224299999999999</v>
      </c>
      <c r="F6696" t="s">
        <v>41</v>
      </c>
      <c r="G6696">
        <v>-294.00790000000001</v>
      </c>
      <c r="H6696">
        <v>1.043933</v>
      </c>
      <c r="I6696">
        <v>-50.896419999999999</v>
      </c>
      <c r="J6696">
        <v>-294.68209999999999</v>
      </c>
      <c r="K6696">
        <v>1.117639</v>
      </c>
      <c r="L6696">
        <v>-50.729860000000002</v>
      </c>
      <c r="M6696">
        <v>0.62741420000000003</v>
      </c>
      <c r="N6696">
        <v>-8.5322450000000008E-3</v>
      </c>
      <c r="O6696">
        <v>-0.77863909999999903</v>
      </c>
      <c r="P6696">
        <v>0.785188</v>
      </c>
      <c r="Q6696">
        <v>0.35088950000000002</v>
      </c>
      <c r="R6696">
        <v>-0.51025129999999996</v>
      </c>
      <c r="S6696">
        <v>3.0639340000000002</v>
      </c>
      <c r="T6696">
        <v>-0.26457069999999999</v>
      </c>
      <c r="U6696">
        <v>-1.353607</v>
      </c>
      <c r="V6696">
        <v>-0.29799900000000001</v>
      </c>
      <c r="W6696">
        <v>0.35287929999999901</v>
      </c>
      <c r="X6696">
        <v>0.88694580000000001</v>
      </c>
      <c r="Y6696">
        <v>-0.4559859</v>
      </c>
      <c r="Z6696">
        <v>6.7961729999999998E-2</v>
      </c>
      <c r="AA6696">
        <v>0.88738830000000002</v>
      </c>
      <c r="AB6696">
        <v>28</v>
      </c>
      <c r="AC6696">
        <v>0.67419999999998403</v>
      </c>
      <c r="AD6696">
        <v>-7.3705999999999994E-2</v>
      </c>
      <c r="AE6696">
        <v>-0.16656000000000401</v>
      </c>
      <c r="AF6696">
        <v>-0.41578812025672401</v>
      </c>
      <c r="AG6696">
        <v>-7.3705999999999994E-2</v>
      </c>
      <c r="AH6696">
        <v>0.54655633314228003</v>
      </c>
      <c r="AI6696">
        <v>96.126008464906803</v>
      </c>
      <c r="AJ6696">
        <v>127.261756756967</v>
      </c>
      <c r="AK6696">
        <v>0.69067804415701195</v>
      </c>
      <c r="AL6696">
        <v>69.336473176378504</v>
      </c>
      <c r="AM6696">
        <v>108.571490078026</v>
      </c>
      <c r="AN6696">
        <v>1.0000000282535599</v>
      </c>
    </row>
    <row r="6697" spans="1:40" x14ac:dyDescent="0.25">
      <c r="A6697" t="str">
        <f>"20190304164255938"</f>
        <v>20190304164255938</v>
      </c>
      <c r="B6697" t="str">
        <f>"1551688975927805"</f>
        <v>1551688975927805</v>
      </c>
      <c r="C6697" t="s">
        <v>40</v>
      </c>
      <c r="D6697">
        <v>4.5188230000000003</v>
      </c>
      <c r="E6697">
        <v>0.43301919999999999</v>
      </c>
      <c r="F6697" t="s">
        <v>41</v>
      </c>
      <c r="G6697">
        <v>-293.815</v>
      </c>
      <c r="H6697">
        <v>1.0407630000000001</v>
      </c>
      <c r="I6697">
        <v>-51.114789999999999</v>
      </c>
      <c r="J6697">
        <v>-294.50099999999998</v>
      </c>
      <c r="K6697">
        <v>1.11764</v>
      </c>
      <c r="L6697">
        <v>-50.938479999999998</v>
      </c>
      <c r="M6697">
        <v>0.63522509999999999</v>
      </c>
      <c r="N6697">
        <v>-8.5285489999999999E-3</v>
      </c>
      <c r="O6697">
        <v>-0.77228009999999903</v>
      </c>
      <c r="P6697">
        <v>0.78990919999999998</v>
      </c>
      <c r="Q6697">
        <v>0.35092020000000002</v>
      </c>
      <c r="R6697">
        <v>-0.50289079999999997</v>
      </c>
      <c r="S6697">
        <v>3.0592959999999998</v>
      </c>
      <c r="T6697">
        <v>-0.27124189999999998</v>
      </c>
      <c r="U6697">
        <v>-1.3582459999999901</v>
      </c>
      <c r="V6697">
        <v>-0.29734969999999999</v>
      </c>
      <c r="W6697">
        <v>0.35291539999999999</v>
      </c>
      <c r="X6697">
        <v>0.88714930000000003</v>
      </c>
      <c r="Y6697">
        <v>-0.44526070000000001</v>
      </c>
      <c r="Z6697">
        <v>6.9205909999999995E-2</v>
      </c>
      <c r="AA6697">
        <v>0.89272249999999997</v>
      </c>
      <c r="AB6697">
        <v>28</v>
      </c>
      <c r="AC6697">
        <v>0.68599999999997796</v>
      </c>
      <c r="AD6697">
        <v>-7.6877000000000001E-2</v>
      </c>
      <c r="AE6697">
        <v>-0.17630999999999999</v>
      </c>
      <c r="AF6697">
        <v>-0.41293812882916398</v>
      </c>
      <c r="AG6697">
        <v>-7.6877000000000001E-2</v>
      </c>
      <c r="AH6697">
        <v>0.56528648479003696</v>
      </c>
      <c r="AI6697">
        <v>96.266927797599607</v>
      </c>
      <c r="AJ6697">
        <v>126.14788726538799</v>
      </c>
      <c r="AK6697">
        <v>0.70425619007304996</v>
      </c>
      <c r="AL6697">
        <v>69.334262007227807</v>
      </c>
      <c r="AM6697">
        <v>108.529831150739</v>
      </c>
      <c r="AN6697">
        <v>1.00000000206887</v>
      </c>
    </row>
    <row r="6698" spans="1:40" x14ac:dyDescent="0.25">
      <c r="A6698" t="str">
        <f>"20190304164255960"</f>
        <v>20190304164255960</v>
      </c>
      <c r="B6698" t="str">
        <f>"1551688975958061"</f>
        <v>1551688975958061</v>
      </c>
      <c r="C6698" t="s">
        <v>40</v>
      </c>
      <c r="D6698">
        <v>4.5508240000000004</v>
      </c>
      <c r="E6698">
        <v>0.43410690000000002</v>
      </c>
      <c r="F6698" t="s">
        <v>41</v>
      </c>
      <c r="G6698">
        <v>-293.61040000000003</v>
      </c>
      <c r="H6698">
        <v>1.0386799999999901</v>
      </c>
      <c r="I6698">
        <v>-51.325789999999998</v>
      </c>
      <c r="J6698">
        <v>-294.31169999999997</v>
      </c>
      <c r="K6698">
        <v>1.11764</v>
      </c>
      <c r="L6698">
        <v>-51.152250000000002</v>
      </c>
      <c r="M6698">
        <v>0.64318730000000002</v>
      </c>
      <c r="N6698">
        <v>-8.5252100000000001E-3</v>
      </c>
      <c r="O6698">
        <v>-0.76566149999999999</v>
      </c>
      <c r="P6698">
        <v>0.79549040000000004</v>
      </c>
      <c r="Q6698">
        <v>0.3505105</v>
      </c>
      <c r="R6698">
        <v>-0.49430489999999999</v>
      </c>
      <c r="S6698">
        <v>3.0692140000000001</v>
      </c>
      <c r="T6698">
        <v>-0.2720822</v>
      </c>
      <c r="U6698">
        <v>-1.3344419999999999</v>
      </c>
      <c r="V6698">
        <v>-0.29790660000000002</v>
      </c>
      <c r="W6698">
        <v>0.35249019999999998</v>
      </c>
      <c r="X6698">
        <v>0.88713149999999996</v>
      </c>
      <c r="Y6698">
        <v>-0.44287019999999999</v>
      </c>
      <c r="Z6698">
        <v>6.9056030000000004E-2</v>
      </c>
      <c r="AA6698">
        <v>0.89392240000000001</v>
      </c>
      <c r="AB6698">
        <v>29</v>
      </c>
      <c r="AC6698">
        <v>0.70129999999994597</v>
      </c>
      <c r="AD6698">
        <v>-7.89600000000001E-2</v>
      </c>
      <c r="AE6698">
        <v>-0.173540000000002</v>
      </c>
      <c r="AF6698">
        <v>-0.42033411980220098</v>
      </c>
      <c r="AG6698">
        <v>-7.89600000000001E-2</v>
      </c>
      <c r="AH6698">
        <v>0.57706811093236099</v>
      </c>
      <c r="AI6698">
        <v>96.311257666174996</v>
      </c>
      <c r="AJ6698">
        <v>126.069446065889</v>
      </c>
      <c r="AK6698">
        <v>0.71827784215088797</v>
      </c>
      <c r="AL6698">
        <v>69.360297080075995</v>
      </c>
      <c r="AM6698">
        <v>108.562506360245</v>
      </c>
      <c r="AN6698">
        <v>0.99999999085592495</v>
      </c>
    </row>
    <row r="6699" spans="1:40" x14ac:dyDescent="0.25">
      <c r="A6699" t="str">
        <f>"20190304164255983"</f>
        <v>20190304164255983</v>
      </c>
      <c r="B6699" t="str">
        <f>"1551688975978089"</f>
        <v>1551688975978089</v>
      </c>
      <c r="C6699" t="s">
        <v>40</v>
      </c>
      <c r="D6699">
        <v>4.5382490000000004</v>
      </c>
      <c r="E6699">
        <v>0.43888070000000001</v>
      </c>
      <c r="F6699" t="s">
        <v>57</v>
      </c>
      <c r="G6699">
        <v>-281.9914</v>
      </c>
      <c r="H6699" s="1">
        <v>-5.9263689999999999E-6</v>
      </c>
      <c r="I6699">
        <v>-56.385210000000001</v>
      </c>
      <c r="J6699">
        <v>-294.11869999999999</v>
      </c>
      <c r="K6699">
        <v>1.1176330000000001</v>
      </c>
      <c r="L6699">
        <v>-51.365690000000001</v>
      </c>
      <c r="M6699">
        <v>0.65109589999999995</v>
      </c>
      <c r="N6699">
        <v>-8.5228259999999903E-3</v>
      </c>
      <c r="O6699">
        <v>-0.75894759999999895</v>
      </c>
      <c r="P6699">
        <v>0.80057849999999997</v>
      </c>
      <c r="Q6699">
        <v>0.35037190000000001</v>
      </c>
      <c r="R6699">
        <v>-0.48612119999999998</v>
      </c>
      <c r="S6699">
        <v>3.081207</v>
      </c>
      <c r="T6699">
        <v>-0.27951320000000002</v>
      </c>
      <c r="U6699">
        <v>-1.308716</v>
      </c>
      <c r="V6699">
        <v>-0.29784369999999999</v>
      </c>
      <c r="W6699">
        <v>0.3523519</v>
      </c>
      <c r="X6699">
        <v>0.88720759999999899</v>
      </c>
      <c r="Y6699">
        <v>-0.44100489999999998</v>
      </c>
      <c r="Z6699">
        <v>7.0661429999999997E-2</v>
      </c>
      <c r="AA6699">
        <v>0.89471880000000004</v>
      </c>
      <c r="AB6699">
        <v>29</v>
      </c>
      <c r="AC6699">
        <v>12.1272999999999</v>
      </c>
      <c r="AD6699">
        <v>-1.1176389263689901</v>
      </c>
      <c r="AE6699">
        <v>-5.01952</v>
      </c>
      <c r="AF6699">
        <v>-5.89327955196012</v>
      </c>
      <c r="AG6699">
        <v>-1.1176389263689901</v>
      </c>
      <c r="AH6699">
        <v>11.6217434488374</v>
      </c>
      <c r="AI6699">
        <v>94.902292922707304</v>
      </c>
      <c r="AJ6699">
        <v>116.88914824984499</v>
      </c>
      <c r="AK6699">
        <v>13.0784089796076</v>
      </c>
      <c r="AL6699">
        <v>69.368765139579594</v>
      </c>
      <c r="AM6699">
        <v>108.55737268221399</v>
      </c>
      <c r="AN6699">
        <v>1.0000000282805199</v>
      </c>
    </row>
    <row r="6700" spans="1:40" x14ac:dyDescent="0.25">
      <c r="A6700" t="str">
        <f>"20190304164256005"</f>
        <v>20190304164256005</v>
      </c>
      <c r="B6700" t="str">
        <f>"1551688975997609"</f>
        <v>1551688975997609</v>
      </c>
      <c r="C6700" t="s">
        <v>40</v>
      </c>
      <c r="D6700">
        <v>4.5551899999999996</v>
      </c>
      <c r="E6700">
        <v>0.43933699999999998</v>
      </c>
      <c r="F6700" t="s">
        <v>41</v>
      </c>
      <c r="G6700">
        <v>-293.13830000000002</v>
      </c>
      <c r="H6700">
        <v>1.0233779999999999</v>
      </c>
      <c r="I6700">
        <v>-51.782789999999999</v>
      </c>
      <c r="J6700">
        <v>-293.93130000000002</v>
      </c>
      <c r="K6700">
        <v>1.1176269999999999</v>
      </c>
      <c r="L6700">
        <v>-51.568759999999997</v>
      </c>
      <c r="M6700">
        <v>0.65858669999999997</v>
      </c>
      <c r="N6700">
        <v>-8.5218550000000001E-3</v>
      </c>
      <c r="O6700">
        <v>-0.75245680000000004</v>
      </c>
      <c r="P6700">
        <v>0.80546410000000002</v>
      </c>
      <c r="Q6700">
        <v>0.34991939999999999</v>
      </c>
      <c r="R6700">
        <v>-0.47831390000000001</v>
      </c>
      <c r="S6700">
        <v>3.080994</v>
      </c>
      <c r="T6700">
        <v>-0.29620540000000001</v>
      </c>
      <c r="U6700">
        <v>-1.3107599999999999</v>
      </c>
      <c r="V6700">
        <v>-0.297817</v>
      </c>
      <c r="W6700">
        <v>0.35189930000000003</v>
      </c>
      <c r="X6700">
        <v>0.88739619999999997</v>
      </c>
      <c r="Y6700">
        <v>-0.4312204</v>
      </c>
      <c r="Z6700">
        <v>7.4441030000000005E-2</v>
      </c>
      <c r="AA6700">
        <v>0.89917049999999998</v>
      </c>
      <c r="AB6700">
        <v>29</v>
      </c>
      <c r="AC6700">
        <v>0.79300000000000603</v>
      </c>
      <c r="AD6700">
        <v>-9.4248999999999999E-2</v>
      </c>
      <c r="AE6700">
        <v>-0.21403000000000799</v>
      </c>
      <c r="AF6700">
        <v>-0.44983466956884799</v>
      </c>
      <c r="AG6700">
        <v>-9.4248999999999999E-2</v>
      </c>
      <c r="AH6700">
        <v>0.67445212720061198</v>
      </c>
      <c r="AI6700">
        <v>96.631216572085705</v>
      </c>
      <c r="AJ6700">
        <v>123.70182362847</v>
      </c>
      <c r="AK6700">
        <v>0.816161611344558</v>
      </c>
      <c r="AL6700">
        <v>69.396472193126499</v>
      </c>
      <c r="AM6700">
        <v>108.552149277523</v>
      </c>
      <c r="AN6700">
        <v>1.0000000493019601</v>
      </c>
    </row>
    <row r="6701" spans="1:40" x14ac:dyDescent="0.25">
      <c r="A6701" t="str">
        <f>"20190304164256028"</f>
        <v>20190304164256028</v>
      </c>
      <c r="B6701" t="str">
        <f>"1551688976018105"</f>
        <v>1551688976018105</v>
      </c>
      <c r="C6701" t="s">
        <v>40</v>
      </c>
      <c r="D6701">
        <v>4.5481400000000001</v>
      </c>
      <c r="E6701">
        <v>0.44061650000000002</v>
      </c>
      <c r="F6701" t="s">
        <v>41</v>
      </c>
      <c r="G6701">
        <v>-292.96710000000002</v>
      </c>
      <c r="H6701">
        <v>1.024451</v>
      </c>
      <c r="I6701">
        <v>-51.968409999999999</v>
      </c>
      <c r="J6701">
        <v>-293.73390000000001</v>
      </c>
      <c r="K6701">
        <v>1.1176330000000001</v>
      </c>
      <c r="L6701">
        <v>-51.778530000000003</v>
      </c>
      <c r="M6701">
        <v>0.66629389999999999</v>
      </c>
      <c r="N6701">
        <v>-8.5225760000000005E-3</v>
      </c>
      <c r="O6701">
        <v>-0.74564059999999999</v>
      </c>
      <c r="P6701">
        <v>0.81047150000000001</v>
      </c>
      <c r="Q6701">
        <v>0.34987289999999999</v>
      </c>
      <c r="R6701">
        <v>-0.4698138</v>
      </c>
      <c r="S6701">
        <v>3.0933839999999999</v>
      </c>
      <c r="T6701">
        <v>-0.29888740000000003</v>
      </c>
      <c r="U6701">
        <v>-1.281525</v>
      </c>
      <c r="V6701">
        <v>-0.29804429999999998</v>
      </c>
      <c r="W6701">
        <v>0.35184209999999999</v>
      </c>
      <c r="X6701">
        <v>0.88734249999999903</v>
      </c>
      <c r="Y6701">
        <v>-0.43042659999999999</v>
      </c>
      <c r="Z6701">
        <v>7.4748190000000006E-2</v>
      </c>
      <c r="AA6701">
        <v>0.89952529999999997</v>
      </c>
      <c r="AB6701">
        <v>29</v>
      </c>
      <c r="AC6701">
        <v>0.76679999999998905</v>
      </c>
      <c r="AD6701">
        <v>-9.3182000000000098E-2</v>
      </c>
      <c r="AE6701">
        <v>-0.18988000000000199</v>
      </c>
      <c r="AF6701">
        <v>-0.439147153870103</v>
      </c>
      <c r="AG6701">
        <v>-9.3182000000000098E-2</v>
      </c>
      <c r="AH6701">
        <v>0.64356545508974505</v>
      </c>
      <c r="AI6701">
        <v>96.820131843159203</v>
      </c>
      <c r="AJ6701">
        <v>124.308296447</v>
      </c>
      <c r="AK6701">
        <v>0.78467165289761898</v>
      </c>
      <c r="AL6701">
        <v>69.399972147012704</v>
      </c>
      <c r="AM6701">
        <v>108.56638501941499</v>
      </c>
      <c r="AN6701">
        <v>0.99999999020057395</v>
      </c>
    </row>
    <row r="6702" spans="1:40" x14ac:dyDescent="0.25">
      <c r="A6702" t="str">
        <f>"20190304164256050"</f>
        <v>20190304164256050</v>
      </c>
      <c r="B6702" t="str">
        <f>"1551688976037625"</f>
        <v>1551688976037625</v>
      </c>
      <c r="C6702" t="s">
        <v>40</v>
      </c>
      <c r="D6702">
        <v>4.5458480000000003</v>
      </c>
      <c r="E6702">
        <v>0.44124419999999998</v>
      </c>
      <c r="F6702" t="s">
        <v>41</v>
      </c>
      <c r="G6702">
        <v>-292.79730000000001</v>
      </c>
      <c r="H6702">
        <v>1.0265310000000001</v>
      </c>
      <c r="I6702">
        <v>-52.157890000000002</v>
      </c>
      <c r="J6702">
        <v>-293.53699999999998</v>
      </c>
      <c r="K6702">
        <v>1.1176569999999999</v>
      </c>
      <c r="L6702">
        <v>-51.983519999999999</v>
      </c>
      <c r="M6702">
        <v>0.67380359999999995</v>
      </c>
      <c r="N6702">
        <v>-8.5252130000000002E-3</v>
      </c>
      <c r="O6702">
        <v>-0.7388614</v>
      </c>
      <c r="P6702">
        <v>0.81489929999999999</v>
      </c>
      <c r="Q6702">
        <v>0.35042459999999997</v>
      </c>
      <c r="R6702">
        <v>-0.4616731</v>
      </c>
      <c r="S6702">
        <v>3.1034549999999999</v>
      </c>
      <c r="T6702">
        <v>-0.3018692</v>
      </c>
      <c r="U6702">
        <v>-1.2565309999999901</v>
      </c>
      <c r="V6702">
        <v>-0.29780289999999998</v>
      </c>
      <c r="W6702">
        <v>0.35238799999999998</v>
      </c>
      <c r="X6702">
        <v>0.88720689999999902</v>
      </c>
      <c r="Y6702">
        <v>-0.42849080000000001</v>
      </c>
      <c r="Z6702">
        <v>7.5084680000000001E-2</v>
      </c>
      <c r="AA6702">
        <v>0.90042099999999903</v>
      </c>
      <c r="AB6702">
        <v>29</v>
      </c>
      <c r="AC6702">
        <v>0.739700000000027</v>
      </c>
      <c r="AD6702">
        <v>-9.1125999999999999E-2</v>
      </c>
      <c r="AE6702">
        <v>-0.17437000000000299</v>
      </c>
      <c r="AF6702">
        <v>-0.42297878131526601</v>
      </c>
      <c r="AG6702">
        <v>-9.1125999999999999E-2</v>
      </c>
      <c r="AH6702">
        <v>0.618379713129947</v>
      </c>
      <c r="AI6702">
        <v>96.934858810129896</v>
      </c>
      <c r="AJ6702">
        <v>124.372573405746</v>
      </c>
      <c r="AK6702">
        <v>0.75472409987333999</v>
      </c>
      <c r="AL6702">
        <v>69.366553890801001</v>
      </c>
      <c r="AM6702">
        <v>108.555018300377</v>
      </c>
      <c r="AN6702">
        <v>0.99999997660000906</v>
      </c>
    </row>
    <row r="6703" spans="1:40" x14ac:dyDescent="0.25">
      <c r="A6703" t="str">
        <f>"20190304164256072"</f>
        <v>20190304164256072</v>
      </c>
      <c r="B6703" t="str">
        <f>"1551688976067880"</f>
        <v>1551688976067880</v>
      </c>
      <c r="C6703" t="s">
        <v>40</v>
      </c>
      <c r="D6703">
        <v>4.5460459999999996</v>
      </c>
      <c r="E6703">
        <v>0.44866929999999999</v>
      </c>
      <c r="F6703" t="s">
        <v>41</v>
      </c>
      <c r="G6703">
        <v>-292.62270000000001</v>
      </c>
      <c r="H6703">
        <v>1.029453</v>
      </c>
      <c r="I6703">
        <v>-52.344360000000002</v>
      </c>
      <c r="J6703">
        <v>-293.3365</v>
      </c>
      <c r="K6703">
        <v>1.11768</v>
      </c>
      <c r="L6703">
        <v>-52.188319999999997</v>
      </c>
      <c r="M6703">
        <v>0.68128929999999999</v>
      </c>
      <c r="N6703">
        <v>-8.5295590000000008E-3</v>
      </c>
      <c r="O6703">
        <v>-0.73196459999999997</v>
      </c>
      <c r="P6703">
        <v>0.81890640000000003</v>
      </c>
      <c r="Q6703">
        <v>0.35136220000000001</v>
      </c>
      <c r="R6703">
        <v>-0.4538026</v>
      </c>
      <c r="S6703">
        <v>3.114716</v>
      </c>
      <c r="T6703">
        <v>-0.30042289999999999</v>
      </c>
      <c r="U6703">
        <v>-1.228394</v>
      </c>
      <c r="V6703">
        <v>-0.29706050000000001</v>
      </c>
      <c r="W6703">
        <v>0.35332629999999998</v>
      </c>
      <c r="X6703">
        <v>0.88708259999999906</v>
      </c>
      <c r="Y6703">
        <v>-0.42750759999999999</v>
      </c>
      <c r="Z6703">
        <v>7.4270240000000001E-2</v>
      </c>
      <c r="AA6703">
        <v>0.90095570000000003</v>
      </c>
      <c r="AB6703">
        <v>29</v>
      </c>
      <c r="AC6703">
        <v>0.713799999999992</v>
      </c>
      <c r="AD6703">
        <v>-8.8226999999999806E-2</v>
      </c>
      <c r="AE6703">
        <v>-0.15603999999998999</v>
      </c>
      <c r="AF6703">
        <v>-0.41020207274783499</v>
      </c>
      <c r="AG6703">
        <v>-8.8226999999999806E-2</v>
      </c>
      <c r="AH6703">
        <v>0.591911446475336</v>
      </c>
      <c r="AI6703">
        <v>96.984554331309496</v>
      </c>
      <c r="AJ6703">
        <v>124.722445812187</v>
      </c>
      <c r="AK6703">
        <v>0.72554042236400895</v>
      </c>
      <c r="AL6703">
        <v>69.309097510947595</v>
      </c>
      <c r="AM6703">
        <v>108.51433524804899</v>
      </c>
      <c r="AN6703">
        <v>0.999999977077349</v>
      </c>
    </row>
    <row r="6704" spans="1:40" x14ac:dyDescent="0.25">
      <c r="A6704" t="str">
        <f>"20190304164256095"</f>
        <v>20190304164256095</v>
      </c>
      <c r="B6704" t="str">
        <f>"1551688976087401"</f>
        <v>1551688976087401</v>
      </c>
      <c r="C6704" t="s">
        <v>40</v>
      </c>
      <c r="D6704">
        <v>4.5423869999999997</v>
      </c>
      <c r="E6704">
        <v>0.4502102</v>
      </c>
      <c r="F6704" t="s">
        <v>57</v>
      </c>
      <c r="G6704">
        <v>-282.53429999999997</v>
      </c>
      <c r="H6704" s="1">
        <v>-5.6441849999999999E-6</v>
      </c>
      <c r="I6704">
        <v>-56.549709999999997</v>
      </c>
      <c r="J6704">
        <v>-293.13290000000001</v>
      </c>
      <c r="K6704">
        <v>1.1177079999999999</v>
      </c>
      <c r="L6704">
        <v>-52.392029999999998</v>
      </c>
      <c r="M6704">
        <v>0.68872460000000002</v>
      </c>
      <c r="N6704">
        <v>-8.535005E-3</v>
      </c>
      <c r="O6704">
        <v>-0.72497290000000003</v>
      </c>
      <c r="P6704">
        <v>0.82303859999999995</v>
      </c>
      <c r="Q6704">
        <v>0.35214469999999998</v>
      </c>
      <c r="R6704">
        <v>-0.44564769999999998</v>
      </c>
      <c r="S6704">
        <v>3.1063230000000002</v>
      </c>
      <c r="T6704">
        <v>-0.32140649999999998</v>
      </c>
      <c r="U6704">
        <v>-1.254181</v>
      </c>
      <c r="V6704">
        <v>-0.29661369999999998</v>
      </c>
      <c r="W6704">
        <v>0.35410009999999997</v>
      </c>
      <c r="X6704">
        <v>0.88692359999999903</v>
      </c>
      <c r="Y6704">
        <v>-0.41049760000000002</v>
      </c>
      <c r="Z6704">
        <v>7.8583600000000003E-2</v>
      </c>
      <c r="AA6704">
        <v>0.90846919999999998</v>
      </c>
      <c r="AB6704">
        <v>29</v>
      </c>
      <c r="AC6704">
        <v>10.598599999999999</v>
      </c>
      <c r="AD6704">
        <v>-1.117713644185</v>
      </c>
      <c r="AE6704">
        <v>-4.1576799999999903</v>
      </c>
      <c r="AF6704">
        <v>-4.7743598463017802</v>
      </c>
      <c r="AG6704">
        <v>-1.117713644185</v>
      </c>
      <c r="AH6704">
        <v>10.215635547670299</v>
      </c>
      <c r="AI6704">
        <v>95.66072886293</v>
      </c>
      <c r="AJ6704">
        <v>115.049415619068</v>
      </c>
      <c r="AK6704">
        <v>11.331504991624101</v>
      </c>
      <c r="AL6704">
        <v>69.261698762772298</v>
      </c>
      <c r="AM6704">
        <v>108.491471869723</v>
      </c>
      <c r="AN6704">
        <v>1.00000002004232</v>
      </c>
    </row>
    <row r="6705" spans="1:40" x14ac:dyDescent="0.25">
      <c r="A6705" t="str">
        <f>"20190304164256117"</f>
        <v>20190304164256117</v>
      </c>
      <c r="B6705" t="str">
        <f>"1551688976107899"</f>
        <v>1551688976107899</v>
      </c>
      <c r="C6705" t="s">
        <v>40</v>
      </c>
      <c r="D6705">
        <v>4.4628389999999998</v>
      </c>
      <c r="E6705">
        <v>0.45173200000000002</v>
      </c>
      <c r="F6705" t="s">
        <v>57</v>
      </c>
      <c r="G6705">
        <v>-282.24549999999999</v>
      </c>
      <c r="H6705" s="1">
        <v>-5.7502679999999998E-6</v>
      </c>
      <c r="I6705">
        <v>-56.709499999999998</v>
      </c>
      <c r="J6705">
        <v>-292.92529999999999</v>
      </c>
      <c r="K6705">
        <v>1.11774</v>
      </c>
      <c r="L6705">
        <v>-52.595730000000003</v>
      </c>
      <c r="M6705">
        <v>0.69615479999999996</v>
      </c>
      <c r="N6705">
        <v>-8.5413339999999994E-3</v>
      </c>
      <c r="O6705">
        <v>-0.71784099999999995</v>
      </c>
      <c r="P6705">
        <v>0.82699920000000005</v>
      </c>
      <c r="Q6705">
        <v>0.35240460000000001</v>
      </c>
      <c r="R6705">
        <v>-0.43804530000000003</v>
      </c>
      <c r="S6705">
        <v>3.1132810000000002</v>
      </c>
      <c r="T6705">
        <v>-0.31961240000000002</v>
      </c>
      <c r="U6705">
        <v>-1.2345889999999999</v>
      </c>
      <c r="V6705">
        <v>-0.29560059999999999</v>
      </c>
      <c r="W6705">
        <v>0.35436509999999999</v>
      </c>
      <c r="X6705">
        <v>0.88715599999999994</v>
      </c>
      <c r="Y6705">
        <v>-0.4068232</v>
      </c>
      <c r="Z6705">
        <v>7.7533920000000006E-2</v>
      </c>
      <c r="AA6705">
        <v>0.91021070000000004</v>
      </c>
      <c r="AB6705">
        <v>29</v>
      </c>
      <c r="AC6705">
        <v>10.6798</v>
      </c>
      <c r="AD6705">
        <v>-1.1177457502679999</v>
      </c>
      <c r="AE6705">
        <v>-4.1137699999999899</v>
      </c>
      <c r="AF6705">
        <v>-4.7573744943565899</v>
      </c>
      <c r="AG6705">
        <v>-1.1177457502679999</v>
      </c>
      <c r="AH6705">
        <v>10.2900539266642</v>
      </c>
      <c r="AI6705">
        <v>95.630961755556697</v>
      </c>
      <c r="AJ6705">
        <v>114.812396993024</v>
      </c>
      <c r="AK6705">
        <v>11.3915397315488</v>
      </c>
      <c r="AL6705">
        <v>69.245463312752904</v>
      </c>
      <c r="AM6705">
        <v>108.428085889472</v>
      </c>
      <c r="AN6705">
        <v>1.00000005357718</v>
      </c>
    </row>
    <row r="6706" spans="1:40" x14ac:dyDescent="0.25">
      <c r="A6706" t="str">
        <f>"20190304164256140"</f>
        <v>20190304164256140</v>
      </c>
      <c r="B6706" t="str">
        <f>"1551688976128393"</f>
        <v>1551688976128393</v>
      </c>
      <c r="C6706" t="s">
        <v>40</v>
      </c>
      <c r="D6706">
        <v>4.5109649999999997</v>
      </c>
      <c r="E6706">
        <v>0.4525228</v>
      </c>
      <c r="F6706" t="s">
        <v>57</v>
      </c>
      <c r="G6706">
        <v>-281.94470000000001</v>
      </c>
      <c r="H6706" s="1">
        <v>-5.8605759999999996E-6</v>
      </c>
      <c r="I6706">
        <v>-56.876910000000002</v>
      </c>
      <c r="J6706">
        <v>-292.71749999999997</v>
      </c>
      <c r="K6706">
        <v>1.1177680000000001</v>
      </c>
      <c r="L6706">
        <v>-52.795470000000002</v>
      </c>
      <c r="M6706">
        <v>0.70343639999999996</v>
      </c>
      <c r="N6706">
        <v>-8.5481889999999994E-3</v>
      </c>
      <c r="O6706">
        <v>-0.71070679999999997</v>
      </c>
      <c r="P6706">
        <v>0.831072899999999</v>
      </c>
      <c r="Q6706">
        <v>0.35242499999999999</v>
      </c>
      <c r="R6706">
        <v>-0.4302494</v>
      </c>
      <c r="S6706">
        <v>3.1187740000000002</v>
      </c>
      <c r="T6706">
        <v>-0.31747059999999999</v>
      </c>
      <c r="U6706">
        <v>-1.215973</v>
      </c>
      <c r="V6706">
        <v>-0.29491899999999999</v>
      </c>
      <c r="W6706">
        <v>0.35438330000000001</v>
      </c>
      <c r="X6706">
        <v>0.88737549999999898</v>
      </c>
      <c r="Y6706">
        <v>-0.40285530000000003</v>
      </c>
      <c r="Z6706">
        <v>7.6405180000000003E-2</v>
      </c>
      <c r="AA6706">
        <v>0.91206900000000002</v>
      </c>
      <c r="AB6706">
        <v>29</v>
      </c>
      <c r="AC6706">
        <v>10.772799999999901</v>
      </c>
      <c r="AD6706">
        <v>-1.1177738605759999</v>
      </c>
      <c r="AE6706">
        <v>-4.0814399999999997</v>
      </c>
      <c r="AF6706">
        <v>-4.7408109855482303</v>
      </c>
      <c r="AG6706">
        <v>-1.1177738605759999</v>
      </c>
      <c r="AH6706">
        <v>10.381334068871301</v>
      </c>
      <c r="AI6706">
        <v>95.593828322591406</v>
      </c>
      <c r="AJ6706">
        <v>114.544607750881</v>
      </c>
      <c r="AK6706">
        <v>11.467205599168</v>
      </c>
      <c r="AL6706">
        <v>69.244347191118095</v>
      </c>
      <c r="AM6706">
        <v>108.384212721823</v>
      </c>
      <c r="AN6706">
        <v>1.00000000894006</v>
      </c>
    </row>
    <row r="6707" spans="1:40" x14ac:dyDescent="0.25">
      <c r="A6707" t="str">
        <f>"20190304164256158"</f>
        <v>20190304164256158</v>
      </c>
      <c r="B6707" t="str">
        <f>"1551688976147913"</f>
        <v>1551688976147913</v>
      </c>
      <c r="C6707" t="s">
        <v>40</v>
      </c>
      <c r="D6707">
        <v>4.5691449999999998</v>
      </c>
      <c r="E6707">
        <v>0.45381579999999999</v>
      </c>
      <c r="F6707" t="s">
        <v>57</v>
      </c>
      <c r="G6707">
        <v>-281.84710000000001</v>
      </c>
      <c r="H6707" s="1">
        <v>-5.8949150000000003E-6</v>
      </c>
      <c r="I6707">
        <v>-56.93938</v>
      </c>
      <c r="J6707">
        <v>-292.55079999999998</v>
      </c>
      <c r="K6707">
        <v>1.117791</v>
      </c>
      <c r="L6707">
        <v>-52.952640000000002</v>
      </c>
      <c r="M6707">
        <v>0.70917109999999906</v>
      </c>
      <c r="N6707">
        <v>-8.5510589999999997E-3</v>
      </c>
      <c r="O6707">
        <v>-0.70498499999999997</v>
      </c>
      <c r="P6707">
        <v>0.83439459999999999</v>
      </c>
      <c r="Q6707">
        <v>0.35251500000000002</v>
      </c>
      <c r="R6707">
        <v>-0.4236972</v>
      </c>
      <c r="S6707">
        <v>3.1287539999999998</v>
      </c>
      <c r="T6707">
        <v>-0.32172240000000002</v>
      </c>
      <c r="U6707">
        <v>-1.1927190000000001</v>
      </c>
      <c r="V6707">
        <v>-0.29470940000000001</v>
      </c>
      <c r="W6707">
        <v>0.35446179999999999</v>
      </c>
      <c r="X6707">
        <v>0.88741380000000003</v>
      </c>
      <c r="Y6707">
        <v>-0.40225109999999997</v>
      </c>
      <c r="Z6707">
        <v>7.7064519999999997E-2</v>
      </c>
      <c r="AA6707">
        <v>0.91228019999999999</v>
      </c>
      <c r="AB6707">
        <v>29</v>
      </c>
      <c r="AC6707">
        <v>10.7036999999999</v>
      </c>
      <c r="AD6707">
        <v>-1.1177968949149999</v>
      </c>
      <c r="AE6707">
        <v>-3.9867400000000002</v>
      </c>
      <c r="AF6707">
        <v>-4.6740737881499799</v>
      </c>
      <c r="AG6707">
        <v>-1.1177968949149999</v>
      </c>
      <c r="AH6707">
        <v>10.3030495549734</v>
      </c>
      <c r="AI6707">
        <v>95.642527870748694</v>
      </c>
      <c r="AJ6707">
        <v>114.401859687935</v>
      </c>
      <c r="AK6707">
        <v>11.3687847111109</v>
      </c>
      <c r="AL6707">
        <v>69.2395375906884</v>
      </c>
      <c r="AM6707">
        <v>108.37128495144501</v>
      </c>
      <c r="AN6707">
        <v>1.00000002526901</v>
      </c>
    </row>
    <row r="6708" spans="1:40" x14ac:dyDescent="0.25">
      <c r="A6708" t="str">
        <f>"20190304164256173"</f>
        <v>20190304164256173</v>
      </c>
      <c r="B6708" t="str">
        <f>"1551688976167433"</f>
        <v>1551688976167433</v>
      </c>
      <c r="C6708" t="s">
        <v>40</v>
      </c>
      <c r="D6708">
        <v>4.4975959999999997</v>
      </c>
      <c r="E6708">
        <v>0.45508680000000001</v>
      </c>
      <c r="F6708" t="s">
        <v>57</v>
      </c>
      <c r="G6708">
        <v>-281.7921</v>
      </c>
      <c r="H6708" s="1">
        <v>-5.9105249999999996E-6</v>
      </c>
      <c r="I6708">
        <v>-56.995669999999997</v>
      </c>
      <c r="J6708">
        <v>-292.40379999999999</v>
      </c>
      <c r="K6708">
        <v>1.117807</v>
      </c>
      <c r="L6708">
        <v>-53.08914</v>
      </c>
      <c r="M6708">
        <v>0.71415319999999904</v>
      </c>
      <c r="N6708">
        <v>-8.5516889999999995E-3</v>
      </c>
      <c r="O6708">
        <v>-0.69993729999999998</v>
      </c>
      <c r="P6708">
        <v>0.83717569999999997</v>
      </c>
      <c r="Q6708">
        <v>0.35242790000000002</v>
      </c>
      <c r="R6708">
        <v>-0.41824800000000001</v>
      </c>
      <c r="S6708">
        <v>3.134827</v>
      </c>
      <c r="T6708">
        <v>-0.3256985</v>
      </c>
      <c r="U6708">
        <v>-1.17804</v>
      </c>
      <c r="V6708">
        <v>-0.29424339999999999</v>
      </c>
      <c r="W6708">
        <v>0.35436990000000002</v>
      </c>
      <c r="X6708">
        <v>0.88760509999999904</v>
      </c>
      <c r="Y6708">
        <v>-0.40001229999999999</v>
      </c>
      <c r="Z6708">
        <v>7.7626619999999993E-2</v>
      </c>
      <c r="AA6708">
        <v>0.91321649999999999</v>
      </c>
      <c r="AB6708">
        <v>29</v>
      </c>
      <c r="AC6708">
        <v>10.6116999999999</v>
      </c>
      <c r="AD6708">
        <v>-1.1178129105249901</v>
      </c>
      <c r="AE6708">
        <v>-3.9065299999999898</v>
      </c>
      <c r="AF6708">
        <v>-4.5929518029557901</v>
      </c>
      <c r="AG6708">
        <v>-1.1178129105249901</v>
      </c>
      <c r="AH6708">
        <v>10.213280274063401</v>
      </c>
      <c r="AI6708">
        <v>95.700275925120494</v>
      </c>
      <c r="AJ6708">
        <v>114.21363462922901</v>
      </c>
      <c r="AK6708">
        <v>11.2541461659152</v>
      </c>
      <c r="AL6708">
        <v>69.245168239693697</v>
      </c>
      <c r="AM6708">
        <v>108.34049315908401</v>
      </c>
      <c r="AN6708">
        <v>1.0000000090077801</v>
      </c>
    </row>
    <row r="6709" spans="1:40" x14ac:dyDescent="0.25">
      <c r="A6709" t="str">
        <f>"20190304164256195"</f>
        <v>20190304164256195</v>
      </c>
      <c r="B6709" t="str">
        <f>"1551688976187929"</f>
        <v>1551688976187929</v>
      </c>
      <c r="C6709" t="s">
        <v>40</v>
      </c>
      <c r="D6709">
        <v>4.5846519999999904</v>
      </c>
      <c r="E6709">
        <v>0.45552949999999998</v>
      </c>
      <c r="F6709" t="s">
        <v>57</v>
      </c>
      <c r="G6709">
        <v>-281.77550000000002</v>
      </c>
      <c r="H6709" s="1">
        <v>-5.9096869999999998E-6</v>
      </c>
      <c r="I6709">
        <v>-57.043819999999997</v>
      </c>
      <c r="J6709">
        <v>-292.18959999999998</v>
      </c>
      <c r="K6709">
        <v>1.117834</v>
      </c>
      <c r="L6709">
        <v>-53.284910000000004</v>
      </c>
      <c r="M6709">
        <v>0.72129330000000003</v>
      </c>
      <c r="N6709">
        <v>-8.5511649999999995E-3</v>
      </c>
      <c r="O6709">
        <v>-0.69257729999999995</v>
      </c>
      <c r="P6709">
        <v>0.84148040000000002</v>
      </c>
      <c r="Q6709">
        <v>0.3521164</v>
      </c>
      <c r="R6709">
        <v>-0.40978680000000001</v>
      </c>
      <c r="S6709">
        <v>3.1389469999999999</v>
      </c>
      <c r="T6709">
        <v>-0.33013340000000002</v>
      </c>
      <c r="U6709">
        <v>-1.167969</v>
      </c>
      <c r="V6709">
        <v>-0.29420279999999999</v>
      </c>
      <c r="W6709">
        <v>0.35403590000000001</v>
      </c>
      <c r="X6709">
        <v>0.88775179999999998</v>
      </c>
      <c r="Y6709">
        <v>-0.39351360000000002</v>
      </c>
      <c r="Z6709">
        <v>7.794864E-2</v>
      </c>
      <c r="AA6709">
        <v>0.91600820000000005</v>
      </c>
      <c r="AB6709">
        <v>29</v>
      </c>
      <c r="AC6709">
        <v>10.4140999999999</v>
      </c>
      <c r="AD6709">
        <v>-1.117839909687</v>
      </c>
      <c r="AE6709">
        <v>-3.75890999999999</v>
      </c>
      <c r="AF6709">
        <v>-4.4560329936017897</v>
      </c>
      <c r="AG6709">
        <v>-1.117839909687</v>
      </c>
      <c r="AH6709">
        <v>10.0132522731435</v>
      </c>
      <c r="AI6709">
        <v>95.823616721518206</v>
      </c>
      <c r="AJ6709">
        <v>113.98971228836</v>
      </c>
      <c r="AK6709">
        <v>11.016851509817601</v>
      </c>
      <c r="AL6709">
        <v>69.265631123934</v>
      </c>
      <c r="AM6709">
        <v>108.335304197263</v>
      </c>
      <c r="AN6709">
        <v>0.99999998220994402</v>
      </c>
    </row>
    <row r="6710" spans="1:40" x14ac:dyDescent="0.25">
      <c r="A6710" t="str">
        <f>"20190304164256218"</f>
        <v>20190304164256218</v>
      </c>
      <c r="B6710" t="str">
        <f>"1551688976207449"</f>
        <v>1551688976207449</v>
      </c>
      <c r="C6710" t="s">
        <v>40</v>
      </c>
      <c r="D6710">
        <v>4.5656869999999996</v>
      </c>
      <c r="E6710">
        <v>0.4649219</v>
      </c>
      <c r="F6710" t="s">
        <v>57</v>
      </c>
      <c r="G6710">
        <v>-281.63459999999998</v>
      </c>
      <c r="H6710" s="1">
        <v>-5.9639459999999998E-6</v>
      </c>
      <c r="I6710">
        <v>-57.107810000000001</v>
      </c>
      <c r="J6710">
        <v>-291.97410000000002</v>
      </c>
      <c r="K6710">
        <v>1.1178589999999999</v>
      </c>
      <c r="L6710">
        <v>-53.477809999999998</v>
      </c>
      <c r="M6710">
        <v>0.72832940000000002</v>
      </c>
      <c r="N6710">
        <v>-8.550584E-3</v>
      </c>
      <c r="O6710">
        <v>-0.68517399999999995</v>
      </c>
      <c r="P6710">
        <v>0.84580909999999998</v>
      </c>
      <c r="Q6710">
        <v>0.35222379999999998</v>
      </c>
      <c r="R6710">
        <v>-0.40068160000000003</v>
      </c>
      <c r="S6710">
        <v>3.1492610000000001</v>
      </c>
      <c r="T6710">
        <v>-0.3335265</v>
      </c>
      <c r="U6710">
        <v>-1.140625</v>
      </c>
      <c r="V6710">
        <v>-0.29471779999999997</v>
      </c>
      <c r="W6710">
        <v>0.35410770000000003</v>
      </c>
      <c r="X6710">
        <v>0.88755229999999996</v>
      </c>
      <c r="Y6710">
        <v>-0.39206760000000002</v>
      </c>
      <c r="Z6710">
        <v>7.8207899999999997E-2</v>
      </c>
      <c r="AA6710">
        <v>0.91660589999999997</v>
      </c>
      <c r="AB6710">
        <v>29</v>
      </c>
      <c r="AC6710">
        <v>10.339499999999999</v>
      </c>
      <c r="AD6710">
        <v>-1.1178649639460001</v>
      </c>
      <c r="AE6710">
        <v>-3.63</v>
      </c>
      <c r="AF6710">
        <v>-4.3949471167280203</v>
      </c>
      <c r="AG6710">
        <v>-1.1178649639460001</v>
      </c>
      <c r="AH6710">
        <v>9.9149298415065292</v>
      </c>
      <c r="AI6710">
        <v>95.884883289996097</v>
      </c>
      <c r="AJ6710">
        <v>113.90606157001299</v>
      </c>
      <c r="AK6710">
        <v>10.9027985397534</v>
      </c>
      <c r="AL6710">
        <v>69.2612319523613</v>
      </c>
      <c r="AM6710">
        <v>108.36909902064799</v>
      </c>
      <c r="AN6710">
        <v>0.99999996503570898</v>
      </c>
    </row>
    <row r="6711" spans="1:40" x14ac:dyDescent="0.25">
      <c r="A6711" t="str">
        <f>"20190304164256240"</f>
        <v>20190304164256240</v>
      </c>
      <c r="B6711" t="str">
        <f>"1551688976227945"</f>
        <v>1551688976227945</v>
      </c>
      <c r="C6711" t="s">
        <v>40</v>
      </c>
      <c r="D6711">
        <v>4.7984200000000001</v>
      </c>
      <c r="E6711">
        <v>0.46586889999999997</v>
      </c>
      <c r="F6711" t="s">
        <v>57</v>
      </c>
      <c r="G6711">
        <v>-282.49059999999997</v>
      </c>
      <c r="H6711" s="1">
        <v>-5.5756819999999998E-6</v>
      </c>
      <c r="I6711">
        <v>-57.048999999999999</v>
      </c>
      <c r="J6711">
        <v>-291.75139999999999</v>
      </c>
      <c r="K6711">
        <v>1.117896</v>
      </c>
      <c r="L6711">
        <v>-53.673279999999998</v>
      </c>
      <c r="M6711">
        <v>0.735456</v>
      </c>
      <c r="N6711">
        <v>-8.5507450000000002E-3</v>
      </c>
      <c r="O6711">
        <v>-0.67751870000000003</v>
      </c>
      <c r="P6711">
        <v>0.85014239999999996</v>
      </c>
      <c r="Q6711">
        <v>0.35228680000000001</v>
      </c>
      <c r="R6711">
        <v>-0.39134639999999998</v>
      </c>
      <c r="S6711">
        <v>3.1407780000000001</v>
      </c>
      <c r="T6711">
        <v>-0.37021569999999998</v>
      </c>
      <c r="U6711">
        <v>-1.182709</v>
      </c>
      <c r="V6711">
        <v>-0.295220599999999</v>
      </c>
      <c r="W6711">
        <v>0.35413529999999999</v>
      </c>
      <c r="X6711">
        <v>0.8873742</v>
      </c>
      <c r="Y6711">
        <v>-0.3699173</v>
      </c>
      <c r="Z6711">
        <v>8.5381250000000006E-2</v>
      </c>
      <c r="AA6711">
        <v>0.92513310000000004</v>
      </c>
      <c r="AB6711">
        <v>30</v>
      </c>
      <c r="AC6711">
        <v>9.2608000000000104</v>
      </c>
      <c r="AD6711">
        <v>-1.1179015756820001</v>
      </c>
      <c r="AE6711">
        <v>-3.3757199999999901</v>
      </c>
      <c r="AF6711">
        <v>-3.7436566458337399</v>
      </c>
      <c r="AG6711">
        <v>-1.1179015756820001</v>
      </c>
      <c r="AH6711">
        <v>8.9828135136415099</v>
      </c>
      <c r="AI6711">
        <v>96.552971016237606</v>
      </c>
      <c r="AJ6711">
        <v>112.624308766824</v>
      </c>
      <c r="AK6711">
        <v>9.7956933208256398</v>
      </c>
      <c r="AL6711">
        <v>69.259541602232204</v>
      </c>
      <c r="AM6711">
        <v>108.401772666068</v>
      </c>
      <c r="AN6711">
        <v>0.99999999209804402</v>
      </c>
    </row>
    <row r="6712" spans="1:40" x14ac:dyDescent="0.25">
      <c r="A6712" t="str">
        <f>"20190304164256257"</f>
        <v>20190304164256257</v>
      </c>
      <c r="B6712" t="str">
        <f>"1551688976247465"</f>
        <v>1551688976247465</v>
      </c>
      <c r="C6712" t="s">
        <v>40</v>
      </c>
      <c r="D6712">
        <v>4.6011639999999998</v>
      </c>
      <c r="E6712">
        <v>0.47795480000000001</v>
      </c>
      <c r="F6712" t="s">
        <v>57</v>
      </c>
      <c r="G6712">
        <v>-282.2833</v>
      </c>
      <c r="H6712" s="1">
        <v>-5.6539810000000001E-6</v>
      </c>
      <c r="I6712">
        <v>-57.1515699999999</v>
      </c>
      <c r="J6712">
        <v>-291.59449999999998</v>
      </c>
      <c r="K6712">
        <v>1.1179220000000001</v>
      </c>
      <c r="L6712">
        <v>-53.808259999999997</v>
      </c>
      <c r="M6712">
        <v>0.7403824</v>
      </c>
      <c r="N6712">
        <v>-8.5513669999999903E-3</v>
      </c>
      <c r="O6712">
        <v>-0.67213149999999999</v>
      </c>
      <c r="P6712">
        <v>0.85281909999999905</v>
      </c>
      <c r="Q6712">
        <v>0.35256769999999998</v>
      </c>
      <c r="R6712">
        <v>-0.38522139999999999</v>
      </c>
      <c r="S6712">
        <v>3.1502080000000001</v>
      </c>
      <c r="T6712">
        <v>-0.37194470000000002</v>
      </c>
      <c r="U6712">
        <v>-1.1572880000000001</v>
      </c>
      <c r="V6712">
        <v>-0.29507369999999999</v>
      </c>
      <c r="W6712">
        <v>0.35440149999999998</v>
      </c>
      <c r="X6712">
        <v>0.88731680000000002</v>
      </c>
      <c r="Y6712">
        <v>-0.37058740000000001</v>
      </c>
      <c r="Z6712">
        <v>8.5397340000000002E-2</v>
      </c>
      <c r="AA6712">
        <v>0.9248634</v>
      </c>
      <c r="AB6712">
        <v>30</v>
      </c>
      <c r="AC6712">
        <v>9.3111999999999799</v>
      </c>
      <c r="AD6712">
        <v>-1.1179276539809999</v>
      </c>
      <c r="AE6712">
        <v>-3.34330999999999</v>
      </c>
      <c r="AF6712">
        <v>-3.7354638791194801</v>
      </c>
      <c r="AG6712">
        <v>-1.1179276539809999</v>
      </c>
      <c r="AH6712">
        <v>9.0260746735185897</v>
      </c>
      <c r="AI6712">
        <v>96.528642172196101</v>
      </c>
      <c r="AJ6712">
        <v>112.482341670015</v>
      </c>
      <c r="AK6712">
        <v>9.8322671161678397</v>
      </c>
      <c r="AL6712">
        <v>69.243232001305103</v>
      </c>
      <c r="AM6712">
        <v>108.394342205944</v>
      </c>
      <c r="AN6712">
        <v>1.0000000075980899</v>
      </c>
    </row>
    <row r="6713" spans="1:40" x14ac:dyDescent="0.25">
      <c r="A6713" t="str">
        <f>"20190304164256274"</f>
        <v>20190304164256274</v>
      </c>
      <c r="B6713" t="str">
        <f>"1551688976267961"</f>
        <v>1551688976267961</v>
      </c>
      <c r="C6713" t="s">
        <v>40</v>
      </c>
      <c r="D6713">
        <v>4.5625530000000003</v>
      </c>
      <c r="E6713">
        <v>0.53778199999999998</v>
      </c>
      <c r="F6713" t="s">
        <v>57</v>
      </c>
      <c r="G6713">
        <v>-282.46140000000003</v>
      </c>
      <c r="H6713" s="1">
        <v>-5.5288219999999997E-6</v>
      </c>
      <c r="I6713">
        <v>-57.388570000000001</v>
      </c>
      <c r="J6713">
        <v>-291.41379999999998</v>
      </c>
      <c r="K6713">
        <v>1.1179479999999999</v>
      </c>
      <c r="L6713">
        <v>-53.96143</v>
      </c>
      <c r="M6713">
        <v>0.74597069999999999</v>
      </c>
      <c r="N6713">
        <v>-8.5501250000000004E-3</v>
      </c>
      <c r="O6713">
        <v>-0.66592410000000002</v>
      </c>
      <c r="P6713">
        <v>0.85585739999999999</v>
      </c>
      <c r="Q6713">
        <v>0.35329440000000001</v>
      </c>
      <c r="R6713">
        <v>-0.37774540000000001</v>
      </c>
      <c r="S6713">
        <v>3.1228030000000002</v>
      </c>
      <c r="T6713">
        <v>-0.38224219999999998</v>
      </c>
      <c r="U6713">
        <v>-1.2241820000000001</v>
      </c>
      <c r="V6713">
        <v>-0.29526669999999999</v>
      </c>
      <c r="W6713">
        <v>0.35510019999999998</v>
      </c>
      <c r="X6713">
        <v>0.88697320000000002</v>
      </c>
      <c r="Y6713">
        <v>-0.34262859999999901</v>
      </c>
      <c r="Z6713">
        <v>8.5986709999999994E-2</v>
      </c>
      <c r="AA6713">
        <v>0.93552760000000001</v>
      </c>
      <c r="AB6713">
        <v>30</v>
      </c>
      <c r="AC6713">
        <v>8.9523999999999493</v>
      </c>
      <c r="AD6713">
        <v>-1.1179535288219999</v>
      </c>
      <c r="AE6713">
        <v>-3.4271399999999801</v>
      </c>
      <c r="AF6713">
        <v>-3.35950373269627</v>
      </c>
      <c r="AG6713">
        <v>-1.1179535288219999</v>
      </c>
      <c r="AH6713">
        <v>8.8405280639642498</v>
      </c>
      <c r="AI6713">
        <v>96.741659636493594</v>
      </c>
      <c r="AJ6713">
        <v>110.80737471364201</v>
      </c>
      <c r="AK6713">
        <v>9.5231833896205806</v>
      </c>
      <c r="AL6713">
        <v>69.200414836281595</v>
      </c>
      <c r="AM6713">
        <v>108.41221220601101</v>
      </c>
      <c r="AN6713">
        <v>1.0000000168435801</v>
      </c>
    </row>
    <row r="6714" spans="1:40" x14ac:dyDescent="0.25">
      <c r="A6714" t="str">
        <f>"20190304164256297"</f>
        <v>20190304164256297</v>
      </c>
      <c r="B6714" t="str">
        <f>"1551688976287481"</f>
        <v>1551688976287481</v>
      </c>
      <c r="C6714" t="s">
        <v>40</v>
      </c>
      <c r="D6714">
        <v>4.5687740000000003</v>
      </c>
      <c r="E6714">
        <v>0.5391745</v>
      </c>
      <c r="F6714" t="s">
        <v>57</v>
      </c>
      <c r="G6714">
        <v>-284.38350000000003</v>
      </c>
      <c r="H6714" s="1">
        <v>-4.5497249999999999E-6</v>
      </c>
      <c r="I6714">
        <v>-57.858899999999998</v>
      </c>
      <c r="J6714">
        <v>-291.18830000000003</v>
      </c>
      <c r="K6714">
        <v>1.11798</v>
      </c>
      <c r="L6714">
        <v>-54.149140000000003</v>
      </c>
      <c r="M6714">
        <v>0.75281519999999902</v>
      </c>
      <c r="N6714">
        <v>-8.5454469999999994E-3</v>
      </c>
      <c r="O6714">
        <v>-0.6581766</v>
      </c>
      <c r="P6714">
        <v>0.85965199999999997</v>
      </c>
      <c r="Q6714">
        <v>0.35379310000000003</v>
      </c>
      <c r="R6714">
        <v>-0.36854999999999999</v>
      </c>
      <c r="S6714">
        <v>2.9729610000000002</v>
      </c>
      <c r="T6714">
        <v>-0.4727596</v>
      </c>
      <c r="U6714">
        <v>-1.648163</v>
      </c>
      <c r="V6714">
        <v>-0.29551050000000001</v>
      </c>
      <c r="W6714">
        <v>0.35556330000000003</v>
      </c>
      <c r="X6714">
        <v>0.88670649999999995</v>
      </c>
      <c r="Y6714">
        <v>-0.20438539999999999</v>
      </c>
      <c r="Z6714">
        <v>9.6761959999999994E-2</v>
      </c>
      <c r="AA6714">
        <v>0.97409639999999997</v>
      </c>
      <c r="AB6714">
        <v>30</v>
      </c>
      <c r="AC6714">
        <v>6.8048000000000002</v>
      </c>
      <c r="AD6714">
        <v>-1.1179845497250001</v>
      </c>
      <c r="AE6714">
        <v>-3.70975999999999</v>
      </c>
      <c r="AF6714">
        <v>-1.6516893987289101</v>
      </c>
      <c r="AG6714">
        <v>-1.1179845497250001</v>
      </c>
      <c r="AH6714">
        <v>7.4105113870657098</v>
      </c>
      <c r="AI6714">
        <v>98.376690452265294</v>
      </c>
      <c r="AJ6714">
        <v>102.564972054401</v>
      </c>
      <c r="AK6714">
        <v>7.6742195916671401</v>
      </c>
      <c r="AL6714">
        <v>69.172029771161903</v>
      </c>
      <c r="AM6714">
        <v>108.43155639511301</v>
      </c>
      <c r="AN6714">
        <v>1.00000006652969</v>
      </c>
    </row>
    <row r="6715" spans="1:40" x14ac:dyDescent="0.25">
      <c r="A6715" t="str">
        <f>"20190304164256318"</f>
        <v>20190304164256318</v>
      </c>
      <c r="B6715" t="str">
        <f>"1551688976307977"</f>
        <v>1551688976307977</v>
      </c>
      <c r="C6715" t="s">
        <v>40</v>
      </c>
      <c r="D6715">
        <v>4.54678</v>
      </c>
      <c r="E6715">
        <v>0.53992240000000002</v>
      </c>
      <c r="F6715" t="s">
        <v>57</v>
      </c>
      <c r="G6715">
        <v>-284.19630000000001</v>
      </c>
      <c r="H6715" s="1">
        <v>-4.6189379999999997E-6</v>
      </c>
      <c r="I6715">
        <v>-57.960079999999998</v>
      </c>
      <c r="J6715">
        <v>-290.96420000000001</v>
      </c>
      <c r="K6715">
        <v>1.1180049999999999</v>
      </c>
      <c r="L6715">
        <v>-54.331879999999998</v>
      </c>
      <c r="M6715">
        <v>0.75947159999999903</v>
      </c>
      <c r="N6715">
        <v>-8.5393239999999992E-3</v>
      </c>
      <c r="O6715">
        <v>-0.65048439999999996</v>
      </c>
      <c r="P6715">
        <v>0.86355949999999904</v>
      </c>
      <c r="Q6715">
        <v>0.35357959999999999</v>
      </c>
      <c r="R6715">
        <v>-0.35950890000000002</v>
      </c>
      <c r="S6715">
        <v>2.988159</v>
      </c>
      <c r="T6715">
        <v>-0.47778700000000002</v>
      </c>
      <c r="U6715">
        <v>-1.6286620000000001</v>
      </c>
      <c r="V6715">
        <v>-0.29587570000000002</v>
      </c>
      <c r="W6715">
        <v>0.35531459999999998</v>
      </c>
      <c r="X6715">
        <v>0.88668440000000004</v>
      </c>
      <c r="Y6715">
        <v>-0.2013741</v>
      </c>
      <c r="Z6715">
        <v>9.6640139999999999E-2</v>
      </c>
      <c r="AA6715">
        <v>0.97473540000000003</v>
      </c>
      <c r="AB6715">
        <v>30</v>
      </c>
      <c r="AC6715">
        <v>6.7678999999999903</v>
      </c>
      <c r="AD6715">
        <v>-1.118009618938</v>
      </c>
      <c r="AE6715">
        <v>-3.6282000000000001</v>
      </c>
      <c r="AF6715">
        <v>-1.6127727828065099</v>
      </c>
      <c r="AG6715">
        <v>-1.118009618938</v>
      </c>
      <c r="AH6715">
        <v>7.3447038815951498</v>
      </c>
      <c r="AI6715">
        <v>98.456653725793998</v>
      </c>
      <c r="AJ6715">
        <v>102.38463218707901</v>
      </c>
      <c r="AK6715">
        <v>7.6023454713212102</v>
      </c>
      <c r="AL6715">
        <v>69.187274592315902</v>
      </c>
      <c r="AM6715">
        <v>108.453221498396</v>
      </c>
      <c r="AN6715">
        <v>1.0000000600134999</v>
      </c>
    </row>
    <row r="6716" spans="1:40" x14ac:dyDescent="0.25">
      <c r="A6716" t="str">
        <f>"20190304164256341"</f>
        <v>20190304164256341</v>
      </c>
      <c r="B6716" t="str">
        <f>"1551688976327497"</f>
        <v>1551688976327497</v>
      </c>
      <c r="C6716" t="s">
        <v>40</v>
      </c>
      <c r="D6716">
        <v>4.5512509999999997</v>
      </c>
      <c r="E6716">
        <v>0.54061359999999903</v>
      </c>
      <c r="F6716" t="s">
        <v>57</v>
      </c>
      <c r="G6716">
        <v>-284.02800000000002</v>
      </c>
      <c r="H6716" s="1">
        <v>-4.6837489999999996E-6</v>
      </c>
      <c r="I6716">
        <v>-58.036180000000002</v>
      </c>
      <c r="J6716">
        <v>-290.73230000000001</v>
      </c>
      <c r="K6716">
        <v>1.118025</v>
      </c>
      <c r="L6716">
        <v>-54.517270000000003</v>
      </c>
      <c r="M6716">
        <v>0.76621119999999898</v>
      </c>
      <c r="N6716">
        <v>-8.5289459999999904E-3</v>
      </c>
      <c r="O6716">
        <v>-0.64253249999999995</v>
      </c>
      <c r="P6716">
        <v>0.86735669999999898</v>
      </c>
      <c r="Q6716">
        <v>0.35364699999999999</v>
      </c>
      <c r="R6716">
        <v>-0.35018059999999901</v>
      </c>
      <c r="S6716">
        <v>3.0043030000000002</v>
      </c>
      <c r="T6716">
        <v>-0.48424899999999999</v>
      </c>
      <c r="U6716">
        <v>-1.6044620000000001</v>
      </c>
      <c r="V6716">
        <v>-0.29619659999999998</v>
      </c>
      <c r="W6716">
        <v>0.35534660000000001</v>
      </c>
      <c r="X6716">
        <v>0.88656440000000003</v>
      </c>
      <c r="Y6716">
        <v>-0.19936480000000001</v>
      </c>
      <c r="Z6716">
        <v>9.685328E-2</v>
      </c>
      <c r="AA6716">
        <v>0.97512719999999997</v>
      </c>
      <c r="AB6716">
        <v>30</v>
      </c>
      <c r="AC6716">
        <v>6.7042999999999804</v>
      </c>
      <c r="AD6716">
        <v>-1.118029683749</v>
      </c>
      <c r="AE6716">
        <v>-3.51891</v>
      </c>
      <c r="AF6716">
        <v>-1.57717315464818</v>
      </c>
      <c r="AG6716">
        <v>-1.118029683749</v>
      </c>
      <c r="AH6716">
        <v>7.2403285901514201</v>
      </c>
      <c r="AI6716">
        <v>98.580003784603903</v>
      </c>
      <c r="AJ6716">
        <v>102.288866194947</v>
      </c>
      <c r="AK6716">
        <v>7.4939858304410203</v>
      </c>
      <c r="AL6716">
        <v>69.185312549493602</v>
      </c>
      <c r="AM6716">
        <v>108.474208356096</v>
      </c>
      <c r="AN6716">
        <v>1.0000000336652299</v>
      </c>
    </row>
    <row r="6717" spans="1:40" x14ac:dyDescent="0.25">
      <c r="A6717" t="str">
        <f>"20190304164256364"</f>
        <v>20190304164256364</v>
      </c>
      <c r="B6717" t="str">
        <f>"1551688976357753"</f>
        <v>1551688976357753</v>
      </c>
      <c r="C6717" t="s">
        <v>40</v>
      </c>
      <c r="D6717">
        <v>4.5435879999999997</v>
      </c>
      <c r="E6717">
        <v>0.54144049999999999</v>
      </c>
      <c r="F6717" t="s">
        <v>57</v>
      </c>
      <c r="G6717">
        <v>-283.815</v>
      </c>
      <c r="H6717" s="1">
        <v>-4.7662070000000002E-6</v>
      </c>
      <c r="I6717">
        <v>-58.130450000000003</v>
      </c>
      <c r="J6717">
        <v>-290.49619999999999</v>
      </c>
      <c r="K6717">
        <v>1.1180330000000001</v>
      </c>
      <c r="L6717">
        <v>-54.701839999999997</v>
      </c>
      <c r="M6717">
        <v>0.772899</v>
      </c>
      <c r="N6717">
        <v>-8.5134419999999995E-3</v>
      </c>
      <c r="O6717">
        <v>-0.63447200000000004</v>
      </c>
      <c r="P6717">
        <v>0.87073049999999996</v>
      </c>
      <c r="Q6717">
        <v>0.35417939999999998</v>
      </c>
      <c r="R6717">
        <v>-0.34115279999999998</v>
      </c>
      <c r="S6717">
        <v>3.0207820000000001</v>
      </c>
      <c r="T6717">
        <v>-0.48824580000000001</v>
      </c>
      <c r="U6717">
        <v>-1.5778810000000001</v>
      </c>
      <c r="V6717">
        <v>-0.29600609999999999</v>
      </c>
      <c r="W6717">
        <v>0.35585650000000002</v>
      </c>
      <c r="X6717">
        <v>0.88642350000000003</v>
      </c>
      <c r="Y6717">
        <v>-0.19800329999999999</v>
      </c>
      <c r="Z6717">
        <v>9.6572000000000005E-2</v>
      </c>
      <c r="AA6717">
        <v>0.97543250000000004</v>
      </c>
      <c r="AB6717">
        <v>30</v>
      </c>
      <c r="AC6717">
        <v>6.6811999999999898</v>
      </c>
      <c r="AD6717">
        <v>-1.118037766207</v>
      </c>
      <c r="AE6717">
        <v>-3.4286099999999902</v>
      </c>
      <c r="AF6717">
        <v>-1.55466243480027</v>
      </c>
      <c r="AG6717">
        <v>-1.118037766207</v>
      </c>
      <c r="AH6717">
        <v>7.1803578912807504</v>
      </c>
      <c r="AI6717">
        <v>98.652971365048103</v>
      </c>
      <c r="AJ6717">
        <v>102.216877434362</v>
      </c>
      <c r="AK6717">
        <v>7.4313204196644698</v>
      </c>
      <c r="AL6717">
        <v>69.154054471957494</v>
      </c>
      <c r="AM6717">
        <v>108.465868196187</v>
      </c>
      <c r="AN6717">
        <v>1.00000004059085</v>
      </c>
    </row>
    <row r="6718" spans="1:40" x14ac:dyDescent="0.25">
      <c r="A6718" t="str">
        <f>"20190304164256386"</f>
        <v>20190304164256386</v>
      </c>
      <c r="B6718" t="str">
        <f>"1551688976378249"</f>
        <v>1551688976378249</v>
      </c>
      <c r="C6718" t="s">
        <v>40</v>
      </c>
      <c r="D6718">
        <v>4.56562</v>
      </c>
      <c r="E6718">
        <v>0.54196440000000001</v>
      </c>
      <c r="F6718" t="s">
        <v>57</v>
      </c>
      <c r="G6718">
        <v>-283.60359999999997</v>
      </c>
      <c r="H6718" s="1">
        <v>-4.8472839999999997E-6</v>
      </c>
      <c r="I6718">
        <v>-58.228070000000002</v>
      </c>
      <c r="J6718">
        <v>-290.2593</v>
      </c>
      <c r="K6718">
        <v>1.118031</v>
      </c>
      <c r="L6718">
        <v>-54.883119999999998</v>
      </c>
      <c r="M6718">
        <v>0.77943409999999902</v>
      </c>
      <c r="N6718">
        <v>-8.4957959999999999E-3</v>
      </c>
      <c r="O6718">
        <v>-0.6264267</v>
      </c>
      <c r="P6718">
        <v>0.87430049999999904</v>
      </c>
      <c r="Q6718">
        <v>0.3538328</v>
      </c>
      <c r="R6718">
        <v>-0.33226679999999997</v>
      </c>
      <c r="S6718">
        <v>3.0369869999999999</v>
      </c>
      <c r="T6718">
        <v>-0.49262499999999998</v>
      </c>
      <c r="U6718">
        <v>-1.5537110000000001</v>
      </c>
      <c r="V6718">
        <v>-0.2959292</v>
      </c>
      <c r="W6718">
        <v>0.35549509999999901</v>
      </c>
      <c r="X6718">
        <v>0.88659409999999905</v>
      </c>
      <c r="Y6718">
        <v>-0.1960858</v>
      </c>
      <c r="Z6718">
        <v>9.6282060000000003E-2</v>
      </c>
      <c r="AA6718">
        <v>0.97584839999999995</v>
      </c>
      <c r="AB6718">
        <v>30</v>
      </c>
      <c r="AC6718">
        <v>6.6557000000000199</v>
      </c>
      <c r="AD6718">
        <v>-1.118035847284</v>
      </c>
      <c r="AE6718">
        <v>-3.3449499999999901</v>
      </c>
      <c r="AF6718">
        <v>-1.5277788034937601</v>
      </c>
      <c r="AG6718">
        <v>-1.118035847284</v>
      </c>
      <c r="AH6718">
        <v>7.1228455276367599</v>
      </c>
      <c r="AI6718">
        <v>98.725337494599103</v>
      </c>
      <c r="AJ6718">
        <v>102.10594488604301</v>
      </c>
      <c r="AK6718">
        <v>7.3701452250815196</v>
      </c>
      <c r="AL6718">
        <v>69.176208556947003</v>
      </c>
      <c r="AM6718">
        <v>108.458084541388</v>
      </c>
      <c r="AN6718">
        <v>0.99999997784572903</v>
      </c>
    </row>
    <row r="6719" spans="1:40" x14ac:dyDescent="0.25">
      <c r="A6719" t="str">
        <f>"20190304164256408"</f>
        <v>20190304164256408</v>
      </c>
      <c r="B6719" t="str">
        <f>"1551688976397769"</f>
        <v>1551688976397769</v>
      </c>
      <c r="C6719" t="s">
        <v>40</v>
      </c>
      <c r="D6719">
        <v>4.5732239999999997</v>
      </c>
      <c r="E6719">
        <v>0.54257449999999996</v>
      </c>
      <c r="F6719" t="s">
        <v>57</v>
      </c>
      <c r="G6719">
        <v>-283.39890000000003</v>
      </c>
      <c r="H6719" s="1">
        <v>-4.9267989999999998E-6</v>
      </c>
      <c r="I6719">
        <v>-58.317230000000002</v>
      </c>
      <c r="J6719">
        <v>-290.01519999999999</v>
      </c>
      <c r="K6719">
        <v>1.1180209999999999</v>
      </c>
      <c r="L6719">
        <v>-55.065980000000003</v>
      </c>
      <c r="M6719">
        <v>0.7859893</v>
      </c>
      <c r="N6719">
        <v>-8.4782840000000009E-3</v>
      </c>
      <c r="O6719">
        <v>-0.61818219999999902</v>
      </c>
      <c r="P6719">
        <v>0.87786509999999995</v>
      </c>
      <c r="Q6719">
        <v>0.3535548</v>
      </c>
      <c r="R6719">
        <v>-0.3230363</v>
      </c>
      <c r="S6719">
        <v>3.0520019999999999</v>
      </c>
      <c r="T6719">
        <v>-0.49738359999999898</v>
      </c>
      <c r="U6719">
        <v>-1.5277400000000001</v>
      </c>
      <c r="V6719">
        <v>-0.29599309999999901</v>
      </c>
      <c r="W6719">
        <v>0.35520359999999901</v>
      </c>
      <c r="X6719">
        <v>0.88668969999999903</v>
      </c>
      <c r="Y6719">
        <v>-0.19428010000000001</v>
      </c>
      <c r="Z6719">
        <v>9.6073099999999995E-2</v>
      </c>
      <c r="AA6719">
        <v>0.97623009999999999</v>
      </c>
      <c r="AB6719">
        <v>30</v>
      </c>
      <c r="AC6719">
        <v>6.6162999999999599</v>
      </c>
      <c r="AD6719">
        <v>-1.118025926799</v>
      </c>
      <c r="AE6719">
        <v>-3.25124999999999</v>
      </c>
      <c r="AF6719">
        <v>-1.5001813129092201</v>
      </c>
      <c r="AG6719">
        <v>-1.118025926799</v>
      </c>
      <c r="AH6719">
        <v>7.04834899865339</v>
      </c>
      <c r="AI6719">
        <v>98.818963739725902</v>
      </c>
      <c r="AJ6719">
        <v>102.01562022497799</v>
      </c>
      <c r="AK6719">
        <v>7.2924446896370201</v>
      </c>
      <c r="AL6719">
        <v>69.194078422265804</v>
      </c>
      <c r="AM6719">
        <v>108.45994445142099</v>
      </c>
      <c r="AN6719">
        <v>1.0000000683933199</v>
      </c>
    </row>
    <row r="6720" spans="1:40" x14ac:dyDescent="0.25">
      <c r="A6720" t="str">
        <f>"20190304164256425"</f>
        <v>20190304164256425</v>
      </c>
      <c r="B6720" t="str">
        <f>"1551688976418265"</f>
        <v>1551688976418265</v>
      </c>
      <c r="C6720" t="s">
        <v>40</v>
      </c>
      <c r="D6720">
        <v>4.6379270000000004</v>
      </c>
      <c r="E6720">
        <v>0.54296279999999997</v>
      </c>
      <c r="F6720" t="s">
        <v>57</v>
      </c>
      <c r="G6720">
        <v>-283.17110000000002</v>
      </c>
      <c r="H6720" s="1">
        <v>-5.014967E-6</v>
      </c>
      <c r="I6720">
        <v>-58.417879999999997</v>
      </c>
      <c r="J6720">
        <v>-289.85120000000001</v>
      </c>
      <c r="K6720">
        <v>1.118009</v>
      </c>
      <c r="L6720">
        <v>-55.186950000000003</v>
      </c>
      <c r="M6720">
        <v>0.79029629999999995</v>
      </c>
      <c r="N6720">
        <v>-8.4669350000000001E-3</v>
      </c>
      <c r="O6720">
        <v>-0.6126663</v>
      </c>
      <c r="P6720">
        <v>0.88006200000000001</v>
      </c>
      <c r="Q6720">
        <v>0.35359040000000003</v>
      </c>
      <c r="R6720">
        <v>-0.31696190000000002</v>
      </c>
      <c r="S6720">
        <v>3.0664980000000002</v>
      </c>
      <c r="T6720">
        <v>-0.5009342</v>
      </c>
      <c r="U6720">
        <v>-1.5018309999999999</v>
      </c>
      <c r="V6720">
        <v>-0.29590090000000002</v>
      </c>
      <c r="W6720">
        <v>0.35523519999999997</v>
      </c>
      <c r="X6720">
        <v>0.88670769999999899</v>
      </c>
      <c r="Y6720">
        <v>-0.19583590000000001</v>
      </c>
      <c r="Z6720">
        <v>9.615377E-2</v>
      </c>
      <c r="AA6720">
        <v>0.97591130000000004</v>
      </c>
      <c r="AB6720">
        <v>30</v>
      </c>
      <c r="AC6720">
        <v>6.6800999999999799</v>
      </c>
      <c r="AD6720">
        <v>-1.1180140149669999</v>
      </c>
      <c r="AE6720">
        <v>-3.2309299999999999</v>
      </c>
      <c r="AF6720">
        <v>-1.50516715595221</v>
      </c>
      <c r="AG6720">
        <v>-1.1180140149669999</v>
      </c>
      <c r="AH6720">
        <v>7.0978746631190797</v>
      </c>
      <c r="AI6720">
        <v>98.759666551166902</v>
      </c>
      <c r="AJ6720">
        <v>101.972713299292</v>
      </c>
      <c r="AK6720">
        <v>7.3413424002949101</v>
      </c>
      <c r="AL6720">
        <v>69.192139364438106</v>
      </c>
      <c r="AM6720">
        <v>108.454234626576</v>
      </c>
      <c r="AN6720">
        <v>0.99999996758956899</v>
      </c>
    </row>
    <row r="6721" spans="1:40" x14ac:dyDescent="0.25">
      <c r="A6721" t="str">
        <f>"20190304164256439"</f>
        <v>20190304164256439</v>
      </c>
      <c r="B6721" t="str">
        <f>"1551688976428025"</f>
        <v>1551688976428025</v>
      </c>
      <c r="C6721" t="s">
        <v>40</v>
      </c>
      <c r="D6721">
        <v>4.6127449999999897</v>
      </c>
      <c r="E6721">
        <v>0.54311969999999898</v>
      </c>
      <c r="F6721" t="s">
        <v>57</v>
      </c>
      <c r="G6721">
        <v>-283.01479999999998</v>
      </c>
      <c r="H6721" s="1">
        <v>-5.075833E-6</v>
      </c>
      <c r="I6721">
        <v>-58.485050000000001</v>
      </c>
      <c r="J6721">
        <v>-289.67880000000002</v>
      </c>
      <c r="K6721">
        <v>1.117993</v>
      </c>
      <c r="L6721">
        <v>-55.312040000000003</v>
      </c>
      <c r="M6721">
        <v>0.79472699999999996</v>
      </c>
      <c r="N6721">
        <v>-8.4522659999999999E-3</v>
      </c>
      <c r="O6721">
        <v>-0.60690840000000001</v>
      </c>
      <c r="P6721">
        <v>0.88237459999999901</v>
      </c>
      <c r="Q6721">
        <v>0.35330800000000001</v>
      </c>
      <c r="R6721">
        <v>-0.31078790000000001</v>
      </c>
      <c r="S6721">
        <v>3.076416</v>
      </c>
      <c r="T6721">
        <v>-0.50311090000000003</v>
      </c>
      <c r="U6721">
        <v>-1.4841610000000001</v>
      </c>
      <c r="V6721">
        <v>-0.2957225</v>
      </c>
      <c r="W6721">
        <v>0.35495349999999998</v>
      </c>
      <c r="X6721">
        <v>0.886879999999999</v>
      </c>
      <c r="Y6721">
        <v>-0.1944958</v>
      </c>
      <c r="Z6721">
        <v>9.575061E-2</v>
      </c>
      <c r="AA6721">
        <v>0.97621880000000005</v>
      </c>
      <c r="AB6721">
        <v>30</v>
      </c>
      <c r="AC6721">
        <v>6.6640000000000397</v>
      </c>
      <c r="AD6721">
        <v>-1.1179980758329999</v>
      </c>
      <c r="AE6721">
        <v>-3.1730099999999899</v>
      </c>
      <c r="AF6721">
        <v>-1.4886592137035699</v>
      </c>
      <c r="AG6721">
        <v>-1.1179980758329999</v>
      </c>
      <c r="AH6721">
        <v>7.0600579958473997</v>
      </c>
      <c r="AI6721">
        <v>98.807839628672994</v>
      </c>
      <c r="AJ6721">
        <v>101.90677283962199</v>
      </c>
      <c r="AK6721">
        <v>7.3014001983756298</v>
      </c>
      <c r="AL6721">
        <v>69.209404583577793</v>
      </c>
      <c r="AM6721">
        <v>108.440520716273</v>
      </c>
      <c r="AN6721">
        <v>0.99999995928424901</v>
      </c>
    </row>
    <row r="6722" spans="1:40" x14ac:dyDescent="0.25">
      <c r="A6722" t="str">
        <f>"20190304164256456"</f>
        <v>20190304164256456</v>
      </c>
      <c r="B6722" t="str">
        <f>"1551688976447546"</f>
        <v>1551688976447546</v>
      </c>
      <c r="C6722" t="s">
        <v>40</v>
      </c>
      <c r="D6722">
        <v>4.5956890000000001</v>
      </c>
      <c r="E6722">
        <v>0.54382710000000001</v>
      </c>
      <c r="F6722" t="s">
        <v>57</v>
      </c>
      <c r="G6722">
        <v>-282.93599999999998</v>
      </c>
      <c r="H6722" s="1">
        <v>-5.1082020000000001E-6</v>
      </c>
      <c r="I6722">
        <v>-58.509469999999901</v>
      </c>
      <c r="J6722">
        <v>-289.50990000000002</v>
      </c>
      <c r="K6722">
        <v>1.117974</v>
      </c>
      <c r="L6722">
        <v>-55.43271</v>
      </c>
      <c r="M6722">
        <v>0.79896889999999998</v>
      </c>
      <c r="N6722">
        <v>-8.4355860000000001E-3</v>
      </c>
      <c r="O6722">
        <v>-0.60131319999999999</v>
      </c>
      <c r="P6722">
        <v>0.88444699999999998</v>
      </c>
      <c r="Q6722">
        <v>0.35316890000000001</v>
      </c>
      <c r="R6722">
        <v>-0.30500070000000001</v>
      </c>
      <c r="S6722">
        <v>3.0890499999999999</v>
      </c>
      <c r="T6722">
        <v>-0.51218039999999998</v>
      </c>
      <c r="U6722">
        <v>-1.4648129999999999</v>
      </c>
      <c r="V6722">
        <v>-0.29531770000000002</v>
      </c>
      <c r="W6722">
        <v>0.35482239999999998</v>
      </c>
      <c r="X6722">
        <v>0.88706739999999995</v>
      </c>
      <c r="Y6722">
        <v>-0.19396330000000001</v>
      </c>
      <c r="Z6722">
        <v>9.6700610000000006E-2</v>
      </c>
      <c r="AA6722">
        <v>0.97623119999999997</v>
      </c>
      <c r="AB6722">
        <v>30</v>
      </c>
      <c r="AC6722">
        <v>6.5739000000000303</v>
      </c>
      <c r="AD6722">
        <v>-1.1179791082019901</v>
      </c>
      <c r="AE6722">
        <v>-3.0767599999999899</v>
      </c>
      <c r="AF6722">
        <v>-1.46014891557982</v>
      </c>
      <c r="AG6722">
        <v>-1.1179791082019901</v>
      </c>
      <c r="AH6722">
        <v>6.9380868942743303</v>
      </c>
      <c r="AI6722">
        <v>98.960755705095295</v>
      </c>
      <c r="AJ6722">
        <v>101.884696578195</v>
      </c>
      <c r="AK6722">
        <v>7.1776710634123004</v>
      </c>
      <c r="AL6722">
        <v>69.217440478751399</v>
      </c>
      <c r="AM6722">
        <v>108.413354283988</v>
      </c>
      <c r="AN6722">
        <v>1.0000000258088999</v>
      </c>
    </row>
    <row r="6723" spans="1:40" x14ac:dyDescent="0.25">
      <c r="A6723" t="str">
        <f>"20190304164256487"</f>
        <v>20190304164256487</v>
      </c>
      <c r="B6723" t="str">
        <f>"1551688976478000"</f>
        <v>1551688976478000</v>
      </c>
      <c r="C6723" t="s">
        <v>40</v>
      </c>
      <c r="D6723">
        <v>4.5779870000000003</v>
      </c>
      <c r="E6723">
        <v>0.5447708</v>
      </c>
      <c r="F6723" t="s">
        <v>57</v>
      </c>
      <c r="G6723">
        <v>-282.82470000000001</v>
      </c>
      <c r="H6723" s="1">
        <v>-5.1513909999999999E-6</v>
      </c>
      <c r="I6723">
        <v>-58.558059999999998</v>
      </c>
      <c r="J6723">
        <v>-289.16149999999999</v>
      </c>
      <c r="K6723">
        <v>1.1179049999999999</v>
      </c>
      <c r="L6723">
        <v>-55.676729999999999</v>
      </c>
      <c r="M6723">
        <v>0.80743959999999904</v>
      </c>
      <c r="N6723">
        <v>-8.3986589999999993E-3</v>
      </c>
      <c r="O6723">
        <v>-0.58989049999999998</v>
      </c>
      <c r="P6723">
        <v>0.88821819999999896</v>
      </c>
      <c r="Q6723">
        <v>0.35362290000000002</v>
      </c>
      <c r="R6723">
        <v>-0.29329090000000002</v>
      </c>
      <c r="S6723">
        <v>3.0992130000000002</v>
      </c>
      <c r="T6723">
        <v>-0.51828419999999997</v>
      </c>
      <c r="U6723">
        <v>-1.4488829999999999</v>
      </c>
      <c r="V6723">
        <v>-0.29426999999999998</v>
      </c>
      <c r="W6723">
        <v>0.35530650000000003</v>
      </c>
      <c r="X6723">
        <v>0.88722179999999995</v>
      </c>
      <c r="Y6723">
        <v>-0.18537120000000001</v>
      </c>
      <c r="Z6723">
        <v>9.5784930000000004E-2</v>
      </c>
      <c r="AA6723">
        <v>0.97798909999999994</v>
      </c>
      <c r="AB6723">
        <v>30</v>
      </c>
      <c r="AC6723">
        <v>6.3367999999999798</v>
      </c>
      <c r="AD6723">
        <v>-1.1179101513909999</v>
      </c>
      <c r="AE6723">
        <v>-2.88132999999999</v>
      </c>
      <c r="AF6723">
        <v>-1.3760784522543901</v>
      </c>
      <c r="AG6723">
        <v>-1.1179101513909999</v>
      </c>
      <c r="AH6723">
        <v>6.6451132346775603</v>
      </c>
      <c r="AI6723">
        <v>99.354622807090706</v>
      </c>
      <c r="AJ6723">
        <v>101.699517640434</v>
      </c>
      <c r="AK6723">
        <v>6.8775609713785002</v>
      </c>
      <c r="AL6723">
        <v>69.187770477578496</v>
      </c>
      <c r="AM6723">
        <v>108.34943364814499</v>
      </c>
      <c r="AN6723">
        <v>1.0000000321187399</v>
      </c>
    </row>
    <row r="6724" spans="1:40" x14ac:dyDescent="0.25">
      <c r="A6724" t="str">
        <f>"20190304164256530"</f>
        <v>20190304164256530</v>
      </c>
      <c r="B6724" t="str">
        <f>"1551688976518017"</f>
        <v>1551688976518017</v>
      </c>
      <c r="C6724" t="s">
        <v>40</v>
      </c>
      <c r="D6724">
        <v>4.5657949999999996</v>
      </c>
      <c r="E6724">
        <v>0.5435894</v>
      </c>
      <c r="F6724" t="s">
        <v>57</v>
      </c>
      <c r="G6724">
        <v>-282.50099999999998</v>
      </c>
      <c r="H6724" s="1">
        <v>-5.2775190000000002E-6</v>
      </c>
      <c r="I6724">
        <v>-58.696640000000002</v>
      </c>
      <c r="J6724">
        <v>-288.67520000000002</v>
      </c>
      <c r="K6724">
        <v>1.1178189999999999</v>
      </c>
      <c r="L6724">
        <v>-56.005580000000002</v>
      </c>
      <c r="M6724">
        <v>0.81863409999999903</v>
      </c>
      <c r="N6724">
        <v>-8.3526009999999994E-3</v>
      </c>
      <c r="O6724">
        <v>-0.57425490000000001</v>
      </c>
      <c r="P6724">
        <v>0.89225499999999902</v>
      </c>
      <c r="Q6724">
        <v>0.35585539999999999</v>
      </c>
      <c r="R6724">
        <v>-0.27793559999999901</v>
      </c>
      <c r="S6724">
        <v>3.1190190000000002</v>
      </c>
      <c r="T6724">
        <v>-0.52350280000000005</v>
      </c>
      <c r="U6724">
        <v>-1.414185</v>
      </c>
      <c r="V6724">
        <v>-0.29195520000000003</v>
      </c>
      <c r="W6724">
        <v>0.35760360000000002</v>
      </c>
      <c r="X6724">
        <v>0.88706359999999995</v>
      </c>
      <c r="Y6724">
        <v>-0.17792339999999901</v>
      </c>
      <c r="Z6724">
        <v>9.4133060000000005E-2</v>
      </c>
      <c r="AA6724">
        <v>0.97953159999999895</v>
      </c>
      <c r="AB6724">
        <v>31</v>
      </c>
      <c r="AC6724">
        <v>6.1742000000000399</v>
      </c>
      <c r="AD6724">
        <v>-1.1178242775189999</v>
      </c>
      <c r="AE6724">
        <v>-2.6910599999999998</v>
      </c>
      <c r="AF6724">
        <v>-1.3066262067844601</v>
      </c>
      <c r="AG6724">
        <v>-1.1178242775189999</v>
      </c>
      <c r="AH6724">
        <v>6.4230682685650704</v>
      </c>
      <c r="AI6724">
        <v>99.678104233121104</v>
      </c>
      <c r="AJ6724">
        <v>101.49861403896</v>
      </c>
      <c r="AK6724">
        <v>6.6492562849024202</v>
      </c>
      <c r="AL6724">
        <v>69.046902406941598</v>
      </c>
      <c r="AM6724">
        <v>108.21769066367099</v>
      </c>
      <c r="AN6724">
        <v>1.00000000199248</v>
      </c>
    </row>
    <row r="6725" spans="1:40" x14ac:dyDescent="0.25">
      <c r="A6725" t="str">
        <f>"20190304164256553"</f>
        <v>20190304164256553</v>
      </c>
      <c r="B6725" t="str">
        <f>"1551688976548273"</f>
        <v>1551688976548273</v>
      </c>
      <c r="C6725" t="s">
        <v>40</v>
      </c>
      <c r="D6725">
        <v>4.6798970000000004</v>
      </c>
      <c r="E6725">
        <v>0.53980819999999996</v>
      </c>
      <c r="F6725" t="s">
        <v>57</v>
      </c>
      <c r="G6725">
        <v>-281.81119999999999</v>
      </c>
      <c r="H6725" s="1">
        <v>-5.5545680000000001E-6</v>
      </c>
      <c r="I6725">
        <v>-58.945430000000002</v>
      </c>
      <c r="J6725">
        <v>-288.41300000000001</v>
      </c>
      <c r="K6725">
        <v>1.117788</v>
      </c>
      <c r="L6725">
        <v>-56.177610000000001</v>
      </c>
      <c r="M6725">
        <v>0.82439709999999999</v>
      </c>
      <c r="N6725">
        <v>-8.3333069999999999E-3</v>
      </c>
      <c r="O6725">
        <v>-0.56595069999999903</v>
      </c>
      <c r="P6725">
        <v>0.89406289999999999</v>
      </c>
      <c r="Q6725">
        <v>0.35739280000000001</v>
      </c>
      <c r="R6725">
        <v>-0.27004089999999997</v>
      </c>
      <c r="S6725">
        <v>3.14682</v>
      </c>
      <c r="T6725">
        <v>-0.51246829999999999</v>
      </c>
      <c r="U6725">
        <v>-1.3477779999999999</v>
      </c>
      <c r="V6725">
        <v>-0.2904738</v>
      </c>
      <c r="W6725">
        <v>0.35917729999999998</v>
      </c>
      <c r="X6725">
        <v>0.88691409999999904</v>
      </c>
      <c r="Y6725">
        <v>-0.1888367</v>
      </c>
      <c r="Z6725">
        <v>9.1783530000000002E-2</v>
      </c>
      <c r="AA6725">
        <v>0.97770979999999996</v>
      </c>
      <c r="AB6725">
        <v>31</v>
      </c>
      <c r="AC6725">
        <v>6.6018000000000203</v>
      </c>
      <c r="AD6725">
        <v>-1.117793554568</v>
      </c>
      <c r="AE6725">
        <v>-2.7678199999999999</v>
      </c>
      <c r="AF6725">
        <v>-1.41993946790548</v>
      </c>
      <c r="AG6725">
        <v>-1.117793554568</v>
      </c>
      <c r="AH6725">
        <v>6.8423642855751101</v>
      </c>
      <c r="AI6725">
        <v>99.087800891354703</v>
      </c>
      <c r="AJ6725">
        <v>101.723716166426</v>
      </c>
      <c r="AK6725">
        <v>7.0769795491906899</v>
      </c>
      <c r="AL6725">
        <v>68.950320001902398</v>
      </c>
      <c r="AM6725">
        <v>108.13417174014199</v>
      </c>
      <c r="AN6725">
        <v>0.99999999105026904</v>
      </c>
    </row>
    <row r="6726" spans="1:40" x14ac:dyDescent="0.25">
      <c r="A6726" t="str">
        <f>"20190304164256576"</f>
        <v>20190304164256576</v>
      </c>
      <c r="B6726" t="str">
        <f>"1551688976567792"</f>
        <v>1551688976567792</v>
      </c>
      <c r="C6726" t="s">
        <v>40</v>
      </c>
      <c r="D6726">
        <v>4.4822649999999999</v>
      </c>
      <c r="E6726">
        <v>0.53793829999999998</v>
      </c>
      <c r="F6726" t="s">
        <v>57</v>
      </c>
      <c r="G6726">
        <v>-281.20740000000001</v>
      </c>
      <c r="H6726" s="1">
        <v>-5.8051669999999996E-6</v>
      </c>
      <c r="I6726">
        <v>-59.117510000000003</v>
      </c>
      <c r="J6726">
        <v>-288.15429999999998</v>
      </c>
      <c r="K6726">
        <v>1.1177600000000001</v>
      </c>
      <c r="L6726">
        <v>-56.343809999999998</v>
      </c>
      <c r="M6726">
        <v>0.829908599999999</v>
      </c>
      <c r="N6726">
        <v>-8.3173050000000005E-3</v>
      </c>
      <c r="O6726">
        <v>-0.55783739999999904</v>
      </c>
      <c r="P6726">
        <v>0.89590630000000004</v>
      </c>
      <c r="Q6726">
        <v>0.35846250000000002</v>
      </c>
      <c r="R6726">
        <v>-0.26240599999999997</v>
      </c>
      <c r="S6726">
        <v>3.161896</v>
      </c>
      <c r="T6726">
        <v>-0.490504</v>
      </c>
      <c r="U6726">
        <v>-1.2900700000000001</v>
      </c>
      <c r="V6726">
        <v>-0.28909249999999997</v>
      </c>
      <c r="W6726">
        <v>0.36027930000000002</v>
      </c>
      <c r="X6726">
        <v>0.8869184</v>
      </c>
      <c r="Y6726">
        <v>-0.19665489999999999</v>
      </c>
      <c r="Z6726">
        <v>8.7455190000000002E-2</v>
      </c>
      <c r="AA6726">
        <v>0.9765646</v>
      </c>
      <c r="AB6726">
        <v>31</v>
      </c>
      <c r="AC6726">
        <v>6.9468999999999701</v>
      </c>
      <c r="AD6726">
        <v>-1.1177658051670001</v>
      </c>
      <c r="AE6726">
        <v>-2.7736999999999901</v>
      </c>
      <c r="AF6726">
        <v>-1.5390121345382</v>
      </c>
      <c r="AG6726">
        <v>-1.1177658051670001</v>
      </c>
      <c r="AH6726">
        <v>7.1530932903451099</v>
      </c>
      <c r="AI6726">
        <v>98.685773615564699</v>
      </c>
      <c r="AJ6726">
        <v>102.142279161602</v>
      </c>
      <c r="AK6726">
        <v>7.4016688905838404</v>
      </c>
      <c r="AL6726">
        <v>68.882649067582406</v>
      </c>
      <c r="AM6726">
        <v>108.053463349449</v>
      </c>
      <c r="AN6726">
        <v>0.99999994791164803</v>
      </c>
    </row>
    <row r="6727" spans="1:40" x14ac:dyDescent="0.25">
      <c r="A6727" t="str">
        <f>"20190304164256597"</f>
        <v>20190304164256597</v>
      </c>
      <c r="B6727" t="str">
        <f>"1551688976587820"</f>
        <v>1551688976587820</v>
      </c>
      <c r="C6727" t="s">
        <v>40</v>
      </c>
      <c r="D6727">
        <v>4.4409580000000002</v>
      </c>
      <c r="E6727">
        <v>0.53638059999999999</v>
      </c>
      <c r="F6727" t="s">
        <v>57</v>
      </c>
      <c r="G6727">
        <v>-280.73630000000003</v>
      </c>
      <c r="H6727" s="1">
        <v>-6.0005819999999997E-6</v>
      </c>
      <c r="I6727">
        <v>-59.252510000000001</v>
      </c>
      <c r="J6727">
        <v>-287.90620000000001</v>
      </c>
      <c r="K6727">
        <v>1.1177469999999901</v>
      </c>
      <c r="L6727">
        <v>-56.500030000000002</v>
      </c>
      <c r="M6727">
        <v>0.83504709999999904</v>
      </c>
      <c r="N6727">
        <v>-8.3046779999999994E-3</v>
      </c>
      <c r="O6727">
        <v>-0.5501161</v>
      </c>
      <c r="P6727">
        <v>0.89743200000000001</v>
      </c>
      <c r="Q6727">
        <v>0.35946460000000002</v>
      </c>
      <c r="R6727">
        <v>-0.25573649999999998</v>
      </c>
      <c r="S6727">
        <v>3.1753230000000001</v>
      </c>
      <c r="T6727">
        <v>-0.47846699999999998</v>
      </c>
      <c r="U6727">
        <v>-1.2450870000000001</v>
      </c>
      <c r="V6727">
        <v>-0.2872381</v>
      </c>
      <c r="W6727">
        <v>0.3613208</v>
      </c>
      <c r="X6727">
        <v>0.88709720000000003</v>
      </c>
      <c r="Y6727">
        <v>-0.20126620000000001</v>
      </c>
      <c r="Z6727">
        <v>8.4714199999999906E-2</v>
      </c>
      <c r="AA6727">
        <v>0.97586649999999997</v>
      </c>
      <c r="AB6727">
        <v>31</v>
      </c>
      <c r="AC6727">
        <v>7.1698999999999797</v>
      </c>
      <c r="AD6727">
        <v>-1.11775300058199</v>
      </c>
      <c r="AE6727">
        <v>-2.75247999999999</v>
      </c>
      <c r="AF6727">
        <v>-1.61174401289138</v>
      </c>
      <c r="AG6727">
        <v>-1.11775300058199</v>
      </c>
      <c r="AH6727">
        <v>7.3460436240103997</v>
      </c>
      <c r="AI6727">
        <v>98.453535240590796</v>
      </c>
      <c r="AJ6727">
        <v>102.374788010545</v>
      </c>
      <c r="AK6727">
        <v>7.60338394790538</v>
      </c>
      <c r="AL6727">
        <v>68.818665718854106</v>
      </c>
      <c r="AM6727">
        <v>107.941720921243</v>
      </c>
      <c r="AN6727">
        <v>0.99999994442604301</v>
      </c>
    </row>
    <row r="6728" spans="1:40" x14ac:dyDescent="0.25">
      <c r="A6728" t="str">
        <f>"20190304164256620"</f>
        <v>20190304164256620</v>
      </c>
      <c r="B6728" t="str">
        <f>"1551688976608316"</f>
        <v>1551688976608316</v>
      </c>
      <c r="C6728" t="s">
        <v>40</v>
      </c>
      <c r="D6728">
        <v>4.4337239999999998</v>
      </c>
      <c r="E6728">
        <v>0.53512689999999996</v>
      </c>
      <c r="F6728" t="s">
        <v>57</v>
      </c>
      <c r="G6728">
        <v>-280.32119999999998</v>
      </c>
      <c r="H6728" s="1">
        <v>-6.1547149999999999E-6</v>
      </c>
      <c r="I6728">
        <v>-59.365630000000003</v>
      </c>
      <c r="J6728">
        <v>-287.64690000000002</v>
      </c>
      <c r="K6728">
        <v>1.1177330000000001</v>
      </c>
      <c r="L6728">
        <v>-56.659970000000001</v>
      </c>
      <c r="M6728">
        <v>0.84027540000000001</v>
      </c>
      <c r="N6728">
        <v>-8.2943940000000001E-3</v>
      </c>
      <c r="O6728">
        <v>-0.54209640000000003</v>
      </c>
      <c r="P6728">
        <v>0.89911169999999996</v>
      </c>
      <c r="Q6728">
        <v>0.36027160000000003</v>
      </c>
      <c r="R6728">
        <v>-0.2486015</v>
      </c>
      <c r="S6728">
        <v>3.1878660000000001</v>
      </c>
      <c r="T6728">
        <v>-0.469777</v>
      </c>
      <c r="U6728">
        <v>-1.2043759999999999</v>
      </c>
      <c r="V6728">
        <v>-0.28561750000000002</v>
      </c>
      <c r="W6728">
        <v>0.36215839999999999</v>
      </c>
      <c r="X6728">
        <v>0.88727900000000004</v>
      </c>
      <c r="Y6728">
        <v>-0.2043082</v>
      </c>
      <c r="Z6728">
        <v>8.2442020000000005E-2</v>
      </c>
      <c r="AA6728">
        <v>0.97542890000000004</v>
      </c>
      <c r="AB6728">
        <v>31</v>
      </c>
      <c r="AC6728">
        <v>7.3257000000000403</v>
      </c>
      <c r="AD6728">
        <v>-1.117739154715</v>
      </c>
      <c r="AE6728">
        <v>-2.70566</v>
      </c>
      <c r="AF6728">
        <v>-1.6637123733623</v>
      </c>
      <c r="AG6728">
        <v>-1.117739154715</v>
      </c>
      <c r="AH6728">
        <v>7.4695777337160703</v>
      </c>
      <c r="AI6728">
        <v>98.309847032595201</v>
      </c>
      <c r="AJ6728">
        <v>102.556626519969</v>
      </c>
      <c r="AK6728">
        <v>7.7338134965415799</v>
      </c>
      <c r="AL6728">
        <v>68.767190906267601</v>
      </c>
      <c r="AM6728">
        <v>107.843506914413</v>
      </c>
      <c r="AN6728">
        <v>1.0000000434189</v>
      </c>
    </row>
    <row r="6729" spans="1:40" x14ac:dyDescent="0.25">
      <c r="A6729" t="str">
        <f>"20190304164256643"</f>
        <v>20190304164256643</v>
      </c>
      <c r="B6729" t="str">
        <f>"1551688976637596"</f>
        <v>1551688976637596</v>
      </c>
      <c r="C6729" t="s">
        <v>40</v>
      </c>
      <c r="D6729">
        <v>4.4316519999999997</v>
      </c>
      <c r="E6729">
        <v>0.53367410000000004</v>
      </c>
      <c r="F6729" t="s">
        <v>62</v>
      </c>
      <c r="G6729">
        <v>-279.91180000000003</v>
      </c>
      <c r="H6729" s="1">
        <v>-3.6063659999999998E-6</v>
      </c>
      <c r="I6729">
        <v>-59.479289999999999</v>
      </c>
      <c r="J6729">
        <v>-287.3639</v>
      </c>
      <c r="K6729">
        <v>1.117734</v>
      </c>
      <c r="L6729">
        <v>-56.830750000000002</v>
      </c>
      <c r="M6729">
        <v>0.8458348</v>
      </c>
      <c r="N6729">
        <v>-8.2870310000000003E-3</v>
      </c>
      <c r="O6729">
        <v>-0.53338059999999998</v>
      </c>
      <c r="P6729">
        <v>0.90147069999999996</v>
      </c>
      <c r="Q6729">
        <v>0.36006189999999999</v>
      </c>
      <c r="R6729">
        <v>-0.2402215</v>
      </c>
      <c r="S6729">
        <v>3.1994319999999998</v>
      </c>
      <c r="T6729">
        <v>-0.46232250000000003</v>
      </c>
      <c r="U6729">
        <v>-1.1661379999999999</v>
      </c>
      <c r="V6729">
        <v>-0.2847421</v>
      </c>
      <c r="W6729">
        <v>0.36196139999999999</v>
      </c>
      <c r="X6729">
        <v>0.88764069999999995</v>
      </c>
      <c r="Y6729">
        <v>-0.20584350000000001</v>
      </c>
      <c r="Z6729">
        <v>8.0229889999999998E-2</v>
      </c>
      <c r="AA6729">
        <v>0.97529049999999995</v>
      </c>
      <c r="AB6729">
        <v>31</v>
      </c>
      <c r="AC6729">
        <v>7.4520999999999704</v>
      </c>
      <c r="AD6729">
        <v>-1.1177376063660001</v>
      </c>
      <c r="AE6729">
        <v>-2.6485399999999899</v>
      </c>
      <c r="AF6729">
        <v>-1.7006688362715201</v>
      </c>
      <c r="AG6729">
        <v>-1.1177376063660001</v>
      </c>
      <c r="AH6729">
        <v>7.5650860251792897</v>
      </c>
      <c r="AI6729">
        <v>98.202787512386394</v>
      </c>
      <c r="AJ6729">
        <v>102.669746371082</v>
      </c>
      <c r="AK6729">
        <v>7.8340371722192401</v>
      </c>
      <c r="AL6729">
        <v>68.779300187392707</v>
      </c>
      <c r="AM6729">
        <v>107.785477931649</v>
      </c>
      <c r="AN6729">
        <v>1.0000000654494201</v>
      </c>
    </row>
    <row r="6730" spans="1:40" x14ac:dyDescent="0.25">
      <c r="A6730" t="str">
        <f>"20190304164256664"</f>
        <v>20190304164256664</v>
      </c>
      <c r="B6730" t="str">
        <f>"1551688976658092"</f>
        <v>1551688976658092</v>
      </c>
      <c r="C6730" t="s">
        <v>40</v>
      </c>
      <c r="D6730">
        <v>4.4459689999999998</v>
      </c>
      <c r="E6730">
        <v>0.53291699999999997</v>
      </c>
      <c r="F6730" t="s">
        <v>62</v>
      </c>
      <c r="G6730">
        <v>-279.51519999999999</v>
      </c>
      <c r="H6730" s="1">
        <v>-3.4138400000000001E-6</v>
      </c>
      <c r="I6730">
        <v>-59.580500000000001</v>
      </c>
      <c r="J6730">
        <v>-287.11439999999999</v>
      </c>
      <c r="K6730">
        <v>1.11774</v>
      </c>
      <c r="L6730">
        <v>-56.9779699999999</v>
      </c>
      <c r="M6730">
        <v>0.85061609999999999</v>
      </c>
      <c r="N6730">
        <v>-8.2835719999999995E-3</v>
      </c>
      <c r="O6730">
        <v>-0.52572209999999997</v>
      </c>
      <c r="P6730">
        <v>0.90326980000000001</v>
      </c>
      <c r="Q6730">
        <v>0.36036010000000002</v>
      </c>
      <c r="R6730">
        <v>-0.23290420000000001</v>
      </c>
      <c r="S6730">
        <v>3.210785</v>
      </c>
      <c r="T6730">
        <v>-0.45724799999999899</v>
      </c>
      <c r="U6730">
        <v>-1.124878</v>
      </c>
      <c r="V6730">
        <v>-0.2838735</v>
      </c>
      <c r="W6730">
        <v>0.3622686</v>
      </c>
      <c r="X6730">
        <v>0.88779349999999901</v>
      </c>
      <c r="Y6730">
        <v>-0.20938329999999999</v>
      </c>
      <c r="Z6730">
        <v>7.8731529999999994E-2</v>
      </c>
      <c r="AA6730">
        <v>0.97465889999999999</v>
      </c>
      <c r="AB6730">
        <v>31</v>
      </c>
      <c r="AC6730">
        <v>7.59919999999999</v>
      </c>
      <c r="AD6730">
        <v>-1.11774341384</v>
      </c>
      <c r="AE6730">
        <v>-2.6025299999999998</v>
      </c>
      <c r="AF6730">
        <v>-1.74753613901569</v>
      </c>
      <c r="AG6730">
        <v>-1.11774341384</v>
      </c>
      <c r="AH6730">
        <v>7.6836947913282501</v>
      </c>
      <c r="AI6730">
        <v>98.073383666944395</v>
      </c>
      <c r="AJ6730">
        <v>102.813071290343</v>
      </c>
      <c r="AK6730">
        <v>7.9587937869147902</v>
      </c>
      <c r="AL6730">
        <v>68.760415971929902</v>
      </c>
      <c r="AM6730">
        <v>107.73176675137201</v>
      </c>
      <c r="AN6730">
        <v>1.0000000005952201</v>
      </c>
    </row>
    <row r="6731" spans="1:40" x14ac:dyDescent="0.25">
      <c r="A6731" t="str">
        <f>"20190304164256686"</f>
        <v>20190304164256686</v>
      </c>
      <c r="B6731" t="str">
        <f>"1551688976678118"</f>
        <v>1551688976678118</v>
      </c>
      <c r="C6731" t="s">
        <v>40</v>
      </c>
      <c r="D6731">
        <v>4.4236449999999996</v>
      </c>
      <c r="E6731">
        <v>0.53231130000000004</v>
      </c>
      <c r="F6731" t="s">
        <v>62</v>
      </c>
      <c r="G6731">
        <v>-279.17189999999999</v>
      </c>
      <c r="H6731" s="1">
        <v>-3.245013E-6</v>
      </c>
      <c r="I6731">
        <v>-59.677959999999999</v>
      </c>
      <c r="J6731">
        <v>-286.84800000000001</v>
      </c>
      <c r="K6731">
        <v>1.1177629999999901</v>
      </c>
      <c r="L6731">
        <v>-57.131770000000003</v>
      </c>
      <c r="M6731">
        <v>0.85560449999999999</v>
      </c>
      <c r="N6731">
        <v>-8.2824140000000001E-3</v>
      </c>
      <c r="O6731">
        <v>-0.51756409999999997</v>
      </c>
      <c r="P6731">
        <v>0.90510040000000003</v>
      </c>
      <c r="Q6731">
        <v>0.36085990000000001</v>
      </c>
      <c r="R6731">
        <v>-0.2248859</v>
      </c>
      <c r="S6731">
        <v>3.2197879999999999</v>
      </c>
      <c r="T6731">
        <v>-0.45311889999999999</v>
      </c>
      <c r="U6731">
        <v>-1.094543</v>
      </c>
      <c r="V6731">
        <v>-0.28317439999999999</v>
      </c>
      <c r="W6731">
        <v>0.3627708</v>
      </c>
      <c r="X6731">
        <v>0.88781169999999998</v>
      </c>
      <c r="Y6731">
        <v>-0.2092523</v>
      </c>
      <c r="Z6731">
        <v>7.7084029999999998E-2</v>
      </c>
      <c r="AA6731">
        <v>0.97481870000000004</v>
      </c>
      <c r="AB6731">
        <v>31</v>
      </c>
      <c r="AC6731">
        <v>7.6761000000000097</v>
      </c>
      <c r="AD6731">
        <v>-1.1177662450129999</v>
      </c>
      <c r="AE6731">
        <v>-2.5461900000000002</v>
      </c>
      <c r="AF6731">
        <v>-1.7607686428833</v>
      </c>
      <c r="AG6731">
        <v>-1.1177662450129999</v>
      </c>
      <c r="AH6731">
        <v>7.7379780466203503</v>
      </c>
      <c r="AI6731">
        <v>98.017451979114995</v>
      </c>
      <c r="AJ6731">
        <v>102.81931327250101</v>
      </c>
      <c r="AK6731">
        <v>8.0141132910778108</v>
      </c>
      <c r="AL6731">
        <v>68.729541938198395</v>
      </c>
      <c r="AM6731">
        <v>107.69048438118099</v>
      </c>
      <c r="AN6731">
        <v>1.00000000440244</v>
      </c>
    </row>
    <row r="6732" spans="1:40" x14ac:dyDescent="0.25">
      <c r="A6732" t="str">
        <f>"20190304164256708"</f>
        <v>20190304164256708</v>
      </c>
      <c r="B6732" t="str">
        <f>"1551688976697637"</f>
        <v>1551688976697637</v>
      </c>
      <c r="C6732" t="s">
        <v>40</v>
      </c>
      <c r="D6732">
        <v>4.4420900000000003</v>
      </c>
      <c r="E6732">
        <v>0.53181630000000002</v>
      </c>
      <c r="F6732" t="s">
        <v>62</v>
      </c>
      <c r="G6732">
        <v>-278.80759999999998</v>
      </c>
      <c r="H6732" s="1">
        <v>-3.0664099999999998E-6</v>
      </c>
      <c r="I6732">
        <v>-59.778979999999997</v>
      </c>
      <c r="J6732">
        <v>-286.58510000000001</v>
      </c>
      <c r="K6732">
        <v>1.1177870000000001</v>
      </c>
      <c r="L6732">
        <v>-57.280360000000002</v>
      </c>
      <c r="M6732">
        <v>0.86041889999999999</v>
      </c>
      <c r="N6732">
        <v>-8.28296699999999E-3</v>
      </c>
      <c r="O6732">
        <v>-0.50952039999999998</v>
      </c>
      <c r="P6732">
        <v>0.9071515</v>
      </c>
      <c r="Q6732">
        <v>0.36057289999999997</v>
      </c>
      <c r="R6732">
        <v>-0.21694140000000001</v>
      </c>
      <c r="S6732">
        <v>3.2293699999999999</v>
      </c>
      <c r="T6732">
        <v>-0.44894279999999998</v>
      </c>
      <c r="U6732">
        <v>-1.063232</v>
      </c>
      <c r="V6732">
        <v>-0.28270459999999997</v>
      </c>
      <c r="W6732">
        <v>0.36248190000000002</v>
      </c>
      <c r="X6732">
        <v>0.88807930000000002</v>
      </c>
      <c r="Y6732">
        <v>-0.2096268</v>
      </c>
      <c r="Z6732">
        <v>7.5474659999999999E-2</v>
      </c>
      <c r="AA6732">
        <v>0.97486419999999996</v>
      </c>
      <c r="AB6732">
        <v>31</v>
      </c>
      <c r="AC6732">
        <v>7.7775000000000301</v>
      </c>
      <c r="AD6732">
        <v>-1.11779006641</v>
      </c>
      <c r="AE6732">
        <v>-2.4986199999999998</v>
      </c>
      <c r="AF6732">
        <v>-1.77967553579922</v>
      </c>
      <c r="AG6732">
        <v>-1.11779006641</v>
      </c>
      <c r="AH6732">
        <v>7.81888250814694</v>
      </c>
      <c r="AI6732">
        <v>97.935614298574393</v>
      </c>
      <c r="AJ6732">
        <v>102.822777064313</v>
      </c>
      <c r="AK6732">
        <v>8.0963956994142396</v>
      </c>
      <c r="AL6732">
        <v>68.7473020081855</v>
      </c>
      <c r="AM6732">
        <v>107.65796925550499</v>
      </c>
      <c r="AN6732">
        <v>0.99999993088862704</v>
      </c>
    </row>
    <row r="6733" spans="1:40" x14ac:dyDescent="0.25">
      <c r="A6733" t="str">
        <f>"20190304164256731"</f>
        <v>20190304164256731</v>
      </c>
      <c r="B6733" t="str">
        <f>"1551688976727894"</f>
        <v>1551688976727894</v>
      </c>
      <c r="C6733" t="s">
        <v>40</v>
      </c>
      <c r="D6733">
        <v>4.4356090000000004</v>
      </c>
      <c r="E6733">
        <v>0.53124689999999997</v>
      </c>
      <c r="F6733" t="s">
        <v>62</v>
      </c>
      <c r="G6733">
        <v>-278.51139999999998</v>
      </c>
      <c r="H6733" s="1">
        <v>-2.9236089999999999E-6</v>
      </c>
      <c r="I6733">
        <v>-59.850169999999999</v>
      </c>
      <c r="J6733">
        <v>-286.30360000000002</v>
      </c>
      <c r="K6733">
        <v>1.1178060000000001</v>
      </c>
      <c r="L6733">
        <v>-57.435940000000002</v>
      </c>
      <c r="M6733">
        <v>0.86545749999999999</v>
      </c>
      <c r="N6733">
        <v>-8.2850500000000004E-3</v>
      </c>
      <c r="O6733">
        <v>-0.50091379999999996</v>
      </c>
      <c r="P6733">
        <v>0.90963050000000001</v>
      </c>
      <c r="Q6733">
        <v>0.35939149999999997</v>
      </c>
      <c r="R6733">
        <v>-0.20835129999999999</v>
      </c>
      <c r="S6733">
        <v>3.2387700000000001</v>
      </c>
      <c r="T6733">
        <v>-0.4484049</v>
      </c>
      <c r="U6733">
        <v>-1.0308839999999999</v>
      </c>
      <c r="V6733">
        <v>-0.28247879999999997</v>
      </c>
      <c r="W6733">
        <v>0.36129460000000002</v>
      </c>
      <c r="X6733">
        <v>0.88863490000000001</v>
      </c>
      <c r="Y6733">
        <v>-0.20960590000000001</v>
      </c>
      <c r="Z6733">
        <v>7.4420910000000007E-2</v>
      </c>
      <c r="AA6733">
        <v>0.97494970000000003</v>
      </c>
      <c r="AB6733">
        <v>31</v>
      </c>
      <c r="AC6733">
        <v>7.7922000000000304</v>
      </c>
      <c r="AD6733">
        <v>-1.1178089236090001</v>
      </c>
      <c r="AE6733">
        <v>-2.4142299999999901</v>
      </c>
      <c r="AF6733">
        <v>-1.7804394777997901</v>
      </c>
      <c r="AG6733">
        <v>-1.1178089236090001</v>
      </c>
      <c r="AH6733">
        <v>7.8068296895534397</v>
      </c>
      <c r="AI6733">
        <v>97.947078406896694</v>
      </c>
      <c r="AJ6733">
        <v>102.847247636896</v>
      </c>
      <c r="AK6733">
        <v>8.08492741621723</v>
      </c>
      <c r="AL6733">
        <v>68.820277366442397</v>
      </c>
      <c r="AM6733">
        <v>107.634392667423</v>
      </c>
      <c r="AN6733">
        <v>1.0000000229682999</v>
      </c>
    </row>
    <row r="6734" spans="1:40" x14ac:dyDescent="0.25">
      <c r="A6734" t="str">
        <f>"20190304164256754"</f>
        <v>20190304164256754</v>
      </c>
      <c r="B6734" t="str">
        <f>"1551688976747414"</f>
        <v>1551688976747414</v>
      </c>
      <c r="C6734" t="s">
        <v>40</v>
      </c>
      <c r="D6734">
        <v>4.4551460000000001</v>
      </c>
      <c r="E6734">
        <v>0.53095729999999997</v>
      </c>
      <c r="F6734" t="s">
        <v>62</v>
      </c>
      <c r="G6734">
        <v>-278.25619999999998</v>
      </c>
      <c r="H6734" s="1">
        <v>-2.8035209999999999E-6</v>
      </c>
      <c r="I6734">
        <v>-59.898119999999999</v>
      </c>
      <c r="J6734">
        <v>-286.02600000000001</v>
      </c>
      <c r="K6734">
        <v>1.1178189999999999</v>
      </c>
      <c r="L6734">
        <v>-57.585880000000003</v>
      </c>
      <c r="M6734">
        <v>0.87031199999999997</v>
      </c>
      <c r="N6734">
        <v>-8.2884280000000005E-3</v>
      </c>
      <c r="O6734">
        <v>-0.4924309</v>
      </c>
      <c r="P6734">
        <v>0.91159219999999996</v>
      </c>
      <c r="Q6734">
        <v>0.35920550000000001</v>
      </c>
      <c r="R6734">
        <v>-0.19992779999999999</v>
      </c>
      <c r="S6734">
        <v>3.2486570000000001</v>
      </c>
      <c r="T6734">
        <v>-0.45124969999999998</v>
      </c>
      <c r="U6734">
        <v>-0.99395750000000005</v>
      </c>
      <c r="V6734">
        <v>-0.28206759999999997</v>
      </c>
      <c r="W6734">
        <v>0.36110389999999998</v>
      </c>
      <c r="X6734">
        <v>0.88884300000000005</v>
      </c>
      <c r="Y6734">
        <v>-0.2109878</v>
      </c>
      <c r="Z6734">
        <v>7.4055529999999994E-2</v>
      </c>
      <c r="AA6734">
        <v>0.97467939999999997</v>
      </c>
      <c r="AB6734">
        <v>31</v>
      </c>
      <c r="AC6734">
        <v>7.7698000000000302</v>
      </c>
      <c r="AD6734">
        <v>-1.1178218035209999</v>
      </c>
      <c r="AE6734">
        <v>-2.3122399999999899</v>
      </c>
      <c r="AF6734">
        <v>-1.77993815189935</v>
      </c>
      <c r="AG6734">
        <v>-1.1178218035209999</v>
      </c>
      <c r="AH6734">
        <v>7.7536136831360301</v>
      </c>
      <c r="AI6734">
        <v>97.998432944252997</v>
      </c>
      <c r="AJ6734">
        <v>102.928949211668</v>
      </c>
      <c r="AK6734">
        <v>8.0334445013535802</v>
      </c>
      <c r="AL6734">
        <v>68.8319946181159</v>
      </c>
      <c r="AM6734">
        <v>107.606441724465</v>
      </c>
      <c r="AN6734">
        <v>1.0000000181069799</v>
      </c>
    </row>
    <row r="6735" spans="1:40" x14ac:dyDescent="0.25">
      <c r="A6735" t="str">
        <f>"20190304164256775"</f>
        <v>20190304164256775</v>
      </c>
      <c r="B6735" t="str">
        <f>"1551688976767910"</f>
        <v>1551688976767910</v>
      </c>
      <c r="C6735" t="s">
        <v>40</v>
      </c>
      <c r="D6735">
        <v>4.4573199999999904</v>
      </c>
      <c r="E6735">
        <v>0.53076480000000004</v>
      </c>
      <c r="F6735" t="s">
        <v>62</v>
      </c>
      <c r="G6735">
        <v>-277.95620000000002</v>
      </c>
      <c r="H6735" s="1">
        <v>-2.6605690000000002E-6</v>
      </c>
      <c r="I6735">
        <v>-59.962490000000003</v>
      </c>
      <c r="J6735">
        <v>-285.76170000000002</v>
      </c>
      <c r="K6735">
        <v>1.1178399999999999</v>
      </c>
      <c r="L6735">
        <v>-57.725490000000001</v>
      </c>
      <c r="M6735">
        <v>0.87483290000000002</v>
      </c>
      <c r="N6735">
        <v>-8.2927169999999998E-3</v>
      </c>
      <c r="O6735">
        <v>-0.48435400000000001</v>
      </c>
      <c r="P6735">
        <v>0.9135451</v>
      </c>
      <c r="Q6735">
        <v>0.35897990000000002</v>
      </c>
      <c r="R6735">
        <v>-0.19123090000000001</v>
      </c>
      <c r="S6735">
        <v>3.2583310000000001</v>
      </c>
      <c r="T6735">
        <v>-0.4513392</v>
      </c>
      <c r="U6735">
        <v>-0.95959470000000002</v>
      </c>
      <c r="V6735">
        <v>-0.2823735</v>
      </c>
      <c r="W6735">
        <v>0.36085889999999998</v>
      </c>
      <c r="X6735">
        <v>0.88884540000000001</v>
      </c>
      <c r="Y6735">
        <v>-0.21222920000000001</v>
      </c>
      <c r="Z6735">
        <v>7.3231229999999994E-2</v>
      </c>
      <c r="AA6735">
        <v>0.97447220000000001</v>
      </c>
      <c r="AB6735">
        <v>31</v>
      </c>
      <c r="AC6735">
        <v>7.8054999999999897</v>
      </c>
      <c r="AD6735">
        <v>-1.1178426605689999</v>
      </c>
      <c r="AE6735">
        <v>-2.2370000000000001</v>
      </c>
      <c r="AF6735">
        <v>-1.7897650603502</v>
      </c>
      <c r="AG6735">
        <v>-1.1178426605689999</v>
      </c>
      <c r="AH6735">
        <v>7.7651073046271897</v>
      </c>
      <c r="AI6735">
        <v>97.985299663369304</v>
      </c>
      <c r="AJ6735">
        <v>102.97932429455599</v>
      </c>
      <c r="AK6735">
        <v>8.0467212352244992</v>
      </c>
      <c r="AL6735">
        <v>68.847047555234894</v>
      </c>
      <c r="AM6735">
        <v>107.624309842795</v>
      </c>
      <c r="AN6735">
        <v>1.0000000421563</v>
      </c>
    </row>
    <row r="6736" spans="1:40" x14ac:dyDescent="0.25">
      <c r="A6736" t="str">
        <f>"20190304164256798"</f>
        <v>20190304164256798</v>
      </c>
      <c r="B6736" t="str">
        <f>"1551688976787430"</f>
        <v>1551688976787430</v>
      </c>
      <c r="C6736" t="s">
        <v>40</v>
      </c>
      <c r="D6736">
        <v>4.4549019999999997</v>
      </c>
      <c r="E6736">
        <v>0.53063039999999995</v>
      </c>
      <c r="F6736" t="s">
        <v>62</v>
      </c>
      <c r="G6736">
        <v>-277.67669999999998</v>
      </c>
      <c r="H6736" s="1">
        <v>-2.5281579999999999E-6</v>
      </c>
      <c r="I6736">
        <v>-60.019080000000002</v>
      </c>
      <c r="J6736">
        <v>-285.47910000000002</v>
      </c>
      <c r="K6736">
        <v>1.1178619999999999</v>
      </c>
      <c r="L6736">
        <v>-57.871429999999997</v>
      </c>
      <c r="M6736">
        <v>0.8795579</v>
      </c>
      <c r="N6736">
        <v>-8.2981589999999994E-3</v>
      </c>
      <c r="O6736">
        <v>-0.47571970000000002</v>
      </c>
      <c r="P6736">
        <v>0.91550260000000006</v>
      </c>
      <c r="Q6736">
        <v>0.359267</v>
      </c>
      <c r="R6736">
        <v>-0.1810602</v>
      </c>
      <c r="S6736">
        <v>3.267395</v>
      </c>
      <c r="T6736">
        <v>-0.45175549999999998</v>
      </c>
      <c r="U6736">
        <v>-0.92691040000000002</v>
      </c>
      <c r="V6736">
        <v>-0.28348990000000002</v>
      </c>
      <c r="W6736">
        <v>0.36110520000000002</v>
      </c>
      <c r="X6736">
        <v>0.88838980000000001</v>
      </c>
      <c r="Y6736">
        <v>-0.21239569999999999</v>
      </c>
      <c r="Z6736">
        <v>7.2320469999999998E-2</v>
      </c>
      <c r="AA6736">
        <v>0.97450389999999998</v>
      </c>
      <c r="AB6736">
        <v>32</v>
      </c>
      <c r="AC6736">
        <v>7.8024000000000298</v>
      </c>
      <c r="AD6736">
        <v>-1.117864528158</v>
      </c>
      <c r="AE6736">
        <v>-2.1476499999999898</v>
      </c>
      <c r="AF6736">
        <v>-1.78870491550043</v>
      </c>
      <c r="AG6736">
        <v>-1.117864528158</v>
      </c>
      <c r="AH6736">
        <v>7.7369822239464296</v>
      </c>
      <c r="AI6736">
        <v>98.012890858833501</v>
      </c>
      <c r="AJ6736">
        <v>103.01744775089399</v>
      </c>
      <c r="AK6736">
        <v>8.0193503671876307</v>
      </c>
      <c r="AL6736">
        <v>68.831913517190898</v>
      </c>
      <c r="AM6736">
        <v>107.69815908016101</v>
      </c>
      <c r="AN6736">
        <v>0.99999996280654402</v>
      </c>
    </row>
    <row r="6737" spans="1:40" x14ac:dyDescent="0.25">
      <c r="A6737" t="str">
        <f>"20190304164256821"</f>
        <v>20190304164256821</v>
      </c>
      <c r="B6737" t="str">
        <f>"1551688976817687"</f>
        <v>1551688976817687</v>
      </c>
      <c r="C6737" t="s">
        <v>40</v>
      </c>
      <c r="D6737">
        <v>4.4915330000000004</v>
      </c>
      <c r="E6737">
        <v>0.53001330000000002</v>
      </c>
      <c r="F6737" t="s">
        <v>62</v>
      </c>
      <c r="G6737">
        <v>-277.34930000000003</v>
      </c>
      <c r="H6737" s="1">
        <v>-2.3730509999999999E-6</v>
      </c>
      <c r="I6737">
        <v>-60.085410000000003</v>
      </c>
      <c r="J6737">
        <v>-285.19929999999999</v>
      </c>
      <c r="K6737">
        <v>1.1178900000000001</v>
      </c>
      <c r="L6737">
        <v>-58.012479999999996</v>
      </c>
      <c r="M6737">
        <v>0.88412539999999995</v>
      </c>
      <c r="N6737">
        <v>-8.3043830000000003E-3</v>
      </c>
      <c r="O6737">
        <v>-0.46717609999999898</v>
      </c>
      <c r="P6737">
        <v>0.91715360000000001</v>
      </c>
      <c r="Q6737">
        <v>0.35974119999999998</v>
      </c>
      <c r="R6737">
        <v>-0.17151069999999999</v>
      </c>
      <c r="S6737">
        <v>3.2772220000000001</v>
      </c>
      <c r="T6737">
        <v>-0.4506269</v>
      </c>
      <c r="U6737">
        <v>-0.89248660000000002</v>
      </c>
      <c r="V6737">
        <v>-0.28409129999999999</v>
      </c>
      <c r="W6737">
        <v>0.36155019999999999</v>
      </c>
      <c r="X6737">
        <v>0.88801659999999905</v>
      </c>
      <c r="Y6737">
        <v>-0.21328649999999999</v>
      </c>
      <c r="Z6737">
        <v>7.1197380000000005E-2</v>
      </c>
      <c r="AA6737">
        <v>0.97439200000000004</v>
      </c>
      <c r="AB6737">
        <v>32</v>
      </c>
      <c r="AC6737">
        <v>7.8499999999999597</v>
      </c>
      <c r="AD6737">
        <v>-1.117892373051</v>
      </c>
      <c r="AE6737">
        <v>-2.0729299999999902</v>
      </c>
      <c r="AF6737">
        <v>-1.8005314551103999</v>
      </c>
      <c r="AG6737">
        <v>-1.117892373051</v>
      </c>
      <c r="AH6737">
        <v>7.76193127070675</v>
      </c>
      <c r="AI6737">
        <v>97.986311919186505</v>
      </c>
      <c r="AJ6737">
        <v>103.059893780595</v>
      </c>
      <c r="AK6737">
        <v>8.0460657423204598</v>
      </c>
      <c r="AL6737">
        <v>68.804569170026497</v>
      </c>
      <c r="AM6737">
        <v>107.740339759295</v>
      </c>
      <c r="AN6737">
        <v>0.99999994786564295</v>
      </c>
    </row>
    <row r="6738" spans="1:40" x14ac:dyDescent="0.25">
      <c r="A6738" t="str">
        <f>"20190304164256845"</f>
        <v>20190304164256845</v>
      </c>
      <c r="B6738" t="str">
        <f>"1551688976838181"</f>
        <v>1551688976838181</v>
      </c>
      <c r="C6738" t="s">
        <v>40</v>
      </c>
      <c r="D6738">
        <v>4.5002680000000002</v>
      </c>
      <c r="E6738">
        <v>0.49629970000000001</v>
      </c>
      <c r="F6738" t="s">
        <v>62</v>
      </c>
      <c r="G6738">
        <v>-276.98829999999998</v>
      </c>
      <c r="H6738" s="1">
        <v>-2.2051100000000001E-6</v>
      </c>
      <c r="I6738">
        <v>-60.144599999999997</v>
      </c>
      <c r="J6738">
        <v>-284.90980000000002</v>
      </c>
      <c r="K6738">
        <v>1.117931</v>
      </c>
      <c r="L6738">
        <v>-58.154789999999998</v>
      </c>
      <c r="M6738">
        <v>0.88873819999999903</v>
      </c>
      <c r="N6738">
        <v>-8.3117339999999994E-3</v>
      </c>
      <c r="O6738">
        <v>-0.45833970000000002</v>
      </c>
      <c r="P6738">
        <v>0.91864029999999997</v>
      </c>
      <c r="Q6738">
        <v>0.3602264</v>
      </c>
      <c r="R6738">
        <v>-0.16228609999999999</v>
      </c>
      <c r="S6738">
        <v>3.2869570000000001</v>
      </c>
      <c r="T6738">
        <v>-0.44750810000000002</v>
      </c>
      <c r="U6738">
        <v>-0.85351559999999904</v>
      </c>
      <c r="V6738">
        <v>-0.284113</v>
      </c>
      <c r="W6738">
        <v>0.36201840000000002</v>
      </c>
      <c r="X6738">
        <v>0.88781889999999997</v>
      </c>
      <c r="Y6738">
        <v>-0.21519469999999999</v>
      </c>
      <c r="Z6738">
        <v>6.9807540000000001E-2</v>
      </c>
      <c r="AA6738">
        <v>0.97407299999999997</v>
      </c>
      <c r="AB6738">
        <v>32</v>
      </c>
      <c r="AC6738">
        <v>7.9215000000000302</v>
      </c>
      <c r="AD6738">
        <v>-1.1179332051099999</v>
      </c>
      <c r="AE6738">
        <v>-1.9898099999999901</v>
      </c>
      <c r="AF6738">
        <v>-1.8281328482527399</v>
      </c>
      <c r="AG6738">
        <v>-1.1179332051099999</v>
      </c>
      <c r="AH6738">
        <v>7.8061779806893199</v>
      </c>
      <c r="AI6738">
        <v>97.938060954677695</v>
      </c>
      <c r="AJ6738">
        <v>103.18059054131599</v>
      </c>
      <c r="AK6738">
        <v>8.0949526884440193</v>
      </c>
      <c r="AL6738">
        <v>68.775794361137997</v>
      </c>
      <c r="AM6738">
        <v>107.745312762176</v>
      </c>
      <c r="AN6738">
        <v>0.99999995895238403</v>
      </c>
    </row>
    <row r="6739" spans="1:40" x14ac:dyDescent="0.25">
      <c r="A6739" t="str">
        <f>"20190304164256866"</f>
        <v>20190304164256866</v>
      </c>
      <c r="B6739" t="str">
        <f>"1551688976857701"</f>
        <v>1551688976857701</v>
      </c>
      <c r="C6739" t="s">
        <v>40</v>
      </c>
      <c r="D6739">
        <v>4.4840559999999998</v>
      </c>
      <c r="E6739">
        <v>0.49695270000000002</v>
      </c>
      <c r="F6739" t="s">
        <v>62</v>
      </c>
      <c r="G6739">
        <v>-274.78930000000003</v>
      </c>
      <c r="H6739" s="1">
        <v>-1.3297379999999999E-6</v>
      </c>
      <c r="I6739">
        <v>-59.837020000000003</v>
      </c>
      <c r="J6739">
        <v>-284.63029999999998</v>
      </c>
      <c r="K6739">
        <v>1.117961</v>
      </c>
      <c r="L6739">
        <v>-58.288760000000003</v>
      </c>
      <c r="M6739">
        <v>0.89308390000000004</v>
      </c>
      <c r="N6739">
        <v>-8.3193690000000001E-3</v>
      </c>
      <c r="O6739">
        <v>-0.44981330000000003</v>
      </c>
      <c r="P6739">
        <v>0.92012020000000005</v>
      </c>
      <c r="Q6739">
        <v>0.36042089999999999</v>
      </c>
      <c r="R6739">
        <v>-0.1532184</v>
      </c>
      <c r="S6739">
        <v>3.31189</v>
      </c>
      <c r="T6739">
        <v>-0.36583909999999997</v>
      </c>
      <c r="U6739">
        <v>-0.55050659999999996</v>
      </c>
      <c r="V6739">
        <v>-0.28437099999999998</v>
      </c>
      <c r="W6739">
        <v>0.36219180000000001</v>
      </c>
      <c r="X6739">
        <v>0.88766559999999906</v>
      </c>
      <c r="Y6739">
        <v>-0.29338350000000002</v>
      </c>
      <c r="Z6739">
        <v>6.0795889999999998E-2</v>
      </c>
      <c r="AA6739">
        <v>0.95405969999999996</v>
      </c>
      <c r="AB6739">
        <v>32</v>
      </c>
      <c r="AC6739">
        <v>9.8409999999999496</v>
      </c>
      <c r="AD6739">
        <v>-1.1179623297379999</v>
      </c>
      <c r="AE6739">
        <v>-1.54825999999999</v>
      </c>
      <c r="AF6739">
        <v>-3.0061331739972901</v>
      </c>
      <c r="AG6739">
        <v>-1.1179623297379999</v>
      </c>
      <c r="AH6739">
        <v>9.3676205055918391</v>
      </c>
      <c r="AI6739">
        <v>96.483021933403606</v>
      </c>
      <c r="AJ6739">
        <v>107.79178923984099</v>
      </c>
      <c r="AK6739">
        <v>9.9014640517099703</v>
      </c>
      <c r="AL6739">
        <v>68.765136689837107</v>
      </c>
      <c r="AM6739">
        <v>107.763289362761</v>
      </c>
      <c r="AN6739">
        <v>0.99999999152579899</v>
      </c>
    </row>
    <row r="6740" spans="1:40" x14ac:dyDescent="0.25">
      <c r="A6740" t="str">
        <f>"20190304164256892"</f>
        <v>20190304164256892</v>
      </c>
      <c r="B6740" t="str">
        <f>"1551688976887487"</f>
        <v>1551688976887487</v>
      </c>
      <c r="C6740" t="s">
        <v>40</v>
      </c>
      <c r="D6740">
        <v>4.4749400000000001</v>
      </c>
      <c r="E6740">
        <v>0.49822549999999999</v>
      </c>
      <c r="F6740" t="s">
        <v>62</v>
      </c>
      <c r="G6740">
        <v>-274.55720000000002</v>
      </c>
      <c r="H6740" s="1">
        <v>-1.2204119999999999E-6</v>
      </c>
      <c r="I6740">
        <v>-59.881140000000002</v>
      </c>
      <c r="J6740">
        <v>-284.33659999999998</v>
      </c>
      <c r="K6740">
        <v>1.1179950000000001</v>
      </c>
      <c r="L6740">
        <v>-58.42615</v>
      </c>
      <c r="M6740">
        <v>0.89754089999999997</v>
      </c>
      <c r="N6740">
        <v>-8.3279670000000004E-3</v>
      </c>
      <c r="O6740">
        <v>-0.44085269999999999</v>
      </c>
      <c r="P6740">
        <v>0.92161020000000005</v>
      </c>
      <c r="Q6740">
        <v>0.360377</v>
      </c>
      <c r="R6740">
        <v>-0.14409420000000001</v>
      </c>
      <c r="S6740">
        <v>3.3173520000000001</v>
      </c>
      <c r="T6740">
        <v>-0.36817480000000002</v>
      </c>
      <c r="U6740">
        <v>-0.52441409999999999</v>
      </c>
      <c r="V6740">
        <v>-0.28431859999999998</v>
      </c>
      <c r="W6740">
        <v>0.36213440000000002</v>
      </c>
      <c r="X6740">
        <v>0.88770579999999999</v>
      </c>
      <c r="Y6740">
        <v>-0.29139399999999999</v>
      </c>
      <c r="Z6740">
        <v>6.023543E-2</v>
      </c>
      <c r="AA6740">
        <v>0.95470480000000002</v>
      </c>
      <c r="AB6740">
        <v>32</v>
      </c>
      <c r="AC6740">
        <v>9.7793999999999492</v>
      </c>
      <c r="AD6740">
        <v>-1.117996220412</v>
      </c>
      <c r="AE6740">
        <v>-1.45499</v>
      </c>
      <c r="AF6740">
        <v>-2.96752202846345</v>
      </c>
      <c r="AG6740">
        <v>-1.117996220412</v>
      </c>
      <c r="AH6740">
        <v>9.3002571645609198</v>
      </c>
      <c r="AI6740">
        <v>96.533206038463604</v>
      </c>
      <c r="AJ6740">
        <v>107.696820562282</v>
      </c>
      <c r="AK6740">
        <v>9.8260310331912795</v>
      </c>
      <c r="AL6740">
        <v>68.768664923223497</v>
      </c>
      <c r="AM6740">
        <v>107.759468136146</v>
      </c>
      <c r="AN6740">
        <v>0.99999998866147899</v>
      </c>
    </row>
    <row r="6741" spans="1:40" x14ac:dyDescent="0.25">
      <c r="A6741" t="str">
        <f>"20190304164256910"</f>
        <v>20190304164256910</v>
      </c>
      <c r="B6741" t="str">
        <f>"1551688976898223"</f>
        <v>1551688976898223</v>
      </c>
      <c r="C6741" t="s">
        <v>40</v>
      </c>
      <c r="D6741">
        <v>4.4886710000000001</v>
      </c>
      <c r="E6741">
        <v>0.49871009999999999</v>
      </c>
      <c r="F6741" t="s">
        <v>62</v>
      </c>
      <c r="G6741">
        <v>-274.40550000000002</v>
      </c>
      <c r="H6741" s="1">
        <v>-1.1448259999999999E-6</v>
      </c>
      <c r="I6741">
        <v>-59.928550000000001</v>
      </c>
      <c r="J6741">
        <v>-284.0564</v>
      </c>
      <c r="K6741">
        <v>1.1180300000000001</v>
      </c>
      <c r="L6741">
        <v>-58.553919999999998</v>
      </c>
      <c r="M6741">
        <v>0.90168789999999999</v>
      </c>
      <c r="N6741">
        <v>-8.3366810000000003E-3</v>
      </c>
      <c r="O6741">
        <v>-0.4323071</v>
      </c>
      <c r="P6741">
        <v>0.92264820000000003</v>
      </c>
      <c r="Q6741">
        <v>0.36106120000000003</v>
      </c>
      <c r="R6741">
        <v>-0.13548160000000001</v>
      </c>
      <c r="S6741">
        <v>3.322845</v>
      </c>
      <c r="T6741">
        <v>-0.37406780000000001</v>
      </c>
      <c r="U6741">
        <v>-0.50268550000000001</v>
      </c>
      <c r="V6741">
        <v>-0.28410289999999999</v>
      </c>
      <c r="W6741">
        <v>0.36280669999999998</v>
      </c>
      <c r="X6741">
        <v>0.88750030000000002</v>
      </c>
      <c r="Y6741">
        <v>-0.28858779999999901</v>
      </c>
      <c r="Z6741">
        <v>6.0228200000000003E-2</v>
      </c>
      <c r="AA6741">
        <v>0.9555572</v>
      </c>
      <c r="AB6741">
        <v>32</v>
      </c>
      <c r="AC6741">
        <v>9.6508999999999805</v>
      </c>
      <c r="AD6741">
        <v>-1.1180311448260001</v>
      </c>
      <c r="AE6741">
        <v>-1.37463</v>
      </c>
      <c r="AF6741">
        <v>-2.8946912383246901</v>
      </c>
      <c r="AG6741">
        <v>-1.1180311448260001</v>
      </c>
      <c r="AH6741">
        <v>9.1759865409441694</v>
      </c>
      <c r="AI6741">
        <v>96.627953219866399</v>
      </c>
      <c r="AJ6741">
        <v>107.50859716852</v>
      </c>
      <c r="AK6741">
        <v>9.6864833663008607</v>
      </c>
      <c r="AL6741">
        <v>68.727333892828696</v>
      </c>
      <c r="AM6741">
        <v>107.75069181686</v>
      </c>
      <c r="AN6741">
        <v>0.99999997092669402</v>
      </c>
    </row>
    <row r="6742" spans="1:40" x14ac:dyDescent="0.25">
      <c r="A6742" t="str">
        <f>"20190304164256933"</f>
        <v>20190304164256933</v>
      </c>
      <c r="B6742" t="str">
        <f>"1551688976927503"</f>
        <v>1551688976927503</v>
      </c>
      <c r="C6742" t="s">
        <v>40</v>
      </c>
      <c r="D6742">
        <v>4.4885199999999896</v>
      </c>
      <c r="E6742">
        <v>0.49954749999999998</v>
      </c>
      <c r="F6742" t="s">
        <v>62</v>
      </c>
      <c r="G6742">
        <v>-274.12169999999998</v>
      </c>
      <c r="H6742" s="1">
        <v>-1.0133750000000001E-6</v>
      </c>
      <c r="I6742">
        <v>-59.972499999999997</v>
      </c>
      <c r="J6742">
        <v>-283.76330000000002</v>
      </c>
      <c r="K6742">
        <v>1.118063</v>
      </c>
      <c r="L6742">
        <v>-58.684229999999999</v>
      </c>
      <c r="M6742">
        <v>0.90591790000000005</v>
      </c>
      <c r="N6742">
        <v>-8.3461779999999992E-3</v>
      </c>
      <c r="O6742">
        <v>-0.42337130000000001</v>
      </c>
      <c r="P6742">
        <v>0.92378210000000005</v>
      </c>
      <c r="Q6742">
        <v>0.36136869999999999</v>
      </c>
      <c r="R6742">
        <v>-0.1266466</v>
      </c>
      <c r="S6742">
        <v>3.3283079999999998</v>
      </c>
      <c r="T6742">
        <v>-0.37456139999999999</v>
      </c>
      <c r="U6742">
        <v>-0.47525020000000001</v>
      </c>
      <c r="V6742">
        <v>-0.28380680000000003</v>
      </c>
      <c r="W6742">
        <v>0.36310490000000001</v>
      </c>
      <c r="X6742">
        <v>0.88747310000000001</v>
      </c>
      <c r="Y6742">
        <v>-0.28711629999999999</v>
      </c>
      <c r="Z6742">
        <v>5.9354219999999999E-2</v>
      </c>
      <c r="AA6742">
        <v>0.95605499999999999</v>
      </c>
      <c r="AB6742">
        <v>32</v>
      </c>
      <c r="AC6742">
        <v>9.6416000000000395</v>
      </c>
      <c r="AD6742">
        <v>-1.1180640133749999</v>
      </c>
      <c r="AE6742">
        <v>-1.28826999999999</v>
      </c>
      <c r="AF6742">
        <v>-2.87700185065624</v>
      </c>
      <c r="AG6742">
        <v>-1.1180640133749999</v>
      </c>
      <c r="AH6742">
        <v>9.1592304917042693</v>
      </c>
      <c r="AI6742">
        <v>96.642716682235999</v>
      </c>
      <c r="AJ6742">
        <v>107.438002322934</v>
      </c>
      <c r="AK6742">
        <v>9.6653354823745694</v>
      </c>
      <c r="AL6742">
        <v>68.708998221356794</v>
      </c>
      <c r="AM6742">
        <v>107.733860588849</v>
      </c>
      <c r="AN6742">
        <v>0.99999998567692905</v>
      </c>
    </row>
    <row r="6743" spans="1:40" x14ac:dyDescent="0.25">
      <c r="A6743" t="str">
        <f>"20190304164256955"</f>
        <v>20190304164256955</v>
      </c>
      <c r="B6743" t="str">
        <f>"1551688976947999"</f>
        <v>1551688976947999</v>
      </c>
      <c r="C6743" t="s">
        <v>40</v>
      </c>
      <c r="D6743">
        <v>4.4936420000000004</v>
      </c>
      <c r="E6743">
        <v>0.50554200000000005</v>
      </c>
      <c r="F6743" t="s">
        <v>62</v>
      </c>
      <c r="G6743">
        <v>-273.90629999999999</v>
      </c>
      <c r="H6743" s="1">
        <v>-9.1209069999999996E-7</v>
      </c>
      <c r="I6743">
        <v>-60.012779999999999</v>
      </c>
      <c r="J6743">
        <v>-283.4717</v>
      </c>
      <c r="K6743">
        <v>1.1180829999999999</v>
      </c>
      <c r="L6743">
        <v>-58.810549999999999</v>
      </c>
      <c r="M6743">
        <v>0.91001949999999998</v>
      </c>
      <c r="N6743">
        <v>-8.3560070000000004E-3</v>
      </c>
      <c r="O6743">
        <v>-0.41448180000000001</v>
      </c>
      <c r="P6743">
        <v>0.92506679999999997</v>
      </c>
      <c r="Q6743">
        <v>0.36152879999999998</v>
      </c>
      <c r="R6743">
        <v>-0.1163995</v>
      </c>
      <c r="S6743">
        <v>3.3338320000000001</v>
      </c>
      <c r="T6743">
        <v>-0.37815359999999998</v>
      </c>
      <c r="U6743">
        <v>-0.44934079999999899</v>
      </c>
      <c r="V6743">
        <v>-0.28496779999999999</v>
      </c>
      <c r="W6743">
        <v>0.36322260000000001</v>
      </c>
      <c r="X6743">
        <v>0.88705279999999997</v>
      </c>
      <c r="Y6743">
        <v>-0.28523929999999997</v>
      </c>
      <c r="Z6743">
        <v>5.8946869999999998E-2</v>
      </c>
      <c r="AA6743">
        <v>0.95664199999999999</v>
      </c>
      <c r="AB6743">
        <v>32</v>
      </c>
      <c r="AC6743">
        <v>9.5654000000000092</v>
      </c>
      <c r="AD6743">
        <v>-1.1180839120907</v>
      </c>
      <c r="AE6743">
        <v>-1.2022299999999999</v>
      </c>
      <c r="AF6743">
        <v>-2.8326309442002899</v>
      </c>
      <c r="AG6743">
        <v>-1.1180839120907</v>
      </c>
      <c r="AH6743">
        <v>9.0811765029859703</v>
      </c>
      <c r="AI6743">
        <v>96.703551873882603</v>
      </c>
      <c r="AJ6743">
        <v>107.323919250424</v>
      </c>
      <c r="AK6743">
        <v>9.5781875309946596</v>
      </c>
      <c r="AL6743">
        <v>68.701760375837296</v>
      </c>
      <c r="AM6743">
        <v>107.809737376691</v>
      </c>
      <c r="AN6743">
        <v>0.99999998708771898</v>
      </c>
    </row>
    <row r="6744" spans="1:40" x14ac:dyDescent="0.25">
      <c r="A6744" t="str">
        <f>"20190304164256977"</f>
        <v>20190304164256977</v>
      </c>
      <c r="B6744" t="str">
        <f>"1551688976967519"</f>
        <v>1551688976967519</v>
      </c>
      <c r="C6744" t="s">
        <v>40</v>
      </c>
      <c r="D6744">
        <v>4.508286</v>
      </c>
      <c r="E6744">
        <v>0.50652549999999996</v>
      </c>
      <c r="F6744" t="s">
        <v>62</v>
      </c>
      <c r="G6744">
        <v>-274.39</v>
      </c>
      <c r="H6744" s="1">
        <v>-1.106926E-6</v>
      </c>
      <c r="I6744">
        <v>-60.069980000000001</v>
      </c>
      <c r="J6744">
        <v>-283.18239999999997</v>
      </c>
      <c r="K6744">
        <v>1.11812</v>
      </c>
      <c r="L6744">
        <v>-58.932560000000002</v>
      </c>
      <c r="M6744">
        <v>0.91398440000000003</v>
      </c>
      <c r="N6744">
        <v>-8.3662790000000008E-3</v>
      </c>
      <c r="O6744">
        <v>-0.4056632</v>
      </c>
      <c r="P6744">
        <v>0.9263884</v>
      </c>
      <c r="Q6744">
        <v>0.3612996</v>
      </c>
      <c r="R6744">
        <v>-0.1061472</v>
      </c>
      <c r="S6744">
        <v>3.3455810000000001</v>
      </c>
      <c r="T6744">
        <v>-0.41188649999999999</v>
      </c>
      <c r="U6744">
        <v>-0.4639587</v>
      </c>
      <c r="V6744">
        <v>-0.28628189999999998</v>
      </c>
      <c r="W6744">
        <v>0.36294900000000002</v>
      </c>
      <c r="X6744">
        <v>0.88674159999999902</v>
      </c>
      <c r="Y6744">
        <v>-0.27172550000000001</v>
      </c>
      <c r="Z6744">
        <v>6.2330570000000002E-2</v>
      </c>
      <c r="AA6744">
        <v>0.96035420000000005</v>
      </c>
      <c r="AB6744">
        <v>32</v>
      </c>
      <c r="AC6744">
        <v>8.7923999999999793</v>
      </c>
      <c r="AD6744">
        <v>-1.118121106926</v>
      </c>
      <c r="AE6744">
        <v>-1.1374200000000101</v>
      </c>
      <c r="AF6744">
        <v>-2.4876886599808801</v>
      </c>
      <c r="AG6744">
        <v>-1.118121106926</v>
      </c>
      <c r="AH6744">
        <v>8.3647745350521205</v>
      </c>
      <c r="AI6744">
        <v>97.3011939202608</v>
      </c>
      <c r="AJ6744">
        <v>106.562507452893</v>
      </c>
      <c r="AK6744">
        <v>8.7981954229834702</v>
      </c>
      <c r="AL6744">
        <v>68.718584594496306</v>
      </c>
      <c r="AM6744">
        <v>107.89252019565301</v>
      </c>
      <c r="AN6744">
        <v>0.99999998401958401</v>
      </c>
    </row>
    <row r="6745" spans="1:40" x14ac:dyDescent="0.25">
      <c r="A6745" t="str">
        <f>"20190304164257000"</f>
        <v>20190304164257000</v>
      </c>
      <c r="B6745" t="str">
        <f>"1551688976987546"</f>
        <v>1551688976987546</v>
      </c>
      <c r="C6745" t="s">
        <v>40</v>
      </c>
      <c r="D6745">
        <v>4.5081030000000002</v>
      </c>
      <c r="E6745">
        <v>0.50728119999999999</v>
      </c>
      <c r="F6745" t="s">
        <v>62</v>
      </c>
      <c r="G6745">
        <v>-274.12389999999999</v>
      </c>
      <c r="H6745" s="1">
        <v>-9.8301650000000009E-7</v>
      </c>
      <c r="I6745">
        <v>-60.114069999999998</v>
      </c>
      <c r="J6745">
        <v>-282.88589999999999</v>
      </c>
      <c r="K6745">
        <v>1.118161</v>
      </c>
      <c r="L6745">
        <v>-59.054319999999997</v>
      </c>
      <c r="M6745">
        <v>0.9179446</v>
      </c>
      <c r="N6745">
        <v>-8.3772469999999905E-3</v>
      </c>
      <c r="O6745">
        <v>-0.39662069999999999</v>
      </c>
      <c r="P6745">
        <v>0.92702229999999997</v>
      </c>
      <c r="Q6745">
        <v>0.36214970000000002</v>
      </c>
      <c r="R6745">
        <v>-9.7352800000000003E-2</v>
      </c>
      <c r="S6745">
        <v>3.3495789999999999</v>
      </c>
      <c r="T6745">
        <v>-0.41344690000000001</v>
      </c>
      <c r="U6745">
        <v>-0.43688959999999999</v>
      </c>
      <c r="V6745">
        <v>-0.28586070000000002</v>
      </c>
      <c r="W6745">
        <v>0.36378939999999999</v>
      </c>
      <c r="X6745">
        <v>0.88653309999999996</v>
      </c>
      <c r="Y6745">
        <v>-0.27004460000000002</v>
      </c>
      <c r="Z6745">
        <v>6.1503339999999997E-2</v>
      </c>
      <c r="AA6745">
        <v>0.96088150000000006</v>
      </c>
      <c r="AB6745">
        <v>32</v>
      </c>
      <c r="AC6745">
        <v>8.7620000000000005</v>
      </c>
      <c r="AD6745">
        <v>-1.1181619830164999</v>
      </c>
      <c r="AE6745">
        <v>-1.05975</v>
      </c>
      <c r="AF6745">
        <v>-2.4629537315173802</v>
      </c>
      <c r="AG6745">
        <v>-1.1181619830164999</v>
      </c>
      <c r="AH6745">
        <v>8.3299424751929294</v>
      </c>
      <c r="AI6745">
        <v>97.335069915679</v>
      </c>
      <c r="AJ6745">
        <v>106.471618428681</v>
      </c>
      <c r="AK6745">
        <v>8.7581030448312394</v>
      </c>
      <c r="AL6745">
        <v>68.666900764202893</v>
      </c>
      <c r="AM6745">
        <v>107.871805307817</v>
      </c>
      <c r="AN6745">
        <v>1.0000000023762201</v>
      </c>
    </row>
    <row r="6746" spans="1:40" x14ac:dyDescent="0.25">
      <c r="A6746" t="str">
        <f>"20190304164257010"</f>
        <v>20190304164257010</v>
      </c>
      <c r="B6746" t="str">
        <f>"1551688977008042"</f>
        <v>1551688977008042</v>
      </c>
      <c r="C6746" t="s">
        <v>40</v>
      </c>
      <c r="D6746">
        <v>4.5260049999999996</v>
      </c>
      <c r="E6746">
        <v>0.50763080000000005</v>
      </c>
      <c r="F6746" t="s">
        <v>62</v>
      </c>
      <c r="G6746">
        <v>-273.7758</v>
      </c>
      <c r="H6746" s="1">
        <v>-8.225928E-7</v>
      </c>
      <c r="I6746">
        <v>-60.164200000000001</v>
      </c>
      <c r="J6746">
        <v>-282.73630000000003</v>
      </c>
      <c r="K6746">
        <v>1.1181859999999999</v>
      </c>
      <c r="L6746">
        <v>-59.114229999999999</v>
      </c>
      <c r="M6746">
        <v>0.91990159999999999</v>
      </c>
      <c r="N6746">
        <v>-8.3832200000000003E-3</v>
      </c>
      <c r="O6746">
        <v>-0.39205990000000002</v>
      </c>
      <c r="P6746">
        <v>0.92736229999999997</v>
      </c>
      <c r="Q6746">
        <v>0.36236410000000002</v>
      </c>
      <c r="R6746">
        <v>-9.323033E-2</v>
      </c>
      <c r="S6746">
        <v>3.3541259999999999</v>
      </c>
      <c r="T6746">
        <v>-0.41168060000000001</v>
      </c>
      <c r="U6746">
        <v>-0.4086304</v>
      </c>
      <c r="V6746">
        <v>-0.28539100000000001</v>
      </c>
      <c r="W6746">
        <v>0.36400539999999998</v>
      </c>
      <c r="X6746">
        <v>0.88659580000000004</v>
      </c>
      <c r="Y6746">
        <v>-0.27344829999999998</v>
      </c>
      <c r="Z6746">
        <v>6.0949110000000001E-2</v>
      </c>
      <c r="AA6746">
        <v>0.95995379999999997</v>
      </c>
      <c r="AB6746">
        <v>32</v>
      </c>
      <c r="AC6746">
        <v>8.9605000000000192</v>
      </c>
      <c r="AD6746">
        <v>-1.1181868225928</v>
      </c>
      <c r="AE6746">
        <v>-1.0499699999999901</v>
      </c>
      <c r="AF6746">
        <v>-2.5087342725105399</v>
      </c>
      <c r="AG6746">
        <v>-1.1181868225928</v>
      </c>
      <c r="AH6746">
        <v>8.5237920267265501</v>
      </c>
      <c r="AI6746">
        <v>97.172774601202306</v>
      </c>
      <c r="AJ6746">
        <v>106.400283646856</v>
      </c>
      <c r="AK6746">
        <v>8.9553961350225197</v>
      </c>
      <c r="AL6746">
        <v>68.653614610218696</v>
      </c>
      <c r="AM6746">
        <v>107.843121839802</v>
      </c>
      <c r="AN6746">
        <v>1.0000000333438901</v>
      </c>
    </row>
    <row r="6747" spans="1:40" x14ac:dyDescent="0.25">
      <c r="A6747" t="str">
        <f>"20190304164257022"</f>
        <v>20190304164257022</v>
      </c>
      <c r="B6747" t="str">
        <f>"1551688977017802"</f>
        <v>1551688977017802</v>
      </c>
      <c r="C6747" t="s">
        <v>40</v>
      </c>
      <c r="D6747">
        <v>4.4900029999999997</v>
      </c>
      <c r="E6747">
        <v>0.50789430000000002</v>
      </c>
      <c r="F6747" t="s">
        <v>62</v>
      </c>
      <c r="G6747">
        <v>-273.62580000000003</v>
      </c>
      <c r="H6747" s="1">
        <v>-7.5419639999999998E-7</v>
      </c>
      <c r="I6747">
        <v>-60.182560000000002</v>
      </c>
      <c r="J6747">
        <v>-282.58479999999997</v>
      </c>
      <c r="K6747">
        <v>1.1182080000000001</v>
      </c>
      <c r="L6747">
        <v>-59.174529999999997</v>
      </c>
      <c r="M6747">
        <v>0.92185989999999995</v>
      </c>
      <c r="N6747">
        <v>-8.3892120000000001E-3</v>
      </c>
      <c r="O6747">
        <v>-0.38743300000000003</v>
      </c>
      <c r="P6747">
        <v>0.92779180000000006</v>
      </c>
      <c r="Q6747">
        <v>0.3623267</v>
      </c>
      <c r="R6747">
        <v>-8.9006160000000001E-2</v>
      </c>
      <c r="S6747">
        <v>3.3564150000000001</v>
      </c>
      <c r="T6747">
        <v>-0.41195229999999999</v>
      </c>
      <c r="U6747">
        <v>-0.39358520000000002</v>
      </c>
      <c r="V6747">
        <v>-0.28499629999999998</v>
      </c>
      <c r="W6747">
        <v>0.36396800000000001</v>
      </c>
      <c r="X6747">
        <v>0.88673809999999997</v>
      </c>
      <c r="Y6747">
        <v>-0.27296700000000002</v>
      </c>
      <c r="Z6747">
        <v>6.0462299999999997E-2</v>
      </c>
      <c r="AA6747">
        <v>0.96012149999999996</v>
      </c>
      <c r="AB6747">
        <v>32</v>
      </c>
      <c r="AC6747">
        <v>8.9589999999999392</v>
      </c>
      <c r="AD6747">
        <v>-1.1182087541963901</v>
      </c>
      <c r="AE6747">
        <v>-1.00802999999999</v>
      </c>
      <c r="AF6747">
        <v>-2.50332811759545</v>
      </c>
      <c r="AG6747">
        <v>-1.1182087541963901</v>
      </c>
      <c r="AH6747">
        <v>8.5187392304000902</v>
      </c>
      <c r="AI6747">
        <v>97.178008467727395</v>
      </c>
      <c r="AJ6747">
        <v>106.37602324846</v>
      </c>
      <c r="AK6747">
        <v>8.9490759611181598</v>
      </c>
      <c r="AL6747">
        <v>68.655915147632001</v>
      </c>
      <c r="AM6747">
        <v>107.817327555406</v>
      </c>
      <c r="AN6747">
        <v>1.0000000270146401</v>
      </c>
    </row>
    <row r="6748" spans="1:40" x14ac:dyDescent="0.25">
      <c r="A6748" t="str">
        <f>"20190304164257033"</f>
        <v>20190304164257033</v>
      </c>
      <c r="B6748" t="str">
        <f>"1551688977027562"</f>
        <v>1551688977027562</v>
      </c>
      <c r="C6748" t="s">
        <v>40</v>
      </c>
      <c r="D6748">
        <v>4.5545099999999996</v>
      </c>
      <c r="E6748">
        <v>0.50789430000000002</v>
      </c>
      <c r="F6748" t="s">
        <v>62</v>
      </c>
      <c r="G6748">
        <v>-273.50459999999998</v>
      </c>
      <c r="H6748" s="1">
        <v>-6.9929130000000001E-7</v>
      </c>
      <c r="I6748">
        <v>-60.195819999999998</v>
      </c>
      <c r="J6748">
        <v>-282.42720000000003</v>
      </c>
      <c r="K6748">
        <v>1.1182350000000001</v>
      </c>
      <c r="L6748">
        <v>-59.235719999999901</v>
      </c>
      <c r="M6748">
        <v>0.92386939999999995</v>
      </c>
      <c r="N6748">
        <v>-8.3963349999999996E-3</v>
      </c>
      <c r="O6748">
        <v>-0.38261590000000001</v>
      </c>
      <c r="P6748">
        <v>0.92828880000000003</v>
      </c>
      <c r="Q6748">
        <v>0.36207349999999999</v>
      </c>
      <c r="R6748">
        <v>-8.4751049999999994E-2</v>
      </c>
      <c r="S6748">
        <v>3.358765</v>
      </c>
      <c r="T6748">
        <v>-0.41362670000000001</v>
      </c>
      <c r="U6748">
        <v>-0.37777709999999998</v>
      </c>
      <c r="V6748">
        <v>-0.28448759999999901</v>
      </c>
      <c r="W6748">
        <v>0.3637166</v>
      </c>
      <c r="X6748">
        <v>0.88700449999999997</v>
      </c>
      <c r="Y6748">
        <v>-0.27248460000000002</v>
      </c>
      <c r="Z6748">
        <v>6.016283E-2</v>
      </c>
      <c r="AA6748">
        <v>0.9602773</v>
      </c>
      <c r="AB6748">
        <v>32</v>
      </c>
      <c r="AC6748">
        <v>8.9226000000000401</v>
      </c>
      <c r="AD6748">
        <v>-1.1182356992913001</v>
      </c>
      <c r="AE6748">
        <v>-0.96010000000000395</v>
      </c>
      <c r="AF6748">
        <v>-2.4883738855525399</v>
      </c>
      <c r="AG6748">
        <v>-1.1182356992913001</v>
      </c>
      <c r="AH6748">
        <v>8.4793124698841194</v>
      </c>
      <c r="AI6748">
        <v>97.211972180119005</v>
      </c>
      <c r="AJ6748">
        <v>106.35507059647701</v>
      </c>
      <c r="AK6748">
        <v>8.9073674918800592</v>
      </c>
      <c r="AL6748">
        <v>68.671377958498596</v>
      </c>
      <c r="AM6748">
        <v>107.782525102793</v>
      </c>
      <c r="AN6748">
        <v>0.99999997134478402</v>
      </c>
    </row>
    <row r="6749" spans="1:40" x14ac:dyDescent="0.25">
      <c r="A6749" t="str">
        <f>"20190304164257045"</f>
        <v>20190304164257045</v>
      </c>
      <c r="B6749" t="str">
        <f>"1551688977038298"</f>
        <v>1551688977038298</v>
      </c>
      <c r="C6749" t="s">
        <v>40</v>
      </c>
      <c r="D6749">
        <v>4.5136059999999896</v>
      </c>
      <c r="E6749">
        <v>0.50896319999999995</v>
      </c>
      <c r="F6749" t="s">
        <v>62</v>
      </c>
      <c r="G6749">
        <v>-273.3639</v>
      </c>
      <c r="H6749" s="1">
        <v>-6.3622539999999996E-7</v>
      </c>
      <c r="I6749">
        <v>-60.207990000000002</v>
      </c>
      <c r="J6749">
        <v>-282.27960000000002</v>
      </c>
      <c r="K6749">
        <v>1.118252</v>
      </c>
      <c r="L6749">
        <v>-59.292540000000002</v>
      </c>
      <c r="M6749">
        <v>0.9257263</v>
      </c>
      <c r="N6749">
        <v>-8.4030589999999992E-3</v>
      </c>
      <c r="O6749">
        <v>-0.37810120000000003</v>
      </c>
      <c r="P6749">
        <v>0.92864290000000005</v>
      </c>
      <c r="Q6749">
        <v>0.36214010000000002</v>
      </c>
      <c r="R6749">
        <v>-8.0481899999999995E-2</v>
      </c>
      <c r="S6749">
        <v>3.360535</v>
      </c>
      <c r="T6749">
        <v>-0.41462680000000002</v>
      </c>
      <c r="U6749">
        <v>-0.3605042</v>
      </c>
      <c r="V6749">
        <v>-0.28424899999999997</v>
      </c>
      <c r="W6749">
        <v>0.36377749999999998</v>
      </c>
      <c r="X6749">
        <v>0.88705610000000001</v>
      </c>
      <c r="Y6749">
        <v>-0.27272780000000002</v>
      </c>
      <c r="Z6749">
        <v>5.9849090000000001E-2</v>
      </c>
      <c r="AA6749">
        <v>0.96022790000000002</v>
      </c>
      <c r="AB6749">
        <v>32</v>
      </c>
      <c r="AC6749">
        <v>8.91570000000001</v>
      </c>
      <c r="AD6749">
        <v>-1.1182526362253999</v>
      </c>
      <c r="AE6749">
        <v>-0.91544999999999999</v>
      </c>
      <c r="AF6749">
        <v>-2.4849848481060999</v>
      </c>
      <c r="AG6749">
        <v>-1.1182526362253999</v>
      </c>
      <c r="AH6749">
        <v>8.4681071608967304</v>
      </c>
      <c r="AI6749">
        <v>97.2215458221457</v>
      </c>
      <c r="AJ6749">
        <v>106.354443392608</v>
      </c>
      <c r="AK6749">
        <v>8.8957561534797307</v>
      </c>
      <c r="AL6749">
        <v>68.667633668075894</v>
      </c>
      <c r="AM6749">
        <v>107.76758066113899</v>
      </c>
      <c r="AN6749">
        <v>1.0000000440272201</v>
      </c>
    </row>
    <row r="6750" spans="1:40" x14ac:dyDescent="0.25">
      <c r="A6750" t="str">
        <f>"20190304164257057"</f>
        <v>20190304164257057</v>
      </c>
      <c r="B6750" t="str">
        <f>"1551688977048059"</f>
        <v>1551688977048059</v>
      </c>
      <c r="C6750" t="s">
        <v>40</v>
      </c>
      <c r="D6750">
        <v>4.5488759999999999</v>
      </c>
      <c r="E6750">
        <v>0.50945470000000004</v>
      </c>
      <c r="F6750" t="s">
        <v>62</v>
      </c>
      <c r="G6750">
        <v>-273.18650000000002</v>
      </c>
      <c r="H6750" s="1">
        <v>-5.515025E-7</v>
      </c>
      <c r="I6750">
        <v>-60.247030000000002</v>
      </c>
      <c r="J6750">
        <v>-282.10860000000002</v>
      </c>
      <c r="K6750">
        <v>1.1182829999999999</v>
      </c>
      <c r="L6750">
        <v>-59.35718</v>
      </c>
      <c r="M6750">
        <v>0.9278497</v>
      </c>
      <c r="N6750">
        <v>-8.4115960000000004E-3</v>
      </c>
      <c r="O6750">
        <v>-0.37285970000000002</v>
      </c>
      <c r="P6750">
        <v>0.92901339999999999</v>
      </c>
      <c r="Q6750">
        <v>0.36229939999999999</v>
      </c>
      <c r="R6750">
        <v>-7.5323570000000006E-2</v>
      </c>
      <c r="S6750">
        <v>3.361145</v>
      </c>
      <c r="T6750">
        <v>-0.41334690000000002</v>
      </c>
      <c r="U6750">
        <v>-0.35281370000000001</v>
      </c>
      <c r="V6750">
        <v>-0.28416720000000001</v>
      </c>
      <c r="W6750">
        <v>0.36392409999999997</v>
      </c>
      <c r="X6750">
        <v>0.88702209999999904</v>
      </c>
      <c r="Y6750">
        <v>-0.26956469999999999</v>
      </c>
      <c r="Z6750">
        <v>5.8902599999999902E-2</v>
      </c>
      <c r="AA6750">
        <v>0.96117909999999995</v>
      </c>
      <c r="AB6750">
        <v>33</v>
      </c>
      <c r="AC6750">
        <v>8.9221000000000004</v>
      </c>
      <c r="AD6750">
        <v>-1.11828355150249</v>
      </c>
      <c r="AE6750">
        <v>-0.88984999999999503</v>
      </c>
      <c r="AF6750">
        <v>-2.4628234289724298</v>
      </c>
      <c r="AG6750">
        <v>-1.11828355150249</v>
      </c>
      <c r="AH6750">
        <v>8.4785763065126094</v>
      </c>
      <c r="AI6750">
        <v>97.218636718926405</v>
      </c>
      <c r="AJ6750">
        <v>106.19731599385599</v>
      </c>
      <c r="AK6750">
        <v>8.8995681653220498</v>
      </c>
      <c r="AL6750">
        <v>68.658614511777301</v>
      </c>
      <c r="AM6750">
        <v>107.763427059939</v>
      </c>
      <c r="AN6750">
        <v>0.99999997700252896</v>
      </c>
    </row>
    <row r="6751" spans="1:40" x14ac:dyDescent="0.25">
      <c r="A6751" t="str">
        <f>"20190304164257070"</f>
        <v>20190304164257070</v>
      </c>
      <c r="B6751" t="str">
        <f>"1551688977057819"</f>
        <v>1551688977057819</v>
      </c>
      <c r="C6751" t="s">
        <v>40</v>
      </c>
      <c r="D6751">
        <v>4.5716919999999996</v>
      </c>
      <c r="E6751">
        <v>0.50998060000000001</v>
      </c>
      <c r="F6751" t="s">
        <v>62</v>
      </c>
      <c r="G6751">
        <v>-273.02850000000001</v>
      </c>
      <c r="H6751" s="1">
        <v>-4.7873519999999996E-7</v>
      </c>
      <c r="I6751">
        <v>-60.269469999999998</v>
      </c>
      <c r="J6751">
        <v>-281.94420000000002</v>
      </c>
      <c r="K6751">
        <v>1.1183160000000001</v>
      </c>
      <c r="L6751">
        <v>-59.418239999999997</v>
      </c>
      <c r="M6751">
        <v>0.92986579999999996</v>
      </c>
      <c r="N6751">
        <v>-8.4204929999999994E-3</v>
      </c>
      <c r="O6751">
        <v>-0.36780309999999999</v>
      </c>
      <c r="P6751">
        <v>0.92938010000000004</v>
      </c>
      <c r="Q6751">
        <v>0.3622532</v>
      </c>
      <c r="R6751">
        <v>-7.0891699999999905E-2</v>
      </c>
      <c r="S6751">
        <v>3.3633730000000002</v>
      </c>
      <c r="T6751">
        <v>-0.41422160000000002</v>
      </c>
      <c r="U6751">
        <v>-0.33792109999999997</v>
      </c>
      <c r="V6751">
        <v>-0.28360439999999998</v>
      </c>
      <c r="W6751">
        <v>0.36387560000000002</v>
      </c>
      <c r="X6751">
        <v>0.88722209999999901</v>
      </c>
      <c r="Y6751">
        <v>-0.26862530000000001</v>
      </c>
      <c r="Z6751">
        <v>5.8417690000000001E-2</v>
      </c>
      <c r="AA6751">
        <v>0.96147169999999904</v>
      </c>
      <c r="AB6751">
        <v>33</v>
      </c>
      <c r="AC6751">
        <v>8.91570000000001</v>
      </c>
      <c r="AD6751">
        <v>-1.1183164787352</v>
      </c>
      <c r="AE6751">
        <v>-0.85122999999999305</v>
      </c>
      <c r="AF6751">
        <v>-2.4495882423940101</v>
      </c>
      <c r="AG6751">
        <v>-1.1183164787352</v>
      </c>
      <c r="AH6751">
        <v>8.4717091829072899</v>
      </c>
      <c r="AI6751">
        <v>97.227172970151202</v>
      </c>
      <c r="AJ6751">
        <v>106.12718508176999</v>
      </c>
      <c r="AK6751">
        <v>8.8893740377847497</v>
      </c>
      <c r="AL6751">
        <v>68.6615980016159</v>
      </c>
      <c r="AM6751">
        <v>107.726704906488</v>
      </c>
      <c r="AN6751">
        <v>0.99999998135156398</v>
      </c>
    </row>
    <row r="6752" spans="1:40" x14ac:dyDescent="0.25">
      <c r="A6752" t="str">
        <f>"20190304164257097"</f>
        <v>20190304164257097</v>
      </c>
      <c r="B6752" t="str">
        <f>"1551688977087604"</f>
        <v>1551688977087604</v>
      </c>
      <c r="C6752" t="s">
        <v>40</v>
      </c>
      <c r="D6752">
        <v>4.5349879999999896</v>
      </c>
      <c r="E6752">
        <v>0.51076060000000001</v>
      </c>
      <c r="F6752" t="s">
        <v>62</v>
      </c>
      <c r="G6752">
        <v>-272.93459999999999</v>
      </c>
      <c r="H6752" s="1">
        <v>-4.3361869999999998E-7</v>
      </c>
      <c r="I6752">
        <v>-60.291469999999997</v>
      </c>
      <c r="J6752">
        <v>-281.57010000000002</v>
      </c>
      <c r="K6752">
        <v>1.118409</v>
      </c>
      <c r="L6752">
        <v>-59.553649999999998</v>
      </c>
      <c r="M6752">
        <v>0.93435610000000002</v>
      </c>
      <c r="N6752">
        <v>-8.4433440000000002E-3</v>
      </c>
      <c r="O6752">
        <v>-0.35624119999999998</v>
      </c>
      <c r="P6752">
        <v>0.92973989999999995</v>
      </c>
      <c r="Q6752">
        <v>0.36305520000000002</v>
      </c>
      <c r="R6752">
        <v>-6.144082E-2</v>
      </c>
      <c r="S6752">
        <v>3.3659059999999998</v>
      </c>
      <c r="T6752">
        <v>-0.41779579999999999</v>
      </c>
      <c r="U6752">
        <v>-0.32623289999999999</v>
      </c>
      <c r="V6752">
        <v>-0.28160159999999901</v>
      </c>
      <c r="W6752">
        <v>0.36467899999999998</v>
      </c>
      <c r="X6752">
        <v>0.88753009999999999</v>
      </c>
      <c r="Y6752">
        <v>-0.26012049999999998</v>
      </c>
      <c r="Z6752">
        <v>5.710929E-2</v>
      </c>
      <c r="AA6752">
        <v>0.96388580000000001</v>
      </c>
      <c r="AB6752">
        <v>33</v>
      </c>
      <c r="AC6752">
        <v>8.6355000000000306</v>
      </c>
      <c r="AD6752">
        <v>-1.1184094336186901</v>
      </c>
      <c r="AE6752">
        <v>-0.73781999999999903</v>
      </c>
      <c r="AF6752">
        <v>-2.34792115936196</v>
      </c>
      <c r="AG6752">
        <v>-1.1184094336186901</v>
      </c>
      <c r="AH6752">
        <v>8.1953007013030099</v>
      </c>
      <c r="AI6752">
        <v>97.474044598846504</v>
      </c>
      <c r="AJ6752">
        <v>105.986797849159</v>
      </c>
      <c r="AK6752">
        <v>8.5980536760690498</v>
      </c>
      <c r="AL6752">
        <v>68.612169864244905</v>
      </c>
      <c r="AM6752">
        <v>107.603546647662</v>
      </c>
      <c r="AN6752">
        <v>0.999999956284784</v>
      </c>
    </row>
    <row r="6753" spans="1:40" x14ac:dyDescent="0.25">
      <c r="A6753" t="str">
        <f>"20190304164257112"</f>
        <v>20190304164257112</v>
      </c>
      <c r="B6753" t="str">
        <f>"1551688977108100"</f>
        <v>1551688977108100</v>
      </c>
      <c r="C6753" t="s">
        <v>40</v>
      </c>
      <c r="D6753">
        <v>4.5443949999999997</v>
      </c>
      <c r="E6753">
        <v>0.51155260000000002</v>
      </c>
      <c r="F6753" t="s">
        <v>62</v>
      </c>
      <c r="G6753">
        <v>-272.5684</v>
      </c>
      <c r="H6753" s="1">
        <v>-2.6426509999999998E-7</v>
      </c>
      <c r="I6753">
        <v>-60.346739999999997</v>
      </c>
      <c r="J6753">
        <v>-281.36829999999998</v>
      </c>
      <c r="K6753">
        <v>1.118479</v>
      </c>
      <c r="L6753">
        <v>-59.624360000000003</v>
      </c>
      <c r="M6753">
        <v>0.93672699999999998</v>
      </c>
      <c r="N6753">
        <v>-8.4576700000000005E-3</v>
      </c>
      <c r="O6753">
        <v>-0.34995850000000001</v>
      </c>
      <c r="P6753">
        <v>0.92953350000000001</v>
      </c>
      <c r="Q6753">
        <v>0.36407149999999999</v>
      </c>
      <c r="R6753">
        <v>-5.8475949999999999E-2</v>
      </c>
      <c r="S6753">
        <v>3.3706049999999999</v>
      </c>
      <c r="T6753">
        <v>-0.41877639999999999</v>
      </c>
      <c r="U6753">
        <v>-0.29696660000000002</v>
      </c>
      <c r="V6753">
        <v>-0.27839649999999999</v>
      </c>
      <c r="W6753">
        <v>0.36574069999999997</v>
      </c>
      <c r="X6753">
        <v>0.88810419999999901</v>
      </c>
      <c r="Y6753">
        <v>-0.26207659999999999</v>
      </c>
      <c r="Z6753">
        <v>5.6657319999999997E-2</v>
      </c>
      <c r="AA6753">
        <v>0.96338250000000003</v>
      </c>
      <c r="AB6753">
        <v>33</v>
      </c>
      <c r="AC6753">
        <v>8.7998999999999796</v>
      </c>
      <c r="AD6753">
        <v>-1.1184792642651</v>
      </c>
      <c r="AE6753">
        <v>-0.72238000000000802</v>
      </c>
      <c r="AF6753">
        <v>-2.3650617016836799</v>
      </c>
      <c r="AG6753">
        <v>-1.1184792642651</v>
      </c>
      <c r="AH6753">
        <v>8.3620286969224793</v>
      </c>
      <c r="AI6753">
        <v>97.334102801301</v>
      </c>
      <c r="AJ6753">
        <v>105.7926794107</v>
      </c>
      <c r="AK6753">
        <v>8.7617370792278901</v>
      </c>
      <c r="AL6753">
        <v>68.546825582330101</v>
      </c>
      <c r="AM6753">
        <v>107.40478845728001</v>
      </c>
      <c r="AN6753">
        <v>0.999999970453189</v>
      </c>
    </row>
    <row r="6754" spans="1:40" x14ac:dyDescent="0.25">
      <c r="A6754" t="str">
        <f>"20190304164257124"</f>
        <v>20190304164257124</v>
      </c>
      <c r="B6754" t="str">
        <f>"1551688977117860"</f>
        <v>1551688977117860</v>
      </c>
      <c r="C6754" t="s">
        <v>40</v>
      </c>
      <c r="D6754">
        <v>4.561928</v>
      </c>
      <c r="E6754">
        <v>0.51196129999999995</v>
      </c>
      <c r="F6754" t="s">
        <v>62</v>
      </c>
      <c r="G6754">
        <v>-272.37329999999997</v>
      </c>
      <c r="H6754" s="1">
        <v>-1.7567469999999999E-7</v>
      </c>
      <c r="I6754">
        <v>-60.398299999999999</v>
      </c>
      <c r="J6754">
        <v>-281.20359999999999</v>
      </c>
      <c r="K6754">
        <v>1.1185290000000001</v>
      </c>
      <c r="L6754">
        <v>-59.681240000000003</v>
      </c>
      <c r="M6754">
        <v>0.93863459999999999</v>
      </c>
      <c r="N6754">
        <v>-8.4697100000000001E-3</v>
      </c>
      <c r="O6754">
        <v>-0.34480889999999997</v>
      </c>
      <c r="P6754">
        <v>0.92971429999999999</v>
      </c>
      <c r="Q6754">
        <v>0.36415520000000001</v>
      </c>
      <c r="R6754">
        <v>-5.49776999999999E-2</v>
      </c>
      <c r="S6754">
        <v>3.3734440000000001</v>
      </c>
      <c r="T6754">
        <v>-0.41946830000000002</v>
      </c>
      <c r="U6754">
        <v>-0.29025269999999997</v>
      </c>
      <c r="V6754">
        <v>-0.27689330000000001</v>
      </c>
      <c r="W6754">
        <v>0.36583710000000003</v>
      </c>
      <c r="X6754">
        <v>0.88853439999999995</v>
      </c>
      <c r="Y6754">
        <v>-0.25880320000000001</v>
      </c>
      <c r="Z6754">
        <v>5.5940289999999997E-2</v>
      </c>
      <c r="AA6754">
        <v>0.96430890000000002</v>
      </c>
      <c r="AB6754">
        <v>33</v>
      </c>
      <c r="AC6754">
        <v>8.8303000000000207</v>
      </c>
      <c r="AD6754">
        <v>-1.1185291756747</v>
      </c>
      <c r="AE6754">
        <v>-0.71705999999999603</v>
      </c>
      <c r="AF6754">
        <v>-2.3345806821562598</v>
      </c>
      <c r="AG6754">
        <v>-1.1185291756747</v>
      </c>
      <c r="AH6754">
        <v>8.4020516867394193</v>
      </c>
      <c r="AI6754">
        <v>97.309210400486606</v>
      </c>
      <c r="AJ6754">
        <v>105.52839960133799</v>
      </c>
      <c r="AK6754">
        <v>8.7918056748868896</v>
      </c>
      <c r="AL6754">
        <v>68.540892367222696</v>
      </c>
      <c r="AM6754">
        <v>107.30856120465</v>
      </c>
      <c r="AN6754">
        <v>1.0000000316523201</v>
      </c>
    </row>
    <row r="6755" spans="1:40" x14ac:dyDescent="0.25">
      <c r="A6755" t="str">
        <f>"20190304164257134"</f>
        <v>20190304164257134</v>
      </c>
      <c r="B6755" t="str">
        <f>"1551688977127621"</f>
        <v>1551688977127621</v>
      </c>
      <c r="C6755" t="s">
        <v>40</v>
      </c>
      <c r="D6755">
        <v>4.5015539999999996</v>
      </c>
      <c r="E6755">
        <v>0.51224020000000003</v>
      </c>
      <c r="F6755" t="s">
        <v>62</v>
      </c>
      <c r="G6755">
        <v>-272.2278</v>
      </c>
      <c r="H6755" s="1">
        <v>-1.186879E-7</v>
      </c>
      <c r="I6755">
        <v>-60.422719999999998</v>
      </c>
      <c r="J6755">
        <v>-281.0539</v>
      </c>
      <c r="K6755">
        <v>1.118581</v>
      </c>
      <c r="L6755">
        <v>-59.731659999999998</v>
      </c>
      <c r="M6755">
        <v>0.94035119999999905</v>
      </c>
      <c r="N6755">
        <v>-8.4815659999999994E-3</v>
      </c>
      <c r="O6755">
        <v>-0.3400994</v>
      </c>
      <c r="P6755">
        <v>0.92993029999999999</v>
      </c>
      <c r="Q6755">
        <v>0.36407450000000002</v>
      </c>
      <c r="R6755">
        <v>-5.1763339999999998E-2</v>
      </c>
      <c r="S6755">
        <v>3.3750610000000001</v>
      </c>
      <c r="T6755">
        <v>-0.42058610000000002</v>
      </c>
      <c r="U6755">
        <v>-0.27880860000000002</v>
      </c>
      <c r="V6755">
        <v>-0.27556120000000001</v>
      </c>
      <c r="W6755">
        <v>0.36576560000000002</v>
      </c>
      <c r="X6755">
        <v>0.88897780000000004</v>
      </c>
      <c r="Y6755">
        <v>-0.25727139999999998</v>
      </c>
      <c r="Z6755">
        <v>5.5466790000000002E-2</v>
      </c>
      <c r="AA6755">
        <v>0.96474599999999999</v>
      </c>
      <c r="AB6755">
        <v>33</v>
      </c>
      <c r="AC6755">
        <v>8.8260999999999896</v>
      </c>
      <c r="AD6755">
        <v>-1.11858111868789</v>
      </c>
      <c r="AE6755">
        <v>-0.69106000000000001</v>
      </c>
      <c r="AF6755">
        <v>-2.3150395115613001</v>
      </c>
      <c r="AG6755">
        <v>-1.11858111868789</v>
      </c>
      <c r="AH6755">
        <v>8.4008584685297194</v>
      </c>
      <c r="AI6755">
        <v>97.314824580597204</v>
      </c>
      <c r="AJ6755">
        <v>105.406703981153</v>
      </c>
      <c r="AK6755">
        <v>8.7855025278832297</v>
      </c>
      <c r="AL6755">
        <v>68.545293124785601</v>
      </c>
      <c r="AM6755">
        <v>107.222147391242</v>
      </c>
      <c r="AN6755">
        <v>0.99999998899081999</v>
      </c>
    </row>
    <row r="6756" spans="1:40" x14ac:dyDescent="0.25">
      <c r="A6756" t="str">
        <f>"20190304164257145"</f>
        <v>20190304164257145</v>
      </c>
      <c r="B6756" t="str">
        <f>"1551688977137381"</f>
        <v>1551688977137381</v>
      </c>
      <c r="C6756" t="s">
        <v>40</v>
      </c>
      <c r="D6756">
        <v>4.5339260000000001</v>
      </c>
      <c r="E6756">
        <v>0.51257450000000004</v>
      </c>
      <c r="F6756" t="s">
        <v>62</v>
      </c>
      <c r="G6756">
        <v>-272.10890000000001</v>
      </c>
      <c r="H6756" s="1">
        <v>-7.1919600000000003E-8</v>
      </c>
      <c r="I6756">
        <v>-60.441749999999999</v>
      </c>
      <c r="J6756">
        <v>-280.91250000000002</v>
      </c>
      <c r="K6756">
        <v>1.11863</v>
      </c>
      <c r="L6756">
        <v>-59.778779999999998</v>
      </c>
      <c r="M6756">
        <v>0.94195269999999998</v>
      </c>
      <c r="N6756">
        <v>-8.4926469999999903E-3</v>
      </c>
      <c r="O6756">
        <v>-0.33563799999999999</v>
      </c>
      <c r="P6756">
        <v>0.93011239999999995</v>
      </c>
      <c r="Q6756">
        <v>0.36406060000000001</v>
      </c>
      <c r="R6756">
        <v>-4.8487219999999998E-2</v>
      </c>
      <c r="S6756">
        <v>3.3764340000000002</v>
      </c>
      <c r="T6756">
        <v>-0.42222749999999998</v>
      </c>
      <c r="U6756">
        <v>-0.26803589999999999</v>
      </c>
      <c r="V6756">
        <v>-0.27452070000000001</v>
      </c>
      <c r="W6756">
        <v>0.365755</v>
      </c>
      <c r="X6756">
        <v>0.88930399999999998</v>
      </c>
      <c r="Y6756">
        <v>-0.25579200000000002</v>
      </c>
      <c r="Z6756">
        <v>5.509265E-2</v>
      </c>
      <c r="AA6756">
        <v>0.96516069999999998</v>
      </c>
      <c r="AB6756">
        <v>33</v>
      </c>
      <c r="AC6756">
        <v>8.8036000000000101</v>
      </c>
      <c r="AD6756">
        <v>-1.1186300719196001</v>
      </c>
      <c r="AE6756">
        <v>-0.66296999999999395</v>
      </c>
      <c r="AF6756">
        <v>-2.2935979596482601</v>
      </c>
      <c r="AG6756">
        <v>-1.1186300719196001</v>
      </c>
      <c r="AH6756">
        <v>8.3808500722872807</v>
      </c>
      <c r="AI6756">
        <v>97.335936174910898</v>
      </c>
      <c r="AJ6756">
        <v>105.305449687999</v>
      </c>
      <c r="AK6756">
        <v>8.7607404237577597</v>
      </c>
      <c r="AL6756">
        <v>68.545945238966695</v>
      </c>
      <c r="AM6756">
        <v>107.155019186827</v>
      </c>
      <c r="AN6756">
        <v>0.99999996958474402</v>
      </c>
    </row>
    <row r="6757" spans="1:40" x14ac:dyDescent="0.25">
      <c r="A6757" t="str">
        <f>"20190304164257155"</f>
        <v>20190304164257155</v>
      </c>
      <c r="B6757" t="str">
        <f>"1551688977148117"</f>
        <v>1551688977148117</v>
      </c>
      <c r="C6757" t="s">
        <v>40</v>
      </c>
      <c r="D6757">
        <v>4.5367369999999996</v>
      </c>
      <c r="E6757">
        <v>0.51292130000000002</v>
      </c>
      <c r="F6757" t="s">
        <v>62</v>
      </c>
      <c r="G6757">
        <v>-272.00850000000003</v>
      </c>
      <c r="H6757" s="1">
        <v>-3.2691099999999997E-8</v>
      </c>
      <c r="I6757">
        <v>-60.459130000000002</v>
      </c>
      <c r="J6757">
        <v>-280.75819999999999</v>
      </c>
      <c r="K6757">
        <v>1.118687</v>
      </c>
      <c r="L6757">
        <v>-59.829160000000002</v>
      </c>
      <c r="M6757">
        <v>0.94368229999999997</v>
      </c>
      <c r="N6757">
        <v>-8.5051669999999992E-3</v>
      </c>
      <c r="O6757">
        <v>-0.33074419999999999</v>
      </c>
      <c r="P6757">
        <v>0.9303555</v>
      </c>
      <c r="Q6757">
        <v>0.36395070000000002</v>
      </c>
      <c r="R6757">
        <v>-4.4484889999999999E-2</v>
      </c>
      <c r="S6757">
        <v>3.378082</v>
      </c>
      <c r="T6757">
        <v>-0.4243944</v>
      </c>
      <c r="U6757">
        <v>-0.25811770000000001</v>
      </c>
      <c r="V6757">
        <v>-0.27378859999999999</v>
      </c>
      <c r="W6757">
        <v>0.36563869999999998</v>
      </c>
      <c r="X6757">
        <v>0.88957749999999902</v>
      </c>
      <c r="Y6757">
        <v>-0.25363799999999997</v>
      </c>
      <c r="Z6757">
        <v>5.4683910000000002E-2</v>
      </c>
      <c r="AA6757">
        <v>0.96575230000000001</v>
      </c>
      <c r="AB6757">
        <v>33</v>
      </c>
      <c r="AC6757">
        <v>8.7496999999999598</v>
      </c>
      <c r="AD6757">
        <v>-1.1186870326911</v>
      </c>
      <c r="AE6757">
        <v>-0.62997000000000702</v>
      </c>
      <c r="AF6757">
        <v>-2.2627066581608002</v>
      </c>
      <c r="AG6757">
        <v>-1.1186870326911</v>
      </c>
      <c r="AH6757">
        <v>8.3301324959522098</v>
      </c>
      <c r="AI6757">
        <v>97.384265182385107</v>
      </c>
      <c r="AJ6757">
        <v>105.196539476507</v>
      </c>
      <c r="AK6757">
        <v>8.70416047060918</v>
      </c>
      <c r="AL6757">
        <v>68.553105156432693</v>
      </c>
      <c r="AM6757">
        <v>107.106991418197</v>
      </c>
      <c r="AN6757">
        <v>0.99999999246694904</v>
      </c>
    </row>
    <row r="6758" spans="1:40" x14ac:dyDescent="0.25">
      <c r="A6758" t="str">
        <f>"20190304164257166"</f>
        <v>20190304164257166</v>
      </c>
      <c r="B6758" t="str">
        <f>"1551688977157877"</f>
        <v>1551688977157877</v>
      </c>
      <c r="C6758" t="s">
        <v>40</v>
      </c>
      <c r="D6758">
        <v>4.5309860000000004</v>
      </c>
      <c r="E6758">
        <v>0.5132582</v>
      </c>
      <c r="F6758" t="s">
        <v>62</v>
      </c>
      <c r="G6758">
        <v>-271.90620000000001</v>
      </c>
      <c r="H6758" s="1">
        <v>7.3839599999999998E-9</v>
      </c>
      <c r="I6758">
        <v>-60.47625</v>
      </c>
      <c r="J6758">
        <v>-280.61110000000002</v>
      </c>
      <c r="K6758">
        <v>1.1187400000000001</v>
      </c>
      <c r="L6758">
        <v>-59.876370000000001</v>
      </c>
      <c r="M6758">
        <v>0.94530950000000002</v>
      </c>
      <c r="N6758">
        <v>-8.5169069999999902E-3</v>
      </c>
      <c r="O6758">
        <v>-0.32606400000000002</v>
      </c>
      <c r="P6758">
        <v>0.93062420000000001</v>
      </c>
      <c r="Q6758">
        <v>0.36376720000000001</v>
      </c>
      <c r="R6758">
        <v>-4.0153290000000001E-2</v>
      </c>
      <c r="S6758">
        <v>3.3798520000000001</v>
      </c>
      <c r="T6758">
        <v>-0.42713459999999998</v>
      </c>
      <c r="U6758">
        <v>-0.24707029999999999</v>
      </c>
      <c r="V6758">
        <v>-0.27358739999999998</v>
      </c>
      <c r="W6758">
        <v>0.36543809999999999</v>
      </c>
      <c r="X6758">
        <v>0.88972189999999995</v>
      </c>
      <c r="Y6758">
        <v>-0.25201610000000002</v>
      </c>
      <c r="Z6758">
        <v>5.4400280000000002E-2</v>
      </c>
      <c r="AA6758">
        <v>0.96619279999999996</v>
      </c>
      <c r="AB6758">
        <v>33</v>
      </c>
      <c r="AC6758">
        <v>8.7049000000000092</v>
      </c>
      <c r="AD6758">
        <v>-1.11873999261604</v>
      </c>
      <c r="AE6758">
        <v>-0.59988000000000596</v>
      </c>
      <c r="AF6758">
        <v>-2.2346293831977602</v>
      </c>
      <c r="AG6758">
        <v>-1.11873999261604</v>
      </c>
      <c r="AH6758">
        <v>8.2884746112818402</v>
      </c>
      <c r="AI6758">
        <v>97.425056313142804</v>
      </c>
      <c r="AJ6758">
        <v>105.08857681192001</v>
      </c>
      <c r="AK6758">
        <v>8.6570179064844801</v>
      </c>
      <c r="AL6758">
        <v>68.565454850554204</v>
      </c>
      <c r="AM6758">
        <v>107.09254032488801</v>
      </c>
      <c r="AN6758">
        <v>1.0000000648549801</v>
      </c>
    </row>
    <row r="6759" spans="1:40" x14ac:dyDescent="0.25">
      <c r="A6759" t="str">
        <f>"20190304164257177"</f>
        <v>20190304164257177</v>
      </c>
      <c r="B6759" t="str">
        <f>"1551688977167637"</f>
        <v>1551688977167637</v>
      </c>
      <c r="C6759" t="s">
        <v>40</v>
      </c>
      <c r="D6759">
        <v>4.587764</v>
      </c>
      <c r="E6759">
        <v>0.51357870000000005</v>
      </c>
      <c r="F6759" t="s">
        <v>62</v>
      </c>
      <c r="G6759">
        <v>-271.80509999999998</v>
      </c>
      <c r="H6759" s="1">
        <v>4.7999659999999997E-8</v>
      </c>
      <c r="I6759">
        <v>-60.488480000000003</v>
      </c>
      <c r="J6759">
        <v>-280.4579</v>
      </c>
      <c r="K6759">
        <v>1.1187929999999999</v>
      </c>
      <c r="L6759">
        <v>-59.924799999999998</v>
      </c>
      <c r="M6759">
        <v>0.94698450000000001</v>
      </c>
      <c r="N6759">
        <v>-8.52902E-3</v>
      </c>
      <c r="O6759">
        <v>-0.32116660000000002</v>
      </c>
      <c r="P6759">
        <v>0.930759</v>
      </c>
      <c r="Q6759">
        <v>0.36393969999999998</v>
      </c>
      <c r="R6759">
        <v>-3.5159879999999998E-2</v>
      </c>
      <c r="S6759">
        <v>3.3814700000000002</v>
      </c>
      <c r="T6759">
        <v>-0.42959239999999999</v>
      </c>
      <c r="U6759">
        <v>-0.23504639999999999</v>
      </c>
      <c r="V6759">
        <v>-0.27378590000000003</v>
      </c>
      <c r="W6759">
        <v>0.3655815</v>
      </c>
      <c r="X6759">
        <v>0.88960189999999995</v>
      </c>
      <c r="Y6759">
        <v>-0.25045990000000001</v>
      </c>
      <c r="Z6759">
        <v>5.4054320000000003E-2</v>
      </c>
      <c r="AA6759">
        <v>0.9666167</v>
      </c>
      <c r="AB6759">
        <v>33</v>
      </c>
      <c r="AC6759">
        <v>8.6528000000000098</v>
      </c>
      <c r="AD6759">
        <v>-1.1187929520003399</v>
      </c>
      <c r="AE6759">
        <v>-0.56368000000000495</v>
      </c>
      <c r="AF6759">
        <v>-2.2085093963259501</v>
      </c>
      <c r="AG6759">
        <v>-1.1187929520003399</v>
      </c>
      <c r="AH6759">
        <v>8.2382599648122206</v>
      </c>
      <c r="AI6759">
        <v>97.472982909727804</v>
      </c>
      <c r="AJ6759">
        <v>105.006970802258</v>
      </c>
      <c r="AK6759">
        <v>8.6022170788078505</v>
      </c>
      <c r="AL6759">
        <v>68.556627459018301</v>
      </c>
      <c r="AM6759">
        <v>107.106390748769</v>
      </c>
      <c r="AN6759">
        <v>1.00000004633233</v>
      </c>
    </row>
    <row r="6760" spans="1:40" x14ac:dyDescent="0.25">
      <c r="A6760" t="str">
        <f>"20190304164257189"</f>
        <v>20190304164257189</v>
      </c>
      <c r="B6760" t="str">
        <f>"1551688977178374"</f>
        <v>1551688977178374</v>
      </c>
      <c r="C6760" t="s">
        <v>40</v>
      </c>
      <c r="D6760">
        <v>4.5588850000000001</v>
      </c>
      <c r="E6760">
        <v>0.51386049999999905</v>
      </c>
      <c r="F6760" t="s">
        <v>62</v>
      </c>
      <c r="G6760">
        <v>-271.66059999999999</v>
      </c>
      <c r="H6760" s="1">
        <v>1.074466E-7</v>
      </c>
      <c r="I6760">
        <v>-60.499989999999997</v>
      </c>
      <c r="J6760">
        <v>-280.30880000000002</v>
      </c>
      <c r="K6760">
        <v>1.118838</v>
      </c>
      <c r="L6760">
        <v>-59.9709199999999</v>
      </c>
      <c r="M6760">
        <v>0.94859269999999996</v>
      </c>
      <c r="N6760">
        <v>-8.5404809999999904E-3</v>
      </c>
      <c r="O6760">
        <v>-0.3163841</v>
      </c>
      <c r="P6760">
        <v>0.93079860000000003</v>
      </c>
      <c r="Q6760">
        <v>0.36426150000000002</v>
      </c>
      <c r="R6760">
        <v>-3.045892E-2</v>
      </c>
      <c r="S6760">
        <v>3.383057</v>
      </c>
      <c r="T6760">
        <v>-0.43023899999999998</v>
      </c>
      <c r="U6760">
        <v>-0.22119140000000001</v>
      </c>
      <c r="V6760">
        <v>-0.27380100000000002</v>
      </c>
      <c r="W6760">
        <v>0.36588009999999999</v>
      </c>
      <c r="X6760">
        <v>0.8894744</v>
      </c>
      <c r="Y6760">
        <v>-0.24957860000000001</v>
      </c>
      <c r="Z6760">
        <v>5.3529809999999997E-2</v>
      </c>
      <c r="AA6760">
        <v>0.96687389999999995</v>
      </c>
      <c r="AB6760">
        <v>33</v>
      </c>
      <c r="AC6760">
        <v>8.6482000000000294</v>
      </c>
      <c r="AD6760">
        <v>-1.1188378925533999</v>
      </c>
      <c r="AE6760">
        <v>-0.52907000000001103</v>
      </c>
      <c r="AF6760">
        <v>-2.1977161120377202</v>
      </c>
      <c r="AG6760">
        <v>-1.1188378925533999</v>
      </c>
      <c r="AH6760">
        <v>8.2340137467121792</v>
      </c>
      <c r="AI6760">
        <v>97.479254179334902</v>
      </c>
      <c r="AJ6760">
        <v>104.944273629115</v>
      </c>
      <c r="AK6760">
        <v>8.5953904344112608</v>
      </c>
      <c r="AL6760">
        <v>68.538243765982898</v>
      </c>
      <c r="AM6760">
        <v>107.10958814725799</v>
      </c>
      <c r="AN6760">
        <v>0.99999997171618404</v>
      </c>
    </row>
    <row r="6761" spans="1:40" x14ac:dyDescent="0.25">
      <c r="A6761" t="str">
        <f>"20190304164257199"</f>
        <v>20190304164257199</v>
      </c>
      <c r="B6761" t="str">
        <f>"1551688977188133"</f>
        <v>1551688977188133</v>
      </c>
      <c r="C6761" t="s">
        <v>40</v>
      </c>
      <c r="D6761">
        <v>4.5494009999999996</v>
      </c>
      <c r="E6761">
        <v>0.51415940000000004</v>
      </c>
      <c r="F6761" t="s">
        <v>62</v>
      </c>
      <c r="G6761">
        <v>-271.50749999999999</v>
      </c>
      <c r="H6761" s="1">
        <v>1.70303799999999E-7</v>
      </c>
      <c r="I6761">
        <v>-60.512700000000002</v>
      </c>
      <c r="J6761">
        <v>-280.1465</v>
      </c>
      <c r="K6761">
        <v>1.118889</v>
      </c>
      <c r="L6761">
        <v>-60.020479999999999</v>
      </c>
      <c r="M6761">
        <v>0.9503182</v>
      </c>
      <c r="N6761">
        <v>-8.5524989999999999E-3</v>
      </c>
      <c r="O6761">
        <v>-0.31116270000000001</v>
      </c>
      <c r="P6761">
        <v>0.93086360000000001</v>
      </c>
      <c r="Q6761">
        <v>0.3644983</v>
      </c>
      <c r="R6761">
        <v>-2.518316E-2</v>
      </c>
      <c r="S6761">
        <v>3.3845519999999998</v>
      </c>
      <c r="T6761">
        <v>-0.4302492</v>
      </c>
      <c r="U6761">
        <v>-0.20834349999999999</v>
      </c>
      <c r="V6761">
        <v>-0.27397450000000001</v>
      </c>
      <c r="W6761">
        <v>0.3660891</v>
      </c>
      <c r="X6761">
        <v>0.88933499999999999</v>
      </c>
      <c r="Y6761">
        <v>-0.24799019999999999</v>
      </c>
      <c r="Z6761">
        <v>5.2825579999999997E-2</v>
      </c>
      <c r="AA6761">
        <v>0.96732119999999999</v>
      </c>
      <c r="AB6761">
        <v>33</v>
      </c>
      <c r="AC6761">
        <v>8.63900000000001</v>
      </c>
      <c r="AD6761">
        <v>-1.1188888296961901</v>
      </c>
      <c r="AE6761">
        <v>-0.49221999999999599</v>
      </c>
      <c r="AF6761">
        <v>-2.1839344490496302</v>
      </c>
      <c r="AG6761">
        <v>-1.1188888296961901</v>
      </c>
      <c r="AH6761">
        <v>8.2257299079916901</v>
      </c>
      <c r="AI6761">
        <v>97.489626601668505</v>
      </c>
      <c r="AJ6761">
        <v>104.86901239375599</v>
      </c>
      <c r="AK6761">
        <v>8.5839451541930103</v>
      </c>
      <c r="AL6761">
        <v>68.525376823283295</v>
      </c>
      <c r="AM6761">
        <v>107.12232285502</v>
      </c>
      <c r="AN6761">
        <v>0.99999999900702996</v>
      </c>
    </row>
    <row r="6762" spans="1:40" x14ac:dyDescent="0.25">
      <c r="A6762" t="str">
        <f>"20190304164257212"</f>
        <v>20190304164257212</v>
      </c>
      <c r="B6762" t="str">
        <f>"1551688977207653"</f>
        <v>1551688977207653</v>
      </c>
      <c r="C6762" t="s">
        <v>40</v>
      </c>
      <c r="D6762">
        <v>4.5617789999999996</v>
      </c>
      <c r="E6762">
        <v>0.51469900000000002</v>
      </c>
      <c r="F6762" t="s">
        <v>62</v>
      </c>
      <c r="G6762">
        <v>-271.35309999999998</v>
      </c>
      <c r="H6762" s="1">
        <v>2.3452650000000001E-7</v>
      </c>
      <c r="I6762">
        <v>-60.5218699999999</v>
      </c>
      <c r="J6762">
        <v>-279.98230000000001</v>
      </c>
      <c r="K6762">
        <v>1.118933</v>
      </c>
      <c r="L6762">
        <v>-60.069180000000003</v>
      </c>
      <c r="M6762">
        <v>0.95203780000000005</v>
      </c>
      <c r="N6762">
        <v>-8.5638550000000004E-3</v>
      </c>
      <c r="O6762">
        <v>-0.30586049999999998</v>
      </c>
      <c r="P6762">
        <v>0.93082180000000003</v>
      </c>
      <c r="Q6762">
        <v>0.3649232</v>
      </c>
      <c r="R6762">
        <v>-2.0045440000000001E-2</v>
      </c>
      <c r="S6762">
        <v>3.3863219999999998</v>
      </c>
      <c r="T6762">
        <v>-0.43087740000000002</v>
      </c>
      <c r="U6762">
        <v>-0.1930847</v>
      </c>
      <c r="V6762">
        <v>-0.27392630000000001</v>
      </c>
      <c r="W6762">
        <v>0.36649330000000002</v>
      </c>
      <c r="X6762">
        <v>0.88918330000000001</v>
      </c>
      <c r="Y6762">
        <v>-0.2470021</v>
      </c>
      <c r="Z6762">
        <v>5.2226090000000003E-2</v>
      </c>
      <c r="AA6762">
        <v>0.96760650000000004</v>
      </c>
      <c r="AB6762">
        <v>33</v>
      </c>
      <c r="AC6762">
        <v>8.6292000000000204</v>
      </c>
      <c r="AD6762">
        <v>-1.1189327654735</v>
      </c>
      <c r="AE6762">
        <v>-0.45268999999998899</v>
      </c>
      <c r="AF6762">
        <v>-2.1720147864395898</v>
      </c>
      <c r="AG6762">
        <v>-1.1189327654735</v>
      </c>
      <c r="AH6762">
        <v>8.2163223193743402</v>
      </c>
      <c r="AI6762">
        <v>97.500500378853602</v>
      </c>
      <c r="AJ6762">
        <v>104.807618346571</v>
      </c>
      <c r="AK6762">
        <v>8.5719082602423704</v>
      </c>
      <c r="AL6762">
        <v>68.500486978989599</v>
      </c>
      <c r="AM6762">
        <v>107.122236562654</v>
      </c>
      <c r="AN6762">
        <v>0.99999994888773303</v>
      </c>
    </row>
    <row r="6763" spans="1:40" x14ac:dyDescent="0.25">
      <c r="A6763" t="str">
        <f>"20190304164257224"</f>
        <v>20190304164257224</v>
      </c>
      <c r="B6763" t="str">
        <f>"1551688977217412"</f>
        <v>1551688977217412</v>
      </c>
      <c r="C6763" t="s">
        <v>40</v>
      </c>
      <c r="D6763">
        <v>4.5728780000000002</v>
      </c>
      <c r="E6763">
        <v>0.51480349999999997</v>
      </c>
      <c r="F6763" t="s">
        <v>62</v>
      </c>
      <c r="G6763">
        <v>-271.22730000000001</v>
      </c>
      <c r="H6763" s="1">
        <v>2.8631420000000002E-7</v>
      </c>
      <c r="I6763">
        <v>-60.531660000000002</v>
      </c>
      <c r="J6763">
        <v>-279.82049999999998</v>
      </c>
      <c r="K6763">
        <v>1.118978</v>
      </c>
      <c r="L6763">
        <v>-60.116729999999997</v>
      </c>
      <c r="M6763">
        <v>0.95370410000000005</v>
      </c>
      <c r="N6763">
        <v>-8.5743909999999902E-3</v>
      </c>
      <c r="O6763">
        <v>-0.30062509999999998</v>
      </c>
      <c r="P6763">
        <v>0.93064420000000003</v>
      </c>
      <c r="Q6763">
        <v>0.36560710000000002</v>
      </c>
      <c r="R6763">
        <v>-1.526829E-2</v>
      </c>
      <c r="S6763">
        <v>3.388916</v>
      </c>
      <c r="T6763">
        <v>-0.43311850000000002</v>
      </c>
      <c r="U6763">
        <v>-0.17901610000000001</v>
      </c>
      <c r="V6763">
        <v>-0.27357799999999999</v>
      </c>
      <c r="W6763">
        <v>0.36716359999999998</v>
      </c>
      <c r="X6763">
        <v>0.88901399999999997</v>
      </c>
      <c r="Y6763">
        <v>-0.24573529999999999</v>
      </c>
      <c r="Z6763">
        <v>5.1795260000000003E-2</v>
      </c>
      <c r="AA6763">
        <v>0.96795220000000004</v>
      </c>
      <c r="AB6763">
        <v>33</v>
      </c>
      <c r="AC6763">
        <v>8.5931999999999604</v>
      </c>
      <c r="AD6763">
        <v>-1.1189777136857999</v>
      </c>
      <c r="AE6763">
        <v>-0.41492999999999097</v>
      </c>
      <c r="AF6763">
        <v>-2.15129770143795</v>
      </c>
      <c r="AG6763">
        <v>-1.1189777136857999</v>
      </c>
      <c r="AH6763">
        <v>8.1819979904466997</v>
      </c>
      <c r="AI6763">
        <v>97.534516585675405</v>
      </c>
      <c r="AJ6763">
        <v>104.73138298358801</v>
      </c>
      <c r="AK6763">
        <v>8.5337731420287692</v>
      </c>
      <c r="AL6763">
        <v>68.459203989761406</v>
      </c>
      <c r="AM6763">
        <v>107.104803148355</v>
      </c>
      <c r="AN6763">
        <v>0.99999996172247896</v>
      </c>
    </row>
    <row r="6764" spans="1:40" x14ac:dyDescent="0.25">
      <c r="A6764" t="str">
        <f>"20190304164257234"</f>
        <v>20190304164257234</v>
      </c>
      <c r="B6764" t="str">
        <f>"1551688977228149"</f>
        <v>1551688977228149</v>
      </c>
      <c r="C6764" t="s">
        <v>40</v>
      </c>
      <c r="D6764">
        <v>4.5782910000000001</v>
      </c>
      <c r="E6764">
        <v>0.51480349999999997</v>
      </c>
      <c r="F6764" t="s">
        <v>62</v>
      </c>
      <c r="G6764">
        <v>-271.0018</v>
      </c>
      <c r="H6764" s="1">
        <v>3.815273E-7</v>
      </c>
      <c r="I6764">
        <v>-60.538440000000001</v>
      </c>
      <c r="J6764">
        <v>-279.66520000000003</v>
      </c>
      <c r="K6764">
        <v>1.1190169999999999</v>
      </c>
      <c r="L6764">
        <v>-60.160919999999997</v>
      </c>
      <c r="M6764">
        <v>0.95527669999999998</v>
      </c>
      <c r="N6764">
        <v>-8.5838219999999996E-3</v>
      </c>
      <c r="O6764">
        <v>-0.29558869999999998</v>
      </c>
      <c r="P6764">
        <v>0.93057319999999999</v>
      </c>
      <c r="Q6764">
        <v>0.36593340000000002</v>
      </c>
      <c r="R6764">
        <v>-1.1245109999999999E-2</v>
      </c>
      <c r="S6764">
        <v>3.389923</v>
      </c>
      <c r="T6764">
        <v>-0.43013829999999997</v>
      </c>
      <c r="U6764">
        <v>-0.16210939999999999</v>
      </c>
      <c r="V6764">
        <v>-0.27273120000000001</v>
      </c>
      <c r="W6764">
        <v>0.36749399999999999</v>
      </c>
      <c r="X6764">
        <v>0.88913770000000003</v>
      </c>
      <c r="Y6764">
        <v>-0.24554870000000001</v>
      </c>
      <c r="Z6764">
        <v>5.0848600000000001E-2</v>
      </c>
      <c r="AA6764">
        <v>0.96804970000000001</v>
      </c>
      <c r="AB6764">
        <v>33</v>
      </c>
      <c r="AC6764">
        <v>8.6634000000000206</v>
      </c>
      <c r="AD6764">
        <v>-1.1190166184727</v>
      </c>
      <c r="AE6764">
        <v>-0.37752000000000402</v>
      </c>
      <c r="AF6764">
        <v>-2.1642093019179298</v>
      </c>
      <c r="AG6764">
        <v>-1.1190166184727</v>
      </c>
      <c r="AH6764">
        <v>8.2504556072420492</v>
      </c>
      <c r="AI6764">
        <v>97.474085249558996</v>
      </c>
      <c r="AJ6764">
        <v>104.698328811179</v>
      </c>
      <c r="AK6764">
        <v>8.6026750387305597</v>
      </c>
      <c r="AL6764">
        <v>68.438851413021695</v>
      </c>
      <c r="AM6764">
        <v>107.052700712443</v>
      </c>
      <c r="AN6764">
        <v>0.99999999852536503</v>
      </c>
    </row>
    <row r="6765" spans="1:40" x14ac:dyDescent="0.25">
      <c r="A6765" t="str">
        <f>"20190304164257245"</f>
        <v>20190304164257245</v>
      </c>
      <c r="B6765" t="str">
        <f>"1551688977237909"</f>
        <v>1551688977237909</v>
      </c>
      <c r="C6765" t="s">
        <v>40</v>
      </c>
      <c r="D6765">
        <v>4.5567699999999904</v>
      </c>
      <c r="E6765">
        <v>0.50875769999999998</v>
      </c>
      <c r="F6765" t="s">
        <v>62</v>
      </c>
      <c r="G6765">
        <v>-270.82130000000001</v>
      </c>
      <c r="H6765" s="1">
        <v>4.5835140000000002E-7</v>
      </c>
      <c r="I6765">
        <v>-60.541150000000002</v>
      </c>
      <c r="J6765">
        <v>-279.51249999999999</v>
      </c>
      <c r="K6765">
        <v>1.119046</v>
      </c>
      <c r="L6765">
        <v>-60.203890000000001</v>
      </c>
      <c r="M6765">
        <v>0.95679740000000002</v>
      </c>
      <c r="N6765">
        <v>-8.5926619999999992E-3</v>
      </c>
      <c r="O6765">
        <v>-0.29062909999999997</v>
      </c>
      <c r="P6765">
        <v>0.93060940000000003</v>
      </c>
      <c r="Q6765">
        <v>0.36594690000000002</v>
      </c>
      <c r="R6765">
        <v>-7.0122819999999999E-3</v>
      </c>
      <c r="S6765">
        <v>3.3907780000000001</v>
      </c>
      <c r="T6765">
        <v>-0.42903409999999897</v>
      </c>
      <c r="U6765">
        <v>-0.14578250000000001</v>
      </c>
      <c r="V6765">
        <v>-0.27219179999999998</v>
      </c>
      <c r="W6765">
        <v>0.367506</v>
      </c>
      <c r="X6765">
        <v>0.88929799999999903</v>
      </c>
      <c r="Y6765">
        <v>-0.24524399999999999</v>
      </c>
      <c r="Z6765">
        <v>5.0135359999999997E-2</v>
      </c>
      <c r="AA6765">
        <v>0.96816409999999997</v>
      </c>
      <c r="AB6765">
        <v>33</v>
      </c>
      <c r="AC6765">
        <v>8.6911999999999807</v>
      </c>
      <c r="AD6765">
        <v>-1.1190455416486</v>
      </c>
      <c r="AE6765">
        <v>-0.33726</v>
      </c>
      <c r="AF6765">
        <v>-2.16742913601326</v>
      </c>
      <c r="AG6765">
        <v>-1.1190455416486</v>
      </c>
      <c r="AH6765">
        <v>8.2770326277703195</v>
      </c>
      <c r="AI6765">
        <v>97.451365822925396</v>
      </c>
      <c r="AJ6765">
        <v>104.67402787226</v>
      </c>
      <c r="AK6765">
        <v>8.6289791461735099</v>
      </c>
      <c r="AL6765">
        <v>68.438111811834204</v>
      </c>
      <c r="AM6765">
        <v>107.018034860694</v>
      </c>
      <c r="AN6765">
        <v>0.99999998441361904</v>
      </c>
    </row>
    <row r="6766" spans="1:40" x14ac:dyDescent="0.25">
      <c r="A6766" t="str">
        <f>"20190304164257256"</f>
        <v>20190304164257256</v>
      </c>
      <c r="B6766" t="str">
        <f>"1551688977247670"</f>
        <v>1551688977247670</v>
      </c>
      <c r="C6766" t="s">
        <v>40</v>
      </c>
      <c r="D6766">
        <v>4.5951789999999999</v>
      </c>
      <c r="E6766">
        <v>0.50861800000000001</v>
      </c>
      <c r="F6766" t="s">
        <v>42</v>
      </c>
      <c r="G6766">
        <v>-267.86410000000001</v>
      </c>
      <c r="H6766" s="1">
        <v>-2.405657E-6</v>
      </c>
      <c r="I6766">
        <v>-60.484099999999998</v>
      </c>
      <c r="J6766">
        <v>-279.35300000000001</v>
      </c>
      <c r="K6766">
        <v>1.119081</v>
      </c>
      <c r="L6766">
        <v>-60.247680000000003</v>
      </c>
      <c r="M6766">
        <v>0.95835840000000005</v>
      </c>
      <c r="N6766">
        <v>-8.6015269999999994E-3</v>
      </c>
      <c r="O6766">
        <v>-0.285439</v>
      </c>
      <c r="P6766">
        <v>0.93066919999999997</v>
      </c>
      <c r="Q6766">
        <v>0.36584509999999998</v>
      </c>
      <c r="R6766">
        <v>-3.517605E-3</v>
      </c>
      <c r="S6766">
        <v>3.34964</v>
      </c>
      <c r="T6766">
        <v>-0.3217952</v>
      </c>
      <c r="U6766">
        <v>-8.0596920000000002E-2</v>
      </c>
      <c r="V6766">
        <v>-0.27074599999999999</v>
      </c>
      <c r="W6766">
        <v>0.36742750000000002</v>
      </c>
      <c r="X6766">
        <v>0.8897716</v>
      </c>
      <c r="Y6766">
        <v>-0.2599553</v>
      </c>
      <c r="Z6766">
        <v>3.8139560000000003E-2</v>
      </c>
      <c r="AA6766">
        <v>0.96486709999999998</v>
      </c>
      <c r="AB6766">
        <v>33</v>
      </c>
      <c r="AC6766">
        <v>11.488899999999999</v>
      </c>
      <c r="AD6766">
        <v>-1.119083405657</v>
      </c>
      <c r="AE6766">
        <v>-0.236419999999995</v>
      </c>
      <c r="AF6766">
        <v>-3.0242362514018799</v>
      </c>
      <c r="AG6766">
        <v>-1.119083405657</v>
      </c>
      <c r="AH6766">
        <v>10.9742973940873</v>
      </c>
      <c r="AI6766">
        <v>95.614625706495303</v>
      </c>
      <c r="AJ6766">
        <v>105.406847600451</v>
      </c>
      <c r="AK6766">
        <v>11.438249685462401</v>
      </c>
      <c r="AL6766">
        <v>68.442946696516401</v>
      </c>
      <c r="AM6766">
        <v>106.924327455363</v>
      </c>
      <c r="AN6766">
        <v>0.99999993221940198</v>
      </c>
    </row>
    <row r="6767" spans="1:40" x14ac:dyDescent="0.25">
      <c r="A6767" t="str">
        <f>"20190304164257268"</f>
        <v>20190304164257268</v>
      </c>
      <c r="B6767" t="str">
        <f>"1551688977257429"</f>
        <v>1551688977257429</v>
      </c>
      <c r="C6767" t="s">
        <v>40</v>
      </c>
      <c r="D6767">
        <v>4.5659650000000003</v>
      </c>
      <c r="E6767">
        <v>0.50808330000000002</v>
      </c>
      <c r="F6767" t="s">
        <v>42</v>
      </c>
      <c r="G6767">
        <v>-267.34309999999999</v>
      </c>
      <c r="H6767" s="1">
        <v>-2.1801399999999999E-6</v>
      </c>
      <c r="I6767">
        <v>-60.476550000000003</v>
      </c>
      <c r="J6767">
        <v>-279.19690000000003</v>
      </c>
      <c r="K6767">
        <v>1.11911</v>
      </c>
      <c r="L6767">
        <v>-60.289700000000003</v>
      </c>
      <c r="M6767">
        <v>0.95985750000000003</v>
      </c>
      <c r="N6767">
        <v>-8.6098249999999998E-3</v>
      </c>
      <c r="O6767">
        <v>-0.28035640000000001</v>
      </c>
      <c r="P6767">
        <v>0.93073810000000001</v>
      </c>
      <c r="Q6767">
        <v>0.36568669999999998</v>
      </c>
      <c r="R6767">
        <v>1.080371E-4</v>
      </c>
      <c r="S6767">
        <v>3.345825</v>
      </c>
      <c r="T6767">
        <v>-0.31176419999999999</v>
      </c>
      <c r="U6767">
        <v>-6.3781740000000003E-2</v>
      </c>
      <c r="V6767">
        <v>-0.26953460000000001</v>
      </c>
      <c r="W6767">
        <v>0.36728830000000001</v>
      </c>
      <c r="X6767">
        <v>0.89019689999999996</v>
      </c>
      <c r="Y6767">
        <v>-0.25982119999999997</v>
      </c>
      <c r="Z6767">
        <v>3.6544109999999998E-2</v>
      </c>
      <c r="AA6767">
        <v>0.96496499999999996</v>
      </c>
      <c r="AB6767">
        <v>33</v>
      </c>
      <c r="AC6767">
        <v>11.8538</v>
      </c>
      <c r="AD6767">
        <v>-1.1191121801399999</v>
      </c>
      <c r="AE6767">
        <v>-0.18684999999999899</v>
      </c>
      <c r="AF6767">
        <v>-3.1162863644728498</v>
      </c>
      <c r="AG6767">
        <v>-1.1191121801399999</v>
      </c>
      <c r="AH6767">
        <v>11.3298062499697</v>
      </c>
      <c r="AI6767">
        <v>95.440384522017595</v>
      </c>
      <c r="AJ6767">
        <v>105.379023449351</v>
      </c>
      <c r="AK6767">
        <v>11.803735105422801</v>
      </c>
      <c r="AL6767">
        <v>68.451524700681901</v>
      </c>
      <c r="AM6767">
        <v>106.845308855219</v>
      </c>
      <c r="AN6767">
        <v>1.00000005834182</v>
      </c>
    </row>
    <row r="6768" spans="1:40" x14ac:dyDescent="0.25">
      <c r="A6768" t="str">
        <f>"20190304164257279"</f>
        <v>20190304164257279</v>
      </c>
      <c r="B6768" t="str">
        <f>"1551688977268165"</f>
        <v>1551688977268165</v>
      </c>
      <c r="C6768" t="s">
        <v>40</v>
      </c>
      <c r="D6768">
        <v>4.6044859999999996</v>
      </c>
      <c r="E6768">
        <v>0.50830629999999999</v>
      </c>
      <c r="F6768" t="s">
        <v>42</v>
      </c>
      <c r="G6768">
        <v>-266.91180000000003</v>
      </c>
      <c r="H6768" s="1">
        <v>-1.98816E-6</v>
      </c>
      <c r="I6768">
        <v>-60.45035</v>
      </c>
      <c r="J6768">
        <v>-279.02620000000002</v>
      </c>
      <c r="K6768">
        <v>1.1191450000000001</v>
      </c>
      <c r="L6768">
        <v>-60.334780000000002</v>
      </c>
      <c r="M6768">
        <v>0.96146489999999996</v>
      </c>
      <c r="N6768">
        <v>-8.6185240000000007E-3</v>
      </c>
      <c r="O6768">
        <v>-0.27479290000000001</v>
      </c>
      <c r="P6768">
        <v>0.93088850000000001</v>
      </c>
      <c r="Q6768">
        <v>0.36526760000000003</v>
      </c>
      <c r="R6768">
        <v>5.1304469999999998E-3</v>
      </c>
      <c r="S6768">
        <v>3.3428650000000002</v>
      </c>
      <c r="T6768">
        <v>-0.30451879999999998</v>
      </c>
      <c r="U6768">
        <v>-4.3731689999999997E-2</v>
      </c>
      <c r="V6768">
        <v>-0.26924589999999998</v>
      </c>
      <c r="W6768">
        <v>0.36686550000000001</v>
      </c>
      <c r="X6768">
        <v>0.89045849999999904</v>
      </c>
      <c r="Y6768">
        <v>-0.26011689999999998</v>
      </c>
      <c r="Z6768">
        <v>3.5280819999999997E-2</v>
      </c>
      <c r="AA6768">
        <v>0.96493240000000002</v>
      </c>
      <c r="AB6768">
        <v>33</v>
      </c>
      <c r="AC6768">
        <v>12.1143999999999</v>
      </c>
      <c r="AD6768">
        <v>-1.11914698816</v>
      </c>
      <c r="AE6768">
        <v>-0.11556999999999799</v>
      </c>
      <c r="AF6768">
        <v>-3.1907255596612401</v>
      </c>
      <c r="AG6768">
        <v>-1.11914698816</v>
      </c>
      <c r="AH6768">
        <v>11.5809342407261</v>
      </c>
      <c r="AI6768">
        <v>95.322634170454606</v>
      </c>
      <c r="AJ6768">
        <v>105.403700881132</v>
      </c>
      <c r="AK6768">
        <v>12.0644625850555</v>
      </c>
      <c r="AL6768">
        <v>68.477565947236201</v>
      </c>
      <c r="AM6768">
        <v>106.823621657106</v>
      </c>
      <c r="AN6768">
        <v>0.99999999498965497</v>
      </c>
    </row>
    <row r="6769" spans="1:40" x14ac:dyDescent="0.25">
      <c r="A6769" t="str">
        <f>"20190304164257292"</f>
        <v>20190304164257292</v>
      </c>
      <c r="B6769" t="str">
        <f>"1551688977287685"</f>
        <v>1551688977287685</v>
      </c>
      <c r="C6769" t="s">
        <v>40</v>
      </c>
      <c r="D6769">
        <v>4.5492839999999903</v>
      </c>
      <c r="E6769">
        <v>0.50884039999999997</v>
      </c>
      <c r="F6769" t="s">
        <v>63</v>
      </c>
      <c r="G6769">
        <v>-266.72239999999999</v>
      </c>
      <c r="H6769" s="1">
        <v>-1.9030850000000001E-6</v>
      </c>
      <c r="I6769">
        <v>-60.436050000000002</v>
      </c>
      <c r="J6769">
        <v>-278.84359999999998</v>
      </c>
      <c r="K6769">
        <v>1.119173</v>
      </c>
      <c r="L6769">
        <v>-60.381500000000003</v>
      </c>
      <c r="M6769">
        <v>0.96314540000000004</v>
      </c>
      <c r="N6769">
        <v>-8.627249E-3</v>
      </c>
      <c r="O6769">
        <v>-0.26884360000000002</v>
      </c>
      <c r="P6769">
        <v>0.93087759999999997</v>
      </c>
      <c r="Q6769">
        <v>0.36519839999999998</v>
      </c>
      <c r="R6769">
        <v>9.8643900000000007E-3</v>
      </c>
      <c r="S6769">
        <v>3.3421630000000002</v>
      </c>
      <c r="T6769">
        <v>-0.304000299999999</v>
      </c>
      <c r="U6769">
        <v>-2.752686E-2</v>
      </c>
      <c r="V6769">
        <v>-0.26829750000000002</v>
      </c>
      <c r="W6769">
        <v>0.36681009999999997</v>
      </c>
      <c r="X6769">
        <v>0.89076749999999905</v>
      </c>
      <c r="Y6769">
        <v>-0.25885609999999998</v>
      </c>
      <c r="Z6769">
        <v>3.4696909999999997E-2</v>
      </c>
      <c r="AA6769">
        <v>0.9652925</v>
      </c>
      <c r="AB6769">
        <v>33</v>
      </c>
      <c r="AC6769">
        <v>12.1211999999999</v>
      </c>
      <c r="AD6769">
        <v>-1.119174903085</v>
      </c>
      <c r="AE6769">
        <v>-5.4549999999998898E-2</v>
      </c>
      <c r="AF6769">
        <v>-3.1791835553349501</v>
      </c>
      <c r="AG6769">
        <v>-1.119174903085</v>
      </c>
      <c r="AH6769">
        <v>11.5907646855285</v>
      </c>
      <c r="AI6769">
        <v>95.319939540595897</v>
      </c>
      <c r="AJ6769">
        <v>105.338207102656</v>
      </c>
      <c r="AK6769">
        <v>12.0708569098264</v>
      </c>
      <c r="AL6769">
        <v>68.480977407190693</v>
      </c>
      <c r="AM6769">
        <v>106.762202762801</v>
      </c>
      <c r="AN6769">
        <v>0.99999996851225403</v>
      </c>
    </row>
    <row r="6770" spans="1:40" x14ac:dyDescent="0.25">
      <c r="A6770" t="str">
        <f>"20190304164257306"</f>
        <v>20190304164257306</v>
      </c>
      <c r="B6770" t="str">
        <f>"1551688977297445"</f>
        <v>1551688977297445</v>
      </c>
      <c r="C6770" t="s">
        <v>40</v>
      </c>
      <c r="D6770">
        <v>4.5635240000000001</v>
      </c>
      <c r="E6770">
        <v>0.50922469999999997</v>
      </c>
      <c r="F6770" t="s">
        <v>42</v>
      </c>
      <c r="G6770">
        <v>-266.53539999999998</v>
      </c>
      <c r="H6770" s="1">
        <v>-1.822334E-6</v>
      </c>
      <c r="I6770">
        <v>-60.43403</v>
      </c>
      <c r="J6770">
        <v>-278.65170000000001</v>
      </c>
      <c r="K6770">
        <v>1.1191960000000001</v>
      </c>
      <c r="L6770">
        <v>-60.429690000000001</v>
      </c>
      <c r="M6770">
        <v>0.96486819999999895</v>
      </c>
      <c r="N6770">
        <v>-8.6357940000000005E-3</v>
      </c>
      <c r="O6770">
        <v>-0.26259290000000002</v>
      </c>
      <c r="P6770">
        <v>0.93079809999999996</v>
      </c>
      <c r="Q6770">
        <v>0.365228</v>
      </c>
      <c r="R6770">
        <v>1.4956290000000001E-2</v>
      </c>
      <c r="S6770">
        <v>3.3421020000000001</v>
      </c>
      <c r="T6770">
        <v>-0.30389460000000001</v>
      </c>
      <c r="U6770">
        <v>-1.428223E-2</v>
      </c>
      <c r="V6770">
        <v>-0.26741330000000002</v>
      </c>
      <c r="W6770">
        <v>0.36685269999999998</v>
      </c>
      <c r="X6770">
        <v>0.89101580000000002</v>
      </c>
      <c r="Y6770">
        <v>-0.25645240000000002</v>
      </c>
      <c r="Z6770">
        <v>3.4072779999999997E-2</v>
      </c>
      <c r="AA6770">
        <v>0.96595609999999998</v>
      </c>
      <c r="AB6770">
        <v>33</v>
      </c>
      <c r="AC6770">
        <v>12.116300000000001</v>
      </c>
      <c r="AD6770">
        <v>-1.11919782233399</v>
      </c>
      <c r="AE6770">
        <v>-4.34000000000622E-3</v>
      </c>
      <c r="AF6770">
        <v>-3.1507017194704399</v>
      </c>
      <c r="AG6770">
        <v>-1.11919782233399</v>
      </c>
      <c r="AH6770">
        <v>11.593287630191501</v>
      </c>
      <c r="AI6770">
        <v>95.322279177849595</v>
      </c>
      <c r="AJ6770">
        <v>105.204027880168</v>
      </c>
      <c r="AK6770">
        <v>12.065812992373999</v>
      </c>
      <c r="AL6770">
        <v>68.478353649017194</v>
      </c>
      <c r="AM6770">
        <v>106.70564845040001</v>
      </c>
      <c r="AN6770">
        <v>0.99999996618190901</v>
      </c>
    </row>
    <row r="6771" spans="1:40" x14ac:dyDescent="0.25">
      <c r="A6771" t="str">
        <f>"20190304164257329"</f>
        <v>20190304164257329</v>
      </c>
      <c r="B6771" t="str">
        <f>"1551688977317940"</f>
        <v>1551688977317940</v>
      </c>
      <c r="C6771" t="s">
        <v>40</v>
      </c>
      <c r="D6771">
        <v>4.5835319999999999</v>
      </c>
      <c r="E6771">
        <v>0.50961729999999905</v>
      </c>
      <c r="F6771" t="s">
        <v>42</v>
      </c>
      <c r="G6771">
        <v>-266.36790000000002</v>
      </c>
      <c r="H6771" s="1">
        <v>-1.7489840000000001E-6</v>
      </c>
      <c r="I6771">
        <v>-60.4285</v>
      </c>
      <c r="J6771">
        <v>-278.3184</v>
      </c>
      <c r="K6771">
        <v>1.119224</v>
      </c>
      <c r="L6771">
        <v>-60.509950000000003</v>
      </c>
      <c r="M6771">
        <v>0.96775040000000001</v>
      </c>
      <c r="N6771">
        <v>-8.648546E-3</v>
      </c>
      <c r="O6771">
        <v>-0.2517624</v>
      </c>
      <c r="P6771">
        <v>0.93056669999999997</v>
      </c>
      <c r="Q6771">
        <v>0.3653767</v>
      </c>
      <c r="R6771">
        <v>2.33504E-2</v>
      </c>
      <c r="S6771">
        <v>3.3425289999999999</v>
      </c>
      <c r="T6771">
        <v>-0.30454109999999901</v>
      </c>
      <c r="U6771">
        <v>3.0517579999999998E-4</v>
      </c>
      <c r="V6771">
        <v>-0.2654763</v>
      </c>
      <c r="W6771">
        <v>0.36704029999999999</v>
      </c>
      <c r="X6771">
        <v>0.89151769999999997</v>
      </c>
      <c r="Y6771">
        <v>-0.249891</v>
      </c>
      <c r="Z6771">
        <v>3.2955520000000002E-2</v>
      </c>
      <c r="AA6771">
        <v>0.96771300000000005</v>
      </c>
      <c r="AB6771">
        <v>33</v>
      </c>
      <c r="AC6771">
        <v>11.9504999999999</v>
      </c>
      <c r="AD6771">
        <v>-1.1192257489839901</v>
      </c>
      <c r="AE6771">
        <v>8.1450000000003797E-2</v>
      </c>
      <c r="AF6771">
        <v>-3.0607796745318501</v>
      </c>
      <c r="AG6771">
        <v>-1.1192257489839901</v>
      </c>
      <c r="AH6771">
        <v>11.4446476245745</v>
      </c>
      <c r="AI6771">
        <v>95.396964773158004</v>
      </c>
      <c r="AJ6771">
        <v>104.972884276885</v>
      </c>
      <c r="AK6771">
        <v>11.899621747933599</v>
      </c>
      <c r="AL6771">
        <v>68.466800336540501</v>
      </c>
      <c r="AM6771">
        <v>106.582488298022</v>
      </c>
      <c r="AN6771">
        <v>1.0000000285495301</v>
      </c>
    </row>
    <row r="6772" spans="1:40" x14ac:dyDescent="0.25">
      <c r="A6772" t="str">
        <f>"20190304164257339"</f>
        <v>20190304164257339</v>
      </c>
      <c r="B6772" t="str">
        <f>"1551688977327701"</f>
        <v>1551688977327701</v>
      </c>
      <c r="C6772" t="s">
        <v>40</v>
      </c>
      <c r="D6772">
        <v>4.6088589999999998</v>
      </c>
      <c r="E6772">
        <v>0.51012519999999995</v>
      </c>
      <c r="F6772" t="s">
        <v>63</v>
      </c>
      <c r="G6772">
        <v>-266.02719999999999</v>
      </c>
      <c r="H6772" s="1">
        <v>-1.597618E-6</v>
      </c>
      <c r="I6772">
        <v>-60.40889</v>
      </c>
      <c r="J6772">
        <v>-278.16469999999998</v>
      </c>
      <c r="K6772">
        <v>1.1192310000000001</v>
      </c>
      <c r="L6772">
        <v>-60.545929999999998</v>
      </c>
      <c r="M6772">
        <v>0.96903309999999998</v>
      </c>
      <c r="N6772">
        <v>-8.6535329999999997E-3</v>
      </c>
      <c r="O6772">
        <v>-0.24677940000000001</v>
      </c>
      <c r="P6772">
        <v>0.93039320000000003</v>
      </c>
      <c r="Q6772">
        <v>0.36556110000000003</v>
      </c>
      <c r="R6772">
        <v>2.708383E-2</v>
      </c>
      <c r="S6772">
        <v>3.342651</v>
      </c>
      <c r="T6772">
        <v>-0.30437799999999998</v>
      </c>
      <c r="U6772">
        <v>2.7465819999999998E-2</v>
      </c>
      <c r="V6772">
        <v>-0.26445950000000001</v>
      </c>
      <c r="W6772">
        <v>0.36724699999999999</v>
      </c>
      <c r="X6772">
        <v>0.89173469999999999</v>
      </c>
      <c r="Y6772">
        <v>-0.25277759999999999</v>
      </c>
      <c r="Z6772">
        <v>3.2687210000000001E-2</v>
      </c>
      <c r="AA6772">
        <v>0.9669721</v>
      </c>
      <c r="AB6772">
        <v>34</v>
      </c>
      <c r="AC6772">
        <v>12.1374999999999</v>
      </c>
      <c r="AD6772">
        <v>-1.11923259761799</v>
      </c>
      <c r="AE6772">
        <v>0.13704000000000599</v>
      </c>
      <c r="AF6772">
        <v>-3.1018261518264101</v>
      </c>
      <c r="AG6772">
        <v>-1.11923259761799</v>
      </c>
      <c r="AH6772">
        <v>11.629384783654899</v>
      </c>
      <c r="AI6772">
        <v>95.312705152210796</v>
      </c>
      <c r="AJ6772">
        <v>104.934438581978</v>
      </c>
      <c r="AK6772">
        <v>12.0878698508062</v>
      </c>
      <c r="AL6772">
        <v>68.454067053365193</v>
      </c>
      <c r="AM6772">
        <v>106.51864326484601</v>
      </c>
      <c r="AN6772">
        <v>0.99999998066666895</v>
      </c>
    </row>
    <row r="6773" spans="1:40" x14ac:dyDescent="0.25">
      <c r="A6773" t="str">
        <f>"20190304164257351"</f>
        <v>20190304164257351</v>
      </c>
      <c r="B6773" t="str">
        <f>"1551688977348196"</f>
        <v>1551688977348196</v>
      </c>
      <c r="C6773" t="s">
        <v>40</v>
      </c>
      <c r="D6773">
        <v>4.5902710000000004</v>
      </c>
      <c r="E6773">
        <v>0.51114079999999995</v>
      </c>
      <c r="F6773" t="s">
        <v>63</v>
      </c>
      <c r="G6773">
        <v>-265.84030000000001</v>
      </c>
      <c r="H6773" s="1">
        <v>-1.51793999999999E-6</v>
      </c>
      <c r="I6773">
        <v>-60.410719999999998</v>
      </c>
      <c r="J6773">
        <v>-278.00229999999999</v>
      </c>
      <c r="K6773">
        <v>1.1192329999999999</v>
      </c>
      <c r="L6773">
        <v>-60.582610000000003</v>
      </c>
      <c r="M6773">
        <v>0.97035280000000002</v>
      </c>
      <c r="N6773">
        <v>-8.6578450000000008E-3</v>
      </c>
      <c r="O6773">
        <v>-0.24153830000000001</v>
      </c>
      <c r="P6773">
        <v>0.93027150000000003</v>
      </c>
      <c r="Q6773">
        <v>0.36554039999999999</v>
      </c>
      <c r="R6773">
        <v>3.123215E-2</v>
      </c>
      <c r="S6773">
        <v>3.34259</v>
      </c>
      <c r="T6773">
        <v>-0.30355490000000002</v>
      </c>
      <c r="U6773">
        <v>3.6651610000000001E-2</v>
      </c>
      <c r="V6773">
        <v>-0.26362069999999999</v>
      </c>
      <c r="W6773">
        <v>0.36724790000000002</v>
      </c>
      <c r="X6773">
        <v>0.89198269999999902</v>
      </c>
      <c r="Y6773">
        <v>-0.25024610000000003</v>
      </c>
      <c r="Z6773">
        <v>3.2054619999999999E-2</v>
      </c>
      <c r="AA6773">
        <v>0.9676515</v>
      </c>
      <c r="AB6773">
        <v>34</v>
      </c>
      <c r="AC6773">
        <v>12.1619999999999</v>
      </c>
      <c r="AD6773">
        <v>-1.1192345179399901</v>
      </c>
      <c r="AE6773">
        <v>0.17188999999999699</v>
      </c>
      <c r="AF6773">
        <v>-3.0784326489995801</v>
      </c>
      <c r="AG6773">
        <v>-1.1192345179399901</v>
      </c>
      <c r="AH6773">
        <v>11.6616094918963</v>
      </c>
      <c r="AI6773">
        <v>95.301700563923603</v>
      </c>
      <c r="AJ6773">
        <v>104.787610835176</v>
      </c>
      <c r="AK6773">
        <v>12.112909205556701</v>
      </c>
      <c r="AL6773">
        <v>68.4540123969294</v>
      </c>
      <c r="AM6773">
        <v>106.464761946724</v>
      </c>
      <c r="AN6773">
        <v>1.00000001531109</v>
      </c>
    </row>
    <row r="6774" spans="1:40" x14ac:dyDescent="0.25">
      <c r="A6774" t="str">
        <f>"20190304164257361"</f>
        <v>20190304164257361</v>
      </c>
      <c r="B6774" t="str">
        <f>"1551688977357956"</f>
        <v>1551688977357956</v>
      </c>
      <c r="C6774" t="s">
        <v>40</v>
      </c>
      <c r="D6774">
        <v>4.5757469999999998</v>
      </c>
      <c r="E6774">
        <v>0.51156429999999997</v>
      </c>
      <c r="F6774" t="s">
        <v>42</v>
      </c>
      <c r="G6774">
        <v>-265.89109999999999</v>
      </c>
      <c r="H6774" s="1">
        <v>-1.5439130000000001E-6</v>
      </c>
      <c r="I6774">
        <v>-60.426519999999996</v>
      </c>
      <c r="J6774">
        <v>-277.84829999999999</v>
      </c>
      <c r="K6774">
        <v>1.1192329999999999</v>
      </c>
      <c r="L6774">
        <v>-60.617100000000001</v>
      </c>
      <c r="M6774">
        <v>0.97157530000000003</v>
      </c>
      <c r="N6774">
        <v>-8.6616699999999998E-3</v>
      </c>
      <c r="O6774">
        <v>-0.23657230000000001</v>
      </c>
      <c r="P6774">
        <v>0.93012910000000004</v>
      </c>
      <c r="Q6774">
        <v>0.36555110000000002</v>
      </c>
      <c r="R6774">
        <v>3.5106890000000002E-2</v>
      </c>
      <c r="S6774">
        <v>3.3448790000000002</v>
      </c>
      <c r="T6774">
        <v>-0.30911060000000001</v>
      </c>
      <c r="U6774">
        <v>4.3090820000000002E-2</v>
      </c>
      <c r="V6774">
        <v>-0.26277430000000002</v>
      </c>
      <c r="W6774">
        <v>0.36728119999999997</v>
      </c>
      <c r="X6774">
        <v>0.89221870000000003</v>
      </c>
      <c r="Y6774">
        <v>-0.2471121</v>
      </c>
      <c r="Z6774">
        <v>3.2073039999999997E-2</v>
      </c>
      <c r="AA6774">
        <v>0.96845599999999998</v>
      </c>
      <c r="AB6774">
        <v>34</v>
      </c>
      <c r="AC6774">
        <v>11.9572</v>
      </c>
      <c r="AD6774">
        <v>-1.11923454391299</v>
      </c>
      <c r="AE6774">
        <v>0.190580000000004</v>
      </c>
      <c r="AF6774">
        <v>-2.9878464736665999</v>
      </c>
      <c r="AG6774">
        <v>-1.11923454391299</v>
      </c>
      <c r="AH6774">
        <v>11.472179044485401</v>
      </c>
      <c r="AI6774">
        <v>95.393383060192207</v>
      </c>
      <c r="AJ6774">
        <v>104.597977943929</v>
      </c>
      <c r="AK6774">
        <v>11.907594406227499</v>
      </c>
      <c r="AL6774">
        <v>68.451960989333699</v>
      </c>
      <c r="AM6774">
        <v>106.410640389325</v>
      </c>
      <c r="AN6774">
        <v>1.0000000106218001</v>
      </c>
    </row>
    <row r="6775" spans="1:40" x14ac:dyDescent="0.25">
      <c r="A6775" t="str">
        <f>"20190304164257373"</f>
        <v>20190304164257373</v>
      </c>
      <c r="B6775" t="str">
        <f>"1551688977367717"</f>
        <v>1551688977367717</v>
      </c>
      <c r="C6775" t="s">
        <v>40</v>
      </c>
      <c r="D6775">
        <v>4.6123750000000001</v>
      </c>
      <c r="E6775">
        <v>0.51188129999999998</v>
      </c>
      <c r="F6775" t="s">
        <v>42</v>
      </c>
      <c r="G6775">
        <v>-265.84280000000001</v>
      </c>
      <c r="H6775" s="1">
        <v>-1.5238009999999999E-6</v>
      </c>
      <c r="I6775">
        <v>-60.428690000000003</v>
      </c>
      <c r="J6775">
        <v>-277.68779999999998</v>
      </c>
      <c r="K6775">
        <v>1.1192200000000001</v>
      </c>
      <c r="L6775">
        <v>-60.65155</v>
      </c>
      <c r="M6775">
        <v>0.97281090000000003</v>
      </c>
      <c r="N6775">
        <v>-8.6637620000000002E-3</v>
      </c>
      <c r="O6775">
        <v>-0.23143939999999999</v>
      </c>
      <c r="P6775">
        <v>0.92988269999999995</v>
      </c>
      <c r="Q6775">
        <v>0.3657514</v>
      </c>
      <c r="R6775">
        <v>3.9294160000000002E-2</v>
      </c>
      <c r="S6775">
        <v>3.3459780000000001</v>
      </c>
      <c r="T6775">
        <v>-0.3119345</v>
      </c>
      <c r="U6775">
        <v>5.2490229999999999E-2</v>
      </c>
      <c r="V6775">
        <v>-0.2620593</v>
      </c>
      <c r="W6775">
        <v>0.36750470000000002</v>
      </c>
      <c r="X6775">
        <v>0.89233700000000005</v>
      </c>
      <c r="Y6775">
        <v>-0.24470729999999999</v>
      </c>
      <c r="Z6775">
        <v>3.1819510000000002E-2</v>
      </c>
      <c r="AA6775">
        <v>0.96907469999999996</v>
      </c>
      <c r="AB6775">
        <v>34</v>
      </c>
      <c r="AC6775">
        <v>11.844999999999899</v>
      </c>
      <c r="AD6775">
        <v>-1.1192215238009999</v>
      </c>
      <c r="AE6775">
        <v>0.222859999999997</v>
      </c>
      <c r="AF6775">
        <v>-2.9321415435937799</v>
      </c>
      <c r="AG6775">
        <v>-1.1192215238009999</v>
      </c>
      <c r="AH6775">
        <v>11.3703152585875</v>
      </c>
      <c r="AI6775">
        <v>95.444720707266299</v>
      </c>
      <c r="AJ6775">
        <v>104.460214718554</v>
      </c>
      <c r="AK6775">
        <v>11.7955152465111</v>
      </c>
      <c r="AL6775">
        <v>68.438193417580095</v>
      </c>
      <c r="AM6775">
        <v>106.366326888806</v>
      </c>
      <c r="AN6775">
        <v>1.0000000514037799</v>
      </c>
    </row>
    <row r="6776" spans="1:40" x14ac:dyDescent="0.25">
      <c r="A6776" t="str">
        <f>"20190304164257385"</f>
        <v>20190304164257385</v>
      </c>
      <c r="B6776" t="str">
        <f>"1551688977377478"</f>
        <v>1551688977377478</v>
      </c>
      <c r="C6776" t="s">
        <v>40</v>
      </c>
      <c r="D6776">
        <v>4.6236220000000001</v>
      </c>
      <c r="E6776">
        <v>0.51219369999999997</v>
      </c>
      <c r="F6776" t="s">
        <v>42</v>
      </c>
      <c r="G6776">
        <v>-265.71120000000002</v>
      </c>
      <c r="H6776" s="1">
        <v>-1.4658340000000001E-6</v>
      </c>
      <c r="I6776">
        <v>-60.423110000000001</v>
      </c>
      <c r="J6776">
        <v>-277.51139999999998</v>
      </c>
      <c r="K6776">
        <v>1.1192070000000001</v>
      </c>
      <c r="L6776">
        <v>-60.688929999999999</v>
      </c>
      <c r="M6776">
        <v>0.97413240000000001</v>
      </c>
      <c r="N6776">
        <v>-8.6655180000000005E-3</v>
      </c>
      <c r="O6776">
        <v>-0.2258117</v>
      </c>
      <c r="P6776">
        <v>0.92977339999999997</v>
      </c>
      <c r="Q6776">
        <v>0.36549369999999998</v>
      </c>
      <c r="R6776">
        <v>4.3996519999999997E-2</v>
      </c>
      <c r="S6776">
        <v>3.3464969999999998</v>
      </c>
      <c r="T6776">
        <v>-0.31273190000000001</v>
      </c>
      <c r="U6776">
        <v>6.3812259999999996E-2</v>
      </c>
      <c r="V6776">
        <v>-0.2614204</v>
      </c>
      <c r="W6776">
        <v>0.36727179999999998</v>
      </c>
      <c r="X6776">
        <v>0.89262009999999903</v>
      </c>
      <c r="Y6776">
        <v>-0.2423999</v>
      </c>
      <c r="Z6776">
        <v>3.131664E-2</v>
      </c>
      <c r="AA6776">
        <v>0.96967080000000005</v>
      </c>
      <c r="AB6776">
        <v>34</v>
      </c>
      <c r="AC6776">
        <v>11.800199999999901</v>
      </c>
      <c r="AD6776">
        <v>-1.119208465834</v>
      </c>
      <c r="AE6776">
        <v>0.265820000000005</v>
      </c>
      <c r="AF6776">
        <v>-2.8976235189707298</v>
      </c>
      <c r="AG6776">
        <v>-1.119208465834</v>
      </c>
      <c r="AH6776">
        <v>11.3334589069215</v>
      </c>
      <c r="AI6776">
        <v>95.4651439013535</v>
      </c>
      <c r="AJ6776">
        <v>104.341581336882</v>
      </c>
      <c r="AK6776">
        <v>11.751431421004201</v>
      </c>
      <c r="AL6776">
        <v>68.452538028086096</v>
      </c>
      <c r="AM6776">
        <v>106.323650878031</v>
      </c>
      <c r="AN6776">
        <v>0.99999992176770103</v>
      </c>
    </row>
    <row r="6777" spans="1:40" x14ac:dyDescent="0.25">
      <c r="A6777" t="str">
        <f>"20190304164257397"</f>
        <v>20190304164257397</v>
      </c>
      <c r="B6777" t="str">
        <f>"1551688977388212"</f>
        <v>1551688977388212</v>
      </c>
      <c r="C6777" t="s">
        <v>40</v>
      </c>
      <c r="D6777">
        <v>4.6083170000000004</v>
      </c>
      <c r="E6777">
        <v>0.51257619999999904</v>
      </c>
      <c r="F6777" t="s">
        <v>42</v>
      </c>
      <c r="G6777">
        <v>-265.64749999999998</v>
      </c>
      <c r="H6777" s="1">
        <v>-1.436343E-6</v>
      </c>
      <c r="I6777">
        <v>-60.41498</v>
      </c>
      <c r="J6777">
        <v>-277.31509999999997</v>
      </c>
      <c r="K6777">
        <v>1.1191819999999999</v>
      </c>
      <c r="L6777">
        <v>-60.729100000000003</v>
      </c>
      <c r="M6777">
        <v>0.97555009999999998</v>
      </c>
      <c r="N6777">
        <v>-8.6655910000000003E-3</v>
      </c>
      <c r="O6777">
        <v>-0.21960640000000001</v>
      </c>
      <c r="P6777">
        <v>0.92963899999999999</v>
      </c>
      <c r="Q6777">
        <v>0.36521290000000001</v>
      </c>
      <c r="R6777">
        <v>4.8897210000000003E-2</v>
      </c>
      <c r="S6777">
        <v>3.3470759999999999</v>
      </c>
      <c r="T6777">
        <v>-0.31575259999999999</v>
      </c>
      <c r="U6777">
        <v>7.7270510000000001E-2</v>
      </c>
      <c r="V6777">
        <v>-0.26043769999999999</v>
      </c>
      <c r="W6777">
        <v>0.367031</v>
      </c>
      <c r="X6777">
        <v>0.89300639999999998</v>
      </c>
      <c r="Y6777">
        <v>-0.24011569999999999</v>
      </c>
      <c r="Z6777">
        <v>3.0986260000000002E-2</v>
      </c>
      <c r="AA6777">
        <v>0.97024960000000005</v>
      </c>
      <c r="AB6777">
        <v>34</v>
      </c>
      <c r="AC6777">
        <v>11.667599999999901</v>
      </c>
      <c r="AD6777">
        <v>-1.119183436343</v>
      </c>
      <c r="AE6777">
        <v>0.31411999999999501</v>
      </c>
      <c r="AF6777">
        <v>-2.8426901424577902</v>
      </c>
      <c r="AG6777">
        <v>-1.119183436343</v>
      </c>
      <c r="AH6777">
        <v>11.2106940937011</v>
      </c>
      <c r="AI6777">
        <v>95.527257981478002</v>
      </c>
      <c r="AJ6777">
        <v>104.22856829451401</v>
      </c>
      <c r="AK6777">
        <v>11.6195146573665</v>
      </c>
      <c r="AL6777">
        <v>68.467372306513099</v>
      </c>
      <c r="AM6777">
        <v>106.258874266189</v>
      </c>
      <c r="AN6777">
        <v>0.99999999049162402</v>
      </c>
    </row>
    <row r="6778" spans="1:40" x14ac:dyDescent="0.25">
      <c r="A6778" t="str">
        <f>"20190304164257409"</f>
        <v>20190304164257409</v>
      </c>
      <c r="B6778" t="str">
        <f>"1551688977397974"</f>
        <v>1551688977397974</v>
      </c>
      <c r="C6778" t="s">
        <v>40</v>
      </c>
      <c r="D6778">
        <v>4.5989690000000003</v>
      </c>
      <c r="E6778">
        <v>0.51290400000000003</v>
      </c>
      <c r="F6778" t="s">
        <v>42</v>
      </c>
      <c r="G6778">
        <v>-265.55399999999997</v>
      </c>
      <c r="H6778" s="1">
        <v>-1.3943750000000001E-6</v>
      </c>
      <c r="I6778">
        <v>-60.408000000000001</v>
      </c>
      <c r="J6778">
        <v>-277.1499</v>
      </c>
      <c r="K6778">
        <v>1.1191549999999999</v>
      </c>
      <c r="L6778">
        <v>-60.761899999999997</v>
      </c>
      <c r="M6778">
        <v>0.97670270000000003</v>
      </c>
      <c r="N6778">
        <v>-8.6646169999999995E-3</v>
      </c>
      <c r="O6778">
        <v>-0.21442249999999999</v>
      </c>
      <c r="P6778">
        <v>0.92949380000000004</v>
      </c>
      <c r="Q6778">
        <v>0.36501159999999999</v>
      </c>
      <c r="R6778">
        <v>5.2992909999999997E-2</v>
      </c>
      <c r="S6778">
        <v>3.3473820000000001</v>
      </c>
      <c r="T6778">
        <v>-0.31853490000000001</v>
      </c>
      <c r="U6778">
        <v>9.1369629999999993E-2</v>
      </c>
      <c r="V6778">
        <v>-0.25961780000000001</v>
      </c>
      <c r="W6778">
        <v>0.366865</v>
      </c>
      <c r="X6778">
        <v>0.89331329999999998</v>
      </c>
      <c r="Y6778">
        <v>-0.23903379999999999</v>
      </c>
      <c r="Z6778">
        <v>3.076982E-2</v>
      </c>
      <c r="AA6778">
        <v>0.97052360000000004</v>
      </c>
      <c r="AB6778">
        <v>34</v>
      </c>
      <c r="AC6778">
        <v>11.595899999999901</v>
      </c>
      <c r="AD6778">
        <v>-1.11915639437499</v>
      </c>
      <c r="AE6778">
        <v>0.353899999999995</v>
      </c>
      <c r="AF6778">
        <v>-2.8060693201279001</v>
      </c>
      <c r="AG6778">
        <v>-1.11915639437499</v>
      </c>
      <c r="AH6778">
        <v>11.1465525634686</v>
      </c>
      <c r="AI6778">
        <v>95.561128202542903</v>
      </c>
      <c r="AJ6778">
        <v>104.130210128694</v>
      </c>
      <c r="AK6778">
        <v>11.5486869433109</v>
      </c>
      <c r="AL6778">
        <v>68.477596655118504</v>
      </c>
      <c r="AM6778">
        <v>106.20510388332499</v>
      </c>
      <c r="AN6778">
        <v>0.999999991129365</v>
      </c>
    </row>
    <row r="6779" spans="1:40" x14ac:dyDescent="0.25">
      <c r="A6779" t="str">
        <f>"20190304164257420"</f>
        <v>20190304164257420</v>
      </c>
      <c r="B6779" t="str">
        <f>"1551688977407733"</f>
        <v>1551688977407733</v>
      </c>
      <c r="C6779" t="s">
        <v>40</v>
      </c>
      <c r="D6779">
        <v>4.610811</v>
      </c>
      <c r="E6779">
        <v>0.51324669999999994</v>
      </c>
      <c r="F6779" t="s">
        <v>42</v>
      </c>
      <c r="G6779">
        <v>-265.45030000000003</v>
      </c>
      <c r="H6779" s="1">
        <v>-1.347661E-6</v>
      </c>
      <c r="I6779">
        <v>-60.399610000000003</v>
      </c>
      <c r="J6779">
        <v>-276.9873</v>
      </c>
      <c r="K6779">
        <v>1.1191249999999999</v>
      </c>
      <c r="L6779">
        <v>-60.793610000000001</v>
      </c>
      <c r="M6779">
        <v>0.97780409999999995</v>
      </c>
      <c r="N6779">
        <v>-8.6632999999999901E-3</v>
      </c>
      <c r="O6779">
        <v>-0.20934249999999999</v>
      </c>
      <c r="P6779">
        <v>0.92937159999999996</v>
      </c>
      <c r="Q6779">
        <v>0.36476160000000002</v>
      </c>
      <c r="R6779">
        <v>5.672489E-2</v>
      </c>
      <c r="S6779">
        <v>3.3474119999999998</v>
      </c>
      <c r="T6779">
        <v>-0.32020549999999998</v>
      </c>
      <c r="U6779">
        <v>0.1036377</v>
      </c>
      <c r="V6779">
        <v>-0.25854850000000001</v>
      </c>
      <c r="W6779">
        <v>0.36665880000000001</v>
      </c>
      <c r="X6779">
        <v>0.89370799999999995</v>
      </c>
      <c r="Y6779">
        <v>-0.23754710000000001</v>
      </c>
      <c r="Z6779">
        <v>3.0425549999999999E-2</v>
      </c>
      <c r="AA6779">
        <v>0.97089939999999997</v>
      </c>
      <c r="AB6779">
        <v>34</v>
      </c>
      <c r="AC6779">
        <v>11.5369999999999</v>
      </c>
      <c r="AD6779">
        <v>-1.1191263476609901</v>
      </c>
      <c r="AE6779">
        <v>0.39400000000000501</v>
      </c>
      <c r="AF6779">
        <v>-2.7744677666995599</v>
      </c>
      <c r="AG6779">
        <v>-1.1191263476609901</v>
      </c>
      <c r="AH6779">
        <v>11.0945897875727</v>
      </c>
      <c r="AI6779">
        <v>95.589048840689401</v>
      </c>
      <c r="AJ6779">
        <v>104.04023057671699</v>
      </c>
      <c r="AK6779">
        <v>11.490867579299501</v>
      </c>
      <c r="AL6779">
        <v>68.4902961078798</v>
      </c>
      <c r="AM6779">
        <v>106.135083951193</v>
      </c>
      <c r="AN6779">
        <v>0.99999999586684496</v>
      </c>
    </row>
    <row r="6780" spans="1:40" x14ac:dyDescent="0.25">
      <c r="A6780" t="str">
        <f>"20190304164257432"</f>
        <v>20190304164257432</v>
      </c>
      <c r="B6780" t="str">
        <f>"1551688977428229"</f>
        <v>1551688977428229</v>
      </c>
      <c r="C6780" t="s">
        <v>40</v>
      </c>
      <c r="D6780">
        <v>4.6261570000000001</v>
      </c>
      <c r="E6780">
        <v>0.52088559999999995</v>
      </c>
      <c r="F6780" t="s">
        <v>42</v>
      </c>
      <c r="G6780">
        <v>-265.36860000000001</v>
      </c>
      <c r="H6780" s="1">
        <v>-1.31122899999999E-6</v>
      </c>
      <c r="I6780">
        <v>-60.39443</v>
      </c>
      <c r="J6780">
        <v>-276.82819999999998</v>
      </c>
      <c r="K6780">
        <v>1.119092</v>
      </c>
      <c r="L6780">
        <v>-60.823360000000001</v>
      </c>
      <c r="M6780">
        <v>0.97884119999999997</v>
      </c>
      <c r="N6780">
        <v>-8.6608050000000006E-3</v>
      </c>
      <c r="O6780">
        <v>-0.2044386</v>
      </c>
      <c r="P6780">
        <v>0.92927939999999998</v>
      </c>
      <c r="Q6780">
        <v>0.36443890000000001</v>
      </c>
      <c r="R6780">
        <v>6.0201810000000001E-2</v>
      </c>
      <c r="S6780">
        <v>3.3475649999999999</v>
      </c>
      <c r="T6780">
        <v>-0.322439799999999</v>
      </c>
      <c r="U6780">
        <v>0.1149902</v>
      </c>
      <c r="V6780">
        <v>-0.2573955</v>
      </c>
      <c r="W6780">
        <v>0.36638549999999998</v>
      </c>
      <c r="X6780">
        <v>0.89415279999999997</v>
      </c>
      <c r="Y6780">
        <v>-0.23596619999999999</v>
      </c>
      <c r="Z6780">
        <v>3.01377E-2</v>
      </c>
      <c r="AA6780">
        <v>0.97129379999999998</v>
      </c>
      <c r="AB6780">
        <v>34</v>
      </c>
      <c r="AC6780">
        <v>11.459599999999901</v>
      </c>
      <c r="AD6780">
        <v>-1.119093311229</v>
      </c>
      <c r="AE6780">
        <v>0.42892999999999398</v>
      </c>
      <c r="AF6780">
        <v>-2.7366800975746002</v>
      </c>
      <c r="AG6780">
        <v>-1.119093311229</v>
      </c>
      <c r="AH6780">
        <v>11.0248621954154</v>
      </c>
      <c r="AI6780">
        <v>95.626426554163103</v>
      </c>
      <c r="AJ6780">
        <v>103.94065077934</v>
      </c>
      <c r="AK6780">
        <v>11.4144370962215</v>
      </c>
      <c r="AL6780">
        <v>68.507126447668298</v>
      </c>
      <c r="AM6780">
        <v>106.05926986141699</v>
      </c>
      <c r="AN6780">
        <v>1.0000000038891601</v>
      </c>
    </row>
    <row r="6781" spans="1:40" x14ac:dyDescent="0.25">
      <c r="A6781" t="str">
        <f>"20190304164257445"</f>
        <v>20190304164257445</v>
      </c>
      <c r="B6781" t="str">
        <f>"1551688977437988"</f>
        <v>1551688977437988</v>
      </c>
      <c r="C6781" t="s">
        <v>40</v>
      </c>
      <c r="D6781">
        <v>4.6105679999999998</v>
      </c>
      <c r="E6781">
        <v>0.52097109999999902</v>
      </c>
      <c r="F6781" t="s">
        <v>42</v>
      </c>
      <c r="G6781">
        <v>-265.96559999999999</v>
      </c>
      <c r="H6781" s="1">
        <v>-1.622427E-6</v>
      </c>
      <c r="I6781">
        <v>-60.601379999999999</v>
      </c>
      <c r="J6781">
        <v>-276.61900000000003</v>
      </c>
      <c r="K6781">
        <v>1.1190420000000001</v>
      </c>
      <c r="L6781">
        <v>-60.861849999999997</v>
      </c>
      <c r="M6781">
        <v>0.98015890000000006</v>
      </c>
      <c r="N6781">
        <v>-8.6571029999999993E-3</v>
      </c>
      <c r="O6781">
        <v>-0.19802449999999999</v>
      </c>
      <c r="P6781">
        <v>0.92901250000000002</v>
      </c>
      <c r="Q6781">
        <v>0.36427179999999998</v>
      </c>
      <c r="R6781">
        <v>6.5132529999999994E-2</v>
      </c>
      <c r="S6781">
        <v>3.3595890000000002</v>
      </c>
      <c r="T6781">
        <v>-0.34611229999999998</v>
      </c>
      <c r="U6781">
        <v>6.8634029999999999E-2</v>
      </c>
      <c r="V6781">
        <v>-0.25624390000000002</v>
      </c>
      <c r="W6781">
        <v>0.3662764</v>
      </c>
      <c r="X6781">
        <v>0.894528199999999</v>
      </c>
      <c r="Y6781">
        <v>-0.2159027</v>
      </c>
      <c r="Z6781">
        <v>3.0563719999999999E-2</v>
      </c>
      <c r="AA6781">
        <v>0.97593640000000004</v>
      </c>
      <c r="AB6781">
        <v>34</v>
      </c>
      <c r="AC6781">
        <v>10.6534</v>
      </c>
      <c r="AD6781">
        <v>-1.119043622427</v>
      </c>
      <c r="AE6781">
        <v>0.26046999999998999</v>
      </c>
      <c r="AF6781">
        <v>-2.3392299560705001</v>
      </c>
      <c r="AG6781">
        <v>-1.119043622427</v>
      </c>
      <c r="AH6781">
        <v>10.277503946862501</v>
      </c>
      <c r="AI6781">
        <v>96.060250848496807</v>
      </c>
      <c r="AJ6781">
        <v>102.82246648741101</v>
      </c>
      <c r="AK6781">
        <v>10.599591633362399</v>
      </c>
      <c r="AL6781">
        <v>68.513844761228299</v>
      </c>
      <c r="AM6781">
        <v>105.984733015454</v>
      </c>
      <c r="AN6781">
        <v>1.0000000190397</v>
      </c>
    </row>
    <row r="6782" spans="1:40" x14ac:dyDescent="0.25">
      <c r="A6782" t="str">
        <f>"20190304164257456"</f>
        <v>20190304164257456</v>
      </c>
      <c r="B6782" t="str">
        <f>"1551688977447749"</f>
        <v>1551688977447749</v>
      </c>
      <c r="C6782" t="s">
        <v>40</v>
      </c>
      <c r="D6782">
        <v>4.6277970000000002</v>
      </c>
      <c r="E6782">
        <v>0.52102389999999998</v>
      </c>
      <c r="F6782" t="s">
        <v>42</v>
      </c>
      <c r="G6782">
        <v>-265.83049999999997</v>
      </c>
      <c r="H6782" s="1">
        <v>-1.559566E-6</v>
      </c>
      <c r="I6782">
        <v>-60.582990000000002</v>
      </c>
      <c r="J6782">
        <v>-276.4461</v>
      </c>
      <c r="K6782">
        <v>1.1189880000000001</v>
      </c>
      <c r="L6782">
        <v>-60.892429999999997</v>
      </c>
      <c r="M6782">
        <v>0.98119999999999996</v>
      </c>
      <c r="N6782">
        <v>-8.652814E-3</v>
      </c>
      <c r="O6782">
        <v>-0.19280030000000001</v>
      </c>
      <c r="P6782">
        <v>0.92870169999999996</v>
      </c>
      <c r="Q6782">
        <v>0.36458230000000003</v>
      </c>
      <c r="R6782">
        <v>6.7774520000000005E-2</v>
      </c>
      <c r="S6782">
        <v>3.3598020000000002</v>
      </c>
      <c r="T6782">
        <v>-0.34849819999999998</v>
      </c>
      <c r="U6782">
        <v>8.6822510000000006E-2</v>
      </c>
      <c r="V6782">
        <v>-0.25395200000000001</v>
      </c>
      <c r="W6782">
        <v>0.36667080000000002</v>
      </c>
      <c r="X6782">
        <v>0.89502009999999899</v>
      </c>
      <c r="Y6782">
        <v>-0.2159759</v>
      </c>
      <c r="Z6782">
        <v>3.029509E-2</v>
      </c>
      <c r="AA6782">
        <v>0.97592860000000003</v>
      </c>
      <c r="AB6782">
        <v>34</v>
      </c>
      <c r="AC6782">
        <v>10.615600000000001</v>
      </c>
      <c r="AD6782">
        <v>-1.11898955956599</v>
      </c>
      <c r="AE6782">
        <v>0.30944000000000199</v>
      </c>
      <c r="AF6782">
        <v>-2.32459385076903</v>
      </c>
      <c r="AG6782">
        <v>-1.11898955956599</v>
      </c>
      <c r="AH6782">
        <v>10.2430366003173</v>
      </c>
      <c r="AI6782">
        <v>96.081063957022593</v>
      </c>
      <c r="AJ6782">
        <v>102.786345363089</v>
      </c>
      <c r="AK6782">
        <v>10.5629386536556</v>
      </c>
      <c r="AL6782">
        <v>68.489558008824105</v>
      </c>
      <c r="AM6782">
        <v>105.840701000976</v>
      </c>
      <c r="AN6782">
        <v>1.0000000366403199</v>
      </c>
    </row>
    <row r="6783" spans="1:40" x14ac:dyDescent="0.25">
      <c r="A6783" t="str">
        <f>"20190304164257468"</f>
        <v>20190304164257468</v>
      </c>
      <c r="B6783" t="str">
        <f>"1551688977457509"</f>
        <v>1551688977457509</v>
      </c>
      <c r="C6783" t="s">
        <v>40</v>
      </c>
      <c r="D6783">
        <v>4.6358829999999998</v>
      </c>
      <c r="E6783">
        <v>0.5215282</v>
      </c>
      <c r="F6783" t="s">
        <v>42</v>
      </c>
      <c r="G6783">
        <v>-265.54739999999998</v>
      </c>
      <c r="H6783" s="1">
        <v>-1.4362290000000001E-6</v>
      </c>
      <c r="I6783">
        <v>-60.575859999999999</v>
      </c>
      <c r="J6783">
        <v>-276.2833</v>
      </c>
      <c r="K6783">
        <v>1.11893</v>
      </c>
      <c r="L6783">
        <v>-60.920409999999997</v>
      </c>
      <c r="M6783">
        <v>0.98214389999999996</v>
      </c>
      <c r="N6783">
        <v>-8.648111E-3</v>
      </c>
      <c r="O6783">
        <v>-0.18793199999999999</v>
      </c>
      <c r="P6783">
        <v>0.92839059999999995</v>
      </c>
      <c r="Q6783">
        <v>0.3647398</v>
      </c>
      <c r="R6783">
        <v>7.1105779999999993E-2</v>
      </c>
      <c r="S6783">
        <v>3.3586119999999999</v>
      </c>
      <c r="T6783">
        <v>-0.3448348</v>
      </c>
      <c r="U6783">
        <v>9.7534179999999998E-2</v>
      </c>
      <c r="V6783">
        <v>-0.25266440000000001</v>
      </c>
      <c r="W6783">
        <v>0.36688730000000003</v>
      </c>
      <c r="X6783">
        <v>0.89529570000000003</v>
      </c>
      <c r="Y6783">
        <v>-0.2143283</v>
      </c>
      <c r="Z6783">
        <v>2.944107E-2</v>
      </c>
      <c r="AA6783">
        <v>0.97631789999999996</v>
      </c>
      <c r="AB6783">
        <v>34</v>
      </c>
      <c r="AC6783">
        <v>10.735900000000001</v>
      </c>
      <c r="AD6783">
        <v>-1.1189314362289999</v>
      </c>
      <c r="AE6783">
        <v>0.34454999999999802</v>
      </c>
      <c r="AF6783">
        <v>-2.33081268794079</v>
      </c>
      <c r="AG6783">
        <v>-1.1189314362289999</v>
      </c>
      <c r="AH6783">
        <v>10.3673399019093</v>
      </c>
      <c r="AI6783">
        <v>96.011099095831398</v>
      </c>
      <c r="AJ6783">
        <v>102.670710603198</v>
      </c>
      <c r="AK6783">
        <v>10.6848693013517</v>
      </c>
      <c r="AL6783">
        <v>68.476223165636597</v>
      </c>
      <c r="AM6783">
        <v>105.759774906407</v>
      </c>
      <c r="AN6783">
        <v>0.99999999018357</v>
      </c>
    </row>
    <row r="6784" spans="1:40" x14ac:dyDescent="0.25">
      <c r="A6784" t="str">
        <f>"20190304164257478"</f>
        <v>20190304164257478</v>
      </c>
      <c r="B6784" t="str">
        <f>"1551688977468244"</f>
        <v>1551688977468244</v>
      </c>
      <c r="C6784" t="s">
        <v>40</v>
      </c>
      <c r="D6784">
        <v>4.6544429999999997</v>
      </c>
      <c r="E6784">
        <v>0.52191500000000002</v>
      </c>
      <c r="F6784" t="s">
        <v>42</v>
      </c>
      <c r="G6784">
        <v>-265.39949999999999</v>
      </c>
      <c r="H6784" s="1">
        <v>-1.3729419999999999E-6</v>
      </c>
      <c r="I6784">
        <v>-60.576419999999999</v>
      </c>
      <c r="J6784">
        <v>-276.12139999999999</v>
      </c>
      <c r="K6784">
        <v>1.118873</v>
      </c>
      <c r="L6784">
        <v>-60.947629999999997</v>
      </c>
      <c r="M6784">
        <v>0.9830508</v>
      </c>
      <c r="N6784">
        <v>-8.6430750000000001E-3</v>
      </c>
      <c r="O6784">
        <v>-0.18312909999999999</v>
      </c>
      <c r="P6784">
        <v>0.92804149999999996</v>
      </c>
      <c r="Q6784">
        <v>0.36501519999999998</v>
      </c>
      <c r="R6784">
        <v>7.4182600000000001E-2</v>
      </c>
      <c r="S6784">
        <v>3.3589479999999998</v>
      </c>
      <c r="T6784">
        <v>-0.34532479999999999</v>
      </c>
      <c r="U6784">
        <v>0.1061401</v>
      </c>
      <c r="V6784">
        <v>-0.2511871</v>
      </c>
      <c r="W6784">
        <v>0.36722700000000003</v>
      </c>
      <c r="X6784">
        <v>0.89557209999999998</v>
      </c>
      <c r="Y6784">
        <v>-0.21207989999999999</v>
      </c>
      <c r="Z6784">
        <v>2.8911679999999999E-2</v>
      </c>
      <c r="AA6784">
        <v>0.97682460000000004</v>
      </c>
      <c r="AB6784">
        <v>34</v>
      </c>
      <c r="AC6784">
        <v>10.7219</v>
      </c>
      <c r="AD6784">
        <v>-1.1188743729420001</v>
      </c>
      <c r="AE6784">
        <v>0.37121000000000398</v>
      </c>
      <c r="AF6784">
        <v>-2.3034433760586799</v>
      </c>
      <c r="AG6784">
        <v>-1.1188743729420001</v>
      </c>
      <c r="AH6784">
        <v>10.3599029934849</v>
      </c>
      <c r="AI6784">
        <v>96.018232627101099</v>
      </c>
      <c r="AJ6784">
        <v>102.535356967005</v>
      </c>
      <c r="AK6784">
        <v>10.6717065778418</v>
      </c>
      <c r="AL6784">
        <v>68.455299659300394</v>
      </c>
      <c r="AM6784">
        <v>105.66757013520601</v>
      </c>
      <c r="AN6784">
        <v>1.0000000075169</v>
      </c>
    </row>
    <row r="6785" spans="1:40" x14ac:dyDescent="0.25">
      <c r="A6785" t="str">
        <f>"20190304164257491"</f>
        <v>20190304164257491</v>
      </c>
      <c r="B6785" t="str">
        <f>"1551688977487765"</f>
        <v>1551688977487765</v>
      </c>
      <c r="C6785" t="s">
        <v>40</v>
      </c>
      <c r="D6785">
        <v>4.6400439999999996</v>
      </c>
      <c r="E6785">
        <v>0.52271880000000004</v>
      </c>
      <c r="F6785" t="s">
        <v>42</v>
      </c>
      <c r="G6785">
        <v>-265.29880000000003</v>
      </c>
      <c r="H6785" s="1">
        <v>-1.329809E-6</v>
      </c>
      <c r="I6785">
        <v>-60.576700000000002</v>
      </c>
      <c r="J6785">
        <v>-275.94310000000002</v>
      </c>
      <c r="K6785">
        <v>1.1188020000000001</v>
      </c>
      <c r="L6785">
        <v>-60.9764699999999</v>
      </c>
      <c r="M6785">
        <v>0.98400480000000001</v>
      </c>
      <c r="N6785">
        <v>-8.6363140000000008E-3</v>
      </c>
      <c r="O6785">
        <v>-0.17793299999999901</v>
      </c>
      <c r="P6785">
        <v>0.92779619999999996</v>
      </c>
      <c r="Q6785">
        <v>0.36501129999999998</v>
      </c>
      <c r="R6785">
        <v>7.7207239999999996E-2</v>
      </c>
      <c r="S6785">
        <v>3.3600769999999902</v>
      </c>
      <c r="T6785">
        <v>-0.34737689999999999</v>
      </c>
      <c r="U6785">
        <v>0.1151428</v>
      </c>
      <c r="V6785">
        <v>-0.2493052</v>
      </c>
      <c r="W6785">
        <v>0.36730550000000001</v>
      </c>
      <c r="X6785">
        <v>0.89606559999999902</v>
      </c>
      <c r="Y6785">
        <v>-0.209537</v>
      </c>
      <c r="Z6785">
        <v>2.8450710000000001E-2</v>
      </c>
      <c r="AA6785">
        <v>0.97738670000000005</v>
      </c>
      <c r="AB6785">
        <v>34</v>
      </c>
      <c r="AC6785">
        <v>10.6442999999999</v>
      </c>
      <c r="AD6785">
        <v>-1.1188033298090001</v>
      </c>
      <c r="AE6785">
        <v>0.39976999999998902</v>
      </c>
      <c r="AF6785">
        <v>-2.2624729296109898</v>
      </c>
      <c r="AG6785">
        <v>-1.1188033298090001</v>
      </c>
      <c r="AH6785">
        <v>10.2897784002406</v>
      </c>
      <c r="AI6785">
        <v>96.061688189121895</v>
      </c>
      <c r="AJ6785">
        <v>102.400628993322</v>
      </c>
      <c r="AK6785">
        <v>10.594812134911701</v>
      </c>
      <c r="AL6785">
        <v>68.450463524792994</v>
      </c>
      <c r="AM6785">
        <v>105.547739308346</v>
      </c>
      <c r="AN6785">
        <v>0.99999998629032405</v>
      </c>
    </row>
    <row r="6786" spans="1:40" x14ac:dyDescent="0.25">
      <c r="A6786" t="str">
        <f>"20190304164257504"</f>
        <v>20190304164257504</v>
      </c>
      <c r="B6786" t="str">
        <f>"1551688977497524"</f>
        <v>1551688977497524</v>
      </c>
      <c r="C6786" t="s">
        <v>40</v>
      </c>
      <c r="D6786">
        <v>4.639513</v>
      </c>
      <c r="E6786">
        <v>0.52300389999999997</v>
      </c>
      <c r="F6786" t="s">
        <v>42</v>
      </c>
      <c r="G6786">
        <v>-265.15519999999998</v>
      </c>
      <c r="H6786" s="1">
        <v>-1.2709030000000001E-6</v>
      </c>
      <c r="I6786">
        <v>-60.586790000000001</v>
      </c>
      <c r="J6786">
        <v>-275.7552</v>
      </c>
      <c r="K6786">
        <v>1.1187260000000001</v>
      </c>
      <c r="L6786">
        <v>-61.006230000000002</v>
      </c>
      <c r="M6786">
        <v>0.98497060000000003</v>
      </c>
      <c r="N6786">
        <v>-8.6290619999999998E-3</v>
      </c>
      <c r="O6786">
        <v>-0.17250660000000001</v>
      </c>
      <c r="P6786">
        <v>0.92745379999999999</v>
      </c>
      <c r="Q6786">
        <v>0.36523509999999998</v>
      </c>
      <c r="R6786">
        <v>8.0206589999999994E-2</v>
      </c>
      <c r="S6786">
        <v>3.360474</v>
      </c>
      <c r="T6786">
        <v>-0.34851459999999901</v>
      </c>
      <c r="U6786">
        <v>0.1213684</v>
      </c>
      <c r="V6786">
        <v>-0.24717439999999999</v>
      </c>
      <c r="W6786">
        <v>0.36762040000000001</v>
      </c>
      <c r="X6786">
        <v>0.89652659999999995</v>
      </c>
      <c r="Y6786">
        <v>-0.20598449999999999</v>
      </c>
      <c r="Z6786">
        <v>2.7835349999999998E-2</v>
      </c>
      <c r="AA6786">
        <v>0.97815920000000001</v>
      </c>
      <c r="AB6786">
        <v>34</v>
      </c>
      <c r="AC6786">
        <v>10.6</v>
      </c>
      <c r="AD6786">
        <v>-1.1187272709029901</v>
      </c>
      <c r="AE6786">
        <v>0.41944000000000098</v>
      </c>
      <c r="AF6786">
        <v>-2.2171319282287998</v>
      </c>
      <c r="AG6786">
        <v>-1.1187272709029901</v>
      </c>
      <c r="AH6786">
        <v>10.254672134884199</v>
      </c>
      <c r="AI6786">
        <v>96.086485590093005</v>
      </c>
      <c r="AJ6786">
        <v>102.199964419601</v>
      </c>
      <c r="AK6786">
        <v>10.5510911894365</v>
      </c>
      <c r="AL6786">
        <v>68.4310628772716</v>
      </c>
      <c r="AM6786">
        <v>105.41365153361301</v>
      </c>
      <c r="AN6786">
        <v>0.99999994350953803</v>
      </c>
    </row>
    <row r="6787" spans="1:40" x14ac:dyDescent="0.25">
      <c r="A6787" t="str">
        <f>"20190304164257515"</f>
        <v>20190304164257515</v>
      </c>
      <c r="B6787" t="str">
        <f>"1551688977508261"</f>
        <v>1551688977508261</v>
      </c>
      <c r="C6787" t="s">
        <v>40</v>
      </c>
      <c r="D6787">
        <v>4.6458300000000001</v>
      </c>
      <c r="E6787">
        <v>0.52337069999999997</v>
      </c>
      <c r="F6787" t="s">
        <v>42</v>
      </c>
      <c r="G6787">
        <v>-264.96879999999999</v>
      </c>
      <c r="H6787" s="1">
        <v>-1.1902949999999999E-6</v>
      </c>
      <c r="I6787">
        <v>-60.584380000000003</v>
      </c>
      <c r="J6787">
        <v>-275.57920000000001</v>
      </c>
      <c r="K6787">
        <v>1.1186400000000001</v>
      </c>
      <c r="L6787">
        <v>-61.03284</v>
      </c>
      <c r="M6787">
        <v>0.98582700000000001</v>
      </c>
      <c r="N6787">
        <v>-8.6205180000000006E-3</v>
      </c>
      <c r="O6787">
        <v>-0.16754369999999999</v>
      </c>
      <c r="P6787">
        <v>0.92722320000000003</v>
      </c>
      <c r="Q6787">
        <v>0.36528159999999998</v>
      </c>
      <c r="R6787">
        <v>8.2622799999999996E-2</v>
      </c>
      <c r="S6787">
        <v>3.3605649999999998</v>
      </c>
      <c r="T6787">
        <v>-0.34854760000000001</v>
      </c>
      <c r="U6787">
        <v>0.13140869999999999</v>
      </c>
      <c r="V6787">
        <v>-0.2449075</v>
      </c>
      <c r="W6787">
        <v>0.36776360000000002</v>
      </c>
      <c r="X6787">
        <v>0.89708980000000005</v>
      </c>
      <c r="Y6787">
        <v>-0.2040083</v>
      </c>
      <c r="Z6787">
        <v>2.7261690000000002E-2</v>
      </c>
      <c r="AA6787">
        <v>0.9785895</v>
      </c>
      <c r="AB6787">
        <v>34</v>
      </c>
      <c r="AC6787">
        <v>10.6104</v>
      </c>
      <c r="AD6787">
        <v>-1.11864119029499</v>
      </c>
      <c r="AE6787">
        <v>0.44845999999999703</v>
      </c>
      <c r="AF6787">
        <v>-2.1955317461901398</v>
      </c>
      <c r="AG6787">
        <v>-1.11864119029499</v>
      </c>
      <c r="AH6787">
        <v>10.271303414833699</v>
      </c>
      <c r="AI6787">
        <v>96.079280711541998</v>
      </c>
      <c r="AJ6787">
        <v>102.06562404055001</v>
      </c>
      <c r="AK6787">
        <v>10.5627359902976</v>
      </c>
      <c r="AL6787">
        <v>68.422239736651306</v>
      </c>
      <c r="AM6787">
        <v>105.269779970941</v>
      </c>
      <c r="AN6787">
        <v>0.99999992915262204</v>
      </c>
    </row>
    <row r="6788" spans="1:40" x14ac:dyDescent="0.25">
      <c r="A6788" t="str">
        <f>"20190304164257525"</f>
        <v>20190304164257525</v>
      </c>
      <c r="B6788" t="str">
        <f>"1551688977518021"</f>
        <v>1551688977518021</v>
      </c>
      <c r="C6788" t="s">
        <v>40</v>
      </c>
      <c r="D6788">
        <v>4.6472439999999997</v>
      </c>
      <c r="E6788">
        <v>0.52337069999999997</v>
      </c>
      <c r="F6788" t="s">
        <v>42</v>
      </c>
      <c r="G6788">
        <v>-264.83069999999998</v>
      </c>
      <c r="H6788" s="1">
        <v>-1.1320299999999999E-6</v>
      </c>
      <c r="I6788">
        <v>-60.58811</v>
      </c>
      <c r="J6788">
        <v>-275.41660000000002</v>
      </c>
      <c r="K6788">
        <v>1.1185590000000001</v>
      </c>
      <c r="L6788">
        <v>-61.05688</v>
      </c>
      <c r="M6788">
        <v>0.98658760000000001</v>
      </c>
      <c r="N6788">
        <v>-8.6124459999999993E-3</v>
      </c>
      <c r="O6788">
        <v>-0.1630056</v>
      </c>
      <c r="P6788">
        <v>0.92696199999999995</v>
      </c>
      <c r="Q6788">
        <v>0.36547829999999998</v>
      </c>
      <c r="R6788">
        <v>8.4658029999999995E-2</v>
      </c>
      <c r="S6788">
        <v>3.3609010000000001</v>
      </c>
      <c r="T6788">
        <v>-0.349782599999999</v>
      </c>
      <c r="U6788">
        <v>0.1390381</v>
      </c>
      <c r="V6788">
        <v>-0.24265880000000001</v>
      </c>
      <c r="W6788">
        <v>0.3680541</v>
      </c>
      <c r="X6788">
        <v>0.89758169999999904</v>
      </c>
      <c r="Y6788">
        <v>-0.2017388</v>
      </c>
      <c r="Z6788">
        <v>2.6802380000000001E-2</v>
      </c>
      <c r="AA6788">
        <v>0.97907259999999996</v>
      </c>
      <c r="AB6788">
        <v>34</v>
      </c>
      <c r="AC6788">
        <v>10.585900000000001</v>
      </c>
      <c r="AD6788">
        <v>-1.11856013203</v>
      </c>
      <c r="AE6788">
        <v>0.46877000000000602</v>
      </c>
      <c r="AF6788">
        <v>-2.1640105672201599</v>
      </c>
      <c r="AG6788">
        <v>-1.11856013203</v>
      </c>
      <c r="AH6788">
        <v>10.2536306991366</v>
      </c>
      <c r="AI6788">
        <v>96.092566240124299</v>
      </c>
      <c r="AJ6788">
        <v>101.917289163566</v>
      </c>
      <c r="AK6788">
        <v>10.5390256199652</v>
      </c>
      <c r="AL6788">
        <v>68.404341701592401</v>
      </c>
      <c r="AM6788">
        <v>105.128120912851</v>
      </c>
      <c r="AN6788">
        <v>1.0000000109595699</v>
      </c>
    </row>
    <row r="6789" spans="1:40" x14ac:dyDescent="0.25">
      <c r="A6789" t="str">
        <f>"20190304164257536"</f>
        <v>20190304164257536</v>
      </c>
      <c r="B6789" t="str">
        <f>"1551688977527781"</f>
        <v>1551688977527781</v>
      </c>
      <c r="C6789" t="s">
        <v>40</v>
      </c>
      <c r="D6789">
        <v>4.6575569999999997</v>
      </c>
      <c r="E6789">
        <v>0.52823629999999999</v>
      </c>
      <c r="F6789" t="s">
        <v>42</v>
      </c>
      <c r="G6789">
        <v>-264.65039999999999</v>
      </c>
      <c r="H6789" s="1">
        <v>-1.0538570000000001E-6</v>
      </c>
      <c r="I6789">
        <v>-60.585090000000001</v>
      </c>
      <c r="J6789">
        <v>-275.25740000000002</v>
      </c>
      <c r="K6789">
        <v>1.1184719999999999</v>
      </c>
      <c r="L6789">
        <v>-61.079709999999999</v>
      </c>
      <c r="M6789">
        <v>0.9872997</v>
      </c>
      <c r="N6789">
        <v>-8.6037500000000003E-3</v>
      </c>
      <c r="O6789">
        <v>-0.1586352</v>
      </c>
      <c r="P6789">
        <v>0.92661380000000004</v>
      </c>
      <c r="Q6789">
        <v>0.36585529999999999</v>
      </c>
      <c r="R6789">
        <v>8.6814150000000007E-2</v>
      </c>
      <c r="S6789">
        <v>3.3606259999999999</v>
      </c>
      <c r="T6789">
        <v>-0.34915200000000002</v>
      </c>
      <c r="U6789">
        <v>0.1472473</v>
      </c>
      <c r="V6789">
        <v>-0.2406731</v>
      </c>
      <c r="W6789">
        <v>0.36851780000000001</v>
      </c>
      <c r="X6789">
        <v>0.897926</v>
      </c>
      <c r="Y6789">
        <v>-0.1998308</v>
      </c>
      <c r="Z6789">
        <v>2.6237549999999998E-2</v>
      </c>
      <c r="AA6789">
        <v>0.97947910000000005</v>
      </c>
      <c r="AB6789">
        <v>34</v>
      </c>
      <c r="AC6789">
        <v>10.606999999999999</v>
      </c>
      <c r="AD6789">
        <v>-1.118473053857</v>
      </c>
      <c r="AE6789">
        <v>0.49461999999999701</v>
      </c>
      <c r="AF6789">
        <v>-2.1472389097729701</v>
      </c>
      <c r="AG6789">
        <v>-1.118473053857</v>
      </c>
      <c r="AH6789">
        <v>10.2801522367164</v>
      </c>
      <c r="AI6789">
        <v>96.079135952566006</v>
      </c>
      <c r="AJ6789">
        <v>101.797881006536</v>
      </c>
      <c r="AK6789">
        <v>10.561398909136599</v>
      </c>
      <c r="AL6789">
        <v>68.375764951732293</v>
      </c>
      <c r="AM6789">
        <v>105.004438418978</v>
      </c>
      <c r="AN6789">
        <v>1.0000000057282199</v>
      </c>
    </row>
    <row r="6790" spans="1:40" x14ac:dyDescent="0.25">
      <c r="A6790" t="str">
        <f>"20190304164257546"</f>
        <v>20190304164257546</v>
      </c>
      <c r="B6790" t="str">
        <f>"1551688977537541"</f>
        <v>1551688977537541</v>
      </c>
      <c r="C6790" t="s">
        <v>40</v>
      </c>
      <c r="D6790">
        <v>4.6377889999999997</v>
      </c>
      <c r="E6790">
        <v>0.52842809999999996</v>
      </c>
      <c r="F6790" t="s">
        <v>42</v>
      </c>
      <c r="G6790">
        <v>-265.05279999999999</v>
      </c>
      <c r="H6790" s="1">
        <v>-1.262639E-6</v>
      </c>
      <c r="I6790">
        <v>-60.72099</v>
      </c>
      <c r="J6790">
        <v>-275.10989999999998</v>
      </c>
      <c r="K6790">
        <v>1.1183920000000001</v>
      </c>
      <c r="L6790">
        <v>-61.100250000000003</v>
      </c>
      <c r="M6790">
        <v>0.98793240000000004</v>
      </c>
      <c r="N6790">
        <v>-8.5954540000000006E-3</v>
      </c>
      <c r="O6790">
        <v>-0.154646799999999</v>
      </c>
      <c r="P6790">
        <v>0.92631260000000004</v>
      </c>
      <c r="Q6790">
        <v>0.36631970000000003</v>
      </c>
      <c r="R6790">
        <v>8.806369E-2</v>
      </c>
      <c r="S6790">
        <v>3.3724370000000001</v>
      </c>
      <c r="T6790">
        <v>-0.36963390000000002</v>
      </c>
      <c r="U6790">
        <v>0.11853030000000001</v>
      </c>
      <c r="V6790">
        <v>-0.23815529999999999</v>
      </c>
      <c r="W6790">
        <v>0.3690793</v>
      </c>
      <c r="X6790">
        <v>0.89836659999999902</v>
      </c>
      <c r="Y6790">
        <v>-0.18726880000000001</v>
      </c>
      <c r="Z6790">
        <v>2.656269E-2</v>
      </c>
      <c r="AA6790">
        <v>0.98194950000000003</v>
      </c>
      <c r="AB6790">
        <v>34</v>
      </c>
      <c r="AC6790">
        <v>10.057099999999901</v>
      </c>
      <c r="AD6790">
        <v>-1.1183932626390001</v>
      </c>
      <c r="AE6790">
        <v>0.37926000000000198</v>
      </c>
      <c r="AF6790">
        <v>-1.90650973464463</v>
      </c>
      <c r="AG6790">
        <v>-1.1183932626390001</v>
      </c>
      <c r="AH6790">
        <v>9.7569615554136995</v>
      </c>
      <c r="AI6790">
        <v>96.418652754928004</v>
      </c>
      <c r="AJ6790">
        <v>101.056282980372</v>
      </c>
      <c r="AK6790">
        <v>10.0041932034538</v>
      </c>
      <c r="AL6790">
        <v>68.341153743427299</v>
      </c>
      <c r="AM6790">
        <v>104.84748009701801</v>
      </c>
      <c r="AN6790">
        <v>1.0000000123010699</v>
      </c>
    </row>
    <row r="6791" spans="1:40" x14ac:dyDescent="0.25">
      <c r="A6791" t="str">
        <f>"20190304164257557"</f>
        <v>20190304164257557</v>
      </c>
      <c r="B6791" t="str">
        <f>"1551688977548277"</f>
        <v>1551688977548277</v>
      </c>
      <c r="C6791" t="s">
        <v>40</v>
      </c>
      <c r="D6791">
        <v>4.6313959999999996</v>
      </c>
      <c r="E6791">
        <v>0.5286978</v>
      </c>
      <c r="F6791" t="s">
        <v>42</v>
      </c>
      <c r="G6791">
        <v>-264.80509999999998</v>
      </c>
      <c r="H6791" s="1">
        <v>-1.157702E-6</v>
      </c>
      <c r="I6791">
        <v>-60.72589</v>
      </c>
      <c r="J6791">
        <v>-274.9452</v>
      </c>
      <c r="K6791">
        <v>1.1182970000000001</v>
      </c>
      <c r="L6791">
        <v>-61.122590000000002</v>
      </c>
      <c r="M6791">
        <v>0.9886085</v>
      </c>
      <c r="N6791">
        <v>-8.5858719999999996E-3</v>
      </c>
      <c r="O6791">
        <v>-0.1502647</v>
      </c>
      <c r="P6791">
        <v>0.9258864</v>
      </c>
      <c r="Q6791">
        <v>0.36701669999999997</v>
      </c>
      <c r="R6791">
        <v>8.9627760000000001E-2</v>
      </c>
      <c r="S6791">
        <v>3.3717350000000001</v>
      </c>
      <c r="T6791">
        <v>-0.36593880000000001</v>
      </c>
      <c r="U6791">
        <v>0.12246700000000001</v>
      </c>
      <c r="V6791">
        <v>-0.2355642</v>
      </c>
      <c r="W6791">
        <v>0.3698805</v>
      </c>
      <c r="X6791">
        <v>0.89872009999999902</v>
      </c>
      <c r="Y6791">
        <v>-0.18414639999999999</v>
      </c>
      <c r="Z6791">
        <v>2.5684430000000001E-2</v>
      </c>
      <c r="AA6791">
        <v>0.98256319999999997</v>
      </c>
      <c r="AB6791">
        <v>34</v>
      </c>
      <c r="AC6791">
        <v>10.1401</v>
      </c>
      <c r="AD6791">
        <v>-1.1182981577019999</v>
      </c>
      <c r="AE6791">
        <v>0.396700000000002</v>
      </c>
      <c r="AF6791">
        <v>-1.89296234341701</v>
      </c>
      <c r="AG6791">
        <v>-1.1182981577019999</v>
      </c>
      <c r="AH6791">
        <v>9.8457780923120293</v>
      </c>
      <c r="AI6791">
        <v>96.364391761217405</v>
      </c>
      <c r="AJ6791">
        <v>100.882965136363</v>
      </c>
      <c r="AK6791">
        <v>10.0882725699777</v>
      </c>
      <c r="AL6791">
        <v>68.291751200135394</v>
      </c>
      <c r="AM6791">
        <v>104.687437263058</v>
      </c>
      <c r="AN6791">
        <v>0.99999994737294795</v>
      </c>
    </row>
    <row r="6792" spans="1:40" x14ac:dyDescent="0.25">
      <c r="A6792" t="str">
        <f>"20190304164257568"</f>
        <v>20190304164257568</v>
      </c>
      <c r="B6792" t="str">
        <f>"1551688977558037"</f>
        <v>1551688977558037</v>
      </c>
      <c r="C6792" t="s">
        <v>40</v>
      </c>
      <c r="D6792">
        <v>4.6246910000000003</v>
      </c>
      <c r="E6792">
        <v>0.52886480000000002</v>
      </c>
      <c r="F6792" t="s">
        <v>42</v>
      </c>
      <c r="G6792">
        <v>-264.6404</v>
      </c>
      <c r="H6792" s="1">
        <v>-1.0887700000000001E-6</v>
      </c>
      <c r="I6792">
        <v>-60.732329999999997</v>
      </c>
      <c r="J6792">
        <v>-274.7774</v>
      </c>
      <c r="K6792">
        <v>1.118201</v>
      </c>
      <c r="L6792">
        <v>-61.144530000000003</v>
      </c>
      <c r="M6792">
        <v>0.9892628</v>
      </c>
      <c r="N6792">
        <v>-8.5754300000000002E-3</v>
      </c>
      <c r="O6792">
        <v>-0.14589630000000001</v>
      </c>
      <c r="P6792">
        <v>0.92557259999999997</v>
      </c>
      <c r="Q6792">
        <v>0.3674135</v>
      </c>
      <c r="R6792">
        <v>9.1229110000000002E-2</v>
      </c>
      <c r="S6792">
        <v>3.3728940000000001</v>
      </c>
      <c r="T6792">
        <v>-0.36603570000000002</v>
      </c>
      <c r="U6792">
        <v>0.1277161</v>
      </c>
      <c r="V6792">
        <v>-0.23302829999999999</v>
      </c>
      <c r="W6792">
        <v>0.37038460000000001</v>
      </c>
      <c r="X6792">
        <v>0.89917359999999902</v>
      </c>
      <c r="Y6792">
        <v>-0.18135950000000001</v>
      </c>
      <c r="Z6792">
        <v>2.5088470000000002E-2</v>
      </c>
      <c r="AA6792">
        <v>0.98309679999999999</v>
      </c>
      <c r="AB6792">
        <v>34</v>
      </c>
      <c r="AC6792">
        <v>10.137</v>
      </c>
      <c r="AD6792">
        <v>-1.1182020887699999</v>
      </c>
      <c r="AE6792">
        <v>0.41219999999999801</v>
      </c>
      <c r="AF6792">
        <v>-1.8641485032414</v>
      </c>
      <c r="AG6792">
        <v>-1.1182020887699999</v>
      </c>
      <c r="AH6792">
        <v>9.8487419486696002</v>
      </c>
      <c r="AI6792">
        <v>96.365416181003397</v>
      </c>
      <c r="AJ6792">
        <v>100.718026182318</v>
      </c>
      <c r="AK6792">
        <v>10.085789187017101</v>
      </c>
      <c r="AL6792">
        <v>68.260662670259194</v>
      </c>
      <c r="AM6792">
        <v>104.529034635657</v>
      </c>
      <c r="AN6792">
        <v>1.0000000517275001</v>
      </c>
    </row>
    <row r="6793" spans="1:40" x14ac:dyDescent="0.25">
      <c r="A6793" t="str">
        <f>"20190304164257579"</f>
        <v>20190304164257579</v>
      </c>
      <c r="B6793" t="str">
        <f>"1551688977567797"</f>
        <v>1551688977567797</v>
      </c>
      <c r="C6793" t="s">
        <v>40</v>
      </c>
      <c r="D6793">
        <v>4.6245000000000003</v>
      </c>
      <c r="E6793">
        <v>0.52894479999999999</v>
      </c>
      <c r="F6793" t="s">
        <v>42</v>
      </c>
      <c r="G6793">
        <v>-264.48469999999998</v>
      </c>
      <c r="H6793" s="1">
        <v>-1.0226040000000001E-6</v>
      </c>
      <c r="I6793">
        <v>-60.734679999999997</v>
      </c>
      <c r="J6793">
        <v>-274.60840000000002</v>
      </c>
      <c r="K6793">
        <v>1.1180939999999999</v>
      </c>
      <c r="L6793">
        <v>-61.166139999999999</v>
      </c>
      <c r="M6793">
        <v>0.98989300000000002</v>
      </c>
      <c r="N6793">
        <v>-8.5649639999999996E-3</v>
      </c>
      <c r="O6793">
        <v>-0.141558399999999</v>
      </c>
      <c r="P6793">
        <v>0.92534959999999999</v>
      </c>
      <c r="Q6793">
        <v>0.3676526</v>
      </c>
      <c r="R6793">
        <v>9.2520359999999996E-2</v>
      </c>
      <c r="S6793">
        <v>3.3734739999999999</v>
      </c>
      <c r="T6793">
        <v>-0.36649619999999999</v>
      </c>
      <c r="U6793">
        <v>0.13430790000000001</v>
      </c>
      <c r="V6793">
        <v>-0.2302207</v>
      </c>
      <c r="W6793">
        <v>0.37073840000000002</v>
      </c>
      <c r="X6793">
        <v>0.89975079999999996</v>
      </c>
      <c r="Y6793">
        <v>-0.1789936</v>
      </c>
      <c r="Z6793">
        <v>2.4548739999999999E-2</v>
      </c>
      <c r="AA6793">
        <v>0.98354390000000003</v>
      </c>
      <c r="AB6793">
        <v>34</v>
      </c>
      <c r="AC6793">
        <v>10.123699999999999</v>
      </c>
      <c r="AD6793">
        <v>-1.1180950226040001</v>
      </c>
      <c r="AE6793">
        <v>0.43146000000000101</v>
      </c>
      <c r="AF6793">
        <v>-1.8378846033905301</v>
      </c>
      <c r="AG6793">
        <v>-1.1180950226040001</v>
      </c>
      <c r="AH6793">
        <v>9.8408485399279293</v>
      </c>
      <c r="AI6793">
        <v>96.372763353567606</v>
      </c>
      <c r="AJ6793">
        <v>100.57873436682701</v>
      </c>
      <c r="AK6793">
        <v>10.073244575644599</v>
      </c>
      <c r="AL6793">
        <v>68.2388368628758</v>
      </c>
      <c r="AM6793">
        <v>104.35243342001699</v>
      </c>
      <c r="AN6793">
        <v>1.0000000170218399</v>
      </c>
    </row>
    <row r="6794" spans="1:40" x14ac:dyDescent="0.25">
      <c r="A6794" t="str">
        <f>"20190304164257591"</f>
        <v>20190304164257591</v>
      </c>
      <c r="B6794" t="str">
        <f>"1551688977588293"</f>
        <v>1551688977588293</v>
      </c>
      <c r="C6794" t="s">
        <v>40</v>
      </c>
      <c r="D6794">
        <v>4.6308639999999999</v>
      </c>
      <c r="E6794">
        <v>0.52928710000000001</v>
      </c>
      <c r="F6794" t="s">
        <v>42</v>
      </c>
      <c r="G6794">
        <v>-264.358</v>
      </c>
      <c r="H6794" s="1">
        <v>-9.6906549999999996E-7</v>
      </c>
      <c r="I6794">
        <v>-60.737749999999998</v>
      </c>
      <c r="J6794">
        <v>-274.43950000000001</v>
      </c>
      <c r="K6794">
        <v>1.1179669999999999</v>
      </c>
      <c r="L6794">
        <v>-61.186770000000003</v>
      </c>
      <c r="M6794">
        <v>0.99048400000000003</v>
      </c>
      <c r="N6794">
        <v>-8.5528380000000001E-3</v>
      </c>
      <c r="O6794">
        <v>-0.1373635</v>
      </c>
      <c r="P6794">
        <v>0.92482790000000004</v>
      </c>
      <c r="Q6794">
        <v>0.3686005</v>
      </c>
      <c r="R6794">
        <v>9.3953480000000006E-2</v>
      </c>
      <c r="S6794">
        <v>3.3741460000000001</v>
      </c>
      <c r="T6794">
        <v>-0.36804559999999997</v>
      </c>
      <c r="U6794">
        <v>0.14099120000000001</v>
      </c>
      <c r="V6794">
        <v>-0.22764770000000001</v>
      </c>
      <c r="W6794">
        <v>0.3717975</v>
      </c>
      <c r="X6794">
        <v>0.8999684</v>
      </c>
      <c r="Y6794">
        <v>-0.17678369999999999</v>
      </c>
      <c r="Z6794">
        <v>2.4102209999999999E-2</v>
      </c>
      <c r="AA6794">
        <v>0.98395449999999995</v>
      </c>
      <c r="AB6794">
        <v>34</v>
      </c>
      <c r="AC6794">
        <v>10.0815</v>
      </c>
      <c r="AD6794">
        <v>-1.1179679690655</v>
      </c>
      <c r="AE6794">
        <v>0.44901999999999698</v>
      </c>
      <c r="AF6794">
        <v>-1.8074609573633</v>
      </c>
      <c r="AG6794">
        <v>-1.1179679690655</v>
      </c>
      <c r="AH6794">
        <v>9.8039235863885494</v>
      </c>
      <c r="AI6794">
        <v>96.3985770438738</v>
      </c>
      <c r="AJ6794">
        <v>100.44581255372999</v>
      </c>
      <c r="AK6794">
        <v>10.0316342227971</v>
      </c>
      <c r="AL6794">
        <v>68.173483191611894</v>
      </c>
      <c r="AM6794">
        <v>104.195254242277</v>
      </c>
      <c r="AN6794">
        <v>0.99999998866004902</v>
      </c>
    </row>
    <row r="6795" spans="1:40" x14ac:dyDescent="0.25">
      <c r="A6795" t="str">
        <f>"20190304164257602"</f>
        <v>20190304164257602</v>
      </c>
      <c r="B6795" t="str">
        <f>"1551688977598053"</f>
        <v>1551688977598053</v>
      </c>
      <c r="C6795" t="s">
        <v>40</v>
      </c>
      <c r="D6795">
        <v>4.6070479999999998</v>
      </c>
      <c r="E6795">
        <v>0.52930049999999995</v>
      </c>
      <c r="F6795" t="s">
        <v>42</v>
      </c>
      <c r="G6795">
        <v>-264.15199999999999</v>
      </c>
      <c r="H6795" s="1">
        <v>-8.8222119999999897E-7</v>
      </c>
      <c r="I6795">
        <v>-60.743479999999998</v>
      </c>
      <c r="J6795">
        <v>-274.26209999999998</v>
      </c>
      <c r="K6795">
        <v>1.117831</v>
      </c>
      <c r="L6795">
        <v>-61.208129999999997</v>
      </c>
      <c r="M6795">
        <v>0.99107869999999998</v>
      </c>
      <c r="N6795">
        <v>-8.5405410000000005E-3</v>
      </c>
      <c r="O6795">
        <v>-0.13300429999999999</v>
      </c>
      <c r="P6795">
        <v>0.92435650000000003</v>
      </c>
      <c r="Q6795">
        <v>0.36922179999999999</v>
      </c>
      <c r="R6795">
        <v>9.6127630000000006E-2</v>
      </c>
      <c r="S6795">
        <v>3.3752749999999998</v>
      </c>
      <c r="T6795">
        <v>-0.36680010000000002</v>
      </c>
      <c r="U6795">
        <v>0.145416299999999</v>
      </c>
      <c r="V6795">
        <v>-0.22565460000000001</v>
      </c>
      <c r="W6795">
        <v>0.3725212</v>
      </c>
      <c r="X6795">
        <v>0.900171099999999</v>
      </c>
      <c r="Y6795">
        <v>-0.17378199999999999</v>
      </c>
      <c r="Z6795">
        <v>2.3404299999999999E-2</v>
      </c>
      <c r="AA6795">
        <v>0.98450599999999999</v>
      </c>
      <c r="AB6795">
        <v>34</v>
      </c>
      <c r="AC6795">
        <v>10.1100999999999</v>
      </c>
      <c r="AD6795">
        <v>-1.1178318822211999</v>
      </c>
      <c r="AE6795">
        <v>0.46464999999999801</v>
      </c>
      <c r="AF6795">
        <v>-1.78350026968636</v>
      </c>
      <c r="AG6795">
        <v>-1.1178318822211999</v>
      </c>
      <c r="AH6795">
        <v>9.8384475106766995</v>
      </c>
      <c r="AI6795">
        <v>96.378988179838998</v>
      </c>
      <c r="AJ6795">
        <v>100.274918744525</v>
      </c>
      <c r="AK6795">
        <v>10.061086956647401</v>
      </c>
      <c r="AL6795">
        <v>68.128810115023498</v>
      </c>
      <c r="AM6795">
        <v>104.07288944782501</v>
      </c>
      <c r="AN6795">
        <v>1.0000000261129001</v>
      </c>
    </row>
    <row r="6796" spans="1:40" x14ac:dyDescent="0.25">
      <c r="A6796" t="str">
        <f>"20190304164257613"</f>
        <v>20190304164257613</v>
      </c>
      <c r="B6796" t="str">
        <f>"1551688977607813"</f>
        <v>1551688977607813</v>
      </c>
      <c r="C6796" t="s">
        <v>40</v>
      </c>
      <c r="D6796">
        <v>4.658944</v>
      </c>
      <c r="E6796">
        <v>0.52946569999999904</v>
      </c>
      <c r="F6796" t="s">
        <v>42</v>
      </c>
      <c r="G6796">
        <v>-263.95679999999999</v>
      </c>
      <c r="H6796" s="1">
        <v>-7.9759509999999895E-7</v>
      </c>
      <c r="I6796">
        <v>-60.740209999999998</v>
      </c>
      <c r="J6796">
        <v>-274.08879999999999</v>
      </c>
      <c r="K6796">
        <v>1.1176839999999999</v>
      </c>
      <c r="L6796">
        <v>-61.227910000000001</v>
      </c>
      <c r="M6796">
        <v>0.99161719999999998</v>
      </c>
      <c r="N6796">
        <v>-8.5263490000000008E-3</v>
      </c>
      <c r="O6796">
        <v>-0.12892880000000001</v>
      </c>
      <c r="P6796">
        <v>0.92390410000000001</v>
      </c>
      <c r="Q6796">
        <v>0.3698533</v>
      </c>
      <c r="R6796">
        <v>9.8030720000000002E-2</v>
      </c>
      <c r="S6796">
        <v>3.3758240000000002</v>
      </c>
      <c r="T6796">
        <v>-0.36617919999999998</v>
      </c>
      <c r="U6796">
        <v>0.15325929999999999</v>
      </c>
      <c r="V6796">
        <v>-0.22364529999999999</v>
      </c>
      <c r="W6796">
        <v>0.37325999999999998</v>
      </c>
      <c r="X6796">
        <v>0.90036649999999996</v>
      </c>
      <c r="Y6796">
        <v>-0.17204800000000001</v>
      </c>
      <c r="Z6796">
        <v>2.2855879999999999E-2</v>
      </c>
      <c r="AA6796">
        <v>0.98482340000000002</v>
      </c>
      <c r="AB6796">
        <v>34</v>
      </c>
      <c r="AC6796">
        <v>10.132</v>
      </c>
      <c r="AD6796">
        <v>-1.1176847975951001</v>
      </c>
      <c r="AE6796">
        <v>0.48769999999999603</v>
      </c>
      <c r="AF6796">
        <v>-1.7685124157496701</v>
      </c>
      <c r="AG6796">
        <v>-1.1176847975951001</v>
      </c>
      <c r="AH6796">
        <v>9.8647845464754695</v>
      </c>
      <c r="AI6796">
        <v>96.363474294018104</v>
      </c>
      <c r="AJ6796">
        <v>100.163750658403</v>
      </c>
      <c r="AK6796">
        <v>10.084187107537</v>
      </c>
      <c r="AL6796">
        <v>68.083189974339106</v>
      </c>
      <c r="AM6796">
        <v>103.94958637628299</v>
      </c>
      <c r="AN6796">
        <v>1.0000000410671599</v>
      </c>
    </row>
    <row r="6797" spans="1:40" x14ac:dyDescent="0.25">
      <c r="A6797" t="str">
        <f>"20190304164257625"</f>
        <v>20190304164257625</v>
      </c>
      <c r="B6797" t="str">
        <f>"1551688977617573"</f>
        <v>1551688977617573</v>
      </c>
      <c r="C6797" t="s">
        <v>40</v>
      </c>
      <c r="D6797">
        <v>4.6323619999999996</v>
      </c>
      <c r="E6797">
        <v>0.529632199999999</v>
      </c>
      <c r="F6797" t="s">
        <v>42</v>
      </c>
      <c r="G6797">
        <v>-263.77870000000001</v>
      </c>
      <c r="H6797" s="1">
        <v>-7.2224549999999897E-7</v>
      </c>
      <c r="I6797">
        <v>-60.744160000000001</v>
      </c>
      <c r="J6797">
        <v>-273.91809999999998</v>
      </c>
      <c r="K6797">
        <v>1.1175360000000001</v>
      </c>
      <c r="L6797">
        <v>-61.247039999999998</v>
      </c>
      <c r="M6797">
        <v>0.99212409999999995</v>
      </c>
      <c r="N6797">
        <v>-8.5128679999999998E-3</v>
      </c>
      <c r="O6797">
        <v>-0.1249695</v>
      </c>
      <c r="P6797">
        <v>0.92353549999999995</v>
      </c>
      <c r="Q6797">
        <v>0.3702105</v>
      </c>
      <c r="R6797">
        <v>0.10013229999999999</v>
      </c>
      <c r="S6797">
        <v>3.3768310000000001</v>
      </c>
      <c r="T6797">
        <v>-0.36607020000000001</v>
      </c>
      <c r="U6797">
        <v>0.15841669999999999</v>
      </c>
      <c r="V6797">
        <v>-0.22194659999999999</v>
      </c>
      <c r="W6797">
        <v>0.3737183</v>
      </c>
      <c r="X6797">
        <v>0.90059669999999903</v>
      </c>
      <c r="Y6797">
        <v>-0.16964079999999901</v>
      </c>
      <c r="Z6797">
        <v>2.2310030000000002E-2</v>
      </c>
      <c r="AA6797">
        <v>0.98525339999999995</v>
      </c>
      <c r="AB6797">
        <v>34</v>
      </c>
      <c r="AC6797">
        <v>10.139399999999901</v>
      </c>
      <c r="AD6797">
        <v>-1.1175367222454999</v>
      </c>
      <c r="AE6797">
        <v>0.50288000000000399</v>
      </c>
      <c r="AF6797">
        <v>-1.7449536394988301</v>
      </c>
      <c r="AG6797">
        <v>-1.1175367222454999</v>
      </c>
      <c r="AH6797">
        <v>9.8773660648787907</v>
      </c>
      <c r="AI6797">
        <v>96.3574420188516</v>
      </c>
      <c r="AJ6797">
        <v>100.018606294273</v>
      </c>
      <c r="AK6797">
        <v>10.092378902379</v>
      </c>
      <c r="AL6797">
        <v>68.054882803902899</v>
      </c>
      <c r="AM6797">
        <v>103.84432155569</v>
      </c>
      <c r="AN6797">
        <v>1.00000003852866</v>
      </c>
    </row>
    <row r="6798" spans="1:40" x14ac:dyDescent="0.25">
      <c r="A6798" t="str">
        <f>"20190304164257635"</f>
        <v>20190304164257635</v>
      </c>
      <c r="B6798" t="str">
        <f>"1551688977628309"</f>
        <v>1551688977628309</v>
      </c>
      <c r="C6798" t="s">
        <v>40</v>
      </c>
      <c r="D6798">
        <v>4.6505999999999998</v>
      </c>
      <c r="E6798">
        <v>0.52974469999999996</v>
      </c>
      <c r="F6798" t="s">
        <v>63</v>
      </c>
      <c r="G6798">
        <v>-263.60989999999998</v>
      </c>
      <c r="H6798" s="1">
        <v>-6.5071479999999998E-7</v>
      </c>
      <c r="I6798">
        <v>-60.747540000000001</v>
      </c>
      <c r="J6798">
        <v>-273.75639999999999</v>
      </c>
      <c r="K6798">
        <v>1.1173879999999901</v>
      </c>
      <c r="L6798">
        <v>-61.264470000000003</v>
      </c>
      <c r="M6798">
        <v>0.99257399999999996</v>
      </c>
      <c r="N6798">
        <v>-8.4993859999999994E-3</v>
      </c>
      <c r="O6798">
        <v>-0.1213457</v>
      </c>
      <c r="P6798">
        <v>0.92321679999999995</v>
      </c>
      <c r="Q6798">
        <v>0.37052750000000001</v>
      </c>
      <c r="R6798">
        <v>0.10188419999999999</v>
      </c>
      <c r="S6798">
        <v>3.3774109999999999</v>
      </c>
      <c r="T6798">
        <v>-0.36615360000000002</v>
      </c>
      <c r="U6798">
        <v>0.16363529999999901</v>
      </c>
      <c r="V6798">
        <v>-0.22021650000000001</v>
      </c>
      <c r="W6798">
        <v>0.37413489999999999</v>
      </c>
      <c r="X6798">
        <v>0.90084839999999999</v>
      </c>
      <c r="Y6798">
        <v>-0.16758429999999999</v>
      </c>
      <c r="Z6798">
        <v>2.1832580000000001E-2</v>
      </c>
      <c r="AA6798">
        <v>0.98561600000000005</v>
      </c>
      <c r="AB6798">
        <v>35</v>
      </c>
      <c r="AC6798">
        <v>10.1465</v>
      </c>
      <c r="AD6798">
        <v>-1.1173886507148001</v>
      </c>
      <c r="AE6798">
        <v>0.516929999999995</v>
      </c>
      <c r="AF6798">
        <v>-1.72353994372984</v>
      </c>
      <c r="AG6798">
        <v>-1.1173886507148001</v>
      </c>
      <c r="AH6798">
        <v>9.8891639088279906</v>
      </c>
      <c r="AI6798">
        <v>96.351632742764295</v>
      </c>
      <c r="AJ6798">
        <v>99.8865309501778</v>
      </c>
      <c r="AK6798">
        <v>10.1002331730532</v>
      </c>
      <c r="AL6798">
        <v>68.029146341074394</v>
      </c>
      <c r="AM6798">
        <v>103.736815249131</v>
      </c>
      <c r="AN6798">
        <v>1.0000000350264</v>
      </c>
    </row>
    <row r="6799" spans="1:40" x14ac:dyDescent="0.25">
      <c r="A6799" t="str">
        <f>"20190304164257646"</f>
        <v>20190304164257646</v>
      </c>
      <c r="B6799" t="str">
        <f>"1551688977638069"</f>
        <v>1551688977638069</v>
      </c>
      <c r="C6799" t="s">
        <v>40</v>
      </c>
      <c r="D6799">
        <v>4.638077</v>
      </c>
      <c r="E6799">
        <v>0.52988859999999904</v>
      </c>
      <c r="F6799" t="s">
        <v>42</v>
      </c>
      <c r="G6799">
        <v>-263.4828</v>
      </c>
      <c r="H6799" s="1">
        <v>-5.9746819999999899E-7</v>
      </c>
      <c r="I6799">
        <v>-60.752400000000002</v>
      </c>
      <c r="J6799">
        <v>-273.59350000000001</v>
      </c>
      <c r="K6799">
        <v>1.1172340000000001</v>
      </c>
      <c r="L6799">
        <v>-61.281619999999997</v>
      </c>
      <c r="M6799">
        <v>0.99300279999999996</v>
      </c>
      <c r="N6799">
        <v>-8.4859259999999995E-3</v>
      </c>
      <c r="O6799">
        <v>-0.1177856</v>
      </c>
      <c r="P6799">
        <v>0.92288689999999995</v>
      </c>
      <c r="Q6799">
        <v>0.37102800000000002</v>
      </c>
      <c r="R6799">
        <v>0.1030428</v>
      </c>
      <c r="S6799">
        <v>3.3783569999999998</v>
      </c>
      <c r="T6799">
        <v>-0.36743920000000002</v>
      </c>
      <c r="U6799">
        <v>0.1683655</v>
      </c>
      <c r="V6799">
        <v>-0.21795300000000001</v>
      </c>
      <c r="W6799">
        <v>0.37474859999999999</v>
      </c>
      <c r="X6799">
        <v>0.90114369999999999</v>
      </c>
      <c r="Y6799">
        <v>-0.16543359999999999</v>
      </c>
      <c r="Z6799">
        <v>2.142405E-2</v>
      </c>
      <c r="AA6799">
        <v>0.98598819999999998</v>
      </c>
      <c r="AB6799">
        <v>35</v>
      </c>
      <c r="AC6799">
        <v>10.1107</v>
      </c>
      <c r="AD6799">
        <v>-1.1172345974681901</v>
      </c>
      <c r="AE6799">
        <v>0.52921999999999503</v>
      </c>
      <c r="AF6799">
        <v>-1.6958236561576701</v>
      </c>
      <c r="AG6799">
        <v>-1.1172345974681901</v>
      </c>
      <c r="AH6799">
        <v>9.8579385852865098</v>
      </c>
      <c r="AI6799">
        <v>96.373115831962707</v>
      </c>
      <c r="AJ6799">
        <v>99.760838946528693</v>
      </c>
      <c r="AK6799">
        <v>10.064938358968901</v>
      </c>
      <c r="AL6799">
        <v>67.991224263277104</v>
      </c>
      <c r="AM6799">
        <v>103.59659993349101</v>
      </c>
      <c r="AN6799">
        <v>0.99999999573032405</v>
      </c>
    </row>
    <row r="6800" spans="1:40" x14ac:dyDescent="0.25">
      <c r="A6800" t="str">
        <f>"20190304164257658"</f>
        <v>20190304164257658</v>
      </c>
      <c r="B6800" t="str">
        <f>"1551688977647829"</f>
        <v>1551688977647829</v>
      </c>
      <c r="C6800" t="s">
        <v>40</v>
      </c>
      <c r="D6800">
        <v>4.6176570000000003</v>
      </c>
      <c r="E6800">
        <v>0.53007919999999997</v>
      </c>
      <c r="F6800" t="s">
        <v>42</v>
      </c>
      <c r="G6800">
        <v>-263.31060000000002</v>
      </c>
      <c r="H6800" s="1">
        <v>-5.2539210000000002E-7</v>
      </c>
      <c r="I6800">
        <v>-60.759070000000001</v>
      </c>
      <c r="J6800">
        <v>-273.4083</v>
      </c>
      <c r="K6800">
        <v>1.117051</v>
      </c>
      <c r="L6800">
        <v>-61.30048</v>
      </c>
      <c r="M6800">
        <v>0.99346020000000002</v>
      </c>
      <c r="N6800">
        <v>-8.4705049999999997E-3</v>
      </c>
      <c r="O6800">
        <v>-0.1138637</v>
      </c>
      <c r="P6800">
        <v>0.92286840000000003</v>
      </c>
      <c r="Q6800">
        <v>0.3706892</v>
      </c>
      <c r="R6800">
        <v>0.1044194</v>
      </c>
      <c r="S6800">
        <v>3.379089</v>
      </c>
      <c r="T6800">
        <v>-0.3671354</v>
      </c>
      <c r="U6800">
        <v>0.17169189999999901</v>
      </c>
      <c r="V6800">
        <v>-0.21557029999999999</v>
      </c>
      <c r="W6800">
        <v>0.37453940000000002</v>
      </c>
      <c r="X6800">
        <v>0.90180360000000004</v>
      </c>
      <c r="Y6800">
        <v>-0.1625385</v>
      </c>
      <c r="Z6800">
        <v>2.0842920000000001E-2</v>
      </c>
      <c r="AA6800">
        <v>0.98648199999999997</v>
      </c>
      <c r="AB6800">
        <v>35</v>
      </c>
      <c r="AC6800">
        <v>10.0976999999999</v>
      </c>
      <c r="AD6800">
        <v>-1.1170515253921001</v>
      </c>
      <c r="AE6800">
        <v>0.54141000000001305</v>
      </c>
      <c r="AF6800">
        <v>-1.66734537390347</v>
      </c>
      <c r="AG6800">
        <v>-1.1170515253921001</v>
      </c>
      <c r="AH6800">
        <v>9.8501760812463992</v>
      </c>
      <c r="AI6800">
        <v>96.379950821526094</v>
      </c>
      <c r="AJ6800">
        <v>99.607423633356404</v>
      </c>
      <c r="AK6800">
        <v>10.0525525881647</v>
      </c>
      <c r="AL6800">
        <v>68.004152760481702</v>
      </c>
      <c r="AM6800">
        <v>103.443904056205</v>
      </c>
      <c r="AN6800">
        <v>1.0000000246837</v>
      </c>
    </row>
    <row r="6801" spans="1:40" x14ac:dyDescent="0.25">
      <c r="A6801" t="str">
        <f>"20190304164257669"</f>
        <v>20190304164257669</v>
      </c>
      <c r="B6801" t="str">
        <f>"1551688977657589"</f>
        <v>1551688977657589</v>
      </c>
      <c r="C6801" t="s">
        <v>40</v>
      </c>
      <c r="D6801">
        <v>4.6355719999999998</v>
      </c>
      <c r="E6801">
        <v>0.5302346</v>
      </c>
      <c r="F6801" t="s">
        <v>42</v>
      </c>
      <c r="G6801">
        <v>-263.20159999999998</v>
      </c>
      <c r="H6801" s="1">
        <v>-4.8094440000000004E-7</v>
      </c>
      <c r="I6801">
        <v>-60.767740000000003</v>
      </c>
      <c r="J6801">
        <v>-273.2509</v>
      </c>
      <c r="K6801">
        <v>1.1168800000000001</v>
      </c>
      <c r="L6801">
        <v>-61.315919999999998</v>
      </c>
      <c r="M6801">
        <v>0.99381969999999997</v>
      </c>
      <c r="N6801">
        <v>-8.4566190000000003E-3</v>
      </c>
      <c r="O6801">
        <v>-0.110684</v>
      </c>
      <c r="P6801">
        <v>0.92306540000000004</v>
      </c>
      <c r="Q6801">
        <v>0.37012400000000001</v>
      </c>
      <c r="R6801">
        <v>0.104684</v>
      </c>
      <c r="S6801">
        <v>3.3793329999999999</v>
      </c>
      <c r="T6801">
        <v>-0.3698457</v>
      </c>
      <c r="U6801">
        <v>0.17636109999999999</v>
      </c>
      <c r="V6801">
        <v>-0.2127926</v>
      </c>
      <c r="W6801">
        <v>0.3741044</v>
      </c>
      <c r="X6801">
        <v>0.90264350000000004</v>
      </c>
      <c r="Y6801">
        <v>-0.16074150000000001</v>
      </c>
      <c r="Z6801">
        <v>2.0572150000000001E-2</v>
      </c>
      <c r="AA6801">
        <v>0.9867821</v>
      </c>
      <c r="AB6801">
        <v>35</v>
      </c>
      <c r="AC6801">
        <v>10.049300000000001</v>
      </c>
      <c r="AD6801">
        <v>-1.11688048094439</v>
      </c>
      <c r="AE6801">
        <v>0.548179999999995</v>
      </c>
      <c r="AF6801">
        <v>-1.6369877193501401</v>
      </c>
      <c r="AG6801">
        <v>-1.11688048094439</v>
      </c>
      <c r="AH6801">
        <v>9.8061053171173995</v>
      </c>
      <c r="AI6801">
        <v>96.409838684877499</v>
      </c>
      <c r="AJ6801">
        <v>99.477311825885707</v>
      </c>
      <c r="AK6801">
        <v>10.004341672114901</v>
      </c>
      <c r="AL6801">
        <v>68.031030828141297</v>
      </c>
      <c r="AM6801">
        <v>103.26493024064899</v>
      </c>
      <c r="AN6801">
        <v>1.0000000404031799</v>
      </c>
    </row>
    <row r="6802" spans="1:40" x14ac:dyDescent="0.25">
      <c r="A6802" t="str">
        <f>"20190304164257681"</f>
        <v>20190304164257681</v>
      </c>
      <c r="B6802" t="str">
        <f>"1551688977678085"</f>
        <v>1551688977678085</v>
      </c>
      <c r="C6802" t="s">
        <v>40</v>
      </c>
      <c r="D6802">
        <v>4.5375750000000004</v>
      </c>
      <c r="E6802">
        <v>0.53021850000000004</v>
      </c>
      <c r="F6802" t="s">
        <v>42</v>
      </c>
      <c r="G6802">
        <v>-263.13819999999998</v>
      </c>
      <c r="H6802" s="1">
        <v>-4.5804640000000002E-7</v>
      </c>
      <c r="I6802">
        <v>-60.783920000000002</v>
      </c>
      <c r="J6802">
        <v>-273.06619999999998</v>
      </c>
      <c r="K6802">
        <v>1.1166689999999999</v>
      </c>
      <c r="L6802">
        <v>-61.333710000000004</v>
      </c>
      <c r="M6802">
        <v>0.99421930000000003</v>
      </c>
      <c r="N6802">
        <v>-8.4408729999999998E-3</v>
      </c>
      <c r="O6802">
        <v>-0.1070364</v>
      </c>
      <c r="P6802">
        <v>0.92312590000000005</v>
      </c>
      <c r="Q6802">
        <v>0.36968709999999999</v>
      </c>
      <c r="R6802">
        <v>0.1056889</v>
      </c>
      <c r="S6802">
        <v>3.379578</v>
      </c>
      <c r="T6802">
        <v>-0.3732531</v>
      </c>
      <c r="U6802">
        <v>0.177764899999999</v>
      </c>
      <c r="V6802">
        <v>-0.21027650000000001</v>
      </c>
      <c r="W6802">
        <v>0.37380580000000002</v>
      </c>
      <c r="X6802">
        <v>0.90335650000000001</v>
      </c>
      <c r="Y6802">
        <v>-0.15753519999999999</v>
      </c>
      <c r="Z6802">
        <v>2.0202419999999999E-2</v>
      </c>
      <c r="AA6802">
        <v>0.98730669999999998</v>
      </c>
      <c r="AB6802">
        <v>35</v>
      </c>
      <c r="AC6802">
        <v>9.9279999999999902</v>
      </c>
      <c r="AD6802">
        <v>-1.1166694580464001</v>
      </c>
      <c r="AE6802">
        <v>0.549790000000001</v>
      </c>
      <c r="AF6802">
        <v>-1.58928191931034</v>
      </c>
      <c r="AG6802">
        <v>-1.1166694580464001</v>
      </c>
      <c r="AH6802">
        <v>9.6898985804618896</v>
      </c>
      <c r="AI6802">
        <v>96.487868738728807</v>
      </c>
      <c r="AJ6802">
        <v>99.314396700254804</v>
      </c>
      <c r="AK6802">
        <v>9.8826566366143602</v>
      </c>
      <c r="AL6802">
        <v>68.049476202966204</v>
      </c>
      <c r="AM6802">
        <v>103.10354123415701</v>
      </c>
      <c r="AN6802">
        <v>0.99999997432906895</v>
      </c>
    </row>
    <row r="6803" spans="1:40" x14ac:dyDescent="0.25">
      <c r="A6803" t="str">
        <f>"20190304164257692"</f>
        <v>20190304164257692</v>
      </c>
      <c r="B6803" t="str">
        <f>"1551688977687844"</f>
        <v>1551688977687844</v>
      </c>
      <c r="C6803" t="s">
        <v>40</v>
      </c>
      <c r="D6803">
        <v>4.6183940000000003</v>
      </c>
      <c r="E6803">
        <v>0.53021850000000004</v>
      </c>
      <c r="F6803" t="s">
        <v>42</v>
      </c>
      <c r="G6803">
        <v>-263.01299999999998</v>
      </c>
      <c r="H6803" s="1">
        <v>-4.0557790000000001E-7</v>
      </c>
      <c r="I6803">
        <v>-60.788620000000002</v>
      </c>
      <c r="J6803">
        <v>-272.88839999999999</v>
      </c>
      <c r="K6803">
        <v>1.116444</v>
      </c>
      <c r="L6803">
        <v>-61.350070000000002</v>
      </c>
      <c r="M6803">
        <v>0.99456469999999997</v>
      </c>
      <c r="N6803">
        <v>-8.423659E-3</v>
      </c>
      <c r="O6803">
        <v>-0.1037806</v>
      </c>
      <c r="P6803">
        <v>0.92333569999999998</v>
      </c>
      <c r="Q6803">
        <v>0.36896709999999999</v>
      </c>
      <c r="R6803">
        <v>0.1063704</v>
      </c>
      <c r="S6803">
        <v>3.3791500000000001</v>
      </c>
      <c r="T6803">
        <v>-0.37534060000000002</v>
      </c>
      <c r="U6803">
        <v>0.183197</v>
      </c>
      <c r="V6803">
        <v>-0.20778959999999999</v>
      </c>
      <c r="W6803">
        <v>0.37323030000000001</v>
      </c>
      <c r="X6803">
        <v>0.90416960000000002</v>
      </c>
      <c r="Y6803">
        <v>-0.15590119999999999</v>
      </c>
      <c r="Z6803">
        <v>1.9889420000000001E-2</v>
      </c>
      <c r="AA6803">
        <v>0.98757240000000002</v>
      </c>
      <c r="AB6803">
        <v>35</v>
      </c>
      <c r="AC6803">
        <v>9.8754000000000097</v>
      </c>
      <c r="AD6803">
        <v>-1.1164444055778999</v>
      </c>
      <c r="AE6803">
        <v>0.56145</v>
      </c>
      <c r="AF6803">
        <v>-1.56341163258001</v>
      </c>
      <c r="AG6803">
        <v>-1.1164444055778999</v>
      </c>
      <c r="AH6803">
        <v>9.64097718938174</v>
      </c>
      <c r="AI6803">
        <v>96.521105506391905</v>
      </c>
      <c r="AJ6803">
        <v>99.211084020104593</v>
      </c>
      <c r="AK6803">
        <v>9.8305211057100994</v>
      </c>
      <c r="AL6803">
        <v>68.085023731906404</v>
      </c>
      <c r="AM6803">
        <v>102.942568338119</v>
      </c>
      <c r="AN6803">
        <v>1.0000000201352</v>
      </c>
    </row>
    <row r="6804" spans="1:40" x14ac:dyDescent="0.25">
      <c r="A6804" t="str">
        <f>"20190304164257704"</f>
        <v>20190304164257704</v>
      </c>
      <c r="B6804" t="str">
        <f>"1551688977697605"</f>
        <v>1551688977697605</v>
      </c>
      <c r="C6804" t="s">
        <v>40</v>
      </c>
      <c r="D6804">
        <v>4.5978919999999999</v>
      </c>
      <c r="E6804">
        <v>0.53377469999999905</v>
      </c>
      <c r="F6804" t="s">
        <v>42</v>
      </c>
      <c r="G6804">
        <v>-262.90929999999997</v>
      </c>
      <c r="H6804" s="1">
        <v>-3.6417159999999999E-7</v>
      </c>
      <c r="I6804">
        <v>-60.800089999999997</v>
      </c>
      <c r="J6804">
        <v>-272.71940000000001</v>
      </c>
      <c r="K6804">
        <v>1.1162270000000001</v>
      </c>
      <c r="L6804">
        <v>-61.365419999999901</v>
      </c>
      <c r="M6804">
        <v>0.99487610000000004</v>
      </c>
      <c r="N6804">
        <v>-8.4081179999999991E-3</v>
      </c>
      <c r="O6804">
        <v>-0.1007511</v>
      </c>
      <c r="P6804">
        <v>0.92332559999999997</v>
      </c>
      <c r="Q6804">
        <v>0.36864849999999999</v>
      </c>
      <c r="R6804">
        <v>0.107555</v>
      </c>
      <c r="S6804">
        <v>3.3787229999999999</v>
      </c>
      <c r="T6804">
        <v>-0.37800810000000001</v>
      </c>
      <c r="U6804">
        <v>0.18618770000000001</v>
      </c>
      <c r="V6804">
        <v>-0.20599729999999999</v>
      </c>
      <c r="W6804">
        <v>0.3730388</v>
      </c>
      <c r="X6804">
        <v>0.90465859999999998</v>
      </c>
      <c r="Y6804">
        <v>-0.153779</v>
      </c>
      <c r="Z6804">
        <v>1.9595560000000001E-2</v>
      </c>
      <c r="AA6804">
        <v>0.98791090000000004</v>
      </c>
      <c r="AB6804">
        <v>35</v>
      </c>
      <c r="AC6804">
        <v>9.8101000000000305</v>
      </c>
      <c r="AD6804">
        <v>-1.1162273641716001</v>
      </c>
      <c r="AE6804">
        <v>0.56532999999998801</v>
      </c>
      <c r="AF6804">
        <v>-1.5311093701004801</v>
      </c>
      <c r="AG6804">
        <v>-1.1162273641716001</v>
      </c>
      <c r="AH6804">
        <v>9.5796061236884196</v>
      </c>
      <c r="AI6804">
        <v>96.563636323251501</v>
      </c>
      <c r="AJ6804">
        <v>99.0807848987032</v>
      </c>
      <c r="AK6804">
        <v>9.7651990720488495</v>
      </c>
      <c r="AL6804">
        <v>68.096849724933804</v>
      </c>
      <c r="AM6804">
        <v>102.827936029691</v>
      </c>
      <c r="AN6804">
        <v>1.00000000823334</v>
      </c>
    </row>
    <row r="6805" spans="1:40" x14ac:dyDescent="0.25">
      <c r="A6805" t="str">
        <f>"20190304164257715"</f>
        <v>20190304164257715</v>
      </c>
      <c r="B6805" t="str">
        <f>"1551688977708341"</f>
        <v>1551688977708341</v>
      </c>
      <c r="C6805" t="s">
        <v>40</v>
      </c>
      <c r="D6805">
        <v>4.561922</v>
      </c>
      <c r="E6805">
        <v>0.53320040000000002</v>
      </c>
      <c r="F6805" t="s">
        <v>63</v>
      </c>
      <c r="G6805">
        <v>-263.42430000000002</v>
      </c>
      <c r="H6805" s="1">
        <v>-6.1627609999999899E-7</v>
      </c>
      <c r="I6805">
        <v>-60.917290000000001</v>
      </c>
      <c r="J6805">
        <v>-272.54320000000001</v>
      </c>
      <c r="K6805">
        <v>1.1159749999999999</v>
      </c>
      <c r="L6805">
        <v>-61.380800000000001</v>
      </c>
      <c r="M6805">
        <v>0.99516579999999999</v>
      </c>
      <c r="N6805">
        <v>-8.3903250000000006E-3</v>
      </c>
      <c r="O6805">
        <v>-9.785104E-2</v>
      </c>
      <c r="P6805">
        <v>0.92321569999999997</v>
      </c>
      <c r="Q6805">
        <v>0.36865330000000002</v>
      </c>
      <c r="R6805">
        <v>0.1084783</v>
      </c>
      <c r="S6805">
        <v>3.3927309999999999</v>
      </c>
      <c r="T6805">
        <v>-0.40742479999999998</v>
      </c>
      <c r="U6805">
        <v>0.16354369999999999</v>
      </c>
      <c r="V6805">
        <v>-0.20402899999999999</v>
      </c>
      <c r="W6805">
        <v>0.37318400000000002</v>
      </c>
      <c r="X6805">
        <v>0.90504470000000004</v>
      </c>
      <c r="Y6805">
        <v>-0.14394660000000001</v>
      </c>
      <c r="Z6805">
        <v>2.009012E-2</v>
      </c>
      <c r="AA6805">
        <v>0.98938150000000002</v>
      </c>
      <c r="AB6805">
        <v>35</v>
      </c>
      <c r="AC6805">
        <v>9.1188999999999893</v>
      </c>
      <c r="AD6805">
        <v>-1.1159756162761001</v>
      </c>
      <c r="AE6805">
        <v>0.46350999999999898</v>
      </c>
      <c r="AF6805">
        <v>-1.3336875156447401</v>
      </c>
      <c r="AG6805">
        <v>-1.1159756162761001</v>
      </c>
      <c r="AH6805">
        <v>8.8968744401139794</v>
      </c>
      <c r="AI6805">
        <v>97.071333608011699</v>
      </c>
      <c r="AJ6805">
        <v>98.525451991121997</v>
      </c>
      <c r="AK6805">
        <v>9.0652357260395</v>
      </c>
      <c r="AL6805">
        <v>68.087883116425303</v>
      </c>
      <c r="AM6805">
        <v>102.70411892717701</v>
      </c>
      <c r="AN6805">
        <v>1.0000000198475401</v>
      </c>
    </row>
    <row r="6806" spans="1:40" x14ac:dyDescent="0.25">
      <c r="A6806" t="str">
        <f>"20190304164257726"</f>
        <v>20190304164257726</v>
      </c>
      <c r="B6806" t="str">
        <f>"1551688977718101"</f>
        <v>1551688977718101</v>
      </c>
      <c r="C6806" t="s">
        <v>40</v>
      </c>
      <c r="D6806">
        <v>4.5842070000000001</v>
      </c>
      <c r="E6806">
        <v>0.53344320000000001</v>
      </c>
      <c r="F6806" t="s">
        <v>42</v>
      </c>
      <c r="G6806">
        <v>-263.17149999999998</v>
      </c>
      <c r="H6806" s="1">
        <v>-5.0621600000000004E-7</v>
      </c>
      <c r="I6806">
        <v>-60.911250000000003</v>
      </c>
      <c r="J6806">
        <v>-272.36970000000002</v>
      </c>
      <c r="K6806">
        <v>1.1157239999999999</v>
      </c>
      <c r="L6806">
        <v>-61.395719999999997</v>
      </c>
      <c r="M6806">
        <v>0.99543289999999995</v>
      </c>
      <c r="N6806">
        <v>-8.3737949999999998E-3</v>
      </c>
      <c r="O6806">
        <v>-9.5097009999999996E-2</v>
      </c>
      <c r="P6806">
        <v>0.92304379999999997</v>
      </c>
      <c r="Q6806">
        <v>0.36877470000000001</v>
      </c>
      <c r="R6806">
        <v>0.1095236</v>
      </c>
      <c r="S6806">
        <v>3.3907470000000002</v>
      </c>
      <c r="T6806">
        <v>-0.40376600000000001</v>
      </c>
      <c r="U6806">
        <v>0.16986080000000001</v>
      </c>
      <c r="V6806">
        <v>-0.20231089999999999</v>
      </c>
      <c r="W6806">
        <v>0.37343999999999999</v>
      </c>
      <c r="X6806">
        <v>0.90532469999999998</v>
      </c>
      <c r="Y6806">
        <v>-0.14312739999999999</v>
      </c>
      <c r="Z6806">
        <v>1.956571E-2</v>
      </c>
      <c r="AA6806">
        <v>0.98951080000000002</v>
      </c>
      <c r="AB6806">
        <v>35</v>
      </c>
      <c r="AC6806">
        <v>9.1982000000000408</v>
      </c>
      <c r="AD6806">
        <v>-1.1157245062159999</v>
      </c>
      <c r="AE6806">
        <v>0.48446999999999402</v>
      </c>
      <c r="AF6806">
        <v>-1.337403032149</v>
      </c>
      <c r="AG6806">
        <v>-1.1157245062159999</v>
      </c>
      <c r="AH6806">
        <v>8.97869742627676</v>
      </c>
      <c r="AI6806">
        <v>97.006940466451795</v>
      </c>
      <c r="AJ6806">
        <v>98.472082452560102</v>
      </c>
      <c r="AK6806">
        <v>9.1460644824318393</v>
      </c>
      <c r="AL6806">
        <v>68.072071295716796</v>
      </c>
      <c r="AM6806">
        <v>102.59679653187099</v>
      </c>
      <c r="AN6806">
        <v>0.99999997314444899</v>
      </c>
    </row>
    <row r="6807" spans="1:40" x14ac:dyDescent="0.25">
      <c r="A6807" t="str">
        <f>"20190304164257736"</f>
        <v>20190304164257736</v>
      </c>
      <c r="B6807" t="str">
        <f>"1551688977727862"</f>
        <v>1551688977727862</v>
      </c>
      <c r="C6807" t="s">
        <v>40</v>
      </c>
      <c r="D6807">
        <v>4.5993820000000003</v>
      </c>
      <c r="E6807">
        <v>0.53380490000000003</v>
      </c>
      <c r="F6807" t="s">
        <v>42</v>
      </c>
      <c r="G6807">
        <v>-263.00560000000002</v>
      </c>
      <c r="H6807" s="1">
        <v>-4.3882810000000001E-7</v>
      </c>
      <c r="I6807">
        <v>-60.925550000000001</v>
      </c>
      <c r="J6807">
        <v>-272.19929999999999</v>
      </c>
      <c r="K6807">
        <v>1.1154790000000001</v>
      </c>
      <c r="L6807">
        <v>-61.409939999999999</v>
      </c>
      <c r="M6807">
        <v>0.99567169999999905</v>
      </c>
      <c r="N6807">
        <v>-8.3579580000000004E-3</v>
      </c>
      <c r="O6807">
        <v>-9.2563640000000003E-2</v>
      </c>
      <c r="P6807">
        <v>0.92301420000000001</v>
      </c>
      <c r="Q6807">
        <v>0.3686643</v>
      </c>
      <c r="R6807">
        <v>0.11014500000000001</v>
      </c>
      <c r="S6807">
        <v>3.3913880000000001</v>
      </c>
      <c r="T6807">
        <v>-0.40407929999999997</v>
      </c>
      <c r="U6807">
        <v>0.17025760000000001</v>
      </c>
      <c r="V6807">
        <v>-0.20038320000000001</v>
      </c>
      <c r="W6807">
        <v>0.37346750000000001</v>
      </c>
      <c r="X6807">
        <v>0.90574200000000005</v>
      </c>
      <c r="Y6807">
        <v>-0.1407466</v>
      </c>
      <c r="Z6807">
        <v>1.914751E-2</v>
      </c>
      <c r="AA6807">
        <v>0.98986050000000003</v>
      </c>
      <c r="AB6807">
        <v>35</v>
      </c>
      <c r="AC6807">
        <v>9.1936999999999696</v>
      </c>
      <c r="AD6807">
        <v>-1.1154794388281</v>
      </c>
      <c r="AE6807">
        <v>0.48438999999999699</v>
      </c>
      <c r="AF6807">
        <v>-1.3140514798962399</v>
      </c>
      <c r="AG6807">
        <v>-1.1154794388281</v>
      </c>
      <c r="AH6807">
        <v>8.9775932356780892</v>
      </c>
      <c r="AI6807">
        <v>97.008859238241598</v>
      </c>
      <c r="AJ6807">
        <v>98.327258303900393</v>
      </c>
      <c r="AK6807">
        <v>9.1415647443727508</v>
      </c>
      <c r="AL6807">
        <v>68.070373056038406</v>
      </c>
      <c r="AM6807">
        <v>102.47497714439599</v>
      </c>
      <c r="AN6807">
        <v>0.99999998548124402</v>
      </c>
    </row>
    <row r="6808" spans="1:40" x14ac:dyDescent="0.25">
      <c r="A6808" t="str">
        <f>"20190304164257747"</f>
        <v>20190304164257747</v>
      </c>
      <c r="B6808" t="str">
        <f>"1551688977737620"</f>
        <v>1551688977737620</v>
      </c>
      <c r="C6808" t="s">
        <v>40</v>
      </c>
      <c r="D6808">
        <v>4.624568</v>
      </c>
      <c r="E6808">
        <v>0.5338948</v>
      </c>
      <c r="F6808" t="s">
        <v>42</v>
      </c>
      <c r="G6808">
        <v>-262.85059999999999</v>
      </c>
      <c r="H6808" s="1">
        <v>-3.7697400000000002E-7</v>
      </c>
      <c r="I6808">
        <v>-60.943010000000001</v>
      </c>
      <c r="J6808">
        <v>-272.04450000000003</v>
      </c>
      <c r="K6808">
        <v>1.115245</v>
      </c>
      <c r="L6808">
        <v>-61.422640000000001</v>
      </c>
      <c r="M6808">
        <v>0.99587060000000005</v>
      </c>
      <c r="N6808">
        <v>-8.3444409999999993E-3</v>
      </c>
      <c r="O6808">
        <v>-9.0400419999999995E-2</v>
      </c>
      <c r="P6808">
        <v>0.9231338</v>
      </c>
      <c r="Q6808">
        <v>0.36836429999999998</v>
      </c>
      <c r="R6808">
        <v>0.1101458</v>
      </c>
      <c r="S6808">
        <v>3.3916019999999998</v>
      </c>
      <c r="T6808">
        <v>-0.40467989999999998</v>
      </c>
      <c r="U6808">
        <v>0.16937260000000001</v>
      </c>
      <c r="V6808">
        <v>-0.1982025</v>
      </c>
      <c r="W6808">
        <v>0.37330069999999999</v>
      </c>
      <c r="X6808">
        <v>0.90629040000000005</v>
      </c>
      <c r="Y6808">
        <v>-0.1383617</v>
      </c>
      <c r="Z6808">
        <v>1.8785019999999999E-2</v>
      </c>
      <c r="AA6808">
        <v>0.99020359999999996</v>
      </c>
      <c r="AB6808">
        <v>35</v>
      </c>
      <c r="AC6808">
        <v>9.1939000000000402</v>
      </c>
      <c r="AD6808">
        <v>-1.1152453769740001</v>
      </c>
      <c r="AE6808">
        <v>0.47963</v>
      </c>
      <c r="AF6808">
        <v>-1.2898988097255399</v>
      </c>
      <c r="AG6808">
        <v>-1.1152453769740001</v>
      </c>
      <c r="AH6808">
        <v>8.9811002444443595</v>
      </c>
      <c r="AI6808">
        <v>97.007399439594593</v>
      </c>
      <c r="AJ6808">
        <v>98.1731395725255</v>
      </c>
      <c r="AK6808">
        <v>9.1415410512096802</v>
      </c>
      <c r="AL6808">
        <v>68.080674625806196</v>
      </c>
      <c r="AM6808">
        <v>102.336159582959</v>
      </c>
      <c r="AN6808">
        <v>0.99999996637944899</v>
      </c>
    </row>
    <row r="6809" spans="1:40" x14ac:dyDescent="0.25">
      <c r="A6809" t="str">
        <f>"20190304164257758"</f>
        <v>20190304164257758</v>
      </c>
      <c r="B6809" t="str">
        <f>"1551688977748357"</f>
        <v>1551688977748357</v>
      </c>
      <c r="C6809" t="s">
        <v>40</v>
      </c>
      <c r="D6809">
        <v>4.6200380000000001</v>
      </c>
      <c r="E6809">
        <v>0.53404719999999894</v>
      </c>
      <c r="F6809" t="s">
        <v>42</v>
      </c>
      <c r="G6809">
        <v>-262.755</v>
      </c>
      <c r="H6809" s="1">
        <v>-3.3973279999999998E-7</v>
      </c>
      <c r="I6809">
        <v>-60.957050000000002</v>
      </c>
      <c r="J6809">
        <v>-271.86369999999999</v>
      </c>
      <c r="K6809">
        <v>1.1149690000000001</v>
      </c>
      <c r="L6809">
        <v>-61.437159999999999</v>
      </c>
      <c r="M6809">
        <v>0.99608350000000001</v>
      </c>
      <c r="N6809">
        <v>-8.3296789999999996E-3</v>
      </c>
      <c r="O6809">
        <v>-8.8023690000000002E-2</v>
      </c>
      <c r="P6809">
        <v>0.92321370000000003</v>
      </c>
      <c r="Q6809">
        <v>0.3680291</v>
      </c>
      <c r="R6809">
        <v>0.1105942</v>
      </c>
      <c r="S6809">
        <v>3.392029</v>
      </c>
      <c r="T6809">
        <v>-0.40723039999999999</v>
      </c>
      <c r="U6809">
        <v>0.16998289999999999</v>
      </c>
      <c r="V6809">
        <v>-0.1962275</v>
      </c>
      <c r="W6809">
        <v>0.37311260000000002</v>
      </c>
      <c r="X6809">
        <v>0.90679750000000003</v>
      </c>
      <c r="Y6809">
        <v>-0.13618160000000001</v>
      </c>
      <c r="Z6809">
        <v>1.8498290000000001E-2</v>
      </c>
      <c r="AA6809">
        <v>0.99051120000000004</v>
      </c>
      <c r="AB6809">
        <v>35</v>
      </c>
      <c r="AC6809">
        <v>9.1087000000000007</v>
      </c>
      <c r="AD6809">
        <v>-1.1149693397328</v>
      </c>
      <c r="AE6809">
        <v>0.48010999999999598</v>
      </c>
      <c r="AF6809">
        <v>-1.26121052859434</v>
      </c>
      <c r="AG6809">
        <v>-1.1149693397328</v>
      </c>
      <c r="AH6809">
        <v>8.8981229414108896</v>
      </c>
      <c r="AI6809">
        <v>97.072198657081501</v>
      </c>
      <c r="AJ6809">
        <v>98.067305704284095</v>
      </c>
      <c r="AK6809">
        <v>9.0559593918283507</v>
      </c>
      <c r="AL6809">
        <v>68.092291485676697</v>
      </c>
      <c r="AM6809">
        <v>102.210318106377</v>
      </c>
      <c r="AN6809">
        <v>0.99999997502062898</v>
      </c>
    </row>
    <row r="6810" spans="1:40" x14ac:dyDescent="0.25">
      <c r="A6810" t="str">
        <f>"20190304164257769"</f>
        <v>20190304164257769</v>
      </c>
      <c r="B6810" t="str">
        <f>"1551688977758117"</f>
        <v>1551688977758117</v>
      </c>
      <c r="C6810" t="s">
        <v>40</v>
      </c>
      <c r="D6810">
        <v>4.6190089999999904</v>
      </c>
      <c r="E6810">
        <v>0.53414680000000003</v>
      </c>
      <c r="F6810" t="s">
        <v>63</v>
      </c>
      <c r="G6810">
        <v>-262.63310000000001</v>
      </c>
      <c r="H6810" s="1">
        <v>-2.9076349999999998E-7</v>
      </c>
      <c r="I6810">
        <v>-60.969499999999996</v>
      </c>
      <c r="J6810">
        <v>-271.70159999999998</v>
      </c>
      <c r="K6810">
        <v>1.1147100000000001</v>
      </c>
      <c r="L6810">
        <v>-61.449890000000003</v>
      </c>
      <c r="M6810">
        <v>0.99625160000000001</v>
      </c>
      <c r="N6810">
        <v>-8.3168749999999996E-3</v>
      </c>
      <c r="O6810">
        <v>-8.6103100000000002E-2</v>
      </c>
      <c r="P6810">
        <v>0.92323650000000002</v>
      </c>
      <c r="Q6810">
        <v>0.3679229</v>
      </c>
      <c r="R6810">
        <v>0.1107578</v>
      </c>
      <c r="S6810">
        <v>3.3922729999999999</v>
      </c>
      <c r="T6810">
        <v>-0.40975610000000001</v>
      </c>
      <c r="U6810">
        <v>0.17184449999999901</v>
      </c>
      <c r="V6810">
        <v>-0.1944005</v>
      </c>
      <c r="W6810">
        <v>0.37314150000000001</v>
      </c>
      <c r="X6810">
        <v>0.90717910000000002</v>
      </c>
      <c r="Y6810">
        <v>-0.13481360000000001</v>
      </c>
      <c r="Z6810">
        <v>1.8309329999999999E-2</v>
      </c>
      <c r="AA6810">
        <v>0.99070179999999997</v>
      </c>
      <c r="AB6810">
        <v>35</v>
      </c>
      <c r="AC6810">
        <v>9.06849999999997</v>
      </c>
      <c r="AD6810">
        <v>-1.1147102907635</v>
      </c>
      <c r="AE6810">
        <v>0.48039000000000698</v>
      </c>
      <c r="AF6810">
        <v>-1.2407637360551</v>
      </c>
      <c r="AG6810">
        <v>-1.1147102907635</v>
      </c>
      <c r="AH6810">
        <v>8.85995900668979</v>
      </c>
      <c r="AI6810">
        <v>97.102366237029202</v>
      </c>
      <c r="AJ6810">
        <v>97.971953780171503</v>
      </c>
      <c r="AK6810">
        <v>9.0155946715270492</v>
      </c>
      <c r="AL6810">
        <v>68.0905079291352</v>
      </c>
      <c r="AM6810">
        <v>102.095057709603</v>
      </c>
      <c r="AN6810">
        <v>1.00000002644965</v>
      </c>
    </row>
    <row r="6811" spans="1:40" x14ac:dyDescent="0.25">
      <c r="A6811" t="str">
        <f>"20190304164257781"</f>
        <v>20190304164257781</v>
      </c>
      <c r="B6811" t="str">
        <f>"1551688977777637"</f>
        <v>1551688977777637</v>
      </c>
      <c r="C6811" t="s">
        <v>40</v>
      </c>
      <c r="D6811">
        <v>4.675592</v>
      </c>
      <c r="E6811">
        <v>0.53448379999999995</v>
      </c>
      <c r="F6811" t="s">
        <v>42</v>
      </c>
      <c r="G6811">
        <v>-262.53550000000001</v>
      </c>
      <c r="H6811" s="1">
        <v>-2.5327110000000001E-7</v>
      </c>
      <c r="I6811">
        <v>-60.986049999999999</v>
      </c>
      <c r="J6811">
        <v>-271.51609999999999</v>
      </c>
      <c r="K6811">
        <v>1.1144130000000001</v>
      </c>
      <c r="L6811">
        <v>-61.464289999999998</v>
      </c>
      <c r="M6811">
        <v>0.99643029999999999</v>
      </c>
      <c r="N6811">
        <v>-8.3032090000000006E-3</v>
      </c>
      <c r="O6811">
        <v>-8.4010000000000001E-2</v>
      </c>
      <c r="P6811">
        <v>0.92318690000000003</v>
      </c>
      <c r="Q6811">
        <v>0.3678515</v>
      </c>
      <c r="R6811">
        <v>0.11140559999999999</v>
      </c>
      <c r="S6811">
        <v>3.3932799999999999</v>
      </c>
      <c r="T6811">
        <v>-0.41266429999999998</v>
      </c>
      <c r="U6811">
        <v>0.17169189999999901</v>
      </c>
      <c r="V6811">
        <v>-0.1928542</v>
      </c>
      <c r="W6811">
        <v>0.37321749999999998</v>
      </c>
      <c r="X6811">
        <v>0.9074778</v>
      </c>
      <c r="Y6811">
        <v>-0.1326812</v>
      </c>
      <c r="Z6811">
        <v>1.806056E-2</v>
      </c>
      <c r="AA6811">
        <v>0.99099420000000005</v>
      </c>
      <c r="AB6811">
        <v>35</v>
      </c>
      <c r="AC6811">
        <v>8.9805999999999795</v>
      </c>
      <c r="AD6811">
        <v>-1.1144132532711</v>
      </c>
      <c r="AE6811">
        <v>0.47824000000000599</v>
      </c>
      <c r="AF6811">
        <v>-1.21241870800275</v>
      </c>
      <c r="AG6811">
        <v>-1.1144132532711</v>
      </c>
      <c r="AH6811">
        <v>8.7739476251383692</v>
      </c>
      <c r="AI6811">
        <v>97.171177549174203</v>
      </c>
      <c r="AJ6811">
        <v>97.867533058378797</v>
      </c>
      <c r="AK6811">
        <v>8.9271514466403303</v>
      </c>
      <c r="AL6811">
        <v>68.085813800779306</v>
      </c>
      <c r="AM6811">
        <v>101.997815566238</v>
      </c>
      <c r="AN6811">
        <v>1.0000000011283601</v>
      </c>
    </row>
    <row r="6812" spans="1:40" x14ac:dyDescent="0.25">
      <c r="A6812" t="str">
        <f>"20190304164257793"</f>
        <v>20190304164257793</v>
      </c>
      <c r="B6812" t="str">
        <f>"1551688977788373"</f>
        <v>1551688977788373</v>
      </c>
      <c r="C6812" t="s">
        <v>40</v>
      </c>
      <c r="D6812">
        <v>4.626169</v>
      </c>
      <c r="E6812">
        <v>0.53457549999999998</v>
      </c>
      <c r="F6812" t="s">
        <v>42</v>
      </c>
      <c r="G6812">
        <v>-262.39400000000001</v>
      </c>
      <c r="H6812" s="1">
        <v>-1.9760730000000001E-7</v>
      </c>
      <c r="I6812">
        <v>-61.004939999999998</v>
      </c>
      <c r="J6812">
        <v>-271.33319999999998</v>
      </c>
      <c r="K6812">
        <v>1.114107</v>
      </c>
      <c r="L6812">
        <v>-61.478209999999997</v>
      </c>
      <c r="M6812">
        <v>0.99657510000000005</v>
      </c>
      <c r="N6812">
        <v>-8.2899380000000002E-3</v>
      </c>
      <c r="O6812">
        <v>-8.2276829999999995E-2</v>
      </c>
      <c r="P6812">
        <v>0.92300400000000005</v>
      </c>
      <c r="Q6812">
        <v>0.36817660000000002</v>
      </c>
      <c r="R6812">
        <v>0.11184669999999999</v>
      </c>
      <c r="S6812">
        <v>3.3942260000000002</v>
      </c>
      <c r="T6812">
        <v>-0.41466049999999899</v>
      </c>
      <c r="U6812">
        <v>0.17089840000000001</v>
      </c>
      <c r="V6812">
        <v>-0.19141320000000001</v>
      </c>
      <c r="W6812">
        <v>0.37369039999999998</v>
      </c>
      <c r="X6812">
        <v>0.90758830000000001</v>
      </c>
      <c r="Y6812">
        <v>-0.1307246</v>
      </c>
      <c r="Z6812">
        <v>1.7819939999999999E-2</v>
      </c>
      <c r="AA6812">
        <v>0.99125859999999999</v>
      </c>
      <c r="AB6812">
        <v>35</v>
      </c>
      <c r="AC6812">
        <v>8.9391999999999694</v>
      </c>
      <c r="AD6812">
        <v>-1.1141071976073</v>
      </c>
      <c r="AE6812">
        <v>0.47326999999999197</v>
      </c>
      <c r="AF6812">
        <v>-1.1887659942433699</v>
      </c>
      <c r="AG6812">
        <v>-1.1141071976073</v>
      </c>
      <c r="AH6812">
        <v>8.7346526585259792</v>
      </c>
      <c r="AI6812">
        <v>97.203144626341896</v>
      </c>
      <c r="AJ6812">
        <v>97.750205695542306</v>
      </c>
      <c r="AK6812">
        <v>8.8853000231801307</v>
      </c>
      <c r="AL6812">
        <v>68.056605914629898</v>
      </c>
      <c r="AM6812">
        <v>101.90932925254199</v>
      </c>
      <c r="AN6812">
        <v>1.0000000252416399</v>
      </c>
    </row>
    <row r="6813" spans="1:40" x14ac:dyDescent="0.25">
      <c r="A6813" t="str">
        <f>"20190304164257803"</f>
        <v>20190304164257803</v>
      </c>
      <c r="B6813" t="str">
        <f>"1551688977798133"</f>
        <v>1551688977798133</v>
      </c>
      <c r="C6813" t="s">
        <v>40</v>
      </c>
      <c r="D6813">
        <v>4.6502850000000002</v>
      </c>
      <c r="E6813">
        <v>0.53467710000000002</v>
      </c>
      <c r="F6813" t="s">
        <v>42</v>
      </c>
      <c r="G6813">
        <v>-262.23090000000002</v>
      </c>
      <c r="H6813" s="1">
        <v>-1.31531399999999E-7</v>
      </c>
      <c r="I6813">
        <v>-61.019660000000002</v>
      </c>
      <c r="J6813">
        <v>-271.16129999999998</v>
      </c>
      <c r="K6813">
        <v>1.1138189999999999</v>
      </c>
      <c r="L6813">
        <v>-61.491210000000002</v>
      </c>
      <c r="M6813">
        <v>0.99670190000000003</v>
      </c>
      <c r="N6813">
        <v>-8.2785059999999997E-3</v>
      </c>
      <c r="O6813">
        <v>-8.0727359999999998E-2</v>
      </c>
      <c r="P6813">
        <v>0.92287249999999998</v>
      </c>
      <c r="Q6813">
        <v>0.36846590000000001</v>
      </c>
      <c r="R6813">
        <v>0.1119796</v>
      </c>
      <c r="S6813">
        <v>3.3952939999999998</v>
      </c>
      <c r="T6813">
        <v>-0.415576</v>
      </c>
      <c r="U6813">
        <v>0.17102049999999999</v>
      </c>
      <c r="V6813">
        <v>-0.1898513</v>
      </c>
      <c r="W6813">
        <v>0.37412250000000002</v>
      </c>
      <c r="X6813">
        <v>0.9077383</v>
      </c>
      <c r="Y6813">
        <v>-0.12921930000000001</v>
      </c>
      <c r="Z6813">
        <v>1.7580140000000001E-2</v>
      </c>
      <c r="AA6813">
        <v>0.99146020000000001</v>
      </c>
      <c r="AB6813">
        <v>35</v>
      </c>
      <c r="AC6813">
        <v>8.9303999999999597</v>
      </c>
      <c r="AD6813">
        <v>-1.1138191315313899</v>
      </c>
      <c r="AE6813">
        <v>0.47155000000000002</v>
      </c>
      <c r="AF6813">
        <v>-1.1727706774958599</v>
      </c>
      <c r="AG6813">
        <v>-1.1138191315313899</v>
      </c>
      <c r="AH6813">
        <v>8.7277940306364794</v>
      </c>
      <c r="AI6813">
        <v>97.208535843714003</v>
      </c>
      <c r="AJ6813">
        <v>97.653104133185295</v>
      </c>
      <c r="AK6813">
        <v>8.8763941305562408</v>
      </c>
      <c r="AL6813">
        <v>68.029911432728298</v>
      </c>
      <c r="AM6813">
        <v>101.81299580775899</v>
      </c>
      <c r="AN6813">
        <v>0.99999999120241401</v>
      </c>
    </row>
    <row r="6814" spans="1:40" x14ac:dyDescent="0.25">
      <c r="A6814" t="str">
        <f>"20190304164257815"</f>
        <v>20190304164257815</v>
      </c>
      <c r="B6814" t="str">
        <f>"1551688977807893"</f>
        <v>1551688977807893</v>
      </c>
      <c r="C6814" t="s">
        <v>40</v>
      </c>
      <c r="D6814">
        <v>4.6527209999999997</v>
      </c>
      <c r="E6814">
        <v>0.53467710000000002</v>
      </c>
      <c r="F6814" t="s">
        <v>42</v>
      </c>
      <c r="G6814">
        <v>-262.06330000000003</v>
      </c>
      <c r="H6814" s="1">
        <v>-6.3178389999999997E-8</v>
      </c>
      <c r="I6814">
        <v>-61.032890000000002</v>
      </c>
      <c r="J6814">
        <v>-270.97210000000001</v>
      </c>
      <c r="K6814">
        <v>1.113486</v>
      </c>
      <c r="L6814">
        <v>-61.505279999999999</v>
      </c>
      <c r="M6814">
        <v>0.99681430000000004</v>
      </c>
      <c r="N6814">
        <v>-8.2668489999999997E-3</v>
      </c>
      <c r="O6814">
        <v>-7.9329380000000005E-2</v>
      </c>
      <c r="P6814">
        <v>0.92281979999999997</v>
      </c>
      <c r="Q6814">
        <v>0.36864479999999999</v>
      </c>
      <c r="R6814">
        <v>0.11182590000000001</v>
      </c>
      <c r="S6814">
        <v>3.3959350000000001</v>
      </c>
      <c r="T6814">
        <v>-0.41574919999999999</v>
      </c>
      <c r="U6814">
        <v>0.17105100000000001</v>
      </c>
      <c r="V6814">
        <v>-0.18810859999999999</v>
      </c>
      <c r="W6814">
        <v>0.37446249999999998</v>
      </c>
      <c r="X6814">
        <v>0.90796089999999996</v>
      </c>
      <c r="Y6814">
        <v>-0.1278474</v>
      </c>
      <c r="Z6814">
        <v>1.7336379999999998E-2</v>
      </c>
      <c r="AA6814">
        <v>0.99164229999999998</v>
      </c>
      <c r="AB6814">
        <v>35</v>
      </c>
      <c r="AC6814">
        <v>8.9087999999999798</v>
      </c>
      <c r="AD6814">
        <v>-1.1134860631783901</v>
      </c>
      <c r="AE6814">
        <v>0.47239000000000397</v>
      </c>
      <c r="AF6814">
        <v>-1.15959068114727</v>
      </c>
      <c r="AG6814">
        <v>-1.1134860631783901</v>
      </c>
      <c r="AH6814">
        <v>8.70759895041504</v>
      </c>
      <c r="AI6814">
        <v>97.224069037014701</v>
      </c>
      <c r="AJ6814">
        <v>97.585446572593398</v>
      </c>
      <c r="AK6814">
        <v>8.8547603717980596</v>
      </c>
      <c r="AL6814">
        <v>68.008904104071107</v>
      </c>
      <c r="AM6814">
        <v>101.70477629330399</v>
      </c>
      <c r="AN6814">
        <v>1.0000000026145099</v>
      </c>
    </row>
    <row r="6815" spans="1:40" x14ac:dyDescent="0.25">
      <c r="A6815" t="str">
        <f>"20190304164257826"</f>
        <v>20190304164257826</v>
      </c>
      <c r="B6815" t="str">
        <f>"1551688977817655"</f>
        <v>1551688977817655</v>
      </c>
      <c r="C6815" t="s">
        <v>40</v>
      </c>
      <c r="D6815">
        <v>4.6003089999999904</v>
      </c>
      <c r="E6815">
        <v>0.53474359999999999</v>
      </c>
      <c r="F6815" t="s">
        <v>42</v>
      </c>
      <c r="G6815">
        <v>-261.86360000000002</v>
      </c>
      <c r="H6815" s="1">
        <v>1.8941709999999999E-8</v>
      </c>
      <c r="I6815">
        <v>-61.046190000000003</v>
      </c>
      <c r="J6815">
        <v>-270.8064</v>
      </c>
      <c r="K6815">
        <v>1.1131930000000001</v>
      </c>
      <c r="L6815">
        <v>-61.51755</v>
      </c>
      <c r="M6815">
        <v>0.9969015</v>
      </c>
      <c r="N6815">
        <v>-8.2577080000000008E-3</v>
      </c>
      <c r="O6815">
        <v>-7.8226850000000001E-2</v>
      </c>
      <c r="P6815">
        <v>0.92296869999999998</v>
      </c>
      <c r="Q6815">
        <v>0.36848039999999999</v>
      </c>
      <c r="R6815">
        <v>0.1111356</v>
      </c>
      <c r="S6815">
        <v>3.3959959999999998</v>
      </c>
      <c r="T6815">
        <v>-0.41515059999999898</v>
      </c>
      <c r="U6815">
        <v>0.17114260000000001</v>
      </c>
      <c r="V6815">
        <v>-0.18615370000000001</v>
      </c>
      <c r="W6815">
        <v>0.37444260000000001</v>
      </c>
      <c r="X6815">
        <v>0.90837190000000001</v>
      </c>
      <c r="Y6815">
        <v>-0.1267963</v>
      </c>
      <c r="Z6815">
        <v>1.7117980000000001E-2</v>
      </c>
      <c r="AA6815">
        <v>0.99178109999999997</v>
      </c>
      <c r="AB6815">
        <v>35</v>
      </c>
      <c r="AC6815">
        <v>8.9427999999999699</v>
      </c>
      <c r="AD6815">
        <v>-1.1131929810582899</v>
      </c>
      <c r="AE6815">
        <v>0.471359999999997</v>
      </c>
      <c r="AF6815">
        <v>-1.15170990705182</v>
      </c>
      <c r="AG6815">
        <v>-1.1131929810582899</v>
      </c>
      <c r="AH6815">
        <v>8.7434148322878507</v>
      </c>
      <c r="AI6815">
        <v>97.194254256739299</v>
      </c>
      <c r="AJ6815">
        <v>97.503977558287701</v>
      </c>
      <c r="AK6815">
        <v>8.8889221648380996</v>
      </c>
      <c r="AL6815">
        <v>68.010133337606803</v>
      </c>
      <c r="AM6815">
        <v>101.581340569361</v>
      </c>
      <c r="AN6815">
        <v>0.99999998471402896</v>
      </c>
    </row>
    <row r="6816" spans="1:40" x14ac:dyDescent="0.25">
      <c r="A6816" t="str">
        <f>"20190304164257836"</f>
        <v>20190304164257836</v>
      </c>
      <c r="B6816" t="str">
        <f>"1551688977828389"</f>
        <v>1551688977828389</v>
      </c>
      <c r="C6816" t="s">
        <v>40</v>
      </c>
      <c r="D6816">
        <v>4.6032199999999897</v>
      </c>
      <c r="E6816">
        <v>0.53482099999999999</v>
      </c>
      <c r="F6816" t="s">
        <v>42</v>
      </c>
      <c r="G6816">
        <v>-261.73180000000002</v>
      </c>
      <c r="H6816" s="1">
        <v>7.0294959999999996E-8</v>
      </c>
      <c r="I6816">
        <v>-61.065759999999997</v>
      </c>
      <c r="J6816">
        <v>-270.6447</v>
      </c>
      <c r="K6816">
        <v>1.112906</v>
      </c>
      <c r="L6816">
        <v>-61.52948</v>
      </c>
      <c r="M6816">
        <v>0.99697279999999999</v>
      </c>
      <c r="N6816">
        <v>-8.2496500000000007E-3</v>
      </c>
      <c r="O6816">
        <v>-7.7313069999999998E-2</v>
      </c>
      <c r="P6816">
        <v>0.92329700000000003</v>
      </c>
      <c r="Q6816">
        <v>0.3679499</v>
      </c>
      <c r="R6816">
        <v>0.1101616</v>
      </c>
      <c r="S6816">
        <v>3.3963619999999999</v>
      </c>
      <c r="T6816">
        <v>-0.41663670000000003</v>
      </c>
      <c r="U6816">
        <v>0.16906740000000001</v>
      </c>
      <c r="V6816">
        <v>-0.18410750000000001</v>
      </c>
      <c r="W6816">
        <v>0.37405260000000001</v>
      </c>
      <c r="X6816">
        <v>0.90894940000000002</v>
      </c>
      <c r="Y6816">
        <v>-0.1252848</v>
      </c>
      <c r="Z6816">
        <v>1.6975170000000001E-2</v>
      </c>
      <c r="AA6816">
        <v>0.99197559999999996</v>
      </c>
      <c r="AB6816">
        <v>35</v>
      </c>
      <c r="AC6816">
        <v>8.9128999999999792</v>
      </c>
      <c r="AD6816">
        <v>-1.1129059297050401</v>
      </c>
      <c r="AE6816">
        <v>0.46372000000000901</v>
      </c>
      <c r="AF6816">
        <v>-1.1338092978330601</v>
      </c>
      <c r="AG6816">
        <v>-1.1129059297050401</v>
      </c>
      <c r="AH6816">
        <v>8.71485974423992</v>
      </c>
      <c r="AI6816">
        <v>97.217228252020206</v>
      </c>
      <c r="AJ6816">
        <v>97.412585495768496</v>
      </c>
      <c r="AK6816">
        <v>8.8584910393361493</v>
      </c>
      <c r="AL6816">
        <v>68.034229366169996</v>
      </c>
      <c r="AM6816">
        <v>101.450336010135</v>
      </c>
      <c r="AN6816">
        <v>0.99999996544168401</v>
      </c>
    </row>
    <row r="6817" spans="1:40" x14ac:dyDescent="0.25">
      <c r="A6817" t="str">
        <f>"20190304164257847"</f>
        <v>20190304164257847</v>
      </c>
      <c r="B6817" t="str">
        <f>"1551688977838148"</f>
        <v>1551688977838148</v>
      </c>
      <c r="C6817" t="s">
        <v>40</v>
      </c>
      <c r="D6817">
        <v>4.661219</v>
      </c>
      <c r="E6817">
        <v>0.53498950000000001</v>
      </c>
      <c r="F6817" t="s">
        <v>42</v>
      </c>
      <c r="G6817">
        <v>-261.65120000000002</v>
      </c>
      <c r="H6817" s="1">
        <v>9.8241060000000005E-8</v>
      </c>
      <c r="I6817">
        <v>-61.090699999999998</v>
      </c>
      <c r="J6817">
        <v>-270.4699</v>
      </c>
      <c r="K6817">
        <v>1.112608</v>
      </c>
      <c r="L6817">
        <v>-61.542270000000002</v>
      </c>
      <c r="M6817">
        <v>0.99703719999999996</v>
      </c>
      <c r="N6817">
        <v>-8.2419219999999901E-3</v>
      </c>
      <c r="O6817">
        <v>-7.6478359999999995E-2</v>
      </c>
      <c r="P6817">
        <v>0.92359290000000005</v>
      </c>
      <c r="Q6817">
        <v>0.36755529999999997</v>
      </c>
      <c r="R6817">
        <v>0.1089917</v>
      </c>
      <c r="S6817">
        <v>3.396973</v>
      </c>
      <c r="T6817">
        <v>-0.42036249999999997</v>
      </c>
      <c r="U6817">
        <v>0.16571040000000001</v>
      </c>
      <c r="V6817">
        <v>-0.18192140000000001</v>
      </c>
      <c r="W6817">
        <v>0.37380400000000003</v>
      </c>
      <c r="X6817">
        <v>0.90949170000000001</v>
      </c>
      <c r="Y6817">
        <v>-0.1234611</v>
      </c>
      <c r="Z6817">
        <v>1.6908530000000001E-2</v>
      </c>
      <c r="AA6817">
        <v>0.99220529999999996</v>
      </c>
      <c r="AB6817">
        <v>35</v>
      </c>
      <c r="AC6817">
        <v>8.8186999999999696</v>
      </c>
      <c r="AD6817">
        <v>-1.1126079017589301</v>
      </c>
      <c r="AE6817">
        <v>0.45156999999999597</v>
      </c>
      <c r="AF6817">
        <v>-1.10713325819747</v>
      </c>
      <c r="AG6817">
        <v>-1.1126079017589301</v>
      </c>
      <c r="AH6817">
        <v>8.62146059538569</v>
      </c>
      <c r="AI6817">
        <v>97.294190094766705</v>
      </c>
      <c r="AJ6817">
        <v>97.317644429581904</v>
      </c>
      <c r="AK6817">
        <v>8.7631742646287503</v>
      </c>
      <c r="AL6817">
        <v>68.049587741323094</v>
      </c>
      <c r="AM6817">
        <v>101.311329317478</v>
      </c>
      <c r="AN6817">
        <v>0.99999998928142397</v>
      </c>
    </row>
    <row r="6818" spans="1:40" x14ac:dyDescent="0.25">
      <c r="A6818" t="str">
        <f>"20190304164257858"</f>
        <v>20190304164257858</v>
      </c>
      <c r="B6818" t="str">
        <f>"1551688977847910"</f>
        <v>1551688977847910</v>
      </c>
      <c r="C6818" t="s">
        <v>40</v>
      </c>
      <c r="D6818">
        <v>4.6744459999999997</v>
      </c>
      <c r="E6818">
        <v>0.53508279999999997</v>
      </c>
      <c r="F6818" t="s">
        <v>42</v>
      </c>
      <c r="G6818">
        <v>-261.5215</v>
      </c>
      <c r="H6818" s="1">
        <v>1.471837E-7</v>
      </c>
      <c r="I6818">
        <v>-61.115839999999999</v>
      </c>
      <c r="J6818">
        <v>-270.29250000000002</v>
      </c>
      <c r="K6818">
        <v>1.112311</v>
      </c>
      <c r="L6818">
        <v>-61.555269999999901</v>
      </c>
      <c r="M6818">
        <v>0.99709150000000002</v>
      </c>
      <c r="N6818">
        <v>-8.2348930000000001E-3</v>
      </c>
      <c r="O6818">
        <v>-7.5769230000000007E-2</v>
      </c>
      <c r="P6818">
        <v>0.92371309999999995</v>
      </c>
      <c r="Q6818">
        <v>0.36753180000000002</v>
      </c>
      <c r="R6818">
        <v>0.10804859999999999</v>
      </c>
      <c r="S6818">
        <v>3.397186</v>
      </c>
      <c r="T6818">
        <v>-0.4223944</v>
      </c>
      <c r="U6818">
        <v>0.16186519999999999</v>
      </c>
      <c r="V6818">
        <v>-0.1800667</v>
      </c>
      <c r="W6818">
        <v>0.37391990000000003</v>
      </c>
      <c r="X6818">
        <v>0.90981310000000004</v>
      </c>
      <c r="Y6818">
        <v>-0.121637</v>
      </c>
      <c r="Z6818">
        <v>1.6787299999999901E-2</v>
      </c>
      <c r="AA6818">
        <v>0.99243269999999995</v>
      </c>
      <c r="AB6818">
        <v>35</v>
      </c>
      <c r="AC6818">
        <v>8.7710000000000097</v>
      </c>
      <c r="AD6818">
        <v>-1.1123108528162999</v>
      </c>
      <c r="AE6818">
        <v>0.439429999999987</v>
      </c>
      <c r="AF6818">
        <v>-1.0853496337274999</v>
      </c>
      <c r="AG6818">
        <v>-1.1123108528162999</v>
      </c>
      <c r="AH6818">
        <v>8.5749274396194295</v>
      </c>
      <c r="AI6818">
        <v>97.333084149053605</v>
      </c>
      <c r="AJ6818">
        <v>97.213708177645998</v>
      </c>
      <c r="AK6818">
        <v>8.7146198916225597</v>
      </c>
      <c r="AL6818">
        <v>68.042428038922296</v>
      </c>
      <c r="AM6818">
        <v>101.195082577454</v>
      </c>
      <c r="AN6818">
        <v>0.999999992498255</v>
      </c>
    </row>
    <row r="6819" spans="1:40" x14ac:dyDescent="0.25">
      <c r="A6819" t="str">
        <f>"20190304164257870"</f>
        <v>20190304164257870</v>
      </c>
      <c r="B6819" t="str">
        <f>"1551688977857669"</f>
        <v>1551688977857669</v>
      </c>
      <c r="C6819" t="s">
        <v>40</v>
      </c>
      <c r="D6819">
        <v>4.6737929999999999</v>
      </c>
      <c r="E6819">
        <v>0.53521049999999903</v>
      </c>
      <c r="F6819" t="s">
        <v>42</v>
      </c>
      <c r="G6819">
        <v>-261.36970000000002</v>
      </c>
      <c r="H6819" s="1">
        <v>2.065876E-7</v>
      </c>
      <c r="I6819">
        <v>-61.137410000000003</v>
      </c>
      <c r="J6819">
        <v>-270.1155</v>
      </c>
      <c r="K6819">
        <v>1.112039</v>
      </c>
      <c r="L6819">
        <v>-61.568240000000003</v>
      </c>
      <c r="M6819">
        <v>0.99713039999999997</v>
      </c>
      <c r="N6819">
        <v>-8.2286200000000007E-3</v>
      </c>
      <c r="O6819">
        <v>-7.5256799999999999E-2</v>
      </c>
      <c r="P6819">
        <v>0.92381469999999999</v>
      </c>
      <c r="Q6819">
        <v>0.36769980000000002</v>
      </c>
      <c r="R6819">
        <v>0.1065996</v>
      </c>
      <c r="S6819">
        <v>3.397675</v>
      </c>
      <c r="T6819">
        <v>-0.42354989999999998</v>
      </c>
      <c r="U6819">
        <v>0.15908810000000001</v>
      </c>
      <c r="V6819">
        <v>-0.17790149999999999</v>
      </c>
      <c r="W6819">
        <v>0.37422070000000002</v>
      </c>
      <c r="X6819">
        <v>0.91011540000000002</v>
      </c>
      <c r="Y6819">
        <v>-0.1203172</v>
      </c>
      <c r="Z6819">
        <v>1.6684439999999998E-2</v>
      </c>
      <c r="AA6819">
        <v>0.99259529999999996</v>
      </c>
      <c r="AB6819">
        <v>35</v>
      </c>
      <c r="AC6819">
        <v>8.7457999999999707</v>
      </c>
      <c r="AD6819">
        <v>-1.1120387934123901</v>
      </c>
      <c r="AE6819">
        <v>0.43083000000000699</v>
      </c>
      <c r="AF6819">
        <v>-1.07054520279048</v>
      </c>
      <c r="AG6819">
        <v>-1.1120387934123901</v>
      </c>
      <c r="AH6819">
        <v>8.5506653230599508</v>
      </c>
      <c r="AI6819">
        <v>97.353121672153804</v>
      </c>
      <c r="AJ6819">
        <v>97.136311495800896</v>
      </c>
      <c r="AK6819">
        <v>8.6888764967774605</v>
      </c>
      <c r="AL6819">
        <v>68.023845824718407</v>
      </c>
      <c r="AM6819">
        <v>101.060224620029</v>
      </c>
      <c r="AN6819">
        <v>1.0000000586639399</v>
      </c>
    </row>
    <row r="6820" spans="1:40" x14ac:dyDescent="0.25">
      <c r="A6820" t="str">
        <f>"20190304164257881"</f>
        <v>20190304164257881</v>
      </c>
      <c r="B6820" t="str">
        <f>"1551688977878166"</f>
        <v>1551688977878166</v>
      </c>
      <c r="C6820" t="s">
        <v>40</v>
      </c>
      <c r="D6820">
        <v>4.684145</v>
      </c>
      <c r="E6820">
        <v>0.53532899999999894</v>
      </c>
      <c r="F6820" t="s">
        <v>42</v>
      </c>
      <c r="G6820">
        <v>-261.19130000000001</v>
      </c>
      <c r="H6820" s="1">
        <v>2.7653979999999998E-7</v>
      </c>
      <c r="I6820">
        <v>-61.162149999999997</v>
      </c>
      <c r="J6820">
        <v>-269.93599999999998</v>
      </c>
      <c r="K6820">
        <v>1.1117649999999999</v>
      </c>
      <c r="L6820">
        <v>-61.581389999999999</v>
      </c>
      <c r="M6820">
        <v>0.9971643</v>
      </c>
      <c r="N6820">
        <v>-8.2226769999999994E-3</v>
      </c>
      <c r="O6820">
        <v>-7.4804819999999994E-2</v>
      </c>
      <c r="P6820">
        <v>0.92381789999999997</v>
      </c>
      <c r="Q6820">
        <v>0.36810609999999999</v>
      </c>
      <c r="R6820">
        <v>0.1051603</v>
      </c>
      <c r="S6820">
        <v>3.3981020000000002</v>
      </c>
      <c r="T6820">
        <v>-0.42343310000000001</v>
      </c>
      <c r="U6820">
        <v>0.15460209999999999</v>
      </c>
      <c r="V6820">
        <v>-0.17579529999999999</v>
      </c>
      <c r="W6820">
        <v>0.3747547</v>
      </c>
      <c r="X6820">
        <v>0.91030480000000003</v>
      </c>
      <c r="Y6820">
        <v>-0.1185722</v>
      </c>
      <c r="Z6820">
        <v>1.6510420000000001E-2</v>
      </c>
      <c r="AA6820">
        <v>0.99280820000000003</v>
      </c>
      <c r="AB6820">
        <v>35</v>
      </c>
      <c r="AC6820">
        <v>8.7446999999999608</v>
      </c>
      <c r="AD6820">
        <v>-1.1117647234601999</v>
      </c>
      <c r="AE6820">
        <v>0.419240000000002</v>
      </c>
      <c r="AF6820">
        <v>-1.0552162154045499</v>
      </c>
      <c r="AG6820">
        <v>-1.1117647234601999</v>
      </c>
      <c r="AH6820">
        <v>8.5509388350058693</v>
      </c>
      <c r="AI6820">
        <v>97.352695922345603</v>
      </c>
      <c r="AJ6820">
        <v>97.034936153192703</v>
      </c>
      <c r="AK6820">
        <v>8.6872352921740692</v>
      </c>
      <c r="AL6820">
        <v>67.9908462461254</v>
      </c>
      <c r="AM6820">
        <v>100.930234599024</v>
      </c>
      <c r="AN6820">
        <v>0.99999995078860804</v>
      </c>
    </row>
    <row r="6821" spans="1:40" x14ac:dyDescent="0.25">
      <c r="A6821" t="str">
        <f>"20190304164257893"</f>
        <v>20190304164257893</v>
      </c>
      <c r="B6821" t="str">
        <f>"1551688977887925"</f>
        <v>1551688977887925</v>
      </c>
      <c r="C6821" t="s">
        <v>40</v>
      </c>
      <c r="D6821">
        <v>4.6736180000000003</v>
      </c>
      <c r="E6821">
        <v>0.53544409999999998</v>
      </c>
      <c r="F6821" t="s">
        <v>42</v>
      </c>
      <c r="G6821">
        <v>-261.02870000000001</v>
      </c>
      <c r="H6821" s="1">
        <v>3.3982669999999999E-7</v>
      </c>
      <c r="I6821">
        <v>-61.186369999999997</v>
      </c>
      <c r="J6821">
        <v>-269.7423</v>
      </c>
      <c r="K6821">
        <v>1.111497</v>
      </c>
      <c r="L6821">
        <v>-61.595610000000001</v>
      </c>
      <c r="M6821">
        <v>0.99718229999999997</v>
      </c>
      <c r="N6821">
        <v>-8.2168640000000008E-3</v>
      </c>
      <c r="O6821">
        <v>-7.4566480000000004E-2</v>
      </c>
      <c r="P6821">
        <v>0.92390459999999996</v>
      </c>
      <c r="Q6821">
        <v>0.36841659999999998</v>
      </c>
      <c r="R6821">
        <v>0.1032951</v>
      </c>
      <c r="S6821">
        <v>3.399292</v>
      </c>
      <c r="T6821">
        <v>-0.42428179999999999</v>
      </c>
      <c r="U6821">
        <v>0.15072629999999901</v>
      </c>
      <c r="V6821">
        <v>-0.17346809999999999</v>
      </c>
      <c r="W6821">
        <v>0.37519150000000001</v>
      </c>
      <c r="X6821">
        <v>0.91057129999999997</v>
      </c>
      <c r="Y6821">
        <v>-0.1171973</v>
      </c>
      <c r="Z6821">
        <v>1.6419380000000001E-2</v>
      </c>
      <c r="AA6821">
        <v>0.99297290000000005</v>
      </c>
      <c r="AB6821">
        <v>35</v>
      </c>
      <c r="AC6821">
        <v>8.71359999999998</v>
      </c>
      <c r="AD6821">
        <v>-1.1114966601733001</v>
      </c>
      <c r="AE6821">
        <v>0.40924000000000299</v>
      </c>
      <c r="AF6821">
        <v>-1.0409644421950299</v>
      </c>
      <c r="AG6821">
        <v>-1.1114966601733001</v>
      </c>
      <c r="AH6821">
        <v>8.5204895445597408</v>
      </c>
      <c r="AI6821">
        <v>97.378010374861503</v>
      </c>
      <c r="AJ6821">
        <v>96.965416212235297</v>
      </c>
      <c r="AK6821">
        <v>8.6555054083769498</v>
      </c>
      <c r="AL6821">
        <v>67.963850057205605</v>
      </c>
      <c r="AM6821">
        <v>100.785873396203</v>
      </c>
      <c r="AN6821">
        <v>0.99999996788677403</v>
      </c>
    </row>
    <row r="6822" spans="1:40" x14ac:dyDescent="0.25">
      <c r="A6822" t="str">
        <f>"20190304164257905"</f>
        <v>20190304164257905</v>
      </c>
      <c r="B6822" t="str">
        <f>"1551688977897685"</f>
        <v>1551688977897685</v>
      </c>
      <c r="C6822" t="s">
        <v>40</v>
      </c>
      <c r="D6822">
        <v>4.6623150000000004</v>
      </c>
      <c r="E6822">
        <v>0.53554230000000003</v>
      </c>
      <c r="F6822" t="s">
        <v>42</v>
      </c>
      <c r="G6822">
        <v>-260.839</v>
      </c>
      <c r="H6822" s="1">
        <v>4.137034E-7</v>
      </c>
      <c r="I6822">
        <v>-61.21461</v>
      </c>
      <c r="J6822">
        <v>-269.56389999999999</v>
      </c>
      <c r="K6822">
        <v>1.1112550000000001</v>
      </c>
      <c r="L6822">
        <v>-61.608730000000001</v>
      </c>
      <c r="M6822">
        <v>0.99719389999999997</v>
      </c>
      <c r="N6822">
        <v>-8.2117449999999995E-3</v>
      </c>
      <c r="O6822">
        <v>-7.4409879999999998E-2</v>
      </c>
      <c r="P6822">
        <v>0.92394710000000002</v>
      </c>
      <c r="Q6822">
        <v>0.36884319999999998</v>
      </c>
      <c r="R6822">
        <v>0.1013725</v>
      </c>
      <c r="S6822">
        <v>3.4000849999999998</v>
      </c>
      <c r="T6822">
        <v>-0.42446919999999999</v>
      </c>
      <c r="U6822">
        <v>0.1454773</v>
      </c>
      <c r="V6822">
        <v>-0.17118120000000001</v>
      </c>
      <c r="W6822">
        <v>0.37572889999999998</v>
      </c>
      <c r="X6822">
        <v>0.91078250000000005</v>
      </c>
      <c r="Y6822">
        <v>-0.1155152</v>
      </c>
      <c r="Z6822">
        <v>1.629361E-2</v>
      </c>
      <c r="AA6822">
        <v>0.99317200000000005</v>
      </c>
      <c r="AB6822">
        <v>35</v>
      </c>
      <c r="AC6822">
        <v>8.7248999999999892</v>
      </c>
      <c r="AD6822">
        <v>-1.1112545862965999</v>
      </c>
      <c r="AE6822">
        <v>0.39412000000000003</v>
      </c>
      <c r="AF6822">
        <v>-1.0256634952138799</v>
      </c>
      <c r="AG6822">
        <v>-1.1112545862965999</v>
      </c>
      <c r="AH6822">
        <v>8.5332383921696593</v>
      </c>
      <c r="AI6822">
        <v>97.3672407788128</v>
      </c>
      <c r="AJ6822">
        <v>96.853859421835693</v>
      </c>
      <c r="AK6822">
        <v>8.6662004257101</v>
      </c>
      <c r="AL6822">
        <v>67.9306292049137</v>
      </c>
      <c r="AM6822">
        <v>100.644538157799</v>
      </c>
      <c r="AN6822">
        <v>0.99999998591744998</v>
      </c>
    </row>
    <row r="6823" spans="1:40" x14ac:dyDescent="0.25">
      <c r="A6823" t="str">
        <f>"20190304164257916"</f>
        <v>20190304164257916</v>
      </c>
      <c r="B6823" t="str">
        <f>"1551688977908421"</f>
        <v>1551688977908421</v>
      </c>
      <c r="C6823" t="s">
        <v>40</v>
      </c>
      <c r="D6823">
        <v>4.6889589999999997</v>
      </c>
      <c r="E6823">
        <v>0.53560680000000005</v>
      </c>
      <c r="F6823" t="s">
        <v>42</v>
      </c>
      <c r="G6823">
        <v>-260.64060000000001</v>
      </c>
      <c r="H6823" s="1">
        <v>4.9219469999999997E-7</v>
      </c>
      <c r="I6823">
        <v>-61.2395</v>
      </c>
      <c r="J6823">
        <v>-269.38299999999998</v>
      </c>
      <c r="K6823">
        <v>1.1110260000000001</v>
      </c>
      <c r="L6823">
        <v>-61.622129999999999</v>
      </c>
      <c r="M6823">
        <v>0.99719500000000005</v>
      </c>
      <c r="N6823">
        <v>-8.2068179999999994E-3</v>
      </c>
      <c r="O6823">
        <v>-7.4397630000000006E-2</v>
      </c>
      <c r="P6823">
        <v>0.92397079999999998</v>
      </c>
      <c r="Q6823">
        <v>0.36935180000000001</v>
      </c>
      <c r="R6823">
        <v>9.9285559999999995E-2</v>
      </c>
      <c r="S6823">
        <v>3.4005429999999999</v>
      </c>
      <c r="T6823">
        <v>-0.42348150000000001</v>
      </c>
      <c r="U6823">
        <v>0.14068599999999901</v>
      </c>
      <c r="V6823">
        <v>-0.1688741</v>
      </c>
      <c r="W6823">
        <v>0.37634000000000001</v>
      </c>
      <c r="X6823">
        <v>0.91096089999999996</v>
      </c>
      <c r="Y6823">
        <v>-0.114118899999999</v>
      </c>
      <c r="Z6823">
        <v>1.6160130000000002E-2</v>
      </c>
      <c r="AA6823">
        <v>0.99333570000000004</v>
      </c>
      <c r="AB6823">
        <v>36</v>
      </c>
      <c r="AC6823">
        <v>8.7423999999999698</v>
      </c>
      <c r="AD6823">
        <v>-1.1110255078053</v>
      </c>
      <c r="AE6823">
        <v>0.38263000000000602</v>
      </c>
      <c r="AF6823">
        <v>-1.0156335438415001</v>
      </c>
      <c r="AG6823">
        <v>-1.1110255078053</v>
      </c>
      <c r="AH6823">
        <v>8.5518496368972698</v>
      </c>
      <c r="AI6823">
        <v>97.351112718118102</v>
      </c>
      <c r="AJ6823">
        <v>96.772829875654693</v>
      </c>
      <c r="AK6823">
        <v>8.6833185699057491</v>
      </c>
      <c r="AL6823">
        <v>67.892842961019994</v>
      </c>
      <c r="AM6823">
        <v>100.502278844644</v>
      </c>
      <c r="AN6823">
        <v>1.0000000092898</v>
      </c>
    </row>
    <row r="6824" spans="1:40" x14ac:dyDescent="0.25">
      <c r="A6824" t="str">
        <f>"20190304164257927"</f>
        <v>20190304164257927</v>
      </c>
      <c r="B6824" t="str">
        <f>"1551688977918181"</f>
        <v>1551688977918181</v>
      </c>
      <c r="C6824" t="s">
        <v>40</v>
      </c>
      <c r="D6824">
        <v>4.706715</v>
      </c>
      <c r="E6824">
        <v>0.53567699999999996</v>
      </c>
      <c r="F6824" t="s">
        <v>42</v>
      </c>
      <c r="G6824">
        <v>-260.43529999999998</v>
      </c>
      <c r="H6824" s="1">
        <v>5.7292189999999998E-7</v>
      </c>
      <c r="I6824">
        <v>-61.267130000000002</v>
      </c>
      <c r="J6824">
        <v>-269.21429999999998</v>
      </c>
      <c r="K6824">
        <v>1.110827</v>
      </c>
      <c r="L6824">
        <v>-61.6346699999999</v>
      </c>
      <c r="M6824">
        <v>0.99719040000000003</v>
      </c>
      <c r="N6824">
        <v>-8.2024919999999901E-3</v>
      </c>
      <c r="O6824">
        <v>-7.4459629999999999E-2</v>
      </c>
      <c r="P6824">
        <v>0.92410479999999995</v>
      </c>
      <c r="Q6824">
        <v>0.36953459999999999</v>
      </c>
      <c r="R6824">
        <v>9.7338649999999999E-2</v>
      </c>
      <c r="S6824">
        <v>3.4011840000000002</v>
      </c>
      <c r="T6824">
        <v>-0.42232039999999998</v>
      </c>
      <c r="U6824">
        <v>0.13491819999999999</v>
      </c>
      <c r="V6824">
        <v>-0.1668084</v>
      </c>
      <c r="W6824">
        <v>0.37661119999999998</v>
      </c>
      <c r="X6824">
        <v>0.91122939999999997</v>
      </c>
      <c r="Y6824">
        <v>-0.1125121</v>
      </c>
      <c r="Z6824">
        <v>1.601435E-2</v>
      </c>
      <c r="AA6824">
        <v>0.99352130000000005</v>
      </c>
      <c r="AB6824">
        <v>36</v>
      </c>
      <c r="AC6824">
        <v>8.7789999999999893</v>
      </c>
      <c r="AD6824">
        <v>-1.1108264270781001</v>
      </c>
      <c r="AE6824">
        <v>0.36753999999999099</v>
      </c>
      <c r="AF6824">
        <v>-1.0041735697534699</v>
      </c>
      <c r="AG6824">
        <v>-1.1108264270781001</v>
      </c>
      <c r="AH6824">
        <v>8.5899720050946407</v>
      </c>
      <c r="AI6824">
        <v>97.3191115051156</v>
      </c>
      <c r="AJ6824">
        <v>96.667652626763299</v>
      </c>
      <c r="AK6824">
        <v>8.7195136881362991</v>
      </c>
      <c r="AL6824">
        <v>67.876070780336704</v>
      </c>
      <c r="AM6824">
        <v>100.373629206874</v>
      </c>
      <c r="AN6824">
        <v>1.00000002885017</v>
      </c>
    </row>
    <row r="6825" spans="1:40" x14ac:dyDescent="0.25">
      <c r="A6825" t="str">
        <f>"20190304164257937"</f>
        <v>20190304164257937</v>
      </c>
      <c r="B6825" t="str">
        <f>"1551688977927941"</f>
        <v>1551688977927941</v>
      </c>
      <c r="C6825" t="s">
        <v>40</v>
      </c>
      <c r="D6825">
        <v>4.669575</v>
      </c>
      <c r="E6825">
        <v>0.53571380000000002</v>
      </c>
      <c r="F6825" t="s">
        <v>42</v>
      </c>
      <c r="G6825">
        <v>-260.27440000000001</v>
      </c>
      <c r="H6825" s="1">
        <v>6.351536E-7</v>
      </c>
      <c r="I6825">
        <v>-61.29271</v>
      </c>
      <c r="J6825">
        <v>-269.04489999999998</v>
      </c>
      <c r="K6825">
        <v>1.1106370000000001</v>
      </c>
      <c r="L6825">
        <v>-61.64734</v>
      </c>
      <c r="M6825">
        <v>0.99717999999999996</v>
      </c>
      <c r="N6825">
        <v>-8.1983630000000002E-3</v>
      </c>
      <c r="O6825">
        <v>-7.4598460000000005E-2</v>
      </c>
      <c r="P6825">
        <v>0.92401330000000004</v>
      </c>
      <c r="Q6825">
        <v>0.37027840000000001</v>
      </c>
      <c r="R6825">
        <v>9.5358609999999996E-2</v>
      </c>
      <c r="S6825">
        <v>3.4017029999999999</v>
      </c>
      <c r="T6825">
        <v>-0.42267490000000002</v>
      </c>
      <c r="U6825">
        <v>0.1300964</v>
      </c>
      <c r="V6825">
        <v>-0.1647747</v>
      </c>
      <c r="W6825">
        <v>0.37743579999999999</v>
      </c>
      <c r="X6825">
        <v>0.91125820000000002</v>
      </c>
      <c r="Y6825">
        <v>-0.1112456</v>
      </c>
      <c r="Z6825">
        <v>1.5958179999999999E-2</v>
      </c>
      <c r="AA6825">
        <v>0.99366480000000001</v>
      </c>
      <c r="AB6825">
        <v>36</v>
      </c>
      <c r="AC6825">
        <v>8.77049999999997</v>
      </c>
      <c r="AD6825">
        <v>-1.1106363648463999</v>
      </c>
      <c r="AE6825">
        <v>0.35463</v>
      </c>
      <c r="AF6825">
        <v>-0.99204709754567899</v>
      </c>
      <c r="AG6825">
        <v>-1.1106363648463999</v>
      </c>
      <c r="AH6825">
        <v>8.5822056603214492</v>
      </c>
      <c r="AI6825">
        <v>97.325509419820193</v>
      </c>
      <c r="AJ6825">
        <v>96.593754725369195</v>
      </c>
      <c r="AK6825">
        <v>8.7104491603315992</v>
      </c>
      <c r="AL6825">
        <v>67.825059526564502</v>
      </c>
      <c r="AM6825">
        <v>100.24953569888901</v>
      </c>
      <c r="AN6825">
        <v>0.99999999597448497</v>
      </c>
    </row>
    <row r="6826" spans="1:40" x14ac:dyDescent="0.25">
      <c r="A6826" t="str">
        <f>"20190304164257950"</f>
        <v>20190304164257950</v>
      </c>
      <c r="B6826" t="str">
        <f>"1551688977937702"</f>
        <v>1551688977937702</v>
      </c>
      <c r="C6826" t="s">
        <v>40</v>
      </c>
      <c r="D6826">
        <v>4.6837600000000004</v>
      </c>
      <c r="E6826">
        <v>0.53570569999999995</v>
      </c>
      <c r="F6826" t="s">
        <v>42</v>
      </c>
      <c r="G6826">
        <v>-260.0686</v>
      </c>
      <c r="H6826" s="1">
        <v>7.1663949999999998E-7</v>
      </c>
      <c r="I6826">
        <v>-61.31823</v>
      </c>
      <c r="J6826">
        <v>-268.85140000000001</v>
      </c>
      <c r="K6826">
        <v>1.110433</v>
      </c>
      <c r="L6826">
        <v>-61.661900000000003</v>
      </c>
      <c r="M6826">
        <v>0.99716139999999998</v>
      </c>
      <c r="N6826">
        <v>-8.1940680000000005E-3</v>
      </c>
      <c r="O6826">
        <v>-7.4848590000000007E-2</v>
      </c>
      <c r="P6826">
        <v>0.92403159999999895</v>
      </c>
      <c r="Q6826">
        <v>0.37072820000000001</v>
      </c>
      <c r="R6826">
        <v>9.3416289999999999E-2</v>
      </c>
      <c r="S6826">
        <v>3.4025270000000001</v>
      </c>
      <c r="T6826">
        <v>-0.42099189999999997</v>
      </c>
      <c r="U6826">
        <v>0.1247253</v>
      </c>
      <c r="V6826">
        <v>-0.162879</v>
      </c>
      <c r="W6826">
        <v>0.37796819999999998</v>
      </c>
      <c r="X6826">
        <v>0.91137829999999997</v>
      </c>
      <c r="Y6826">
        <v>-0.10994</v>
      </c>
      <c r="Z6826">
        <v>1.5833920000000001E-2</v>
      </c>
      <c r="AA6826">
        <v>0.99381209999999998</v>
      </c>
      <c r="AB6826">
        <v>36</v>
      </c>
      <c r="AC6826">
        <v>8.7827999999999999</v>
      </c>
      <c r="AD6826">
        <v>-1.1104322833605</v>
      </c>
      <c r="AE6826">
        <v>0.34366999999999498</v>
      </c>
      <c r="AF6826">
        <v>-0.98439635502468503</v>
      </c>
      <c r="AG6826">
        <v>-1.1104322833605</v>
      </c>
      <c r="AH6826">
        <v>8.5952509491105094</v>
      </c>
      <c r="AI6826">
        <v>97.314057628084896</v>
      </c>
      <c r="AJ6826">
        <v>96.533500757780402</v>
      </c>
      <c r="AK6826">
        <v>8.7224099260411005</v>
      </c>
      <c r="AL6826">
        <v>67.792114285420894</v>
      </c>
      <c r="AM6826">
        <v>100.132766785016</v>
      </c>
      <c r="AN6826">
        <v>0.99999996728156404</v>
      </c>
    </row>
    <row r="6827" spans="1:40" x14ac:dyDescent="0.25">
      <c r="A6827" t="str">
        <f>"20190304164257959"</f>
        <v>20190304164257959</v>
      </c>
      <c r="B6827" t="str">
        <f>"1551688977948439"</f>
        <v>1551688977948439</v>
      </c>
      <c r="C6827" t="s">
        <v>40</v>
      </c>
      <c r="D6827">
        <v>4.7001660000000003</v>
      </c>
      <c r="E6827">
        <v>0.53572159999999902</v>
      </c>
      <c r="F6827" t="s">
        <v>64</v>
      </c>
      <c r="G6827">
        <v>-259.83269999999999</v>
      </c>
      <c r="H6827" s="1">
        <v>-3.4975879999999999E-6</v>
      </c>
      <c r="I6827">
        <v>-61.344090000000001</v>
      </c>
      <c r="J6827">
        <v>-268.69779999999997</v>
      </c>
      <c r="K6827">
        <v>1.110276</v>
      </c>
      <c r="L6827">
        <v>-61.673520000000003</v>
      </c>
      <c r="M6827">
        <v>0.99714360000000002</v>
      </c>
      <c r="N6827">
        <v>-8.1907679999999993E-3</v>
      </c>
      <c r="O6827">
        <v>-7.5084600000000001E-2</v>
      </c>
      <c r="P6827">
        <v>0.92397589999999996</v>
      </c>
      <c r="Q6827">
        <v>0.37129830000000003</v>
      </c>
      <c r="R6827">
        <v>9.168693E-2</v>
      </c>
      <c r="S6827">
        <v>3.4026489999999998</v>
      </c>
      <c r="T6827">
        <v>-0.41895710000000003</v>
      </c>
      <c r="U6827">
        <v>0.1199036</v>
      </c>
      <c r="V6827">
        <v>-0.1612219</v>
      </c>
      <c r="W6827">
        <v>0.37859989999999999</v>
      </c>
      <c r="X6827">
        <v>0.91141079999999997</v>
      </c>
      <c r="Y6827">
        <v>-0.1087885</v>
      </c>
      <c r="Z6827">
        <v>1.570854E-2</v>
      </c>
      <c r="AA6827">
        <v>0.99394079999999996</v>
      </c>
      <c r="AB6827">
        <v>36</v>
      </c>
      <c r="AC6827">
        <v>8.8650999999999804</v>
      </c>
      <c r="AD6827">
        <v>-1.1102794975879999</v>
      </c>
      <c r="AE6827">
        <v>0.329429999999995</v>
      </c>
      <c r="AF6827">
        <v>-0.97882266498397597</v>
      </c>
      <c r="AG6827">
        <v>-1.1102794975879999</v>
      </c>
      <c r="AH6827">
        <v>8.6793852328556902</v>
      </c>
      <c r="AI6827">
        <v>97.244337989172905</v>
      </c>
      <c r="AJ6827">
        <v>96.434378232013103</v>
      </c>
      <c r="AK6827">
        <v>8.8046886596042704</v>
      </c>
      <c r="AL6827">
        <v>67.753016196671197</v>
      </c>
      <c r="AM6827">
        <v>100.03143185252</v>
      </c>
      <c r="AN6827">
        <v>1.0000000158381199</v>
      </c>
    </row>
    <row r="6828" spans="1:40" x14ac:dyDescent="0.25">
      <c r="A6828" t="str">
        <f>"20190304164257971"</f>
        <v>20190304164257971</v>
      </c>
      <c r="B6828" t="str">
        <f>"1551688977967957"</f>
        <v>1551688977967957</v>
      </c>
      <c r="C6828" t="s">
        <v>40</v>
      </c>
      <c r="D6828">
        <v>4.6953239999999896</v>
      </c>
      <c r="E6828">
        <v>0.53570969999999996</v>
      </c>
      <c r="F6828" t="s">
        <v>64</v>
      </c>
      <c r="G6828">
        <v>-259.65269999999998</v>
      </c>
      <c r="H6828" s="1">
        <v>-3.4393179999999999E-6</v>
      </c>
      <c r="I6828">
        <v>-61.36645</v>
      </c>
      <c r="J6828">
        <v>-268.51459999999997</v>
      </c>
      <c r="K6828">
        <v>1.1101030000000001</v>
      </c>
      <c r="L6828">
        <v>-61.687469999999998</v>
      </c>
      <c r="M6828">
        <v>0.99711609999999995</v>
      </c>
      <c r="N6828">
        <v>-8.1873309999999904E-3</v>
      </c>
      <c r="O6828">
        <v>-7.5450760000000006E-2</v>
      </c>
      <c r="P6828">
        <v>0.92410519999999996</v>
      </c>
      <c r="Q6828">
        <v>0.37134060000000002</v>
      </c>
      <c r="R6828">
        <v>9.0201749999999997E-2</v>
      </c>
      <c r="S6828">
        <v>3.4032589999999998</v>
      </c>
      <c r="T6828">
        <v>-0.41775099999999998</v>
      </c>
      <c r="U6828">
        <v>0.11553960000000001</v>
      </c>
      <c r="V6828">
        <v>-0.15992809999999999</v>
      </c>
      <c r="W6828">
        <v>0.3787085</v>
      </c>
      <c r="X6828">
        <v>0.9115936</v>
      </c>
      <c r="Y6828">
        <v>-0.10788730000000001</v>
      </c>
      <c r="Z6828">
        <v>1.5643529999999999E-2</v>
      </c>
      <c r="AA6828">
        <v>0.99404009999999998</v>
      </c>
      <c r="AB6828">
        <v>36</v>
      </c>
      <c r="AC6828">
        <v>8.8618999999999897</v>
      </c>
      <c r="AD6828">
        <v>-1.110106439318</v>
      </c>
      <c r="AE6828">
        <v>0.32101999999999697</v>
      </c>
      <c r="AF6828">
        <v>-0.97350808678116196</v>
      </c>
      <c r="AG6828">
        <v>-1.110106439318</v>
      </c>
      <c r="AH6828">
        <v>8.6764442364044694</v>
      </c>
      <c r="AI6828">
        <v>97.246107251164403</v>
      </c>
      <c r="AJ6828">
        <v>96.4018842771019</v>
      </c>
      <c r="AK6828">
        <v>8.8011782670890195</v>
      </c>
      <c r="AL6828">
        <v>67.746293098840994</v>
      </c>
      <c r="AM6828">
        <v>99.950589995625705</v>
      </c>
      <c r="AN6828">
        <v>1.00000000835141</v>
      </c>
    </row>
    <row r="6829" spans="1:40" x14ac:dyDescent="0.25">
      <c r="A6829" t="str">
        <f>"20190304164257982"</f>
        <v>20190304164257982</v>
      </c>
      <c r="B6829" t="str">
        <f>"1551688977977717"</f>
        <v>1551688977977717</v>
      </c>
      <c r="C6829" t="s">
        <v>40</v>
      </c>
      <c r="D6829">
        <v>4.714842</v>
      </c>
      <c r="E6829">
        <v>0.53569919999999904</v>
      </c>
      <c r="F6829" t="s">
        <v>64</v>
      </c>
      <c r="G6829">
        <v>-259.50689999999997</v>
      </c>
      <c r="H6829" s="1">
        <v>-3.392572E-6</v>
      </c>
      <c r="I6829">
        <v>-61.38794</v>
      </c>
      <c r="J6829">
        <v>-268.33350000000002</v>
      </c>
      <c r="K6829">
        <v>1.109934</v>
      </c>
      <c r="L6829">
        <v>-61.701349999999998</v>
      </c>
      <c r="M6829">
        <v>0.99708660000000005</v>
      </c>
      <c r="N6829">
        <v>-8.1839779999999997E-3</v>
      </c>
      <c r="O6829">
        <v>-7.5838149999999993E-2</v>
      </c>
      <c r="P6829">
        <v>0.92418869999999997</v>
      </c>
      <c r="Q6829">
        <v>0.37158150000000001</v>
      </c>
      <c r="R6829">
        <v>8.8332389999999997E-2</v>
      </c>
      <c r="S6829">
        <v>3.4039000000000001</v>
      </c>
      <c r="T6829">
        <v>-0.41949399999999998</v>
      </c>
      <c r="U6829">
        <v>0.1131897</v>
      </c>
      <c r="V6829">
        <v>-0.158274</v>
      </c>
      <c r="W6829">
        <v>0.37901249999999997</v>
      </c>
      <c r="X6829">
        <v>0.91175589999999995</v>
      </c>
      <c r="Y6829">
        <v>-0.10757079999999999</v>
      </c>
      <c r="Z6829">
        <v>1.5729859999999998E-2</v>
      </c>
      <c r="AA6829">
        <v>0.99407299999999998</v>
      </c>
      <c r="AB6829">
        <v>36</v>
      </c>
      <c r="AC6829">
        <v>8.82660000000004</v>
      </c>
      <c r="AD6829">
        <v>-1.109937392572</v>
      </c>
      <c r="AE6829">
        <v>0.31340999999999702</v>
      </c>
      <c r="AF6829">
        <v>-0.96665642283390196</v>
      </c>
      <c r="AG6829">
        <v>-1.109937392572</v>
      </c>
      <c r="AH6829">
        <v>8.6409438307345106</v>
      </c>
      <c r="AI6829">
        <v>97.274727058672497</v>
      </c>
      <c r="AJ6829">
        <v>96.383099979748295</v>
      </c>
      <c r="AK6829">
        <v>8.7654033530205702</v>
      </c>
      <c r="AL6829">
        <v>67.727471432598804</v>
      </c>
      <c r="AM6829">
        <v>99.847980219387793</v>
      </c>
      <c r="AN6829">
        <v>0.999999977708529</v>
      </c>
    </row>
    <row r="6830" spans="1:40" x14ac:dyDescent="0.25">
      <c r="A6830" t="str">
        <f>"20190304164257993"</f>
        <v>20190304164257993</v>
      </c>
      <c r="B6830" t="str">
        <f>"1551688977988453"</f>
        <v>1551688977988453</v>
      </c>
      <c r="C6830" t="s">
        <v>40</v>
      </c>
      <c r="D6830">
        <v>4.821701</v>
      </c>
      <c r="E6830">
        <v>0.53569919999999904</v>
      </c>
      <c r="F6830" t="s">
        <v>64</v>
      </c>
      <c r="G6830">
        <v>-259.33960000000002</v>
      </c>
      <c r="H6830" s="1">
        <v>-3.3388199999999901E-6</v>
      </c>
      <c r="I6830">
        <v>-61.411769999999997</v>
      </c>
      <c r="J6830">
        <v>-268.14609999999999</v>
      </c>
      <c r="K6830">
        <v>1.1097779999999999</v>
      </c>
      <c r="L6830">
        <v>-61.715910000000001</v>
      </c>
      <c r="M6830">
        <v>0.99704959999999998</v>
      </c>
      <c r="N6830">
        <v>-8.1815359999999997E-3</v>
      </c>
      <c r="O6830">
        <v>-7.6323740000000001E-2</v>
      </c>
      <c r="P6830">
        <v>0.9243382</v>
      </c>
      <c r="Q6830">
        <v>0.37153789999999998</v>
      </c>
      <c r="R6830">
        <v>8.6940539999999997E-2</v>
      </c>
      <c r="S6830">
        <v>3.404541</v>
      </c>
      <c r="T6830">
        <v>-0.42015479999999999</v>
      </c>
      <c r="U6830">
        <v>0.1096191</v>
      </c>
      <c r="V6830">
        <v>-0.1572025</v>
      </c>
      <c r="W6830">
        <v>0.37902659999999999</v>
      </c>
      <c r="X6830">
        <v>0.91193539999999995</v>
      </c>
      <c r="Y6830">
        <v>-0.1070048</v>
      </c>
      <c r="Z6830">
        <v>1.577048E-2</v>
      </c>
      <c r="AA6830">
        <v>0.99413339999999994</v>
      </c>
      <c r="AB6830">
        <v>36</v>
      </c>
      <c r="AC6830">
        <v>8.8064999999999696</v>
      </c>
      <c r="AD6830">
        <v>-1.10978133882</v>
      </c>
      <c r="AE6830">
        <v>0.30414000000000302</v>
      </c>
      <c r="AF6830">
        <v>-0.96018998101703001</v>
      </c>
      <c r="AG6830">
        <v>-1.10978133882</v>
      </c>
      <c r="AH6830">
        <v>8.62085498087405</v>
      </c>
      <c r="AI6830">
        <v>97.290871873824997</v>
      </c>
      <c r="AJ6830">
        <v>96.355404055746305</v>
      </c>
      <c r="AK6830">
        <v>8.7448682106078302</v>
      </c>
      <c r="AL6830">
        <v>67.726598518234496</v>
      </c>
      <c r="AM6830">
        <v>99.780714382748897</v>
      </c>
      <c r="AN6830">
        <v>0.99999998164348403</v>
      </c>
    </row>
    <row r="6831" spans="1:40" x14ac:dyDescent="0.25">
      <c r="A6831" t="str">
        <f>"20190304164258005"</f>
        <v>20190304164258005</v>
      </c>
      <c r="B6831" t="str">
        <f>"1551688977998213"</f>
        <v>1551688977998213</v>
      </c>
      <c r="C6831" t="s">
        <v>40</v>
      </c>
      <c r="D6831">
        <v>4.8306239999999896</v>
      </c>
      <c r="E6831">
        <v>0.53644329999999996</v>
      </c>
      <c r="F6831" t="s">
        <v>64</v>
      </c>
      <c r="G6831">
        <v>-259.16680000000002</v>
      </c>
      <c r="H6831" s="1">
        <v>-3.2825010000000002E-6</v>
      </c>
      <c r="I6831">
        <v>-61.430259999999997</v>
      </c>
      <c r="J6831">
        <v>-267.96890000000002</v>
      </c>
      <c r="K6831">
        <v>1.109634</v>
      </c>
      <c r="L6831">
        <v>-61.72974</v>
      </c>
      <c r="M6831">
        <v>0.99701300000000004</v>
      </c>
      <c r="N6831">
        <v>-8.1793869999999998E-3</v>
      </c>
      <c r="O6831">
        <v>-7.6800789999999994E-2</v>
      </c>
      <c r="P6831">
        <v>0.92433710000000002</v>
      </c>
      <c r="Q6831">
        <v>0.37185610000000002</v>
      </c>
      <c r="R6831">
        <v>8.5581909999999997E-2</v>
      </c>
      <c r="S6831">
        <v>3.4045100000000001</v>
      </c>
      <c r="T6831">
        <v>-0.42077880000000001</v>
      </c>
      <c r="U6831">
        <v>0.1083069</v>
      </c>
      <c r="V6831">
        <v>-0.15615709999999999</v>
      </c>
      <c r="W6831">
        <v>0.37939600000000001</v>
      </c>
      <c r="X6831">
        <v>0.91196140000000003</v>
      </c>
      <c r="Y6831">
        <v>-0.10709</v>
      </c>
      <c r="Z6831">
        <v>1.585458E-2</v>
      </c>
      <c r="AA6831">
        <v>0.99412290000000003</v>
      </c>
      <c r="AB6831">
        <v>36</v>
      </c>
      <c r="AC6831">
        <v>8.8020999999999905</v>
      </c>
      <c r="AD6831">
        <v>-1.1096372825009999</v>
      </c>
      <c r="AE6831">
        <v>0.29948000000000202</v>
      </c>
      <c r="AF6831">
        <v>-0.95939671290603201</v>
      </c>
      <c r="AG6831">
        <v>-1.1096372825009999</v>
      </c>
      <c r="AH6831">
        <v>8.6163240851310299</v>
      </c>
      <c r="AI6831">
        <v>97.293754385748798</v>
      </c>
      <c r="AJ6831">
        <v>96.353508353123701</v>
      </c>
      <c r="AK6831">
        <v>8.7402962015860908</v>
      </c>
      <c r="AL6831">
        <v>67.703724997714801</v>
      </c>
      <c r="AM6831">
        <v>99.716644680297307</v>
      </c>
      <c r="AN6831">
        <v>0.99999997989318401</v>
      </c>
    </row>
    <row r="6832" spans="1:40" x14ac:dyDescent="0.25">
      <c r="A6832" t="str">
        <f>"20190304164258014"</f>
        <v>20190304164258014</v>
      </c>
      <c r="B6832" t="str">
        <f>"1551688978007973"</f>
        <v>1551688978007973</v>
      </c>
      <c r="C6832" t="s">
        <v>40</v>
      </c>
      <c r="D6832">
        <v>4.7624440000000003</v>
      </c>
      <c r="E6832">
        <v>0.53695439999999905</v>
      </c>
      <c r="F6832" t="s">
        <v>64</v>
      </c>
      <c r="G6832">
        <v>-259.02640000000002</v>
      </c>
      <c r="H6832" s="1">
        <v>-3.2393699999999999E-6</v>
      </c>
      <c r="I6832">
        <v>-61.46519</v>
      </c>
      <c r="J6832">
        <v>-267.80520000000001</v>
      </c>
      <c r="K6832">
        <v>1.1095170000000001</v>
      </c>
      <c r="L6832">
        <v>-61.742649999999998</v>
      </c>
      <c r="M6832">
        <v>0.99697570000000002</v>
      </c>
      <c r="N6832">
        <v>-8.1779920000000002E-3</v>
      </c>
      <c r="O6832">
        <v>-7.7282190000000001E-2</v>
      </c>
      <c r="P6832">
        <v>0.92451039999999995</v>
      </c>
      <c r="Q6832">
        <v>0.3717299</v>
      </c>
      <c r="R6832">
        <v>8.4246950000000001E-2</v>
      </c>
      <c r="S6832">
        <v>3.4062809999999999</v>
      </c>
      <c r="T6832">
        <v>-0.42267159999999898</v>
      </c>
      <c r="U6832">
        <v>0.100769</v>
      </c>
      <c r="V6832">
        <v>-0.1551747</v>
      </c>
      <c r="W6832">
        <v>0.37931300000000001</v>
      </c>
      <c r="X6832">
        <v>0.91216359999999996</v>
      </c>
      <c r="Y6832">
        <v>-0.1053555</v>
      </c>
      <c r="Z6832">
        <v>1.5859399999999999E-2</v>
      </c>
      <c r="AA6832">
        <v>0.99430819999999998</v>
      </c>
      <c r="AB6832">
        <v>36</v>
      </c>
      <c r="AC6832">
        <v>8.7787999999999897</v>
      </c>
      <c r="AD6832">
        <v>-1.1095202393700001</v>
      </c>
      <c r="AE6832">
        <v>0.27745999999999699</v>
      </c>
      <c r="AF6832">
        <v>-0.94009608235883302</v>
      </c>
      <c r="AG6832">
        <v>-1.1095202393700001</v>
      </c>
      <c r="AH6832">
        <v>8.5939610264110708</v>
      </c>
      <c r="AI6832">
        <v>97.313308754230405</v>
      </c>
      <c r="AJ6832">
        <v>96.242781316575503</v>
      </c>
      <c r="AK6832">
        <v>8.7161334276794094</v>
      </c>
      <c r="AL6832">
        <v>67.708864886840999</v>
      </c>
      <c r="AM6832">
        <v>99.654570567794707</v>
      </c>
      <c r="AN6832">
        <v>0.99999998632702403</v>
      </c>
    </row>
    <row r="6833" spans="1:40" x14ac:dyDescent="0.25">
      <c r="A6833" t="str">
        <f>"20190304164258026"</f>
        <v>20190304164258026</v>
      </c>
      <c r="B6833" t="str">
        <f>"1551688978017734"</f>
        <v>1551688978017734</v>
      </c>
      <c r="C6833" t="s">
        <v>40</v>
      </c>
      <c r="D6833">
        <v>4.7281500000000003</v>
      </c>
      <c r="E6833">
        <v>0.53754250000000003</v>
      </c>
      <c r="F6833" t="s">
        <v>64</v>
      </c>
      <c r="G6833">
        <v>-258.90719999999999</v>
      </c>
      <c r="H6833" s="1">
        <v>-3.2028059999999998E-6</v>
      </c>
      <c r="I6833">
        <v>-61.495019999999997</v>
      </c>
      <c r="J6833">
        <v>-267.62560000000002</v>
      </c>
      <c r="K6833">
        <v>1.109394</v>
      </c>
      <c r="L6833">
        <v>-61.756929999999997</v>
      </c>
      <c r="M6833">
        <v>0.99693310000000002</v>
      </c>
      <c r="N6833">
        <v>-8.1766919999999993E-3</v>
      </c>
      <c r="O6833">
        <v>-7.7831269999999994E-2</v>
      </c>
      <c r="P6833">
        <v>0.92450960000000004</v>
      </c>
      <c r="Q6833">
        <v>0.3718842</v>
      </c>
      <c r="R6833">
        <v>8.3573679999999997E-2</v>
      </c>
      <c r="S6833">
        <v>3.4071660000000001</v>
      </c>
      <c r="T6833">
        <v>-0.42485109999999898</v>
      </c>
      <c r="U6833">
        <v>9.4818120000000006E-2</v>
      </c>
      <c r="V6833">
        <v>-0.15489629999999999</v>
      </c>
      <c r="W6833">
        <v>0.37951109999999999</v>
      </c>
      <c r="X6833">
        <v>0.91212859999999996</v>
      </c>
      <c r="Y6833">
        <v>-0.1041527</v>
      </c>
      <c r="Z6833">
        <v>1.5921640000000001E-2</v>
      </c>
      <c r="AA6833">
        <v>0.99443389999999998</v>
      </c>
      <c r="AB6833">
        <v>36</v>
      </c>
      <c r="AC6833">
        <v>8.7184000000000292</v>
      </c>
      <c r="AD6833">
        <v>-1.109397202806</v>
      </c>
      <c r="AE6833">
        <v>0.26191000000000703</v>
      </c>
      <c r="AF6833">
        <v>-0.92474229789699003</v>
      </c>
      <c r="AG6833">
        <v>-1.109397202806</v>
      </c>
      <c r="AH6833">
        <v>8.5335157785220499</v>
      </c>
      <c r="AI6833">
        <v>97.364539338340094</v>
      </c>
      <c r="AJ6833">
        <v>96.184775644441899</v>
      </c>
      <c r="AK6833">
        <v>8.6548715769443092</v>
      </c>
      <c r="AL6833">
        <v>67.696599071491505</v>
      </c>
      <c r="AM6833">
        <v>99.637937273204003</v>
      </c>
      <c r="AN6833">
        <v>1.00000006085742</v>
      </c>
    </row>
    <row r="6834" spans="1:40" x14ac:dyDescent="0.25">
      <c r="A6834" t="str">
        <f>"20190304164258037"</f>
        <v>20190304164258037</v>
      </c>
      <c r="B6834" t="str">
        <f>"1551688978028470"</f>
        <v>1551688978028470</v>
      </c>
      <c r="C6834" t="s">
        <v>40</v>
      </c>
      <c r="D6834">
        <v>4.7427999999999999</v>
      </c>
      <c r="E6834">
        <v>0.53803319999999999</v>
      </c>
      <c r="F6834" t="s">
        <v>64</v>
      </c>
      <c r="G6834">
        <v>-258.72789999999998</v>
      </c>
      <c r="H6834" s="1">
        <v>-3.1340060000000001E-6</v>
      </c>
      <c r="I6834">
        <v>-61.52411</v>
      </c>
      <c r="J6834">
        <v>-267.44720000000001</v>
      </c>
      <c r="K6834">
        <v>1.1092850000000001</v>
      </c>
      <c r="L6834">
        <v>-61.771210000000004</v>
      </c>
      <c r="M6834">
        <v>0.996888</v>
      </c>
      <c r="N6834">
        <v>-8.1757970000000003E-3</v>
      </c>
      <c r="O6834">
        <v>-7.8405409999999995E-2</v>
      </c>
      <c r="P6834">
        <v>0.92458300000000004</v>
      </c>
      <c r="Q6834">
        <v>0.37173859999999997</v>
      </c>
      <c r="R6834">
        <v>8.3407389999999998E-2</v>
      </c>
      <c r="S6834">
        <v>3.4078369999999998</v>
      </c>
      <c r="T6834">
        <v>-0.42490359999999999</v>
      </c>
      <c r="U6834">
        <v>8.9172360000000006E-2</v>
      </c>
      <c r="V6834">
        <v>-0.15516359999999901</v>
      </c>
      <c r="W6834">
        <v>0.37940600000000002</v>
      </c>
      <c r="X6834">
        <v>0.91212680000000002</v>
      </c>
      <c r="Y6834">
        <v>-0.1030788</v>
      </c>
      <c r="Z6834">
        <v>1.5916050000000001E-2</v>
      </c>
      <c r="AA6834">
        <v>0.99454580000000004</v>
      </c>
      <c r="AB6834">
        <v>36</v>
      </c>
      <c r="AC6834">
        <v>8.7193000000000307</v>
      </c>
      <c r="AD6834">
        <v>-1.1092881340059999</v>
      </c>
      <c r="AE6834">
        <v>0.24709999999999599</v>
      </c>
      <c r="AF6834">
        <v>-0.91520134570743505</v>
      </c>
      <c r="AG6834">
        <v>-1.1092881340059999</v>
      </c>
      <c r="AH6834">
        <v>8.53504873734021</v>
      </c>
      <c r="AI6834">
        <v>97.363397702591499</v>
      </c>
      <c r="AJ6834">
        <v>96.120360594128996</v>
      </c>
      <c r="AK6834">
        <v>8.6553550254281308</v>
      </c>
      <c r="AL6834">
        <v>67.7031056817642</v>
      </c>
      <c r="AM6834">
        <v>99.654275110205504</v>
      </c>
      <c r="AN6834">
        <v>0.99999997743959901</v>
      </c>
    </row>
    <row r="6835" spans="1:40" x14ac:dyDescent="0.25">
      <c r="A6835" t="str">
        <f>"20190304164258048"</f>
        <v>20190304164258048</v>
      </c>
      <c r="B6835" t="str">
        <f>"1551688978038229"</f>
        <v>1551688978038229</v>
      </c>
      <c r="C6835" t="s">
        <v>40</v>
      </c>
      <c r="D6835">
        <v>4.7641600000000004</v>
      </c>
      <c r="E6835">
        <v>0.53848469999999904</v>
      </c>
      <c r="F6835" t="s">
        <v>64</v>
      </c>
      <c r="G6835">
        <v>-258.58780000000002</v>
      </c>
      <c r="H6835" s="1">
        <v>-3.0792979999999998E-6</v>
      </c>
      <c r="I6835">
        <v>-61.548400000000001</v>
      </c>
      <c r="J6835">
        <v>-267.26870000000002</v>
      </c>
      <c r="K6835">
        <v>1.1091879999999901</v>
      </c>
      <c r="L6835">
        <v>-61.785679999999999</v>
      </c>
      <c r="M6835">
        <v>0.99684079999999997</v>
      </c>
      <c r="N6835">
        <v>-8.1753239999999994E-3</v>
      </c>
      <c r="O6835">
        <v>-7.9003669999999998E-2</v>
      </c>
      <c r="P6835">
        <v>0.92465140000000001</v>
      </c>
      <c r="Q6835">
        <v>0.37166529999999998</v>
      </c>
      <c r="R6835">
        <v>8.297235E-2</v>
      </c>
      <c r="S6835">
        <v>3.408569</v>
      </c>
      <c r="T6835">
        <v>-0.42678680000000002</v>
      </c>
      <c r="U6835">
        <v>8.5723880000000002E-2</v>
      </c>
      <c r="V6835">
        <v>-0.15519379999999999</v>
      </c>
      <c r="W6835">
        <v>0.37936989999999998</v>
      </c>
      <c r="X6835">
        <v>0.91213670000000002</v>
      </c>
      <c r="Y6835">
        <v>-0.1026523</v>
      </c>
      <c r="Z6835">
        <v>1.6024920000000002E-2</v>
      </c>
      <c r="AA6835">
        <v>0.99458820000000003</v>
      </c>
      <c r="AB6835">
        <v>36</v>
      </c>
      <c r="AC6835">
        <v>8.6808999999999994</v>
      </c>
      <c r="AD6835">
        <v>-1.10919107929799</v>
      </c>
      <c r="AE6835">
        <v>0.23728000000000499</v>
      </c>
      <c r="AF6835">
        <v>-0.90757799673094097</v>
      </c>
      <c r="AG6835">
        <v>-1.10919107929799</v>
      </c>
      <c r="AH6835">
        <v>8.4964079991619297</v>
      </c>
      <c r="AI6835">
        <v>97.396192648458594</v>
      </c>
      <c r="AJ6835">
        <v>96.097159155111399</v>
      </c>
      <c r="AK6835">
        <v>8.6164349680576802</v>
      </c>
      <c r="AL6835">
        <v>67.705341675169606</v>
      </c>
      <c r="AM6835">
        <v>99.656015947562906</v>
      </c>
      <c r="AN6835">
        <v>0.99999999803566997</v>
      </c>
    </row>
    <row r="6836" spans="1:40" x14ac:dyDescent="0.25">
      <c r="A6836" t="str">
        <f>"20190304164258059"</f>
        <v>20190304164258059</v>
      </c>
      <c r="B6836" t="str">
        <f>"1551688978047989"</f>
        <v>1551688978047989</v>
      </c>
      <c r="C6836" t="s">
        <v>40</v>
      </c>
      <c r="D6836">
        <v>4.7599660000000004</v>
      </c>
      <c r="E6836">
        <v>0.53881029999999996</v>
      </c>
      <c r="F6836" t="s">
        <v>64</v>
      </c>
      <c r="G6836">
        <v>-258.435</v>
      </c>
      <c r="H6836" s="1">
        <v>-3.020029E-6</v>
      </c>
      <c r="I6836">
        <v>-61.576610000000002</v>
      </c>
      <c r="J6836">
        <v>-267.08819999999997</v>
      </c>
      <c r="K6836">
        <v>1.1090979999999999</v>
      </c>
      <c r="L6836">
        <v>-61.800350000000002</v>
      </c>
      <c r="M6836">
        <v>0.99679150000000005</v>
      </c>
      <c r="N6836">
        <v>-8.1750699999999996E-3</v>
      </c>
      <c r="O6836">
        <v>-7.9623349999999996E-2</v>
      </c>
      <c r="P6836">
        <v>0.92470050000000004</v>
      </c>
      <c r="Q6836">
        <v>0.37159629999999999</v>
      </c>
      <c r="R6836">
        <v>8.2734260000000004E-2</v>
      </c>
      <c r="S6836">
        <v>3.4093019999999998</v>
      </c>
      <c r="T6836">
        <v>-0.4280852</v>
      </c>
      <c r="U6836">
        <v>8.0688480000000007E-2</v>
      </c>
      <c r="V6836">
        <v>-0.1554441</v>
      </c>
      <c r="W6836">
        <v>0.3793359</v>
      </c>
      <c r="X6836">
        <v>0.91210820000000004</v>
      </c>
      <c r="Y6836">
        <v>-0.1017921</v>
      </c>
      <c r="Z6836">
        <v>1.608561E-2</v>
      </c>
      <c r="AA6836">
        <v>0.99467559999999999</v>
      </c>
      <c r="AB6836">
        <v>36</v>
      </c>
      <c r="AC6836">
        <v>8.6531999999999698</v>
      </c>
      <c r="AD6836">
        <v>-1.1091010200289999</v>
      </c>
      <c r="AE6836">
        <v>0.22374000000000599</v>
      </c>
      <c r="AF6836">
        <v>-0.89731795054658203</v>
      </c>
      <c r="AG6836">
        <v>-1.1091010200289999</v>
      </c>
      <c r="AH6836">
        <v>8.4688739071050403</v>
      </c>
      <c r="AI6836">
        <v>97.420042977492201</v>
      </c>
      <c r="AJ6836">
        <v>96.048197754131607</v>
      </c>
      <c r="AK6836">
        <v>8.5881959590735395</v>
      </c>
      <c r="AL6836">
        <v>67.707446705500303</v>
      </c>
      <c r="AM6836">
        <v>99.6715919663243</v>
      </c>
      <c r="AN6836">
        <v>0.99999998088042896</v>
      </c>
    </row>
    <row r="6837" spans="1:40" x14ac:dyDescent="0.25">
      <c r="A6837" t="str">
        <f>"20190304164258072"</f>
        <v>20190304164258072</v>
      </c>
      <c r="B6837" t="str">
        <f>"1551688978068486"</f>
        <v>1551688978068486</v>
      </c>
      <c r="C6837" t="s">
        <v>40</v>
      </c>
      <c r="D6837">
        <v>4.7244129999999904</v>
      </c>
      <c r="E6837">
        <v>0.53940580000000005</v>
      </c>
      <c r="F6837" t="s">
        <v>64</v>
      </c>
      <c r="G6837">
        <v>-258.31270000000001</v>
      </c>
      <c r="H6837" s="1">
        <v>-2.9731719999999998E-6</v>
      </c>
      <c r="I6837">
        <v>-61.601849999999999</v>
      </c>
      <c r="J6837">
        <v>-266.90050000000002</v>
      </c>
      <c r="K6837">
        <v>1.10902099999999</v>
      </c>
      <c r="L6837">
        <v>-61.815860000000001</v>
      </c>
      <c r="M6837">
        <v>0.99673800000000001</v>
      </c>
      <c r="N6837">
        <v>-8.1753399999999997E-3</v>
      </c>
      <c r="O6837">
        <v>-8.0292879999999997E-2</v>
      </c>
      <c r="P6837">
        <v>0.92478590000000005</v>
      </c>
      <c r="Q6837">
        <v>0.37145800000000001</v>
      </c>
      <c r="R6837">
        <v>8.2403530000000003E-2</v>
      </c>
      <c r="S6837">
        <v>3.4106139999999998</v>
      </c>
      <c r="T6837">
        <v>-0.43105529999999997</v>
      </c>
      <c r="U6837">
        <v>7.7148439999999999E-2</v>
      </c>
      <c r="V6837">
        <v>-0.15566070000000001</v>
      </c>
      <c r="W6837">
        <v>0.37922909999999999</v>
      </c>
      <c r="X6837">
        <v>0.91211569999999997</v>
      </c>
      <c r="Y6837">
        <v>-0.1013995</v>
      </c>
      <c r="Z6837">
        <v>1.6244089999999999E-2</v>
      </c>
      <c r="AA6837">
        <v>0.99471319999999996</v>
      </c>
      <c r="AB6837">
        <v>36</v>
      </c>
      <c r="AC6837">
        <v>8.5878000000000103</v>
      </c>
      <c r="AD6837">
        <v>-1.10902397317199</v>
      </c>
      <c r="AE6837">
        <v>0.214010000000001</v>
      </c>
      <c r="AF6837">
        <v>-0.88807975863188904</v>
      </c>
      <c r="AG6837">
        <v>-1.10902397317199</v>
      </c>
      <c r="AH6837">
        <v>8.4028395853251894</v>
      </c>
      <c r="AI6837">
        <v>97.477389355070201</v>
      </c>
      <c r="AJ6837">
        <v>96.033082817592401</v>
      </c>
      <c r="AK6837">
        <v>8.5221084789780708</v>
      </c>
      <c r="AL6837">
        <v>67.714060650239404</v>
      </c>
      <c r="AM6837">
        <v>99.684735430561005</v>
      </c>
      <c r="AN6837">
        <v>1.0000000069988899</v>
      </c>
    </row>
    <row r="6838" spans="1:40" x14ac:dyDescent="0.25">
      <c r="A6838" t="str">
        <f>"20190304164258083"</f>
        <v>20190304164258083</v>
      </c>
      <c r="B6838" t="str">
        <f>"1551688978078245"</f>
        <v>1551688978078245</v>
      </c>
      <c r="C6838" t="s">
        <v>40</v>
      </c>
      <c r="D6838">
        <v>4.7281370000000003</v>
      </c>
      <c r="E6838">
        <v>0.53977719999999996</v>
      </c>
      <c r="F6838" t="s">
        <v>64</v>
      </c>
      <c r="G6838">
        <v>-258.21890000000002</v>
      </c>
      <c r="H6838" s="1">
        <v>-2.940537E-6</v>
      </c>
      <c r="I6838">
        <v>-61.636139999999997</v>
      </c>
      <c r="J6838">
        <v>-266.71690000000001</v>
      </c>
      <c r="K6838">
        <v>1.108946</v>
      </c>
      <c r="L6838">
        <v>-61.831090000000003</v>
      </c>
      <c r="M6838">
        <v>0.99668440000000003</v>
      </c>
      <c r="N6838">
        <v>-8.1756929999999995E-3</v>
      </c>
      <c r="O6838">
        <v>-8.0954369999999998E-2</v>
      </c>
      <c r="P6838">
        <v>0.9248729</v>
      </c>
      <c r="Q6838">
        <v>0.37136740000000001</v>
      </c>
      <c r="R6838">
        <v>8.1833589999999998E-2</v>
      </c>
      <c r="S6838">
        <v>3.412811</v>
      </c>
      <c r="T6838">
        <v>-0.43596469999999998</v>
      </c>
      <c r="U6838">
        <v>7.064819E-2</v>
      </c>
      <c r="V6838">
        <v>-0.155637</v>
      </c>
      <c r="W6838">
        <v>0.37916820000000001</v>
      </c>
      <c r="X6838">
        <v>0.91214499999999998</v>
      </c>
      <c r="Y6838">
        <v>-0.1001269</v>
      </c>
      <c r="Z6838">
        <v>1.6412260000000001E-2</v>
      </c>
      <c r="AA6838">
        <v>0.99483929999999998</v>
      </c>
      <c r="AB6838">
        <v>36</v>
      </c>
      <c r="AC6838">
        <v>8.4979999999999905</v>
      </c>
      <c r="AD6838">
        <v>-1.1089489405370001</v>
      </c>
      <c r="AE6838">
        <v>0.19494999999999801</v>
      </c>
      <c r="AF6838">
        <v>-0.86751802813805001</v>
      </c>
      <c r="AG6838">
        <v>-1.1089489405370001</v>
      </c>
      <c r="AH6838">
        <v>8.3128384670938207</v>
      </c>
      <c r="AI6838">
        <v>97.557940511913102</v>
      </c>
      <c r="AJ6838">
        <v>95.957754335324793</v>
      </c>
      <c r="AK6838">
        <v>8.4312299613910096</v>
      </c>
      <c r="AL6838">
        <v>67.717830264943203</v>
      </c>
      <c r="AM6838">
        <v>99.682983650204804</v>
      </c>
      <c r="AN6838">
        <v>0.99999995034261802</v>
      </c>
    </row>
    <row r="6839" spans="1:40" x14ac:dyDescent="0.25">
      <c r="A6839" t="str">
        <f>"20190304164258093"</f>
        <v>20190304164258093</v>
      </c>
      <c r="B6839" t="str">
        <f>"1551688978088005"</f>
        <v>1551688978088005</v>
      </c>
      <c r="C6839" t="s">
        <v>40</v>
      </c>
      <c r="D6839">
        <v>4.8482059999999896</v>
      </c>
      <c r="E6839">
        <v>0.54006909999999997</v>
      </c>
      <c r="F6839" t="s">
        <v>64</v>
      </c>
      <c r="G6839">
        <v>-258.04599999999999</v>
      </c>
      <c r="H6839" s="1">
        <v>-2.8733940000000001E-6</v>
      </c>
      <c r="I6839">
        <v>-61.667740000000002</v>
      </c>
      <c r="J6839">
        <v>-266.53379999999999</v>
      </c>
      <c r="K6839">
        <v>1.1088899999999999</v>
      </c>
      <c r="L6839">
        <v>-61.846469999999997</v>
      </c>
      <c r="M6839">
        <v>0.99662899999999999</v>
      </c>
      <c r="N6839">
        <v>-8.1767780000000009E-3</v>
      </c>
      <c r="O6839">
        <v>-8.1632620000000003E-2</v>
      </c>
      <c r="P6839">
        <v>0.92494989999999999</v>
      </c>
      <c r="Q6839">
        <v>0.37131160000000002</v>
      </c>
      <c r="R6839">
        <v>8.121391E-2</v>
      </c>
      <c r="S6839">
        <v>3.4133</v>
      </c>
      <c r="T6839">
        <v>-0.43653730000000002</v>
      </c>
      <c r="U6839">
        <v>6.4300540000000003E-2</v>
      </c>
      <c r="V6839">
        <v>-0.155590899999999</v>
      </c>
      <c r="W6839">
        <v>0.37913740000000001</v>
      </c>
      <c r="X6839">
        <v>0.91216580000000003</v>
      </c>
      <c r="Y6839">
        <v>-9.8953490000000005E-2</v>
      </c>
      <c r="Z6839">
        <v>1.6432780000000001E-2</v>
      </c>
      <c r="AA6839">
        <v>0.99495639999999996</v>
      </c>
      <c r="AB6839">
        <v>36</v>
      </c>
      <c r="AC6839">
        <v>8.4877999999999894</v>
      </c>
      <c r="AD6839">
        <v>-1.108892873394</v>
      </c>
      <c r="AE6839">
        <v>0.178729999999994</v>
      </c>
      <c r="AF6839">
        <v>-0.85642670191344095</v>
      </c>
      <c r="AG6839">
        <v>-1.108892873394</v>
      </c>
      <c r="AH6839">
        <v>8.3032206821459393</v>
      </c>
      <c r="AI6839">
        <v>97.567148197054394</v>
      </c>
      <c r="AJ6839">
        <v>95.888886721040294</v>
      </c>
      <c r="AK6839">
        <v>8.4206047168140099</v>
      </c>
      <c r="AL6839">
        <v>67.719740214320893</v>
      </c>
      <c r="AM6839">
        <v>99.679953247481706</v>
      </c>
      <c r="AN6839">
        <v>1.0000000714656001</v>
      </c>
    </row>
    <row r="6840" spans="1:40" x14ac:dyDescent="0.25">
      <c r="A6840" t="str">
        <f>"20190304164258104"</f>
        <v>20190304164258104</v>
      </c>
      <c r="B6840" t="str">
        <f>"1551688978097765"</f>
        <v>1551688978097765</v>
      </c>
      <c r="C6840" t="s">
        <v>40</v>
      </c>
      <c r="D6840">
        <v>4.768465</v>
      </c>
      <c r="E6840">
        <v>0.54040880000000002</v>
      </c>
      <c r="F6840" t="s">
        <v>64</v>
      </c>
      <c r="G6840">
        <v>-257.87470000000002</v>
      </c>
      <c r="H6840" s="1">
        <v>-2.8065580000000001E-6</v>
      </c>
      <c r="I6840">
        <v>-61.697609999999997</v>
      </c>
      <c r="J6840">
        <v>-266.37099999999998</v>
      </c>
      <c r="K6840">
        <v>1.108835</v>
      </c>
      <c r="L6840">
        <v>-61.860199999999999</v>
      </c>
      <c r="M6840">
        <v>0.9965792</v>
      </c>
      <c r="N6840">
        <v>-8.17781699999999E-3</v>
      </c>
      <c r="O6840">
        <v>-8.2238530000000004E-2</v>
      </c>
      <c r="P6840">
        <v>0.92487189999999997</v>
      </c>
      <c r="Q6840">
        <v>0.37162650000000003</v>
      </c>
      <c r="R6840">
        <v>8.0658640000000004E-2</v>
      </c>
      <c r="S6840">
        <v>3.4137569999999999</v>
      </c>
      <c r="T6840">
        <v>-0.43716860000000002</v>
      </c>
      <c r="U6840">
        <v>5.8685300000000003E-2</v>
      </c>
      <c r="V6840">
        <v>-0.15553829999999999</v>
      </c>
      <c r="W6840">
        <v>0.37947170000000002</v>
      </c>
      <c r="X6840">
        <v>0.91203559999999995</v>
      </c>
      <c r="Y6840">
        <v>-9.7920610000000005E-2</v>
      </c>
      <c r="Z6840">
        <v>1.645657E-2</v>
      </c>
      <c r="AA6840">
        <v>0.9950582</v>
      </c>
      <c r="AB6840">
        <v>36</v>
      </c>
      <c r="AC6840">
        <v>8.4962999999999607</v>
      </c>
      <c r="AD6840">
        <v>-1.108837806558</v>
      </c>
      <c r="AE6840">
        <v>0.16259000000000101</v>
      </c>
      <c r="AF6840">
        <v>-0.84637521055107001</v>
      </c>
      <c r="AG6840">
        <v>-1.108837806558</v>
      </c>
      <c r="AH6840">
        <v>8.3126146209943208</v>
      </c>
      <c r="AI6840">
        <v>97.559329153410204</v>
      </c>
      <c r="AJ6840">
        <v>95.813716522290903</v>
      </c>
      <c r="AK6840">
        <v>8.4288453607511595</v>
      </c>
      <c r="AL6840">
        <v>67.699036083656907</v>
      </c>
      <c r="AM6840">
        <v>99.6780979726379</v>
      </c>
      <c r="AN6840">
        <v>0.99999993476756699</v>
      </c>
    </row>
    <row r="6841" spans="1:40" x14ac:dyDescent="0.25">
      <c r="A6841" t="str">
        <f>"20190304164258128"</f>
        <v>20190304164258128</v>
      </c>
      <c r="B6841" t="str">
        <f>"1551688978118262"</f>
        <v>1551688978118262</v>
      </c>
      <c r="C6841" t="s">
        <v>40</v>
      </c>
      <c r="D6841">
        <v>4.728593</v>
      </c>
      <c r="E6841">
        <v>0.54100190000000004</v>
      </c>
      <c r="F6841" t="s">
        <v>64</v>
      </c>
      <c r="G6841">
        <v>-257.69080000000002</v>
      </c>
      <c r="H6841" s="1">
        <v>-2.7343179999999999E-6</v>
      </c>
      <c r="I6841">
        <v>-61.727460000000001</v>
      </c>
      <c r="J6841">
        <v>-265.99169999999998</v>
      </c>
      <c r="K6841">
        <v>1.1087389999999999</v>
      </c>
      <c r="L6841">
        <v>-61.892699999999998</v>
      </c>
      <c r="M6841">
        <v>0.99645969999999995</v>
      </c>
      <c r="N6841">
        <v>-8.18146199999999E-3</v>
      </c>
      <c r="O6841">
        <v>-8.3673529999999996E-2</v>
      </c>
      <c r="P6841">
        <v>0.92445560000000004</v>
      </c>
      <c r="Q6841">
        <v>0.3728283</v>
      </c>
      <c r="R6841">
        <v>7.9881279999999999E-2</v>
      </c>
      <c r="S6841">
        <v>3.4143979999999998</v>
      </c>
      <c r="T6841">
        <v>-0.43617</v>
      </c>
      <c r="U6841">
        <v>5.2215579999999998E-2</v>
      </c>
      <c r="V6841">
        <v>-0.15595429999999999</v>
      </c>
      <c r="W6841">
        <v>0.38070979999999999</v>
      </c>
      <c r="X6841">
        <v>0.91144849999999999</v>
      </c>
      <c r="Y6841">
        <v>-9.7466230000000001E-2</v>
      </c>
      <c r="Z6841">
        <v>1.65551E-2</v>
      </c>
      <c r="AA6841">
        <v>0.99510120000000002</v>
      </c>
      <c r="AB6841">
        <v>36</v>
      </c>
      <c r="AC6841">
        <v>8.3008999999999507</v>
      </c>
      <c r="AD6841">
        <v>-1.1087417343179999</v>
      </c>
      <c r="AE6841">
        <v>0.165239999999997</v>
      </c>
      <c r="AF6841">
        <v>-0.84419430735366896</v>
      </c>
      <c r="AG6841">
        <v>-1.1087417343179999</v>
      </c>
      <c r="AH6841">
        <v>8.1132733048361398</v>
      </c>
      <c r="AI6841">
        <v>97.740431736596406</v>
      </c>
      <c r="AJ6841">
        <v>95.940307647509201</v>
      </c>
      <c r="AK6841">
        <v>8.2320821169952794</v>
      </c>
      <c r="AL6841">
        <v>67.622344520207093</v>
      </c>
      <c r="AM6841">
        <v>99.709622813823501</v>
      </c>
      <c r="AN6841">
        <v>1.0000000318283799</v>
      </c>
    </row>
    <row r="6842" spans="1:40" x14ac:dyDescent="0.25">
      <c r="A6842" t="str">
        <f>"20190304164258138"</f>
        <v>20190304164258138</v>
      </c>
      <c r="B6842" t="str">
        <f>"1551688978128021"</f>
        <v>1551688978128021</v>
      </c>
      <c r="C6842" t="s">
        <v>40</v>
      </c>
      <c r="D6842">
        <v>4.7280879999999996</v>
      </c>
      <c r="E6842">
        <v>0.54127009999999998</v>
      </c>
      <c r="F6842" t="s">
        <v>64</v>
      </c>
      <c r="G6842">
        <v>-257.22039999999998</v>
      </c>
      <c r="H6842" s="1">
        <v>-2.5465320000000001E-6</v>
      </c>
      <c r="I6842">
        <v>-61.790520000000001</v>
      </c>
      <c r="J6842">
        <v>-265.81529999999998</v>
      </c>
      <c r="K6842">
        <v>1.1087070000000001</v>
      </c>
      <c r="L6842">
        <v>-61.907960000000003</v>
      </c>
      <c r="M6842">
        <v>0.99640320000000004</v>
      </c>
      <c r="N6842">
        <v>-8.1835309999999904E-3</v>
      </c>
      <c r="O6842">
        <v>-8.4345530000000002E-2</v>
      </c>
      <c r="P6842">
        <v>0.92435780000000001</v>
      </c>
      <c r="Q6842">
        <v>0.37304029999999999</v>
      </c>
      <c r="R6842">
        <v>8.0025780000000005E-2</v>
      </c>
      <c r="S6842">
        <v>3.4158629999999999</v>
      </c>
      <c r="T6842">
        <v>-0.43178680000000003</v>
      </c>
      <c r="U6842">
        <v>3.9794919999999998E-2</v>
      </c>
      <c r="V6842">
        <v>-0.15667200000000001</v>
      </c>
      <c r="W6842">
        <v>0.38093830000000001</v>
      </c>
      <c r="X6842">
        <v>0.91122990000000004</v>
      </c>
      <c r="Y6842">
        <v>-9.4562779999999999E-2</v>
      </c>
      <c r="Z6842">
        <v>1.626414E-2</v>
      </c>
      <c r="AA6842">
        <v>0.99538610000000005</v>
      </c>
      <c r="AB6842">
        <v>36</v>
      </c>
      <c r="AC6842">
        <v>8.5948999999999902</v>
      </c>
      <c r="AD6842">
        <v>-1.1087095465319901</v>
      </c>
      <c r="AE6842">
        <v>0.117440000000002</v>
      </c>
      <c r="AF6842">
        <v>-0.82820815185192398</v>
      </c>
      <c r="AG6842">
        <v>-1.1087095465319901</v>
      </c>
      <c r="AH6842">
        <v>8.4143754752387192</v>
      </c>
      <c r="AI6842">
        <v>97.470575149378604</v>
      </c>
      <c r="AJ6842">
        <v>95.621388663558307</v>
      </c>
      <c r="AK6842">
        <v>8.5274193188598399</v>
      </c>
      <c r="AL6842">
        <v>67.608185176811801</v>
      </c>
      <c r="AM6842">
        <v>99.755744907605802</v>
      </c>
      <c r="AN6842">
        <v>1.0000000173224499</v>
      </c>
    </row>
    <row r="6843" spans="1:40" x14ac:dyDescent="0.25">
      <c r="A6843" t="str">
        <f>"20190304164258149"</f>
        <v>20190304164258149</v>
      </c>
      <c r="B6843" t="str">
        <f>"1551688978137781"</f>
        <v>1551688978137781</v>
      </c>
      <c r="C6843" t="s">
        <v>40</v>
      </c>
      <c r="D6843">
        <v>4.7273560000000003</v>
      </c>
      <c r="E6843">
        <v>0.54151110000000002</v>
      </c>
      <c r="F6843" t="s">
        <v>64</v>
      </c>
      <c r="G6843">
        <v>-257.02600000000001</v>
      </c>
      <c r="H6843" s="1">
        <v>-2.4693319999999998E-6</v>
      </c>
      <c r="I6843">
        <v>-61.818449999999999</v>
      </c>
      <c r="J6843">
        <v>-265.63780000000003</v>
      </c>
      <c r="K6843">
        <v>1.1086750000000001</v>
      </c>
      <c r="L6843">
        <v>-61.923520000000003</v>
      </c>
      <c r="M6843">
        <v>0.99634540000000005</v>
      </c>
      <c r="N6843">
        <v>-8.1859580000000001E-3</v>
      </c>
      <c r="O6843">
        <v>-8.5022710000000001E-2</v>
      </c>
      <c r="P6843">
        <v>0.92410990000000004</v>
      </c>
      <c r="Q6843">
        <v>0.37356050000000002</v>
      </c>
      <c r="R6843">
        <v>8.0458119999999994E-2</v>
      </c>
      <c r="S6843">
        <v>3.4164430000000001</v>
      </c>
      <c r="T6843">
        <v>-0.4309595</v>
      </c>
      <c r="U6843">
        <v>3.4790040000000001E-2</v>
      </c>
      <c r="V6843">
        <v>-0.15767229999999999</v>
      </c>
      <c r="W6843">
        <v>0.38147209999999998</v>
      </c>
      <c r="X6843">
        <v>0.91083400000000003</v>
      </c>
      <c r="Y6843">
        <v>-9.3787029999999993E-2</v>
      </c>
      <c r="Z6843">
        <v>1.6257130000000002E-2</v>
      </c>
      <c r="AA6843">
        <v>0.9954596</v>
      </c>
      <c r="AB6843">
        <v>36</v>
      </c>
      <c r="AC6843">
        <v>8.6118000000000094</v>
      </c>
      <c r="AD6843">
        <v>-1.1086774693320001</v>
      </c>
      <c r="AE6843">
        <v>0.105069999999997</v>
      </c>
      <c r="AF6843">
        <v>-0.82326991970682195</v>
      </c>
      <c r="AG6843">
        <v>-1.1086774693320001</v>
      </c>
      <c r="AH6843">
        <v>8.43195221719761</v>
      </c>
      <c r="AI6843">
        <v>97.455530567645994</v>
      </c>
      <c r="AJ6843">
        <v>95.576508548690995</v>
      </c>
      <c r="AK6843">
        <v>8.5442821398173692</v>
      </c>
      <c r="AL6843">
        <v>67.575103330252404</v>
      </c>
      <c r="AM6843">
        <v>99.821007916652107</v>
      </c>
      <c r="AN6843">
        <v>1.0000000464108401</v>
      </c>
    </row>
    <row r="6844" spans="1:40" x14ac:dyDescent="0.25">
      <c r="A6844" t="str">
        <f>"20190304164258161"</f>
        <v>20190304164258161</v>
      </c>
      <c r="B6844" t="str">
        <f>"1551688978158278"</f>
        <v>1551688978158278</v>
      </c>
      <c r="C6844" t="s">
        <v>40</v>
      </c>
      <c r="D6844">
        <v>4.7401859999999996</v>
      </c>
      <c r="E6844">
        <v>0.54198559999999996</v>
      </c>
      <c r="F6844" t="s">
        <v>64</v>
      </c>
      <c r="G6844">
        <v>-256.81270000000001</v>
      </c>
      <c r="H6844" s="1">
        <v>-2.3830319999999999E-6</v>
      </c>
      <c r="I6844">
        <v>-61.841790000000003</v>
      </c>
      <c r="J6844">
        <v>-265.45240000000001</v>
      </c>
      <c r="K6844">
        <v>1.108649</v>
      </c>
      <c r="L6844">
        <v>-61.939790000000002</v>
      </c>
      <c r="M6844">
        <v>0.99628479999999997</v>
      </c>
      <c r="N6844">
        <v>-8.1886219999999996E-3</v>
      </c>
      <c r="O6844">
        <v>-8.5730150000000005E-2</v>
      </c>
      <c r="P6844">
        <v>0.92398480000000005</v>
      </c>
      <c r="Q6844">
        <v>0.37375069999999999</v>
      </c>
      <c r="R6844">
        <v>8.1012199999999895E-2</v>
      </c>
      <c r="S6844">
        <v>3.4171450000000001</v>
      </c>
      <c r="T6844">
        <v>-0.4292899</v>
      </c>
      <c r="U6844">
        <v>3.1646729999999998E-2</v>
      </c>
      <c r="V6844">
        <v>-0.1588347</v>
      </c>
      <c r="W6844">
        <v>0.3816775</v>
      </c>
      <c r="X6844">
        <v>0.91054590000000002</v>
      </c>
      <c r="Y6844">
        <v>-9.358437E-2</v>
      </c>
      <c r="Z6844">
        <v>1.6258910000000001E-2</v>
      </c>
      <c r="AA6844">
        <v>0.99547859999999999</v>
      </c>
      <c r="AB6844">
        <v>36</v>
      </c>
      <c r="AC6844">
        <v>8.6396999999999995</v>
      </c>
      <c r="AD6844">
        <v>-1.1086513830319999</v>
      </c>
      <c r="AE6844">
        <v>9.7999999999998894E-2</v>
      </c>
      <c r="AF6844">
        <v>-0.82476772557668698</v>
      </c>
      <c r="AG6844">
        <v>-1.1086513830319999</v>
      </c>
      <c r="AH6844">
        <v>8.4601988766192608</v>
      </c>
      <c r="AI6844">
        <v>97.430849796974201</v>
      </c>
      <c r="AJ6844">
        <v>95.568055046272903</v>
      </c>
      <c r="AK6844">
        <v>8.5722992669529106</v>
      </c>
      <c r="AL6844">
        <v>67.562370501548699</v>
      </c>
      <c r="AM6844">
        <v>99.895053740478502</v>
      </c>
      <c r="AN6844">
        <v>1.0000000059685701</v>
      </c>
    </row>
    <row r="6845" spans="1:40" x14ac:dyDescent="0.25">
      <c r="A6845" t="str">
        <f>"20190304164258172"</f>
        <v>20190304164258172</v>
      </c>
      <c r="B6845" t="str">
        <f>"1551688978168037"</f>
        <v>1551688978168037</v>
      </c>
      <c r="C6845" t="s">
        <v>40</v>
      </c>
      <c r="D6845">
        <v>4.7420580000000001</v>
      </c>
      <c r="E6845">
        <v>0.54219479999999998</v>
      </c>
      <c r="F6845" t="s">
        <v>64</v>
      </c>
      <c r="G6845">
        <v>-256.62290000000002</v>
      </c>
      <c r="H6845" s="1">
        <v>-2.3081259999999998E-6</v>
      </c>
      <c r="I6845">
        <v>-61.871119999999998</v>
      </c>
      <c r="J6845">
        <v>-265.27080000000001</v>
      </c>
      <c r="K6845">
        <v>1.1086240000000001</v>
      </c>
      <c r="L6845">
        <v>-61.955959999999997</v>
      </c>
      <c r="M6845">
        <v>0.99622520000000003</v>
      </c>
      <c r="N6845">
        <v>-8.1916100000000002E-3</v>
      </c>
      <c r="O6845">
        <v>-8.6421280000000003E-2</v>
      </c>
      <c r="P6845">
        <v>0.92382710000000001</v>
      </c>
      <c r="Q6845">
        <v>0.37398979999999998</v>
      </c>
      <c r="R6845">
        <v>8.1704680000000002E-2</v>
      </c>
      <c r="S6845">
        <v>3.418091</v>
      </c>
      <c r="T6845">
        <v>-0.42918210000000001</v>
      </c>
      <c r="U6845">
        <v>2.658081E-2</v>
      </c>
      <c r="V6845">
        <v>-0.16012290000000001</v>
      </c>
      <c r="W6845">
        <v>0.38192910000000002</v>
      </c>
      <c r="X6845">
        <v>0.91021470000000004</v>
      </c>
      <c r="Y6845">
        <v>-9.2800430000000003E-2</v>
      </c>
      <c r="Z6845">
        <v>1.6278330000000001E-2</v>
      </c>
      <c r="AA6845">
        <v>0.99555159999999998</v>
      </c>
      <c r="AB6845">
        <v>36</v>
      </c>
      <c r="AC6845">
        <v>8.6478999999999893</v>
      </c>
      <c r="AD6845">
        <v>-1.1086263081259999</v>
      </c>
      <c r="AE6845">
        <v>8.4839999999999804E-2</v>
      </c>
      <c r="AF6845">
        <v>-0.81846061771618095</v>
      </c>
      <c r="AG6845">
        <v>-1.1086263081259999</v>
      </c>
      <c r="AH6845">
        <v>8.46904237729321</v>
      </c>
      <c r="AI6845">
        <v>97.423608477669802</v>
      </c>
      <c r="AJ6845">
        <v>95.520005529947099</v>
      </c>
      <c r="AK6845">
        <v>8.5804200865814106</v>
      </c>
      <c r="AL6845">
        <v>67.546772924654903</v>
      </c>
      <c r="AM6845">
        <v>99.977256890813607</v>
      </c>
      <c r="AN6845">
        <v>0.99999999031365505</v>
      </c>
    </row>
    <row r="6846" spans="1:40" x14ac:dyDescent="0.25">
      <c r="A6846" t="str">
        <f>"20190304164258183"</f>
        <v>20190304164258183</v>
      </c>
      <c r="B6846" t="str">
        <f>"1551688978177797"</f>
        <v>1551688978177797</v>
      </c>
      <c r="C6846" t="s">
        <v>40</v>
      </c>
      <c r="D6846">
        <v>4.735868</v>
      </c>
      <c r="E6846">
        <v>0.54239119999999996</v>
      </c>
      <c r="F6846" t="s">
        <v>64</v>
      </c>
      <c r="G6846">
        <v>-256.42689999999999</v>
      </c>
      <c r="H6846" s="1">
        <v>-2.2289730000000001E-6</v>
      </c>
      <c r="I6846">
        <v>-61.893279999999997</v>
      </c>
      <c r="J6846">
        <v>-265.08580000000001</v>
      </c>
      <c r="K6846">
        <v>1.108603</v>
      </c>
      <c r="L6846">
        <v>-61.972499999999997</v>
      </c>
      <c r="M6846">
        <v>0.99616380000000004</v>
      </c>
      <c r="N6846">
        <v>-8.1947040000000006E-3</v>
      </c>
      <c r="O6846">
        <v>-8.7123729999999996E-2</v>
      </c>
      <c r="P6846">
        <v>0.92367659999999996</v>
      </c>
      <c r="Q6846">
        <v>0.37413449999999998</v>
      </c>
      <c r="R6846">
        <v>8.2734580000000002E-2</v>
      </c>
      <c r="S6846">
        <v>3.418701</v>
      </c>
      <c r="T6846">
        <v>-0.4285543</v>
      </c>
      <c r="U6846">
        <v>2.4230959999999999E-2</v>
      </c>
      <c r="V6846">
        <v>-0.16175919999999999</v>
      </c>
      <c r="W6846">
        <v>0.3820868</v>
      </c>
      <c r="X6846">
        <v>0.90985910000000003</v>
      </c>
      <c r="Y6846">
        <v>-9.2816430000000005E-2</v>
      </c>
      <c r="Z6846">
        <v>1.633391E-2</v>
      </c>
      <c r="AA6846">
        <v>0.99554929999999997</v>
      </c>
      <c r="AB6846">
        <v>36</v>
      </c>
      <c r="AC6846">
        <v>8.6589000000000098</v>
      </c>
      <c r="AD6846">
        <v>-1.108605228973</v>
      </c>
      <c r="AE6846">
        <v>7.9219999999992297E-2</v>
      </c>
      <c r="AF6846">
        <v>-0.81990115227326599</v>
      </c>
      <c r="AG6846">
        <v>-1.108605228973</v>
      </c>
      <c r="AH6846">
        <v>8.4800774696642698</v>
      </c>
      <c r="AI6846">
        <v>97.413885335381707</v>
      </c>
      <c r="AJ6846">
        <v>95.522509657436601</v>
      </c>
      <c r="AK6846">
        <v>8.5914467550414901</v>
      </c>
      <c r="AL6846">
        <v>67.536995438315799</v>
      </c>
      <c r="AM6846">
        <v>100.08099300237301</v>
      </c>
      <c r="AN6846">
        <v>0.99999997168584398</v>
      </c>
    </row>
    <row r="6847" spans="1:40" x14ac:dyDescent="0.25">
      <c r="A6847" t="str">
        <f>"20190304164258194"</f>
        <v>20190304164258194</v>
      </c>
      <c r="B6847" t="str">
        <f>"1551688978187557"</f>
        <v>1551688978187557</v>
      </c>
      <c r="C6847" t="s">
        <v>40</v>
      </c>
      <c r="D6847">
        <v>4.7255459999999996</v>
      </c>
      <c r="E6847">
        <v>0.54257949999999999</v>
      </c>
      <c r="F6847" t="s">
        <v>64</v>
      </c>
      <c r="G6847">
        <v>-256.2396</v>
      </c>
      <c r="H6847" s="1">
        <v>-2.1525639999999998E-6</v>
      </c>
      <c r="I6847">
        <v>-61.911079999999998</v>
      </c>
      <c r="J6847">
        <v>-264.90370000000001</v>
      </c>
      <c r="K6847">
        <v>1.1085879999999999</v>
      </c>
      <c r="L6847">
        <v>-61.98901</v>
      </c>
      <c r="M6847">
        <v>0.99610359999999998</v>
      </c>
      <c r="N6847">
        <v>-8.1980649999999992E-3</v>
      </c>
      <c r="O6847">
        <v>-8.7810840000000001E-2</v>
      </c>
      <c r="P6847">
        <v>0.92364659999999998</v>
      </c>
      <c r="Q6847">
        <v>0.37398360000000003</v>
      </c>
      <c r="R6847">
        <v>8.3746260000000003E-2</v>
      </c>
      <c r="S6847">
        <v>3.4193419999999999</v>
      </c>
      <c r="T6847">
        <v>-0.42851</v>
      </c>
      <c r="U6847">
        <v>2.3742679999999999E-2</v>
      </c>
      <c r="V6847">
        <v>-0.16338</v>
      </c>
      <c r="W6847">
        <v>0.38194810000000001</v>
      </c>
      <c r="X6847">
        <v>0.90962779999999999</v>
      </c>
      <c r="Y6847">
        <v>-9.3351340000000005E-2</v>
      </c>
      <c r="Z6847">
        <v>1.6444440000000001E-2</v>
      </c>
      <c r="AA6847">
        <v>0.99549739999999998</v>
      </c>
      <c r="AB6847">
        <v>36</v>
      </c>
      <c r="AC6847">
        <v>8.6641000000000101</v>
      </c>
      <c r="AD6847">
        <v>-1.1085901525639901</v>
      </c>
      <c r="AE6847">
        <v>7.7929999999994906E-2</v>
      </c>
      <c r="AF6847">
        <v>-0.82495148116550698</v>
      </c>
      <c r="AG6847">
        <v>-1.1085901525639901</v>
      </c>
      <c r="AH6847">
        <v>8.4848852740542196</v>
      </c>
      <c r="AI6847">
        <v>97.409251092572205</v>
      </c>
      <c r="AJ6847">
        <v>95.553185627561803</v>
      </c>
      <c r="AK6847">
        <v>8.5966734953993207</v>
      </c>
      <c r="AL6847">
        <v>67.545596535994605</v>
      </c>
      <c r="AM6847">
        <v>100.182435001074</v>
      </c>
      <c r="AN6847">
        <v>1.00000005501322</v>
      </c>
    </row>
    <row r="6848" spans="1:40" x14ac:dyDescent="0.25">
      <c r="A6848" t="str">
        <f>"20190304164258205"</f>
        <v>20190304164258205</v>
      </c>
      <c r="B6848" t="str">
        <f>"1551688978198294"</f>
        <v>1551688978198294</v>
      </c>
      <c r="C6848" t="s">
        <v>40</v>
      </c>
      <c r="D6848">
        <v>4.740157</v>
      </c>
      <c r="E6848">
        <v>0.54275929999999994</v>
      </c>
      <c r="F6848" t="s">
        <v>64</v>
      </c>
      <c r="G6848">
        <v>-256.07409999999999</v>
      </c>
      <c r="H6848" s="1">
        <v>-2.085485E-6</v>
      </c>
      <c r="I6848">
        <v>-61.928660000000001</v>
      </c>
      <c r="J6848">
        <v>-264.72899999999998</v>
      </c>
      <c r="K6848">
        <v>1.108571</v>
      </c>
      <c r="L6848">
        <v>-62.004849999999998</v>
      </c>
      <c r="M6848">
        <v>0.99604519999999996</v>
      </c>
      <c r="N6848">
        <v>-8.2020129999999993E-3</v>
      </c>
      <c r="O6848">
        <v>-8.8467169999999998E-2</v>
      </c>
      <c r="P6848">
        <v>0.92367319999999997</v>
      </c>
      <c r="Q6848">
        <v>0.37362030000000002</v>
      </c>
      <c r="R6848">
        <v>8.5061769999999995E-2</v>
      </c>
      <c r="S6848">
        <v>3.4197389999999999</v>
      </c>
      <c r="T6848">
        <v>-0.42936210000000002</v>
      </c>
      <c r="U6848">
        <v>2.3376460000000002E-2</v>
      </c>
      <c r="V6848">
        <v>-0.16528190000000001</v>
      </c>
      <c r="W6848">
        <v>0.38159860000000001</v>
      </c>
      <c r="X6848">
        <v>0.90943090000000004</v>
      </c>
      <c r="Y6848">
        <v>-9.3885759999999999E-2</v>
      </c>
      <c r="Z6848">
        <v>1.658755E-2</v>
      </c>
      <c r="AA6848">
        <v>0.99544480000000002</v>
      </c>
      <c r="AB6848">
        <v>36</v>
      </c>
      <c r="AC6848">
        <v>8.6549000000000493</v>
      </c>
      <c r="AD6848">
        <v>-1.108573085485</v>
      </c>
      <c r="AE6848">
        <v>7.6189999999996802E-2</v>
      </c>
      <c r="AF6848">
        <v>-0.82800829659197295</v>
      </c>
      <c r="AG6848">
        <v>-1.108573085485</v>
      </c>
      <c r="AH6848">
        <v>8.4751883498802805</v>
      </c>
      <c r="AI6848">
        <v>97.417186960213499</v>
      </c>
      <c r="AJ6848">
        <v>95.579970213590599</v>
      </c>
      <c r="AK6848">
        <v>8.5873948081495204</v>
      </c>
      <c r="AL6848">
        <v>67.5672630646785</v>
      </c>
      <c r="AM6848">
        <v>100.300627862479</v>
      </c>
      <c r="AN6848">
        <v>1.00000007993218</v>
      </c>
    </row>
    <row r="6849" spans="1:40" x14ac:dyDescent="0.25">
      <c r="A6849" t="str">
        <f>"20190304164258215"</f>
        <v>20190304164258215</v>
      </c>
      <c r="B6849" t="str">
        <f>"1551688978208054"</f>
        <v>1551688978208054</v>
      </c>
      <c r="C6849" t="s">
        <v>40</v>
      </c>
      <c r="D6849">
        <v>4.7239810000000002</v>
      </c>
      <c r="E6849">
        <v>0.54292320000000005</v>
      </c>
      <c r="F6849" t="s">
        <v>64</v>
      </c>
      <c r="G6849">
        <v>-255.93879999999999</v>
      </c>
      <c r="H6849" s="1">
        <v>-2.0300360000000002E-6</v>
      </c>
      <c r="I6849">
        <v>-61.940300000000001</v>
      </c>
      <c r="J6849">
        <v>-264.54750000000001</v>
      </c>
      <c r="K6849">
        <v>1.10856</v>
      </c>
      <c r="L6849">
        <v>-62.021509999999999</v>
      </c>
      <c r="M6849">
        <v>0.99598500000000001</v>
      </c>
      <c r="N6849">
        <v>-8.2077019999999903E-3</v>
      </c>
      <c r="O6849">
        <v>-8.9144810000000005E-2</v>
      </c>
      <c r="P6849">
        <v>0.92371170000000002</v>
      </c>
      <c r="Q6849">
        <v>0.37331189999999997</v>
      </c>
      <c r="R6849">
        <v>8.5996520000000007E-2</v>
      </c>
      <c r="S6849">
        <v>3.4200439999999999</v>
      </c>
      <c r="T6849">
        <v>-0.43131659999999999</v>
      </c>
      <c r="U6849">
        <v>2.5115970000000001E-2</v>
      </c>
      <c r="V6849">
        <v>-0.1668279</v>
      </c>
      <c r="W6849">
        <v>0.38130330000000001</v>
      </c>
      <c r="X6849">
        <v>0.90927239999999998</v>
      </c>
      <c r="Y6849">
        <v>-9.5041680000000003E-2</v>
      </c>
      <c r="Z6849">
        <v>1.681902E-2</v>
      </c>
      <c r="AA6849">
        <v>0.99533119999999997</v>
      </c>
      <c r="AB6849">
        <v>37</v>
      </c>
      <c r="AC6849">
        <v>8.6087000000000202</v>
      </c>
      <c r="AD6849">
        <v>-1.108562030036</v>
      </c>
      <c r="AE6849">
        <v>8.1209999999998603E-2</v>
      </c>
      <c r="AF6849">
        <v>-0.83449667681709805</v>
      </c>
      <c r="AG6849">
        <v>-1.108562030036</v>
      </c>
      <c r="AH6849">
        <v>8.42744988485099</v>
      </c>
      <c r="AI6849">
        <v>97.457706684891704</v>
      </c>
      <c r="AJ6849">
        <v>95.655065129466195</v>
      </c>
      <c r="AK6849">
        <v>8.5409136536866708</v>
      </c>
      <c r="AL6849">
        <v>67.585565170025802</v>
      </c>
      <c r="AM6849">
        <v>100.396658538221</v>
      </c>
      <c r="AN6849">
        <v>1.00000002610552</v>
      </c>
    </row>
    <row r="6850" spans="1:40" x14ac:dyDescent="0.25">
      <c r="A6850" t="str">
        <f>"20190304164258227"</f>
        <v>20190304164258227</v>
      </c>
      <c r="B6850" t="str">
        <f>"1551688978217813"</f>
        <v>1551688978217813</v>
      </c>
      <c r="C6850" t="s">
        <v>40</v>
      </c>
      <c r="D6850">
        <v>4.71122</v>
      </c>
      <c r="E6850">
        <v>0.54307039999999995</v>
      </c>
      <c r="F6850" t="s">
        <v>64</v>
      </c>
      <c r="G6850">
        <v>-255.79140000000001</v>
      </c>
      <c r="H6850" s="1">
        <v>-1.9701040000000001E-6</v>
      </c>
      <c r="I6850">
        <v>-61.955190000000002</v>
      </c>
      <c r="J6850">
        <v>-264.36810000000003</v>
      </c>
      <c r="K6850">
        <v>1.1085529999999999</v>
      </c>
      <c r="L6850">
        <v>-62.038060000000002</v>
      </c>
      <c r="M6850">
        <v>0.99592530000000001</v>
      </c>
      <c r="N6850">
        <v>-8.2152749999999993E-3</v>
      </c>
      <c r="O6850">
        <v>-8.9807639999999994E-2</v>
      </c>
      <c r="P6850">
        <v>0.92376519999999995</v>
      </c>
      <c r="Q6850">
        <v>0.3729169</v>
      </c>
      <c r="R6850">
        <v>8.7126319999999993E-2</v>
      </c>
      <c r="S6850">
        <v>3.4203489999999999</v>
      </c>
      <c r="T6850">
        <v>-0.43303229999999998</v>
      </c>
      <c r="U6850">
        <v>2.5909419999999999E-2</v>
      </c>
      <c r="V6850">
        <v>-0.1685593</v>
      </c>
      <c r="W6850">
        <v>0.38092189999999998</v>
      </c>
      <c r="X6850">
        <v>0.9091129</v>
      </c>
      <c r="Y6850">
        <v>-9.5911170000000004E-2</v>
      </c>
      <c r="Z6850">
        <v>1.7021250000000002E-2</v>
      </c>
      <c r="AA6850">
        <v>0.99524440000000003</v>
      </c>
      <c r="AB6850">
        <v>37</v>
      </c>
      <c r="AC6850">
        <v>8.5767000000000095</v>
      </c>
      <c r="AD6850">
        <v>-1.1085549701040001</v>
      </c>
      <c r="AE6850">
        <v>8.2869999999992602E-2</v>
      </c>
      <c r="AF6850">
        <v>-0.83880247331902402</v>
      </c>
      <c r="AG6850">
        <v>-1.1085549701040001</v>
      </c>
      <c r="AH6850">
        <v>8.3943738964794008</v>
      </c>
      <c r="AI6850">
        <v>97.486053726201604</v>
      </c>
      <c r="AJ6850">
        <v>95.706302392576703</v>
      </c>
      <c r="AK6850">
        <v>8.5087012419571497</v>
      </c>
      <c r="AL6850">
        <v>67.6092010000839</v>
      </c>
      <c r="AM6850">
        <v>100.50397162602199</v>
      </c>
      <c r="AN6850">
        <v>0.99999999823125496</v>
      </c>
    </row>
    <row r="6851" spans="1:40" x14ac:dyDescent="0.25">
      <c r="A6851" t="str">
        <f>"20190304164258238"</f>
        <v>20190304164258238</v>
      </c>
      <c r="B6851" t="str">
        <f>"1551688978228551"</f>
        <v>1551688978228551</v>
      </c>
      <c r="C6851" t="s">
        <v>40</v>
      </c>
      <c r="D6851">
        <v>4.748297</v>
      </c>
      <c r="E6851">
        <v>0.54324050000000002</v>
      </c>
      <c r="F6851" t="s">
        <v>64</v>
      </c>
      <c r="G6851">
        <v>-255.65209999999999</v>
      </c>
      <c r="H6851" s="1">
        <v>-1.9130219999999999E-6</v>
      </c>
      <c r="I6851">
        <v>-61.967219999999998</v>
      </c>
      <c r="J6851">
        <v>-264.18520000000001</v>
      </c>
      <c r="K6851">
        <v>1.1085579999999999</v>
      </c>
      <c r="L6851">
        <v>-62.055019999999899</v>
      </c>
      <c r="M6851">
        <v>0.99586459999999999</v>
      </c>
      <c r="N6851">
        <v>-8.2248970000000001E-3</v>
      </c>
      <c r="O6851">
        <v>-9.0476749999999995E-2</v>
      </c>
      <c r="P6851">
        <v>0.92365410000000003</v>
      </c>
      <c r="Q6851">
        <v>0.37298890000000001</v>
      </c>
      <c r="R6851">
        <v>8.7991819999999998E-2</v>
      </c>
      <c r="S6851">
        <v>3.4205930000000002</v>
      </c>
      <c r="T6851">
        <v>-0.43505389999999999</v>
      </c>
      <c r="U6851">
        <v>2.7801510000000001E-2</v>
      </c>
      <c r="V6851">
        <v>-0.17001869999999999</v>
      </c>
      <c r="W6851">
        <v>0.3810074</v>
      </c>
      <c r="X6851">
        <v>0.90880530000000004</v>
      </c>
      <c r="Y6851">
        <v>-9.7101480000000004E-2</v>
      </c>
      <c r="Z6851">
        <v>1.7259429999999999E-2</v>
      </c>
      <c r="AA6851">
        <v>0.99512480000000003</v>
      </c>
      <c r="AB6851">
        <v>37</v>
      </c>
      <c r="AC6851">
        <v>8.5331000000000099</v>
      </c>
      <c r="AD6851">
        <v>-1.1085599130220001</v>
      </c>
      <c r="AE6851">
        <v>8.7799999999994299E-2</v>
      </c>
      <c r="AF6851">
        <v>-0.84524907559078499</v>
      </c>
      <c r="AG6851">
        <v>-1.1085599130220001</v>
      </c>
      <c r="AH6851">
        <v>8.3492570203763101</v>
      </c>
      <c r="AI6851">
        <v>97.525104870736797</v>
      </c>
      <c r="AJ6851">
        <v>95.780726020301103</v>
      </c>
      <c r="AK6851">
        <v>8.4648357262766503</v>
      </c>
      <c r="AL6851">
        <v>67.603903535278604</v>
      </c>
      <c r="AM6851">
        <v>100.596370281709</v>
      </c>
      <c r="AN6851">
        <v>1.0000000352562599</v>
      </c>
    </row>
    <row r="6852" spans="1:40" x14ac:dyDescent="0.25">
      <c r="A6852" t="str">
        <f>"20190304164258250"</f>
        <v>20190304164258250</v>
      </c>
      <c r="B6852" t="str">
        <f>"1551688978238310"</f>
        <v>1551688978238310</v>
      </c>
      <c r="C6852" t="s">
        <v>40</v>
      </c>
      <c r="D6852">
        <v>4.7478199999999999</v>
      </c>
      <c r="E6852">
        <v>0.54339879999999996</v>
      </c>
      <c r="F6852" t="s">
        <v>64</v>
      </c>
      <c r="G6852">
        <v>-255.47989999999999</v>
      </c>
      <c r="H6852" s="1">
        <v>-1.841905E-6</v>
      </c>
      <c r="I6852">
        <v>-61.979550000000003</v>
      </c>
      <c r="J6852">
        <v>-264.00360000000001</v>
      </c>
      <c r="K6852">
        <v>1.1085609999999999</v>
      </c>
      <c r="L6852">
        <v>-62.072049999999997</v>
      </c>
      <c r="M6852">
        <v>0.9958053</v>
      </c>
      <c r="N6852">
        <v>-8.2362059999999994E-3</v>
      </c>
      <c r="O6852">
        <v>-9.1126840000000001E-2</v>
      </c>
      <c r="P6852">
        <v>0.92355050000000005</v>
      </c>
      <c r="Q6852">
        <v>0.37299009999999999</v>
      </c>
      <c r="R6852">
        <v>8.9069010000000004E-2</v>
      </c>
      <c r="S6852">
        <v>3.4210820000000002</v>
      </c>
      <c r="T6852">
        <v>-0.43565389999999998</v>
      </c>
      <c r="U6852">
        <v>2.966309E-2</v>
      </c>
      <c r="V6852">
        <v>-0.17167850000000001</v>
      </c>
      <c r="W6852">
        <v>0.3810211</v>
      </c>
      <c r="X6852">
        <v>0.90848739999999994</v>
      </c>
      <c r="Y6852">
        <v>-9.8273089999999994E-2</v>
      </c>
      <c r="Z6852">
        <v>1.7436589999999998E-2</v>
      </c>
      <c r="AA6852">
        <v>0.99500670000000002</v>
      </c>
      <c r="AB6852">
        <v>37</v>
      </c>
      <c r="AC6852">
        <v>8.5237000000000194</v>
      </c>
      <c r="AD6852">
        <v>-1.108562841905</v>
      </c>
      <c r="AE6852">
        <v>9.2499999999994004E-2</v>
      </c>
      <c r="AF6852">
        <v>-0.85442854843442795</v>
      </c>
      <c r="AG6852">
        <v>-1.108562841905</v>
      </c>
      <c r="AH6852">
        <v>8.3387722347214499</v>
      </c>
      <c r="AI6852">
        <v>97.533555641372999</v>
      </c>
      <c r="AJ6852">
        <v>95.850368990239403</v>
      </c>
      <c r="AK6852">
        <v>8.4554173227223792</v>
      </c>
      <c r="AL6852">
        <v>67.603053025309507</v>
      </c>
      <c r="AM6852">
        <v>100.701097515857</v>
      </c>
      <c r="AN6852">
        <v>0.999999970983109</v>
      </c>
    </row>
    <row r="6853" spans="1:40" x14ac:dyDescent="0.25">
      <c r="A6853" t="str">
        <f>"20190304164258260"</f>
        <v>20190304164258260</v>
      </c>
      <c r="B6853" t="str">
        <f>"1551688978257830"</f>
        <v>1551688978257830</v>
      </c>
      <c r="C6853" t="s">
        <v>40</v>
      </c>
      <c r="D6853">
        <v>4.7663260000000003</v>
      </c>
      <c r="E6853">
        <v>0.54371979999999998</v>
      </c>
      <c r="F6853" t="s">
        <v>64</v>
      </c>
      <c r="G6853">
        <v>-255.31039999999999</v>
      </c>
      <c r="H6853" s="1">
        <v>-1.7718389999999999E-6</v>
      </c>
      <c r="I6853">
        <v>-61.991570000000003</v>
      </c>
      <c r="J6853">
        <v>-263.81959999999998</v>
      </c>
      <c r="K6853">
        <v>1.1085640000000001</v>
      </c>
      <c r="L6853">
        <v>-62.089359999999999</v>
      </c>
      <c r="M6853">
        <v>0.99574530000000006</v>
      </c>
      <c r="N6853">
        <v>-8.2483790000000001E-3</v>
      </c>
      <c r="O6853">
        <v>-9.1778700000000005E-2</v>
      </c>
      <c r="P6853">
        <v>0.92336450000000003</v>
      </c>
      <c r="Q6853">
        <v>0.3732434</v>
      </c>
      <c r="R6853">
        <v>8.9930640000000006E-2</v>
      </c>
      <c r="S6853">
        <v>3.421478</v>
      </c>
      <c r="T6853">
        <v>-0.43630980000000003</v>
      </c>
      <c r="U6853">
        <v>3.1677249999999997E-2</v>
      </c>
      <c r="V6853">
        <v>-0.173117299999999</v>
      </c>
      <c r="W6853">
        <v>0.3812856</v>
      </c>
      <c r="X6853">
        <v>0.90810329999999995</v>
      </c>
      <c r="Y6853">
        <v>-9.9489859999999999E-2</v>
      </c>
      <c r="Z6853">
        <v>1.762012E-2</v>
      </c>
      <c r="AA6853">
        <v>0.99488259999999995</v>
      </c>
      <c r="AB6853">
        <v>37</v>
      </c>
      <c r="AC6853">
        <v>8.5091999999999892</v>
      </c>
      <c r="AD6853">
        <v>-1.1085657718389901</v>
      </c>
      <c r="AE6853">
        <v>9.7790000000003305E-2</v>
      </c>
      <c r="AF6853">
        <v>-0.86370973196857304</v>
      </c>
      <c r="AG6853">
        <v>-1.1085657718389901</v>
      </c>
      <c r="AH6853">
        <v>8.32306408567222</v>
      </c>
      <c r="AI6853">
        <v>97.546633693898499</v>
      </c>
      <c r="AJ6853">
        <v>95.924551568408503</v>
      </c>
      <c r="AK6853">
        <v>8.4408713025254105</v>
      </c>
      <c r="AL6853">
        <v>67.586660521357601</v>
      </c>
      <c r="AM6853">
        <v>100.793140707839</v>
      </c>
      <c r="AN6853">
        <v>0.999999955898769</v>
      </c>
    </row>
    <row r="6854" spans="1:40" x14ac:dyDescent="0.25">
      <c r="A6854" t="str">
        <f>"20190304164258273"</f>
        <v>20190304164258273</v>
      </c>
      <c r="B6854" t="str">
        <f>"1551688978267592"</f>
        <v>1551688978267592</v>
      </c>
      <c r="C6854" t="s">
        <v>40</v>
      </c>
      <c r="D6854">
        <v>4.7331059999999896</v>
      </c>
      <c r="E6854">
        <v>0.54387030000000003</v>
      </c>
      <c r="F6854" t="s">
        <v>64</v>
      </c>
      <c r="G6854">
        <v>-255.1395</v>
      </c>
      <c r="H6854" s="1">
        <v>-1.7023119999999999E-6</v>
      </c>
      <c r="I6854">
        <v>-62.008479999999999</v>
      </c>
      <c r="J6854">
        <v>-263.62299999999999</v>
      </c>
      <c r="K6854">
        <v>1.1085799999999999</v>
      </c>
      <c r="L6854">
        <v>-62.108029999999999</v>
      </c>
      <c r="M6854">
        <v>0.99568389999999996</v>
      </c>
      <c r="N6854">
        <v>-8.2622790000000008E-3</v>
      </c>
      <c r="O6854">
        <v>-9.2442070000000001E-2</v>
      </c>
      <c r="P6854">
        <v>0.92321220000000004</v>
      </c>
      <c r="Q6854">
        <v>0.3734653</v>
      </c>
      <c r="R6854">
        <v>9.0570189999999995E-2</v>
      </c>
      <c r="S6854">
        <v>3.4225769999999902</v>
      </c>
      <c r="T6854">
        <v>-0.43710969999999999</v>
      </c>
      <c r="U6854">
        <v>3.1890870000000002E-2</v>
      </c>
      <c r="V6854">
        <v>-0.17435929999999999</v>
      </c>
      <c r="W6854">
        <v>0.38151479999999999</v>
      </c>
      <c r="X6854">
        <v>0.90776939999999995</v>
      </c>
      <c r="Y6854">
        <v>-0.10019649999999999</v>
      </c>
      <c r="Z6854">
        <v>1.7773009999999999E-2</v>
      </c>
      <c r="AA6854">
        <v>0.9948089</v>
      </c>
      <c r="AB6854">
        <v>37</v>
      </c>
      <c r="AC6854">
        <v>8.4834999999999905</v>
      </c>
      <c r="AD6854">
        <v>-1.1085817023119999</v>
      </c>
      <c r="AE6854">
        <v>9.9550000000000693E-2</v>
      </c>
      <c r="AF6854">
        <v>-0.86855333869218498</v>
      </c>
      <c r="AG6854">
        <v>-1.1085817023119999</v>
      </c>
      <c r="AH6854">
        <v>8.29632061630236</v>
      </c>
      <c r="AI6854">
        <v>97.570077789004998</v>
      </c>
      <c r="AJ6854">
        <v>95.976603167506298</v>
      </c>
      <c r="AK6854">
        <v>8.4150029151116694</v>
      </c>
      <c r="AL6854">
        <v>67.572455439377606</v>
      </c>
      <c r="AM6854">
        <v>100.872638794214</v>
      </c>
      <c r="AN6854">
        <v>0.99999999584594401</v>
      </c>
    </row>
    <row r="6855" spans="1:40" x14ac:dyDescent="0.25">
      <c r="A6855" t="str">
        <f>"20190304164258284"</f>
        <v>20190304164258284</v>
      </c>
      <c r="B6855" t="str">
        <f>"1551688978278326"</f>
        <v>1551688978278326</v>
      </c>
      <c r="C6855" t="s">
        <v>40</v>
      </c>
      <c r="D6855">
        <v>4.7666899999999996</v>
      </c>
      <c r="E6855">
        <v>0.54403749999999995</v>
      </c>
      <c r="F6855" t="s">
        <v>64</v>
      </c>
      <c r="G6855">
        <v>-254.93870000000001</v>
      </c>
      <c r="H6855" s="1">
        <v>-1.619702E-6</v>
      </c>
      <c r="I6855">
        <v>-62.024410000000003</v>
      </c>
      <c r="J6855">
        <v>-263.44290000000001</v>
      </c>
      <c r="K6855">
        <v>1.1085969999999901</v>
      </c>
      <c r="L6855">
        <v>-62.125210000000003</v>
      </c>
      <c r="M6855">
        <v>0.99562819999999996</v>
      </c>
      <c r="N6855">
        <v>-8.2754209999999998E-3</v>
      </c>
      <c r="O6855">
        <v>-9.3038659999999995E-2</v>
      </c>
      <c r="P6855">
        <v>0.92304770000000003</v>
      </c>
      <c r="Q6855">
        <v>0.3737337</v>
      </c>
      <c r="R6855">
        <v>9.1137750000000003E-2</v>
      </c>
      <c r="S6855">
        <v>3.4230649999999998</v>
      </c>
      <c r="T6855">
        <v>-0.43696499999999999</v>
      </c>
      <c r="U6855">
        <v>3.2958979999999999E-2</v>
      </c>
      <c r="V6855">
        <v>-0.1754695</v>
      </c>
      <c r="W6855">
        <v>0.3817894</v>
      </c>
      <c r="X6855">
        <v>0.90743989999999997</v>
      </c>
      <c r="Y6855">
        <v>-0.10109120000000001</v>
      </c>
      <c r="Z6855">
        <v>1.789524E-2</v>
      </c>
      <c r="AA6855">
        <v>0.99471620000000005</v>
      </c>
      <c r="AB6855">
        <v>37</v>
      </c>
      <c r="AC6855">
        <v>8.5041999999999902</v>
      </c>
      <c r="AD6855">
        <v>-1.1085986197019999</v>
      </c>
      <c r="AE6855">
        <v>0.100799999999999</v>
      </c>
      <c r="AF6855">
        <v>-0.87671285240221897</v>
      </c>
      <c r="AG6855">
        <v>-1.1085986197019999</v>
      </c>
      <c r="AH6855">
        <v>8.3166235326981397</v>
      </c>
      <c r="AI6855">
        <v>97.551362098626697</v>
      </c>
      <c r="AJ6855">
        <v>96.017719291304005</v>
      </c>
      <c r="AK6855">
        <v>8.4358664824545997</v>
      </c>
      <c r="AL6855">
        <v>67.555432048204906</v>
      </c>
      <c r="AM6855">
        <v>100.94407947597399</v>
      </c>
      <c r="AN6855">
        <v>0.99999993174730695</v>
      </c>
    </row>
    <row r="6856" spans="1:40" x14ac:dyDescent="0.25">
      <c r="A6856" t="str">
        <f>"20190304164258294"</f>
        <v>20190304164258294</v>
      </c>
      <c r="B6856" t="str">
        <f>"1551688978288086"</f>
        <v>1551688978288086</v>
      </c>
      <c r="C6856" t="s">
        <v>40</v>
      </c>
      <c r="D6856">
        <v>4.7133529999999997</v>
      </c>
      <c r="E6856">
        <v>0.54417009999999999</v>
      </c>
      <c r="F6856" t="s">
        <v>64</v>
      </c>
      <c r="G6856">
        <v>-254.75640000000001</v>
      </c>
      <c r="H6856" s="1">
        <v>-1.544284E-6</v>
      </c>
      <c r="I6856">
        <v>-62.037019999999998</v>
      </c>
      <c r="J6856">
        <v>-263.2636</v>
      </c>
      <c r="K6856">
        <v>1.108625</v>
      </c>
      <c r="L6856">
        <v>-62.142429999999997</v>
      </c>
      <c r="M6856">
        <v>0.99557600000000002</v>
      </c>
      <c r="N6856">
        <v>-8.2898829999999996E-3</v>
      </c>
      <c r="O6856">
        <v>-9.3593140000000005E-2</v>
      </c>
      <c r="P6856">
        <v>0.92295369999999999</v>
      </c>
      <c r="Q6856">
        <v>0.37389139999999998</v>
      </c>
      <c r="R6856">
        <v>9.1443460000000004E-2</v>
      </c>
      <c r="S6856">
        <v>3.4235839999999902</v>
      </c>
      <c r="T6856">
        <v>-0.43692920000000002</v>
      </c>
      <c r="U6856">
        <v>3.4759520000000002E-2</v>
      </c>
      <c r="V6856">
        <v>-0.17629819999999999</v>
      </c>
      <c r="W6856">
        <v>0.38194850000000002</v>
      </c>
      <c r="X6856">
        <v>0.90721240000000003</v>
      </c>
      <c r="Y6856">
        <v>-0.10215440000000001</v>
      </c>
      <c r="Z6856">
        <v>1.802811E-2</v>
      </c>
      <c r="AA6856">
        <v>0.99460519999999997</v>
      </c>
      <c r="AB6856">
        <v>37</v>
      </c>
      <c r="AC6856">
        <v>8.5071999999999797</v>
      </c>
      <c r="AD6856">
        <v>-1.108626544284</v>
      </c>
      <c r="AE6856">
        <v>0.105410000000006</v>
      </c>
      <c r="AF6856">
        <v>-0.88614373212023201</v>
      </c>
      <c r="AG6856">
        <v>-1.108626544284</v>
      </c>
      <c r="AH6856">
        <v>8.3187394343707606</v>
      </c>
      <c r="AI6856">
        <v>97.548785947595505</v>
      </c>
      <c r="AJ6856">
        <v>96.080434437324698</v>
      </c>
      <c r="AK6856">
        <v>8.4389412431668305</v>
      </c>
      <c r="AL6856">
        <v>67.545571035026299</v>
      </c>
      <c r="AM6856">
        <v>100.99719894658099</v>
      </c>
      <c r="AN6856">
        <v>1.00000002534462</v>
      </c>
    </row>
    <row r="6857" spans="1:40" x14ac:dyDescent="0.25">
      <c r="A6857" t="str">
        <f>"20190304164258306"</f>
        <v>20190304164258306</v>
      </c>
      <c r="B6857" t="str">
        <f>"1551688978297845"</f>
        <v>1551688978297845</v>
      </c>
      <c r="C6857" t="s">
        <v>40</v>
      </c>
      <c r="D6857">
        <v>4.7133690000000001</v>
      </c>
      <c r="E6857">
        <v>0.54431790000000002</v>
      </c>
      <c r="F6857" t="s">
        <v>64</v>
      </c>
      <c r="G6857">
        <v>-254.58250000000001</v>
      </c>
      <c r="H6857" s="1">
        <v>-1.4728319999999999E-6</v>
      </c>
      <c r="I6857">
        <v>-62.051130000000001</v>
      </c>
      <c r="J6857">
        <v>-263.08760000000001</v>
      </c>
      <c r="K6857">
        <v>1.1086530000000001</v>
      </c>
      <c r="L6857">
        <v>-62.15936</v>
      </c>
      <c r="M6857">
        <v>0.99552629999999998</v>
      </c>
      <c r="N6857">
        <v>-8.3045180000000003E-3</v>
      </c>
      <c r="O6857">
        <v>-9.4119309999999998E-2</v>
      </c>
      <c r="P6857">
        <v>0.92298230000000003</v>
      </c>
      <c r="Q6857">
        <v>0.37386540000000001</v>
      </c>
      <c r="R6857">
        <v>9.1260250000000001E-2</v>
      </c>
      <c r="S6857">
        <v>3.4240110000000001</v>
      </c>
      <c r="T6857">
        <v>-0.43726609999999999</v>
      </c>
      <c r="U6857">
        <v>3.6010739999999999E-2</v>
      </c>
      <c r="V6857">
        <v>-0.17662900000000001</v>
      </c>
      <c r="W6857">
        <v>0.3819225</v>
      </c>
      <c r="X6857">
        <v>0.90715900000000005</v>
      </c>
      <c r="Y6857">
        <v>-0.103029</v>
      </c>
      <c r="Z6857">
        <v>1.8160909999999999E-2</v>
      </c>
      <c r="AA6857">
        <v>0.99451259999999997</v>
      </c>
      <c r="AB6857">
        <v>37</v>
      </c>
      <c r="AC6857">
        <v>8.5050999999999899</v>
      </c>
      <c r="AD6857">
        <v>-1.108654472832</v>
      </c>
      <c r="AE6857">
        <v>0.108229999999991</v>
      </c>
      <c r="AF6857">
        <v>-0.89309857189609199</v>
      </c>
      <c r="AG6857">
        <v>-1.108654472832</v>
      </c>
      <c r="AH6857">
        <v>8.3158787496866395</v>
      </c>
      <c r="AI6857">
        <v>97.550851762122207</v>
      </c>
      <c r="AJ6857">
        <v>96.129886573982503</v>
      </c>
      <c r="AK6857">
        <v>8.4368583713810903</v>
      </c>
      <c r="AL6857">
        <v>67.547182927039401</v>
      </c>
      <c r="AM6857">
        <v>101.01796194259801</v>
      </c>
      <c r="AN6857">
        <v>1.0000000254641199</v>
      </c>
    </row>
    <row r="6858" spans="1:40" x14ac:dyDescent="0.25">
      <c r="A6858" t="str">
        <f>"20190304164258317"</f>
        <v>20190304164258317</v>
      </c>
      <c r="B6858" t="str">
        <f>"1551688978307606"</f>
        <v>1551688978307606</v>
      </c>
      <c r="C6858" t="s">
        <v>40</v>
      </c>
      <c r="D6858">
        <v>4.697991</v>
      </c>
      <c r="E6858">
        <v>0.54444720000000002</v>
      </c>
      <c r="F6858" t="s">
        <v>64</v>
      </c>
      <c r="G6858">
        <v>-254.42580000000001</v>
      </c>
      <c r="H6858" s="1">
        <v>-1.4094640000000001E-6</v>
      </c>
      <c r="I6858">
        <v>-62.068579999999997</v>
      </c>
      <c r="J6858">
        <v>-262.89420000000001</v>
      </c>
      <c r="K6858">
        <v>1.1086940000000001</v>
      </c>
      <c r="L6858">
        <v>-62.178100000000001</v>
      </c>
      <c r="M6858">
        <v>0.995475</v>
      </c>
      <c r="N6858">
        <v>-8.3214880000000001E-3</v>
      </c>
      <c r="O6858">
        <v>-9.4659649999999998E-2</v>
      </c>
      <c r="P6858">
        <v>0.92305959999999998</v>
      </c>
      <c r="Q6858">
        <v>0.37372329999999998</v>
      </c>
      <c r="R6858">
        <v>9.1061279999999994E-2</v>
      </c>
      <c r="S6858">
        <v>3.4242859999999999</v>
      </c>
      <c r="T6858">
        <v>-0.43828210000000001</v>
      </c>
      <c r="U6858">
        <v>3.5888669999999998E-2</v>
      </c>
      <c r="V6858">
        <v>-0.17697260000000001</v>
      </c>
      <c r="W6858">
        <v>0.38177840000000002</v>
      </c>
      <c r="X6858">
        <v>0.90715270000000003</v>
      </c>
      <c r="Y6858">
        <v>-0.1035175</v>
      </c>
      <c r="Z6858">
        <v>1.8298729999999999E-2</v>
      </c>
      <c r="AA6858">
        <v>0.99445930000000005</v>
      </c>
      <c r="AB6858">
        <v>37</v>
      </c>
      <c r="AC6858">
        <v>8.4684000000000008</v>
      </c>
      <c r="AD6858">
        <v>-1.108695409464</v>
      </c>
      <c r="AE6858">
        <v>0.109519999999996</v>
      </c>
      <c r="AF6858">
        <v>-0.89532791377491106</v>
      </c>
      <c r="AG6858">
        <v>-1.108695409464</v>
      </c>
      <c r="AH6858">
        <v>8.2781370564723993</v>
      </c>
      <c r="AI6858">
        <v>97.584548368985494</v>
      </c>
      <c r="AJ6858">
        <v>96.172871802263202</v>
      </c>
      <c r="AK6858">
        <v>8.3999030178861407</v>
      </c>
      <c r="AL6858">
        <v>67.556116386724597</v>
      </c>
      <c r="AM6858">
        <v>101.03894420165</v>
      </c>
      <c r="AN6858">
        <v>1.0000000344872999</v>
      </c>
    </row>
    <row r="6859" spans="1:40" x14ac:dyDescent="0.25">
      <c r="A6859" t="str">
        <f>"20190304164258329"</f>
        <v>20190304164258329</v>
      </c>
      <c r="B6859" t="str">
        <f>"1551688978318341"</f>
        <v>1551688978318341</v>
      </c>
      <c r="C6859" t="s">
        <v>40</v>
      </c>
      <c r="D6859">
        <v>4.7093829999999999</v>
      </c>
      <c r="E6859">
        <v>0.54457860000000002</v>
      </c>
      <c r="F6859" t="s">
        <v>64</v>
      </c>
      <c r="G6859">
        <v>-254.2602</v>
      </c>
      <c r="H6859" s="1">
        <v>-1.3429159999999999E-6</v>
      </c>
      <c r="I6859">
        <v>-62.088700000000003</v>
      </c>
      <c r="J6859">
        <v>-262.71539999999999</v>
      </c>
      <c r="K6859">
        <v>1.1087419999999999</v>
      </c>
      <c r="L6859">
        <v>-62.195469999999901</v>
      </c>
      <c r="M6859">
        <v>0.99543119999999996</v>
      </c>
      <c r="N6859">
        <v>-8.3373340000000001E-3</v>
      </c>
      <c r="O6859">
        <v>-9.5118980000000006E-2</v>
      </c>
      <c r="P6859">
        <v>0.92334879999999997</v>
      </c>
      <c r="Q6859">
        <v>0.37309629999999999</v>
      </c>
      <c r="R6859">
        <v>9.0699940000000007E-2</v>
      </c>
      <c r="S6859">
        <v>3.4246219999999998</v>
      </c>
      <c r="T6859">
        <v>-0.43975900000000001</v>
      </c>
      <c r="U6859">
        <v>3.5461430000000002E-2</v>
      </c>
      <c r="V6859">
        <v>-0.17710590000000001</v>
      </c>
      <c r="W6859">
        <v>0.38114720000000002</v>
      </c>
      <c r="X6859">
        <v>0.90739199999999998</v>
      </c>
      <c r="Y6859">
        <v>-0.10383489999999999</v>
      </c>
      <c r="Z6859">
        <v>1.843496E-2</v>
      </c>
      <c r="AA6859">
        <v>0.99442370000000002</v>
      </c>
      <c r="AB6859">
        <v>37</v>
      </c>
      <c r="AC6859">
        <v>8.4551999999999907</v>
      </c>
      <c r="AD6859">
        <v>-1.1087433429160001</v>
      </c>
      <c r="AE6859">
        <v>0.10676999999999</v>
      </c>
      <c r="AF6859">
        <v>-0.89517317457841405</v>
      </c>
      <c r="AG6859">
        <v>-1.1087433429160001</v>
      </c>
      <c r="AH6859">
        <v>8.2646131839209307</v>
      </c>
      <c r="AI6859">
        <v>97.597012064761699</v>
      </c>
      <c r="AJ6859">
        <v>96.181834350367794</v>
      </c>
      <c r="AK6859">
        <v>8.3865653215595302</v>
      </c>
      <c r="AL6859">
        <v>67.595238186709693</v>
      </c>
      <c r="AM6859">
        <v>101.044212811714</v>
      </c>
      <c r="AN6859">
        <v>0.99999996477332398</v>
      </c>
    </row>
    <row r="6860" spans="1:40" x14ac:dyDescent="0.25">
      <c r="A6860" t="str">
        <f>"20190304164258339"</f>
        <v>20190304164258339</v>
      </c>
      <c r="B6860" t="str">
        <f>"1551688978328102"</f>
        <v>1551688978328102</v>
      </c>
      <c r="C6860" t="s">
        <v>40</v>
      </c>
      <c r="D6860">
        <v>4.715192</v>
      </c>
      <c r="E6860">
        <v>0.5447111</v>
      </c>
      <c r="F6860" t="s">
        <v>64</v>
      </c>
      <c r="G6860">
        <v>-254.14160000000001</v>
      </c>
      <c r="H6860" s="1">
        <v>-1.29709E-6</v>
      </c>
      <c r="I6860">
        <v>-62.111350000000002</v>
      </c>
      <c r="J6860">
        <v>-262.52699999999999</v>
      </c>
      <c r="K6860">
        <v>1.10880499999999</v>
      </c>
      <c r="L6860">
        <v>-62.213839999999998</v>
      </c>
      <c r="M6860">
        <v>0.99538760000000004</v>
      </c>
      <c r="N6860">
        <v>-8.3541529999999996E-3</v>
      </c>
      <c r="O6860">
        <v>-9.5572119999999997E-2</v>
      </c>
      <c r="P6860">
        <v>0.92352920000000005</v>
      </c>
      <c r="Q6860">
        <v>0.37261529999999998</v>
      </c>
      <c r="R6860">
        <v>9.0840119999999996E-2</v>
      </c>
      <c r="S6860">
        <v>3.4246829999999999</v>
      </c>
      <c r="T6860">
        <v>-0.44287589999999999</v>
      </c>
      <c r="U6860">
        <v>3.3599850000000001E-2</v>
      </c>
      <c r="V6860">
        <v>-0.17773039999999901</v>
      </c>
      <c r="W6860">
        <v>0.38065959999999899</v>
      </c>
      <c r="X6860">
        <v>0.90747460000000002</v>
      </c>
      <c r="Y6860">
        <v>-0.10372199999999999</v>
      </c>
      <c r="Z6860">
        <v>1.8612670000000001E-2</v>
      </c>
      <c r="AA6860">
        <v>0.99443219999999999</v>
      </c>
      <c r="AB6860">
        <v>37</v>
      </c>
      <c r="AC6860">
        <v>8.3853999999999704</v>
      </c>
      <c r="AD6860">
        <v>-1.1088062970899999</v>
      </c>
      <c r="AE6860">
        <v>0.102490000000003</v>
      </c>
      <c r="AF6860">
        <v>-0.88793594855742797</v>
      </c>
      <c r="AG6860">
        <v>-1.1088062970899999</v>
      </c>
      <c r="AH6860">
        <v>8.1939681720944009</v>
      </c>
      <c r="AI6860">
        <v>97.662124443585299</v>
      </c>
      <c r="AJ6860">
        <v>96.184699895503002</v>
      </c>
      <c r="AK6860">
        <v>8.3161887940632493</v>
      </c>
      <c r="AL6860">
        <v>67.625453933765399</v>
      </c>
      <c r="AM6860">
        <v>101.081210064497</v>
      </c>
      <c r="AN6860">
        <v>0.99999998790073896</v>
      </c>
    </row>
    <row r="6861" spans="1:40" x14ac:dyDescent="0.25">
      <c r="A6861" t="str">
        <f>"20190304164258351"</f>
        <v>20190304164258351</v>
      </c>
      <c r="B6861" t="str">
        <f>"1551688978347622"</f>
        <v>1551688978347622</v>
      </c>
      <c r="C6861" t="s">
        <v>40</v>
      </c>
      <c r="D6861">
        <v>4.718985</v>
      </c>
      <c r="E6861">
        <v>0.54496049999999996</v>
      </c>
      <c r="F6861" t="s">
        <v>64</v>
      </c>
      <c r="G6861">
        <v>-253.99690000000001</v>
      </c>
      <c r="H6861" s="1">
        <v>-1.2395500000000001E-6</v>
      </c>
      <c r="I6861">
        <v>-62.131900000000002</v>
      </c>
      <c r="J6861">
        <v>-262.34230000000002</v>
      </c>
      <c r="K6861">
        <v>1.108873</v>
      </c>
      <c r="L6861">
        <v>-62.231870000000001</v>
      </c>
      <c r="M6861">
        <v>0.99535169999999995</v>
      </c>
      <c r="N6861">
        <v>-8.3703709999999997E-3</v>
      </c>
      <c r="O6861">
        <v>-9.5944180000000004E-2</v>
      </c>
      <c r="P6861">
        <v>0.92376060000000004</v>
      </c>
      <c r="Q6861">
        <v>0.37197940000000002</v>
      </c>
      <c r="R6861">
        <v>9.1093179999999996E-2</v>
      </c>
      <c r="S6861">
        <v>3.4247740000000002</v>
      </c>
      <c r="T6861">
        <v>-0.4451756</v>
      </c>
      <c r="U6861">
        <v>3.2897950000000002E-2</v>
      </c>
      <c r="V6861">
        <v>-0.1784087</v>
      </c>
      <c r="W6861">
        <v>0.38001170000000001</v>
      </c>
      <c r="X6861">
        <v>0.907613</v>
      </c>
      <c r="Y6861">
        <v>-0.1038689</v>
      </c>
      <c r="Z6861">
        <v>1.8764220000000002E-2</v>
      </c>
      <c r="AA6861">
        <v>0.99441400000000002</v>
      </c>
      <c r="AB6861">
        <v>37</v>
      </c>
      <c r="AC6861">
        <v>8.3454000000000104</v>
      </c>
      <c r="AD6861">
        <v>-1.10887423955</v>
      </c>
      <c r="AE6861">
        <v>9.9969999999991899E-2</v>
      </c>
      <c r="AF6861">
        <v>-0.88461354313481899</v>
      </c>
      <c r="AG6861">
        <v>-1.10887423955</v>
      </c>
      <c r="AH6861">
        <v>8.1533776602275196</v>
      </c>
      <c r="AI6861">
        <v>97.700171353961196</v>
      </c>
      <c r="AJ6861">
        <v>96.192174514249203</v>
      </c>
      <c r="AK6861">
        <v>8.2758510420459004</v>
      </c>
      <c r="AL6861">
        <v>67.665591605032702</v>
      </c>
      <c r="AM6861">
        <v>101.120794686861</v>
      </c>
      <c r="AN6861">
        <v>0.99999995707078904</v>
      </c>
    </row>
    <row r="6862" spans="1:40" x14ac:dyDescent="0.25">
      <c r="A6862" t="str">
        <f>"20190304164258362"</f>
        <v>20190304164258362</v>
      </c>
      <c r="B6862" t="str">
        <f>"1551688978358357"</f>
        <v>1551688978358357</v>
      </c>
      <c r="C6862" t="s">
        <v>40</v>
      </c>
      <c r="D6862">
        <v>4.7152940000000001</v>
      </c>
      <c r="E6862">
        <v>0.54507459999999996</v>
      </c>
      <c r="F6862" t="s">
        <v>64</v>
      </c>
      <c r="G6862">
        <v>-253.87719999999999</v>
      </c>
      <c r="H6862" s="1">
        <v>-1.193713E-6</v>
      </c>
      <c r="I6862">
        <v>-62.156599999999997</v>
      </c>
      <c r="J6862">
        <v>-262.1574</v>
      </c>
      <c r="K6862">
        <v>1.108946</v>
      </c>
      <c r="L6862">
        <v>-62.249940000000002</v>
      </c>
      <c r="M6862">
        <v>0.99531749999999997</v>
      </c>
      <c r="N6862">
        <v>-8.3866029999999994E-3</v>
      </c>
      <c r="O6862">
        <v>-9.6297030000000006E-2</v>
      </c>
      <c r="P6862">
        <v>0.92390289999999997</v>
      </c>
      <c r="Q6862">
        <v>0.37164449999999999</v>
      </c>
      <c r="R6862">
        <v>9.1016369999999999E-2</v>
      </c>
      <c r="S6862">
        <v>3.425262</v>
      </c>
      <c r="T6862">
        <v>-0.44868580000000002</v>
      </c>
      <c r="U6862">
        <v>3.0456540000000001E-2</v>
      </c>
      <c r="V6862">
        <v>-0.17873499999999901</v>
      </c>
      <c r="W6862">
        <v>0.37966240000000001</v>
      </c>
      <c r="X6862">
        <v>0.90769509999999998</v>
      </c>
      <c r="Y6862">
        <v>-0.1034866</v>
      </c>
      <c r="Z6862">
        <v>1.8926740000000001E-2</v>
      </c>
      <c r="AA6862">
        <v>0.99445070000000002</v>
      </c>
      <c r="AB6862">
        <v>37</v>
      </c>
      <c r="AC6862">
        <v>8.2802000000000007</v>
      </c>
      <c r="AD6862">
        <v>-1.108947193713</v>
      </c>
      <c r="AE6862">
        <v>9.3340000000004794E-2</v>
      </c>
      <c r="AF6862">
        <v>-0.874607258802789</v>
      </c>
      <c r="AG6862">
        <v>-1.108947193713</v>
      </c>
      <c r="AH6862">
        <v>8.0876805248730594</v>
      </c>
      <c r="AI6862">
        <v>97.762757846066805</v>
      </c>
      <c r="AJ6862">
        <v>96.1720196716971</v>
      </c>
      <c r="AK6862">
        <v>8.2100717419524099</v>
      </c>
      <c r="AL6862">
        <v>67.687229052511398</v>
      </c>
      <c r="AM6862">
        <v>101.139643233572</v>
      </c>
      <c r="AN6862">
        <v>1.0000000663813799</v>
      </c>
    </row>
    <row r="6863" spans="1:40" x14ac:dyDescent="0.25">
      <c r="A6863" t="str">
        <f>"20190304164258373"</f>
        <v>20190304164258373</v>
      </c>
      <c r="B6863" t="str">
        <f>"1551688978368118"</f>
        <v>1551688978368118</v>
      </c>
      <c r="C6863" t="s">
        <v>40</v>
      </c>
      <c r="D6863">
        <v>4.7080289999999998</v>
      </c>
      <c r="E6863">
        <v>0.54519169999999995</v>
      </c>
      <c r="F6863" t="s">
        <v>64</v>
      </c>
      <c r="G6863">
        <v>-253.72389999999999</v>
      </c>
      <c r="H6863" s="1">
        <v>-1.133375E-6</v>
      </c>
      <c r="I6863">
        <v>-62.181109999999997</v>
      </c>
      <c r="J6863">
        <v>-261.9649</v>
      </c>
      <c r="K6863">
        <v>1.1090359999999999</v>
      </c>
      <c r="L6863">
        <v>-62.268799999999999</v>
      </c>
      <c r="M6863">
        <v>0.99529109999999998</v>
      </c>
      <c r="N6863">
        <v>-8.4047999999999901E-3</v>
      </c>
      <c r="O6863">
        <v>-9.6567210000000001E-2</v>
      </c>
      <c r="P6863">
        <v>0.92388709999999996</v>
      </c>
      <c r="Q6863">
        <v>0.37163649999999998</v>
      </c>
      <c r="R6863">
        <v>9.120992E-2</v>
      </c>
      <c r="S6863">
        <v>3.4255369999999998</v>
      </c>
      <c r="T6863">
        <v>-0.45043179999999999</v>
      </c>
      <c r="U6863">
        <v>2.7954099999999999E-2</v>
      </c>
      <c r="V6863">
        <v>-0.17925139999999901</v>
      </c>
      <c r="W6863">
        <v>0.37963459999999899</v>
      </c>
      <c r="X6863">
        <v>0.90760479999999999</v>
      </c>
      <c r="Y6863">
        <v>-0.103019</v>
      </c>
      <c r="Z6863">
        <v>1.8999229999999999E-2</v>
      </c>
      <c r="AA6863">
        <v>0.99449790000000005</v>
      </c>
      <c r="AB6863">
        <v>37</v>
      </c>
      <c r="AC6863">
        <v>8.2410000000000103</v>
      </c>
      <c r="AD6863">
        <v>-1.109037133375</v>
      </c>
      <c r="AE6863">
        <v>8.7690000000002002E-2</v>
      </c>
      <c r="AF6863">
        <v>-0.86741100312833797</v>
      </c>
      <c r="AG6863">
        <v>-1.109037133375</v>
      </c>
      <c r="AH6863">
        <v>8.0482720426412797</v>
      </c>
      <c r="AI6863">
        <v>97.801226145291807</v>
      </c>
      <c r="AJ6863">
        <v>96.151368922296697</v>
      </c>
      <c r="AK6863">
        <v>8.1704986435292906</v>
      </c>
      <c r="AL6863">
        <v>67.6889488295257</v>
      </c>
      <c r="AM6863">
        <v>101.17210295645501</v>
      </c>
      <c r="AN6863">
        <v>0.99999998345107899</v>
      </c>
    </row>
    <row r="6864" spans="1:40" x14ac:dyDescent="0.25">
      <c r="A6864" t="str">
        <f>"20190304164258384"</f>
        <v>20190304164258384</v>
      </c>
      <c r="B6864" t="str">
        <f>"1551688978377878"</f>
        <v>1551688978377878</v>
      </c>
      <c r="C6864" t="s">
        <v>40</v>
      </c>
      <c r="D6864">
        <v>4.7112850000000002</v>
      </c>
      <c r="E6864">
        <v>0.54530540000000005</v>
      </c>
      <c r="F6864" t="s">
        <v>64</v>
      </c>
      <c r="G6864">
        <v>-253.53819999999999</v>
      </c>
      <c r="H6864" s="1">
        <v>-1.058887E-6</v>
      </c>
      <c r="I6864">
        <v>-62.204250000000002</v>
      </c>
      <c r="J6864">
        <v>-261.7817</v>
      </c>
      <c r="K6864">
        <v>1.109116</v>
      </c>
      <c r="L6864">
        <v>-62.286769999999997</v>
      </c>
      <c r="M6864">
        <v>0.99526829999999999</v>
      </c>
      <c r="N6864">
        <v>-8.4224139999999996E-3</v>
      </c>
      <c r="O6864">
        <v>-9.6800629999999999E-2</v>
      </c>
      <c r="P6864">
        <v>0.9236626</v>
      </c>
      <c r="Q6864">
        <v>0.37215389999999998</v>
      </c>
      <c r="R6864">
        <v>9.1372330000000002E-2</v>
      </c>
      <c r="S6864">
        <v>3.4259339999999998</v>
      </c>
      <c r="T6864">
        <v>-0.45088840000000002</v>
      </c>
      <c r="U6864">
        <v>2.624512E-2</v>
      </c>
      <c r="V6864">
        <v>-0.17967920000000001</v>
      </c>
      <c r="W6864">
        <v>0.38013039999999998</v>
      </c>
      <c r="X6864">
        <v>0.90731269999999997</v>
      </c>
      <c r="Y6864">
        <v>-0.102753</v>
      </c>
      <c r="Z6864">
        <v>1.902562E-2</v>
      </c>
      <c r="AA6864">
        <v>0.99452499999999999</v>
      </c>
      <c r="AB6864">
        <v>37</v>
      </c>
      <c r="AC6864">
        <v>8.2435000000000098</v>
      </c>
      <c r="AD6864">
        <v>-1.1091170588869901</v>
      </c>
      <c r="AE6864">
        <v>8.2519999999995194E-2</v>
      </c>
      <c r="AF6864">
        <v>-0.86448903449784797</v>
      </c>
      <c r="AG6864">
        <v>-1.1091170588869901</v>
      </c>
      <c r="AH6864">
        <v>8.0510683076526295</v>
      </c>
      <c r="AI6864">
        <v>97.799433084897402</v>
      </c>
      <c r="AJ6864">
        <v>96.128692316002002</v>
      </c>
      <c r="AK6864">
        <v>8.1729543517365801</v>
      </c>
      <c r="AL6864">
        <v>67.658240675677803</v>
      </c>
      <c r="AM6864">
        <v>101.201607118232</v>
      </c>
      <c r="AN6864">
        <v>1.00000003574904</v>
      </c>
    </row>
    <row r="6865" spans="1:40" x14ac:dyDescent="0.25">
      <c r="A6865" t="str">
        <f>"20190304164258395"</f>
        <v>20190304164258395</v>
      </c>
      <c r="B6865" t="str">
        <f>"1551688978387638"</f>
        <v>1551688978387638</v>
      </c>
      <c r="C6865" t="s">
        <v>40</v>
      </c>
      <c r="D6865">
        <v>4.7124090000000001</v>
      </c>
      <c r="E6865">
        <v>0.54541609999999996</v>
      </c>
      <c r="F6865" t="s">
        <v>64</v>
      </c>
      <c r="G6865">
        <v>-253.32339999999999</v>
      </c>
      <c r="H6865" s="1">
        <v>-9.715341999999999E-7</v>
      </c>
      <c r="I6865">
        <v>-62.225830000000002</v>
      </c>
      <c r="J6865">
        <v>-261.6028</v>
      </c>
      <c r="K6865">
        <v>1.109202</v>
      </c>
      <c r="L6865">
        <v>-62.304290000000002</v>
      </c>
      <c r="M6865">
        <v>0.99525220000000003</v>
      </c>
      <c r="N6865">
        <v>-8.4403550000000001E-3</v>
      </c>
      <c r="O6865">
        <v>-9.6964309999999998E-2</v>
      </c>
      <c r="P6865">
        <v>0.92349870000000001</v>
      </c>
      <c r="Q6865">
        <v>0.37248120000000001</v>
      </c>
      <c r="R6865">
        <v>9.1695550000000001E-2</v>
      </c>
      <c r="S6865">
        <v>3.4265439999999998</v>
      </c>
      <c r="T6865">
        <v>-0.44931399999999999</v>
      </c>
      <c r="U6865">
        <v>2.4688720000000001E-2</v>
      </c>
      <c r="V6865">
        <v>-0.1802097</v>
      </c>
      <c r="W6865">
        <v>0.38043690000000002</v>
      </c>
      <c r="X6865">
        <v>0.90707899999999997</v>
      </c>
      <c r="Y6865">
        <v>-0.10247729999999999</v>
      </c>
      <c r="Z6865">
        <v>1.8954889999999999E-2</v>
      </c>
      <c r="AA6865">
        <v>0.99455479999999996</v>
      </c>
      <c r="AB6865">
        <v>37</v>
      </c>
      <c r="AC6865">
        <v>8.2794000000000096</v>
      </c>
      <c r="AD6865">
        <v>-1.1092029715342</v>
      </c>
      <c r="AE6865">
        <v>7.8459999999999697E-2</v>
      </c>
      <c r="AF6865">
        <v>-0.86539406753941395</v>
      </c>
      <c r="AG6865">
        <v>-1.1092029715342</v>
      </c>
      <c r="AH6865">
        <v>8.0876289457672499</v>
      </c>
      <c r="AI6865">
        <v>97.765504018157401</v>
      </c>
      <c r="AJ6865">
        <v>96.107535694544197</v>
      </c>
      <c r="AK6865">
        <v>8.209079125493</v>
      </c>
      <c r="AL6865">
        <v>67.639253108616103</v>
      </c>
      <c r="AM6865">
        <v>101.236660426854</v>
      </c>
      <c r="AN6865">
        <v>1.0000000415483401</v>
      </c>
    </row>
    <row r="6866" spans="1:40" x14ac:dyDescent="0.25">
      <c r="A6866" t="str">
        <f>"20190304164258407"</f>
        <v>20190304164258407</v>
      </c>
      <c r="B6866" t="str">
        <f>"1551688978398374"</f>
        <v>1551688978398374</v>
      </c>
      <c r="C6866" t="s">
        <v>40</v>
      </c>
      <c r="D6866">
        <v>4.6901199999999896</v>
      </c>
      <c r="E6866">
        <v>0.54551669999999997</v>
      </c>
      <c r="F6866" t="s">
        <v>64</v>
      </c>
      <c r="G6866">
        <v>-253.12799999999999</v>
      </c>
      <c r="H6866" s="1">
        <v>-8.9197269999999901E-7</v>
      </c>
      <c r="I6866">
        <v>-62.245119999999901</v>
      </c>
      <c r="J6866">
        <v>-261.41879999999998</v>
      </c>
      <c r="K6866">
        <v>1.109294</v>
      </c>
      <c r="L6866">
        <v>-62.322330000000001</v>
      </c>
      <c r="M6866">
        <v>0.9952396</v>
      </c>
      <c r="N6866">
        <v>-8.4588249999999997E-3</v>
      </c>
      <c r="O6866">
        <v>-9.7090309999999999E-2</v>
      </c>
      <c r="P6866">
        <v>0.92324759999999995</v>
      </c>
      <c r="Q6866">
        <v>0.37296119999999999</v>
      </c>
      <c r="R6866">
        <v>9.2269970000000007E-2</v>
      </c>
      <c r="S6866">
        <v>3.4270629999999902</v>
      </c>
      <c r="T6866">
        <v>-0.44854309999999997</v>
      </c>
      <c r="U6866">
        <v>2.3925780000000001E-2</v>
      </c>
      <c r="V6866">
        <v>-0.1809509</v>
      </c>
      <c r="W6866">
        <v>0.38089460000000003</v>
      </c>
      <c r="X6866">
        <v>0.90673930000000003</v>
      </c>
      <c r="Y6866">
        <v>-0.10238700000000001</v>
      </c>
      <c r="Z6866">
        <v>1.892725E-2</v>
      </c>
      <c r="AA6866">
        <v>0.99456449999999996</v>
      </c>
      <c r="AB6866">
        <v>37</v>
      </c>
      <c r="AC6866">
        <v>8.2907999999999902</v>
      </c>
      <c r="AD6866">
        <v>-1.1092948919726999</v>
      </c>
      <c r="AE6866">
        <v>7.72100000000151E-2</v>
      </c>
      <c r="AF6866">
        <v>-0.86632281461559302</v>
      </c>
      <c r="AG6866">
        <v>-1.1092948919726999</v>
      </c>
      <c r="AH6866">
        <v>8.0991529919867595</v>
      </c>
      <c r="AI6866">
        <v>97.7552545024203</v>
      </c>
      <c r="AJ6866">
        <v>96.105406989108502</v>
      </c>
      <c r="AK6866">
        <v>8.2205431428883298</v>
      </c>
      <c r="AL6866">
        <v>67.610893725458695</v>
      </c>
      <c r="AM6866">
        <v>101.285811761099</v>
      </c>
      <c r="AN6866">
        <v>1.0000000413422201</v>
      </c>
    </row>
    <row r="6867" spans="1:40" x14ac:dyDescent="0.25">
      <c r="A6867" t="str">
        <f>"20190304164258416"</f>
        <v>20190304164258416</v>
      </c>
      <c r="B6867" t="str">
        <f>"1551688978408134"</f>
        <v>1551688978408134</v>
      </c>
      <c r="C6867" t="s">
        <v>40</v>
      </c>
      <c r="D6867">
        <v>4.7060930000000001</v>
      </c>
      <c r="E6867">
        <v>0.54561590000000004</v>
      </c>
      <c r="F6867" t="s">
        <v>64</v>
      </c>
      <c r="G6867">
        <v>-252.9127</v>
      </c>
      <c r="H6867" s="1">
        <v>-8.0377919999999902E-7</v>
      </c>
      <c r="I6867">
        <v>-62.26379</v>
      </c>
      <c r="J6867">
        <v>-261.23919999999998</v>
      </c>
      <c r="K6867">
        <v>1.109383</v>
      </c>
      <c r="L6867">
        <v>-62.339869999999998</v>
      </c>
      <c r="M6867">
        <v>0.99523280000000003</v>
      </c>
      <c r="N6867">
        <v>-8.476885E-3</v>
      </c>
      <c r="O6867">
        <v>-9.7160540000000004E-2</v>
      </c>
      <c r="P6867">
        <v>0.92318429999999996</v>
      </c>
      <c r="Q6867">
        <v>0.37294899999999997</v>
      </c>
      <c r="R6867">
        <v>9.2951240000000004E-2</v>
      </c>
      <c r="S6867">
        <v>3.4276119999999999</v>
      </c>
      <c r="T6867">
        <v>-0.44700129999999999</v>
      </c>
      <c r="U6867">
        <v>2.3590090000000001E-2</v>
      </c>
      <c r="V6867">
        <v>-0.1817655</v>
      </c>
      <c r="W6867">
        <v>0.38086100000000001</v>
      </c>
      <c r="X6867">
        <v>0.90659040000000002</v>
      </c>
      <c r="Y6867">
        <v>-0.1023703</v>
      </c>
      <c r="Z6867">
        <v>1.8864849999999999E-2</v>
      </c>
      <c r="AA6867">
        <v>0.99456750000000005</v>
      </c>
      <c r="AB6867">
        <v>37</v>
      </c>
      <c r="AC6867">
        <v>8.3264999999999798</v>
      </c>
      <c r="AD6867">
        <v>-1.1093838037792001</v>
      </c>
      <c r="AE6867">
        <v>7.60799999999974E-2</v>
      </c>
      <c r="AF6867">
        <v>-0.86932550790276697</v>
      </c>
      <c r="AG6867">
        <v>-1.1093838037792001</v>
      </c>
      <c r="AH6867">
        <v>8.1353069075467008</v>
      </c>
      <c r="AI6867">
        <v>97.721903320371496</v>
      </c>
      <c r="AJ6867">
        <v>96.099387272035798</v>
      </c>
      <c r="AK6867">
        <v>8.2564930656275095</v>
      </c>
      <c r="AL6867">
        <v>67.612974253213196</v>
      </c>
      <c r="AM6867">
        <v>101.33711891281</v>
      </c>
      <c r="AN6867">
        <v>0.99999997584170397</v>
      </c>
    </row>
    <row r="6868" spans="1:40" x14ac:dyDescent="0.25">
      <c r="A6868" t="str">
        <f>"20190304164258429"</f>
        <v>20190304164258429</v>
      </c>
      <c r="B6868" t="str">
        <f>"1551688978417894"</f>
        <v>1551688978417894</v>
      </c>
      <c r="C6868" t="s">
        <v>40</v>
      </c>
      <c r="D6868">
        <v>4.7002069999999998</v>
      </c>
      <c r="E6868">
        <v>0.54571429999999999</v>
      </c>
      <c r="F6868" t="s">
        <v>64</v>
      </c>
      <c r="G6868">
        <v>-252.74430000000001</v>
      </c>
      <c r="H6868" s="1">
        <v>-7.3497790000000004E-7</v>
      </c>
      <c r="I6868">
        <v>-62.279220000000002</v>
      </c>
      <c r="J6868">
        <v>-261.05360000000002</v>
      </c>
      <c r="K6868">
        <v>1.109477</v>
      </c>
      <c r="L6868">
        <v>-62.358029999999999</v>
      </c>
      <c r="M6868">
        <v>0.99523170000000005</v>
      </c>
      <c r="N6868">
        <v>-8.4962419999999993E-3</v>
      </c>
      <c r="O6868">
        <v>-9.7168389999999993E-2</v>
      </c>
      <c r="P6868">
        <v>0.923041</v>
      </c>
      <c r="Q6868">
        <v>0.37305820000000001</v>
      </c>
      <c r="R6868">
        <v>9.3931440000000005E-2</v>
      </c>
      <c r="S6868">
        <v>3.4280089999999999</v>
      </c>
      <c r="T6868">
        <v>-0.4476811</v>
      </c>
      <c r="U6868">
        <v>2.44751E-2</v>
      </c>
      <c r="V6868">
        <v>-0.18281839999999999</v>
      </c>
      <c r="W6868">
        <v>0.38094650000000002</v>
      </c>
      <c r="X6868">
        <v>0.90634269999999995</v>
      </c>
      <c r="Y6868">
        <v>-0.1026272</v>
      </c>
      <c r="Z6868">
        <v>1.8909570000000001E-2</v>
      </c>
      <c r="AA6868">
        <v>0.99454019999999999</v>
      </c>
      <c r="AB6868">
        <v>37</v>
      </c>
      <c r="AC6868">
        <v>8.3093000000000004</v>
      </c>
      <c r="AD6868">
        <v>-1.1094777349778999</v>
      </c>
      <c r="AE6868">
        <v>7.8810000000011302E-2</v>
      </c>
      <c r="AF6868">
        <v>-0.87035203593626098</v>
      </c>
      <c r="AG6868">
        <v>-1.1094777349778999</v>
      </c>
      <c r="AH6868">
        <v>8.1176094479725407</v>
      </c>
      <c r="AI6868">
        <v>97.738890802337906</v>
      </c>
      <c r="AJ6868">
        <v>96.119747380949804</v>
      </c>
      <c r="AK6868">
        <v>8.2391769407315891</v>
      </c>
      <c r="AL6868">
        <v>67.607675366180999</v>
      </c>
      <c r="AM6868">
        <v>101.404109752642</v>
      </c>
      <c r="AN6868">
        <v>0.99999994654204805</v>
      </c>
    </row>
    <row r="6869" spans="1:40" x14ac:dyDescent="0.25">
      <c r="A6869" t="str">
        <f>"20190304164258440"</f>
        <v>20190304164258440</v>
      </c>
      <c r="B6869" t="str">
        <f>"1551688978427654"</f>
        <v>1551688978427654</v>
      </c>
      <c r="C6869" t="s">
        <v>40</v>
      </c>
      <c r="D6869">
        <v>4.7092450000000001</v>
      </c>
      <c r="E6869">
        <v>0.54581519999999994</v>
      </c>
      <c r="F6869" t="s">
        <v>64</v>
      </c>
      <c r="G6869">
        <v>-252.55699999999999</v>
      </c>
      <c r="H6869" s="1">
        <v>-6.5789289999999996E-7</v>
      </c>
      <c r="I6869">
        <v>-62.293900000000001</v>
      </c>
      <c r="J6869">
        <v>-260.86</v>
      </c>
      <c r="K6869">
        <v>1.109577</v>
      </c>
      <c r="L6869">
        <v>-62.376890000000003</v>
      </c>
      <c r="M6869">
        <v>0.99523479999999998</v>
      </c>
      <c r="N6869">
        <v>-8.516872E-3</v>
      </c>
      <c r="O6869">
        <v>-9.7135070000000004E-2</v>
      </c>
      <c r="P6869">
        <v>0.92297720000000005</v>
      </c>
      <c r="Q6869">
        <v>0.37287239999999999</v>
      </c>
      <c r="R6869">
        <v>9.5286350000000006E-2</v>
      </c>
      <c r="S6869">
        <v>3.4284669999999999</v>
      </c>
      <c r="T6869">
        <v>-0.447685</v>
      </c>
      <c r="U6869">
        <v>2.5878910000000001E-2</v>
      </c>
      <c r="V6869">
        <v>-0.18421979999999999</v>
      </c>
      <c r="W6869">
        <v>0.38073590000000002</v>
      </c>
      <c r="X6869">
        <v>0.90614749999999999</v>
      </c>
      <c r="Y6869">
        <v>-0.10299759999999999</v>
      </c>
      <c r="Z6869">
        <v>1.8927920000000001E-2</v>
      </c>
      <c r="AA6869">
        <v>0.99450150000000004</v>
      </c>
      <c r="AB6869">
        <v>37</v>
      </c>
      <c r="AC6869">
        <v>8.3029999999999902</v>
      </c>
      <c r="AD6869">
        <v>-1.1095776578929</v>
      </c>
      <c r="AE6869">
        <v>8.2990000000002298E-2</v>
      </c>
      <c r="AF6869">
        <v>-0.87354066106124395</v>
      </c>
      <c r="AG6869">
        <v>-1.1095776578929</v>
      </c>
      <c r="AH6869">
        <v>8.1108393855202099</v>
      </c>
      <c r="AI6869">
        <v>97.745568813567104</v>
      </c>
      <c r="AJ6869">
        <v>96.147084102759393</v>
      </c>
      <c r="AK6869">
        <v>8.2328580337042307</v>
      </c>
      <c r="AL6869">
        <v>67.620727169477604</v>
      </c>
      <c r="AM6869">
        <v>101.491621282944</v>
      </c>
      <c r="AN6869">
        <v>1.00000002600854</v>
      </c>
    </row>
    <row r="6870" spans="1:40" x14ac:dyDescent="0.25">
      <c r="A6870" t="str">
        <f>"20190304164258452"</f>
        <v>20190304164258452</v>
      </c>
      <c r="B6870" t="str">
        <f>"1551688978448150"</f>
        <v>1551688978448150</v>
      </c>
      <c r="C6870" t="s">
        <v>40</v>
      </c>
      <c r="D6870">
        <v>4.7291359999999996</v>
      </c>
      <c r="E6870">
        <v>0.54599140000000002</v>
      </c>
      <c r="F6870" t="s">
        <v>64</v>
      </c>
      <c r="G6870">
        <v>-252.3792</v>
      </c>
      <c r="H6870" s="1">
        <v>-5.8446529999999999E-7</v>
      </c>
      <c r="I6870">
        <v>-62.306840000000001</v>
      </c>
      <c r="J6870">
        <v>-260.6798</v>
      </c>
      <c r="K6870">
        <v>1.109675</v>
      </c>
      <c r="L6870">
        <v>-62.394410000000001</v>
      </c>
      <c r="M6870">
        <v>0.99524659999999998</v>
      </c>
      <c r="N6870">
        <v>-8.5369550000000006E-3</v>
      </c>
      <c r="O6870">
        <v>-9.701166E-2</v>
      </c>
      <c r="P6870">
        <v>0.92289980000000005</v>
      </c>
      <c r="Q6870">
        <v>0.37271989999999999</v>
      </c>
      <c r="R6870">
        <v>9.6622349999999996E-2</v>
      </c>
      <c r="S6870">
        <v>3.4286500000000002</v>
      </c>
      <c r="T6870">
        <v>-0.44858009999999898</v>
      </c>
      <c r="U6870">
        <v>2.8320310000000001E-2</v>
      </c>
      <c r="V6870">
        <v>-0.1855175</v>
      </c>
      <c r="W6870">
        <v>0.38055810000000001</v>
      </c>
      <c r="X6870">
        <v>0.90595740000000002</v>
      </c>
      <c r="Y6870">
        <v>-0.10357130000000001</v>
      </c>
      <c r="Z6870">
        <v>1.8989220000000001E-2</v>
      </c>
      <c r="AA6870">
        <v>0.99444069999999996</v>
      </c>
      <c r="AB6870">
        <v>37</v>
      </c>
      <c r="AC6870">
        <v>8.3005999999999993</v>
      </c>
      <c r="AD6870">
        <v>-1.1096755844652999</v>
      </c>
      <c r="AE6870">
        <v>8.7569999999999398E-2</v>
      </c>
      <c r="AF6870">
        <v>-0.87677333226614396</v>
      </c>
      <c r="AG6870">
        <v>-1.1096755844652999</v>
      </c>
      <c r="AH6870">
        <v>8.1080585460181709</v>
      </c>
      <c r="AI6870">
        <v>97.748512858291207</v>
      </c>
      <c r="AJ6870">
        <v>96.171756904935506</v>
      </c>
      <c r="AK6870">
        <v>8.2304753668661004</v>
      </c>
      <c r="AL6870">
        <v>67.631743309908899</v>
      </c>
      <c r="AM6870">
        <v>101.572758501013</v>
      </c>
      <c r="AN6870">
        <v>1.00000001044831</v>
      </c>
    </row>
    <row r="6871" spans="1:40" x14ac:dyDescent="0.25">
      <c r="A6871" t="str">
        <f>"20190304164258463"</f>
        <v>20190304164258463</v>
      </c>
      <c r="B6871" t="str">
        <f>"1551688978457909"</f>
        <v>1551688978457909</v>
      </c>
      <c r="C6871" t="s">
        <v>40</v>
      </c>
      <c r="D6871">
        <v>4.7435470000000004</v>
      </c>
      <c r="E6871">
        <v>0.54608120000000004</v>
      </c>
      <c r="F6871" t="s">
        <v>64</v>
      </c>
      <c r="G6871">
        <v>-252.22640000000001</v>
      </c>
      <c r="H6871" s="1">
        <v>-5.2155970000000004E-7</v>
      </c>
      <c r="I6871">
        <v>-62.318649999999998</v>
      </c>
      <c r="J6871">
        <v>-260.48779999999999</v>
      </c>
      <c r="K6871">
        <v>1.10978</v>
      </c>
      <c r="L6871">
        <v>-62.413020000000003</v>
      </c>
      <c r="M6871">
        <v>0.99526170000000003</v>
      </c>
      <c r="N6871">
        <v>-8.5584690000000008E-3</v>
      </c>
      <c r="O6871">
        <v>-9.6855670000000005E-2</v>
      </c>
      <c r="P6871">
        <v>0.9228172</v>
      </c>
      <c r="Q6871">
        <v>0.37270049999999999</v>
      </c>
      <c r="R6871">
        <v>9.748271E-2</v>
      </c>
      <c r="S6871">
        <v>3.4291990000000001</v>
      </c>
      <c r="T6871">
        <v>-0.4501482</v>
      </c>
      <c r="U6871">
        <v>3.07312E-2</v>
      </c>
      <c r="V6871">
        <v>-0.1863185</v>
      </c>
      <c r="W6871">
        <v>0.38051049999999997</v>
      </c>
      <c r="X6871">
        <v>0.90581299999999998</v>
      </c>
      <c r="Y6871">
        <v>-0.10409839999999999</v>
      </c>
      <c r="Z6871">
        <v>1.9070130000000001E-2</v>
      </c>
      <c r="AA6871">
        <v>0.99438419999999905</v>
      </c>
      <c r="AB6871">
        <v>37</v>
      </c>
      <c r="AC6871">
        <v>8.2613999999999805</v>
      </c>
      <c r="AD6871">
        <v>-1.1097805215596901</v>
      </c>
      <c r="AE6871">
        <v>9.4369999999997803E-2</v>
      </c>
      <c r="AF6871">
        <v>-0.87827225152498001</v>
      </c>
      <c r="AG6871">
        <v>-1.1097805215596901</v>
      </c>
      <c r="AH6871">
        <v>8.0678464092172195</v>
      </c>
      <c r="AI6871">
        <v>97.786790247155196</v>
      </c>
      <c r="AJ6871">
        <v>96.212799780855804</v>
      </c>
      <c r="AK6871">
        <v>8.1910390449900401</v>
      </c>
      <c r="AL6871">
        <v>67.634692393947802</v>
      </c>
      <c r="AM6871">
        <v>101.623171435853</v>
      </c>
      <c r="AN6871">
        <v>1.00000000751074</v>
      </c>
    </row>
    <row r="6872" spans="1:40" x14ac:dyDescent="0.25">
      <c r="A6872" t="str">
        <f>"20190304164258474"</f>
        <v>20190304164258474</v>
      </c>
      <c r="B6872" t="str">
        <f>"1551688978467670"</f>
        <v>1551688978467670</v>
      </c>
      <c r="C6872" t="s">
        <v>40</v>
      </c>
      <c r="D6872">
        <v>4.7129620000000001</v>
      </c>
      <c r="E6872">
        <v>0.54617380000000004</v>
      </c>
      <c r="F6872" t="s">
        <v>64</v>
      </c>
      <c r="G6872">
        <v>-252.04259999999999</v>
      </c>
      <c r="H6872" s="1">
        <v>-4.461143E-7</v>
      </c>
      <c r="I6872">
        <v>-62.333970000000001</v>
      </c>
      <c r="J6872">
        <v>-260.29520000000002</v>
      </c>
      <c r="K6872">
        <v>1.10989</v>
      </c>
      <c r="L6872">
        <v>-62.431550000000001</v>
      </c>
      <c r="M6872">
        <v>0.99528720000000004</v>
      </c>
      <c r="N6872">
        <v>-8.5801109999999996E-3</v>
      </c>
      <c r="O6872">
        <v>-9.6591490000000002E-2</v>
      </c>
      <c r="P6872">
        <v>0.92284319999999997</v>
      </c>
      <c r="Q6872">
        <v>0.37241039999999997</v>
      </c>
      <c r="R6872">
        <v>9.834271E-2</v>
      </c>
      <c r="S6872">
        <v>3.4295040000000001</v>
      </c>
      <c r="T6872">
        <v>-0.45067069999999998</v>
      </c>
      <c r="U6872">
        <v>3.2104489999999999E-2</v>
      </c>
      <c r="V6872">
        <v>-0.18703880000000001</v>
      </c>
      <c r="W6872">
        <v>0.38018950000000001</v>
      </c>
      <c r="X6872">
        <v>0.90579929999999997</v>
      </c>
      <c r="Y6872">
        <v>-0.10422910000000001</v>
      </c>
      <c r="Z6872">
        <v>1.906681E-2</v>
      </c>
      <c r="AA6872">
        <v>0.99437050000000005</v>
      </c>
      <c r="AB6872">
        <v>37</v>
      </c>
      <c r="AC6872">
        <v>8.2526000000000295</v>
      </c>
      <c r="AD6872">
        <v>-1.1098904461143</v>
      </c>
      <c r="AE6872">
        <v>9.7580000000007702E-2</v>
      </c>
      <c r="AF6872">
        <v>-0.878398101099652</v>
      </c>
      <c r="AG6872">
        <v>-1.1098904461143</v>
      </c>
      <c r="AH6872">
        <v>8.0588392557143607</v>
      </c>
      <c r="AI6872">
        <v>97.796035232288503</v>
      </c>
      <c r="AJ6872">
        <v>96.220573518271607</v>
      </c>
      <c r="AK6872">
        <v>8.1821959262678394</v>
      </c>
      <c r="AL6872">
        <v>67.654578083791606</v>
      </c>
      <c r="AM6872">
        <v>101.66704821499501</v>
      </c>
      <c r="AN6872">
        <v>0.99999997024808895</v>
      </c>
    </row>
    <row r="6873" spans="1:40" x14ac:dyDescent="0.25">
      <c r="A6873" t="str">
        <f>"20190304164258485"</f>
        <v>20190304164258485</v>
      </c>
      <c r="B6873" t="str">
        <f>"1551688978478405"</f>
        <v>1551688978478405</v>
      </c>
      <c r="C6873" t="s">
        <v>40</v>
      </c>
      <c r="D6873">
        <v>4.7325419999999996</v>
      </c>
      <c r="E6873">
        <v>0.54626359999999996</v>
      </c>
      <c r="F6873" t="s">
        <v>64</v>
      </c>
      <c r="G6873">
        <v>-251.88</v>
      </c>
      <c r="H6873" s="1">
        <v>-3.793083E-7</v>
      </c>
      <c r="I6873">
        <v>-62.34731</v>
      </c>
      <c r="J6873">
        <v>-260.12430000000001</v>
      </c>
      <c r="K6873">
        <v>1.10999</v>
      </c>
      <c r="L6873">
        <v>-62.448</v>
      </c>
      <c r="M6873">
        <v>0.99531230000000004</v>
      </c>
      <c r="N6873">
        <v>-8.5996049999999997E-3</v>
      </c>
      <c r="O6873">
        <v>-9.6329849999999995E-2</v>
      </c>
      <c r="P6873">
        <v>0.92282359999999997</v>
      </c>
      <c r="Q6873">
        <v>0.37238280000000001</v>
      </c>
      <c r="R6873">
        <v>9.8630620000000002E-2</v>
      </c>
      <c r="S6873">
        <v>3.4297490000000002</v>
      </c>
      <c r="T6873">
        <v>-0.45235009999999998</v>
      </c>
      <c r="U6873">
        <v>3.433228E-2</v>
      </c>
      <c r="V6873">
        <v>-0.18717639999999999</v>
      </c>
      <c r="W6873">
        <v>0.38013429999999998</v>
      </c>
      <c r="X6873">
        <v>0.90579410000000005</v>
      </c>
      <c r="Y6873">
        <v>-0.1045991</v>
      </c>
      <c r="Z6873">
        <v>1.9130399999999999E-2</v>
      </c>
      <c r="AA6873">
        <v>0.99433050000000001</v>
      </c>
      <c r="AB6873">
        <v>37</v>
      </c>
      <c r="AC6873">
        <v>8.2443000000000097</v>
      </c>
      <c r="AD6873">
        <v>-1.1099903793082999</v>
      </c>
      <c r="AE6873">
        <v>0.10069</v>
      </c>
      <c r="AF6873">
        <v>-0.87850087487492701</v>
      </c>
      <c r="AG6873">
        <v>-1.1099903793082999</v>
      </c>
      <c r="AH6873">
        <v>8.0503483953859192</v>
      </c>
      <c r="AI6873">
        <v>97.804744486825101</v>
      </c>
      <c r="AJ6873">
        <v>96.227805814860901</v>
      </c>
      <c r="AK6873">
        <v>8.1738578233540107</v>
      </c>
      <c r="AL6873">
        <v>67.657998743353204</v>
      </c>
      <c r="AM6873">
        <v>101.675461015228</v>
      </c>
      <c r="AN6873">
        <v>1.00000002117412</v>
      </c>
    </row>
    <row r="6874" spans="1:40" x14ac:dyDescent="0.25">
      <c r="A6874" t="str">
        <f>"20190304164258495"</f>
        <v>20190304164258495</v>
      </c>
      <c r="B6874" t="str">
        <f>"1551688978488165"</f>
        <v>1551688978488165</v>
      </c>
      <c r="C6874" t="s">
        <v>40</v>
      </c>
      <c r="D6874">
        <v>4.7068500000000002</v>
      </c>
      <c r="E6874">
        <v>0.54634749999999999</v>
      </c>
      <c r="F6874" t="s">
        <v>64</v>
      </c>
      <c r="G6874">
        <v>-251.72540000000001</v>
      </c>
      <c r="H6874" s="1">
        <v>-3.1597759999999998E-7</v>
      </c>
      <c r="I6874">
        <v>-62.360639999999997</v>
      </c>
      <c r="J6874">
        <v>-259.93900000000002</v>
      </c>
      <c r="K6874">
        <v>1.1101030000000001</v>
      </c>
      <c r="L6874">
        <v>-62.465670000000003</v>
      </c>
      <c r="M6874">
        <v>0.99534699999999998</v>
      </c>
      <c r="N6874">
        <v>-8.6216369999999997E-3</v>
      </c>
      <c r="O6874">
        <v>-9.5969789999999999E-2</v>
      </c>
      <c r="P6874">
        <v>0.92279</v>
      </c>
      <c r="Q6874">
        <v>0.37241639999999998</v>
      </c>
      <c r="R6874">
        <v>9.8817600000000005E-2</v>
      </c>
      <c r="S6874">
        <v>3.4299930000000001</v>
      </c>
      <c r="T6874">
        <v>-0.4533046</v>
      </c>
      <c r="U6874">
        <v>3.567505E-2</v>
      </c>
      <c r="V6874">
        <v>-0.1871324</v>
      </c>
      <c r="W6874">
        <v>0.38013780000000003</v>
      </c>
      <c r="X6874">
        <v>0.90580170000000004</v>
      </c>
      <c r="Y6874">
        <v>-0.1046236</v>
      </c>
      <c r="Z6874">
        <v>1.9126500000000001E-2</v>
      </c>
      <c r="AA6874">
        <v>0.99432799999999999</v>
      </c>
      <c r="AB6874">
        <v>37</v>
      </c>
      <c r="AC6874">
        <v>8.2136000000000102</v>
      </c>
      <c r="AD6874">
        <v>-1.1101033159775999</v>
      </c>
      <c r="AE6874">
        <v>0.105029999999992</v>
      </c>
      <c r="AF6874">
        <v>-0.87681792750332599</v>
      </c>
      <c r="AG6874">
        <v>-1.1101033159775999</v>
      </c>
      <c r="AH6874">
        <v>8.0191459024696297</v>
      </c>
      <c r="AI6874">
        <v>97.835344192198704</v>
      </c>
      <c r="AJ6874">
        <v>96.239964568505201</v>
      </c>
      <c r="AK6874">
        <v>8.1429626092246696</v>
      </c>
      <c r="AL6874">
        <v>67.657781455318897</v>
      </c>
      <c r="AM6874">
        <v>101.67269650928201</v>
      </c>
      <c r="AN6874">
        <v>1.0000000009207399</v>
      </c>
    </row>
    <row r="6875" spans="1:40" x14ac:dyDescent="0.25">
      <c r="A6875" t="str">
        <f>"20190304164258506"</f>
        <v>20190304164258506</v>
      </c>
      <c r="B6875" t="str">
        <f>"1551688978497926"</f>
        <v>1551688978497926</v>
      </c>
      <c r="C6875" t="s">
        <v>40</v>
      </c>
      <c r="D6875">
        <v>4.708488</v>
      </c>
      <c r="E6875">
        <v>0.54643419999999998</v>
      </c>
      <c r="F6875" t="s">
        <v>64</v>
      </c>
      <c r="G6875">
        <v>-251.54920000000001</v>
      </c>
      <c r="H6875" s="1">
        <v>-2.4386270000000001E-7</v>
      </c>
      <c r="I6875">
        <v>-62.376249999999999</v>
      </c>
      <c r="J6875">
        <v>-259.7534</v>
      </c>
      <c r="K6875">
        <v>1.1102209999999999</v>
      </c>
      <c r="L6875">
        <v>-62.483280000000001</v>
      </c>
      <c r="M6875">
        <v>0.9953864</v>
      </c>
      <c r="N6875">
        <v>-8.6440890000000006E-3</v>
      </c>
      <c r="O6875">
        <v>-9.5558000000000004E-2</v>
      </c>
      <c r="P6875">
        <v>0.92269219999999996</v>
      </c>
      <c r="Q6875">
        <v>0.37265029999999999</v>
      </c>
      <c r="R6875">
        <v>9.8848599999999995E-2</v>
      </c>
      <c r="S6875">
        <v>3.4302980000000001</v>
      </c>
      <c r="T6875">
        <v>-0.45388339999999999</v>
      </c>
      <c r="U6875">
        <v>3.6560059999999998E-2</v>
      </c>
      <c r="V6875">
        <v>-0.1868823</v>
      </c>
      <c r="W6875">
        <v>0.38034079999999998</v>
      </c>
      <c r="X6875">
        <v>0.90576820000000002</v>
      </c>
      <c r="Y6875">
        <v>-0.1044684</v>
      </c>
      <c r="Z6875">
        <v>1.9087110000000001E-2</v>
      </c>
      <c r="AA6875">
        <v>0.99434500000000003</v>
      </c>
      <c r="AB6875">
        <v>37</v>
      </c>
      <c r="AC6875">
        <v>8.2041999999999806</v>
      </c>
      <c r="AD6875">
        <v>-1.1102212438626999</v>
      </c>
      <c r="AE6875">
        <v>0.10703000000000799</v>
      </c>
      <c r="AF6875">
        <v>-0.87453421655181596</v>
      </c>
      <c r="AG6875">
        <v>-1.1102212438626999</v>
      </c>
      <c r="AH6875">
        <v>8.0097720651585895</v>
      </c>
      <c r="AI6875">
        <v>97.8453542132942</v>
      </c>
      <c r="AJ6875">
        <v>96.231066515677796</v>
      </c>
      <c r="AK6875">
        <v>8.1335016961969604</v>
      </c>
      <c r="AL6875">
        <v>67.645207583138898</v>
      </c>
      <c r="AM6875">
        <v>101.657942718667</v>
      </c>
      <c r="AN6875">
        <v>1.0000000751645799</v>
      </c>
    </row>
    <row r="6876" spans="1:40" x14ac:dyDescent="0.25">
      <c r="A6876" t="str">
        <f>"20190304164258518"</f>
        <v>20190304164258518</v>
      </c>
      <c r="B6876" t="str">
        <f>"1551688978507686"</f>
        <v>1551688978507686</v>
      </c>
      <c r="C6876" t="s">
        <v>40</v>
      </c>
      <c r="D6876">
        <v>4.6803150000000002</v>
      </c>
      <c r="E6876">
        <v>0.54651039999999995</v>
      </c>
      <c r="F6876" t="s">
        <v>64</v>
      </c>
      <c r="G6876">
        <v>-251.3605</v>
      </c>
      <c r="H6876" s="1">
        <v>-1.663741E-7</v>
      </c>
      <c r="I6876">
        <v>-62.391820000000003</v>
      </c>
      <c r="J6876">
        <v>-259.56760000000003</v>
      </c>
      <c r="K6876">
        <v>1.110339</v>
      </c>
      <c r="L6876">
        <v>-62.50076</v>
      </c>
      <c r="M6876">
        <v>0.99543150000000002</v>
      </c>
      <c r="N6876">
        <v>-8.6670069999999991E-3</v>
      </c>
      <c r="O6876">
        <v>-9.5085790000000003E-2</v>
      </c>
      <c r="P6876">
        <v>0.92258569999999995</v>
      </c>
      <c r="Q6876">
        <v>0.37285659999999998</v>
      </c>
      <c r="R6876">
        <v>9.9064449999999998E-2</v>
      </c>
      <c r="S6876">
        <v>3.4306339999999902</v>
      </c>
      <c r="T6876">
        <v>-0.45380880000000001</v>
      </c>
      <c r="U6876">
        <v>3.7384029999999999E-2</v>
      </c>
      <c r="V6876">
        <v>-0.1867634</v>
      </c>
      <c r="W6876">
        <v>0.38051489999999999</v>
      </c>
      <c r="X6876">
        <v>0.90571950000000001</v>
      </c>
      <c r="Y6876">
        <v>-0.10424120000000001</v>
      </c>
      <c r="Z6876">
        <v>1.9007219999999998E-2</v>
      </c>
      <c r="AA6876">
        <v>0.99437039999999999</v>
      </c>
      <c r="AB6876">
        <v>37</v>
      </c>
      <c r="AC6876">
        <v>8.20710000000002</v>
      </c>
      <c r="AD6876">
        <v>-1.1103391663741</v>
      </c>
      <c r="AE6876">
        <v>0.10894000000000401</v>
      </c>
      <c r="AF6876">
        <v>-0.87288028194731704</v>
      </c>
      <c r="AG6876">
        <v>-1.1103391663741</v>
      </c>
      <c r="AH6876">
        <v>8.0129146987531605</v>
      </c>
      <c r="AI6876">
        <v>97.843346254505093</v>
      </c>
      <c r="AJ6876">
        <v>96.216954538786396</v>
      </c>
      <c r="AK6876">
        <v>8.1364350314183191</v>
      </c>
      <c r="AL6876">
        <v>67.634419247772499</v>
      </c>
      <c r="AM6876">
        <v>101.651337754745</v>
      </c>
      <c r="AN6876">
        <v>0.99999998469090901</v>
      </c>
    </row>
    <row r="6877" spans="1:40" x14ac:dyDescent="0.25">
      <c r="A6877" t="str">
        <f>"20190304164258530"</f>
        <v>20190304164258530</v>
      </c>
      <c r="B6877" t="str">
        <f>"1551688978518422"</f>
        <v>1551688978518422</v>
      </c>
      <c r="C6877" t="s">
        <v>40</v>
      </c>
      <c r="D6877">
        <v>4.7068510000000003</v>
      </c>
      <c r="E6877">
        <v>0.54660369999999903</v>
      </c>
      <c r="F6877" t="s">
        <v>64</v>
      </c>
      <c r="G6877">
        <v>-251.17259999999999</v>
      </c>
      <c r="H6877" s="1">
        <v>-8.9286860000000006E-8</v>
      </c>
      <c r="I6877">
        <v>-62.407649999999997</v>
      </c>
      <c r="J6877">
        <v>-259.37599999999998</v>
      </c>
      <c r="K6877">
        <v>1.110466</v>
      </c>
      <c r="L6877">
        <v>-62.518680000000003</v>
      </c>
      <c r="M6877">
        <v>0.99548579999999998</v>
      </c>
      <c r="N6877">
        <v>-8.6905790000000004E-3</v>
      </c>
      <c r="O6877">
        <v>-9.4513529999999998E-2</v>
      </c>
      <c r="P6877">
        <v>0.92245049999999995</v>
      </c>
      <c r="Q6877">
        <v>0.37311640000000001</v>
      </c>
      <c r="R6877">
        <v>9.9346290000000004E-2</v>
      </c>
      <c r="S6877">
        <v>3.4310299999999998</v>
      </c>
      <c r="T6877">
        <v>-0.45379570000000002</v>
      </c>
      <c r="U6877">
        <v>3.805542E-2</v>
      </c>
      <c r="V6877">
        <v>-0.1866247</v>
      </c>
      <c r="W6877">
        <v>0.38073940000000001</v>
      </c>
      <c r="X6877">
        <v>0.90565379999999995</v>
      </c>
      <c r="Y6877">
        <v>-0.1038712</v>
      </c>
      <c r="Z6877">
        <v>1.890733E-2</v>
      </c>
      <c r="AA6877">
        <v>0.99441109999999999</v>
      </c>
      <c r="AB6877">
        <v>37</v>
      </c>
      <c r="AC6877">
        <v>8.2033999999999807</v>
      </c>
      <c r="AD6877">
        <v>-1.1104660892868601</v>
      </c>
      <c r="AE6877">
        <v>0.111030000000006</v>
      </c>
      <c r="AF6877">
        <v>-0.86995614704714397</v>
      </c>
      <c r="AG6877">
        <v>-1.1104660892868601</v>
      </c>
      <c r="AH6877">
        <v>8.0094421166071808</v>
      </c>
      <c r="AI6877">
        <v>97.847855074471397</v>
      </c>
      <c r="AJ6877">
        <v>96.198955675277801</v>
      </c>
      <c r="AK6877">
        <v>8.1327192040867899</v>
      </c>
      <c r="AL6877">
        <v>67.620510569287504</v>
      </c>
      <c r="AM6877">
        <v>101.643742771096</v>
      </c>
      <c r="AN6877">
        <v>1.0000000374084399</v>
      </c>
    </row>
    <row r="6878" spans="1:40" x14ac:dyDescent="0.25">
      <c r="A6878" t="str">
        <f>"20190304164258541"</f>
        <v>20190304164258541</v>
      </c>
      <c r="B6878" t="str">
        <f>"1551688978537941"</f>
        <v>1551688978537941</v>
      </c>
      <c r="C6878" t="s">
        <v>40</v>
      </c>
      <c r="D6878">
        <v>4.7134809999999998</v>
      </c>
      <c r="E6878">
        <v>0.5467668</v>
      </c>
      <c r="F6878" t="s">
        <v>64</v>
      </c>
      <c r="G6878">
        <v>-250.97489999999999</v>
      </c>
      <c r="H6878" s="1">
        <v>-8.1921029999999996E-9</v>
      </c>
      <c r="I6878">
        <v>-62.42454</v>
      </c>
      <c r="J6878">
        <v>-259.17689999999999</v>
      </c>
      <c r="K6878">
        <v>1.1106009999999999</v>
      </c>
      <c r="L6878">
        <v>-62.537170000000003</v>
      </c>
      <c r="M6878">
        <v>0.99554580000000004</v>
      </c>
      <c r="N6878">
        <v>-8.7149029999999995E-3</v>
      </c>
      <c r="O6878">
        <v>-9.3876760000000004E-2</v>
      </c>
      <c r="P6878">
        <v>0.92233540000000003</v>
      </c>
      <c r="Q6878">
        <v>0.37336059999999999</v>
      </c>
      <c r="R6878">
        <v>9.9495790000000001E-2</v>
      </c>
      <c r="S6878">
        <v>3.4315340000000001</v>
      </c>
      <c r="T6878">
        <v>-0.45357920000000002</v>
      </c>
      <c r="U6878">
        <v>3.8452149999999997E-2</v>
      </c>
      <c r="V6878">
        <v>-0.18630389999999999</v>
      </c>
      <c r="W6878">
        <v>0.38094620000000001</v>
      </c>
      <c r="X6878">
        <v>0.90563289999999996</v>
      </c>
      <c r="Y6878">
        <v>-0.1033602</v>
      </c>
      <c r="Z6878">
        <v>1.878053E-2</v>
      </c>
      <c r="AA6878">
        <v>0.99446670000000004</v>
      </c>
      <c r="AB6878">
        <v>37</v>
      </c>
      <c r="AC6878">
        <v>8.2019999999999893</v>
      </c>
      <c r="AD6878">
        <v>-1.1106010081921001</v>
      </c>
      <c r="AE6878">
        <v>0.112629999999995</v>
      </c>
      <c r="AF6878">
        <v>-0.86625919472284396</v>
      </c>
      <c r="AG6878">
        <v>-1.1106010081921001</v>
      </c>
      <c r="AH6878">
        <v>8.0083972288365697</v>
      </c>
      <c r="AI6878">
        <v>97.850179609371295</v>
      </c>
      <c r="AJ6878">
        <v>96.173615660056299</v>
      </c>
      <c r="AK6878">
        <v>8.1313139016198601</v>
      </c>
      <c r="AL6878">
        <v>67.607696399128002</v>
      </c>
      <c r="AM6878">
        <v>101.624533802182</v>
      </c>
      <c r="AN6878">
        <v>1.00000005000602</v>
      </c>
    </row>
    <row r="6879" spans="1:40" x14ac:dyDescent="0.25">
      <c r="A6879" t="str">
        <f>"20190304164258552"</f>
        <v>20190304164258552</v>
      </c>
      <c r="B6879" t="str">
        <f>"1551688978547702"</f>
        <v>1551688978547702</v>
      </c>
      <c r="C6879" t="s">
        <v>40</v>
      </c>
      <c r="D6879">
        <v>4.7433519999999998</v>
      </c>
      <c r="E6879">
        <v>0.54685240000000002</v>
      </c>
      <c r="F6879" t="s">
        <v>64</v>
      </c>
      <c r="G6879">
        <v>-250.7817</v>
      </c>
      <c r="H6879" s="1">
        <v>7.0234929999999898E-8</v>
      </c>
      <c r="I6879">
        <v>-62.444459999999999</v>
      </c>
      <c r="J6879">
        <v>-258.99689999999998</v>
      </c>
      <c r="K6879">
        <v>1.1107309999999999</v>
      </c>
      <c r="L6879">
        <v>-62.553559999999997</v>
      </c>
      <c r="M6879">
        <v>0.99561129999999998</v>
      </c>
      <c r="N6879">
        <v>-8.7383500000000006E-3</v>
      </c>
      <c r="O6879">
        <v>-9.3176880000000004E-2</v>
      </c>
      <c r="P6879">
        <v>0.92237139999999995</v>
      </c>
      <c r="Q6879">
        <v>0.37326749999999997</v>
      </c>
      <c r="R6879">
        <v>9.9510979999999999E-2</v>
      </c>
      <c r="S6879">
        <v>3.4323269999999901</v>
      </c>
      <c r="T6879">
        <v>-0.45406079999999999</v>
      </c>
      <c r="U6879">
        <v>3.7902829999999998E-2</v>
      </c>
      <c r="V6879">
        <v>-0.18580269999999999</v>
      </c>
      <c r="W6879">
        <v>0.38081880000000001</v>
      </c>
      <c r="X6879">
        <v>0.90578939999999997</v>
      </c>
      <c r="Y6879">
        <v>-0.1025099</v>
      </c>
      <c r="Z6879">
        <v>1.8649800000000001E-2</v>
      </c>
      <c r="AA6879">
        <v>0.99455709999999997</v>
      </c>
      <c r="AB6879">
        <v>37</v>
      </c>
      <c r="AC6879">
        <v>8.2151999999999799</v>
      </c>
      <c r="AD6879">
        <v>-1.11073092976506</v>
      </c>
      <c r="AE6879">
        <v>0.109099999999997</v>
      </c>
      <c r="AF6879">
        <v>-0.85843165221214102</v>
      </c>
      <c r="AG6879">
        <v>-1.11073092976506</v>
      </c>
      <c r="AH6879">
        <v>8.0226614773114004</v>
      </c>
      <c r="AI6879">
        <v>97.838262451956794</v>
      </c>
      <c r="AJ6879">
        <v>96.107459765482901</v>
      </c>
      <c r="AK6879">
        <v>8.1445518771380403</v>
      </c>
      <c r="AL6879">
        <v>67.615590223749507</v>
      </c>
      <c r="AM6879">
        <v>101.59216000159201</v>
      </c>
      <c r="AN6879">
        <v>1.0000000194565399</v>
      </c>
    </row>
    <row r="6880" spans="1:40" x14ac:dyDescent="0.25">
      <c r="A6880" t="str">
        <f>"20190304164258563"</f>
        <v>20190304164258563</v>
      </c>
      <c r="B6880" t="str">
        <f>"1551688978558438"</f>
        <v>1551688978558438</v>
      </c>
      <c r="C6880" t="s">
        <v>40</v>
      </c>
      <c r="D6880">
        <v>4.7162430000000004</v>
      </c>
      <c r="E6880">
        <v>0.54693329999999996</v>
      </c>
      <c r="F6880" t="s">
        <v>64</v>
      </c>
      <c r="G6880">
        <v>-250.61859999999999</v>
      </c>
      <c r="H6880" s="1">
        <v>1.36144E-7</v>
      </c>
      <c r="I6880">
        <v>-62.462760000000003</v>
      </c>
      <c r="J6880">
        <v>-258.81169999999997</v>
      </c>
      <c r="K6880">
        <v>1.1108659999999999</v>
      </c>
      <c r="L6880">
        <v>-62.570399999999999</v>
      </c>
      <c r="M6880">
        <v>0.99568029999999996</v>
      </c>
      <c r="N6880">
        <v>-8.7627799999999995E-3</v>
      </c>
      <c r="O6880">
        <v>-9.2433379999999996E-2</v>
      </c>
      <c r="P6880">
        <v>0.92243900000000001</v>
      </c>
      <c r="Q6880">
        <v>0.37313380000000002</v>
      </c>
      <c r="R6880">
        <v>9.9384730000000004E-2</v>
      </c>
      <c r="S6880">
        <v>3.4326319999999999</v>
      </c>
      <c r="T6880">
        <v>-0.45507049999999999</v>
      </c>
      <c r="U6880">
        <v>3.720093E-2</v>
      </c>
      <c r="V6880">
        <v>-0.1851285</v>
      </c>
      <c r="W6880">
        <v>0.3806503</v>
      </c>
      <c r="X6880">
        <v>0.90599819999999998</v>
      </c>
      <c r="Y6880">
        <v>-0.1015703</v>
      </c>
      <c r="Z6880">
        <v>1.8531539999999999E-2</v>
      </c>
      <c r="AA6880">
        <v>0.99465570000000003</v>
      </c>
      <c r="AB6880">
        <v>38</v>
      </c>
      <c r="AC6880">
        <v>8.1930999999999798</v>
      </c>
      <c r="AD6880">
        <v>-1.1108658638559901</v>
      </c>
      <c r="AE6880">
        <v>0.107640000000003</v>
      </c>
      <c r="AF6880">
        <v>-0.84892076708689201</v>
      </c>
      <c r="AG6880">
        <v>-1.1108658638559901</v>
      </c>
      <c r="AH6880">
        <v>8.0010109667551905</v>
      </c>
      <c r="AI6880">
        <v>97.860886024869302</v>
      </c>
      <c r="AJ6880">
        <v>96.056519507039994</v>
      </c>
      <c r="AK6880">
        <v>8.1222451284363899</v>
      </c>
      <c r="AL6880">
        <v>67.626029870073197</v>
      </c>
      <c r="AM6880">
        <v>101.54863882481099</v>
      </c>
      <c r="AN6880">
        <v>0.99999997540278895</v>
      </c>
    </row>
    <row r="6881" spans="1:40" x14ac:dyDescent="0.25">
      <c r="A6881" t="str">
        <f>"20190304164258574"</f>
        <v>20190304164258574</v>
      </c>
      <c r="B6881" t="str">
        <f>"1551688978568199"</f>
        <v>1551688978568199</v>
      </c>
      <c r="C6881" t="s">
        <v>40</v>
      </c>
      <c r="D6881">
        <v>4.7291889999999999</v>
      </c>
      <c r="E6881">
        <v>0.54700559999999998</v>
      </c>
      <c r="F6881" t="s">
        <v>64</v>
      </c>
      <c r="G6881">
        <v>-250.45529999999999</v>
      </c>
      <c r="H6881" s="1">
        <v>2.01851E-7</v>
      </c>
      <c r="I6881">
        <v>-62.482370000000003</v>
      </c>
      <c r="J6881">
        <v>-258.62819999999999</v>
      </c>
      <c r="K6881">
        <v>1.111</v>
      </c>
      <c r="L6881">
        <v>-62.586759999999998</v>
      </c>
      <c r="M6881">
        <v>0.99575930000000001</v>
      </c>
      <c r="N6881">
        <v>-8.7897719999999995E-3</v>
      </c>
      <c r="O6881">
        <v>-9.1575790000000004E-2</v>
      </c>
      <c r="P6881">
        <v>0.92242120000000005</v>
      </c>
      <c r="Q6881">
        <v>0.37315789999999999</v>
      </c>
      <c r="R6881">
        <v>9.946033E-2</v>
      </c>
      <c r="S6881">
        <v>3.432922</v>
      </c>
      <c r="T6881">
        <v>-0.45635599999999998</v>
      </c>
      <c r="U6881">
        <v>3.616333E-2</v>
      </c>
      <c r="V6881">
        <v>-0.18455099999999999</v>
      </c>
      <c r="W6881">
        <v>0.38063760000000002</v>
      </c>
      <c r="X6881">
        <v>0.90612139999999997</v>
      </c>
      <c r="Y6881">
        <v>-0.1004203</v>
      </c>
      <c r="Z6881">
        <v>1.839495E-2</v>
      </c>
      <c r="AA6881">
        <v>0.99477510000000002</v>
      </c>
      <c r="AB6881">
        <v>38</v>
      </c>
      <c r="AC6881">
        <v>8.1728999999999896</v>
      </c>
      <c r="AD6881">
        <v>-1.1109997981489901</v>
      </c>
      <c r="AE6881">
        <v>0.104390000000002</v>
      </c>
      <c r="AF6881">
        <v>-0.83695653564421901</v>
      </c>
      <c r="AG6881">
        <v>-1.1109997981489901</v>
      </c>
      <c r="AH6881">
        <v>7.98153008205772</v>
      </c>
      <c r="AI6881">
        <v>97.881776545125106</v>
      </c>
      <c r="AJ6881">
        <v>95.986253270384495</v>
      </c>
      <c r="AK6881">
        <v>8.1018293764332707</v>
      </c>
      <c r="AL6881">
        <v>67.626817881114604</v>
      </c>
      <c r="AM6881">
        <v>101.512053192937</v>
      </c>
      <c r="AN6881">
        <v>1.0000000228363499</v>
      </c>
    </row>
    <row r="6882" spans="1:40" x14ac:dyDescent="0.25">
      <c r="A6882" t="str">
        <f>"20190304164258585"</f>
        <v>20190304164258585</v>
      </c>
      <c r="B6882" t="str">
        <f>"1551688978577958"</f>
        <v>1551688978577958</v>
      </c>
      <c r="C6882" t="s">
        <v>40</v>
      </c>
      <c r="D6882">
        <v>4.7449750000000002</v>
      </c>
      <c r="E6882">
        <v>0.54700559999999998</v>
      </c>
      <c r="F6882" t="s">
        <v>64</v>
      </c>
      <c r="G6882">
        <v>-250.28380000000001</v>
      </c>
      <c r="H6882" s="1">
        <v>2.7203949999999998E-7</v>
      </c>
      <c r="I6882">
        <v>-62.497599999999998</v>
      </c>
      <c r="J6882">
        <v>-258.44540000000001</v>
      </c>
      <c r="K6882">
        <v>1.111145</v>
      </c>
      <c r="L6882">
        <v>-62.602939999999997</v>
      </c>
      <c r="M6882">
        <v>0.99584110000000003</v>
      </c>
      <c r="N6882">
        <v>-8.8170990000000001E-3</v>
      </c>
      <c r="O6882">
        <v>-9.0680230000000001E-2</v>
      </c>
      <c r="P6882">
        <v>0.92253850000000004</v>
      </c>
      <c r="Q6882">
        <v>0.37284800000000001</v>
      </c>
      <c r="R6882">
        <v>9.9534540000000005E-2</v>
      </c>
      <c r="S6882">
        <v>3.4332729999999998</v>
      </c>
      <c r="T6882">
        <v>-0.45711210000000002</v>
      </c>
      <c r="U6882">
        <v>3.668213E-2</v>
      </c>
      <c r="V6882">
        <v>-0.18394920000000001</v>
      </c>
      <c r="W6882">
        <v>0.3802931</v>
      </c>
      <c r="X6882">
        <v>0.90638830000000004</v>
      </c>
      <c r="Y6882">
        <v>-9.9683679999999997E-2</v>
      </c>
      <c r="Z6882">
        <v>1.8260200000000001E-2</v>
      </c>
      <c r="AA6882">
        <v>0.99485159999999995</v>
      </c>
      <c r="AB6882">
        <v>38</v>
      </c>
      <c r="AC6882">
        <v>8.1615999999999893</v>
      </c>
      <c r="AD6882">
        <v>-1.1111447279605</v>
      </c>
      <c r="AE6882">
        <v>0.105340000000005</v>
      </c>
      <c r="AF6882">
        <v>-0.829655421032228</v>
      </c>
      <c r="AG6882">
        <v>-1.1111447279605</v>
      </c>
      <c r="AH6882">
        <v>7.9707076656953602</v>
      </c>
      <c r="AI6882">
        <v>97.893983171377897</v>
      </c>
      <c r="AJ6882">
        <v>95.9424069872031</v>
      </c>
      <c r="AK6882">
        <v>8.0904357988984295</v>
      </c>
      <c r="AL6882">
        <v>67.648159702897402</v>
      </c>
      <c r="AM6882">
        <v>101.47222160155199</v>
      </c>
      <c r="AN6882">
        <v>0.99999995023256805</v>
      </c>
    </row>
    <row r="6883" spans="1:40" x14ac:dyDescent="0.25">
      <c r="A6883" t="str">
        <f>"20190304164258596"</f>
        <v>20190304164258596</v>
      </c>
      <c r="B6883" t="str">
        <f>"1551688978587721"</f>
        <v>1551688978587721</v>
      </c>
      <c r="C6883" t="s">
        <v>40</v>
      </c>
      <c r="D6883">
        <v>4.7436920000000002</v>
      </c>
      <c r="E6883">
        <v>0.55081950000000002</v>
      </c>
      <c r="F6883" t="s">
        <v>64</v>
      </c>
      <c r="G6883">
        <v>-250.12389999999999</v>
      </c>
      <c r="H6883" s="1">
        <v>3.3747540000000002E-7</v>
      </c>
      <c r="I6883">
        <v>-62.511659999999999</v>
      </c>
      <c r="J6883">
        <v>-258.25869999999998</v>
      </c>
      <c r="K6883">
        <v>1.111294</v>
      </c>
      <c r="L6883">
        <v>-62.619140000000002</v>
      </c>
      <c r="M6883">
        <v>0.99593189999999998</v>
      </c>
      <c r="N6883">
        <v>-8.84628199999999E-3</v>
      </c>
      <c r="O6883">
        <v>-8.9674790000000004E-2</v>
      </c>
      <c r="P6883">
        <v>0.92268779999999995</v>
      </c>
      <c r="Q6883">
        <v>0.37240709999999999</v>
      </c>
      <c r="R6883">
        <v>9.9802810000000006E-2</v>
      </c>
      <c r="S6883">
        <v>3.4331049999999999</v>
      </c>
      <c r="T6883">
        <v>-0.45841549999999998</v>
      </c>
      <c r="U6883">
        <v>3.7658690000000002E-2</v>
      </c>
      <c r="V6883">
        <v>-0.18344679999999999</v>
      </c>
      <c r="W6883">
        <v>0.37981720000000002</v>
      </c>
      <c r="X6883">
        <v>0.90668959999999998</v>
      </c>
      <c r="Y6883">
        <v>-9.8967819999999998E-2</v>
      </c>
      <c r="Z6883">
        <v>1.813743E-2</v>
      </c>
      <c r="AA6883">
        <v>0.99492530000000001</v>
      </c>
      <c r="AB6883">
        <v>38</v>
      </c>
      <c r="AC6883">
        <v>8.1347999999999807</v>
      </c>
      <c r="AD6883">
        <v>-1.1112936625245999</v>
      </c>
      <c r="AE6883">
        <v>0.107480000000002</v>
      </c>
      <c r="AF6883">
        <v>-0.82123842467452202</v>
      </c>
      <c r="AG6883">
        <v>-1.1112936625245999</v>
      </c>
      <c r="AH6883">
        <v>7.9441546233490703</v>
      </c>
      <c r="AI6883">
        <v>97.921653503371502</v>
      </c>
      <c r="AJ6883">
        <v>95.902068778595606</v>
      </c>
      <c r="AK6883">
        <v>8.0634359198921892</v>
      </c>
      <c r="AL6883">
        <v>67.677638340242794</v>
      </c>
      <c r="AM6883">
        <v>101.43801432378601</v>
      </c>
      <c r="AN6883">
        <v>0.99999993229711703</v>
      </c>
    </row>
    <row r="6884" spans="1:40" x14ac:dyDescent="0.25">
      <c r="A6884" t="str">
        <f>"20190304164258608"</f>
        <v>20190304164258608</v>
      </c>
      <c r="B6884" t="str">
        <f>"1551688978598454"</f>
        <v>1551688978598454</v>
      </c>
      <c r="C6884" t="s">
        <v>40</v>
      </c>
      <c r="D6884">
        <v>4.7606820000000001</v>
      </c>
      <c r="E6884">
        <v>0.5474755</v>
      </c>
      <c r="F6884" t="s">
        <v>41</v>
      </c>
      <c r="G6884">
        <v>-257.45760000000001</v>
      </c>
      <c r="H6884">
        <v>0.98429319999999998</v>
      </c>
      <c r="I6884">
        <v>-62.615760000000002</v>
      </c>
      <c r="J6884">
        <v>-258.07220000000001</v>
      </c>
      <c r="K6884">
        <v>1.111448</v>
      </c>
      <c r="L6884">
        <v>-62.635129999999997</v>
      </c>
      <c r="M6884">
        <v>0.99602760000000001</v>
      </c>
      <c r="N6884">
        <v>-8.8762570000000002E-3</v>
      </c>
      <c r="O6884">
        <v>-8.8603619999999994E-2</v>
      </c>
      <c r="P6884">
        <v>0.92281040000000003</v>
      </c>
      <c r="Q6884">
        <v>0.37186180000000002</v>
      </c>
      <c r="R6884">
        <v>0.100698</v>
      </c>
      <c r="S6884">
        <v>3.4719389999999999</v>
      </c>
      <c r="T6884">
        <v>-0.55043719999999996</v>
      </c>
      <c r="U6884">
        <v>1.498413E-2</v>
      </c>
      <c r="V6884">
        <v>-0.183505</v>
      </c>
      <c r="W6884">
        <v>0.37923580000000001</v>
      </c>
      <c r="X6884">
        <v>0.90692130000000004</v>
      </c>
      <c r="Y6884">
        <v>-9.0723719999999994E-2</v>
      </c>
      <c r="Z6884">
        <v>2.071634E-2</v>
      </c>
      <c r="AA6884">
        <v>0.99566060000000001</v>
      </c>
      <c r="AB6884">
        <v>38</v>
      </c>
      <c r="AC6884">
        <v>0.61459999999999504</v>
      </c>
      <c r="AD6884">
        <v>-0.12715480000000001</v>
      </c>
      <c r="AE6884">
        <v>1.9370000000009199E-2</v>
      </c>
      <c r="AF6884">
        <v>-7.0727349411506601E-2</v>
      </c>
      <c r="AG6884">
        <v>-0.12715480000000001</v>
      </c>
      <c r="AH6884">
        <v>0.58543248854052399</v>
      </c>
      <c r="AI6884">
        <v>102.168384683817</v>
      </c>
      <c r="AJ6884">
        <v>96.888640411805099</v>
      </c>
      <c r="AK6884">
        <v>0.60324281989640605</v>
      </c>
      <c r="AL6884">
        <v>67.713647039461904</v>
      </c>
      <c r="AM6884">
        <v>101.438701417763</v>
      </c>
      <c r="AN6884">
        <v>1.00000006071016</v>
      </c>
    </row>
    <row r="6885" spans="1:40" x14ac:dyDescent="0.25">
      <c r="A6885" t="str">
        <f>"20190304164258619"</f>
        <v>20190304164258619</v>
      </c>
      <c r="B6885" t="str">
        <f>"1551688978608215"</f>
        <v>1551688978608215</v>
      </c>
      <c r="C6885" t="s">
        <v>40</v>
      </c>
      <c r="D6885">
        <v>4.7313599999999996</v>
      </c>
      <c r="E6885">
        <v>0.54431309999999999</v>
      </c>
      <c r="F6885" t="s">
        <v>64</v>
      </c>
      <c r="G6885">
        <v>-250.8212</v>
      </c>
      <c r="H6885" s="1">
        <v>3.0832270000000001E-8</v>
      </c>
      <c r="I6885">
        <v>-62.545470000000002</v>
      </c>
      <c r="J6885">
        <v>-257.8646</v>
      </c>
      <c r="K6885">
        <v>1.111613</v>
      </c>
      <c r="L6885">
        <v>-62.652709999999999</v>
      </c>
      <c r="M6885">
        <v>0.99613890000000005</v>
      </c>
      <c r="N6885">
        <v>-8.9104089999999993E-3</v>
      </c>
      <c r="O6885">
        <v>-8.7340020000000004E-2</v>
      </c>
      <c r="P6885">
        <v>0.92296959999999995</v>
      </c>
      <c r="Q6885">
        <v>0.37113429999999997</v>
      </c>
      <c r="R6885">
        <v>0.10191459999999999</v>
      </c>
      <c r="S6885">
        <v>3.459991</v>
      </c>
      <c r="T6885">
        <v>-0.53035459999999901</v>
      </c>
      <c r="U6885">
        <v>4.278564E-2</v>
      </c>
      <c r="V6885">
        <v>-0.1837239</v>
      </c>
      <c r="W6885">
        <v>0.37846839999999998</v>
      </c>
      <c r="X6885">
        <v>0.90719749999999999</v>
      </c>
      <c r="Y6885">
        <v>-9.754504E-2</v>
      </c>
      <c r="Z6885">
        <v>2.0393350000000001E-2</v>
      </c>
      <c r="AA6885">
        <v>0.99502219999999997</v>
      </c>
      <c r="AB6885">
        <v>38</v>
      </c>
      <c r="AC6885">
        <v>7.0433999999999903</v>
      </c>
      <c r="AD6885">
        <v>-1.1116129691677299</v>
      </c>
      <c r="AE6885">
        <v>0.107240000000004</v>
      </c>
      <c r="AF6885">
        <v>-0.70448184344778098</v>
      </c>
      <c r="AG6885">
        <v>-1.1116129691677299</v>
      </c>
      <c r="AH6885">
        <v>6.8368607270984203</v>
      </c>
      <c r="AI6885">
        <v>99.187165632581099</v>
      </c>
      <c r="AJ6885">
        <v>95.883092487137702</v>
      </c>
      <c r="AK6885">
        <v>6.9623733498506297</v>
      </c>
      <c r="AL6885">
        <v>67.761157181539005</v>
      </c>
      <c r="AM6885">
        <v>101.448591612372</v>
      </c>
      <c r="AN6885">
        <v>1.000000052618</v>
      </c>
    </row>
    <row r="6886" spans="1:40" x14ac:dyDescent="0.25">
      <c r="A6886" t="str">
        <f>"20190304164258630"</f>
        <v>20190304164258630</v>
      </c>
      <c r="B6886" t="str">
        <f>"1551688978627735"</f>
        <v>1551688978627735</v>
      </c>
      <c r="C6886" t="s">
        <v>40</v>
      </c>
      <c r="D6886">
        <v>4.7486660000000001</v>
      </c>
      <c r="E6886">
        <v>0.54068539999999998</v>
      </c>
      <c r="F6886" t="s">
        <v>64</v>
      </c>
      <c r="G6886">
        <v>-250.3211</v>
      </c>
      <c r="H6886" s="1">
        <v>2.5565510000000001E-7</v>
      </c>
      <c r="I6886">
        <v>-62.499229999999997</v>
      </c>
      <c r="J6886">
        <v>-257.6936</v>
      </c>
      <c r="K6886">
        <v>1.1117459999999999</v>
      </c>
      <c r="L6886">
        <v>-62.666780000000003</v>
      </c>
      <c r="M6886">
        <v>0.9962375</v>
      </c>
      <c r="N6886">
        <v>-8.9389699999999992E-3</v>
      </c>
      <c r="O6886">
        <v>-8.6204310000000006E-2</v>
      </c>
      <c r="P6886">
        <v>0.9231142</v>
      </c>
      <c r="Q6886">
        <v>0.37050159999999999</v>
      </c>
      <c r="R6886">
        <v>0.1029028</v>
      </c>
      <c r="S6886">
        <v>3.4468839999999998</v>
      </c>
      <c r="T6886">
        <v>-0.50793679999999997</v>
      </c>
      <c r="U6886">
        <v>7.012939E-2</v>
      </c>
      <c r="V6886">
        <v>-0.18380099999999999</v>
      </c>
      <c r="W6886">
        <v>0.37780540000000001</v>
      </c>
      <c r="X6886">
        <v>0.90745819999999999</v>
      </c>
      <c r="Y6886">
        <v>-0.104439</v>
      </c>
      <c r="Z6886">
        <v>1.997991E-2</v>
      </c>
      <c r="AA6886">
        <v>0.99433059999999995</v>
      </c>
      <c r="AB6886">
        <v>38</v>
      </c>
      <c r="AC6886">
        <v>7.3724999999999996</v>
      </c>
      <c r="AD6886">
        <v>-1.1117457443448999</v>
      </c>
      <c r="AE6886">
        <v>0.16754999999999801</v>
      </c>
      <c r="AF6886">
        <v>-0.78465926456618995</v>
      </c>
      <c r="AG6886">
        <v>-1.1117457443448999</v>
      </c>
      <c r="AH6886">
        <v>7.1677033907977599</v>
      </c>
      <c r="AI6886">
        <v>98.765057320551605</v>
      </c>
      <c r="AJ6886">
        <v>96.2473781519721</v>
      </c>
      <c r="AK6886">
        <v>7.29572756207304</v>
      </c>
      <c r="AL6886">
        <v>67.802191146847704</v>
      </c>
      <c r="AM6886">
        <v>101.45006564399699</v>
      </c>
      <c r="AN6886">
        <v>1.0000000563086899</v>
      </c>
    </row>
    <row r="6887" spans="1:40" x14ac:dyDescent="0.25">
      <c r="A6887" t="str">
        <f>"20190304164258641"</f>
        <v>20190304164258641</v>
      </c>
      <c r="B6887" t="str">
        <f>"1551688978627735"</f>
        <v>1551688978627735</v>
      </c>
      <c r="C6887" t="s">
        <v>40</v>
      </c>
      <c r="D6887">
        <v>4.7486660000000001</v>
      </c>
      <c r="E6887">
        <v>0.54068539999999998</v>
      </c>
      <c r="F6887" t="s">
        <v>65</v>
      </c>
      <c r="G6887">
        <v>-249.68559999999999</v>
      </c>
      <c r="H6887" s="1">
        <v>-3.5337079999999999E-6</v>
      </c>
      <c r="I6887">
        <v>-62.433430000000001</v>
      </c>
      <c r="J6887">
        <v>-257.50959999999998</v>
      </c>
      <c r="K6887">
        <v>1.1118859999999999</v>
      </c>
      <c r="L6887">
        <v>-62.681849999999997</v>
      </c>
      <c r="M6887">
        <v>0.99634429999999996</v>
      </c>
      <c r="N6887">
        <v>-8.9695160000000003E-3</v>
      </c>
      <c r="O6887">
        <v>-8.4957630000000006E-2</v>
      </c>
      <c r="P6887">
        <v>0.92317530000000003</v>
      </c>
      <c r="Q6887">
        <v>0.36995400000000001</v>
      </c>
      <c r="R6887">
        <v>0.1043142</v>
      </c>
      <c r="S6887">
        <v>3.4298709999999999</v>
      </c>
      <c r="T6887">
        <v>-0.47616510000000001</v>
      </c>
      <c r="U6887">
        <v>9.9914550000000005E-2</v>
      </c>
      <c r="V6887">
        <v>-0.1841991</v>
      </c>
      <c r="W6887">
        <v>0.37722290000000003</v>
      </c>
      <c r="X6887">
        <v>0.90761970000000003</v>
      </c>
      <c r="Y6887">
        <v>-0.112082</v>
      </c>
      <c r="Z6887">
        <v>1.9216520000000001E-2</v>
      </c>
      <c r="AA6887">
        <v>0.99351310000000004</v>
      </c>
      <c r="AB6887">
        <v>38</v>
      </c>
      <c r="AC6887">
        <v>7.8239999999999803</v>
      </c>
      <c r="AD6887">
        <v>-1.1118895337079999</v>
      </c>
      <c r="AE6887">
        <v>0.24841999999999501</v>
      </c>
      <c r="AF6887">
        <v>-0.89421554811149995</v>
      </c>
      <c r="AG6887">
        <v>-1.1118895337079999</v>
      </c>
      <c r="AH6887">
        <v>7.6208487987394697</v>
      </c>
      <c r="AI6887">
        <v>98.245160808287096</v>
      </c>
      <c r="AJ6887">
        <v>96.692373065324404</v>
      </c>
      <c r="AK6887">
        <v>7.7532739017077503</v>
      </c>
      <c r="AL6887">
        <v>67.838230927311798</v>
      </c>
      <c r="AM6887">
        <v>101.472221025697</v>
      </c>
      <c r="AN6887">
        <v>0.99999997227665405</v>
      </c>
    </row>
    <row r="6888" spans="1:40" x14ac:dyDescent="0.25">
      <c r="A6888" t="str">
        <f>"20190304164258653"</f>
        <v>20190304164258653</v>
      </c>
      <c r="B6888" t="str">
        <f>"1551688978648230"</f>
        <v>1551688978648230</v>
      </c>
      <c r="C6888" t="s">
        <v>40</v>
      </c>
      <c r="D6888">
        <v>4.6970900000000002</v>
      </c>
      <c r="E6888">
        <v>0.53865869999999905</v>
      </c>
      <c r="F6888" t="s">
        <v>65</v>
      </c>
      <c r="G6888">
        <v>-249.53630000000001</v>
      </c>
      <c r="H6888" s="1">
        <v>-3.4834840000000002E-6</v>
      </c>
      <c r="I6888">
        <v>-62.43665</v>
      </c>
      <c r="J6888">
        <v>-257.31</v>
      </c>
      <c r="K6888">
        <v>1.112031</v>
      </c>
      <c r="L6888">
        <v>-62.697629999999997</v>
      </c>
      <c r="M6888">
        <v>0.99646849999999998</v>
      </c>
      <c r="N6888">
        <v>-9.002098E-3</v>
      </c>
      <c r="O6888">
        <v>-8.3483760000000004E-2</v>
      </c>
      <c r="P6888">
        <v>0.92316589999999998</v>
      </c>
      <c r="Q6888">
        <v>0.3695387</v>
      </c>
      <c r="R6888">
        <v>0.1058592</v>
      </c>
      <c r="S6888">
        <v>3.4293819999999999</v>
      </c>
      <c r="T6888">
        <v>-0.47823640000000001</v>
      </c>
      <c r="U6888">
        <v>0.1054382</v>
      </c>
      <c r="V6888">
        <v>-0.1845231</v>
      </c>
      <c r="W6888">
        <v>0.37677159999999998</v>
      </c>
      <c r="X6888">
        <v>0.90774140000000003</v>
      </c>
      <c r="Y6888">
        <v>-0.11221</v>
      </c>
      <c r="Z6888">
        <v>1.9120680000000001E-2</v>
      </c>
      <c r="AA6888">
        <v>0.99350050000000001</v>
      </c>
      <c r="AB6888">
        <v>38</v>
      </c>
      <c r="AC6888">
        <v>7.7736999999999901</v>
      </c>
      <c r="AD6888">
        <v>-1.1120344834839999</v>
      </c>
      <c r="AE6888">
        <v>0.26098000000000299</v>
      </c>
      <c r="AF6888">
        <v>-0.89086316986886604</v>
      </c>
      <c r="AG6888">
        <v>-1.1120344834839999</v>
      </c>
      <c r="AH6888">
        <v>7.5700369868471897</v>
      </c>
      <c r="AI6888">
        <v>98.300475587111194</v>
      </c>
      <c r="AJ6888">
        <v>96.711856819293899</v>
      </c>
      <c r="AK6888">
        <v>7.7029681202845897</v>
      </c>
      <c r="AL6888">
        <v>67.8661497953984</v>
      </c>
      <c r="AM6888">
        <v>101.490364152944</v>
      </c>
      <c r="AN6888">
        <v>1.00000003113706</v>
      </c>
    </row>
    <row r="6889" spans="1:40" x14ac:dyDescent="0.25">
      <c r="A6889" t="str">
        <f>"20190304164258664"</f>
        <v>20190304164258664</v>
      </c>
      <c r="B6889" t="str">
        <f>"1551688978657990"</f>
        <v>1551688978657990</v>
      </c>
      <c r="C6889" t="s">
        <v>40</v>
      </c>
      <c r="D6889">
        <v>4.7143009999999999</v>
      </c>
      <c r="E6889">
        <v>0.53808889999999998</v>
      </c>
      <c r="F6889" t="s">
        <v>65</v>
      </c>
      <c r="G6889">
        <v>-249.1028</v>
      </c>
      <c r="H6889" s="1">
        <v>-3.3284799999999999E-6</v>
      </c>
      <c r="I6889">
        <v>-62.394519999999901</v>
      </c>
      <c r="J6889">
        <v>-257.12020000000001</v>
      </c>
      <c r="K6889">
        <v>1.1121700000000001</v>
      </c>
      <c r="L6889">
        <v>-62.712519999999998</v>
      </c>
      <c r="M6889">
        <v>0.99658720000000001</v>
      </c>
      <c r="N6889">
        <v>-9.0328100000000005E-3</v>
      </c>
      <c r="O6889">
        <v>-8.2050399999999996E-2</v>
      </c>
      <c r="P6889">
        <v>0.92316589999999998</v>
      </c>
      <c r="Q6889">
        <v>0.36906220000000001</v>
      </c>
      <c r="R6889">
        <v>0.1075078</v>
      </c>
      <c r="S6889">
        <v>3.420776</v>
      </c>
      <c r="T6889">
        <v>-0.46349750000000001</v>
      </c>
      <c r="U6889">
        <v>0.12631229999999999</v>
      </c>
      <c r="V6889">
        <v>-0.1849788</v>
      </c>
      <c r="W6889">
        <v>0.37626039999999999</v>
      </c>
      <c r="X6889">
        <v>0.90786060000000002</v>
      </c>
      <c r="Y6889">
        <v>-0.11698169999999999</v>
      </c>
      <c r="Z6889">
        <v>1.8737409999999999E-2</v>
      </c>
      <c r="AA6889">
        <v>0.99295730000000004</v>
      </c>
      <c r="AB6889">
        <v>38</v>
      </c>
      <c r="AC6889">
        <v>8.0174000000000092</v>
      </c>
      <c r="AD6889">
        <v>-1.1121733284799999</v>
      </c>
      <c r="AE6889">
        <v>0.318000000000004</v>
      </c>
      <c r="AF6889">
        <v>-0.95640991760210403</v>
      </c>
      <c r="AG6889">
        <v>-1.1121733284799999</v>
      </c>
      <c r="AH6889">
        <v>7.8141384461558099</v>
      </c>
      <c r="AI6889">
        <v>98.041194687657494</v>
      </c>
      <c r="AJ6889">
        <v>96.977999020240205</v>
      </c>
      <c r="AK6889">
        <v>7.9506231893330401</v>
      </c>
      <c r="AL6889">
        <v>67.897764308655795</v>
      </c>
      <c r="AM6889">
        <v>101.51651153580001</v>
      </c>
      <c r="AN6889">
        <v>0.99999995704497902</v>
      </c>
    </row>
    <row r="6890" spans="1:40" x14ac:dyDescent="0.25">
      <c r="A6890" t="str">
        <f>"20190304164258674"</f>
        <v>20190304164258674</v>
      </c>
      <c r="B6890" t="str">
        <f>"1551688978667751"</f>
        <v>1551688978667751</v>
      </c>
      <c r="C6890" t="s">
        <v>40</v>
      </c>
      <c r="D6890">
        <v>4.7331329999999996</v>
      </c>
      <c r="E6890">
        <v>0.53775439999999997</v>
      </c>
      <c r="F6890" t="s">
        <v>65</v>
      </c>
      <c r="G6890">
        <v>-248.8252</v>
      </c>
      <c r="H6890" s="1">
        <v>-3.2314929999999999E-6</v>
      </c>
      <c r="I6890">
        <v>-62.38026</v>
      </c>
      <c r="J6890">
        <v>-256.94069999999999</v>
      </c>
      <c r="K6890">
        <v>1.112293</v>
      </c>
      <c r="L6890">
        <v>-62.726170000000003</v>
      </c>
      <c r="M6890">
        <v>0.99670460000000005</v>
      </c>
      <c r="N6890">
        <v>-9.0621999999999994E-3</v>
      </c>
      <c r="O6890">
        <v>-8.0609970000000003E-2</v>
      </c>
      <c r="P6890">
        <v>0.92304620000000004</v>
      </c>
      <c r="Q6890">
        <v>0.36883120000000003</v>
      </c>
      <c r="R6890">
        <v>0.1093122</v>
      </c>
      <c r="S6890">
        <v>3.4169010000000002</v>
      </c>
      <c r="T6890">
        <v>-0.4581287</v>
      </c>
      <c r="U6890">
        <v>0.13684079999999901</v>
      </c>
      <c r="V6890">
        <v>-0.1855628</v>
      </c>
      <c r="W6890">
        <v>0.375998</v>
      </c>
      <c r="X6890">
        <v>0.90785020000000005</v>
      </c>
      <c r="Y6890">
        <v>-0.1186757</v>
      </c>
      <c r="Z6890">
        <v>1.848139E-2</v>
      </c>
      <c r="AA6890">
        <v>0.99276109999999995</v>
      </c>
      <c r="AB6890">
        <v>38</v>
      </c>
      <c r="AC6890">
        <v>8.1154999999999902</v>
      </c>
      <c r="AD6890">
        <v>-1.1122962314929901</v>
      </c>
      <c r="AE6890">
        <v>0.345909999999996</v>
      </c>
      <c r="AF6890">
        <v>-0.98061385550443503</v>
      </c>
      <c r="AG6890">
        <v>-1.1122962314929901</v>
      </c>
      <c r="AH6890">
        <v>7.9128301214157402</v>
      </c>
      <c r="AI6890">
        <v>97.941598586294504</v>
      </c>
      <c r="AJ6890">
        <v>97.064479798537306</v>
      </c>
      <c r="AK6890">
        <v>8.0505705990684309</v>
      </c>
      <c r="AL6890">
        <v>67.913991635356794</v>
      </c>
      <c r="AM6890">
        <v>101.552023427112</v>
      </c>
      <c r="AN6890">
        <v>1.0000000171939301</v>
      </c>
    </row>
    <row r="6891" spans="1:40" x14ac:dyDescent="0.25">
      <c r="A6891" t="str">
        <f>"20190304164258685"</f>
        <v>20190304164258685</v>
      </c>
      <c r="B6891" t="str">
        <f>"1551688978677510"</f>
        <v>1551688978677510</v>
      </c>
      <c r="C6891" t="s">
        <v>40</v>
      </c>
      <c r="D6891">
        <v>4.6958739999999999</v>
      </c>
      <c r="E6891">
        <v>0.53745810000000005</v>
      </c>
      <c r="F6891" t="s">
        <v>65</v>
      </c>
      <c r="G6891">
        <v>-248.54740000000001</v>
      </c>
      <c r="H6891" s="1">
        <v>-3.1349900000000002E-6</v>
      </c>
      <c r="I6891">
        <v>-62.369239999999998</v>
      </c>
      <c r="J6891">
        <v>-256.76010000000002</v>
      </c>
      <c r="K6891">
        <v>1.1124149999999999</v>
      </c>
      <c r="L6891">
        <v>-62.739649999999997</v>
      </c>
      <c r="M6891">
        <v>0.99682300000000001</v>
      </c>
      <c r="N6891">
        <v>-9.0915679999999995E-3</v>
      </c>
      <c r="O6891">
        <v>-7.9128470000000006E-2</v>
      </c>
      <c r="P6891">
        <v>0.92297010000000002</v>
      </c>
      <c r="Q6891">
        <v>0.36848059999999999</v>
      </c>
      <c r="R6891">
        <v>0.111123</v>
      </c>
      <c r="S6891">
        <v>3.413681</v>
      </c>
      <c r="T6891">
        <v>-0.45238660000000003</v>
      </c>
      <c r="U6891">
        <v>0.14514160000000001</v>
      </c>
      <c r="V6891">
        <v>-0.18611639999999999</v>
      </c>
      <c r="W6891">
        <v>0.37561660000000002</v>
      </c>
      <c r="X6891">
        <v>0.90789470000000005</v>
      </c>
      <c r="Y6891">
        <v>-0.11969009999999999</v>
      </c>
      <c r="Z6891">
        <v>1.8155230000000001E-2</v>
      </c>
      <c r="AA6891">
        <v>0.99264529999999995</v>
      </c>
      <c r="AB6891">
        <v>38</v>
      </c>
      <c r="AC6891">
        <v>8.2127000000000105</v>
      </c>
      <c r="AD6891">
        <v>-1.11241813499</v>
      </c>
      <c r="AE6891">
        <v>0.37040999999999202</v>
      </c>
      <c r="AF6891">
        <v>-1.0008091465878399</v>
      </c>
      <c r="AG6891">
        <v>-1.11241813499</v>
      </c>
      <c r="AH6891">
        <v>8.0109567988566592</v>
      </c>
      <c r="AI6891">
        <v>97.845437167753602</v>
      </c>
      <c r="AJ6891">
        <v>97.121069522672201</v>
      </c>
      <c r="AK6891">
        <v>8.1495105305838003</v>
      </c>
      <c r="AL6891">
        <v>67.937571593246005</v>
      </c>
      <c r="AM6891">
        <v>101.585004280742</v>
      </c>
      <c r="AN6891">
        <v>0.99999996541630398</v>
      </c>
    </row>
    <row r="6892" spans="1:40" x14ac:dyDescent="0.25">
      <c r="A6892" t="str">
        <f>"20190304164258696"</f>
        <v>20190304164258696</v>
      </c>
      <c r="B6892" t="str">
        <f>"1551688978687836"</f>
        <v>1551688978687836</v>
      </c>
      <c r="C6892" t="s">
        <v>40</v>
      </c>
      <c r="D6892">
        <v>4.6942839999999997</v>
      </c>
      <c r="E6892">
        <v>0.53725290000000003</v>
      </c>
      <c r="F6892" t="s">
        <v>65</v>
      </c>
      <c r="G6892">
        <v>-248.32429999999999</v>
      </c>
      <c r="H6892" s="1">
        <v>-3.0572429999999998E-6</v>
      </c>
      <c r="I6892">
        <v>-62.35895</v>
      </c>
      <c r="J6892">
        <v>-256.57380000000001</v>
      </c>
      <c r="K6892">
        <v>1.112533</v>
      </c>
      <c r="L6892">
        <v>-62.753269999999901</v>
      </c>
      <c r="M6892">
        <v>0.99694769999999999</v>
      </c>
      <c r="N6892">
        <v>-9.1218870000000004E-3</v>
      </c>
      <c r="O6892">
        <v>-7.7538399999999993E-2</v>
      </c>
      <c r="P6892">
        <v>0.92276049999999998</v>
      </c>
      <c r="Q6892">
        <v>0.36851230000000001</v>
      </c>
      <c r="R6892">
        <v>0.1127476</v>
      </c>
      <c r="S6892">
        <v>3.4114379999999902</v>
      </c>
      <c r="T6892">
        <v>-0.44985960000000003</v>
      </c>
      <c r="U6892">
        <v>0.1539307</v>
      </c>
      <c r="V6892">
        <v>-0.18637490000000001</v>
      </c>
      <c r="W6892">
        <v>0.37562060000000003</v>
      </c>
      <c r="X6892">
        <v>0.90783999999999998</v>
      </c>
      <c r="Y6892">
        <v>-0.1207066</v>
      </c>
      <c r="Z6892">
        <v>1.7941800000000001E-2</v>
      </c>
      <c r="AA6892">
        <v>0.99252609999999997</v>
      </c>
      <c r="AB6892">
        <v>38</v>
      </c>
      <c r="AC6892">
        <v>8.24950000000001</v>
      </c>
      <c r="AD6892">
        <v>-1.1125360572429901</v>
      </c>
      <c r="AE6892">
        <v>0.39431999999999301</v>
      </c>
      <c r="AF6892">
        <v>-1.0144049219359099</v>
      </c>
      <c r="AG6892">
        <v>-1.1125360572429901</v>
      </c>
      <c r="AH6892">
        <v>8.0480453649305801</v>
      </c>
      <c r="AI6892">
        <v>97.809485917446494</v>
      </c>
      <c r="AJ6892">
        <v>97.183884917619494</v>
      </c>
      <c r="AK6892">
        <v>8.1876607172191793</v>
      </c>
      <c r="AL6892">
        <v>67.937323991599996</v>
      </c>
      <c r="AM6892">
        <v>101.601339036824</v>
      </c>
      <c r="AN6892">
        <v>0.99999995204718295</v>
      </c>
    </row>
    <row r="6893" spans="1:40" x14ac:dyDescent="0.25">
      <c r="A6893" t="str">
        <f>"20190304164258707"</f>
        <v>20190304164258707</v>
      </c>
      <c r="B6893" t="str">
        <f>"1551688978697596"</f>
        <v>1551688978697596</v>
      </c>
      <c r="C6893" t="s">
        <v>40</v>
      </c>
      <c r="D6893">
        <v>4.882466</v>
      </c>
      <c r="E6893">
        <v>0.53685369999999999</v>
      </c>
      <c r="F6893" t="s">
        <v>65</v>
      </c>
      <c r="G6893">
        <v>-248.0633</v>
      </c>
      <c r="H6893" s="1">
        <v>-2.9668300000000001E-6</v>
      </c>
      <c r="I6893">
        <v>-62.349910000000001</v>
      </c>
      <c r="J6893">
        <v>-256.39019999999999</v>
      </c>
      <c r="K6893">
        <v>1.11264599999999</v>
      </c>
      <c r="L6893">
        <v>-62.766330000000004</v>
      </c>
      <c r="M6893">
        <v>0.99707159999999995</v>
      </c>
      <c r="N6893">
        <v>-9.1510289999999998E-3</v>
      </c>
      <c r="O6893">
        <v>-7.5925610000000004E-2</v>
      </c>
      <c r="P6893">
        <v>0.92254480000000005</v>
      </c>
      <c r="Q6893">
        <v>0.36854419999999999</v>
      </c>
      <c r="R6893">
        <v>0.11439630000000001</v>
      </c>
      <c r="S6893">
        <v>3.4093930000000001</v>
      </c>
      <c r="T6893">
        <v>-0.44569300000000001</v>
      </c>
      <c r="U6893">
        <v>0.16156010000000001</v>
      </c>
      <c r="V6893">
        <v>-0.18663150000000001</v>
      </c>
      <c r="W6893">
        <v>0.37562679999999998</v>
      </c>
      <c r="X6893">
        <v>0.90778479999999995</v>
      </c>
      <c r="Y6893">
        <v>-0.121379399999999</v>
      </c>
      <c r="Z6893">
        <v>1.7637119999999999E-2</v>
      </c>
      <c r="AA6893">
        <v>0.99244949999999998</v>
      </c>
      <c r="AB6893">
        <v>38</v>
      </c>
      <c r="AC6893">
        <v>8.3268999999999895</v>
      </c>
      <c r="AD6893">
        <v>-1.1126489668299899</v>
      </c>
      <c r="AE6893">
        <v>0.41642000000000901</v>
      </c>
      <c r="AF6893">
        <v>-1.02914023641684</v>
      </c>
      <c r="AG6893">
        <v>-1.1126489668299899</v>
      </c>
      <c r="AH6893">
        <v>8.1265105348039892</v>
      </c>
      <c r="AI6893">
        <v>97.735207873139004</v>
      </c>
      <c r="AJ6893">
        <v>97.217509719763399</v>
      </c>
      <c r="AK6893">
        <v>8.2666372136365194</v>
      </c>
      <c r="AL6893">
        <v>67.936942415830998</v>
      </c>
      <c r="AM6893">
        <v>101.617565016927</v>
      </c>
      <c r="AN6893">
        <v>1.00000002639076</v>
      </c>
    </row>
    <row r="6894" spans="1:40" x14ac:dyDescent="0.25">
      <c r="A6894" t="str">
        <f>"20190304164258719"</f>
        <v>20190304164258719</v>
      </c>
      <c r="B6894" t="str">
        <f>"1551688978708333"</f>
        <v>1551688978708333</v>
      </c>
      <c r="C6894" t="s">
        <v>40</v>
      </c>
      <c r="D6894">
        <v>4.7104739999999996</v>
      </c>
      <c r="E6894">
        <v>0.53675499999999998</v>
      </c>
      <c r="F6894" t="s">
        <v>65</v>
      </c>
      <c r="G6894">
        <v>-247.8382</v>
      </c>
      <c r="H6894" s="1">
        <v>-2.8692200000000001E-6</v>
      </c>
      <c r="I6894">
        <v>-62.33623</v>
      </c>
      <c r="J6894">
        <v>-256.20049999999998</v>
      </c>
      <c r="K6894">
        <v>1.1127629999999999</v>
      </c>
      <c r="L6894">
        <v>-62.779510000000002</v>
      </c>
      <c r="M6894">
        <v>0.99719999999999998</v>
      </c>
      <c r="N6894">
        <v>-9.1803969999999999E-3</v>
      </c>
      <c r="O6894">
        <v>-7.4216889999999994E-2</v>
      </c>
      <c r="P6894">
        <v>0.92221830000000005</v>
      </c>
      <c r="Q6894">
        <v>0.36895299999999998</v>
      </c>
      <c r="R6894">
        <v>0.1157045</v>
      </c>
      <c r="S6894">
        <v>3.4077449999999998</v>
      </c>
      <c r="T6894">
        <v>-0.443359</v>
      </c>
      <c r="U6894">
        <v>0.17135619999999999</v>
      </c>
      <c r="V6894">
        <v>-0.18645690000000001</v>
      </c>
      <c r="W6894">
        <v>0.3760117</v>
      </c>
      <c r="X6894">
        <v>0.9076613</v>
      </c>
      <c r="Y6894">
        <v>-0.1225653</v>
      </c>
      <c r="Z6894">
        <v>1.7428889999999999E-2</v>
      </c>
      <c r="AA6894">
        <v>0.99230739999999995</v>
      </c>
      <c r="AB6894">
        <v>38</v>
      </c>
      <c r="AC6894">
        <v>8.3622999999999692</v>
      </c>
      <c r="AD6894">
        <v>-1.11276586922</v>
      </c>
      <c r="AE6894">
        <v>0.44327999999998702</v>
      </c>
      <c r="AF6894">
        <v>-1.04426784762109</v>
      </c>
      <c r="AG6894">
        <v>-1.11276586922</v>
      </c>
      <c r="AH6894">
        <v>8.1622086914289405</v>
      </c>
      <c r="AI6894">
        <v>97.701345018414102</v>
      </c>
      <c r="AJ6894">
        <v>97.290778505210199</v>
      </c>
      <c r="AK6894">
        <v>8.3036373921140303</v>
      </c>
      <c r="AL6894">
        <v>67.913144231890499</v>
      </c>
      <c r="AM6894">
        <v>101.608527884289</v>
      </c>
      <c r="AN6894">
        <v>1.00000000480609</v>
      </c>
    </row>
    <row r="6895" spans="1:40" x14ac:dyDescent="0.25">
      <c r="A6895" t="str">
        <f>"20190304164258730"</f>
        <v>20190304164258730</v>
      </c>
      <c r="B6895" t="str">
        <f>"1551688978718092"</f>
        <v>1551688978718092</v>
      </c>
      <c r="C6895" t="s">
        <v>40</v>
      </c>
      <c r="D6895">
        <v>4.7150550000000004</v>
      </c>
      <c r="E6895">
        <v>0.53670189999999995</v>
      </c>
      <c r="F6895" t="s">
        <v>65</v>
      </c>
      <c r="G6895">
        <v>-247.56139999999999</v>
      </c>
      <c r="H6895" s="1">
        <v>-2.7484089999999998E-6</v>
      </c>
      <c r="I6895">
        <v>-62.328440000000001</v>
      </c>
      <c r="J6895">
        <v>-256.0027</v>
      </c>
      <c r="K6895">
        <v>1.1128830000000001</v>
      </c>
      <c r="L6895">
        <v>-62.792819999999899</v>
      </c>
      <c r="M6895">
        <v>0.99733559999999999</v>
      </c>
      <c r="N6895">
        <v>-9.2113520000000008E-3</v>
      </c>
      <c r="O6895">
        <v>-7.2368260000000004E-2</v>
      </c>
      <c r="P6895">
        <v>0.92189149999999997</v>
      </c>
      <c r="Q6895">
        <v>0.36927919999999997</v>
      </c>
      <c r="R6895">
        <v>0.11725720000000001</v>
      </c>
      <c r="S6895">
        <v>3.40625</v>
      </c>
      <c r="T6895">
        <v>-0.43874370000000001</v>
      </c>
      <c r="U6895">
        <v>0.17782590000000001</v>
      </c>
      <c r="V6895">
        <v>-0.1863997</v>
      </c>
      <c r="W6895">
        <v>0.37631439999999999</v>
      </c>
      <c r="X6895">
        <v>0.90754760000000001</v>
      </c>
      <c r="Y6895">
        <v>-0.12267260000000001</v>
      </c>
      <c r="Z6895">
        <v>1.7041879999999999E-2</v>
      </c>
      <c r="AA6895">
        <v>0.99230090000000004</v>
      </c>
      <c r="AB6895">
        <v>38</v>
      </c>
      <c r="AC6895">
        <v>8.4413000000000107</v>
      </c>
      <c r="AD6895">
        <v>-1.112885748409</v>
      </c>
      <c r="AE6895">
        <v>0.46437999999999102</v>
      </c>
      <c r="AF6895">
        <v>-1.0557749176395601</v>
      </c>
      <c r="AG6895">
        <v>-1.112885748409</v>
      </c>
      <c r="AH6895">
        <v>8.2427200908946308</v>
      </c>
      <c r="AI6895">
        <v>97.627684348493105</v>
      </c>
      <c r="AJ6895">
        <v>97.299029710705497</v>
      </c>
      <c r="AK6895">
        <v>8.3842477219227494</v>
      </c>
      <c r="AL6895">
        <v>67.894426156335498</v>
      </c>
      <c r="AM6895">
        <v>101.606477781319</v>
      </c>
      <c r="AN6895">
        <v>1.0000000110366001</v>
      </c>
    </row>
    <row r="6896" spans="1:40" x14ac:dyDescent="0.25">
      <c r="A6896" t="str">
        <f>"20190304164258741"</f>
        <v>20190304164258741</v>
      </c>
      <c r="B6896" t="str">
        <f>"1551688978737612"</f>
        <v>1551688978737612</v>
      </c>
      <c r="C6896" t="s">
        <v>40</v>
      </c>
      <c r="D6896">
        <v>5.3154199999999996</v>
      </c>
      <c r="E6896">
        <v>0.53673510000000002</v>
      </c>
      <c r="F6896" t="s">
        <v>65</v>
      </c>
      <c r="G6896">
        <v>-247.3023</v>
      </c>
      <c r="H6896" s="1">
        <v>-2.6352600000000002E-6</v>
      </c>
      <c r="I6896">
        <v>-62.32085</v>
      </c>
      <c r="J6896">
        <v>-255.81309999999999</v>
      </c>
      <c r="K6896">
        <v>1.1130009999999999</v>
      </c>
      <c r="L6896">
        <v>-62.80536</v>
      </c>
      <c r="M6896">
        <v>0.99746389999999996</v>
      </c>
      <c r="N6896">
        <v>-9.2408409999999996E-3</v>
      </c>
      <c r="O6896">
        <v>-7.0572460000000004E-2</v>
      </c>
      <c r="P6896">
        <v>0.92146349999999999</v>
      </c>
      <c r="Q6896">
        <v>0.36995020000000001</v>
      </c>
      <c r="R6896">
        <v>0.1184983</v>
      </c>
      <c r="S6896">
        <v>3.405151</v>
      </c>
      <c r="T6896">
        <v>-0.43555899999999997</v>
      </c>
      <c r="U6896">
        <v>0.18469240000000001</v>
      </c>
      <c r="V6896">
        <v>-0.18607219999999999</v>
      </c>
      <c r="W6896">
        <v>0.37696410000000002</v>
      </c>
      <c r="X6896">
        <v>0.90734510000000002</v>
      </c>
      <c r="Y6896">
        <v>-0.1229306</v>
      </c>
      <c r="Z6896">
        <v>1.6728670000000001E-2</v>
      </c>
      <c r="AA6896">
        <v>0.99227430000000005</v>
      </c>
      <c r="AB6896">
        <v>38</v>
      </c>
      <c r="AC6896">
        <v>8.5107999999999802</v>
      </c>
      <c r="AD6896">
        <v>-1.1130036352599999</v>
      </c>
      <c r="AE6896">
        <v>0.48451</v>
      </c>
      <c r="AF6896">
        <v>-1.06578711646405</v>
      </c>
      <c r="AG6896">
        <v>-1.1130036352599999</v>
      </c>
      <c r="AH6896">
        <v>8.3136605968646506</v>
      </c>
      <c r="AI6896">
        <v>97.564040891873105</v>
      </c>
      <c r="AJ6896">
        <v>97.305306565493893</v>
      </c>
      <c r="AK6896">
        <v>8.4552724255095697</v>
      </c>
      <c r="AL6896">
        <v>67.854240810331603</v>
      </c>
      <c r="AM6896">
        <v>101.589153303694</v>
      </c>
      <c r="AN6896">
        <v>0.99999996339782904</v>
      </c>
    </row>
    <row r="6897" spans="1:40" x14ac:dyDescent="0.25">
      <c r="A6897" t="str">
        <f>"20190304164258754"</f>
        <v>20190304164258754</v>
      </c>
      <c r="B6897" t="str">
        <f>"1551688978748348"</f>
        <v>1551688978748348</v>
      </c>
      <c r="C6897" t="s">
        <v>40</v>
      </c>
      <c r="D6897">
        <v>4.7458359999999997</v>
      </c>
      <c r="E6897">
        <v>0.53305639999999999</v>
      </c>
      <c r="F6897" t="s">
        <v>65</v>
      </c>
      <c r="G6897">
        <v>-247.04089999999999</v>
      </c>
      <c r="H6897" s="1">
        <v>-2.5218059999999999E-6</v>
      </c>
      <c r="I6897">
        <v>-62.315989999999999</v>
      </c>
      <c r="J6897">
        <v>-255.6087</v>
      </c>
      <c r="K6897">
        <v>1.11312099999999</v>
      </c>
      <c r="L6897">
        <v>-62.818150000000003</v>
      </c>
      <c r="M6897">
        <v>0.99760499999999996</v>
      </c>
      <c r="N6897">
        <v>-9.2753690000000003E-3</v>
      </c>
      <c r="O6897">
        <v>-6.8545540000000002E-2</v>
      </c>
      <c r="P6897">
        <v>0.92103539999999995</v>
      </c>
      <c r="Q6897">
        <v>0.37048750000000003</v>
      </c>
      <c r="R6897">
        <v>0.1201369</v>
      </c>
      <c r="S6897">
        <v>3.4047089999999902</v>
      </c>
      <c r="T6897">
        <v>-0.43198419999999998</v>
      </c>
      <c r="U6897">
        <v>0.18991089999999999</v>
      </c>
      <c r="V6897">
        <v>-0.18593789999999999</v>
      </c>
      <c r="W6897">
        <v>0.37747989999999998</v>
      </c>
      <c r="X6897">
        <v>0.90715820000000003</v>
      </c>
      <c r="Y6897">
        <v>-0.1224808</v>
      </c>
      <c r="Z6897">
        <v>1.6325590000000001E-2</v>
      </c>
      <c r="AA6897">
        <v>0.99233660000000001</v>
      </c>
      <c r="AB6897">
        <v>38</v>
      </c>
      <c r="AC6897">
        <v>8.5678000000000001</v>
      </c>
      <c r="AD6897">
        <v>-1.1131235218059901</v>
      </c>
      <c r="AE6897">
        <v>0.50216000000000305</v>
      </c>
      <c r="AF6897">
        <v>-1.07028492700091</v>
      </c>
      <c r="AG6897">
        <v>-1.1131235218059901</v>
      </c>
      <c r="AH6897">
        <v>8.3723901687160591</v>
      </c>
      <c r="AI6897">
        <v>97.512728142217298</v>
      </c>
      <c r="AJ6897">
        <v>97.284897599904895</v>
      </c>
      <c r="AK6897">
        <v>8.5136050493886799</v>
      </c>
      <c r="AL6897">
        <v>67.822330770281297</v>
      </c>
      <c r="AM6897">
        <v>101.58333626867901</v>
      </c>
      <c r="AN6897">
        <v>0.999999988693829</v>
      </c>
    </row>
    <row r="6898" spans="1:40" x14ac:dyDescent="0.25">
      <c r="A6898" t="str">
        <f>"20190304164258765"</f>
        <v>20190304164258765</v>
      </c>
      <c r="B6898" t="str">
        <f>"1551688978758109"</f>
        <v>1551688978758109</v>
      </c>
      <c r="C6898" t="s">
        <v>40</v>
      </c>
      <c r="D6898">
        <v>4.7305679999999999</v>
      </c>
      <c r="E6898">
        <v>0.53352599999999994</v>
      </c>
      <c r="F6898" t="s">
        <v>65</v>
      </c>
      <c r="G6898">
        <v>-243.8459</v>
      </c>
      <c r="H6898" s="1">
        <v>-1.0836070000000001E-6</v>
      </c>
      <c r="I6898">
        <v>-62.06203</v>
      </c>
      <c r="J6898">
        <v>-255.4195</v>
      </c>
      <c r="K6898">
        <v>1.1132329999999999</v>
      </c>
      <c r="L6898">
        <v>-62.829830000000001</v>
      </c>
      <c r="M6898">
        <v>0.9977336</v>
      </c>
      <c r="N6898">
        <v>-9.3080379999999994E-3</v>
      </c>
      <c r="O6898">
        <v>-6.6642519999999997E-2</v>
      </c>
      <c r="P6898">
        <v>0.92075949999999995</v>
      </c>
      <c r="Q6898">
        <v>0.37077019999999999</v>
      </c>
      <c r="R6898">
        <v>0.1213741</v>
      </c>
      <c r="S6898">
        <v>3.3568419999999999</v>
      </c>
      <c r="T6898">
        <v>-0.317660099999999</v>
      </c>
      <c r="U6898">
        <v>0.21575929999999999</v>
      </c>
      <c r="V6898">
        <v>-0.1855194</v>
      </c>
      <c r="W6898">
        <v>0.37774740000000001</v>
      </c>
      <c r="X6898">
        <v>0.90713250000000001</v>
      </c>
      <c r="Y6898">
        <v>-0.129632199999999</v>
      </c>
      <c r="Z6898">
        <v>1.2386390000000001E-2</v>
      </c>
      <c r="AA6898">
        <v>0.99148480000000005</v>
      </c>
      <c r="AB6898">
        <v>38</v>
      </c>
      <c r="AC6898">
        <v>11.573600000000001</v>
      </c>
      <c r="AD6898">
        <v>-1.1132340836069901</v>
      </c>
      <c r="AE6898">
        <v>0.76779999999999404</v>
      </c>
      <c r="AF6898">
        <v>-1.5233875380822399</v>
      </c>
      <c r="AG6898">
        <v>-1.1132340836069901</v>
      </c>
      <c r="AH6898">
        <v>11.391763479594699</v>
      </c>
      <c r="AI6898">
        <v>95.5324381007471</v>
      </c>
      <c r="AJ6898">
        <v>97.6168095283859</v>
      </c>
      <c r="AK6898">
        <v>11.546959551809101</v>
      </c>
      <c r="AL6898">
        <v>67.805777998606601</v>
      </c>
      <c r="AM6898">
        <v>101.55828599253699</v>
      </c>
      <c r="AN6898">
        <v>0.99999995926968399</v>
      </c>
    </row>
    <row r="6899" spans="1:40" x14ac:dyDescent="0.25">
      <c r="A6899" t="str">
        <f>"20190304164258775"</f>
        <v>20190304164258775</v>
      </c>
      <c r="B6899" t="str">
        <f>"1551688978767868"</f>
        <v>1551688978767868</v>
      </c>
      <c r="C6899" t="s">
        <v>40</v>
      </c>
      <c r="D6899">
        <v>4.8057400000000001</v>
      </c>
      <c r="E6899">
        <v>0.53375360000000005</v>
      </c>
      <c r="F6899" t="s">
        <v>65</v>
      </c>
      <c r="G6899">
        <v>-243.58430000000001</v>
      </c>
      <c r="H6899" s="1">
        <v>-9.7283580000000009E-7</v>
      </c>
      <c r="I6899">
        <v>-62.06756</v>
      </c>
      <c r="J6899">
        <v>-255.24</v>
      </c>
      <c r="K6899">
        <v>1.113343</v>
      </c>
      <c r="L6899">
        <v>-62.840389999999999</v>
      </c>
      <c r="M6899">
        <v>0.99785579999999996</v>
      </c>
      <c r="N6899">
        <v>-9.3413390000000006E-3</v>
      </c>
      <c r="O6899">
        <v>-6.4779099999999895E-2</v>
      </c>
      <c r="P6899">
        <v>0.92043609999999998</v>
      </c>
      <c r="Q6899">
        <v>0.37116850000000001</v>
      </c>
      <c r="R6899">
        <v>0.1226023</v>
      </c>
      <c r="S6899">
        <v>3.356827</v>
      </c>
      <c r="T6899">
        <v>-0.31574770000000002</v>
      </c>
      <c r="U6899">
        <v>0.2161865</v>
      </c>
      <c r="V6899">
        <v>-0.18512290000000001</v>
      </c>
      <c r="W6899">
        <v>0.37813200000000002</v>
      </c>
      <c r="X6899">
        <v>0.90705340000000001</v>
      </c>
      <c r="Y6899">
        <v>-0.12793180000000001</v>
      </c>
      <c r="Z6899">
        <v>1.2067080000000001E-2</v>
      </c>
      <c r="AA6899">
        <v>0.99170959999999997</v>
      </c>
      <c r="AB6899">
        <v>38</v>
      </c>
      <c r="AC6899">
        <v>11.6556999999999</v>
      </c>
      <c r="AD6899">
        <v>-1.1133439728358001</v>
      </c>
      <c r="AE6899">
        <v>0.77282999999999802</v>
      </c>
      <c r="AF6899">
        <v>-1.51254545261991</v>
      </c>
      <c r="AG6899">
        <v>-1.1133439728358001</v>
      </c>
      <c r="AH6899">
        <v>11.4768950760905</v>
      </c>
      <c r="AI6899">
        <v>95.493570281856094</v>
      </c>
      <c r="AJ6899">
        <v>97.5077706926986</v>
      </c>
      <c r="AK6899">
        <v>11.629550685030001</v>
      </c>
      <c r="AL6899">
        <v>67.781979622362499</v>
      </c>
      <c r="AM6899">
        <v>101.535224713589</v>
      </c>
      <c r="AN6899">
        <v>1.0000000839899801</v>
      </c>
    </row>
    <row r="6900" spans="1:40" x14ac:dyDescent="0.25">
      <c r="A6900" t="str">
        <f>"20190304164258785"</f>
        <v>20190304164258785</v>
      </c>
      <c r="B6900" t="str">
        <f>"1551688978777628"</f>
        <v>1551688978777628</v>
      </c>
      <c r="C6900" t="s">
        <v>40</v>
      </c>
      <c r="D6900">
        <v>4.8104519999999997</v>
      </c>
      <c r="E6900">
        <v>0.53406949999999997</v>
      </c>
      <c r="F6900" t="s">
        <v>65</v>
      </c>
      <c r="G6900">
        <v>-243.45939999999999</v>
      </c>
      <c r="H6900" s="1">
        <v>-9.2094229999999997E-7</v>
      </c>
      <c r="I6900">
        <v>-62.073810000000002</v>
      </c>
      <c r="J6900">
        <v>-255.066</v>
      </c>
      <c r="K6900">
        <v>1.1134440000000001</v>
      </c>
      <c r="L6900">
        <v>-62.850369999999998</v>
      </c>
      <c r="M6900">
        <v>0.997973</v>
      </c>
      <c r="N6900">
        <v>-9.3746530000000002E-3</v>
      </c>
      <c r="O6900">
        <v>-6.2943830000000006E-2</v>
      </c>
      <c r="P6900">
        <v>0.92015089999999999</v>
      </c>
      <c r="Q6900">
        <v>0.37148779999999998</v>
      </c>
      <c r="R6900">
        <v>0.12377009999999999</v>
      </c>
      <c r="S6900">
        <v>3.3582000000000001</v>
      </c>
      <c r="T6900">
        <v>-0.31737320000000002</v>
      </c>
      <c r="U6900">
        <v>0.2185059</v>
      </c>
      <c r="V6900">
        <v>-0.1846911</v>
      </c>
      <c r="W6900">
        <v>0.37844050000000001</v>
      </c>
      <c r="X6900">
        <v>0.90701259999999995</v>
      </c>
      <c r="Y6900">
        <v>-0.1267682</v>
      </c>
      <c r="Z6900">
        <v>1.1907920000000001E-2</v>
      </c>
      <c r="AA6900">
        <v>0.99186090000000005</v>
      </c>
      <c r="AB6900">
        <v>38</v>
      </c>
      <c r="AC6900">
        <v>11.606599999999901</v>
      </c>
      <c r="AD6900">
        <v>-1.1134449209423001</v>
      </c>
      <c r="AE6900">
        <v>0.77656000000000303</v>
      </c>
      <c r="AF6900">
        <v>-1.4919468585112601</v>
      </c>
      <c r="AG6900">
        <v>-1.1134449209423001</v>
      </c>
      <c r="AH6900">
        <v>11.429980256075799</v>
      </c>
      <c r="AI6900">
        <v>95.517368779230196</v>
      </c>
      <c r="AJ6900">
        <v>97.436730477586394</v>
      </c>
      <c r="AK6900">
        <v>11.580592112447301</v>
      </c>
      <c r="AL6900">
        <v>67.762881445311507</v>
      </c>
      <c r="AM6900">
        <v>101.50954138192201</v>
      </c>
      <c r="AN6900">
        <v>0.99999993550910704</v>
      </c>
    </row>
    <row r="6901" spans="1:40" x14ac:dyDescent="0.25">
      <c r="A6901" t="str">
        <f>"20190304164258796"</f>
        <v>20190304164258796</v>
      </c>
      <c r="B6901" t="str">
        <f>"1551688978787875"</f>
        <v>1551688978787875</v>
      </c>
      <c r="C6901" t="s">
        <v>40</v>
      </c>
      <c r="D6901">
        <v>4.7308649999999997</v>
      </c>
      <c r="E6901">
        <v>0.53406949999999997</v>
      </c>
      <c r="F6901" t="s">
        <v>65</v>
      </c>
      <c r="G6901">
        <v>-243.25479999999999</v>
      </c>
      <c r="H6901" s="1">
        <v>-8.3415319999999995E-7</v>
      </c>
      <c r="I6901">
        <v>-62.077480000000001</v>
      </c>
      <c r="J6901">
        <v>-254.87860000000001</v>
      </c>
      <c r="K6901">
        <v>1.1135539999999999</v>
      </c>
      <c r="L6901">
        <v>-62.860689999999998</v>
      </c>
      <c r="M6901">
        <v>0.99809840000000005</v>
      </c>
      <c r="N6901">
        <v>-9.4124650000000001E-3</v>
      </c>
      <c r="O6901">
        <v>-6.0918449999999999E-2</v>
      </c>
      <c r="P6901">
        <v>0.91995629999999995</v>
      </c>
      <c r="Q6901">
        <v>0.37152039999999997</v>
      </c>
      <c r="R6901">
        <v>0.12511410000000001</v>
      </c>
      <c r="S6901">
        <v>3.3585660000000002</v>
      </c>
      <c r="T6901">
        <v>-0.3166139</v>
      </c>
      <c r="U6901">
        <v>0.21975710000000001</v>
      </c>
      <c r="V6901">
        <v>-0.18427350000000001</v>
      </c>
      <c r="W6901">
        <v>0.37846439999999998</v>
      </c>
      <c r="X6901">
        <v>0.90708759999999999</v>
      </c>
      <c r="Y6901">
        <v>-0.12513560000000001</v>
      </c>
      <c r="Z6901">
        <v>1.162257E-2</v>
      </c>
      <c r="AA6901">
        <v>0.99207160000000005</v>
      </c>
      <c r="AB6901">
        <v>38</v>
      </c>
      <c r="AC6901">
        <v>11.623799999999999</v>
      </c>
      <c r="AD6901">
        <v>-1.1135548341532</v>
      </c>
      <c r="AE6901">
        <v>0.78321000000000396</v>
      </c>
      <c r="AF6901">
        <v>-1.4764019552728</v>
      </c>
      <c r="AG6901">
        <v>-1.1135548341532</v>
      </c>
      <c r="AH6901">
        <v>11.449888640076299</v>
      </c>
      <c r="AI6901">
        <v>95.509481844112003</v>
      </c>
      <c r="AJ6901">
        <v>97.347442291094296</v>
      </c>
      <c r="AK6901">
        <v>11.5982635326306</v>
      </c>
      <c r="AL6901">
        <v>67.761402834557799</v>
      </c>
      <c r="AM6901">
        <v>101.48328533791801</v>
      </c>
      <c r="AN6901">
        <v>0.99999996947168401</v>
      </c>
    </row>
    <row r="6902" spans="1:40" x14ac:dyDescent="0.25">
      <c r="A6902" t="str">
        <f>"20190304164258808"</f>
        <v>20190304164258808</v>
      </c>
      <c r="B6902" t="str">
        <f>"1551688978797635"</f>
        <v>1551688978797635</v>
      </c>
      <c r="C6902" t="s">
        <v>40</v>
      </c>
      <c r="D6902">
        <v>4.7345439999999996</v>
      </c>
      <c r="E6902">
        <v>0.53729530000000003</v>
      </c>
      <c r="F6902" t="s">
        <v>65</v>
      </c>
      <c r="G6902">
        <v>-243.05439999999999</v>
      </c>
      <c r="H6902" s="1">
        <v>-7.4743339999999996E-7</v>
      </c>
      <c r="I6902">
        <v>-62.074770000000001</v>
      </c>
      <c r="J6902">
        <v>-254.68969999999999</v>
      </c>
      <c r="K6902">
        <v>1.113661</v>
      </c>
      <c r="L6902">
        <v>-62.870669999999997</v>
      </c>
      <c r="M6902">
        <v>0.99822310000000003</v>
      </c>
      <c r="N6902">
        <v>-9.4521729999999995E-3</v>
      </c>
      <c r="O6902">
        <v>-5.8832299999999997E-2</v>
      </c>
      <c r="P6902">
        <v>0.91977330000000002</v>
      </c>
      <c r="Q6902">
        <v>0.37155660000000001</v>
      </c>
      <c r="R6902">
        <v>0.1263437</v>
      </c>
      <c r="S6902">
        <v>3.3583980000000002</v>
      </c>
      <c r="T6902">
        <v>-0.3162799</v>
      </c>
      <c r="U6902">
        <v>0.2232056</v>
      </c>
      <c r="V6902">
        <v>-0.18368619999999999</v>
      </c>
      <c r="W6902">
        <v>0.37849529999999998</v>
      </c>
      <c r="X6902">
        <v>0.90719380000000005</v>
      </c>
      <c r="Y6902">
        <v>-0.12409389999999899</v>
      </c>
      <c r="Z6902">
        <v>1.138082E-2</v>
      </c>
      <c r="AA6902">
        <v>0.99220520000000001</v>
      </c>
      <c r="AB6902">
        <v>38</v>
      </c>
      <c r="AC6902">
        <v>11.635300000000001</v>
      </c>
      <c r="AD6902">
        <v>-1.1136617474333901</v>
      </c>
      <c r="AE6902">
        <v>0.79590000000000305</v>
      </c>
      <c r="AF6902">
        <v>-1.4657181726188799</v>
      </c>
      <c r="AG6902">
        <v>-1.1136617474333901</v>
      </c>
      <c r="AH6902">
        <v>11.4637850567761</v>
      </c>
      <c r="AI6902">
        <v>95.504121290901907</v>
      </c>
      <c r="AJ6902">
        <v>97.286100551386696</v>
      </c>
      <c r="AK6902">
        <v>11.610639089955599</v>
      </c>
      <c r="AL6902">
        <v>67.759489684505596</v>
      </c>
      <c r="AM6902">
        <v>101.446349837078</v>
      </c>
      <c r="AN6902">
        <v>0.99999995147548304</v>
      </c>
    </row>
    <row r="6903" spans="1:40" x14ac:dyDescent="0.25">
      <c r="A6903" t="str">
        <f>"20190304164258820"</f>
        <v>20190304164258820</v>
      </c>
      <c r="B6903" t="str">
        <f>"1551688978808372"</f>
        <v>1551688978808372</v>
      </c>
      <c r="C6903" t="s">
        <v>40</v>
      </c>
      <c r="D6903">
        <v>4.7458669999999996</v>
      </c>
      <c r="E6903">
        <v>0.53744049999999999</v>
      </c>
      <c r="F6903" t="s">
        <v>65</v>
      </c>
      <c r="G6903">
        <v>-245.5582</v>
      </c>
      <c r="H6903" s="1">
        <v>-1.8837789999999999E-6</v>
      </c>
      <c r="I6903">
        <v>-62.308590000000002</v>
      </c>
      <c r="J6903">
        <v>-254.4907</v>
      </c>
      <c r="K6903">
        <v>1.113775</v>
      </c>
      <c r="L6903">
        <v>-62.880830000000003</v>
      </c>
      <c r="M6903">
        <v>0.99835209999999996</v>
      </c>
      <c r="N6903">
        <v>-9.4951340000000006E-3</v>
      </c>
      <c r="O6903">
        <v>-5.6598700000000002E-2</v>
      </c>
      <c r="P6903">
        <v>0.91960600000000003</v>
      </c>
      <c r="Q6903">
        <v>0.37149159999999998</v>
      </c>
      <c r="R6903">
        <v>0.12774669999999999</v>
      </c>
      <c r="S6903">
        <v>3.400452</v>
      </c>
      <c r="T6903">
        <v>-0.41471590000000003</v>
      </c>
      <c r="U6903">
        <v>0.20928959999999999</v>
      </c>
      <c r="V6903">
        <v>-0.18314320000000001</v>
      </c>
      <c r="W6903">
        <v>0.3784264</v>
      </c>
      <c r="X6903">
        <v>0.90733240000000004</v>
      </c>
      <c r="Y6903">
        <v>-0.1165432</v>
      </c>
      <c r="Z6903">
        <v>1.396588E-2</v>
      </c>
      <c r="AA6903">
        <v>0.99308739999999995</v>
      </c>
      <c r="AB6903">
        <v>38</v>
      </c>
      <c r="AC6903">
        <v>8.9324999999999992</v>
      </c>
      <c r="AD6903">
        <v>-1.1137768837790001</v>
      </c>
      <c r="AE6903">
        <v>0.57223999999999997</v>
      </c>
      <c r="AF6903">
        <v>-1.0604929417233</v>
      </c>
      <c r="AG6903">
        <v>-1.1137768837790001</v>
      </c>
      <c r="AH6903">
        <v>8.7503043849992803</v>
      </c>
      <c r="AI6903">
        <v>97.201712355518097</v>
      </c>
      <c r="AJ6903">
        <v>96.910259068881999</v>
      </c>
      <c r="AK6903">
        <v>8.88442294448115</v>
      </c>
      <c r="AL6903">
        <v>67.7637563925433</v>
      </c>
      <c r="AM6903">
        <v>101.411704553924</v>
      </c>
      <c r="AN6903">
        <v>1.00000002800647</v>
      </c>
    </row>
    <row r="6904" spans="1:40" x14ac:dyDescent="0.25">
      <c r="A6904" t="str">
        <f>"20190304164258831"</f>
        <v>20190304164258831</v>
      </c>
      <c r="B6904" t="str">
        <f>"1551688978818132"</f>
        <v>1551688978818132</v>
      </c>
      <c r="C6904" t="s">
        <v>40</v>
      </c>
      <c r="D6904">
        <v>4.7601339999999999</v>
      </c>
      <c r="E6904">
        <v>0.53757699999999997</v>
      </c>
      <c r="F6904" t="s">
        <v>65</v>
      </c>
      <c r="G6904">
        <v>-245.37559999999999</v>
      </c>
      <c r="H6904" s="1">
        <v>-1.8059750000000001E-6</v>
      </c>
      <c r="I6904">
        <v>-62.310540000000003</v>
      </c>
      <c r="J6904">
        <v>-254.30410000000001</v>
      </c>
      <c r="K6904">
        <v>1.113882</v>
      </c>
      <c r="L6904">
        <v>-62.889710000000001</v>
      </c>
      <c r="M6904">
        <v>0.99847129999999995</v>
      </c>
      <c r="N6904">
        <v>-9.5407089999999996E-3</v>
      </c>
      <c r="O6904">
        <v>-5.444309E-2</v>
      </c>
      <c r="P6904">
        <v>0.91962699999999997</v>
      </c>
      <c r="Q6904">
        <v>0.37096519999999999</v>
      </c>
      <c r="R6904">
        <v>0.1291176</v>
      </c>
      <c r="S6904">
        <v>3.4005890000000001</v>
      </c>
      <c r="T6904">
        <v>-0.41552129999999998</v>
      </c>
      <c r="U6904">
        <v>0.21273800000000001</v>
      </c>
      <c r="V6904">
        <v>-0.1826362</v>
      </c>
      <c r="W6904">
        <v>0.37790420000000002</v>
      </c>
      <c r="X6904">
        <v>0.90765209999999996</v>
      </c>
      <c r="Y6904">
        <v>-0.115417699999999</v>
      </c>
      <c r="Z6904">
        <v>1.3676529999999999E-2</v>
      </c>
      <c r="AA6904">
        <v>0.99322290000000002</v>
      </c>
      <c r="AB6904">
        <v>38</v>
      </c>
      <c r="AC6904">
        <v>8.9285000000000103</v>
      </c>
      <c r="AD6904">
        <v>-1.113883805975</v>
      </c>
      <c r="AE6904">
        <v>0.57916999999999697</v>
      </c>
      <c r="AF6904">
        <v>-1.04818257775754</v>
      </c>
      <c r="AG6904">
        <v>-1.113883805975</v>
      </c>
      <c r="AH6904">
        <v>8.7481374942541805</v>
      </c>
      <c r="AI6904">
        <v>97.205327921531193</v>
      </c>
      <c r="AJ6904">
        <v>96.832482021338805</v>
      </c>
      <c r="AK6904">
        <v>8.8808408086117403</v>
      </c>
      <c r="AL6904">
        <v>67.796074575579098</v>
      </c>
      <c r="AM6904">
        <v>101.377034660457</v>
      </c>
      <c r="AN6904">
        <v>0.999999950281243</v>
      </c>
    </row>
    <row r="6905" spans="1:40" x14ac:dyDescent="0.25">
      <c r="A6905" t="str">
        <f>"20190304164258843"</f>
        <v>20190304164258843</v>
      </c>
      <c r="B6905" t="str">
        <f>"1551688978837655"</f>
        <v>1551688978837655</v>
      </c>
      <c r="C6905" t="s">
        <v>40</v>
      </c>
      <c r="D6905">
        <v>4.7516870000000004</v>
      </c>
      <c r="E6905">
        <v>0.53766289999999906</v>
      </c>
      <c r="F6905" t="s">
        <v>65</v>
      </c>
      <c r="G6905">
        <v>-245.29069999999999</v>
      </c>
      <c r="H6905" s="1">
        <v>-1.770966E-6</v>
      </c>
      <c r="I6905">
        <v>-62.315959999999997</v>
      </c>
      <c r="J6905">
        <v>-254.10390000000001</v>
      </c>
      <c r="K6905">
        <v>1.1139950000000001</v>
      </c>
      <c r="L6905">
        <v>-62.899019999999901</v>
      </c>
      <c r="M6905">
        <v>0.99859529999999996</v>
      </c>
      <c r="N6905">
        <v>-9.5909789999999995E-3</v>
      </c>
      <c r="O6905">
        <v>-5.2112020000000002E-2</v>
      </c>
      <c r="P6905">
        <v>0.91963280000000003</v>
      </c>
      <c r="Q6905">
        <v>0.37038589999999999</v>
      </c>
      <c r="R6905">
        <v>0.13072899999999901</v>
      </c>
      <c r="S6905">
        <v>3.401367</v>
      </c>
      <c r="T6905">
        <v>-0.42034440000000001</v>
      </c>
      <c r="U6905">
        <v>0.21649170000000001</v>
      </c>
      <c r="V6905">
        <v>-0.18221309999999999</v>
      </c>
      <c r="W6905">
        <v>0.37733070000000002</v>
      </c>
      <c r="X6905">
        <v>0.90797570000000005</v>
      </c>
      <c r="Y6905">
        <v>-0.1141732</v>
      </c>
      <c r="Z6905">
        <v>1.348354E-2</v>
      </c>
      <c r="AA6905">
        <v>0.99336930000000001</v>
      </c>
      <c r="AB6905">
        <v>38</v>
      </c>
      <c r="AC6905">
        <v>8.8132000000000197</v>
      </c>
      <c r="AD6905">
        <v>-1.1139967709659999</v>
      </c>
      <c r="AE6905">
        <v>0.58305999999999603</v>
      </c>
      <c r="AF6905">
        <v>-1.0252531312641</v>
      </c>
      <c r="AG6905">
        <v>-1.1139967709659999</v>
      </c>
      <c r="AH6905">
        <v>8.63350006346041</v>
      </c>
      <c r="AI6905">
        <v>97.301613316928098</v>
      </c>
      <c r="AJ6905">
        <v>96.772323561876306</v>
      </c>
      <c r="AK6905">
        <v>8.7652413620310803</v>
      </c>
      <c r="AL6905">
        <v>67.831561560127497</v>
      </c>
      <c r="AM6905">
        <v>101.34742274089101</v>
      </c>
      <c r="AN6905">
        <v>0.99999997138229402</v>
      </c>
    </row>
    <row r="6906" spans="1:40" x14ac:dyDescent="0.25">
      <c r="A6906" t="str">
        <f>"20190304164258853"</f>
        <v>20190304164258853</v>
      </c>
      <c r="B6906" t="str">
        <f>"1551688978848387"</f>
        <v>1551688978848387</v>
      </c>
      <c r="C6906" t="s">
        <v>40</v>
      </c>
      <c r="D6906">
        <v>4.7511279999999996</v>
      </c>
      <c r="E6906">
        <v>0.53763499999999997</v>
      </c>
      <c r="F6906" t="s">
        <v>65</v>
      </c>
      <c r="G6906">
        <v>-245.1557</v>
      </c>
      <c r="H6906" s="1">
        <v>-1.7133909999999999E-6</v>
      </c>
      <c r="I6906">
        <v>-62.317120000000003</v>
      </c>
      <c r="J6906">
        <v>-253.91759999999999</v>
      </c>
      <c r="K6906">
        <v>1.1140890000000001</v>
      </c>
      <c r="L6906">
        <v>-62.9069199999999</v>
      </c>
      <c r="M6906">
        <v>0.9987087</v>
      </c>
      <c r="N6906">
        <v>-9.6450500000000005E-3</v>
      </c>
      <c r="O6906">
        <v>-4.9881210000000002E-2</v>
      </c>
      <c r="P6906">
        <v>0.91965050000000004</v>
      </c>
      <c r="Q6906">
        <v>0.36975989999999997</v>
      </c>
      <c r="R6906">
        <v>0.13236629999999899</v>
      </c>
      <c r="S6906">
        <v>3.4012600000000002</v>
      </c>
      <c r="T6906">
        <v>-0.4234366</v>
      </c>
      <c r="U6906">
        <v>0.22116089999999999</v>
      </c>
      <c r="V6906">
        <v>-0.1818931</v>
      </c>
      <c r="W6906">
        <v>0.37671939999999998</v>
      </c>
      <c r="X6906">
        <v>0.90829369999999998</v>
      </c>
      <c r="Y6906">
        <v>-0.1133174</v>
      </c>
      <c r="Z6906">
        <v>1.326983E-2</v>
      </c>
      <c r="AA6906">
        <v>0.99347019999999997</v>
      </c>
      <c r="AB6906">
        <v>38</v>
      </c>
      <c r="AC6906">
        <v>8.76189999999999</v>
      </c>
      <c r="AD6906">
        <v>-1.1140907133910001</v>
      </c>
      <c r="AE6906">
        <v>0.58979999999999599</v>
      </c>
      <c r="AF6906">
        <v>-1.0098864258262099</v>
      </c>
      <c r="AG6906">
        <v>-1.1140907133910001</v>
      </c>
      <c r="AH6906">
        <v>8.5834234443687105</v>
      </c>
      <c r="AI6906">
        <v>97.345289972609294</v>
      </c>
      <c r="AJ6906">
        <v>96.710310219100094</v>
      </c>
      <c r="AK6906">
        <v>8.7141394719197898</v>
      </c>
      <c r="AL6906">
        <v>67.869378415042306</v>
      </c>
      <c r="AM6906">
        <v>101.32414675586899</v>
      </c>
      <c r="AN6906">
        <v>1.00000002581182</v>
      </c>
    </row>
    <row r="6907" spans="1:40" x14ac:dyDescent="0.25">
      <c r="A6907" t="str">
        <f>"20190304164258866"</f>
        <v>20190304164258866</v>
      </c>
      <c r="B6907" t="str">
        <f>"1551688978858148"</f>
        <v>1551688978858148</v>
      </c>
      <c r="C6907" t="s">
        <v>40</v>
      </c>
      <c r="D6907">
        <v>4.7340559999999998</v>
      </c>
      <c r="E6907">
        <v>0.53766959999999997</v>
      </c>
      <c r="F6907" t="s">
        <v>65</v>
      </c>
      <c r="G6907">
        <v>-245.0763</v>
      </c>
      <c r="H6907" s="1">
        <v>-1.6796629999999901E-6</v>
      </c>
      <c r="I6907">
        <v>-62.318429999999999</v>
      </c>
      <c r="J6907">
        <v>-253.68960000000001</v>
      </c>
      <c r="K6907">
        <v>1.114204</v>
      </c>
      <c r="L6907">
        <v>-62.916260000000001</v>
      </c>
      <c r="M6907">
        <v>0.9988418</v>
      </c>
      <c r="N6907">
        <v>-9.7131619999999991E-3</v>
      </c>
      <c r="O6907">
        <v>-4.7126849999999998E-2</v>
      </c>
      <c r="P6907">
        <v>0.9196609</v>
      </c>
      <c r="Q6907">
        <v>0.369093</v>
      </c>
      <c r="R6907">
        <v>0.1341437</v>
      </c>
      <c r="S6907">
        <v>3.4018709999999999</v>
      </c>
      <c r="T6907">
        <v>-0.42867060000000001</v>
      </c>
      <c r="U6907">
        <v>0.2264099</v>
      </c>
      <c r="V6907">
        <v>-0.18124750000000001</v>
      </c>
      <c r="W6907">
        <v>0.37607800000000002</v>
      </c>
      <c r="X6907">
        <v>0.90868850000000001</v>
      </c>
      <c r="Y6907">
        <v>-0.1120908</v>
      </c>
      <c r="Z6907">
        <v>1.3027820000000001E-2</v>
      </c>
      <c r="AA6907">
        <v>0.99361259999999996</v>
      </c>
      <c r="AB6907">
        <v>38</v>
      </c>
      <c r="AC6907">
        <v>8.6133000000000095</v>
      </c>
      <c r="AD6907">
        <v>-1.114205679663</v>
      </c>
      <c r="AE6907">
        <v>0.59782999999999398</v>
      </c>
      <c r="AF6907">
        <v>-0.98667101260865797</v>
      </c>
      <c r="AG6907">
        <v>-1.114205679663</v>
      </c>
      <c r="AH6907">
        <v>8.4350805413013301</v>
      </c>
      <c r="AI6907">
        <v>97.474366301679197</v>
      </c>
      <c r="AJ6907">
        <v>96.671702402472405</v>
      </c>
      <c r="AK6907">
        <v>8.5653696780673698</v>
      </c>
      <c r="AL6907">
        <v>67.909045764241696</v>
      </c>
      <c r="AM6907">
        <v>101.28020947780399</v>
      </c>
      <c r="AN6907">
        <v>1.0000000541862399</v>
      </c>
    </row>
    <row r="6908" spans="1:40" x14ac:dyDescent="0.25">
      <c r="A6908" t="str">
        <f>"20190304164258875"</f>
        <v>20190304164258875</v>
      </c>
      <c r="B6908" t="str">
        <f>"1551688978867908"</f>
        <v>1551688978867908</v>
      </c>
      <c r="C6908" t="s">
        <v>40</v>
      </c>
      <c r="D6908">
        <v>4.7598229999999999</v>
      </c>
      <c r="E6908">
        <v>0.53776009999999996</v>
      </c>
      <c r="F6908" t="s">
        <v>65</v>
      </c>
      <c r="G6908">
        <v>-244.90549999999999</v>
      </c>
      <c r="H6908" s="1">
        <v>-1.6054910000000001E-6</v>
      </c>
      <c r="I6908">
        <v>-62.315089999999998</v>
      </c>
      <c r="J6908">
        <v>-253.53479999999999</v>
      </c>
      <c r="K6908">
        <v>1.1142799999999999</v>
      </c>
      <c r="L6908">
        <v>-62.922150000000002</v>
      </c>
      <c r="M6908">
        <v>0.99892910000000001</v>
      </c>
      <c r="N6908">
        <v>-9.7618619999999996E-3</v>
      </c>
      <c r="O6908">
        <v>-4.5229459999999999E-2</v>
      </c>
      <c r="P6908">
        <v>0.91979409999999895</v>
      </c>
      <c r="Q6908">
        <v>0.36829990000000001</v>
      </c>
      <c r="R6908">
        <v>0.13540479999999899</v>
      </c>
      <c r="S6908">
        <v>3.4013059999999999</v>
      </c>
      <c r="T6908">
        <v>-0.43143300000000001</v>
      </c>
      <c r="U6908">
        <v>0.23275760000000001</v>
      </c>
      <c r="V6908">
        <v>-0.18083479999999999</v>
      </c>
      <c r="W6908">
        <v>0.37530770000000002</v>
      </c>
      <c r="X6908">
        <v>0.90908900000000004</v>
      </c>
      <c r="Y6908">
        <v>-0.112057</v>
      </c>
      <c r="Z6908">
        <v>1.28892E-2</v>
      </c>
      <c r="AA6908">
        <v>0.99361820000000001</v>
      </c>
      <c r="AB6908">
        <v>38</v>
      </c>
      <c r="AC6908">
        <v>8.6293000000000006</v>
      </c>
      <c r="AD6908">
        <v>-1.1142816054910001</v>
      </c>
      <c r="AE6908">
        <v>0.60705999999999705</v>
      </c>
      <c r="AF6908">
        <v>-0.98048769631245003</v>
      </c>
      <c r="AG6908">
        <v>-1.1142816054910001</v>
      </c>
      <c r="AH6908">
        <v>8.4527628788660998</v>
      </c>
      <c r="AI6908">
        <v>97.460236959944694</v>
      </c>
      <c r="AJ6908">
        <v>96.616518535715997</v>
      </c>
      <c r="AK6908">
        <v>8.5820848227742701</v>
      </c>
      <c r="AL6908">
        <v>67.956667043718696</v>
      </c>
      <c r="AM6908">
        <v>101.250348897357</v>
      </c>
      <c r="AN6908">
        <v>0.99999995224566296</v>
      </c>
    </row>
    <row r="6909" spans="1:40" x14ac:dyDescent="0.25">
      <c r="A6909" t="str">
        <f>"20190304164258886"</f>
        <v>20190304164258886</v>
      </c>
      <c r="B6909" t="str">
        <f>"1551688978877668"</f>
        <v>1551688978877668</v>
      </c>
      <c r="C6909" t="s">
        <v>40</v>
      </c>
      <c r="D6909">
        <v>4.7724869999999999</v>
      </c>
      <c r="E6909">
        <v>0.53782050000000003</v>
      </c>
      <c r="F6909" t="s">
        <v>65</v>
      </c>
      <c r="G6909">
        <v>-244.839</v>
      </c>
      <c r="H6909" s="1">
        <v>-1.5773309999999999E-6</v>
      </c>
      <c r="I6909">
        <v>-62.316400000000002</v>
      </c>
      <c r="J6909">
        <v>-253.35579999999999</v>
      </c>
      <c r="K6909">
        <v>1.1143590000000001</v>
      </c>
      <c r="L6909">
        <v>-62.928649999999998</v>
      </c>
      <c r="M6909">
        <v>0.99902610000000003</v>
      </c>
      <c r="N6909">
        <v>-9.8197949999999992E-3</v>
      </c>
      <c r="O6909">
        <v>-4.3019380000000003E-2</v>
      </c>
      <c r="P6909">
        <v>0.91981679999999999</v>
      </c>
      <c r="Q6909">
        <v>0.36783569999999999</v>
      </c>
      <c r="R6909">
        <v>0.136507399999999</v>
      </c>
      <c r="S6909">
        <v>3.4012600000000002</v>
      </c>
      <c r="T6909">
        <v>-0.43584109999999998</v>
      </c>
      <c r="U6909">
        <v>0.23690800000000001</v>
      </c>
      <c r="V6909">
        <v>-0.1799799</v>
      </c>
      <c r="W6909">
        <v>0.37487720000000002</v>
      </c>
      <c r="X6909">
        <v>0.90943629999999998</v>
      </c>
      <c r="Y6909">
        <v>-0.1110647</v>
      </c>
      <c r="Z6909">
        <v>1.269091E-2</v>
      </c>
      <c r="AA6909">
        <v>0.99373219999999995</v>
      </c>
      <c r="AB6909">
        <v>38</v>
      </c>
      <c r="AC6909">
        <v>8.5167999999999502</v>
      </c>
      <c r="AD6909">
        <v>-1.1143605773309999</v>
      </c>
      <c r="AE6909">
        <v>0.61224999999999596</v>
      </c>
      <c r="AF6909">
        <v>-0.96170861605031299</v>
      </c>
      <c r="AG6909">
        <v>-1.1143605773309999</v>
      </c>
      <c r="AH6909">
        <v>8.3405209178747999</v>
      </c>
      <c r="AI6909">
        <v>97.560597561170695</v>
      </c>
      <c r="AJ6909">
        <v>96.5774758138202</v>
      </c>
      <c r="AK6909">
        <v>8.4694139195107194</v>
      </c>
      <c r="AL6909">
        <v>67.983277480178103</v>
      </c>
      <c r="AM6909">
        <v>101.19434140307899</v>
      </c>
      <c r="AN6909">
        <v>1.00000003162076</v>
      </c>
    </row>
    <row r="6910" spans="1:40" x14ac:dyDescent="0.25">
      <c r="A6910" t="str">
        <f>"20190304164258897"</f>
        <v>20190304164258897</v>
      </c>
      <c r="B6910" t="str">
        <f>"1551688978888403"</f>
        <v>1551688978888403</v>
      </c>
      <c r="C6910" t="s">
        <v>40</v>
      </c>
      <c r="D6910">
        <v>4.7327849999999998</v>
      </c>
      <c r="E6910">
        <v>0.5378039</v>
      </c>
      <c r="F6910" t="s">
        <v>65</v>
      </c>
      <c r="G6910">
        <v>-244.7294</v>
      </c>
      <c r="H6910" s="1">
        <v>-1.5303059999999999E-6</v>
      </c>
      <c r="I6910">
        <v>-62.316459999999999</v>
      </c>
      <c r="J6910">
        <v>-253.1704</v>
      </c>
      <c r="K6910">
        <v>1.114436</v>
      </c>
      <c r="L6910">
        <v>-62.934910000000002</v>
      </c>
      <c r="M6910">
        <v>0.99912230000000002</v>
      </c>
      <c r="N6910">
        <v>-9.8819019999999997E-3</v>
      </c>
      <c r="O6910">
        <v>-4.0708929999999997E-2</v>
      </c>
      <c r="P6910">
        <v>0.91986990000000002</v>
      </c>
      <c r="Q6910">
        <v>0.36731239999999998</v>
      </c>
      <c r="R6910">
        <v>0.1375547</v>
      </c>
      <c r="S6910">
        <v>3.4014129999999998</v>
      </c>
      <c r="T6910">
        <v>-0.43939349999999999</v>
      </c>
      <c r="U6910">
        <v>0.24136350000000001</v>
      </c>
      <c r="V6910">
        <v>-0.17897389999999999</v>
      </c>
      <c r="W6910">
        <v>0.37439620000000001</v>
      </c>
      <c r="X6910">
        <v>0.9098328</v>
      </c>
      <c r="Y6910">
        <v>-0.1100637</v>
      </c>
      <c r="Z6910">
        <v>1.2448839999999999E-2</v>
      </c>
      <c r="AA6910">
        <v>0.99384660000000002</v>
      </c>
      <c r="AB6910">
        <v>38</v>
      </c>
      <c r="AC6910">
        <v>8.4410000000000007</v>
      </c>
      <c r="AD6910">
        <v>-1.1144375303059999</v>
      </c>
      <c r="AE6910">
        <v>0.61844999999999495</v>
      </c>
      <c r="AF6910">
        <v>-0.94519040621799699</v>
      </c>
      <c r="AG6910">
        <v>-1.1144375303059999</v>
      </c>
      <c r="AH6910">
        <v>8.2655170815553802</v>
      </c>
      <c r="AI6910">
        <v>97.629734564349206</v>
      </c>
      <c r="AJ6910">
        <v>96.523632737722494</v>
      </c>
      <c r="AK6910">
        <v>8.3936957616085195</v>
      </c>
      <c r="AL6910">
        <v>68.012999558392494</v>
      </c>
      <c r="AM6910">
        <v>101.12860716297401</v>
      </c>
      <c r="AN6910">
        <v>0.99999994770574296</v>
      </c>
    </row>
    <row r="6911" spans="1:40" x14ac:dyDescent="0.25">
      <c r="A6911" t="str">
        <f>"20190304164258910"</f>
        <v>20190304164258910</v>
      </c>
      <c r="B6911" t="str">
        <f>"1551688978898164"</f>
        <v>1551688978898164</v>
      </c>
      <c r="C6911" t="s">
        <v>40</v>
      </c>
      <c r="D6911">
        <v>4.7966059999999997</v>
      </c>
      <c r="E6911">
        <v>0.53791529999999999</v>
      </c>
      <c r="F6911" t="s">
        <v>65</v>
      </c>
      <c r="G6911">
        <v>-244.5453</v>
      </c>
      <c r="H6911" s="1">
        <v>-1.4495189999999999E-6</v>
      </c>
      <c r="I6911">
        <v>-62.309600000000003</v>
      </c>
      <c r="J6911">
        <v>-252.96449999999999</v>
      </c>
      <c r="K6911">
        <v>1.1145050000000001</v>
      </c>
      <c r="L6911">
        <v>-62.941279999999999</v>
      </c>
      <c r="M6911">
        <v>0.99922350000000004</v>
      </c>
      <c r="N6911">
        <v>-9.9539009999999994E-3</v>
      </c>
      <c r="O6911">
        <v>-3.8124869999999998E-2</v>
      </c>
      <c r="P6911">
        <v>0.91970350000000001</v>
      </c>
      <c r="Q6911">
        <v>0.3673091</v>
      </c>
      <c r="R6911">
        <v>0.1386714</v>
      </c>
      <c r="S6911">
        <v>3.3998870000000001</v>
      </c>
      <c r="T6911">
        <v>-0.43929360000000001</v>
      </c>
      <c r="U6911">
        <v>0.24646000000000001</v>
      </c>
      <c r="V6911">
        <v>-0.17778070000000001</v>
      </c>
      <c r="W6911">
        <v>0.37444660000000002</v>
      </c>
      <c r="X6911">
        <v>0.91004600000000002</v>
      </c>
      <c r="Y6911">
        <v>-0.10903409999999999</v>
      </c>
      <c r="Z6911">
        <v>1.207421E-2</v>
      </c>
      <c r="AA6911">
        <v>0.99396470000000003</v>
      </c>
      <c r="AB6911">
        <v>38</v>
      </c>
      <c r="AC6911">
        <v>8.4191999999999894</v>
      </c>
      <c r="AD6911">
        <v>-1.11450644951899</v>
      </c>
      <c r="AE6911">
        <v>0.63168000000000202</v>
      </c>
      <c r="AF6911">
        <v>-0.93590879781147296</v>
      </c>
      <c r="AG6911">
        <v>-1.11450644951899</v>
      </c>
      <c r="AH6911">
        <v>8.2453157141327509</v>
      </c>
      <c r="AI6911">
        <v>97.649392888390494</v>
      </c>
      <c r="AJ6911">
        <v>96.475809237438597</v>
      </c>
      <c r="AK6911">
        <v>8.3727702183664903</v>
      </c>
      <c r="AL6911">
        <v>68.009886013811396</v>
      </c>
      <c r="AM6911">
        <v>101.053721559778</v>
      </c>
      <c r="AN6911">
        <v>0.99999997783002403</v>
      </c>
    </row>
    <row r="6912" spans="1:40" x14ac:dyDescent="0.25">
      <c r="A6912" t="str">
        <f>"20190304164258919"</f>
        <v>20190304164258919</v>
      </c>
      <c r="B6912" t="str">
        <f>"1551688978907924"</f>
        <v>1551688978907924</v>
      </c>
      <c r="C6912" t="s">
        <v>40</v>
      </c>
      <c r="D6912">
        <v>4.7977179999999997</v>
      </c>
      <c r="E6912">
        <v>0.53809119999999899</v>
      </c>
      <c r="F6912" t="s">
        <v>65</v>
      </c>
      <c r="G6912">
        <v>-244.32249999999999</v>
      </c>
      <c r="H6912" s="1">
        <v>-1.3523059999999999E-6</v>
      </c>
      <c r="I6912">
        <v>-62.303530000000002</v>
      </c>
      <c r="J6912">
        <v>-252.7929</v>
      </c>
      <c r="K6912">
        <v>1.1145579999999999</v>
      </c>
      <c r="L6912">
        <v>-62.946350000000002</v>
      </c>
      <c r="M6912">
        <v>0.99930289999999999</v>
      </c>
      <c r="N6912">
        <v>-1.0015130000000001E-2</v>
      </c>
      <c r="O6912">
        <v>-3.5965070000000002E-2</v>
      </c>
      <c r="P6912">
        <v>0.9195681</v>
      </c>
      <c r="Q6912">
        <v>0.36749340000000003</v>
      </c>
      <c r="R6912">
        <v>0.139079799999999</v>
      </c>
      <c r="S6912">
        <v>3.3991850000000001</v>
      </c>
      <c r="T6912">
        <v>-0.43837300000000001</v>
      </c>
      <c r="U6912">
        <v>0.25082399999999999</v>
      </c>
      <c r="V6912">
        <v>-0.17625589999999999</v>
      </c>
      <c r="W6912">
        <v>0.3746853</v>
      </c>
      <c r="X6912">
        <v>0.91024430000000001</v>
      </c>
      <c r="Y6912">
        <v>-0.1081971</v>
      </c>
      <c r="Z6912">
        <v>1.1738999999999999E-2</v>
      </c>
      <c r="AA6912">
        <v>0.99406019999999995</v>
      </c>
      <c r="AB6912">
        <v>38</v>
      </c>
      <c r="AC6912">
        <v>8.4704000000000104</v>
      </c>
      <c r="AD6912">
        <v>-1.114559352306</v>
      </c>
      <c r="AE6912">
        <v>0.64281999999999995</v>
      </c>
      <c r="AF6912">
        <v>-0.93103028800004795</v>
      </c>
      <c r="AG6912">
        <v>-1.114559352306</v>
      </c>
      <c r="AH6912">
        <v>8.2989339638444797</v>
      </c>
      <c r="AI6912">
        <v>97.602013389926796</v>
      </c>
      <c r="AJ6912">
        <v>96.401061557952801</v>
      </c>
      <c r="AK6912">
        <v>8.4250439098700092</v>
      </c>
      <c r="AL6912">
        <v>67.995135070210594</v>
      </c>
      <c r="AM6912">
        <v>100.95889112819501</v>
      </c>
      <c r="AN6912">
        <v>0.99999995100169303</v>
      </c>
    </row>
    <row r="6913" spans="1:40" x14ac:dyDescent="0.25">
      <c r="A6913" t="str">
        <f>"20190304164258932"</f>
        <v>20190304164258932</v>
      </c>
      <c r="B6913" t="str">
        <f>"1551688978928419"</f>
        <v>1551688978928419</v>
      </c>
      <c r="C6913" t="s">
        <v>40</v>
      </c>
      <c r="D6913">
        <v>4.7636329999999996</v>
      </c>
      <c r="E6913">
        <v>0.53833169999999897</v>
      </c>
      <c r="F6913" t="s">
        <v>65</v>
      </c>
      <c r="G6913">
        <v>-244.15880000000001</v>
      </c>
      <c r="H6913" s="1">
        <v>-1.2823349999999999E-6</v>
      </c>
      <c r="I6913">
        <v>-62.304450000000003</v>
      </c>
      <c r="J6913">
        <v>-252.5855</v>
      </c>
      <c r="K6913">
        <v>1.1146100000000001</v>
      </c>
      <c r="L6913">
        <v>-62.951720000000002</v>
      </c>
      <c r="M6913">
        <v>0.99939290000000003</v>
      </c>
      <c r="N6913">
        <v>-1.009148E-2</v>
      </c>
      <c r="O6913">
        <v>-3.3348910000000002E-2</v>
      </c>
      <c r="P6913">
        <v>0.91938540000000002</v>
      </c>
      <c r="Q6913">
        <v>0.36762319999999998</v>
      </c>
      <c r="R6913">
        <v>0.13994089999999901</v>
      </c>
      <c r="S6913">
        <v>3.3995669999999998</v>
      </c>
      <c r="T6913">
        <v>-0.43884329999999999</v>
      </c>
      <c r="U6913">
        <v>0.2527161</v>
      </c>
      <c r="V6913">
        <v>-0.17476040000000001</v>
      </c>
      <c r="W6913">
        <v>0.37488519999999997</v>
      </c>
      <c r="X6913">
        <v>0.91045039999999999</v>
      </c>
      <c r="Y6913">
        <v>-0.1061708</v>
      </c>
      <c r="Z6913">
        <v>1.1301220000000001E-2</v>
      </c>
      <c r="AA6913">
        <v>0.99428369999999999</v>
      </c>
      <c r="AB6913">
        <v>38</v>
      </c>
      <c r="AC6913">
        <v>8.4266999999999808</v>
      </c>
      <c r="AD6913">
        <v>-1.1146112823350001</v>
      </c>
      <c r="AE6913">
        <v>0.64726999999999102</v>
      </c>
      <c r="AF6913">
        <v>-0.91208155603658903</v>
      </c>
      <c r="AG6913">
        <v>-1.1146112823350001</v>
      </c>
      <c r="AH6913">
        <v>8.2568139136345202</v>
      </c>
      <c r="AI6913">
        <v>97.642118336456207</v>
      </c>
      <c r="AJ6913">
        <v>96.303570491630197</v>
      </c>
      <c r="AK6913">
        <v>8.3814811984493094</v>
      </c>
      <c r="AL6913">
        <v>67.982782804622104</v>
      </c>
      <c r="AM6913">
        <v>100.865728736487</v>
      </c>
      <c r="AN6913">
        <v>1.0000000207236699</v>
      </c>
    </row>
    <row r="6914" spans="1:40" x14ac:dyDescent="0.25">
      <c r="A6914" t="str">
        <f>"20190304164258945"</f>
        <v>20190304164258945</v>
      </c>
      <c r="B6914" t="str">
        <f>"1551688978938180"</f>
        <v>1551688978938180</v>
      </c>
      <c r="C6914" t="s">
        <v>40</v>
      </c>
      <c r="D6914">
        <v>4.7105169999999896</v>
      </c>
      <c r="E6914">
        <v>0.53835529999999998</v>
      </c>
      <c r="F6914" t="s">
        <v>65</v>
      </c>
      <c r="G6914">
        <v>-243.95760000000001</v>
      </c>
      <c r="H6914" s="1">
        <v>-1.1956780000000001E-6</v>
      </c>
      <c r="I6914">
        <v>-62.3031199999999</v>
      </c>
      <c r="J6914">
        <v>-252.38319999999999</v>
      </c>
      <c r="K6914">
        <v>1.1146529999999999</v>
      </c>
      <c r="L6914">
        <v>-62.956699999999998</v>
      </c>
      <c r="M6914">
        <v>0.99947390000000003</v>
      </c>
      <c r="N6914">
        <v>-1.0166710000000001E-2</v>
      </c>
      <c r="O6914">
        <v>-3.0798780000000001E-2</v>
      </c>
      <c r="P6914">
        <v>0.91916010000000004</v>
      </c>
      <c r="Q6914">
        <v>0.3680078</v>
      </c>
      <c r="R6914">
        <v>0.14041039999999999</v>
      </c>
      <c r="S6914">
        <v>3.3997649999999999</v>
      </c>
      <c r="T6914">
        <v>-0.4392047</v>
      </c>
      <c r="U6914">
        <v>0.25555420000000001</v>
      </c>
      <c r="V6914">
        <v>-0.17292839999999901</v>
      </c>
      <c r="W6914">
        <v>0.37534519999999999</v>
      </c>
      <c r="X6914">
        <v>0.91061060000000005</v>
      </c>
      <c r="Y6914">
        <v>-0.104486</v>
      </c>
      <c r="Z6914">
        <v>1.089213E-2</v>
      </c>
      <c r="AA6914">
        <v>0.99446670000000004</v>
      </c>
      <c r="AB6914">
        <v>38</v>
      </c>
      <c r="AC6914">
        <v>8.4255999999999691</v>
      </c>
      <c r="AD6914">
        <v>-1.1146541956780001</v>
      </c>
      <c r="AE6914">
        <v>0.65358000000000505</v>
      </c>
      <c r="AF6914">
        <v>-0.89717344007338395</v>
      </c>
      <c r="AG6914">
        <v>-1.1146541956780001</v>
      </c>
      <c r="AH6914">
        <v>8.2578112531727896</v>
      </c>
      <c r="AI6914">
        <v>97.642983812555002</v>
      </c>
      <c r="AJ6914">
        <v>96.2006038692641</v>
      </c>
      <c r="AK6914">
        <v>8.3808603884412101</v>
      </c>
      <c r="AL6914">
        <v>67.954349112779695</v>
      </c>
      <c r="AM6914">
        <v>100.75264638037</v>
      </c>
      <c r="AN6914">
        <v>0.99999995776097905</v>
      </c>
    </row>
    <row r="6915" spans="1:40" x14ac:dyDescent="0.25">
      <c r="A6915" t="str">
        <f>"20190304164258955"</f>
        <v>20190304164258955</v>
      </c>
      <c r="B6915" t="str">
        <f>"1551688978947940"</f>
        <v>1551688978947940</v>
      </c>
      <c r="C6915" t="s">
        <v>40</v>
      </c>
      <c r="D6915">
        <v>4.7497480000000003</v>
      </c>
      <c r="E6915">
        <v>0.53854789999999997</v>
      </c>
      <c r="F6915" t="s">
        <v>65</v>
      </c>
      <c r="G6915">
        <v>-243.75210000000001</v>
      </c>
      <c r="H6915" s="1">
        <v>-1.106818E-6</v>
      </c>
      <c r="I6915">
        <v>-62.300569999999901</v>
      </c>
      <c r="J6915">
        <v>-252.18279999999999</v>
      </c>
      <c r="K6915">
        <v>1.114679</v>
      </c>
      <c r="L6915">
        <v>-62.960850000000001</v>
      </c>
      <c r="M6915">
        <v>0.99954739999999997</v>
      </c>
      <c r="N6915">
        <v>-1.024338E-2</v>
      </c>
      <c r="O6915">
        <v>-2.8287E-2</v>
      </c>
      <c r="P6915">
        <v>0.91885439999999996</v>
      </c>
      <c r="Q6915">
        <v>0.368506</v>
      </c>
      <c r="R6915">
        <v>0.141102799999999</v>
      </c>
      <c r="S6915">
        <v>3.4001920000000001</v>
      </c>
      <c r="T6915">
        <v>-0.43911119999999998</v>
      </c>
      <c r="U6915">
        <v>0.2584534</v>
      </c>
      <c r="V6915">
        <v>-0.17133809999999999</v>
      </c>
      <c r="W6915">
        <v>0.37592419999999999</v>
      </c>
      <c r="X6915">
        <v>0.91067240000000005</v>
      </c>
      <c r="Y6915">
        <v>-0.1028535</v>
      </c>
      <c r="Z6915">
        <v>1.047963E-2</v>
      </c>
      <c r="AA6915">
        <v>0.99464129999999995</v>
      </c>
      <c r="AB6915">
        <v>38</v>
      </c>
      <c r="AC6915">
        <v>8.4306999999999697</v>
      </c>
      <c r="AD6915">
        <v>-1.1146801068179999</v>
      </c>
      <c r="AE6915">
        <v>0.66028000000000697</v>
      </c>
      <c r="AF6915">
        <v>-0.88316277489036399</v>
      </c>
      <c r="AG6915">
        <v>-1.1146801068179999</v>
      </c>
      <c r="AH6915">
        <v>8.2650449843267193</v>
      </c>
      <c r="AI6915">
        <v>97.637988049484093</v>
      </c>
      <c r="AJ6915">
        <v>96.099206802529906</v>
      </c>
      <c r="AK6915">
        <v>8.3865044458601599</v>
      </c>
      <c r="AL6915">
        <v>67.918554078872802</v>
      </c>
      <c r="AM6915">
        <v>100.65532998075</v>
      </c>
      <c r="AN6915">
        <v>0.99999998438950399</v>
      </c>
    </row>
    <row r="6916" spans="1:40" x14ac:dyDescent="0.25">
      <c r="A6916" t="str">
        <f>"20190304164258966"</f>
        <v>20190304164258966</v>
      </c>
      <c r="B6916" t="str">
        <f>"1551688978957700"</f>
        <v>1551688978957700</v>
      </c>
      <c r="C6916" t="s">
        <v>40</v>
      </c>
      <c r="D6916">
        <v>4.7534769999999904</v>
      </c>
      <c r="E6916">
        <v>0.53884569999999998</v>
      </c>
      <c r="F6916" t="s">
        <v>65</v>
      </c>
      <c r="G6916">
        <v>-243.49109999999999</v>
      </c>
      <c r="H6916" s="1">
        <v>-9.9369069999999899E-7</v>
      </c>
      <c r="I6916">
        <v>-62.296080000000003</v>
      </c>
      <c r="J6916">
        <v>-252.00980000000001</v>
      </c>
      <c r="K6916">
        <v>1.114698</v>
      </c>
      <c r="L6916">
        <v>-62.964230000000001</v>
      </c>
      <c r="M6916">
        <v>0.99960550000000004</v>
      </c>
      <c r="N6916">
        <v>-1.0309860000000001E-2</v>
      </c>
      <c r="O6916">
        <v>-2.6130219999999999E-2</v>
      </c>
      <c r="P6916">
        <v>0.9187381</v>
      </c>
      <c r="Q6916">
        <v>0.36863950000000001</v>
      </c>
      <c r="R6916">
        <v>0.14151179999999999</v>
      </c>
      <c r="S6916">
        <v>3.3998719999999998</v>
      </c>
      <c r="T6916">
        <v>-0.43602469999999999</v>
      </c>
      <c r="U6916">
        <v>0.26000980000000001</v>
      </c>
      <c r="V6916">
        <v>-0.1697833</v>
      </c>
      <c r="W6916">
        <v>0.37613410000000003</v>
      </c>
      <c r="X6916">
        <v>0.91087689999999999</v>
      </c>
      <c r="Y6916">
        <v>-0.1012115</v>
      </c>
      <c r="Z6916">
        <v>1.0044320000000001E-2</v>
      </c>
      <c r="AA6916">
        <v>0.99481419999999998</v>
      </c>
      <c r="AB6916">
        <v>38</v>
      </c>
      <c r="AC6916">
        <v>8.5187000000000204</v>
      </c>
      <c r="AD6916">
        <v>-1.1146989936906999</v>
      </c>
      <c r="AE6916">
        <v>0.66815000000000402</v>
      </c>
      <c r="AF6916">
        <v>-0.87562782823344398</v>
      </c>
      <c r="AG6916">
        <v>-1.1146989936906999</v>
      </c>
      <c r="AH6916">
        <v>8.3561276773067892</v>
      </c>
      <c r="AI6916">
        <v>97.557442035140497</v>
      </c>
      <c r="AJ6916">
        <v>95.982118595624002</v>
      </c>
      <c r="AK6916">
        <v>8.4755027992187202</v>
      </c>
      <c r="AL6916">
        <v>67.905575006350205</v>
      </c>
      <c r="AM6916">
        <v>100.55850576188899</v>
      </c>
      <c r="AN6916">
        <v>0.99999997854765399</v>
      </c>
    </row>
    <row r="6917" spans="1:40" x14ac:dyDescent="0.25">
      <c r="A6917" t="str">
        <f>"20190304164258976"</f>
        <v>20190304164258976</v>
      </c>
      <c r="B6917" t="str">
        <f>"1551688978968436"</f>
        <v>1551688978968436</v>
      </c>
      <c r="C6917" t="s">
        <v>40</v>
      </c>
      <c r="D6917">
        <v>4.6916719999999996</v>
      </c>
      <c r="E6917">
        <v>0.53910029999999998</v>
      </c>
      <c r="F6917" t="s">
        <v>65</v>
      </c>
      <c r="G6917">
        <v>-243.2861</v>
      </c>
      <c r="H6917" s="1">
        <v>-9.0641419999999996E-7</v>
      </c>
      <c r="I6917">
        <v>-62.298630000000003</v>
      </c>
      <c r="J6917">
        <v>-251.82230000000001</v>
      </c>
      <c r="K6917">
        <v>1.1147089999999999</v>
      </c>
      <c r="L6917">
        <v>-62.967350000000003</v>
      </c>
      <c r="M6917">
        <v>0.99966259999999996</v>
      </c>
      <c r="N6917">
        <v>-1.0382600000000001E-2</v>
      </c>
      <c r="O6917">
        <v>-2.3811180000000001E-2</v>
      </c>
      <c r="P6917">
        <v>0.91872140000000002</v>
      </c>
      <c r="Q6917">
        <v>0.36837130000000001</v>
      </c>
      <c r="R6917">
        <v>0.14231450000000001</v>
      </c>
      <c r="S6917">
        <v>3.399734</v>
      </c>
      <c r="T6917">
        <v>-0.43441220000000003</v>
      </c>
      <c r="U6917">
        <v>0.25936890000000001</v>
      </c>
      <c r="V6917">
        <v>-0.16846249999999999</v>
      </c>
      <c r="W6917">
        <v>0.3759499</v>
      </c>
      <c r="X6917">
        <v>0.91119819999999996</v>
      </c>
      <c r="Y6917">
        <v>-9.8764790000000005E-2</v>
      </c>
      <c r="Z6917">
        <v>9.5715899999999996E-3</v>
      </c>
      <c r="AA6917">
        <v>0.99506479999999997</v>
      </c>
      <c r="AB6917">
        <v>38</v>
      </c>
      <c r="AC6917">
        <v>8.5361999999999991</v>
      </c>
      <c r="AD6917">
        <v>-1.1147099064142001</v>
      </c>
      <c r="AE6917">
        <v>0.66871999999999998</v>
      </c>
      <c r="AF6917">
        <v>-0.85726869797816996</v>
      </c>
      <c r="AG6917">
        <v>-1.1147099064142001</v>
      </c>
      <c r="AH6917">
        <v>8.3758947691916905</v>
      </c>
      <c r="AI6917">
        <v>97.541747983326502</v>
      </c>
      <c r="AJ6917">
        <v>95.843845878639399</v>
      </c>
      <c r="AK6917">
        <v>8.4931208033657395</v>
      </c>
      <c r="AL6917">
        <v>67.916966547220497</v>
      </c>
      <c r="AM6917">
        <v>100.474580783291</v>
      </c>
      <c r="AN6917">
        <v>1.0000000504497399</v>
      </c>
    </row>
    <row r="6918" spans="1:40" x14ac:dyDescent="0.25">
      <c r="A6918" t="str">
        <f>"20190304164258987"</f>
        <v>20190304164258987</v>
      </c>
      <c r="B6918" t="str">
        <f>"1551688978978195"</f>
        <v>1551688978978195</v>
      </c>
      <c r="C6918" t="s">
        <v>40</v>
      </c>
      <c r="D6918">
        <v>4.6962609999999998</v>
      </c>
      <c r="E6918">
        <v>0.53934289999999996</v>
      </c>
      <c r="F6918" t="s">
        <v>65</v>
      </c>
      <c r="G6918">
        <v>-243.09280000000001</v>
      </c>
      <c r="H6918" s="1">
        <v>-8.2357589999999997E-7</v>
      </c>
      <c r="I6918">
        <v>-62.298909999999999</v>
      </c>
      <c r="J6918">
        <v>-251.64420000000001</v>
      </c>
      <c r="K6918">
        <v>1.1147089999999999</v>
      </c>
      <c r="L6918">
        <v>-62.969970000000004</v>
      </c>
      <c r="M6918">
        <v>0.99971140000000003</v>
      </c>
      <c r="N6918">
        <v>-1.0453250000000001E-2</v>
      </c>
      <c r="O6918">
        <v>-2.1637320000000002E-2</v>
      </c>
      <c r="P6918">
        <v>0.91897419999999996</v>
      </c>
      <c r="Q6918">
        <v>0.36764330000000001</v>
      </c>
      <c r="R6918">
        <v>0.14256659999999999</v>
      </c>
      <c r="S6918">
        <v>3.3991090000000002</v>
      </c>
      <c r="T6918">
        <v>-0.43404949999999998</v>
      </c>
      <c r="U6918">
        <v>0.26025389999999998</v>
      </c>
      <c r="V6918">
        <v>-0.16671469999999999</v>
      </c>
      <c r="W6918">
        <v>0.37531609999999999</v>
      </c>
      <c r="X6918">
        <v>0.9117807</v>
      </c>
      <c r="Y6918">
        <v>-9.6904599999999994E-2</v>
      </c>
      <c r="Z6918">
        <v>9.1859000000000003E-3</v>
      </c>
      <c r="AA6918">
        <v>0.99525129999999995</v>
      </c>
      <c r="AB6918">
        <v>38</v>
      </c>
      <c r="AC6918">
        <v>8.5513999999999992</v>
      </c>
      <c r="AD6918">
        <v>-1.1147098235759001</v>
      </c>
      <c r="AE6918">
        <v>0.67105999999999699</v>
      </c>
      <c r="AF6918">
        <v>-0.841727093264384</v>
      </c>
      <c r="AG6918">
        <v>-1.1147098235759001</v>
      </c>
      <c r="AH6918">
        <v>8.39313227630557</v>
      </c>
      <c r="AI6918">
        <v>97.527974888935404</v>
      </c>
      <c r="AJ6918">
        <v>95.7269077928797</v>
      </c>
      <c r="AK6918">
        <v>8.5085693214473004</v>
      </c>
      <c r="AL6918">
        <v>67.956149037416495</v>
      </c>
      <c r="AM6918">
        <v>100.361795474801</v>
      </c>
      <c r="AN6918">
        <v>1.00000000550389</v>
      </c>
    </row>
    <row r="6919" spans="1:40" x14ac:dyDescent="0.25">
      <c r="A6919" t="str">
        <f>"20190304164258998"</f>
        <v>20190304164258998</v>
      </c>
      <c r="B6919" t="str">
        <f>"1551688978987956"</f>
        <v>1551688978987956</v>
      </c>
      <c r="C6919" t="s">
        <v>40</v>
      </c>
      <c r="D6919">
        <v>4.7563659999999999</v>
      </c>
      <c r="E6919">
        <v>0.53959789999999996</v>
      </c>
      <c r="F6919" t="s">
        <v>65</v>
      </c>
      <c r="G6919">
        <v>-242.93629999999999</v>
      </c>
      <c r="H6919" s="1">
        <v>-7.5810349999999998E-7</v>
      </c>
      <c r="I6919">
        <v>-62.305210000000002</v>
      </c>
      <c r="J6919">
        <v>-251.45509999999999</v>
      </c>
      <c r="K6919">
        <v>1.114698</v>
      </c>
      <c r="L6919">
        <v>-62.972380000000001</v>
      </c>
      <c r="M6919">
        <v>0.99975729999999996</v>
      </c>
      <c r="N6919">
        <v>-1.052995E-2</v>
      </c>
      <c r="O6919">
        <v>-1.935796E-2</v>
      </c>
      <c r="P6919">
        <v>0.91921989999999998</v>
      </c>
      <c r="Q6919">
        <v>0.3668109</v>
      </c>
      <c r="R6919">
        <v>0.14312549999999999</v>
      </c>
      <c r="S6919">
        <v>3.398285</v>
      </c>
      <c r="T6919">
        <v>-0.4350193</v>
      </c>
      <c r="U6919">
        <v>0.2593994</v>
      </c>
      <c r="V6919">
        <v>-0.16516320000000001</v>
      </c>
      <c r="W6919">
        <v>0.37458540000000001</v>
      </c>
      <c r="X6919">
        <v>0.91236340000000005</v>
      </c>
      <c r="Y6919">
        <v>-9.4437030000000005E-2</v>
      </c>
      <c r="Z6919">
        <v>8.7734309999999999E-3</v>
      </c>
      <c r="AA6919">
        <v>0.99549219999999905</v>
      </c>
      <c r="AB6919">
        <v>38</v>
      </c>
      <c r="AC6919">
        <v>8.5187999999999899</v>
      </c>
      <c r="AD6919">
        <v>-1.1146987581034999</v>
      </c>
      <c r="AE6919">
        <v>0.66717000000000504</v>
      </c>
      <c r="AF6919">
        <v>-0.81803947662163801</v>
      </c>
      <c r="AG6919">
        <v>-1.1146987581034999</v>
      </c>
      <c r="AH6919">
        <v>8.3619854744248894</v>
      </c>
      <c r="AI6919">
        <v>97.557419514078404</v>
      </c>
      <c r="AJ6919">
        <v>95.587373992409894</v>
      </c>
      <c r="AK6919">
        <v>8.47552611824905</v>
      </c>
      <c r="AL6919">
        <v>68.001310556363805</v>
      </c>
      <c r="AM6919">
        <v>100.261007676454</v>
      </c>
      <c r="AN6919">
        <v>1.00000003909347</v>
      </c>
    </row>
    <row r="6920" spans="1:40" x14ac:dyDescent="0.25">
      <c r="A6920" t="str">
        <f>"20190304164259011"</f>
        <v>20190304164259011</v>
      </c>
      <c r="B6920" t="str">
        <f>"1551688978997716"</f>
        <v>1551688978997716</v>
      </c>
      <c r="C6920" t="s">
        <v>40</v>
      </c>
      <c r="D6920">
        <v>4.7396120000000002</v>
      </c>
      <c r="E6920">
        <v>0.53984589999999999</v>
      </c>
      <c r="F6920" t="s">
        <v>65</v>
      </c>
      <c r="G6920">
        <v>-242.78870000000001</v>
      </c>
      <c r="H6920" s="1">
        <v>-6.9605900000000003E-7</v>
      </c>
      <c r="I6920">
        <v>-62.310110000000002</v>
      </c>
      <c r="J6920">
        <v>-251.25069999999999</v>
      </c>
      <c r="K6920">
        <v>1.1146689999999999</v>
      </c>
      <c r="L6920">
        <v>-62.974490000000003</v>
      </c>
      <c r="M6920">
        <v>0.99979960000000001</v>
      </c>
      <c r="N6920">
        <v>-1.06187E-2</v>
      </c>
      <c r="O6920">
        <v>-1.696771E-2</v>
      </c>
      <c r="P6920">
        <v>0.91931589999999996</v>
      </c>
      <c r="Q6920">
        <v>0.36641420000000002</v>
      </c>
      <c r="R6920">
        <v>0.14352309999999999</v>
      </c>
      <c r="S6920">
        <v>3.397583</v>
      </c>
      <c r="T6920">
        <v>-0.43700699999999998</v>
      </c>
      <c r="U6920">
        <v>0.25961299999999998</v>
      </c>
      <c r="V6920">
        <v>-0.16332949999999999</v>
      </c>
      <c r="W6920">
        <v>0.37431219999999998</v>
      </c>
      <c r="X6920">
        <v>0.91280550000000005</v>
      </c>
      <c r="Y6920">
        <v>-9.2162170000000002E-2</v>
      </c>
      <c r="Z6920">
        <v>8.3779019999999996E-3</v>
      </c>
      <c r="AA6920">
        <v>0.99570879999999995</v>
      </c>
      <c r="AB6920">
        <v>38</v>
      </c>
      <c r="AC6920">
        <v>8.4619999999999802</v>
      </c>
      <c r="AD6920">
        <v>-1.1146696960589999</v>
      </c>
      <c r="AE6920">
        <v>0.66438000000000796</v>
      </c>
      <c r="AF6920">
        <v>-0.79417717455228698</v>
      </c>
      <c r="AG6920">
        <v>-1.1146696960589999</v>
      </c>
      <c r="AH6920">
        <v>8.3062618362459109</v>
      </c>
      <c r="AI6920">
        <v>97.608928584405902</v>
      </c>
      <c r="AJ6920">
        <v>95.4615541392469</v>
      </c>
      <c r="AK6920">
        <v>8.4182653562457492</v>
      </c>
      <c r="AL6920">
        <v>68.018191359394905</v>
      </c>
      <c r="AM6920">
        <v>100.144653880234</v>
      </c>
      <c r="AN6920">
        <v>1.0000000147346699</v>
      </c>
    </row>
    <row r="6921" spans="1:40" x14ac:dyDescent="0.25">
      <c r="A6921" t="str">
        <f>"20190304164259024"</f>
        <v>20190304164259024</v>
      </c>
      <c r="B6921" t="str">
        <f>"1551688979018212"</f>
        <v>1551688979018212</v>
      </c>
      <c r="C6921" t="s">
        <v>40</v>
      </c>
      <c r="D6921">
        <v>4.6916149999999996</v>
      </c>
      <c r="E6921">
        <v>0.54027349999999996</v>
      </c>
      <c r="F6921" t="s">
        <v>65</v>
      </c>
      <c r="G6921">
        <v>-242.5917</v>
      </c>
      <c r="H6921" s="1">
        <v>-6.119976E-7</v>
      </c>
      <c r="I6921">
        <v>-62.311729999999997</v>
      </c>
      <c r="J6921">
        <v>-251.04259999999999</v>
      </c>
      <c r="K6921">
        <v>1.114628</v>
      </c>
      <c r="L6921">
        <v>-62.976320000000001</v>
      </c>
      <c r="M6921">
        <v>0.99983639999999996</v>
      </c>
      <c r="N6921">
        <v>-1.0712259999999999E-2</v>
      </c>
      <c r="O6921">
        <v>-1.4572709999999999E-2</v>
      </c>
      <c r="P6921">
        <v>0.91941689999999998</v>
      </c>
      <c r="Q6921">
        <v>0.36606729999999998</v>
      </c>
      <c r="R6921">
        <v>0.14376129999999901</v>
      </c>
      <c r="S6921">
        <v>3.3969879999999999</v>
      </c>
      <c r="T6921">
        <v>-0.4372936</v>
      </c>
      <c r="U6921">
        <v>0.25997920000000002</v>
      </c>
      <c r="V6921">
        <v>-0.16132050000000001</v>
      </c>
      <c r="W6921">
        <v>0.37409900000000001</v>
      </c>
      <c r="X6921">
        <v>0.91325000000000001</v>
      </c>
      <c r="Y6921">
        <v>-8.9931380000000005E-2</v>
      </c>
      <c r="Z6921">
        <v>7.9513299999999995E-3</v>
      </c>
      <c r="AA6921">
        <v>0.99591620000000003</v>
      </c>
      <c r="AB6921">
        <v>38</v>
      </c>
      <c r="AC6921">
        <v>8.4508999999999901</v>
      </c>
      <c r="AD6921">
        <v>-1.1146286119976001</v>
      </c>
      <c r="AE6921">
        <v>0.66458999999998902</v>
      </c>
      <c r="AF6921">
        <v>-0.77429205559839498</v>
      </c>
      <c r="AG6921">
        <v>-1.1146286119976001</v>
      </c>
      <c r="AH6921">
        <v>8.2968701923169395</v>
      </c>
      <c r="AI6921">
        <v>97.618776135034395</v>
      </c>
      <c r="AJ6921">
        <v>95.331594109652997</v>
      </c>
      <c r="AK6921">
        <v>8.4071386403581894</v>
      </c>
      <c r="AL6921">
        <v>68.0313626847976</v>
      </c>
      <c r="AM6921">
        <v>100.017637532526</v>
      </c>
      <c r="AN6921">
        <v>0.99999996401062397</v>
      </c>
    </row>
    <row r="6922" spans="1:40" x14ac:dyDescent="0.25">
      <c r="A6922" t="str">
        <f>"20190304164259032"</f>
        <v>20190304164259032</v>
      </c>
      <c r="B6922" t="str">
        <f>"1551688979027972"</f>
        <v>1551688979027972</v>
      </c>
      <c r="C6922" t="s">
        <v>40</v>
      </c>
      <c r="D6922">
        <v>4.6668260000000004</v>
      </c>
      <c r="E6922">
        <v>0.54044060000000005</v>
      </c>
      <c r="F6922" t="s">
        <v>65</v>
      </c>
      <c r="G6922">
        <v>-242.36070000000001</v>
      </c>
      <c r="H6922" s="1">
        <v>-5.1386359999999995E-7</v>
      </c>
      <c r="I6922">
        <v>-62.315379999999998</v>
      </c>
      <c r="J6922">
        <v>-250.86930000000001</v>
      </c>
      <c r="K6922">
        <v>1.1145659999999999</v>
      </c>
      <c r="L6922">
        <v>-62.977290000000004</v>
      </c>
      <c r="M6922">
        <v>0.99986120000000001</v>
      </c>
      <c r="N6922">
        <v>-1.0797380000000001E-2</v>
      </c>
      <c r="O6922">
        <v>-1.268735E-2</v>
      </c>
      <c r="P6922">
        <v>0.91945960000000004</v>
      </c>
      <c r="Q6922">
        <v>0.36606030000000001</v>
      </c>
      <c r="R6922">
        <v>0.1435062</v>
      </c>
      <c r="S6922">
        <v>3.3961030000000001</v>
      </c>
      <c r="T6922">
        <v>-0.43600800000000001</v>
      </c>
      <c r="U6922">
        <v>0.25851439999999998</v>
      </c>
      <c r="V6922">
        <v>-0.15927089999999999</v>
      </c>
      <c r="W6922">
        <v>0.37422329999999998</v>
      </c>
      <c r="X6922">
        <v>0.9135588</v>
      </c>
      <c r="Y6922">
        <v>-8.7683159999999996E-2</v>
      </c>
      <c r="Z6922">
        <v>7.5575290000000003E-3</v>
      </c>
      <c r="AA6922">
        <v>0.99611970000000005</v>
      </c>
      <c r="AB6922">
        <v>38</v>
      </c>
      <c r="AC6922">
        <v>8.5085999999999995</v>
      </c>
      <c r="AD6922">
        <v>-1.1145665138635901</v>
      </c>
      <c r="AE6922">
        <v>0.661909999999998</v>
      </c>
      <c r="AF6922">
        <v>-0.75690488139911405</v>
      </c>
      <c r="AG6922">
        <v>-1.1145665138635901</v>
      </c>
      <c r="AH6922">
        <v>8.3569806206028598</v>
      </c>
      <c r="AI6922">
        <v>97.566071918511497</v>
      </c>
      <c r="AJ6922">
        <v>95.175248491344504</v>
      </c>
      <c r="AK6922">
        <v>8.4648856227620506</v>
      </c>
      <c r="AL6922">
        <v>68.023683583119805</v>
      </c>
      <c r="AM6922">
        <v>99.889614309642596</v>
      </c>
      <c r="AN6922">
        <v>0.99999998945356905</v>
      </c>
    </row>
    <row r="6923" spans="1:40" x14ac:dyDescent="0.25">
      <c r="A6923" t="str">
        <f>"20190304164259043"</f>
        <v>20190304164259043</v>
      </c>
      <c r="B6923" t="str">
        <f>"1551688979037731"</f>
        <v>1551688979037731</v>
      </c>
      <c r="C6923" t="s">
        <v>40</v>
      </c>
      <c r="D6923">
        <v>4.7283150000000003</v>
      </c>
      <c r="E6923">
        <v>0.54044060000000005</v>
      </c>
      <c r="F6923" t="s">
        <v>65</v>
      </c>
      <c r="G6923">
        <v>-242.1694</v>
      </c>
      <c r="H6923" s="1">
        <v>-4.3328900000000001E-7</v>
      </c>
      <c r="I6923">
        <v>-62.320979999999999</v>
      </c>
      <c r="J6923">
        <v>-250.67830000000001</v>
      </c>
      <c r="K6923">
        <v>1.1144989999999999</v>
      </c>
      <c r="L6923">
        <v>-62.978299999999997</v>
      </c>
      <c r="M6923">
        <v>0.9998842</v>
      </c>
      <c r="N6923">
        <v>-1.089215E-2</v>
      </c>
      <c r="O6923">
        <v>-1.063359E-2</v>
      </c>
      <c r="P6923">
        <v>0.91943160000000002</v>
      </c>
      <c r="Q6923">
        <v>0.3660467</v>
      </c>
      <c r="R6923">
        <v>0.1437203</v>
      </c>
      <c r="S6923">
        <v>3.3959959999999998</v>
      </c>
      <c r="T6923">
        <v>-0.43506790000000001</v>
      </c>
      <c r="U6923">
        <v>0.25616460000000002</v>
      </c>
      <c r="V6923">
        <v>-0.15752379999999999</v>
      </c>
      <c r="W6923">
        <v>0.37435020000000002</v>
      </c>
      <c r="X6923">
        <v>0.91380969999999995</v>
      </c>
      <c r="Y6923">
        <v>-8.4994769999999997E-2</v>
      </c>
      <c r="Z6923">
        <v>7.1199999999999996E-3</v>
      </c>
      <c r="AA6923">
        <v>0.99635600000000002</v>
      </c>
      <c r="AB6923">
        <v>38</v>
      </c>
      <c r="AC6923">
        <v>8.5089000000000095</v>
      </c>
      <c r="AD6923">
        <v>-1.1144994332889999</v>
      </c>
      <c r="AE6923">
        <v>0.65731999999999102</v>
      </c>
      <c r="AF6923">
        <v>-0.73522966692870295</v>
      </c>
      <c r="AG6923">
        <v>-1.1144994332889999</v>
      </c>
      <c r="AH6923">
        <v>8.3588756700079099</v>
      </c>
      <c r="AI6923">
        <v>97.565657137559498</v>
      </c>
      <c r="AJ6923">
        <v>95.026683470903606</v>
      </c>
      <c r="AK6923">
        <v>8.4648375127100799</v>
      </c>
      <c r="AL6923">
        <v>68.015842928510494</v>
      </c>
      <c r="AM6923">
        <v>99.780604892156703</v>
      </c>
      <c r="AN6923">
        <v>0.99999999381028404</v>
      </c>
    </row>
    <row r="6924" spans="1:40" x14ac:dyDescent="0.25">
      <c r="A6924" t="str">
        <f>"20190304164259054"</f>
        <v>20190304164259054</v>
      </c>
      <c r="B6924" t="str">
        <f>"1551688979048468"</f>
        <v>1551688979048468</v>
      </c>
      <c r="C6924" t="s">
        <v>40</v>
      </c>
      <c r="D6924">
        <v>4.7403729999999999</v>
      </c>
      <c r="E6924">
        <v>0.54189779999999999</v>
      </c>
      <c r="F6924" t="s">
        <v>41</v>
      </c>
      <c r="G6924">
        <v>-249.65649999999999</v>
      </c>
      <c r="H6924">
        <v>0.98357760000000005</v>
      </c>
      <c r="I6924">
        <v>-62.901179999999997</v>
      </c>
      <c r="J6924">
        <v>-250.4923</v>
      </c>
      <c r="K6924">
        <v>1.114406</v>
      </c>
      <c r="L6924">
        <v>-62.978729999999999</v>
      </c>
      <c r="M6924">
        <v>0.9999015</v>
      </c>
      <c r="N6924">
        <v>-1.098738E-2</v>
      </c>
      <c r="O6924">
        <v>-8.7453510000000002E-3</v>
      </c>
      <c r="P6924">
        <v>0.91949669999999895</v>
      </c>
      <c r="Q6924">
        <v>0.365817</v>
      </c>
      <c r="R6924">
        <v>0.1438884</v>
      </c>
      <c r="S6924">
        <v>3.3959199999999998</v>
      </c>
      <c r="T6924">
        <v>-0.43512729999999999</v>
      </c>
      <c r="U6924">
        <v>0.2571716</v>
      </c>
      <c r="V6924">
        <v>-0.15586410000000001</v>
      </c>
      <c r="W6924">
        <v>0.37426749999999998</v>
      </c>
      <c r="X6924">
        <v>0.9141281</v>
      </c>
      <c r="Y6924">
        <v>-8.3434690000000006E-2</v>
      </c>
      <c r="Z6924">
        <v>6.7960269999999996E-3</v>
      </c>
      <c r="AA6924">
        <v>0.99649010000000005</v>
      </c>
      <c r="AB6924">
        <v>38</v>
      </c>
      <c r="AC6924">
        <v>0.83580000000000598</v>
      </c>
      <c r="AD6924">
        <v>-0.13082840000000001</v>
      </c>
      <c r="AE6924">
        <v>7.7550000000002201E-2</v>
      </c>
      <c r="AF6924">
        <v>-8.28443235555473E-2</v>
      </c>
      <c r="AG6924">
        <v>-0.13082840000000001</v>
      </c>
      <c r="AH6924">
        <v>0.815284304643771</v>
      </c>
      <c r="AI6924">
        <v>99.0705870745727</v>
      </c>
      <c r="AJ6924">
        <v>95.8021399056897</v>
      </c>
      <c r="AK6924">
        <v>0.82986007832068498</v>
      </c>
      <c r="AL6924">
        <v>68.020952461606996</v>
      </c>
      <c r="AM6924">
        <v>99.676206543604593</v>
      </c>
      <c r="AN6924">
        <v>0.99999998121733402</v>
      </c>
    </row>
    <row r="6925" spans="1:40" x14ac:dyDescent="0.25">
      <c r="A6925" t="str">
        <f>"20190304164259066"</f>
        <v>20190304164259066</v>
      </c>
      <c r="B6925" t="str">
        <f>"1551688979058228"</f>
        <v>1551688979058228</v>
      </c>
      <c r="C6925" t="s">
        <v>40</v>
      </c>
      <c r="D6925">
        <v>4.705565</v>
      </c>
      <c r="E6925">
        <v>0.54189779999999999</v>
      </c>
      <c r="F6925" t="s">
        <v>41</v>
      </c>
      <c r="G6925">
        <v>-249.65870000000001</v>
      </c>
      <c r="H6925">
        <v>0.99788019999999999</v>
      </c>
      <c r="I6925">
        <v>-62.918080000000003</v>
      </c>
      <c r="J6925">
        <v>-250.3</v>
      </c>
      <c r="K6925">
        <v>1.1142989999999999</v>
      </c>
      <c r="L6925">
        <v>-62.979030000000002</v>
      </c>
      <c r="M6925">
        <v>0.9999152</v>
      </c>
      <c r="N6925">
        <v>-1.1086530000000001E-2</v>
      </c>
      <c r="O6925">
        <v>-6.8583869999999996E-3</v>
      </c>
      <c r="P6925">
        <v>0.91960419999999998</v>
      </c>
      <c r="Q6925">
        <v>0.36536370000000001</v>
      </c>
      <c r="R6925">
        <v>0.14435149999999999</v>
      </c>
      <c r="S6925">
        <v>3.4134669999999998</v>
      </c>
      <c r="T6925">
        <v>-0.47721200000000003</v>
      </c>
      <c r="U6925">
        <v>0.24942020000000001</v>
      </c>
      <c r="V6925">
        <v>-0.15448499999999901</v>
      </c>
      <c r="W6925">
        <v>0.37396639999999998</v>
      </c>
      <c r="X6925">
        <v>0.9144854</v>
      </c>
      <c r="Y6925">
        <v>-7.8833719999999996E-2</v>
      </c>
      <c r="Z6925">
        <v>6.7939740000000004E-3</v>
      </c>
      <c r="AA6925">
        <v>0.99686459999999999</v>
      </c>
      <c r="AB6925">
        <v>38</v>
      </c>
      <c r="AC6925">
        <v>0.64130000000000098</v>
      </c>
      <c r="AD6925">
        <v>-0.116418799999999</v>
      </c>
      <c r="AE6925">
        <v>6.09499999999982E-2</v>
      </c>
      <c r="AF6925">
        <v>-6.3280371721723905E-2</v>
      </c>
      <c r="AG6925">
        <v>-0.116418799999999</v>
      </c>
      <c r="AH6925">
        <v>0.62059803338888098</v>
      </c>
      <c r="AI6925">
        <v>100.57114106933101</v>
      </c>
      <c r="AJ6925">
        <v>95.822142699509897</v>
      </c>
      <c r="AK6925">
        <v>0.63458621280707495</v>
      </c>
      <c r="AL6925">
        <v>68.039555902395506</v>
      </c>
      <c r="AM6925">
        <v>99.588510090329706</v>
      </c>
      <c r="AN6925">
        <v>1.00000001518355</v>
      </c>
    </row>
    <row r="6926" spans="1:40" x14ac:dyDescent="0.25">
      <c r="A6926" t="str">
        <f>"20190304164259076"</f>
        <v>20190304164259076</v>
      </c>
      <c r="B6926" t="str">
        <f>"1551688979067988"</f>
        <v>1551688979067988</v>
      </c>
      <c r="C6926" t="s">
        <v>40</v>
      </c>
      <c r="D6926">
        <v>5.1103719999999999</v>
      </c>
      <c r="E6926">
        <v>0.54301829999999995</v>
      </c>
      <c r="F6926" t="s">
        <v>41</v>
      </c>
      <c r="G6926">
        <v>-249.3288</v>
      </c>
      <c r="H6926">
        <v>0.97804990000000003</v>
      </c>
      <c r="I6926">
        <v>-62.907649999999997</v>
      </c>
      <c r="J6926">
        <v>-250.12209999999999</v>
      </c>
      <c r="K6926">
        <v>1.1141779999999999</v>
      </c>
      <c r="L6926">
        <v>-62.978999999999999</v>
      </c>
      <c r="M6926">
        <v>0.99992409999999998</v>
      </c>
      <c r="N6926">
        <v>-1.117917E-2</v>
      </c>
      <c r="O6926">
        <v>-5.2149379999999997E-3</v>
      </c>
      <c r="P6926">
        <v>0.91983610000000005</v>
      </c>
      <c r="Q6926">
        <v>0.36466490000000001</v>
      </c>
      <c r="R6926">
        <v>0.1446422</v>
      </c>
      <c r="S6926">
        <v>3.4131770000000001</v>
      </c>
      <c r="T6926">
        <v>-0.47882269999999999</v>
      </c>
      <c r="U6926">
        <v>0.25054929999999997</v>
      </c>
      <c r="V6926">
        <v>-0.1531469</v>
      </c>
      <c r="W6926">
        <v>0.37341659999999999</v>
      </c>
      <c r="X6926">
        <v>0.91493500000000005</v>
      </c>
      <c r="Y6926">
        <v>-7.7550270000000004E-2</v>
      </c>
      <c r="Z6926">
        <v>6.5114279999999997E-3</v>
      </c>
      <c r="AA6926">
        <v>0.99696719999999905</v>
      </c>
      <c r="AB6926">
        <v>38</v>
      </c>
      <c r="AC6926">
        <v>0.79329999999998702</v>
      </c>
      <c r="AD6926">
        <v>-0.1361281</v>
      </c>
      <c r="AE6926">
        <v>7.1350000000002398E-2</v>
      </c>
      <c r="AF6926">
        <v>-7.3343969341471096E-2</v>
      </c>
      <c r="AG6926">
        <v>-0.1361281</v>
      </c>
      <c r="AH6926">
        <v>0.77041382861867103</v>
      </c>
      <c r="AI6926">
        <v>99.976242360704006</v>
      </c>
      <c r="AJ6926">
        <v>95.438211167407303</v>
      </c>
      <c r="AK6926">
        <v>0.78577838146340695</v>
      </c>
      <c r="AL6926">
        <v>68.0735170085118</v>
      </c>
      <c r="AM6926">
        <v>99.502393405741898</v>
      </c>
      <c r="AN6926">
        <v>0.99999999218008495</v>
      </c>
    </row>
    <row r="6927" spans="1:40" x14ac:dyDescent="0.25">
      <c r="A6927" t="str">
        <f>"20190304164259087"</f>
        <v>20190304164259087</v>
      </c>
      <c r="B6927" t="str">
        <f>"1551688979077748"</f>
        <v>1551688979077748</v>
      </c>
      <c r="C6927" t="s">
        <v>40</v>
      </c>
      <c r="D6927">
        <v>4.6996349999999998</v>
      </c>
      <c r="E6927">
        <v>0.5429602</v>
      </c>
      <c r="F6927" t="s">
        <v>65</v>
      </c>
      <c r="G6927">
        <v>-241.09809999999999</v>
      </c>
      <c r="H6927" s="1">
        <v>1.822821E-8</v>
      </c>
      <c r="I6927">
        <v>-62.351219999999998</v>
      </c>
      <c r="J6927">
        <v>-249.92779999999999</v>
      </c>
      <c r="K6927">
        <v>1.1140330000000001</v>
      </c>
      <c r="L6927">
        <v>-62.978729999999999</v>
      </c>
      <c r="M6927">
        <v>0.99993010000000004</v>
      </c>
      <c r="N6927">
        <v>-1.128198E-2</v>
      </c>
      <c r="O6927">
        <v>-3.536956E-3</v>
      </c>
      <c r="P6927">
        <v>0.92006030000000005</v>
      </c>
      <c r="Q6927">
        <v>0.36391370000000001</v>
      </c>
      <c r="R6927">
        <v>0.14510609999999999</v>
      </c>
      <c r="S6927">
        <v>3.39032</v>
      </c>
      <c r="T6927">
        <v>-0.41860180000000002</v>
      </c>
      <c r="U6927">
        <v>0.23583979999999999</v>
      </c>
      <c r="V6927">
        <v>-0.15192130000000001</v>
      </c>
      <c r="W6927">
        <v>0.37283309999999997</v>
      </c>
      <c r="X6927">
        <v>0.9153772</v>
      </c>
      <c r="Y6927">
        <v>-7.2304209999999994E-2</v>
      </c>
      <c r="Z6927">
        <v>5.2463789999999998E-3</v>
      </c>
      <c r="AA6927">
        <v>0.99736880000000006</v>
      </c>
      <c r="AB6927">
        <v>38</v>
      </c>
      <c r="AC6927">
        <v>8.8297000000000008</v>
      </c>
      <c r="AD6927">
        <v>-1.11403298177179</v>
      </c>
      <c r="AE6927">
        <v>0.62751000000000701</v>
      </c>
      <c r="AF6927">
        <v>-0.64846751791515</v>
      </c>
      <c r="AG6927">
        <v>-1.11403298177179</v>
      </c>
      <c r="AH6927">
        <v>8.6897911935671992</v>
      </c>
      <c r="AI6927">
        <v>97.285443114725695</v>
      </c>
      <c r="AJ6927">
        <v>94.267733558713303</v>
      </c>
      <c r="AK6927">
        <v>8.7848762423875097</v>
      </c>
      <c r="AL6927">
        <v>68.109551875974006</v>
      </c>
      <c r="AM6927">
        <v>99.423245820735005</v>
      </c>
      <c r="AN6927">
        <v>1.0000000100645601</v>
      </c>
    </row>
    <row r="6928" spans="1:40" x14ac:dyDescent="0.25">
      <c r="A6928" t="str">
        <f>"20190304164259098"</f>
        <v>20190304164259098</v>
      </c>
      <c r="B6928" t="str">
        <f>"1551688979088485"</f>
        <v>1551688979088485</v>
      </c>
      <c r="C6928" t="s">
        <v>40</v>
      </c>
      <c r="D6928">
        <v>4.8134169999999896</v>
      </c>
      <c r="E6928">
        <v>0.54300459999999995</v>
      </c>
      <c r="F6928" t="s">
        <v>41</v>
      </c>
      <c r="G6928">
        <v>-248.97130000000001</v>
      </c>
      <c r="H6928">
        <v>1.0010349999999999</v>
      </c>
      <c r="I6928">
        <v>-62.91245</v>
      </c>
      <c r="J6928">
        <v>-249.74</v>
      </c>
      <c r="K6928">
        <v>1.113877</v>
      </c>
      <c r="L6928">
        <v>-62.978270000000002</v>
      </c>
      <c r="M6928">
        <v>0.99993319999999997</v>
      </c>
      <c r="N6928">
        <v>-1.138291E-2</v>
      </c>
      <c r="O6928">
        <v>-2.018148E-3</v>
      </c>
      <c r="P6928">
        <v>0.9202553</v>
      </c>
      <c r="Q6928">
        <v>0.36344179999999998</v>
      </c>
      <c r="R6928">
        <v>0.1450525</v>
      </c>
      <c r="S6928">
        <v>3.3815919999999999</v>
      </c>
      <c r="T6928">
        <v>-0.39953610000000001</v>
      </c>
      <c r="U6928">
        <v>0.23522950000000001</v>
      </c>
      <c r="V6928">
        <v>-0.15031729999999999</v>
      </c>
      <c r="W6928">
        <v>0.37253350000000002</v>
      </c>
      <c r="X6928">
        <v>0.91576389999999996</v>
      </c>
      <c r="Y6928">
        <v>-7.0857660000000003E-2</v>
      </c>
      <c r="Z6928">
        <v>4.7862130000000001E-3</v>
      </c>
      <c r="AA6928">
        <v>0.997475</v>
      </c>
      <c r="AB6928">
        <v>38</v>
      </c>
      <c r="AC6928">
        <v>0.76869999999999505</v>
      </c>
      <c r="AD6928">
        <v>-0.112841999999999</v>
      </c>
      <c r="AE6928">
        <v>6.5819999999995105E-2</v>
      </c>
      <c r="AF6928">
        <v>-6.5960281716815297E-2</v>
      </c>
      <c r="AG6928">
        <v>-0.112841999999999</v>
      </c>
      <c r="AH6928">
        <v>0.75246863702397104</v>
      </c>
      <c r="AI6928">
        <v>98.496555373141604</v>
      </c>
      <c r="AJ6928">
        <v>95.009657586293301</v>
      </c>
      <c r="AK6928">
        <v>0.76373629312274705</v>
      </c>
      <c r="AL6928">
        <v>68.128050343978003</v>
      </c>
      <c r="AM6928">
        <v>99.321642383879094</v>
      </c>
      <c r="AN6928">
        <v>1.00000000992237</v>
      </c>
    </row>
    <row r="6929" spans="1:40" x14ac:dyDescent="0.25">
      <c r="A6929" t="str">
        <f>"20190304164259110"</f>
        <v>20190304164259110</v>
      </c>
      <c r="B6929" t="str">
        <f>"1551688979098244"</f>
        <v>1551688979098244</v>
      </c>
      <c r="C6929" t="s">
        <v>40</v>
      </c>
      <c r="D6929">
        <v>4.7232479999999999</v>
      </c>
      <c r="E6929">
        <v>0.5434428</v>
      </c>
      <c r="F6929" t="s">
        <v>66</v>
      </c>
      <c r="G6929">
        <v>-239.9873</v>
      </c>
      <c r="H6929" s="1">
        <v>-3.613701E-6</v>
      </c>
      <c r="I6929">
        <v>-62.305630000000001</v>
      </c>
      <c r="J6929">
        <v>-249.54320000000001</v>
      </c>
      <c r="K6929">
        <v>1.1136900000000001</v>
      </c>
      <c r="L6929">
        <v>-62.977539999999998</v>
      </c>
      <c r="M6929">
        <v>0.99993370000000004</v>
      </c>
      <c r="N6929">
        <v>-1.149409E-2</v>
      </c>
      <c r="O6929">
        <v>-6.1619650000000002E-4</v>
      </c>
      <c r="P6929">
        <v>0.92058589999999996</v>
      </c>
      <c r="Q6929">
        <v>0.36265409999999998</v>
      </c>
      <c r="R6929">
        <v>0.144927799999999</v>
      </c>
      <c r="S6929">
        <v>3.3755190000000002</v>
      </c>
      <c r="T6929">
        <v>-0.38552649999999999</v>
      </c>
      <c r="U6929">
        <v>0.2327881</v>
      </c>
      <c r="V6929">
        <v>-0.14871379999999901</v>
      </c>
      <c r="W6929">
        <v>0.37193910000000002</v>
      </c>
      <c r="X6929">
        <v>0.91626719999999895</v>
      </c>
      <c r="Y6929">
        <v>-6.8920460000000003E-2</v>
      </c>
      <c r="Z6929">
        <v>4.379422E-3</v>
      </c>
      <c r="AA6929">
        <v>0.99761250000000001</v>
      </c>
      <c r="AB6929">
        <v>38</v>
      </c>
      <c r="AC6929">
        <v>9.5558999999999994</v>
      </c>
      <c r="AD6929">
        <v>-1.1136936137010001</v>
      </c>
      <c r="AE6929">
        <v>0.67190999999999601</v>
      </c>
      <c r="AF6929">
        <v>-0.66875965543455596</v>
      </c>
      <c r="AG6929">
        <v>-1.1136936137010001</v>
      </c>
      <c r="AH6929">
        <v>9.42805506015163</v>
      </c>
      <c r="AI6929">
        <v>96.720143182224206</v>
      </c>
      <c r="AJ6929">
        <v>94.057362297040498</v>
      </c>
      <c r="AK6929">
        <v>9.5171306158519293</v>
      </c>
      <c r="AL6929">
        <v>68.164744400953495</v>
      </c>
      <c r="AM6929">
        <v>99.218942916893795</v>
      </c>
      <c r="AN6929">
        <v>1.00000003510754</v>
      </c>
    </row>
    <row r="6930" spans="1:40" x14ac:dyDescent="0.25">
      <c r="A6930" t="str">
        <f>"20190304164259122"</f>
        <v>20190304164259122</v>
      </c>
      <c r="B6930" t="str">
        <f>"1551688979117763"</f>
        <v>1551688979117763</v>
      </c>
      <c r="C6930" t="s">
        <v>40</v>
      </c>
      <c r="D6930">
        <v>4.6265229999999997</v>
      </c>
      <c r="E6930">
        <v>0.54419280000000003</v>
      </c>
      <c r="F6930" t="s">
        <v>41</v>
      </c>
      <c r="G6930">
        <v>-248.6258</v>
      </c>
      <c r="H6930">
        <v>1.0070790000000001</v>
      </c>
      <c r="I6930">
        <v>-62.915370000000003</v>
      </c>
      <c r="J6930">
        <v>-249.3442</v>
      </c>
      <c r="K6930">
        <v>1.1134949999999999</v>
      </c>
      <c r="L6930">
        <v>-62.976649999999999</v>
      </c>
      <c r="M6930">
        <v>0.9999323</v>
      </c>
      <c r="N6930">
        <v>-1.1609090000000001E-2</v>
      </c>
      <c r="O6930">
        <v>7.2870330000000003E-4</v>
      </c>
      <c r="P6930">
        <v>0.92076650000000004</v>
      </c>
      <c r="Q6930">
        <v>0.36224289999999998</v>
      </c>
      <c r="R6930">
        <v>0.14480770000000001</v>
      </c>
      <c r="S6930">
        <v>3.3774259999999998</v>
      </c>
      <c r="T6930">
        <v>-0.39251730000000001</v>
      </c>
      <c r="U6930">
        <v>0.2287903</v>
      </c>
      <c r="V6930">
        <v>-0.1471586</v>
      </c>
      <c r="W6930">
        <v>0.37172670000000002</v>
      </c>
      <c r="X6930">
        <v>0.91660439999999999</v>
      </c>
      <c r="Y6930">
        <v>-6.6373379999999996E-2</v>
      </c>
      <c r="Z6930">
        <v>4.1508489999999999E-3</v>
      </c>
      <c r="AA6930">
        <v>0.99778619999999996</v>
      </c>
      <c r="AB6930">
        <v>38</v>
      </c>
      <c r="AC6930">
        <v>0.71840000000000204</v>
      </c>
      <c r="AD6930">
        <v>-0.106416</v>
      </c>
      <c r="AE6930">
        <v>6.1280000000003498E-2</v>
      </c>
      <c r="AF6930">
        <v>-5.9461160922662702E-2</v>
      </c>
      <c r="AG6930">
        <v>-0.106416</v>
      </c>
      <c r="AH6930">
        <v>0.70312770912106803</v>
      </c>
      <c r="AI6930">
        <v>98.576054614605198</v>
      </c>
      <c r="AJ6930">
        <v>94.833811485302903</v>
      </c>
      <c r="AK6930">
        <v>0.71361654272313002</v>
      </c>
      <c r="AL6930">
        <v>68.177853399660705</v>
      </c>
      <c r="AM6930">
        <v>99.120864089544497</v>
      </c>
      <c r="AN6930">
        <v>1.0000000095731001</v>
      </c>
    </row>
    <row r="6931" spans="1:40" x14ac:dyDescent="0.25">
      <c r="A6931" t="str">
        <f>"20190304164259132"</f>
        <v>20190304164259132</v>
      </c>
      <c r="B6931" t="str">
        <f>"1551688979127523"</f>
        <v>1551688979127523</v>
      </c>
      <c r="C6931" t="s">
        <v>40</v>
      </c>
      <c r="D6931">
        <v>4.5688559999999896</v>
      </c>
      <c r="E6931">
        <v>0.54401919999999904</v>
      </c>
      <c r="F6931" t="s">
        <v>41</v>
      </c>
      <c r="G6931">
        <v>-248.29949999999999</v>
      </c>
      <c r="H6931">
        <v>0.98998220000000003</v>
      </c>
      <c r="I6931">
        <v>-62.90795</v>
      </c>
      <c r="J6931">
        <v>-249.15450000000001</v>
      </c>
      <c r="K6931">
        <v>1.1132770000000001</v>
      </c>
      <c r="L6931">
        <v>-62.975650000000002</v>
      </c>
      <c r="M6931">
        <v>0.99992970000000003</v>
      </c>
      <c r="N6931">
        <v>-1.173046E-2</v>
      </c>
      <c r="O6931">
        <v>1.7429419999999999E-3</v>
      </c>
      <c r="P6931">
        <v>0.92098250000000004</v>
      </c>
      <c r="Q6931">
        <v>0.36206539999999998</v>
      </c>
      <c r="R6931">
        <v>0.14387529999999901</v>
      </c>
      <c r="S6931">
        <v>3.38028</v>
      </c>
      <c r="T6931">
        <v>-0.39959529999999999</v>
      </c>
      <c r="U6931">
        <v>0.2232971</v>
      </c>
      <c r="V6931">
        <v>-0.1450767</v>
      </c>
      <c r="W6931">
        <v>0.37176389999999998</v>
      </c>
      <c r="X6931">
        <v>0.91692110000000004</v>
      </c>
      <c r="Y6931">
        <v>-6.3699660000000005E-2</v>
      </c>
      <c r="Z6931">
        <v>3.9386940000000004E-3</v>
      </c>
      <c r="AA6931">
        <v>0.99796130000000005</v>
      </c>
      <c r="AB6931">
        <v>38</v>
      </c>
      <c r="AC6931">
        <v>0.85500000000001797</v>
      </c>
      <c r="AD6931">
        <v>-0.1232948</v>
      </c>
      <c r="AE6931">
        <v>6.7700000000001995E-2</v>
      </c>
      <c r="AF6931">
        <v>-6.4869037441397506E-2</v>
      </c>
      <c r="AG6931">
        <v>-0.1232948</v>
      </c>
      <c r="AH6931">
        <v>0.83780320436507205</v>
      </c>
      <c r="AI6931">
        <v>98.347176865279707</v>
      </c>
      <c r="AJ6931">
        <v>94.427437578262101</v>
      </c>
      <c r="AK6931">
        <v>0.84930784110945101</v>
      </c>
      <c r="AL6931">
        <v>68.175556662455804</v>
      </c>
      <c r="AM6931">
        <v>98.990896597094704</v>
      </c>
      <c r="AN6931">
        <v>0.99999997492565396</v>
      </c>
    </row>
    <row r="6932" spans="1:40" x14ac:dyDescent="0.25">
      <c r="A6932" t="str">
        <f>"20190304164259145"</f>
        <v>20190304164259145</v>
      </c>
      <c r="B6932" t="str">
        <f>"1551688979138260"</f>
        <v>1551688979138260</v>
      </c>
      <c r="C6932" t="s">
        <v>40</v>
      </c>
      <c r="D6932">
        <v>5.214791</v>
      </c>
      <c r="E6932">
        <v>0.54395469999999901</v>
      </c>
      <c r="F6932" t="s">
        <v>41</v>
      </c>
      <c r="G6932">
        <v>-248.28129999999999</v>
      </c>
      <c r="H6932">
        <v>1.012364</v>
      </c>
      <c r="I6932">
        <v>-62.918729999999996</v>
      </c>
      <c r="J6932">
        <v>-248.95410000000001</v>
      </c>
      <c r="K6932">
        <v>1.1130420000000001</v>
      </c>
      <c r="L6932">
        <v>-62.974550000000001</v>
      </c>
      <c r="M6932">
        <v>0.99992599999999998</v>
      </c>
      <c r="N6932">
        <v>-1.1861689999999999E-2</v>
      </c>
      <c r="O6932">
        <v>2.7454799999999998E-3</v>
      </c>
      <c r="P6932">
        <v>0.9211473</v>
      </c>
      <c r="Q6932">
        <v>0.36189379999999999</v>
      </c>
      <c r="R6932">
        <v>0.1432504</v>
      </c>
      <c r="S6932">
        <v>3.3761899999999998</v>
      </c>
      <c r="T6932">
        <v>-0.39004169999999999</v>
      </c>
      <c r="U6932">
        <v>0.22119140000000001</v>
      </c>
      <c r="V6932">
        <v>-0.14329720000000001</v>
      </c>
      <c r="W6932">
        <v>0.37181649999999999</v>
      </c>
      <c r="X6932">
        <v>0.91717959999999998</v>
      </c>
      <c r="Y6932">
        <v>-6.2194920000000001E-2</v>
      </c>
      <c r="Z6932">
        <v>3.6641709999999999E-3</v>
      </c>
      <c r="AA6932">
        <v>0.99805730000000004</v>
      </c>
      <c r="AB6932">
        <v>38</v>
      </c>
      <c r="AC6932">
        <v>0.67280000000002305</v>
      </c>
      <c r="AD6932">
        <v>-0.100678</v>
      </c>
      <c r="AE6932">
        <v>5.5819999999996997E-2</v>
      </c>
      <c r="AF6932">
        <v>-5.2798311885730302E-2</v>
      </c>
      <c r="AG6932">
        <v>-0.100678</v>
      </c>
      <c r="AH6932">
        <v>0.65831046902174195</v>
      </c>
      <c r="AI6932">
        <v>98.667688582047006</v>
      </c>
      <c r="AJ6932">
        <v>94.5854640845278</v>
      </c>
      <c r="AK6932">
        <v>0.66805418571071595</v>
      </c>
      <c r="AL6932">
        <v>68.1723109438893</v>
      </c>
      <c r="AM6932">
        <v>98.879920519778196</v>
      </c>
      <c r="AN6932">
        <v>1.0000000079281199</v>
      </c>
    </row>
    <row r="6933" spans="1:40" x14ac:dyDescent="0.25">
      <c r="A6933" t="str">
        <f>"20190304164259154"</f>
        <v>20190304164259154</v>
      </c>
      <c r="B6933" t="str">
        <f>"1551688979148019"</f>
        <v>1551688979148019</v>
      </c>
      <c r="C6933" t="s">
        <v>40</v>
      </c>
      <c r="D6933">
        <v>4.6702139999999996</v>
      </c>
      <c r="E6933">
        <v>0.54390879999999997</v>
      </c>
      <c r="F6933" t="s">
        <v>41</v>
      </c>
      <c r="G6933">
        <v>-247.95310000000001</v>
      </c>
      <c r="H6933">
        <v>0.99929319999999999</v>
      </c>
      <c r="I6933">
        <v>-62.909759999999999</v>
      </c>
      <c r="J6933">
        <v>-248.77440000000001</v>
      </c>
      <c r="K6933">
        <v>1.1128229999999999</v>
      </c>
      <c r="L6933">
        <v>-62.97345</v>
      </c>
      <c r="M6933">
        <v>0.99992230000000004</v>
      </c>
      <c r="N6933">
        <v>-1.198576E-2</v>
      </c>
      <c r="O6933">
        <v>3.4647530000000001E-3</v>
      </c>
      <c r="P6933">
        <v>0.92113049999999996</v>
      </c>
      <c r="Q6933">
        <v>0.36215789999999998</v>
      </c>
      <c r="R6933">
        <v>0.1426914</v>
      </c>
      <c r="S6933">
        <v>3.3733059999999999</v>
      </c>
      <c r="T6933">
        <v>-0.38325150000000002</v>
      </c>
      <c r="U6933">
        <v>0.21905520000000001</v>
      </c>
      <c r="V6933">
        <v>-0.14186309999999999</v>
      </c>
      <c r="W6933">
        <v>0.3722857</v>
      </c>
      <c r="X6933">
        <v>0.91721220000000003</v>
      </c>
      <c r="Y6933">
        <v>-6.0929089999999998E-2</v>
      </c>
      <c r="Z6933">
        <v>3.4627149999999999E-3</v>
      </c>
      <c r="AA6933">
        <v>0.99813609999999997</v>
      </c>
      <c r="AB6933">
        <v>38</v>
      </c>
      <c r="AC6933">
        <v>0.82130000000000702</v>
      </c>
      <c r="AD6933">
        <v>-0.1135298</v>
      </c>
      <c r="AE6933">
        <v>6.3690000000001107E-2</v>
      </c>
      <c r="AF6933">
        <v>-5.97096969977855E-2</v>
      </c>
      <c r="AG6933">
        <v>-0.1135298</v>
      </c>
      <c r="AH6933">
        <v>0.80620288643287996</v>
      </c>
      <c r="AI6933">
        <v>97.994095288075499</v>
      </c>
      <c r="AJ6933">
        <v>94.235756173577997</v>
      </c>
      <c r="AK6933">
        <v>0.81634389658789897</v>
      </c>
      <c r="AL6933">
        <v>68.143348457987102</v>
      </c>
      <c r="AM6933">
        <v>98.792139268896506</v>
      </c>
      <c r="AN6933">
        <v>1.0000000006974701</v>
      </c>
    </row>
    <row r="6934" spans="1:40" x14ac:dyDescent="0.25">
      <c r="A6934" t="str">
        <f>"20190304164259167"</f>
        <v>20190304164259167</v>
      </c>
      <c r="B6934" t="str">
        <f>"1551688979157780"</f>
        <v>1551688979157780</v>
      </c>
      <c r="C6934" t="s">
        <v>40</v>
      </c>
      <c r="D6934">
        <v>4.6171959999999999</v>
      </c>
      <c r="E6934">
        <v>0.5438849</v>
      </c>
      <c r="F6934" t="s">
        <v>66</v>
      </c>
      <c r="G6934">
        <v>-238.80789999999999</v>
      </c>
      <c r="H6934" s="1">
        <v>-3.2170689999999999E-6</v>
      </c>
      <c r="I6934">
        <v>-62.3322</v>
      </c>
      <c r="J6934">
        <v>-248.58</v>
      </c>
      <c r="K6934">
        <v>1.1125879999999999</v>
      </c>
      <c r="L6934">
        <v>-62.972259999999999</v>
      </c>
      <c r="M6934">
        <v>0.99991799999999997</v>
      </c>
      <c r="N6934">
        <v>-1.212368E-2</v>
      </c>
      <c r="O6934">
        <v>4.1285549999999999E-3</v>
      </c>
      <c r="P6934">
        <v>0.92119200000000001</v>
      </c>
      <c r="Q6934">
        <v>0.36234549999999999</v>
      </c>
      <c r="R6934">
        <v>0.14181429999999901</v>
      </c>
      <c r="S6934">
        <v>3.3712770000000001</v>
      </c>
      <c r="T6934">
        <v>-0.37642569999999997</v>
      </c>
      <c r="U6934">
        <v>0.21688840000000001</v>
      </c>
      <c r="V6934">
        <v>-0.14014119999999999</v>
      </c>
      <c r="W6934">
        <v>0.37269950000000002</v>
      </c>
      <c r="X6934">
        <v>0.91730889999999998</v>
      </c>
      <c r="Y6934">
        <v>-5.9691000000000001E-2</v>
      </c>
      <c r="Z6934">
        <v>3.272994E-3</v>
      </c>
      <c r="AA6934">
        <v>0.99821159999999998</v>
      </c>
      <c r="AB6934">
        <v>38</v>
      </c>
      <c r="AC6934">
        <v>9.7721000000000195</v>
      </c>
      <c r="AD6934">
        <v>-1.112591217069</v>
      </c>
      <c r="AE6934">
        <v>0.64005999999999796</v>
      </c>
      <c r="AF6934">
        <v>-0.59206495205439502</v>
      </c>
      <c r="AG6934">
        <v>-1.112591217069</v>
      </c>
      <c r="AH6934">
        <v>9.6501024052511202</v>
      </c>
      <c r="AI6934">
        <v>96.564540342501004</v>
      </c>
      <c r="AJ6934">
        <v>93.510880309145094</v>
      </c>
      <c r="AK6934">
        <v>9.7320540768937196</v>
      </c>
      <c r="AL6934">
        <v>68.117801975219706</v>
      </c>
      <c r="AM6934">
        <v>98.686158333183897</v>
      </c>
      <c r="AN6934">
        <v>1.0000000456284399</v>
      </c>
    </row>
    <row r="6935" spans="1:40" x14ac:dyDescent="0.25">
      <c r="A6935" t="str">
        <f>"20190304164259177"</f>
        <v>20190304164259177</v>
      </c>
      <c r="B6935" t="str">
        <f>"1551688979167540"</f>
        <v>1551688979167540</v>
      </c>
      <c r="C6935" t="s">
        <v>40</v>
      </c>
      <c r="D6935">
        <v>4.6443440000000002</v>
      </c>
      <c r="E6935">
        <v>0.54384739999999998</v>
      </c>
      <c r="F6935" t="s">
        <v>41</v>
      </c>
      <c r="G6935">
        <v>-247.60830000000001</v>
      </c>
      <c r="H6935">
        <v>1.0060199999999999</v>
      </c>
      <c r="I6935">
        <v>-62.911239999999999</v>
      </c>
      <c r="J6935">
        <v>-248.3887</v>
      </c>
      <c r="K6935">
        <v>1.1123590000000001</v>
      </c>
      <c r="L6935">
        <v>-62.971069999999997</v>
      </c>
      <c r="M6935">
        <v>0.99991410000000003</v>
      </c>
      <c r="N6935">
        <v>-1.226381E-2</v>
      </c>
      <c r="O6935">
        <v>4.6353159999999996E-3</v>
      </c>
      <c r="P6935">
        <v>0.92124490000000003</v>
      </c>
      <c r="Q6935">
        <v>0.36247970000000002</v>
      </c>
      <c r="R6935">
        <v>0.14112549999999999</v>
      </c>
      <c r="S6935">
        <v>3.3693080000000002</v>
      </c>
      <c r="T6935">
        <v>-0.3694421</v>
      </c>
      <c r="U6935">
        <v>0.21218870000000001</v>
      </c>
      <c r="V6935">
        <v>-0.13875399999999999</v>
      </c>
      <c r="W6935">
        <v>0.37305700000000003</v>
      </c>
      <c r="X6935">
        <v>0.91737440000000003</v>
      </c>
      <c r="Y6935">
        <v>-5.7862660000000003E-2</v>
      </c>
      <c r="Z6935">
        <v>3.0664870000000001E-3</v>
      </c>
      <c r="AA6935">
        <v>0.99831990000000004</v>
      </c>
      <c r="AB6935">
        <v>38</v>
      </c>
      <c r="AC6935">
        <v>0.78039999999998599</v>
      </c>
      <c r="AD6935">
        <v>-0.106338999999999</v>
      </c>
      <c r="AE6935">
        <v>5.9829999999998003E-2</v>
      </c>
      <c r="AF6935">
        <v>-5.5192885515847202E-2</v>
      </c>
      <c r="AG6935">
        <v>-0.106338999999999</v>
      </c>
      <c r="AH6935">
        <v>0.766519864529567</v>
      </c>
      <c r="AI6935">
        <v>97.878070041746696</v>
      </c>
      <c r="AJ6935">
        <v>94.118446646204504</v>
      </c>
      <c r="AK6935">
        <v>0.77582661739011705</v>
      </c>
      <c r="AL6935">
        <v>68.095725475379396</v>
      </c>
      <c r="AM6935">
        <v>98.600864982133103</v>
      </c>
      <c r="AN6935">
        <v>0.99999999377018001</v>
      </c>
    </row>
    <row r="6936" spans="1:40" x14ac:dyDescent="0.25">
      <c r="A6936" t="str">
        <f>"20190304164259189"</f>
        <v>20190304164259189</v>
      </c>
      <c r="B6936" t="str">
        <f>"1551688979178277"</f>
        <v>1551688979178277</v>
      </c>
      <c r="C6936" t="s">
        <v>40</v>
      </c>
      <c r="D6936">
        <v>4.6164509999999996</v>
      </c>
      <c r="E6936">
        <v>0.54378210000000005</v>
      </c>
      <c r="F6936" t="s">
        <v>66</v>
      </c>
      <c r="G6936">
        <v>-238.10239999999999</v>
      </c>
      <c r="H6936" s="1">
        <v>-2.9771100000000001E-6</v>
      </c>
      <c r="I6936">
        <v>-62.3328699999999</v>
      </c>
      <c r="J6936">
        <v>-248.21340000000001</v>
      </c>
      <c r="K6936">
        <v>1.112147</v>
      </c>
      <c r="L6936">
        <v>-62.970030000000001</v>
      </c>
      <c r="M6936">
        <v>0.99991099999999999</v>
      </c>
      <c r="N6936">
        <v>-1.239254E-2</v>
      </c>
      <c r="O6936">
        <v>4.9459270000000001E-3</v>
      </c>
      <c r="P6936">
        <v>0.9214215</v>
      </c>
      <c r="Q6936">
        <v>0.36241659999999998</v>
      </c>
      <c r="R6936">
        <v>0.14013139999999999</v>
      </c>
      <c r="S6936">
        <v>3.367737</v>
      </c>
      <c r="T6936">
        <v>-0.36418600000000001</v>
      </c>
      <c r="U6936">
        <v>0.20892330000000001</v>
      </c>
      <c r="V6936">
        <v>-0.13725850000000001</v>
      </c>
      <c r="W6936">
        <v>0.37320029999999998</v>
      </c>
      <c r="X6936">
        <v>0.9175411</v>
      </c>
      <c r="Y6936">
        <v>-5.6635690000000002E-2</v>
      </c>
      <c r="Z6936">
        <v>2.9312050000000001E-3</v>
      </c>
      <c r="AA6936">
        <v>0.99839060000000002</v>
      </c>
      <c r="AB6936">
        <v>38</v>
      </c>
      <c r="AC6936">
        <v>10.111000000000001</v>
      </c>
      <c r="AD6936">
        <v>-1.1121499771100001</v>
      </c>
      <c r="AE6936">
        <v>0.63716000000000805</v>
      </c>
      <c r="AF6936">
        <v>-0.58014881826808296</v>
      </c>
      <c r="AG6936">
        <v>-1.1121499771100001</v>
      </c>
      <c r="AH6936">
        <v>9.9935966742157696</v>
      </c>
      <c r="AI6936">
        <v>96.339518230137003</v>
      </c>
      <c r="AJ6936">
        <v>93.322408842082496</v>
      </c>
      <c r="AK6936">
        <v>10.0720119494478</v>
      </c>
      <c r="AL6936">
        <v>68.086876356553901</v>
      </c>
      <c r="AM6936">
        <v>98.5080052959254</v>
      </c>
      <c r="AN6936">
        <v>1.00000001496577</v>
      </c>
    </row>
    <row r="6937" spans="1:40" x14ac:dyDescent="0.25">
      <c r="A6937" t="str">
        <f>"20190304164259199"</f>
        <v>20190304164259199</v>
      </c>
      <c r="B6937" t="str">
        <f>"1551688979188036"</f>
        <v>1551688979188036</v>
      </c>
      <c r="C6937" t="s">
        <v>40</v>
      </c>
      <c r="D6937">
        <v>4.6127399999999996</v>
      </c>
      <c r="E6937">
        <v>0.54375509999999905</v>
      </c>
      <c r="F6937" t="s">
        <v>41</v>
      </c>
      <c r="G6937">
        <v>-247.26480000000001</v>
      </c>
      <c r="H6937">
        <v>1.0106440000000001</v>
      </c>
      <c r="I6937">
        <v>-62.912480000000002</v>
      </c>
      <c r="J6937">
        <v>-248.0224</v>
      </c>
      <c r="K6937">
        <v>1.11191</v>
      </c>
      <c r="L6937">
        <v>-62.968870000000003</v>
      </c>
      <c r="M6937">
        <v>0.99990809999999997</v>
      </c>
      <c r="N6937">
        <v>-1.253291E-2</v>
      </c>
      <c r="O6937">
        <v>5.1850809999999898E-3</v>
      </c>
      <c r="P6937">
        <v>0.92163919999999999</v>
      </c>
      <c r="Q6937">
        <v>0.36237439999999999</v>
      </c>
      <c r="R6937">
        <v>0.13880229999999999</v>
      </c>
      <c r="S6937">
        <v>3.366333</v>
      </c>
      <c r="T6937">
        <v>-0.36013440000000002</v>
      </c>
      <c r="U6937">
        <v>0.20474239999999999</v>
      </c>
      <c r="V6937">
        <v>-0.13547290000000001</v>
      </c>
      <c r="W6937">
        <v>0.37338209999999999</v>
      </c>
      <c r="X6937">
        <v>0.91773249999999995</v>
      </c>
      <c r="Y6937">
        <v>-5.5203750000000003E-2</v>
      </c>
      <c r="Z6937">
        <v>2.8013159999999999E-3</v>
      </c>
      <c r="AA6937">
        <v>0.9984712</v>
      </c>
      <c r="AB6937">
        <v>38</v>
      </c>
      <c r="AC6937">
        <v>0.75759999999999605</v>
      </c>
      <c r="AD6937">
        <v>-0.101265999999999</v>
      </c>
      <c r="AE6937">
        <v>5.6389999999993203E-2</v>
      </c>
      <c r="AF6937">
        <v>-5.1544847587495002E-2</v>
      </c>
      <c r="AG6937">
        <v>-0.101265999999999</v>
      </c>
      <c r="AH6937">
        <v>0.74465097887657195</v>
      </c>
      <c r="AI6937">
        <v>97.725954010096203</v>
      </c>
      <c r="AJ6937">
        <v>93.959705922406002</v>
      </c>
      <c r="AK6937">
        <v>0.75327070460137802</v>
      </c>
      <c r="AL6937">
        <v>68.075648484722706</v>
      </c>
      <c r="AM6937">
        <v>98.397186641310498</v>
      </c>
      <c r="AN6937">
        <v>1.0000000203955299</v>
      </c>
    </row>
    <row r="6938" spans="1:40" x14ac:dyDescent="0.25">
      <c r="A6938" t="str">
        <f>"20190304164259211"</f>
        <v>20190304164259211</v>
      </c>
      <c r="B6938" t="str">
        <f>"1551688979207556"</f>
        <v>1551688979207556</v>
      </c>
      <c r="C6938" t="s">
        <v>40</v>
      </c>
      <c r="D6938">
        <v>4.6199479999999999</v>
      </c>
      <c r="E6938">
        <v>0.54368570000000005</v>
      </c>
      <c r="F6938" t="s">
        <v>66</v>
      </c>
      <c r="G6938">
        <v>-237.5352</v>
      </c>
      <c r="H6938" s="1">
        <v>-2.7410379999999999E-6</v>
      </c>
      <c r="I6938">
        <v>-62.342910000000003</v>
      </c>
      <c r="J6938">
        <v>-247.8263</v>
      </c>
      <c r="K6938">
        <v>1.1116729999999999</v>
      </c>
      <c r="L6938">
        <v>-62.967739999999999</v>
      </c>
      <c r="M6938">
        <v>0.99990610000000002</v>
      </c>
      <c r="N6938">
        <v>-1.2673759999999999E-2</v>
      </c>
      <c r="O6938">
        <v>5.2124190000000003E-3</v>
      </c>
      <c r="P6938">
        <v>0.92195819999999995</v>
      </c>
      <c r="Q6938">
        <v>0.3621105</v>
      </c>
      <c r="R6938">
        <v>0.1373645</v>
      </c>
      <c r="S6938">
        <v>3.3651119999999999</v>
      </c>
      <c r="T6938">
        <v>-0.35678799999999999</v>
      </c>
      <c r="U6938">
        <v>0.20083619999999999</v>
      </c>
      <c r="V6938">
        <v>-0.13376469999999999</v>
      </c>
      <c r="W6938">
        <v>0.37334450000000002</v>
      </c>
      <c r="X6938">
        <v>0.91799830000000004</v>
      </c>
      <c r="Y6938">
        <v>-5.405575E-2</v>
      </c>
      <c r="Z6938">
        <v>2.7143010000000001E-3</v>
      </c>
      <c r="AA6938">
        <v>0.99853420000000004</v>
      </c>
      <c r="AB6938">
        <v>38</v>
      </c>
      <c r="AC6938">
        <v>10.2911</v>
      </c>
      <c r="AD6938">
        <v>-1.1116757410379901</v>
      </c>
      <c r="AE6938">
        <v>0.62483000000000199</v>
      </c>
      <c r="AF6938">
        <v>-0.564611439038602</v>
      </c>
      <c r="AG6938">
        <v>-1.1116757410379901</v>
      </c>
      <c r="AH6938">
        <v>10.175910997303401</v>
      </c>
      <c r="AI6938">
        <v>96.225100695428296</v>
      </c>
      <c r="AJ6938">
        <v>93.175805717796607</v>
      </c>
      <c r="AK6938">
        <v>10.2520131513447</v>
      </c>
      <c r="AL6938">
        <v>68.077970147410795</v>
      </c>
      <c r="AM6938">
        <v>98.290419122521996</v>
      </c>
      <c r="AN6938">
        <v>0.99999999472461498</v>
      </c>
    </row>
    <row r="6939" spans="1:40" x14ac:dyDescent="0.25">
      <c r="A6939" t="str">
        <f>"20190304164259223"</f>
        <v>20190304164259223</v>
      </c>
      <c r="B6939" t="str">
        <f>"1551688979218291"</f>
        <v>1551688979218291</v>
      </c>
      <c r="C6939" t="s">
        <v>40</v>
      </c>
      <c r="D6939">
        <v>4.5832689999999996</v>
      </c>
      <c r="E6939">
        <v>0.54365169999999996</v>
      </c>
      <c r="F6939" t="s">
        <v>41</v>
      </c>
      <c r="G6939">
        <v>-246.91290000000001</v>
      </c>
      <c r="H6939">
        <v>1.0164139999999999</v>
      </c>
      <c r="I6939">
        <v>-62.914499999999997</v>
      </c>
      <c r="J6939">
        <v>-247.62350000000001</v>
      </c>
      <c r="K6939">
        <v>1.111418</v>
      </c>
      <c r="L6939">
        <v>-62.966669999999901</v>
      </c>
      <c r="M6939">
        <v>0.99990460000000003</v>
      </c>
      <c r="N6939">
        <v>-1.2817830000000001E-2</v>
      </c>
      <c r="O6939">
        <v>5.1589000000000001E-3</v>
      </c>
      <c r="P6939">
        <v>0.92230590000000001</v>
      </c>
      <c r="Q6939">
        <v>0.36192780000000002</v>
      </c>
      <c r="R6939">
        <v>0.13549990000000001</v>
      </c>
      <c r="S6939">
        <v>3.3623810000000001</v>
      </c>
      <c r="T6939">
        <v>-0.35059079999999998</v>
      </c>
      <c r="U6939">
        <v>0.19638059999999999</v>
      </c>
      <c r="V6939">
        <v>-0.13169500000000001</v>
      </c>
      <c r="W6939">
        <v>0.37339359999999999</v>
      </c>
      <c r="X6939">
        <v>0.91827760000000003</v>
      </c>
      <c r="Y6939">
        <v>-5.2855039999999999E-2</v>
      </c>
      <c r="Z6939">
        <v>2.6158000000000002E-3</v>
      </c>
      <c r="AA6939">
        <v>0.99859880000000001</v>
      </c>
      <c r="AB6939">
        <v>38</v>
      </c>
      <c r="AC6939">
        <v>0.71059999999999901</v>
      </c>
      <c r="AD6939">
        <v>-9.5004000000000005E-2</v>
      </c>
      <c r="AE6939">
        <v>5.2169999999996698E-2</v>
      </c>
      <c r="AF6939">
        <v>-4.7655833910850598E-2</v>
      </c>
      <c r="AG6939">
        <v>-9.5004000000000005E-2</v>
      </c>
      <c r="AH6939">
        <v>0.69844234171906505</v>
      </c>
      <c r="AI6939">
        <v>97.728235672551094</v>
      </c>
      <c r="AJ6939">
        <v>93.903332449266301</v>
      </c>
      <c r="AK6939">
        <v>0.70648322218418602</v>
      </c>
      <c r="AL6939">
        <v>68.074938944365698</v>
      </c>
      <c r="AM6939">
        <v>98.161436835215198</v>
      </c>
      <c r="AN6939">
        <v>1.0000000521038499</v>
      </c>
    </row>
    <row r="6940" spans="1:40" x14ac:dyDescent="0.25">
      <c r="A6940" t="str">
        <f>"20190304164259233"</f>
        <v>20190304164259233</v>
      </c>
      <c r="B6940" t="str">
        <f>"1551688979228052"</f>
        <v>1551688979228052</v>
      </c>
      <c r="C6940" t="s">
        <v>40</v>
      </c>
      <c r="D6940">
        <v>4.6205850000000002</v>
      </c>
      <c r="E6940">
        <v>0.54369519999999905</v>
      </c>
      <c r="F6940" t="s">
        <v>41</v>
      </c>
      <c r="G6940">
        <v>-246.58750000000001</v>
      </c>
      <c r="H6940">
        <v>1.0039469999999999</v>
      </c>
      <c r="I6940">
        <v>-62.907670000000003</v>
      </c>
      <c r="J6940">
        <v>-247.4384</v>
      </c>
      <c r="K6940">
        <v>1.1111819999999999</v>
      </c>
      <c r="L6940">
        <v>-62.965850000000003</v>
      </c>
      <c r="M6940">
        <v>0.99990440000000003</v>
      </c>
      <c r="N6940">
        <v>-1.2943110000000001E-2</v>
      </c>
      <c r="O6940">
        <v>4.8907730000000002E-3</v>
      </c>
      <c r="P6940">
        <v>0.92252849999999997</v>
      </c>
      <c r="Q6940">
        <v>0.36195769999999999</v>
      </c>
      <c r="R6940">
        <v>0.1338954</v>
      </c>
      <c r="S6940">
        <v>3.361313</v>
      </c>
      <c r="T6940">
        <v>-0.34859570000000001</v>
      </c>
      <c r="U6940">
        <v>0.1918945</v>
      </c>
      <c r="V6940">
        <v>-0.1301059</v>
      </c>
      <c r="W6940">
        <v>0.37362450000000003</v>
      </c>
      <c r="X6940">
        <v>0.91841010000000001</v>
      </c>
      <c r="Y6940">
        <v>-5.182059E-2</v>
      </c>
      <c r="Z6940">
        <v>2.5720930000000001E-3</v>
      </c>
      <c r="AA6940">
        <v>0.99865309999999896</v>
      </c>
      <c r="AB6940">
        <v>38</v>
      </c>
      <c r="AC6940">
        <v>0.85089999999999499</v>
      </c>
      <c r="AD6940">
        <v>-0.107234999999999</v>
      </c>
      <c r="AE6940">
        <v>5.8180000000007198E-2</v>
      </c>
      <c r="AF6940">
        <v>-5.3176752968268702E-2</v>
      </c>
      <c r="AG6940">
        <v>-0.107234999999999</v>
      </c>
      <c r="AH6940">
        <v>0.83792801276929196</v>
      </c>
      <c r="AI6940">
        <v>97.278380759861193</v>
      </c>
      <c r="AJ6940">
        <v>93.631246406828396</v>
      </c>
      <c r="AK6940">
        <v>0.84643397076484495</v>
      </c>
      <c r="AL6940">
        <v>68.060675096553794</v>
      </c>
      <c r="AM6940">
        <v>98.063111770029096</v>
      </c>
      <c r="AN6940">
        <v>0.99999996199853403</v>
      </c>
    </row>
    <row r="6941" spans="1:40" x14ac:dyDescent="0.25">
      <c r="A6941" t="str">
        <f>"20190304164259244"</f>
        <v>20190304164259244</v>
      </c>
      <c r="B6941" t="str">
        <f>"1551688979237812"</f>
        <v>1551688979237812</v>
      </c>
      <c r="C6941" t="s">
        <v>40</v>
      </c>
      <c r="D6941">
        <v>4.6306900000000004</v>
      </c>
      <c r="E6941">
        <v>0.54384089999999996</v>
      </c>
      <c r="F6941" t="s">
        <v>66</v>
      </c>
      <c r="G6941">
        <v>-236.79470000000001</v>
      </c>
      <c r="H6941" s="1">
        <v>-2.4310859999999999E-6</v>
      </c>
      <c r="I6941">
        <v>-62.371969999999997</v>
      </c>
      <c r="J6941">
        <v>-247.2551</v>
      </c>
      <c r="K6941">
        <v>1.1109500000000001</v>
      </c>
      <c r="L6941">
        <v>-62.965150000000001</v>
      </c>
      <c r="M6941">
        <v>0.99990429999999997</v>
      </c>
      <c r="N6941">
        <v>-1.3064839999999999E-2</v>
      </c>
      <c r="O6941">
        <v>4.5728080000000003E-3</v>
      </c>
      <c r="P6941">
        <v>0.92271009999999998</v>
      </c>
      <c r="Q6941">
        <v>0.36202529999999999</v>
      </c>
      <c r="R6941">
        <v>0.13245399999999999</v>
      </c>
      <c r="S6941">
        <v>3.3624109999999998</v>
      </c>
      <c r="T6941">
        <v>-0.35102860000000002</v>
      </c>
      <c r="U6941">
        <v>0.1875916</v>
      </c>
      <c r="V6941">
        <v>-0.1287296</v>
      </c>
      <c r="W6941">
        <v>0.3738863</v>
      </c>
      <c r="X6941">
        <v>0.91849749999999997</v>
      </c>
      <c r="Y6941">
        <v>-5.0846219999999998E-2</v>
      </c>
      <c r="Z6941">
        <v>2.5621630000000001E-3</v>
      </c>
      <c r="AA6941">
        <v>0.99870320000000001</v>
      </c>
      <c r="AB6941">
        <v>38</v>
      </c>
      <c r="AC6941">
        <v>10.4603999999999</v>
      </c>
      <c r="AD6941">
        <v>-1.1109524310859999</v>
      </c>
      <c r="AE6941">
        <v>0.59318000000000304</v>
      </c>
      <c r="AF6941">
        <v>-0.53927302315421</v>
      </c>
      <c r="AG6941">
        <v>-1.1109524310859999</v>
      </c>
      <c r="AH6941">
        <v>10.3466709518008</v>
      </c>
      <c r="AI6941">
        <v>96.120291951104207</v>
      </c>
      <c r="AJ6941">
        <v>92.983581412517395</v>
      </c>
      <c r="AK6941">
        <v>10.420107028359901</v>
      </c>
      <c r="AL6941">
        <v>68.044503128378196</v>
      </c>
      <c r="AM6941">
        <v>97.978172461689098</v>
      </c>
      <c r="AN6941">
        <v>0.99999996637504895</v>
      </c>
    </row>
    <row r="6942" spans="1:40" x14ac:dyDescent="0.25">
      <c r="A6942" t="str">
        <f>"20190304164259255"</f>
        <v>20190304164259255</v>
      </c>
      <c r="B6942" t="str">
        <f>"1551688979247572"</f>
        <v>1551688979247572</v>
      </c>
      <c r="C6942" t="s">
        <v>40</v>
      </c>
      <c r="D6942">
        <v>4.8628159999999996</v>
      </c>
      <c r="E6942">
        <v>0.54384089999999996</v>
      </c>
      <c r="F6942" t="s">
        <v>41</v>
      </c>
      <c r="G6942">
        <v>-246.24709999999999</v>
      </c>
      <c r="H6942">
        <v>1.0051969999999999</v>
      </c>
      <c r="I6942">
        <v>-62.910989999999998</v>
      </c>
      <c r="J6942">
        <v>-247.06970000000001</v>
      </c>
      <c r="K6942">
        <v>1.110722</v>
      </c>
      <c r="L6942">
        <v>-62.964599999999997</v>
      </c>
      <c r="M6942">
        <v>0.99990480000000004</v>
      </c>
      <c r="N6942">
        <v>-1.318134E-2</v>
      </c>
      <c r="O6942">
        <v>4.0983259999999898E-3</v>
      </c>
      <c r="P6942">
        <v>0.9227322</v>
      </c>
      <c r="Q6942">
        <v>0.36240080000000002</v>
      </c>
      <c r="R6942">
        <v>0.13126640000000001</v>
      </c>
      <c r="S6942">
        <v>3.3635559999999902</v>
      </c>
      <c r="T6942">
        <v>-0.35265869999999999</v>
      </c>
      <c r="U6942">
        <v>0.18185419999999999</v>
      </c>
      <c r="V6942">
        <v>-0.12775590000000001</v>
      </c>
      <c r="W6942">
        <v>0.37444620000000001</v>
      </c>
      <c r="X6942">
        <v>0.91840540000000004</v>
      </c>
      <c r="Y6942">
        <v>-4.9605730000000001E-2</v>
      </c>
      <c r="Z6942">
        <v>2.5453709999999998E-3</v>
      </c>
      <c r="AA6942">
        <v>0.99876560000000003</v>
      </c>
      <c r="AB6942">
        <v>38</v>
      </c>
      <c r="AC6942">
        <v>0.82260000000002198</v>
      </c>
      <c r="AD6942">
        <v>-0.10552499999999999</v>
      </c>
      <c r="AE6942">
        <v>5.36099999999919E-2</v>
      </c>
      <c r="AF6942">
        <v>-4.9428009992406603E-2</v>
      </c>
      <c r="AG6942">
        <v>-0.10552499999999999</v>
      </c>
      <c r="AH6942">
        <v>0.80954698272662795</v>
      </c>
      <c r="AI6942">
        <v>97.413019215312403</v>
      </c>
      <c r="AJ6942">
        <v>93.493935660750495</v>
      </c>
      <c r="AK6942">
        <v>0.81789056177375996</v>
      </c>
      <c r="AL6942">
        <v>68.009911306039598</v>
      </c>
      <c r="AM6942">
        <v>97.9193786170365</v>
      </c>
      <c r="AN6942">
        <v>1.0000000027142</v>
      </c>
    </row>
    <row r="6943" spans="1:40" x14ac:dyDescent="0.25">
      <c r="A6943" t="str">
        <f>"20190304164259267"</f>
        <v>20190304164259267</v>
      </c>
      <c r="B6943" t="str">
        <f>"1551688979258309"</f>
        <v>1551688979258309</v>
      </c>
      <c r="C6943" t="s">
        <v>40</v>
      </c>
      <c r="D6943">
        <v>4.7958920000000003</v>
      </c>
      <c r="E6943">
        <v>0.56618040000000003</v>
      </c>
      <c r="F6943" t="s">
        <v>66</v>
      </c>
      <c r="G6943">
        <v>-236.4348</v>
      </c>
      <c r="H6943" s="1">
        <v>-2.2848480000000002E-6</v>
      </c>
      <c r="I6943">
        <v>-62.402639999999998</v>
      </c>
      <c r="J6943">
        <v>-246.8817</v>
      </c>
      <c r="K6943">
        <v>1.1104959999999999</v>
      </c>
      <c r="L6943">
        <v>-62.964170000000003</v>
      </c>
      <c r="M6943">
        <v>0.99990540000000006</v>
      </c>
      <c r="N6943">
        <v>-1.329495E-2</v>
      </c>
      <c r="O6943">
        <v>3.5391889999999999E-3</v>
      </c>
      <c r="P6943">
        <v>0.9226143</v>
      </c>
      <c r="Q6943">
        <v>0.36313640000000003</v>
      </c>
      <c r="R6943">
        <v>0.13005659999999999</v>
      </c>
      <c r="S6943">
        <v>3.363937</v>
      </c>
      <c r="T6943">
        <v>-0.35133409999999998</v>
      </c>
      <c r="U6943">
        <v>0.17773439999999999</v>
      </c>
      <c r="V6943">
        <v>-0.12683989999999901</v>
      </c>
      <c r="W6943">
        <v>0.37535940000000001</v>
      </c>
      <c r="X6943">
        <v>0.91815950000000002</v>
      </c>
      <c r="Y6943">
        <v>-4.8941829999999999E-2</v>
      </c>
      <c r="Z6943">
        <v>2.5521960000000001E-3</v>
      </c>
      <c r="AA6943">
        <v>0.99879839999999998</v>
      </c>
      <c r="AB6943">
        <v>38</v>
      </c>
      <c r="AC6943">
        <v>10.446899999999999</v>
      </c>
      <c r="AD6943">
        <v>-1.1104982848479901</v>
      </c>
      <c r="AE6943">
        <v>0.56152999999998998</v>
      </c>
      <c r="AF6943">
        <v>-0.51870541300643302</v>
      </c>
      <c r="AG6943">
        <v>-1.1104982848479901</v>
      </c>
      <c r="AH6943">
        <v>10.332406953255299</v>
      </c>
      <c r="AI6943">
        <v>96.126785778588598</v>
      </c>
      <c r="AJ6943">
        <v>92.873938485006306</v>
      </c>
      <c r="AK6943">
        <v>10.4048495997689</v>
      </c>
      <c r="AL6943">
        <v>67.953471230516001</v>
      </c>
      <c r="AM6943">
        <v>97.865389680974999</v>
      </c>
      <c r="AN6943">
        <v>0.99999995342030801</v>
      </c>
    </row>
    <row r="6944" spans="1:40" x14ac:dyDescent="0.25">
      <c r="A6944" t="str">
        <f>"20190304164259276"</f>
        <v>20190304164259276</v>
      </c>
      <c r="B6944" t="str">
        <f>"1551688979268068"</f>
        <v>1551688979268068</v>
      </c>
      <c r="C6944" t="s">
        <v>40</v>
      </c>
      <c r="D6944">
        <v>4.6817440000000001</v>
      </c>
      <c r="E6944">
        <v>0.569967</v>
      </c>
      <c r="F6944" t="s">
        <v>41</v>
      </c>
      <c r="G6944">
        <v>-245.9152</v>
      </c>
      <c r="H6944">
        <v>0.99484070000000002</v>
      </c>
      <c r="I6944">
        <v>-62.96349</v>
      </c>
      <c r="J6944">
        <v>-246.6951</v>
      </c>
      <c r="K6944">
        <v>1.1102749999999999</v>
      </c>
      <c r="L6944">
        <v>-62.96396</v>
      </c>
      <c r="M6944">
        <v>0.99990610000000002</v>
      </c>
      <c r="N6944">
        <v>-1.34019E-2</v>
      </c>
      <c r="O6944">
        <v>2.8802319999999999E-3</v>
      </c>
      <c r="P6944">
        <v>0.9225042</v>
      </c>
      <c r="Q6944">
        <v>0.36376839999999999</v>
      </c>
      <c r="R6944">
        <v>0.1290684</v>
      </c>
      <c r="S6944">
        <v>3.4119419999999998</v>
      </c>
      <c r="T6944">
        <v>-0.40823510000000002</v>
      </c>
      <c r="U6944">
        <v>2.5939940000000001E-3</v>
      </c>
      <c r="V6944">
        <v>-0.12624540000000001</v>
      </c>
      <c r="W6944">
        <v>0.37615929999999997</v>
      </c>
      <c r="X6944">
        <v>0.91791409999999996</v>
      </c>
      <c r="Y6944">
        <v>2.0874579999999999E-3</v>
      </c>
      <c r="Z6944">
        <v>-4.4339210000000001E-4</v>
      </c>
      <c r="AA6944">
        <v>0.99999769999999999</v>
      </c>
      <c r="AB6944">
        <v>38</v>
      </c>
      <c r="AC6944">
        <v>0.77989999999999704</v>
      </c>
      <c r="AD6944">
        <v>-0.1154343</v>
      </c>
      <c r="AE6944">
        <v>4.6999999999997001E-4</v>
      </c>
      <c r="AF6944">
        <v>1.7384123391043899E-3</v>
      </c>
      <c r="AG6944">
        <v>-0.1154343</v>
      </c>
      <c r="AH6944">
        <v>0.76317881957605205</v>
      </c>
      <c r="AI6944">
        <v>98.601031639407097</v>
      </c>
      <c r="AJ6944">
        <v>89.869488624080205</v>
      </c>
      <c r="AK6944">
        <v>0.77186139321995295</v>
      </c>
      <c r="AL6944">
        <v>67.904017384880504</v>
      </c>
      <c r="AM6944">
        <v>97.8310498044751</v>
      </c>
      <c r="AN6944">
        <v>1.00000000748822</v>
      </c>
    </row>
    <row r="6945" spans="1:40" x14ac:dyDescent="0.25">
      <c r="A6945" t="str">
        <f>"20190304164259289"</f>
        <v>20190304164259289</v>
      </c>
      <c r="B6945" t="str">
        <f>"1551688979277828"</f>
        <v>1551688979277828</v>
      </c>
      <c r="C6945" t="s">
        <v>40</v>
      </c>
      <c r="D6945">
        <v>4.6764789999999996</v>
      </c>
      <c r="E6945">
        <v>0.57204119999999903</v>
      </c>
      <c r="F6945" t="s">
        <v>41</v>
      </c>
      <c r="G6945">
        <v>-245.90559999999999</v>
      </c>
      <c r="H6945">
        <v>1.0148410000000001</v>
      </c>
      <c r="I6945">
        <v>-62.9709199999999</v>
      </c>
      <c r="J6945">
        <v>-246.50550000000001</v>
      </c>
      <c r="K6945">
        <v>1.1100559999999999</v>
      </c>
      <c r="L6945">
        <v>-62.96396</v>
      </c>
      <c r="M6945">
        <v>0.99990650000000003</v>
      </c>
      <c r="N6945">
        <v>-1.350405E-2</v>
      </c>
      <c r="O6945">
        <v>2.110036E-3</v>
      </c>
      <c r="P6945">
        <v>0.92235199999999995</v>
      </c>
      <c r="Q6945">
        <v>0.3646317</v>
      </c>
      <c r="R6945">
        <v>0.12771250000000001</v>
      </c>
      <c r="S6945">
        <v>3.4191590000000001</v>
      </c>
      <c r="T6945">
        <v>-0.41323029999999999</v>
      </c>
      <c r="U6945">
        <v>-2.990723E-2</v>
      </c>
      <c r="V6945">
        <v>-0.12539020000000001</v>
      </c>
      <c r="W6945">
        <v>0.37718269999999998</v>
      </c>
      <c r="X6945">
        <v>0.91761130000000002</v>
      </c>
      <c r="Y6945">
        <v>1.0757549999999999E-2</v>
      </c>
      <c r="Z6945">
        <v>-9.4630940000000002E-4</v>
      </c>
      <c r="AA6945">
        <v>0.99994170000000004</v>
      </c>
      <c r="AB6945">
        <v>38</v>
      </c>
      <c r="AC6945">
        <v>0.59990000000001897</v>
      </c>
      <c r="AD6945">
        <v>-9.5214999999999994E-2</v>
      </c>
      <c r="AE6945">
        <v>-6.9599999999922996E-3</v>
      </c>
      <c r="AF6945">
        <v>8.0238065950393803E-3</v>
      </c>
      <c r="AG6945">
        <v>-9.5214999999999994E-2</v>
      </c>
      <c r="AH6945">
        <v>0.58514530722156899</v>
      </c>
      <c r="AI6945">
        <v>99.241327638123195</v>
      </c>
      <c r="AJ6945">
        <v>89.214380707964594</v>
      </c>
      <c r="AK6945">
        <v>0.59289569762370398</v>
      </c>
      <c r="AL6945">
        <v>67.840718453316697</v>
      </c>
      <c r="AM6945">
        <v>97.781188459236802</v>
      </c>
      <c r="AN6945">
        <v>0.99999999466150902</v>
      </c>
    </row>
    <row r="6946" spans="1:40" x14ac:dyDescent="0.25">
      <c r="A6946" t="str">
        <f>"20190304164259300"</f>
        <v>20190304164259300</v>
      </c>
      <c r="B6946" t="str">
        <f>"1551688979287588"</f>
        <v>1551688979287588</v>
      </c>
      <c r="C6946" t="s">
        <v>40</v>
      </c>
      <c r="D6946">
        <v>4.6601350000000004</v>
      </c>
      <c r="E6946">
        <v>0.57354269999999996</v>
      </c>
      <c r="F6946" t="s">
        <v>41</v>
      </c>
      <c r="G6946">
        <v>-245.57470000000001</v>
      </c>
      <c r="H6946">
        <v>0.99711289999999997</v>
      </c>
      <c r="I6946">
        <v>-62.97766</v>
      </c>
      <c r="J6946">
        <v>-246.3152</v>
      </c>
      <c r="K6946">
        <v>1.1098429999999999</v>
      </c>
      <c r="L6946">
        <v>-62.964109999999998</v>
      </c>
      <c r="M6946">
        <v>0.99990679999999998</v>
      </c>
      <c r="N6946">
        <v>-1.360228E-2</v>
      </c>
      <c r="O6946">
        <v>1.274552E-3</v>
      </c>
      <c r="P6946">
        <v>0.92237080000000005</v>
      </c>
      <c r="Q6946">
        <v>0.36500050000000001</v>
      </c>
      <c r="R6946">
        <v>0.12651879999999999</v>
      </c>
      <c r="S6946">
        <v>3.4236599999999999</v>
      </c>
      <c r="T6946">
        <v>-0.41536610000000002</v>
      </c>
      <c r="U6946">
        <v>-4.995728E-2</v>
      </c>
      <c r="V6946">
        <v>-0.12476230000000001</v>
      </c>
      <c r="W6946">
        <v>0.37770769999999998</v>
      </c>
      <c r="X6946">
        <v>0.91748090000000004</v>
      </c>
      <c r="Y6946">
        <v>1.572904E-2</v>
      </c>
      <c r="Z6946">
        <v>-1.194804E-3</v>
      </c>
      <c r="AA6946">
        <v>0.99987559999999998</v>
      </c>
      <c r="AB6946">
        <v>38</v>
      </c>
      <c r="AC6946">
        <v>0.74049999999999705</v>
      </c>
      <c r="AD6946">
        <v>-0.1127301</v>
      </c>
      <c r="AE6946">
        <v>-1.35500000000021E-2</v>
      </c>
      <c r="AF6946">
        <v>1.41656943773393E-2</v>
      </c>
      <c r="AG6946">
        <v>-0.1127301</v>
      </c>
      <c r="AH6946">
        <v>0.72371525672667403</v>
      </c>
      <c r="AI6946">
        <v>98.851908119795496</v>
      </c>
      <c r="AJ6946">
        <v>88.878659990192602</v>
      </c>
      <c r="AK6946">
        <v>0.73257935758671</v>
      </c>
      <c r="AL6946">
        <v>67.808234887666799</v>
      </c>
      <c r="AM6946">
        <v>97.743784541712003</v>
      </c>
      <c r="AN6946">
        <v>0.99999997000269403</v>
      </c>
    </row>
    <row r="6947" spans="1:40" x14ac:dyDescent="0.25">
      <c r="A6947" t="str">
        <f>"20190304164259311"</f>
        <v>20190304164259311</v>
      </c>
      <c r="B6947" t="str">
        <f>"1551688979308083"</f>
        <v>1551688979308083</v>
      </c>
      <c r="C6947" t="s">
        <v>40</v>
      </c>
      <c r="D6947">
        <v>4.6349879999999999</v>
      </c>
      <c r="E6947">
        <v>0.57552080000000005</v>
      </c>
      <c r="F6947" t="s">
        <v>41</v>
      </c>
      <c r="G6947">
        <v>-245.5643</v>
      </c>
      <c r="H6947">
        <v>1.0184260000000001</v>
      </c>
      <c r="I6947">
        <v>-62.978529999999999</v>
      </c>
      <c r="J6947">
        <v>-246.12100000000001</v>
      </c>
      <c r="K6947">
        <v>1.10964</v>
      </c>
      <c r="L6947">
        <v>-62.96463</v>
      </c>
      <c r="M6947">
        <v>0.99990610000000002</v>
      </c>
      <c r="N6947">
        <v>-1.369393E-2</v>
      </c>
      <c r="O6947">
        <v>3.036588E-4</v>
      </c>
      <c r="P6947">
        <v>0.9224947</v>
      </c>
      <c r="Q6947">
        <v>0.36516920000000003</v>
      </c>
      <c r="R6947">
        <v>0.12511929999999999</v>
      </c>
      <c r="S6947">
        <v>3.426453</v>
      </c>
      <c r="T6947">
        <v>-0.41703800000000002</v>
      </c>
      <c r="U6947">
        <v>-6.5216060000000006E-2</v>
      </c>
      <c r="V6947">
        <v>-0.12406300000000001</v>
      </c>
      <c r="W6947">
        <v>0.37802380000000002</v>
      </c>
      <c r="X6947">
        <v>0.91744550000000002</v>
      </c>
      <c r="Y6947">
        <v>1.9174050000000002E-2</v>
      </c>
      <c r="Z6947">
        <v>-1.32697E-3</v>
      </c>
      <c r="AA6947">
        <v>0.99981529999999996</v>
      </c>
      <c r="AB6947">
        <v>38</v>
      </c>
      <c r="AC6947">
        <v>0.55669999999997799</v>
      </c>
      <c r="AD6947">
        <v>-9.1213999999999906E-2</v>
      </c>
      <c r="AE6947">
        <v>-1.38999999999995E-2</v>
      </c>
      <c r="AF6947">
        <v>1.37014610063356E-2</v>
      </c>
      <c r="AG6947">
        <v>-9.1213999999999906E-2</v>
      </c>
      <c r="AH6947">
        <v>0.54215022363847098</v>
      </c>
      <c r="AI6947">
        <v>99.547288462871506</v>
      </c>
      <c r="AJ6947">
        <v>88.552303798057295</v>
      </c>
      <c r="AK6947">
        <v>0.54994053207683502</v>
      </c>
      <c r="AL6947">
        <v>67.7886725546158</v>
      </c>
      <c r="AM6947">
        <v>97.701196039780299</v>
      </c>
      <c r="AN6947">
        <v>0.99999993340284199</v>
      </c>
    </row>
    <row r="6948" spans="1:40" x14ac:dyDescent="0.25">
      <c r="A6948" t="str">
        <f>"20190304164259323"</f>
        <v>20190304164259323</v>
      </c>
      <c r="B6948" t="str">
        <f>"1551688979317844"</f>
        <v>1551688979317844</v>
      </c>
      <c r="C6948" t="s">
        <v>40</v>
      </c>
      <c r="D6948">
        <v>4.6323040000000004</v>
      </c>
      <c r="E6948">
        <v>0.57605010000000001</v>
      </c>
      <c r="F6948" t="s">
        <v>41</v>
      </c>
      <c r="G6948">
        <v>-245.23330000000001</v>
      </c>
      <c r="H6948">
        <v>1.001765</v>
      </c>
      <c r="I6948">
        <v>-62.986379999999997</v>
      </c>
      <c r="J6948">
        <v>-245.92420000000001</v>
      </c>
      <c r="K6948">
        <v>1.1094389999999901</v>
      </c>
      <c r="L6948">
        <v>-62.965269999999997</v>
      </c>
      <c r="M6948">
        <v>0.99990469999999998</v>
      </c>
      <c r="N6948">
        <v>-1.3783810000000001E-2</v>
      </c>
      <c r="O6948">
        <v>-7.165842E-4</v>
      </c>
      <c r="P6948">
        <v>0.92276480000000005</v>
      </c>
      <c r="Q6948">
        <v>0.36500470000000002</v>
      </c>
      <c r="R6948">
        <v>0.1235991</v>
      </c>
      <c r="S6948">
        <v>3.4283450000000002</v>
      </c>
      <c r="T6948">
        <v>-0.4165992</v>
      </c>
      <c r="U6948">
        <v>-8.3862300000000001E-2</v>
      </c>
      <c r="V6948">
        <v>-0.1232922</v>
      </c>
      <c r="W6948">
        <v>0.37800529999999999</v>
      </c>
      <c r="X6948">
        <v>0.91755710000000001</v>
      </c>
      <c r="Y6948">
        <v>2.3548909999999999E-2</v>
      </c>
      <c r="Z6948">
        <v>-1.51142299999999E-3</v>
      </c>
      <c r="AA6948">
        <v>0.99972150000000004</v>
      </c>
      <c r="AB6948">
        <v>38</v>
      </c>
      <c r="AC6948">
        <v>0.69089999999999896</v>
      </c>
      <c r="AD6948">
        <v>-0.10767399999999901</v>
      </c>
      <c r="AE6948">
        <v>-2.1110000000007199E-2</v>
      </c>
      <c r="AF6948">
        <v>2.0126483888783301E-2</v>
      </c>
      <c r="AG6948">
        <v>-0.10767399999999901</v>
      </c>
      <c r="AH6948">
        <v>0.67454685464697395</v>
      </c>
      <c r="AI6948">
        <v>99.065313961704703</v>
      </c>
      <c r="AJ6948">
        <v>88.290970364302098</v>
      </c>
      <c r="AK6948">
        <v>0.68338292687471502</v>
      </c>
      <c r="AL6948">
        <v>67.789819098946296</v>
      </c>
      <c r="AM6948">
        <v>97.652997771502498</v>
      </c>
      <c r="AN6948">
        <v>1.00000000258467</v>
      </c>
    </row>
    <row r="6949" spans="1:40" x14ac:dyDescent="0.25">
      <c r="A6949" t="str">
        <f>"20190304164259334"</f>
        <v>20190304164259334</v>
      </c>
      <c r="B6949" t="str">
        <f>"1551688979327604"</f>
        <v>1551688979327604</v>
      </c>
      <c r="C6949" t="s">
        <v>40</v>
      </c>
      <c r="D6949">
        <v>4.6365689999999997</v>
      </c>
      <c r="E6949">
        <v>0.57655330000000005</v>
      </c>
      <c r="F6949" t="s">
        <v>41</v>
      </c>
      <c r="G6949">
        <v>-244.90280000000001</v>
      </c>
      <c r="H6949">
        <v>0.98450210000000005</v>
      </c>
      <c r="I6949">
        <v>-62.992899999999999</v>
      </c>
      <c r="J6949">
        <v>-245.73480000000001</v>
      </c>
      <c r="K6949">
        <v>1.1092649999999999</v>
      </c>
      <c r="L6949">
        <v>-62.966279999999998</v>
      </c>
      <c r="M6949">
        <v>0.99990239999999997</v>
      </c>
      <c r="N6949">
        <v>-1.3862009999999999E-2</v>
      </c>
      <c r="O6949">
        <v>-1.8019640000000001E-3</v>
      </c>
      <c r="P6949">
        <v>0.92289699999999997</v>
      </c>
      <c r="Q6949">
        <v>0.36522300000000002</v>
      </c>
      <c r="R6949">
        <v>0.1219568</v>
      </c>
      <c r="S6949">
        <v>3.429306</v>
      </c>
      <c r="T6949">
        <v>-0.41933199999999998</v>
      </c>
      <c r="U6949">
        <v>-9.2254639999999999E-2</v>
      </c>
      <c r="V6949">
        <v>-0.12248299999999999</v>
      </c>
      <c r="W6949">
        <v>0.37834790000000001</v>
      </c>
      <c r="X6949">
        <v>0.91752429999999996</v>
      </c>
      <c r="Y6949">
        <v>2.4894650000000001E-2</v>
      </c>
      <c r="Z6949">
        <v>-1.4948349999999999E-3</v>
      </c>
      <c r="AA6949">
        <v>0.99968900000000005</v>
      </c>
      <c r="AB6949">
        <v>38</v>
      </c>
      <c r="AC6949">
        <v>0.83199999999999297</v>
      </c>
      <c r="AD6949">
        <v>-0.124762899999999</v>
      </c>
      <c r="AE6949">
        <v>-2.6619999999993999E-2</v>
      </c>
      <c r="AF6949">
        <v>2.4568677177594402E-2</v>
      </c>
      <c r="AG6949">
        <v>-0.124762899999999</v>
      </c>
      <c r="AH6949">
        <v>0.81376647389198897</v>
      </c>
      <c r="AI6949">
        <v>98.7125418808278</v>
      </c>
      <c r="AJ6949">
        <v>88.270690570739006</v>
      </c>
      <c r="AK6949">
        <v>0.82364147245343799</v>
      </c>
      <c r="AL6949">
        <v>67.768615434547897</v>
      </c>
      <c r="AM6949">
        <v>97.603627232944405</v>
      </c>
      <c r="AN6949">
        <v>1.00000002990694</v>
      </c>
    </row>
    <row r="6950" spans="1:40" x14ac:dyDescent="0.25">
      <c r="A6950" t="str">
        <f>"20190304164259346"</f>
        <v>20190304164259346</v>
      </c>
      <c r="B6950" t="str">
        <f>"1551688979338340"</f>
        <v>1551688979338340</v>
      </c>
      <c r="C6950" t="s">
        <v>40</v>
      </c>
      <c r="D6950">
        <v>4.642506</v>
      </c>
      <c r="E6950">
        <v>0.57694509999999999</v>
      </c>
      <c r="F6950" t="s">
        <v>41</v>
      </c>
      <c r="G6950">
        <v>-244.892</v>
      </c>
      <c r="H6950">
        <v>1.006413</v>
      </c>
      <c r="I6950">
        <v>-62.991109999999999</v>
      </c>
      <c r="J6950">
        <v>-245.5376</v>
      </c>
      <c r="K6950">
        <v>1.1090930000000001</v>
      </c>
      <c r="L6950">
        <v>-62.967529999999996</v>
      </c>
      <c r="M6950">
        <v>0.99989850000000002</v>
      </c>
      <c r="N6950">
        <v>-1.39401E-2</v>
      </c>
      <c r="O6950">
        <v>-2.9651669999999999E-3</v>
      </c>
      <c r="P6950">
        <v>0.92312070000000002</v>
      </c>
      <c r="Q6950">
        <v>0.36521940000000003</v>
      </c>
      <c r="R6950">
        <v>0.12026199999999999</v>
      </c>
      <c r="S6950">
        <v>3.429443</v>
      </c>
      <c r="T6950">
        <v>-0.41832259999999999</v>
      </c>
      <c r="U6950">
        <v>-0.1004028</v>
      </c>
      <c r="V6950">
        <v>-0.12169679999999999</v>
      </c>
      <c r="W6950">
        <v>0.37846879999999999</v>
      </c>
      <c r="X6950">
        <v>0.91757900000000003</v>
      </c>
      <c r="Y6950">
        <v>2.6101510000000001E-2</v>
      </c>
      <c r="Z6950">
        <v>-1.449358E-3</v>
      </c>
      <c r="AA6950">
        <v>0.99965820000000005</v>
      </c>
      <c r="AB6950">
        <v>38</v>
      </c>
      <c r="AC6950">
        <v>0.64560000000000095</v>
      </c>
      <c r="AD6950">
        <v>-0.10267999999999999</v>
      </c>
      <c r="AE6950">
        <v>-2.35799999999954E-2</v>
      </c>
      <c r="AF6950">
        <v>2.1131575233304101E-2</v>
      </c>
      <c r="AG6950">
        <v>-0.10267999999999999</v>
      </c>
      <c r="AH6950">
        <v>0.62975820898422397</v>
      </c>
      <c r="AI6950">
        <v>99.255282767039702</v>
      </c>
      <c r="AJ6950">
        <v>88.078157690846197</v>
      </c>
      <c r="AK6950">
        <v>0.63842394038354999</v>
      </c>
      <c r="AL6950">
        <v>67.761130778100494</v>
      </c>
      <c r="AM6950">
        <v>97.554941103556203</v>
      </c>
      <c r="AN6950">
        <v>0.99999998247233901</v>
      </c>
    </row>
    <row r="6951" spans="1:40" x14ac:dyDescent="0.25">
      <c r="A6951" t="str">
        <f>"20190304164259356"</f>
        <v>20190304164259356</v>
      </c>
      <c r="B6951" t="str">
        <f>"1551688979348099"</f>
        <v>1551688979348099</v>
      </c>
      <c r="C6951" t="s">
        <v>40</v>
      </c>
      <c r="D6951">
        <v>4.6182509999999999</v>
      </c>
      <c r="E6951">
        <v>0.57723440000000004</v>
      </c>
      <c r="F6951" t="s">
        <v>41</v>
      </c>
      <c r="G6951">
        <v>-244.5616</v>
      </c>
      <c r="H6951">
        <v>0.98987000000000003</v>
      </c>
      <c r="I6951">
        <v>-62.998440000000002</v>
      </c>
      <c r="J6951">
        <v>-245.3459</v>
      </c>
      <c r="K6951">
        <v>1.1089439999999999</v>
      </c>
      <c r="L6951">
        <v>-62.969019999999901</v>
      </c>
      <c r="M6951">
        <v>0.99989320000000004</v>
      </c>
      <c r="N6951">
        <v>-1.4010150000000001E-2</v>
      </c>
      <c r="O6951">
        <v>-4.1565619999999999E-3</v>
      </c>
      <c r="P6951">
        <v>0.9232899</v>
      </c>
      <c r="Q6951">
        <v>0.36534699999999998</v>
      </c>
      <c r="R6951">
        <v>0.1185635</v>
      </c>
      <c r="S6951">
        <v>3.4296720000000001</v>
      </c>
      <c r="T6951">
        <v>-0.4188557</v>
      </c>
      <c r="U6951">
        <v>-0.1082458</v>
      </c>
      <c r="V6951">
        <v>-0.1209517</v>
      </c>
      <c r="W6951">
        <v>0.37870540000000003</v>
      </c>
      <c r="X6951">
        <v>0.9175799</v>
      </c>
      <c r="Y6951">
        <v>2.7189709999999999E-2</v>
      </c>
      <c r="Z6951">
        <v>-1.3974720000000001E-3</v>
      </c>
      <c r="AA6951">
        <v>0.99962930000000005</v>
      </c>
      <c r="AB6951">
        <v>38</v>
      </c>
      <c r="AC6951">
        <v>0.784300000000001</v>
      </c>
      <c r="AD6951">
        <v>-0.119074</v>
      </c>
      <c r="AE6951">
        <v>-2.94200000000088E-2</v>
      </c>
      <c r="AF6951">
        <v>2.5570856140150498E-2</v>
      </c>
      <c r="AG6951">
        <v>-0.119074</v>
      </c>
      <c r="AH6951">
        <v>0.766766448638733</v>
      </c>
      <c r="AI6951">
        <v>98.822337997339702</v>
      </c>
      <c r="AJ6951">
        <v>88.089953777817001</v>
      </c>
      <c r="AK6951">
        <v>0.77637830528537699</v>
      </c>
      <c r="AL6951">
        <v>67.746484422694806</v>
      </c>
      <c r="AM6951">
        <v>97.509207457320699</v>
      </c>
      <c r="AN6951">
        <v>0.99999998330302997</v>
      </c>
    </row>
    <row r="6952" spans="1:40" x14ac:dyDescent="0.25">
      <c r="A6952" t="str">
        <f>"20190304164259369"</f>
        <v>20190304164259369</v>
      </c>
      <c r="B6952" t="str">
        <f>"1551688979357860"</f>
        <v>1551688979357860</v>
      </c>
      <c r="C6952" t="s">
        <v>40</v>
      </c>
      <c r="D6952">
        <v>4.6250150000000003</v>
      </c>
      <c r="E6952">
        <v>0.57756450000000004</v>
      </c>
      <c r="F6952" t="s">
        <v>41</v>
      </c>
      <c r="G6952">
        <v>-244.55080000000001</v>
      </c>
      <c r="H6952">
        <v>1.011903</v>
      </c>
      <c r="I6952">
        <v>-62.995910000000002</v>
      </c>
      <c r="J6952">
        <v>-245.15369999999999</v>
      </c>
      <c r="K6952">
        <v>1.1088020000000001</v>
      </c>
      <c r="L6952">
        <v>-62.970790000000001</v>
      </c>
      <c r="M6952">
        <v>0.99988639999999995</v>
      </c>
      <c r="N6952">
        <v>-1.407545E-2</v>
      </c>
      <c r="O6952">
        <v>-5.3938129999999999E-3</v>
      </c>
      <c r="P6952">
        <v>0.92335750000000005</v>
      </c>
      <c r="Q6952">
        <v>0.36574279999999998</v>
      </c>
      <c r="R6952">
        <v>0.1168032</v>
      </c>
      <c r="S6952">
        <v>3.4296720000000001</v>
      </c>
      <c r="T6952">
        <v>-0.4184272</v>
      </c>
      <c r="U6952">
        <v>-0.115509</v>
      </c>
      <c r="V6952">
        <v>-0.1202</v>
      </c>
      <c r="W6952">
        <v>0.37919960000000003</v>
      </c>
      <c r="X6952">
        <v>0.91747460000000003</v>
      </c>
      <c r="Y6952">
        <v>2.806765E-2</v>
      </c>
      <c r="Z6952">
        <v>-1.3239979999999901E-3</v>
      </c>
      <c r="AA6952">
        <v>0.99960519999999997</v>
      </c>
      <c r="AB6952">
        <v>38</v>
      </c>
      <c r="AC6952">
        <v>0.60289999999997601</v>
      </c>
      <c r="AD6952">
        <v>-9.6898999999999999E-2</v>
      </c>
      <c r="AE6952">
        <v>-2.5119999999994001E-2</v>
      </c>
      <c r="AF6952">
        <v>2.13176714147661E-2</v>
      </c>
      <c r="AG6952">
        <v>-9.6898999999999999E-2</v>
      </c>
      <c r="AH6952">
        <v>0.58786760427856999</v>
      </c>
      <c r="AI6952">
        <v>99.353937630087401</v>
      </c>
      <c r="AJ6952">
        <v>87.923209860700197</v>
      </c>
      <c r="AK6952">
        <v>0.59618133103593096</v>
      </c>
      <c r="AL6952">
        <v>67.715887361449902</v>
      </c>
      <c r="AM6952">
        <v>97.463913237664102</v>
      </c>
      <c r="AN6952">
        <v>1.00000000914266</v>
      </c>
    </row>
    <row r="6953" spans="1:40" x14ac:dyDescent="0.25">
      <c r="A6953" t="str">
        <f>"20190304164259380"</f>
        <v>20190304164259380</v>
      </c>
      <c r="B6953" t="str">
        <f>"1551688979378356"</f>
        <v>1551688979378356</v>
      </c>
      <c r="C6953" t="s">
        <v>40</v>
      </c>
      <c r="D6953">
        <v>4.6154729999999997</v>
      </c>
      <c r="E6953">
        <v>0.5779784</v>
      </c>
      <c r="F6953" t="s">
        <v>41</v>
      </c>
      <c r="G6953">
        <v>-244.22069999999999</v>
      </c>
      <c r="H6953">
        <v>0.99552039999999997</v>
      </c>
      <c r="I6953">
        <v>-63.004550000000002</v>
      </c>
      <c r="J6953">
        <v>-244.94759999999999</v>
      </c>
      <c r="K6953">
        <v>1.1086670000000001</v>
      </c>
      <c r="L6953">
        <v>-62.97296</v>
      </c>
      <c r="M6953">
        <v>0.99987729999999997</v>
      </c>
      <c r="N6953">
        <v>-1.4141610000000001E-2</v>
      </c>
      <c r="O6953">
        <v>-6.7522379999999998E-3</v>
      </c>
      <c r="P6953">
        <v>0.92339349999999998</v>
      </c>
      <c r="Q6953">
        <v>0.36612159999999999</v>
      </c>
      <c r="R6953">
        <v>0.11532480000000001</v>
      </c>
      <c r="S6953">
        <v>3.4294889999999998</v>
      </c>
      <c r="T6953">
        <v>-0.41623520000000003</v>
      </c>
      <c r="U6953">
        <v>-0.1233826</v>
      </c>
      <c r="V6953">
        <v>-0.1198425</v>
      </c>
      <c r="W6953">
        <v>0.37967780000000001</v>
      </c>
      <c r="X6953">
        <v>0.91732360000000002</v>
      </c>
      <c r="Y6953">
        <v>2.9005400000000001E-2</v>
      </c>
      <c r="Z6953">
        <v>-1.2381219999999999E-3</v>
      </c>
      <c r="AA6953">
        <v>0.99957850000000004</v>
      </c>
      <c r="AB6953">
        <v>38</v>
      </c>
      <c r="AC6953">
        <v>0.72689999999999999</v>
      </c>
      <c r="AD6953">
        <v>-0.1131466</v>
      </c>
      <c r="AE6953">
        <v>-3.1590000000001298E-2</v>
      </c>
      <c r="AF6953">
        <v>2.6050599991898502E-2</v>
      </c>
      <c r="AG6953">
        <v>-0.1131466</v>
      </c>
      <c r="AH6953">
        <v>0.70992839197084101</v>
      </c>
      <c r="AI6953">
        <v>99.049506586921595</v>
      </c>
      <c r="AJ6953">
        <v>87.898492204292594</v>
      </c>
      <c r="AK6953">
        <v>0.71936020780816201</v>
      </c>
      <c r="AL6953">
        <v>67.686274234302005</v>
      </c>
      <c r="AM6953">
        <v>97.443174475855798</v>
      </c>
      <c r="AN6953">
        <v>1.0000000218680201</v>
      </c>
    </row>
    <row r="6954" spans="1:40" x14ac:dyDescent="0.25">
      <c r="A6954" t="str">
        <f>"20190304164259392"</f>
        <v>20190304164259392</v>
      </c>
      <c r="B6954" t="str">
        <f>"1551688979388115"</f>
        <v>1551688979388115</v>
      </c>
      <c r="C6954" t="s">
        <v>40</v>
      </c>
      <c r="D6954">
        <v>4.6002989999999997</v>
      </c>
      <c r="E6954">
        <v>0.57812819999999898</v>
      </c>
      <c r="F6954" t="s">
        <v>41</v>
      </c>
      <c r="G6954">
        <v>-244.209</v>
      </c>
      <c r="H6954">
        <v>1.0191680000000001</v>
      </c>
      <c r="I6954">
        <v>-63.001379999999997</v>
      </c>
      <c r="J6954">
        <v>-244.7938</v>
      </c>
      <c r="K6954">
        <v>1.108581</v>
      </c>
      <c r="L6954">
        <v>-62.974879999999999</v>
      </c>
      <c r="M6954">
        <v>0.99986900000000001</v>
      </c>
      <c r="N6954">
        <v>-1.418588E-2</v>
      </c>
      <c r="O6954">
        <v>-7.80437699999999E-3</v>
      </c>
      <c r="P6954">
        <v>0.92333290000000001</v>
      </c>
      <c r="Q6954">
        <v>0.366784</v>
      </c>
      <c r="R6954">
        <v>0.1136921</v>
      </c>
      <c r="S6954">
        <v>3.4299930000000001</v>
      </c>
      <c r="T6954">
        <v>-0.41542699999999999</v>
      </c>
      <c r="U6954">
        <v>-0.13110350000000001</v>
      </c>
      <c r="V6954">
        <v>-0.1190952</v>
      </c>
      <c r="W6954">
        <v>0.38040069999999998</v>
      </c>
      <c r="X6954">
        <v>0.91712139999999998</v>
      </c>
      <c r="Y6954">
        <v>3.0192210000000001E-2</v>
      </c>
      <c r="Z6954">
        <v>-1.2050920000000001E-3</v>
      </c>
      <c r="AA6954">
        <v>0.99954339999999997</v>
      </c>
      <c r="AB6954">
        <v>38</v>
      </c>
      <c r="AC6954">
        <v>0.58480000000000099</v>
      </c>
      <c r="AD6954">
        <v>-8.9412999999999895E-2</v>
      </c>
      <c r="AE6954">
        <v>-2.6499999999998601E-2</v>
      </c>
      <c r="AF6954">
        <v>2.14346848857759E-2</v>
      </c>
      <c r="AG6954">
        <v>-8.9412999999999895E-2</v>
      </c>
      <c r="AH6954">
        <v>0.57165294381934495</v>
      </c>
      <c r="AI6954">
        <v>98.883539399030099</v>
      </c>
      <c r="AJ6954">
        <v>87.852644823801498</v>
      </c>
      <c r="AK6954">
        <v>0.57900018865495695</v>
      </c>
      <c r="AL6954">
        <v>67.641495111659594</v>
      </c>
      <c r="AM6954">
        <v>97.398889646039095</v>
      </c>
      <c r="AN6954">
        <v>1.0000000107807401</v>
      </c>
    </row>
    <row r="6955" spans="1:40" x14ac:dyDescent="0.25">
      <c r="A6955" t="str">
        <f>"20190304164259402"</f>
        <v>20190304164259402</v>
      </c>
      <c r="B6955" t="str">
        <f>"1551688979397876"</f>
        <v>1551688979397876</v>
      </c>
      <c r="C6955" t="s">
        <v>40</v>
      </c>
      <c r="D6955">
        <v>4.6072009999999999</v>
      </c>
      <c r="E6955">
        <v>0.57822910000000005</v>
      </c>
      <c r="F6955" t="s">
        <v>41</v>
      </c>
      <c r="G6955">
        <v>-243.88140000000001</v>
      </c>
      <c r="H6955">
        <v>0.99847580000000002</v>
      </c>
      <c r="I6955">
        <v>-63.011330000000001</v>
      </c>
      <c r="J6955">
        <v>-244.5865</v>
      </c>
      <c r="K6955">
        <v>1.1084670000000001</v>
      </c>
      <c r="L6955">
        <v>-62.977569999999901</v>
      </c>
      <c r="M6955">
        <v>0.99985599999999997</v>
      </c>
      <c r="N6955">
        <v>-1.4244079999999999E-2</v>
      </c>
      <c r="O6955">
        <v>-9.228867E-3</v>
      </c>
      <c r="P6955">
        <v>0.92327219999999999</v>
      </c>
      <c r="Q6955">
        <v>0.36743300000000001</v>
      </c>
      <c r="R6955">
        <v>0.1120797</v>
      </c>
      <c r="S6955">
        <v>3.4303590000000002</v>
      </c>
      <c r="T6955">
        <v>-0.41394409999999998</v>
      </c>
      <c r="U6955">
        <v>-0.1368713</v>
      </c>
      <c r="V6955">
        <v>-0.1186874</v>
      </c>
      <c r="W6955">
        <v>0.38113140000000001</v>
      </c>
      <c r="X6955">
        <v>0.91687090000000004</v>
      </c>
      <c r="Y6955">
        <v>3.0449319999999998E-2</v>
      </c>
      <c r="Z6955">
        <v>-1.069515E-3</v>
      </c>
      <c r="AA6955">
        <v>0.99953570000000003</v>
      </c>
      <c r="AB6955">
        <v>38</v>
      </c>
      <c r="AC6955">
        <v>0.70509999999998696</v>
      </c>
      <c r="AD6955">
        <v>-0.1099912</v>
      </c>
      <c r="AE6955">
        <v>-3.3760000000015097E-2</v>
      </c>
      <c r="AF6955">
        <v>2.6604708258935201E-2</v>
      </c>
      <c r="AG6955">
        <v>-0.1099912</v>
      </c>
      <c r="AH6955">
        <v>0.68866195660685503</v>
      </c>
      <c r="AI6955">
        <v>99.067829028928401</v>
      </c>
      <c r="AJ6955">
        <v>87.787623055294901</v>
      </c>
      <c r="AK6955">
        <v>0.697897675205015</v>
      </c>
      <c r="AL6955">
        <v>67.596219269167804</v>
      </c>
      <c r="AM6955">
        <v>97.375826460450696</v>
      </c>
      <c r="AN6955">
        <v>1.00000004512576</v>
      </c>
    </row>
    <row r="6956" spans="1:40" x14ac:dyDescent="0.25">
      <c r="A6956" t="str">
        <f>"20190304164259413"</f>
        <v>20190304164259413</v>
      </c>
      <c r="B6956" t="str">
        <f>"1551688979407636"</f>
        <v>1551688979407636</v>
      </c>
      <c r="C6956" t="s">
        <v>40</v>
      </c>
      <c r="D6956">
        <v>4.599386</v>
      </c>
      <c r="E6956">
        <v>0.57837539999999998</v>
      </c>
      <c r="F6956" t="s">
        <v>41</v>
      </c>
      <c r="G6956">
        <v>-243.55119999999999</v>
      </c>
      <c r="H6956">
        <v>0.98395630000000001</v>
      </c>
      <c r="I6956">
        <v>-63.020659999999999</v>
      </c>
      <c r="J6956">
        <v>-244.40090000000001</v>
      </c>
      <c r="K6956">
        <v>1.1083889999999901</v>
      </c>
      <c r="L6956">
        <v>-62.980440000000002</v>
      </c>
      <c r="M6956">
        <v>0.99984249999999997</v>
      </c>
      <c r="N6956">
        <v>-1.4290000000000001E-2</v>
      </c>
      <c r="O6956">
        <v>-1.05401E-2</v>
      </c>
      <c r="P6956">
        <v>0.92316480000000001</v>
      </c>
      <c r="Q6956">
        <v>0.36819279999999999</v>
      </c>
      <c r="R6956">
        <v>0.110458399999999</v>
      </c>
      <c r="S6956">
        <v>3.4307099999999999</v>
      </c>
      <c r="T6956">
        <v>-0.41249479999999999</v>
      </c>
      <c r="U6956">
        <v>-0.14227290000000001</v>
      </c>
      <c r="V6956">
        <v>-0.1181939</v>
      </c>
      <c r="W6956">
        <v>0.38195109999999999</v>
      </c>
      <c r="X6956">
        <v>0.9165934</v>
      </c>
      <c r="Y6956">
        <v>3.071192E-2</v>
      </c>
      <c r="Z6956">
        <v>-9.4732059999999996E-4</v>
      </c>
      <c r="AA6956">
        <v>0.99952779999999997</v>
      </c>
      <c r="AB6956">
        <v>38</v>
      </c>
      <c r="AC6956">
        <v>0.849700000000012</v>
      </c>
      <c r="AD6956">
        <v>-0.12443269999999899</v>
      </c>
      <c r="AE6956">
        <v>-4.0219999999997903E-2</v>
      </c>
      <c r="AF6956">
        <v>3.0606032484625002E-2</v>
      </c>
      <c r="AG6956">
        <v>-0.12443269999999899</v>
      </c>
      <c r="AH6956">
        <v>0.83226818319517404</v>
      </c>
      <c r="AI6956">
        <v>98.497665609959199</v>
      </c>
      <c r="AJ6956">
        <v>87.893940107204401</v>
      </c>
      <c r="AK6956">
        <v>0.84207514796052196</v>
      </c>
      <c r="AL6956">
        <v>67.545408081223101</v>
      </c>
      <c r="AM6956">
        <v>97.347693101831496</v>
      </c>
      <c r="AN6956">
        <v>0.99999995085598803</v>
      </c>
    </row>
    <row r="6957" spans="1:40" x14ac:dyDescent="0.25">
      <c r="A6957" t="str">
        <f>"20190304164259425"</f>
        <v>20190304164259425</v>
      </c>
      <c r="B6957" t="str">
        <f>"1551688979418372"</f>
        <v>1551688979418372</v>
      </c>
      <c r="C6957" t="s">
        <v>40</v>
      </c>
      <c r="D6957">
        <v>4.613499</v>
      </c>
      <c r="E6957">
        <v>0.57849899999999999</v>
      </c>
      <c r="F6957" t="s">
        <v>41</v>
      </c>
      <c r="G6957">
        <v>-243.54060000000001</v>
      </c>
      <c r="H6957">
        <v>1.005449</v>
      </c>
      <c r="I6957">
        <v>-63.017690000000002</v>
      </c>
      <c r="J6957">
        <v>-244.2157</v>
      </c>
      <c r="K6957">
        <v>1.1083160000000001</v>
      </c>
      <c r="L6957">
        <v>-62.983370000000001</v>
      </c>
      <c r="M6957">
        <v>0.99982709999999997</v>
      </c>
      <c r="N6957">
        <v>-1.433447E-2</v>
      </c>
      <c r="O6957">
        <v>-1.1852339999999999E-2</v>
      </c>
      <c r="P6957">
        <v>0.92310400000000004</v>
      </c>
      <c r="Q6957">
        <v>0.36879190000000001</v>
      </c>
      <c r="R6957">
        <v>0.1089579</v>
      </c>
      <c r="S6957">
        <v>3.431076</v>
      </c>
      <c r="T6957">
        <v>-0.41041119999999998</v>
      </c>
      <c r="U6957">
        <v>-0.14797969999999999</v>
      </c>
      <c r="V6957">
        <v>-0.1178265</v>
      </c>
      <c r="W6957">
        <v>0.38260899999999998</v>
      </c>
      <c r="X6957">
        <v>0.91636629999999997</v>
      </c>
      <c r="Y6957">
        <v>3.106122E-2</v>
      </c>
      <c r="Z6957">
        <v>-8.3126330000000005E-4</v>
      </c>
      <c r="AA6957">
        <v>0.99951710000000005</v>
      </c>
      <c r="AB6957">
        <v>38</v>
      </c>
      <c r="AC6957">
        <v>0.67509999999998604</v>
      </c>
      <c r="AD6957">
        <v>-0.102867</v>
      </c>
      <c r="AE6957">
        <v>-3.4320000000008101E-2</v>
      </c>
      <c r="AF6957">
        <v>2.5719645391672E-2</v>
      </c>
      <c r="AG6957">
        <v>-0.102867</v>
      </c>
      <c r="AH6957">
        <v>0.66017134941056599</v>
      </c>
      <c r="AI6957">
        <v>98.8499240188481</v>
      </c>
      <c r="AJ6957">
        <v>87.768939457242197</v>
      </c>
      <c r="AK6957">
        <v>0.66863243297841901</v>
      </c>
      <c r="AL6957">
        <v>67.504615089211697</v>
      </c>
      <c r="AM6957">
        <v>97.326897231508099</v>
      </c>
      <c r="AN6957">
        <v>0.99999996337946895</v>
      </c>
    </row>
    <row r="6958" spans="1:40" x14ac:dyDescent="0.25">
      <c r="A6958" t="str">
        <f>"20190304164259434"</f>
        <v>20190304164259434</v>
      </c>
      <c r="B6958" t="str">
        <f>"1551688979428131"</f>
        <v>1551688979428131</v>
      </c>
      <c r="C6958" t="s">
        <v>40</v>
      </c>
      <c r="D6958">
        <v>4.6003069999999999</v>
      </c>
      <c r="E6958">
        <v>0.57864729999999998</v>
      </c>
      <c r="F6958" t="s">
        <v>41</v>
      </c>
      <c r="G6958">
        <v>-243.21180000000001</v>
      </c>
      <c r="H6958">
        <v>0.98874569999999995</v>
      </c>
      <c r="I6958">
        <v>-63.028440000000003</v>
      </c>
      <c r="J6958">
        <v>-244.03100000000001</v>
      </c>
      <c r="K6958">
        <v>1.108258</v>
      </c>
      <c r="L6958">
        <v>-62.986660000000001</v>
      </c>
      <c r="M6958">
        <v>0.99980990000000003</v>
      </c>
      <c r="N6958">
        <v>-1.4374400000000001E-2</v>
      </c>
      <c r="O6958">
        <v>-1.3178759999999999E-2</v>
      </c>
      <c r="P6958">
        <v>0.92304189999999997</v>
      </c>
      <c r="Q6958">
        <v>0.3693014</v>
      </c>
      <c r="R6958">
        <v>0.107751399999999</v>
      </c>
      <c r="S6958">
        <v>3.4313509999999998</v>
      </c>
      <c r="T6958">
        <v>-0.4086938</v>
      </c>
      <c r="U6958">
        <v>-0.15396119999999999</v>
      </c>
      <c r="V6958">
        <v>-0.11777940000000001</v>
      </c>
      <c r="W6958">
        <v>0.38317059999999997</v>
      </c>
      <c r="X6958">
        <v>0.91613770000000005</v>
      </c>
      <c r="Y6958">
        <v>3.1475919999999998E-2</v>
      </c>
      <c r="Z6958">
        <v>-7.1976539999999995E-4</v>
      </c>
      <c r="AA6958">
        <v>0.99950430000000001</v>
      </c>
      <c r="AB6958">
        <v>38</v>
      </c>
      <c r="AC6958">
        <v>0.81919999999996596</v>
      </c>
      <c r="AD6958">
        <v>-0.119512299999999</v>
      </c>
      <c r="AE6958">
        <v>-4.1780000000002801E-2</v>
      </c>
      <c r="AF6958">
        <v>3.0335247362456599E-2</v>
      </c>
      <c r="AG6958">
        <v>-0.119512299999999</v>
      </c>
      <c r="AH6958">
        <v>0.80264073448832596</v>
      </c>
      <c r="AI6958">
        <v>98.463099334417194</v>
      </c>
      <c r="AJ6958">
        <v>87.835576099974602</v>
      </c>
      <c r="AK6958">
        <v>0.81205638088976995</v>
      </c>
      <c r="AL6958">
        <v>67.469784040169102</v>
      </c>
      <c r="AM6958">
        <v>97.325807859402403</v>
      </c>
      <c r="AN6958">
        <v>0.99999999056500499</v>
      </c>
    </row>
    <row r="6959" spans="1:40" x14ac:dyDescent="0.25">
      <c r="A6959" t="str">
        <f>"20190304164259446"</f>
        <v>20190304164259446</v>
      </c>
      <c r="B6959" t="str">
        <f>"1551688979437892"</f>
        <v>1551688979437892</v>
      </c>
      <c r="C6959" t="s">
        <v>40</v>
      </c>
      <c r="D6959">
        <v>4.9113910000000001</v>
      </c>
      <c r="E6959">
        <v>0.57864729999999998</v>
      </c>
      <c r="F6959" t="s">
        <v>41</v>
      </c>
      <c r="G6959">
        <v>-243.20140000000001</v>
      </c>
      <c r="H6959">
        <v>1.0097959999999999</v>
      </c>
      <c r="I6959">
        <v>-63.025179999999999</v>
      </c>
      <c r="J6959">
        <v>-243.84520000000001</v>
      </c>
      <c r="K6959">
        <v>1.108204</v>
      </c>
      <c r="L6959">
        <v>-62.9901699999999</v>
      </c>
      <c r="M6959">
        <v>0.99979090000000004</v>
      </c>
      <c r="N6959">
        <v>-1.4412579999999999E-2</v>
      </c>
      <c r="O6959">
        <v>-1.451794E-2</v>
      </c>
      <c r="P6959">
        <v>0.92301770000000005</v>
      </c>
      <c r="Q6959">
        <v>0.36966070000000001</v>
      </c>
      <c r="R6959">
        <v>0.1067226</v>
      </c>
      <c r="S6959">
        <v>3.4316409999999999</v>
      </c>
      <c r="T6959">
        <v>-0.40726570000000001</v>
      </c>
      <c r="U6959">
        <v>-0.15917970000000001</v>
      </c>
      <c r="V6959">
        <v>-0.11792710000000001</v>
      </c>
      <c r="W6959">
        <v>0.38358019999999998</v>
      </c>
      <c r="X6959">
        <v>0.91594730000000002</v>
      </c>
      <c r="Y6959">
        <v>3.1656959999999998E-2</v>
      </c>
      <c r="Z6959">
        <v>-5.9277579999999998E-4</v>
      </c>
      <c r="AA6959">
        <v>0.99949860000000001</v>
      </c>
      <c r="AB6959">
        <v>38</v>
      </c>
      <c r="AC6959">
        <v>0.64379999999999804</v>
      </c>
      <c r="AD6959">
        <v>-9.8408000000000204E-2</v>
      </c>
      <c r="AE6959">
        <v>-3.5010000000013898E-2</v>
      </c>
      <c r="AF6959">
        <v>2.50745600328981E-2</v>
      </c>
      <c r="AG6959">
        <v>-9.8408000000000204E-2</v>
      </c>
      <c r="AH6959">
        <v>0.62957406893752099</v>
      </c>
      <c r="AI6959">
        <v>98.8770251280678</v>
      </c>
      <c r="AJ6959">
        <v>87.719239695047094</v>
      </c>
      <c r="AK6959">
        <v>0.63771182857415298</v>
      </c>
      <c r="AL6959">
        <v>67.444374735010697</v>
      </c>
      <c r="AM6959">
        <v>97.3364028389514</v>
      </c>
      <c r="AN6959">
        <v>1.0000000135618701</v>
      </c>
    </row>
    <row r="6960" spans="1:40" x14ac:dyDescent="0.25">
      <c r="A6960" t="str">
        <f>"20190304164259456"</f>
        <v>20190304164259456</v>
      </c>
      <c r="B6960" t="str">
        <f>"1551688979447652"</f>
        <v>1551688979447652</v>
      </c>
      <c r="C6960" t="s">
        <v>40</v>
      </c>
      <c r="D6960">
        <v>4.590592</v>
      </c>
      <c r="E6960">
        <v>0.58683339999999995</v>
      </c>
      <c r="F6960" t="s">
        <v>41</v>
      </c>
      <c r="G6960">
        <v>-242.87309999999999</v>
      </c>
      <c r="H6960">
        <v>0.99326729999999996</v>
      </c>
      <c r="I6960">
        <v>-63.036920000000002</v>
      </c>
      <c r="J6960">
        <v>-243.66669999999999</v>
      </c>
      <c r="K6960">
        <v>1.10816</v>
      </c>
      <c r="L6960">
        <v>-62.9938</v>
      </c>
      <c r="M6960">
        <v>0.99977059999999995</v>
      </c>
      <c r="N6960">
        <v>-1.444634E-2</v>
      </c>
      <c r="O6960">
        <v>-1.5811660000000002E-2</v>
      </c>
      <c r="P6960">
        <v>0.92285450000000002</v>
      </c>
      <c r="Q6960">
        <v>0.3701913</v>
      </c>
      <c r="R6960">
        <v>0.1062911</v>
      </c>
      <c r="S6960">
        <v>3.4316559999999998</v>
      </c>
      <c r="T6960">
        <v>-0.40557840000000001</v>
      </c>
      <c r="U6960">
        <v>-0.1643066</v>
      </c>
      <c r="V6960">
        <v>-0.1186358</v>
      </c>
      <c r="W6960">
        <v>0.38415569999999999</v>
      </c>
      <c r="X6960">
        <v>0.9156145</v>
      </c>
      <c r="Y6960">
        <v>3.1859800000000001E-2</v>
      </c>
      <c r="Z6960">
        <v>-4.7295550000000001E-4</v>
      </c>
      <c r="AA6960">
        <v>0.99949219999999905</v>
      </c>
      <c r="AB6960">
        <v>38</v>
      </c>
      <c r="AC6960">
        <v>0.79359999999999697</v>
      </c>
      <c r="AD6960">
        <v>-0.114892699999999</v>
      </c>
      <c r="AE6960">
        <v>-4.3119999999994697E-2</v>
      </c>
      <c r="AF6960">
        <v>2.9939494518264002E-2</v>
      </c>
      <c r="AG6960">
        <v>-0.114892699999999</v>
      </c>
      <c r="AH6960">
        <v>0.77792567729504802</v>
      </c>
      <c r="AI6960">
        <v>98.395216361724096</v>
      </c>
      <c r="AJ6960">
        <v>87.795984208939004</v>
      </c>
      <c r="AK6960">
        <v>0.786933964980708</v>
      </c>
      <c r="AL6960">
        <v>67.408664526791298</v>
      </c>
      <c r="AM6960">
        <v>97.382660243568907</v>
      </c>
      <c r="AN6960">
        <v>0.99999998374718901</v>
      </c>
    </row>
    <row r="6961" spans="1:40" x14ac:dyDescent="0.25">
      <c r="A6961" t="str">
        <f>"20190304164259468"</f>
        <v>20190304164259468</v>
      </c>
      <c r="B6961" t="str">
        <f>"1551688979458388"</f>
        <v>1551688979458388</v>
      </c>
      <c r="C6961" t="s">
        <v>40</v>
      </c>
      <c r="D6961">
        <v>4.5817699999999997</v>
      </c>
      <c r="E6961">
        <v>0.58683339999999995</v>
      </c>
      <c r="F6961" t="s">
        <v>41</v>
      </c>
      <c r="G6961">
        <v>-242.85249999999999</v>
      </c>
      <c r="H6961">
        <v>1.0357559999999999</v>
      </c>
      <c r="I6961">
        <v>-63.051929999999999</v>
      </c>
      <c r="J6961">
        <v>-243.47730000000001</v>
      </c>
      <c r="K6961">
        <v>1.1081219999999901</v>
      </c>
      <c r="L6961">
        <v>-62.997919999999901</v>
      </c>
      <c r="M6961">
        <v>0.99974759999999996</v>
      </c>
      <c r="N6961">
        <v>-1.447973E-2</v>
      </c>
      <c r="O6961">
        <v>-1.7187089999999999E-2</v>
      </c>
      <c r="P6961">
        <v>0.92271860000000006</v>
      </c>
      <c r="Q6961">
        <v>0.3706409</v>
      </c>
      <c r="R6961">
        <v>0.10590579999999999</v>
      </c>
      <c r="S6961">
        <v>3.3998409999999999</v>
      </c>
      <c r="T6961">
        <v>-0.30217189999999999</v>
      </c>
      <c r="U6961">
        <v>-0.24188229999999999</v>
      </c>
      <c r="V6961">
        <v>-0.1194696</v>
      </c>
      <c r="W6961">
        <v>0.3846504</v>
      </c>
      <c r="X6961">
        <v>0.91529830000000001</v>
      </c>
      <c r="Y6961">
        <v>5.3612239999999999E-2</v>
      </c>
      <c r="Z6961">
        <v>-1.4902019999999999E-3</v>
      </c>
      <c r="AA6961">
        <v>0.99856069999999997</v>
      </c>
      <c r="AB6961">
        <v>38</v>
      </c>
      <c r="AC6961">
        <v>0.62480000000002101</v>
      </c>
      <c r="AD6961">
        <v>-7.2365999999999903E-2</v>
      </c>
      <c r="AE6961">
        <v>-5.4010000000012298E-2</v>
      </c>
      <c r="AF6961">
        <v>4.2693916414785898E-2</v>
      </c>
      <c r="AG6961">
        <v>-7.2365999999999903E-2</v>
      </c>
      <c r="AH6961">
        <v>0.61741494328711</v>
      </c>
      <c r="AI6961">
        <v>96.669243439308005</v>
      </c>
      <c r="AJ6961">
        <v>86.044324049755105</v>
      </c>
      <c r="AK6961">
        <v>0.62310578608215395</v>
      </c>
      <c r="AL6961">
        <v>67.3779603438186</v>
      </c>
      <c r="AM6961">
        <v>97.436508328496998</v>
      </c>
      <c r="AN6961">
        <v>0.99999994676360304</v>
      </c>
    </row>
    <row r="6962" spans="1:40" x14ac:dyDescent="0.25">
      <c r="A6962" t="str">
        <f>"20190304164259478"</f>
        <v>20190304164259478</v>
      </c>
      <c r="B6962" t="str">
        <f>"1551688979468148"</f>
        <v>1551688979468148</v>
      </c>
      <c r="C6962" t="s">
        <v>40</v>
      </c>
      <c r="D6962">
        <v>4.5799079999999996</v>
      </c>
      <c r="E6962">
        <v>0.58103850000000001</v>
      </c>
      <c r="F6962" t="s">
        <v>41</v>
      </c>
      <c r="G6962">
        <v>-242.5223</v>
      </c>
      <c r="H6962">
        <v>1.024003</v>
      </c>
      <c r="I6962">
        <v>-63.067189999999997</v>
      </c>
      <c r="J6962">
        <v>-243.29040000000001</v>
      </c>
      <c r="K6962">
        <v>1.108088</v>
      </c>
      <c r="L6962">
        <v>-63.002200000000002</v>
      </c>
      <c r="M6962">
        <v>0.99972280000000002</v>
      </c>
      <c r="N6962">
        <v>-1.451067E-2</v>
      </c>
      <c r="O6962">
        <v>-1.8547230000000001E-2</v>
      </c>
      <c r="P6962">
        <v>0.92256400000000005</v>
      </c>
      <c r="Q6962">
        <v>0.37103219999999998</v>
      </c>
      <c r="R6962">
        <v>0.10588160000000001</v>
      </c>
      <c r="S6962">
        <v>3.3997799999999998</v>
      </c>
      <c r="T6962">
        <v>-0.2993999</v>
      </c>
      <c r="U6962">
        <v>-0.2461853</v>
      </c>
      <c r="V6962">
        <v>-0.12065480000000001</v>
      </c>
      <c r="W6962">
        <v>0.38508439999999999</v>
      </c>
      <c r="X6962">
        <v>0.91496029999999995</v>
      </c>
      <c r="Y6962">
        <v>5.3519410000000003E-2</v>
      </c>
      <c r="Z6962">
        <v>-1.379354E-3</v>
      </c>
      <c r="AA6962">
        <v>0.99856590000000001</v>
      </c>
      <c r="AB6962">
        <v>38</v>
      </c>
      <c r="AC6962">
        <v>0.768100000000004</v>
      </c>
      <c r="AD6962">
        <v>-8.4084999999999896E-2</v>
      </c>
      <c r="AE6962">
        <v>-6.4990000000001602E-2</v>
      </c>
      <c r="AF6962">
        <v>5.0134650099343897E-2</v>
      </c>
      <c r="AG6962">
        <v>-8.4084999999999896E-2</v>
      </c>
      <c r="AH6962">
        <v>0.76012873324345798</v>
      </c>
      <c r="AI6962">
        <v>96.298786976485403</v>
      </c>
      <c r="AJ6962">
        <v>86.226495170040195</v>
      </c>
      <c r="AK6962">
        <v>0.76640685113579698</v>
      </c>
      <c r="AL6962">
        <v>67.351019103812106</v>
      </c>
      <c r="AM6962">
        <v>97.512186850373496</v>
      </c>
      <c r="AN6962">
        <v>0.99999996323124396</v>
      </c>
    </row>
    <row r="6963" spans="1:40" x14ac:dyDescent="0.25">
      <c r="A6963" t="str">
        <f>"20190304164259489"</f>
        <v>20190304164259489</v>
      </c>
      <c r="B6963" t="str">
        <f>"1551688979477908"</f>
        <v>1551688979477908</v>
      </c>
      <c r="C6963" t="s">
        <v>40</v>
      </c>
      <c r="D6963">
        <v>4.5535670000000001</v>
      </c>
      <c r="E6963">
        <v>0.58125159999999998</v>
      </c>
      <c r="F6963" t="s">
        <v>41</v>
      </c>
      <c r="G6963">
        <v>-242.5239</v>
      </c>
      <c r="H6963">
        <v>1.0195449999999999</v>
      </c>
      <c r="I6963">
        <v>-63.045780000000001</v>
      </c>
      <c r="J6963">
        <v>-243.1183</v>
      </c>
      <c r="K6963">
        <v>1.10806</v>
      </c>
      <c r="L6963">
        <v>-63.006439999999998</v>
      </c>
      <c r="M6963">
        <v>0.99969830000000004</v>
      </c>
      <c r="N6963">
        <v>-1.453657E-2</v>
      </c>
      <c r="O6963">
        <v>-1.98009E-2</v>
      </c>
      <c r="P6963">
        <v>0.92236410000000002</v>
      </c>
      <c r="Q6963">
        <v>0.37156980000000001</v>
      </c>
      <c r="R6963">
        <v>0.105738899999999</v>
      </c>
      <c r="S6963">
        <v>3.4336549999999999</v>
      </c>
      <c r="T6963">
        <v>-0.39654400000000001</v>
      </c>
      <c r="U6963">
        <v>-0.19473270000000001</v>
      </c>
      <c r="V6963">
        <v>-0.1216285</v>
      </c>
      <c r="W6963">
        <v>0.385656</v>
      </c>
      <c r="X6963">
        <v>0.91459060000000003</v>
      </c>
      <c r="Y6963">
        <v>3.6666089999999998E-2</v>
      </c>
      <c r="Z6963">
        <v>-3.8617159999999997E-4</v>
      </c>
      <c r="AA6963">
        <v>0.99932750000000004</v>
      </c>
      <c r="AB6963">
        <v>38</v>
      </c>
      <c r="AC6963">
        <v>0.59440000000000703</v>
      </c>
      <c r="AD6963">
        <v>-8.8514999999999899E-2</v>
      </c>
      <c r="AE6963">
        <v>-3.9340000000002803E-2</v>
      </c>
      <c r="AF6963">
        <v>2.69660068099827E-2</v>
      </c>
      <c r="AG6963">
        <v>-8.8514999999999899E-2</v>
      </c>
      <c r="AH6963">
        <v>0.582207962695932</v>
      </c>
      <c r="AI6963">
        <v>98.635549700852096</v>
      </c>
      <c r="AJ6963">
        <v>87.3481383449097</v>
      </c>
      <c r="AK6963">
        <v>0.58951520979091199</v>
      </c>
      <c r="AL6963">
        <v>67.315528514288403</v>
      </c>
      <c r="AM6963">
        <v>97.575135799928702</v>
      </c>
      <c r="AN6963">
        <v>1.0000000039782999</v>
      </c>
    </row>
    <row r="6964" spans="1:40" x14ac:dyDescent="0.25">
      <c r="A6964" t="str">
        <f>"20190304164259503"</f>
        <v>20190304164259503</v>
      </c>
      <c r="B6964" t="str">
        <f>"1551688979498404"</f>
        <v>1551688979498404</v>
      </c>
      <c r="C6964" t="s">
        <v>40</v>
      </c>
      <c r="D6964">
        <v>4.9364889999999999</v>
      </c>
      <c r="E6964">
        <v>0.58123329999999995</v>
      </c>
      <c r="F6964" t="s">
        <v>41</v>
      </c>
      <c r="G6964">
        <v>-242.19669999999999</v>
      </c>
      <c r="H6964">
        <v>1.0025500000000001</v>
      </c>
      <c r="I6964">
        <v>-63.060049999999997</v>
      </c>
      <c r="J6964">
        <v>-242.89429999999999</v>
      </c>
      <c r="K6964">
        <v>1.108026</v>
      </c>
      <c r="L6964">
        <v>-63.012149999999998</v>
      </c>
      <c r="M6964">
        <v>0.9996642</v>
      </c>
      <c r="N6964">
        <v>-1.456871E-2</v>
      </c>
      <c r="O6964">
        <v>-2.1432090000000001E-2</v>
      </c>
      <c r="P6964">
        <v>0.92196219999999995</v>
      </c>
      <c r="Q6964">
        <v>0.37257970000000001</v>
      </c>
      <c r="R6964">
        <v>0.1056882</v>
      </c>
      <c r="S6964">
        <v>3.43364</v>
      </c>
      <c r="T6964">
        <v>-0.3929646</v>
      </c>
      <c r="U6964">
        <v>-0.19909669999999999</v>
      </c>
      <c r="V6964">
        <v>-0.1230271</v>
      </c>
      <c r="W6964">
        <v>0.38670719999999997</v>
      </c>
      <c r="X6964">
        <v>0.91395939999999998</v>
      </c>
      <c r="Y6964">
        <v>3.631479E-2</v>
      </c>
      <c r="Z6964">
        <v>-2.041837E-4</v>
      </c>
      <c r="AA6964">
        <v>0.99934040000000002</v>
      </c>
      <c r="AB6964">
        <v>37</v>
      </c>
      <c r="AC6964">
        <v>0.697599999999994</v>
      </c>
      <c r="AD6964">
        <v>-0.105475999999999</v>
      </c>
      <c r="AE6964">
        <v>-4.7899999999998499E-2</v>
      </c>
      <c r="AF6964">
        <v>3.2203632118314202E-2</v>
      </c>
      <c r="AG6964">
        <v>-0.105475999999999</v>
      </c>
      <c r="AH6964">
        <v>0.68292733004276696</v>
      </c>
      <c r="AI6964">
        <v>98.770189243461999</v>
      </c>
      <c r="AJ6964">
        <v>87.3002011762687</v>
      </c>
      <c r="AK6964">
        <v>0.69177452874253298</v>
      </c>
      <c r="AL6964">
        <v>67.250232635405297</v>
      </c>
      <c r="AM6964">
        <v>97.666441212699695</v>
      </c>
      <c r="AN6964">
        <v>0.99999995535730402</v>
      </c>
    </row>
    <row r="6965" spans="1:40" x14ac:dyDescent="0.25">
      <c r="A6965" t="str">
        <f>"20190304164259513"</f>
        <v>20190304164259513</v>
      </c>
      <c r="B6965" t="str">
        <f>"1551688979508164"</f>
        <v>1551688979508164</v>
      </c>
      <c r="C6965" t="s">
        <v>40</v>
      </c>
      <c r="D6965">
        <v>4.6970830000000001</v>
      </c>
      <c r="E6965">
        <v>0.57226290000000002</v>
      </c>
      <c r="F6965" t="s">
        <v>41</v>
      </c>
      <c r="G6965">
        <v>-241.86699999999999</v>
      </c>
      <c r="H6965">
        <v>0.99115819999999999</v>
      </c>
      <c r="I6965">
        <v>-63.072380000000003</v>
      </c>
      <c r="J6965">
        <v>-242.7114</v>
      </c>
      <c r="K6965">
        <v>1.1080030000000001</v>
      </c>
      <c r="L6965">
        <v>-63.017209999999999</v>
      </c>
      <c r="M6965">
        <v>0.99963429999999998</v>
      </c>
      <c r="N6965">
        <v>-1.4591929999999999E-2</v>
      </c>
      <c r="O6965">
        <v>-2.2764719999999999E-2</v>
      </c>
      <c r="P6965">
        <v>0.92155790000000004</v>
      </c>
      <c r="Q6965">
        <v>0.3735097</v>
      </c>
      <c r="R6965">
        <v>0.1059319</v>
      </c>
      <c r="S6965">
        <v>3.434952</v>
      </c>
      <c r="T6965">
        <v>-0.39079839999999999</v>
      </c>
      <c r="U6965">
        <v>-0.2013855</v>
      </c>
      <c r="V6965">
        <v>-0.12445779999999999</v>
      </c>
      <c r="W6965">
        <v>0.38766650000000002</v>
      </c>
      <c r="X6965">
        <v>0.91335920000000004</v>
      </c>
      <c r="Y6965">
        <v>3.5636979999999999E-2</v>
      </c>
      <c r="Z6965" s="1">
        <v>-3.2390469999999999E-5</v>
      </c>
      <c r="AA6965">
        <v>0.99936480000000005</v>
      </c>
      <c r="AB6965">
        <v>37</v>
      </c>
      <c r="AC6965">
        <v>0.84439999999997895</v>
      </c>
      <c r="AD6965">
        <v>-0.1168448</v>
      </c>
      <c r="AE6965">
        <v>-5.5170000000003903E-2</v>
      </c>
      <c r="AF6965">
        <v>3.5258857124892198E-2</v>
      </c>
      <c r="AG6965">
        <v>-0.1168448</v>
      </c>
      <c r="AH6965">
        <v>0.82961920632098696</v>
      </c>
      <c r="AI6965">
        <v>98.009754971457696</v>
      </c>
      <c r="AJ6965">
        <v>87.566391082722404</v>
      </c>
      <c r="AK6965">
        <v>0.83854869971246004</v>
      </c>
      <c r="AL6965">
        <v>67.190621128636494</v>
      </c>
      <c r="AM6965">
        <v>97.759550452657805</v>
      </c>
      <c r="AN6965">
        <v>1.0000000437138601</v>
      </c>
    </row>
    <row r="6966" spans="1:40" x14ac:dyDescent="0.25">
      <c r="A6966" t="str">
        <f>"20190304164259524"</f>
        <v>20190304164259524</v>
      </c>
      <c r="B6966" t="str">
        <f>"1551688979517924"</f>
        <v>1551688979517924</v>
      </c>
      <c r="C6966" t="s">
        <v>40</v>
      </c>
      <c r="D6966">
        <v>4.6174549999999996</v>
      </c>
      <c r="E6966">
        <v>0.57226290000000002</v>
      </c>
      <c r="F6966" t="s">
        <v>41</v>
      </c>
      <c r="G6966">
        <v>-241.85380000000001</v>
      </c>
      <c r="H6966">
        <v>1.016086</v>
      </c>
      <c r="I6966">
        <v>-63.050440000000002</v>
      </c>
      <c r="J6966">
        <v>-242.53039999999999</v>
      </c>
      <c r="K6966">
        <v>1.1079810000000001</v>
      </c>
      <c r="L6966">
        <v>-63.02234</v>
      </c>
      <c r="M6966">
        <v>0.99960320000000003</v>
      </c>
      <c r="N6966">
        <v>-1.4614169999999999E-2</v>
      </c>
      <c r="O6966">
        <v>-2.4082530000000001E-2</v>
      </c>
      <c r="P6966">
        <v>0.92123010000000005</v>
      </c>
      <c r="Q6966">
        <v>0.37409049999999999</v>
      </c>
      <c r="R6966">
        <v>0.1067313</v>
      </c>
      <c r="S6966">
        <v>3.4191280000000002</v>
      </c>
      <c r="T6966">
        <v>-0.36651410000000001</v>
      </c>
      <c r="U6966">
        <v>-0.13247679999999901</v>
      </c>
      <c r="V6966">
        <v>-0.12643370000000001</v>
      </c>
      <c r="W6966">
        <v>0.38828049999999997</v>
      </c>
      <c r="X6966">
        <v>0.91282680000000005</v>
      </c>
      <c r="Y6966">
        <v>1.464589E-2</v>
      </c>
      <c r="Z6966">
        <v>1.3318189999999999E-3</v>
      </c>
      <c r="AA6966">
        <v>0.99989189999999994</v>
      </c>
      <c r="AB6966">
        <v>37</v>
      </c>
      <c r="AC6966">
        <v>0.676599999999979</v>
      </c>
      <c r="AD6966">
        <v>-9.1894999999999796E-2</v>
      </c>
      <c r="AE6966">
        <v>-2.8100000000001998E-2</v>
      </c>
      <c r="AF6966">
        <v>1.1582576295146901E-2</v>
      </c>
      <c r="AG6966">
        <v>-9.1894999999999796E-2</v>
      </c>
      <c r="AH6966">
        <v>0.66483754527945005</v>
      </c>
      <c r="AI6966">
        <v>97.868478645085602</v>
      </c>
      <c r="AJ6966">
        <v>89.001913153304599</v>
      </c>
      <c r="AK6966">
        <v>0.67125837701427404</v>
      </c>
      <c r="AL6966">
        <v>67.152450604155305</v>
      </c>
      <c r="AM6966">
        <v>97.885744228266702</v>
      </c>
      <c r="AN6966">
        <v>0.99999999698708997</v>
      </c>
    </row>
    <row r="6967" spans="1:40" x14ac:dyDescent="0.25">
      <c r="A6967" t="str">
        <f>"20190304164259535"</f>
        <v>20190304164259535</v>
      </c>
      <c r="B6967" t="str">
        <f>"1551688979527685"</f>
        <v>1551688979527685</v>
      </c>
      <c r="C6967" t="s">
        <v>40</v>
      </c>
      <c r="D6967">
        <v>4.5971449999999896</v>
      </c>
      <c r="E6967">
        <v>0.51098690000000002</v>
      </c>
      <c r="F6967" t="s">
        <v>41</v>
      </c>
      <c r="G6967">
        <v>-241.52610000000001</v>
      </c>
      <c r="H6967">
        <v>1.0011110000000001</v>
      </c>
      <c r="I6967">
        <v>-63.060830000000003</v>
      </c>
      <c r="J6967">
        <v>-242.33670000000001</v>
      </c>
      <c r="K6967">
        <v>1.1079589999999999</v>
      </c>
      <c r="L6967">
        <v>-63.028199999999998</v>
      </c>
      <c r="M6967">
        <v>0.99956800000000001</v>
      </c>
      <c r="N6967">
        <v>-1.463568E-2</v>
      </c>
      <c r="O6967">
        <v>-2.5492890000000001E-2</v>
      </c>
      <c r="P6967">
        <v>0.9209117</v>
      </c>
      <c r="Q6967">
        <v>0.37474059999999998</v>
      </c>
      <c r="R6967">
        <v>0.1071976</v>
      </c>
      <c r="S6967">
        <v>3.4194640000000001</v>
      </c>
      <c r="T6967">
        <v>-0.363898</v>
      </c>
      <c r="U6967">
        <v>-0.13101199999999999</v>
      </c>
      <c r="V6967">
        <v>-0.128163</v>
      </c>
      <c r="W6967">
        <v>0.38896019999999998</v>
      </c>
      <c r="X6967">
        <v>0.91229610000000005</v>
      </c>
      <c r="Y6967">
        <v>1.2820700000000001E-2</v>
      </c>
      <c r="Z6967">
        <v>1.5574339999999999E-3</v>
      </c>
      <c r="AA6967">
        <v>0.99991660000000004</v>
      </c>
      <c r="AB6967">
        <v>37</v>
      </c>
      <c r="AC6967">
        <v>0.81059999999999299</v>
      </c>
      <c r="AD6967">
        <v>-0.106847999999999</v>
      </c>
      <c r="AE6967">
        <v>-3.26300000000046E-2</v>
      </c>
      <c r="AF6967">
        <v>1.17488423239314E-2</v>
      </c>
      <c r="AG6967">
        <v>-0.106847999999999</v>
      </c>
      <c r="AH6967">
        <v>0.79733726678149996</v>
      </c>
      <c r="AI6967">
        <v>97.6316906545091</v>
      </c>
      <c r="AJ6967">
        <v>89.155802200331607</v>
      </c>
      <c r="AK6967">
        <v>0.80455033863553005</v>
      </c>
      <c r="AL6967">
        <v>67.110184115982605</v>
      </c>
      <c r="AM6967">
        <v>97.996806332716304</v>
      </c>
      <c r="AN6967">
        <v>0.99999998291412395</v>
      </c>
    </row>
    <row r="6968" spans="1:40" x14ac:dyDescent="0.25">
      <c r="A6968" t="str">
        <f>"20190304164259547"</f>
        <v>20190304164259547</v>
      </c>
      <c r="B6968" t="str">
        <f>"1551688979538421"</f>
        <v>1551688979538421</v>
      </c>
      <c r="C6968" t="s">
        <v>40</v>
      </c>
      <c r="D6968">
        <v>4.5846730000000004</v>
      </c>
      <c r="E6968">
        <v>0.51013949999999997</v>
      </c>
      <c r="F6968" t="s">
        <v>66</v>
      </c>
      <c r="G6968">
        <v>-231.4614</v>
      </c>
      <c r="H6968" s="1">
        <v>-1.3402309999999999E-8</v>
      </c>
      <c r="I6968">
        <v>-61.884410000000003</v>
      </c>
      <c r="J6968">
        <v>-242.15520000000001</v>
      </c>
      <c r="K6968">
        <v>1.1079399999999999</v>
      </c>
      <c r="L6968">
        <v>-63.033869999999901</v>
      </c>
      <c r="M6968">
        <v>0.999533</v>
      </c>
      <c r="N6968">
        <v>-1.465459E-2</v>
      </c>
      <c r="O6968">
        <v>-2.6813500000000001E-2</v>
      </c>
      <c r="P6968">
        <v>0.92065050000000004</v>
      </c>
      <c r="Q6968">
        <v>0.3750851</v>
      </c>
      <c r="R6968">
        <v>0.1082304</v>
      </c>
      <c r="S6968">
        <v>3.3556520000000001</v>
      </c>
      <c r="T6968">
        <v>-0.34186850000000002</v>
      </c>
      <c r="U6968">
        <v>0.35290529999999998</v>
      </c>
      <c r="V6968">
        <v>-0.13038179999999999</v>
      </c>
      <c r="W6968">
        <v>0.38933479999999998</v>
      </c>
      <c r="X6968">
        <v>0.91182180000000002</v>
      </c>
      <c r="Y6968">
        <v>-0.13035639999999901</v>
      </c>
      <c r="Z6968">
        <v>9.8926910000000003E-3</v>
      </c>
      <c r="AA6968">
        <v>0.99141780000000002</v>
      </c>
      <c r="AB6968">
        <v>37</v>
      </c>
      <c r="AC6968">
        <v>10.6938</v>
      </c>
      <c r="AD6968">
        <v>-1.1079400134023101</v>
      </c>
      <c r="AE6968">
        <v>1.1494599999999899</v>
      </c>
      <c r="AF6968">
        <v>-1.42073936928378</v>
      </c>
      <c r="AG6968">
        <v>-1.1079400134023101</v>
      </c>
      <c r="AH6968">
        <v>10.5472075280552</v>
      </c>
      <c r="AI6968">
        <v>95.943400040779196</v>
      </c>
      <c r="AJ6968">
        <v>97.671728837047496</v>
      </c>
      <c r="AK6968">
        <v>10.6999821527232</v>
      </c>
      <c r="AL6968">
        <v>67.086884893594103</v>
      </c>
      <c r="AM6968">
        <v>98.137586807253101</v>
      </c>
      <c r="AN6968">
        <v>0.99999999760876002</v>
      </c>
    </row>
    <row r="6969" spans="1:40" x14ac:dyDescent="0.25">
      <c r="A6969" t="str">
        <f>"20190304164259557"</f>
        <v>20190304164259557</v>
      </c>
      <c r="B6969" t="str">
        <f>"1551688979548180"</f>
        <v>1551688979548180</v>
      </c>
      <c r="C6969" t="s">
        <v>40</v>
      </c>
      <c r="D6969">
        <v>4.5251989999999997</v>
      </c>
      <c r="E6969">
        <v>0.51006929999999995</v>
      </c>
      <c r="F6969" t="s">
        <v>66</v>
      </c>
      <c r="G6969">
        <v>-231.34389999999999</v>
      </c>
      <c r="H6969" s="1">
        <v>4.0568350000000002E-8</v>
      </c>
      <c r="I6969">
        <v>-61.87106</v>
      </c>
      <c r="J6969">
        <v>-241.965</v>
      </c>
      <c r="K6969">
        <v>1.1079220000000001</v>
      </c>
      <c r="L6969">
        <v>-63.040129999999998</v>
      </c>
      <c r="M6969">
        <v>0.99949469999999996</v>
      </c>
      <c r="N6969">
        <v>-1.4672899999999999E-2</v>
      </c>
      <c r="O6969">
        <v>-2.8198790000000001E-2</v>
      </c>
      <c r="P6969">
        <v>0.92047230000000002</v>
      </c>
      <c r="Q6969">
        <v>0.37500529999999999</v>
      </c>
      <c r="R6969">
        <v>0.11000839999999899</v>
      </c>
      <c r="S6969">
        <v>3.3562470000000002</v>
      </c>
      <c r="T6969">
        <v>-0.34394530000000001</v>
      </c>
      <c r="U6969">
        <v>0.3609619</v>
      </c>
      <c r="V6969">
        <v>-0.1334099</v>
      </c>
      <c r="W6969">
        <v>0.3892909</v>
      </c>
      <c r="X6969">
        <v>0.91140239999999995</v>
      </c>
      <c r="Y6969">
        <v>-0.1340277</v>
      </c>
      <c r="Z6969">
        <v>1.0282380000000001E-2</v>
      </c>
      <c r="AA6969">
        <v>0.99092420000000003</v>
      </c>
      <c r="AB6969">
        <v>37</v>
      </c>
      <c r="AC6969">
        <v>10.6211</v>
      </c>
      <c r="AD6969">
        <v>-1.1079219594316401</v>
      </c>
      <c r="AE6969">
        <v>1.1690700000000001</v>
      </c>
      <c r="AF6969">
        <v>-1.45252330541111</v>
      </c>
      <c r="AG6969">
        <v>-1.1079219594316401</v>
      </c>
      <c r="AH6969">
        <v>10.4713281921016</v>
      </c>
      <c r="AI6969">
        <v>95.982861520677901</v>
      </c>
      <c r="AJ6969">
        <v>97.897350427372302</v>
      </c>
      <c r="AK6969">
        <v>10.629488657863799</v>
      </c>
      <c r="AL6969">
        <v>67.089614960309504</v>
      </c>
      <c r="AM6969">
        <v>98.327739178815705</v>
      </c>
      <c r="AN6969">
        <v>0.99999997048328904</v>
      </c>
    </row>
    <row r="6970" spans="1:40" x14ac:dyDescent="0.25">
      <c r="A6970" t="str">
        <f>"20190304164259580"</f>
        <v>20190304164259580</v>
      </c>
      <c r="B6970" t="str">
        <f>"1551688979567702"</f>
        <v>1551688979567702</v>
      </c>
      <c r="C6970" t="s">
        <v>40</v>
      </c>
      <c r="D6970">
        <v>4.4998589999999998</v>
      </c>
      <c r="E6970">
        <v>0.5101232</v>
      </c>
      <c r="F6970" t="s">
        <v>66</v>
      </c>
      <c r="G6970">
        <v>-231.23699999999999</v>
      </c>
      <c r="H6970" s="1">
        <v>8.4863130000000005E-8</v>
      </c>
      <c r="I6970">
        <v>-61.876869999999997</v>
      </c>
      <c r="J6970">
        <v>-241.6019</v>
      </c>
      <c r="K6970">
        <v>1.107904</v>
      </c>
      <c r="L6970">
        <v>-63.052729999999997</v>
      </c>
      <c r="M6970">
        <v>0.99941619999999998</v>
      </c>
      <c r="N6970">
        <v>-1.4704190000000001E-2</v>
      </c>
      <c r="O6970">
        <v>-3.0841549999999999E-2</v>
      </c>
      <c r="P6970">
        <v>0.91995159999999998</v>
      </c>
      <c r="Q6970">
        <v>0.37526399999999999</v>
      </c>
      <c r="R6970">
        <v>0.113428399999999</v>
      </c>
      <c r="S6970">
        <v>3.3569339999999999</v>
      </c>
      <c r="T6970">
        <v>-0.34668510000000002</v>
      </c>
      <c r="U6970">
        <v>0.36398320000000001</v>
      </c>
      <c r="V6970">
        <v>-0.13921120000000001</v>
      </c>
      <c r="W6970">
        <v>0.38960929999999999</v>
      </c>
      <c r="X6970">
        <v>0.91039820000000005</v>
      </c>
      <c r="Y6970">
        <v>-0.13746240000000001</v>
      </c>
      <c r="Z6970">
        <v>1.079287E-2</v>
      </c>
      <c r="AA6970">
        <v>0.9904482</v>
      </c>
      <c r="AB6970">
        <v>37</v>
      </c>
      <c r="AC6970">
        <v>10.3649</v>
      </c>
      <c r="AD6970">
        <v>-1.1079039151368699</v>
      </c>
      <c r="AE6970">
        <v>1.1758599999999999</v>
      </c>
      <c r="AF6970">
        <v>-1.4783286528059401</v>
      </c>
      <c r="AG6970">
        <v>-1.1079039151368699</v>
      </c>
      <c r="AH6970">
        <v>10.208543624135901</v>
      </c>
      <c r="AI6970">
        <v>96.130452585616496</v>
      </c>
      <c r="AJ6970">
        <v>98.239886809747603</v>
      </c>
      <c r="AK6970">
        <v>10.374356347107399</v>
      </c>
      <c r="AL6970">
        <v>67.069809480739096</v>
      </c>
      <c r="AM6970">
        <v>98.693893401368797</v>
      </c>
      <c r="AN6970">
        <v>1.0000000237075799</v>
      </c>
    </row>
    <row r="6971" spans="1:40" x14ac:dyDescent="0.25">
      <c r="A6971" t="str">
        <f>"20190304164259592"</f>
        <v>20190304164259592</v>
      </c>
      <c r="B6971" t="str">
        <f>"1551688979588196"</f>
        <v>1551688979588196</v>
      </c>
      <c r="C6971" t="s">
        <v>40</v>
      </c>
      <c r="D6971">
        <v>4.4943220000000004</v>
      </c>
      <c r="E6971">
        <v>0.51055969999999995</v>
      </c>
      <c r="F6971" t="s">
        <v>66</v>
      </c>
      <c r="G6971">
        <v>-230.93020000000001</v>
      </c>
      <c r="H6971" s="1">
        <v>2.1521910000000001E-7</v>
      </c>
      <c r="I6971">
        <v>-61.881610000000002</v>
      </c>
      <c r="J6971">
        <v>-241.4153</v>
      </c>
      <c r="K6971">
        <v>1.1079000000000001</v>
      </c>
      <c r="L6971">
        <v>-63.059690000000003</v>
      </c>
      <c r="M6971">
        <v>0.99937330000000002</v>
      </c>
      <c r="N6971">
        <v>-1.4718129999999999E-2</v>
      </c>
      <c r="O6971">
        <v>-3.219665E-2</v>
      </c>
      <c r="P6971">
        <v>0.91986699999999999</v>
      </c>
      <c r="Q6971">
        <v>0.3751216</v>
      </c>
      <c r="R6971">
        <v>0.1145801</v>
      </c>
      <c r="S6971">
        <v>3.3578030000000001</v>
      </c>
      <c r="T6971">
        <v>-0.34859649999999998</v>
      </c>
      <c r="U6971">
        <v>0.3684692</v>
      </c>
      <c r="V6971">
        <v>-0.141595</v>
      </c>
      <c r="W6971">
        <v>0.38949339999999999</v>
      </c>
      <c r="X6971">
        <v>0.91008009999999995</v>
      </c>
      <c r="Y6971">
        <v>-0.1400544</v>
      </c>
      <c r="Z6971">
        <v>1.111939E-2</v>
      </c>
      <c r="AA6971">
        <v>0.9900814</v>
      </c>
      <c r="AB6971">
        <v>37</v>
      </c>
      <c r="AC6971">
        <v>10.4850999999999</v>
      </c>
      <c r="AD6971">
        <v>-1.10789978478089</v>
      </c>
      <c r="AE6971">
        <v>1.17808</v>
      </c>
      <c r="AF6971">
        <v>-1.4985679104633201</v>
      </c>
      <c r="AG6971">
        <v>-1.10789978478089</v>
      </c>
      <c r="AH6971">
        <v>10.327856333475999</v>
      </c>
      <c r="AI6971">
        <v>96.059893234519706</v>
      </c>
      <c r="AJ6971">
        <v>98.255976773697</v>
      </c>
      <c r="AK6971">
        <v>10.4946540753046</v>
      </c>
      <c r="AL6971">
        <v>67.077019552180701</v>
      </c>
      <c r="AM6971">
        <v>98.843473271536894</v>
      </c>
      <c r="AN6971">
        <v>1.0000000205422801</v>
      </c>
    </row>
    <row r="6972" spans="1:40" x14ac:dyDescent="0.25">
      <c r="A6972" t="str">
        <f>"20190304164259603"</f>
        <v>20190304164259603</v>
      </c>
      <c r="B6972" t="str">
        <f>"1551688979597956"</f>
        <v>1551688979597956</v>
      </c>
      <c r="C6972" t="s">
        <v>40</v>
      </c>
      <c r="D6972">
        <v>4.4630919999999996</v>
      </c>
      <c r="E6972">
        <v>0.51099319999999904</v>
      </c>
      <c r="F6972" t="s">
        <v>66</v>
      </c>
      <c r="G6972">
        <v>-230.9117</v>
      </c>
      <c r="H6972" s="1">
        <v>2.152533E-7</v>
      </c>
      <c r="I6972">
        <v>-61.911340000000003</v>
      </c>
      <c r="J6972">
        <v>-241.2175</v>
      </c>
      <c r="K6972">
        <v>1.107901</v>
      </c>
      <c r="L6972">
        <v>-63.0672</v>
      </c>
      <c r="M6972">
        <v>0.99932580000000004</v>
      </c>
      <c r="N6972">
        <v>-1.473229E-2</v>
      </c>
      <c r="O6972">
        <v>-3.362979E-2</v>
      </c>
      <c r="P6972">
        <v>0.92000999999999999</v>
      </c>
      <c r="Q6972">
        <v>0.37434980000000001</v>
      </c>
      <c r="R6972">
        <v>0.1159473</v>
      </c>
      <c r="S6972">
        <v>3.3601070000000002</v>
      </c>
      <c r="T6972">
        <v>-0.35441909999999999</v>
      </c>
      <c r="U6972">
        <v>0.3673401</v>
      </c>
      <c r="V6972">
        <v>-0.1442784</v>
      </c>
      <c r="W6972">
        <v>0.3887524</v>
      </c>
      <c r="X6972">
        <v>0.90997550000000005</v>
      </c>
      <c r="Y6972">
        <v>-0.14102909999999999</v>
      </c>
      <c r="Z6972">
        <v>1.1476E-2</v>
      </c>
      <c r="AA6972">
        <v>0.98993889999999995</v>
      </c>
      <c r="AB6972">
        <v>37</v>
      </c>
      <c r="AC6972">
        <v>10.3058</v>
      </c>
      <c r="AD6972">
        <v>-1.1079007847467</v>
      </c>
      <c r="AE6972">
        <v>1.1558599999999899</v>
      </c>
      <c r="AF6972">
        <v>-1.4848782636243201</v>
      </c>
      <c r="AG6972">
        <v>-1.1079007847467</v>
      </c>
      <c r="AH6972">
        <v>10.145302905927901</v>
      </c>
      <c r="AI6972">
        <v>96.167004862274098</v>
      </c>
      <c r="AJ6972">
        <v>98.326754985405401</v>
      </c>
      <c r="AK6972">
        <v>10.3130731918113</v>
      </c>
      <c r="AL6972">
        <v>67.123108821556897</v>
      </c>
      <c r="AM6972">
        <v>99.009363100704306</v>
      </c>
      <c r="AN6972">
        <v>1.0000000479062801</v>
      </c>
    </row>
    <row r="6973" spans="1:40" x14ac:dyDescent="0.25">
      <c r="A6973" t="str">
        <f>"20190304164259613"</f>
        <v>20190304164259613</v>
      </c>
      <c r="B6973" t="str">
        <f>"1551688979607716"</f>
        <v>1551688979607716</v>
      </c>
      <c r="C6973" t="s">
        <v>40</v>
      </c>
      <c r="D6973">
        <v>4.4486309999999998</v>
      </c>
      <c r="E6973">
        <v>0.51130109999999995</v>
      </c>
      <c r="F6973" t="s">
        <v>66</v>
      </c>
      <c r="G6973">
        <v>-230.86189999999999</v>
      </c>
      <c r="H6973" s="1">
        <v>2.3122130000000001E-7</v>
      </c>
      <c r="I6973">
        <v>-61.931640000000002</v>
      </c>
      <c r="J6973">
        <v>-241.03299999999999</v>
      </c>
      <c r="K6973">
        <v>1.107909</v>
      </c>
      <c r="L6973">
        <v>-63.074620000000003</v>
      </c>
      <c r="M6973">
        <v>0.99928019999999995</v>
      </c>
      <c r="N6973">
        <v>-1.4743600000000001E-2</v>
      </c>
      <c r="O6973">
        <v>-3.4952759999999999E-2</v>
      </c>
      <c r="P6973">
        <v>0.92020860000000004</v>
      </c>
      <c r="Q6973">
        <v>0.37353320000000001</v>
      </c>
      <c r="R6973">
        <v>0.1170001</v>
      </c>
      <c r="S6973">
        <v>3.3606720000000001</v>
      </c>
      <c r="T6973">
        <v>-0.35954309999999901</v>
      </c>
      <c r="U6973">
        <v>0.36849979999999999</v>
      </c>
      <c r="V6973">
        <v>-0.14655750000000001</v>
      </c>
      <c r="W6973">
        <v>0.38795970000000002</v>
      </c>
      <c r="X6973">
        <v>0.90994949999999997</v>
      </c>
      <c r="Y6973">
        <v>-0.14261489999999999</v>
      </c>
      <c r="Z6973">
        <v>1.184907E-2</v>
      </c>
      <c r="AA6973">
        <v>0.98970740000000001</v>
      </c>
      <c r="AB6973">
        <v>37</v>
      </c>
      <c r="AC6973">
        <v>10.1710999999999</v>
      </c>
      <c r="AD6973">
        <v>-1.1079087687786999</v>
      </c>
      <c r="AE6973">
        <v>1.1429799999999899</v>
      </c>
      <c r="AF6973">
        <v>-1.48048108811428</v>
      </c>
      <c r="AG6973">
        <v>-1.1079087687786999</v>
      </c>
      <c r="AH6973">
        <v>10.0076677248375</v>
      </c>
      <c r="AI6973">
        <v>96.249791885445205</v>
      </c>
      <c r="AJ6973">
        <v>98.415000310543206</v>
      </c>
      <c r="AK6973">
        <v>10.177067327229199</v>
      </c>
      <c r="AL6973">
        <v>67.172393651920899</v>
      </c>
      <c r="AM6973">
        <v>99.149548097274007</v>
      </c>
      <c r="AN6973">
        <v>0.99999996109029399</v>
      </c>
    </row>
    <row r="6974" spans="1:40" x14ac:dyDescent="0.25">
      <c r="A6974" t="str">
        <f>"20190304164259625"</f>
        <v>20190304164259625</v>
      </c>
      <c r="B6974" t="str">
        <f>"1551688979618452"</f>
        <v>1551688979618452</v>
      </c>
      <c r="C6974" t="s">
        <v>40</v>
      </c>
      <c r="D6974">
        <v>4.7166090000000001</v>
      </c>
      <c r="E6974">
        <v>0.51152580000000003</v>
      </c>
      <c r="F6974" t="s">
        <v>66</v>
      </c>
      <c r="G6974">
        <v>-230.85400000000001</v>
      </c>
      <c r="H6974" s="1">
        <v>2.2836709999999999E-7</v>
      </c>
      <c r="I6974">
        <v>-61.955060000000003</v>
      </c>
      <c r="J6974">
        <v>-240.84889999999999</v>
      </c>
      <c r="K6974">
        <v>1.1079190000000001</v>
      </c>
      <c r="L6974">
        <v>-63.082090000000001</v>
      </c>
      <c r="M6974">
        <v>0.99923340000000005</v>
      </c>
      <c r="N6974">
        <v>-1.4754339999999999E-2</v>
      </c>
      <c r="O6974">
        <v>-3.6264190000000002E-2</v>
      </c>
      <c r="P6974">
        <v>0.92033589999999998</v>
      </c>
      <c r="Q6974">
        <v>0.37281150000000002</v>
      </c>
      <c r="R6974">
        <v>0.11829389999999899</v>
      </c>
      <c r="S6974">
        <v>3.3616640000000002</v>
      </c>
      <c r="T6974">
        <v>-0.365894</v>
      </c>
      <c r="U6974">
        <v>0.36972050000000001</v>
      </c>
      <c r="V6974">
        <v>-0.14906649999999999</v>
      </c>
      <c r="W6974">
        <v>0.38725989999999999</v>
      </c>
      <c r="X6974">
        <v>0.90984010000000004</v>
      </c>
      <c r="Y6974">
        <v>-0.1441847</v>
      </c>
      <c r="Z6974">
        <v>1.2263899999999999E-2</v>
      </c>
      <c r="AA6974">
        <v>0.98947479999999999</v>
      </c>
      <c r="AB6974">
        <v>37</v>
      </c>
      <c r="AC6974">
        <v>9.9948999999999693</v>
      </c>
      <c r="AD6974">
        <v>-1.1079187716329</v>
      </c>
      <c r="AE6974">
        <v>1.12703</v>
      </c>
      <c r="AF6974">
        <v>-1.47093786716973</v>
      </c>
      <c r="AG6974">
        <v>-1.1079187716329</v>
      </c>
      <c r="AH6974">
        <v>9.8282024790175893</v>
      </c>
      <c r="AI6974">
        <v>96.361454300363704</v>
      </c>
      <c r="AJ6974">
        <v>98.511992641495894</v>
      </c>
      <c r="AK6974">
        <v>9.9992352798690494</v>
      </c>
      <c r="AL6974">
        <v>67.215891248985898</v>
      </c>
      <c r="AM6974">
        <v>99.304567085017794</v>
      </c>
      <c r="AN6974">
        <v>1.00000002956913</v>
      </c>
    </row>
    <row r="6975" spans="1:40" x14ac:dyDescent="0.25">
      <c r="A6975" t="str">
        <f>"20190304164259635"</f>
        <v>20190304164259635</v>
      </c>
      <c r="B6975" t="str">
        <f>"1551688979628212"</f>
        <v>1551688979628212</v>
      </c>
      <c r="C6975" t="s">
        <v>40</v>
      </c>
      <c r="D6975">
        <v>4.4741179999999998</v>
      </c>
      <c r="E6975">
        <v>0.51171080000000002</v>
      </c>
      <c r="F6975" t="s">
        <v>66</v>
      </c>
      <c r="G6975">
        <v>-230.67410000000001</v>
      </c>
      <c r="H6975" s="1">
        <v>3.0523139999999998E-7</v>
      </c>
      <c r="I6975">
        <v>-61.956270000000004</v>
      </c>
      <c r="J6975">
        <v>-240.67140000000001</v>
      </c>
      <c r="K6975">
        <v>1.107942</v>
      </c>
      <c r="L6975">
        <v>-63.089599999999997</v>
      </c>
      <c r="M6975">
        <v>0.99918709999999999</v>
      </c>
      <c r="N6975">
        <v>-1.4763399999999999E-2</v>
      </c>
      <c r="O6975">
        <v>-3.7510670000000003E-2</v>
      </c>
      <c r="P6975">
        <v>0.92041790000000001</v>
      </c>
      <c r="Q6975">
        <v>0.37201529999999999</v>
      </c>
      <c r="R6975">
        <v>0.1201489</v>
      </c>
      <c r="S6975">
        <v>3.3600919999999999</v>
      </c>
      <c r="T6975">
        <v>-0.36587330000000001</v>
      </c>
      <c r="U6975">
        <v>0.37176510000000001</v>
      </c>
      <c r="V6975">
        <v>-0.15208379999999999</v>
      </c>
      <c r="W6975">
        <v>0.38648470000000001</v>
      </c>
      <c r="X6975">
        <v>0.90967030000000004</v>
      </c>
      <c r="Y6975">
        <v>-0.14604519999999999</v>
      </c>
      <c r="Z6975">
        <v>1.249989E-2</v>
      </c>
      <c r="AA6975">
        <v>0.98919889999999999</v>
      </c>
      <c r="AB6975">
        <v>37</v>
      </c>
      <c r="AC6975">
        <v>9.9972999999999903</v>
      </c>
      <c r="AD6975">
        <v>-1.1079416947686</v>
      </c>
      <c r="AE6975">
        <v>1.1333299999999999</v>
      </c>
      <c r="AF6975">
        <v>-1.4895164503732401</v>
      </c>
      <c r="AG6975">
        <v>-1.1079416947686</v>
      </c>
      <c r="AH6975">
        <v>9.82856347054582</v>
      </c>
      <c r="AI6975">
        <v>96.359602133909107</v>
      </c>
      <c r="AJ6975">
        <v>98.617586681343994</v>
      </c>
      <c r="AK6975">
        <v>10.002342423127001</v>
      </c>
      <c r="AL6975">
        <v>67.264056296402799</v>
      </c>
      <c r="AM6975">
        <v>99.491250412457404</v>
      </c>
      <c r="AN6975">
        <v>0.99999998012931002</v>
      </c>
    </row>
    <row r="6976" spans="1:40" x14ac:dyDescent="0.25">
      <c r="A6976" t="str">
        <f>"20190304164259646"</f>
        <v>20190304164259646</v>
      </c>
      <c r="B6976" t="str">
        <f>"1551688979637972"</f>
        <v>1551688979637972</v>
      </c>
      <c r="C6976" t="s">
        <v>40</v>
      </c>
      <c r="D6976">
        <v>4.4739019999999998</v>
      </c>
      <c r="E6976">
        <v>0.51195849999999998</v>
      </c>
      <c r="F6976" t="s">
        <v>66</v>
      </c>
      <c r="G6976">
        <v>-230.48519999999999</v>
      </c>
      <c r="H6976" s="1">
        <v>3.8733620000000001E-7</v>
      </c>
      <c r="I6976">
        <v>-61.952219999999997</v>
      </c>
      <c r="J6976">
        <v>-240.48939999999999</v>
      </c>
      <c r="K6976">
        <v>1.107972</v>
      </c>
      <c r="L6976">
        <v>-63.097499999999997</v>
      </c>
      <c r="M6976">
        <v>0.99913909999999995</v>
      </c>
      <c r="N6976">
        <v>-1.4771930000000001E-2</v>
      </c>
      <c r="O6976">
        <v>-3.876694E-2</v>
      </c>
      <c r="P6976">
        <v>0.92031229999999997</v>
      </c>
      <c r="Q6976">
        <v>0.371641</v>
      </c>
      <c r="R6976">
        <v>0.12209970000000001</v>
      </c>
      <c r="S6976">
        <v>3.3580779999999999</v>
      </c>
      <c r="T6976">
        <v>-0.36525289999999999</v>
      </c>
      <c r="U6976">
        <v>0.37493900000000002</v>
      </c>
      <c r="V6976">
        <v>-0.1552027</v>
      </c>
      <c r="W6976">
        <v>0.38612400000000002</v>
      </c>
      <c r="X6976">
        <v>0.90929660000000001</v>
      </c>
      <c r="Y6976">
        <v>-0.1482591</v>
      </c>
      <c r="Z6976">
        <v>1.274017E-2</v>
      </c>
      <c r="AA6976">
        <v>0.98886649999999998</v>
      </c>
      <c r="AB6976">
        <v>37</v>
      </c>
      <c r="AC6976">
        <v>10.0041999999999</v>
      </c>
      <c r="AD6976">
        <v>-1.1079716126638</v>
      </c>
      <c r="AE6976">
        <v>1.1452799999999901</v>
      </c>
      <c r="AF6976">
        <v>-1.5139638062690399</v>
      </c>
      <c r="AG6976">
        <v>-1.1079716126638</v>
      </c>
      <c r="AH6976">
        <v>9.83322297719738</v>
      </c>
      <c r="AI6976">
        <v>96.354511673913194</v>
      </c>
      <c r="AJ6976">
        <v>98.752766447075899</v>
      </c>
      <c r="AK6976">
        <v>10.0105924710001</v>
      </c>
      <c r="AL6976">
        <v>67.2864618423243</v>
      </c>
      <c r="AM6976">
        <v>99.686150071435804</v>
      </c>
      <c r="AN6976">
        <v>0.99999996411742398</v>
      </c>
    </row>
    <row r="6977" spans="1:40" x14ac:dyDescent="0.25">
      <c r="A6977" t="str">
        <f>"20190304164259658"</f>
        <v>20190304164259658</v>
      </c>
      <c r="B6977" t="str">
        <f>"1551688979647732"</f>
        <v>1551688979647732</v>
      </c>
      <c r="C6977" t="s">
        <v>40</v>
      </c>
      <c r="D6977">
        <v>4.4955489999999996</v>
      </c>
      <c r="E6977">
        <v>0.51225169999999998</v>
      </c>
      <c r="F6977" t="s">
        <v>66</v>
      </c>
      <c r="G6977">
        <v>-230.3963</v>
      </c>
      <c r="H6977" s="1">
        <v>4.225586E-7</v>
      </c>
      <c r="I6977">
        <v>-61.963250000000002</v>
      </c>
      <c r="J6977">
        <v>-240.29859999999999</v>
      </c>
      <c r="K6977">
        <v>1.1080110000000001</v>
      </c>
      <c r="L6977">
        <v>-63.105989999999998</v>
      </c>
      <c r="M6977">
        <v>0.99908830000000004</v>
      </c>
      <c r="N6977">
        <v>-1.4779860000000001E-2</v>
      </c>
      <c r="O6977">
        <v>-4.0053760000000001E-2</v>
      </c>
      <c r="P6977">
        <v>0.92019169999999995</v>
      </c>
      <c r="Q6977">
        <v>0.37131389999999997</v>
      </c>
      <c r="R6977">
        <v>0.1239899</v>
      </c>
      <c r="S6977">
        <v>3.3585820000000002</v>
      </c>
      <c r="T6977">
        <v>-0.36868630000000002</v>
      </c>
      <c r="U6977">
        <v>0.37741089999999999</v>
      </c>
      <c r="V6977">
        <v>-0.15829939999999901</v>
      </c>
      <c r="W6977">
        <v>0.3858047</v>
      </c>
      <c r="X6977">
        <v>0.90889830000000005</v>
      </c>
      <c r="Y6977">
        <v>-0.1501952</v>
      </c>
      <c r="Z6977">
        <v>1.309398E-2</v>
      </c>
      <c r="AA6977">
        <v>0.98856960000000005</v>
      </c>
      <c r="AB6977">
        <v>37</v>
      </c>
      <c r="AC6977">
        <v>9.9022999999999897</v>
      </c>
      <c r="AD6977">
        <v>-1.10801057744139</v>
      </c>
      <c r="AE6977">
        <v>1.1427400000000001</v>
      </c>
      <c r="AF6977">
        <v>-1.5197131808536199</v>
      </c>
      <c r="AG6977">
        <v>-1.10801057744139</v>
      </c>
      <c r="AH6977">
        <v>9.7283742617527604</v>
      </c>
      <c r="AI6977">
        <v>96.420482686463203</v>
      </c>
      <c r="AJ6977">
        <v>98.878673957805702</v>
      </c>
      <c r="AK6977">
        <v>9.9085055063069891</v>
      </c>
      <c r="AL6977">
        <v>67.306294925065998</v>
      </c>
      <c r="AM6977">
        <v>99.879887570220802</v>
      </c>
      <c r="AN6977">
        <v>1.0000000431626599</v>
      </c>
    </row>
    <row r="6978" spans="1:40" x14ac:dyDescent="0.25">
      <c r="A6978" t="str">
        <f>"20190304164259669"</f>
        <v>20190304164259669</v>
      </c>
      <c r="B6978" t="str">
        <f>"1551688979658469"</f>
        <v>1551688979658469</v>
      </c>
      <c r="C6978" t="s">
        <v>40</v>
      </c>
      <c r="D6978">
        <v>4.4899009999999997</v>
      </c>
      <c r="E6978">
        <v>0.51250209999999996</v>
      </c>
      <c r="F6978" t="s">
        <v>66</v>
      </c>
      <c r="G6978">
        <v>-230.28440000000001</v>
      </c>
      <c r="H6978" s="1">
        <v>4.6779500000000001E-7</v>
      </c>
      <c r="I6978">
        <v>-61.973640000000003</v>
      </c>
      <c r="J6978">
        <v>-240.1183</v>
      </c>
      <c r="K6978">
        <v>1.1080680000000001</v>
      </c>
      <c r="L6978">
        <v>-63.114229999999999</v>
      </c>
      <c r="M6978">
        <v>0.99904090000000001</v>
      </c>
      <c r="N6978">
        <v>-1.478612E-2</v>
      </c>
      <c r="O6978">
        <v>-4.1214880000000002E-2</v>
      </c>
      <c r="P6978">
        <v>0.92002010000000001</v>
      </c>
      <c r="Q6978">
        <v>0.37104949999999998</v>
      </c>
      <c r="R6978">
        <v>0.12603789999999901</v>
      </c>
      <c r="S6978">
        <v>3.358978</v>
      </c>
      <c r="T6978">
        <v>-0.37164900000000001</v>
      </c>
      <c r="U6978">
        <v>0.3797913</v>
      </c>
      <c r="V6978">
        <v>-0.16145000000000001</v>
      </c>
      <c r="W6978">
        <v>0.38553939999999998</v>
      </c>
      <c r="X6978">
        <v>0.90845659999999895</v>
      </c>
      <c r="Y6978">
        <v>-0.15198680000000001</v>
      </c>
      <c r="Z6978">
        <v>1.341527E-2</v>
      </c>
      <c r="AA6978">
        <v>0.98829149999999999</v>
      </c>
      <c r="AB6978">
        <v>37</v>
      </c>
      <c r="AC6978">
        <v>9.8338999999999999</v>
      </c>
      <c r="AD6978">
        <v>-1.108067532205</v>
      </c>
      <c r="AE6978">
        <v>1.14059</v>
      </c>
      <c r="AF6978">
        <v>-1.52585226637307</v>
      </c>
      <c r="AG6978">
        <v>-1.108067532205</v>
      </c>
      <c r="AH6978">
        <v>9.6575394940390193</v>
      </c>
      <c r="AI6978">
        <v>96.465755526075696</v>
      </c>
      <c r="AJ6978">
        <v>98.978285361161994</v>
      </c>
      <c r="AK6978">
        <v>9.8399241802793398</v>
      </c>
      <c r="AL6978">
        <v>67.322770548956399</v>
      </c>
      <c r="AM6978">
        <v>100.077333503548</v>
      </c>
      <c r="AN6978">
        <v>1.0000000627679499</v>
      </c>
    </row>
    <row r="6979" spans="1:40" x14ac:dyDescent="0.25">
      <c r="A6979" t="str">
        <f>"20190304164259679"</f>
        <v>20190304164259679</v>
      </c>
      <c r="B6979" t="str">
        <f>"1551688979668229"</f>
        <v>1551688979668229</v>
      </c>
      <c r="C6979" t="s">
        <v>40</v>
      </c>
      <c r="D6979">
        <v>4.4874460000000003</v>
      </c>
      <c r="E6979">
        <v>0.51269100000000001</v>
      </c>
      <c r="F6979" t="s">
        <v>66</v>
      </c>
      <c r="G6979">
        <v>-230.1635</v>
      </c>
      <c r="H6979" s="1">
        <v>5.1788560000000001E-7</v>
      </c>
      <c r="I6979">
        <v>-61.980339999999998</v>
      </c>
      <c r="J6979">
        <v>-239.9298</v>
      </c>
      <c r="K6979">
        <v>1.108131</v>
      </c>
      <c r="L6979">
        <v>-63.122990000000001</v>
      </c>
      <c r="M6979">
        <v>0.99899139999999997</v>
      </c>
      <c r="N6979">
        <v>-1.4792090000000001E-2</v>
      </c>
      <c r="O6979">
        <v>-4.2398579999999998E-2</v>
      </c>
      <c r="P6979">
        <v>0.91996979999999995</v>
      </c>
      <c r="Q6979">
        <v>0.37058479999999999</v>
      </c>
      <c r="R6979">
        <v>0.1277607</v>
      </c>
      <c r="S6979">
        <v>3.3591769999999999</v>
      </c>
      <c r="T6979">
        <v>-0.37390640000000003</v>
      </c>
      <c r="U6979">
        <v>0.38259890000000002</v>
      </c>
      <c r="V6979">
        <v>-0.16431289999999901</v>
      </c>
      <c r="W6979">
        <v>0.38506859999999998</v>
      </c>
      <c r="X6979">
        <v>0.90814289999999998</v>
      </c>
      <c r="Y6979">
        <v>-0.15393309999999999</v>
      </c>
      <c r="Z6979">
        <v>1.372784E-2</v>
      </c>
      <c r="AA6979">
        <v>0.98798589999999997</v>
      </c>
      <c r="AB6979">
        <v>37</v>
      </c>
      <c r="AC6979">
        <v>9.7662999999999993</v>
      </c>
      <c r="AD6979">
        <v>-1.1081304821144</v>
      </c>
      <c r="AE6979">
        <v>1.14264999999999</v>
      </c>
      <c r="AF6979">
        <v>-1.5362340135783299</v>
      </c>
      <c r="AG6979">
        <v>-1.1081304821144</v>
      </c>
      <c r="AH6979">
        <v>9.5873014972750408</v>
      </c>
      <c r="AI6979">
        <v>96.510841312113797</v>
      </c>
      <c r="AJ6979">
        <v>99.103479196814106</v>
      </c>
      <c r="AK6979">
        <v>9.7726310740515707</v>
      </c>
      <c r="AL6979">
        <v>67.352001887652193</v>
      </c>
      <c r="AM6979">
        <v>100.255737308902</v>
      </c>
      <c r="AN6979">
        <v>1.0000000413163801</v>
      </c>
    </row>
    <row r="6980" spans="1:40" x14ac:dyDescent="0.25">
      <c r="A6980" t="str">
        <f>"20190304164259693"</f>
        <v>20190304164259693</v>
      </c>
      <c r="B6980" t="str">
        <f>"1551688979687748"</f>
        <v>1551688979687748</v>
      </c>
      <c r="C6980" t="s">
        <v>40</v>
      </c>
      <c r="D6980">
        <v>4.5024470000000001</v>
      </c>
      <c r="E6980">
        <v>0.512853</v>
      </c>
      <c r="F6980" t="s">
        <v>66</v>
      </c>
      <c r="G6980">
        <v>-230.0566</v>
      </c>
      <c r="H6980" s="1">
        <v>5.6100629999999999E-7</v>
      </c>
      <c r="I6980">
        <v>-61.990549999999999</v>
      </c>
      <c r="J6980">
        <v>-239.7328</v>
      </c>
      <c r="K6980">
        <v>1.108231</v>
      </c>
      <c r="L6980">
        <v>-63.132390000000001</v>
      </c>
      <c r="M6980">
        <v>0.99894320000000003</v>
      </c>
      <c r="N6980">
        <v>-1.479638E-2</v>
      </c>
      <c r="O6980">
        <v>-4.3519639999999998E-2</v>
      </c>
      <c r="P6980">
        <v>0.91993939999999996</v>
      </c>
      <c r="Q6980">
        <v>0.37010920000000003</v>
      </c>
      <c r="R6980">
        <v>0.1293494</v>
      </c>
      <c r="S6980">
        <v>3.3593289999999998</v>
      </c>
      <c r="T6980">
        <v>-0.37703680000000001</v>
      </c>
      <c r="U6980">
        <v>0.38528440000000003</v>
      </c>
      <c r="V6980">
        <v>-0.16701820000000001</v>
      </c>
      <c r="W6980">
        <v>0.38456859999999998</v>
      </c>
      <c r="X6980">
        <v>0.90786120000000003</v>
      </c>
      <c r="Y6980">
        <v>-0.15577739999999901</v>
      </c>
      <c r="Z6980">
        <v>1.406205E-2</v>
      </c>
      <c r="AA6980">
        <v>0.98769209999999996</v>
      </c>
      <c r="AB6980">
        <v>37</v>
      </c>
      <c r="AC6980">
        <v>9.6761999999999908</v>
      </c>
      <c r="AD6980">
        <v>-1.1082304389937001</v>
      </c>
      <c r="AE6980">
        <v>1.14184</v>
      </c>
      <c r="AF6980">
        <v>-1.5419598711046001</v>
      </c>
      <c r="AG6980">
        <v>-1.1082304389937001</v>
      </c>
      <c r="AH6980">
        <v>9.4944991494070798</v>
      </c>
      <c r="AI6980">
        <v>96.572291430839599</v>
      </c>
      <c r="AJ6980">
        <v>99.224616828484599</v>
      </c>
      <c r="AK6980">
        <v>9.6825269970241106</v>
      </c>
      <c r="AL6980">
        <v>67.383039507847499</v>
      </c>
      <c r="AM6980">
        <v>100.42408336349401</v>
      </c>
      <c r="AN6980">
        <v>1.00000002285131</v>
      </c>
    </row>
    <row r="6981" spans="1:40" x14ac:dyDescent="0.25">
      <c r="A6981" t="str">
        <f>"20190304164259703"</f>
        <v>20190304164259703</v>
      </c>
      <c r="B6981" t="str">
        <f>"1551688979698014"</f>
        <v>1551688979698014</v>
      </c>
      <c r="C6981" t="s">
        <v>40</v>
      </c>
      <c r="D6981">
        <v>4.5061299999999997</v>
      </c>
      <c r="E6981">
        <v>0.51293029999999995</v>
      </c>
      <c r="F6981" t="s">
        <v>67</v>
      </c>
      <c r="G6981">
        <v>-229.95150000000001</v>
      </c>
      <c r="H6981" s="1">
        <v>-3.6117020000000001E-6</v>
      </c>
      <c r="I6981">
        <v>-62.002859999999998</v>
      </c>
      <c r="J6981">
        <v>-239.5489</v>
      </c>
      <c r="K6981">
        <v>1.108331</v>
      </c>
      <c r="L6981">
        <v>-63.141240000000003</v>
      </c>
      <c r="M6981">
        <v>0.99889859999999997</v>
      </c>
      <c r="N6981">
        <v>-1.480007E-2</v>
      </c>
      <c r="O6981">
        <v>-4.4528949999999998E-2</v>
      </c>
      <c r="P6981">
        <v>0.91991400000000001</v>
      </c>
      <c r="Q6981">
        <v>0.3696758</v>
      </c>
      <c r="R6981">
        <v>0.13076019999999999</v>
      </c>
      <c r="S6981">
        <v>3.3596650000000001</v>
      </c>
      <c r="T6981">
        <v>-0.38065589999999999</v>
      </c>
      <c r="U6981">
        <v>0.38796999999999998</v>
      </c>
      <c r="V6981">
        <v>-0.1694447</v>
      </c>
      <c r="W6981">
        <v>0.38410729999999998</v>
      </c>
      <c r="X6981">
        <v>0.90760680000000005</v>
      </c>
      <c r="Y6981">
        <v>-0.1575019</v>
      </c>
      <c r="Z6981">
        <v>1.4398340000000001E-2</v>
      </c>
      <c r="AA6981">
        <v>0.98741369999999895</v>
      </c>
      <c r="AB6981">
        <v>37</v>
      </c>
      <c r="AC6981">
        <v>9.5973999999999897</v>
      </c>
      <c r="AD6981">
        <v>-1.1083346117020001</v>
      </c>
      <c r="AE6981">
        <v>1.1383799999999999</v>
      </c>
      <c r="AF6981">
        <v>-1.5443493597717</v>
      </c>
      <c r="AG6981">
        <v>-1.1083346117020001</v>
      </c>
      <c r="AH6981">
        <v>9.4133840217320497</v>
      </c>
      <c r="AI6981">
        <v>96.627313731581296</v>
      </c>
      <c r="AJ6981">
        <v>99.316884806908305</v>
      </c>
      <c r="AK6981">
        <v>9.6033962376403093</v>
      </c>
      <c r="AL6981">
        <v>67.411668797273705</v>
      </c>
      <c r="AM6981">
        <v>100.575034084636</v>
      </c>
      <c r="AN6981">
        <v>1.0000000138388101</v>
      </c>
    </row>
    <row r="6982" spans="1:40" x14ac:dyDescent="0.25">
      <c r="A6982" t="str">
        <f>"20190304164259713"</f>
        <v>20190304164259713</v>
      </c>
      <c r="B6982" t="str">
        <f>"1551688979707775"</f>
        <v>1551688979707775</v>
      </c>
      <c r="C6982" t="s">
        <v>40</v>
      </c>
      <c r="D6982">
        <v>4.5056750000000001</v>
      </c>
      <c r="E6982">
        <v>0.51303279999999996</v>
      </c>
      <c r="F6982" t="s">
        <v>67</v>
      </c>
      <c r="G6982">
        <v>-229.83179999999999</v>
      </c>
      <c r="H6982" s="1">
        <v>-3.5718470000000001E-6</v>
      </c>
      <c r="I6982">
        <v>-62.009619999999998</v>
      </c>
      <c r="J6982">
        <v>-239.3664</v>
      </c>
      <c r="K6982">
        <v>1.1084639999999999</v>
      </c>
      <c r="L6982">
        <v>-63.150210000000001</v>
      </c>
      <c r="M6982">
        <v>0.99885979999999996</v>
      </c>
      <c r="N6982">
        <v>-1.4802330000000001E-2</v>
      </c>
      <c r="O6982">
        <v>-4.5388230000000002E-2</v>
      </c>
      <c r="P6982">
        <v>0.91997949999999995</v>
      </c>
      <c r="Q6982">
        <v>0.36902459999999998</v>
      </c>
      <c r="R6982">
        <v>0.1321312</v>
      </c>
      <c r="S6982">
        <v>3.3595280000000001</v>
      </c>
      <c r="T6982">
        <v>-0.38318750000000001</v>
      </c>
      <c r="U6982">
        <v>0.39123540000000001</v>
      </c>
      <c r="V6982">
        <v>-0.17173060000000001</v>
      </c>
      <c r="W6982">
        <v>0.38341330000000001</v>
      </c>
      <c r="X6982">
        <v>0.90747060000000002</v>
      </c>
      <c r="Y6982">
        <v>-0.1592682</v>
      </c>
      <c r="Z6982">
        <v>1.468816E-2</v>
      </c>
      <c r="AA6982">
        <v>0.98712610000000001</v>
      </c>
      <c r="AB6982">
        <v>37</v>
      </c>
      <c r="AC6982">
        <v>9.53460000000001</v>
      </c>
      <c r="AD6982">
        <v>-1.1084675718469901</v>
      </c>
      <c r="AE6982">
        <v>1.14058999999999</v>
      </c>
      <c r="AF6982">
        <v>-1.5515458054339399</v>
      </c>
      <c r="AG6982">
        <v>-1.1084675718469901</v>
      </c>
      <c r="AH6982">
        <v>9.3484280429891005</v>
      </c>
      <c r="AI6982">
        <v>96.671713336716905</v>
      </c>
      <c r="AJ6982">
        <v>99.423404250193499</v>
      </c>
      <c r="AK6982">
        <v>9.5409172315423092</v>
      </c>
      <c r="AL6982">
        <v>67.454729311704995</v>
      </c>
      <c r="AM6982">
        <v>100.71598628570101</v>
      </c>
      <c r="AN6982">
        <v>1.0000000237288</v>
      </c>
    </row>
    <row r="6983" spans="1:40" x14ac:dyDescent="0.25">
      <c r="A6983" t="str">
        <f>"20190304164259725"</f>
        <v>20190304164259725</v>
      </c>
      <c r="B6983" t="str">
        <f>"1551688979718511"</f>
        <v>1551688979718511</v>
      </c>
      <c r="C6983" t="s">
        <v>40</v>
      </c>
      <c r="D6983">
        <v>4.5028220000000001</v>
      </c>
      <c r="E6983">
        <v>0.51311620000000002</v>
      </c>
      <c r="F6983" t="s">
        <v>67</v>
      </c>
      <c r="G6983">
        <v>-229.73089999999999</v>
      </c>
      <c r="H6983" s="1">
        <v>-3.538843E-6</v>
      </c>
      <c r="I6983">
        <v>-62.019550000000002</v>
      </c>
      <c r="J6983">
        <v>-239.185</v>
      </c>
      <c r="K6983">
        <v>1.1086009999999999</v>
      </c>
      <c r="L6983">
        <v>-63.159120000000001</v>
      </c>
      <c r="M6983">
        <v>0.99882309999999996</v>
      </c>
      <c r="N6983">
        <v>-1.4804499999999899E-2</v>
      </c>
      <c r="O6983">
        <v>-4.6189210000000001E-2</v>
      </c>
      <c r="P6983">
        <v>0.92010179999999997</v>
      </c>
      <c r="Q6983">
        <v>0.3682822</v>
      </c>
      <c r="R6983">
        <v>0.1333461</v>
      </c>
      <c r="S6983">
        <v>3.3593600000000001</v>
      </c>
      <c r="T6983">
        <v>-0.38645980000000002</v>
      </c>
      <c r="U6983">
        <v>0.39419559999999998</v>
      </c>
      <c r="V6983">
        <v>-0.1738161</v>
      </c>
      <c r="W6983">
        <v>0.38262269999999998</v>
      </c>
      <c r="X6983">
        <v>0.90740719999999997</v>
      </c>
      <c r="Y6983">
        <v>-0.16088440000000001</v>
      </c>
      <c r="Z6983">
        <v>1.499286E-2</v>
      </c>
      <c r="AA6983">
        <v>0.98685940000000005</v>
      </c>
      <c r="AB6983">
        <v>37</v>
      </c>
      <c r="AC6983">
        <v>9.4541000000000093</v>
      </c>
      <c r="AD6983">
        <v>-1.1086045388429999</v>
      </c>
      <c r="AE6983">
        <v>1.13956999999999</v>
      </c>
      <c r="AF6983">
        <v>-1.55401649590835</v>
      </c>
      <c r="AG6983">
        <v>-1.1086045388429999</v>
      </c>
      <c r="AH6983">
        <v>9.2657830132590409</v>
      </c>
      <c r="AI6983">
        <v>96.729610224427603</v>
      </c>
      <c r="AJ6983">
        <v>99.520788218624403</v>
      </c>
      <c r="AK6983">
        <v>9.46037558143958</v>
      </c>
      <c r="AL6983">
        <v>67.503766284021296</v>
      </c>
      <c r="AM6983">
        <v>100.843793937608</v>
      </c>
      <c r="AN6983">
        <v>0.99999999689316998</v>
      </c>
    </row>
    <row r="6984" spans="1:40" x14ac:dyDescent="0.25">
      <c r="A6984" t="str">
        <f>"20190304164259736"</f>
        <v>20190304164259736</v>
      </c>
      <c r="B6984" t="str">
        <f>"1551688979728270"</f>
        <v>1551688979728270</v>
      </c>
      <c r="C6984" t="s">
        <v>40</v>
      </c>
      <c r="D6984">
        <v>4.5155539999999998</v>
      </c>
      <c r="E6984">
        <v>0.51323090000000005</v>
      </c>
      <c r="F6984" t="s">
        <v>67</v>
      </c>
      <c r="G6984">
        <v>-229.62139999999999</v>
      </c>
      <c r="H6984" s="1">
        <v>-3.5027139999999999E-6</v>
      </c>
      <c r="I6984">
        <v>-62.028019999999998</v>
      </c>
      <c r="J6984">
        <v>-239.00380000000001</v>
      </c>
      <c r="K6984">
        <v>1.108757</v>
      </c>
      <c r="L6984">
        <v>-63.168120000000002</v>
      </c>
      <c r="M6984">
        <v>0.99879130000000005</v>
      </c>
      <c r="N6984">
        <v>-1.480617E-2</v>
      </c>
      <c r="O6984">
        <v>-4.6870729999999999E-2</v>
      </c>
      <c r="P6984">
        <v>0.92017439999999995</v>
      </c>
      <c r="Q6984">
        <v>0.36752299999999999</v>
      </c>
      <c r="R6984">
        <v>0.13492979999999999</v>
      </c>
      <c r="S6984">
        <v>3.3587799999999999</v>
      </c>
      <c r="T6984">
        <v>-0.38934760000000002</v>
      </c>
      <c r="U6984">
        <v>0.39724730000000003</v>
      </c>
      <c r="V6984">
        <v>-0.17617389999999999</v>
      </c>
      <c r="W6984">
        <v>0.38180700000000001</v>
      </c>
      <c r="X6984">
        <v>0.90729610000000005</v>
      </c>
      <c r="Y6984">
        <v>-0.16242570000000001</v>
      </c>
      <c r="Z6984">
        <v>1.527101E-2</v>
      </c>
      <c r="AA6984">
        <v>0.9866026</v>
      </c>
      <c r="AB6984">
        <v>37</v>
      </c>
      <c r="AC6984">
        <v>9.3824000000000094</v>
      </c>
      <c r="AD6984">
        <v>-1.108760502714</v>
      </c>
      <c r="AE6984">
        <v>1.1400999999999899</v>
      </c>
      <c r="AF6984">
        <v>-1.55722429728176</v>
      </c>
      <c r="AG6984">
        <v>-1.108760502714</v>
      </c>
      <c r="AH6984">
        <v>9.1921406623655706</v>
      </c>
      <c r="AI6984">
        <v>96.782104878755007</v>
      </c>
      <c r="AJ6984">
        <v>99.615088639582297</v>
      </c>
      <c r="AK6984">
        <v>9.3888096860644605</v>
      </c>
      <c r="AL6984">
        <v>67.554343095088299</v>
      </c>
      <c r="AM6984">
        <v>100.988645010939</v>
      </c>
      <c r="AN6984">
        <v>1.00000002068271</v>
      </c>
    </row>
    <row r="6985" spans="1:40" x14ac:dyDescent="0.25">
      <c r="A6985" t="str">
        <f>"20190304164259747"</f>
        <v>20190304164259747</v>
      </c>
      <c r="B6985" t="str">
        <f>"1551688979738031"</f>
        <v>1551688979738031</v>
      </c>
      <c r="C6985" t="s">
        <v>40</v>
      </c>
      <c r="D6985">
        <v>4.5098449999999897</v>
      </c>
      <c r="E6985">
        <v>0.51330580000000003</v>
      </c>
      <c r="F6985" t="s">
        <v>67</v>
      </c>
      <c r="G6985">
        <v>-229.53120000000001</v>
      </c>
      <c r="H6985" s="1">
        <v>-3.473028E-6</v>
      </c>
      <c r="I6985">
        <v>-62.035429999999998</v>
      </c>
      <c r="J6985">
        <v>-238.82079999999999</v>
      </c>
      <c r="K6985">
        <v>1.1089249999999999</v>
      </c>
      <c r="L6985">
        <v>-63.177250000000001</v>
      </c>
      <c r="M6985">
        <v>0.99876319999999996</v>
      </c>
      <c r="N6985">
        <v>-1.4807839999999999E-2</v>
      </c>
      <c r="O6985">
        <v>-4.7467370000000002E-2</v>
      </c>
      <c r="P6985">
        <v>0.92042290000000004</v>
      </c>
      <c r="Q6985">
        <v>0.3662974</v>
      </c>
      <c r="R6985">
        <v>0.13655880000000001</v>
      </c>
      <c r="S6985">
        <v>3.358368</v>
      </c>
      <c r="T6985">
        <v>-0.3930979</v>
      </c>
      <c r="U6985">
        <v>0.40158080000000002</v>
      </c>
      <c r="V6985">
        <v>-0.1785185</v>
      </c>
      <c r="W6985">
        <v>0.3805212</v>
      </c>
      <c r="X6985">
        <v>0.90737800000000002</v>
      </c>
      <c r="Y6985">
        <v>-0.16423979999999999</v>
      </c>
      <c r="Z6985">
        <v>1.5592770000000001E-2</v>
      </c>
      <c r="AA6985">
        <v>0.98629719999999999</v>
      </c>
      <c r="AB6985">
        <v>37</v>
      </c>
      <c r="AC6985">
        <v>9.2895999999999805</v>
      </c>
      <c r="AD6985">
        <v>-1.108928473028</v>
      </c>
      <c r="AE6985">
        <v>1.1418199999999901</v>
      </c>
      <c r="AF6985">
        <v>-1.5596397972921401</v>
      </c>
      <c r="AG6985">
        <v>-1.108928473028</v>
      </c>
      <c r="AH6985">
        <v>9.0972158086510895</v>
      </c>
      <c r="AI6985">
        <v>96.850946125767706</v>
      </c>
      <c r="AJ6985">
        <v>99.728294931919294</v>
      </c>
      <c r="AK6985">
        <v>9.29631831021082</v>
      </c>
      <c r="AL6985">
        <v>67.634030147340994</v>
      </c>
      <c r="AM6985">
        <v>101.1302780556</v>
      </c>
      <c r="AN6985">
        <v>1.0000000366878401</v>
      </c>
    </row>
    <row r="6986" spans="1:40" x14ac:dyDescent="0.25">
      <c r="A6986" t="str">
        <f>"20190304164259759"</f>
        <v>20190304164259759</v>
      </c>
      <c r="B6986" t="str">
        <f>"1551688979747790"</f>
        <v>1551688979747790</v>
      </c>
      <c r="C6986" t="s">
        <v>40</v>
      </c>
      <c r="D6986">
        <v>4.5404519999999904</v>
      </c>
      <c r="E6986">
        <v>0.51346990000000003</v>
      </c>
      <c r="F6986" t="s">
        <v>67</v>
      </c>
      <c r="G6986">
        <v>-229.4693</v>
      </c>
      <c r="H6986" s="1">
        <v>-3.4535029999999999E-6</v>
      </c>
      <c r="I6986">
        <v>-62.047060000000002</v>
      </c>
      <c r="J6986">
        <v>-238.62350000000001</v>
      </c>
      <c r="K6986">
        <v>1.1091150000000001</v>
      </c>
      <c r="L6986">
        <v>-63.187100000000001</v>
      </c>
      <c r="M6986">
        <v>0.99873719999999999</v>
      </c>
      <c r="N6986">
        <v>-1.4809569999999999E-2</v>
      </c>
      <c r="O6986">
        <v>-4.80084E-2</v>
      </c>
      <c r="P6986">
        <v>0.92060759999999997</v>
      </c>
      <c r="Q6986">
        <v>0.36510189999999998</v>
      </c>
      <c r="R6986">
        <v>0.1385006</v>
      </c>
      <c r="S6986">
        <v>3.3576350000000001</v>
      </c>
      <c r="T6986">
        <v>-0.39816000000000001</v>
      </c>
      <c r="U6986">
        <v>0.40579219999999999</v>
      </c>
      <c r="V6986">
        <v>-0.18113989999999999</v>
      </c>
      <c r="W6986">
        <v>0.37925429999999999</v>
      </c>
      <c r="X6986">
        <v>0.90738890000000005</v>
      </c>
      <c r="Y6986">
        <v>-0.16596420000000001</v>
      </c>
      <c r="Z6986">
        <v>1.595821E-2</v>
      </c>
      <c r="AA6986">
        <v>0.98600259999999995</v>
      </c>
      <c r="AB6986">
        <v>37</v>
      </c>
      <c r="AC6986">
        <v>9.1541999999999994</v>
      </c>
      <c r="AD6986">
        <v>-1.1091184535030001</v>
      </c>
      <c r="AE6986">
        <v>1.1400399999999999</v>
      </c>
      <c r="AF6986">
        <v>-1.5557626180988799</v>
      </c>
      <c r="AG6986">
        <v>-1.1091184535030001</v>
      </c>
      <c r="AH6986">
        <v>8.9593928849088105</v>
      </c>
      <c r="AI6986">
        <v>96.953945993974202</v>
      </c>
      <c r="AJ6986">
        <v>99.850954260140895</v>
      </c>
      <c r="AK6986">
        <v>9.1608548691663803</v>
      </c>
      <c r="AL6986">
        <v>67.712501277904806</v>
      </c>
      <c r="AM6986">
        <v>101.28941662954399</v>
      </c>
      <c r="AN6986">
        <v>1.0000000516418499</v>
      </c>
    </row>
    <row r="6987" spans="1:40" x14ac:dyDescent="0.25">
      <c r="A6987" t="str">
        <f>"20190304164259770"</f>
        <v>20190304164259770</v>
      </c>
      <c r="B6987" t="str">
        <f>"1551688979758527"</f>
        <v>1551688979758527</v>
      </c>
      <c r="C6987" t="s">
        <v>40</v>
      </c>
      <c r="D6987">
        <v>4.544397</v>
      </c>
      <c r="E6987">
        <v>0.51358099999999995</v>
      </c>
      <c r="F6987" t="s">
        <v>67</v>
      </c>
      <c r="G6987">
        <v>-229.3843</v>
      </c>
      <c r="H6987" s="1">
        <v>-3.4258930000000001E-6</v>
      </c>
      <c r="I6987">
        <v>-62.056829999999998</v>
      </c>
      <c r="J6987">
        <v>-238.45169999999999</v>
      </c>
      <c r="K6987">
        <v>1.1092900000000001</v>
      </c>
      <c r="L6987">
        <v>-63.195680000000003</v>
      </c>
      <c r="M6987">
        <v>0.99872159999999999</v>
      </c>
      <c r="N6987">
        <v>-1.481097E-2</v>
      </c>
      <c r="O6987">
        <v>-4.8332340000000001E-2</v>
      </c>
      <c r="P6987">
        <v>0.92064420000000002</v>
      </c>
      <c r="Q6987">
        <v>0.36426459999999999</v>
      </c>
      <c r="R6987">
        <v>0.14044799999999999</v>
      </c>
      <c r="S6987">
        <v>3.356735</v>
      </c>
      <c r="T6987">
        <v>-0.40295839999999999</v>
      </c>
      <c r="U6987">
        <v>0.41064450000000002</v>
      </c>
      <c r="V6987">
        <v>-0.1835455</v>
      </c>
      <c r="W6987">
        <v>0.37834780000000001</v>
      </c>
      <c r="X6987">
        <v>0.90728379999999997</v>
      </c>
      <c r="Y6987">
        <v>-0.16766729999999899</v>
      </c>
      <c r="Z6987">
        <v>1.6294099999999999E-2</v>
      </c>
      <c r="AA6987">
        <v>0.98570899999999995</v>
      </c>
      <c r="AB6987">
        <v>37</v>
      </c>
      <c r="AC6987">
        <v>9.0673999999999904</v>
      </c>
      <c r="AD6987">
        <v>-1.1092934258929901</v>
      </c>
      <c r="AE6987">
        <v>1.1388499999999899</v>
      </c>
      <c r="AF6987">
        <v>-1.5529340206594899</v>
      </c>
      <c r="AG6987">
        <v>-1.1092934258929901</v>
      </c>
      <c r="AH6987">
        <v>8.8710426707448402</v>
      </c>
      <c r="AI6987">
        <v>97.021952278698706</v>
      </c>
      <c r="AJ6987">
        <v>99.929388621104295</v>
      </c>
      <c r="AK6987">
        <v>9.0740031983368201</v>
      </c>
      <c r="AL6987">
        <v>67.768619777264604</v>
      </c>
      <c r="AM6987">
        <v>101.43670863006299</v>
      </c>
      <c r="AN6987">
        <v>0.99999995103876305</v>
      </c>
    </row>
    <row r="6988" spans="1:40" x14ac:dyDescent="0.25">
      <c r="A6988" t="str">
        <f>"20190304164259781"</f>
        <v>20190304164259781</v>
      </c>
      <c r="B6988" t="str">
        <f>"1551688979768286"</f>
        <v>1551688979768286</v>
      </c>
      <c r="C6988" t="s">
        <v>40</v>
      </c>
      <c r="D6988">
        <v>4.5500259999999999</v>
      </c>
      <c r="E6988">
        <v>0.51366329999999905</v>
      </c>
      <c r="F6988" t="s">
        <v>67</v>
      </c>
      <c r="G6988">
        <v>-229.28919999999999</v>
      </c>
      <c r="H6988" s="1">
        <v>-3.394168E-6</v>
      </c>
      <c r="I6988">
        <v>-62.061779999999999</v>
      </c>
      <c r="J6988">
        <v>-238.25800000000001</v>
      </c>
      <c r="K6988">
        <v>1.1094900000000001</v>
      </c>
      <c r="L6988">
        <v>-63.205289999999998</v>
      </c>
      <c r="M6988">
        <v>0.9987066</v>
      </c>
      <c r="N6988">
        <v>-1.4812580000000001E-2</v>
      </c>
      <c r="O6988">
        <v>-4.864247E-2</v>
      </c>
      <c r="P6988">
        <v>0.92065640000000004</v>
      </c>
      <c r="Q6988">
        <v>0.3634889</v>
      </c>
      <c r="R6988">
        <v>0.14236480000000001</v>
      </c>
      <c r="S6988">
        <v>3.355972</v>
      </c>
      <c r="T6988">
        <v>-0.4063002</v>
      </c>
      <c r="U6988">
        <v>0.41531370000000001</v>
      </c>
      <c r="V6988">
        <v>-0.1859285</v>
      </c>
      <c r="W6988">
        <v>0.37748920000000002</v>
      </c>
      <c r="X6988">
        <v>0.90715630000000003</v>
      </c>
      <c r="Y6988">
        <v>-0.16930970000000001</v>
      </c>
      <c r="Z6988">
        <v>1.6570120000000001E-2</v>
      </c>
      <c r="AA6988">
        <v>0.98542359999999896</v>
      </c>
      <c r="AB6988">
        <v>37</v>
      </c>
      <c r="AC6988">
        <v>8.9687999999999803</v>
      </c>
      <c r="AD6988">
        <v>-1.1094933941680001</v>
      </c>
      <c r="AE6988">
        <v>1.14350999999999</v>
      </c>
      <c r="AF6988">
        <v>-1.55505191846775</v>
      </c>
      <c r="AG6988">
        <v>-1.1094933941680001</v>
      </c>
      <c r="AH6988">
        <v>8.7704825668906707</v>
      </c>
      <c r="AI6988">
        <v>97.100212975843405</v>
      </c>
      <c r="AJ6988">
        <v>100.054347114348</v>
      </c>
      <c r="AK6988">
        <v>8.9761086511341794</v>
      </c>
      <c r="AL6988">
        <v>67.821756263775299</v>
      </c>
      <c r="AM6988">
        <v>101.58279010771599</v>
      </c>
      <c r="AN6988">
        <v>1.00000002792928</v>
      </c>
    </row>
    <row r="6989" spans="1:40" x14ac:dyDescent="0.25">
      <c r="A6989" t="str">
        <f>"20190304164259793"</f>
        <v>20190304164259793</v>
      </c>
      <c r="B6989" t="str">
        <f>"1551688979787807"</f>
        <v>1551688979787807</v>
      </c>
      <c r="C6989" t="s">
        <v>40</v>
      </c>
      <c r="D6989">
        <v>4.5258729999999998</v>
      </c>
      <c r="E6989">
        <v>0.51388069999999997</v>
      </c>
      <c r="F6989" t="s">
        <v>67</v>
      </c>
      <c r="G6989">
        <v>-229.15950000000001</v>
      </c>
      <c r="H6989" s="1">
        <v>-3.3509049999999999E-6</v>
      </c>
      <c r="I6989">
        <v>-62.0683199999999</v>
      </c>
      <c r="J6989">
        <v>-238.07239999999999</v>
      </c>
      <c r="K6989">
        <v>1.109699</v>
      </c>
      <c r="L6989">
        <v>-63.214449999999999</v>
      </c>
      <c r="M6989">
        <v>0.99870289999999995</v>
      </c>
      <c r="N6989">
        <v>-1.481413E-2</v>
      </c>
      <c r="O6989">
        <v>-4.8715910000000001E-2</v>
      </c>
      <c r="P6989">
        <v>0.92048249999999998</v>
      </c>
      <c r="Q6989">
        <v>0.36302210000000001</v>
      </c>
      <c r="R6989">
        <v>0.14466219999999999</v>
      </c>
      <c r="S6989">
        <v>3.3552399999999998</v>
      </c>
      <c r="T6989">
        <v>-0.40914600000000001</v>
      </c>
      <c r="U6989">
        <v>0.41928100000000001</v>
      </c>
      <c r="V6989">
        <v>-0.18846840000000001</v>
      </c>
      <c r="W6989">
        <v>0.37693359999999998</v>
      </c>
      <c r="X6989">
        <v>0.90686310000000003</v>
      </c>
      <c r="Y6989">
        <v>-0.17052239999999999</v>
      </c>
      <c r="Z6989">
        <v>1.6774440000000002E-2</v>
      </c>
      <c r="AA6989">
        <v>0.98521099999999995</v>
      </c>
      <c r="AB6989">
        <v>37</v>
      </c>
      <c r="AC6989">
        <v>8.9128999999999792</v>
      </c>
      <c r="AD6989">
        <v>-1.1097023509049999</v>
      </c>
      <c r="AE6989">
        <v>1.1461300000000001</v>
      </c>
      <c r="AF6989">
        <v>-1.5552991715756399</v>
      </c>
      <c r="AG6989">
        <v>-1.1097023509049999</v>
      </c>
      <c r="AH6989">
        <v>8.7135973229050698</v>
      </c>
      <c r="AI6989">
        <v>97.145973430725604</v>
      </c>
      <c r="AJ6989">
        <v>100.120208786896</v>
      </c>
      <c r="AK6989">
        <v>8.92060385436133</v>
      </c>
      <c r="AL6989">
        <v>67.856127878014306</v>
      </c>
      <c r="AM6989">
        <v>101.74034661879099</v>
      </c>
      <c r="AN6989">
        <v>0.99999997937456397</v>
      </c>
    </row>
    <row r="6990" spans="1:40" x14ac:dyDescent="0.25">
      <c r="A6990" t="str">
        <f>"20190304164259803"</f>
        <v>20190304164259803</v>
      </c>
      <c r="B6990" t="str">
        <f>"1551688979798543"</f>
        <v>1551688979798543</v>
      </c>
      <c r="C6990" t="s">
        <v>40</v>
      </c>
      <c r="D6990">
        <v>4.5719269999999996</v>
      </c>
      <c r="E6990">
        <v>0.51400000000000001</v>
      </c>
      <c r="F6990" t="s">
        <v>67</v>
      </c>
      <c r="G6990">
        <v>-229.0179</v>
      </c>
      <c r="H6990" s="1">
        <v>-3.3033389999999998E-6</v>
      </c>
      <c r="I6990">
        <v>-62.072800000000001</v>
      </c>
      <c r="J6990">
        <v>-237.9008</v>
      </c>
      <c r="K6990">
        <v>1.109883</v>
      </c>
      <c r="L6990">
        <v>-63.222869999999901</v>
      </c>
      <c r="M6990">
        <v>0.99870110000000001</v>
      </c>
      <c r="N6990">
        <v>-1.481563E-2</v>
      </c>
      <c r="O6990">
        <v>-4.8749460000000001E-2</v>
      </c>
      <c r="P6990">
        <v>0.92009419999999997</v>
      </c>
      <c r="Q6990">
        <v>0.36317080000000002</v>
      </c>
      <c r="R6990">
        <v>0.1467437</v>
      </c>
      <c r="S6990">
        <v>3.3548429999999998</v>
      </c>
      <c r="T6990">
        <v>-0.41116639999999999</v>
      </c>
      <c r="U6990">
        <v>0.4230042</v>
      </c>
      <c r="V6990">
        <v>-0.19073219999999999</v>
      </c>
      <c r="W6990">
        <v>0.37699369999999999</v>
      </c>
      <c r="X6990">
        <v>0.90636470000000002</v>
      </c>
      <c r="Y6990">
        <v>-0.17162049999999901</v>
      </c>
      <c r="Z6990">
        <v>1.6933610000000002E-2</v>
      </c>
      <c r="AA6990">
        <v>0.98501760000000005</v>
      </c>
      <c r="AB6990">
        <v>37</v>
      </c>
      <c r="AC6990">
        <v>8.8828999999999994</v>
      </c>
      <c r="AD6990">
        <v>-1.1098863033389901</v>
      </c>
      <c r="AE6990">
        <v>1.1500699999999899</v>
      </c>
      <c r="AF6990">
        <v>-1.55786660918941</v>
      </c>
      <c r="AG6990">
        <v>-1.1098863033389901</v>
      </c>
      <c r="AH6990">
        <v>8.68294490804786</v>
      </c>
      <c r="AI6990">
        <v>97.170974936135295</v>
      </c>
      <c r="AJ6990">
        <v>100.171606881081</v>
      </c>
      <c r="AK6990">
        <v>8.8911376243178797</v>
      </c>
      <c r="AL6990">
        <v>67.852410516844301</v>
      </c>
      <c r="AM6990">
        <v>101.88372936580301</v>
      </c>
      <c r="AN6990">
        <v>0.99999999568131004</v>
      </c>
    </row>
    <row r="6991" spans="1:40" x14ac:dyDescent="0.25">
      <c r="A6991" t="str">
        <f>"20190304164259814"</f>
        <v>20190304164259814</v>
      </c>
      <c r="B6991" t="str">
        <f>"1551688979808302"</f>
        <v>1551688979808302</v>
      </c>
      <c r="C6991" t="s">
        <v>40</v>
      </c>
      <c r="D6991">
        <v>4.594087</v>
      </c>
      <c r="E6991">
        <v>0.51407970000000003</v>
      </c>
      <c r="F6991" t="s">
        <v>67</v>
      </c>
      <c r="G6991">
        <v>-228.83090000000001</v>
      </c>
      <c r="H6991" s="1">
        <v>-3.2389149999999998E-6</v>
      </c>
      <c r="I6991">
        <v>-62.066899999999997</v>
      </c>
      <c r="J6991">
        <v>-237.71709999999999</v>
      </c>
      <c r="K6991">
        <v>1.1100939999999999</v>
      </c>
      <c r="L6991">
        <v>-63.231780000000001</v>
      </c>
      <c r="M6991">
        <v>0.99870930000000002</v>
      </c>
      <c r="N6991">
        <v>-1.4817429999999999E-2</v>
      </c>
      <c r="O6991">
        <v>-4.8587829999999999E-2</v>
      </c>
      <c r="P6991">
        <v>0.91952460000000003</v>
      </c>
      <c r="Q6991">
        <v>0.36391119999999999</v>
      </c>
      <c r="R6991">
        <v>0.14847060000000001</v>
      </c>
      <c r="S6991">
        <v>3.3543699999999999</v>
      </c>
      <c r="T6991">
        <v>-0.41047729999999999</v>
      </c>
      <c r="U6991">
        <v>0.42752079999999998</v>
      </c>
      <c r="V6991">
        <v>-0.1924718</v>
      </c>
      <c r="W6991">
        <v>0.3776313</v>
      </c>
      <c r="X6991">
        <v>0.90573130000000002</v>
      </c>
      <c r="Y6991">
        <v>-0.1727803</v>
      </c>
      <c r="Z6991">
        <v>1.6969359999999999E-2</v>
      </c>
      <c r="AA6991">
        <v>0.98481419999999997</v>
      </c>
      <c r="AB6991">
        <v>37</v>
      </c>
      <c r="AC6991">
        <v>8.8861999999999703</v>
      </c>
      <c r="AD6991">
        <v>-1.1100972389149999</v>
      </c>
      <c r="AE6991">
        <v>1.1648800000000099</v>
      </c>
      <c r="AF6991">
        <v>-1.57120641781788</v>
      </c>
      <c r="AG6991">
        <v>-1.1100972389149999</v>
      </c>
      <c r="AH6991">
        <v>8.6858365002510105</v>
      </c>
      <c r="AI6991">
        <v>97.168133447404699</v>
      </c>
      <c r="AJ6991">
        <v>100.253521541306</v>
      </c>
      <c r="AK6991">
        <v>8.8963341436982599</v>
      </c>
      <c r="AL6991">
        <v>67.812962874133504</v>
      </c>
      <c r="AM6991">
        <v>101.997135283492</v>
      </c>
      <c r="AN6991">
        <v>0.99999999016731</v>
      </c>
    </row>
    <row r="6992" spans="1:40" x14ac:dyDescent="0.25">
      <c r="A6992" t="str">
        <f>"20190304164259825"</f>
        <v>20190304164259825</v>
      </c>
      <c r="B6992" t="str">
        <f>"1551688979818063"</f>
        <v>1551688979818063</v>
      </c>
      <c r="C6992" t="s">
        <v>40</v>
      </c>
      <c r="D6992">
        <v>4.5925200000000004</v>
      </c>
      <c r="E6992">
        <v>0.51417950000000001</v>
      </c>
      <c r="F6992" t="s">
        <v>67</v>
      </c>
      <c r="G6992">
        <v>-228.5778</v>
      </c>
      <c r="H6992" s="1">
        <v>-3.151069E-6</v>
      </c>
      <c r="I6992">
        <v>-62.054189999999998</v>
      </c>
      <c r="J6992">
        <v>-237.53139999999999</v>
      </c>
      <c r="K6992">
        <v>1.110306</v>
      </c>
      <c r="L6992">
        <v>-63.240690000000001</v>
      </c>
      <c r="M6992">
        <v>0.99872030000000001</v>
      </c>
      <c r="N6992">
        <v>-1.481938E-2</v>
      </c>
      <c r="O6992">
        <v>-4.8356700000000002E-2</v>
      </c>
      <c r="P6992">
        <v>0.91891420000000001</v>
      </c>
      <c r="Q6992">
        <v>0.36497429999999997</v>
      </c>
      <c r="R6992">
        <v>0.14963499999999999</v>
      </c>
      <c r="S6992">
        <v>3.3540040000000002</v>
      </c>
      <c r="T6992">
        <v>-0.40738960000000002</v>
      </c>
      <c r="U6992">
        <v>0.43215940000000003</v>
      </c>
      <c r="V6992">
        <v>-0.19358600000000001</v>
      </c>
      <c r="W6992">
        <v>0.37859019999999999</v>
      </c>
      <c r="X6992">
        <v>0.90509329999999999</v>
      </c>
      <c r="Y6992">
        <v>-0.17392260000000001</v>
      </c>
      <c r="Z6992">
        <v>1.6900370000000001E-2</v>
      </c>
      <c r="AA6992">
        <v>0.98461430000000005</v>
      </c>
      <c r="AB6992">
        <v>37</v>
      </c>
      <c r="AC6992">
        <v>8.9535999999999891</v>
      </c>
      <c r="AD6992">
        <v>-1.110309151069</v>
      </c>
      <c r="AE6992">
        <v>1.1864999999999899</v>
      </c>
      <c r="AF6992">
        <v>-1.5940360568510501</v>
      </c>
      <c r="AG6992">
        <v>-1.110309151069</v>
      </c>
      <c r="AH6992">
        <v>8.7534562923157893</v>
      </c>
      <c r="AI6992">
        <v>97.113175718642395</v>
      </c>
      <c r="AJ6992">
        <v>100.320676599169</v>
      </c>
      <c r="AK6992">
        <v>8.9664226101033009</v>
      </c>
      <c r="AL6992">
        <v>67.753615830540497</v>
      </c>
      <c r="AM6992">
        <v>102.072811240603</v>
      </c>
      <c r="AN6992">
        <v>0.99999998031846404</v>
      </c>
    </row>
    <row r="6993" spans="1:40" x14ac:dyDescent="0.25">
      <c r="A6993" t="str">
        <f>"20190304164259836"</f>
        <v>20190304164259836</v>
      </c>
      <c r="B6993" t="str">
        <f>"1551688979827824"</f>
        <v>1551688979827824</v>
      </c>
      <c r="C6993" t="s">
        <v>40</v>
      </c>
      <c r="D6993">
        <v>4.5685830000000003</v>
      </c>
      <c r="E6993">
        <v>0.51426179999999999</v>
      </c>
      <c r="F6993" t="s">
        <v>67</v>
      </c>
      <c r="G6993">
        <v>-228.3081</v>
      </c>
      <c r="H6993" s="1">
        <v>-3.0500340000000001E-6</v>
      </c>
      <c r="I6993">
        <v>-62.037970000000001</v>
      </c>
      <c r="J6993">
        <v>-237.3485</v>
      </c>
      <c r="K6993">
        <v>1.110517</v>
      </c>
      <c r="L6993">
        <v>-63.249299999999998</v>
      </c>
      <c r="M6993">
        <v>0.9987374</v>
      </c>
      <c r="N6993">
        <v>-1.4821559999999999E-2</v>
      </c>
      <c r="O6993">
        <v>-4.7998880000000001E-2</v>
      </c>
      <c r="P6993">
        <v>0.91825319999999999</v>
      </c>
      <c r="Q6993">
        <v>0.36632369999999997</v>
      </c>
      <c r="R6993">
        <v>0.1503922</v>
      </c>
      <c r="S6993">
        <v>3.353882</v>
      </c>
      <c r="T6993">
        <v>-0.4037424</v>
      </c>
      <c r="U6993">
        <v>0.4373474</v>
      </c>
      <c r="V6993">
        <v>-0.19417110000000001</v>
      </c>
      <c r="W6993">
        <v>0.37983660000000002</v>
      </c>
      <c r="X6993">
        <v>0.90444550000000001</v>
      </c>
      <c r="Y6993">
        <v>-0.17509420000000001</v>
      </c>
      <c r="Z6993">
        <v>1.67958E-2</v>
      </c>
      <c r="AA6993">
        <v>0.98440839999999996</v>
      </c>
      <c r="AB6993">
        <v>37</v>
      </c>
      <c r="AC6993">
        <v>9.0404</v>
      </c>
      <c r="AD6993">
        <v>-1.110520050034</v>
      </c>
      <c r="AE6993">
        <v>1.21133</v>
      </c>
      <c r="AF6993">
        <v>-1.61989776533134</v>
      </c>
      <c r="AG6993">
        <v>-1.110520050034</v>
      </c>
      <c r="AH6993">
        <v>8.8407778661734895</v>
      </c>
      <c r="AI6993">
        <v>97.043562798887294</v>
      </c>
      <c r="AJ6993">
        <v>100.38314244447101</v>
      </c>
      <c r="AK6993">
        <v>9.0563059152546295</v>
      </c>
      <c r="AL6993">
        <v>67.676437418499603</v>
      </c>
      <c r="AM6993">
        <v>102.11664149146399</v>
      </c>
      <c r="AN6993">
        <v>0.99999996062250895</v>
      </c>
    </row>
    <row r="6994" spans="1:40" x14ac:dyDescent="0.25">
      <c r="A6994" t="str">
        <f>"20190304164259848"</f>
        <v>20190304164259848</v>
      </c>
      <c r="B6994" t="str">
        <f>"1551688979838559"</f>
        <v>1551688979838559</v>
      </c>
      <c r="C6994" t="s">
        <v>40</v>
      </c>
      <c r="D6994">
        <v>4.555358</v>
      </c>
      <c r="E6994">
        <v>0.51434329999999995</v>
      </c>
      <c r="F6994" t="s">
        <v>67</v>
      </c>
      <c r="G6994">
        <v>-228.01769999999999</v>
      </c>
      <c r="H6994" s="1">
        <v>-2.9205919999999998E-6</v>
      </c>
      <c r="I6994">
        <v>-62.016109999999998</v>
      </c>
      <c r="J6994">
        <v>-237.17189999999999</v>
      </c>
      <c r="K6994">
        <v>1.1107070000000001</v>
      </c>
      <c r="L6994">
        <v>-63.257480000000001</v>
      </c>
      <c r="M6994">
        <v>0.99875809999999998</v>
      </c>
      <c r="N6994">
        <v>-1.482319E-2</v>
      </c>
      <c r="O6994">
        <v>-4.7566450000000003E-2</v>
      </c>
      <c r="P6994">
        <v>0.91786230000000002</v>
      </c>
      <c r="Q6994">
        <v>0.36720079999999999</v>
      </c>
      <c r="R6994">
        <v>0.15064040000000001</v>
      </c>
      <c r="S6994">
        <v>3.353729</v>
      </c>
      <c r="T6994">
        <v>-0.39914620000000001</v>
      </c>
      <c r="U6994">
        <v>0.4432373</v>
      </c>
      <c r="V6994">
        <v>-0.19418099999999999</v>
      </c>
      <c r="W6994">
        <v>0.38062079999999998</v>
      </c>
      <c r="X6994">
        <v>0.90411370000000002</v>
      </c>
      <c r="Y6994">
        <v>-0.17640220000000001</v>
      </c>
      <c r="Z6994">
        <v>1.665411E-2</v>
      </c>
      <c r="AA6994">
        <v>0.98417730000000003</v>
      </c>
      <c r="AB6994">
        <v>37</v>
      </c>
      <c r="AC6994">
        <v>9.1541999999999994</v>
      </c>
      <c r="AD6994">
        <v>-1.1107099205919999</v>
      </c>
      <c r="AE6994">
        <v>1.2413700000000101</v>
      </c>
      <c r="AF6994">
        <v>-1.65157016738014</v>
      </c>
      <c r="AG6994">
        <v>-1.1107099205919999</v>
      </c>
      <c r="AH6994">
        <v>8.9553240613396596</v>
      </c>
      <c r="AI6994">
        <v>96.954073923715896</v>
      </c>
      <c r="AJ6994">
        <v>100.44926429236899</v>
      </c>
      <c r="AK6994">
        <v>9.1738317833438892</v>
      </c>
      <c r="AL6994">
        <v>67.627858696671694</v>
      </c>
      <c r="AM6994">
        <v>102.121556427051</v>
      </c>
      <c r="AN6994">
        <v>1.0000000183406601</v>
      </c>
    </row>
    <row r="6995" spans="1:40" x14ac:dyDescent="0.25">
      <c r="A6995" t="str">
        <f>"20190304164259858"</f>
        <v>20190304164259858</v>
      </c>
      <c r="B6995" t="str">
        <f>"1551688979848319"</f>
        <v>1551688979848319</v>
      </c>
      <c r="C6995" t="s">
        <v>40</v>
      </c>
      <c r="D6995">
        <v>4.6072230000000003</v>
      </c>
      <c r="E6995">
        <v>0.51443640000000002</v>
      </c>
      <c r="F6995" t="s">
        <v>67</v>
      </c>
      <c r="G6995">
        <v>-227.7749</v>
      </c>
      <c r="H6995" s="1">
        <v>-2.813244E-6</v>
      </c>
      <c r="I6995">
        <v>-62.001769999999901</v>
      </c>
      <c r="J6995">
        <v>-236.9941</v>
      </c>
      <c r="K6995">
        <v>1.1108899999999999</v>
      </c>
      <c r="L6995">
        <v>-63.265590000000003</v>
      </c>
      <c r="M6995">
        <v>0.99878230000000001</v>
      </c>
      <c r="N6995">
        <v>-1.482436E-2</v>
      </c>
      <c r="O6995">
        <v>-4.7054829999999999E-2</v>
      </c>
      <c r="P6995">
        <v>0.91748459999999998</v>
      </c>
      <c r="Q6995">
        <v>0.36776710000000001</v>
      </c>
      <c r="R6995">
        <v>0.15155660000000001</v>
      </c>
      <c r="S6995">
        <v>3.3534999999999999</v>
      </c>
      <c r="T6995">
        <v>-0.39637650000000002</v>
      </c>
      <c r="U6995">
        <v>0.44812010000000002</v>
      </c>
      <c r="V6995">
        <v>-0.19478239999999999</v>
      </c>
      <c r="W6995">
        <v>0.3810965</v>
      </c>
      <c r="X6995">
        <v>0.90378389999999997</v>
      </c>
      <c r="Y6995">
        <v>-0.177332399999999</v>
      </c>
      <c r="Z6995">
        <v>1.6552339999999999E-2</v>
      </c>
      <c r="AA6995">
        <v>0.98401179999999999</v>
      </c>
      <c r="AB6995">
        <v>37</v>
      </c>
      <c r="AC6995">
        <v>9.2192000000000007</v>
      </c>
      <c r="AD6995">
        <v>-1.1108928132439999</v>
      </c>
      <c r="AE6995">
        <v>1.2638199999999999</v>
      </c>
      <c r="AF6995">
        <v>-1.67243992160599</v>
      </c>
      <c r="AG6995">
        <v>-1.1108928132439999</v>
      </c>
      <c r="AH6995">
        <v>9.0209449375222306</v>
      </c>
      <c r="AI6995">
        <v>96.903915631729603</v>
      </c>
      <c r="AJ6995">
        <v>100.50311075500601</v>
      </c>
      <c r="AK6995">
        <v>9.2416765632490403</v>
      </c>
      <c r="AL6995">
        <v>67.598381811622303</v>
      </c>
      <c r="AM6995">
        <v>102.16228755046799</v>
      </c>
      <c r="AN6995">
        <v>1.0000000317805999</v>
      </c>
    </row>
    <row r="6996" spans="1:40" x14ac:dyDescent="0.25">
      <c r="A6996" t="str">
        <f>"20190304164259869"</f>
        <v>20190304164259869</v>
      </c>
      <c r="B6996" t="str">
        <f>"1551688979858079"</f>
        <v>1551688979858079</v>
      </c>
      <c r="C6996" t="s">
        <v>40</v>
      </c>
      <c r="D6996">
        <v>4.613105</v>
      </c>
      <c r="E6996">
        <v>0.51451480000000005</v>
      </c>
      <c r="F6996" t="s">
        <v>67</v>
      </c>
      <c r="G6996">
        <v>-227.55549999999999</v>
      </c>
      <c r="H6996" s="1">
        <v>-2.7164960000000001E-6</v>
      </c>
      <c r="I6996">
        <v>-61.98986</v>
      </c>
      <c r="J6996">
        <v>-236.81549999999999</v>
      </c>
      <c r="K6996">
        <v>1.1110599999999999</v>
      </c>
      <c r="L6996">
        <v>-63.273499999999999</v>
      </c>
      <c r="M6996">
        <v>0.99881089999999995</v>
      </c>
      <c r="N6996">
        <v>-1.482324E-2</v>
      </c>
      <c r="O6996">
        <v>-4.6443980000000003E-2</v>
      </c>
      <c r="P6996">
        <v>0.9172903</v>
      </c>
      <c r="Q6996">
        <v>0.3676799</v>
      </c>
      <c r="R6996">
        <v>0.1529382</v>
      </c>
      <c r="S6996">
        <v>3.3531339999999998</v>
      </c>
      <c r="T6996">
        <v>-0.39465479999999997</v>
      </c>
      <c r="U6996">
        <v>0.45321660000000002</v>
      </c>
      <c r="V6996">
        <v>-0.19575580000000001</v>
      </c>
      <c r="W6996">
        <v>0.38092399999999998</v>
      </c>
      <c r="X6996">
        <v>0.90364619999999996</v>
      </c>
      <c r="Y6996">
        <v>-0.17822389999999999</v>
      </c>
      <c r="Z6996">
        <v>1.6480249999999998E-2</v>
      </c>
      <c r="AA6996">
        <v>0.98385199999999995</v>
      </c>
      <c r="AB6996">
        <v>37</v>
      </c>
      <c r="AC6996">
        <v>9.2599999999999891</v>
      </c>
      <c r="AD6996">
        <v>-1.1110627164960001</v>
      </c>
      <c r="AE6996">
        <v>1.2836399999999899</v>
      </c>
      <c r="AF6996">
        <v>-1.6885226224361201</v>
      </c>
      <c r="AG6996">
        <v>-1.1110627164960001</v>
      </c>
      <c r="AH6996">
        <v>9.0623752141439802</v>
      </c>
      <c r="AI6996">
        <v>96.872562960525002</v>
      </c>
      <c r="AJ6996">
        <v>100.554456013945</v>
      </c>
      <c r="AK6996">
        <v>9.28505323239437</v>
      </c>
      <c r="AL6996">
        <v>67.609069514367306</v>
      </c>
      <c r="AM6996">
        <v>102.22305083176499</v>
      </c>
      <c r="AN6996">
        <v>0.99999994089203803</v>
      </c>
    </row>
    <row r="6997" spans="1:40" x14ac:dyDescent="0.25">
      <c r="A6997" t="str">
        <f>"20190304164259881"</f>
        <v>20190304164259881</v>
      </c>
      <c r="B6997" t="str">
        <f>"1551688979867838"</f>
        <v>1551688979867838</v>
      </c>
      <c r="C6997" t="s">
        <v>40</v>
      </c>
      <c r="D6997">
        <v>4.5781219999999996</v>
      </c>
      <c r="E6997">
        <v>0.51458899999999996</v>
      </c>
      <c r="F6997" t="s">
        <v>67</v>
      </c>
      <c r="G6997">
        <v>-227.38890000000001</v>
      </c>
      <c r="H6997" s="1">
        <v>-2.6441490000000001E-6</v>
      </c>
      <c r="I6997">
        <v>-61.985869999999998</v>
      </c>
      <c r="J6997">
        <v>-236.62270000000001</v>
      </c>
      <c r="K6997">
        <v>1.1112359999999999</v>
      </c>
      <c r="L6997">
        <v>-63.281950000000002</v>
      </c>
      <c r="M6997">
        <v>0.99884360000000005</v>
      </c>
      <c r="N6997">
        <v>-1.4820730000000001E-2</v>
      </c>
      <c r="O6997">
        <v>-4.5737369999999999E-2</v>
      </c>
      <c r="P6997">
        <v>0.91718409999999995</v>
      </c>
      <c r="Q6997">
        <v>0.36714419999999998</v>
      </c>
      <c r="R6997">
        <v>0.15485079999999901</v>
      </c>
      <c r="S6997">
        <v>3.3525700000000001</v>
      </c>
      <c r="T6997">
        <v>-0.3951498</v>
      </c>
      <c r="U6997">
        <v>0.45794679999999999</v>
      </c>
      <c r="V6997">
        <v>-0.19718330000000001</v>
      </c>
      <c r="W6997">
        <v>0.38029839999999998</v>
      </c>
      <c r="X6997">
        <v>0.90359940000000005</v>
      </c>
      <c r="Y6997">
        <v>-0.17890719999999999</v>
      </c>
      <c r="Z6997">
        <v>1.6474019999999999E-2</v>
      </c>
      <c r="AA6997">
        <v>0.98372809999999999</v>
      </c>
      <c r="AB6997">
        <v>37</v>
      </c>
      <c r="AC6997">
        <v>9.2338000000000005</v>
      </c>
      <c r="AD6997">
        <v>-1.1112386441490001</v>
      </c>
      <c r="AE6997">
        <v>1.2960799999999999</v>
      </c>
      <c r="AF6997">
        <v>-1.6930529889036401</v>
      </c>
      <c r="AG6997">
        <v>-1.1112386441490001</v>
      </c>
      <c r="AH6997">
        <v>9.0365032821181099</v>
      </c>
      <c r="AI6997">
        <v>96.891855983762198</v>
      </c>
      <c r="AJ6997">
        <v>100.611745204293</v>
      </c>
      <c r="AK6997">
        <v>9.2606517759398095</v>
      </c>
      <c r="AL6997">
        <v>67.647832567814604</v>
      </c>
      <c r="AM6997">
        <v>102.310094301456</v>
      </c>
      <c r="AN6997">
        <v>1.0000000012609001</v>
      </c>
    </row>
    <row r="6998" spans="1:40" x14ac:dyDescent="0.25">
      <c r="A6998" t="str">
        <f>"20190304164259893"</f>
        <v>20190304164259893</v>
      </c>
      <c r="B6998" t="str">
        <f>"1551688979888335"</f>
        <v>1551688979888335</v>
      </c>
      <c r="C6998" t="s">
        <v>40</v>
      </c>
      <c r="D6998">
        <v>4.6128049999999998</v>
      </c>
      <c r="E6998">
        <v>0.51477439999999997</v>
      </c>
      <c r="F6998" t="s">
        <v>67</v>
      </c>
      <c r="G6998">
        <v>-227.24080000000001</v>
      </c>
      <c r="H6998" s="1">
        <v>-2.5809039999999998E-6</v>
      </c>
      <c r="I6998">
        <v>-61.987209999999997</v>
      </c>
      <c r="J6998">
        <v>-236.4375</v>
      </c>
      <c r="K6998">
        <v>1.1113850000000001</v>
      </c>
      <c r="L6998">
        <v>-63.289790000000004</v>
      </c>
      <c r="M6998">
        <v>0.99887959999999998</v>
      </c>
      <c r="N6998">
        <v>-1.481561E-2</v>
      </c>
      <c r="O6998">
        <v>-4.4947099999999997E-2</v>
      </c>
      <c r="P6998">
        <v>0.91695090000000001</v>
      </c>
      <c r="Q6998">
        <v>0.3667629</v>
      </c>
      <c r="R6998">
        <v>0.15711789999999901</v>
      </c>
      <c r="S6998">
        <v>3.351715</v>
      </c>
      <c r="T6998">
        <v>-0.39699689999999999</v>
      </c>
      <c r="U6998">
        <v>0.46255489999999999</v>
      </c>
      <c r="V6998">
        <v>-0.1988578</v>
      </c>
      <c r="W6998">
        <v>0.37983440000000002</v>
      </c>
      <c r="X6998">
        <v>0.9034276</v>
      </c>
      <c r="Y6998">
        <v>-0.17947479999999999</v>
      </c>
      <c r="Z6998">
        <v>1.6506280000000002E-2</v>
      </c>
      <c r="AA6998">
        <v>0.9836241</v>
      </c>
      <c r="AB6998">
        <v>37</v>
      </c>
      <c r="AC6998">
        <v>9.1966999999999892</v>
      </c>
      <c r="AD6998">
        <v>-1.1113875809039999</v>
      </c>
      <c r="AE6998">
        <v>1.3025800000000001</v>
      </c>
      <c r="AF6998">
        <v>-1.6904717384671699</v>
      </c>
      <c r="AG6998">
        <v>-1.1113875809039999</v>
      </c>
      <c r="AH6998">
        <v>9.0000001249331092</v>
      </c>
      <c r="AI6998">
        <v>96.919869124876797</v>
      </c>
      <c r="AJ6998">
        <v>100.637930191869</v>
      </c>
      <c r="AK6998">
        <v>9.2245801694353506</v>
      </c>
      <c r="AL6998">
        <v>67.6765748960145</v>
      </c>
      <c r="AM6998">
        <v>102.413693152824</v>
      </c>
      <c r="AN6998">
        <v>1.00000001224298</v>
      </c>
    </row>
    <row r="6999" spans="1:40" x14ac:dyDescent="0.25">
      <c r="A6999" t="str">
        <f>"20190304164259902"</f>
        <v>20190304164259902</v>
      </c>
      <c r="B6999" t="str">
        <f>"1551688979898094"</f>
        <v>1551688979898094</v>
      </c>
      <c r="C6999" t="s">
        <v>40</v>
      </c>
      <c r="D6999">
        <v>4.6024289999999999</v>
      </c>
      <c r="E6999">
        <v>0.51486100000000001</v>
      </c>
      <c r="F6999" t="s">
        <v>67</v>
      </c>
      <c r="G6999">
        <v>-227.10079999999999</v>
      </c>
      <c r="H6999" s="1">
        <v>-2.5210659999999998E-6</v>
      </c>
      <c r="I6999">
        <v>-61.988329999999998</v>
      </c>
      <c r="J6999">
        <v>-236.26089999999999</v>
      </c>
      <c r="K6999">
        <v>1.1115269999999999</v>
      </c>
      <c r="L6999">
        <v>-63.297179999999997</v>
      </c>
      <c r="M6999">
        <v>0.99891419999999997</v>
      </c>
      <c r="N6999">
        <v>-1.4809900000000001E-2</v>
      </c>
      <c r="O6999">
        <v>-4.4174570000000003E-2</v>
      </c>
      <c r="P6999">
        <v>0.91662540000000003</v>
      </c>
      <c r="Q6999">
        <v>0.36671310000000001</v>
      </c>
      <c r="R6999">
        <v>0.15912129999999999</v>
      </c>
      <c r="S6999">
        <v>3.3512270000000002</v>
      </c>
      <c r="T6999">
        <v>-0.39890910000000002</v>
      </c>
      <c r="U6999">
        <v>0.46713260000000001</v>
      </c>
      <c r="V6999">
        <v>-0.2002727</v>
      </c>
      <c r="W6999">
        <v>0.37970379999999998</v>
      </c>
      <c r="X6999">
        <v>0.90316989999999997</v>
      </c>
      <c r="Y6999">
        <v>-0.18003620000000001</v>
      </c>
      <c r="Z6999">
        <v>1.6540240000000001E-2</v>
      </c>
      <c r="AA6999">
        <v>0.98352090000000003</v>
      </c>
      <c r="AB6999">
        <v>37</v>
      </c>
      <c r="AC6999">
        <v>9.1600999999999999</v>
      </c>
      <c r="AD6999">
        <v>-1.1115295210659999</v>
      </c>
      <c r="AE6999">
        <v>1.3088499999999901</v>
      </c>
      <c r="AF6999">
        <v>-1.6879035312713699</v>
      </c>
      <c r="AG6999">
        <v>-1.1115295210659999</v>
      </c>
      <c r="AH6999">
        <v>8.9639823679118695</v>
      </c>
      <c r="AI6999">
        <v>96.947695818229604</v>
      </c>
      <c r="AJ6999">
        <v>100.66384018734</v>
      </c>
      <c r="AK6999">
        <v>9.1889877624967191</v>
      </c>
      <c r="AL6999">
        <v>67.684663422399495</v>
      </c>
      <c r="AM6999">
        <v>102.502706080434</v>
      </c>
      <c r="AN6999">
        <v>0.99999999918286997</v>
      </c>
    </row>
    <row r="7000" spans="1:40" x14ac:dyDescent="0.25">
      <c r="A7000" t="str">
        <f>"20190304164259914"</f>
        <v>20190304164259914</v>
      </c>
      <c r="B7000" t="str">
        <f>"1551688979908169"</f>
        <v>1551688979908169</v>
      </c>
      <c r="C7000" t="s">
        <v>40</v>
      </c>
      <c r="D7000">
        <v>4.6101749999999999</v>
      </c>
      <c r="E7000">
        <v>0.51493500000000003</v>
      </c>
      <c r="F7000" t="s">
        <v>67</v>
      </c>
      <c r="G7000">
        <v>-226.93530000000001</v>
      </c>
      <c r="H7000" s="1">
        <v>-2.4492939999999998E-6</v>
      </c>
      <c r="I7000">
        <v>-61.984780000000001</v>
      </c>
      <c r="J7000">
        <v>-236.07300000000001</v>
      </c>
      <c r="K7000">
        <v>1.111667</v>
      </c>
      <c r="L7000">
        <v>-63.304720000000003</v>
      </c>
      <c r="M7000">
        <v>0.99895389999999995</v>
      </c>
      <c r="N7000">
        <v>-1.4800880000000001E-2</v>
      </c>
      <c r="O7000">
        <v>-4.3270610000000001E-2</v>
      </c>
      <c r="P7000">
        <v>0.91607700000000003</v>
      </c>
      <c r="Q7000">
        <v>0.36724309999999899</v>
      </c>
      <c r="R7000">
        <v>0.16104540000000001</v>
      </c>
      <c r="S7000">
        <v>3.3507839999999902</v>
      </c>
      <c r="T7000">
        <v>-0.3993835</v>
      </c>
      <c r="U7000">
        <v>0.47155760000000002</v>
      </c>
      <c r="V7000">
        <v>-0.20147409999999999</v>
      </c>
      <c r="W7000">
        <v>0.38015110000000002</v>
      </c>
      <c r="X7000">
        <v>0.90271440000000003</v>
      </c>
      <c r="Y7000">
        <v>-0.18043580000000001</v>
      </c>
      <c r="Z7000">
        <v>1.6492340000000001E-2</v>
      </c>
      <c r="AA7000">
        <v>0.98344849999999995</v>
      </c>
      <c r="AB7000">
        <v>37</v>
      </c>
      <c r="AC7000">
        <v>9.1376999999999597</v>
      </c>
      <c r="AD7000">
        <v>-1.111669449294</v>
      </c>
      <c r="AE7000">
        <v>1.3199399999999799</v>
      </c>
      <c r="AF7000">
        <v>-1.6896440614637001</v>
      </c>
      <c r="AG7000">
        <v>-1.111669449294</v>
      </c>
      <c r="AH7000">
        <v>8.9423720432913303</v>
      </c>
      <c r="AI7000">
        <v>96.9643731027912</v>
      </c>
      <c r="AJ7000">
        <v>100.69978547356401</v>
      </c>
      <c r="AK7000">
        <v>9.1682454035421408</v>
      </c>
      <c r="AL7000">
        <v>67.656957074640403</v>
      </c>
      <c r="AM7000">
        <v>102.58147218977599</v>
      </c>
      <c r="AN7000">
        <v>0.99999997988468903</v>
      </c>
    </row>
    <row r="7001" spans="1:40" x14ac:dyDescent="0.25">
      <c r="A7001" t="str">
        <f>"20190304164259925"</f>
        <v>20190304164259925</v>
      </c>
      <c r="B7001" t="str">
        <f>"1551688979917915"</f>
        <v>1551688979917915</v>
      </c>
      <c r="C7001" t="s">
        <v>40</v>
      </c>
      <c r="D7001">
        <v>4.6003999999999996</v>
      </c>
      <c r="E7001">
        <v>0.51494379999999995</v>
      </c>
      <c r="F7001" t="s">
        <v>67</v>
      </c>
      <c r="G7001">
        <v>-226.6985</v>
      </c>
      <c r="H7001" s="1">
        <v>-2.3448629999999998E-6</v>
      </c>
      <c r="I7001">
        <v>-61.972029999999997</v>
      </c>
      <c r="J7001">
        <v>-235.89490000000001</v>
      </c>
      <c r="K7001">
        <v>1.1117939999999999</v>
      </c>
      <c r="L7001">
        <v>-63.31174</v>
      </c>
      <c r="M7001">
        <v>0.99899179999999999</v>
      </c>
      <c r="N7001">
        <v>-1.479069E-2</v>
      </c>
      <c r="O7001">
        <v>-4.2389070000000001E-2</v>
      </c>
      <c r="P7001">
        <v>0.91549809999999998</v>
      </c>
      <c r="Q7001">
        <v>0.36789889999999997</v>
      </c>
      <c r="R7001">
        <v>0.1628309</v>
      </c>
      <c r="S7001">
        <v>3.3503569999999998</v>
      </c>
      <c r="T7001">
        <v>-0.39729710000000001</v>
      </c>
      <c r="U7001">
        <v>0.47628779999999998</v>
      </c>
      <c r="V7001">
        <v>-0.20254530000000001</v>
      </c>
      <c r="W7001">
        <v>0.38072929999999999</v>
      </c>
      <c r="X7001">
        <v>0.90223089999999995</v>
      </c>
      <c r="Y7001">
        <v>-0.18096380000000001</v>
      </c>
      <c r="Z7001">
        <v>1.635474E-2</v>
      </c>
      <c r="AA7001">
        <v>0.98335379999999994</v>
      </c>
      <c r="AB7001">
        <v>37</v>
      </c>
      <c r="AC7001">
        <v>9.1964000000000095</v>
      </c>
      <c r="AD7001">
        <v>-1.1117963448629999</v>
      </c>
      <c r="AE7001">
        <v>1.33970999999999</v>
      </c>
      <c r="AF7001">
        <v>-1.7039878722699899</v>
      </c>
      <c r="AG7001">
        <v>-1.1117963448629999</v>
      </c>
      <c r="AH7001">
        <v>9.0024949946703305</v>
      </c>
      <c r="AI7001">
        <v>96.918681396428198</v>
      </c>
      <c r="AJ7001">
        <v>100.71811930563</v>
      </c>
      <c r="AK7001">
        <v>9.2295493882614998</v>
      </c>
      <c r="AL7001">
        <v>67.6211354533106</v>
      </c>
      <c r="AM7001">
        <v>102.652778343309</v>
      </c>
      <c r="AN7001">
        <v>0.99999999767269498</v>
      </c>
    </row>
    <row r="7002" spans="1:40" x14ac:dyDescent="0.25">
      <c r="A7002" t="str">
        <f>"20190304164259936"</f>
        <v>20190304164259936</v>
      </c>
      <c r="B7002" t="str">
        <f>"1551688979927675"</f>
        <v>1551688979927675</v>
      </c>
      <c r="C7002" t="s">
        <v>40</v>
      </c>
      <c r="D7002">
        <v>4.7304579999999996</v>
      </c>
      <c r="E7002">
        <v>0.51494379999999995</v>
      </c>
      <c r="F7002" t="s">
        <v>67</v>
      </c>
      <c r="G7002">
        <v>-226.4614</v>
      </c>
      <c r="H7002" s="1">
        <v>-2.2397080000000001E-6</v>
      </c>
      <c r="I7002">
        <v>-61.956510000000002</v>
      </c>
      <c r="J7002">
        <v>-235.71729999999999</v>
      </c>
      <c r="K7002">
        <v>1.111909</v>
      </c>
      <c r="L7002">
        <v>-63.318539999999999</v>
      </c>
      <c r="M7002">
        <v>0.99903059999999999</v>
      </c>
      <c r="N7002">
        <v>-1.477785E-2</v>
      </c>
      <c r="O7002">
        <v>-4.1467080000000003E-2</v>
      </c>
      <c r="P7002">
        <v>0.91491089999999997</v>
      </c>
      <c r="Q7002">
        <v>0.36851780000000001</v>
      </c>
      <c r="R7002">
        <v>0.164720799999999</v>
      </c>
      <c r="S7002">
        <v>3.3499759999999998</v>
      </c>
      <c r="T7002">
        <v>-0.39481539999999998</v>
      </c>
      <c r="U7002">
        <v>0.48126219999999997</v>
      </c>
      <c r="V7002">
        <v>-0.20367250000000001</v>
      </c>
      <c r="W7002">
        <v>0.38127290000000003</v>
      </c>
      <c r="X7002">
        <v>0.90174750000000004</v>
      </c>
      <c r="Y7002">
        <v>-0.1815232</v>
      </c>
      <c r="Z7002">
        <v>1.6199990000000001E-2</v>
      </c>
      <c r="AA7002">
        <v>0.98325320000000005</v>
      </c>
      <c r="AB7002">
        <v>37</v>
      </c>
      <c r="AC7002">
        <v>9.2558999999999898</v>
      </c>
      <c r="AD7002">
        <v>-1.111911239708</v>
      </c>
      <c r="AE7002">
        <v>1.3620300000000101</v>
      </c>
      <c r="AF7002">
        <v>-1.72041383314453</v>
      </c>
      <c r="AG7002">
        <v>-1.111911239708</v>
      </c>
      <c r="AH7002">
        <v>9.0634273561932694</v>
      </c>
      <c r="AI7002">
        <v>96.872645310884906</v>
      </c>
      <c r="AJ7002">
        <v>100.74797656449999</v>
      </c>
      <c r="AK7002">
        <v>9.2920334590043598</v>
      </c>
      <c r="AL7002">
        <v>67.587449450043493</v>
      </c>
      <c r="AM7002">
        <v>102.727505211009</v>
      </c>
      <c r="AN7002">
        <v>1.0000000326434499</v>
      </c>
    </row>
    <row r="7003" spans="1:40" x14ac:dyDescent="0.25">
      <c r="A7003" t="str">
        <f>"20190304164259948"</f>
        <v>20190304164259948</v>
      </c>
      <c r="B7003" t="str">
        <f>"1551688979938411"</f>
        <v>1551688979938411</v>
      </c>
      <c r="C7003" t="s">
        <v>40</v>
      </c>
      <c r="D7003">
        <v>4.6793559999999896</v>
      </c>
      <c r="E7003">
        <v>0.49088359999999898</v>
      </c>
      <c r="F7003" t="s">
        <v>67</v>
      </c>
      <c r="G7003">
        <v>-226.22980000000001</v>
      </c>
      <c r="H7003" s="1">
        <v>-2.1360879999999999E-6</v>
      </c>
      <c r="I7003">
        <v>-61.937309999999997</v>
      </c>
      <c r="J7003">
        <v>-235.5402</v>
      </c>
      <c r="K7003">
        <v>1.1120099999999999</v>
      </c>
      <c r="L7003">
        <v>-63.325130000000001</v>
      </c>
      <c r="M7003">
        <v>0.9990696</v>
      </c>
      <c r="N7003">
        <v>-1.4763719999999999E-2</v>
      </c>
      <c r="O7003">
        <v>-4.0522860000000001E-2</v>
      </c>
      <c r="P7003">
        <v>0.91431680000000004</v>
      </c>
      <c r="Q7003">
        <v>0.36917549999999999</v>
      </c>
      <c r="R7003">
        <v>0.166536299999999</v>
      </c>
      <c r="S7003">
        <v>3.3493189999999999</v>
      </c>
      <c r="T7003">
        <v>-0.3925341</v>
      </c>
      <c r="U7003">
        <v>0.48760989999999999</v>
      </c>
      <c r="V7003">
        <v>-0.2046975</v>
      </c>
      <c r="W7003">
        <v>0.38185950000000002</v>
      </c>
      <c r="X7003">
        <v>0.90126709999999999</v>
      </c>
      <c r="Y7003">
        <v>-0.18246200000000001</v>
      </c>
      <c r="Z7003">
        <v>1.6077270000000001E-2</v>
      </c>
      <c r="AA7003">
        <v>0.98308150000000005</v>
      </c>
      <c r="AB7003">
        <v>37</v>
      </c>
      <c r="AC7003">
        <v>9.31039999999998</v>
      </c>
      <c r="AD7003">
        <v>-1.112012136088</v>
      </c>
      <c r="AE7003">
        <v>1.3878200000000001</v>
      </c>
      <c r="AF7003">
        <v>-1.7397265887437501</v>
      </c>
      <c r="AG7003">
        <v>-1.112012136088</v>
      </c>
      <c r="AH7003">
        <v>9.1192447725495391</v>
      </c>
      <c r="AI7003">
        <v>96.830403760290494</v>
      </c>
      <c r="AJ7003">
        <v>100.800834248445</v>
      </c>
      <c r="AK7003">
        <v>9.3500719150208198</v>
      </c>
      <c r="AL7003">
        <v>67.551089514238996</v>
      </c>
      <c r="AM7003">
        <v>102.796048711739</v>
      </c>
      <c r="AN7003">
        <v>1.00000006489445</v>
      </c>
    </row>
    <row r="7004" spans="1:40" x14ac:dyDescent="0.25">
      <c r="A7004" t="str">
        <f>"20190304164259958"</f>
        <v>20190304164259958</v>
      </c>
      <c r="B7004" t="str">
        <f>"1551688979948171"</f>
        <v>1551688979948171</v>
      </c>
      <c r="C7004" t="s">
        <v>40</v>
      </c>
      <c r="D7004">
        <v>4.6258419999999996</v>
      </c>
      <c r="E7004">
        <v>0.48517890000000002</v>
      </c>
      <c r="F7004" t="s">
        <v>67</v>
      </c>
      <c r="G7004">
        <v>-222.60480000000001</v>
      </c>
      <c r="H7004" s="1">
        <v>-2.963565E-7</v>
      </c>
      <c r="I7004">
        <v>-60.65746</v>
      </c>
      <c r="J7004">
        <v>-235.35220000000001</v>
      </c>
      <c r="K7004">
        <v>1.112106</v>
      </c>
      <c r="L7004">
        <v>-63.331940000000003</v>
      </c>
      <c r="M7004">
        <v>0.99911099999999997</v>
      </c>
      <c r="N7004">
        <v>-1.474747E-2</v>
      </c>
      <c r="O7004">
        <v>-3.9496940000000001E-2</v>
      </c>
      <c r="P7004">
        <v>0.91373150000000003</v>
      </c>
      <c r="Q7004">
        <v>0.36961240000000001</v>
      </c>
      <c r="R7004">
        <v>0.16876549999999901</v>
      </c>
      <c r="S7004">
        <v>3.2718050000000001</v>
      </c>
      <c r="T7004">
        <v>-0.28126430000000002</v>
      </c>
      <c r="U7004">
        <v>0.67474369999999995</v>
      </c>
      <c r="V7004">
        <v>-0.20605950000000001</v>
      </c>
      <c r="W7004">
        <v>0.38222349999999999</v>
      </c>
      <c r="X7004">
        <v>0.90080229999999994</v>
      </c>
      <c r="Y7004">
        <v>-0.23941319999999999</v>
      </c>
      <c r="Z7004">
        <v>1.4734570000000001E-2</v>
      </c>
      <c r="AA7004">
        <v>0.9708059</v>
      </c>
      <c r="AB7004">
        <v>37</v>
      </c>
      <c r="AC7004">
        <v>12.747400000000001</v>
      </c>
      <c r="AD7004">
        <v>-1.1121062963565</v>
      </c>
      <c r="AE7004">
        <v>2.67448</v>
      </c>
      <c r="AF7004">
        <v>-3.1529449169849499</v>
      </c>
      <c r="AG7004">
        <v>-1.1121062963565</v>
      </c>
      <c r="AH7004">
        <v>12.540383416688201</v>
      </c>
      <c r="AI7004">
        <v>94.915644208244004</v>
      </c>
      <c r="AJ7004">
        <v>104.11297124494099</v>
      </c>
      <c r="AK7004">
        <v>12.9784073869442</v>
      </c>
      <c r="AL7004">
        <v>67.528521704996194</v>
      </c>
      <c r="AM7004">
        <v>102.884783437414</v>
      </c>
      <c r="AN7004">
        <v>1.0000000525888899</v>
      </c>
    </row>
    <row r="7005" spans="1:40" x14ac:dyDescent="0.25">
      <c r="A7005" t="str">
        <f>"20190304164259970"</f>
        <v>20190304164259970</v>
      </c>
      <c r="B7005" t="str">
        <f>"1551688979957931"</f>
        <v>1551688979957931</v>
      </c>
      <c r="C7005" t="s">
        <v>40</v>
      </c>
      <c r="D7005">
        <v>4.6407220000000002</v>
      </c>
      <c r="E7005">
        <v>0.4817111</v>
      </c>
      <c r="F7005" t="s">
        <v>67</v>
      </c>
      <c r="G7005">
        <v>-221.874</v>
      </c>
      <c r="H7005" s="1">
        <v>6.5804389999999997E-8</v>
      </c>
      <c r="I7005">
        <v>-60.328499999999998</v>
      </c>
      <c r="J7005">
        <v>-235.172</v>
      </c>
      <c r="K7005">
        <v>1.1121859999999999</v>
      </c>
      <c r="L7005">
        <v>-63.338200000000001</v>
      </c>
      <c r="M7005">
        <v>0.99915050000000005</v>
      </c>
      <c r="N7005">
        <v>-1.4729900000000001E-2</v>
      </c>
      <c r="O7005">
        <v>-3.8488670000000003E-2</v>
      </c>
      <c r="P7005">
        <v>0.91316830000000004</v>
      </c>
      <c r="Q7005">
        <v>0.37008449999999998</v>
      </c>
      <c r="R7005">
        <v>0.17076620000000001</v>
      </c>
      <c r="S7005">
        <v>3.2579039999999999</v>
      </c>
      <c r="T7005">
        <v>-0.26881480000000002</v>
      </c>
      <c r="U7005">
        <v>0.72598269999999998</v>
      </c>
      <c r="V7005">
        <v>-0.2071954</v>
      </c>
      <c r="W7005">
        <v>0.382631</v>
      </c>
      <c r="X7005">
        <v>0.90036859999999996</v>
      </c>
      <c r="Y7005">
        <v>-0.25385180000000002</v>
      </c>
      <c r="Z7005">
        <v>1.480104E-2</v>
      </c>
      <c r="AA7005">
        <v>0.96712989999999999</v>
      </c>
      <c r="AB7005">
        <v>37</v>
      </c>
      <c r="AC7005">
        <v>13.297999999999901</v>
      </c>
      <c r="AD7005">
        <v>-1.11218593419561</v>
      </c>
      <c r="AE7005">
        <v>3.0097</v>
      </c>
      <c r="AF7005">
        <v>-3.4960841271655201</v>
      </c>
      <c r="AG7005">
        <v>-1.11218593419561</v>
      </c>
      <c r="AH7005">
        <v>13.085222729240799</v>
      </c>
      <c r="AI7005">
        <v>94.694323516942205</v>
      </c>
      <c r="AJ7005">
        <v>104.95876788904501</v>
      </c>
      <c r="AK7005">
        <v>13.589798219630801</v>
      </c>
      <c r="AL7005">
        <v>67.5032520111927</v>
      </c>
      <c r="AM7005">
        <v>102.959450184576</v>
      </c>
      <c r="AN7005">
        <v>1.0000000159040501</v>
      </c>
    </row>
    <row r="7006" spans="1:40" x14ac:dyDescent="0.25">
      <c r="A7006" t="str">
        <f>"20190304164259983"</f>
        <v>20190304164259983</v>
      </c>
      <c r="B7006" t="str">
        <f>"1551688979978430"</f>
        <v>1551688979978430</v>
      </c>
      <c r="C7006" t="s">
        <v>40</v>
      </c>
      <c r="D7006">
        <v>4.6427800000000001</v>
      </c>
      <c r="E7006">
        <v>0.47855130000000001</v>
      </c>
      <c r="F7006" t="s">
        <v>67</v>
      </c>
      <c r="G7006">
        <v>-221.08019999999999</v>
      </c>
      <c r="H7006" s="1">
        <v>3.4263139999999999E-7</v>
      </c>
      <c r="I7006">
        <v>-60.040349999999997</v>
      </c>
      <c r="J7006">
        <v>-234.97649999999999</v>
      </c>
      <c r="K7006">
        <v>1.112263</v>
      </c>
      <c r="L7006">
        <v>-63.344909999999999</v>
      </c>
      <c r="M7006">
        <v>0.99919270000000004</v>
      </c>
      <c r="N7006">
        <v>-1.470989E-2</v>
      </c>
      <c r="O7006">
        <v>-3.7384899999999999E-2</v>
      </c>
      <c r="P7006">
        <v>0.91249709999999995</v>
      </c>
      <c r="Q7006">
        <v>0.37075340000000001</v>
      </c>
      <c r="R7006">
        <v>0.1728905</v>
      </c>
      <c r="S7006">
        <v>3.2470249999999998</v>
      </c>
      <c r="T7006">
        <v>-0.25626919999999997</v>
      </c>
      <c r="U7006">
        <v>0.75988769999999894</v>
      </c>
      <c r="V7006">
        <v>-0.2083671</v>
      </c>
      <c r="W7006">
        <v>0.38323049999999997</v>
      </c>
      <c r="X7006">
        <v>0.89984299999999995</v>
      </c>
      <c r="Y7006">
        <v>-0.26311319999999999</v>
      </c>
      <c r="Z7006">
        <v>1.4561889999999999E-2</v>
      </c>
      <c r="AA7006">
        <v>0.96465509999999999</v>
      </c>
      <c r="AB7006">
        <v>37</v>
      </c>
      <c r="AC7006">
        <v>13.896299999999901</v>
      </c>
      <c r="AD7006">
        <v>-1.1122626573686001</v>
      </c>
      <c r="AE7006">
        <v>3.3045599999999999</v>
      </c>
      <c r="AF7006">
        <v>-3.7987833123068699</v>
      </c>
      <c r="AG7006">
        <v>-1.1122626573686001</v>
      </c>
      <c r="AH7006">
        <v>13.680079786432</v>
      </c>
      <c r="AI7006">
        <v>94.479455020174498</v>
      </c>
      <c r="AJ7006">
        <v>105.51929393006399</v>
      </c>
      <c r="AK7006">
        <v>14.24122416915</v>
      </c>
      <c r="AL7006">
        <v>67.466067295953593</v>
      </c>
      <c r="AM7006">
        <v>103.037593290169</v>
      </c>
      <c r="AN7006">
        <v>0.99999994457082797</v>
      </c>
    </row>
    <row r="7007" spans="1:40" x14ac:dyDescent="0.25">
      <c r="A7007" t="str">
        <f>"20190304164259994"</f>
        <v>20190304164259994</v>
      </c>
      <c r="B7007" t="str">
        <f>"1551688979988186"</f>
        <v>1551688979988186</v>
      </c>
      <c r="C7007" t="s">
        <v>40</v>
      </c>
      <c r="D7007">
        <v>4.6270259999999999</v>
      </c>
      <c r="E7007">
        <v>0.477989</v>
      </c>
      <c r="F7007" t="s">
        <v>67</v>
      </c>
      <c r="G7007">
        <v>-220.3724</v>
      </c>
      <c r="H7007" s="1">
        <v>5.6213239999999999E-7</v>
      </c>
      <c r="I7007">
        <v>-59.772500000000001</v>
      </c>
      <c r="J7007">
        <v>-234.78630000000001</v>
      </c>
      <c r="K7007">
        <v>1.112323</v>
      </c>
      <c r="L7007">
        <v>-63.351010000000002</v>
      </c>
      <c r="M7007">
        <v>0.99923340000000005</v>
      </c>
      <c r="N7007">
        <v>-1.4686950000000001E-2</v>
      </c>
      <c r="O7007">
        <v>-3.628961E-2</v>
      </c>
      <c r="P7007">
        <v>0.91175130000000004</v>
      </c>
      <c r="Q7007">
        <v>0.37149670000000001</v>
      </c>
      <c r="R7007">
        <v>0.17521249999999999</v>
      </c>
      <c r="S7007">
        <v>3.2378079999999998</v>
      </c>
      <c r="T7007">
        <v>-0.2465948</v>
      </c>
      <c r="U7007">
        <v>0.79202269999999997</v>
      </c>
      <c r="V7007">
        <v>-0.209727</v>
      </c>
      <c r="W7007">
        <v>0.38390819999999998</v>
      </c>
      <c r="X7007">
        <v>0.89923799999999898</v>
      </c>
      <c r="Y7007">
        <v>-0.27174930000000003</v>
      </c>
      <c r="Z7007">
        <v>1.441014E-2</v>
      </c>
      <c r="AA7007">
        <v>0.96226020000000001</v>
      </c>
      <c r="AB7007">
        <v>36</v>
      </c>
      <c r="AC7007">
        <v>14.4139</v>
      </c>
      <c r="AD7007">
        <v>-1.1123224378676</v>
      </c>
      <c r="AE7007">
        <v>3.5785099999999899</v>
      </c>
      <c r="AF7007">
        <v>-4.0764170411997203</v>
      </c>
      <c r="AG7007">
        <v>-1.1123224378676</v>
      </c>
      <c r="AH7007">
        <v>14.1949010297723</v>
      </c>
      <c r="AI7007">
        <v>94.307189521113401</v>
      </c>
      <c r="AJ7007">
        <v>106.02272868339</v>
      </c>
      <c r="AK7007">
        <v>14.810457533263399</v>
      </c>
      <c r="AL7007">
        <v>67.424022127291394</v>
      </c>
      <c r="AM7007">
        <v>103.128269610724</v>
      </c>
      <c r="AN7007">
        <v>0.99999995060011804</v>
      </c>
    </row>
    <row r="7008" spans="1:40" x14ac:dyDescent="0.25">
      <c r="A7008" t="str">
        <f>"20190304164300005"</f>
        <v>20190304164300005</v>
      </c>
      <c r="B7008" t="str">
        <f>"1551688979997948"</f>
        <v>1551688979997948</v>
      </c>
      <c r="C7008" t="s">
        <v>40</v>
      </c>
      <c r="D7008">
        <v>4.6336930000000001</v>
      </c>
      <c r="E7008">
        <v>0.47753099999999998</v>
      </c>
      <c r="F7008" t="s">
        <v>68</v>
      </c>
      <c r="G7008">
        <v>-219.91</v>
      </c>
      <c r="H7008" s="1">
        <v>-3.3503899999999999E-6</v>
      </c>
      <c r="I7008">
        <v>-59.650779999999997</v>
      </c>
      <c r="J7008">
        <v>-234.61250000000001</v>
      </c>
      <c r="K7008">
        <v>1.1123730000000001</v>
      </c>
      <c r="L7008">
        <v>-63.356569999999998</v>
      </c>
      <c r="M7008">
        <v>0.99926979999999999</v>
      </c>
      <c r="N7008">
        <v>-1.466551E-2</v>
      </c>
      <c r="O7008">
        <v>-3.5286579999999998E-2</v>
      </c>
      <c r="P7008">
        <v>0.91109070000000003</v>
      </c>
      <c r="Q7008">
        <v>0.37205579999999999</v>
      </c>
      <c r="R7008">
        <v>0.17744979999999999</v>
      </c>
      <c r="S7008">
        <v>3.2343289999999998</v>
      </c>
      <c r="T7008">
        <v>-0.24183689999999999</v>
      </c>
      <c r="U7008">
        <v>0.80447389999999996</v>
      </c>
      <c r="V7008">
        <v>-0.2110822</v>
      </c>
      <c r="W7008">
        <v>0.38440829999999998</v>
      </c>
      <c r="X7008">
        <v>0.89870720000000004</v>
      </c>
      <c r="Y7008">
        <v>-0.27453949999999999</v>
      </c>
      <c r="Z7008">
        <v>1.4232130000000001E-2</v>
      </c>
      <c r="AA7008">
        <v>0.96147050000000001</v>
      </c>
      <c r="AB7008">
        <v>36</v>
      </c>
      <c r="AC7008">
        <v>14.702500000000001</v>
      </c>
      <c r="AD7008">
        <v>-1.1123763503899999</v>
      </c>
      <c r="AE7008">
        <v>3.7057899999999901</v>
      </c>
      <c r="AF7008">
        <v>-4.1997339104253504</v>
      </c>
      <c r="AG7008">
        <v>-1.1123763503899999</v>
      </c>
      <c r="AH7008">
        <v>14.4846020368835</v>
      </c>
      <c r="AI7008">
        <v>94.218458952988598</v>
      </c>
      <c r="AJ7008">
        <v>106.169237472871</v>
      </c>
      <c r="AK7008">
        <v>15.1221308759769</v>
      </c>
      <c r="AL7008">
        <v>67.392989088408797</v>
      </c>
      <c r="AM7008">
        <v>103.217663940134</v>
      </c>
      <c r="AN7008">
        <v>1.00000003379878</v>
      </c>
    </row>
    <row r="7009" spans="1:40" x14ac:dyDescent="0.25">
      <c r="A7009" t="str">
        <f>"20190304164300017"</f>
        <v>20190304164300017</v>
      </c>
      <c r="B7009" t="str">
        <f>"1551688980007707"</f>
        <v>1551688980007707</v>
      </c>
      <c r="C7009" t="s">
        <v>40</v>
      </c>
      <c r="D7009">
        <v>4.6551019999999896</v>
      </c>
      <c r="E7009">
        <v>0.47735559999999999</v>
      </c>
      <c r="F7009" t="s">
        <v>68</v>
      </c>
      <c r="G7009">
        <v>-219.5385</v>
      </c>
      <c r="H7009" s="1">
        <v>-3.208568E-6</v>
      </c>
      <c r="I7009">
        <v>-59.551760000000002</v>
      </c>
      <c r="J7009">
        <v>-234.41</v>
      </c>
      <c r="K7009">
        <v>1.112417</v>
      </c>
      <c r="L7009">
        <v>-63.362699999999997</v>
      </c>
      <c r="M7009">
        <v>0.99931099999999995</v>
      </c>
      <c r="N7009">
        <v>-1.46392E-2</v>
      </c>
      <c r="O7009">
        <v>-3.4107369999999998E-2</v>
      </c>
      <c r="P7009">
        <v>0.91035520000000003</v>
      </c>
      <c r="Q7009">
        <v>0.37254769999999998</v>
      </c>
      <c r="R7009">
        <v>0.1801722</v>
      </c>
      <c r="S7009">
        <v>3.2312620000000001</v>
      </c>
      <c r="T7009">
        <v>-0.23844799999999999</v>
      </c>
      <c r="U7009">
        <v>0.81558229999999998</v>
      </c>
      <c r="V7009">
        <v>-0.21275920000000001</v>
      </c>
      <c r="W7009">
        <v>0.38483580000000001</v>
      </c>
      <c r="X7009">
        <v>0.89812860000000005</v>
      </c>
      <c r="Y7009">
        <v>-0.27674680000000002</v>
      </c>
      <c r="Z7009">
        <v>1.408711E-2</v>
      </c>
      <c r="AA7009">
        <v>0.96083960000000002</v>
      </c>
      <c r="AB7009">
        <v>36</v>
      </c>
      <c r="AC7009">
        <v>14.8714999999999</v>
      </c>
      <c r="AD7009">
        <v>-1.1124202085679999</v>
      </c>
      <c r="AE7009">
        <v>3.81094</v>
      </c>
      <c r="AF7009">
        <v>-4.2934612053196197</v>
      </c>
      <c r="AG7009">
        <v>-1.1124202085679999</v>
      </c>
      <c r="AH7009">
        <v>14.6558986826014</v>
      </c>
      <c r="AI7009">
        <v>94.166138694436896</v>
      </c>
      <c r="AJ7009">
        <v>106.32800264997201</v>
      </c>
      <c r="AK7009">
        <v>15.3123040081071</v>
      </c>
      <c r="AL7009">
        <v>67.366453718464598</v>
      </c>
      <c r="AM7009">
        <v>103.327221215067</v>
      </c>
      <c r="AN7009">
        <v>1.00000002614211</v>
      </c>
    </row>
    <row r="7010" spans="1:40" x14ac:dyDescent="0.25">
      <c r="A7010" t="str">
        <f>"20190304164300028"</f>
        <v>20190304164300028</v>
      </c>
      <c r="B7010" t="str">
        <f>"1551688980018443"</f>
        <v>1551688980018443</v>
      </c>
      <c r="C7010" t="s">
        <v>40</v>
      </c>
      <c r="D7010">
        <v>4.6410970000000002</v>
      </c>
      <c r="E7010">
        <v>0.47719119999999998</v>
      </c>
      <c r="F7010" t="s">
        <v>68</v>
      </c>
      <c r="G7010">
        <v>-219.2191</v>
      </c>
      <c r="H7010" s="1">
        <v>-3.0850929999999999E-6</v>
      </c>
      <c r="I7010">
        <v>-59.475520000000003</v>
      </c>
      <c r="J7010">
        <v>-234.23679999999999</v>
      </c>
      <c r="K7010">
        <v>1.1124449999999999</v>
      </c>
      <c r="L7010">
        <v>-63.367739999999998</v>
      </c>
      <c r="M7010">
        <v>0.99934529999999999</v>
      </c>
      <c r="N7010">
        <v>-1.4616870000000001E-2</v>
      </c>
      <c r="O7010">
        <v>-3.3095479999999997E-2</v>
      </c>
      <c r="P7010">
        <v>0.90964140000000004</v>
      </c>
      <c r="Q7010">
        <v>0.37298599999999998</v>
      </c>
      <c r="R7010">
        <v>0.1828497</v>
      </c>
      <c r="S7010">
        <v>3.2286830000000002</v>
      </c>
      <c r="T7010">
        <v>-0.23643429999999999</v>
      </c>
      <c r="U7010">
        <v>0.82617189999999996</v>
      </c>
      <c r="V7010">
        <v>-0.21453320000000001</v>
      </c>
      <c r="W7010">
        <v>0.38521820000000001</v>
      </c>
      <c r="X7010">
        <v>0.89754249999999902</v>
      </c>
      <c r="Y7010">
        <v>-0.27892460000000002</v>
      </c>
      <c r="Z7010">
        <v>1.40211E-2</v>
      </c>
      <c r="AA7010">
        <v>0.96021069999999997</v>
      </c>
      <c r="AB7010">
        <v>36</v>
      </c>
      <c r="AC7010">
        <v>15.0176999999999</v>
      </c>
      <c r="AD7010">
        <v>-1.1124480850929901</v>
      </c>
      <c r="AE7010">
        <v>3.89222</v>
      </c>
      <c r="AF7010">
        <v>-4.3647158052008503</v>
      </c>
      <c r="AG7010">
        <v>-1.1124480850929901</v>
      </c>
      <c r="AH7010">
        <v>14.804520388437201</v>
      </c>
      <c r="AI7010">
        <v>94.1224819921689</v>
      </c>
      <c r="AJ7010">
        <v>106.426738900318</v>
      </c>
      <c r="AK7010">
        <v>15.474563280876399</v>
      </c>
      <c r="AL7010">
        <v>67.342714082349502</v>
      </c>
      <c r="AM7010">
        <v>103.442786208995</v>
      </c>
      <c r="AN7010">
        <v>1.00000004740986</v>
      </c>
    </row>
    <row r="7011" spans="1:40" x14ac:dyDescent="0.25">
      <c r="A7011" t="str">
        <f>"20190304164300039"</f>
        <v>20190304164300039</v>
      </c>
      <c r="B7011" t="str">
        <f>"1551688980028203"</f>
        <v>1551688980028203</v>
      </c>
      <c r="C7011" t="s">
        <v>40</v>
      </c>
      <c r="D7011">
        <v>4.6342610000000004</v>
      </c>
      <c r="E7011">
        <v>0.4771881</v>
      </c>
      <c r="F7011" t="s">
        <v>68</v>
      </c>
      <c r="G7011">
        <v>-218.92490000000001</v>
      </c>
      <c r="H7011" s="1">
        <v>-2.9720940000000001E-6</v>
      </c>
      <c r="I7011">
        <v>-59.400970000000001</v>
      </c>
      <c r="J7011">
        <v>-234.0505</v>
      </c>
      <c r="K7011">
        <v>1.112474</v>
      </c>
      <c r="L7011">
        <v>-63.373019999999997</v>
      </c>
      <c r="M7011">
        <v>0.99938130000000003</v>
      </c>
      <c r="N7011">
        <v>-1.459297E-2</v>
      </c>
      <c r="O7011">
        <v>-3.2003730000000001E-2</v>
      </c>
      <c r="P7011">
        <v>0.90915550000000001</v>
      </c>
      <c r="Q7011">
        <v>0.3729094</v>
      </c>
      <c r="R7011">
        <v>0.1854054</v>
      </c>
      <c r="S7011">
        <v>3.226105</v>
      </c>
      <c r="T7011">
        <v>-0.23438390000000001</v>
      </c>
      <c r="U7011">
        <v>0.83575440000000001</v>
      </c>
      <c r="V7011">
        <v>-0.2161187</v>
      </c>
      <c r="W7011">
        <v>0.38508969999999998</v>
      </c>
      <c r="X7011">
        <v>0.89721719999999905</v>
      </c>
      <c r="Y7011">
        <v>-0.28074460000000001</v>
      </c>
      <c r="Z7011">
        <v>1.3933060000000001E-2</v>
      </c>
      <c r="AA7011">
        <v>0.95968140000000002</v>
      </c>
      <c r="AB7011">
        <v>36</v>
      </c>
      <c r="AC7011">
        <v>15.125599999999899</v>
      </c>
      <c r="AD7011">
        <v>-1.112476972094</v>
      </c>
      <c r="AE7011">
        <v>3.9720499999999999</v>
      </c>
      <c r="AF7011">
        <v>-4.4317152363950996</v>
      </c>
      <c r="AG7011">
        <v>-1.112476972094</v>
      </c>
      <c r="AH7011">
        <v>14.915237490143801</v>
      </c>
      <c r="AI7011">
        <v>94.089534993704603</v>
      </c>
      <c r="AJ7011">
        <v>106.548090013161</v>
      </c>
      <c r="AK7011">
        <v>15.5994235258014</v>
      </c>
      <c r="AL7011">
        <v>67.3506918182362</v>
      </c>
      <c r="AM7011">
        <v>103.54321818772701</v>
      </c>
      <c r="AN7011">
        <v>1.0000000367558</v>
      </c>
    </row>
    <row r="7012" spans="1:40" x14ac:dyDescent="0.25">
      <c r="A7012" t="str">
        <f>"20190304164300050"</f>
        <v>20190304164300050</v>
      </c>
      <c r="B7012" t="str">
        <f>"1551688980037963"</f>
        <v>1551688980037963</v>
      </c>
      <c r="C7012" t="s">
        <v>40</v>
      </c>
      <c r="D7012">
        <v>4.6407780000000001</v>
      </c>
      <c r="E7012">
        <v>0.47724369999999999</v>
      </c>
      <c r="F7012" t="s">
        <v>68</v>
      </c>
      <c r="G7012">
        <v>-218.84819999999999</v>
      </c>
      <c r="H7012" s="1">
        <v>-2.9404860000000001E-6</v>
      </c>
      <c r="I7012">
        <v>-59.393630000000002</v>
      </c>
      <c r="J7012">
        <v>-233.87860000000001</v>
      </c>
      <c r="K7012">
        <v>1.1125</v>
      </c>
      <c r="L7012">
        <v>-63.377659999999999</v>
      </c>
      <c r="M7012">
        <v>0.99941340000000001</v>
      </c>
      <c r="N7012">
        <v>-1.4570430000000001E-2</v>
      </c>
      <c r="O7012">
        <v>-3.0992780000000001E-2</v>
      </c>
      <c r="P7012">
        <v>0.90880479999999997</v>
      </c>
      <c r="Q7012">
        <v>0.37249450000000001</v>
      </c>
      <c r="R7012">
        <v>0.18794130000000001</v>
      </c>
      <c r="S7012">
        <v>3.2244419999999998</v>
      </c>
      <c r="T7012">
        <v>-0.2359591</v>
      </c>
      <c r="U7012">
        <v>0.84402469999999996</v>
      </c>
      <c r="V7012">
        <v>-0.21775430000000001</v>
      </c>
      <c r="W7012">
        <v>0.3846289</v>
      </c>
      <c r="X7012">
        <v>0.89701929999999996</v>
      </c>
      <c r="Y7012">
        <v>-0.28218490000000002</v>
      </c>
      <c r="Z7012">
        <v>1.4020289999999999E-2</v>
      </c>
      <c r="AA7012">
        <v>0.95925760000000004</v>
      </c>
      <c r="AB7012">
        <v>36</v>
      </c>
      <c r="AC7012">
        <v>15.0304</v>
      </c>
      <c r="AD7012">
        <v>-1.1125029404860001</v>
      </c>
      <c r="AE7012">
        <v>3.98402999999999</v>
      </c>
      <c r="AF7012">
        <v>-4.4253463613712203</v>
      </c>
      <c r="AG7012">
        <v>-1.1125029404860001</v>
      </c>
      <c r="AH7012">
        <v>14.8238078955945</v>
      </c>
      <c r="AI7012">
        <v>94.113194066034794</v>
      </c>
      <c r="AJ7012">
        <v>106.621924772016</v>
      </c>
      <c r="AK7012">
        <v>15.5102106283629</v>
      </c>
      <c r="AL7012">
        <v>67.379295552285399</v>
      </c>
      <c r="AM7012">
        <v>103.644794869013</v>
      </c>
      <c r="AN7012">
        <v>0.99999997522809403</v>
      </c>
    </row>
    <row r="7013" spans="1:40" x14ac:dyDescent="0.25">
      <c r="A7013" t="str">
        <f>"20190304164300059"</f>
        <v>20190304164300059</v>
      </c>
      <c r="B7013" t="str">
        <f>"1551688980047723"</f>
        <v>1551688980047723</v>
      </c>
      <c r="C7013" t="s">
        <v>40</v>
      </c>
      <c r="D7013">
        <v>4.6472319999999998</v>
      </c>
      <c r="E7013">
        <v>0.4772091</v>
      </c>
      <c r="F7013" t="s">
        <v>68</v>
      </c>
      <c r="G7013">
        <v>-218.8562</v>
      </c>
      <c r="H7013" s="1">
        <v>-2.9410969999999998E-6</v>
      </c>
      <c r="I7013">
        <v>-59.409689999999998</v>
      </c>
      <c r="J7013">
        <v>-233.72479999999999</v>
      </c>
      <c r="K7013">
        <v>1.112522</v>
      </c>
      <c r="L7013">
        <v>-63.381709999999998</v>
      </c>
      <c r="M7013">
        <v>0.99944140000000004</v>
      </c>
      <c r="N7013">
        <v>-1.455005E-2</v>
      </c>
      <c r="O7013">
        <v>-3.0086189999999999E-2</v>
      </c>
      <c r="P7013">
        <v>0.90840319999999997</v>
      </c>
      <c r="Q7013">
        <v>0.37228480000000003</v>
      </c>
      <c r="R7013">
        <v>0.1902836</v>
      </c>
      <c r="S7013">
        <v>3.222839</v>
      </c>
      <c r="T7013">
        <v>-0.23867150000000001</v>
      </c>
      <c r="U7013">
        <v>0.85125729999999999</v>
      </c>
      <c r="V7013">
        <v>-0.21928719999999999</v>
      </c>
      <c r="W7013">
        <v>0.38437660000000001</v>
      </c>
      <c r="X7013">
        <v>0.89675400000000005</v>
      </c>
      <c r="Y7013">
        <v>-0.28342309999999998</v>
      </c>
      <c r="Z7013">
        <v>1.416425E-2</v>
      </c>
      <c r="AA7013">
        <v>0.95889040000000003</v>
      </c>
      <c r="AB7013">
        <v>36</v>
      </c>
      <c r="AC7013">
        <v>14.868599999999899</v>
      </c>
      <c r="AD7013">
        <v>-1.112524941097</v>
      </c>
      <c r="AE7013">
        <v>3.9720199999999899</v>
      </c>
      <c r="AF7013">
        <v>-4.3946434417837601</v>
      </c>
      <c r="AG7013">
        <v>-1.112524941097</v>
      </c>
      <c r="AH7013">
        <v>14.6657138822506</v>
      </c>
      <c r="AI7013">
        <v>94.156182054026203</v>
      </c>
      <c r="AJ7013">
        <v>106.68106799101901</v>
      </c>
      <c r="AK7013">
        <v>15.350366979359601</v>
      </c>
      <c r="AL7013">
        <v>67.394955516615298</v>
      </c>
      <c r="AM7013">
        <v>103.741131590599</v>
      </c>
      <c r="AN7013">
        <v>0.99999999161370001</v>
      </c>
    </row>
    <row r="7014" spans="1:40" x14ac:dyDescent="0.25">
      <c r="A7014" t="str">
        <f>"20190304164300071"</f>
        <v>20190304164300071</v>
      </c>
      <c r="B7014" t="str">
        <f>"1551688980058459"</f>
        <v>1551688980058459</v>
      </c>
      <c r="C7014" t="s">
        <v>40</v>
      </c>
      <c r="D7014">
        <v>4.6496089999999999</v>
      </c>
      <c r="E7014">
        <v>0.4774159</v>
      </c>
      <c r="F7014" t="s">
        <v>68</v>
      </c>
      <c r="G7014">
        <v>-218.90039999999999</v>
      </c>
      <c r="H7014" s="1">
        <v>-2.9560830000000001E-6</v>
      </c>
      <c r="I7014">
        <v>-59.43188</v>
      </c>
      <c r="J7014">
        <v>-233.54949999999999</v>
      </c>
      <c r="K7014">
        <v>1.1125449999999999</v>
      </c>
      <c r="L7014">
        <v>-63.386049999999997</v>
      </c>
      <c r="M7014">
        <v>0.99947269999999999</v>
      </c>
      <c r="N7014">
        <v>-1.4525079999999999E-2</v>
      </c>
      <c r="O7014">
        <v>-2.904522E-2</v>
      </c>
      <c r="P7014">
        <v>0.90814830000000002</v>
      </c>
      <c r="Q7014">
        <v>0.37159930000000002</v>
      </c>
      <c r="R7014">
        <v>0.19282250000000001</v>
      </c>
      <c r="S7014">
        <v>3.2217709999999999</v>
      </c>
      <c r="T7014">
        <v>-0.241783</v>
      </c>
      <c r="U7014">
        <v>0.85839840000000001</v>
      </c>
      <c r="V7014">
        <v>-0.22089980000000001</v>
      </c>
      <c r="W7014">
        <v>0.38364579999999998</v>
      </c>
      <c r="X7014">
        <v>0.8966712</v>
      </c>
      <c r="Y7014">
        <v>-0.28446450000000001</v>
      </c>
      <c r="Z7014">
        <v>1.4309260000000001E-2</v>
      </c>
      <c r="AA7014">
        <v>0.95857979999999998</v>
      </c>
      <c r="AB7014">
        <v>36</v>
      </c>
      <c r="AC7014">
        <v>14.649100000000001</v>
      </c>
      <c r="AD7014">
        <v>-1.1125479560830001</v>
      </c>
      <c r="AE7014">
        <v>3.9541699999999902</v>
      </c>
      <c r="AF7014">
        <v>-4.3546213804778198</v>
      </c>
      <c r="AG7014">
        <v>-1.1125479560830001</v>
      </c>
      <c r="AH7014">
        <v>14.4503688198422</v>
      </c>
      <c r="AI7014">
        <v>94.216020130367298</v>
      </c>
      <c r="AJ7014">
        <v>106.770190450746</v>
      </c>
      <c r="AK7014">
        <v>15.133196930964999</v>
      </c>
      <c r="AL7014">
        <v>67.440305173639402</v>
      </c>
      <c r="AM7014">
        <v>103.839539371782</v>
      </c>
      <c r="AN7014">
        <v>1.00000003120355</v>
      </c>
    </row>
    <row r="7015" spans="1:40" x14ac:dyDescent="0.25">
      <c r="A7015" t="str">
        <f>"20190304164300082"</f>
        <v>20190304164300082</v>
      </c>
      <c r="B7015" t="str">
        <f>"1551688980077979"</f>
        <v>1551688980077979</v>
      </c>
      <c r="C7015" t="s">
        <v>40</v>
      </c>
      <c r="D7015">
        <v>4.6822839999999903</v>
      </c>
      <c r="E7015">
        <v>0.47776540000000001</v>
      </c>
      <c r="F7015" t="s">
        <v>68</v>
      </c>
      <c r="G7015">
        <v>-218.93170000000001</v>
      </c>
      <c r="H7015" s="1">
        <v>-2.9642060000000001E-6</v>
      </c>
      <c r="I7015">
        <v>-59.461889999999997</v>
      </c>
      <c r="J7015">
        <v>-233.36</v>
      </c>
      <c r="K7015">
        <v>1.1125689999999999</v>
      </c>
      <c r="L7015">
        <v>-63.390659999999997</v>
      </c>
      <c r="M7015">
        <v>0.99950499999999998</v>
      </c>
      <c r="N7015">
        <v>-1.449747E-2</v>
      </c>
      <c r="O7015">
        <v>-2.7917669999999999E-2</v>
      </c>
      <c r="P7015">
        <v>0.90790079999999995</v>
      </c>
      <c r="Q7015">
        <v>0.37086259999999999</v>
      </c>
      <c r="R7015">
        <v>0.1953897</v>
      </c>
      <c r="S7015">
        <v>3.220154</v>
      </c>
      <c r="T7015">
        <v>-0.2450833</v>
      </c>
      <c r="U7015">
        <v>0.86444089999999996</v>
      </c>
      <c r="V7015">
        <v>-0.22246460000000001</v>
      </c>
      <c r="W7015">
        <v>0.38286049999999999</v>
      </c>
      <c r="X7015">
        <v>0.89661999999999997</v>
      </c>
      <c r="Y7015">
        <v>-0.28515689999999999</v>
      </c>
      <c r="Z7015">
        <v>1.444436E-2</v>
      </c>
      <c r="AA7015">
        <v>0.958372</v>
      </c>
      <c r="AB7015">
        <v>36</v>
      </c>
      <c r="AC7015">
        <v>14.4283</v>
      </c>
      <c r="AD7015">
        <v>-1.1125719642059999</v>
      </c>
      <c r="AE7015">
        <v>3.9287699999999899</v>
      </c>
      <c r="AF7015">
        <v>-4.3062476697676502</v>
      </c>
      <c r="AG7015">
        <v>-1.1125719642059999</v>
      </c>
      <c r="AH7015">
        <v>14.234186954866299</v>
      </c>
      <c r="AI7015">
        <v>94.278516746526606</v>
      </c>
      <c r="AJ7015">
        <v>106.83206363317601</v>
      </c>
      <c r="AK7015">
        <v>14.9128690611499</v>
      </c>
      <c r="AL7015">
        <v>67.489019458713003</v>
      </c>
      <c r="AM7015">
        <v>103.93453268541499</v>
      </c>
      <c r="AN7015">
        <v>1.0000000425566999</v>
      </c>
    </row>
    <row r="7016" spans="1:40" x14ac:dyDescent="0.25">
      <c r="A7016" t="str">
        <f>"20190304164300093"</f>
        <v>20190304164300093</v>
      </c>
      <c r="B7016" t="str">
        <f>"1551688980087739"</f>
        <v>1551688980087739</v>
      </c>
      <c r="C7016" t="s">
        <v>40</v>
      </c>
      <c r="D7016">
        <v>4.6646199999999904</v>
      </c>
      <c r="E7016">
        <v>0.4778655</v>
      </c>
      <c r="F7016" t="s">
        <v>68</v>
      </c>
      <c r="G7016">
        <v>-219.0421</v>
      </c>
      <c r="H7016" s="1">
        <v>-3.000918E-6</v>
      </c>
      <c r="I7016">
        <v>-59.521799999999999</v>
      </c>
      <c r="J7016">
        <v>-233.16659999999999</v>
      </c>
      <c r="K7016">
        <v>1.1125959999999999</v>
      </c>
      <c r="L7016">
        <v>-63.39499</v>
      </c>
      <c r="M7016">
        <v>0.99953760000000003</v>
      </c>
      <c r="N7016">
        <v>-1.446627E-2</v>
      </c>
      <c r="O7016">
        <v>-2.674824E-2</v>
      </c>
      <c r="P7016">
        <v>0.90756769999999998</v>
      </c>
      <c r="Q7016">
        <v>0.37020330000000001</v>
      </c>
      <c r="R7016">
        <v>0.1981677</v>
      </c>
      <c r="S7016">
        <v>3.2192989999999999</v>
      </c>
      <c r="T7016">
        <v>-0.25015409999999999</v>
      </c>
      <c r="U7016">
        <v>0.86987300000000001</v>
      </c>
      <c r="V7016">
        <v>-0.2242034</v>
      </c>
      <c r="W7016">
        <v>0.38214550000000003</v>
      </c>
      <c r="X7016">
        <v>0.89649190000000001</v>
      </c>
      <c r="Y7016">
        <v>-0.2855704</v>
      </c>
      <c r="Z7016">
        <v>1.4650750000000001E-2</v>
      </c>
      <c r="AA7016">
        <v>0.95824580000000004</v>
      </c>
      <c r="AB7016">
        <v>36</v>
      </c>
      <c r="AC7016">
        <v>14.1244999999999</v>
      </c>
      <c r="AD7016">
        <v>-1.112599000918</v>
      </c>
      <c r="AE7016">
        <v>3.8731900000000001</v>
      </c>
      <c r="AF7016">
        <v>-4.2252653194874901</v>
      </c>
      <c r="AG7016">
        <v>-1.112599000918</v>
      </c>
      <c r="AH7016">
        <v>13.9354134566388</v>
      </c>
      <c r="AI7016">
        <v>94.369186811211307</v>
      </c>
      <c r="AJ7016">
        <v>106.867484114072</v>
      </c>
      <c r="AK7016">
        <v>14.6043312672774</v>
      </c>
      <c r="AL7016">
        <v>67.533357547738106</v>
      </c>
      <c r="AM7016">
        <v>104.04108105978899</v>
      </c>
      <c r="AN7016">
        <v>1.0000000372536999</v>
      </c>
    </row>
    <row r="7017" spans="1:40" x14ac:dyDescent="0.25">
      <c r="A7017" t="str">
        <f>"20190304164300104"</f>
        <v>20190304164300104</v>
      </c>
      <c r="B7017" t="str">
        <f>"1551688980098395"</f>
        <v>1551688980098395</v>
      </c>
      <c r="C7017" t="s">
        <v>40</v>
      </c>
      <c r="D7017">
        <v>4.6508510000000003</v>
      </c>
      <c r="E7017">
        <v>0.47791309999999898</v>
      </c>
      <c r="F7017" t="s">
        <v>68</v>
      </c>
      <c r="G7017">
        <v>-219.07130000000001</v>
      </c>
      <c r="H7017" s="1">
        <v>-3.0081769999999998E-6</v>
      </c>
      <c r="I7017">
        <v>-59.551630000000003</v>
      </c>
      <c r="J7017">
        <v>-232.99809999999999</v>
      </c>
      <c r="K7017">
        <v>1.112622</v>
      </c>
      <c r="L7017">
        <v>-63.398679999999999</v>
      </c>
      <c r="M7017">
        <v>0.99956480000000003</v>
      </c>
      <c r="N7017">
        <v>-1.4438400000000001E-2</v>
      </c>
      <c r="O7017">
        <v>-2.5723820000000001E-2</v>
      </c>
      <c r="P7017">
        <v>0.90715120000000005</v>
      </c>
      <c r="Q7017">
        <v>0.36975720000000001</v>
      </c>
      <c r="R7017">
        <v>0.20088929999999999</v>
      </c>
      <c r="S7017">
        <v>3.2175750000000001</v>
      </c>
      <c r="T7017">
        <v>-0.25397570000000003</v>
      </c>
      <c r="U7017">
        <v>0.87731930000000002</v>
      </c>
      <c r="V7017">
        <v>-0.2260133</v>
      </c>
      <c r="W7017">
        <v>0.38164700000000001</v>
      </c>
      <c r="X7017">
        <v>0.89624969999999904</v>
      </c>
      <c r="Y7017">
        <v>-0.2867518</v>
      </c>
      <c r="Z7017">
        <v>1.483756E-2</v>
      </c>
      <c r="AA7017">
        <v>0.95789000000000002</v>
      </c>
      <c r="AB7017">
        <v>36</v>
      </c>
      <c r="AC7017">
        <v>13.926799999999901</v>
      </c>
      <c r="AD7017">
        <v>-1.1126250081769999</v>
      </c>
      <c r="AE7017">
        <v>3.8470499999999999</v>
      </c>
      <c r="AF7017">
        <v>-4.1792811306224698</v>
      </c>
      <c r="AG7017">
        <v>-1.1126250081769999</v>
      </c>
      <c r="AH7017">
        <v>13.7417299714545</v>
      </c>
      <c r="AI7017">
        <v>94.429490711843698</v>
      </c>
      <c r="AJ7017">
        <v>106.916123456091</v>
      </c>
      <c r="AK7017">
        <v>14.406230172601299</v>
      </c>
      <c r="AL7017">
        <v>67.564260634395794</v>
      </c>
      <c r="AM7017">
        <v>104.153563218908</v>
      </c>
      <c r="AN7017">
        <v>0.999999984567989</v>
      </c>
    </row>
    <row r="7018" spans="1:40" x14ac:dyDescent="0.25">
      <c r="A7018" t="str">
        <f>"20190304164300114"</f>
        <v>20190304164300114</v>
      </c>
      <c r="B7018" t="str">
        <f>"1551688980108155"</f>
        <v>1551688980108155</v>
      </c>
      <c r="C7018" t="s">
        <v>40</v>
      </c>
      <c r="D7018">
        <v>4.6991870000000002</v>
      </c>
      <c r="E7018">
        <v>0.47812539999999998</v>
      </c>
      <c r="F7018" t="s">
        <v>68</v>
      </c>
      <c r="G7018">
        <v>-219.0856</v>
      </c>
      <c r="H7018" s="1">
        <v>-3.0111249999999999E-6</v>
      </c>
      <c r="I7018">
        <v>-59.56964</v>
      </c>
      <c r="J7018">
        <v>-232.81630000000001</v>
      </c>
      <c r="K7018">
        <v>1.11264599999999</v>
      </c>
      <c r="L7018">
        <v>-63.402340000000002</v>
      </c>
      <c r="M7018">
        <v>0.99959370000000003</v>
      </c>
      <c r="N7018">
        <v>-1.4406179999999999E-2</v>
      </c>
      <c r="O7018">
        <v>-2.4602909999999999E-2</v>
      </c>
      <c r="P7018">
        <v>0.90657790000000005</v>
      </c>
      <c r="Q7018">
        <v>0.36950630000000001</v>
      </c>
      <c r="R7018">
        <v>0.20391599999999999</v>
      </c>
      <c r="S7018">
        <v>3.2158660000000001</v>
      </c>
      <c r="T7018">
        <v>-0.2571832</v>
      </c>
      <c r="U7018">
        <v>0.88507080000000005</v>
      </c>
      <c r="V7018">
        <v>-0.2280422</v>
      </c>
      <c r="W7018">
        <v>0.38133319999999998</v>
      </c>
      <c r="X7018">
        <v>0.89586929999999998</v>
      </c>
      <c r="Y7018">
        <v>-0.28792790000000001</v>
      </c>
      <c r="Z7018">
        <v>1.4984600000000001E-2</v>
      </c>
      <c r="AA7018">
        <v>0.95753480000000002</v>
      </c>
      <c r="AB7018">
        <v>36</v>
      </c>
      <c r="AC7018">
        <v>13.730700000000001</v>
      </c>
      <c r="AD7018">
        <v>-1.11264901112499</v>
      </c>
      <c r="AE7018">
        <v>3.8327</v>
      </c>
      <c r="AF7018">
        <v>-4.1441444433808403</v>
      </c>
      <c r="AG7018">
        <v>-1.11264901112499</v>
      </c>
      <c r="AH7018">
        <v>13.549695396782599</v>
      </c>
      <c r="AI7018">
        <v>94.489966478705199</v>
      </c>
      <c r="AJ7018">
        <v>107.00613625782999</v>
      </c>
      <c r="AK7018">
        <v>14.2128873328101</v>
      </c>
      <c r="AL7018">
        <v>67.583712066082796</v>
      </c>
      <c r="AM7018">
        <v>104.281260419803</v>
      </c>
      <c r="AN7018">
        <v>1.0000000285427799</v>
      </c>
    </row>
    <row r="7019" spans="1:40" x14ac:dyDescent="0.25">
      <c r="A7019" t="str">
        <f>"20190304164300126"</f>
        <v>20190304164300126</v>
      </c>
      <c r="B7019" t="str">
        <f>"1551688980117915"</f>
        <v>1551688980117915</v>
      </c>
      <c r="C7019" t="s">
        <v>40</v>
      </c>
      <c r="D7019">
        <v>4.6869209999999999</v>
      </c>
      <c r="E7019">
        <v>0.47822110000000001</v>
      </c>
      <c r="F7019" t="s">
        <v>68</v>
      </c>
      <c r="G7019">
        <v>-219.03559999999999</v>
      </c>
      <c r="H7019" s="1">
        <v>-2.9895509999999998E-6</v>
      </c>
      <c r="I7019">
        <v>-59.570340000000002</v>
      </c>
      <c r="J7019">
        <v>-232.63939999999999</v>
      </c>
      <c r="K7019">
        <v>1.1126689999999999</v>
      </c>
      <c r="L7019">
        <v>-63.405790000000003</v>
      </c>
      <c r="M7019">
        <v>0.99962059999999997</v>
      </c>
      <c r="N7019">
        <v>-1.4373739999999999E-2</v>
      </c>
      <c r="O7019">
        <v>-2.3496280000000001E-2</v>
      </c>
      <c r="P7019">
        <v>0.90590020000000004</v>
      </c>
      <c r="Q7019">
        <v>0.36967499999999998</v>
      </c>
      <c r="R7019">
        <v>0.20660429999999999</v>
      </c>
      <c r="S7019">
        <v>3.2138979999999999</v>
      </c>
      <c r="T7019">
        <v>-0.25948890000000002</v>
      </c>
      <c r="U7019">
        <v>0.89367680000000005</v>
      </c>
      <c r="V7019">
        <v>-0.22974820000000001</v>
      </c>
      <c r="W7019">
        <v>0.38143850000000001</v>
      </c>
      <c r="X7019">
        <v>0.89538839999999997</v>
      </c>
      <c r="Y7019">
        <v>-0.28937839999999998</v>
      </c>
      <c r="Z7019">
        <v>1.5098820000000001E-2</v>
      </c>
      <c r="AA7019">
        <v>0.95709569999999999</v>
      </c>
      <c r="AB7019">
        <v>36</v>
      </c>
      <c r="AC7019">
        <v>13.6038</v>
      </c>
      <c r="AD7019">
        <v>-1.112671989551</v>
      </c>
      <c r="AE7019">
        <v>3.8354499999999998</v>
      </c>
      <c r="AF7019">
        <v>-4.1284776360459103</v>
      </c>
      <c r="AG7019">
        <v>-1.112671989551</v>
      </c>
      <c r="AH7019">
        <v>13.426707490018</v>
      </c>
      <c r="AI7019">
        <v>94.5289499598356</v>
      </c>
      <c r="AJ7019">
        <v>107.091747084452</v>
      </c>
      <c r="AK7019">
        <v>14.091090822579</v>
      </c>
      <c r="AL7019">
        <v>67.577184270012395</v>
      </c>
      <c r="AM7019">
        <v>104.391086846322</v>
      </c>
      <c r="AN7019">
        <v>0.99999997577002397</v>
      </c>
    </row>
    <row r="7020" spans="1:40" x14ac:dyDescent="0.25">
      <c r="A7020" t="str">
        <f>"20190304164300137"</f>
        <v>20190304164300137</v>
      </c>
      <c r="B7020" t="str">
        <f>"1551688980127674"</f>
        <v>1551688980127674</v>
      </c>
      <c r="C7020" t="s">
        <v>40</v>
      </c>
      <c r="D7020">
        <v>4.6669549999999997</v>
      </c>
      <c r="E7020">
        <v>0.47834900000000002</v>
      </c>
      <c r="F7020" t="s">
        <v>68</v>
      </c>
      <c r="G7020">
        <v>-218.89080000000001</v>
      </c>
      <c r="H7020" s="1">
        <v>-2.932136E-6</v>
      </c>
      <c r="I7020">
        <v>-59.543819999999997</v>
      </c>
      <c r="J7020">
        <v>-232.46260000000001</v>
      </c>
      <c r="K7020">
        <v>1.1127039999999999</v>
      </c>
      <c r="L7020">
        <v>-63.408969999999997</v>
      </c>
      <c r="M7020">
        <v>0.9996469</v>
      </c>
      <c r="N7020">
        <v>-1.4339869999999999E-2</v>
      </c>
      <c r="O7020">
        <v>-2.236983E-2</v>
      </c>
      <c r="P7020">
        <v>0.90526569999999995</v>
      </c>
      <c r="Q7020">
        <v>0.36983050000000001</v>
      </c>
      <c r="R7020">
        <v>0.20909179999999999</v>
      </c>
      <c r="S7020">
        <v>3.2119450000000001</v>
      </c>
      <c r="T7020">
        <v>-0.25994230000000002</v>
      </c>
      <c r="U7020">
        <v>0.90222170000000002</v>
      </c>
      <c r="V7020">
        <v>-0.23124140000000001</v>
      </c>
      <c r="W7020">
        <v>0.38152940000000002</v>
      </c>
      <c r="X7020">
        <v>0.89496520000000002</v>
      </c>
      <c r="Y7020">
        <v>-0.29080529999999999</v>
      </c>
      <c r="Z7020">
        <v>1.5115200000000001E-2</v>
      </c>
      <c r="AA7020">
        <v>0.95666280000000004</v>
      </c>
      <c r="AB7020">
        <v>36</v>
      </c>
      <c r="AC7020">
        <v>13.5717999999999</v>
      </c>
      <c r="AD7020">
        <v>-1.1127069321359999</v>
      </c>
      <c r="AE7020">
        <v>3.8651499999999999</v>
      </c>
      <c r="AF7020">
        <v>-4.1420592978734501</v>
      </c>
      <c r="AG7020">
        <v>-1.1127069321359999</v>
      </c>
      <c r="AH7020">
        <v>13.3986251242235</v>
      </c>
      <c r="AI7020">
        <v>94.536435126720406</v>
      </c>
      <c r="AJ7020">
        <v>107.178503500197</v>
      </c>
      <c r="AK7020">
        <v>14.0683306459365</v>
      </c>
      <c r="AL7020">
        <v>67.571550299166802</v>
      </c>
      <c r="AM7020">
        <v>104.487257560567</v>
      </c>
      <c r="AN7020">
        <v>0.99999998867467998</v>
      </c>
    </row>
    <row r="7021" spans="1:40" x14ac:dyDescent="0.25">
      <c r="A7021" t="str">
        <f>"20190304164300149"</f>
        <v>20190304164300149</v>
      </c>
      <c r="B7021" t="str">
        <f>"1551688980138411"</f>
        <v>1551688980138411</v>
      </c>
      <c r="C7021" t="s">
        <v>40</v>
      </c>
      <c r="D7021">
        <v>4.6639679999999997</v>
      </c>
      <c r="E7021">
        <v>0.47847719999999999</v>
      </c>
      <c r="F7021" t="s">
        <v>68</v>
      </c>
      <c r="G7021">
        <v>-218.71510000000001</v>
      </c>
      <c r="H7021" s="1">
        <v>-2.8630189999999998E-6</v>
      </c>
      <c r="I7021">
        <v>-59.508569999999999</v>
      </c>
      <c r="J7021">
        <v>-232.28389999999999</v>
      </c>
      <c r="K7021">
        <v>1.112746</v>
      </c>
      <c r="L7021">
        <v>-63.411960000000001</v>
      </c>
      <c r="M7021">
        <v>0.99967289999999998</v>
      </c>
      <c r="N7021">
        <v>-1.430565E-2</v>
      </c>
      <c r="O7021">
        <v>-2.1199200000000001E-2</v>
      </c>
      <c r="P7021">
        <v>0.90452100000000002</v>
      </c>
      <c r="Q7021">
        <v>0.37028949999999999</v>
      </c>
      <c r="R7021">
        <v>0.2114888</v>
      </c>
      <c r="S7021">
        <v>3.2097319999999998</v>
      </c>
      <c r="T7021">
        <v>-0.259793</v>
      </c>
      <c r="U7021">
        <v>0.91064449999999997</v>
      </c>
      <c r="V7021">
        <v>-0.23261080000000001</v>
      </c>
      <c r="W7021">
        <v>0.38191809999999998</v>
      </c>
      <c r="X7021">
        <v>0.89444439999999903</v>
      </c>
      <c r="Y7021">
        <v>-0.2921802</v>
      </c>
      <c r="Z7021">
        <v>1.509632E-2</v>
      </c>
      <c r="AA7021">
        <v>0.95624410000000004</v>
      </c>
      <c r="AB7021">
        <v>36</v>
      </c>
      <c r="AC7021">
        <v>13.5687999999999</v>
      </c>
      <c r="AD7021">
        <v>-1.1127488630189999</v>
      </c>
      <c r="AE7021">
        <v>3.9033899999999999</v>
      </c>
      <c r="AF7021">
        <v>-4.1643240071501904</v>
      </c>
      <c r="AG7021">
        <v>-1.1127488630189999</v>
      </c>
      <c r="AH7021">
        <v>13.399763259503301</v>
      </c>
      <c r="AI7021">
        <v>94.534133100206802</v>
      </c>
      <c r="AJ7021">
        <v>107.263987471839</v>
      </c>
      <c r="AK7021">
        <v>14.0759887709323</v>
      </c>
      <c r="AL7021">
        <v>67.547455151764296</v>
      </c>
      <c r="AM7021">
        <v>104.57753158043</v>
      </c>
      <c r="AN7021">
        <v>1.0000000020377999</v>
      </c>
    </row>
    <row r="7022" spans="1:40" x14ac:dyDescent="0.25">
      <c r="A7022" t="str">
        <f>"20190304164300160"</f>
        <v>20190304164300160</v>
      </c>
      <c r="B7022" t="str">
        <f>"1551688980148171"</f>
        <v>1551688980148171</v>
      </c>
      <c r="C7022" t="s">
        <v>40</v>
      </c>
      <c r="D7022">
        <v>4.7019520000000004</v>
      </c>
      <c r="E7022">
        <v>0.4787209</v>
      </c>
      <c r="F7022" t="s">
        <v>68</v>
      </c>
      <c r="G7022">
        <v>-218.49039999999999</v>
      </c>
      <c r="H7022" s="1">
        <v>-2.7751720000000002E-6</v>
      </c>
      <c r="I7022">
        <v>-59.460380000000001</v>
      </c>
      <c r="J7022">
        <v>-232.09229999999999</v>
      </c>
      <c r="K7022">
        <v>1.112797</v>
      </c>
      <c r="L7022">
        <v>-63.41498</v>
      </c>
      <c r="M7022">
        <v>0.99969980000000003</v>
      </c>
      <c r="N7022">
        <v>-1.426885E-2</v>
      </c>
      <c r="O7022">
        <v>-1.991942E-2</v>
      </c>
      <c r="P7022">
        <v>0.90356429999999999</v>
      </c>
      <c r="Q7022">
        <v>0.37114140000000001</v>
      </c>
      <c r="R7022">
        <v>0.2140696</v>
      </c>
      <c r="S7022">
        <v>3.207748</v>
      </c>
      <c r="T7022">
        <v>-0.25877499999999998</v>
      </c>
      <c r="U7022">
        <v>0.91894529999999996</v>
      </c>
      <c r="V7022">
        <v>-0.23407210000000001</v>
      </c>
      <c r="W7022">
        <v>0.38268999999999997</v>
      </c>
      <c r="X7022">
        <v>0.893733</v>
      </c>
      <c r="Y7022">
        <v>-0.2934059</v>
      </c>
      <c r="Z7022">
        <v>1.5017900000000001E-2</v>
      </c>
      <c r="AA7022">
        <v>0.95587</v>
      </c>
      <c r="AB7022">
        <v>36</v>
      </c>
      <c r="AC7022">
        <v>13.601900000000001</v>
      </c>
      <c r="AD7022">
        <v>-1.112799775172</v>
      </c>
      <c r="AE7022">
        <v>3.9545999999999899</v>
      </c>
      <c r="AF7022">
        <v>-4.1988712261649397</v>
      </c>
      <c r="AG7022">
        <v>-1.112799775172</v>
      </c>
      <c r="AH7022">
        <v>13.437489289138901</v>
      </c>
      <c r="AI7022">
        <v>94.519490477292294</v>
      </c>
      <c r="AJ7022">
        <v>107.352687662856</v>
      </c>
      <c r="AK7022">
        <v>14.122144359454101</v>
      </c>
      <c r="AL7022">
        <v>67.499593402363601</v>
      </c>
      <c r="AM7022">
        <v>104.676343428783</v>
      </c>
      <c r="AN7022">
        <v>1.0000000296936999</v>
      </c>
    </row>
    <row r="7023" spans="1:40" x14ac:dyDescent="0.25">
      <c r="A7023" t="str">
        <f>"20190304164300171"</f>
        <v>20190304164300171</v>
      </c>
      <c r="B7023" t="str">
        <f>"1551688980167691"</f>
        <v>1551688980167691</v>
      </c>
      <c r="C7023" t="s">
        <v>40</v>
      </c>
      <c r="D7023">
        <v>4.6988500000000002</v>
      </c>
      <c r="E7023">
        <v>0.47922710000000002</v>
      </c>
      <c r="F7023" t="s">
        <v>68</v>
      </c>
      <c r="G7023">
        <v>-218.19649999999999</v>
      </c>
      <c r="H7023" s="1">
        <v>-2.6603219999999999E-6</v>
      </c>
      <c r="I7023">
        <v>-59.396900000000002</v>
      </c>
      <c r="J7023">
        <v>-231.91489999999999</v>
      </c>
      <c r="K7023">
        <v>1.1128629999999999</v>
      </c>
      <c r="L7023">
        <v>-63.417360000000002</v>
      </c>
      <c r="M7023">
        <v>0.99972419999999995</v>
      </c>
      <c r="N7023">
        <v>-1.4242319999999999E-2</v>
      </c>
      <c r="O7023">
        <v>-1.8675500000000001E-2</v>
      </c>
      <c r="P7023">
        <v>0.90270899999999998</v>
      </c>
      <c r="Q7023">
        <v>0.37173200000000001</v>
      </c>
      <c r="R7023">
        <v>0.21663740000000001</v>
      </c>
      <c r="S7023">
        <v>3.2060240000000002</v>
      </c>
      <c r="T7023">
        <v>-0.25674380000000002</v>
      </c>
      <c r="U7023">
        <v>0.92703250000000004</v>
      </c>
      <c r="V7023">
        <v>-0.23556199999999999</v>
      </c>
      <c r="W7023">
        <v>0.38320720000000003</v>
      </c>
      <c r="X7023">
        <v>0.89311980000000002</v>
      </c>
      <c r="Y7023">
        <v>-0.29459360000000001</v>
      </c>
      <c r="Z7023">
        <v>1.488945E-2</v>
      </c>
      <c r="AA7023">
        <v>0.95550659999999998</v>
      </c>
      <c r="AB7023">
        <v>36</v>
      </c>
      <c r="AC7023">
        <v>13.718400000000001</v>
      </c>
      <c r="AD7023">
        <v>-1.112865660322</v>
      </c>
      <c r="AE7023">
        <v>4.0204599999999902</v>
      </c>
      <c r="AF7023">
        <v>-4.2502250882647301</v>
      </c>
      <c r="AG7023">
        <v>-1.112865660322</v>
      </c>
      <c r="AH7023">
        <v>13.5587455083588</v>
      </c>
      <c r="AI7023">
        <v>94.478239234131195</v>
      </c>
      <c r="AJ7023">
        <v>107.404508832514</v>
      </c>
      <c r="AK7023">
        <v>14.2528054445179</v>
      </c>
      <c r="AL7023">
        <v>67.467516217067299</v>
      </c>
      <c r="AM7023">
        <v>104.775385251153</v>
      </c>
      <c r="AN7023">
        <v>1.0000000955639301</v>
      </c>
    </row>
    <row r="7024" spans="1:40" x14ac:dyDescent="0.25">
      <c r="A7024" t="str">
        <f>"20190304164300183"</f>
        <v>20190304164300183</v>
      </c>
      <c r="B7024" t="str">
        <f>"1551688980178426"</f>
        <v>1551688980178426</v>
      </c>
      <c r="C7024" t="s">
        <v>40</v>
      </c>
      <c r="D7024">
        <v>4.7142280000000003</v>
      </c>
      <c r="E7024">
        <v>0.47946749999999999</v>
      </c>
      <c r="F7024" t="s">
        <v>68</v>
      </c>
      <c r="G7024">
        <v>-218.00989999999999</v>
      </c>
      <c r="H7024" s="1">
        <v>-2.5848179999999999E-6</v>
      </c>
      <c r="I7024">
        <v>-59.371310000000001</v>
      </c>
      <c r="J7024">
        <v>-231.7277</v>
      </c>
      <c r="K7024">
        <v>1.112935</v>
      </c>
      <c r="L7024">
        <v>-63.4197699999999</v>
      </c>
      <c r="M7024">
        <v>0.99974850000000004</v>
      </c>
      <c r="N7024">
        <v>-1.421788E-2</v>
      </c>
      <c r="O7024">
        <v>-1.7344399999999999E-2</v>
      </c>
      <c r="P7024">
        <v>0.90179209999999999</v>
      </c>
      <c r="Q7024">
        <v>0.37233929999999998</v>
      </c>
      <c r="R7024">
        <v>0.21939529999999999</v>
      </c>
      <c r="S7024">
        <v>3.2051699999999999</v>
      </c>
      <c r="T7024">
        <v>-0.25651980000000002</v>
      </c>
      <c r="U7024">
        <v>0.93261719999999904</v>
      </c>
      <c r="V7024">
        <v>-0.23717050000000001</v>
      </c>
      <c r="W7024">
        <v>0.38373740000000001</v>
      </c>
      <c r="X7024">
        <v>0.89246610000000004</v>
      </c>
      <c r="Y7024">
        <v>-0.29492879999999999</v>
      </c>
      <c r="Z7024">
        <v>1.480544E-2</v>
      </c>
      <c r="AA7024">
        <v>0.95540449999999999</v>
      </c>
      <c r="AB7024">
        <v>36</v>
      </c>
      <c r="AC7024">
        <v>13.7178</v>
      </c>
      <c r="AD7024">
        <v>-1.1129375848180001</v>
      </c>
      <c r="AE7024">
        <v>4.0484599999999897</v>
      </c>
      <c r="AF7024">
        <v>-4.2600082091067</v>
      </c>
      <c r="AG7024">
        <v>-1.1129375848180001</v>
      </c>
      <c r="AH7024">
        <v>13.563386525438499</v>
      </c>
      <c r="AI7024">
        <v>94.476219291141206</v>
      </c>
      <c r="AJ7024">
        <v>107.436536808894</v>
      </c>
      <c r="AK7024">
        <v>14.2601456531062</v>
      </c>
      <c r="AL7024">
        <v>67.434620882881006</v>
      </c>
      <c r="AM7024">
        <v>104.88222986540499</v>
      </c>
      <c r="AN7024">
        <v>0.99999998893910902</v>
      </c>
    </row>
    <row r="7025" spans="1:40" x14ac:dyDescent="0.25">
      <c r="A7025" t="str">
        <f>"20190304164300194"</f>
        <v>20190304164300194</v>
      </c>
      <c r="B7025" t="str">
        <f>"1551688980188187"</f>
        <v>1551688980188187</v>
      </c>
      <c r="C7025" t="s">
        <v>40</v>
      </c>
      <c r="D7025">
        <v>4.7026440000000003</v>
      </c>
      <c r="E7025">
        <v>0.47971069999999999</v>
      </c>
      <c r="F7025" t="s">
        <v>68</v>
      </c>
      <c r="G7025">
        <v>-217.77430000000001</v>
      </c>
      <c r="H7025" s="1">
        <v>-2.4921470000000001E-6</v>
      </c>
      <c r="I7025">
        <v>-59.323970000000003</v>
      </c>
      <c r="J7025">
        <v>-231.53479999999999</v>
      </c>
      <c r="K7025">
        <v>1.11302099999999</v>
      </c>
      <c r="L7025">
        <v>-63.421810000000001</v>
      </c>
      <c r="M7025">
        <v>0.99977260000000001</v>
      </c>
      <c r="N7025">
        <v>-1.421675E-2</v>
      </c>
      <c r="O7025">
        <v>-1.589492E-2</v>
      </c>
      <c r="P7025">
        <v>0.90080289999999996</v>
      </c>
      <c r="Q7025">
        <v>0.37302770000000002</v>
      </c>
      <c r="R7025">
        <v>0.22227150000000001</v>
      </c>
      <c r="S7025">
        <v>3.2034609999999999</v>
      </c>
      <c r="T7025">
        <v>-0.25551059999999998</v>
      </c>
      <c r="U7025">
        <v>0.94030760000000002</v>
      </c>
      <c r="V7025">
        <v>-0.2388053</v>
      </c>
      <c r="W7025">
        <v>0.3843608</v>
      </c>
      <c r="X7025">
        <v>0.89176160000000004</v>
      </c>
      <c r="Y7025">
        <v>-0.29580109999999998</v>
      </c>
      <c r="Z7025">
        <v>1.470511E-2</v>
      </c>
      <c r="AA7025">
        <v>0.9551364</v>
      </c>
      <c r="AB7025">
        <v>36</v>
      </c>
      <c r="AC7025">
        <v>13.760499999999899</v>
      </c>
      <c r="AD7025">
        <v>-1.1130234921469999</v>
      </c>
      <c r="AE7025">
        <v>4.0978399999999997</v>
      </c>
      <c r="AF7025">
        <v>-4.29028387596016</v>
      </c>
      <c r="AG7025">
        <v>-1.1130234921469999</v>
      </c>
      <c r="AH7025">
        <v>13.6118195358973</v>
      </c>
      <c r="AI7025">
        <v>94.459292117782198</v>
      </c>
      <c r="AJ7025">
        <v>107.494232578268</v>
      </c>
      <c r="AK7025">
        <v>14.3152711503565</v>
      </c>
      <c r="AL7025">
        <v>67.395935689560403</v>
      </c>
      <c r="AM7025">
        <v>104.991517247255</v>
      </c>
      <c r="AN7025">
        <v>0.99999997355964398</v>
      </c>
    </row>
    <row r="7026" spans="1:40" x14ac:dyDescent="0.25">
      <c r="A7026" t="str">
        <f>"20190304164300206"</f>
        <v>20190304164300206</v>
      </c>
      <c r="B7026" t="str">
        <f>"1551688980197707"</f>
        <v>1551688980197707</v>
      </c>
      <c r="C7026" t="s">
        <v>40</v>
      </c>
      <c r="D7026">
        <v>4.6877750000000002</v>
      </c>
      <c r="E7026">
        <v>0.47997450000000003</v>
      </c>
      <c r="F7026" t="s">
        <v>68</v>
      </c>
      <c r="G7026">
        <v>-217.518</v>
      </c>
      <c r="H7026" s="1">
        <v>-2.391688E-6</v>
      </c>
      <c r="I7026">
        <v>-59.270470000000003</v>
      </c>
      <c r="J7026">
        <v>-231.36170000000001</v>
      </c>
      <c r="K7026">
        <v>1.1131</v>
      </c>
      <c r="L7026">
        <v>-63.423430000000003</v>
      </c>
      <c r="M7026">
        <v>0.99979289999999998</v>
      </c>
      <c r="N7026">
        <v>-1.4222179999999999E-2</v>
      </c>
      <c r="O7026">
        <v>-1.4566050000000001E-2</v>
      </c>
      <c r="P7026">
        <v>0.89983769999999996</v>
      </c>
      <c r="Q7026">
        <v>0.37358839999999999</v>
      </c>
      <c r="R7026">
        <v>0.22521939999999999</v>
      </c>
      <c r="S7026">
        <v>3.2016450000000001</v>
      </c>
      <c r="T7026">
        <v>-0.25423040000000002</v>
      </c>
      <c r="U7026">
        <v>0.94821169999999999</v>
      </c>
      <c r="V7026">
        <v>-0.240616</v>
      </c>
      <c r="W7026">
        <v>0.3848644</v>
      </c>
      <c r="X7026">
        <v>0.8910574</v>
      </c>
      <c r="Y7026">
        <v>-0.2968557</v>
      </c>
      <c r="Z7026">
        <v>1.4609209999999999E-2</v>
      </c>
      <c r="AA7026">
        <v>0.95481059999999995</v>
      </c>
      <c r="AB7026">
        <v>36</v>
      </c>
      <c r="AC7026">
        <v>13.8437</v>
      </c>
      <c r="AD7026">
        <v>-1.1131023916880001</v>
      </c>
      <c r="AE7026">
        <v>4.1529600000000002</v>
      </c>
      <c r="AF7026">
        <v>-4.3285144665376301</v>
      </c>
      <c r="AG7026">
        <v>-1.1131023916880001</v>
      </c>
      <c r="AH7026">
        <v>13.700472554537599</v>
      </c>
      <c r="AI7026">
        <v>94.429914027818199</v>
      </c>
      <c r="AJ7026">
        <v>107.533361690066</v>
      </c>
      <c r="AK7026">
        <v>14.4110368342825</v>
      </c>
      <c r="AL7026">
        <v>67.364677165195104</v>
      </c>
      <c r="AM7026">
        <v>105.11140314797299</v>
      </c>
      <c r="AN7026">
        <v>0.99999997796905904</v>
      </c>
    </row>
    <row r="7027" spans="1:40" x14ac:dyDescent="0.25">
      <c r="A7027" t="str">
        <f>"20190304164300215"</f>
        <v>20190304164300215</v>
      </c>
      <c r="B7027" t="str">
        <f>"1551688980208444"</f>
        <v>1551688980208444</v>
      </c>
      <c r="C7027" t="s">
        <v>40</v>
      </c>
      <c r="D7027">
        <v>4.7645210000000002</v>
      </c>
      <c r="E7027">
        <v>0.47997450000000003</v>
      </c>
      <c r="F7027" t="s">
        <v>68</v>
      </c>
      <c r="G7027">
        <v>-217.2706</v>
      </c>
      <c r="H7027" s="1">
        <v>-2.295589E-6</v>
      </c>
      <c r="I7027">
        <v>-59.213869999999901</v>
      </c>
      <c r="J7027">
        <v>-231.19800000000001</v>
      </c>
      <c r="K7027">
        <v>1.113184</v>
      </c>
      <c r="L7027">
        <v>-63.424680000000002</v>
      </c>
      <c r="M7027">
        <v>0.99981070000000005</v>
      </c>
      <c r="N7027">
        <v>-1.4238499999999999E-2</v>
      </c>
      <c r="O7027">
        <v>-1.3259180000000001E-2</v>
      </c>
      <c r="P7027">
        <v>0.89908639999999995</v>
      </c>
      <c r="Q7027">
        <v>0.37369970000000002</v>
      </c>
      <c r="R7027">
        <v>0.22801840000000001</v>
      </c>
      <c r="S7027">
        <v>3.199646</v>
      </c>
      <c r="T7027">
        <v>-0.25274970000000002</v>
      </c>
      <c r="U7027">
        <v>0.9558411</v>
      </c>
      <c r="V7027">
        <v>-0.24229970000000001</v>
      </c>
      <c r="W7027">
        <v>0.3849321</v>
      </c>
      <c r="X7027">
        <v>0.89057180000000002</v>
      </c>
      <c r="Y7027">
        <v>-0.29787160000000001</v>
      </c>
      <c r="Z7027">
        <v>1.45059E-2</v>
      </c>
      <c r="AA7027">
        <v>0.95449569999999995</v>
      </c>
      <c r="AB7027">
        <v>36</v>
      </c>
      <c r="AC7027">
        <v>13.927399999999899</v>
      </c>
      <c r="AD7027">
        <v>-1.113186295589</v>
      </c>
      <c r="AE7027">
        <v>4.2108100000000004</v>
      </c>
      <c r="AF7027">
        <v>-4.36954770192306</v>
      </c>
      <c r="AG7027">
        <v>-1.113186295589</v>
      </c>
      <c r="AH7027">
        <v>13.789621776635499</v>
      </c>
      <c r="AI7027">
        <v>94.400541686255494</v>
      </c>
      <c r="AJ7027">
        <v>107.58196074115401</v>
      </c>
      <c r="AK7027">
        <v>14.5081287418719</v>
      </c>
      <c r="AL7027">
        <v>67.360474953112998</v>
      </c>
      <c r="AM7027">
        <v>105.220170706034</v>
      </c>
      <c r="AN7027">
        <v>0.99999999859287003</v>
      </c>
    </row>
    <row r="7028" spans="1:40" x14ac:dyDescent="0.25">
      <c r="A7028" t="str">
        <f>"20190304164300226"</f>
        <v>20190304164300226</v>
      </c>
      <c r="B7028" t="str">
        <f>"1551688980218204"</f>
        <v>1551688980218204</v>
      </c>
      <c r="C7028" t="s">
        <v>40</v>
      </c>
      <c r="D7028">
        <v>4.6754309999999997</v>
      </c>
      <c r="E7028">
        <v>0.46553149999999999</v>
      </c>
      <c r="F7028" t="s">
        <v>68</v>
      </c>
      <c r="G7028">
        <v>-217.09989999999999</v>
      </c>
      <c r="H7028" s="1">
        <v>-2.2304810000000002E-6</v>
      </c>
      <c r="I7028">
        <v>-59.168030000000002</v>
      </c>
      <c r="J7028">
        <v>-231.01910000000001</v>
      </c>
      <c r="K7028">
        <v>1.113278</v>
      </c>
      <c r="L7028">
        <v>-63.425780000000003</v>
      </c>
      <c r="M7028">
        <v>0.99982879999999996</v>
      </c>
      <c r="N7028">
        <v>-1.425971E-2</v>
      </c>
      <c r="O7028">
        <v>-1.1790139999999999E-2</v>
      </c>
      <c r="P7028">
        <v>0.89820429999999996</v>
      </c>
      <c r="Q7028">
        <v>0.37424380000000002</v>
      </c>
      <c r="R7028">
        <v>0.2305876</v>
      </c>
      <c r="S7028">
        <v>3.1968380000000001</v>
      </c>
      <c r="T7028">
        <v>-0.25242209999999998</v>
      </c>
      <c r="U7028">
        <v>0.96521000000000001</v>
      </c>
      <c r="V7028">
        <v>-0.24361920000000001</v>
      </c>
      <c r="W7028">
        <v>0.38543250000000001</v>
      </c>
      <c r="X7028">
        <v>0.88999519999999999</v>
      </c>
      <c r="Y7028">
        <v>-0.29926449999999999</v>
      </c>
      <c r="Z7028">
        <v>1.446998E-2</v>
      </c>
      <c r="AA7028">
        <v>0.95406049999999998</v>
      </c>
      <c r="AB7028">
        <v>36</v>
      </c>
      <c r="AC7028">
        <v>13.9192</v>
      </c>
      <c r="AD7028">
        <v>-1.1132802304810001</v>
      </c>
      <c r="AE7028">
        <v>4.2577499999999997</v>
      </c>
      <c r="AF7028">
        <v>-4.3958654718632699</v>
      </c>
      <c r="AG7028">
        <v>-1.1132802304810001</v>
      </c>
      <c r="AH7028">
        <v>13.7873756228015</v>
      </c>
      <c r="AI7028">
        <v>94.399145071290803</v>
      </c>
      <c r="AJ7028">
        <v>107.683979482197</v>
      </c>
      <c r="AK7028">
        <v>14.513950278353599</v>
      </c>
      <c r="AL7028">
        <v>67.3294067797639</v>
      </c>
      <c r="AM7028">
        <v>105.30862841626001</v>
      </c>
      <c r="AN7028">
        <v>0.999999991343965</v>
      </c>
    </row>
    <row r="7029" spans="1:40" x14ac:dyDescent="0.25">
      <c r="A7029" t="str">
        <f>"20190304164300237"</f>
        <v>20190304164300237</v>
      </c>
      <c r="B7029" t="str">
        <f>"1551688980227963"</f>
        <v>1551688980227963</v>
      </c>
      <c r="C7029" t="s">
        <v>40</v>
      </c>
      <c r="D7029">
        <v>4.6839750000000002</v>
      </c>
      <c r="E7029">
        <v>0.45319549999999997</v>
      </c>
      <c r="F7029" t="s">
        <v>68</v>
      </c>
      <c r="G7029">
        <v>-214.26929999999999</v>
      </c>
      <c r="H7029" s="1">
        <v>-1.281463E-6</v>
      </c>
      <c r="I7029">
        <v>-57.672519999999999</v>
      </c>
      <c r="J7029">
        <v>-230.84399999999999</v>
      </c>
      <c r="K7029">
        <v>1.1133710000000001</v>
      </c>
      <c r="L7029">
        <v>-63.426569999999998</v>
      </c>
      <c r="M7029">
        <v>0.99984499999999998</v>
      </c>
      <c r="N7029">
        <v>-1.428434E-2</v>
      </c>
      <c r="O7029">
        <v>-1.0303359999999999E-2</v>
      </c>
      <c r="P7029">
        <v>0.89718259999999905</v>
      </c>
      <c r="Q7029">
        <v>0.37513289999999999</v>
      </c>
      <c r="R7029">
        <v>0.23310690000000001</v>
      </c>
      <c r="S7029">
        <v>3.1495060000000001</v>
      </c>
      <c r="T7029">
        <v>-0.2093322</v>
      </c>
      <c r="U7029">
        <v>1.0817870000000001</v>
      </c>
      <c r="V7029">
        <v>-0.2448766</v>
      </c>
      <c r="W7029">
        <v>0.38627879999999998</v>
      </c>
      <c r="X7029">
        <v>0.88928289999999999</v>
      </c>
      <c r="Y7029">
        <v>-0.33375129999999997</v>
      </c>
      <c r="Z7029">
        <v>1.3746950000000001E-2</v>
      </c>
      <c r="AA7029">
        <v>0.94256090000000003</v>
      </c>
      <c r="AB7029">
        <v>36</v>
      </c>
      <c r="AC7029">
        <v>16.5747</v>
      </c>
      <c r="AD7029">
        <v>-1.1133722814629901</v>
      </c>
      <c r="AE7029">
        <v>5.7540499999999897</v>
      </c>
      <c r="AF7029">
        <v>-5.90077521805663</v>
      </c>
      <c r="AG7029">
        <v>-1.1133722814629901</v>
      </c>
      <c r="AH7029">
        <v>16.448292398584702</v>
      </c>
      <c r="AI7029">
        <v>93.645578442642801</v>
      </c>
      <c r="AJ7029">
        <v>109.735295060159</v>
      </c>
      <c r="AK7029">
        <v>17.510141885218999</v>
      </c>
      <c r="AL7029">
        <v>67.276846541879294</v>
      </c>
      <c r="AM7029">
        <v>105.395644988284</v>
      </c>
      <c r="AN7029">
        <v>0.99999996839470395</v>
      </c>
    </row>
    <row r="7030" spans="1:40" x14ac:dyDescent="0.25">
      <c r="A7030" t="str">
        <f>"20190304164300249"</f>
        <v>20190304164300249</v>
      </c>
      <c r="B7030" t="str">
        <f>"1551688980237723"</f>
        <v>1551688980237723</v>
      </c>
      <c r="C7030" t="s">
        <v>40</v>
      </c>
      <c r="D7030">
        <v>4.6166080000000003</v>
      </c>
      <c r="E7030">
        <v>0.44456440000000003</v>
      </c>
      <c r="F7030" t="s">
        <v>68</v>
      </c>
      <c r="G7030">
        <v>-213.89500000000001</v>
      </c>
      <c r="H7030" s="1">
        <v>-1.2423280000000001E-6</v>
      </c>
      <c r="I7030">
        <v>-56.98798</v>
      </c>
      <c r="J7030">
        <v>-230.66419999999999</v>
      </c>
      <c r="K7030">
        <v>1.113464</v>
      </c>
      <c r="L7030">
        <v>-63.427030000000002</v>
      </c>
      <c r="M7030">
        <v>0.99985959999999996</v>
      </c>
      <c r="N7030">
        <v>-1.431061E-2</v>
      </c>
      <c r="O7030">
        <v>-8.7170340000000002E-3</v>
      </c>
      <c r="P7030">
        <v>0.8962118</v>
      </c>
      <c r="Q7030">
        <v>0.37589729999999999</v>
      </c>
      <c r="R7030">
        <v>0.23559630000000001</v>
      </c>
      <c r="S7030">
        <v>3.121429</v>
      </c>
      <c r="T7030">
        <v>-0.20504559999999999</v>
      </c>
      <c r="U7030">
        <v>1.1857599999999999</v>
      </c>
      <c r="V7030">
        <v>-0.24602070000000001</v>
      </c>
      <c r="W7030">
        <v>0.38700089999999998</v>
      </c>
      <c r="X7030">
        <v>0.88865300000000003</v>
      </c>
      <c r="Y7030">
        <v>-0.36239460000000001</v>
      </c>
      <c r="Z7030">
        <v>1.460681E-2</v>
      </c>
      <c r="AA7030">
        <v>0.93191029999999997</v>
      </c>
      <c r="AB7030">
        <v>36</v>
      </c>
      <c r="AC7030">
        <v>16.769199999999898</v>
      </c>
      <c r="AD7030">
        <v>-1.113465242328</v>
      </c>
      <c r="AE7030">
        <v>6.4390499999999902</v>
      </c>
      <c r="AF7030">
        <v>-6.5597928672240498</v>
      </c>
      <c r="AG7030">
        <v>-1.113465242328</v>
      </c>
      <c r="AH7030">
        <v>16.648458182594801</v>
      </c>
      <c r="AI7030">
        <v>93.560636709898304</v>
      </c>
      <c r="AJ7030">
        <v>111.50533497318</v>
      </c>
      <c r="AK7030">
        <v>17.928799378775</v>
      </c>
      <c r="AL7030">
        <v>67.231985550722399</v>
      </c>
      <c r="AM7030">
        <v>105.474576658377</v>
      </c>
      <c r="AN7030">
        <v>1.0000000179191499</v>
      </c>
    </row>
    <row r="7031" spans="1:40" x14ac:dyDescent="0.25">
      <c r="A7031" t="str">
        <f>"20190304164300260"</f>
        <v>20190304164300260</v>
      </c>
      <c r="B7031" t="str">
        <f>"1551688980248459"</f>
        <v>1551688980248459</v>
      </c>
      <c r="C7031" t="s">
        <v>40</v>
      </c>
      <c r="D7031">
        <v>4.5723260000000003</v>
      </c>
      <c r="E7031">
        <v>0.43914799999999998</v>
      </c>
      <c r="F7031" t="s">
        <v>68</v>
      </c>
      <c r="G7031">
        <v>-213.2413</v>
      </c>
      <c r="H7031" s="1">
        <v>-1.15187E-6</v>
      </c>
      <c r="I7031">
        <v>-56.339500000000001</v>
      </c>
      <c r="J7031">
        <v>-230.4845</v>
      </c>
      <c r="K7031">
        <v>1.1135550000000001</v>
      </c>
      <c r="L7031">
        <v>-63.427250000000001</v>
      </c>
      <c r="M7031">
        <v>0.99987199999999998</v>
      </c>
      <c r="N7031">
        <v>-1.4337239999999999E-2</v>
      </c>
      <c r="O7031">
        <v>-7.0984069999999897E-3</v>
      </c>
      <c r="P7031">
        <v>0.89557249999999999</v>
      </c>
      <c r="Q7031">
        <v>0.37589919999999999</v>
      </c>
      <c r="R7031">
        <v>0.23801259999999999</v>
      </c>
      <c r="S7031">
        <v>3.099091</v>
      </c>
      <c r="T7031">
        <v>-0.19805719999999999</v>
      </c>
      <c r="U7031">
        <v>1.2606809999999999</v>
      </c>
      <c r="V7031">
        <v>-0.24706439999999999</v>
      </c>
      <c r="W7031">
        <v>0.38696530000000001</v>
      </c>
      <c r="X7031">
        <v>0.88837889999999997</v>
      </c>
      <c r="Y7031">
        <v>-0.38252540000000002</v>
      </c>
      <c r="Z7031">
        <v>1.4933399999999999E-2</v>
      </c>
      <c r="AA7031">
        <v>0.92382430000000004</v>
      </c>
      <c r="AB7031">
        <v>36</v>
      </c>
      <c r="AC7031">
        <v>17.243200000000002</v>
      </c>
      <c r="AD7031">
        <v>-1.1135561518699999</v>
      </c>
      <c r="AE7031">
        <v>7.0877499999999998</v>
      </c>
      <c r="AF7031">
        <v>-7.1843515635269002</v>
      </c>
      <c r="AG7031">
        <v>-1.1135561518699999</v>
      </c>
      <c r="AH7031">
        <v>17.131329002879301</v>
      </c>
      <c r="AI7031">
        <v>93.430398590650199</v>
      </c>
      <c r="AJ7031">
        <v>112.751675619681</v>
      </c>
      <c r="AK7031">
        <v>18.610141001524202</v>
      </c>
      <c r="AL7031">
        <v>67.2341975738738</v>
      </c>
      <c r="AM7031">
        <v>105.541621886743</v>
      </c>
      <c r="AN7031">
        <v>1.00000001555833</v>
      </c>
    </row>
    <row r="7032" spans="1:40" x14ac:dyDescent="0.25">
      <c r="A7032" t="str">
        <f>"20190304164300271"</f>
        <v>20190304164300271</v>
      </c>
      <c r="B7032" t="str">
        <f>"1551688980267979"</f>
        <v>1551688980267979</v>
      </c>
      <c r="C7032" t="s">
        <v>40</v>
      </c>
      <c r="D7032">
        <v>4.5764459999999998</v>
      </c>
      <c r="E7032">
        <v>0.4337279</v>
      </c>
      <c r="F7032" t="s">
        <v>68</v>
      </c>
      <c r="G7032">
        <v>-212.9982</v>
      </c>
      <c r="H7032" s="1">
        <v>-1.1608430000000001E-6</v>
      </c>
      <c r="I7032">
        <v>-55.994880000000002</v>
      </c>
      <c r="J7032">
        <v>-230.303</v>
      </c>
      <c r="K7032">
        <v>1.113639</v>
      </c>
      <c r="L7032">
        <v>-63.426969999999997</v>
      </c>
      <c r="M7032">
        <v>0.99988250000000001</v>
      </c>
      <c r="N7032">
        <v>-1.436426E-2</v>
      </c>
      <c r="O7032">
        <v>-5.3857330000000002E-3</v>
      </c>
      <c r="P7032">
        <v>0.89508719999999997</v>
      </c>
      <c r="Q7032">
        <v>0.37542189999999998</v>
      </c>
      <c r="R7032">
        <v>0.2405776</v>
      </c>
      <c r="S7032">
        <v>3.0838779999999999</v>
      </c>
      <c r="T7032">
        <v>-0.19638659999999999</v>
      </c>
      <c r="U7032">
        <v>1.3107599999999999</v>
      </c>
      <c r="V7032">
        <v>-0.2481727</v>
      </c>
      <c r="W7032">
        <v>0.38645210000000002</v>
      </c>
      <c r="X7032">
        <v>0.88829329999999995</v>
      </c>
      <c r="Y7032">
        <v>-0.39526119999999998</v>
      </c>
      <c r="Z7032">
        <v>1.5266760000000001E-2</v>
      </c>
      <c r="AA7032">
        <v>0.91844190000000003</v>
      </c>
      <c r="AB7032">
        <v>36</v>
      </c>
      <c r="AC7032">
        <v>17.3048</v>
      </c>
      <c r="AD7032">
        <v>-1.113640160843</v>
      </c>
      <c r="AE7032">
        <v>7.4320899999999899</v>
      </c>
      <c r="AF7032">
        <v>-7.4989703838878503</v>
      </c>
      <c r="AG7032">
        <v>-1.113640160843</v>
      </c>
      <c r="AH7032">
        <v>17.204361887338699</v>
      </c>
      <c r="AI7032">
        <v>93.3958516814766</v>
      </c>
      <c r="AJ7032">
        <v>113.551237015596</v>
      </c>
      <c r="AK7032">
        <v>18.800660072901199</v>
      </c>
      <c r="AL7032">
        <v>67.266080785143998</v>
      </c>
      <c r="AM7032">
        <v>105.60937918238299</v>
      </c>
      <c r="AN7032">
        <v>0.99999995072229297</v>
      </c>
    </row>
    <row r="7033" spans="1:40" x14ac:dyDescent="0.25">
      <c r="A7033" t="str">
        <f>"20190304164300284"</f>
        <v>20190304164300284</v>
      </c>
      <c r="B7033" t="str">
        <f>"1551688980277739"</f>
        <v>1551688980277739</v>
      </c>
      <c r="C7033" t="s">
        <v>40</v>
      </c>
      <c r="D7033">
        <v>4.5604870000000002</v>
      </c>
      <c r="E7033">
        <v>0.43222050000000001</v>
      </c>
      <c r="F7033" t="s">
        <v>41</v>
      </c>
      <c r="G7033">
        <v>-229.322</v>
      </c>
      <c r="H7033">
        <v>1.0504439999999999</v>
      </c>
      <c r="I7033">
        <v>-62.991880000000002</v>
      </c>
      <c r="J7033">
        <v>-230.10769999999999</v>
      </c>
      <c r="K7033">
        <v>1.113734</v>
      </c>
      <c r="L7033">
        <v>-63.426450000000003</v>
      </c>
      <c r="M7033">
        <v>0.99989030000000001</v>
      </c>
      <c r="N7033">
        <v>-1.4393029999999999E-2</v>
      </c>
      <c r="O7033">
        <v>-3.5159190000000002E-3</v>
      </c>
      <c r="P7033">
        <v>0.89476019999999901</v>
      </c>
      <c r="Q7033">
        <v>0.37457499999999999</v>
      </c>
      <c r="R7033">
        <v>0.24310039999999999</v>
      </c>
      <c r="S7033">
        <v>3.0687099999999998</v>
      </c>
      <c r="T7033">
        <v>-0.19768230000000001</v>
      </c>
      <c r="U7033">
        <v>1.3610530000000001</v>
      </c>
      <c r="V7033">
        <v>-0.2491023</v>
      </c>
      <c r="W7033">
        <v>0.3855711</v>
      </c>
      <c r="X7033">
        <v>0.88841599999999998</v>
      </c>
      <c r="Y7033">
        <v>-0.40775630000000002</v>
      </c>
      <c r="Z7033">
        <v>1.5770320000000001E-2</v>
      </c>
      <c r="AA7033">
        <v>0.91295459999999995</v>
      </c>
      <c r="AB7033">
        <v>36</v>
      </c>
      <c r="AC7033">
        <v>0.78569999999999096</v>
      </c>
      <c r="AD7033">
        <v>-6.3289999999999805E-2</v>
      </c>
      <c r="AE7033">
        <v>0.43457000000000001</v>
      </c>
      <c r="AF7033">
        <v>-0.43516784954024701</v>
      </c>
      <c r="AG7033">
        <v>-6.3289999999999805E-2</v>
      </c>
      <c r="AH7033">
        <v>0.78029006416704405</v>
      </c>
      <c r="AI7033">
        <v>94.052010432364696</v>
      </c>
      <c r="AJ7033">
        <v>119.148412545881</v>
      </c>
      <c r="AK7033">
        <v>0.89567252141131004</v>
      </c>
      <c r="AL7033">
        <v>67.320800793783903</v>
      </c>
      <c r="AM7033">
        <v>105.662925602212</v>
      </c>
      <c r="AN7033">
        <v>1.0000000090382499</v>
      </c>
    </row>
    <row r="7034" spans="1:40" x14ac:dyDescent="0.25">
      <c r="A7034" t="str">
        <f>"20190304164300294"</f>
        <v>20190304164300294</v>
      </c>
      <c r="B7034" t="str">
        <f>"1551688980288476"</f>
        <v>1551688980288476</v>
      </c>
      <c r="C7034" t="s">
        <v>40</v>
      </c>
      <c r="D7034">
        <v>4.5485930000000003</v>
      </c>
      <c r="E7034">
        <v>0.43121290000000001</v>
      </c>
      <c r="F7034" t="s">
        <v>41</v>
      </c>
      <c r="G7034">
        <v>-229.0943</v>
      </c>
      <c r="H7034">
        <v>1.0473220000000001</v>
      </c>
      <c r="I7034">
        <v>-62.96978</v>
      </c>
      <c r="J7034">
        <v>-229.93610000000001</v>
      </c>
      <c r="K7034">
        <v>1.1138159999999999</v>
      </c>
      <c r="L7034">
        <v>-63.425510000000003</v>
      </c>
      <c r="M7034">
        <v>0.99989450000000002</v>
      </c>
      <c r="N7034">
        <v>-1.441812E-2</v>
      </c>
      <c r="O7034">
        <v>-1.8073869999999999E-3</v>
      </c>
      <c r="P7034">
        <v>0.89429749999999997</v>
      </c>
      <c r="Q7034">
        <v>0.37388710000000003</v>
      </c>
      <c r="R7034">
        <v>0.24584639999999999</v>
      </c>
      <c r="S7034">
        <v>3.0618129999999999</v>
      </c>
      <c r="T7034">
        <v>-0.200659</v>
      </c>
      <c r="U7034">
        <v>1.380463</v>
      </c>
      <c r="V7034">
        <v>-0.25038739999999998</v>
      </c>
      <c r="W7034">
        <v>0.38484849999999998</v>
      </c>
      <c r="X7034">
        <v>0.88836800000000005</v>
      </c>
      <c r="Y7034">
        <v>-0.41174309999999997</v>
      </c>
      <c r="Z7034">
        <v>1.6053330000000001E-2</v>
      </c>
      <c r="AA7034">
        <v>0.91115860000000004</v>
      </c>
      <c r="AB7034">
        <v>36</v>
      </c>
      <c r="AC7034">
        <v>0.84180000000000599</v>
      </c>
      <c r="AD7034">
        <v>-6.6493999999999998E-2</v>
      </c>
      <c r="AE7034">
        <v>0.45572999999998798</v>
      </c>
      <c r="AF7034">
        <v>-0.45505512062737602</v>
      </c>
      <c r="AG7034">
        <v>-6.6493999999999998E-2</v>
      </c>
      <c r="AH7034">
        <v>0.83693643751736302</v>
      </c>
      <c r="AI7034">
        <v>93.992720784698705</v>
      </c>
      <c r="AJ7034">
        <v>118.533600750262</v>
      </c>
      <c r="AK7034">
        <v>0.95496555712206299</v>
      </c>
      <c r="AL7034">
        <v>67.365663780560197</v>
      </c>
      <c r="AM7034">
        <v>105.74054286647799</v>
      </c>
      <c r="AN7034">
        <v>0.99999996072750397</v>
      </c>
    </row>
    <row r="7035" spans="1:40" x14ac:dyDescent="0.25">
      <c r="A7035" t="str">
        <f>"20190304164300305"</f>
        <v>20190304164300305</v>
      </c>
      <c r="B7035" t="str">
        <f>"1551688980297986"</f>
        <v>1551688980297986</v>
      </c>
      <c r="C7035" t="s">
        <v>40</v>
      </c>
      <c r="D7035">
        <v>4.5636510000000001</v>
      </c>
      <c r="E7035">
        <v>0.43050310000000003</v>
      </c>
      <c r="F7035" t="s">
        <v>68</v>
      </c>
      <c r="G7035">
        <v>-213.2285</v>
      </c>
      <c r="H7035" s="1">
        <v>-1.293323E-6</v>
      </c>
      <c r="I7035">
        <v>-55.791409999999999</v>
      </c>
      <c r="J7035">
        <v>-229.7637</v>
      </c>
      <c r="K7035">
        <v>1.1138920000000001</v>
      </c>
      <c r="L7035">
        <v>-63.424349999999997</v>
      </c>
      <c r="M7035">
        <v>0.99989570000000005</v>
      </c>
      <c r="N7035">
        <v>-1.444288E-2</v>
      </c>
      <c r="O7035" s="1">
        <v>-6.9916539999999997E-5</v>
      </c>
      <c r="P7035">
        <v>0.89359449999999996</v>
      </c>
      <c r="Q7035">
        <v>0.37362489999999998</v>
      </c>
      <c r="R7035">
        <v>0.2487837</v>
      </c>
      <c r="S7035">
        <v>3.0559080000000001</v>
      </c>
      <c r="T7035">
        <v>-0.2037225</v>
      </c>
      <c r="U7035">
        <v>1.396301</v>
      </c>
      <c r="V7035">
        <v>-0.25184000000000001</v>
      </c>
      <c r="W7035">
        <v>0.3845479</v>
      </c>
      <c r="X7035">
        <v>0.88808759999999998</v>
      </c>
      <c r="Y7035">
        <v>-0.41470040000000002</v>
      </c>
      <c r="Z7035">
        <v>1.6299310000000001E-2</v>
      </c>
      <c r="AA7035">
        <v>0.90981199999999995</v>
      </c>
      <c r="AB7035">
        <v>36</v>
      </c>
      <c r="AC7035">
        <v>16.5352</v>
      </c>
      <c r="AD7035">
        <v>-1.1138932933229999</v>
      </c>
      <c r="AE7035">
        <v>7.6329399999999898</v>
      </c>
      <c r="AF7035">
        <v>-7.6056443064995696</v>
      </c>
      <c r="AG7035">
        <v>-1.1138932933229999</v>
      </c>
      <c r="AH7035">
        <v>16.473042394138201</v>
      </c>
      <c r="AI7035">
        <v>93.513071619272196</v>
      </c>
      <c r="AJ7035">
        <v>114.78288671593999</v>
      </c>
      <c r="AK7035">
        <v>18.1782207409024</v>
      </c>
      <c r="AL7035">
        <v>67.384324482495003</v>
      </c>
      <c r="AM7035">
        <v>105.832044023067</v>
      </c>
      <c r="AN7035">
        <v>1.00000002913408</v>
      </c>
    </row>
    <row r="7036" spans="1:40" x14ac:dyDescent="0.25">
      <c r="A7036" t="str">
        <f>"20190304164300316"</f>
        <v>20190304164300316</v>
      </c>
      <c r="B7036" t="str">
        <f>"1551688980307747"</f>
        <v>1551688980307747</v>
      </c>
      <c r="C7036" t="s">
        <v>40</v>
      </c>
      <c r="D7036">
        <v>4.5446369999999998</v>
      </c>
      <c r="E7036">
        <v>0.42999219999999999</v>
      </c>
      <c r="F7036" t="s">
        <v>41</v>
      </c>
      <c r="G7036">
        <v>-228.7756</v>
      </c>
      <c r="H7036">
        <v>1.0472840000000001</v>
      </c>
      <c r="I7036">
        <v>-62.967460000000003</v>
      </c>
      <c r="J7036">
        <v>-229.5889</v>
      </c>
      <c r="K7036">
        <v>1.1139699999999999</v>
      </c>
      <c r="L7036">
        <v>-63.422759999999997</v>
      </c>
      <c r="M7036">
        <v>0.9998939</v>
      </c>
      <c r="N7036">
        <v>-1.446741E-2</v>
      </c>
      <c r="O7036">
        <v>1.7368289999999901E-3</v>
      </c>
      <c r="P7036">
        <v>0.89280329999999997</v>
      </c>
      <c r="Q7036">
        <v>0.373664</v>
      </c>
      <c r="R7036">
        <v>0.25155040000000001</v>
      </c>
      <c r="S7036">
        <v>3.0505520000000002</v>
      </c>
      <c r="T7036">
        <v>-0.20563290000000001</v>
      </c>
      <c r="U7036">
        <v>1.410431</v>
      </c>
      <c r="V7036">
        <v>-0.25306030000000002</v>
      </c>
      <c r="W7036">
        <v>0.38455050000000002</v>
      </c>
      <c r="X7036">
        <v>0.88773950000000001</v>
      </c>
      <c r="Y7036">
        <v>-0.4171163</v>
      </c>
      <c r="Z7036">
        <v>1.6444759999999999E-2</v>
      </c>
      <c r="AA7036">
        <v>0.90870430000000002</v>
      </c>
      <c r="AB7036">
        <v>36</v>
      </c>
      <c r="AC7036">
        <v>0.81329999999999802</v>
      </c>
      <c r="AD7036">
        <v>-6.6685999999999995E-2</v>
      </c>
      <c r="AE7036">
        <v>0.45530000000000098</v>
      </c>
      <c r="AF7036">
        <v>-0.45157505934922099</v>
      </c>
      <c r="AG7036">
        <v>-6.6685999999999995E-2</v>
      </c>
      <c r="AH7036">
        <v>0.80994365749598696</v>
      </c>
      <c r="AI7036">
        <v>94.113193118554904</v>
      </c>
      <c r="AJ7036">
        <v>119.141365033133</v>
      </c>
      <c r="AK7036">
        <v>0.92971812133583298</v>
      </c>
      <c r="AL7036">
        <v>67.384162675511604</v>
      </c>
      <c r="AM7036">
        <v>105.91080766528199</v>
      </c>
      <c r="AN7036">
        <v>1.0000000111732901</v>
      </c>
    </row>
    <row r="7037" spans="1:40" x14ac:dyDescent="0.25">
      <c r="A7037" t="str">
        <f>"20190304164300327"</f>
        <v>20190304164300327</v>
      </c>
      <c r="B7037" t="str">
        <f>"1551688980318483"</f>
        <v>1551688980318483</v>
      </c>
      <c r="C7037" t="s">
        <v>40</v>
      </c>
      <c r="D7037">
        <v>4.7131610000000004</v>
      </c>
      <c r="E7037">
        <v>0.4303208</v>
      </c>
      <c r="F7037" t="s">
        <v>68</v>
      </c>
      <c r="G7037">
        <v>-213.05959999999999</v>
      </c>
      <c r="H7037" s="1">
        <v>-1.259748E-6</v>
      </c>
      <c r="I7037">
        <v>-55.701590000000003</v>
      </c>
      <c r="J7037">
        <v>-229.41399999999999</v>
      </c>
      <c r="K7037">
        <v>1.114044</v>
      </c>
      <c r="L7037">
        <v>-63.420870000000001</v>
      </c>
      <c r="M7037">
        <v>0.99988860000000002</v>
      </c>
      <c r="N7037">
        <v>-1.449104E-2</v>
      </c>
      <c r="O7037">
        <v>3.5728560000000001E-3</v>
      </c>
      <c r="P7037">
        <v>0.89191880000000001</v>
      </c>
      <c r="Q7037">
        <v>0.37383149999999998</v>
      </c>
      <c r="R7037">
        <v>0.25442229999999999</v>
      </c>
      <c r="S7037">
        <v>3.0453190000000001</v>
      </c>
      <c r="T7037">
        <v>-0.2052348</v>
      </c>
      <c r="U7037">
        <v>1.4225159999999999</v>
      </c>
      <c r="V7037">
        <v>-0.2543588</v>
      </c>
      <c r="W7037">
        <v>0.38468259999999899</v>
      </c>
      <c r="X7037">
        <v>0.88731099999999996</v>
      </c>
      <c r="Y7037">
        <v>-0.4190065</v>
      </c>
      <c r="Z7037">
        <v>1.6419820000000002E-2</v>
      </c>
      <c r="AA7037">
        <v>0.90783480000000005</v>
      </c>
      <c r="AB7037">
        <v>36</v>
      </c>
      <c r="AC7037">
        <v>16.354399999999998</v>
      </c>
      <c r="AD7037">
        <v>-1.1140452597479999</v>
      </c>
      <c r="AE7037">
        <v>7.7192799999999897</v>
      </c>
      <c r="AF7037">
        <v>-7.6318315436658999</v>
      </c>
      <c r="AG7037">
        <v>-1.1140452597479999</v>
      </c>
      <c r="AH7037">
        <v>16.3199477512565</v>
      </c>
      <c r="AI7037">
        <v>93.538410909706997</v>
      </c>
      <c r="AJ7037">
        <v>115.06258816317499</v>
      </c>
      <c r="AK7037">
        <v>18.050668800778599</v>
      </c>
      <c r="AL7037">
        <v>67.375961857524203</v>
      </c>
      <c r="AM7037">
        <v>105.995612333873</v>
      </c>
      <c r="AN7037">
        <v>0.99999995630059901</v>
      </c>
    </row>
    <row r="7038" spans="1:40" x14ac:dyDescent="0.25">
      <c r="A7038" t="str">
        <f>"20190304164300338"</f>
        <v>20190304164300338</v>
      </c>
      <c r="B7038" t="str">
        <f>"1551688980328243"</f>
        <v>1551688980328243</v>
      </c>
      <c r="C7038" t="s">
        <v>40</v>
      </c>
      <c r="D7038">
        <v>4.5032969999999999</v>
      </c>
      <c r="E7038">
        <v>0.4300118</v>
      </c>
      <c r="F7038" t="s">
        <v>41</v>
      </c>
      <c r="G7038">
        <v>-228.45580000000001</v>
      </c>
      <c r="H7038">
        <v>1.0488189999999999</v>
      </c>
      <c r="I7038">
        <v>-62.971069999999997</v>
      </c>
      <c r="J7038">
        <v>-229.23339999999999</v>
      </c>
      <c r="K7038">
        <v>1.114115</v>
      </c>
      <c r="L7038">
        <v>-63.418550000000003</v>
      </c>
      <c r="M7038">
        <v>0.99987959999999998</v>
      </c>
      <c r="N7038">
        <v>-1.451446E-2</v>
      </c>
      <c r="O7038">
        <v>5.4975989999999997E-3</v>
      </c>
      <c r="P7038">
        <v>0.89102800000000004</v>
      </c>
      <c r="Q7038">
        <v>0.37402160000000001</v>
      </c>
      <c r="R7038">
        <v>0.2572489</v>
      </c>
      <c r="S7038">
        <v>3.04277</v>
      </c>
      <c r="T7038">
        <v>-0.2071259</v>
      </c>
      <c r="U7038">
        <v>1.4288019999999999</v>
      </c>
      <c r="V7038">
        <v>-0.25553199999999998</v>
      </c>
      <c r="W7038">
        <v>0.38483889999999998</v>
      </c>
      <c r="X7038">
        <v>0.88690609999999903</v>
      </c>
      <c r="Y7038">
        <v>-0.41907430000000001</v>
      </c>
      <c r="Z7038">
        <v>1.645723E-2</v>
      </c>
      <c r="AA7038">
        <v>0.90780280000000002</v>
      </c>
      <c r="AB7038">
        <v>36</v>
      </c>
      <c r="AC7038">
        <v>0.77759999999997798</v>
      </c>
      <c r="AD7038">
        <v>-6.5296000000000007E-2</v>
      </c>
      <c r="AE7038">
        <v>0.44748000000000498</v>
      </c>
      <c r="AF7038">
        <v>-0.44086259757032698</v>
      </c>
      <c r="AG7038">
        <v>-6.5296000000000007E-2</v>
      </c>
      <c r="AH7038">
        <v>0.77593841405382402</v>
      </c>
      <c r="AI7038">
        <v>94.184652837844993</v>
      </c>
      <c r="AJ7038">
        <v>119.603808736063</v>
      </c>
      <c r="AK7038">
        <v>0.89482055181853004</v>
      </c>
      <c r="AL7038">
        <v>67.366260801993505</v>
      </c>
      <c r="AM7038">
        <v>106.072547276112</v>
      </c>
      <c r="AN7038">
        <v>1.0000000060972001</v>
      </c>
    </row>
    <row r="7039" spans="1:40" x14ac:dyDescent="0.25">
      <c r="A7039" t="str">
        <f>"20190304164300349"</f>
        <v>20190304164300349</v>
      </c>
      <c r="B7039" t="str">
        <f>"1551688980338003"</f>
        <v>1551688980338003</v>
      </c>
      <c r="C7039" t="s">
        <v>40</v>
      </c>
      <c r="D7039">
        <v>4.5067000000000004</v>
      </c>
      <c r="E7039">
        <v>0.42966549999999998</v>
      </c>
      <c r="F7039" t="s">
        <v>68</v>
      </c>
      <c r="G7039">
        <v>-212.84100000000001</v>
      </c>
      <c r="H7039" s="1">
        <v>-1.1989949999999999E-6</v>
      </c>
      <c r="I7039">
        <v>-55.650410000000001</v>
      </c>
      <c r="J7039">
        <v>-229.05760000000001</v>
      </c>
      <c r="K7039">
        <v>1.1141749999999999</v>
      </c>
      <c r="L7039">
        <v>-63.415860000000002</v>
      </c>
      <c r="M7039">
        <v>0.99986699999999995</v>
      </c>
      <c r="N7039">
        <v>-1.453582E-2</v>
      </c>
      <c r="O7039">
        <v>7.4000990000000003E-3</v>
      </c>
      <c r="P7039">
        <v>0.89008529999999997</v>
      </c>
      <c r="Q7039">
        <v>0.37443700000000002</v>
      </c>
      <c r="R7039">
        <v>0.25989449999999997</v>
      </c>
      <c r="S7039">
        <v>3.0379489999999998</v>
      </c>
      <c r="T7039">
        <v>-0.20647599999999999</v>
      </c>
      <c r="U7039">
        <v>1.4396359999999999</v>
      </c>
      <c r="V7039">
        <v>-0.25653999999999999</v>
      </c>
      <c r="W7039">
        <v>0.38522509999999999</v>
      </c>
      <c r="X7039">
        <v>0.88644730000000005</v>
      </c>
      <c r="Y7039">
        <v>-0.42055150000000002</v>
      </c>
      <c r="Z7039">
        <v>1.6395170000000001E-2</v>
      </c>
      <c r="AA7039">
        <v>0.9071205</v>
      </c>
      <c r="AB7039">
        <v>36</v>
      </c>
      <c r="AC7039">
        <v>16.2166</v>
      </c>
      <c r="AD7039">
        <v>-1.1141761989950001</v>
      </c>
      <c r="AE7039">
        <v>7.7654499999999897</v>
      </c>
      <c r="AF7039">
        <v>-7.6159750483159101</v>
      </c>
      <c r="AG7039">
        <v>-1.1141761989950001</v>
      </c>
      <c r="AH7039">
        <v>16.211375757718098</v>
      </c>
      <c r="AI7039">
        <v>93.559525611158406</v>
      </c>
      <c r="AJ7039">
        <v>115.16376366539799</v>
      </c>
      <c r="AK7039">
        <v>17.945839866022101</v>
      </c>
      <c r="AL7039">
        <v>67.342284125952304</v>
      </c>
      <c r="AM7039">
        <v>106.140571631649</v>
      </c>
      <c r="AN7039">
        <v>0.99999998247364996</v>
      </c>
    </row>
    <row r="7040" spans="1:40" x14ac:dyDescent="0.25">
      <c r="A7040" t="str">
        <f>"20190304164300360"</f>
        <v>20190304164300360</v>
      </c>
      <c r="B7040" t="str">
        <f>"1551688980347763"</f>
        <v>1551688980347763</v>
      </c>
      <c r="C7040" t="s">
        <v>40</v>
      </c>
      <c r="D7040">
        <v>4.5164489999999997</v>
      </c>
      <c r="E7040">
        <v>0.4294673</v>
      </c>
      <c r="F7040" t="s">
        <v>41</v>
      </c>
      <c r="G7040">
        <v>-228.13589999999999</v>
      </c>
      <c r="H7040">
        <v>1.0518000000000001</v>
      </c>
      <c r="I7040">
        <v>-62.975250000000003</v>
      </c>
      <c r="J7040">
        <v>-228.8784</v>
      </c>
      <c r="K7040">
        <v>1.114228</v>
      </c>
      <c r="L7040">
        <v>-63.412959999999998</v>
      </c>
      <c r="M7040">
        <v>0.99985029999999997</v>
      </c>
      <c r="N7040">
        <v>-1.455684E-2</v>
      </c>
      <c r="O7040">
        <v>9.3546700000000007E-3</v>
      </c>
      <c r="P7040">
        <v>0.88923339999999995</v>
      </c>
      <c r="Q7040">
        <v>0.37445319999999999</v>
      </c>
      <c r="R7040">
        <v>0.2627718</v>
      </c>
      <c r="S7040">
        <v>3.0333559999999999</v>
      </c>
      <c r="T7040">
        <v>-0.20527699999999999</v>
      </c>
      <c r="U7040">
        <v>1.450256</v>
      </c>
      <c r="V7040">
        <v>-0.25772990000000001</v>
      </c>
      <c r="W7040">
        <v>0.38521290000000002</v>
      </c>
      <c r="X7040">
        <v>0.88610739999999999</v>
      </c>
      <c r="Y7040">
        <v>-0.42190640000000001</v>
      </c>
      <c r="Z7040">
        <v>1.6290639999999999E-2</v>
      </c>
      <c r="AA7040">
        <v>0.90649299999999999</v>
      </c>
      <c r="AB7040">
        <v>36</v>
      </c>
      <c r="AC7040">
        <v>0.74250000000000604</v>
      </c>
      <c r="AD7040">
        <v>-6.24279999999999E-2</v>
      </c>
      <c r="AE7040">
        <v>0.43770999999999499</v>
      </c>
      <c r="AF7040">
        <v>-0.42849636100960298</v>
      </c>
      <c r="AG7040">
        <v>-6.24279999999999E-2</v>
      </c>
      <c r="AH7040">
        <v>0.74266652101924102</v>
      </c>
      <c r="AI7040">
        <v>94.164325343337794</v>
      </c>
      <c r="AJ7040">
        <v>119.98365982346</v>
      </c>
      <c r="AK7040">
        <v>0.85968595895553401</v>
      </c>
      <c r="AL7040">
        <v>67.343042058949493</v>
      </c>
      <c r="AM7040">
        <v>106.217403783316</v>
      </c>
      <c r="AN7040">
        <v>1.0000000020075901</v>
      </c>
    </row>
    <row r="7041" spans="1:40" x14ac:dyDescent="0.25">
      <c r="A7041" t="str">
        <f>"20190304164300374"</f>
        <v>20190304164300374</v>
      </c>
      <c r="B7041" t="str">
        <f>"1551688980368259"</f>
        <v>1551688980368259</v>
      </c>
      <c r="C7041" t="s">
        <v>40</v>
      </c>
      <c r="D7041">
        <v>4.5286780000000002</v>
      </c>
      <c r="E7041">
        <v>0.42914930000000001</v>
      </c>
      <c r="F7041" t="s">
        <v>68</v>
      </c>
      <c r="G7041">
        <v>-212.5532</v>
      </c>
      <c r="H7041" s="1">
        <v>-1.129141E-6</v>
      </c>
      <c r="I7041">
        <v>-55.544789999999999</v>
      </c>
      <c r="J7041">
        <v>-228.6754</v>
      </c>
      <c r="K7041">
        <v>1.114276</v>
      </c>
      <c r="L7041">
        <v>-63.408969999999997</v>
      </c>
      <c r="M7041">
        <v>0.99982649999999995</v>
      </c>
      <c r="N7041">
        <v>-1.457838E-2</v>
      </c>
      <c r="O7041">
        <v>1.160107E-2</v>
      </c>
      <c r="P7041">
        <v>0.88847869999999995</v>
      </c>
      <c r="Q7041">
        <v>0.37388389999999999</v>
      </c>
      <c r="R7041">
        <v>0.26611370000000001</v>
      </c>
      <c r="S7041">
        <v>3.0293429999999999</v>
      </c>
      <c r="T7041">
        <v>-0.20675850000000001</v>
      </c>
      <c r="U7041">
        <v>1.4600219999999999</v>
      </c>
      <c r="V7041">
        <v>-0.25911610000000002</v>
      </c>
      <c r="W7041">
        <v>0.38461970000000001</v>
      </c>
      <c r="X7041">
        <v>0.88596079999999999</v>
      </c>
      <c r="Y7041">
        <v>-0.42269909999999999</v>
      </c>
      <c r="Z7041">
        <v>1.6315690000000001E-2</v>
      </c>
      <c r="AA7041">
        <v>0.90612320000000002</v>
      </c>
      <c r="AB7041">
        <v>36</v>
      </c>
      <c r="AC7041">
        <v>16.1221999999999</v>
      </c>
      <c r="AD7041">
        <v>-1.1142771291410001</v>
      </c>
      <c r="AE7041">
        <v>7.8641799999999904</v>
      </c>
      <c r="AF7041">
        <v>-7.64708828445597</v>
      </c>
      <c r="AG7041">
        <v>-1.1142771291410001</v>
      </c>
      <c r="AH7041">
        <v>16.150039413466899</v>
      </c>
      <c r="AI7041">
        <v>93.5682332511672</v>
      </c>
      <c r="AJ7041">
        <v>115.337684349197</v>
      </c>
      <c r="AK7041">
        <v>17.903724355768102</v>
      </c>
      <c r="AL7041">
        <v>67.379867266074598</v>
      </c>
      <c r="AM7041">
        <v>106.302563640721</v>
      </c>
      <c r="AN7041">
        <v>1.00000000302197</v>
      </c>
    </row>
    <row r="7042" spans="1:40" x14ac:dyDescent="0.25">
      <c r="A7042" t="str">
        <f>"20190304164300386"</f>
        <v>20190304164300386</v>
      </c>
      <c r="B7042" t="str">
        <f>"1551688980378019"</f>
        <v>1551688980378019</v>
      </c>
      <c r="C7042" t="s">
        <v>40</v>
      </c>
      <c r="D7042">
        <v>4.535736</v>
      </c>
      <c r="E7042">
        <v>0.42907790000000001</v>
      </c>
      <c r="F7042" t="s">
        <v>41</v>
      </c>
      <c r="G7042">
        <v>-227.76240000000001</v>
      </c>
      <c r="H7042">
        <v>1.0508759999999999</v>
      </c>
      <c r="I7042">
        <v>-62.964440000000003</v>
      </c>
      <c r="J7042">
        <v>-228.48439999999999</v>
      </c>
      <c r="K7042">
        <v>1.114312</v>
      </c>
      <c r="L7042">
        <v>-63.404940000000003</v>
      </c>
      <c r="M7042">
        <v>0.99979929999999995</v>
      </c>
      <c r="N7042">
        <v>-1.459764E-2</v>
      </c>
      <c r="O7042">
        <v>1.372346E-2</v>
      </c>
      <c r="P7042">
        <v>0.88792819999999995</v>
      </c>
      <c r="Q7042">
        <v>0.37286140000000001</v>
      </c>
      <c r="R7042">
        <v>0.26936589999999999</v>
      </c>
      <c r="S7042">
        <v>3.0237729999999998</v>
      </c>
      <c r="T7042">
        <v>-0.20999599999999999</v>
      </c>
      <c r="U7042">
        <v>1.472839</v>
      </c>
      <c r="V7042">
        <v>-0.2605114</v>
      </c>
      <c r="W7042">
        <v>0.38357760000000002</v>
      </c>
      <c r="X7042">
        <v>0.8860034</v>
      </c>
      <c r="Y7042">
        <v>-0.42450670000000001</v>
      </c>
      <c r="Z7042">
        <v>1.649863E-2</v>
      </c>
      <c r="AA7042">
        <v>0.90527449999999998</v>
      </c>
      <c r="AB7042">
        <v>36</v>
      </c>
      <c r="AC7042">
        <v>0.72199999999997999</v>
      </c>
      <c r="AD7042">
        <v>-6.3436000000000006E-2</v>
      </c>
      <c r="AE7042">
        <v>0.4405</v>
      </c>
      <c r="AF7042">
        <v>-0.42814056874545903</v>
      </c>
      <c r="AG7042">
        <v>-6.3436000000000006E-2</v>
      </c>
      <c r="AH7042">
        <v>0.72390542178263495</v>
      </c>
      <c r="AI7042">
        <v>94.313419667053694</v>
      </c>
      <c r="AJ7042">
        <v>120.601412930004</v>
      </c>
      <c r="AK7042">
        <v>0.84342606812214405</v>
      </c>
      <c r="AL7042">
        <v>67.444535595844499</v>
      </c>
      <c r="AM7042">
        <v>106.384907546999</v>
      </c>
      <c r="AN7042">
        <v>0.99999999478164003</v>
      </c>
    </row>
    <row r="7043" spans="1:40" x14ac:dyDescent="0.25">
      <c r="A7043" t="str">
        <f>"20190304164300398"</f>
        <v>20190304164300398</v>
      </c>
      <c r="B7043" t="str">
        <f>"1551688980387778"</f>
        <v>1551688980387778</v>
      </c>
      <c r="C7043" t="s">
        <v>40</v>
      </c>
      <c r="D7043">
        <v>4.512111</v>
      </c>
      <c r="E7043">
        <v>0.42906470000000002</v>
      </c>
      <c r="F7043" t="s">
        <v>41</v>
      </c>
      <c r="G7043">
        <v>-227.50980000000001</v>
      </c>
      <c r="H7043">
        <v>1.0452939999999999</v>
      </c>
      <c r="I7043">
        <v>-62.926110000000001</v>
      </c>
      <c r="J7043">
        <v>-228.28809999999999</v>
      </c>
      <c r="K7043">
        <v>1.1143419999999999</v>
      </c>
      <c r="L7043">
        <v>-63.400300000000001</v>
      </c>
      <c r="M7043">
        <v>0.9997665</v>
      </c>
      <c r="N7043">
        <v>-1.461583E-2</v>
      </c>
      <c r="O7043">
        <v>1.592114E-2</v>
      </c>
      <c r="P7043">
        <v>0.88729210000000003</v>
      </c>
      <c r="Q7043">
        <v>0.3716604</v>
      </c>
      <c r="R7043">
        <v>0.27309609999999901</v>
      </c>
      <c r="S7043">
        <v>3.0185089999999999</v>
      </c>
      <c r="T7043">
        <v>-0.21376100000000001</v>
      </c>
      <c r="U7043">
        <v>1.4830019999999999</v>
      </c>
      <c r="V7043">
        <v>-0.26231179999999998</v>
      </c>
      <c r="W7043">
        <v>0.38235520000000001</v>
      </c>
      <c r="X7043">
        <v>0.88600059999999903</v>
      </c>
      <c r="Y7043">
        <v>-0.42556280000000002</v>
      </c>
      <c r="Z7043">
        <v>1.667739E-2</v>
      </c>
      <c r="AA7043">
        <v>0.9047752</v>
      </c>
      <c r="AB7043">
        <v>36</v>
      </c>
      <c r="AC7043">
        <v>0.77829999999997301</v>
      </c>
      <c r="AD7043">
        <v>-6.9047999999999998E-2</v>
      </c>
      <c r="AE7043">
        <v>0.47419000000000699</v>
      </c>
      <c r="AF7043">
        <v>-0.45910192493648</v>
      </c>
      <c r="AG7043">
        <v>-6.9047999999999998E-2</v>
      </c>
      <c r="AH7043">
        <v>0.78126736121545104</v>
      </c>
      <c r="AI7043">
        <v>94.357357811160696</v>
      </c>
      <c r="AJ7043">
        <v>120.44008806046899</v>
      </c>
      <c r="AK7043">
        <v>0.90880190002273598</v>
      </c>
      <c r="AL7043">
        <v>67.520354831767904</v>
      </c>
      <c r="AM7043">
        <v>106.49206086684499</v>
      </c>
      <c r="AN7043">
        <v>1.00000002129331</v>
      </c>
    </row>
    <row r="7044" spans="1:40" x14ac:dyDescent="0.25">
      <c r="A7044" t="str">
        <f>"20190304164300409"</f>
        <v>20190304164300409</v>
      </c>
      <c r="B7044" t="str">
        <f>"1551688980398046"</f>
        <v>1551688980398046</v>
      </c>
      <c r="C7044" t="s">
        <v>40</v>
      </c>
      <c r="D7044">
        <v>4.5072349999999997</v>
      </c>
      <c r="E7044">
        <v>0.42899569999999998</v>
      </c>
      <c r="F7044" t="s">
        <v>68</v>
      </c>
      <c r="G7044">
        <v>-212.9418</v>
      </c>
      <c r="H7044" s="1">
        <v>-1.1963610000000001E-6</v>
      </c>
      <c r="I7044">
        <v>-55.789270000000002</v>
      </c>
      <c r="J7044">
        <v>-228.1036</v>
      </c>
      <c r="K7044">
        <v>1.114365</v>
      </c>
      <c r="L7044">
        <v>-63.395510000000002</v>
      </c>
      <c r="M7044">
        <v>0.99973100000000004</v>
      </c>
      <c r="N7044">
        <v>-1.463155E-2</v>
      </c>
      <c r="O7044">
        <v>1.7995569999999999E-2</v>
      </c>
      <c r="P7044">
        <v>0.88678999999999997</v>
      </c>
      <c r="Q7044">
        <v>0.37028630000000001</v>
      </c>
      <c r="R7044">
        <v>0.27657120000000002</v>
      </c>
      <c r="S7044">
        <v>3.0128170000000001</v>
      </c>
      <c r="T7044">
        <v>-0.21876999999999999</v>
      </c>
      <c r="U7044">
        <v>1.494202</v>
      </c>
      <c r="V7044">
        <v>-0.26395760000000001</v>
      </c>
      <c r="W7044">
        <v>0.38096560000000002</v>
      </c>
      <c r="X7044">
        <v>0.88611039999999996</v>
      </c>
      <c r="Y7044">
        <v>-0.42701840000000002</v>
      </c>
      <c r="Z7044">
        <v>1.6952330000000002E-2</v>
      </c>
      <c r="AA7044">
        <v>0.904084</v>
      </c>
      <c r="AB7044">
        <v>36</v>
      </c>
      <c r="AC7044">
        <v>15.161799999999999</v>
      </c>
      <c r="AD7044">
        <v>-1.1143661963609901</v>
      </c>
      <c r="AE7044">
        <v>7.6062399999999997</v>
      </c>
      <c r="AF7044">
        <v>-7.3006254212424304</v>
      </c>
      <c r="AG7044">
        <v>-1.1143661963609901</v>
      </c>
      <c r="AH7044">
        <v>15.230505470084699</v>
      </c>
      <c r="AI7044">
        <v>93.774813251081</v>
      </c>
      <c r="AJ7044">
        <v>115.610370679757</v>
      </c>
      <c r="AK7044">
        <v>16.926583838304801</v>
      </c>
      <c r="AL7044">
        <v>67.606493546141095</v>
      </c>
      <c r="AM7044">
        <v>106.58792184360701</v>
      </c>
      <c r="AN7044">
        <v>1.0000000219846299</v>
      </c>
    </row>
    <row r="7045" spans="1:40" x14ac:dyDescent="0.25">
      <c r="A7045" t="str">
        <f>"20190304164300419"</f>
        <v>20190304164300419</v>
      </c>
      <c r="B7045" t="str">
        <f>"1551688980407807"</f>
        <v>1551688980407807</v>
      </c>
      <c r="C7045" t="s">
        <v>40</v>
      </c>
      <c r="D7045">
        <v>4.4950380000000001</v>
      </c>
      <c r="E7045">
        <v>0.42886780000000002</v>
      </c>
      <c r="F7045" t="s">
        <v>41</v>
      </c>
      <c r="G7045">
        <v>-227.18870000000001</v>
      </c>
      <c r="H7045">
        <v>1.046216</v>
      </c>
      <c r="I7045">
        <v>-62.937730000000002</v>
      </c>
      <c r="J7045">
        <v>-227.9401</v>
      </c>
      <c r="K7045">
        <v>1.114385</v>
      </c>
      <c r="L7045">
        <v>-63.39105</v>
      </c>
      <c r="M7045">
        <v>0.99969600000000003</v>
      </c>
      <c r="N7045">
        <v>-1.4644809999999999E-2</v>
      </c>
      <c r="O7045">
        <v>1.98383E-2</v>
      </c>
      <c r="P7045">
        <v>0.88609499999999997</v>
      </c>
      <c r="Q7045">
        <v>0.36938520000000002</v>
      </c>
      <c r="R7045">
        <v>0.27998269999999997</v>
      </c>
      <c r="S7045">
        <v>3.0071720000000002</v>
      </c>
      <c r="T7045">
        <v>-0.2239891</v>
      </c>
      <c r="U7045">
        <v>1.504883</v>
      </c>
      <c r="V7045">
        <v>-0.26574979999999998</v>
      </c>
      <c r="W7045">
        <v>0.3800444</v>
      </c>
      <c r="X7045">
        <v>0.88597019999999904</v>
      </c>
      <c r="Y7045">
        <v>-0.42854880000000001</v>
      </c>
      <c r="Z7045">
        <v>1.725206E-2</v>
      </c>
      <c r="AA7045">
        <v>0.90335390000000004</v>
      </c>
      <c r="AB7045">
        <v>36</v>
      </c>
      <c r="AC7045">
        <v>0.75139999999998897</v>
      </c>
      <c r="AD7045">
        <v>-6.8168999999999896E-2</v>
      </c>
      <c r="AE7045">
        <v>0.453319999999998</v>
      </c>
      <c r="AF7045">
        <v>-0.43569357042590201</v>
      </c>
      <c r="AG7045">
        <v>-6.8168999999999896E-2</v>
      </c>
      <c r="AH7045">
        <v>0.75568612694584203</v>
      </c>
      <c r="AI7045">
        <v>94.468550849330796</v>
      </c>
      <c r="AJ7045">
        <v>119.965754619804</v>
      </c>
      <c r="AK7045">
        <v>0.87494995418588295</v>
      </c>
      <c r="AL7045">
        <v>67.6635658705124</v>
      </c>
      <c r="AM7045">
        <v>106.696796231758</v>
      </c>
      <c r="AN7045">
        <v>0.99999994872971798</v>
      </c>
    </row>
    <row r="7046" spans="1:40" x14ac:dyDescent="0.25">
      <c r="A7046" t="str">
        <f>"20190304164300430"</f>
        <v>20190304164300430</v>
      </c>
      <c r="B7046" t="str">
        <f>"1551688980418543"</f>
        <v>1551688980418543</v>
      </c>
      <c r="C7046" t="s">
        <v>40</v>
      </c>
      <c r="D7046">
        <v>4.5169940000000004</v>
      </c>
      <c r="E7046">
        <v>0.42885040000000002</v>
      </c>
      <c r="F7046" t="s">
        <v>68</v>
      </c>
      <c r="G7046">
        <v>-213.2046</v>
      </c>
      <c r="H7046" s="1">
        <v>-1.2440000000000001E-6</v>
      </c>
      <c r="I7046">
        <v>-55.946219999999997</v>
      </c>
      <c r="J7046">
        <v>-227.78039999999999</v>
      </c>
      <c r="K7046">
        <v>1.114403</v>
      </c>
      <c r="L7046">
        <v>-63.386229999999998</v>
      </c>
      <c r="M7046">
        <v>0.99965839999999995</v>
      </c>
      <c r="N7046">
        <v>-1.4656529999999999E-2</v>
      </c>
      <c r="O7046">
        <v>2.16416E-2</v>
      </c>
      <c r="P7046">
        <v>0.88518699999999995</v>
      </c>
      <c r="Q7046">
        <v>0.36894660000000001</v>
      </c>
      <c r="R7046">
        <v>0.28341230000000001</v>
      </c>
      <c r="S7046">
        <v>3.00116</v>
      </c>
      <c r="T7046">
        <v>-0.22696540000000001</v>
      </c>
      <c r="U7046">
        <v>1.5162659999999999</v>
      </c>
      <c r="V7046">
        <v>-0.2676017</v>
      </c>
      <c r="W7046">
        <v>0.3795829</v>
      </c>
      <c r="X7046">
        <v>0.88561060000000003</v>
      </c>
      <c r="Y7046">
        <v>-0.43034519999999998</v>
      </c>
      <c r="Z7046">
        <v>1.7427249999999998E-2</v>
      </c>
      <c r="AA7046">
        <v>0.90249619999999997</v>
      </c>
      <c r="AB7046">
        <v>36</v>
      </c>
      <c r="AC7046">
        <v>14.5757999999999</v>
      </c>
      <c r="AD7046">
        <v>-1.1144042439999999</v>
      </c>
      <c r="AE7046">
        <v>7.44001</v>
      </c>
      <c r="AF7046">
        <v>-7.0899117776057903</v>
      </c>
      <c r="AG7046">
        <v>-1.1144042439999999</v>
      </c>
      <c r="AH7046">
        <v>14.6654090503805</v>
      </c>
      <c r="AI7046">
        <v>93.913694900097298</v>
      </c>
      <c r="AJ7046">
        <v>115.80119083742601</v>
      </c>
      <c r="AK7046">
        <v>16.327368693340102</v>
      </c>
      <c r="AL7046">
        <v>67.692150874916607</v>
      </c>
      <c r="AM7046">
        <v>106.813048940564</v>
      </c>
      <c r="AN7046">
        <v>0.999999991323829</v>
      </c>
    </row>
    <row r="7047" spans="1:40" x14ac:dyDescent="0.25">
      <c r="A7047" t="str">
        <f>"20190304164300440"</f>
        <v>20190304164300440</v>
      </c>
      <c r="B7047" t="str">
        <f>"1551688980428302"</f>
        <v>1551688980428302</v>
      </c>
      <c r="C7047" t="s">
        <v>40</v>
      </c>
      <c r="D7047">
        <v>4.5347949999999999</v>
      </c>
      <c r="E7047">
        <v>0.42887459999999999</v>
      </c>
      <c r="F7047" t="s">
        <v>41</v>
      </c>
      <c r="G7047">
        <v>-226.87360000000001</v>
      </c>
      <c r="H7047">
        <v>1.0452429999999999</v>
      </c>
      <c r="I7047">
        <v>-62.924129999999998</v>
      </c>
      <c r="J7047">
        <v>-227.6096</v>
      </c>
      <c r="K7047">
        <v>1.1144179999999999</v>
      </c>
      <c r="L7047">
        <v>-63.380980000000001</v>
      </c>
      <c r="M7047">
        <v>0.99961460000000002</v>
      </c>
      <c r="N7047">
        <v>-1.466868E-2</v>
      </c>
      <c r="O7047">
        <v>2.3571970000000001E-2</v>
      </c>
      <c r="P7047">
        <v>0.88419709999999996</v>
      </c>
      <c r="Q7047">
        <v>0.3687454</v>
      </c>
      <c r="R7047">
        <v>0.28674500000000003</v>
      </c>
      <c r="S7047">
        <v>2.99559</v>
      </c>
      <c r="T7047">
        <v>-0.2284542</v>
      </c>
      <c r="U7047">
        <v>1.5265500000000001</v>
      </c>
      <c r="V7047">
        <v>-0.26924930000000002</v>
      </c>
      <c r="W7047">
        <v>0.37936110000000001</v>
      </c>
      <c r="X7047">
        <v>0.88520619999999905</v>
      </c>
      <c r="Y7047">
        <v>-0.43172430000000001</v>
      </c>
      <c r="Z7047">
        <v>1.7484690000000001E-2</v>
      </c>
      <c r="AA7047">
        <v>0.90183610000000003</v>
      </c>
      <c r="AB7047">
        <v>36</v>
      </c>
      <c r="AC7047">
        <v>0.73599999999999</v>
      </c>
      <c r="AD7047">
        <v>-6.9175000000000195E-2</v>
      </c>
      <c r="AE7047">
        <v>0.45685000000000198</v>
      </c>
      <c r="AF7047">
        <v>-0.43658817467142402</v>
      </c>
      <c r="AG7047">
        <v>-6.9175000000000195E-2</v>
      </c>
      <c r="AH7047">
        <v>0.74183495256385701</v>
      </c>
      <c r="AI7047">
        <v>94.594638661938006</v>
      </c>
      <c r="AJ7047">
        <v>120.47786139394699</v>
      </c>
      <c r="AK7047">
        <v>0.863547052414254</v>
      </c>
      <c r="AL7047">
        <v>67.705887203428802</v>
      </c>
      <c r="AM7047">
        <v>106.917958396267</v>
      </c>
      <c r="AN7047">
        <v>1.00000002313106</v>
      </c>
    </row>
    <row r="7048" spans="1:40" x14ac:dyDescent="0.25">
      <c r="A7048" t="str">
        <f>"20190304164300450"</f>
        <v>20190304164300450</v>
      </c>
      <c r="B7048" t="str">
        <f>"1551688980438063"</f>
        <v>1551688980438063</v>
      </c>
      <c r="C7048" t="s">
        <v>40</v>
      </c>
      <c r="D7048">
        <v>4.5272899999999998</v>
      </c>
      <c r="E7048">
        <v>0.42896640000000003</v>
      </c>
      <c r="F7048" t="s">
        <v>68</v>
      </c>
      <c r="G7048">
        <v>-213.12209999999999</v>
      </c>
      <c r="H7048" s="1">
        <v>-1.2189070000000001E-6</v>
      </c>
      <c r="I7048">
        <v>-55.935009999999998</v>
      </c>
      <c r="J7048">
        <v>-227.45580000000001</v>
      </c>
      <c r="K7048">
        <v>1.1144289999999999</v>
      </c>
      <c r="L7048">
        <v>-63.375729999999997</v>
      </c>
      <c r="M7048">
        <v>0.99957180000000001</v>
      </c>
      <c r="N7048">
        <v>-1.4678449999999999E-2</v>
      </c>
      <c r="O7048">
        <v>2.5312009999999999E-2</v>
      </c>
      <c r="P7048">
        <v>0.88295669999999904</v>
      </c>
      <c r="Q7048">
        <v>0.36919360000000001</v>
      </c>
      <c r="R7048">
        <v>0.28997139999999999</v>
      </c>
      <c r="S7048">
        <v>2.990402</v>
      </c>
      <c r="T7048">
        <v>-0.23002919999999999</v>
      </c>
      <c r="U7048">
        <v>1.536926</v>
      </c>
      <c r="V7048">
        <v>-0.2709703</v>
      </c>
      <c r="W7048">
        <v>0.37978410000000001</v>
      </c>
      <c r="X7048">
        <v>0.88449940000000005</v>
      </c>
      <c r="Y7048">
        <v>-0.43324810000000002</v>
      </c>
      <c r="Z7048">
        <v>1.7561360000000002E-2</v>
      </c>
      <c r="AA7048">
        <v>0.9011036</v>
      </c>
      <c r="AB7048">
        <v>36</v>
      </c>
      <c r="AC7048">
        <v>14.3337</v>
      </c>
      <c r="AD7048">
        <v>-1.1144302189069999</v>
      </c>
      <c r="AE7048">
        <v>7.4407199999999998</v>
      </c>
      <c r="AF7048">
        <v>-7.0419496519425602</v>
      </c>
      <c r="AG7048">
        <v>-1.1144302189069999</v>
      </c>
      <c r="AH7048">
        <v>14.448665513481799</v>
      </c>
      <c r="AI7048">
        <v>93.966197149287893</v>
      </c>
      <c r="AJ7048">
        <v>115.983546864003</v>
      </c>
      <c r="AK7048">
        <v>16.111950370262001</v>
      </c>
      <c r="AL7048">
        <v>67.679690684507904</v>
      </c>
      <c r="AM7048">
        <v>107.03267695135401</v>
      </c>
      <c r="AN7048">
        <v>1.0000000273476199</v>
      </c>
    </row>
    <row r="7049" spans="1:40" x14ac:dyDescent="0.25">
      <c r="A7049" t="str">
        <f>"20190304164300463"</f>
        <v>20190304164300463</v>
      </c>
      <c r="B7049" t="str">
        <f>"1551688980458558"</f>
        <v>1551688980458558</v>
      </c>
      <c r="C7049" t="s">
        <v>40</v>
      </c>
      <c r="D7049">
        <v>4.7691350000000003</v>
      </c>
      <c r="E7049">
        <v>0.42881989999999998</v>
      </c>
      <c r="F7049" t="s">
        <v>41</v>
      </c>
      <c r="G7049">
        <v>-226.55850000000001</v>
      </c>
      <c r="H7049">
        <v>1.045536</v>
      </c>
      <c r="I7049">
        <v>-62.910899999999998</v>
      </c>
      <c r="J7049">
        <v>-227.2577</v>
      </c>
      <c r="K7049">
        <v>1.1144419999999999</v>
      </c>
      <c r="L7049">
        <v>-63.368870000000001</v>
      </c>
      <c r="M7049">
        <v>0.99951259999999997</v>
      </c>
      <c r="N7049">
        <v>-1.469065E-2</v>
      </c>
      <c r="O7049">
        <v>2.7553669999999999E-2</v>
      </c>
      <c r="P7049">
        <v>0.881640599999999</v>
      </c>
      <c r="Q7049">
        <v>0.36966969999999999</v>
      </c>
      <c r="R7049">
        <v>0.29335040000000001</v>
      </c>
      <c r="S7049">
        <v>2.985611</v>
      </c>
      <c r="T7049">
        <v>-0.22921349999999999</v>
      </c>
      <c r="U7049">
        <v>1.5465390000000001</v>
      </c>
      <c r="V7049">
        <v>-0.27240589999999998</v>
      </c>
      <c r="W7049">
        <v>0.38023889999999999</v>
      </c>
      <c r="X7049">
        <v>0.88386279999999995</v>
      </c>
      <c r="Y7049">
        <v>-0.43411349999999999</v>
      </c>
      <c r="Z7049">
        <v>1.7435760000000002E-2</v>
      </c>
      <c r="AA7049">
        <v>0.90068939999999997</v>
      </c>
      <c r="AB7049">
        <v>36</v>
      </c>
      <c r="AC7049">
        <v>0.69919999999999005</v>
      </c>
      <c r="AD7049">
        <v>-6.8905999999999898E-2</v>
      </c>
      <c r="AE7049">
        <v>0.45796999999999599</v>
      </c>
      <c r="AF7049">
        <v>-0.43556821428820502</v>
      </c>
      <c r="AG7049">
        <v>-6.8905999999999898E-2</v>
      </c>
      <c r="AH7049">
        <v>0.70675126871470795</v>
      </c>
      <c r="AI7049">
        <v>94.744684609745093</v>
      </c>
      <c r="AJ7049">
        <v>121.64537582553</v>
      </c>
      <c r="AK7049">
        <v>0.83304565418953203</v>
      </c>
      <c r="AL7049">
        <v>67.651519070134199</v>
      </c>
      <c r="AM7049">
        <v>107.12926162286099</v>
      </c>
      <c r="AN7049">
        <v>1.00000002232592</v>
      </c>
    </row>
    <row r="7050" spans="1:40" x14ac:dyDescent="0.25">
      <c r="A7050" t="str">
        <f>"20190304164300473"</f>
        <v>20190304164300473</v>
      </c>
      <c r="B7050" t="str">
        <f>"1551688980468318"</f>
        <v>1551688980468318</v>
      </c>
      <c r="C7050" t="s">
        <v>40</v>
      </c>
      <c r="D7050">
        <v>4.6835879999999896</v>
      </c>
      <c r="E7050">
        <v>0.4292764</v>
      </c>
      <c r="F7050" t="s">
        <v>41</v>
      </c>
      <c r="G7050">
        <v>-226.25649999999999</v>
      </c>
      <c r="H7050">
        <v>1.0374669999999999</v>
      </c>
      <c r="I7050">
        <v>-62.84525</v>
      </c>
      <c r="J7050">
        <v>-227.0941</v>
      </c>
      <c r="K7050">
        <v>1.1144510000000001</v>
      </c>
      <c r="L7050">
        <v>-63.362639999999999</v>
      </c>
      <c r="M7050">
        <v>0.9994594</v>
      </c>
      <c r="N7050">
        <v>-1.4699510000000001E-2</v>
      </c>
      <c r="O7050">
        <v>2.9405919999999999E-2</v>
      </c>
      <c r="P7050">
        <v>0.88054069999999995</v>
      </c>
      <c r="Q7050">
        <v>0.36983840000000001</v>
      </c>
      <c r="R7050">
        <v>0.2964252</v>
      </c>
      <c r="S7050">
        <v>2.98027</v>
      </c>
      <c r="T7050">
        <v>-0.22911690000000001</v>
      </c>
      <c r="U7050">
        <v>1.558441</v>
      </c>
      <c r="V7050">
        <v>-0.2738738</v>
      </c>
      <c r="W7050">
        <v>0.38038840000000002</v>
      </c>
      <c r="X7050">
        <v>0.88334469999999998</v>
      </c>
      <c r="Y7050">
        <v>-0.43592959999999897</v>
      </c>
      <c r="Z7050">
        <v>1.7417209999999999E-2</v>
      </c>
      <c r="AA7050">
        <v>0.89981219999999995</v>
      </c>
      <c r="AB7050">
        <v>36</v>
      </c>
      <c r="AC7050">
        <v>0.837600000000009</v>
      </c>
      <c r="AD7050">
        <v>-7.6984000000000094E-2</v>
      </c>
      <c r="AE7050">
        <v>0.51738999999999802</v>
      </c>
      <c r="AF7050">
        <v>-0.48953987551093298</v>
      </c>
      <c r="AG7050">
        <v>-7.6984000000000094E-2</v>
      </c>
      <c r="AH7050">
        <v>0.84727306280651904</v>
      </c>
      <c r="AI7050">
        <v>94.498371768501002</v>
      </c>
      <c r="AJ7050">
        <v>120.018586858197</v>
      </c>
      <c r="AK7050">
        <v>0.98155359962092703</v>
      </c>
      <c r="AL7050">
        <v>67.642257496412995</v>
      </c>
      <c r="AM7050">
        <v>107.22562228733401</v>
      </c>
      <c r="AN7050">
        <v>1.0000000260995401</v>
      </c>
    </row>
    <row r="7051" spans="1:40" x14ac:dyDescent="0.25">
      <c r="A7051" t="str">
        <f>"20190304164300485"</f>
        <v>20190304164300485</v>
      </c>
      <c r="B7051" t="str">
        <f>"1551688980478552"</f>
        <v>1551688980478552</v>
      </c>
      <c r="C7051" t="s">
        <v>40</v>
      </c>
      <c r="D7051">
        <v>4.5324999999999998</v>
      </c>
      <c r="E7051">
        <v>0.42948570000000003</v>
      </c>
      <c r="F7051" t="s">
        <v>41</v>
      </c>
      <c r="G7051">
        <v>-226.23869999999999</v>
      </c>
      <c r="H7051">
        <v>1.048565</v>
      </c>
      <c r="I7051">
        <v>-62.912909999999997</v>
      </c>
      <c r="J7051">
        <v>-226.91499999999999</v>
      </c>
      <c r="K7051">
        <v>1.114463</v>
      </c>
      <c r="L7051">
        <v>-63.355649999999997</v>
      </c>
      <c r="M7051">
        <v>0.9993978</v>
      </c>
      <c r="N7051">
        <v>-1.4708870000000001E-2</v>
      </c>
      <c r="O7051">
        <v>3.1431790000000001E-2</v>
      </c>
      <c r="P7051">
        <v>0.87961259999999997</v>
      </c>
      <c r="Q7051">
        <v>0.36947679999999999</v>
      </c>
      <c r="R7051">
        <v>0.2996143</v>
      </c>
      <c r="S7051">
        <v>2.9765009999999998</v>
      </c>
      <c r="T7051">
        <v>-0.22926650000000001</v>
      </c>
      <c r="U7051">
        <v>1.564819</v>
      </c>
      <c r="V7051">
        <v>-0.27529399999999998</v>
      </c>
      <c r="W7051">
        <v>0.3800113</v>
      </c>
      <c r="X7051">
        <v>0.88306549999999995</v>
      </c>
      <c r="Y7051">
        <v>-0.43608629999999998</v>
      </c>
      <c r="Z7051">
        <v>1.7328219999999998E-2</v>
      </c>
      <c r="AA7051">
        <v>0.89973799999999904</v>
      </c>
      <c r="AB7051">
        <v>36</v>
      </c>
      <c r="AC7051">
        <v>0.67629999999999701</v>
      </c>
      <c r="AD7051">
        <v>-6.5897999999999998E-2</v>
      </c>
      <c r="AE7051">
        <v>0.44274000000000002</v>
      </c>
      <c r="AF7051">
        <v>-0.418480327351546</v>
      </c>
      <c r="AG7051">
        <v>-6.5897999999999998E-2</v>
      </c>
      <c r="AH7051">
        <v>0.68532863804441801</v>
      </c>
      <c r="AI7051">
        <v>94.691479873768003</v>
      </c>
      <c r="AJ7051">
        <v>121.40937542045501</v>
      </c>
      <c r="AK7051">
        <v>0.80569452828480503</v>
      </c>
      <c r="AL7051">
        <v>67.6656180028737</v>
      </c>
      <c r="AM7051">
        <v>107.31476882949499</v>
      </c>
      <c r="AN7051">
        <v>1.0000000259269599</v>
      </c>
    </row>
    <row r="7052" spans="1:40" x14ac:dyDescent="0.25">
      <c r="A7052" t="str">
        <f>"20190304164300495"</f>
        <v>20190304164300495</v>
      </c>
      <c r="B7052" t="str">
        <f>"1551688980488336"</f>
        <v>1551688980488336</v>
      </c>
      <c r="C7052" t="s">
        <v>40</v>
      </c>
      <c r="D7052">
        <v>4.5066290000000002</v>
      </c>
      <c r="E7052">
        <v>0.42957390000000001</v>
      </c>
      <c r="F7052" t="s">
        <v>41</v>
      </c>
      <c r="G7052">
        <v>-225.93989999999999</v>
      </c>
      <c r="H7052">
        <v>1.038764</v>
      </c>
      <c r="I7052">
        <v>-62.839649999999999</v>
      </c>
      <c r="J7052">
        <v>-226.74170000000001</v>
      </c>
      <c r="K7052">
        <v>1.1144689999999999</v>
      </c>
      <c r="L7052">
        <v>-63.34845</v>
      </c>
      <c r="M7052">
        <v>0.99933399999999994</v>
      </c>
      <c r="N7052">
        <v>-1.4716999999999999E-2</v>
      </c>
      <c r="O7052">
        <v>3.3392869999999998E-2</v>
      </c>
      <c r="P7052">
        <v>0.87869540000000002</v>
      </c>
      <c r="Q7052">
        <v>0.3691527</v>
      </c>
      <c r="R7052">
        <v>0.302689599999999</v>
      </c>
      <c r="S7052">
        <v>2.971695</v>
      </c>
      <c r="T7052">
        <v>-0.23071169999999999</v>
      </c>
      <c r="U7052">
        <v>1.573029</v>
      </c>
      <c r="V7052">
        <v>-0.27665780000000001</v>
      </c>
      <c r="W7052">
        <v>0.37967299999999998</v>
      </c>
      <c r="X7052">
        <v>0.88278469999999998</v>
      </c>
      <c r="Y7052">
        <v>-0.43685020000000002</v>
      </c>
      <c r="Z7052">
        <v>1.7347350000000001E-2</v>
      </c>
      <c r="AA7052">
        <v>0.89936700000000003</v>
      </c>
      <c r="AB7052">
        <v>36</v>
      </c>
      <c r="AC7052">
        <v>0.80180000000001395</v>
      </c>
      <c r="AD7052">
        <v>-7.5705000000000106E-2</v>
      </c>
      <c r="AE7052">
        <v>0.50880000000000003</v>
      </c>
      <c r="AF7052">
        <v>-0.47869646829154899</v>
      </c>
      <c r="AG7052">
        <v>-7.5705000000000106E-2</v>
      </c>
      <c r="AH7052">
        <v>0.81317663230626902</v>
      </c>
      <c r="AI7052">
        <v>94.586947938547894</v>
      </c>
      <c r="AJ7052">
        <v>120.484243238422</v>
      </c>
      <c r="AK7052">
        <v>0.94664554671152801</v>
      </c>
      <c r="AL7052">
        <v>67.686570433342098</v>
      </c>
      <c r="AM7052">
        <v>107.40058179392599</v>
      </c>
      <c r="AN7052">
        <v>0.99999997589196399</v>
      </c>
    </row>
    <row r="7053" spans="1:40" x14ac:dyDescent="0.25">
      <c r="A7053" t="str">
        <f>"20190304164300506"</f>
        <v>20190304164300506</v>
      </c>
      <c r="B7053" t="str">
        <f>"1551688980498206"</f>
        <v>1551688980498206</v>
      </c>
      <c r="C7053" t="s">
        <v>40</v>
      </c>
      <c r="D7053">
        <v>4.4932049999999997</v>
      </c>
      <c r="E7053">
        <v>0.42972529999999998</v>
      </c>
      <c r="F7053" t="s">
        <v>41</v>
      </c>
      <c r="G7053">
        <v>-225.87610000000001</v>
      </c>
      <c r="H7053">
        <v>1.0467839999999999</v>
      </c>
      <c r="I7053">
        <v>-62.887120000000003</v>
      </c>
      <c r="J7053">
        <v>-226.5753</v>
      </c>
      <c r="K7053">
        <v>1.114471</v>
      </c>
      <c r="L7053">
        <v>-63.341279999999998</v>
      </c>
      <c r="M7053">
        <v>0.99926919999999997</v>
      </c>
      <c r="N7053">
        <v>-1.4724350000000001E-2</v>
      </c>
      <c r="O7053">
        <v>3.5275140000000003E-2</v>
      </c>
      <c r="P7053">
        <v>0.87797950000000002</v>
      </c>
      <c r="Q7053">
        <v>0.36831239999999998</v>
      </c>
      <c r="R7053">
        <v>0.3057745</v>
      </c>
      <c r="S7053">
        <v>2.9667970000000001</v>
      </c>
      <c r="T7053">
        <v>-0.23199</v>
      </c>
      <c r="U7053">
        <v>1.5816349999999999</v>
      </c>
      <c r="V7053">
        <v>-0.27809139999999999</v>
      </c>
      <c r="W7053">
        <v>0.37882009999999999</v>
      </c>
      <c r="X7053">
        <v>0.8827007</v>
      </c>
      <c r="Y7053">
        <v>-0.43779109999999999</v>
      </c>
      <c r="Z7053">
        <v>1.7367750000000001E-2</v>
      </c>
      <c r="AA7053">
        <v>0.89890899999999996</v>
      </c>
      <c r="AB7053">
        <v>36</v>
      </c>
      <c r="AC7053">
        <v>0.69919999999999005</v>
      </c>
      <c r="AD7053">
        <v>-6.7686999999999997E-2</v>
      </c>
      <c r="AE7053">
        <v>0.454160000000008</v>
      </c>
      <c r="AF7053">
        <v>-0.42639992642330099</v>
      </c>
      <c r="AG7053">
        <v>-6.7686999999999997E-2</v>
      </c>
      <c r="AH7053">
        <v>0.71010688383630705</v>
      </c>
      <c r="AI7053">
        <v>94.671756027862202</v>
      </c>
      <c r="AJ7053">
        <v>120.98367450164901</v>
      </c>
      <c r="AK7053">
        <v>0.83105367678297803</v>
      </c>
      <c r="AL7053">
        <v>67.739384170940596</v>
      </c>
      <c r="AM7053">
        <v>107.48682943069601</v>
      </c>
      <c r="AN7053">
        <v>1.0000000103492299</v>
      </c>
    </row>
    <row r="7054" spans="1:40" x14ac:dyDescent="0.25">
      <c r="A7054" t="str">
        <f>"20190304164300516"</f>
        <v>20190304164300516</v>
      </c>
      <c r="B7054" t="str">
        <f>"1551688980507971"</f>
        <v>1551688980507971</v>
      </c>
      <c r="C7054" t="s">
        <v>40</v>
      </c>
      <c r="D7054">
        <v>4.669257</v>
      </c>
      <c r="E7054">
        <v>0.43008269999999998</v>
      </c>
      <c r="F7054" t="s">
        <v>41</v>
      </c>
      <c r="G7054">
        <v>-225.62430000000001</v>
      </c>
      <c r="H7054">
        <v>1.038891</v>
      </c>
      <c r="I7054">
        <v>-62.830849999999998</v>
      </c>
      <c r="J7054">
        <v>-226.39670000000001</v>
      </c>
      <c r="K7054">
        <v>1.1144750000000001</v>
      </c>
      <c r="L7054">
        <v>-63.333159999999999</v>
      </c>
      <c r="M7054">
        <v>0.99919570000000002</v>
      </c>
      <c r="N7054">
        <v>-1.473155E-2</v>
      </c>
      <c r="O7054">
        <v>3.7296160000000002E-2</v>
      </c>
      <c r="P7054">
        <v>0.87708929999999996</v>
      </c>
      <c r="Q7054">
        <v>0.36774600000000002</v>
      </c>
      <c r="R7054">
        <v>0.3089944</v>
      </c>
      <c r="S7054">
        <v>2.962097</v>
      </c>
      <c r="T7054">
        <v>-0.23539499999999999</v>
      </c>
      <c r="U7054">
        <v>1.589539</v>
      </c>
      <c r="V7054">
        <v>-0.2795455</v>
      </c>
      <c r="W7054">
        <v>0.3782393</v>
      </c>
      <c r="X7054">
        <v>0.88249049999999996</v>
      </c>
      <c r="Y7054">
        <v>-0.43839800000000001</v>
      </c>
      <c r="Z7054">
        <v>1.7485560000000001E-2</v>
      </c>
      <c r="AA7054">
        <v>0.89861080000000004</v>
      </c>
      <c r="AB7054">
        <v>36</v>
      </c>
      <c r="AC7054">
        <v>0.77240000000000397</v>
      </c>
      <c r="AD7054">
        <v>-7.5584000000000096E-2</v>
      </c>
      <c r="AE7054">
        <v>0.50231000000000103</v>
      </c>
      <c r="AF7054">
        <v>-0.469986903853094</v>
      </c>
      <c r="AG7054">
        <v>-7.5584000000000096E-2</v>
      </c>
      <c r="AH7054">
        <v>0.785313845997199</v>
      </c>
      <c r="AI7054">
        <v>94.721155070735904</v>
      </c>
      <c r="AJ7054">
        <v>120.89926206115901</v>
      </c>
      <c r="AK7054">
        <v>0.91832372699627596</v>
      </c>
      <c r="AL7054">
        <v>67.775338192023298</v>
      </c>
      <c r="AM7054">
        <v>107.576579660346</v>
      </c>
      <c r="AN7054">
        <v>1.0000000686124899</v>
      </c>
    </row>
    <row r="7055" spans="1:40" x14ac:dyDescent="0.25">
      <c r="A7055" t="str">
        <f>"20190304164300528"</f>
        <v>20190304164300528</v>
      </c>
      <c r="B7055" t="str">
        <f>"1551688980517731"</f>
        <v>1551688980517731</v>
      </c>
      <c r="C7055" t="s">
        <v>40</v>
      </c>
      <c r="D7055">
        <v>4.6512580000000003</v>
      </c>
      <c r="E7055">
        <v>0.4304251</v>
      </c>
      <c r="F7055" t="s">
        <v>41</v>
      </c>
      <c r="G7055">
        <v>-225.51769999999999</v>
      </c>
      <c r="H7055">
        <v>1.043749</v>
      </c>
      <c r="I7055">
        <v>-62.858820000000001</v>
      </c>
      <c r="J7055">
        <v>-226.226</v>
      </c>
      <c r="K7055">
        <v>1.1144769999999999</v>
      </c>
      <c r="L7055">
        <v>-63.325069999999997</v>
      </c>
      <c r="M7055">
        <v>0.9991217</v>
      </c>
      <c r="N7055">
        <v>-1.473784E-2</v>
      </c>
      <c r="O7055">
        <v>3.922635E-2</v>
      </c>
      <c r="P7055">
        <v>0.87619959999999997</v>
      </c>
      <c r="Q7055">
        <v>0.36717860000000002</v>
      </c>
      <c r="R7055">
        <v>0.31217660000000003</v>
      </c>
      <c r="S7055">
        <v>2.957932</v>
      </c>
      <c r="T7055">
        <v>-0.23800750000000001</v>
      </c>
      <c r="U7055">
        <v>1.5960080000000001</v>
      </c>
      <c r="V7055">
        <v>-0.28104299999999999</v>
      </c>
      <c r="W7055">
        <v>0.37765739999999998</v>
      </c>
      <c r="X7055">
        <v>0.88226399999999905</v>
      </c>
      <c r="Y7055">
        <v>-0.43868970000000002</v>
      </c>
      <c r="Z7055">
        <v>1.75447E-2</v>
      </c>
      <c r="AA7055">
        <v>0.89846729999999997</v>
      </c>
      <c r="AB7055">
        <v>36</v>
      </c>
      <c r="AC7055">
        <v>0.70830000000000803</v>
      </c>
      <c r="AD7055">
        <v>-7.0727999999999902E-2</v>
      </c>
      <c r="AE7055">
        <v>0.466250000000002</v>
      </c>
      <c r="AF7055">
        <v>-0.43507730579354198</v>
      </c>
      <c r="AG7055">
        <v>-7.0727999999999902E-2</v>
      </c>
      <c r="AH7055">
        <v>0.72102998060960199</v>
      </c>
      <c r="AI7055">
        <v>94.800857296190003</v>
      </c>
      <c r="AJ7055">
        <v>121.10723642803799</v>
      </c>
      <c r="AK7055">
        <v>0.84509108677020695</v>
      </c>
      <c r="AL7055">
        <v>67.8113486232469</v>
      </c>
      <c r="AM7055">
        <v>107.66914856171699</v>
      </c>
      <c r="AN7055">
        <v>1.00000002265987</v>
      </c>
    </row>
    <row r="7056" spans="1:40" x14ac:dyDescent="0.25">
      <c r="A7056" t="str">
        <f>"20190304164300540"</f>
        <v>20190304164300540</v>
      </c>
      <c r="B7056" t="str">
        <f>"1551688980528467"</f>
        <v>1551688980528467</v>
      </c>
      <c r="C7056" t="s">
        <v>40</v>
      </c>
      <c r="D7056">
        <v>4.5237319999999999</v>
      </c>
      <c r="E7056">
        <v>0.43067549999999999</v>
      </c>
      <c r="F7056" t="s">
        <v>41</v>
      </c>
      <c r="G7056">
        <v>-225.3075</v>
      </c>
      <c r="H7056">
        <v>1.039642</v>
      </c>
      <c r="I7056">
        <v>-62.8268699999999</v>
      </c>
      <c r="J7056">
        <v>-226.04570000000001</v>
      </c>
      <c r="K7056">
        <v>1.1144810000000001</v>
      </c>
      <c r="L7056">
        <v>-63.316279999999999</v>
      </c>
      <c r="M7056">
        <v>0.99903949999999997</v>
      </c>
      <c r="N7056">
        <v>-1.474404E-2</v>
      </c>
      <c r="O7056">
        <v>4.1265830000000003E-2</v>
      </c>
      <c r="P7056">
        <v>0.87519249999999904</v>
      </c>
      <c r="Q7056">
        <v>0.36682239999999999</v>
      </c>
      <c r="R7056">
        <v>0.31540410000000002</v>
      </c>
      <c r="S7056">
        <v>2.9537049999999998</v>
      </c>
      <c r="T7056">
        <v>-0.2406681</v>
      </c>
      <c r="U7056">
        <v>1.6027530000000001</v>
      </c>
      <c r="V7056">
        <v>-0.28249639999999998</v>
      </c>
      <c r="W7056">
        <v>0.37728610000000001</v>
      </c>
      <c r="X7056">
        <v>0.88195869999999998</v>
      </c>
      <c r="Y7056">
        <v>-0.43895580000000001</v>
      </c>
      <c r="Z7056">
        <v>1.7595739999999999E-2</v>
      </c>
      <c r="AA7056">
        <v>0.89833639999999904</v>
      </c>
      <c r="AB7056">
        <v>35</v>
      </c>
      <c r="AC7056">
        <v>0.73820000000000596</v>
      </c>
      <c r="AD7056">
        <v>-7.48390000000001E-2</v>
      </c>
      <c r="AE7056">
        <v>0.489410000000013</v>
      </c>
      <c r="AF7056">
        <v>-0.455276714544747</v>
      </c>
      <c r="AG7056">
        <v>-7.48390000000001E-2</v>
      </c>
      <c r="AH7056">
        <v>0.75239722517400898</v>
      </c>
      <c r="AI7056">
        <v>94.864177839885599</v>
      </c>
      <c r="AJ7056">
        <v>121.17819665986799</v>
      </c>
      <c r="AK7056">
        <v>0.88259806660631701</v>
      </c>
      <c r="AL7056">
        <v>67.834323504029598</v>
      </c>
      <c r="AM7056">
        <v>107.76055863958599</v>
      </c>
      <c r="AN7056">
        <v>1.0000000828859199</v>
      </c>
    </row>
    <row r="7057" spans="1:40" x14ac:dyDescent="0.25">
      <c r="A7057" t="str">
        <f>"20190304164300554"</f>
        <v>20190304164300554</v>
      </c>
      <c r="B7057" t="str">
        <f>"1551688980547987"</f>
        <v>1551688980547987</v>
      </c>
      <c r="C7057" t="s">
        <v>40</v>
      </c>
      <c r="D7057">
        <v>4.6612130000000001</v>
      </c>
      <c r="E7057">
        <v>0.43129729999999999</v>
      </c>
      <c r="F7057" t="s">
        <v>68</v>
      </c>
      <c r="G7057">
        <v>-212.48830000000001</v>
      </c>
      <c r="H7057" s="1">
        <v>-1.0089359999999999E-6</v>
      </c>
      <c r="I7057">
        <v>-55.913530000000002</v>
      </c>
      <c r="J7057">
        <v>-225.8064</v>
      </c>
      <c r="K7057">
        <v>1.1144860000000001</v>
      </c>
      <c r="L7057">
        <v>-63.30386</v>
      </c>
      <c r="M7057">
        <v>0.99892389999999998</v>
      </c>
      <c r="N7057">
        <v>-1.4751190000000001E-2</v>
      </c>
      <c r="O7057">
        <v>4.3973159999999997E-2</v>
      </c>
      <c r="P7057">
        <v>0.87376419999999999</v>
      </c>
      <c r="Q7057">
        <v>0.36691820000000003</v>
      </c>
      <c r="R7057">
        <v>0.31922979999999901</v>
      </c>
      <c r="S7057">
        <v>2.949112</v>
      </c>
      <c r="T7057">
        <v>-0.2424308</v>
      </c>
      <c r="U7057">
        <v>1.6102909999999999</v>
      </c>
      <c r="V7057">
        <v>-0.28397909999999998</v>
      </c>
      <c r="W7057">
        <v>0.3773647</v>
      </c>
      <c r="X7057">
        <v>0.88144869999999897</v>
      </c>
      <c r="Y7057">
        <v>-0.43886609999999998</v>
      </c>
      <c r="Z7057">
        <v>1.7536599999999999E-2</v>
      </c>
      <c r="AA7057">
        <v>0.8983814</v>
      </c>
      <c r="AB7057">
        <v>35</v>
      </c>
      <c r="AC7057">
        <v>13.3180999999999</v>
      </c>
      <c r="AD7057">
        <v>-1.1144870089359999</v>
      </c>
      <c r="AE7057">
        <v>7.3903299999999899</v>
      </c>
      <c r="AF7057">
        <v>-6.7612769916822799</v>
      </c>
      <c r="AG7057">
        <v>-1.1144870089359999</v>
      </c>
      <c r="AH7057">
        <v>13.5576378851752</v>
      </c>
      <c r="AI7057">
        <v>94.207282088315097</v>
      </c>
      <c r="AJ7057">
        <v>116.50571341629499</v>
      </c>
      <c r="AK7057">
        <v>15.1910003909182</v>
      </c>
      <c r="AL7057">
        <v>67.829459321043601</v>
      </c>
      <c r="AM7057">
        <v>107.857546618168</v>
      </c>
      <c r="AN7057">
        <v>1.0000000283872901</v>
      </c>
    </row>
    <row r="7058" spans="1:40" x14ac:dyDescent="0.25">
      <c r="A7058" t="str">
        <f>"20190304164300566"</f>
        <v>20190304164300566</v>
      </c>
      <c r="B7058" t="str">
        <f>"1551688980557747"</f>
        <v>1551688980557747</v>
      </c>
      <c r="C7058" t="s">
        <v>40</v>
      </c>
      <c r="D7058">
        <v>4.5536789999999998</v>
      </c>
      <c r="E7058">
        <v>0.43152980000000002</v>
      </c>
      <c r="F7058" t="s">
        <v>41</v>
      </c>
      <c r="G7058">
        <v>-224.96080000000001</v>
      </c>
      <c r="H7058">
        <v>1.0449619999999999</v>
      </c>
      <c r="I7058">
        <v>-62.839280000000002</v>
      </c>
      <c r="J7058">
        <v>-225.6182</v>
      </c>
      <c r="K7058">
        <v>1.1144889999999901</v>
      </c>
      <c r="L7058">
        <v>-63.293700000000001</v>
      </c>
      <c r="M7058">
        <v>0.99882780000000004</v>
      </c>
      <c r="N7058">
        <v>-1.475632E-2</v>
      </c>
      <c r="O7058">
        <v>4.6102400000000002E-2</v>
      </c>
      <c r="P7058">
        <v>0.87252410000000002</v>
      </c>
      <c r="Q7058">
        <v>0.36723640000000002</v>
      </c>
      <c r="R7058">
        <v>0.32224120000000001</v>
      </c>
      <c r="S7058">
        <v>2.944016</v>
      </c>
      <c r="T7058">
        <v>-0.24207380000000001</v>
      </c>
      <c r="U7058">
        <v>1.6177979999999901</v>
      </c>
      <c r="V7058">
        <v>-0.28515760000000001</v>
      </c>
      <c r="W7058">
        <v>0.37766810000000001</v>
      </c>
      <c r="X7058">
        <v>0.88093809999999995</v>
      </c>
      <c r="Y7058">
        <v>-0.43937110000000001</v>
      </c>
      <c r="Z7058">
        <v>1.7423500000000001E-2</v>
      </c>
      <c r="AA7058">
        <v>0.89813670000000001</v>
      </c>
      <c r="AB7058">
        <v>35</v>
      </c>
      <c r="AC7058">
        <v>0.65739999999999499</v>
      </c>
      <c r="AD7058">
        <v>-6.9526999999999603E-2</v>
      </c>
      <c r="AE7058">
        <v>0.45441999999999799</v>
      </c>
      <c r="AF7058">
        <v>-0.42044343695647801</v>
      </c>
      <c r="AG7058">
        <v>-6.9526999999999603E-2</v>
      </c>
      <c r="AH7058">
        <v>0.67256246642002004</v>
      </c>
      <c r="AI7058">
        <v>95.009601095831997</v>
      </c>
      <c r="AJ7058">
        <v>122.01101241591</v>
      </c>
      <c r="AK7058">
        <v>0.79620786145689204</v>
      </c>
      <c r="AL7058">
        <v>67.810685839792299</v>
      </c>
      <c r="AM7058">
        <v>107.93664573912299</v>
      </c>
      <c r="AN7058">
        <v>0.99999999331348999</v>
      </c>
    </row>
    <row r="7059" spans="1:40" x14ac:dyDescent="0.25">
      <c r="A7059" t="str">
        <f>"20190304164300581"</f>
        <v>20190304164300581</v>
      </c>
      <c r="B7059" t="str">
        <f>"1551688980568483"</f>
        <v>1551688980568483</v>
      </c>
      <c r="C7059" t="s">
        <v>40</v>
      </c>
      <c r="D7059">
        <v>4.5534730000000003</v>
      </c>
      <c r="E7059">
        <v>0.43178889999999998</v>
      </c>
      <c r="F7059" t="s">
        <v>41</v>
      </c>
      <c r="G7059">
        <v>-224.6849</v>
      </c>
      <c r="H7059">
        <v>1.0378849999999999</v>
      </c>
      <c r="I7059">
        <v>-62.777560000000001</v>
      </c>
      <c r="J7059">
        <v>-225.392</v>
      </c>
      <c r="K7059">
        <v>1.114498</v>
      </c>
      <c r="L7059">
        <v>-63.281010000000002</v>
      </c>
      <c r="M7059">
        <v>0.99870619999999999</v>
      </c>
      <c r="N7059">
        <v>-1.47619E-2</v>
      </c>
      <c r="O7059">
        <v>4.8663089999999999E-2</v>
      </c>
      <c r="P7059">
        <v>0.87110140000000003</v>
      </c>
      <c r="Q7059">
        <v>0.36751460000000002</v>
      </c>
      <c r="R7059">
        <v>0.32575379999999998</v>
      </c>
      <c r="S7059">
        <v>2.9393009999999999</v>
      </c>
      <c r="T7059">
        <v>-0.24127319999999999</v>
      </c>
      <c r="U7059">
        <v>1.6261289999999999</v>
      </c>
      <c r="V7059">
        <v>-0.28646579999999999</v>
      </c>
      <c r="W7059">
        <v>0.3779303</v>
      </c>
      <c r="X7059">
        <v>0.88040110000000005</v>
      </c>
      <c r="Y7059">
        <v>-0.4396389</v>
      </c>
      <c r="Z7059">
        <v>1.7246620000000001E-2</v>
      </c>
      <c r="AA7059">
        <v>0.89800899999999995</v>
      </c>
      <c r="AB7059">
        <v>35</v>
      </c>
      <c r="AC7059">
        <v>0.70709999999999695</v>
      </c>
      <c r="AD7059">
        <v>-7.6613000000000001E-2</v>
      </c>
      <c r="AE7059">
        <v>0.50344999999999296</v>
      </c>
      <c r="AF7059">
        <v>-0.46481895105426602</v>
      </c>
      <c r="AG7059">
        <v>-7.6613000000000001E-2</v>
      </c>
      <c r="AH7059">
        <v>0.72511538098538697</v>
      </c>
      <c r="AI7059">
        <v>95.083067438678398</v>
      </c>
      <c r="AJ7059">
        <v>122.660991078344</v>
      </c>
      <c r="AK7059">
        <v>0.86470719019201603</v>
      </c>
      <c r="AL7059">
        <v>67.794461271928597</v>
      </c>
      <c r="AM7059">
        <v>108.02390417365601</v>
      </c>
      <c r="AN7059">
        <v>1.0000000315544599</v>
      </c>
    </row>
    <row r="7060" spans="1:40" x14ac:dyDescent="0.25">
      <c r="A7060" t="str">
        <f>"20190304164300591"</f>
        <v>20190304164300591</v>
      </c>
      <c r="B7060" t="str">
        <f>"1551688980588003"</f>
        <v>1551688980588003</v>
      </c>
      <c r="C7060" t="s">
        <v>40</v>
      </c>
      <c r="D7060">
        <v>4.5552700000000002</v>
      </c>
      <c r="E7060">
        <v>0.4322918</v>
      </c>
      <c r="F7060" t="s">
        <v>68</v>
      </c>
      <c r="G7060">
        <v>-211.81020000000001</v>
      </c>
      <c r="H7060" s="1">
        <v>-8.3237219999999896E-7</v>
      </c>
      <c r="I7060">
        <v>-55.709919999999997</v>
      </c>
      <c r="J7060">
        <v>-225.2354</v>
      </c>
      <c r="K7060">
        <v>1.1145</v>
      </c>
      <c r="L7060">
        <v>-63.271729999999998</v>
      </c>
      <c r="M7060">
        <v>0.99861789999999995</v>
      </c>
      <c r="N7060">
        <v>-1.4765169999999999E-2</v>
      </c>
      <c r="O7060">
        <v>5.043972E-2</v>
      </c>
      <c r="P7060">
        <v>0.87000200000000005</v>
      </c>
      <c r="Q7060">
        <v>0.3678379</v>
      </c>
      <c r="R7060">
        <v>0.32831640000000001</v>
      </c>
      <c r="S7060">
        <v>2.9338989999999998</v>
      </c>
      <c r="T7060">
        <v>-0.2407502</v>
      </c>
      <c r="U7060">
        <v>1.6354679999999999</v>
      </c>
      <c r="V7060">
        <v>-0.28750740000000002</v>
      </c>
      <c r="W7060">
        <v>0.3782393</v>
      </c>
      <c r="X7060">
        <v>0.87992870000000001</v>
      </c>
      <c r="Y7060">
        <v>-0.44092769999999998</v>
      </c>
      <c r="Z7060">
        <v>1.718242E-2</v>
      </c>
      <c r="AA7060">
        <v>0.89737809999999996</v>
      </c>
      <c r="AB7060">
        <v>35</v>
      </c>
      <c r="AC7060">
        <v>13.425199999999901</v>
      </c>
      <c r="AD7060">
        <v>-1.1145008323721901</v>
      </c>
      <c r="AE7060">
        <v>7.5618100000000004</v>
      </c>
      <c r="AF7060">
        <v>-6.8391643631662404</v>
      </c>
      <c r="AG7060">
        <v>-1.1145008323721901</v>
      </c>
      <c r="AH7060">
        <v>13.717796191867899</v>
      </c>
      <c r="AI7060">
        <v>94.158625264306295</v>
      </c>
      <c r="AJ7060">
        <v>116.499074977145</v>
      </c>
      <c r="AK7060">
        <v>15.3686113118065</v>
      </c>
      <c r="AL7060">
        <v>67.775336471075207</v>
      </c>
      <c r="AM7060">
        <v>108.09425622347101</v>
      </c>
      <c r="AN7060">
        <v>0.99999999510146897</v>
      </c>
    </row>
    <row r="7061" spans="1:40" x14ac:dyDescent="0.25">
      <c r="A7061" t="str">
        <f>"20190304164300603"</f>
        <v>20190304164300603</v>
      </c>
      <c r="B7061" t="str">
        <f>"1551688980597762"</f>
        <v>1551688980597762</v>
      </c>
      <c r="C7061" t="s">
        <v>40</v>
      </c>
      <c r="D7061">
        <v>4.5500179999999997</v>
      </c>
      <c r="E7061">
        <v>0.43256329999999998</v>
      </c>
      <c r="F7061" t="s">
        <v>41</v>
      </c>
      <c r="G7061">
        <v>-224.36529999999999</v>
      </c>
      <c r="H7061">
        <v>1.0433790000000001</v>
      </c>
      <c r="I7061">
        <v>-62.784610000000001</v>
      </c>
      <c r="J7061">
        <v>-225.05279999999999</v>
      </c>
      <c r="K7061">
        <v>1.1145</v>
      </c>
      <c r="L7061">
        <v>-63.260770000000001</v>
      </c>
      <c r="M7061">
        <v>0.99851120000000004</v>
      </c>
      <c r="N7061">
        <v>-1.476888E-2</v>
      </c>
      <c r="O7061">
        <v>5.251024E-2</v>
      </c>
      <c r="P7061">
        <v>0.86891779999999996</v>
      </c>
      <c r="Q7061">
        <v>0.3679192</v>
      </c>
      <c r="R7061">
        <v>0.33108520000000002</v>
      </c>
      <c r="S7061">
        <v>2.9304809999999999</v>
      </c>
      <c r="T7061">
        <v>-0.23955950000000001</v>
      </c>
      <c r="U7061">
        <v>1.6405029999999901</v>
      </c>
      <c r="V7061">
        <v>-0.28849439999999998</v>
      </c>
      <c r="W7061">
        <v>0.37830900000000001</v>
      </c>
      <c r="X7061">
        <v>0.87957559999999901</v>
      </c>
      <c r="Y7061">
        <v>-0.44070219999999999</v>
      </c>
      <c r="Z7061">
        <v>1.6990749999999999E-2</v>
      </c>
      <c r="AA7061">
        <v>0.89749249999999903</v>
      </c>
      <c r="AB7061">
        <v>35</v>
      </c>
      <c r="AC7061">
        <v>0.6875</v>
      </c>
      <c r="AD7061">
        <v>-7.1120999999999907E-2</v>
      </c>
      <c r="AE7061">
        <v>0.47615999999999298</v>
      </c>
      <c r="AF7061">
        <v>-0.43624314812156101</v>
      </c>
      <c r="AG7061">
        <v>-7.1120999999999907E-2</v>
      </c>
      <c r="AH7061">
        <v>0.70644802866453205</v>
      </c>
      <c r="AI7061">
        <v>94.895908532611699</v>
      </c>
      <c r="AJ7061">
        <v>121.696004816502</v>
      </c>
      <c r="AK7061">
        <v>0.83332772552460599</v>
      </c>
      <c r="AL7061">
        <v>67.771021972710003</v>
      </c>
      <c r="AM7061">
        <v>108.159114251452</v>
      </c>
      <c r="AN7061">
        <v>0.99999997721385903</v>
      </c>
    </row>
    <row r="7062" spans="1:40" x14ac:dyDescent="0.25">
      <c r="A7062" t="str">
        <f>"20190304164300614"</f>
        <v>20190304164300614</v>
      </c>
      <c r="B7062" t="str">
        <f>"1551688980608500"</f>
        <v>1551688980608500</v>
      </c>
      <c r="C7062" t="s">
        <v>40</v>
      </c>
      <c r="D7062">
        <v>4.5596209999999999</v>
      </c>
      <c r="E7062">
        <v>0.43280829999999998</v>
      </c>
      <c r="F7062" t="s">
        <v>41</v>
      </c>
      <c r="G7062">
        <v>-224.06899999999999</v>
      </c>
      <c r="H7062">
        <v>1.033965</v>
      </c>
      <c r="I7062">
        <v>-62.706819999999901</v>
      </c>
      <c r="J7062">
        <v>-224.8707</v>
      </c>
      <c r="K7062">
        <v>1.1145069999999999</v>
      </c>
      <c r="L7062">
        <v>-63.24924</v>
      </c>
      <c r="M7062">
        <v>0.99839999999999995</v>
      </c>
      <c r="N7062">
        <v>-1.477204E-2</v>
      </c>
      <c r="O7062">
        <v>5.458263E-2</v>
      </c>
      <c r="P7062">
        <v>0.86786070000000004</v>
      </c>
      <c r="Q7062">
        <v>0.3679711</v>
      </c>
      <c r="R7062">
        <v>0.33378930000000001</v>
      </c>
      <c r="S7062">
        <v>2.9260709999999999</v>
      </c>
      <c r="T7062">
        <v>-0.239538</v>
      </c>
      <c r="U7062">
        <v>1.6479490000000001</v>
      </c>
      <c r="V7062">
        <v>-0.28941739999999999</v>
      </c>
      <c r="W7062">
        <v>0.37834830000000003</v>
      </c>
      <c r="X7062">
        <v>0.87925540000000002</v>
      </c>
      <c r="Y7062">
        <v>-0.44115359999999998</v>
      </c>
      <c r="Z7062">
        <v>1.6894719999999998E-2</v>
      </c>
      <c r="AA7062">
        <v>0.89727259999999998</v>
      </c>
      <c r="AB7062">
        <v>35</v>
      </c>
      <c r="AC7062">
        <v>0.80169999999998198</v>
      </c>
      <c r="AD7062">
        <v>-8.0541999999999794E-2</v>
      </c>
      <c r="AE7062">
        <v>0.54242000000000701</v>
      </c>
      <c r="AF7062">
        <v>-0.49442434952345499</v>
      </c>
      <c r="AG7062">
        <v>-8.0541999999999794E-2</v>
      </c>
      <c r="AH7062">
        <v>0.82440668893116298</v>
      </c>
      <c r="AI7062">
        <v>94.789299373976107</v>
      </c>
      <c r="AJ7062">
        <v>120.952529839541</v>
      </c>
      <c r="AK7062">
        <v>0.96467032706522804</v>
      </c>
      <c r="AL7062">
        <v>67.768589108471204</v>
      </c>
      <c r="AM7062">
        <v>108.219576629721</v>
      </c>
      <c r="AN7062">
        <v>0.99999996298240401</v>
      </c>
    </row>
    <row r="7063" spans="1:40" x14ac:dyDescent="0.25">
      <c r="A7063" t="str">
        <f>"20190304164300625"</f>
        <v>20190304164300625</v>
      </c>
      <c r="B7063" t="str">
        <f>"1551688980618259"</f>
        <v>1551688980618259</v>
      </c>
      <c r="C7063" t="s">
        <v>40</v>
      </c>
      <c r="D7063">
        <v>4.5574399999999997</v>
      </c>
      <c r="E7063">
        <v>0.433089</v>
      </c>
      <c r="F7063" t="s">
        <v>41</v>
      </c>
      <c r="G7063">
        <v>-224.04300000000001</v>
      </c>
      <c r="H7063">
        <v>1.046551</v>
      </c>
      <c r="I7063">
        <v>-62.780340000000002</v>
      </c>
      <c r="J7063">
        <v>-224.7097</v>
      </c>
      <c r="K7063">
        <v>1.114506</v>
      </c>
      <c r="L7063">
        <v>-63.238919999999901</v>
      </c>
      <c r="M7063">
        <v>0.99829789999999996</v>
      </c>
      <c r="N7063">
        <v>-1.477472E-2</v>
      </c>
      <c r="O7063">
        <v>5.6418450000000002E-2</v>
      </c>
      <c r="P7063">
        <v>0.86687179999999997</v>
      </c>
      <c r="Q7063">
        <v>0.36814780000000003</v>
      </c>
      <c r="R7063">
        <v>0.3361555</v>
      </c>
      <c r="S7063">
        <v>2.9217219999999999</v>
      </c>
      <c r="T7063">
        <v>-0.23989079999999999</v>
      </c>
      <c r="U7063">
        <v>1.6555789999999999</v>
      </c>
      <c r="V7063">
        <v>-0.29021190000000002</v>
      </c>
      <c r="W7063">
        <v>0.37851380000000001</v>
      </c>
      <c r="X7063">
        <v>0.87892230000000005</v>
      </c>
      <c r="Y7063">
        <v>-0.4418472</v>
      </c>
      <c r="Z7063">
        <v>1.684333E-2</v>
      </c>
      <c r="AA7063">
        <v>0.89693219999999996</v>
      </c>
      <c r="AB7063">
        <v>35</v>
      </c>
      <c r="AC7063">
        <v>0.66669999999999097</v>
      </c>
      <c r="AD7063">
        <v>-6.7954999999999904E-2</v>
      </c>
      <c r="AE7063">
        <v>0.45857999999999</v>
      </c>
      <c r="AF7063">
        <v>-0.41728819884636997</v>
      </c>
      <c r="AG7063">
        <v>-6.7954999999999904E-2</v>
      </c>
      <c r="AH7063">
        <v>0.68667029489277798</v>
      </c>
      <c r="AI7063">
        <v>94.834090313018393</v>
      </c>
      <c r="AJ7063">
        <v>121.28696844874599</v>
      </c>
      <c r="AK7063">
        <v>0.806389122452419</v>
      </c>
      <c r="AL7063">
        <v>67.758346270343793</v>
      </c>
      <c r="AM7063">
        <v>108.27273858142</v>
      </c>
      <c r="AN7063">
        <v>1.00000002656466</v>
      </c>
    </row>
    <row r="7064" spans="1:40" x14ac:dyDescent="0.25">
      <c r="A7064" t="str">
        <f>"20190304164300634"</f>
        <v>20190304164300634</v>
      </c>
      <c r="B7064" t="str">
        <f>"1551688980628019"</f>
        <v>1551688980628019</v>
      </c>
      <c r="C7064" t="s">
        <v>40</v>
      </c>
      <c r="D7064">
        <v>4.564228</v>
      </c>
      <c r="E7064">
        <v>0.43337239999999999</v>
      </c>
      <c r="F7064" t="s">
        <v>41</v>
      </c>
      <c r="G7064">
        <v>-223.75479999999999</v>
      </c>
      <c r="H7064">
        <v>1.0362359999999999</v>
      </c>
      <c r="I7064">
        <v>-62.695129999999999</v>
      </c>
      <c r="J7064">
        <v>-224.54929999999999</v>
      </c>
      <c r="K7064">
        <v>1.114511</v>
      </c>
      <c r="L7064">
        <v>-63.228180000000002</v>
      </c>
      <c r="M7064">
        <v>0.99819250000000004</v>
      </c>
      <c r="N7064">
        <v>-1.4777139999999999E-2</v>
      </c>
      <c r="O7064">
        <v>5.825375E-2</v>
      </c>
      <c r="P7064">
        <v>0.86602889999999999</v>
      </c>
      <c r="Q7064">
        <v>0.36831269999999999</v>
      </c>
      <c r="R7064">
        <v>0.33814179999999999</v>
      </c>
      <c r="S7064">
        <v>2.917862</v>
      </c>
      <c r="T7064">
        <v>-0.23919109999999999</v>
      </c>
      <c r="U7064">
        <v>1.66189599999999</v>
      </c>
      <c r="V7064">
        <v>-0.29062339999999998</v>
      </c>
      <c r="W7064">
        <v>0.37867089999999998</v>
      </c>
      <c r="X7064">
        <v>0.87871860000000002</v>
      </c>
      <c r="Y7064">
        <v>-0.44218289999999999</v>
      </c>
      <c r="Z7064">
        <v>1.6719620000000001E-2</v>
      </c>
      <c r="AA7064">
        <v>0.89676900000000004</v>
      </c>
      <c r="AB7064">
        <v>35</v>
      </c>
      <c r="AC7064">
        <v>0.79449999999999898</v>
      </c>
      <c r="AD7064">
        <v>-7.8274999999999803E-2</v>
      </c>
      <c r="AE7064">
        <v>0.53304999999999503</v>
      </c>
      <c r="AF7064">
        <v>-0.48262650249022898</v>
      </c>
      <c r="AG7064">
        <v>-7.8274999999999803E-2</v>
      </c>
      <c r="AH7064">
        <v>0.81872596317325497</v>
      </c>
      <c r="AI7064">
        <v>94.708308209926898</v>
      </c>
      <c r="AJ7064">
        <v>120.518702903801</v>
      </c>
      <c r="AK7064">
        <v>0.95360763383318503</v>
      </c>
      <c r="AL7064">
        <v>67.748620453703296</v>
      </c>
      <c r="AM7064">
        <v>108.300882098553</v>
      </c>
      <c r="AN7064">
        <v>0.99999999456016497</v>
      </c>
    </row>
    <row r="7065" spans="1:40" x14ac:dyDescent="0.25">
      <c r="A7065" t="str">
        <f>"20190304164300644"</f>
        <v>20190304164300644</v>
      </c>
      <c r="B7065" t="str">
        <f>"1551688980637778"</f>
        <v>1551688980637778</v>
      </c>
      <c r="C7065" t="s">
        <v>40</v>
      </c>
      <c r="D7065">
        <v>4.5757969999999997</v>
      </c>
      <c r="E7065">
        <v>0.43364819999999998</v>
      </c>
      <c r="F7065" t="s">
        <v>41</v>
      </c>
      <c r="G7065">
        <v>-223.7193</v>
      </c>
      <c r="H7065">
        <v>1.046575</v>
      </c>
      <c r="I7065">
        <v>-62.75338</v>
      </c>
      <c r="J7065">
        <v>-224.40469999999999</v>
      </c>
      <c r="K7065">
        <v>1.114509</v>
      </c>
      <c r="L7065">
        <v>-63.218350000000001</v>
      </c>
      <c r="M7065">
        <v>0.99809429999999999</v>
      </c>
      <c r="N7065">
        <v>-1.4779240000000001E-2</v>
      </c>
      <c r="O7065">
        <v>5.9911270000000003E-2</v>
      </c>
      <c r="P7065">
        <v>0.86516090000000001</v>
      </c>
      <c r="Q7065">
        <v>0.3686624</v>
      </c>
      <c r="R7065">
        <v>0.33997729999999998</v>
      </c>
      <c r="S7065">
        <v>2.9144899999999998</v>
      </c>
      <c r="T7065">
        <v>-0.2385552</v>
      </c>
      <c r="U7065">
        <v>1.66741899999999</v>
      </c>
      <c r="V7065">
        <v>-0.29104590000000002</v>
      </c>
      <c r="W7065">
        <v>0.37901119999999999</v>
      </c>
      <c r="X7065">
        <v>0.87843199999999999</v>
      </c>
      <c r="Y7065">
        <v>-0.44242920000000002</v>
      </c>
      <c r="Z7065">
        <v>1.6605229999999999E-2</v>
      </c>
      <c r="AA7065">
        <v>0.89664969999999999</v>
      </c>
      <c r="AB7065">
        <v>35</v>
      </c>
      <c r="AC7065">
        <v>0.68539999999998702</v>
      </c>
      <c r="AD7065">
        <v>-6.7933999999999897E-2</v>
      </c>
      <c r="AE7065">
        <v>0.464969999999993</v>
      </c>
      <c r="AF7065">
        <v>-0.42023966289356701</v>
      </c>
      <c r="AG7065">
        <v>-6.7933999999999897E-2</v>
      </c>
      <c r="AH7065">
        <v>0.70727020822848696</v>
      </c>
      <c r="AI7065">
        <v>94.720467651117403</v>
      </c>
      <c r="AJ7065">
        <v>120.717566439791</v>
      </c>
      <c r="AK7065">
        <v>0.825498364669771</v>
      </c>
      <c r="AL7065">
        <v>67.7275522606826</v>
      </c>
      <c r="AM7065">
        <v>108.33129015114601</v>
      </c>
      <c r="AN7065">
        <v>0.99999999212812496</v>
      </c>
    </row>
    <row r="7066" spans="1:40" x14ac:dyDescent="0.25">
      <c r="A7066" t="str">
        <f>"20190304164300653"</f>
        <v>20190304164300653</v>
      </c>
      <c r="B7066" t="str">
        <f>"1551688980648516"</f>
        <v>1551688980648516</v>
      </c>
      <c r="C7066" t="s">
        <v>40</v>
      </c>
      <c r="D7066">
        <v>4.5723609999999999</v>
      </c>
      <c r="E7066">
        <v>0.43390499999999999</v>
      </c>
      <c r="F7066" t="s">
        <v>41</v>
      </c>
      <c r="G7066">
        <v>-223.4452</v>
      </c>
      <c r="H7066">
        <v>1.0363230000000001</v>
      </c>
      <c r="I7066">
        <v>-62.667310000000001</v>
      </c>
      <c r="J7066">
        <v>-224.26390000000001</v>
      </c>
      <c r="K7066">
        <v>1.114519</v>
      </c>
      <c r="L7066">
        <v>-63.208440000000003</v>
      </c>
      <c r="M7066">
        <v>0.99799559999999998</v>
      </c>
      <c r="N7066">
        <v>-1.478112E-2</v>
      </c>
      <c r="O7066">
        <v>6.1534999999999999E-2</v>
      </c>
      <c r="P7066">
        <v>0.86441699999999999</v>
      </c>
      <c r="Q7066">
        <v>0.3688206</v>
      </c>
      <c r="R7066">
        <v>0.34169389999999999</v>
      </c>
      <c r="S7066">
        <v>2.9114529999999998</v>
      </c>
      <c r="T7066">
        <v>-0.2372659</v>
      </c>
      <c r="U7066">
        <v>1.672455</v>
      </c>
      <c r="V7066">
        <v>-0.29137390000000002</v>
      </c>
      <c r="W7066">
        <v>0.37916030000000001</v>
      </c>
      <c r="X7066">
        <v>0.87825889999999995</v>
      </c>
      <c r="Y7066">
        <v>-0.44255450000000002</v>
      </c>
      <c r="Z7066">
        <v>1.645367E-2</v>
      </c>
      <c r="AA7066">
        <v>0.89659069999999996</v>
      </c>
      <c r="AB7066">
        <v>35</v>
      </c>
      <c r="AC7066">
        <v>0.81870000000000598</v>
      </c>
      <c r="AD7066">
        <v>-7.8196000000000099E-2</v>
      </c>
      <c r="AE7066">
        <v>0.541130000000002</v>
      </c>
      <c r="AF7066">
        <v>-0.48663050186804102</v>
      </c>
      <c r="AG7066">
        <v>-7.8196000000000099E-2</v>
      </c>
      <c r="AH7066">
        <v>0.84508483517557598</v>
      </c>
      <c r="AI7066">
        <v>94.584519167136605</v>
      </c>
      <c r="AJ7066">
        <v>119.934898155255</v>
      </c>
      <c r="AK7066">
        <v>0.97831091091128697</v>
      </c>
      <c r="AL7066">
        <v>67.718320336768699</v>
      </c>
      <c r="AM7066">
        <v>108.353940025545</v>
      </c>
      <c r="AN7066">
        <v>0.99999998906325405</v>
      </c>
    </row>
    <row r="7067" spans="1:40" x14ac:dyDescent="0.25">
      <c r="A7067" t="str">
        <f>"20190304164300663"</f>
        <v>20190304164300663</v>
      </c>
      <c r="B7067" t="str">
        <f>"1551688980658275"</f>
        <v>1551688980658275</v>
      </c>
      <c r="C7067" t="s">
        <v>40</v>
      </c>
      <c r="D7067">
        <v>4.5714129999999997</v>
      </c>
      <c r="E7067">
        <v>0.43418659999999998</v>
      </c>
      <c r="F7067" t="s">
        <v>41</v>
      </c>
      <c r="G7067">
        <v>-223.42840000000001</v>
      </c>
      <c r="H7067">
        <v>1.0464420000000001</v>
      </c>
      <c r="I7067">
        <v>-62.726909999999997</v>
      </c>
      <c r="J7067">
        <v>-224.10820000000001</v>
      </c>
      <c r="K7067">
        <v>1.114527</v>
      </c>
      <c r="L7067">
        <v>-63.197360000000003</v>
      </c>
      <c r="M7067">
        <v>0.99788299999999996</v>
      </c>
      <c r="N7067">
        <v>-1.478316E-2</v>
      </c>
      <c r="O7067">
        <v>6.3332719999999995E-2</v>
      </c>
      <c r="P7067">
        <v>0.86361769999999904</v>
      </c>
      <c r="Q7067">
        <v>0.36927599999999999</v>
      </c>
      <c r="R7067">
        <v>0.34322000000000003</v>
      </c>
      <c r="S7067">
        <v>2.908798</v>
      </c>
      <c r="T7067">
        <v>-0.23703650000000001</v>
      </c>
      <c r="U7067">
        <v>1.6769099999999999</v>
      </c>
      <c r="V7067">
        <v>-0.29136699999999999</v>
      </c>
      <c r="W7067">
        <v>0.37960949999999999</v>
      </c>
      <c r="X7067">
        <v>0.87806709999999999</v>
      </c>
      <c r="Y7067">
        <v>-0.4423301</v>
      </c>
      <c r="Z7067">
        <v>1.6329139999999999E-2</v>
      </c>
      <c r="AA7067">
        <v>0.89670369999999999</v>
      </c>
      <c r="AB7067">
        <v>35</v>
      </c>
      <c r="AC7067">
        <v>0.67979999999999996</v>
      </c>
      <c r="AD7067">
        <v>-6.8084999999999896E-2</v>
      </c>
      <c r="AE7067">
        <v>0.47044999999999898</v>
      </c>
      <c r="AF7067">
        <v>-0.42357413471687</v>
      </c>
      <c r="AG7067">
        <v>-6.8084999999999896E-2</v>
      </c>
      <c r="AH7067">
        <v>0.70346182413951697</v>
      </c>
      <c r="AI7067">
        <v>94.7398402964577</v>
      </c>
      <c r="AJ7067">
        <v>121.053327806615</v>
      </c>
      <c r="AK7067">
        <v>0.82395943640924596</v>
      </c>
      <c r="AL7067">
        <v>67.690502924998597</v>
      </c>
      <c r="AM7067">
        <v>108.357274802487</v>
      </c>
      <c r="AN7067">
        <v>0.99999996664082902</v>
      </c>
    </row>
    <row r="7068" spans="1:40" x14ac:dyDescent="0.25">
      <c r="A7068" t="str">
        <f>"20190304164300674"</f>
        <v>20190304164300674</v>
      </c>
      <c r="B7068" t="str">
        <f>"1551688980668036"</f>
        <v>1551688980668036</v>
      </c>
      <c r="C7068" t="s">
        <v>40</v>
      </c>
      <c r="D7068">
        <v>4.5866429999999996</v>
      </c>
      <c r="E7068">
        <v>0.43446689999999999</v>
      </c>
      <c r="F7068" t="s">
        <v>41</v>
      </c>
      <c r="G7068">
        <v>-223.137</v>
      </c>
      <c r="H7068">
        <v>1.0358620000000001</v>
      </c>
      <c r="I7068">
        <v>-62.635429999999999</v>
      </c>
      <c r="J7068">
        <v>-223.93180000000001</v>
      </c>
      <c r="K7068">
        <v>1.1145370000000001</v>
      </c>
      <c r="L7068">
        <v>-63.184269999999998</v>
      </c>
      <c r="M7068">
        <v>0.99775060000000004</v>
      </c>
      <c r="N7068">
        <v>-1.4785329999999999E-2</v>
      </c>
      <c r="O7068">
        <v>6.5386760000000002E-2</v>
      </c>
      <c r="P7068">
        <v>0.86287789999999998</v>
      </c>
      <c r="Q7068">
        <v>0.36959259999999999</v>
      </c>
      <c r="R7068">
        <v>0.3447364</v>
      </c>
      <c r="S7068">
        <v>2.9061129999999999</v>
      </c>
      <c r="T7068">
        <v>-0.23540349999999999</v>
      </c>
      <c r="U7068">
        <v>1.68151899999999</v>
      </c>
      <c r="V7068">
        <v>-0.29112379999999999</v>
      </c>
      <c r="W7068">
        <v>0.37991999999999998</v>
      </c>
      <c r="X7068">
        <v>0.87801359999999995</v>
      </c>
      <c r="Y7068">
        <v>-0.4419285</v>
      </c>
      <c r="Z7068">
        <v>1.6111500000000001E-2</v>
      </c>
      <c r="AA7068">
        <v>0.89690550000000002</v>
      </c>
      <c r="AB7068">
        <v>35</v>
      </c>
      <c r="AC7068">
        <v>0.79480000000000905</v>
      </c>
      <c r="AD7068">
        <v>-7.8674999999999995E-2</v>
      </c>
      <c r="AE7068">
        <v>0.548839999999991</v>
      </c>
      <c r="AF7068">
        <v>-0.492423058279927</v>
      </c>
      <c r="AG7068">
        <v>-7.8674999999999995E-2</v>
      </c>
      <c r="AH7068">
        <v>0.82352566881831402</v>
      </c>
      <c r="AI7068">
        <v>94.687440527630599</v>
      </c>
      <c r="AJ7068">
        <v>120.877102542644</v>
      </c>
      <c r="AK7068">
        <v>0.96273815295406695</v>
      </c>
      <c r="AL7068">
        <v>67.671274462287499</v>
      </c>
      <c r="AM7068">
        <v>108.34402120662099</v>
      </c>
      <c r="AN7068">
        <v>1.0000000775556901</v>
      </c>
    </row>
    <row r="7069" spans="1:40" x14ac:dyDescent="0.25">
      <c r="A7069" t="str">
        <f>"20190304164300685"</f>
        <v>20190304164300685</v>
      </c>
      <c r="B7069" t="str">
        <f>"1551688980677794"</f>
        <v>1551688980677794</v>
      </c>
      <c r="C7069" t="s">
        <v>40</v>
      </c>
      <c r="D7069">
        <v>4.5172030000000003</v>
      </c>
      <c r="E7069">
        <v>0.43479509999999999</v>
      </c>
      <c r="F7069" t="s">
        <v>41</v>
      </c>
      <c r="G7069">
        <v>-223.10720000000001</v>
      </c>
      <c r="H7069">
        <v>1.04799</v>
      </c>
      <c r="I7069">
        <v>-62.70543</v>
      </c>
      <c r="J7069">
        <v>-223.7681</v>
      </c>
      <c r="K7069">
        <v>1.114554</v>
      </c>
      <c r="L7069">
        <v>-63.171909999999997</v>
      </c>
      <c r="M7069">
        <v>0.99762320000000004</v>
      </c>
      <c r="N7069">
        <v>-1.478728E-2</v>
      </c>
      <c r="O7069">
        <v>6.7301169999999993E-2</v>
      </c>
      <c r="P7069">
        <v>0.862093199999999</v>
      </c>
      <c r="Q7069">
        <v>0.37002859999999999</v>
      </c>
      <c r="R7069">
        <v>0.34622900000000001</v>
      </c>
      <c r="S7069">
        <v>2.9034879999999998</v>
      </c>
      <c r="T7069">
        <v>-0.23432169999999999</v>
      </c>
      <c r="U7069">
        <v>1.686005</v>
      </c>
      <c r="V7069">
        <v>-0.29098629999999998</v>
      </c>
      <c r="W7069">
        <v>0.38034820000000003</v>
      </c>
      <c r="X7069">
        <v>0.87787369999999898</v>
      </c>
      <c r="Y7069">
        <v>-0.4416099</v>
      </c>
      <c r="Z7069">
        <v>1.593493E-2</v>
      </c>
      <c r="AA7069">
        <v>0.89706559999999902</v>
      </c>
      <c r="AB7069">
        <v>35</v>
      </c>
      <c r="AC7069">
        <v>0.66089999999999705</v>
      </c>
      <c r="AD7069">
        <v>-6.6563999999999998E-2</v>
      </c>
      <c r="AE7069">
        <v>0.46647999999999001</v>
      </c>
      <c r="AF7069">
        <v>-0.41810699506974403</v>
      </c>
      <c r="AG7069">
        <v>-6.6563999999999998E-2</v>
      </c>
      <c r="AH7069">
        <v>0.68615348343134897</v>
      </c>
      <c r="AI7069">
        <v>94.735686937686296</v>
      </c>
      <c r="AJ7069">
        <v>121.356002322893</v>
      </c>
      <c r="AK7069">
        <v>0.80625729655441003</v>
      </c>
      <c r="AL7069">
        <v>67.644747524254598</v>
      </c>
      <c r="AM7069">
        <v>108.338663409684</v>
      </c>
      <c r="AN7069">
        <v>1.0000000065913099</v>
      </c>
    </row>
    <row r="7070" spans="1:40" x14ac:dyDescent="0.25">
      <c r="A7070" t="str">
        <f>"20190304164300695"</f>
        <v>20190304164300695</v>
      </c>
      <c r="B7070" t="str">
        <f>"1551688980688531"</f>
        <v>1551688980688531</v>
      </c>
      <c r="C7070" t="s">
        <v>40</v>
      </c>
      <c r="D7070">
        <v>4.5390180000000004</v>
      </c>
      <c r="E7070">
        <v>0.43511689999999997</v>
      </c>
      <c r="F7070" t="s">
        <v>41</v>
      </c>
      <c r="G7070">
        <v>-222.8237</v>
      </c>
      <c r="H7070">
        <v>1.0389090000000001</v>
      </c>
      <c r="I7070">
        <v>-62.621769999999998</v>
      </c>
      <c r="J7070">
        <v>-223.5976</v>
      </c>
      <c r="K7070">
        <v>1.114574</v>
      </c>
      <c r="L7070">
        <v>-63.158569999999997</v>
      </c>
      <c r="M7070">
        <v>0.99748530000000002</v>
      </c>
      <c r="N7070">
        <v>-1.4789210000000001E-2</v>
      </c>
      <c r="O7070">
        <v>6.9312509999999994E-2</v>
      </c>
      <c r="P7070">
        <v>0.86133349999999897</v>
      </c>
      <c r="Q7070">
        <v>0.37032730000000003</v>
      </c>
      <c r="R7070">
        <v>0.34779589999999999</v>
      </c>
      <c r="S7070">
        <v>2.9008180000000001</v>
      </c>
      <c r="T7070">
        <v>-0.23235710000000001</v>
      </c>
      <c r="U7070">
        <v>1.6902159999999999</v>
      </c>
      <c r="V7070">
        <v>-0.29083799999999999</v>
      </c>
      <c r="W7070">
        <v>0.38063760000000002</v>
      </c>
      <c r="X7070">
        <v>0.87779739999999995</v>
      </c>
      <c r="Y7070">
        <v>-0.44115490000000002</v>
      </c>
      <c r="Z7070">
        <v>1.5705400000000001E-2</v>
      </c>
      <c r="AA7070">
        <v>0.89729360000000002</v>
      </c>
      <c r="AB7070">
        <v>35</v>
      </c>
      <c r="AC7070">
        <v>0.77389999999999703</v>
      </c>
      <c r="AD7070">
        <v>-7.5664999999999802E-2</v>
      </c>
      <c r="AE7070">
        <v>0.53679999999999894</v>
      </c>
      <c r="AF7070">
        <v>-0.47877189100475498</v>
      </c>
      <c r="AG7070">
        <v>-7.5664999999999802E-2</v>
      </c>
      <c r="AH7070">
        <v>0.80405997722135603</v>
      </c>
      <c r="AI7070">
        <v>94.622613470370595</v>
      </c>
      <c r="AJ7070">
        <v>120.771387831263</v>
      </c>
      <c r="AK7070">
        <v>0.93886109878430701</v>
      </c>
      <c r="AL7070">
        <v>67.626817345183795</v>
      </c>
      <c r="AM7070">
        <v>108.331428863349</v>
      </c>
      <c r="AN7070">
        <v>1.00000000011226</v>
      </c>
    </row>
    <row r="7071" spans="1:40" x14ac:dyDescent="0.25">
      <c r="A7071" t="str">
        <f>"20190304164300707"</f>
        <v>20190304164300707</v>
      </c>
      <c r="B7071" t="str">
        <f>"1551688980697823"</f>
        <v>1551688980697823</v>
      </c>
      <c r="C7071" t="s">
        <v>40</v>
      </c>
      <c r="D7071">
        <v>4.5559690000000002</v>
      </c>
      <c r="E7071">
        <v>0.43542639999999999</v>
      </c>
      <c r="F7071" t="s">
        <v>41</v>
      </c>
      <c r="G7071">
        <v>-222.75550000000001</v>
      </c>
      <c r="H7071">
        <v>1.047436</v>
      </c>
      <c r="I7071">
        <v>-62.666359999999997</v>
      </c>
      <c r="J7071">
        <v>-223.42580000000001</v>
      </c>
      <c r="K7071">
        <v>1.1145940000000001</v>
      </c>
      <c r="L7071">
        <v>-63.14481</v>
      </c>
      <c r="M7071">
        <v>0.99734160000000005</v>
      </c>
      <c r="N7071">
        <v>-1.479108E-2</v>
      </c>
      <c r="O7071">
        <v>7.1351269999999994E-2</v>
      </c>
      <c r="P7071">
        <v>0.86047830000000003</v>
      </c>
      <c r="Q7071">
        <v>0.37067220000000001</v>
      </c>
      <c r="R7071">
        <v>0.34954170000000001</v>
      </c>
      <c r="S7071">
        <v>2.8980869999999999</v>
      </c>
      <c r="T7071">
        <v>-0.231075</v>
      </c>
      <c r="U7071">
        <v>1.694458</v>
      </c>
      <c r="V7071">
        <v>-0.290854</v>
      </c>
      <c r="W7071">
        <v>0.38096950000000002</v>
      </c>
      <c r="X7071">
        <v>0.87764809999999904</v>
      </c>
      <c r="Y7071">
        <v>-0.44068410000000002</v>
      </c>
      <c r="Z7071">
        <v>1.55088E-2</v>
      </c>
      <c r="AA7071">
        <v>0.89752829999999995</v>
      </c>
      <c r="AB7071">
        <v>35</v>
      </c>
      <c r="AC7071">
        <v>0.67029999999999701</v>
      </c>
      <c r="AD7071">
        <v>-6.7157999999999995E-2</v>
      </c>
      <c r="AE7071">
        <v>0.47845000000000198</v>
      </c>
      <c r="AF7071">
        <v>-0.42656162493807498</v>
      </c>
      <c r="AG7071">
        <v>-6.7157999999999995E-2</v>
      </c>
      <c r="AH7071">
        <v>0.69809058654665801</v>
      </c>
      <c r="AI7071">
        <v>94.6929079927435</v>
      </c>
      <c r="AJ7071">
        <v>121.42662010788401</v>
      </c>
      <c r="AK7071">
        <v>0.82085046376235304</v>
      </c>
      <c r="AL7071">
        <v>67.606251309002801</v>
      </c>
      <c r="AM7071">
        <v>108.33527991955</v>
      </c>
      <c r="AN7071">
        <v>0.99999999833992903</v>
      </c>
    </row>
    <row r="7072" spans="1:40" x14ac:dyDescent="0.25">
      <c r="A7072" t="str">
        <f>"20190304164300718"</f>
        <v>20190304164300718</v>
      </c>
      <c r="B7072" t="str">
        <f>"1551688980708559"</f>
        <v>1551688980708559</v>
      </c>
      <c r="C7072" t="s">
        <v>40</v>
      </c>
      <c r="D7072">
        <v>4.5845070000000003</v>
      </c>
      <c r="E7072">
        <v>0.43569649999999999</v>
      </c>
      <c r="F7072" t="s">
        <v>41</v>
      </c>
      <c r="G7072">
        <v>-222.51060000000001</v>
      </c>
      <c r="H7072">
        <v>1.0419700000000001</v>
      </c>
      <c r="I7072">
        <v>-62.607719999999901</v>
      </c>
      <c r="J7072">
        <v>-223.2527</v>
      </c>
      <c r="K7072">
        <v>1.114619</v>
      </c>
      <c r="L7072">
        <v>-63.130650000000003</v>
      </c>
      <c r="M7072">
        <v>0.99719150000000001</v>
      </c>
      <c r="N7072">
        <v>-1.4792899999999999E-2</v>
      </c>
      <c r="O7072">
        <v>7.3418949999999997E-2</v>
      </c>
      <c r="P7072">
        <v>0.85963349999999905</v>
      </c>
      <c r="Q7072">
        <v>0.37104500000000001</v>
      </c>
      <c r="R7072">
        <v>0.35122039999999999</v>
      </c>
      <c r="S7072">
        <v>2.895203</v>
      </c>
      <c r="T7072">
        <v>-0.22975770000000001</v>
      </c>
      <c r="U7072">
        <v>1.699036</v>
      </c>
      <c r="V7072">
        <v>-0.29077969999999997</v>
      </c>
      <c r="W7072">
        <v>0.38132929999999998</v>
      </c>
      <c r="X7072">
        <v>0.87751639999999997</v>
      </c>
      <c r="Y7072">
        <v>-0.44028509999999998</v>
      </c>
      <c r="Z7072">
        <v>1.531398E-2</v>
      </c>
      <c r="AA7072">
        <v>0.89772739999999995</v>
      </c>
      <c r="AB7072">
        <v>35</v>
      </c>
      <c r="AC7072">
        <v>0.74209999999999299</v>
      </c>
      <c r="AD7072">
        <v>-7.2648999999999894E-2</v>
      </c>
      <c r="AE7072">
        <v>0.522930000000009</v>
      </c>
      <c r="AF7072">
        <v>-0.46405647335630301</v>
      </c>
      <c r="AG7072">
        <v>-7.2648999999999894E-2</v>
      </c>
      <c r="AH7072">
        <v>0.773540281994745</v>
      </c>
      <c r="AI7072">
        <v>94.604477039904296</v>
      </c>
      <c r="AJ7072">
        <v>120.960069477701</v>
      </c>
      <c r="AK7072">
        <v>0.90498113545719805</v>
      </c>
      <c r="AL7072">
        <v>67.583951942544701</v>
      </c>
      <c r="AM7072">
        <v>108.333476446982</v>
      </c>
      <c r="AN7072">
        <v>0.99999995061976799</v>
      </c>
    </row>
    <row r="7073" spans="1:40" x14ac:dyDescent="0.25">
      <c r="A7073" t="str">
        <f>"20190304164300730"</f>
        <v>20190304164300730</v>
      </c>
      <c r="B7073" t="str">
        <f>"1551688980718318"</f>
        <v>1551688980718318</v>
      </c>
      <c r="C7073" t="s">
        <v>40</v>
      </c>
      <c r="D7073">
        <v>4.5484640000000001</v>
      </c>
      <c r="E7073">
        <v>0.43601849999999998</v>
      </c>
      <c r="F7073" t="s">
        <v>57</v>
      </c>
      <c r="G7073">
        <v>-209.14920000000001</v>
      </c>
      <c r="H7073" s="1">
        <v>-1.9914609999999999E-6</v>
      </c>
      <c r="I7073">
        <v>-54.824890000000003</v>
      </c>
      <c r="J7073">
        <v>-223.07939999999999</v>
      </c>
      <c r="K7073">
        <v>1.1146419999999999</v>
      </c>
      <c r="L7073">
        <v>-63.115969999999997</v>
      </c>
      <c r="M7073">
        <v>0.99703529999999996</v>
      </c>
      <c r="N7073">
        <v>-1.4794649999999999E-2</v>
      </c>
      <c r="O7073">
        <v>7.5509770000000004E-2</v>
      </c>
      <c r="P7073">
        <v>0.858815</v>
      </c>
      <c r="Q7073">
        <v>0.37121949999999998</v>
      </c>
      <c r="R7073">
        <v>0.35303400000000001</v>
      </c>
      <c r="S7073">
        <v>2.8925480000000001</v>
      </c>
      <c r="T7073">
        <v>-0.2286019</v>
      </c>
      <c r="U7073">
        <v>1.7034609999999999</v>
      </c>
      <c r="V7073">
        <v>-0.29081839999999998</v>
      </c>
      <c r="W7073">
        <v>0.38148919999999997</v>
      </c>
      <c r="X7073">
        <v>0.87743409999999999</v>
      </c>
      <c r="Y7073">
        <v>-0.4397974</v>
      </c>
      <c r="Z7073">
        <v>1.512238E-2</v>
      </c>
      <c r="AA7073">
        <v>0.89796969999999998</v>
      </c>
      <c r="AB7073">
        <v>35</v>
      </c>
      <c r="AC7073">
        <v>13.9301999999999</v>
      </c>
      <c r="AD7073">
        <v>-1.114643991461</v>
      </c>
      <c r="AE7073">
        <v>8.2910799999999902</v>
      </c>
      <c r="AF7073">
        <v>-7.1814703735021403</v>
      </c>
      <c r="AG7073">
        <v>-1.114643991461</v>
      </c>
      <c r="AH7073">
        <v>14.4482390590275</v>
      </c>
      <c r="AI7073">
        <v>93.951948569056597</v>
      </c>
      <c r="AJ7073">
        <v>116.429588259238</v>
      </c>
      <c r="AK7073">
        <v>16.173050419138502</v>
      </c>
      <c r="AL7073">
        <v>67.574041745829405</v>
      </c>
      <c r="AM7073">
        <v>108.33735802527001</v>
      </c>
      <c r="AN7073">
        <v>0.999999975669004</v>
      </c>
    </row>
    <row r="7074" spans="1:40" x14ac:dyDescent="0.25">
      <c r="A7074" t="str">
        <f>"20190304164300740"</f>
        <v>20190304164300740</v>
      </c>
      <c r="B7074" t="str">
        <f>"1551688980728078"</f>
        <v>1551688980728078</v>
      </c>
      <c r="C7074" t="s">
        <v>40</v>
      </c>
      <c r="D7074">
        <v>4.5705489999999998</v>
      </c>
      <c r="E7074">
        <v>0.43630219999999997</v>
      </c>
      <c r="F7074" t="s">
        <v>41</v>
      </c>
      <c r="G7074">
        <v>-222.19720000000001</v>
      </c>
      <c r="H7074">
        <v>1.0449109999999999</v>
      </c>
      <c r="I7074">
        <v>-62.594920000000002</v>
      </c>
      <c r="J7074">
        <v>-222.90090000000001</v>
      </c>
      <c r="K7074">
        <v>1.114676</v>
      </c>
      <c r="L7074">
        <v>-63.1006199999999</v>
      </c>
      <c r="M7074">
        <v>0.99686900000000001</v>
      </c>
      <c r="N7074">
        <v>-1.479634E-2</v>
      </c>
      <c r="O7074">
        <v>7.7673259999999994E-2</v>
      </c>
      <c r="P7074">
        <v>0.85802979999999995</v>
      </c>
      <c r="Q7074">
        <v>0.37128689999999998</v>
      </c>
      <c r="R7074">
        <v>0.3548673</v>
      </c>
      <c r="S7074">
        <v>2.8901370000000002</v>
      </c>
      <c r="T7074">
        <v>-0.2284477</v>
      </c>
      <c r="U7074">
        <v>1.7072750000000001</v>
      </c>
      <c r="V7074">
        <v>-0.2908115</v>
      </c>
      <c r="W7074">
        <v>0.38154260000000001</v>
      </c>
      <c r="X7074">
        <v>0.8774132</v>
      </c>
      <c r="Y7074">
        <v>-0.43906240000000002</v>
      </c>
      <c r="Z7074">
        <v>1.496228E-2</v>
      </c>
      <c r="AA7074">
        <v>0.89833189999999996</v>
      </c>
      <c r="AB7074">
        <v>35</v>
      </c>
      <c r="AC7074">
        <v>0.70369999999999699</v>
      </c>
      <c r="AD7074">
        <v>-6.9764999999999799E-2</v>
      </c>
      <c r="AE7074">
        <v>0.50569999999999704</v>
      </c>
      <c r="AF7074">
        <v>-0.4466124828236</v>
      </c>
      <c r="AG7074">
        <v>-6.9764999999999799E-2</v>
      </c>
      <c r="AH7074">
        <v>0.73608626420890999</v>
      </c>
      <c r="AI7074">
        <v>94.632544638030296</v>
      </c>
      <c r="AJ7074">
        <v>121.246835253535</v>
      </c>
      <c r="AK7074">
        <v>0.86380139696338198</v>
      </c>
      <c r="AL7074">
        <v>67.570732460140405</v>
      </c>
      <c r="AM7074">
        <v>108.337359621826</v>
      </c>
      <c r="AN7074">
        <v>1.00000000384062</v>
      </c>
    </row>
    <row r="7075" spans="1:40" x14ac:dyDescent="0.25">
      <c r="A7075" t="str">
        <f>"20190304164300752"</f>
        <v>20190304164300752</v>
      </c>
      <c r="B7075" t="str">
        <f>"1551688980748575"</f>
        <v>1551688980748575</v>
      </c>
      <c r="C7075" t="s">
        <v>40</v>
      </c>
      <c r="D7075">
        <v>4.6102829999999999</v>
      </c>
      <c r="E7075">
        <v>0.43687209999999899</v>
      </c>
      <c r="F7075" t="s">
        <v>57</v>
      </c>
      <c r="G7075">
        <v>-208.827</v>
      </c>
      <c r="H7075" s="1">
        <v>-2.2135000000000001E-6</v>
      </c>
      <c r="I7075">
        <v>-54.760019999999997</v>
      </c>
      <c r="J7075">
        <v>-222.72540000000001</v>
      </c>
      <c r="K7075">
        <v>1.1147</v>
      </c>
      <c r="L7075">
        <v>-63.084899999999998</v>
      </c>
      <c r="M7075">
        <v>0.99669890000000005</v>
      </c>
      <c r="N7075">
        <v>-1.4797899999999999E-2</v>
      </c>
      <c r="O7075">
        <v>7.9827980000000007E-2</v>
      </c>
      <c r="P7075">
        <v>0.85712140000000003</v>
      </c>
      <c r="Q7075">
        <v>0.37151509999999999</v>
      </c>
      <c r="R7075">
        <v>0.35681849999999998</v>
      </c>
      <c r="S7075">
        <v>2.8875890000000002</v>
      </c>
      <c r="T7075">
        <v>-0.22870280000000001</v>
      </c>
      <c r="U7075">
        <v>1.711273</v>
      </c>
      <c r="V7075">
        <v>-0.29094179999999997</v>
      </c>
      <c r="W7075">
        <v>0.38175330000000002</v>
      </c>
      <c r="X7075">
        <v>0.87727840000000001</v>
      </c>
      <c r="Y7075">
        <v>-0.4383919</v>
      </c>
      <c r="Z7075">
        <v>1.4824260000000001E-2</v>
      </c>
      <c r="AA7075">
        <v>0.89866170000000001</v>
      </c>
      <c r="AB7075">
        <v>35</v>
      </c>
      <c r="AC7075">
        <v>13.898400000000001</v>
      </c>
      <c r="AD7075">
        <v>-1.1147022135</v>
      </c>
      <c r="AE7075">
        <v>8.3248800000000003</v>
      </c>
      <c r="AF7075">
        <v>-7.1548321658034499</v>
      </c>
      <c r="AG7075">
        <v>-1.1147022135</v>
      </c>
      <c r="AH7075">
        <v>14.450257463933101</v>
      </c>
      <c r="AI7075">
        <v>93.954604949276998</v>
      </c>
      <c r="AJ7075">
        <v>116.34163487595001</v>
      </c>
      <c r="AK7075">
        <v>16.1630481382551</v>
      </c>
      <c r="AL7075">
        <v>67.557672777990305</v>
      </c>
      <c r="AM7075">
        <v>108.347655844784</v>
      </c>
      <c r="AN7075">
        <v>1.00000005207734</v>
      </c>
    </row>
    <row r="7076" spans="1:40" x14ac:dyDescent="0.25">
      <c r="A7076" t="str">
        <f>"20190304164300764"</f>
        <v>20190304164300764</v>
      </c>
      <c r="B7076" t="str">
        <f>"1551688980758334"</f>
        <v>1551688980758334</v>
      </c>
      <c r="C7076" t="s">
        <v>40</v>
      </c>
      <c r="D7076">
        <v>4.6181640000000002</v>
      </c>
      <c r="E7076">
        <v>0.43715359999999998</v>
      </c>
      <c r="F7076" t="s">
        <v>41</v>
      </c>
      <c r="G7076">
        <v>-221.88290000000001</v>
      </c>
      <c r="H7076">
        <v>1.0479620000000001</v>
      </c>
      <c r="I7076">
        <v>-62.584859999999999</v>
      </c>
      <c r="J7076">
        <v>-222.5506</v>
      </c>
      <c r="K7076">
        <v>1.114722</v>
      </c>
      <c r="L7076">
        <v>-63.06906</v>
      </c>
      <c r="M7076">
        <v>0.99652399999999997</v>
      </c>
      <c r="N7076">
        <v>-1.4799339999999999E-2</v>
      </c>
      <c r="O7076">
        <v>8.1981689999999996E-2</v>
      </c>
      <c r="P7076">
        <v>0.85619269999999903</v>
      </c>
      <c r="Q7076">
        <v>0.37173580000000001</v>
      </c>
      <c r="R7076">
        <v>0.3588131</v>
      </c>
      <c r="S7076">
        <v>2.886063</v>
      </c>
      <c r="T7076">
        <v>-0.22862209999999999</v>
      </c>
      <c r="U7076">
        <v>1.712982</v>
      </c>
      <c r="V7076">
        <v>-0.29112080000000001</v>
      </c>
      <c r="W7076">
        <v>0.3819555</v>
      </c>
      <c r="X7076">
        <v>0.87713090000000005</v>
      </c>
      <c r="Y7076">
        <v>-0.43705959999999999</v>
      </c>
      <c r="Z7076">
        <v>1.4639879999999999E-2</v>
      </c>
      <c r="AA7076">
        <v>0.89931340000000004</v>
      </c>
      <c r="AB7076">
        <v>35</v>
      </c>
      <c r="AC7076">
        <v>0.66769999999999596</v>
      </c>
      <c r="AD7076">
        <v>-6.6759999999999903E-2</v>
      </c>
      <c r="AE7076">
        <v>0.48420000000000102</v>
      </c>
      <c r="AF7076">
        <v>-0.42503987395941101</v>
      </c>
      <c r="AG7076">
        <v>-6.6759999999999903E-2</v>
      </c>
      <c r="AH7076">
        <v>0.70056197526431196</v>
      </c>
      <c r="AI7076">
        <v>94.657740206029501</v>
      </c>
      <c r="AJ7076">
        <v>121.24572181177901</v>
      </c>
      <c r="AK7076">
        <v>0.822133123795451</v>
      </c>
      <c r="AL7076">
        <v>67.545135750015604</v>
      </c>
      <c r="AM7076">
        <v>108.361067547293</v>
      </c>
      <c r="AN7076">
        <v>0.99999996995384899</v>
      </c>
    </row>
    <row r="7077" spans="1:40" x14ac:dyDescent="0.25">
      <c r="A7077" t="str">
        <f>"20190304164300774"</f>
        <v>20190304164300774</v>
      </c>
      <c r="B7077" t="str">
        <f>"1551688980768094"</f>
        <v>1551688980768094</v>
      </c>
      <c r="C7077" t="s">
        <v>40</v>
      </c>
      <c r="D7077">
        <v>4.6228400000000001</v>
      </c>
      <c r="E7077">
        <v>0.43743070000000001</v>
      </c>
      <c r="F7077" t="s">
        <v>41</v>
      </c>
      <c r="G7077">
        <v>-221.59209999999999</v>
      </c>
      <c r="H7077">
        <v>1.0389219999999999</v>
      </c>
      <c r="I7077">
        <v>-62.498440000000002</v>
      </c>
      <c r="J7077">
        <v>-222.3657</v>
      </c>
      <c r="K7077">
        <v>1.114744</v>
      </c>
      <c r="L7077">
        <v>-63.051699999999997</v>
      </c>
      <c r="M7077">
        <v>0.99633159999999998</v>
      </c>
      <c r="N7077">
        <v>-1.480076E-2</v>
      </c>
      <c r="O7077">
        <v>8.428679E-2</v>
      </c>
      <c r="P7077">
        <v>0.85530949999999994</v>
      </c>
      <c r="Q7077">
        <v>0.3720039</v>
      </c>
      <c r="R7077">
        <v>0.36063630000000002</v>
      </c>
      <c r="S7077">
        <v>2.8833160000000002</v>
      </c>
      <c r="T7077">
        <v>-0.22803780000000001</v>
      </c>
      <c r="U7077">
        <v>1.7170719999999999</v>
      </c>
      <c r="V7077">
        <v>-0.29099330000000001</v>
      </c>
      <c r="W7077">
        <v>0.38220900000000002</v>
      </c>
      <c r="X7077">
        <v>0.87706289999999998</v>
      </c>
      <c r="Y7077">
        <v>-0.43630790000000003</v>
      </c>
      <c r="Z7077">
        <v>1.4453189999999999E-2</v>
      </c>
      <c r="AA7077">
        <v>0.89968130000000002</v>
      </c>
      <c r="AB7077">
        <v>35</v>
      </c>
      <c r="AC7077">
        <v>0.77360000000001505</v>
      </c>
      <c r="AD7077">
        <v>-7.5822000000000001E-2</v>
      </c>
      <c r="AE7077">
        <v>0.55325999999999398</v>
      </c>
      <c r="AF7077">
        <v>-0.48300959523443698</v>
      </c>
      <c r="AG7077">
        <v>-7.5822000000000001E-2</v>
      </c>
      <c r="AH7077">
        <v>0.81232140194180602</v>
      </c>
      <c r="AI7077">
        <v>94.586939090366798</v>
      </c>
      <c r="AJ7077">
        <v>120.735887936129</v>
      </c>
      <c r="AK7077">
        <v>0.94811038641354195</v>
      </c>
      <c r="AL7077">
        <v>67.529421297640994</v>
      </c>
      <c r="AM7077">
        <v>108.3548927157</v>
      </c>
      <c r="AN7077">
        <v>1.00000007544114</v>
      </c>
    </row>
    <row r="7078" spans="1:40" x14ac:dyDescent="0.25">
      <c r="A7078" t="str">
        <f>"20190304164300786"</f>
        <v>20190304164300786</v>
      </c>
      <c r="B7078" t="str">
        <f>"1551688980777854"</f>
        <v>1551688980777854</v>
      </c>
      <c r="C7078" t="s">
        <v>40</v>
      </c>
      <c r="D7078">
        <v>4.6273489999999997</v>
      </c>
      <c r="E7078">
        <v>0.43762630000000002</v>
      </c>
      <c r="F7078" t="s">
        <v>41</v>
      </c>
      <c r="G7078">
        <v>-221.51580000000001</v>
      </c>
      <c r="H7078">
        <v>1.047742</v>
      </c>
      <c r="I7078">
        <v>-62.543930000000003</v>
      </c>
      <c r="J7078">
        <v>-222.2003</v>
      </c>
      <c r="K7078">
        <v>1.1147640000000001</v>
      </c>
      <c r="L7078">
        <v>-63.035890000000002</v>
      </c>
      <c r="M7078">
        <v>0.99615419999999999</v>
      </c>
      <c r="N7078">
        <v>-1.480191E-2</v>
      </c>
      <c r="O7078">
        <v>8.6357400000000001E-2</v>
      </c>
      <c r="P7078">
        <v>0.85438819999999904</v>
      </c>
      <c r="Q7078">
        <v>0.37246050000000003</v>
      </c>
      <c r="R7078">
        <v>0.36234549999999999</v>
      </c>
      <c r="S7078">
        <v>2.8804470000000002</v>
      </c>
      <c r="T7078">
        <v>-0.22709940000000001</v>
      </c>
      <c r="U7078">
        <v>1.7214970000000001</v>
      </c>
      <c r="V7078">
        <v>-0.29096379999999999</v>
      </c>
      <c r="W7078">
        <v>0.38264999999999999</v>
      </c>
      <c r="X7078">
        <v>0.87688029999999995</v>
      </c>
      <c r="Y7078">
        <v>-0.43586330000000001</v>
      </c>
      <c r="Z7078">
        <v>1.427967E-2</v>
      </c>
      <c r="AA7078">
        <v>0.89989949999999996</v>
      </c>
      <c r="AB7078">
        <v>35</v>
      </c>
      <c r="AC7078">
        <v>0.68449999999998501</v>
      </c>
      <c r="AD7078">
        <v>-6.7021999999999901E-2</v>
      </c>
      <c r="AE7078">
        <v>0.49195999999999801</v>
      </c>
      <c r="AF7078">
        <v>-0.42829608102052202</v>
      </c>
      <c r="AG7078">
        <v>-6.7021999999999901E-2</v>
      </c>
      <c r="AH7078">
        <v>0.71988050319711006</v>
      </c>
      <c r="AI7078">
        <v>94.574575111984899</v>
      </c>
      <c r="AJ7078">
        <v>120.75071642155</v>
      </c>
      <c r="AK7078">
        <v>0.84033173234435399</v>
      </c>
      <c r="AL7078">
        <v>67.502073532006406</v>
      </c>
      <c r="AM7078">
        <v>108.35672229457199</v>
      </c>
      <c r="AN7078">
        <v>1.0000000079692599</v>
      </c>
    </row>
    <row r="7079" spans="1:40" x14ac:dyDescent="0.25">
      <c r="A7079" t="str">
        <f>"20190304164300797"</f>
        <v>20190304164300797</v>
      </c>
      <c r="B7079" t="str">
        <f>"1551688980788590"</f>
        <v>1551688980788590</v>
      </c>
      <c r="C7079" t="s">
        <v>40</v>
      </c>
      <c r="D7079">
        <v>4.6123919999999998</v>
      </c>
      <c r="E7079">
        <v>0.43784980000000001</v>
      </c>
      <c r="F7079" t="s">
        <v>41</v>
      </c>
      <c r="G7079">
        <v>-221.27959999999999</v>
      </c>
      <c r="H7079">
        <v>1.042362</v>
      </c>
      <c r="I7079">
        <v>-62.483750000000001</v>
      </c>
      <c r="J7079">
        <v>-222.0204</v>
      </c>
      <c r="K7079">
        <v>1.1147830000000001</v>
      </c>
      <c r="L7079">
        <v>-63.018279999999997</v>
      </c>
      <c r="M7079">
        <v>0.99595489999999998</v>
      </c>
      <c r="N7079">
        <v>-1.480303E-2</v>
      </c>
      <c r="O7079">
        <v>8.8627029999999996E-2</v>
      </c>
      <c r="P7079">
        <v>0.85335649999999996</v>
      </c>
      <c r="Q7079">
        <v>0.37283460000000002</v>
      </c>
      <c r="R7079">
        <v>0.36438619999999999</v>
      </c>
      <c r="S7079">
        <v>2.8780060000000001</v>
      </c>
      <c r="T7079">
        <v>-0.2263143</v>
      </c>
      <c r="U7079">
        <v>1.72583</v>
      </c>
      <c r="V7079">
        <v>-0.29109879999999999</v>
      </c>
      <c r="W7079">
        <v>0.38300630000000002</v>
      </c>
      <c r="X7079">
        <v>0.87667989999999996</v>
      </c>
      <c r="Y7079">
        <v>-0.4351584</v>
      </c>
      <c r="Z7079">
        <v>1.4089569999999999E-2</v>
      </c>
      <c r="AA7079">
        <v>0.90024359999999903</v>
      </c>
      <c r="AB7079">
        <v>35</v>
      </c>
      <c r="AC7079">
        <v>0.74080000000000701</v>
      </c>
      <c r="AD7079">
        <v>-7.2420999999999999E-2</v>
      </c>
      <c r="AE7079">
        <v>0.53453000000000295</v>
      </c>
      <c r="AF7079">
        <v>-0.46384875483895999</v>
      </c>
      <c r="AG7079">
        <v>-7.2420999999999999E-2</v>
      </c>
      <c r="AH7079">
        <v>0.78035873682966705</v>
      </c>
      <c r="AI7079">
        <v>94.5611499775288</v>
      </c>
      <c r="AJ7079">
        <v>120.72744082685701</v>
      </c>
      <c r="AK7079">
        <v>0.91069216904124495</v>
      </c>
      <c r="AL7079">
        <v>67.479975241011502</v>
      </c>
      <c r="AM7079">
        <v>108.368584224568</v>
      </c>
      <c r="AN7079">
        <v>0.99999999213256996</v>
      </c>
    </row>
    <row r="7080" spans="1:40" x14ac:dyDescent="0.25">
      <c r="A7080" t="str">
        <f>"20190304164300809"</f>
        <v>20190304164300809</v>
      </c>
      <c r="B7080" t="str">
        <f>"1551688980798350"</f>
        <v>1551688980798350</v>
      </c>
      <c r="C7080" t="s">
        <v>40</v>
      </c>
      <c r="D7080">
        <v>4.6625189999999996</v>
      </c>
      <c r="E7080">
        <v>0.43784980000000001</v>
      </c>
      <c r="F7080" t="s">
        <v>57</v>
      </c>
      <c r="G7080">
        <v>-207.8159</v>
      </c>
      <c r="H7080" s="1">
        <v>-2.9261069999999998E-6</v>
      </c>
      <c r="I7080">
        <v>-54.463180000000001</v>
      </c>
      <c r="J7080">
        <v>-221.8535</v>
      </c>
      <c r="K7080">
        <v>1.1148070000000001</v>
      </c>
      <c r="L7080">
        <v>-63.0015</v>
      </c>
      <c r="M7080">
        <v>0.99576410000000004</v>
      </c>
      <c r="N7080">
        <v>-1.480392E-2</v>
      </c>
      <c r="O7080">
        <v>9.0745779999999998E-2</v>
      </c>
      <c r="P7080">
        <v>0.85236329999999905</v>
      </c>
      <c r="Q7080">
        <v>0.3729304</v>
      </c>
      <c r="R7080">
        <v>0.36660559999999998</v>
      </c>
      <c r="S7080">
        <v>2.8747560000000001</v>
      </c>
      <c r="T7080">
        <v>-0.22561490000000001</v>
      </c>
      <c r="U7080">
        <v>1.7314149999999999</v>
      </c>
      <c r="V7080">
        <v>-0.2915393</v>
      </c>
      <c r="W7080">
        <v>0.38308340000000002</v>
      </c>
      <c r="X7080">
        <v>0.87649979999999905</v>
      </c>
      <c r="Y7080">
        <v>-0.43498599999999998</v>
      </c>
      <c r="Z7080">
        <v>1.393779E-2</v>
      </c>
      <c r="AA7080">
        <v>0.90032939999999995</v>
      </c>
      <c r="AB7080">
        <v>35</v>
      </c>
      <c r="AC7080">
        <v>14.0375999999999</v>
      </c>
      <c r="AD7080">
        <v>-1.1148099261069999</v>
      </c>
      <c r="AE7080">
        <v>8.5383199999999899</v>
      </c>
      <c r="AF7080">
        <v>-7.1959633717134697</v>
      </c>
      <c r="AG7080">
        <v>-1.1148099261069999</v>
      </c>
      <c r="AH7080">
        <v>14.686956481212301</v>
      </c>
      <c r="AI7080">
        <v>93.899416126544097</v>
      </c>
      <c r="AJ7080">
        <v>116.10282396221599</v>
      </c>
      <c r="AK7080">
        <v>16.393028417574701</v>
      </c>
      <c r="AL7080">
        <v>67.475192635904605</v>
      </c>
      <c r="AM7080">
        <v>108.398035613744</v>
      </c>
      <c r="AN7080">
        <v>0.99999997710004396</v>
      </c>
    </row>
    <row r="7081" spans="1:40" x14ac:dyDescent="0.25">
      <c r="A7081" t="str">
        <f>"20190304164300820"</f>
        <v>20190304164300820</v>
      </c>
      <c r="B7081" t="str">
        <f>"1551688980817870"</f>
        <v>1551688980817870</v>
      </c>
      <c r="C7081" t="s">
        <v>40</v>
      </c>
      <c r="D7081">
        <v>4.6574249999999999</v>
      </c>
      <c r="E7081">
        <v>0.44761220000000002</v>
      </c>
      <c r="F7081" t="s">
        <v>41</v>
      </c>
      <c r="G7081">
        <v>-220.9682</v>
      </c>
      <c r="H7081">
        <v>1.045328</v>
      </c>
      <c r="I7081">
        <v>-62.465310000000002</v>
      </c>
      <c r="J7081">
        <v>-221.6618</v>
      </c>
      <c r="K7081">
        <v>1.1148279999999999</v>
      </c>
      <c r="L7081">
        <v>-62.981929999999998</v>
      </c>
      <c r="M7081">
        <v>0.99553829999999999</v>
      </c>
      <c r="N7081">
        <v>-1.480483E-2</v>
      </c>
      <c r="O7081">
        <v>9.3190750000000003E-2</v>
      </c>
      <c r="P7081">
        <v>0.85133859999999995</v>
      </c>
      <c r="Q7081">
        <v>0.3729748</v>
      </c>
      <c r="R7081">
        <v>0.36893429999999999</v>
      </c>
      <c r="S7081">
        <v>2.8702239999999999</v>
      </c>
      <c r="T7081">
        <v>-0.2252711</v>
      </c>
      <c r="U7081">
        <v>1.7389829999999999</v>
      </c>
      <c r="V7081">
        <v>-0.2918057</v>
      </c>
      <c r="W7081">
        <v>0.38311030000000001</v>
      </c>
      <c r="X7081">
        <v>0.87639940000000005</v>
      </c>
      <c r="Y7081">
        <v>-0.43514779999999997</v>
      </c>
      <c r="Z7081">
        <v>1.379962E-2</v>
      </c>
      <c r="AA7081">
        <v>0.90025330000000003</v>
      </c>
      <c r="AB7081">
        <v>35</v>
      </c>
      <c r="AC7081">
        <v>0.69360000000000299</v>
      </c>
      <c r="AD7081">
        <v>-6.9500000000000103E-2</v>
      </c>
      <c r="AE7081">
        <v>0.51662000000000996</v>
      </c>
      <c r="AF7081">
        <v>-0.44684154388786701</v>
      </c>
      <c r="AG7081">
        <v>-6.9500000000000103E-2</v>
      </c>
      <c r="AH7081">
        <v>0.73399052951826105</v>
      </c>
      <c r="AI7081">
        <v>94.6239647596135</v>
      </c>
      <c r="AJ7081">
        <v>121.332377855144</v>
      </c>
      <c r="AK7081">
        <v>0.86211351501214095</v>
      </c>
      <c r="AL7081">
        <v>67.473524351404706</v>
      </c>
      <c r="AM7081">
        <v>108.415680912292</v>
      </c>
      <c r="AN7081">
        <v>0.99999998841946902</v>
      </c>
    </row>
    <row r="7082" spans="1:40" x14ac:dyDescent="0.25">
      <c r="A7082" t="str">
        <f>"20190304164300831"</f>
        <v>20190304164300831</v>
      </c>
      <c r="B7082" t="str">
        <f>"1551688980828606"</f>
        <v>1551688980828606</v>
      </c>
      <c r="C7082" t="s">
        <v>40</v>
      </c>
      <c r="D7082">
        <v>4.6218339999999998</v>
      </c>
      <c r="E7082">
        <v>0.44762960000000002</v>
      </c>
      <c r="F7082" t="s">
        <v>57</v>
      </c>
      <c r="G7082">
        <v>-209.82130000000001</v>
      </c>
      <c r="H7082" s="1">
        <v>-1.2122049999999999E-6</v>
      </c>
      <c r="I7082">
        <v>-56.148029999999999</v>
      </c>
      <c r="J7082">
        <v>-221.50720000000001</v>
      </c>
      <c r="K7082">
        <v>1.114846</v>
      </c>
      <c r="L7082">
        <v>-62.96555</v>
      </c>
      <c r="M7082">
        <v>0.99534990000000001</v>
      </c>
      <c r="N7082">
        <v>-1.48054E-2</v>
      </c>
      <c r="O7082">
        <v>9.518211E-2</v>
      </c>
      <c r="P7082">
        <v>0.85039419999999899</v>
      </c>
      <c r="Q7082">
        <v>0.37305440000000001</v>
      </c>
      <c r="R7082">
        <v>0.37102610000000003</v>
      </c>
      <c r="S7082">
        <v>2.915009</v>
      </c>
      <c r="T7082">
        <v>-0.27445900000000001</v>
      </c>
      <c r="U7082">
        <v>1.682434</v>
      </c>
      <c r="V7082">
        <v>-0.2922284</v>
      </c>
      <c r="W7082">
        <v>0.38317240000000002</v>
      </c>
      <c r="X7082">
        <v>0.87623139999999999</v>
      </c>
      <c r="Y7082">
        <v>-0.41375630000000002</v>
      </c>
      <c r="Z7082">
        <v>1.441273E-2</v>
      </c>
      <c r="AA7082">
        <v>0.91027360000000002</v>
      </c>
      <c r="AB7082">
        <v>35</v>
      </c>
      <c r="AC7082">
        <v>11.6859</v>
      </c>
      <c r="AD7082">
        <v>-1.1148472122049999</v>
      </c>
      <c r="AE7082">
        <v>6.8175199999999903</v>
      </c>
      <c r="AF7082">
        <v>-5.6358812298580201</v>
      </c>
      <c r="AG7082">
        <v>-1.1148472122049999</v>
      </c>
      <c r="AH7082">
        <v>12.1989754978548</v>
      </c>
      <c r="AI7082">
        <v>94.742550275665295</v>
      </c>
      <c r="AJ7082">
        <v>114.796761165367</v>
      </c>
      <c r="AK7082">
        <v>13.4841034088622</v>
      </c>
      <c r="AL7082">
        <v>67.469672517972995</v>
      </c>
      <c r="AM7082">
        <v>108.443850402352</v>
      </c>
      <c r="AN7082">
        <v>0.99999999611713997</v>
      </c>
    </row>
    <row r="7083" spans="1:40" x14ac:dyDescent="0.25">
      <c r="A7083" t="str">
        <f>"20190304164300841"</f>
        <v>20190304164300841</v>
      </c>
      <c r="B7083" t="str">
        <f>"1551688980838366"</f>
        <v>1551688980838366</v>
      </c>
      <c r="C7083" t="s">
        <v>40</v>
      </c>
      <c r="D7083">
        <v>4.6680149999999996</v>
      </c>
      <c r="E7083">
        <v>0.44729530000000001</v>
      </c>
      <c r="F7083" t="s">
        <v>41</v>
      </c>
      <c r="G7083">
        <v>-220.6105</v>
      </c>
      <c r="H7083">
        <v>1.030575</v>
      </c>
      <c r="I7083">
        <v>-62.444850000000002</v>
      </c>
      <c r="J7083">
        <v>-221.34309999999999</v>
      </c>
      <c r="K7083">
        <v>1.114859</v>
      </c>
      <c r="L7083">
        <v>-62.948120000000003</v>
      </c>
      <c r="M7083">
        <v>0.99514530000000001</v>
      </c>
      <c r="N7083">
        <v>-1.480591E-2</v>
      </c>
      <c r="O7083">
        <v>9.7297880000000003E-2</v>
      </c>
      <c r="P7083">
        <v>0.84919829999999996</v>
      </c>
      <c r="Q7083">
        <v>0.3733185</v>
      </c>
      <c r="R7083">
        <v>0.37349149999999998</v>
      </c>
      <c r="S7083">
        <v>2.910507</v>
      </c>
      <c r="T7083">
        <v>-0.2735399</v>
      </c>
      <c r="U7083">
        <v>1.689819</v>
      </c>
      <c r="V7083">
        <v>-0.29294120000000001</v>
      </c>
      <c r="W7083">
        <v>0.38341340000000002</v>
      </c>
      <c r="X7083">
        <v>0.87588790000000005</v>
      </c>
      <c r="Y7083">
        <v>-0.41417100000000001</v>
      </c>
      <c r="Z7083">
        <v>1.425877E-2</v>
      </c>
      <c r="AA7083">
        <v>0.91008739999999999</v>
      </c>
      <c r="AB7083">
        <v>35</v>
      </c>
      <c r="AC7083">
        <v>0.73259999999999004</v>
      </c>
      <c r="AD7083">
        <v>-8.4283999999999998E-2</v>
      </c>
      <c r="AE7083">
        <v>0.503269999999993</v>
      </c>
      <c r="AF7083">
        <v>-0.42576476384116801</v>
      </c>
      <c r="AG7083">
        <v>-8.4283999999999998E-2</v>
      </c>
      <c r="AH7083">
        <v>0.77116120251631903</v>
      </c>
      <c r="AI7083">
        <v>95.465458193133202</v>
      </c>
      <c r="AJ7083">
        <v>118.90346834503499</v>
      </c>
      <c r="AK7083">
        <v>0.88491187530236104</v>
      </c>
      <c r="AL7083">
        <v>67.454722487996705</v>
      </c>
      <c r="AM7083">
        <v>108.492540715364</v>
      </c>
      <c r="AN7083">
        <v>0.999999997661705</v>
      </c>
    </row>
    <row r="7084" spans="1:40" x14ac:dyDescent="0.25">
      <c r="A7084" t="str">
        <f>"20190304164300853"</f>
        <v>20190304164300853</v>
      </c>
      <c r="B7084" t="str">
        <f>"1551688980848126"</f>
        <v>1551688980848126</v>
      </c>
      <c r="C7084" t="s">
        <v>40</v>
      </c>
      <c r="D7084">
        <v>4.6744409999999998</v>
      </c>
      <c r="E7084">
        <v>0.4471193</v>
      </c>
      <c r="F7084" t="s">
        <v>57</v>
      </c>
      <c r="G7084">
        <v>-209.58070000000001</v>
      </c>
      <c r="H7084" s="1">
        <v>-1.388052E-6</v>
      </c>
      <c r="I7084">
        <v>-56.061819999999997</v>
      </c>
      <c r="J7084">
        <v>-221.16900000000001</v>
      </c>
      <c r="K7084">
        <v>1.1148819999999999</v>
      </c>
      <c r="L7084">
        <v>-62.928890000000003</v>
      </c>
      <c r="M7084">
        <v>0.99492069999999999</v>
      </c>
      <c r="N7084">
        <v>-1.480629E-2</v>
      </c>
      <c r="O7084">
        <v>9.9567310000000006E-2</v>
      </c>
      <c r="P7084">
        <v>0.84812849999999995</v>
      </c>
      <c r="Q7084">
        <v>0.37333460000000002</v>
      </c>
      <c r="R7084">
        <v>0.37589830000000002</v>
      </c>
      <c r="S7084">
        <v>2.90564</v>
      </c>
      <c r="T7084">
        <v>-0.27540209999999998</v>
      </c>
      <c r="U7084">
        <v>1.701111</v>
      </c>
      <c r="V7084">
        <v>-0.29344870000000001</v>
      </c>
      <c r="W7084">
        <v>0.38340940000000001</v>
      </c>
      <c r="X7084">
        <v>0.87571980000000005</v>
      </c>
      <c r="Y7084">
        <v>-0.41537980000000002</v>
      </c>
      <c r="Z7084">
        <v>1.423028E-2</v>
      </c>
      <c r="AA7084">
        <v>0.90953680000000003</v>
      </c>
      <c r="AB7084">
        <v>35</v>
      </c>
      <c r="AC7084">
        <v>11.5883</v>
      </c>
      <c r="AD7084">
        <v>-1.1148833880519999</v>
      </c>
      <c r="AE7084">
        <v>6.86707</v>
      </c>
      <c r="AF7084">
        <v>-5.6403580942489597</v>
      </c>
      <c r="AG7084">
        <v>-1.1148833880519999</v>
      </c>
      <c r="AH7084">
        <v>12.131409267819301</v>
      </c>
      <c r="AI7084">
        <v>94.763671166971704</v>
      </c>
      <c r="AJ7084">
        <v>114.935525949327</v>
      </c>
      <c r="AK7084">
        <v>13.424890883118801</v>
      </c>
      <c r="AL7084">
        <v>67.454971590424194</v>
      </c>
      <c r="AM7084">
        <v>108.525706375455</v>
      </c>
      <c r="AN7084">
        <v>1.0000000378260401</v>
      </c>
    </row>
    <row r="7085" spans="1:40" x14ac:dyDescent="0.25">
      <c r="A7085" t="str">
        <f>"20190304164300864"</f>
        <v>20190304164300864</v>
      </c>
      <c r="B7085" t="str">
        <f>"1551688980857886"</f>
        <v>1551688980857886</v>
      </c>
      <c r="C7085" t="s">
        <v>40</v>
      </c>
      <c r="D7085">
        <v>4.6775200000000003</v>
      </c>
      <c r="E7085">
        <v>0.44711649999999997</v>
      </c>
      <c r="F7085" t="s">
        <v>41</v>
      </c>
      <c r="G7085">
        <v>-220.26150000000001</v>
      </c>
      <c r="H7085">
        <v>1.028581</v>
      </c>
      <c r="I7085">
        <v>-62.393889999999999</v>
      </c>
      <c r="J7085">
        <v>-220.99780000000001</v>
      </c>
      <c r="K7085">
        <v>1.1149020000000001</v>
      </c>
      <c r="L7085">
        <v>-62.909880000000001</v>
      </c>
      <c r="M7085">
        <v>0.99469430000000003</v>
      </c>
      <c r="N7085">
        <v>-1.480661E-2</v>
      </c>
      <c r="O7085">
        <v>0.1018048</v>
      </c>
      <c r="P7085">
        <v>0.84716080000000005</v>
      </c>
      <c r="Q7085">
        <v>0.37297999999999998</v>
      </c>
      <c r="R7085">
        <v>0.37842389999999998</v>
      </c>
      <c r="S7085">
        <v>2.9005890000000001</v>
      </c>
      <c r="T7085">
        <v>-0.275829299999999</v>
      </c>
      <c r="U7085">
        <v>1.7103269999999999</v>
      </c>
      <c r="V7085">
        <v>-0.29409020000000002</v>
      </c>
      <c r="W7085">
        <v>0.3830345</v>
      </c>
      <c r="X7085">
        <v>0.87566860000000002</v>
      </c>
      <c r="Y7085">
        <v>-0.41616979999999998</v>
      </c>
      <c r="Z7085">
        <v>1.41333E-2</v>
      </c>
      <c r="AA7085">
        <v>0.90917709999999996</v>
      </c>
      <c r="AB7085">
        <v>35</v>
      </c>
      <c r="AC7085">
        <v>0.73629999999999995</v>
      </c>
      <c r="AD7085">
        <v>-8.6320999999999995E-2</v>
      </c>
      <c r="AE7085">
        <v>0.51599000000000195</v>
      </c>
      <c r="AF7085">
        <v>-0.43433791377636799</v>
      </c>
      <c r="AG7085">
        <v>-8.6320999999999995E-2</v>
      </c>
      <c r="AH7085">
        <v>0.77783986900449997</v>
      </c>
      <c r="AI7085">
        <v>95.5342861698295</v>
      </c>
      <c r="AJ7085">
        <v>119.17854907969701</v>
      </c>
      <c r="AK7085">
        <v>0.89506178568719297</v>
      </c>
      <c r="AL7085">
        <v>67.478225953024307</v>
      </c>
      <c r="AM7085">
        <v>108.564443400393</v>
      </c>
      <c r="AN7085">
        <v>0.99999998547612401</v>
      </c>
    </row>
    <row r="7086" spans="1:40" x14ac:dyDescent="0.25">
      <c r="A7086" t="str">
        <f>"20190304164300875"</f>
        <v>20190304164300875</v>
      </c>
      <c r="B7086" t="str">
        <f>"1551688980868622"</f>
        <v>1551688980868622</v>
      </c>
      <c r="C7086" t="s">
        <v>40</v>
      </c>
      <c r="D7086">
        <v>4.682169</v>
      </c>
      <c r="E7086">
        <v>0.44708930000000002</v>
      </c>
      <c r="F7086" t="s">
        <v>41</v>
      </c>
      <c r="G7086">
        <v>-220.05420000000001</v>
      </c>
      <c r="H7086">
        <v>1.0243340000000001</v>
      </c>
      <c r="I7086">
        <v>-62.349899999999998</v>
      </c>
      <c r="J7086">
        <v>-220.82650000000001</v>
      </c>
      <c r="K7086">
        <v>1.1149249999999999</v>
      </c>
      <c r="L7086">
        <v>-62.890230000000003</v>
      </c>
      <c r="M7086">
        <v>0.99446029999999996</v>
      </c>
      <c r="N7086">
        <v>-1.4807030000000001E-2</v>
      </c>
      <c r="O7086">
        <v>0.10406550000000001</v>
      </c>
      <c r="P7086">
        <v>0.8462056</v>
      </c>
      <c r="Q7086">
        <v>0.37298569999999998</v>
      </c>
      <c r="R7086">
        <v>0.38054929999999998</v>
      </c>
      <c r="S7086">
        <v>2.895966</v>
      </c>
      <c r="T7086">
        <v>-0.2779508</v>
      </c>
      <c r="U7086">
        <v>1.7185060000000001</v>
      </c>
      <c r="V7086">
        <v>-0.29431889999999999</v>
      </c>
      <c r="W7086">
        <v>0.38302259999999999</v>
      </c>
      <c r="X7086">
        <v>0.87559699999999996</v>
      </c>
      <c r="Y7086">
        <v>-0.4166241</v>
      </c>
      <c r="Z7086">
        <v>1.4072599999999999E-2</v>
      </c>
      <c r="AA7086">
        <v>0.9089699</v>
      </c>
      <c r="AB7086">
        <v>35</v>
      </c>
      <c r="AC7086">
        <v>0.77230000000000099</v>
      </c>
      <c r="AD7086">
        <v>-9.0590999999999797E-2</v>
      </c>
      <c r="AE7086">
        <v>0.54033000000000397</v>
      </c>
      <c r="AF7086">
        <v>-0.45283390962133102</v>
      </c>
      <c r="AG7086">
        <v>-9.0590999999999797E-2</v>
      </c>
      <c r="AH7086">
        <v>0.81679645758629105</v>
      </c>
      <c r="AI7086">
        <v>95.540377152884702</v>
      </c>
      <c r="AJ7086">
        <v>119.00409084408</v>
      </c>
      <c r="AK7086">
        <v>0.93830790900932604</v>
      </c>
      <c r="AL7086">
        <v>67.478964805711001</v>
      </c>
      <c r="AM7086">
        <v>108.57930452012999</v>
      </c>
      <c r="AN7086">
        <v>1.0000000167084799</v>
      </c>
    </row>
    <row r="7087" spans="1:40" x14ac:dyDescent="0.25">
      <c r="A7087" t="str">
        <f>"20190304164300886"</f>
        <v>20190304164300886</v>
      </c>
      <c r="B7087" t="str">
        <f>"1551688980878382"</f>
        <v>1551688980878382</v>
      </c>
      <c r="C7087" t="s">
        <v>40</v>
      </c>
      <c r="D7087">
        <v>4.6864860000000004</v>
      </c>
      <c r="E7087">
        <v>0.44711410000000001</v>
      </c>
      <c r="F7087" t="s">
        <v>57</v>
      </c>
      <c r="G7087">
        <v>-209.3066</v>
      </c>
      <c r="H7087" s="1">
        <v>-1.57484E-6</v>
      </c>
      <c r="I7087">
        <v>-56.014479999999999</v>
      </c>
      <c r="J7087">
        <v>-220.6652</v>
      </c>
      <c r="K7087">
        <v>1.114946</v>
      </c>
      <c r="L7087">
        <v>-62.871490000000001</v>
      </c>
      <c r="M7087">
        <v>0.99423410000000001</v>
      </c>
      <c r="N7087">
        <v>-1.480749E-2</v>
      </c>
      <c r="O7087">
        <v>0.1062037</v>
      </c>
      <c r="P7087">
        <v>0.84521420000000003</v>
      </c>
      <c r="Q7087">
        <v>0.37306220000000001</v>
      </c>
      <c r="R7087">
        <v>0.3826716</v>
      </c>
      <c r="S7087">
        <v>2.8922880000000002</v>
      </c>
      <c r="T7087">
        <v>-0.27992339999999999</v>
      </c>
      <c r="U7087">
        <v>1.726288</v>
      </c>
      <c r="V7087">
        <v>-0.29465839999999999</v>
      </c>
      <c r="W7087">
        <v>0.38307950000000002</v>
      </c>
      <c r="X7087">
        <v>0.87545790000000001</v>
      </c>
      <c r="Y7087">
        <v>-0.41696879999999997</v>
      </c>
      <c r="Z7087">
        <v>1.400509E-2</v>
      </c>
      <c r="AA7087">
        <v>0.90881290000000003</v>
      </c>
      <c r="AB7087">
        <v>35</v>
      </c>
      <c r="AC7087">
        <v>11.3585999999999</v>
      </c>
      <c r="AD7087">
        <v>-1.11494757484</v>
      </c>
      <c r="AE7087">
        <v>6.8570099999999901</v>
      </c>
      <c r="AF7087">
        <v>-5.5724128088342004</v>
      </c>
      <c r="AG7087">
        <v>-1.11494757484</v>
      </c>
      <c r="AH7087">
        <v>11.9383612279325</v>
      </c>
      <c r="AI7087">
        <v>94.837248070567995</v>
      </c>
      <c r="AJ7087">
        <v>115.021534139358</v>
      </c>
      <c r="AK7087">
        <v>13.2219272957956</v>
      </c>
      <c r="AL7087">
        <v>67.475435214535395</v>
      </c>
      <c r="AM7087">
        <v>108.60201441587201</v>
      </c>
      <c r="AN7087">
        <v>1.00000000534161</v>
      </c>
    </row>
    <row r="7088" spans="1:40" x14ac:dyDescent="0.25">
      <c r="A7088" t="str">
        <f>"20190304164300896"</f>
        <v>20190304164300896</v>
      </c>
      <c r="B7088" t="str">
        <f>"1551688980888142"</f>
        <v>1551688980888142</v>
      </c>
      <c r="C7088" t="s">
        <v>40</v>
      </c>
      <c r="D7088">
        <v>4.6877630000000003</v>
      </c>
      <c r="E7088">
        <v>0.44703959999999998</v>
      </c>
      <c r="F7088" t="s">
        <v>41</v>
      </c>
      <c r="G7088">
        <v>-219.74680000000001</v>
      </c>
      <c r="H7088">
        <v>1.025941</v>
      </c>
      <c r="I7088">
        <v>-62.320230000000002</v>
      </c>
      <c r="J7088">
        <v>-220.49299999999999</v>
      </c>
      <c r="K7088">
        <v>1.1149690000000001</v>
      </c>
      <c r="L7088">
        <v>-62.851010000000002</v>
      </c>
      <c r="M7088">
        <v>0.99398600000000004</v>
      </c>
      <c r="N7088">
        <v>-1.4808139999999999E-2</v>
      </c>
      <c r="O7088">
        <v>0.1085018</v>
      </c>
      <c r="P7088">
        <v>0.84441200000000005</v>
      </c>
      <c r="Q7088">
        <v>0.37295980000000001</v>
      </c>
      <c r="R7088">
        <v>0.3845382</v>
      </c>
      <c r="S7088">
        <v>2.8879389999999998</v>
      </c>
      <c r="T7088">
        <v>-0.27989589999999998</v>
      </c>
      <c r="U7088">
        <v>1.7338260000000001</v>
      </c>
      <c r="V7088">
        <v>-0.29458309999999999</v>
      </c>
      <c r="W7088">
        <v>0.38296409999999997</v>
      </c>
      <c r="X7088">
        <v>0.87553380000000003</v>
      </c>
      <c r="Y7088">
        <v>-0.4172206</v>
      </c>
      <c r="Z7088">
        <v>1.38561E-2</v>
      </c>
      <c r="AA7088">
        <v>0.90869960000000005</v>
      </c>
      <c r="AB7088">
        <v>35</v>
      </c>
      <c r="AC7088">
        <v>0.74619999999998698</v>
      </c>
      <c r="AD7088">
        <v>-8.9028000000000093E-2</v>
      </c>
      <c r="AE7088">
        <v>0.53077999999999204</v>
      </c>
      <c r="AF7088">
        <v>-0.44249033727683001</v>
      </c>
      <c r="AG7088">
        <v>-8.9028000000000093E-2</v>
      </c>
      <c r="AH7088">
        <v>0.79190538104988695</v>
      </c>
      <c r="AI7088">
        <v>95.605108968122494</v>
      </c>
      <c r="AJ7088">
        <v>119.195003691287</v>
      </c>
      <c r="AK7088">
        <v>0.91150305315074498</v>
      </c>
      <c r="AL7088">
        <v>67.482594537111098</v>
      </c>
      <c r="AM7088">
        <v>108.596086277799</v>
      </c>
      <c r="AN7088">
        <v>1.0000000698184199</v>
      </c>
    </row>
    <row r="7089" spans="1:40" x14ac:dyDescent="0.25">
      <c r="A7089" t="str">
        <f>"20190304164300908"</f>
        <v>20190304164300908</v>
      </c>
      <c r="B7089" t="str">
        <f>"1551688980897903"</f>
        <v>1551688980897903</v>
      </c>
      <c r="C7089" t="s">
        <v>40</v>
      </c>
      <c r="D7089">
        <v>4.6870830000000003</v>
      </c>
      <c r="E7089">
        <v>0.44698549999999998</v>
      </c>
      <c r="F7089" t="s">
        <v>57</v>
      </c>
      <c r="G7089">
        <v>-209.084</v>
      </c>
      <c r="H7089" s="1">
        <v>-1.730171E-6</v>
      </c>
      <c r="I7089">
        <v>-55.9625699999999</v>
      </c>
      <c r="J7089">
        <v>-220.32060000000001</v>
      </c>
      <c r="K7089">
        <v>1.114992</v>
      </c>
      <c r="L7089">
        <v>-62.83005</v>
      </c>
      <c r="M7089">
        <v>0.99373020000000001</v>
      </c>
      <c r="N7089">
        <v>-1.48088E-2</v>
      </c>
      <c r="O7089">
        <v>0.1108198</v>
      </c>
      <c r="P7089">
        <v>0.84352759999999904</v>
      </c>
      <c r="Q7089">
        <v>0.3730137</v>
      </c>
      <c r="R7089">
        <v>0.38642189999999998</v>
      </c>
      <c r="S7089">
        <v>2.8842319999999999</v>
      </c>
      <c r="T7089">
        <v>-0.28186889999999998</v>
      </c>
      <c r="U7089">
        <v>1.741425</v>
      </c>
      <c r="V7089">
        <v>-0.29451949999999999</v>
      </c>
      <c r="W7089">
        <v>0.38300279999999998</v>
      </c>
      <c r="X7089">
        <v>0.87553819999999904</v>
      </c>
      <c r="Y7089">
        <v>-0.4173615</v>
      </c>
      <c r="Z7089">
        <v>1.376088E-2</v>
      </c>
      <c r="AA7089">
        <v>0.90863629999999995</v>
      </c>
      <c r="AB7089">
        <v>35</v>
      </c>
      <c r="AC7089">
        <v>11.236599999999999</v>
      </c>
      <c r="AD7089">
        <v>-1.114993730171</v>
      </c>
      <c r="AE7089">
        <v>6.8674799999999996</v>
      </c>
      <c r="AF7089">
        <v>-5.5400813900222996</v>
      </c>
      <c r="AG7089">
        <v>-1.114993730171</v>
      </c>
      <c r="AH7089">
        <v>11.8436067308576</v>
      </c>
      <c r="AI7089">
        <v>94.874094355484203</v>
      </c>
      <c r="AJ7089">
        <v>115.068772711533</v>
      </c>
      <c r="AK7089">
        <v>13.122756311903601</v>
      </c>
      <c r="AL7089">
        <v>67.480192758632697</v>
      </c>
      <c r="AM7089">
        <v>108.59226039096301</v>
      </c>
      <c r="AN7089">
        <v>1.0000000101736599</v>
      </c>
    </row>
    <row r="7090" spans="1:40" x14ac:dyDescent="0.25">
      <c r="A7090" t="str">
        <f>"20190304164300919"</f>
        <v>20190304164300919</v>
      </c>
      <c r="B7090" t="str">
        <f>"1551688980908638"</f>
        <v>1551688980908638</v>
      </c>
      <c r="C7090" t="s">
        <v>40</v>
      </c>
      <c r="D7090">
        <v>4.662039</v>
      </c>
      <c r="E7090">
        <v>0.44714310000000002</v>
      </c>
      <c r="F7090" t="s">
        <v>41</v>
      </c>
      <c r="G7090">
        <v>-219.4383</v>
      </c>
      <c r="H7090">
        <v>1.0283249999999999</v>
      </c>
      <c r="I7090">
        <v>-62.294240000000002</v>
      </c>
      <c r="J7090">
        <v>-220.14660000000001</v>
      </c>
      <c r="K7090">
        <v>1.1150180000000001</v>
      </c>
      <c r="L7090">
        <v>-62.808590000000002</v>
      </c>
      <c r="M7090">
        <v>0.99346509999999999</v>
      </c>
      <c r="N7090">
        <v>-1.480943E-2</v>
      </c>
      <c r="O7090">
        <v>0.1131717</v>
      </c>
      <c r="P7090">
        <v>0.84267250000000005</v>
      </c>
      <c r="Q7090">
        <v>0.37296439999999997</v>
      </c>
      <c r="R7090">
        <v>0.38833069999999997</v>
      </c>
      <c r="S7090">
        <v>2.88028</v>
      </c>
      <c r="T7090">
        <v>-0.2829334</v>
      </c>
      <c r="U7090">
        <v>1.7491759999999901</v>
      </c>
      <c r="V7090">
        <v>-0.2944486</v>
      </c>
      <c r="W7090">
        <v>0.38293850000000001</v>
      </c>
      <c r="X7090">
        <v>0.87559010000000004</v>
      </c>
      <c r="Y7090">
        <v>-0.417547</v>
      </c>
      <c r="Z7090">
        <v>1.363528E-2</v>
      </c>
      <c r="AA7090">
        <v>0.9085531</v>
      </c>
      <c r="AB7090">
        <v>35</v>
      </c>
      <c r="AC7090">
        <v>0.70830000000000803</v>
      </c>
      <c r="AD7090">
        <v>-8.6693000000000103E-2</v>
      </c>
      <c r="AE7090">
        <v>0.51434999999999997</v>
      </c>
      <c r="AF7090">
        <v>-0.42669131721598602</v>
      </c>
      <c r="AG7090">
        <v>-8.6693000000000103E-2</v>
      </c>
      <c r="AH7090">
        <v>0.75456363159718798</v>
      </c>
      <c r="AI7090">
        <v>95.711105983697493</v>
      </c>
      <c r="AJ7090">
        <v>119.487329883635</v>
      </c>
      <c r="AK7090">
        <v>0.87117588956860503</v>
      </c>
      <c r="AL7090">
        <v>67.4841794574386</v>
      </c>
      <c r="AM7090">
        <v>108.58706608913801</v>
      </c>
      <c r="AN7090">
        <v>0.99999994802110803</v>
      </c>
    </row>
    <row r="7091" spans="1:40" x14ac:dyDescent="0.25">
      <c r="A7091" t="str">
        <f>"20190304164300931"</f>
        <v>20190304164300931</v>
      </c>
      <c r="B7091" t="str">
        <f>"1551688980928159"</f>
        <v>1551688980928159</v>
      </c>
      <c r="C7091" t="s">
        <v>40</v>
      </c>
      <c r="D7091">
        <v>4.6588289999999999</v>
      </c>
      <c r="E7091">
        <v>0.44731009999999999</v>
      </c>
      <c r="F7091" t="s">
        <v>57</v>
      </c>
      <c r="G7091">
        <v>-208.84809999999999</v>
      </c>
      <c r="H7091" s="1">
        <v>-1.891999E-6</v>
      </c>
      <c r="I7091">
        <v>-55.917819999999899</v>
      </c>
      <c r="J7091">
        <v>-219.97790000000001</v>
      </c>
      <c r="K7091">
        <v>1.115046</v>
      </c>
      <c r="L7091">
        <v>-62.787230000000001</v>
      </c>
      <c r="M7091">
        <v>0.99319959999999996</v>
      </c>
      <c r="N7091">
        <v>-1.4810179999999999E-2</v>
      </c>
      <c r="O7091">
        <v>0.1154785</v>
      </c>
      <c r="P7091">
        <v>0.8418369</v>
      </c>
      <c r="Q7091">
        <v>0.37277589999999999</v>
      </c>
      <c r="R7091">
        <v>0.39031900000000003</v>
      </c>
      <c r="S7091">
        <v>2.8771360000000001</v>
      </c>
      <c r="T7091">
        <v>-0.28393859999999999</v>
      </c>
      <c r="U7091">
        <v>1.7547299999999999</v>
      </c>
      <c r="V7091">
        <v>-0.29449589999999998</v>
      </c>
      <c r="W7091">
        <v>0.38273230000000003</v>
      </c>
      <c r="X7091">
        <v>0.87566440000000001</v>
      </c>
      <c r="Y7091">
        <v>-0.41715609999999997</v>
      </c>
      <c r="Z7091">
        <v>1.347809E-2</v>
      </c>
      <c r="AA7091">
        <v>0.90873490000000001</v>
      </c>
      <c r="AB7091">
        <v>35</v>
      </c>
      <c r="AC7091">
        <v>11.129799999999999</v>
      </c>
      <c r="AD7091">
        <v>-1.1150478919989999</v>
      </c>
      <c r="AE7091">
        <v>6.86941000000001</v>
      </c>
      <c r="AF7091">
        <v>-5.4980878648166502</v>
      </c>
      <c r="AG7091">
        <v>-1.1150478919989999</v>
      </c>
      <c r="AH7091">
        <v>11.7631823302145</v>
      </c>
      <c r="AI7091">
        <v>94.9081900731871</v>
      </c>
      <c r="AJ7091">
        <v>115.051292547646</v>
      </c>
      <c r="AK7091">
        <v>13.032450287822501</v>
      </c>
      <c r="AL7091">
        <v>67.496969248288195</v>
      </c>
      <c r="AM7091">
        <v>108.588377771344</v>
      </c>
      <c r="AN7091">
        <v>0.99999999500373005</v>
      </c>
    </row>
    <row r="7092" spans="1:40" x14ac:dyDescent="0.25">
      <c r="A7092" t="str">
        <f>"20190304164300942"</f>
        <v>20190304164300942</v>
      </c>
      <c r="B7092" t="str">
        <f>"1551688980937918"</f>
        <v>1551688980937918</v>
      </c>
      <c r="C7092" t="s">
        <v>40</v>
      </c>
      <c r="D7092">
        <v>4.6871280000000004</v>
      </c>
      <c r="E7092">
        <v>0.4473085</v>
      </c>
      <c r="F7092" t="s">
        <v>41</v>
      </c>
      <c r="G7092">
        <v>-219.10579999999999</v>
      </c>
      <c r="H7092">
        <v>1.0286999999999999</v>
      </c>
      <c r="I7092">
        <v>-62.253340000000001</v>
      </c>
      <c r="J7092">
        <v>-219.7989</v>
      </c>
      <c r="K7092">
        <v>1.1150679999999999</v>
      </c>
      <c r="L7092">
        <v>-62.764310000000002</v>
      </c>
      <c r="M7092">
        <v>0.99291070000000003</v>
      </c>
      <c r="N7092">
        <v>-1.48109E-2</v>
      </c>
      <c r="O7092">
        <v>0.1179366</v>
      </c>
      <c r="P7092">
        <v>0.84060959999999996</v>
      </c>
      <c r="Q7092">
        <v>0.37283620000000001</v>
      </c>
      <c r="R7092">
        <v>0.39289800000000003</v>
      </c>
      <c r="S7092">
        <v>2.8737789999999999</v>
      </c>
      <c r="T7092">
        <v>-0.28452830000000001</v>
      </c>
      <c r="U7092">
        <v>1.75964399999999</v>
      </c>
      <c r="V7092">
        <v>-0.29504659999999999</v>
      </c>
      <c r="W7092">
        <v>0.3827641</v>
      </c>
      <c r="X7092">
        <v>0.87546520000000005</v>
      </c>
      <c r="Y7092">
        <v>-0.41651339999999998</v>
      </c>
      <c r="Z7092">
        <v>1.3283150000000001E-2</v>
      </c>
      <c r="AA7092">
        <v>0.90903250000000002</v>
      </c>
      <c r="AB7092">
        <v>35</v>
      </c>
      <c r="AC7092">
        <v>0.69310000000001504</v>
      </c>
      <c r="AD7092">
        <v>-8.6368E-2</v>
      </c>
      <c r="AE7092">
        <v>0.51096999999999304</v>
      </c>
      <c r="AF7092">
        <v>-0.42141289184055802</v>
      </c>
      <c r="AG7092">
        <v>-8.6368E-2</v>
      </c>
      <c r="AH7092">
        <v>0.74107517224238695</v>
      </c>
      <c r="AI7092">
        <v>95.784880512362406</v>
      </c>
      <c r="AJ7092">
        <v>119.624753961514</v>
      </c>
      <c r="AK7092">
        <v>0.85687844397411805</v>
      </c>
      <c r="AL7092">
        <v>67.494999188658596</v>
      </c>
      <c r="AM7092">
        <v>108.624687891585</v>
      </c>
      <c r="AN7092">
        <v>1.0000000844157</v>
      </c>
    </row>
    <row r="7093" spans="1:40" x14ac:dyDescent="0.25">
      <c r="A7093" t="str">
        <f>"20190304164300953"</f>
        <v>20190304164300953</v>
      </c>
      <c r="B7093" t="str">
        <f>"1551688980947678"</f>
        <v>1551688980947678</v>
      </c>
      <c r="C7093" t="s">
        <v>40</v>
      </c>
      <c r="D7093">
        <v>4.7093360000000004</v>
      </c>
      <c r="E7093">
        <v>0.44731989999999999</v>
      </c>
      <c r="F7093" t="s">
        <v>41</v>
      </c>
      <c r="G7093">
        <v>-218.8442</v>
      </c>
      <c r="H7093">
        <v>1.020149</v>
      </c>
      <c r="I7093">
        <v>-62.176029999999997</v>
      </c>
      <c r="J7093">
        <v>-219.6285</v>
      </c>
      <c r="K7093">
        <v>1.1150960000000001</v>
      </c>
      <c r="L7093">
        <v>-62.741759999999999</v>
      </c>
      <c r="M7093">
        <v>0.99262539999999999</v>
      </c>
      <c r="N7093">
        <v>-1.4811929999999999E-2</v>
      </c>
      <c r="O7093">
        <v>0.1203145</v>
      </c>
      <c r="P7093">
        <v>0.83944349999999901</v>
      </c>
      <c r="Q7093">
        <v>0.37292619999999999</v>
      </c>
      <c r="R7093">
        <v>0.39529819999999999</v>
      </c>
      <c r="S7093">
        <v>2.8691249999999999</v>
      </c>
      <c r="T7093">
        <v>-0.28524569999999999</v>
      </c>
      <c r="U7093">
        <v>1.7677309999999999</v>
      </c>
      <c r="V7093">
        <v>-0.29548839999999998</v>
      </c>
      <c r="W7093">
        <v>0.38282579999999999</v>
      </c>
      <c r="X7093">
        <v>0.87528909999999904</v>
      </c>
      <c r="Y7093">
        <v>-0.41685050000000001</v>
      </c>
      <c r="Z7093">
        <v>1.315094E-2</v>
      </c>
      <c r="AA7093">
        <v>0.90887989999999996</v>
      </c>
      <c r="AB7093">
        <v>35</v>
      </c>
      <c r="AC7093">
        <v>0.784300000000001</v>
      </c>
      <c r="AD7093">
        <v>-9.4946999999999795E-2</v>
      </c>
      <c r="AE7093">
        <v>0.56572999999999496</v>
      </c>
      <c r="AF7093">
        <v>-0.46278536130822601</v>
      </c>
      <c r="AG7093">
        <v>-9.4946999999999795E-2</v>
      </c>
      <c r="AH7093">
        <v>0.83859058099289996</v>
      </c>
      <c r="AI7093">
        <v>95.661179664908602</v>
      </c>
      <c r="AJ7093">
        <v>118.89258914426701</v>
      </c>
      <c r="AK7093">
        <v>0.962506823861626</v>
      </c>
      <c r="AL7093">
        <v>67.491170530635102</v>
      </c>
      <c r="AM7093">
        <v>108.654141657775</v>
      </c>
      <c r="AN7093">
        <v>0.99999999812950502</v>
      </c>
    </row>
    <row r="7094" spans="1:40" x14ac:dyDescent="0.25">
      <c r="A7094" t="str">
        <f>"20190304164300965"</f>
        <v>20190304164300965</v>
      </c>
      <c r="B7094" t="str">
        <f>"1551688980958415"</f>
        <v>1551688980958415</v>
      </c>
      <c r="C7094" t="s">
        <v>40</v>
      </c>
      <c r="D7094">
        <v>4.6877709999999997</v>
      </c>
      <c r="E7094">
        <v>0.44734800000000002</v>
      </c>
      <c r="F7094" t="s">
        <v>57</v>
      </c>
      <c r="G7094">
        <v>-208.43520000000001</v>
      </c>
      <c r="H7094" s="1">
        <v>-2.183711E-6</v>
      </c>
      <c r="I7094">
        <v>-55.8078199999999</v>
      </c>
      <c r="J7094">
        <v>-219.4529</v>
      </c>
      <c r="K7094">
        <v>1.1151279999999999</v>
      </c>
      <c r="L7094">
        <v>-62.718319999999999</v>
      </c>
      <c r="M7094">
        <v>0.99232399999999998</v>
      </c>
      <c r="N7094">
        <v>-1.481298E-2</v>
      </c>
      <c r="O7094">
        <v>0.1227753</v>
      </c>
      <c r="P7094">
        <v>0.83808850000000001</v>
      </c>
      <c r="Q7094">
        <v>0.3728243</v>
      </c>
      <c r="R7094">
        <v>0.39825870000000002</v>
      </c>
      <c r="S7094">
        <v>2.864868</v>
      </c>
      <c r="T7094">
        <v>-0.28540589999999999</v>
      </c>
      <c r="U7094">
        <v>1.7747189999999999</v>
      </c>
      <c r="V7094">
        <v>-0.29643740000000002</v>
      </c>
      <c r="W7094">
        <v>0.38268740000000001</v>
      </c>
      <c r="X7094">
        <v>0.87502869999999999</v>
      </c>
      <c r="Y7094">
        <v>-0.4168094</v>
      </c>
      <c r="Z7094">
        <v>1.297515E-2</v>
      </c>
      <c r="AA7094">
        <v>0.90890130000000002</v>
      </c>
      <c r="AB7094">
        <v>35</v>
      </c>
      <c r="AC7094">
        <v>11.0176999999999</v>
      </c>
      <c r="AD7094">
        <v>-1.1151301837109999</v>
      </c>
      <c r="AE7094">
        <v>6.9104999999999999</v>
      </c>
      <c r="AF7094">
        <v>-5.4651784807404002</v>
      </c>
      <c r="AG7094">
        <v>-1.1151301837109999</v>
      </c>
      <c r="AH7094">
        <v>11.696866111603899</v>
      </c>
      <c r="AI7094">
        <v>94.936550970458399</v>
      </c>
      <c r="AJ7094">
        <v>115.043600259564</v>
      </c>
      <c r="AK7094">
        <v>12.958717837261499</v>
      </c>
      <c r="AL7094">
        <v>67.499753989123704</v>
      </c>
      <c r="AM7094">
        <v>108.71506902260001</v>
      </c>
      <c r="AN7094">
        <v>1.0000000020305999</v>
      </c>
    </row>
    <row r="7095" spans="1:40" x14ac:dyDescent="0.25">
      <c r="A7095" t="str">
        <f>"20190304164300975"</f>
        <v>20190304164300975</v>
      </c>
      <c r="B7095" t="str">
        <f>"1551688980968174"</f>
        <v>1551688980968174</v>
      </c>
      <c r="C7095" t="s">
        <v>40</v>
      </c>
      <c r="D7095">
        <v>4.7043299999999997</v>
      </c>
      <c r="E7095">
        <v>0.4473608</v>
      </c>
      <c r="F7095" t="s">
        <v>41</v>
      </c>
      <c r="G7095">
        <v>-218.5369</v>
      </c>
      <c r="H7095">
        <v>1.023209</v>
      </c>
      <c r="I7095">
        <v>-62.14716</v>
      </c>
      <c r="J7095">
        <v>-219.2894</v>
      </c>
      <c r="K7095">
        <v>1.1151519999999999</v>
      </c>
      <c r="L7095">
        <v>-62.695950000000003</v>
      </c>
      <c r="M7095">
        <v>0.99203410000000003</v>
      </c>
      <c r="N7095">
        <v>-1.481418E-2</v>
      </c>
      <c r="O7095">
        <v>0.125094699999999</v>
      </c>
      <c r="P7095">
        <v>0.83678719999999995</v>
      </c>
      <c r="Q7095">
        <v>0.37261460000000002</v>
      </c>
      <c r="R7095">
        <v>0.40117999999999998</v>
      </c>
      <c r="S7095">
        <v>2.859772</v>
      </c>
      <c r="T7095">
        <v>-0.28698190000000001</v>
      </c>
      <c r="U7095">
        <v>1.78341699999999</v>
      </c>
      <c r="V7095">
        <v>-0.29746630000000002</v>
      </c>
      <c r="W7095">
        <v>0.38244159999999999</v>
      </c>
      <c r="X7095">
        <v>0.87478699999999998</v>
      </c>
      <c r="Y7095">
        <v>-0.41739229999999999</v>
      </c>
      <c r="Z7095">
        <v>1.288277E-2</v>
      </c>
      <c r="AA7095">
        <v>0.90863510000000003</v>
      </c>
      <c r="AB7095">
        <v>35</v>
      </c>
      <c r="AC7095">
        <v>0.75249999999999695</v>
      </c>
      <c r="AD7095">
        <v>-9.1943000000000094E-2</v>
      </c>
      <c r="AE7095">
        <v>0.548790000000003</v>
      </c>
      <c r="AF7095">
        <v>-0.44598771748445798</v>
      </c>
      <c r="AG7095">
        <v>-9.1943000000000094E-2</v>
      </c>
      <c r="AH7095">
        <v>0.80737761801664398</v>
      </c>
      <c r="AI7095">
        <v>95.692519849544198</v>
      </c>
      <c r="AJ7095">
        <v>118.91584301755999</v>
      </c>
      <c r="AK7095">
        <v>0.92693968383613101</v>
      </c>
      <c r="AL7095">
        <v>67.514997643925099</v>
      </c>
      <c r="AM7095">
        <v>108.780306441544</v>
      </c>
      <c r="AN7095">
        <v>1.00000003620762</v>
      </c>
    </row>
    <row r="7096" spans="1:40" x14ac:dyDescent="0.25">
      <c r="A7096" t="str">
        <f>"20190304164300988"</f>
        <v>20190304164300988</v>
      </c>
      <c r="B7096" t="str">
        <f>"1551688980977934"</f>
        <v>1551688980977934</v>
      </c>
      <c r="C7096" t="s">
        <v>40</v>
      </c>
      <c r="D7096">
        <v>4.7221669999999998</v>
      </c>
      <c r="E7096">
        <v>0.44737490000000002</v>
      </c>
      <c r="F7096" t="s">
        <v>57</v>
      </c>
      <c r="G7096">
        <v>-208.2732</v>
      </c>
      <c r="H7096" s="1">
        <v>-2.2936899999999999E-6</v>
      </c>
      <c r="I7096">
        <v>-55.781619999999997</v>
      </c>
      <c r="J7096">
        <v>-219.11519999999999</v>
      </c>
      <c r="K7096">
        <v>1.115186</v>
      </c>
      <c r="L7096">
        <v>-62.671719999999901</v>
      </c>
      <c r="M7096">
        <v>0.99171699999999996</v>
      </c>
      <c r="N7096">
        <v>-1.4815480000000001E-2</v>
      </c>
      <c r="O7096">
        <v>0.12758439999999999</v>
      </c>
      <c r="P7096">
        <v>0.83545480000000005</v>
      </c>
      <c r="Q7096">
        <v>0.37238759999999999</v>
      </c>
      <c r="R7096">
        <v>0.40415709999999999</v>
      </c>
      <c r="S7096">
        <v>2.8547820000000002</v>
      </c>
      <c r="T7096">
        <v>-0.28898610000000002</v>
      </c>
      <c r="U7096">
        <v>1.791809</v>
      </c>
      <c r="V7096">
        <v>-0.29840820000000001</v>
      </c>
      <c r="W7096">
        <v>0.38217760000000001</v>
      </c>
      <c r="X7096">
        <v>0.87458150000000001</v>
      </c>
      <c r="Y7096">
        <v>-0.41773090000000002</v>
      </c>
      <c r="Z7096">
        <v>1.277329E-2</v>
      </c>
      <c r="AA7096">
        <v>0.90848099999999998</v>
      </c>
      <c r="AB7096">
        <v>35</v>
      </c>
      <c r="AC7096">
        <v>10.841999999999899</v>
      </c>
      <c r="AD7096">
        <v>-1.1151882936899999</v>
      </c>
      <c r="AE7096">
        <v>6.8900999999999897</v>
      </c>
      <c r="AF7096">
        <v>-5.4095899105266403</v>
      </c>
      <c r="AG7096">
        <v>-1.1151882936899999</v>
      </c>
      <c r="AH7096">
        <v>11.545532746125099</v>
      </c>
      <c r="AI7096">
        <v>94.998689551639302</v>
      </c>
      <c r="AJ7096">
        <v>115.10515666733301</v>
      </c>
      <c r="AK7096">
        <v>12.7986965868522</v>
      </c>
      <c r="AL7096">
        <v>67.531366067775394</v>
      </c>
      <c r="AM7096">
        <v>108.839699345166</v>
      </c>
      <c r="AN7096">
        <v>0.999999985955624</v>
      </c>
    </row>
    <row r="7097" spans="1:40" x14ac:dyDescent="0.25">
      <c r="A7097" t="str">
        <f>"20190304164301001"</f>
        <v>20190304164301001</v>
      </c>
      <c r="B7097" t="str">
        <f>"1551688980988671"</f>
        <v>1551688980988671</v>
      </c>
      <c r="C7097" t="s">
        <v>40</v>
      </c>
      <c r="D7097">
        <v>4.731033</v>
      </c>
      <c r="E7097">
        <v>0.44741700000000001</v>
      </c>
      <c r="F7097" t="s">
        <v>41</v>
      </c>
      <c r="G7097">
        <v>-218.23150000000001</v>
      </c>
      <c r="H7097">
        <v>1.025004</v>
      </c>
      <c r="I7097">
        <v>-62.11309</v>
      </c>
      <c r="J7097">
        <v>-218.92529999999999</v>
      </c>
      <c r="K7097">
        <v>1.115224</v>
      </c>
      <c r="L7097">
        <v>-62.644869999999997</v>
      </c>
      <c r="M7097">
        <v>0.99136080000000004</v>
      </c>
      <c r="N7097">
        <v>-1.4816910000000001E-2</v>
      </c>
      <c r="O7097">
        <v>0.13032340000000001</v>
      </c>
      <c r="P7097">
        <v>0.83409699999999998</v>
      </c>
      <c r="Q7097">
        <v>0.37197279999999999</v>
      </c>
      <c r="R7097">
        <v>0.4073309</v>
      </c>
      <c r="S7097">
        <v>2.849167</v>
      </c>
      <c r="T7097">
        <v>-0.29075659999999998</v>
      </c>
      <c r="U7097">
        <v>1.801086</v>
      </c>
      <c r="V7097">
        <v>-0.2993304</v>
      </c>
      <c r="W7097">
        <v>0.38172410000000001</v>
      </c>
      <c r="X7097">
        <v>0.87446440000000003</v>
      </c>
      <c r="Y7097">
        <v>-0.41813400000000001</v>
      </c>
      <c r="Z7097">
        <v>1.2640200000000001E-2</v>
      </c>
      <c r="AA7097">
        <v>0.90829740000000003</v>
      </c>
      <c r="AB7097">
        <v>35</v>
      </c>
      <c r="AC7097">
        <v>0.69379999999998099</v>
      </c>
      <c r="AD7097">
        <v>-9.0219999999999897E-2</v>
      </c>
      <c r="AE7097">
        <v>0.53177999999999703</v>
      </c>
      <c r="AF7097">
        <v>-0.43221154773252102</v>
      </c>
      <c r="AG7097">
        <v>-9.0219999999999897E-2</v>
      </c>
      <c r="AH7097">
        <v>0.74921208788764704</v>
      </c>
      <c r="AI7097">
        <v>95.954845961725894</v>
      </c>
      <c r="AJ7097">
        <v>119.980136332885</v>
      </c>
      <c r="AK7097">
        <v>0.86963510912928799</v>
      </c>
      <c r="AL7097">
        <v>67.5594812330595</v>
      </c>
      <c r="AM7097">
        <v>108.896147833234</v>
      </c>
      <c r="AN7097">
        <v>0.99999998187616401</v>
      </c>
    </row>
    <row r="7098" spans="1:40" x14ac:dyDescent="0.25">
      <c r="A7098" t="str">
        <f>"20190304164301014"</f>
        <v>20190304164301014</v>
      </c>
      <c r="B7098" t="str">
        <f>"1551688981008190"</f>
        <v>1551688981008190</v>
      </c>
      <c r="C7098" t="s">
        <v>40</v>
      </c>
      <c r="D7098">
        <v>4.700189</v>
      </c>
      <c r="E7098">
        <v>0.44750760000000001</v>
      </c>
      <c r="F7098" t="s">
        <v>57</v>
      </c>
      <c r="G7098">
        <v>-208.0992</v>
      </c>
      <c r="H7098" s="1">
        <v>-2.4130649999999999E-6</v>
      </c>
      <c r="I7098">
        <v>-55.748539999999998</v>
      </c>
      <c r="J7098">
        <v>-218.73169999999999</v>
      </c>
      <c r="K7098">
        <v>1.1152690000000001</v>
      </c>
      <c r="L7098">
        <v>-62.6166699999999</v>
      </c>
      <c r="M7098">
        <v>0.99098399999999998</v>
      </c>
      <c r="N7098">
        <v>-1.481848E-2</v>
      </c>
      <c r="O7098">
        <v>0.13315839999999901</v>
      </c>
      <c r="P7098">
        <v>0.83262969999999903</v>
      </c>
      <c r="Q7098">
        <v>0.37159150000000002</v>
      </c>
      <c r="R7098">
        <v>0.41066710000000001</v>
      </c>
      <c r="S7098">
        <v>2.8429259999999998</v>
      </c>
      <c r="T7098">
        <v>-0.29285850000000002</v>
      </c>
      <c r="U7098">
        <v>1.8109740000000001</v>
      </c>
      <c r="V7098">
        <v>-0.30034660000000002</v>
      </c>
      <c r="W7098">
        <v>0.38130239999999999</v>
      </c>
      <c r="X7098">
        <v>0.87429990000000002</v>
      </c>
      <c r="Y7098">
        <v>-0.41867389999999999</v>
      </c>
      <c r="Z7098">
        <v>1.2513659999999999E-2</v>
      </c>
      <c r="AA7098">
        <v>0.90805040000000004</v>
      </c>
      <c r="AB7098">
        <v>35</v>
      </c>
      <c r="AC7098">
        <v>10.632499999999901</v>
      </c>
      <c r="AD7098">
        <v>-1.1152714130650001</v>
      </c>
      <c r="AE7098">
        <v>6.8681299999999803</v>
      </c>
      <c r="AF7098">
        <v>-5.3494631147850802</v>
      </c>
      <c r="AG7098">
        <v>-1.1152714130650001</v>
      </c>
      <c r="AH7098">
        <v>11.3642210924873</v>
      </c>
      <c r="AI7098">
        <v>95.074159858264494</v>
      </c>
      <c r="AJ7098">
        <v>115.207704320961</v>
      </c>
      <c r="AK7098">
        <v>12.609762368108999</v>
      </c>
      <c r="AL7098">
        <v>67.585619335221594</v>
      </c>
      <c r="AM7098">
        <v>108.95903763646901</v>
      </c>
      <c r="AN7098">
        <v>0.99999995775866402</v>
      </c>
    </row>
    <row r="7099" spans="1:40" x14ac:dyDescent="0.25">
      <c r="A7099" t="str">
        <f>"20190304164301025"</f>
        <v>20190304164301025</v>
      </c>
      <c r="B7099" t="str">
        <f>"1551688981017950"</f>
        <v>1551688981017950</v>
      </c>
      <c r="C7099" t="s">
        <v>40</v>
      </c>
      <c r="D7099">
        <v>4.7192970000000001</v>
      </c>
      <c r="E7099">
        <v>0.44759749999999998</v>
      </c>
      <c r="F7099" t="s">
        <v>41</v>
      </c>
      <c r="G7099">
        <v>-217.86160000000001</v>
      </c>
      <c r="H7099">
        <v>1.0248870000000001</v>
      </c>
      <c r="I7099">
        <v>-62.05829</v>
      </c>
      <c r="J7099">
        <v>-218.54069999999999</v>
      </c>
      <c r="K7099">
        <v>1.1153109999999999</v>
      </c>
      <c r="L7099">
        <v>-62.588470000000001</v>
      </c>
      <c r="M7099">
        <v>0.99060159999999997</v>
      </c>
      <c r="N7099">
        <v>-1.481997E-2</v>
      </c>
      <c r="O7099">
        <v>0.13597429999999999</v>
      </c>
      <c r="P7099">
        <v>0.83112609999999998</v>
      </c>
      <c r="Q7099">
        <v>0.37125920000000001</v>
      </c>
      <c r="R7099">
        <v>0.41400009999999998</v>
      </c>
      <c r="S7099">
        <v>2.8365170000000002</v>
      </c>
      <c r="T7099">
        <v>-0.29467059999999901</v>
      </c>
      <c r="U7099">
        <v>1.82074</v>
      </c>
      <c r="V7099">
        <v>-0.30138490000000001</v>
      </c>
      <c r="W7099">
        <v>0.38092759999999998</v>
      </c>
      <c r="X7099">
        <v>0.87410599999999905</v>
      </c>
      <c r="Y7099">
        <v>-0.41922890000000002</v>
      </c>
      <c r="Z7099">
        <v>1.2379350000000001E-2</v>
      </c>
      <c r="AA7099">
        <v>0.90779609999999999</v>
      </c>
      <c r="AB7099">
        <v>34</v>
      </c>
      <c r="AC7099">
        <v>0.67909999999997595</v>
      </c>
      <c r="AD7099">
        <v>-9.0424000000000004E-2</v>
      </c>
      <c r="AE7099">
        <v>0.53017999999999399</v>
      </c>
      <c r="AF7099">
        <v>-0.42818778265053498</v>
      </c>
      <c r="AG7099">
        <v>-9.0424000000000004E-2</v>
      </c>
      <c r="AH7099">
        <v>0.73677415624105502</v>
      </c>
      <c r="AI7099">
        <v>96.057059384924003</v>
      </c>
      <c r="AJ7099">
        <v>120.163680210339</v>
      </c>
      <c r="AK7099">
        <v>0.85694657610139402</v>
      </c>
      <c r="AL7099">
        <v>67.608847750283005</v>
      </c>
      <c r="AM7099">
        <v>109.023792194883</v>
      </c>
      <c r="AN7099">
        <v>0.99999999681288398</v>
      </c>
    </row>
    <row r="7100" spans="1:40" x14ac:dyDescent="0.25">
      <c r="A7100" t="str">
        <f>"20190304164301035"</f>
        <v>20190304164301035</v>
      </c>
      <c r="B7100" t="str">
        <f>"1551688981027710"</f>
        <v>1551688981027710</v>
      </c>
      <c r="C7100" t="s">
        <v>40</v>
      </c>
      <c r="D7100">
        <v>4.7297279999999997</v>
      </c>
      <c r="E7100">
        <v>0.44765660000000002</v>
      </c>
      <c r="F7100" t="s">
        <v>41</v>
      </c>
      <c r="G7100">
        <v>-217.636</v>
      </c>
      <c r="H7100">
        <v>1.0205839999999999</v>
      </c>
      <c r="I7100">
        <v>-62.003509999999999</v>
      </c>
      <c r="J7100">
        <v>-218.38229999999999</v>
      </c>
      <c r="K7100">
        <v>1.115345</v>
      </c>
      <c r="L7100">
        <v>-62.564540000000001</v>
      </c>
      <c r="M7100">
        <v>0.99027350000000003</v>
      </c>
      <c r="N7100">
        <v>-1.4821300000000001E-2</v>
      </c>
      <c r="O7100">
        <v>0.1383422</v>
      </c>
      <c r="P7100">
        <v>0.82977679999999998</v>
      </c>
      <c r="Q7100">
        <v>0.37105909999999998</v>
      </c>
      <c r="R7100">
        <v>0.41687600000000002</v>
      </c>
      <c r="S7100">
        <v>2.830276</v>
      </c>
      <c r="T7100">
        <v>-0.29635919999999999</v>
      </c>
      <c r="U7100">
        <v>1.8302609999999999</v>
      </c>
      <c r="V7100">
        <v>-0.30234490000000003</v>
      </c>
      <c r="W7100">
        <v>0.38068999999999997</v>
      </c>
      <c r="X7100">
        <v>0.87387800000000004</v>
      </c>
      <c r="Y7100">
        <v>-0.42011199999999999</v>
      </c>
      <c r="Z7100">
        <v>1.229241E-2</v>
      </c>
      <c r="AA7100">
        <v>0.907389</v>
      </c>
      <c r="AB7100">
        <v>34</v>
      </c>
      <c r="AC7100">
        <v>0.74629999999998997</v>
      </c>
      <c r="AD7100">
        <v>-9.4761000000000095E-2</v>
      </c>
      <c r="AE7100">
        <v>0.56103000000000203</v>
      </c>
      <c r="AF7100">
        <v>-0.44776561112025398</v>
      </c>
      <c r="AG7100">
        <v>-9.4761000000000095E-2</v>
      </c>
      <c r="AH7100">
        <v>0.80841743649025399</v>
      </c>
      <c r="AI7100">
        <v>95.854634241449602</v>
      </c>
      <c r="AJ7100">
        <v>118.981157065685</v>
      </c>
      <c r="AK7100">
        <v>0.92898462917551505</v>
      </c>
      <c r="AL7100">
        <v>67.623571475802393</v>
      </c>
      <c r="AM7100">
        <v>109.08463119654201</v>
      </c>
      <c r="AN7100">
        <v>1.0000000367699999</v>
      </c>
    </row>
    <row r="7101" spans="1:40" x14ac:dyDescent="0.25">
      <c r="A7101" t="str">
        <f>"20190304164301046"</f>
        <v>20190304164301046</v>
      </c>
      <c r="B7101" t="str">
        <f>"1551688981038447"</f>
        <v>1551688981038447</v>
      </c>
      <c r="C7101" t="s">
        <v>40</v>
      </c>
      <c r="D7101">
        <v>4.7079529999999998</v>
      </c>
      <c r="E7101">
        <v>0.44774920000000001</v>
      </c>
      <c r="F7101" t="s">
        <v>57</v>
      </c>
      <c r="G7101">
        <v>-207.8031</v>
      </c>
      <c r="H7101" s="1">
        <v>-2.6196459999999999E-6</v>
      </c>
      <c r="I7101">
        <v>-55.679470000000002</v>
      </c>
      <c r="J7101">
        <v>-218.22970000000001</v>
      </c>
      <c r="K7101">
        <v>1.1153850000000001</v>
      </c>
      <c r="L7101">
        <v>-62.541200000000003</v>
      </c>
      <c r="M7101">
        <v>0.98995</v>
      </c>
      <c r="N7101">
        <v>-1.482259E-2</v>
      </c>
      <c r="O7101">
        <v>0.14063870000000001</v>
      </c>
      <c r="P7101">
        <v>0.82827909999999905</v>
      </c>
      <c r="Q7101">
        <v>0.37110929999999998</v>
      </c>
      <c r="R7101">
        <v>0.41979939999999999</v>
      </c>
      <c r="S7101">
        <v>2.8249209999999998</v>
      </c>
      <c r="T7101">
        <v>-0.29782779999999998</v>
      </c>
      <c r="U7101">
        <v>1.8385009999999999</v>
      </c>
      <c r="V7101">
        <v>-0.3034405</v>
      </c>
      <c r="W7101">
        <v>0.38069979999999998</v>
      </c>
      <c r="X7101">
        <v>0.87349390000000005</v>
      </c>
      <c r="Y7101">
        <v>-0.42064439999999997</v>
      </c>
      <c r="Z7101">
        <v>1.218295E-2</v>
      </c>
      <c r="AA7101">
        <v>0.90714379999999994</v>
      </c>
      <c r="AB7101">
        <v>34</v>
      </c>
      <c r="AC7101">
        <v>10.426600000000001</v>
      </c>
      <c r="AD7101">
        <v>-1.115387619646</v>
      </c>
      <c r="AE7101">
        <v>6.8617299999999997</v>
      </c>
      <c r="AF7101">
        <v>-5.2847709659963504</v>
      </c>
      <c r="AG7101">
        <v>-1.115387619646</v>
      </c>
      <c r="AH7101">
        <v>11.198653134961001</v>
      </c>
      <c r="AI7101">
        <v>95.146977096063694</v>
      </c>
      <c r="AJ7101">
        <v>115.263154185969</v>
      </c>
      <c r="AK7101">
        <v>12.433130166706601</v>
      </c>
      <c r="AL7101">
        <v>67.622964189607302</v>
      </c>
      <c r="AM7101">
        <v>109.156566682411</v>
      </c>
      <c r="AN7101">
        <v>1.00000003404874</v>
      </c>
    </row>
    <row r="7102" spans="1:40" x14ac:dyDescent="0.25">
      <c r="A7102" t="str">
        <f>"20190304164301056"</f>
        <v>20190304164301056</v>
      </c>
      <c r="B7102" t="str">
        <f>"1551688981048206"</f>
        <v>1551688981048206</v>
      </c>
      <c r="C7102" t="s">
        <v>40</v>
      </c>
      <c r="D7102">
        <v>4.7062949999999999</v>
      </c>
      <c r="E7102">
        <v>0.44780219999999998</v>
      </c>
      <c r="F7102" t="s">
        <v>41</v>
      </c>
      <c r="G7102">
        <v>-217.33590000000001</v>
      </c>
      <c r="H7102">
        <v>1.020748</v>
      </c>
      <c r="I7102">
        <v>-61.955910000000003</v>
      </c>
      <c r="J7102">
        <v>-218.07749999999999</v>
      </c>
      <c r="K7102">
        <v>1.115416</v>
      </c>
      <c r="L7102">
        <v>-62.517490000000002</v>
      </c>
      <c r="M7102">
        <v>0.98961860000000001</v>
      </c>
      <c r="N7102">
        <v>-1.482398E-2</v>
      </c>
      <c r="O7102">
        <v>0.14295260000000001</v>
      </c>
      <c r="P7102">
        <v>0.82705309999999899</v>
      </c>
      <c r="Q7102">
        <v>0.3709153</v>
      </c>
      <c r="R7102">
        <v>0.42238029999999999</v>
      </c>
      <c r="S7102">
        <v>2.8197779999999999</v>
      </c>
      <c r="T7102">
        <v>-0.29857240000000002</v>
      </c>
      <c r="U7102">
        <v>1.8466800000000001</v>
      </c>
      <c r="V7102">
        <v>-0.30414259999999999</v>
      </c>
      <c r="W7102">
        <v>0.38047259999999999</v>
      </c>
      <c r="X7102">
        <v>0.87334869999999898</v>
      </c>
      <c r="Y7102">
        <v>-0.42112129999999998</v>
      </c>
      <c r="Z7102">
        <v>1.2050450000000001E-2</v>
      </c>
      <c r="AA7102">
        <v>0.90692430000000002</v>
      </c>
      <c r="AB7102">
        <v>34</v>
      </c>
      <c r="AC7102">
        <v>0.74159999999997595</v>
      </c>
      <c r="AD7102">
        <v>-9.4667999999999905E-2</v>
      </c>
      <c r="AE7102">
        <v>0.56158000000000596</v>
      </c>
      <c r="AF7102">
        <v>-0.44517523665622899</v>
      </c>
      <c r="AG7102">
        <v>-9.4667999999999905E-2</v>
      </c>
      <c r="AH7102">
        <v>0.80592323326239101</v>
      </c>
      <c r="AI7102">
        <v>95.8706061869064</v>
      </c>
      <c r="AJ7102">
        <v>118.915347727197</v>
      </c>
      <c r="AK7102">
        <v>0.92555674027475798</v>
      </c>
      <c r="AL7102">
        <v>67.6370411944892</v>
      </c>
      <c r="AM7102">
        <v>109.20060878640599</v>
      </c>
      <c r="AN7102">
        <v>1.0000000361385999</v>
      </c>
    </row>
    <row r="7103" spans="1:40" x14ac:dyDescent="0.25">
      <c r="A7103" t="str">
        <f>"20190304164301065"</f>
        <v>20190304164301065</v>
      </c>
      <c r="B7103" t="str">
        <f>"1551688981057966"</f>
        <v>1551688981057966</v>
      </c>
      <c r="C7103" t="s">
        <v>40</v>
      </c>
      <c r="D7103">
        <v>4.7124220000000001</v>
      </c>
      <c r="E7103">
        <v>0.44792109999999902</v>
      </c>
      <c r="F7103" t="s">
        <v>57</v>
      </c>
      <c r="G7103">
        <v>-207.61109999999999</v>
      </c>
      <c r="H7103" s="1">
        <v>-2.757269E-6</v>
      </c>
      <c r="I7103">
        <v>-55.621009999999998</v>
      </c>
      <c r="J7103">
        <v>-217.9323</v>
      </c>
      <c r="K7103">
        <v>1.1154470000000001</v>
      </c>
      <c r="L7103">
        <v>-62.494509999999998</v>
      </c>
      <c r="M7103">
        <v>0.98929469999999997</v>
      </c>
      <c r="N7103">
        <v>-1.4825299999999901E-2</v>
      </c>
      <c r="O7103">
        <v>0.145177</v>
      </c>
      <c r="P7103">
        <v>0.82582009999999995</v>
      </c>
      <c r="Q7103">
        <v>0.37071219999999999</v>
      </c>
      <c r="R7103">
        <v>0.42496319999999999</v>
      </c>
      <c r="S7103">
        <v>2.8146969999999998</v>
      </c>
      <c r="T7103">
        <v>-0.2999656</v>
      </c>
      <c r="U7103">
        <v>1.8546450000000001</v>
      </c>
      <c r="V7103">
        <v>-0.30492760000000002</v>
      </c>
      <c r="W7103">
        <v>0.3802353</v>
      </c>
      <c r="X7103">
        <v>0.87317819999999902</v>
      </c>
      <c r="Y7103">
        <v>-0.4216163</v>
      </c>
      <c r="Z7103">
        <v>1.193905E-2</v>
      </c>
      <c r="AA7103">
        <v>0.90669580000000005</v>
      </c>
      <c r="AB7103">
        <v>34</v>
      </c>
      <c r="AC7103">
        <v>10.321199999999999</v>
      </c>
      <c r="AD7103">
        <v>-1.1154497572690001</v>
      </c>
      <c r="AE7103">
        <v>6.8734999999999999</v>
      </c>
      <c r="AF7103">
        <v>-5.2595416449969203</v>
      </c>
      <c r="AG7103">
        <v>-1.1154497572690001</v>
      </c>
      <c r="AH7103">
        <v>11.119838893740299</v>
      </c>
      <c r="AI7103">
        <v>95.181404668902999</v>
      </c>
      <c r="AJ7103">
        <v>115.313550697843</v>
      </c>
      <c r="AK7103">
        <v>12.351430018390101</v>
      </c>
      <c r="AL7103">
        <v>67.651740306402701</v>
      </c>
      <c r="AM7103">
        <v>109.250007123323</v>
      </c>
      <c r="AN7103">
        <v>0.99999994678154303</v>
      </c>
    </row>
    <row r="7104" spans="1:40" x14ac:dyDescent="0.25">
      <c r="A7104" t="str">
        <f>"20190304164301087"</f>
        <v>20190304164301087</v>
      </c>
      <c r="B7104" t="str">
        <f>"1551688981078463"</f>
        <v>1551688981078463</v>
      </c>
      <c r="C7104" t="s">
        <v>40</v>
      </c>
      <c r="D7104">
        <v>4.6960189999999997</v>
      </c>
      <c r="E7104">
        <v>0.44797920000000002</v>
      </c>
      <c r="F7104" t="s">
        <v>41</v>
      </c>
      <c r="G7104">
        <v>-217.03819999999999</v>
      </c>
      <c r="H7104">
        <v>1.019436</v>
      </c>
      <c r="I7104">
        <v>-61.902200000000001</v>
      </c>
      <c r="J7104">
        <v>-217.60720000000001</v>
      </c>
      <c r="K7104">
        <v>1.115515</v>
      </c>
      <c r="L7104">
        <v>-62.441740000000003</v>
      </c>
      <c r="M7104">
        <v>0.98853950000000002</v>
      </c>
      <c r="N7104">
        <v>-1.482851E-2</v>
      </c>
      <c r="O7104">
        <v>0.1502327</v>
      </c>
      <c r="P7104">
        <v>0.82318009999999997</v>
      </c>
      <c r="Q7104">
        <v>0.37005779999999999</v>
      </c>
      <c r="R7104">
        <v>0.43061769999999999</v>
      </c>
      <c r="S7104">
        <v>2.8100890000000001</v>
      </c>
      <c r="T7104">
        <v>-0.30178120000000003</v>
      </c>
      <c r="U7104">
        <v>1.8619079999999999</v>
      </c>
      <c r="V7104">
        <v>-0.30647839999999998</v>
      </c>
      <c r="W7104">
        <v>0.37950840000000002</v>
      </c>
      <c r="X7104">
        <v>0.87295159999999905</v>
      </c>
      <c r="Y7104">
        <v>-0.41930479999999998</v>
      </c>
      <c r="Z7104">
        <v>1.1447239999999999E-2</v>
      </c>
      <c r="AA7104">
        <v>0.90777339999999995</v>
      </c>
      <c r="AB7104">
        <v>34</v>
      </c>
      <c r="AC7104">
        <v>0.56900000000001605</v>
      </c>
      <c r="AD7104">
        <v>-9.6078999999999998E-2</v>
      </c>
      <c r="AE7104">
        <v>0.53954000000000202</v>
      </c>
      <c r="AF7104">
        <v>-0.44129806142188699</v>
      </c>
      <c r="AG7104">
        <v>-9.6078999999999998E-2</v>
      </c>
      <c r="AH7104">
        <v>0.63408649820954899</v>
      </c>
      <c r="AI7104">
        <v>97.089390431765096</v>
      </c>
      <c r="AJ7104">
        <v>124.83632549667701</v>
      </c>
      <c r="AK7104">
        <v>0.77848624937590505</v>
      </c>
      <c r="AL7104">
        <v>67.696766391676505</v>
      </c>
      <c r="AM7104">
        <v>109.345303231348</v>
      </c>
      <c r="AN7104">
        <v>1.00000006563983</v>
      </c>
    </row>
    <row r="7105" spans="1:40" x14ac:dyDescent="0.25">
      <c r="A7105" t="str">
        <f>"20190304164301097"</f>
        <v>20190304164301097</v>
      </c>
      <c r="B7105" t="str">
        <f>"1551688981088223"</f>
        <v>1551688981088223</v>
      </c>
      <c r="C7105" t="s">
        <v>40</v>
      </c>
      <c r="D7105">
        <v>4.7033050000000003</v>
      </c>
      <c r="E7105">
        <v>0.44810070000000002</v>
      </c>
      <c r="F7105" t="s">
        <v>41</v>
      </c>
      <c r="G7105">
        <v>-216.7373</v>
      </c>
      <c r="H7105">
        <v>1.020804</v>
      </c>
      <c r="I7105">
        <v>-61.857349999999997</v>
      </c>
      <c r="J7105">
        <v>-217.44409999999999</v>
      </c>
      <c r="K7105">
        <v>1.1155539999999999</v>
      </c>
      <c r="L7105">
        <v>-62.414670000000001</v>
      </c>
      <c r="M7105">
        <v>0.9881451</v>
      </c>
      <c r="N7105">
        <v>-1.483021E-2</v>
      </c>
      <c r="O7105">
        <v>0.15280539999999901</v>
      </c>
      <c r="P7105">
        <v>0.821909</v>
      </c>
      <c r="Q7105">
        <v>0.36947720000000001</v>
      </c>
      <c r="R7105">
        <v>0.4335349</v>
      </c>
      <c r="S7105">
        <v>2.7979579999999999</v>
      </c>
      <c r="T7105">
        <v>-0.30462400000000001</v>
      </c>
      <c r="U7105">
        <v>1.8798520000000001</v>
      </c>
      <c r="V7105">
        <v>-0.3072974</v>
      </c>
      <c r="W7105">
        <v>0.37889030000000001</v>
      </c>
      <c r="X7105">
        <v>0.87293209999999999</v>
      </c>
      <c r="Y7105">
        <v>-0.42273680000000002</v>
      </c>
      <c r="Z7105">
        <v>1.1507379999999999E-2</v>
      </c>
      <c r="AA7105">
        <v>0.90617939999999997</v>
      </c>
      <c r="AB7105">
        <v>34</v>
      </c>
      <c r="AC7105">
        <v>0.70679999999998699</v>
      </c>
      <c r="AD7105">
        <v>-9.4750000000000098E-2</v>
      </c>
      <c r="AE7105">
        <v>0.55731999999999704</v>
      </c>
      <c r="AF7105">
        <v>-0.437906359276035</v>
      </c>
      <c r="AG7105">
        <v>-9.4750000000000098E-2</v>
      </c>
      <c r="AH7105">
        <v>0.77507987426337699</v>
      </c>
      <c r="AI7105">
        <v>96.075294809333698</v>
      </c>
      <c r="AJ7105">
        <v>119.46567668876401</v>
      </c>
      <c r="AK7105">
        <v>0.89525881927101103</v>
      </c>
      <c r="AL7105">
        <v>67.735037817034296</v>
      </c>
      <c r="AM7105">
        <v>109.393546064444</v>
      </c>
      <c r="AN7105">
        <v>1.0000000013456301</v>
      </c>
    </row>
    <row r="7106" spans="1:40" x14ac:dyDescent="0.25">
      <c r="A7106" t="str">
        <f>"20190304164301109"</f>
        <v>20190304164301109</v>
      </c>
      <c r="B7106" t="str">
        <f>"1551688981097982"</f>
        <v>1551688981097982</v>
      </c>
      <c r="C7106" t="s">
        <v>40</v>
      </c>
      <c r="D7106">
        <v>4.6857810000000004</v>
      </c>
      <c r="E7106">
        <v>0.44810070000000002</v>
      </c>
      <c r="F7106" t="s">
        <v>57</v>
      </c>
      <c r="G7106">
        <v>-207.3141</v>
      </c>
      <c r="H7106" s="1">
        <v>-2.9567399999999998E-6</v>
      </c>
      <c r="I7106">
        <v>-55.562690000000003</v>
      </c>
      <c r="J7106">
        <v>-217.27330000000001</v>
      </c>
      <c r="K7106">
        <v>1.115604</v>
      </c>
      <c r="L7106">
        <v>-62.385710000000003</v>
      </c>
      <c r="M7106">
        <v>0.9877184</v>
      </c>
      <c r="N7106">
        <v>-1.483227E-2</v>
      </c>
      <c r="O7106">
        <v>0.1555388</v>
      </c>
      <c r="P7106">
        <v>0.82034560000000001</v>
      </c>
      <c r="Q7106">
        <v>0.369589</v>
      </c>
      <c r="R7106">
        <v>0.43639080000000002</v>
      </c>
      <c r="S7106">
        <v>2.792084</v>
      </c>
      <c r="T7106">
        <v>-0.30747619999999998</v>
      </c>
      <c r="U7106">
        <v>1.8885799999999999</v>
      </c>
      <c r="V7106">
        <v>-0.30797140000000001</v>
      </c>
      <c r="W7106">
        <v>0.37895909999999999</v>
      </c>
      <c r="X7106">
        <v>0.87266460000000001</v>
      </c>
      <c r="Y7106">
        <v>-0.42304009999999997</v>
      </c>
      <c r="Z7106">
        <v>1.1363959999999999E-2</v>
      </c>
      <c r="AA7106">
        <v>0.9060397</v>
      </c>
      <c r="AB7106">
        <v>34</v>
      </c>
      <c r="AC7106">
        <v>9.9592000000000098</v>
      </c>
      <c r="AD7106">
        <v>-1.11560695674</v>
      </c>
      <c r="AE7106">
        <v>6.8230199999999899</v>
      </c>
      <c r="AF7106">
        <v>-5.14679906165824</v>
      </c>
      <c r="AG7106">
        <v>-1.11560695674</v>
      </c>
      <c r="AH7106">
        <v>10.8070391053006</v>
      </c>
      <c r="AI7106">
        <v>95.324585780322394</v>
      </c>
      <c r="AJ7106">
        <v>115.465894670179</v>
      </c>
      <c r="AK7106">
        <v>12.0219055763431</v>
      </c>
      <c r="AL7106">
        <v>67.7307768587781</v>
      </c>
      <c r="AM7106">
        <v>109.43840763077</v>
      </c>
      <c r="AN7106">
        <v>0.99999994339196296</v>
      </c>
    </row>
    <row r="7107" spans="1:40" x14ac:dyDescent="0.25">
      <c r="A7107" t="str">
        <f>"20190304164301120"</f>
        <v>20190304164301120</v>
      </c>
      <c r="B7107" t="str">
        <f>"1551688981107742"</f>
        <v>1551688981107742</v>
      </c>
      <c r="C7107" t="s">
        <v>40</v>
      </c>
      <c r="D7107">
        <v>4.7088989999999997</v>
      </c>
      <c r="E7107">
        <v>0.45221650000000002</v>
      </c>
      <c r="F7107" t="s">
        <v>41</v>
      </c>
      <c r="G7107">
        <v>-216.43539999999999</v>
      </c>
      <c r="H7107">
        <v>1.023196</v>
      </c>
      <c r="I7107">
        <v>-61.814889999999998</v>
      </c>
      <c r="J7107">
        <v>-217.1104</v>
      </c>
      <c r="K7107">
        <v>1.115648</v>
      </c>
      <c r="L7107">
        <v>-62.357819999999997</v>
      </c>
      <c r="M7107">
        <v>0.9873016</v>
      </c>
      <c r="N7107">
        <v>-1.483421E-2</v>
      </c>
      <c r="O7107">
        <v>0.15816259999999999</v>
      </c>
      <c r="P7107">
        <v>0.81876000000000004</v>
      </c>
      <c r="Q7107">
        <v>0.36979000000000001</v>
      </c>
      <c r="R7107">
        <v>0.4391893</v>
      </c>
      <c r="S7107">
        <v>2.7857509999999999</v>
      </c>
      <c r="T7107">
        <v>-0.30722509999999997</v>
      </c>
      <c r="U7107">
        <v>1.89798</v>
      </c>
      <c r="V7107">
        <v>-0.30869419999999997</v>
      </c>
      <c r="W7107">
        <v>0.37911660000000003</v>
      </c>
      <c r="X7107">
        <v>0.87234080000000003</v>
      </c>
      <c r="Y7107">
        <v>-0.42368610000000001</v>
      </c>
      <c r="Z7107">
        <v>1.1189330000000001E-2</v>
      </c>
      <c r="AA7107">
        <v>0.90573999999999999</v>
      </c>
      <c r="AB7107">
        <v>34</v>
      </c>
      <c r="AC7107">
        <v>0.67500000000001104</v>
      </c>
      <c r="AD7107">
        <v>-9.2451999999999895E-2</v>
      </c>
      <c r="AE7107">
        <v>0.54292999999999103</v>
      </c>
      <c r="AF7107">
        <v>-0.42448805063884198</v>
      </c>
      <c r="AG7107">
        <v>-9.2451999999999895E-2</v>
      </c>
      <c r="AH7107">
        <v>0.74390915906486099</v>
      </c>
      <c r="AI7107">
        <v>96.1607516731369</v>
      </c>
      <c r="AJ7107">
        <v>119.709864174827</v>
      </c>
      <c r="AK7107">
        <v>0.86147450013320404</v>
      </c>
      <c r="AL7107">
        <v>67.721026165860295</v>
      </c>
      <c r="AM7107">
        <v>109.48728317300299</v>
      </c>
      <c r="AN7107">
        <v>0.99999998842691995</v>
      </c>
    </row>
    <row r="7108" spans="1:40" x14ac:dyDescent="0.25">
      <c r="A7108" t="str">
        <f>"20190304164301133"</f>
        <v>20190304164301133</v>
      </c>
      <c r="B7108" t="str">
        <f>"1551688981128238"</f>
        <v>1551688981128238</v>
      </c>
      <c r="C7108" t="s">
        <v>40</v>
      </c>
      <c r="D7108">
        <v>4.6968110000000003</v>
      </c>
      <c r="E7108">
        <v>0.45147330000000002</v>
      </c>
      <c r="F7108" t="s">
        <v>57</v>
      </c>
      <c r="G7108">
        <v>-207.72309999999999</v>
      </c>
      <c r="H7108" s="1">
        <v>-2.5698430000000001E-6</v>
      </c>
      <c r="I7108">
        <v>-56.057830000000003</v>
      </c>
      <c r="J7108">
        <v>-216.93299999999999</v>
      </c>
      <c r="K7108">
        <v>1.1157029999999999</v>
      </c>
      <c r="L7108">
        <v>-62.326569999999997</v>
      </c>
      <c r="M7108">
        <v>0.98682959999999997</v>
      </c>
      <c r="N7108">
        <v>-1.4837009999999999E-2</v>
      </c>
      <c r="O7108">
        <v>0.1610809</v>
      </c>
      <c r="P7108">
        <v>0.81695589999999996</v>
      </c>
      <c r="Q7108">
        <v>0.37027169999999998</v>
      </c>
      <c r="R7108">
        <v>0.44213330000000001</v>
      </c>
      <c r="S7108">
        <v>2.8049010000000001</v>
      </c>
      <c r="T7108">
        <v>-0.33335330000000002</v>
      </c>
      <c r="U7108">
        <v>1.8824160000000001</v>
      </c>
      <c r="V7108">
        <v>-0.30934859999999997</v>
      </c>
      <c r="W7108">
        <v>0.37954680000000002</v>
      </c>
      <c r="X7108">
        <v>0.87192179999999997</v>
      </c>
      <c r="Y7108">
        <v>-0.41448970000000002</v>
      </c>
      <c r="Z7108">
        <v>1.080073E-2</v>
      </c>
      <c r="AA7108">
        <v>0.90998990000000002</v>
      </c>
      <c r="AB7108">
        <v>34</v>
      </c>
      <c r="AC7108">
        <v>9.2098999999999993</v>
      </c>
      <c r="AD7108">
        <v>-1.1157055698430001</v>
      </c>
      <c r="AE7108">
        <v>6.2687399999999904</v>
      </c>
      <c r="AF7108">
        <v>-4.6564574184974798</v>
      </c>
      <c r="AG7108">
        <v>-1.1157055698430001</v>
      </c>
      <c r="AH7108">
        <v>9.9992061434390003</v>
      </c>
      <c r="AI7108">
        <v>95.775794594438594</v>
      </c>
      <c r="AJ7108">
        <v>114.970581419436</v>
      </c>
      <c r="AK7108">
        <v>11.086546716982999</v>
      </c>
      <c r="AL7108">
        <v>67.694386235143696</v>
      </c>
      <c r="AM7108">
        <v>109.53414489268</v>
      </c>
      <c r="AN7108">
        <v>0.99999997751371905</v>
      </c>
    </row>
    <row r="7109" spans="1:40" x14ac:dyDescent="0.25">
      <c r="A7109" t="str">
        <f>"20190304164301143"</f>
        <v>20190304164301143</v>
      </c>
      <c r="B7109" t="str">
        <f>"1551688981137999"</f>
        <v>1551688981137999</v>
      </c>
      <c r="C7109" t="s">
        <v>40</v>
      </c>
      <c r="D7109">
        <v>4.6852</v>
      </c>
      <c r="E7109">
        <v>0.45131389999999999</v>
      </c>
      <c r="F7109" t="s">
        <v>41</v>
      </c>
      <c r="G7109">
        <v>-216.0719</v>
      </c>
      <c r="H7109">
        <v>1.0152239999999999</v>
      </c>
      <c r="I7109">
        <v>-61.741750000000003</v>
      </c>
      <c r="J7109">
        <v>-216.7551</v>
      </c>
      <c r="K7109">
        <v>1.115761</v>
      </c>
      <c r="L7109">
        <v>-62.29495</v>
      </c>
      <c r="M7109">
        <v>0.986344</v>
      </c>
      <c r="N7109">
        <v>-1.483988E-2</v>
      </c>
      <c r="O7109">
        <v>0.16402910000000001</v>
      </c>
      <c r="P7109">
        <v>0.81533679999999997</v>
      </c>
      <c r="Q7109">
        <v>0.37077749999999998</v>
      </c>
      <c r="R7109">
        <v>0.44469120000000001</v>
      </c>
      <c r="S7109">
        <v>2.7931059999999999</v>
      </c>
      <c r="T7109">
        <v>-0.32592749999999998</v>
      </c>
      <c r="U7109">
        <v>1.8972469999999999</v>
      </c>
      <c r="V7109">
        <v>-0.30957230000000002</v>
      </c>
      <c r="W7109">
        <v>0.38000650000000002</v>
      </c>
      <c r="X7109">
        <v>0.87164219999999903</v>
      </c>
      <c r="Y7109">
        <v>-0.41691889999999998</v>
      </c>
      <c r="Z7109">
        <v>1.0589319999999999E-2</v>
      </c>
      <c r="AA7109">
        <v>0.90888199999999997</v>
      </c>
      <c r="AB7109">
        <v>34</v>
      </c>
      <c r="AC7109">
        <v>0.68319999999999903</v>
      </c>
      <c r="AD7109">
        <v>-0.100537</v>
      </c>
      <c r="AE7109">
        <v>0.55319999999999603</v>
      </c>
      <c r="AF7109">
        <v>-0.42803012269283103</v>
      </c>
      <c r="AG7109">
        <v>-0.100537</v>
      </c>
      <c r="AH7109">
        <v>0.75482257560464905</v>
      </c>
      <c r="AI7109">
        <v>96.6088900310002</v>
      </c>
      <c r="AJ7109">
        <v>119.555862875739</v>
      </c>
      <c r="AK7109">
        <v>0.87354140997658303</v>
      </c>
      <c r="AL7109">
        <v>67.665915585199102</v>
      </c>
      <c r="AM7109">
        <v>109.552994840506</v>
      </c>
      <c r="AN7109">
        <v>1.00000003689518</v>
      </c>
    </row>
    <row r="7110" spans="1:40" x14ac:dyDescent="0.25">
      <c r="A7110" t="str">
        <f>"20190304164301154"</f>
        <v>20190304164301154</v>
      </c>
      <c r="B7110" t="str">
        <f>"1551688981147758"</f>
        <v>1551688981147758</v>
      </c>
      <c r="C7110" t="s">
        <v>40</v>
      </c>
      <c r="D7110">
        <v>4.6663220000000001</v>
      </c>
      <c r="E7110">
        <v>0.45131389999999999</v>
      </c>
      <c r="F7110" t="s">
        <v>41</v>
      </c>
      <c r="G7110">
        <v>-215.85300000000001</v>
      </c>
      <c r="H7110">
        <v>1.0111779999999999</v>
      </c>
      <c r="I7110">
        <v>-61.677149999999997</v>
      </c>
      <c r="J7110">
        <v>-216.59800000000001</v>
      </c>
      <c r="K7110">
        <v>1.115818</v>
      </c>
      <c r="L7110">
        <v>-62.266330000000004</v>
      </c>
      <c r="M7110">
        <v>0.98589780000000005</v>
      </c>
      <c r="N7110">
        <v>-1.4843139999999999E-2</v>
      </c>
      <c r="O7110">
        <v>0.16668949999999999</v>
      </c>
      <c r="P7110">
        <v>0.81398019999999904</v>
      </c>
      <c r="Q7110">
        <v>0.37123780000000001</v>
      </c>
      <c r="R7110">
        <v>0.44678709999999999</v>
      </c>
      <c r="S7110">
        <v>2.7858580000000002</v>
      </c>
      <c r="T7110">
        <v>-0.32296849999999999</v>
      </c>
      <c r="U7110">
        <v>1.907745</v>
      </c>
      <c r="V7110">
        <v>-0.30955529999999998</v>
      </c>
      <c r="W7110">
        <v>0.38042589999999998</v>
      </c>
      <c r="X7110">
        <v>0.8714653</v>
      </c>
      <c r="Y7110">
        <v>-0.4179292</v>
      </c>
      <c r="Z7110">
        <v>1.038387E-2</v>
      </c>
      <c r="AA7110">
        <v>0.90842029999999996</v>
      </c>
      <c r="AB7110">
        <v>34</v>
      </c>
      <c r="AC7110">
        <v>0.74500000000000399</v>
      </c>
      <c r="AD7110">
        <v>-0.104639999999999</v>
      </c>
      <c r="AE7110">
        <v>0.58918000000000503</v>
      </c>
      <c r="AF7110">
        <v>-0.451260891885506</v>
      </c>
      <c r="AG7110">
        <v>-0.104639999999999</v>
      </c>
      <c r="AH7110">
        <v>0.82280918201031505</v>
      </c>
      <c r="AI7110">
        <v>96.362503900824194</v>
      </c>
      <c r="AJ7110">
        <v>118.742094744483</v>
      </c>
      <c r="AK7110">
        <v>0.94424619255032505</v>
      </c>
      <c r="AL7110">
        <v>67.639935018711299</v>
      </c>
      <c r="AM7110">
        <v>109.555670324095</v>
      </c>
      <c r="AN7110">
        <v>1.0000000591264899</v>
      </c>
    </row>
    <row r="7111" spans="1:40" x14ac:dyDescent="0.25">
      <c r="A7111" t="str">
        <f>"20190304164301165"</f>
        <v>20190304164301165</v>
      </c>
      <c r="B7111" t="str">
        <f>"1551688981158495"</f>
        <v>1551688981158495</v>
      </c>
      <c r="C7111" t="s">
        <v>40</v>
      </c>
      <c r="D7111">
        <v>4.6776980000000004</v>
      </c>
      <c r="E7111">
        <v>0.44907710000000001</v>
      </c>
      <c r="F7111" t="s">
        <v>57</v>
      </c>
      <c r="G7111">
        <v>-206.93790000000001</v>
      </c>
      <c r="H7111" s="1">
        <v>-3.1519689999999998E-6</v>
      </c>
      <c r="I7111">
        <v>-55.610259999999997</v>
      </c>
      <c r="J7111">
        <v>-216.43879999999999</v>
      </c>
      <c r="K7111">
        <v>1.1158779999999999</v>
      </c>
      <c r="L7111">
        <v>-62.237000000000002</v>
      </c>
      <c r="M7111">
        <v>0.98543440000000004</v>
      </c>
      <c r="N7111">
        <v>-1.484654E-2</v>
      </c>
      <c r="O7111">
        <v>0.1694071</v>
      </c>
      <c r="P7111">
        <v>0.81273009999999901</v>
      </c>
      <c r="Q7111">
        <v>0.3715581</v>
      </c>
      <c r="R7111">
        <v>0.44879219999999997</v>
      </c>
      <c r="S7111">
        <v>2.7805019999999998</v>
      </c>
      <c r="T7111">
        <v>-0.32117010000000001</v>
      </c>
      <c r="U7111">
        <v>1.9158329999999999</v>
      </c>
      <c r="V7111">
        <v>-0.30938199999999999</v>
      </c>
      <c r="W7111">
        <v>0.3807063</v>
      </c>
      <c r="X7111">
        <v>0.87140430000000002</v>
      </c>
      <c r="Y7111">
        <v>-0.41805789999999998</v>
      </c>
      <c r="Z7111">
        <v>1.013799E-2</v>
      </c>
      <c r="AA7111">
        <v>0.90836380000000005</v>
      </c>
      <c r="AB7111">
        <v>34</v>
      </c>
      <c r="AC7111">
        <v>9.5008999999999695</v>
      </c>
      <c r="AD7111">
        <v>-1.115881151969</v>
      </c>
      <c r="AE7111">
        <v>6.6267399999999901</v>
      </c>
      <c r="AF7111">
        <v>-4.8759907468120396</v>
      </c>
      <c r="AG7111">
        <v>-1.115881151969</v>
      </c>
      <c r="AH7111">
        <v>10.3898680690183</v>
      </c>
      <c r="AI7111">
        <v>95.553210949544905</v>
      </c>
      <c r="AJ7111">
        <v>115.140781252754</v>
      </c>
      <c r="AK7111">
        <v>11.531254701892699</v>
      </c>
      <c r="AL7111">
        <v>67.622560197410294</v>
      </c>
      <c r="AM7111">
        <v>109.546816894546</v>
      </c>
      <c r="AN7111">
        <v>0.99999998142108903</v>
      </c>
    </row>
    <row r="7112" spans="1:40" x14ac:dyDescent="0.25">
      <c r="A7112" t="str">
        <f>"20190304164301176"</f>
        <v>20190304164301176</v>
      </c>
      <c r="B7112" t="str">
        <f>"1551688981168255"</f>
        <v>1551688981168255</v>
      </c>
      <c r="C7112" t="s">
        <v>40</v>
      </c>
      <c r="D7112">
        <v>4.6685809999999996</v>
      </c>
      <c r="E7112">
        <v>0.44797199999999998</v>
      </c>
      <c r="F7112" t="s">
        <v>41</v>
      </c>
      <c r="G7112">
        <v>-215.55770000000001</v>
      </c>
      <c r="H7112">
        <v>1.018208</v>
      </c>
      <c r="I7112">
        <v>-61.619169999999997</v>
      </c>
      <c r="J7112">
        <v>-216.27330000000001</v>
      </c>
      <c r="K7112">
        <v>1.115945</v>
      </c>
      <c r="L7112">
        <v>-62.2059</v>
      </c>
      <c r="M7112">
        <v>0.98493549999999996</v>
      </c>
      <c r="N7112">
        <v>-1.485067E-2</v>
      </c>
      <c r="O7112">
        <v>0.172283299999999</v>
      </c>
      <c r="P7112">
        <v>0.81133869999999997</v>
      </c>
      <c r="Q7112">
        <v>0.37193609999999999</v>
      </c>
      <c r="R7112">
        <v>0.45099119999999998</v>
      </c>
      <c r="S7112">
        <v>2.7617029999999998</v>
      </c>
      <c r="T7112">
        <v>-0.30612709999999999</v>
      </c>
      <c r="U7112">
        <v>1.9368289999999999</v>
      </c>
      <c r="V7112">
        <v>-0.30929069999999997</v>
      </c>
      <c r="W7112">
        <v>0.3810405</v>
      </c>
      <c r="X7112">
        <v>0.87129069999999997</v>
      </c>
      <c r="Y7112">
        <v>-0.42303200000000002</v>
      </c>
      <c r="Z7112">
        <v>1.0006950000000001E-2</v>
      </c>
      <c r="AA7112">
        <v>0.90605950000000002</v>
      </c>
      <c r="AB7112">
        <v>34</v>
      </c>
      <c r="AC7112">
        <v>0.71559999999999402</v>
      </c>
      <c r="AD7112">
        <v>-9.7736999999999893E-2</v>
      </c>
      <c r="AE7112">
        <v>0.58673000000000197</v>
      </c>
      <c r="AF7112">
        <v>-0.449639628587929</v>
      </c>
      <c r="AG7112">
        <v>-9.7736999999999893E-2</v>
      </c>
      <c r="AH7112">
        <v>0.79710074902470895</v>
      </c>
      <c r="AI7112">
        <v>96.0958527009157</v>
      </c>
      <c r="AJ7112">
        <v>119.427077548871</v>
      </c>
      <c r="AK7112">
        <v>0.92037922665684002</v>
      </c>
      <c r="AL7112">
        <v>67.601852466468202</v>
      </c>
      <c r="AM7112">
        <v>109.543840410878</v>
      </c>
      <c r="AN7112">
        <v>1.00000004182661</v>
      </c>
    </row>
    <row r="7113" spans="1:40" x14ac:dyDescent="0.25">
      <c r="A7113" t="str">
        <f>"20190304164301188"</f>
        <v>20190304164301188</v>
      </c>
      <c r="B7113" t="str">
        <f>"1551688981178014"</f>
        <v>1551688981178014</v>
      </c>
      <c r="C7113" t="s">
        <v>40</v>
      </c>
      <c r="D7113">
        <v>4.6728500000000004</v>
      </c>
      <c r="E7113">
        <v>0.44700770000000001</v>
      </c>
      <c r="F7113" t="s">
        <v>57</v>
      </c>
      <c r="G7113">
        <v>-205.99930000000001</v>
      </c>
      <c r="H7113" s="1">
        <v>-3.8196769999999996E-6</v>
      </c>
      <c r="I7113">
        <v>-54.914090000000002</v>
      </c>
      <c r="J7113">
        <v>-216.09809999999999</v>
      </c>
      <c r="K7113">
        <v>1.1160159999999999</v>
      </c>
      <c r="L7113">
        <v>-62.17239</v>
      </c>
      <c r="M7113">
        <v>0.98438970000000003</v>
      </c>
      <c r="N7113">
        <v>-1.485532E-2</v>
      </c>
      <c r="O7113">
        <v>0.17537459999999999</v>
      </c>
      <c r="P7113">
        <v>0.8098476</v>
      </c>
      <c r="Q7113">
        <v>0.37205510000000003</v>
      </c>
      <c r="R7113">
        <v>0.45356570000000002</v>
      </c>
      <c r="S7113">
        <v>2.7497099999999999</v>
      </c>
      <c r="T7113">
        <v>-0.29867080000000001</v>
      </c>
      <c r="U7113">
        <v>1.9515690000000001</v>
      </c>
      <c r="V7113">
        <v>-0.3093998</v>
      </c>
      <c r="W7113">
        <v>0.381108</v>
      </c>
      <c r="X7113">
        <v>0.87122239999999995</v>
      </c>
      <c r="Y7113">
        <v>-0.4253362</v>
      </c>
      <c r="Z7113">
        <v>9.8041420000000001E-3</v>
      </c>
      <c r="AA7113">
        <v>0.90498230000000002</v>
      </c>
      <c r="AB7113">
        <v>34</v>
      </c>
      <c r="AC7113">
        <v>10.098799999999899</v>
      </c>
      <c r="AD7113">
        <v>-1.1160198196769999</v>
      </c>
      <c r="AE7113">
        <v>7.2582999999999904</v>
      </c>
      <c r="AF7113">
        <v>-5.3315821509617596</v>
      </c>
      <c r="AG7113">
        <v>-1.1160198196769999</v>
      </c>
      <c r="AH7113">
        <v>11.125721580792</v>
      </c>
      <c r="AI7113">
        <v>95.168876645904007</v>
      </c>
      <c r="AJ7113">
        <v>115.604311895462</v>
      </c>
      <c r="AK7113">
        <v>12.387612730613901</v>
      </c>
      <c r="AL7113">
        <v>67.597668542531906</v>
      </c>
      <c r="AM7113">
        <v>109.55162807589301</v>
      </c>
      <c r="AN7113">
        <v>1.0000000070829</v>
      </c>
    </row>
    <row r="7114" spans="1:40" x14ac:dyDescent="0.25">
      <c r="A7114" t="str">
        <f>"20190304164301199"</f>
        <v>20190304164301199</v>
      </c>
      <c r="B7114" t="str">
        <f>"1551688981187775"</f>
        <v>1551688981187775</v>
      </c>
      <c r="C7114" t="s">
        <v>40</v>
      </c>
      <c r="D7114">
        <v>4.6526379999999996</v>
      </c>
      <c r="E7114">
        <v>0.44609520000000003</v>
      </c>
      <c r="F7114" t="s">
        <v>41</v>
      </c>
      <c r="G7114">
        <v>-215.25899999999999</v>
      </c>
      <c r="H7114">
        <v>1.0258</v>
      </c>
      <c r="I7114">
        <v>-61.569659999999999</v>
      </c>
      <c r="J7114">
        <v>-215.93260000000001</v>
      </c>
      <c r="K7114">
        <v>1.1160870000000001</v>
      </c>
      <c r="L7114">
        <v>-62.14029</v>
      </c>
      <c r="M7114">
        <v>0.9838578</v>
      </c>
      <c r="N7114">
        <v>-1.4859839999999999E-2</v>
      </c>
      <c r="O7114">
        <v>0.1783342</v>
      </c>
      <c r="P7114">
        <v>0.80847199999999997</v>
      </c>
      <c r="Q7114">
        <v>0.37214770000000003</v>
      </c>
      <c r="R7114">
        <v>0.4559376</v>
      </c>
      <c r="S7114">
        <v>2.738251</v>
      </c>
      <c r="T7114">
        <v>-0.29438589999999998</v>
      </c>
      <c r="U7114">
        <v>1.966583</v>
      </c>
      <c r="V7114">
        <v>-0.3094075</v>
      </c>
      <c r="W7114">
        <v>0.38115159999999998</v>
      </c>
      <c r="X7114">
        <v>0.87120059999999999</v>
      </c>
      <c r="Y7114">
        <v>-0.4277106</v>
      </c>
      <c r="Z7114">
        <v>9.6625889999999992E-3</v>
      </c>
      <c r="AA7114">
        <v>0.90386409999999995</v>
      </c>
      <c r="AB7114">
        <v>34</v>
      </c>
      <c r="AC7114">
        <v>0.67359999999999298</v>
      </c>
      <c r="AD7114">
        <v>-9.0287000000000006E-2</v>
      </c>
      <c r="AE7114">
        <v>0.57063000000000097</v>
      </c>
      <c r="AF7114">
        <v>-0.43677310425003701</v>
      </c>
      <c r="AG7114">
        <v>-9.0287000000000006E-2</v>
      </c>
      <c r="AH7114">
        <v>0.75665949941883404</v>
      </c>
      <c r="AI7114">
        <v>95.900109536276105</v>
      </c>
      <c r="AJ7114">
        <v>119.99520307642899</v>
      </c>
      <c r="AK7114">
        <v>0.87832572831835798</v>
      </c>
      <c r="AL7114">
        <v>67.594966672011793</v>
      </c>
      <c r="AM7114">
        <v>109.55252989262701</v>
      </c>
      <c r="AN7114">
        <v>1.00000001433958</v>
      </c>
    </row>
    <row r="7115" spans="1:40" x14ac:dyDescent="0.25">
      <c r="A7115" t="str">
        <f>"20190304164301211"</f>
        <v>20190304164301211</v>
      </c>
      <c r="B7115" t="str">
        <f>"1551688981198510"</f>
        <v>1551688981198510</v>
      </c>
      <c r="C7115" t="s">
        <v>40</v>
      </c>
      <c r="D7115">
        <v>4.6362030000000001</v>
      </c>
      <c r="E7115">
        <v>0.44550580000000001</v>
      </c>
      <c r="F7115" t="s">
        <v>57</v>
      </c>
      <c r="G7115">
        <v>-205.4367</v>
      </c>
      <c r="H7115" s="1">
        <v>-4.2147399999999999E-6</v>
      </c>
      <c r="I7115">
        <v>-54.520240000000001</v>
      </c>
      <c r="J7115">
        <v>-215.76570000000001</v>
      </c>
      <c r="K7115">
        <v>1.1161620000000001</v>
      </c>
      <c r="L7115">
        <v>-62.107120000000002</v>
      </c>
      <c r="M7115">
        <v>0.98329860000000002</v>
      </c>
      <c r="N7115">
        <v>-1.4865160000000001E-2</v>
      </c>
      <c r="O7115">
        <v>0.181392</v>
      </c>
      <c r="P7115">
        <v>0.80715789999999998</v>
      </c>
      <c r="Q7115">
        <v>0.37227680000000002</v>
      </c>
      <c r="R7115">
        <v>0.45815539999999999</v>
      </c>
      <c r="S7115">
        <v>2.7274929999999999</v>
      </c>
      <c r="T7115">
        <v>-0.29003000000000001</v>
      </c>
      <c r="U7115">
        <v>1.980164</v>
      </c>
      <c r="V7115">
        <v>-0.30917149999999999</v>
      </c>
      <c r="W7115">
        <v>0.38123269999999998</v>
      </c>
      <c r="X7115">
        <v>0.87124880000000005</v>
      </c>
      <c r="Y7115">
        <v>-0.4295736</v>
      </c>
      <c r="Z7115">
        <v>9.4879739999999997E-3</v>
      </c>
      <c r="AA7115">
        <v>0.90298199999999995</v>
      </c>
      <c r="AB7115">
        <v>34</v>
      </c>
      <c r="AC7115">
        <v>10.329000000000001</v>
      </c>
      <c r="AD7115">
        <v>-1.11616621474</v>
      </c>
      <c r="AE7115">
        <v>7.5868799999999901</v>
      </c>
      <c r="AF7115">
        <v>-5.5451276490534198</v>
      </c>
      <c r="AG7115">
        <v>-1.11616621474</v>
      </c>
      <c r="AH7115">
        <v>11.447137598725201</v>
      </c>
      <c r="AI7115">
        <v>95.014998228251997</v>
      </c>
      <c r="AJ7115">
        <v>115.84609176415699</v>
      </c>
      <c r="AK7115">
        <v>12.768368214747399</v>
      </c>
      <c r="AL7115">
        <v>67.589938487342494</v>
      </c>
      <c r="AM7115">
        <v>109.53774717098</v>
      </c>
      <c r="AN7115">
        <v>0.99999992973148699</v>
      </c>
    </row>
    <row r="7116" spans="1:40" x14ac:dyDescent="0.25">
      <c r="A7116" t="str">
        <f>"20190304164301224"</f>
        <v>20190304164301224</v>
      </c>
      <c r="B7116" t="str">
        <f>"1551688981218031"</f>
        <v>1551688981218031</v>
      </c>
      <c r="C7116" t="s">
        <v>40</v>
      </c>
      <c r="D7116">
        <v>4.6442040000000002</v>
      </c>
      <c r="E7116">
        <v>0.44525940000000003</v>
      </c>
      <c r="F7116" t="s">
        <v>41</v>
      </c>
      <c r="G7116">
        <v>-214.96129999999999</v>
      </c>
      <c r="H7116">
        <v>1.0311969999999999</v>
      </c>
      <c r="I7116">
        <v>-61.51793</v>
      </c>
      <c r="J7116">
        <v>-215.56559999999999</v>
      </c>
      <c r="K7116">
        <v>1.1162570000000001</v>
      </c>
      <c r="L7116">
        <v>-62.066859999999998</v>
      </c>
      <c r="M7116">
        <v>0.98260709999999996</v>
      </c>
      <c r="N7116">
        <v>-1.487161E-2</v>
      </c>
      <c r="O7116">
        <v>0.18510080000000001</v>
      </c>
      <c r="P7116">
        <v>0.805417099999999</v>
      </c>
      <c r="Q7116">
        <v>0.37262469999999998</v>
      </c>
      <c r="R7116">
        <v>0.4609278</v>
      </c>
      <c r="S7116">
        <v>2.7187350000000001</v>
      </c>
      <c r="T7116">
        <v>-0.28718169999999998</v>
      </c>
      <c r="U7116">
        <v>1.991608</v>
      </c>
      <c r="V7116">
        <v>-0.3090001</v>
      </c>
      <c r="W7116">
        <v>0.38151790000000002</v>
      </c>
      <c r="X7116">
        <v>0.87118479999999998</v>
      </c>
      <c r="Y7116">
        <v>-0.4300562</v>
      </c>
      <c r="Z7116">
        <v>9.2082210000000008E-3</v>
      </c>
      <c r="AA7116">
        <v>0.90275510000000003</v>
      </c>
      <c r="AB7116">
        <v>34</v>
      </c>
      <c r="AC7116">
        <v>0.60429999999999495</v>
      </c>
      <c r="AD7116">
        <v>-8.5060000000000094E-2</v>
      </c>
      <c r="AE7116">
        <v>0.54892999999999104</v>
      </c>
      <c r="AF7116">
        <v>-0.42298167971143202</v>
      </c>
      <c r="AG7116">
        <v>-8.5060000000000094E-2</v>
      </c>
      <c r="AH7116">
        <v>0.68800507725619597</v>
      </c>
      <c r="AI7116">
        <v>96.012263626444494</v>
      </c>
      <c r="AJ7116">
        <v>121.582968349746</v>
      </c>
      <c r="AK7116">
        <v>0.81209586336947304</v>
      </c>
      <c r="AL7116">
        <v>67.572262506764901</v>
      </c>
      <c r="AM7116">
        <v>109.52906147458999</v>
      </c>
      <c r="AN7116">
        <v>0.999999962785729</v>
      </c>
    </row>
    <row r="7117" spans="1:40" x14ac:dyDescent="0.25">
      <c r="A7117" t="str">
        <f>"20190304164301234"</f>
        <v>20190304164301234</v>
      </c>
      <c r="B7117" t="str">
        <f>"1551688981227791"</f>
        <v>1551688981227791</v>
      </c>
      <c r="C7117" t="s">
        <v>40</v>
      </c>
      <c r="D7117">
        <v>4.6392480000000003</v>
      </c>
      <c r="E7117">
        <v>0.44485750000000002</v>
      </c>
      <c r="F7117" t="s">
        <v>41</v>
      </c>
      <c r="G7117">
        <v>-214.68510000000001</v>
      </c>
      <c r="H7117">
        <v>1.0241880000000001</v>
      </c>
      <c r="I7117">
        <v>-61.415970000000002</v>
      </c>
      <c r="J7117">
        <v>-215.40809999999999</v>
      </c>
      <c r="K7117">
        <v>1.1163369999999999</v>
      </c>
      <c r="L7117">
        <v>-62.03436</v>
      </c>
      <c r="M7117">
        <v>0.98203720000000005</v>
      </c>
      <c r="N7117">
        <v>-1.487756E-2</v>
      </c>
      <c r="O7117">
        <v>0.1881004</v>
      </c>
      <c r="P7117">
        <v>0.80399480000000001</v>
      </c>
      <c r="Q7117">
        <v>0.37299769999999999</v>
      </c>
      <c r="R7117">
        <v>0.46310380000000001</v>
      </c>
      <c r="S7117">
        <v>2.7098239999999998</v>
      </c>
      <c r="T7117">
        <v>-0.28331590000000001</v>
      </c>
      <c r="U7117">
        <v>2.0025330000000001</v>
      </c>
      <c r="V7117">
        <v>-0.30880449999999998</v>
      </c>
      <c r="W7117">
        <v>0.38183919999999999</v>
      </c>
      <c r="X7117">
        <v>0.87111340000000004</v>
      </c>
      <c r="Y7117">
        <v>-0.43110349999999997</v>
      </c>
      <c r="Z7117">
        <v>9.008182E-3</v>
      </c>
      <c r="AA7117">
        <v>0.90225750000000005</v>
      </c>
      <c r="AB7117">
        <v>34</v>
      </c>
      <c r="AC7117">
        <v>0.72299999999998399</v>
      </c>
      <c r="AD7117">
        <v>-9.2149000000000203E-2</v>
      </c>
      <c r="AE7117">
        <v>0.61839000000000499</v>
      </c>
      <c r="AF7117">
        <v>-0.46695681223977797</v>
      </c>
      <c r="AG7117">
        <v>-9.2149000000000203E-2</v>
      </c>
      <c r="AH7117">
        <v>0.81874274429285598</v>
      </c>
      <c r="AI7117">
        <v>95.583851141554504</v>
      </c>
      <c r="AJ7117">
        <v>119.697581416294</v>
      </c>
      <c r="AK7117">
        <v>0.94703737203466898</v>
      </c>
      <c r="AL7117">
        <v>67.552345845772294</v>
      </c>
      <c r="AM7117">
        <v>109.51911285173701</v>
      </c>
      <c r="AN7117">
        <v>0.999999974768224</v>
      </c>
    </row>
    <row r="7118" spans="1:40" x14ac:dyDescent="0.25">
      <c r="A7118" t="str">
        <f>"20190304164301244"</f>
        <v>20190304164301244</v>
      </c>
      <c r="B7118" t="str">
        <f>"1551688981238526"</f>
        <v>1551688981238526</v>
      </c>
      <c r="C7118" t="s">
        <v>40</v>
      </c>
      <c r="D7118">
        <v>4.6141750000000004</v>
      </c>
      <c r="E7118">
        <v>0.44455220000000001</v>
      </c>
      <c r="F7118" t="s">
        <v>41</v>
      </c>
      <c r="G7118">
        <v>-214.60409999999999</v>
      </c>
      <c r="H7118">
        <v>1.033083</v>
      </c>
      <c r="I7118">
        <v>-61.4351699999999</v>
      </c>
      <c r="J7118">
        <v>-215.26750000000001</v>
      </c>
      <c r="K7118">
        <v>1.116409</v>
      </c>
      <c r="L7118">
        <v>-62.005070000000003</v>
      </c>
      <c r="M7118">
        <v>0.98151619999999995</v>
      </c>
      <c r="N7118">
        <v>-1.488283E-2</v>
      </c>
      <c r="O7118">
        <v>0.1907991</v>
      </c>
      <c r="P7118">
        <v>0.80268719999999905</v>
      </c>
      <c r="Q7118">
        <v>0.37362889999999999</v>
      </c>
      <c r="R7118">
        <v>0.4648601</v>
      </c>
      <c r="S7118">
        <v>2.7017060000000002</v>
      </c>
      <c r="T7118">
        <v>-0.27973769999999998</v>
      </c>
      <c r="U7118">
        <v>2.0129090000000001</v>
      </c>
      <c r="V7118">
        <v>-0.30844189999999999</v>
      </c>
      <c r="W7118">
        <v>0.38242569999999998</v>
      </c>
      <c r="X7118">
        <v>0.8709846</v>
      </c>
      <c r="Y7118">
        <v>-0.43217840000000002</v>
      </c>
      <c r="Z7118">
        <v>8.8391100000000007E-3</v>
      </c>
      <c r="AA7118">
        <v>0.90174480000000001</v>
      </c>
      <c r="AB7118">
        <v>34</v>
      </c>
      <c r="AC7118">
        <v>0.66340000000002397</v>
      </c>
      <c r="AD7118">
        <v>-8.3325999999999997E-2</v>
      </c>
      <c r="AE7118">
        <v>0.56990000000000396</v>
      </c>
      <c r="AF7118">
        <v>-0.42894420574530301</v>
      </c>
      <c r="AG7118">
        <v>-8.3325999999999997E-2</v>
      </c>
      <c r="AH7118">
        <v>0.75312204294899698</v>
      </c>
      <c r="AI7118">
        <v>95.491572308079299</v>
      </c>
      <c r="AJ7118">
        <v>119.66387970436899</v>
      </c>
      <c r="AK7118">
        <v>0.870706130387366</v>
      </c>
      <c r="AL7118">
        <v>67.515982679606907</v>
      </c>
      <c r="AM7118">
        <v>109.50058901213001</v>
      </c>
      <c r="AN7118">
        <v>0.99999999756662905</v>
      </c>
    </row>
    <row r="7119" spans="1:40" x14ac:dyDescent="0.25">
      <c r="A7119" t="str">
        <f>"20190304164301255"</f>
        <v>20190304164301255</v>
      </c>
      <c r="B7119" t="str">
        <f>"1551688981248286"</f>
        <v>1551688981248286</v>
      </c>
      <c r="C7119" t="s">
        <v>40</v>
      </c>
      <c r="D7119">
        <v>4.6376989999999996</v>
      </c>
      <c r="E7119">
        <v>0.4443281</v>
      </c>
      <c r="F7119" t="s">
        <v>41</v>
      </c>
      <c r="G7119">
        <v>-214.3939</v>
      </c>
      <c r="H7119">
        <v>1.027239</v>
      </c>
      <c r="I7119">
        <v>-61.349820000000001</v>
      </c>
      <c r="J7119">
        <v>-215.11009999999999</v>
      </c>
      <c r="K7119">
        <v>1.1164909999999999</v>
      </c>
      <c r="L7119">
        <v>-61.971559999999997</v>
      </c>
      <c r="M7119">
        <v>0.98091070000000002</v>
      </c>
      <c r="N7119">
        <v>-1.4889609999999999E-2</v>
      </c>
      <c r="O7119">
        <v>0.19388830000000001</v>
      </c>
      <c r="P7119">
        <v>0.80106129999999998</v>
      </c>
      <c r="Q7119">
        <v>0.3743146</v>
      </c>
      <c r="R7119">
        <v>0.46710760000000001</v>
      </c>
      <c r="S7119">
        <v>2.6948850000000002</v>
      </c>
      <c r="T7119">
        <v>-0.27506770000000003</v>
      </c>
      <c r="U7119">
        <v>2.021271</v>
      </c>
      <c r="V7119">
        <v>-0.30828539999999999</v>
      </c>
      <c r="W7119">
        <v>0.38305660000000002</v>
      </c>
      <c r="X7119">
        <v>0.87076279999999995</v>
      </c>
      <c r="Y7119">
        <v>-0.4322667</v>
      </c>
      <c r="Z7119">
        <v>8.5832830000000006E-3</v>
      </c>
      <c r="AA7119">
        <v>0.90170499999999998</v>
      </c>
      <c r="AB7119">
        <v>34</v>
      </c>
      <c r="AC7119">
        <v>0.71619999999998596</v>
      </c>
      <c r="AD7119">
        <v>-8.9251999999999804E-2</v>
      </c>
      <c r="AE7119">
        <v>0.62174000000000196</v>
      </c>
      <c r="AF7119">
        <v>-0.46692574405871801</v>
      </c>
      <c r="AG7119">
        <v>-8.9251999999999804E-2</v>
      </c>
      <c r="AH7119">
        <v>0.81594162962465999</v>
      </c>
      <c r="AI7119">
        <v>95.423362631165205</v>
      </c>
      <c r="AJ7119">
        <v>119.78051449568299</v>
      </c>
      <c r="AK7119">
        <v>0.94432320363492805</v>
      </c>
      <c r="AL7119">
        <v>67.476856704828805</v>
      </c>
      <c r="AM7119">
        <v>109.496031131154</v>
      </c>
      <c r="AN7119">
        <v>1.0000000502602699</v>
      </c>
    </row>
    <row r="7120" spans="1:40" x14ac:dyDescent="0.25">
      <c r="A7120" t="str">
        <f>"20190304164301265"</f>
        <v>20190304164301265</v>
      </c>
      <c r="B7120" t="str">
        <f>"1551688981258046"</f>
        <v>1551688981258046</v>
      </c>
      <c r="C7120" t="s">
        <v>40</v>
      </c>
      <c r="D7120">
        <v>4.6277480000000004</v>
      </c>
      <c r="E7120">
        <v>0.44418980000000002</v>
      </c>
      <c r="F7120" t="s">
        <v>41</v>
      </c>
      <c r="G7120">
        <v>-214.31039999999999</v>
      </c>
      <c r="H7120">
        <v>1.0358459999999901</v>
      </c>
      <c r="I7120">
        <v>-61.367240000000002</v>
      </c>
      <c r="J7120">
        <v>-214.95410000000001</v>
      </c>
      <c r="K7120">
        <v>1.116573</v>
      </c>
      <c r="L7120">
        <v>-61.937930000000001</v>
      </c>
      <c r="M7120">
        <v>0.9802942</v>
      </c>
      <c r="N7120">
        <v>-1.489624E-2</v>
      </c>
      <c r="O7120">
        <v>0.19698099999999999</v>
      </c>
      <c r="P7120">
        <v>0.79942019999999903</v>
      </c>
      <c r="Q7120">
        <v>0.37515680000000001</v>
      </c>
      <c r="R7120">
        <v>0.46923880000000001</v>
      </c>
      <c r="S7120">
        <v>2.6874389999999999</v>
      </c>
      <c r="T7120">
        <v>-0.27102700000000002</v>
      </c>
      <c r="U7120">
        <v>2.030945</v>
      </c>
      <c r="V7120">
        <v>-0.30801899999999999</v>
      </c>
      <c r="W7120">
        <v>0.38384620000000003</v>
      </c>
      <c r="X7120">
        <v>0.87050930000000004</v>
      </c>
      <c r="Y7120">
        <v>-0.43272509999999997</v>
      </c>
      <c r="Z7120">
        <v>8.3604590000000006E-3</v>
      </c>
      <c r="AA7120">
        <v>0.90148720000000004</v>
      </c>
      <c r="AB7120">
        <v>34</v>
      </c>
      <c r="AC7120">
        <v>0.64370000000002303</v>
      </c>
      <c r="AD7120">
        <v>-8.0727000000000201E-2</v>
      </c>
      <c r="AE7120">
        <v>0.57068999999999903</v>
      </c>
      <c r="AF7120">
        <v>-0.42891830503402301</v>
      </c>
      <c r="AG7120">
        <v>-8.0727000000000201E-2</v>
      </c>
      <c r="AH7120">
        <v>0.73702260585831603</v>
      </c>
      <c r="AI7120">
        <v>95.407918617010694</v>
      </c>
      <c r="AJ7120">
        <v>120.19772974043499</v>
      </c>
      <c r="AK7120">
        <v>0.85655710986976297</v>
      </c>
      <c r="AL7120">
        <v>67.427870997532807</v>
      </c>
      <c r="AM7120">
        <v>109.485698600134</v>
      </c>
      <c r="AN7120">
        <v>1.00000002550096</v>
      </c>
    </row>
    <row r="7121" spans="1:40" x14ac:dyDescent="0.25">
      <c r="A7121" t="str">
        <f>"20190304164301276"</f>
        <v>20190304164301276</v>
      </c>
      <c r="B7121" t="str">
        <f>"1551688981267806"</f>
        <v>1551688981267806</v>
      </c>
      <c r="C7121" t="s">
        <v>40</v>
      </c>
      <c r="D7121">
        <v>4.6149269999999998</v>
      </c>
      <c r="E7121">
        <v>0.44402409999999998</v>
      </c>
      <c r="F7121" t="s">
        <v>41</v>
      </c>
      <c r="G7121">
        <v>-214.10059999999999</v>
      </c>
      <c r="H7121">
        <v>1.0316160000000001</v>
      </c>
      <c r="I7121">
        <v>-61.288760000000003</v>
      </c>
      <c r="J7121">
        <v>-214.78700000000001</v>
      </c>
      <c r="K7121">
        <v>1.1166590000000001</v>
      </c>
      <c r="L7121">
        <v>-61.901249999999997</v>
      </c>
      <c r="M7121">
        <v>0.97960990000000003</v>
      </c>
      <c r="N7121">
        <v>-1.4903680000000001E-2</v>
      </c>
      <c r="O7121">
        <v>0.20035539999999999</v>
      </c>
      <c r="P7121">
        <v>0.79748090000000005</v>
      </c>
      <c r="Q7121">
        <v>0.37596180000000001</v>
      </c>
      <c r="R7121">
        <v>0.47188639999999998</v>
      </c>
      <c r="S7121">
        <v>2.6809539999999998</v>
      </c>
      <c r="T7121">
        <v>-0.2668874</v>
      </c>
      <c r="U7121">
        <v>2.0392760000000001</v>
      </c>
      <c r="V7121">
        <v>-0.30807400000000001</v>
      </c>
      <c r="W7121">
        <v>0.38458880000000001</v>
      </c>
      <c r="X7121">
        <v>0.87016199999999999</v>
      </c>
      <c r="Y7121">
        <v>-0.43248419999999999</v>
      </c>
      <c r="Z7121">
        <v>8.0872489999999995E-3</v>
      </c>
      <c r="AA7121">
        <v>0.9016052</v>
      </c>
      <c r="AB7121">
        <v>34</v>
      </c>
      <c r="AC7121">
        <v>0.68640000000001999</v>
      </c>
      <c r="AD7121">
        <v>-8.5042999999999896E-2</v>
      </c>
      <c r="AE7121">
        <v>0.61249000000000098</v>
      </c>
      <c r="AF7121">
        <v>-0.45860946446089501</v>
      </c>
      <c r="AG7121">
        <v>-8.5042999999999896E-2</v>
      </c>
      <c r="AH7121">
        <v>0.788470053454424</v>
      </c>
      <c r="AI7121">
        <v>95.326523806707897</v>
      </c>
      <c r="AJ7121">
        <v>120.18419840971799</v>
      </c>
      <c r="AK7121">
        <v>0.91610041913347595</v>
      </c>
      <c r="AL7121">
        <v>67.381785647548696</v>
      </c>
      <c r="AM7121">
        <v>109.496107640196</v>
      </c>
      <c r="AN7121">
        <v>1.00000002040272</v>
      </c>
    </row>
    <row r="7122" spans="1:40" x14ac:dyDescent="0.25">
      <c r="A7122" t="str">
        <f>"20190304164301288"</f>
        <v>20190304164301288</v>
      </c>
      <c r="B7122" t="str">
        <f>"1551688981278543"</f>
        <v>1551688981278543</v>
      </c>
      <c r="C7122" t="s">
        <v>40</v>
      </c>
      <c r="D7122">
        <v>4.6164930000000002</v>
      </c>
      <c r="E7122">
        <v>0.44386049999999999</v>
      </c>
      <c r="F7122" t="s">
        <v>57</v>
      </c>
      <c r="G7122">
        <v>-203.4383</v>
      </c>
      <c r="H7122" s="1">
        <v>-5.5285619999999899E-6</v>
      </c>
      <c r="I7122">
        <v>-53.203020000000002</v>
      </c>
      <c r="J7122">
        <v>-214.62649999999999</v>
      </c>
      <c r="K7122">
        <v>1.116741</v>
      </c>
      <c r="L7122">
        <v>-61.86533</v>
      </c>
      <c r="M7122">
        <v>0.97893090000000005</v>
      </c>
      <c r="N7122">
        <v>-1.491083E-2</v>
      </c>
      <c r="O7122">
        <v>0.20364689999999999</v>
      </c>
      <c r="P7122">
        <v>0.79543889999999995</v>
      </c>
      <c r="Q7122">
        <v>0.37665720000000003</v>
      </c>
      <c r="R7122">
        <v>0.47476970000000002</v>
      </c>
      <c r="S7122">
        <v>2.673416</v>
      </c>
      <c r="T7122">
        <v>-0.26305269999999997</v>
      </c>
      <c r="U7122">
        <v>2.049042</v>
      </c>
      <c r="V7122">
        <v>-0.308452</v>
      </c>
      <c r="W7122">
        <v>0.38522000000000001</v>
      </c>
      <c r="X7122">
        <v>0.86974879999999999</v>
      </c>
      <c r="Y7122">
        <v>-0.43278840000000002</v>
      </c>
      <c r="Z7122">
        <v>7.8588649999999996E-3</v>
      </c>
      <c r="AA7122">
        <v>0.90146119999999996</v>
      </c>
      <c r="AB7122">
        <v>34</v>
      </c>
      <c r="AC7122">
        <v>11.188199999999901</v>
      </c>
      <c r="AD7122">
        <v>-1.116746528562</v>
      </c>
      <c r="AE7122">
        <v>8.6623100000000104</v>
      </c>
      <c r="AF7122">
        <v>-6.1636562734993099</v>
      </c>
      <c r="AG7122">
        <v>-1.116746528562</v>
      </c>
      <c r="AH7122">
        <v>12.6392105184892</v>
      </c>
      <c r="AI7122">
        <v>94.540661428888797</v>
      </c>
      <c r="AJ7122">
        <v>115.996709235076</v>
      </c>
      <c r="AK7122">
        <v>14.106290228036301</v>
      </c>
      <c r="AL7122">
        <v>67.342601906378903</v>
      </c>
      <c r="AM7122">
        <v>109.526793064849</v>
      </c>
      <c r="AN7122">
        <v>1.0000000299027101</v>
      </c>
    </row>
    <row r="7123" spans="1:40" x14ac:dyDescent="0.25">
      <c r="A7123" t="str">
        <f>"20190304164301299"</f>
        <v>20190304164301299</v>
      </c>
      <c r="B7123" t="str">
        <f>"1551688981288303"</f>
        <v>1551688981288303</v>
      </c>
      <c r="C7123" t="s">
        <v>40</v>
      </c>
      <c r="D7123">
        <v>4.627262</v>
      </c>
      <c r="E7123">
        <v>0.44380969999999997</v>
      </c>
      <c r="F7123" t="s">
        <v>41</v>
      </c>
      <c r="G7123">
        <v>-213.8058</v>
      </c>
      <c r="H7123">
        <v>1.0366820000000001</v>
      </c>
      <c r="I7123">
        <v>-61.231349999999999</v>
      </c>
      <c r="J7123">
        <v>-214.46199999999999</v>
      </c>
      <c r="K7123">
        <v>1.116822</v>
      </c>
      <c r="L7123">
        <v>-61.828060000000001</v>
      </c>
      <c r="M7123">
        <v>0.97821460000000005</v>
      </c>
      <c r="N7123">
        <v>-1.4918000000000001E-2</v>
      </c>
      <c r="O7123">
        <v>0.20705960000000001</v>
      </c>
      <c r="P7123">
        <v>0.79338949999999997</v>
      </c>
      <c r="Q7123">
        <v>0.37714989999999998</v>
      </c>
      <c r="R7123">
        <v>0.4777981</v>
      </c>
      <c r="S7123">
        <v>2.6653440000000002</v>
      </c>
      <c r="T7123">
        <v>-0.26001740000000001</v>
      </c>
      <c r="U7123">
        <v>2.0595699999999999</v>
      </c>
      <c r="V7123">
        <v>-0.3088687</v>
      </c>
      <c r="W7123">
        <v>0.38564769999999998</v>
      </c>
      <c r="X7123">
        <v>0.8694113</v>
      </c>
      <c r="Y7123">
        <v>-0.43322139999999998</v>
      </c>
      <c r="Z7123">
        <v>7.6401380000000003E-3</v>
      </c>
      <c r="AA7123">
        <v>0.90125509999999998</v>
      </c>
      <c r="AB7123">
        <v>34</v>
      </c>
      <c r="AC7123">
        <v>0.656200000000012</v>
      </c>
      <c r="AD7123">
        <v>-8.01400000000001E-2</v>
      </c>
      <c r="AE7123">
        <v>0.59671000000000096</v>
      </c>
      <c r="AF7123">
        <v>-0.44426074800688697</v>
      </c>
      <c r="AG7123">
        <v>-8.01400000000001E-2</v>
      </c>
      <c r="AH7123">
        <v>0.75934472965189403</v>
      </c>
      <c r="AI7123">
        <v>95.204899836404905</v>
      </c>
      <c r="AJ7123">
        <v>120.330112113742</v>
      </c>
      <c r="AK7123">
        <v>0.88339937189798101</v>
      </c>
      <c r="AL7123">
        <v>67.316044215361103</v>
      </c>
      <c r="AM7123">
        <v>109.558186937999</v>
      </c>
      <c r="AN7123">
        <v>1.00000001546133</v>
      </c>
    </row>
    <row r="7124" spans="1:40" x14ac:dyDescent="0.25">
      <c r="A7124" t="str">
        <f>"20190304164301310"</f>
        <v>20190304164301310</v>
      </c>
      <c r="B7124" t="str">
        <f>"1551688981307823"</f>
        <v>1551688981307823</v>
      </c>
      <c r="C7124" t="s">
        <v>40</v>
      </c>
      <c r="D7124">
        <v>4.6075629999999999</v>
      </c>
      <c r="E7124">
        <v>0.44360309999999997</v>
      </c>
      <c r="F7124" t="s">
        <v>57</v>
      </c>
      <c r="G7124">
        <v>-202.97569999999999</v>
      </c>
      <c r="H7124" s="1">
        <v>-5.752845E-6</v>
      </c>
      <c r="I7124">
        <v>-52.887860000000003</v>
      </c>
      <c r="J7124">
        <v>-214.29599999999999</v>
      </c>
      <c r="K7124">
        <v>1.116906</v>
      </c>
      <c r="L7124">
        <v>-61.789549999999998</v>
      </c>
      <c r="M7124">
        <v>0.97746469999999996</v>
      </c>
      <c r="N7124">
        <v>-1.492535E-2</v>
      </c>
      <c r="O7124">
        <v>0.2105708</v>
      </c>
      <c r="P7124">
        <v>0.79113710000000004</v>
      </c>
      <c r="Q7124">
        <v>0.37756790000000001</v>
      </c>
      <c r="R7124">
        <v>0.48119089999999998</v>
      </c>
      <c r="S7124">
        <v>2.6581419999999998</v>
      </c>
      <c r="T7124">
        <v>-0.25845600000000002</v>
      </c>
      <c r="U7124">
        <v>2.0689389999999999</v>
      </c>
      <c r="V7124">
        <v>-0.30959520000000001</v>
      </c>
      <c r="W7124">
        <v>0.38599739999999999</v>
      </c>
      <c r="X7124">
        <v>0.86899760000000004</v>
      </c>
      <c r="Y7124">
        <v>-0.43316510000000003</v>
      </c>
      <c r="Z7124">
        <v>7.4005969999999897E-3</v>
      </c>
      <c r="AA7124">
        <v>0.90128419999999998</v>
      </c>
      <c r="AB7124">
        <v>34</v>
      </c>
      <c r="AC7124">
        <v>11.3203</v>
      </c>
      <c r="AD7124">
        <v>-1.1169117528450001</v>
      </c>
      <c r="AE7124">
        <v>8.9016900000000003</v>
      </c>
      <c r="AF7124">
        <v>-6.2802893549003702</v>
      </c>
      <c r="AG7124">
        <v>-1.1169117528450001</v>
      </c>
      <c r="AH7124">
        <v>12.8636927607659</v>
      </c>
      <c r="AI7124">
        <v>94.461428239221107</v>
      </c>
      <c r="AJ7124">
        <v>116.022473912271</v>
      </c>
      <c r="AK7124">
        <v>14.358416266716199</v>
      </c>
      <c r="AL7124">
        <v>67.294326073961599</v>
      </c>
      <c r="AM7124">
        <v>109.60930747418401</v>
      </c>
      <c r="AN7124">
        <v>1.0000000047377799</v>
      </c>
    </row>
    <row r="7125" spans="1:40" x14ac:dyDescent="0.25">
      <c r="A7125" t="str">
        <f>"20190304164301322"</f>
        <v>20190304164301322</v>
      </c>
      <c r="B7125" t="str">
        <f>"1551688981318559"</f>
        <v>1551688981318559</v>
      </c>
      <c r="C7125" t="s">
        <v>40</v>
      </c>
      <c r="D7125">
        <v>4.5706439999999997</v>
      </c>
      <c r="E7125">
        <v>0.4435076</v>
      </c>
      <c r="F7125" t="s">
        <v>41</v>
      </c>
      <c r="G7125">
        <v>-213.5112</v>
      </c>
      <c r="H7125">
        <v>1.0410219999999999</v>
      </c>
      <c r="I7125">
        <v>-61.173169999999899</v>
      </c>
      <c r="J7125">
        <v>-214.1292</v>
      </c>
      <c r="K7125">
        <v>1.116987</v>
      </c>
      <c r="L7125">
        <v>-61.750579999999999</v>
      </c>
      <c r="M7125">
        <v>0.97669410000000001</v>
      </c>
      <c r="N7125">
        <v>-1.49322999999999E-2</v>
      </c>
      <c r="O7125">
        <v>0.21411630000000001</v>
      </c>
      <c r="P7125">
        <v>0.78914859999999998</v>
      </c>
      <c r="Q7125">
        <v>0.37769180000000002</v>
      </c>
      <c r="R7125">
        <v>0.48434860000000002</v>
      </c>
      <c r="S7125">
        <v>2.6487430000000001</v>
      </c>
      <c r="T7125">
        <v>-0.25612620000000003</v>
      </c>
      <c r="U7125">
        <v>2.0806269999999998</v>
      </c>
      <c r="V7125">
        <v>-0.3100038</v>
      </c>
      <c r="W7125">
        <v>0.38606069999999998</v>
      </c>
      <c r="X7125">
        <v>0.86882380000000003</v>
      </c>
      <c r="Y7125">
        <v>-0.43392720000000001</v>
      </c>
      <c r="Z7125">
        <v>7.2024139999999999E-3</v>
      </c>
      <c r="AA7125">
        <v>0.90091909999999997</v>
      </c>
      <c r="AB7125">
        <v>34</v>
      </c>
      <c r="AC7125">
        <v>0.617999999999995</v>
      </c>
      <c r="AD7125">
        <v>-7.5965000000000199E-2</v>
      </c>
      <c r="AE7125">
        <v>0.57741000000001397</v>
      </c>
      <c r="AF7125">
        <v>-0.42822261019249802</v>
      </c>
      <c r="AG7125">
        <v>-7.5965000000000199E-2</v>
      </c>
      <c r="AH7125">
        <v>0.72149048108362901</v>
      </c>
      <c r="AI7125">
        <v>95.173577863033302</v>
      </c>
      <c r="AJ7125">
        <v>120.69018861886499</v>
      </c>
      <c r="AK7125">
        <v>0.84243326109512295</v>
      </c>
      <c r="AL7125">
        <v>67.290394574473893</v>
      </c>
      <c r="AM7125">
        <v>109.636836980589</v>
      </c>
      <c r="AN7125">
        <v>1.0000000077726801</v>
      </c>
    </row>
    <row r="7126" spans="1:40" x14ac:dyDescent="0.25">
      <c r="A7126" t="str">
        <f>"20190304164301333"</f>
        <v>20190304164301333</v>
      </c>
      <c r="B7126" t="str">
        <f>"1551688981328319"</f>
        <v>1551688981328319</v>
      </c>
      <c r="C7126" t="s">
        <v>40</v>
      </c>
      <c r="D7126">
        <v>4.5452279999999998</v>
      </c>
      <c r="E7126">
        <v>0.44346069999999999</v>
      </c>
      <c r="F7126" t="s">
        <v>41</v>
      </c>
      <c r="G7126">
        <v>-213.24600000000001</v>
      </c>
      <c r="H7126">
        <v>1.0313429999999999</v>
      </c>
      <c r="I7126">
        <v>-61.051409999999997</v>
      </c>
      <c r="J7126">
        <v>-213.96100000000001</v>
      </c>
      <c r="K7126">
        <v>1.1170610000000001</v>
      </c>
      <c r="L7126">
        <v>-61.710079999999998</v>
      </c>
      <c r="M7126">
        <v>0.97588430000000004</v>
      </c>
      <c r="N7126">
        <v>-1.4939610000000001E-2</v>
      </c>
      <c r="O7126">
        <v>0.21777640000000001</v>
      </c>
      <c r="P7126">
        <v>0.78708080000000002</v>
      </c>
      <c r="Q7126">
        <v>0.37769809999999998</v>
      </c>
      <c r="R7126">
        <v>0.48769639999999997</v>
      </c>
      <c r="S7126">
        <v>2.640854</v>
      </c>
      <c r="T7126">
        <v>-0.25607489999999999</v>
      </c>
      <c r="U7126">
        <v>2.0908199999999999</v>
      </c>
      <c r="V7126">
        <v>-0.31050990000000001</v>
      </c>
      <c r="W7126">
        <v>0.38600879999999999</v>
      </c>
      <c r="X7126">
        <v>0.8686661</v>
      </c>
      <c r="Y7126">
        <v>-0.43400440000000001</v>
      </c>
      <c r="Z7126">
        <v>6.9693369999999999E-3</v>
      </c>
      <c r="AA7126">
        <v>0.90088380000000001</v>
      </c>
      <c r="AB7126">
        <v>34</v>
      </c>
      <c r="AC7126">
        <v>0.71500000000000297</v>
      </c>
      <c r="AD7126">
        <v>-8.5717999999999905E-2</v>
      </c>
      <c r="AE7126">
        <v>0.65867000000000697</v>
      </c>
      <c r="AF7126">
        <v>-0.48337193397422701</v>
      </c>
      <c r="AG7126">
        <v>-8.5717999999999905E-2</v>
      </c>
      <c r="AH7126">
        <v>0.83480369302096202</v>
      </c>
      <c r="AI7126">
        <v>95.077929364780999</v>
      </c>
      <c r="AJ7126">
        <v>120.07189996383801</v>
      </c>
      <c r="AK7126">
        <v>0.96844886698236199</v>
      </c>
      <c r="AL7126">
        <v>67.293617732806098</v>
      </c>
      <c r="AM7126">
        <v>109.669734080125</v>
      </c>
      <c r="AN7126">
        <v>0.99999999248232996</v>
      </c>
    </row>
    <row r="7127" spans="1:40" x14ac:dyDescent="0.25">
      <c r="A7127" t="str">
        <f>"20190304164301344"</f>
        <v>20190304164301344</v>
      </c>
      <c r="B7127" t="str">
        <f>"1551688981338079"</f>
        <v>1551688981338079</v>
      </c>
      <c r="C7127" t="s">
        <v>40</v>
      </c>
      <c r="D7127">
        <v>4.6060850000000002</v>
      </c>
      <c r="E7127">
        <v>0.4433687</v>
      </c>
      <c r="F7127" t="s">
        <v>41</v>
      </c>
      <c r="G7127">
        <v>-213.19569999999999</v>
      </c>
      <c r="H7127">
        <v>1.042681</v>
      </c>
      <c r="I7127">
        <v>-61.099139999999998</v>
      </c>
      <c r="J7127">
        <v>-213.79820000000001</v>
      </c>
      <c r="K7127">
        <v>1.117132</v>
      </c>
      <c r="L7127">
        <v>-61.670560000000002</v>
      </c>
      <c r="M7127">
        <v>0.9750839</v>
      </c>
      <c r="N7127">
        <v>-1.4946269999999999E-2</v>
      </c>
      <c r="O7127">
        <v>0.22133269999999999</v>
      </c>
      <c r="P7127">
        <v>0.78519209999999995</v>
      </c>
      <c r="Q7127">
        <v>0.37770300000000001</v>
      </c>
      <c r="R7127">
        <v>0.49072779999999999</v>
      </c>
      <c r="S7127">
        <v>2.632034</v>
      </c>
      <c r="T7127">
        <v>-0.25583280000000003</v>
      </c>
      <c r="U7127">
        <v>2.101715</v>
      </c>
      <c r="V7127">
        <v>-0.31076019999999999</v>
      </c>
      <c r="W7127">
        <v>0.38596350000000001</v>
      </c>
      <c r="X7127">
        <v>0.868596699999999</v>
      </c>
      <c r="Y7127">
        <v>-0.43447590000000003</v>
      </c>
      <c r="Z7127">
        <v>6.7630059999999898E-3</v>
      </c>
      <c r="AA7127">
        <v>0.90065810000000002</v>
      </c>
      <c r="AB7127">
        <v>34</v>
      </c>
      <c r="AC7127">
        <v>0.60250000000002002</v>
      </c>
      <c r="AD7127">
        <v>-7.4451000000000003E-2</v>
      </c>
      <c r="AE7127">
        <v>0.57141999999998905</v>
      </c>
      <c r="AF7127">
        <v>-0.42049652671287502</v>
      </c>
      <c r="AG7127">
        <v>-7.4451000000000003E-2</v>
      </c>
      <c r="AH7127">
        <v>0.70834743712169401</v>
      </c>
      <c r="AI7127">
        <v>95.164358633407403</v>
      </c>
      <c r="AJ7127">
        <v>120.694653097295</v>
      </c>
      <c r="AK7127">
        <v>0.82711327643525601</v>
      </c>
      <c r="AL7127">
        <v>67.296430878456306</v>
      </c>
      <c r="AM7127">
        <v>109.685823515897</v>
      </c>
      <c r="AN7127">
        <v>0.99999997624358905</v>
      </c>
    </row>
    <row r="7128" spans="1:40" x14ac:dyDescent="0.25">
      <c r="A7128" t="str">
        <f>"20190304164301354"</f>
        <v>20190304164301354</v>
      </c>
      <c r="B7128" t="str">
        <f>"1551688981347839"</f>
        <v>1551688981347839</v>
      </c>
      <c r="C7128" t="s">
        <v>40</v>
      </c>
      <c r="D7128">
        <v>4.5675949999999998</v>
      </c>
      <c r="E7128">
        <v>0.44336969999999998</v>
      </c>
      <c r="F7128" t="s">
        <v>41</v>
      </c>
      <c r="G7128">
        <v>-212.95310000000001</v>
      </c>
      <c r="H7128">
        <v>1.034713</v>
      </c>
      <c r="I7128">
        <v>-60.99015</v>
      </c>
      <c r="J7128">
        <v>-213.64250000000001</v>
      </c>
      <c r="K7128">
        <v>1.117194</v>
      </c>
      <c r="L7128">
        <v>-61.631929999999997</v>
      </c>
      <c r="M7128">
        <v>0.97429370000000004</v>
      </c>
      <c r="N7128">
        <v>-1.4952679999999999E-2</v>
      </c>
      <c r="O7128">
        <v>0.22478519999999999</v>
      </c>
      <c r="P7128">
        <v>0.78345750000000003</v>
      </c>
      <c r="Q7128">
        <v>0.37758429999999998</v>
      </c>
      <c r="R7128">
        <v>0.4935833</v>
      </c>
      <c r="S7128">
        <v>2.6236109999999999</v>
      </c>
      <c r="T7128">
        <v>-0.25586429999999999</v>
      </c>
      <c r="U7128">
        <v>2.1123349999999999</v>
      </c>
      <c r="V7128">
        <v>-0.31088979999999999</v>
      </c>
      <c r="W7128">
        <v>0.38580209999999998</v>
      </c>
      <c r="X7128">
        <v>0.86862209999999995</v>
      </c>
      <c r="Y7128">
        <v>-0.434915</v>
      </c>
      <c r="Z7128">
        <v>6.561781E-3</v>
      </c>
      <c r="AA7128">
        <v>0.90044760000000001</v>
      </c>
      <c r="AB7128">
        <v>34</v>
      </c>
      <c r="AC7128">
        <v>0.68940000000000601</v>
      </c>
      <c r="AD7128">
        <v>-8.2480999999999999E-2</v>
      </c>
      <c r="AE7128">
        <v>0.64178000000000401</v>
      </c>
      <c r="AF7128">
        <v>-0.46678828388490601</v>
      </c>
      <c r="AG7128">
        <v>-8.2480999999999999E-2</v>
      </c>
      <c r="AH7128">
        <v>0.80982178235061897</v>
      </c>
      <c r="AI7128">
        <v>95.042794841188197</v>
      </c>
      <c r="AJ7128">
        <v>119.959520587854</v>
      </c>
      <c r="AK7128">
        <v>0.938352671708643</v>
      </c>
      <c r="AL7128">
        <v>67.306456327727602</v>
      </c>
      <c r="AM7128">
        <v>109.692870371909</v>
      </c>
      <c r="AN7128">
        <v>1.0000000403584199</v>
      </c>
    </row>
    <row r="7129" spans="1:40" x14ac:dyDescent="0.25">
      <c r="A7129" t="str">
        <f>"20190304164301366"</f>
        <v>20190304164301366</v>
      </c>
      <c r="B7129" t="str">
        <f>"1551688981358574"</f>
        <v>1551688981358574</v>
      </c>
      <c r="C7129" t="s">
        <v>40</v>
      </c>
      <c r="D7129">
        <v>4.5890259999999996</v>
      </c>
      <c r="E7129">
        <v>0.4433724</v>
      </c>
      <c r="F7129" t="s">
        <v>41</v>
      </c>
      <c r="G7129">
        <v>-212.86779999999999</v>
      </c>
      <c r="H7129">
        <v>1.041228</v>
      </c>
      <c r="I7129">
        <v>-61.003329999999998</v>
      </c>
      <c r="J7129">
        <v>-213.48500000000001</v>
      </c>
      <c r="K7129">
        <v>1.1172550000000001</v>
      </c>
      <c r="L7129">
        <v>-61.592410000000001</v>
      </c>
      <c r="M7129">
        <v>0.97347640000000002</v>
      </c>
      <c r="N7129">
        <v>-1.4958819999999999E-2</v>
      </c>
      <c r="O7129">
        <v>0.2282981</v>
      </c>
      <c r="P7129">
        <v>0.78170010000000001</v>
      </c>
      <c r="Q7129">
        <v>0.37729420000000002</v>
      </c>
      <c r="R7129">
        <v>0.49658239999999998</v>
      </c>
      <c r="S7129">
        <v>2.615707</v>
      </c>
      <c r="T7129">
        <v>-0.25648019999999999</v>
      </c>
      <c r="U7129">
        <v>2.1223450000000001</v>
      </c>
      <c r="V7129">
        <v>-0.31110719999999997</v>
      </c>
      <c r="W7129">
        <v>0.38547029999999999</v>
      </c>
      <c r="X7129">
        <v>0.86869149999999995</v>
      </c>
      <c r="Y7129">
        <v>-0.43507889999999999</v>
      </c>
      <c r="Z7129">
        <v>6.3410029999999996E-3</v>
      </c>
      <c r="AA7129">
        <v>0.90037</v>
      </c>
      <c r="AB7129">
        <v>34</v>
      </c>
      <c r="AC7129">
        <v>0.61720000000002495</v>
      </c>
      <c r="AD7129">
        <v>-7.6026999999999803E-2</v>
      </c>
      <c r="AE7129">
        <v>0.58907999999999505</v>
      </c>
      <c r="AF7129">
        <v>-0.42919040022526</v>
      </c>
      <c r="AG7129">
        <v>-7.6026999999999803E-2</v>
      </c>
      <c r="AH7129">
        <v>0.72960449571269304</v>
      </c>
      <c r="AI7129">
        <v>95.132281136734306</v>
      </c>
      <c r="AJ7129">
        <v>120.466203313444</v>
      </c>
      <c r="AK7129">
        <v>0.84988659510471898</v>
      </c>
      <c r="AL7129">
        <v>67.3270594099927</v>
      </c>
      <c r="AM7129">
        <v>109.704127999742</v>
      </c>
      <c r="AN7129">
        <v>0.99999998212308905</v>
      </c>
    </row>
    <row r="7130" spans="1:40" x14ac:dyDescent="0.25">
      <c r="A7130" t="str">
        <f>"20190304164301378"</f>
        <v>20190304164301378</v>
      </c>
      <c r="B7130" t="str">
        <f>"1551688981368334"</f>
        <v>1551688981368334</v>
      </c>
      <c r="C7130" t="s">
        <v>40</v>
      </c>
      <c r="D7130">
        <v>4.5967840000000004</v>
      </c>
      <c r="E7130">
        <v>0.44338880000000003</v>
      </c>
      <c r="F7130" t="s">
        <v>41</v>
      </c>
      <c r="G7130">
        <v>-212.66390000000001</v>
      </c>
      <c r="H7130">
        <v>1.0360419999999999</v>
      </c>
      <c r="I7130">
        <v>-60.920850000000002</v>
      </c>
      <c r="J7130">
        <v>-213.31790000000001</v>
      </c>
      <c r="K7130">
        <v>1.1173150000000001</v>
      </c>
      <c r="L7130">
        <v>-61.549709999999997</v>
      </c>
      <c r="M7130">
        <v>0.97258480000000003</v>
      </c>
      <c r="N7130">
        <v>-1.496508E-2</v>
      </c>
      <c r="O7130">
        <v>0.23206679999999999</v>
      </c>
      <c r="P7130">
        <v>0.77996030000000005</v>
      </c>
      <c r="Q7130">
        <v>0.37700610000000001</v>
      </c>
      <c r="R7130">
        <v>0.49952829999999898</v>
      </c>
      <c r="S7130">
        <v>2.6072850000000001</v>
      </c>
      <c r="T7130">
        <v>-0.25787260000000001</v>
      </c>
      <c r="U7130">
        <v>2.1329349999999998</v>
      </c>
      <c r="V7130">
        <v>-0.3110407</v>
      </c>
      <c r="W7130">
        <v>0.38514559999999998</v>
      </c>
      <c r="X7130">
        <v>0.86885939999999995</v>
      </c>
      <c r="Y7130">
        <v>-0.4352065</v>
      </c>
      <c r="Z7130">
        <v>6.0977799999999997E-3</v>
      </c>
      <c r="AA7130">
        <v>0.90031000000000005</v>
      </c>
      <c r="AB7130">
        <v>34</v>
      </c>
      <c r="AC7130">
        <v>0.65399999999999603</v>
      </c>
      <c r="AD7130">
        <v>-8.1273000000000095E-2</v>
      </c>
      <c r="AE7130">
        <v>0.62885999999999598</v>
      </c>
      <c r="AF7130">
        <v>-0.456238545555049</v>
      </c>
      <c r="AG7130">
        <v>-8.1273000000000095E-2</v>
      </c>
      <c r="AH7130">
        <v>0.77586984021372096</v>
      </c>
      <c r="AI7130">
        <v>95.159599915804804</v>
      </c>
      <c r="AJ7130">
        <v>120.457014129279</v>
      </c>
      <c r="AK7130">
        <v>0.90373277019949405</v>
      </c>
      <c r="AL7130">
        <v>67.347221697106505</v>
      </c>
      <c r="AM7130">
        <v>109.69672644798101</v>
      </c>
      <c r="AN7130">
        <v>1.0000000536121001</v>
      </c>
    </row>
    <row r="7131" spans="1:40" x14ac:dyDescent="0.25">
      <c r="A7131" t="str">
        <f>"20190304164301389"</f>
        <v>20190304164301389</v>
      </c>
      <c r="B7131" t="str">
        <f>"1551688981378095"</f>
        <v>1551688981378095</v>
      </c>
      <c r="C7131" t="s">
        <v>40</v>
      </c>
      <c r="D7131">
        <v>4.6880290000000002</v>
      </c>
      <c r="E7131">
        <v>0.44351449999999998</v>
      </c>
      <c r="F7131" t="s">
        <v>57</v>
      </c>
      <c r="G7131">
        <v>-202.1208</v>
      </c>
      <c r="H7131" s="1">
        <v>-6.1660389999999999E-6</v>
      </c>
      <c r="I7131">
        <v>-52.313960000000002</v>
      </c>
      <c r="J7131">
        <v>-213.15700000000001</v>
      </c>
      <c r="K7131">
        <v>1.1173709999999999</v>
      </c>
      <c r="L7131">
        <v>-61.507809999999999</v>
      </c>
      <c r="M7131">
        <v>0.97170160000000005</v>
      </c>
      <c r="N7131">
        <v>-1.4971E-2</v>
      </c>
      <c r="O7131">
        <v>0.23573720000000001</v>
      </c>
      <c r="P7131">
        <v>0.77821560000000001</v>
      </c>
      <c r="Q7131">
        <v>0.37655460000000002</v>
      </c>
      <c r="R7131">
        <v>0.50258029999999998</v>
      </c>
      <c r="S7131">
        <v>2.5988159999999998</v>
      </c>
      <c r="T7131">
        <v>-0.25932620000000001</v>
      </c>
      <c r="U7131">
        <v>2.1435849999999999</v>
      </c>
      <c r="V7131">
        <v>-0.31116070000000001</v>
      </c>
      <c r="W7131">
        <v>0.38465749999999999</v>
      </c>
      <c r="X7131">
        <v>0.86903259999999904</v>
      </c>
      <c r="Y7131">
        <v>-0.43544090000000002</v>
      </c>
      <c r="Z7131">
        <v>5.8628689999999997E-3</v>
      </c>
      <c r="AA7131">
        <v>0.90019819999999995</v>
      </c>
      <c r="AB7131">
        <v>34</v>
      </c>
      <c r="AC7131">
        <v>11.036199999999999</v>
      </c>
      <c r="AD7131">
        <v>-1.1173771660389999</v>
      </c>
      <c r="AE7131">
        <v>9.1938499999999994</v>
      </c>
      <c r="AF7131">
        <v>-6.2946542568041597</v>
      </c>
      <c r="AG7131">
        <v>-1.1173771660389999</v>
      </c>
      <c r="AH7131">
        <v>12.815121411847199</v>
      </c>
      <c r="AI7131">
        <v>94.474893998084298</v>
      </c>
      <c r="AJ7131">
        <v>116.15979034777</v>
      </c>
      <c r="AK7131">
        <v>14.3212618419004</v>
      </c>
      <c r="AL7131">
        <v>67.377521305826903</v>
      </c>
      <c r="AM7131">
        <v>109.700115755974</v>
      </c>
      <c r="AN7131">
        <v>1.00000001669674</v>
      </c>
    </row>
    <row r="7132" spans="1:40" x14ac:dyDescent="0.25">
      <c r="A7132" t="str">
        <f>"20190304164301403"</f>
        <v>20190304164301403</v>
      </c>
      <c r="B7132" t="str">
        <f>"1551688981398591"</f>
        <v>1551688981398591</v>
      </c>
      <c r="C7132" t="s">
        <v>40</v>
      </c>
      <c r="D7132">
        <v>4.6010109999999997</v>
      </c>
      <c r="E7132">
        <v>0.44378689999999998</v>
      </c>
      <c r="F7132" t="s">
        <v>41</v>
      </c>
      <c r="G7132">
        <v>-212.3725</v>
      </c>
      <c r="H7132">
        <v>1.0386299999999999</v>
      </c>
      <c r="I7132">
        <v>-60.855870000000003</v>
      </c>
      <c r="J7132">
        <v>-212.96690000000001</v>
      </c>
      <c r="K7132">
        <v>1.1174360000000001</v>
      </c>
      <c r="L7132">
        <v>-61.457790000000003</v>
      </c>
      <c r="M7132">
        <v>0.97063339999999998</v>
      </c>
      <c r="N7132">
        <v>-1.4977620000000001E-2</v>
      </c>
      <c r="O7132">
        <v>0.24009720000000001</v>
      </c>
      <c r="P7132">
        <v>0.77603919999999904</v>
      </c>
      <c r="Q7132">
        <v>0.37625419999999998</v>
      </c>
      <c r="R7132">
        <v>0.50615840000000001</v>
      </c>
      <c r="S7132">
        <v>2.5904240000000001</v>
      </c>
      <c r="T7132">
        <v>-0.2600093</v>
      </c>
      <c r="U7132">
        <v>2.1528930000000002</v>
      </c>
      <c r="V7132">
        <v>-0.31128460000000002</v>
      </c>
      <c r="W7132">
        <v>0.3843124</v>
      </c>
      <c r="X7132">
        <v>0.86914089999999999</v>
      </c>
      <c r="Y7132">
        <v>-0.43475279999999999</v>
      </c>
      <c r="Z7132">
        <v>5.5336949999999999E-3</v>
      </c>
      <c r="AA7132">
        <v>0.90053280000000002</v>
      </c>
      <c r="AB7132">
        <v>34</v>
      </c>
      <c r="AC7132">
        <v>0.59440000000000703</v>
      </c>
      <c r="AD7132">
        <v>-7.8806000000000098E-2</v>
      </c>
      <c r="AE7132">
        <v>0.60192000000000601</v>
      </c>
      <c r="AF7132">
        <v>-0.43778016517174201</v>
      </c>
      <c r="AG7132">
        <v>-7.8806000000000098E-2</v>
      </c>
      <c r="AH7132">
        <v>0.71533673106528195</v>
      </c>
      <c r="AI7132">
        <v>95.368096474261407</v>
      </c>
      <c r="AJ7132">
        <v>121.466287632335</v>
      </c>
      <c r="AK7132">
        <v>0.84235888875523901</v>
      </c>
      <c r="AL7132">
        <v>67.3989404736637</v>
      </c>
      <c r="AM7132">
        <v>109.705089430721</v>
      </c>
      <c r="AN7132">
        <v>1.0000000135218601</v>
      </c>
    </row>
    <row r="7133" spans="1:40" x14ac:dyDescent="0.25">
      <c r="A7133" t="str">
        <f>"20190304164301416"</f>
        <v>20190304164301416</v>
      </c>
      <c r="B7133" t="str">
        <f>"1551688981408354"</f>
        <v>1551688981408354</v>
      </c>
      <c r="C7133" t="s">
        <v>40</v>
      </c>
      <c r="D7133">
        <v>4.6875309999999999</v>
      </c>
      <c r="E7133">
        <v>0.4439457</v>
      </c>
      <c r="F7133" t="s">
        <v>41</v>
      </c>
      <c r="G7133">
        <v>-212.10730000000001</v>
      </c>
      <c r="H7133">
        <v>1.030856</v>
      </c>
      <c r="I7133">
        <v>-60.737690000000001</v>
      </c>
      <c r="J7133">
        <v>-212.77189999999999</v>
      </c>
      <c r="K7133">
        <v>1.1175010000000001</v>
      </c>
      <c r="L7133">
        <v>-61.405029999999996</v>
      </c>
      <c r="M7133">
        <v>0.96949609999999997</v>
      </c>
      <c r="N7133">
        <v>-1.4984920000000001E-2</v>
      </c>
      <c r="O7133">
        <v>0.24464849999999999</v>
      </c>
      <c r="P7133">
        <v>0.77374949999999998</v>
      </c>
      <c r="Q7133">
        <v>0.37620809999999999</v>
      </c>
      <c r="R7133">
        <v>0.50968530000000001</v>
      </c>
      <c r="S7133">
        <v>2.5811920000000002</v>
      </c>
      <c r="T7133">
        <v>-0.25999280000000002</v>
      </c>
      <c r="U7133">
        <v>2.162811</v>
      </c>
      <c r="V7133">
        <v>-0.31122129999999998</v>
      </c>
      <c r="W7133">
        <v>0.38422260000000003</v>
      </c>
      <c r="X7133">
        <v>0.86920330000000001</v>
      </c>
      <c r="Y7133">
        <v>-0.43415690000000001</v>
      </c>
      <c r="Z7133">
        <v>5.1989719999999996E-3</v>
      </c>
      <c r="AA7133">
        <v>0.90082229999999996</v>
      </c>
      <c r="AB7133">
        <v>34</v>
      </c>
      <c r="AC7133">
        <v>0.66459999999997799</v>
      </c>
      <c r="AD7133">
        <v>-8.6645E-2</v>
      </c>
      <c r="AE7133">
        <v>0.66734000000000204</v>
      </c>
      <c r="AF7133">
        <v>-0.48037885016585302</v>
      </c>
      <c r="AG7133">
        <v>-8.6645E-2</v>
      </c>
      <c r="AH7133">
        <v>0.80090309594842701</v>
      </c>
      <c r="AI7133">
        <v>95.300468966865395</v>
      </c>
      <c r="AJ7133">
        <v>120.955181217206</v>
      </c>
      <c r="AK7133">
        <v>0.93793228157017905</v>
      </c>
      <c r="AL7133">
        <v>67.404514162491594</v>
      </c>
      <c r="AM7133">
        <v>109.70008538337299</v>
      </c>
      <c r="AN7133">
        <v>1.0000000403276601</v>
      </c>
    </row>
    <row r="7134" spans="1:40" x14ac:dyDescent="0.25">
      <c r="A7134" t="str">
        <f>"20190304164301427"</f>
        <v>20190304164301427</v>
      </c>
      <c r="B7134" t="str">
        <f>"1551688981418110"</f>
        <v>1551688981418110</v>
      </c>
      <c r="C7134" t="s">
        <v>40</v>
      </c>
      <c r="D7134">
        <v>4.5925529999999997</v>
      </c>
      <c r="E7134">
        <v>0.44411970000000001</v>
      </c>
      <c r="F7134" t="s">
        <v>41</v>
      </c>
      <c r="G7134">
        <v>-212.00450000000001</v>
      </c>
      <c r="H7134">
        <v>1.0400910000000001</v>
      </c>
      <c r="I7134">
        <v>-60.756610000000002</v>
      </c>
      <c r="J7134">
        <v>-212.60890000000001</v>
      </c>
      <c r="K7134">
        <v>1.117556</v>
      </c>
      <c r="L7134">
        <v>-61.360320000000002</v>
      </c>
      <c r="M7134">
        <v>0.96852119999999997</v>
      </c>
      <c r="N7134">
        <v>-1.49911E-2</v>
      </c>
      <c r="O7134">
        <v>0.24847949999999999</v>
      </c>
      <c r="P7134">
        <v>0.77181880000000003</v>
      </c>
      <c r="Q7134">
        <v>0.3762354</v>
      </c>
      <c r="R7134">
        <v>0.51258429999999999</v>
      </c>
      <c r="S7134">
        <v>2.5716709999999998</v>
      </c>
      <c r="T7134">
        <v>-0.25942120000000002</v>
      </c>
      <c r="U7134">
        <v>2.1734619999999998</v>
      </c>
      <c r="V7134">
        <v>-0.31110359999999998</v>
      </c>
      <c r="W7134">
        <v>0.38421379999999999</v>
      </c>
      <c r="X7134">
        <v>0.8692493</v>
      </c>
      <c r="Y7134">
        <v>-0.43442579999999997</v>
      </c>
      <c r="Z7134">
        <v>4.961628E-3</v>
      </c>
      <c r="AA7134">
        <v>0.90069399999999999</v>
      </c>
      <c r="AB7134">
        <v>34</v>
      </c>
      <c r="AC7134">
        <v>0.60439999999999805</v>
      </c>
      <c r="AD7134">
        <v>-7.7465000000000103E-2</v>
      </c>
      <c r="AE7134">
        <v>0.60370999999999897</v>
      </c>
      <c r="AF7134">
        <v>-0.43102939865713502</v>
      </c>
      <c r="AG7134">
        <v>-7.7465000000000103E-2</v>
      </c>
      <c r="AH7134">
        <v>0.72946799533257101</v>
      </c>
      <c r="AI7134">
        <v>95.223811475777396</v>
      </c>
      <c r="AJ7134">
        <v>120.578070013843</v>
      </c>
      <c r="AK7134">
        <v>0.85082943352134499</v>
      </c>
      <c r="AL7134">
        <v>67.405059794843993</v>
      </c>
      <c r="AM7134">
        <v>109.692246224242</v>
      </c>
      <c r="AN7134">
        <v>1.0000000197969401</v>
      </c>
    </row>
    <row r="7135" spans="1:40" x14ac:dyDescent="0.25">
      <c r="A7135" t="str">
        <f>"20190304164301440"</f>
        <v>20190304164301440</v>
      </c>
      <c r="B7135" t="str">
        <f>"1551688981427872"</f>
        <v>1551688981427872</v>
      </c>
      <c r="C7135" t="s">
        <v>40</v>
      </c>
      <c r="D7135">
        <v>4.551736</v>
      </c>
      <c r="E7135">
        <v>0.4442644</v>
      </c>
      <c r="F7135" t="s">
        <v>41</v>
      </c>
      <c r="G7135">
        <v>-211.8115</v>
      </c>
      <c r="H7135">
        <v>1.0370760000000001</v>
      </c>
      <c r="I7135">
        <v>-60.6815</v>
      </c>
      <c r="J7135">
        <v>-212.42779999999999</v>
      </c>
      <c r="K7135">
        <v>1.1176170000000001</v>
      </c>
      <c r="L7135">
        <v>-61.309910000000002</v>
      </c>
      <c r="M7135">
        <v>0.96740890000000002</v>
      </c>
      <c r="N7135">
        <v>-1.499815E-2</v>
      </c>
      <c r="O7135">
        <v>0.25277500000000003</v>
      </c>
      <c r="P7135">
        <v>0.76967410000000003</v>
      </c>
      <c r="Q7135">
        <v>0.37614160000000002</v>
      </c>
      <c r="R7135">
        <v>0.51586779999999999</v>
      </c>
      <c r="S7135">
        <v>2.5637819999999998</v>
      </c>
      <c r="T7135">
        <v>-0.25873350000000001</v>
      </c>
      <c r="U7135">
        <v>2.1822509999999999</v>
      </c>
      <c r="V7135">
        <v>-0.31099719999999997</v>
      </c>
      <c r="W7135">
        <v>0.38407989999999997</v>
      </c>
      <c r="X7135">
        <v>0.86934650000000002</v>
      </c>
      <c r="Y7135">
        <v>-0.43360280000000001</v>
      </c>
      <c r="Z7135">
        <v>4.6388970000000003E-3</v>
      </c>
      <c r="AA7135">
        <v>0.90109220000000001</v>
      </c>
      <c r="AB7135">
        <v>34</v>
      </c>
      <c r="AC7135">
        <v>0.61629999999999496</v>
      </c>
      <c r="AD7135">
        <v>-8.0540999999999904E-2</v>
      </c>
      <c r="AE7135">
        <v>0.62840999999999503</v>
      </c>
      <c r="AF7135">
        <v>-0.44844019129496399</v>
      </c>
      <c r="AG7135">
        <v>-8.0540999999999904E-2</v>
      </c>
      <c r="AH7135">
        <v>0.74887492452486104</v>
      </c>
      <c r="AI7135">
        <v>95.271803067429701</v>
      </c>
      <c r="AJ7135">
        <v>120.91395669622</v>
      </c>
      <c r="AK7135">
        <v>0.87658377262631304</v>
      </c>
      <c r="AL7135">
        <v>67.413368380519799</v>
      </c>
      <c r="AM7135">
        <v>109.683997157498</v>
      </c>
      <c r="AN7135">
        <v>0.99999998252704903</v>
      </c>
    </row>
    <row r="7136" spans="1:40" x14ac:dyDescent="0.25">
      <c r="A7136" t="str">
        <f>"20190304164301452"</f>
        <v>20190304164301452</v>
      </c>
      <c r="B7136" t="str">
        <f>"1551688981448367"</f>
        <v>1551688981448367</v>
      </c>
      <c r="C7136" t="s">
        <v>40</v>
      </c>
      <c r="D7136">
        <v>4.5356529999999999</v>
      </c>
      <c r="E7136">
        <v>0.44435010000000003</v>
      </c>
      <c r="F7136" t="s">
        <v>57</v>
      </c>
      <c r="G7136">
        <v>-201.36429999999999</v>
      </c>
      <c r="H7136" s="1">
        <v>-6.5300509999999997E-6</v>
      </c>
      <c r="I7136">
        <v>-51.816420000000001</v>
      </c>
      <c r="J7136">
        <v>-212.26599999999999</v>
      </c>
      <c r="K7136">
        <v>1.1176790000000001</v>
      </c>
      <c r="L7136">
        <v>-61.26379</v>
      </c>
      <c r="M7136">
        <v>0.96638080000000004</v>
      </c>
      <c r="N7136">
        <v>-1.5005050000000001E-2</v>
      </c>
      <c r="O7136">
        <v>0.25667699999999999</v>
      </c>
      <c r="P7136">
        <v>0.76766619999999997</v>
      </c>
      <c r="Q7136">
        <v>0.37608239999999998</v>
      </c>
      <c r="R7136">
        <v>0.51889379999999996</v>
      </c>
      <c r="S7136">
        <v>2.5546419999999999</v>
      </c>
      <c r="T7136">
        <v>-0.25806669999999998</v>
      </c>
      <c r="U7136">
        <v>2.1921080000000002</v>
      </c>
      <c r="V7136">
        <v>-0.31096289999999999</v>
      </c>
      <c r="W7136">
        <v>0.38398080000000001</v>
      </c>
      <c r="X7136">
        <v>0.86940249999999997</v>
      </c>
      <c r="Y7136">
        <v>-0.43357309999999999</v>
      </c>
      <c r="Z7136">
        <v>4.3848020000000001E-3</v>
      </c>
      <c r="AA7136">
        <v>0.90110769999999996</v>
      </c>
      <c r="AB7136">
        <v>34</v>
      </c>
      <c r="AC7136">
        <v>10.9017</v>
      </c>
      <c r="AD7136">
        <v>-1.117685530051</v>
      </c>
      <c r="AE7136">
        <v>9.4473699999999994</v>
      </c>
      <c r="AF7136">
        <v>-6.2944683417352403</v>
      </c>
      <c r="AG7136">
        <v>-1.117685530051</v>
      </c>
      <c r="AH7136">
        <v>12.8842309689981</v>
      </c>
      <c r="AI7136">
        <v>94.456854487587094</v>
      </c>
      <c r="AJ7136">
        <v>116.037381441777</v>
      </c>
      <c r="AK7136">
        <v>14.3830789579868</v>
      </c>
      <c r="AL7136">
        <v>67.419517007052406</v>
      </c>
      <c r="AM7136">
        <v>109.68082264964301</v>
      </c>
      <c r="AN7136">
        <v>0.99999994347564802</v>
      </c>
    </row>
    <row r="7137" spans="1:40" x14ac:dyDescent="0.25">
      <c r="A7137" t="str">
        <f>"20190304164301463"</f>
        <v>20190304164301463</v>
      </c>
      <c r="B7137" t="str">
        <f>"1551688981458128"</f>
        <v>1551688981458128</v>
      </c>
      <c r="C7137" t="s">
        <v>40</v>
      </c>
      <c r="D7137">
        <v>4.562303</v>
      </c>
      <c r="E7137">
        <v>0.44439519999999999</v>
      </c>
      <c r="F7137" t="s">
        <v>41</v>
      </c>
      <c r="G7137">
        <v>-211.51900000000001</v>
      </c>
      <c r="H7137">
        <v>1.04158</v>
      </c>
      <c r="I7137">
        <v>-60.618000000000002</v>
      </c>
      <c r="J7137">
        <v>-212.08449999999999</v>
      </c>
      <c r="K7137">
        <v>1.117748</v>
      </c>
      <c r="L7137">
        <v>-61.211579999999998</v>
      </c>
      <c r="M7137">
        <v>0.96520039999999996</v>
      </c>
      <c r="N7137">
        <v>-1.501274E-2</v>
      </c>
      <c r="O7137">
        <v>0.26108009999999998</v>
      </c>
      <c r="P7137">
        <v>0.76522780000000001</v>
      </c>
      <c r="Q7137">
        <v>0.3761176</v>
      </c>
      <c r="R7137">
        <v>0.52245750000000002</v>
      </c>
      <c r="S7137">
        <v>2.5465089999999999</v>
      </c>
      <c r="T7137">
        <v>-0.2594552</v>
      </c>
      <c r="U7137">
        <v>2.2021790000000001</v>
      </c>
      <c r="V7137">
        <v>-0.31111749999999999</v>
      </c>
      <c r="W7137">
        <v>0.38396380000000002</v>
      </c>
      <c r="X7137">
        <v>0.86935479999999998</v>
      </c>
      <c r="Y7137">
        <v>-0.43293160000000003</v>
      </c>
      <c r="Z7137">
        <v>4.0430229999999998E-3</v>
      </c>
      <c r="AA7137">
        <v>0.90141769999999999</v>
      </c>
      <c r="AB7137">
        <v>34</v>
      </c>
      <c r="AC7137">
        <v>0.56549999999998501</v>
      </c>
      <c r="AD7137">
        <v>-7.6168E-2</v>
      </c>
      <c r="AE7137">
        <v>0.59358000000000199</v>
      </c>
      <c r="AF7137">
        <v>-0.42169090256325098</v>
      </c>
      <c r="AG7137">
        <v>-7.6168E-2</v>
      </c>
      <c r="AH7137">
        <v>0.69487383114748702</v>
      </c>
      <c r="AI7137">
        <v>95.353472058273496</v>
      </c>
      <c r="AJ7137">
        <v>121.251874827953</v>
      </c>
      <c r="AK7137">
        <v>0.81637884755926604</v>
      </c>
      <c r="AL7137">
        <v>67.420574040996399</v>
      </c>
      <c r="AM7137">
        <v>109.69085234376701</v>
      </c>
      <c r="AN7137">
        <v>1.00000003339986</v>
      </c>
    </row>
    <row r="7138" spans="1:40" x14ac:dyDescent="0.25">
      <c r="A7138" t="str">
        <f>"20190304164301474"</f>
        <v>20190304164301474</v>
      </c>
      <c r="B7138" t="str">
        <f>"1551688981467887"</f>
        <v>1551688981467887</v>
      </c>
      <c r="C7138" t="s">
        <v>40</v>
      </c>
      <c r="D7138">
        <v>4.5228830000000002</v>
      </c>
      <c r="E7138">
        <v>0.44451269999999998</v>
      </c>
      <c r="F7138" t="s">
        <v>41</v>
      </c>
      <c r="G7138">
        <v>-211.2593</v>
      </c>
      <c r="H7138">
        <v>1.0332460000000001</v>
      </c>
      <c r="I7138">
        <v>-60.491280000000003</v>
      </c>
      <c r="J7138">
        <v>-211.92769999999999</v>
      </c>
      <c r="K7138">
        <v>1.1178189999999999</v>
      </c>
      <c r="L7138">
        <v>-61.165370000000003</v>
      </c>
      <c r="M7138">
        <v>0.96414239999999996</v>
      </c>
      <c r="N7138">
        <v>-1.5020540000000001E-2</v>
      </c>
      <c r="O7138">
        <v>0.26495980000000002</v>
      </c>
      <c r="P7138">
        <v>0.76338319999999904</v>
      </c>
      <c r="Q7138">
        <v>0.37580259999999999</v>
      </c>
      <c r="R7138">
        <v>0.52537480000000003</v>
      </c>
      <c r="S7138">
        <v>2.5363920000000002</v>
      </c>
      <c r="T7138">
        <v>-0.2597469</v>
      </c>
      <c r="U7138">
        <v>2.2141419999999998</v>
      </c>
      <c r="V7138">
        <v>-0.31096099999999999</v>
      </c>
      <c r="W7138">
        <v>0.38360660000000002</v>
      </c>
      <c r="X7138">
        <v>0.86956840000000002</v>
      </c>
      <c r="Y7138">
        <v>-0.43350450000000001</v>
      </c>
      <c r="Z7138">
        <v>3.8101929999999999E-3</v>
      </c>
      <c r="AA7138">
        <v>0.90114329999999998</v>
      </c>
      <c r="AB7138">
        <v>34</v>
      </c>
      <c r="AC7138">
        <v>0.668399999999991</v>
      </c>
      <c r="AD7138">
        <v>-8.4573000000000204E-2</v>
      </c>
      <c r="AE7138">
        <v>0.67408999999999197</v>
      </c>
      <c r="AF7138">
        <v>-0.46914929613318601</v>
      </c>
      <c r="AG7138">
        <v>-8.4573000000000204E-2</v>
      </c>
      <c r="AH7138">
        <v>0.81665058004180702</v>
      </c>
      <c r="AI7138">
        <v>95.131266605990206</v>
      </c>
      <c r="AJ7138">
        <v>119.876499162355</v>
      </c>
      <c r="AK7138">
        <v>0.94560659064638697</v>
      </c>
      <c r="AL7138">
        <v>67.442736142805302</v>
      </c>
      <c r="AM7138">
        <v>109.67724524363901</v>
      </c>
      <c r="AN7138">
        <v>0.99999998468155904</v>
      </c>
    </row>
    <row r="7139" spans="1:40" x14ac:dyDescent="0.25">
      <c r="A7139" t="str">
        <f>"20190304164301484"</f>
        <v>20190304164301484</v>
      </c>
      <c r="B7139" t="str">
        <f>"1551688981477646"</f>
        <v>1551688981477646</v>
      </c>
      <c r="C7139" t="s">
        <v>40</v>
      </c>
      <c r="D7139">
        <v>4.5579799999999997</v>
      </c>
      <c r="E7139">
        <v>0.4445848</v>
      </c>
      <c r="F7139" t="s">
        <v>41</v>
      </c>
      <c r="G7139">
        <v>-211.1756</v>
      </c>
      <c r="H7139">
        <v>1.040146</v>
      </c>
      <c r="I7139">
        <v>-60.503900000000002</v>
      </c>
      <c r="J7139">
        <v>-211.79159999999999</v>
      </c>
      <c r="K7139">
        <v>1.1178790000000001</v>
      </c>
      <c r="L7139">
        <v>-61.12491</v>
      </c>
      <c r="M7139">
        <v>0.96320459999999997</v>
      </c>
      <c r="N7139">
        <v>-1.5027449999999999E-2</v>
      </c>
      <c r="O7139">
        <v>0.26834849999999999</v>
      </c>
      <c r="P7139">
        <v>0.76176180000000004</v>
      </c>
      <c r="Q7139">
        <v>0.37550689999999998</v>
      </c>
      <c r="R7139">
        <v>0.5279334</v>
      </c>
      <c r="S7139">
        <v>2.5281980000000002</v>
      </c>
      <c r="T7139">
        <v>-0.26107590000000003</v>
      </c>
      <c r="U7139">
        <v>2.2234189999999998</v>
      </c>
      <c r="V7139">
        <v>-0.31083729999999998</v>
      </c>
      <c r="W7139">
        <v>0.38327280000000002</v>
      </c>
      <c r="X7139">
        <v>0.86975990000000003</v>
      </c>
      <c r="Y7139">
        <v>-0.43364740000000002</v>
      </c>
      <c r="Z7139">
        <v>3.571851E-3</v>
      </c>
      <c r="AA7139">
        <v>0.90107550000000003</v>
      </c>
      <c r="AB7139">
        <v>34</v>
      </c>
      <c r="AC7139">
        <v>0.615999999999985</v>
      </c>
      <c r="AD7139">
        <v>-7.7732999999999997E-2</v>
      </c>
      <c r="AE7139">
        <v>0.62100999999999795</v>
      </c>
      <c r="AF7139">
        <v>-0.42951386212381498</v>
      </c>
      <c r="AG7139">
        <v>-7.7732999999999997E-2</v>
      </c>
      <c r="AH7139">
        <v>0.75411145747869401</v>
      </c>
      <c r="AI7139">
        <v>95.118294266690299</v>
      </c>
      <c r="AJ7139">
        <v>119.66423140819001</v>
      </c>
      <c r="AK7139">
        <v>0.871325810099847</v>
      </c>
      <c r="AL7139">
        <v>67.463446428874306</v>
      </c>
      <c r="AM7139">
        <v>109.66601985626799</v>
      </c>
      <c r="AN7139">
        <v>1.0000000749695599</v>
      </c>
    </row>
    <row r="7140" spans="1:40" x14ac:dyDescent="0.25">
      <c r="A7140" t="str">
        <f>"20190304164301494"</f>
        <v>20190304164301494</v>
      </c>
      <c r="B7140" t="str">
        <f>"1551688981488383"</f>
        <v>1551688981488383</v>
      </c>
      <c r="C7140" t="s">
        <v>40</v>
      </c>
      <c r="D7140">
        <v>4.5176319999999999</v>
      </c>
      <c r="E7140">
        <v>0.4447084</v>
      </c>
      <c r="F7140" t="s">
        <v>41</v>
      </c>
      <c r="G7140">
        <v>-210.9787</v>
      </c>
      <c r="H7140">
        <v>1.033245</v>
      </c>
      <c r="I7140">
        <v>-60.405320000000003</v>
      </c>
      <c r="J7140">
        <v>-211.64580000000001</v>
      </c>
      <c r="K7140">
        <v>1.1179490000000001</v>
      </c>
      <c r="L7140">
        <v>-61.0807199999999</v>
      </c>
      <c r="M7140">
        <v>0.96216860000000004</v>
      </c>
      <c r="N7140">
        <v>-1.5036219999999999E-2</v>
      </c>
      <c r="O7140">
        <v>0.272039799999999</v>
      </c>
      <c r="P7140">
        <v>0.75991439999999999</v>
      </c>
      <c r="Q7140">
        <v>0.37531209999999998</v>
      </c>
      <c r="R7140">
        <v>0.53072699999999995</v>
      </c>
      <c r="S7140">
        <v>2.5207519999999999</v>
      </c>
      <c r="T7140">
        <v>-0.26246770000000003</v>
      </c>
      <c r="U7140">
        <v>2.2319640000000001</v>
      </c>
      <c r="V7140">
        <v>-0.31073610000000002</v>
      </c>
      <c r="W7140">
        <v>0.3830345</v>
      </c>
      <c r="X7140">
        <v>0.86990089999999998</v>
      </c>
      <c r="Y7140">
        <v>-0.43322719999999998</v>
      </c>
      <c r="Z7140">
        <v>3.280369E-3</v>
      </c>
      <c r="AA7140">
        <v>0.90127880000000005</v>
      </c>
      <c r="AB7140">
        <v>33</v>
      </c>
      <c r="AC7140">
        <v>0.66710000000000402</v>
      </c>
      <c r="AD7140">
        <v>-8.4704000000000099E-2</v>
      </c>
      <c r="AE7140">
        <v>0.675399999999996</v>
      </c>
      <c r="AF7140">
        <v>-0.46472396029318402</v>
      </c>
      <c r="AG7140">
        <v>-8.4704000000000099E-2</v>
      </c>
      <c r="AH7140">
        <v>0.81916984758462397</v>
      </c>
      <c r="AI7140">
        <v>95.139205712882202</v>
      </c>
      <c r="AJ7140">
        <v>119.56671331650701</v>
      </c>
      <c r="AK7140">
        <v>0.94561216472632004</v>
      </c>
      <c r="AL7140">
        <v>67.478225441058996</v>
      </c>
      <c r="AM7140">
        <v>109.65716568420601</v>
      </c>
      <c r="AN7140">
        <v>0.99999996392713397</v>
      </c>
    </row>
    <row r="7141" spans="1:40" x14ac:dyDescent="0.25">
      <c r="A7141" t="str">
        <f>"20190304164301504"</f>
        <v>20190304164301504</v>
      </c>
      <c r="B7141" t="str">
        <f>"1551688981498143"</f>
        <v>1551688981498143</v>
      </c>
      <c r="C7141" t="s">
        <v>40</v>
      </c>
      <c r="D7141">
        <v>4.6209199999999999</v>
      </c>
      <c r="E7141">
        <v>0.44475759999999998</v>
      </c>
      <c r="F7141" t="s">
        <v>41</v>
      </c>
      <c r="G7141">
        <v>-210.89699999999999</v>
      </c>
      <c r="H7141">
        <v>1.0395000000000001</v>
      </c>
      <c r="I7141">
        <v>-60.4131199999999</v>
      </c>
      <c r="J7141">
        <v>-211.52029999999999</v>
      </c>
      <c r="K7141">
        <v>1.118015</v>
      </c>
      <c r="L7141">
        <v>-61.0424199999999</v>
      </c>
      <c r="M7141">
        <v>0.9612598</v>
      </c>
      <c r="N7141">
        <v>-1.504366E-2</v>
      </c>
      <c r="O7141">
        <v>0.27523300000000001</v>
      </c>
      <c r="P7141">
        <v>0.75839100000000004</v>
      </c>
      <c r="Q7141">
        <v>0.37528879999999998</v>
      </c>
      <c r="R7141">
        <v>0.53291790000000006</v>
      </c>
      <c r="S7141">
        <v>2.512756</v>
      </c>
      <c r="T7141">
        <v>-0.26327929999999999</v>
      </c>
      <c r="U7141">
        <v>2.240936</v>
      </c>
      <c r="V7141">
        <v>-0.31041400000000002</v>
      </c>
      <c r="W7141">
        <v>0.38297639999999999</v>
      </c>
      <c r="X7141">
        <v>0.87004150000000002</v>
      </c>
      <c r="Y7141">
        <v>-0.43345270000000002</v>
      </c>
      <c r="Z7141">
        <v>3.0624419999999999E-3</v>
      </c>
      <c r="AA7141">
        <v>0.9011711</v>
      </c>
      <c r="AB7141">
        <v>33</v>
      </c>
      <c r="AC7141">
        <v>0.62329999999997199</v>
      </c>
      <c r="AD7141">
        <v>-7.8514999999999793E-2</v>
      </c>
      <c r="AE7141">
        <v>0.62929999999999997</v>
      </c>
      <c r="AF7141">
        <v>-0.43003797857586901</v>
      </c>
      <c r="AG7141">
        <v>-7.8514999999999793E-2</v>
      </c>
      <c r="AH7141">
        <v>0.76642241574650805</v>
      </c>
      <c r="AI7141">
        <v>95.105292521236294</v>
      </c>
      <c r="AJ7141">
        <v>119.296689762508</v>
      </c>
      <c r="AK7141">
        <v>0.88232680317517997</v>
      </c>
      <c r="AL7141">
        <v>67.481829812167604</v>
      </c>
      <c r="AM7141">
        <v>109.63541826571</v>
      </c>
      <c r="AN7141">
        <v>0.99999999303760501</v>
      </c>
    </row>
    <row r="7142" spans="1:40" x14ac:dyDescent="0.25">
      <c r="A7142" t="str">
        <f>"20190304164301513"</f>
        <v>20190304164301513</v>
      </c>
      <c r="B7142" t="str">
        <f>"1551688981507902"</f>
        <v>1551688981507902</v>
      </c>
      <c r="C7142" t="s">
        <v>40</v>
      </c>
      <c r="D7142">
        <v>4.5793039999999996</v>
      </c>
      <c r="E7142">
        <v>0.4448471</v>
      </c>
      <c r="F7142" t="s">
        <v>41</v>
      </c>
      <c r="G7142">
        <v>-210.70339999999999</v>
      </c>
      <c r="H7142">
        <v>1.03206</v>
      </c>
      <c r="I7142">
        <v>-60.309609999999999</v>
      </c>
      <c r="J7142">
        <v>-211.37360000000001</v>
      </c>
      <c r="K7142">
        <v>1.118101</v>
      </c>
      <c r="L7142">
        <v>-60.996670000000002</v>
      </c>
      <c r="M7142">
        <v>0.9601594</v>
      </c>
      <c r="N7142">
        <v>-1.505371E-2</v>
      </c>
      <c r="O7142">
        <v>0.2790472</v>
      </c>
      <c r="P7142">
        <v>0.75618929999999995</v>
      </c>
      <c r="Q7142">
        <v>0.37545539999999999</v>
      </c>
      <c r="R7142">
        <v>0.53592059999999997</v>
      </c>
      <c r="S7142">
        <v>2.5063170000000001</v>
      </c>
      <c r="T7142">
        <v>-0.26372640000000003</v>
      </c>
      <c r="U7142">
        <v>2.248383</v>
      </c>
      <c r="V7142">
        <v>-0.31051450000000003</v>
      </c>
      <c r="W7142">
        <v>0.38308609999999998</v>
      </c>
      <c r="X7142">
        <v>0.86995739999999999</v>
      </c>
      <c r="Y7142">
        <v>-0.43251830000000002</v>
      </c>
      <c r="Z7142">
        <v>2.7469679999999998E-3</v>
      </c>
      <c r="AA7142">
        <v>0.90162100000000001</v>
      </c>
      <c r="AB7142">
        <v>33</v>
      </c>
      <c r="AC7142">
        <v>0.670200000000022</v>
      </c>
      <c r="AD7142">
        <v>-8.6041000000000006E-2</v>
      </c>
      <c r="AE7142">
        <v>0.68705999999999501</v>
      </c>
      <c r="AF7142">
        <v>-0.46895465559229799</v>
      </c>
      <c r="AG7142">
        <v>-8.6041000000000006E-2</v>
      </c>
      <c r="AH7142">
        <v>0.828656436626935</v>
      </c>
      <c r="AI7142">
        <v>95.163505779486599</v>
      </c>
      <c r="AJ7142">
        <v>119.50646299197599</v>
      </c>
      <c r="AK7142">
        <v>0.95602981786445396</v>
      </c>
      <c r="AL7142">
        <v>67.475026804777301</v>
      </c>
      <c r="AM7142">
        <v>109.643042485799</v>
      </c>
      <c r="AN7142">
        <v>1.0000000462691001</v>
      </c>
    </row>
    <row r="7143" spans="1:40" x14ac:dyDescent="0.25">
      <c r="A7143" t="str">
        <f>"20190304164301525"</f>
        <v>20190304164301525</v>
      </c>
      <c r="B7143" t="str">
        <f>"1551688981517662"</f>
        <v>1551688981517662</v>
      </c>
      <c r="C7143" t="s">
        <v>40</v>
      </c>
      <c r="D7143">
        <v>4.6410679999999997</v>
      </c>
      <c r="E7143">
        <v>0.44490410000000002</v>
      </c>
      <c r="F7143" t="s">
        <v>41</v>
      </c>
      <c r="G7143">
        <v>-210.63310000000001</v>
      </c>
      <c r="H7143">
        <v>1.039914</v>
      </c>
      <c r="I7143">
        <v>-60.327319999999901</v>
      </c>
      <c r="J7143">
        <v>-211.23249999999999</v>
      </c>
      <c r="K7143">
        <v>1.1181749999999999</v>
      </c>
      <c r="L7143">
        <v>-60.952330000000003</v>
      </c>
      <c r="M7143">
        <v>0.95910220000000002</v>
      </c>
      <c r="N7143">
        <v>-1.503459E-2</v>
      </c>
      <c r="O7143">
        <v>0.28266069999999999</v>
      </c>
      <c r="P7143">
        <v>0.75417330000000005</v>
      </c>
      <c r="Q7143">
        <v>0.37569010000000003</v>
      </c>
      <c r="R7143">
        <v>0.53859029999999997</v>
      </c>
      <c r="S7143">
        <v>2.4978639999999999</v>
      </c>
      <c r="T7143">
        <v>-0.26376579999999999</v>
      </c>
      <c r="U7143">
        <v>2.2580870000000002</v>
      </c>
      <c r="V7143">
        <v>-0.31042930000000002</v>
      </c>
      <c r="W7143">
        <v>0.38324200000000003</v>
      </c>
      <c r="X7143">
        <v>0.86991909999999895</v>
      </c>
      <c r="Y7143">
        <v>-0.4325772</v>
      </c>
      <c r="Z7143">
        <v>2.4892629999999998E-3</v>
      </c>
      <c r="AA7143">
        <v>0.90159339999999999</v>
      </c>
      <c r="AB7143">
        <v>33</v>
      </c>
      <c r="AC7143">
        <v>0.59939999999997395</v>
      </c>
      <c r="AD7143">
        <v>-7.82609999999999E-2</v>
      </c>
      <c r="AE7143">
        <v>0.62501000000000995</v>
      </c>
      <c r="AF7143">
        <v>-0.42658617543902799</v>
      </c>
      <c r="AG7143">
        <v>-7.82609999999999E-2</v>
      </c>
      <c r="AH7143">
        <v>0.74554743475015095</v>
      </c>
      <c r="AI7143">
        <v>95.205906306660495</v>
      </c>
      <c r="AJ7143">
        <v>119.777259731662</v>
      </c>
      <c r="AK7143">
        <v>0.86252044999479704</v>
      </c>
      <c r="AL7143">
        <v>67.465355501337697</v>
      </c>
      <c r="AM7143">
        <v>109.63886357843199</v>
      </c>
      <c r="AN7143">
        <v>1.00000001070365</v>
      </c>
    </row>
    <row r="7144" spans="1:40" x14ac:dyDescent="0.25">
      <c r="A7144" t="str">
        <f>"20190304164301535"</f>
        <v>20190304164301535</v>
      </c>
      <c r="B7144" t="str">
        <f>"1551688981528399"</f>
        <v>1551688981528399</v>
      </c>
      <c r="C7144" t="s">
        <v>40</v>
      </c>
      <c r="D7144">
        <v>4.5745149999999999</v>
      </c>
      <c r="E7144">
        <v>0.44501600000000002</v>
      </c>
      <c r="F7144" t="s">
        <v>41</v>
      </c>
      <c r="G7144">
        <v>-210.4247</v>
      </c>
      <c r="H7144">
        <v>1.0326879999999901</v>
      </c>
      <c r="I7144">
        <v>-60.217370000000003</v>
      </c>
      <c r="J7144">
        <v>-211.0753</v>
      </c>
      <c r="K7144">
        <v>1.118244</v>
      </c>
      <c r="L7144">
        <v>-60.901789999999998</v>
      </c>
      <c r="M7144">
        <v>0.9579685</v>
      </c>
      <c r="N7144">
        <v>-1.4903059999999999E-2</v>
      </c>
      <c r="O7144">
        <v>0.28648639999999997</v>
      </c>
      <c r="P7144">
        <v>0.75198969999999998</v>
      </c>
      <c r="Q7144">
        <v>0.37585740000000001</v>
      </c>
      <c r="R7144">
        <v>0.54151910000000003</v>
      </c>
      <c r="S7144">
        <v>2.4905089999999999</v>
      </c>
      <c r="T7144">
        <v>-0.26358999999999999</v>
      </c>
      <c r="U7144">
        <v>2.2665709999999999</v>
      </c>
      <c r="V7144">
        <v>-0.31046869999999999</v>
      </c>
      <c r="W7144">
        <v>0.38321159999999999</v>
      </c>
      <c r="X7144">
        <v>0.86991839999999998</v>
      </c>
      <c r="Y7144">
        <v>-0.43200090000000002</v>
      </c>
      <c r="Z7144">
        <v>2.1309440000000001E-3</v>
      </c>
      <c r="AA7144">
        <v>0.90187070000000003</v>
      </c>
      <c r="AB7144">
        <v>33</v>
      </c>
      <c r="AC7144">
        <v>0.65059999999999696</v>
      </c>
      <c r="AD7144">
        <v>-8.5556000000000104E-2</v>
      </c>
      <c r="AE7144">
        <v>0.68442000000001002</v>
      </c>
      <c r="AF7144">
        <v>-0.465495686038843</v>
      </c>
      <c r="AG7144">
        <v>-8.5556000000000104E-2</v>
      </c>
      <c r="AH7144">
        <v>0.81275058372597897</v>
      </c>
      <c r="AI7144">
        <v>95.219247562635204</v>
      </c>
      <c r="AJ7144">
        <v>119.801541448647</v>
      </c>
      <c r="AK7144">
        <v>0.94051558955909598</v>
      </c>
      <c r="AL7144">
        <v>67.467240612768904</v>
      </c>
      <c r="AM7144">
        <v>109.641180031722</v>
      </c>
      <c r="AN7144">
        <v>0.99999998335640405</v>
      </c>
    </row>
    <row r="7145" spans="1:40" x14ac:dyDescent="0.25">
      <c r="A7145" t="str">
        <f>"20190304164301545"</f>
        <v>20190304164301545</v>
      </c>
      <c r="B7145" t="str">
        <f>"1551688981538159"</f>
        <v>1551688981538159</v>
      </c>
      <c r="C7145" t="s">
        <v>40</v>
      </c>
      <c r="D7145">
        <v>4.6190410000000002</v>
      </c>
      <c r="E7145">
        <v>0.44510110000000003</v>
      </c>
      <c r="F7145" t="s">
        <v>41</v>
      </c>
      <c r="G7145">
        <v>-210.32769999999999</v>
      </c>
      <c r="H7145">
        <v>1.038958</v>
      </c>
      <c r="I7145">
        <v>-60.216740000000001</v>
      </c>
      <c r="J7145">
        <v>-210.9265</v>
      </c>
      <c r="K7145">
        <v>1.1182970000000001</v>
      </c>
      <c r="L7145">
        <v>-60.853450000000002</v>
      </c>
      <c r="M7145">
        <v>0.95684930000000001</v>
      </c>
      <c r="N7145">
        <v>-1.48562E-2</v>
      </c>
      <c r="O7145">
        <v>0.29020459999999998</v>
      </c>
      <c r="P7145">
        <v>0.74987939999999997</v>
      </c>
      <c r="Q7145">
        <v>0.3757489</v>
      </c>
      <c r="R7145">
        <v>0.54451229999999995</v>
      </c>
      <c r="S7145">
        <v>2.4823759999999999</v>
      </c>
      <c r="T7145">
        <v>-0.26331690000000002</v>
      </c>
      <c r="U7145">
        <v>2.2755429999999999</v>
      </c>
      <c r="V7145">
        <v>-0.31060549999999998</v>
      </c>
      <c r="W7145">
        <v>0.3830076</v>
      </c>
      <c r="X7145">
        <v>0.86995940000000005</v>
      </c>
      <c r="Y7145">
        <v>-0.43175350000000001</v>
      </c>
      <c r="Z7145">
        <v>1.841295E-3</v>
      </c>
      <c r="AA7145">
        <v>0.90198979999999995</v>
      </c>
      <c r="AB7145">
        <v>33</v>
      </c>
      <c r="AC7145">
        <v>0.59880000000001099</v>
      </c>
      <c r="AD7145">
        <v>-7.9338999999999799E-2</v>
      </c>
      <c r="AE7145">
        <v>0.63671</v>
      </c>
      <c r="AF7145">
        <v>-0.43195000276930501</v>
      </c>
      <c r="AG7145">
        <v>-7.9338999999999799E-2</v>
      </c>
      <c r="AH7145">
        <v>0.75162810543575598</v>
      </c>
      <c r="AI7145">
        <v>95.229128437145903</v>
      </c>
      <c r="AJ7145">
        <v>119.88537098170301</v>
      </c>
      <c r="AK7145">
        <v>0.87052874202656105</v>
      </c>
      <c r="AL7145">
        <v>67.479894271360493</v>
      </c>
      <c r="AM7145">
        <v>109.64831663741001</v>
      </c>
      <c r="AN7145">
        <v>0.99999997796818396</v>
      </c>
    </row>
    <row r="7146" spans="1:40" x14ac:dyDescent="0.25">
      <c r="A7146" t="str">
        <f>"20190304164301556"</f>
        <v>20190304164301556</v>
      </c>
      <c r="B7146" t="str">
        <f>"1551688981547919"</f>
        <v>1551688981547919</v>
      </c>
      <c r="C7146" t="s">
        <v>40</v>
      </c>
      <c r="D7146">
        <v>4.6424139999999996</v>
      </c>
      <c r="E7146">
        <v>0.44519300000000001</v>
      </c>
      <c r="F7146" t="s">
        <v>41</v>
      </c>
      <c r="G7146">
        <v>-210.14400000000001</v>
      </c>
      <c r="H7146">
        <v>1.0346299999999999</v>
      </c>
      <c r="I7146">
        <v>-60.131059999999998</v>
      </c>
      <c r="J7146">
        <v>-210.77119999999999</v>
      </c>
      <c r="K7146">
        <v>1.1183080000000001</v>
      </c>
      <c r="L7146">
        <v>-60.802120000000002</v>
      </c>
      <c r="M7146">
        <v>0.95560990000000001</v>
      </c>
      <c r="N7146">
        <v>-1.494527E-2</v>
      </c>
      <c r="O7146">
        <v>0.29425600000000002</v>
      </c>
      <c r="P7146">
        <v>0.74754209999999999</v>
      </c>
      <c r="Q7146">
        <v>0.37577719999999998</v>
      </c>
      <c r="R7146">
        <v>0.54769749999999995</v>
      </c>
      <c r="S7146">
        <v>2.4743189999999999</v>
      </c>
      <c r="T7146">
        <v>-0.26458179999999998</v>
      </c>
      <c r="U7146">
        <v>2.2845759999999999</v>
      </c>
      <c r="V7146">
        <v>-0.31063770000000002</v>
      </c>
      <c r="W7146">
        <v>0.38310369999999999</v>
      </c>
      <c r="X7146">
        <v>0.869905699999999</v>
      </c>
      <c r="Y7146">
        <v>-0.43117460000000002</v>
      </c>
      <c r="Z7146">
        <v>1.5457680000000001E-3</v>
      </c>
      <c r="AA7146">
        <v>0.90226719999999905</v>
      </c>
      <c r="AB7146">
        <v>33</v>
      </c>
      <c r="AC7146">
        <v>0.62719999999998699</v>
      </c>
      <c r="AD7146">
        <v>-8.36780000000001E-2</v>
      </c>
      <c r="AE7146">
        <v>0.67105999999999699</v>
      </c>
      <c r="AF7146">
        <v>-0.45300561368821002</v>
      </c>
      <c r="AG7146">
        <v>-8.36780000000001E-2</v>
      </c>
      <c r="AH7146">
        <v>0.79035162121512903</v>
      </c>
      <c r="AI7146">
        <v>95.248218940280694</v>
      </c>
      <c r="AJ7146">
        <v>119.82002872880901</v>
      </c>
      <c r="AK7146">
        <v>0.914806962628956</v>
      </c>
      <c r="AL7146">
        <v>67.473935825362403</v>
      </c>
      <c r="AM7146">
        <v>109.651317656595</v>
      </c>
      <c r="AN7146">
        <v>1.00000007625373</v>
      </c>
    </row>
    <row r="7147" spans="1:40" x14ac:dyDescent="0.25">
      <c r="A7147" t="str">
        <f>"20190304164301567"</f>
        <v>20190304164301567</v>
      </c>
      <c r="B7147" t="str">
        <f>"1551688981557679"</f>
        <v>1551688981557679</v>
      </c>
      <c r="C7147" t="s">
        <v>40</v>
      </c>
      <c r="D7147">
        <v>4.6247569999999998</v>
      </c>
      <c r="E7147">
        <v>0.44529940000000001</v>
      </c>
      <c r="F7147" t="s">
        <v>57</v>
      </c>
      <c r="G7147">
        <v>-200.38820000000001</v>
      </c>
      <c r="H7147" s="1">
        <v>-7.0043939999999996E-6</v>
      </c>
      <c r="I7147">
        <v>-51.144680000000001</v>
      </c>
      <c r="J7147">
        <v>-210.6217</v>
      </c>
      <c r="K7147">
        <v>1.118303</v>
      </c>
      <c r="L7147">
        <v>-60.752009999999999</v>
      </c>
      <c r="M7147">
        <v>0.95432169999999905</v>
      </c>
      <c r="N7147">
        <v>-1.5063790000000001E-2</v>
      </c>
      <c r="O7147">
        <v>0.29840100000000003</v>
      </c>
      <c r="P7147">
        <v>0.74513229999999997</v>
      </c>
      <c r="Q7147">
        <v>0.37618430000000003</v>
      </c>
      <c r="R7147">
        <v>0.5506934</v>
      </c>
      <c r="S7147">
        <v>2.46611</v>
      </c>
      <c r="T7147">
        <v>-0.26561380000000001</v>
      </c>
      <c r="U7147">
        <v>2.2937620000000001</v>
      </c>
      <c r="V7147">
        <v>-0.31041340000000001</v>
      </c>
      <c r="W7147">
        <v>0.3836234</v>
      </c>
      <c r="X7147">
        <v>0.86975659999999899</v>
      </c>
      <c r="Y7147">
        <v>-0.43055969999999999</v>
      </c>
      <c r="Z7147">
        <v>1.2595410000000001E-3</v>
      </c>
      <c r="AA7147">
        <v>0.90256119999999995</v>
      </c>
      <c r="AB7147">
        <v>33</v>
      </c>
      <c r="AC7147">
        <v>10.2334999999999</v>
      </c>
      <c r="AD7147">
        <v>-1.118310004394</v>
      </c>
      <c r="AE7147">
        <v>9.6073299999999904</v>
      </c>
      <c r="AF7147">
        <v>-6.0769176100629396</v>
      </c>
      <c r="AG7147">
        <v>-1.118310004394</v>
      </c>
      <c r="AH7147">
        <v>12.5546312054077</v>
      </c>
      <c r="AI7147">
        <v>94.583991316991003</v>
      </c>
      <c r="AJ7147">
        <v>115.828742523014</v>
      </c>
      <c r="AK7147">
        <v>13.9927949177145</v>
      </c>
      <c r="AL7147">
        <v>67.441693422643297</v>
      </c>
      <c r="AM7147">
        <v>109.64132292664399</v>
      </c>
      <c r="AN7147">
        <v>0.99999996758533904</v>
      </c>
    </row>
    <row r="7148" spans="1:40" x14ac:dyDescent="0.25">
      <c r="A7148" t="str">
        <f>"20190304164301578"</f>
        <v>20190304164301578</v>
      </c>
      <c r="B7148" t="str">
        <f>"1551688981568415"</f>
        <v>1551688981568415</v>
      </c>
      <c r="C7148" t="s">
        <v>40</v>
      </c>
      <c r="D7148">
        <v>4.6291010000000004</v>
      </c>
      <c r="E7148">
        <v>0.44539960000000001</v>
      </c>
      <c r="F7148" t="s">
        <v>41</v>
      </c>
      <c r="G7148">
        <v>-209.86519999999999</v>
      </c>
      <c r="H7148">
        <v>1.0367980000000001</v>
      </c>
      <c r="I7148">
        <v>-60.042920000000002</v>
      </c>
      <c r="J7148">
        <v>-210.4674</v>
      </c>
      <c r="K7148">
        <v>1.118285</v>
      </c>
      <c r="L7148">
        <v>-60.699620000000003</v>
      </c>
      <c r="M7148">
        <v>0.95290229999999998</v>
      </c>
      <c r="N7148">
        <v>-1.52157E-2</v>
      </c>
      <c r="O7148">
        <v>0.30289579999999999</v>
      </c>
      <c r="P7148">
        <v>0.74257030000000002</v>
      </c>
      <c r="Q7148">
        <v>0.37626480000000001</v>
      </c>
      <c r="R7148">
        <v>0.55408869999999999</v>
      </c>
      <c r="S7148">
        <v>2.457382</v>
      </c>
      <c r="T7148">
        <v>-0.264758099999999</v>
      </c>
      <c r="U7148">
        <v>2.303528</v>
      </c>
      <c r="V7148">
        <v>-0.31027310000000002</v>
      </c>
      <c r="W7148">
        <v>0.3838589</v>
      </c>
      <c r="X7148">
        <v>0.8697028</v>
      </c>
      <c r="Y7148">
        <v>-0.42982559999999898</v>
      </c>
      <c r="Z7148">
        <v>1.0063660000000001E-3</v>
      </c>
      <c r="AA7148">
        <v>0.90291140000000003</v>
      </c>
      <c r="AB7148">
        <v>33</v>
      </c>
      <c r="AC7148">
        <v>0.60220000000000995</v>
      </c>
      <c r="AD7148">
        <v>-8.1487000000000004E-2</v>
      </c>
      <c r="AE7148">
        <v>0.65669999999999995</v>
      </c>
      <c r="AF7148">
        <v>-0.43974041974643402</v>
      </c>
      <c r="AG7148">
        <v>-8.1487000000000004E-2</v>
      </c>
      <c r="AH7148">
        <v>0.76642847356640298</v>
      </c>
      <c r="AI7148">
        <v>95.268886119380895</v>
      </c>
      <c r="AJ7148">
        <v>119.845165796603</v>
      </c>
      <c r="AK7148">
        <v>0.88736935546653695</v>
      </c>
      <c r="AL7148">
        <v>67.427082509920496</v>
      </c>
      <c r="AM7148">
        <v>109.63424603187801</v>
      </c>
      <c r="AN7148">
        <v>1.00000000601033</v>
      </c>
    </row>
    <row r="7149" spans="1:40" x14ac:dyDescent="0.25">
      <c r="A7149" t="str">
        <f>"20190304164301590"</f>
        <v>20190304164301590</v>
      </c>
      <c r="B7149" t="str">
        <f>"1551688981578175"</f>
        <v>1551688981578175</v>
      </c>
      <c r="C7149" t="s">
        <v>40</v>
      </c>
      <c r="D7149">
        <v>4.5706559999999996</v>
      </c>
      <c r="E7149">
        <v>0.44553130000000002</v>
      </c>
      <c r="F7149" t="s">
        <v>57</v>
      </c>
      <c r="G7149">
        <v>-200.13550000000001</v>
      </c>
      <c r="H7149" s="1">
        <v>-7.1343459999999996E-6</v>
      </c>
      <c r="I7149">
        <v>-50.924880000000002</v>
      </c>
      <c r="J7149">
        <v>-210.31059999999999</v>
      </c>
      <c r="K7149">
        <v>1.118331</v>
      </c>
      <c r="L7149">
        <v>-60.645319999999998</v>
      </c>
      <c r="M7149">
        <v>0.95136399999999999</v>
      </c>
      <c r="N7149">
        <v>-1.533288E-2</v>
      </c>
      <c r="O7149">
        <v>0.3076873</v>
      </c>
      <c r="P7149">
        <v>0.73999669999999995</v>
      </c>
      <c r="Q7149">
        <v>0.37668010000000002</v>
      </c>
      <c r="R7149">
        <v>0.55724059999999997</v>
      </c>
      <c r="S7149">
        <v>2.446869</v>
      </c>
      <c r="T7149">
        <v>-0.26484069999999998</v>
      </c>
      <c r="U7149">
        <v>2.3149109999999999</v>
      </c>
      <c r="V7149">
        <v>-0.30971090000000001</v>
      </c>
      <c r="W7149">
        <v>0.38435029999999998</v>
      </c>
      <c r="X7149">
        <v>0.86968609999999902</v>
      </c>
      <c r="Y7149">
        <v>-0.42944199999999999</v>
      </c>
      <c r="Z7149">
        <v>7.0993789999999998E-4</v>
      </c>
      <c r="AA7149">
        <v>0.90309410000000001</v>
      </c>
      <c r="AB7149">
        <v>33</v>
      </c>
      <c r="AC7149">
        <v>10.175099999999899</v>
      </c>
      <c r="AD7149">
        <v>-1.1183381343459999</v>
      </c>
      <c r="AE7149">
        <v>9.7204399999999893</v>
      </c>
      <c r="AF7149">
        <v>-6.0792505111678201</v>
      </c>
      <c r="AG7149">
        <v>-1.1183381343459999</v>
      </c>
      <c r="AH7149">
        <v>12.593032451584399</v>
      </c>
      <c r="AI7149">
        <v>94.572488884326006</v>
      </c>
      <c r="AJ7149">
        <v>115.76879456504101</v>
      </c>
      <c r="AK7149">
        <v>14.0282726408822</v>
      </c>
      <c r="AL7149">
        <v>67.3965868768192</v>
      </c>
      <c r="AM7149">
        <v>109.60173119295899</v>
      </c>
      <c r="AN7149">
        <v>0.99999995361105298</v>
      </c>
    </row>
    <row r="7150" spans="1:40" x14ac:dyDescent="0.25">
      <c r="A7150" t="str">
        <f>"20190304164301602"</f>
        <v>20190304164301602</v>
      </c>
      <c r="B7150" t="str">
        <f>"1551688981597694"</f>
        <v>1551688981597694</v>
      </c>
      <c r="C7150" t="s">
        <v>40</v>
      </c>
      <c r="D7150">
        <v>4.6511399999999998</v>
      </c>
      <c r="E7150">
        <v>0.44571870000000002</v>
      </c>
      <c r="F7150" t="s">
        <v>41</v>
      </c>
      <c r="G7150">
        <v>-209.58690000000001</v>
      </c>
      <c r="H7150">
        <v>1.040054</v>
      </c>
      <c r="I7150">
        <v>-59.954189999999997</v>
      </c>
      <c r="J7150">
        <v>-210.14439999999999</v>
      </c>
      <c r="K7150">
        <v>1.118403</v>
      </c>
      <c r="L7150">
        <v>-60.587249999999997</v>
      </c>
      <c r="M7150">
        <v>0.94967559999999995</v>
      </c>
      <c r="N7150">
        <v>-1.544005E-2</v>
      </c>
      <c r="O7150">
        <v>0.31285439999999998</v>
      </c>
      <c r="P7150">
        <v>0.73720359999999996</v>
      </c>
      <c r="Q7150">
        <v>0.37695919999999999</v>
      </c>
      <c r="R7150">
        <v>0.56074290000000004</v>
      </c>
      <c r="S7150">
        <v>2.4363250000000001</v>
      </c>
      <c r="T7150">
        <v>-0.2634939</v>
      </c>
      <c r="U7150">
        <v>2.326416</v>
      </c>
      <c r="V7150">
        <v>-0.30923440000000002</v>
      </c>
      <c r="W7150">
        <v>0.38466850000000002</v>
      </c>
      <c r="X7150">
        <v>0.86971500000000002</v>
      </c>
      <c r="Y7150">
        <v>-0.4287321</v>
      </c>
      <c r="Z7150">
        <v>4.0734750000000002E-4</v>
      </c>
      <c r="AA7150">
        <v>0.9034316</v>
      </c>
      <c r="AB7150">
        <v>33</v>
      </c>
      <c r="AC7150">
        <v>0.55749999999997601</v>
      </c>
      <c r="AD7150">
        <v>-7.8349000000000002E-2</v>
      </c>
      <c r="AE7150">
        <v>0.63305999999999296</v>
      </c>
      <c r="AF7150">
        <v>-0.423185458440337</v>
      </c>
      <c r="AG7150">
        <v>-7.8349000000000002E-2</v>
      </c>
      <c r="AH7150">
        <v>0.72136343822751503</v>
      </c>
      <c r="AI7150">
        <v>95.351945845513896</v>
      </c>
      <c r="AJ7150">
        <v>120.397875318888</v>
      </c>
      <c r="AK7150">
        <v>0.83999387381562496</v>
      </c>
      <c r="AL7150">
        <v>67.376837523971503</v>
      </c>
      <c r="AM7150">
        <v>109.573266194585</v>
      </c>
      <c r="AN7150">
        <v>0.99999997513030403</v>
      </c>
    </row>
    <row r="7151" spans="1:40" x14ac:dyDescent="0.25">
      <c r="A7151" t="str">
        <f>"20190304164301614"</f>
        <v>20190304164301614</v>
      </c>
      <c r="B7151" t="str">
        <f>"1551688981608431"</f>
        <v>1551688981608431</v>
      </c>
      <c r="C7151" t="s">
        <v>40</v>
      </c>
      <c r="D7151">
        <v>4.6508710000000004</v>
      </c>
      <c r="E7151">
        <v>0.44582250000000001</v>
      </c>
      <c r="F7151" t="s">
        <v>41</v>
      </c>
      <c r="G7151">
        <v>-209.34010000000001</v>
      </c>
      <c r="H7151">
        <v>1.0309649999999999</v>
      </c>
      <c r="I7151">
        <v>-59.812100000000001</v>
      </c>
      <c r="J7151">
        <v>-209.9828</v>
      </c>
      <c r="K7151">
        <v>1.1185780000000001</v>
      </c>
      <c r="L7151">
        <v>-60.529110000000003</v>
      </c>
      <c r="M7151">
        <v>0.94797609999999999</v>
      </c>
      <c r="N7151">
        <v>-1.5491349999999999E-2</v>
      </c>
      <c r="O7151">
        <v>0.31796479999999999</v>
      </c>
      <c r="P7151">
        <v>0.734000599999999</v>
      </c>
      <c r="Q7151">
        <v>0.37767139999999999</v>
      </c>
      <c r="R7151">
        <v>0.56445330000000005</v>
      </c>
      <c r="S7151">
        <v>2.4257659999999999</v>
      </c>
      <c r="T7151">
        <v>-0.26371630000000001</v>
      </c>
      <c r="U7151">
        <v>2.338165</v>
      </c>
      <c r="V7151">
        <v>-0.30925019999999998</v>
      </c>
      <c r="W7151">
        <v>0.3852758</v>
      </c>
      <c r="X7151">
        <v>0.86944059999999901</v>
      </c>
      <c r="Y7151">
        <v>-0.4281102</v>
      </c>
      <c r="Z7151" s="1">
        <v>4.072674E-5</v>
      </c>
      <c r="AA7151">
        <v>0.90372660000000005</v>
      </c>
      <c r="AB7151">
        <v>33</v>
      </c>
      <c r="AC7151">
        <v>0.64269999999998995</v>
      </c>
      <c r="AD7151">
        <v>-8.7613000000000094E-2</v>
      </c>
      <c r="AE7151">
        <v>0.71700999999999404</v>
      </c>
      <c r="AF7151">
        <v>-0.47150573882951102</v>
      </c>
      <c r="AG7151">
        <v>-8.7613000000000094E-2</v>
      </c>
      <c r="AH7151">
        <v>0.83047303401248695</v>
      </c>
      <c r="AI7151">
        <v>95.241782582328</v>
      </c>
      <c r="AJ7151">
        <v>119.585987778553</v>
      </c>
      <c r="AK7151">
        <v>0.95899904053135998</v>
      </c>
      <c r="AL7151">
        <v>67.3391376901819</v>
      </c>
      <c r="AM7151">
        <v>109.579898180428</v>
      </c>
      <c r="AN7151">
        <v>1.0000000425970099</v>
      </c>
    </row>
    <row r="7152" spans="1:40" x14ac:dyDescent="0.25">
      <c r="A7152" t="str">
        <f>"20190304164301626"</f>
        <v>20190304164301626</v>
      </c>
      <c r="B7152" t="str">
        <f>"1551688981618191"</f>
        <v>1551688981618191</v>
      </c>
      <c r="C7152" t="s">
        <v>40</v>
      </c>
      <c r="D7152">
        <v>4.6509780000000003</v>
      </c>
      <c r="E7152">
        <v>0.44592690000000001</v>
      </c>
      <c r="F7152" t="s">
        <v>41</v>
      </c>
      <c r="G7152">
        <v>-209.25559999999999</v>
      </c>
      <c r="H7152">
        <v>1.039701</v>
      </c>
      <c r="I7152">
        <v>-59.820950000000003</v>
      </c>
      <c r="J7152">
        <v>-209.81649999999999</v>
      </c>
      <c r="K7152">
        <v>1.118773</v>
      </c>
      <c r="L7152">
        <v>-60.468600000000002</v>
      </c>
      <c r="M7152">
        <v>0.94619500000000001</v>
      </c>
      <c r="N7152">
        <v>-1.553502E-2</v>
      </c>
      <c r="O7152">
        <v>0.32322380000000001</v>
      </c>
      <c r="P7152">
        <v>0.73076830000000004</v>
      </c>
      <c r="Q7152">
        <v>0.37791829999999998</v>
      </c>
      <c r="R7152">
        <v>0.56846759999999996</v>
      </c>
      <c r="S7152">
        <v>2.413834</v>
      </c>
      <c r="T7152">
        <v>-0.26184269999999998</v>
      </c>
      <c r="U7152">
        <v>2.3511959999999998</v>
      </c>
      <c r="V7152">
        <v>-0.30943920000000003</v>
      </c>
      <c r="W7152">
        <v>0.38539459999999998</v>
      </c>
      <c r="X7152">
        <v>0.8693206</v>
      </c>
      <c r="Y7152">
        <v>-0.42784810000000001</v>
      </c>
      <c r="Z7152">
        <v>-2.5404799999999999E-4</v>
      </c>
      <c r="AA7152">
        <v>0.90385059999999995</v>
      </c>
      <c r="AB7152">
        <v>33</v>
      </c>
      <c r="AC7152">
        <v>0.56090000000000295</v>
      </c>
      <c r="AD7152">
        <v>-7.9072000000000003E-2</v>
      </c>
      <c r="AE7152">
        <v>0.64764999999999795</v>
      </c>
      <c r="AF7152">
        <v>-0.42791427620990402</v>
      </c>
      <c r="AG7152">
        <v>-7.9072000000000003E-2</v>
      </c>
      <c r="AH7152">
        <v>0.73389502779604499</v>
      </c>
      <c r="AI7152">
        <v>95.317576897255407</v>
      </c>
      <c r="AJ7152">
        <v>120.245301077942</v>
      </c>
      <c r="AK7152">
        <v>0.85320860332746495</v>
      </c>
      <c r="AL7152">
        <v>67.331759369252296</v>
      </c>
      <c r="AM7152">
        <v>109.593452035662</v>
      </c>
      <c r="AN7152">
        <v>0.99999996089507903</v>
      </c>
    </row>
    <row r="7153" spans="1:40" x14ac:dyDescent="0.25">
      <c r="A7153" t="str">
        <f>"20190304164301638"</f>
        <v>20190304164301638</v>
      </c>
      <c r="B7153" t="str">
        <f>"1551688981627951"</f>
        <v>1551688981627951</v>
      </c>
      <c r="C7153" t="s">
        <v>40</v>
      </c>
      <c r="D7153">
        <v>4.6422929999999996</v>
      </c>
      <c r="E7153">
        <v>0.44604680000000002</v>
      </c>
      <c r="F7153" t="s">
        <v>41</v>
      </c>
      <c r="G7153">
        <v>-209.0608</v>
      </c>
      <c r="H7153">
        <v>1.0363739999999999</v>
      </c>
      <c r="I7153">
        <v>-59.724310000000003</v>
      </c>
      <c r="J7153">
        <v>-209.6404</v>
      </c>
      <c r="K7153">
        <v>1.1190169999999999</v>
      </c>
      <c r="L7153">
        <v>-60.40314</v>
      </c>
      <c r="M7153">
        <v>0.94427039999999995</v>
      </c>
      <c r="N7153">
        <v>-1.556421E-2</v>
      </c>
      <c r="O7153">
        <v>0.3288027</v>
      </c>
      <c r="P7153">
        <v>0.72724549999999999</v>
      </c>
      <c r="Q7153">
        <v>0.37819649999999999</v>
      </c>
      <c r="R7153">
        <v>0.57278390000000001</v>
      </c>
      <c r="S7153">
        <v>2.4011990000000001</v>
      </c>
      <c r="T7153">
        <v>-0.2618085</v>
      </c>
      <c r="U7153">
        <v>2.364655</v>
      </c>
      <c r="V7153">
        <v>-0.30975540000000001</v>
      </c>
      <c r="W7153">
        <v>0.38549630000000001</v>
      </c>
      <c r="X7153">
        <v>0.86916299999999902</v>
      </c>
      <c r="Y7153">
        <v>-0.42747540000000001</v>
      </c>
      <c r="Z7153">
        <v>-6.4169239999999897E-4</v>
      </c>
      <c r="AA7153">
        <v>0.90402669999999996</v>
      </c>
      <c r="AB7153">
        <v>33</v>
      </c>
      <c r="AC7153">
        <v>0.579599999999999</v>
      </c>
      <c r="AD7153">
        <v>-8.2642999999999994E-2</v>
      </c>
      <c r="AE7153">
        <v>0.67883000000000404</v>
      </c>
      <c r="AF7153">
        <v>-0.44665080809426799</v>
      </c>
      <c r="AG7153">
        <v>-8.2642999999999994E-2</v>
      </c>
      <c r="AH7153">
        <v>0.76404404863115605</v>
      </c>
      <c r="AI7153">
        <v>95.334799326417993</v>
      </c>
      <c r="AJ7153">
        <v>120.310034112785</v>
      </c>
      <c r="AK7153">
        <v>0.88887013566040796</v>
      </c>
      <c r="AL7153">
        <v>67.325446878041603</v>
      </c>
      <c r="AM7153">
        <v>109.615231343304</v>
      </c>
      <c r="AN7153">
        <v>1.00000006285592</v>
      </c>
    </row>
    <row r="7154" spans="1:40" x14ac:dyDescent="0.25">
      <c r="A7154" t="str">
        <f>"20190304164301650"</f>
        <v>20190304164301650</v>
      </c>
      <c r="B7154" t="str">
        <f>"1551688981637711"</f>
        <v>1551688981637711</v>
      </c>
      <c r="C7154" t="s">
        <v>40</v>
      </c>
      <c r="D7154">
        <v>4.6283609999999999</v>
      </c>
      <c r="E7154">
        <v>0.44604680000000002</v>
      </c>
      <c r="F7154" t="s">
        <v>57</v>
      </c>
      <c r="G7154">
        <v>-199.4374</v>
      </c>
      <c r="H7154" s="1">
        <v>-3.0661249999999998E-6</v>
      </c>
      <c r="I7154">
        <v>-50.23995</v>
      </c>
      <c r="J7154">
        <v>-209.48500000000001</v>
      </c>
      <c r="K7154">
        <v>1.1192219999999999</v>
      </c>
      <c r="L7154">
        <v>-60.344019999999901</v>
      </c>
      <c r="M7154">
        <v>0.94252119999999995</v>
      </c>
      <c r="N7154">
        <v>-1.558257E-2</v>
      </c>
      <c r="O7154">
        <v>0.3337832</v>
      </c>
      <c r="P7154">
        <v>0.72413969999999905</v>
      </c>
      <c r="Q7154">
        <v>0.3781234</v>
      </c>
      <c r="R7154">
        <v>0.57675350000000003</v>
      </c>
      <c r="S7154">
        <v>2.3879389999999998</v>
      </c>
      <c r="T7154">
        <v>-0.26189980000000002</v>
      </c>
      <c r="U7154">
        <v>2.3786320000000001</v>
      </c>
      <c r="V7154">
        <v>-0.31012060000000002</v>
      </c>
      <c r="W7154">
        <v>0.38526480000000002</v>
      </c>
      <c r="X7154">
        <v>0.86913530000000006</v>
      </c>
      <c r="Y7154">
        <v>-0.4278768</v>
      </c>
      <c r="Z7154">
        <v>-9.5884599999999996E-4</v>
      </c>
      <c r="AA7154">
        <v>0.90383650000000004</v>
      </c>
      <c r="AB7154">
        <v>33</v>
      </c>
      <c r="AC7154">
        <v>10.047599999999999</v>
      </c>
      <c r="AD7154">
        <v>-1.1192250661249901</v>
      </c>
      <c r="AE7154">
        <v>10.104069999999901</v>
      </c>
      <c r="AF7154">
        <v>-6.13249498955647</v>
      </c>
      <c r="AG7154">
        <v>-1.1192250661249901</v>
      </c>
      <c r="AH7154">
        <v>12.765448176992599</v>
      </c>
      <c r="AI7154">
        <v>94.518680896401094</v>
      </c>
      <c r="AJ7154">
        <v>115.659533671009</v>
      </c>
      <c r="AK7154">
        <v>14.206224928004699</v>
      </c>
      <c r="AL7154">
        <v>67.339818719530001</v>
      </c>
      <c r="AM7154">
        <v>109.637167620507</v>
      </c>
      <c r="AN7154">
        <v>0.99999996118474399</v>
      </c>
    </row>
    <row r="7155" spans="1:40" x14ac:dyDescent="0.25">
      <c r="A7155" t="str">
        <f>"20190304164301660"</f>
        <v>20190304164301660</v>
      </c>
      <c r="B7155" t="str">
        <f>"1551688981648447"</f>
        <v>1551688981648447</v>
      </c>
      <c r="C7155" t="s">
        <v>40</v>
      </c>
      <c r="D7155">
        <v>4.6677999999999997</v>
      </c>
      <c r="E7155">
        <v>0.45368449999999999</v>
      </c>
      <c r="F7155" t="s">
        <v>41</v>
      </c>
      <c r="G7155">
        <v>-208.7808</v>
      </c>
      <c r="H7155">
        <v>1.0414810000000001</v>
      </c>
      <c r="I7155">
        <v>-59.63494</v>
      </c>
      <c r="J7155">
        <v>-209.3467</v>
      </c>
      <c r="K7155">
        <v>1.1194059999999999</v>
      </c>
      <c r="L7155">
        <v>-60.291020000000003</v>
      </c>
      <c r="M7155">
        <v>0.94093470000000001</v>
      </c>
      <c r="N7155">
        <v>-1.5595039999999999E-2</v>
      </c>
      <c r="O7155">
        <v>0.3382288</v>
      </c>
      <c r="P7155">
        <v>0.72145539999999997</v>
      </c>
      <c r="Q7155">
        <v>0.37780019999999997</v>
      </c>
      <c r="R7155">
        <v>0.58031820000000001</v>
      </c>
      <c r="S7155">
        <v>2.3749539999999998</v>
      </c>
      <c r="T7155">
        <v>-0.26218940000000002</v>
      </c>
      <c r="U7155">
        <v>2.3915709999999999</v>
      </c>
      <c r="V7155">
        <v>-0.31042950000000002</v>
      </c>
      <c r="W7155">
        <v>0.38480059999999999</v>
      </c>
      <c r="X7155">
        <v>0.86923069999999902</v>
      </c>
      <c r="Y7155">
        <v>-0.42853079999999999</v>
      </c>
      <c r="Z7155">
        <v>-1.238491E-3</v>
      </c>
      <c r="AA7155">
        <v>0.90352639999999995</v>
      </c>
      <c r="AB7155">
        <v>33</v>
      </c>
      <c r="AC7155">
        <v>0.56589999999999896</v>
      </c>
      <c r="AD7155">
        <v>-7.7924999999999994E-2</v>
      </c>
      <c r="AE7155">
        <v>0.656079999999995</v>
      </c>
      <c r="AF7155">
        <v>-0.42255846613511</v>
      </c>
      <c r="AG7155">
        <v>-7.7924999999999994E-2</v>
      </c>
      <c r="AH7155">
        <v>0.74841785901735303</v>
      </c>
      <c r="AI7155">
        <v>95.180647073989903</v>
      </c>
      <c r="AJ7155">
        <v>119.449173920427</v>
      </c>
      <c r="AK7155">
        <v>0.86299319500421001</v>
      </c>
      <c r="AL7155">
        <v>67.3686380065365</v>
      </c>
      <c r="AM7155">
        <v>109.653237378098</v>
      </c>
      <c r="AN7155">
        <v>0.99999999302654996</v>
      </c>
    </row>
    <row r="7156" spans="1:40" x14ac:dyDescent="0.25">
      <c r="A7156" t="str">
        <f>"20190304164301669"</f>
        <v>20190304164301669</v>
      </c>
      <c r="B7156" t="str">
        <f>"1551688981658207"</f>
        <v>1551688981658207</v>
      </c>
      <c r="C7156" t="s">
        <v>40</v>
      </c>
      <c r="D7156">
        <v>4.6610559999999897</v>
      </c>
      <c r="E7156">
        <v>0.45422190000000001</v>
      </c>
      <c r="F7156" t="s">
        <v>57</v>
      </c>
      <c r="G7156">
        <v>-200.73140000000001</v>
      </c>
      <c r="H7156" s="1">
        <v>-6.7628510000000002E-6</v>
      </c>
      <c r="I7156">
        <v>-51.8596</v>
      </c>
      <c r="J7156">
        <v>-209.22540000000001</v>
      </c>
      <c r="K7156">
        <v>1.1194710000000001</v>
      </c>
      <c r="L7156">
        <v>-60.24335</v>
      </c>
      <c r="M7156">
        <v>0.93936660000000005</v>
      </c>
      <c r="N7156">
        <v>-1.548619E-2</v>
      </c>
      <c r="O7156">
        <v>0.342564799999999</v>
      </c>
      <c r="P7156">
        <v>0.71862939999999997</v>
      </c>
      <c r="Q7156">
        <v>0.37776969999999999</v>
      </c>
      <c r="R7156">
        <v>0.58383390000000002</v>
      </c>
      <c r="S7156">
        <v>2.418777</v>
      </c>
      <c r="T7156">
        <v>-0.31427569999999999</v>
      </c>
      <c r="U7156">
        <v>2.3671259999999998</v>
      </c>
      <c r="V7156">
        <v>-0.31075649999999999</v>
      </c>
      <c r="W7156">
        <v>0.38459019999999999</v>
      </c>
      <c r="X7156">
        <v>0.86920699999999995</v>
      </c>
      <c r="Y7156">
        <v>-0.41126010000000002</v>
      </c>
      <c r="Z7156">
        <v>-4.5806110000000001E-3</v>
      </c>
      <c r="AA7156">
        <v>0.9115065</v>
      </c>
      <c r="AB7156">
        <v>33</v>
      </c>
      <c r="AC7156">
        <v>8.4939999999999998</v>
      </c>
      <c r="AD7156">
        <v>-1.119477762851</v>
      </c>
      <c r="AE7156">
        <v>8.3837499999999991</v>
      </c>
      <c r="AF7156">
        <v>-4.9229496465919897</v>
      </c>
      <c r="AG7156">
        <v>-1.119477762851</v>
      </c>
      <c r="AH7156">
        <v>10.7576067070588</v>
      </c>
      <c r="AI7156">
        <v>95.405582715373001</v>
      </c>
      <c r="AJ7156">
        <v>114.590016255968</v>
      </c>
      <c r="AK7156">
        <v>11.8833819154378</v>
      </c>
      <c r="AL7156">
        <v>67.381698657726204</v>
      </c>
      <c r="AM7156">
        <v>109.67284654873001</v>
      </c>
      <c r="AN7156">
        <v>1.00000001653864</v>
      </c>
    </row>
    <row r="7157" spans="1:40" x14ac:dyDescent="0.25">
      <c r="A7157" t="str">
        <f>"20190304164301680"</f>
        <v>20190304164301680</v>
      </c>
      <c r="B7157" t="str">
        <f>"1551688981667967"</f>
        <v>1551688981667967</v>
      </c>
      <c r="C7157" t="s">
        <v>40</v>
      </c>
      <c r="D7157">
        <v>4.6735499999999996</v>
      </c>
      <c r="E7157">
        <v>0.45427420000000002</v>
      </c>
      <c r="F7157" t="s">
        <v>41</v>
      </c>
      <c r="G7157">
        <v>-208.46440000000001</v>
      </c>
      <c r="H7157">
        <v>1.019406</v>
      </c>
      <c r="I7157">
        <v>-59.493519999999997</v>
      </c>
      <c r="J7157">
        <v>-209.07409999999999</v>
      </c>
      <c r="K7157">
        <v>1.119523</v>
      </c>
      <c r="L7157">
        <v>-60.183590000000002</v>
      </c>
      <c r="M7157">
        <v>0.93734079999999997</v>
      </c>
      <c r="N7157">
        <v>-1.5317799999999999E-2</v>
      </c>
      <c r="O7157">
        <v>0.34807719999999998</v>
      </c>
      <c r="P7157">
        <v>0.71501190000000003</v>
      </c>
      <c r="Q7157">
        <v>0.37806519999999999</v>
      </c>
      <c r="R7157">
        <v>0.58806879999999995</v>
      </c>
      <c r="S7157">
        <v>2.4111940000000001</v>
      </c>
      <c r="T7157">
        <v>-0.31703629999999999</v>
      </c>
      <c r="U7157">
        <v>2.375702</v>
      </c>
      <c r="V7157">
        <v>-0.31094870000000002</v>
      </c>
      <c r="W7157">
        <v>0.38464999999999999</v>
      </c>
      <c r="X7157">
        <v>0.86911179999999999</v>
      </c>
      <c r="Y7157">
        <v>-0.40900779999999998</v>
      </c>
      <c r="Z7157">
        <v>-5.3939519999999996E-3</v>
      </c>
      <c r="AA7157">
        <v>0.91251499999999997</v>
      </c>
      <c r="AB7157">
        <v>33</v>
      </c>
      <c r="AC7157">
        <v>0.60969999999997504</v>
      </c>
      <c r="AD7157">
        <v>-0.100117</v>
      </c>
      <c r="AE7157">
        <v>0.69007000000000496</v>
      </c>
      <c r="AF7157">
        <v>-0.42958097175648402</v>
      </c>
      <c r="AG7157">
        <v>-0.100117</v>
      </c>
      <c r="AH7157">
        <v>0.80230542594523302</v>
      </c>
      <c r="AI7157">
        <v>96.277852921528506</v>
      </c>
      <c r="AJ7157">
        <v>118.166075493798</v>
      </c>
      <c r="AK7157">
        <v>0.91556388170646397</v>
      </c>
      <c r="AL7157">
        <v>67.377986890287204</v>
      </c>
      <c r="AM7157">
        <v>109.68606963778601</v>
      </c>
      <c r="AN7157">
        <v>1.0000000187154601</v>
      </c>
    </row>
    <row r="7158" spans="1:40" x14ac:dyDescent="0.25">
      <c r="A7158" t="str">
        <f>"20190304164301692"</f>
        <v>20190304164301692</v>
      </c>
      <c r="B7158" t="str">
        <f>"1551688981688464"</f>
        <v>1551688981688464</v>
      </c>
      <c r="C7158" t="s">
        <v>40</v>
      </c>
      <c r="D7158">
        <v>4.6181599999999996</v>
      </c>
      <c r="E7158">
        <v>0.45501019999999998</v>
      </c>
      <c r="F7158" t="s">
        <v>57</v>
      </c>
      <c r="G7158">
        <v>-200.6096</v>
      </c>
      <c r="H7158" s="1">
        <v>-6.8261139999999997E-6</v>
      </c>
      <c r="I7158">
        <v>-51.749499999999998</v>
      </c>
      <c r="J7158">
        <v>-208.9171</v>
      </c>
      <c r="K7158">
        <v>1.119678</v>
      </c>
      <c r="L7158">
        <v>-60.119929999999997</v>
      </c>
      <c r="M7158">
        <v>0.9352589</v>
      </c>
      <c r="N7158">
        <v>-1.5335649999999999E-2</v>
      </c>
      <c r="O7158">
        <v>0.35363220000000001</v>
      </c>
      <c r="P7158">
        <v>0.71139229999999998</v>
      </c>
      <c r="Q7158">
        <v>0.37863409999999997</v>
      </c>
      <c r="R7158">
        <v>0.59207869999999996</v>
      </c>
      <c r="S7158">
        <v>2.3981479999999999</v>
      </c>
      <c r="T7158">
        <v>-0.31718239999999998</v>
      </c>
      <c r="U7158">
        <v>2.389526</v>
      </c>
      <c r="V7158">
        <v>-0.31097239999999998</v>
      </c>
      <c r="W7158">
        <v>0.3850923</v>
      </c>
      <c r="X7158">
        <v>0.8689074</v>
      </c>
      <c r="Y7158">
        <v>-0.40873320000000002</v>
      </c>
      <c r="Z7158">
        <v>-5.8873199999999997E-3</v>
      </c>
      <c r="AA7158">
        <v>0.91263490000000003</v>
      </c>
      <c r="AB7158">
        <v>33</v>
      </c>
      <c r="AC7158">
        <v>8.3074999999999992</v>
      </c>
      <c r="AD7158">
        <v>-1.119684826114</v>
      </c>
      <c r="AE7158">
        <v>8.3704300000000007</v>
      </c>
      <c r="AF7158">
        <v>-4.8475969510135801</v>
      </c>
      <c r="AG7158">
        <v>-1.119684826114</v>
      </c>
      <c r="AH7158">
        <v>10.635110282693001</v>
      </c>
      <c r="AI7158">
        <v>95.472202607107405</v>
      </c>
      <c r="AJ7158">
        <v>114.504005639686</v>
      </c>
      <c r="AK7158">
        <v>11.741314280537299</v>
      </c>
      <c r="AL7158">
        <v>67.350529316752102</v>
      </c>
      <c r="AM7158">
        <v>109.69172983521899</v>
      </c>
      <c r="AN7158">
        <v>0.99999999142790497</v>
      </c>
    </row>
    <row r="7159" spans="1:40" x14ac:dyDescent="0.25">
      <c r="A7159" t="str">
        <f>"20190304164301703"</f>
        <v>20190304164301703</v>
      </c>
      <c r="B7159" t="str">
        <f>"1551688981698224"</f>
        <v>1551688981698224</v>
      </c>
      <c r="C7159" t="s">
        <v>40</v>
      </c>
      <c r="D7159">
        <v>4.6208799999999997</v>
      </c>
      <c r="E7159">
        <v>0.45546979999999998</v>
      </c>
      <c r="F7159" t="s">
        <v>57</v>
      </c>
      <c r="G7159">
        <v>-200.58690000000001</v>
      </c>
      <c r="H7159" s="1">
        <v>-6.8340649999999996E-6</v>
      </c>
      <c r="I7159">
        <v>-51.753770000000003</v>
      </c>
      <c r="J7159">
        <v>-208.77260000000001</v>
      </c>
      <c r="K7159">
        <v>1.1198440000000001</v>
      </c>
      <c r="L7159">
        <v>-60.06091</v>
      </c>
      <c r="M7159">
        <v>0.93332329999999997</v>
      </c>
      <c r="N7159">
        <v>-1.5378050000000001E-2</v>
      </c>
      <c r="O7159">
        <v>0.35870760000000002</v>
      </c>
      <c r="P7159">
        <v>0.70813479999999995</v>
      </c>
      <c r="Q7159">
        <v>0.37866689999999997</v>
      </c>
      <c r="R7159">
        <v>0.59594999999999998</v>
      </c>
      <c r="S7159">
        <v>2.3901819999999998</v>
      </c>
      <c r="T7159">
        <v>-0.32126840000000001</v>
      </c>
      <c r="U7159">
        <v>2.4004819999999998</v>
      </c>
      <c r="V7159">
        <v>-0.31117349999999999</v>
      </c>
      <c r="W7159">
        <v>0.38502009999999998</v>
      </c>
      <c r="X7159">
        <v>0.86886739999999996</v>
      </c>
      <c r="Y7159">
        <v>-0.40738590000000002</v>
      </c>
      <c r="Z7159">
        <v>-6.5662510000000004E-3</v>
      </c>
      <c r="AA7159">
        <v>0.9132325</v>
      </c>
      <c r="AB7159">
        <v>33</v>
      </c>
      <c r="AC7159">
        <v>8.18569999999999</v>
      </c>
      <c r="AD7159">
        <v>-1.119850834065</v>
      </c>
      <c r="AE7159">
        <v>8.3071399999999898</v>
      </c>
      <c r="AF7159">
        <v>-4.7735316977397604</v>
      </c>
      <c r="AG7159">
        <v>-1.119850834065</v>
      </c>
      <c r="AH7159">
        <v>10.5239626142949</v>
      </c>
      <c r="AI7159">
        <v>95.535062264687497</v>
      </c>
      <c r="AJ7159">
        <v>114.398422062107</v>
      </c>
      <c r="AK7159">
        <v>11.610101630345801</v>
      </c>
      <c r="AL7159">
        <v>67.3550116993637</v>
      </c>
      <c r="AM7159">
        <v>109.704321129916</v>
      </c>
      <c r="AN7159">
        <v>0.99999999164451003</v>
      </c>
    </row>
    <row r="7160" spans="1:40" x14ac:dyDescent="0.25">
      <c r="A7160" t="str">
        <f>"20190304164301713"</f>
        <v>20190304164301713</v>
      </c>
      <c r="B7160" t="str">
        <f>"1551688981707983"</f>
        <v>1551688981707983</v>
      </c>
      <c r="C7160" t="s">
        <v>40</v>
      </c>
      <c r="D7160">
        <v>4.6424830000000004</v>
      </c>
      <c r="E7160">
        <v>0.45601019999999998</v>
      </c>
      <c r="F7160" t="s">
        <v>41</v>
      </c>
      <c r="G7160">
        <v>-208.0008</v>
      </c>
      <c r="H7160">
        <v>1.0150319999999999</v>
      </c>
      <c r="I7160">
        <v>-59.279220000000002</v>
      </c>
      <c r="J7160">
        <v>-208.61689999999999</v>
      </c>
      <c r="K7160">
        <v>1.1200559999999999</v>
      </c>
      <c r="L7160">
        <v>-59.995539999999998</v>
      </c>
      <c r="M7160">
        <v>0.93123650000000002</v>
      </c>
      <c r="N7160">
        <v>-1.5443520000000001E-2</v>
      </c>
      <c r="O7160">
        <v>0.36408810000000003</v>
      </c>
      <c r="P7160">
        <v>0.70469399999999904</v>
      </c>
      <c r="Q7160">
        <v>0.37877260000000001</v>
      </c>
      <c r="R7160">
        <v>0.59994809999999998</v>
      </c>
      <c r="S7160">
        <v>2.3805079999999998</v>
      </c>
      <c r="T7160">
        <v>-0.32327820000000002</v>
      </c>
      <c r="U7160">
        <v>2.4107970000000001</v>
      </c>
      <c r="V7160">
        <v>-0.3113243</v>
      </c>
      <c r="W7160">
        <v>0.38500259999999997</v>
      </c>
      <c r="X7160">
        <v>0.86882109999999901</v>
      </c>
      <c r="Y7160">
        <v>-0.40593800000000002</v>
      </c>
      <c r="Z7160">
        <v>-7.1854930000000003E-3</v>
      </c>
      <c r="AA7160">
        <v>0.91387240000000003</v>
      </c>
      <c r="AB7160">
        <v>33</v>
      </c>
      <c r="AC7160">
        <v>0.61609999999998799</v>
      </c>
      <c r="AD7160">
        <v>-0.10502400000000001</v>
      </c>
      <c r="AE7160">
        <v>0.71632000000000995</v>
      </c>
      <c r="AF7160">
        <v>-0.43739700668430798</v>
      </c>
      <c r="AG7160">
        <v>-0.10502400000000001</v>
      </c>
      <c r="AH7160">
        <v>0.82445106288271897</v>
      </c>
      <c r="AI7160">
        <v>96.420517239018196</v>
      </c>
      <c r="AJ7160">
        <v>117.94734526010301</v>
      </c>
      <c r="AK7160">
        <v>0.93918354815277605</v>
      </c>
      <c r="AL7160">
        <v>67.356097436524706</v>
      </c>
      <c r="AM7160">
        <v>109.714103944108</v>
      </c>
      <c r="AN7160">
        <v>0.99999996279122905</v>
      </c>
    </row>
    <row r="7161" spans="1:40" x14ac:dyDescent="0.25">
      <c r="A7161" t="str">
        <f>"20190304164301726"</f>
        <v>20190304164301726</v>
      </c>
      <c r="B7161" t="str">
        <f>"1551688981717743"</f>
        <v>1551688981717743</v>
      </c>
      <c r="C7161" t="s">
        <v>40</v>
      </c>
      <c r="D7161">
        <v>4.7817160000000003</v>
      </c>
      <c r="E7161">
        <v>0.45601019999999998</v>
      </c>
      <c r="F7161" t="s">
        <v>57</v>
      </c>
      <c r="G7161">
        <v>-200.423</v>
      </c>
      <c r="H7161" s="1">
        <v>-6.91653699999999E-6</v>
      </c>
      <c r="I7161">
        <v>-51.622700000000002</v>
      </c>
      <c r="J7161">
        <v>-208.4649</v>
      </c>
      <c r="K7161">
        <v>1.1202479999999999</v>
      </c>
      <c r="L7161">
        <v>-59.93103</v>
      </c>
      <c r="M7161">
        <v>0.92913570000000001</v>
      </c>
      <c r="N7161">
        <v>-1.549801E-2</v>
      </c>
      <c r="O7161">
        <v>0.36941420000000003</v>
      </c>
      <c r="P7161">
        <v>0.70126189999999999</v>
      </c>
      <c r="Q7161">
        <v>0.37872329999999998</v>
      </c>
      <c r="R7161">
        <v>0.60398719999999995</v>
      </c>
      <c r="S7161">
        <v>2.3697360000000001</v>
      </c>
      <c r="T7161">
        <v>-0.32393300000000003</v>
      </c>
      <c r="U7161">
        <v>2.4215089999999999</v>
      </c>
      <c r="V7161">
        <v>-0.31154379999999998</v>
      </c>
      <c r="W7161">
        <v>0.38482959999999999</v>
      </c>
      <c r="X7161">
        <v>0.86881909999999896</v>
      </c>
      <c r="Y7161">
        <v>-0.40482000000000001</v>
      </c>
      <c r="Z7161">
        <v>-7.7272969999999898E-3</v>
      </c>
      <c r="AA7161">
        <v>0.9143637</v>
      </c>
      <c r="AB7161">
        <v>33</v>
      </c>
      <c r="AC7161">
        <v>8.0418999999999894</v>
      </c>
      <c r="AD7161">
        <v>-1.1202549165369999</v>
      </c>
      <c r="AE7161">
        <v>8.3083299999999998</v>
      </c>
      <c r="AF7161">
        <v>-4.7051790532050504</v>
      </c>
      <c r="AG7161">
        <v>-1.1202549165369999</v>
      </c>
      <c r="AH7161">
        <v>10.4444603923386</v>
      </c>
      <c r="AI7161">
        <v>95.585366605081703</v>
      </c>
      <c r="AJ7161">
        <v>114.251334843397</v>
      </c>
      <c r="AK7161">
        <v>11.5100145042426</v>
      </c>
      <c r="AL7161">
        <v>67.366837835537297</v>
      </c>
      <c r="AM7161">
        <v>109.72697296093899</v>
      </c>
      <c r="AN7161">
        <v>0.999999994439704</v>
      </c>
    </row>
    <row r="7162" spans="1:40" x14ac:dyDescent="0.25">
      <c r="A7162" t="str">
        <f>"20190304164301736"</f>
        <v>20190304164301736</v>
      </c>
      <c r="B7162" t="str">
        <f>"1551688981728479"</f>
        <v>1551688981728479</v>
      </c>
      <c r="C7162" t="s">
        <v>40</v>
      </c>
      <c r="D7162">
        <v>4.6601080000000001</v>
      </c>
      <c r="E7162">
        <v>0.46108300000000002</v>
      </c>
      <c r="F7162" t="s">
        <v>41</v>
      </c>
      <c r="G7162">
        <v>-207.7268</v>
      </c>
      <c r="H7162">
        <v>1.018723</v>
      </c>
      <c r="I7162">
        <v>-59.168239999999997</v>
      </c>
      <c r="J7162">
        <v>-208.32550000000001</v>
      </c>
      <c r="K7162">
        <v>1.1204000000000001</v>
      </c>
      <c r="L7162">
        <v>-59.870609999999999</v>
      </c>
      <c r="M7162">
        <v>0.9271218</v>
      </c>
      <c r="N7162">
        <v>-1.55345E-2</v>
      </c>
      <c r="O7162">
        <v>0.3744382</v>
      </c>
      <c r="P7162">
        <v>0.69813210000000003</v>
      </c>
      <c r="Q7162">
        <v>0.37848510000000002</v>
      </c>
      <c r="R7162">
        <v>0.60775049999999997</v>
      </c>
      <c r="S7162">
        <v>2.3556370000000002</v>
      </c>
      <c r="T7162">
        <v>-0.32405339999999999</v>
      </c>
      <c r="U7162">
        <v>2.435181</v>
      </c>
      <c r="V7162">
        <v>-0.31164190000000003</v>
      </c>
      <c r="W7162">
        <v>0.38447959999999998</v>
      </c>
      <c r="X7162">
        <v>0.86893889999999996</v>
      </c>
      <c r="Y7162">
        <v>-0.40518189999999998</v>
      </c>
      <c r="Z7162">
        <v>-8.1403329999999996E-3</v>
      </c>
      <c r="AA7162">
        <v>0.91419980000000001</v>
      </c>
      <c r="AB7162">
        <v>33</v>
      </c>
      <c r="AC7162">
        <v>0.598700000000007</v>
      </c>
      <c r="AD7162">
        <v>-0.101677</v>
      </c>
      <c r="AE7162">
        <v>0.70236999999999405</v>
      </c>
      <c r="AF7162">
        <v>-0.42193668275714402</v>
      </c>
      <c r="AG7162">
        <v>-0.101677</v>
      </c>
      <c r="AH7162">
        <v>0.80834940096793895</v>
      </c>
      <c r="AI7162">
        <v>96.362598217964404</v>
      </c>
      <c r="AJ7162">
        <v>117.563349933151</v>
      </c>
      <c r="AK7162">
        <v>0.91749524828760198</v>
      </c>
      <c r="AL7162">
        <v>67.388563582582805</v>
      </c>
      <c r="AM7162">
        <v>109.730194564863</v>
      </c>
      <c r="AN7162">
        <v>1.00000002429248</v>
      </c>
    </row>
    <row r="7163" spans="1:40" x14ac:dyDescent="0.25">
      <c r="A7163" t="str">
        <f>"20190304164301747"</f>
        <v>20190304164301747</v>
      </c>
      <c r="B7163" t="str">
        <f>"1551688981738239"</f>
        <v>1551688981738239</v>
      </c>
      <c r="C7163" t="s">
        <v>40</v>
      </c>
      <c r="D7163">
        <v>4.6686389999999998</v>
      </c>
      <c r="E7163">
        <v>0.46122229999999997</v>
      </c>
      <c r="F7163" t="s">
        <v>57</v>
      </c>
      <c r="G7163">
        <v>-200.57939999999999</v>
      </c>
      <c r="H7163" s="1">
        <v>-6.8021039999999997E-6</v>
      </c>
      <c r="I7163">
        <v>-51.976349999999996</v>
      </c>
      <c r="J7163">
        <v>-208.1833</v>
      </c>
      <c r="K7163">
        <v>1.1205240000000001</v>
      </c>
      <c r="L7163">
        <v>-59.807949999999998</v>
      </c>
      <c r="M7163">
        <v>0.92497960000000001</v>
      </c>
      <c r="N7163">
        <v>-1.5555980000000001E-2</v>
      </c>
      <c r="O7163">
        <v>0.3796986</v>
      </c>
      <c r="P7163">
        <v>0.69471070000000001</v>
      </c>
      <c r="Q7163">
        <v>0.37867919999999999</v>
      </c>
      <c r="R7163">
        <v>0.61153840000000004</v>
      </c>
      <c r="S7163">
        <v>2.3757320000000002</v>
      </c>
      <c r="T7163">
        <v>-0.34362910000000002</v>
      </c>
      <c r="U7163">
        <v>2.421173</v>
      </c>
      <c r="V7163">
        <v>-0.31163730000000001</v>
      </c>
      <c r="W7163">
        <v>0.38456509999999999</v>
      </c>
      <c r="X7163">
        <v>0.86890270000000003</v>
      </c>
      <c r="Y7163">
        <v>-0.39345629999999998</v>
      </c>
      <c r="Z7163">
        <v>-1.035168E-2</v>
      </c>
      <c r="AA7163">
        <v>0.91928509999999997</v>
      </c>
      <c r="AB7163">
        <v>33</v>
      </c>
      <c r="AC7163">
        <v>7.6039000000000003</v>
      </c>
      <c r="AD7163">
        <v>-1.1205308021039999</v>
      </c>
      <c r="AE7163">
        <v>7.8315999999999999</v>
      </c>
      <c r="AF7163">
        <v>-4.31196890126719</v>
      </c>
      <c r="AG7163">
        <v>-1.1205308021039999</v>
      </c>
      <c r="AH7163">
        <v>9.9039457624375409</v>
      </c>
      <c r="AI7163">
        <v>95.922367857999006</v>
      </c>
      <c r="AJ7163">
        <v>113.52729221432401</v>
      </c>
      <c r="AK7163">
        <v>10.859871396534301</v>
      </c>
      <c r="AL7163">
        <v>67.383256501980298</v>
      </c>
      <c r="AM7163">
        <v>109.73068434283</v>
      </c>
      <c r="AN7163">
        <v>1.00000001247829</v>
      </c>
    </row>
    <row r="7164" spans="1:40" x14ac:dyDescent="0.25">
      <c r="A7164" t="str">
        <f>"20190304164301758"</f>
        <v>20190304164301758</v>
      </c>
      <c r="B7164" t="str">
        <f>"1551688981747999"</f>
        <v>1551688981747999</v>
      </c>
      <c r="C7164" t="s">
        <v>40</v>
      </c>
      <c r="D7164">
        <v>4.6753229999999997</v>
      </c>
      <c r="E7164">
        <v>0.46119870000000002</v>
      </c>
      <c r="F7164" t="s">
        <v>57</v>
      </c>
      <c r="G7164">
        <v>-200.41220000000001</v>
      </c>
      <c r="H7164" s="1">
        <v>-6.8922540000000001E-6</v>
      </c>
      <c r="I7164">
        <v>-51.804510000000001</v>
      </c>
      <c r="J7164">
        <v>-208.03219999999999</v>
      </c>
      <c r="K7164">
        <v>1.120625</v>
      </c>
      <c r="L7164">
        <v>-59.740229999999997</v>
      </c>
      <c r="M7164">
        <v>0.92260059999999999</v>
      </c>
      <c r="N7164">
        <v>-1.556137E-2</v>
      </c>
      <c r="O7164">
        <v>0.38544260000000002</v>
      </c>
      <c r="P7164">
        <v>0.69089979999999995</v>
      </c>
      <c r="Q7164">
        <v>0.37880029999999998</v>
      </c>
      <c r="R7164">
        <v>0.61576609999999998</v>
      </c>
      <c r="S7164">
        <v>2.3623500000000002</v>
      </c>
      <c r="T7164">
        <v>-0.34062809999999999</v>
      </c>
      <c r="U7164">
        <v>2.4329529999999999</v>
      </c>
      <c r="V7164">
        <v>-0.3117106</v>
      </c>
      <c r="W7164">
        <v>0.38457429999999998</v>
      </c>
      <c r="X7164">
        <v>0.86887230000000004</v>
      </c>
      <c r="Y7164">
        <v>-0.39259850000000002</v>
      </c>
      <c r="Z7164">
        <v>-1.0781310000000001E-2</v>
      </c>
      <c r="AA7164">
        <v>0.91964679999999999</v>
      </c>
      <c r="AB7164">
        <v>33</v>
      </c>
      <c r="AC7164">
        <v>7.6199999999999699</v>
      </c>
      <c r="AD7164">
        <v>-1.120631892254</v>
      </c>
      <c r="AE7164">
        <v>7.9357199999999999</v>
      </c>
      <c r="AF7164">
        <v>-4.3399306419568298</v>
      </c>
      <c r="AG7164">
        <v>-1.120631892254</v>
      </c>
      <c r="AH7164">
        <v>9.9865898342929604</v>
      </c>
      <c r="AI7164">
        <v>95.875941183247207</v>
      </c>
      <c r="AJ7164">
        <v>113.48860129480801</v>
      </c>
      <c r="AK7164">
        <v>10.9463596840838</v>
      </c>
      <c r="AL7164">
        <v>67.382684739259602</v>
      </c>
      <c r="AM7164">
        <v>109.73560392714499</v>
      </c>
      <c r="AN7164">
        <v>0.99999998204007001</v>
      </c>
    </row>
    <row r="7165" spans="1:40" x14ac:dyDescent="0.25">
      <c r="A7165" t="str">
        <f>"20190304164301769"</f>
        <v>20190304164301769</v>
      </c>
      <c r="B7165" t="str">
        <f>"1551688981758736"</f>
        <v>1551688981758736</v>
      </c>
      <c r="C7165" t="s">
        <v>40</v>
      </c>
      <c r="D7165">
        <v>4.6471419999999997</v>
      </c>
      <c r="E7165">
        <v>0.46125339999999998</v>
      </c>
      <c r="F7165" t="s">
        <v>57</v>
      </c>
      <c r="G7165">
        <v>-200.3475</v>
      </c>
      <c r="H7165" s="1">
        <v>-6.9283960000000003E-6</v>
      </c>
      <c r="I7165">
        <v>-51.729730000000004</v>
      </c>
      <c r="J7165">
        <v>-207.89359999999999</v>
      </c>
      <c r="K7165">
        <v>1.120711</v>
      </c>
      <c r="L7165">
        <v>-59.676760000000002</v>
      </c>
      <c r="M7165">
        <v>0.92031960000000002</v>
      </c>
      <c r="N7165">
        <v>-1.5559949999999999E-2</v>
      </c>
      <c r="O7165">
        <v>0.39085779999999998</v>
      </c>
      <c r="P7165">
        <v>0.68744430000000001</v>
      </c>
      <c r="Q7165">
        <v>0.37868760000000001</v>
      </c>
      <c r="R7165">
        <v>0.61969039999999997</v>
      </c>
      <c r="S7165">
        <v>2.3482509999999999</v>
      </c>
      <c r="T7165">
        <v>-0.34243810000000002</v>
      </c>
      <c r="U7165">
        <v>2.4478149999999999</v>
      </c>
      <c r="V7165">
        <v>-0.31164130000000001</v>
      </c>
      <c r="W7165">
        <v>0.38437189999999999</v>
      </c>
      <c r="X7165">
        <v>0.86898679999999995</v>
      </c>
      <c r="Y7165">
        <v>-0.39275579999999999</v>
      </c>
      <c r="Z7165">
        <v>-1.1386840000000001E-2</v>
      </c>
      <c r="AA7165">
        <v>0.91957230000000001</v>
      </c>
      <c r="AB7165">
        <v>33</v>
      </c>
      <c r="AC7165">
        <v>7.5460999999999903</v>
      </c>
      <c r="AD7165">
        <v>-1.120717928396</v>
      </c>
      <c r="AE7165">
        <v>7.94702999999999</v>
      </c>
      <c r="AF7165">
        <v>-4.3197076243569601</v>
      </c>
      <c r="AG7165">
        <v>-1.120717928396</v>
      </c>
      <c r="AH7165">
        <v>9.9481598192254292</v>
      </c>
      <c r="AI7165">
        <v>95.899687948086296</v>
      </c>
      <c r="AJ7165">
        <v>113.47153542706999</v>
      </c>
      <c r="AK7165">
        <v>10.9032915408058</v>
      </c>
      <c r="AL7165">
        <v>67.395248798967202</v>
      </c>
      <c r="AM7165">
        <v>109.72915590549199</v>
      </c>
      <c r="AN7165">
        <v>1.0000000579747601</v>
      </c>
    </row>
    <row r="7166" spans="1:40" x14ac:dyDescent="0.25">
      <c r="A7166" t="str">
        <f>"20190304164301780"</f>
        <v>20190304164301780</v>
      </c>
      <c r="B7166" t="str">
        <f>"1551688981768495"</f>
        <v>1551688981768495</v>
      </c>
      <c r="C7166" t="s">
        <v>40</v>
      </c>
      <c r="D7166">
        <v>4.6627210000000003</v>
      </c>
      <c r="E7166">
        <v>0.46167269999999999</v>
      </c>
      <c r="F7166" t="s">
        <v>57</v>
      </c>
      <c r="G7166">
        <v>-200.25890000000001</v>
      </c>
      <c r="H7166" s="1">
        <v>-6.9773239999999999E-6</v>
      </c>
      <c r="I7166">
        <v>-51.631309999999999</v>
      </c>
      <c r="J7166">
        <v>-207.74590000000001</v>
      </c>
      <c r="K7166">
        <v>1.120795</v>
      </c>
      <c r="L7166">
        <v>-59.608460000000001</v>
      </c>
      <c r="M7166">
        <v>0.91782090000000005</v>
      </c>
      <c r="N7166">
        <v>-1.5554429999999999E-2</v>
      </c>
      <c r="O7166">
        <v>0.39668999999999999</v>
      </c>
      <c r="P7166">
        <v>0.68317450000000002</v>
      </c>
      <c r="Q7166">
        <v>0.37926769999999999</v>
      </c>
      <c r="R7166">
        <v>0.62404219999999999</v>
      </c>
      <c r="S7166">
        <v>2.3348390000000001</v>
      </c>
      <c r="T7166">
        <v>-0.3427366</v>
      </c>
      <c r="U7166">
        <v>2.4604490000000001</v>
      </c>
      <c r="V7166">
        <v>-0.31190289999999998</v>
      </c>
      <c r="W7166">
        <v>0.38484459999999998</v>
      </c>
      <c r="X7166">
        <v>0.868683599999999</v>
      </c>
      <c r="Y7166">
        <v>-0.39193929999999999</v>
      </c>
      <c r="Z7166">
        <v>-1.201435E-2</v>
      </c>
      <c r="AA7166">
        <v>0.91991259999999997</v>
      </c>
      <c r="AB7166">
        <v>33</v>
      </c>
      <c r="AC7166">
        <v>7.4869999999999903</v>
      </c>
      <c r="AD7166">
        <v>-1.1208019773240001</v>
      </c>
      <c r="AE7166">
        <v>7.97715</v>
      </c>
      <c r="AF7166">
        <v>-4.3069005445379496</v>
      </c>
      <c r="AG7166">
        <v>-1.1208019773240001</v>
      </c>
      <c r="AH7166">
        <v>9.9331420645598598</v>
      </c>
      <c r="AI7166">
        <v>95.910340475070498</v>
      </c>
      <c r="AJ7166">
        <v>113.441021589177</v>
      </c>
      <c r="AK7166">
        <v>10.8845257428903</v>
      </c>
      <c r="AL7166">
        <v>67.365906604752496</v>
      </c>
      <c r="AM7166">
        <v>109.75079566843</v>
      </c>
      <c r="AN7166">
        <v>0.99999999104326398</v>
      </c>
    </row>
    <row r="7167" spans="1:40" x14ac:dyDescent="0.25">
      <c r="A7167" t="str">
        <f>"20190304164301792"</f>
        <v>20190304164301792</v>
      </c>
      <c r="B7167" t="str">
        <f>"1551688981788015"</f>
        <v>1551688981788015</v>
      </c>
      <c r="C7167" t="s">
        <v>40</v>
      </c>
      <c r="D7167">
        <v>4.6980919999999999</v>
      </c>
      <c r="E7167">
        <v>0.46212219999999998</v>
      </c>
      <c r="F7167" t="s">
        <v>57</v>
      </c>
      <c r="G7167">
        <v>-200.1437</v>
      </c>
      <c r="H7167" s="1">
        <v>-7.0398239999999997E-6</v>
      </c>
      <c r="I7167">
        <v>-51.510240000000003</v>
      </c>
      <c r="J7167">
        <v>-207.5934</v>
      </c>
      <c r="K7167">
        <v>1.120886</v>
      </c>
      <c r="L7167">
        <v>-59.53595</v>
      </c>
      <c r="M7167">
        <v>0.91512740000000004</v>
      </c>
      <c r="N7167">
        <v>-1.5554460000000001E-2</v>
      </c>
      <c r="O7167">
        <v>0.40286460000000002</v>
      </c>
      <c r="P7167">
        <v>0.67860180000000003</v>
      </c>
      <c r="Q7167">
        <v>0.37946679999999999</v>
      </c>
      <c r="R7167">
        <v>0.62889150000000005</v>
      </c>
      <c r="S7167">
        <v>2.3219599999999998</v>
      </c>
      <c r="T7167">
        <v>-0.34232820000000003</v>
      </c>
      <c r="U7167">
        <v>2.4734500000000001</v>
      </c>
      <c r="V7167">
        <v>-0.31239739999999999</v>
      </c>
      <c r="W7167">
        <v>0.3849418</v>
      </c>
      <c r="X7167">
        <v>0.86846279999999998</v>
      </c>
      <c r="Y7167">
        <v>-0.39072899999999999</v>
      </c>
      <c r="Z7167">
        <v>-1.264762E-2</v>
      </c>
      <c r="AA7167">
        <v>0.92041890000000004</v>
      </c>
      <c r="AB7167">
        <v>33</v>
      </c>
      <c r="AC7167">
        <v>7.4497</v>
      </c>
      <c r="AD7167">
        <v>-1.120893039824</v>
      </c>
      <c r="AE7167">
        <v>8.0257099999999895</v>
      </c>
      <c r="AF7167">
        <v>-4.2988099112470399</v>
      </c>
      <c r="AG7167">
        <v>-1.120893039824</v>
      </c>
      <c r="AH7167">
        <v>9.9476846867923303</v>
      </c>
      <c r="AI7167">
        <v>95.905329969514497</v>
      </c>
      <c r="AJ7167">
        <v>113.371188683594</v>
      </c>
      <c r="AK7167">
        <v>10.894613278478699</v>
      </c>
      <c r="AL7167">
        <v>67.359872336978796</v>
      </c>
      <c r="AM7167">
        <v>109.784320141015</v>
      </c>
      <c r="AN7167">
        <v>0.99999997994891898</v>
      </c>
    </row>
    <row r="7168" spans="1:40" x14ac:dyDescent="0.25">
      <c r="A7168" t="str">
        <f>"20190304164301804"</f>
        <v>20190304164301804</v>
      </c>
      <c r="B7168" t="str">
        <f>"1551688981797775"</f>
        <v>1551688981797775</v>
      </c>
      <c r="C7168" t="s">
        <v>40</v>
      </c>
      <c r="D7168">
        <v>4.6767979999999998</v>
      </c>
      <c r="E7168">
        <v>0.46223599999999998</v>
      </c>
      <c r="F7168" t="s">
        <v>57</v>
      </c>
      <c r="G7168">
        <v>-200.05520000000001</v>
      </c>
      <c r="H7168" s="1">
        <v>-7.0883569999999996E-6</v>
      </c>
      <c r="I7168">
        <v>-51.413789999999999</v>
      </c>
      <c r="J7168">
        <v>-207.44239999999999</v>
      </c>
      <c r="K7168">
        <v>1.1209789999999999</v>
      </c>
      <c r="L7168">
        <v>-59.463529999999999</v>
      </c>
      <c r="M7168">
        <v>0.91239769999999998</v>
      </c>
      <c r="N7168">
        <v>-1.555546E-2</v>
      </c>
      <c r="O7168">
        <v>0.40900900000000001</v>
      </c>
      <c r="P7168">
        <v>0.67406869999999997</v>
      </c>
      <c r="Q7168">
        <v>0.37935219999999997</v>
      </c>
      <c r="R7168">
        <v>0.63381659999999995</v>
      </c>
      <c r="S7168">
        <v>2.3080599999999998</v>
      </c>
      <c r="T7168">
        <v>-0.3431998</v>
      </c>
      <c r="U7168">
        <v>2.4868769999999998</v>
      </c>
      <c r="V7168">
        <v>-0.31296040000000003</v>
      </c>
      <c r="W7168">
        <v>0.38472919999999999</v>
      </c>
      <c r="X7168">
        <v>0.86835429999999902</v>
      </c>
      <c r="Y7168">
        <v>-0.38980540000000002</v>
      </c>
      <c r="Z7168">
        <v>-1.33446E-2</v>
      </c>
      <c r="AA7168">
        <v>0.92080059999999997</v>
      </c>
      <c r="AB7168">
        <v>33</v>
      </c>
      <c r="AC7168">
        <v>7.3871999999999698</v>
      </c>
      <c r="AD7168">
        <v>-1.120986088357</v>
      </c>
      <c r="AE7168">
        <v>8.0497399999999999</v>
      </c>
      <c r="AF7168">
        <v>-4.2786149253393502</v>
      </c>
      <c r="AG7168">
        <v>-1.120986088357</v>
      </c>
      <c r="AH7168">
        <v>9.9291695618855496</v>
      </c>
      <c r="AI7168">
        <v>95.919376539954399</v>
      </c>
      <c r="AJ7168">
        <v>113.311870766772</v>
      </c>
      <c r="AK7168">
        <v>10.869754536248699</v>
      </c>
      <c r="AL7168">
        <v>67.37306981879</v>
      </c>
      <c r="AM7168">
        <v>109.819484424303</v>
      </c>
      <c r="AN7168">
        <v>0.99999997981464395</v>
      </c>
    </row>
    <row r="7169" spans="1:40" x14ac:dyDescent="0.25">
      <c r="A7169" t="str">
        <f>"20190304164301816"</f>
        <v>20190304164301816</v>
      </c>
      <c r="B7169" t="str">
        <f>"1551688981808510"</f>
        <v>1551688981808510</v>
      </c>
      <c r="C7169" t="s">
        <v>40</v>
      </c>
      <c r="D7169">
        <v>4.690124</v>
      </c>
      <c r="E7169">
        <v>0.46254849999999997</v>
      </c>
      <c r="F7169" t="s">
        <v>41</v>
      </c>
      <c r="G7169">
        <v>-206.67169999999999</v>
      </c>
      <c r="H7169">
        <v>1.004991</v>
      </c>
      <c r="I7169">
        <v>-58.62209</v>
      </c>
      <c r="J7169">
        <v>-207.27549999999999</v>
      </c>
      <c r="K7169">
        <v>1.121081</v>
      </c>
      <c r="L7169">
        <v>-59.38138</v>
      </c>
      <c r="M7169">
        <v>0.90926669999999998</v>
      </c>
      <c r="N7169">
        <v>-1.556432E-2</v>
      </c>
      <c r="O7169">
        <v>0.41592299999999899</v>
      </c>
      <c r="P7169">
        <v>0.66876610000000003</v>
      </c>
      <c r="Q7169">
        <v>0.3791793</v>
      </c>
      <c r="R7169">
        <v>0.63951150000000001</v>
      </c>
      <c r="S7169">
        <v>2.291595</v>
      </c>
      <c r="T7169">
        <v>-0.34492620000000002</v>
      </c>
      <c r="U7169">
        <v>2.5025940000000002</v>
      </c>
      <c r="V7169">
        <v>-0.3138049</v>
      </c>
      <c r="W7169">
        <v>0.3844515</v>
      </c>
      <c r="X7169">
        <v>0.86817250000000001</v>
      </c>
      <c r="Y7169">
        <v>-0.38901449999999999</v>
      </c>
      <c r="Z7169">
        <v>-1.416486E-2</v>
      </c>
      <c r="AA7169">
        <v>0.92112269999999896</v>
      </c>
      <c r="AB7169">
        <v>33</v>
      </c>
      <c r="AC7169">
        <v>0.603800000000006</v>
      </c>
      <c r="AD7169">
        <v>-0.11609</v>
      </c>
      <c r="AE7169">
        <v>0.75929000000000701</v>
      </c>
      <c r="AF7169">
        <v>-0.43311362363074901</v>
      </c>
      <c r="AG7169">
        <v>-0.11609</v>
      </c>
      <c r="AH7169">
        <v>0.85271488821235897</v>
      </c>
      <c r="AI7169">
        <v>96.920800182725401</v>
      </c>
      <c r="AJ7169">
        <v>116.92706900759001</v>
      </c>
      <c r="AK7169">
        <v>0.96342461025945003</v>
      </c>
      <c r="AL7169">
        <v>67.390306597157306</v>
      </c>
      <c r="AM7169">
        <v>109.872620064353</v>
      </c>
      <c r="AN7169">
        <v>0.99999998043625404</v>
      </c>
    </row>
    <row r="7170" spans="1:40" x14ac:dyDescent="0.25">
      <c r="A7170" t="str">
        <f>"20190304164301829"</f>
        <v>20190304164301829</v>
      </c>
      <c r="B7170" t="str">
        <f>"1551688981818270"</f>
        <v>1551688981818270</v>
      </c>
      <c r="C7170" t="s">
        <v>40</v>
      </c>
      <c r="D7170">
        <v>4.6990129999999999</v>
      </c>
      <c r="E7170">
        <v>0.4628081</v>
      </c>
      <c r="F7170" t="s">
        <v>57</v>
      </c>
      <c r="G7170">
        <v>-199.92400000000001</v>
      </c>
      <c r="H7170" s="1">
        <v>-1.049463E-5</v>
      </c>
      <c r="I7170">
        <v>-51.234209999999997</v>
      </c>
      <c r="J7170">
        <v>-207.11089999999999</v>
      </c>
      <c r="K7170">
        <v>1.1211960000000001</v>
      </c>
      <c r="L7170">
        <v>-59.298859999999998</v>
      </c>
      <c r="M7170">
        <v>0.90608440000000001</v>
      </c>
      <c r="N7170">
        <v>-1.5576390000000001E-2</v>
      </c>
      <c r="O7170">
        <v>0.42281020000000002</v>
      </c>
      <c r="P7170">
        <v>0.66357840000000001</v>
      </c>
      <c r="Q7170">
        <v>0.3789206</v>
      </c>
      <c r="R7170">
        <v>0.64504490000000003</v>
      </c>
      <c r="S7170">
        <v>2.2733150000000002</v>
      </c>
      <c r="T7170">
        <v>-0.34667520000000002</v>
      </c>
      <c r="U7170">
        <v>2.5193479999999999</v>
      </c>
      <c r="V7170">
        <v>-0.31446980000000002</v>
      </c>
      <c r="W7170">
        <v>0.3841002</v>
      </c>
      <c r="X7170">
        <v>0.86808750000000001</v>
      </c>
      <c r="Y7170">
        <v>-0.38877600000000001</v>
      </c>
      <c r="Z7170">
        <v>-1.495986E-2</v>
      </c>
      <c r="AA7170">
        <v>0.92121090000000005</v>
      </c>
      <c r="AB7170">
        <v>33</v>
      </c>
      <c r="AC7170">
        <v>7.1868999999999801</v>
      </c>
      <c r="AD7170">
        <v>-1.12120649462999</v>
      </c>
      <c r="AE7170">
        <v>8.0646500000000003</v>
      </c>
      <c r="AF7170">
        <v>-4.2235761516844201</v>
      </c>
      <c r="AG7170">
        <v>-1.12120649462999</v>
      </c>
      <c r="AH7170">
        <v>9.8171971701923795</v>
      </c>
      <c r="AI7170">
        <v>95.989065460816406</v>
      </c>
      <c r="AJ7170">
        <v>113.278448350765</v>
      </c>
      <c r="AK7170">
        <v>10.7458391850572</v>
      </c>
      <c r="AL7170">
        <v>67.412110572287801</v>
      </c>
      <c r="AM7170">
        <v>109.913217087866</v>
      </c>
      <c r="AN7170">
        <v>1.0000000632041599</v>
      </c>
    </row>
    <row r="7171" spans="1:40" x14ac:dyDescent="0.25">
      <c r="A7171" t="str">
        <f>"20190304164301842"</f>
        <v>20190304164301842</v>
      </c>
      <c r="B7171" t="str">
        <f>"1551688981838767"</f>
        <v>1551688981838767</v>
      </c>
      <c r="C7171" t="s">
        <v>40</v>
      </c>
      <c r="D7171">
        <v>4.7214530000000003</v>
      </c>
      <c r="E7171">
        <v>0.46291959999999999</v>
      </c>
      <c r="F7171" t="s">
        <v>57</v>
      </c>
      <c r="G7171">
        <v>-199.90049999999999</v>
      </c>
      <c r="H7171" s="1">
        <v>-1.050817E-5</v>
      </c>
      <c r="I7171">
        <v>-51.188139999999997</v>
      </c>
      <c r="J7171">
        <v>-206.9522</v>
      </c>
      <c r="K7171">
        <v>1.1213109999999999</v>
      </c>
      <c r="L7171">
        <v>-59.218319999999999</v>
      </c>
      <c r="M7171">
        <v>0.90293849999999998</v>
      </c>
      <c r="N7171">
        <v>-1.558969E-2</v>
      </c>
      <c r="O7171">
        <v>0.42948700000000001</v>
      </c>
      <c r="P7171">
        <v>0.65854049999999997</v>
      </c>
      <c r="Q7171">
        <v>0.3785925</v>
      </c>
      <c r="R7171">
        <v>0.65037849999999997</v>
      </c>
      <c r="S7171">
        <v>2.2552189999999999</v>
      </c>
      <c r="T7171">
        <v>-0.35068579999999999</v>
      </c>
      <c r="U7171">
        <v>2.536835</v>
      </c>
      <c r="V7171">
        <v>-0.31508039999999998</v>
      </c>
      <c r="W7171">
        <v>0.38368760000000002</v>
      </c>
      <c r="X7171">
        <v>0.8680485</v>
      </c>
      <c r="Y7171">
        <v>-0.38881549999999998</v>
      </c>
      <c r="Z7171">
        <v>-1.5882549999999999E-2</v>
      </c>
      <c r="AA7171">
        <v>0.92117879999999996</v>
      </c>
      <c r="AB7171">
        <v>33</v>
      </c>
      <c r="AC7171">
        <v>7.0517000000000101</v>
      </c>
      <c r="AD7171">
        <v>-1.1213215081700001</v>
      </c>
      <c r="AE7171">
        <v>8.0301799999999908</v>
      </c>
      <c r="AF7171">
        <v>-4.1766764484771803</v>
      </c>
      <c r="AG7171">
        <v>-1.1213215081700001</v>
      </c>
      <c r="AH7171">
        <v>9.7103985503879393</v>
      </c>
      <c r="AI7171">
        <v>96.055279310465096</v>
      </c>
      <c r="AJ7171">
        <v>113.27370544552601</v>
      </c>
      <c r="AK7171">
        <v>10.629855506417901</v>
      </c>
      <c r="AL7171">
        <v>67.437711367487793</v>
      </c>
      <c r="AM7171">
        <v>109.949660481037</v>
      </c>
      <c r="AN7171">
        <v>1.0000000156050799</v>
      </c>
    </row>
    <row r="7172" spans="1:40" x14ac:dyDescent="0.25">
      <c r="A7172" t="str">
        <f>"20190304164301854"</f>
        <v>20190304164301854</v>
      </c>
      <c r="B7172" t="str">
        <f>"1551688981848529"</f>
        <v>1551688981848529</v>
      </c>
      <c r="C7172" t="s">
        <v>40</v>
      </c>
      <c r="D7172">
        <v>4.7187289999999997</v>
      </c>
      <c r="E7172">
        <v>0.46313500000000002</v>
      </c>
      <c r="F7172" t="s">
        <v>41</v>
      </c>
      <c r="G7172">
        <v>-206.20849999999999</v>
      </c>
      <c r="H7172">
        <v>1.0034459999999901</v>
      </c>
      <c r="I7172">
        <v>-58.369219999999999</v>
      </c>
      <c r="J7172">
        <v>-206.78909999999999</v>
      </c>
      <c r="K7172">
        <v>1.121427</v>
      </c>
      <c r="L7172">
        <v>-59.132930000000002</v>
      </c>
      <c r="M7172">
        <v>0.89958169999999904</v>
      </c>
      <c r="N7172">
        <v>-1.56086E-2</v>
      </c>
      <c r="O7172">
        <v>0.43647330000000001</v>
      </c>
      <c r="P7172">
        <v>0.65311239999999904</v>
      </c>
      <c r="Q7172">
        <v>0.37873889999999999</v>
      </c>
      <c r="R7172">
        <v>0.65574460000000001</v>
      </c>
      <c r="S7172">
        <v>2.236755</v>
      </c>
      <c r="T7172">
        <v>-0.35452349999999999</v>
      </c>
      <c r="U7172">
        <v>2.5542600000000002</v>
      </c>
      <c r="V7172">
        <v>-0.31559470000000001</v>
      </c>
      <c r="W7172">
        <v>0.38375589999999998</v>
      </c>
      <c r="X7172">
        <v>0.86783149999999998</v>
      </c>
      <c r="Y7172">
        <v>-0.3885769</v>
      </c>
      <c r="Z7172">
        <v>-1.68554E-2</v>
      </c>
      <c r="AA7172">
        <v>0.92126209999999997</v>
      </c>
      <c r="AB7172">
        <v>33</v>
      </c>
      <c r="AC7172">
        <v>0.580600000000004</v>
      </c>
      <c r="AD7172">
        <v>-0.117981</v>
      </c>
      <c r="AE7172">
        <v>0.763710000000003</v>
      </c>
      <c r="AF7172">
        <v>-0.42719504414426002</v>
      </c>
      <c r="AG7172">
        <v>-0.117981</v>
      </c>
      <c r="AH7172">
        <v>0.84299095460098405</v>
      </c>
      <c r="AI7172">
        <v>97.116008222918495</v>
      </c>
      <c r="AJ7172">
        <v>116.87411943305</v>
      </c>
      <c r="AK7172">
        <v>0.95239113374784001</v>
      </c>
      <c r="AL7172">
        <v>67.433474695824202</v>
      </c>
      <c r="AM7172">
        <v>109.984249943347</v>
      </c>
      <c r="AN7172">
        <v>1.0000000589225699</v>
      </c>
    </row>
    <row r="7173" spans="1:40" x14ac:dyDescent="0.25">
      <c r="A7173" t="str">
        <f>"20190304164301870"</f>
        <v>20190304164301870</v>
      </c>
      <c r="B7173" t="str">
        <f>"1551688981858288"</f>
        <v>1551688981858288</v>
      </c>
      <c r="C7173" t="s">
        <v>40</v>
      </c>
      <c r="D7173">
        <v>4.7049709999999996</v>
      </c>
      <c r="E7173">
        <v>0.46313500000000002</v>
      </c>
      <c r="F7173" t="s">
        <v>57</v>
      </c>
      <c r="G7173">
        <v>-199.78710000000001</v>
      </c>
      <c r="H7173" s="1">
        <v>-1.055718E-5</v>
      </c>
      <c r="I7173">
        <v>-51.012129999999999</v>
      </c>
      <c r="J7173">
        <v>-206.5915</v>
      </c>
      <c r="K7173">
        <v>1.121569</v>
      </c>
      <c r="L7173">
        <v>-59.027830000000002</v>
      </c>
      <c r="M7173">
        <v>0.89539780000000002</v>
      </c>
      <c r="N7173">
        <v>-1.563326E-2</v>
      </c>
      <c r="O7173">
        <v>0.44499260000000002</v>
      </c>
      <c r="P7173">
        <v>0.64622419999999903</v>
      </c>
      <c r="Q7173">
        <v>0.37954500000000002</v>
      </c>
      <c r="R7173">
        <v>0.66207240000000001</v>
      </c>
      <c r="S7173">
        <v>2.217346</v>
      </c>
      <c r="T7173">
        <v>-0.35512709999999997</v>
      </c>
      <c r="U7173">
        <v>2.571625</v>
      </c>
      <c r="V7173">
        <v>-0.31615399999999999</v>
      </c>
      <c r="W7173">
        <v>0.38447049999999999</v>
      </c>
      <c r="X7173">
        <v>0.86731139999999995</v>
      </c>
      <c r="Y7173">
        <v>-0.38693260000000002</v>
      </c>
      <c r="Z7173">
        <v>-1.7838280000000001E-2</v>
      </c>
      <c r="AA7173">
        <v>0.92193550000000002</v>
      </c>
      <c r="AB7173">
        <v>33</v>
      </c>
      <c r="AC7173">
        <v>6.8043999999999798</v>
      </c>
      <c r="AD7173">
        <v>-1.12157955718</v>
      </c>
      <c r="AE7173">
        <v>8.0157000000000007</v>
      </c>
      <c r="AF7173">
        <v>-4.1031506559482702</v>
      </c>
      <c r="AG7173">
        <v>-1.12157955718</v>
      </c>
      <c r="AH7173">
        <v>9.55206147031722</v>
      </c>
      <c r="AI7173">
        <v>96.157552324153798</v>
      </c>
      <c r="AJ7173">
        <v>113.24625878973301</v>
      </c>
      <c r="AK7173">
        <v>10.4563695583702</v>
      </c>
      <c r="AL7173">
        <v>67.389127589139406</v>
      </c>
      <c r="AM7173">
        <v>110.02790575469</v>
      </c>
      <c r="AN7173">
        <v>0.99999999082810498</v>
      </c>
    </row>
    <row r="7174" spans="1:40" x14ac:dyDescent="0.25">
      <c r="A7174" t="str">
        <f>"20190304164301882"</f>
        <v>20190304164301882</v>
      </c>
      <c r="B7174" t="str">
        <f>"1551688981877807"</f>
        <v>1551688981877807</v>
      </c>
      <c r="C7174" t="s">
        <v>40</v>
      </c>
      <c r="D7174">
        <v>4.6688970000000003</v>
      </c>
      <c r="E7174">
        <v>0.44248120000000002</v>
      </c>
      <c r="F7174" t="s">
        <v>57</v>
      </c>
      <c r="G7174">
        <v>-199.6131</v>
      </c>
      <c r="H7174" s="1">
        <v>-1.062383E-5</v>
      </c>
      <c r="I7174">
        <v>-50.766500000000001</v>
      </c>
      <c r="J7174">
        <v>-206.44560000000001</v>
      </c>
      <c r="K7174">
        <v>1.121672</v>
      </c>
      <c r="L7174">
        <v>-58.949100000000001</v>
      </c>
      <c r="M7174">
        <v>0.89222690000000004</v>
      </c>
      <c r="N7174">
        <v>-1.565248E-2</v>
      </c>
      <c r="O7174">
        <v>0.45131599999999999</v>
      </c>
      <c r="P7174">
        <v>0.64125109999999996</v>
      </c>
      <c r="Q7174">
        <v>0.3798897</v>
      </c>
      <c r="R7174">
        <v>0.66669400000000001</v>
      </c>
      <c r="S7174">
        <v>2.19136</v>
      </c>
      <c r="T7174">
        <v>-0.35219660000000003</v>
      </c>
      <c r="U7174">
        <v>2.5942080000000001</v>
      </c>
      <c r="V7174">
        <v>-0.31642710000000002</v>
      </c>
      <c r="W7174">
        <v>0.3847566</v>
      </c>
      <c r="X7174">
        <v>0.86708490000000005</v>
      </c>
      <c r="Y7174">
        <v>-0.38976329999999998</v>
      </c>
      <c r="Z7174">
        <v>-1.805824E-2</v>
      </c>
      <c r="AA7174">
        <v>0.92073799999999995</v>
      </c>
      <c r="AB7174">
        <v>33</v>
      </c>
      <c r="AC7174">
        <v>6.8324999999999996</v>
      </c>
      <c r="AD7174">
        <v>-1.1216826238299999</v>
      </c>
      <c r="AE7174">
        <v>8.1826000000000008</v>
      </c>
      <c r="AF7174">
        <v>-4.1714507369476497</v>
      </c>
      <c r="AG7174">
        <v>-1.1216826238299999</v>
      </c>
      <c r="AH7174">
        <v>9.6830695520600205</v>
      </c>
      <c r="AI7174">
        <v>96.072706692047404</v>
      </c>
      <c r="AJ7174">
        <v>113.306299548569</v>
      </c>
      <c r="AK7174">
        <v>10.6028773976414</v>
      </c>
      <c r="AL7174">
        <v>67.371369170675294</v>
      </c>
      <c r="AM7174">
        <v>110.048648268154</v>
      </c>
      <c r="AN7174">
        <v>0.99999998733299</v>
      </c>
    </row>
    <row r="7175" spans="1:40" x14ac:dyDescent="0.25">
      <c r="A7175" t="str">
        <f>"20190304164301893"</f>
        <v>20190304164301893</v>
      </c>
      <c r="B7175" t="str">
        <f>"1551688981888544"</f>
        <v>1551688981888544</v>
      </c>
      <c r="C7175" t="s">
        <v>40</v>
      </c>
      <c r="D7175">
        <v>4.6337669999999997</v>
      </c>
      <c r="E7175">
        <v>0.43688349999999998</v>
      </c>
      <c r="F7175" t="s">
        <v>41</v>
      </c>
      <c r="G7175">
        <v>-205.7783</v>
      </c>
      <c r="H7175">
        <v>1.0333079999999999</v>
      </c>
      <c r="I7175">
        <v>-58.0599699999999</v>
      </c>
      <c r="J7175">
        <v>-206.31110000000001</v>
      </c>
      <c r="K7175">
        <v>1.1217629999999901</v>
      </c>
      <c r="L7175">
        <v>-58.874299999999998</v>
      </c>
      <c r="M7175">
        <v>0.88920309999999902</v>
      </c>
      <c r="N7175">
        <v>-1.567344E-2</v>
      </c>
      <c r="O7175">
        <v>0.45724389999999998</v>
      </c>
      <c r="P7175">
        <v>0.63663619999999899</v>
      </c>
      <c r="Q7175">
        <v>0.38018190000000002</v>
      </c>
      <c r="R7175">
        <v>0.6709368</v>
      </c>
      <c r="S7175">
        <v>2.0278019999999999</v>
      </c>
      <c r="T7175">
        <v>-0.26852569999999998</v>
      </c>
      <c r="U7175">
        <v>2.702423</v>
      </c>
      <c r="V7175">
        <v>-0.31657000000000002</v>
      </c>
      <c r="W7175">
        <v>0.38500649999999997</v>
      </c>
      <c r="X7175">
        <v>0.86692179999999996</v>
      </c>
      <c r="Y7175">
        <v>-0.43619720000000001</v>
      </c>
      <c r="Z7175">
        <v>-9.7171250000000001E-3</v>
      </c>
      <c r="AA7175">
        <v>0.899798599999999</v>
      </c>
      <c r="AB7175">
        <v>32</v>
      </c>
      <c r="AC7175">
        <v>0.53280000000000804</v>
      </c>
      <c r="AD7175">
        <v>-8.8454999999999895E-2</v>
      </c>
      <c r="AE7175">
        <v>0.81433000000000499</v>
      </c>
      <c r="AF7175">
        <v>-0.47660651622349098</v>
      </c>
      <c r="AG7175">
        <v>-8.8454999999999895E-2</v>
      </c>
      <c r="AH7175">
        <v>0.83928461451367498</v>
      </c>
      <c r="AI7175">
        <v>95.236364402484796</v>
      </c>
      <c r="AJ7175">
        <v>119.591044441196</v>
      </c>
      <c r="AK7175">
        <v>0.96921448735099902</v>
      </c>
      <c r="AL7175">
        <v>67.355855936850503</v>
      </c>
      <c r="AM7175">
        <v>110.060453301732</v>
      </c>
      <c r="AN7175">
        <v>0.99999998862874495</v>
      </c>
    </row>
    <row r="7176" spans="1:40" x14ac:dyDescent="0.25">
      <c r="A7176" t="str">
        <f>"20190304164301905"</f>
        <v>20190304164301905</v>
      </c>
      <c r="B7176" t="str">
        <f>"1551688981898303"</f>
        <v>1551688981898303</v>
      </c>
      <c r="C7176" t="s">
        <v>40</v>
      </c>
      <c r="D7176">
        <v>4.6376220000000004</v>
      </c>
      <c r="E7176">
        <v>0.43334909999999999</v>
      </c>
      <c r="F7176" t="s">
        <v>41</v>
      </c>
      <c r="G7176">
        <v>-205.74979999999999</v>
      </c>
      <c r="H7176">
        <v>1.046332</v>
      </c>
      <c r="I7176">
        <v>-58.094290000000001</v>
      </c>
      <c r="J7176">
        <v>-206.1635</v>
      </c>
      <c r="K7176">
        <v>1.1218589999999999</v>
      </c>
      <c r="L7176">
        <v>-58.791719999999998</v>
      </c>
      <c r="M7176">
        <v>0.88583009999999995</v>
      </c>
      <c r="N7176">
        <v>-1.5696020000000001E-2</v>
      </c>
      <c r="O7176">
        <v>0.4637442</v>
      </c>
      <c r="P7176">
        <v>0.63158400000000003</v>
      </c>
      <c r="Q7176">
        <v>0.3799129</v>
      </c>
      <c r="R7176">
        <v>0.67584599999999995</v>
      </c>
      <c r="S7176">
        <v>1.9759370000000001</v>
      </c>
      <c r="T7176">
        <v>-0.26558769999999998</v>
      </c>
      <c r="U7176">
        <v>2.7469480000000002</v>
      </c>
      <c r="V7176">
        <v>-0.31692670000000001</v>
      </c>
      <c r="W7176">
        <v>0.38468869999999999</v>
      </c>
      <c r="X7176">
        <v>0.86693259999999905</v>
      </c>
      <c r="Y7176">
        <v>-0.447689</v>
      </c>
      <c r="Z7176">
        <v>-9.3703970000000008E-3</v>
      </c>
      <c r="AA7176">
        <v>0.89414020000000005</v>
      </c>
      <c r="AB7176">
        <v>32</v>
      </c>
      <c r="AC7176">
        <v>0.41370000000000501</v>
      </c>
      <c r="AD7176">
        <v>-7.55269999999999E-2</v>
      </c>
      <c r="AE7176">
        <v>0.697429999999997</v>
      </c>
      <c r="AF7176">
        <v>-0.42234215238368999</v>
      </c>
      <c r="AG7176">
        <v>-7.55269999999999E-2</v>
      </c>
      <c r="AH7176">
        <v>0.68404788054032295</v>
      </c>
      <c r="AI7176">
        <v>95.367064418806507</v>
      </c>
      <c r="AJ7176">
        <v>121.69184855412</v>
      </c>
      <c r="AK7176">
        <v>0.80746437957398198</v>
      </c>
      <c r="AL7176">
        <v>67.375584999878996</v>
      </c>
      <c r="AM7176">
        <v>110.08102132418701</v>
      </c>
      <c r="AN7176">
        <v>1.0000000310116599</v>
      </c>
    </row>
    <row r="7177" spans="1:40" x14ac:dyDescent="0.25">
      <c r="A7177" t="str">
        <f>"20190304164301914"</f>
        <v>20190304164301914</v>
      </c>
      <c r="B7177" t="str">
        <f>"1551688981908064"</f>
        <v>1551688981908064</v>
      </c>
      <c r="C7177" t="s">
        <v>40</v>
      </c>
      <c r="D7177">
        <v>4.7843119999999999</v>
      </c>
      <c r="E7177">
        <v>0.43248579999999998</v>
      </c>
      <c r="F7177" t="s">
        <v>41</v>
      </c>
      <c r="G7177">
        <v>-205.5472</v>
      </c>
      <c r="H7177">
        <v>1.0366519999999999</v>
      </c>
      <c r="I7177">
        <v>-57.90531</v>
      </c>
      <c r="J7177">
        <v>-206.02969999999999</v>
      </c>
      <c r="K7177">
        <v>1.121942</v>
      </c>
      <c r="L7177">
        <v>-58.715089999999996</v>
      </c>
      <c r="M7177">
        <v>0.88268440000000004</v>
      </c>
      <c r="N7177">
        <v>-1.5718090000000001E-2</v>
      </c>
      <c r="O7177">
        <v>0.46970329999999899</v>
      </c>
      <c r="P7177">
        <v>0.62680849999999999</v>
      </c>
      <c r="Q7177">
        <v>0.37997969999999998</v>
      </c>
      <c r="R7177">
        <v>0.68023999999999996</v>
      </c>
      <c r="S7177">
        <v>1.9342189999999999</v>
      </c>
      <c r="T7177">
        <v>-0.26738600000000001</v>
      </c>
      <c r="U7177">
        <v>2.781647</v>
      </c>
      <c r="V7177">
        <v>-0.317222</v>
      </c>
      <c r="W7177">
        <v>0.384716</v>
      </c>
      <c r="X7177">
        <v>0.86681239999999904</v>
      </c>
      <c r="Y7177">
        <v>-0.45590710000000001</v>
      </c>
      <c r="Z7177">
        <v>-9.5051149999999997E-3</v>
      </c>
      <c r="AA7177">
        <v>0.88997660000000001</v>
      </c>
      <c r="AB7177">
        <v>32</v>
      </c>
      <c r="AC7177">
        <v>0.48249999999998699</v>
      </c>
      <c r="AD7177">
        <v>-8.5289999999999797E-2</v>
      </c>
      <c r="AE7177">
        <v>0.80978000000000305</v>
      </c>
      <c r="AF7177">
        <v>-0.48424423057940402</v>
      </c>
      <c r="AG7177">
        <v>-8.5289999999999797E-2</v>
      </c>
      <c r="AH7177">
        <v>0.79980334255612795</v>
      </c>
      <c r="AI7177">
        <v>95.212193383997004</v>
      </c>
      <c r="AJ7177">
        <v>121.192981806725</v>
      </c>
      <c r="AK7177">
        <v>0.93885688244449395</v>
      </c>
      <c r="AL7177">
        <v>67.373888890857202</v>
      </c>
      <c r="AM7177">
        <v>110.100799018724</v>
      </c>
      <c r="AN7177">
        <v>0.99999996736687902</v>
      </c>
    </row>
    <row r="7178" spans="1:40" x14ac:dyDescent="0.25">
      <c r="A7178" t="str">
        <f>"20190304164301927"</f>
        <v>20190304164301927</v>
      </c>
      <c r="B7178" t="str">
        <f>"1551688981917823"</f>
        <v>1551688981917823</v>
      </c>
      <c r="C7178" t="s">
        <v>40</v>
      </c>
      <c r="D7178">
        <v>4.667408</v>
      </c>
      <c r="E7178">
        <v>0.43103910000000001</v>
      </c>
      <c r="F7178" t="s">
        <v>41</v>
      </c>
      <c r="G7178">
        <v>-205.50800000000001</v>
      </c>
      <c r="H7178">
        <v>1.047811</v>
      </c>
      <c r="I7178">
        <v>-57.949860000000001</v>
      </c>
      <c r="J7178">
        <v>-205.88579999999999</v>
      </c>
      <c r="K7178">
        <v>1.1220300000000001</v>
      </c>
      <c r="L7178">
        <v>-58.631590000000003</v>
      </c>
      <c r="M7178">
        <v>0.87923030000000002</v>
      </c>
      <c r="N7178">
        <v>-1.574182E-2</v>
      </c>
      <c r="O7178">
        <v>0.47613699999999998</v>
      </c>
      <c r="P7178">
        <v>0.62175769999999997</v>
      </c>
      <c r="Q7178">
        <v>0.37982369999999999</v>
      </c>
      <c r="R7178">
        <v>0.68494619999999995</v>
      </c>
      <c r="S7178">
        <v>1.9102479999999999</v>
      </c>
      <c r="T7178">
        <v>-0.27140779999999998</v>
      </c>
      <c r="U7178">
        <v>2.8016359999999998</v>
      </c>
      <c r="V7178">
        <v>-0.31744080000000002</v>
      </c>
      <c r="W7178">
        <v>0.38452459999999999</v>
      </c>
      <c r="X7178">
        <v>0.86681719999999896</v>
      </c>
      <c r="Y7178">
        <v>-0.45756190000000002</v>
      </c>
      <c r="Z7178">
        <v>-1.0184790000000001E-2</v>
      </c>
      <c r="AA7178">
        <v>0.8891194</v>
      </c>
      <c r="AB7178">
        <v>32</v>
      </c>
      <c r="AC7178">
        <v>0.37780000000000702</v>
      </c>
      <c r="AD7178">
        <v>-7.4218999999999799E-2</v>
      </c>
      <c r="AE7178">
        <v>0.68173000000000095</v>
      </c>
      <c r="AF7178">
        <v>-0.41579480861773399</v>
      </c>
      <c r="AG7178">
        <v>-7.4218999999999799E-2</v>
      </c>
      <c r="AH7178">
        <v>0.65094887986263905</v>
      </c>
      <c r="AI7178">
        <v>95.488550281908005</v>
      </c>
      <c r="AJ7178">
        <v>122.568481429315</v>
      </c>
      <c r="AK7178">
        <v>0.77596921783591499</v>
      </c>
      <c r="AL7178">
        <v>67.385768636623496</v>
      </c>
      <c r="AM7178">
        <v>110.113449891076</v>
      </c>
      <c r="AN7178">
        <v>0.99999994386281799</v>
      </c>
    </row>
    <row r="7179" spans="1:40" x14ac:dyDescent="0.25">
      <c r="A7179" t="str">
        <f>"20190304164301939"</f>
        <v>20190304164301939</v>
      </c>
      <c r="B7179" t="str">
        <f>"1551688981928559"</f>
        <v>1551688981928559</v>
      </c>
      <c r="C7179" t="s">
        <v>40</v>
      </c>
      <c r="D7179">
        <v>4.6556850000000001</v>
      </c>
      <c r="E7179">
        <v>0.43027409999999999</v>
      </c>
      <c r="F7179" t="s">
        <v>41</v>
      </c>
      <c r="G7179">
        <v>-205.30670000000001</v>
      </c>
      <c r="H7179">
        <v>1.037733</v>
      </c>
      <c r="I7179">
        <v>-57.761749999999999</v>
      </c>
      <c r="J7179">
        <v>-205.74080000000001</v>
      </c>
      <c r="K7179">
        <v>1.1221190000000001</v>
      </c>
      <c r="L7179">
        <v>-58.546080000000003</v>
      </c>
      <c r="M7179">
        <v>0.87566849999999996</v>
      </c>
      <c r="N7179">
        <v>-1.576601E-2</v>
      </c>
      <c r="O7179">
        <v>0.48265540000000001</v>
      </c>
      <c r="P7179">
        <v>0.61674989999999996</v>
      </c>
      <c r="Q7179">
        <v>0.3802374</v>
      </c>
      <c r="R7179">
        <v>0.68923089999999998</v>
      </c>
      <c r="S7179">
        <v>1.8802490000000001</v>
      </c>
      <c r="T7179">
        <v>-0.27372370000000001</v>
      </c>
      <c r="U7179">
        <v>2.8249209999999998</v>
      </c>
      <c r="V7179">
        <v>-0.3171889</v>
      </c>
      <c r="W7179">
        <v>0.38491900000000001</v>
      </c>
      <c r="X7179">
        <v>0.86673440000000002</v>
      </c>
      <c r="Y7179">
        <v>-0.46087830000000002</v>
      </c>
      <c r="Z7179">
        <v>-1.0669659999999999E-2</v>
      </c>
      <c r="AA7179">
        <v>0.8873993</v>
      </c>
      <c r="AB7179">
        <v>32</v>
      </c>
      <c r="AC7179">
        <v>0.43409999999999999</v>
      </c>
      <c r="AD7179">
        <v>-8.4386000000000003E-2</v>
      </c>
      <c r="AE7179">
        <v>0.78433000000000397</v>
      </c>
      <c r="AF7179">
        <v>-0.47315891557314699</v>
      </c>
      <c r="AG7179">
        <v>-8.4386000000000003E-2</v>
      </c>
      <c r="AH7179">
        <v>0.75211840488565795</v>
      </c>
      <c r="AI7179">
        <v>95.424997167261196</v>
      </c>
      <c r="AJ7179">
        <v>122.17406496947901</v>
      </c>
      <c r="AK7179">
        <v>0.89257069823633794</v>
      </c>
      <c r="AL7179">
        <v>67.361287685459601</v>
      </c>
      <c r="AM7179">
        <v>110.10053348328999</v>
      </c>
      <c r="AN7179">
        <v>0.999999977493784</v>
      </c>
    </row>
    <row r="7180" spans="1:40" x14ac:dyDescent="0.25">
      <c r="A7180" t="str">
        <f>"20190304164301951"</f>
        <v>20190304164301951</v>
      </c>
      <c r="B7180" t="str">
        <f>"1551688981938320"</f>
        <v>1551688981938320</v>
      </c>
      <c r="C7180" t="s">
        <v>40</v>
      </c>
      <c r="D7180">
        <v>4.7686010000000003</v>
      </c>
      <c r="E7180">
        <v>0.43054750000000003</v>
      </c>
      <c r="F7180" t="s">
        <v>41</v>
      </c>
      <c r="G7180">
        <v>-205.238</v>
      </c>
      <c r="H7180">
        <v>1.0478149999999999</v>
      </c>
      <c r="I7180">
        <v>-57.775370000000002</v>
      </c>
      <c r="J7180">
        <v>-205.6003</v>
      </c>
      <c r="K7180">
        <v>1.1221989999999999</v>
      </c>
      <c r="L7180">
        <v>-58.461399999999998</v>
      </c>
      <c r="M7180">
        <v>0.87212990000000001</v>
      </c>
      <c r="N7180">
        <v>-1.5789439999999998E-2</v>
      </c>
      <c r="O7180">
        <v>0.4890196</v>
      </c>
      <c r="P7180">
        <v>0.61147119999999999</v>
      </c>
      <c r="Q7180">
        <v>0.38071129999999997</v>
      </c>
      <c r="R7180">
        <v>0.69365840000000001</v>
      </c>
      <c r="S7180">
        <v>1.855011</v>
      </c>
      <c r="T7180">
        <v>-0.27414300000000003</v>
      </c>
      <c r="U7180">
        <v>2.8439939999999999</v>
      </c>
      <c r="V7180">
        <v>-0.31733270000000002</v>
      </c>
      <c r="W7180">
        <v>0.38536510000000002</v>
      </c>
      <c r="X7180">
        <v>0.86648349999999996</v>
      </c>
      <c r="Y7180">
        <v>-0.46267150000000001</v>
      </c>
      <c r="Z7180">
        <v>-1.107912E-2</v>
      </c>
      <c r="AA7180">
        <v>0.88646059999999904</v>
      </c>
      <c r="AB7180">
        <v>32</v>
      </c>
      <c r="AC7180">
        <v>0.36230000000000401</v>
      </c>
      <c r="AD7180">
        <v>-7.4384000000000006E-2</v>
      </c>
      <c r="AE7180">
        <v>0.68603000000000203</v>
      </c>
      <c r="AF7180">
        <v>-0.41735144932684898</v>
      </c>
      <c r="AG7180">
        <v>-7.4384000000000006E-2</v>
      </c>
      <c r="AH7180">
        <v>0.64560126803502205</v>
      </c>
      <c r="AI7180">
        <v>95.526685024359494</v>
      </c>
      <c r="AJ7180">
        <v>122.88080489968701</v>
      </c>
      <c r="AK7180">
        <v>0.77234461802983301</v>
      </c>
      <c r="AL7180">
        <v>67.3335915196716</v>
      </c>
      <c r="AM7180">
        <v>110.11427231955901</v>
      </c>
      <c r="AN7180">
        <v>0.99999997927977402</v>
      </c>
    </row>
    <row r="7181" spans="1:40" x14ac:dyDescent="0.25">
      <c r="A7181" t="str">
        <f>"20190304164301962"</f>
        <v>20190304164301962</v>
      </c>
      <c r="B7181" t="str">
        <f>"1551688981957840"</f>
        <v>1551688981957840</v>
      </c>
      <c r="C7181" t="s">
        <v>40</v>
      </c>
      <c r="D7181">
        <v>4.6429650000000002</v>
      </c>
      <c r="E7181">
        <v>0.43052859999999998</v>
      </c>
      <c r="F7181" t="s">
        <v>41</v>
      </c>
      <c r="G7181">
        <v>-205.06180000000001</v>
      </c>
      <c r="H7181">
        <v>1.041512</v>
      </c>
      <c r="I7181">
        <v>-57.622700000000002</v>
      </c>
      <c r="J7181">
        <v>-205.4639</v>
      </c>
      <c r="K7181">
        <v>1.1222719999999999</v>
      </c>
      <c r="L7181">
        <v>-58.378599999999999</v>
      </c>
      <c r="M7181">
        <v>0.86863579999999996</v>
      </c>
      <c r="N7181">
        <v>-1.581161E-2</v>
      </c>
      <c r="O7181">
        <v>0.4951989</v>
      </c>
      <c r="P7181">
        <v>0.6063383</v>
      </c>
      <c r="Q7181">
        <v>0.38144699999999998</v>
      </c>
      <c r="R7181">
        <v>0.69774789999999998</v>
      </c>
      <c r="S7181">
        <v>1.835251</v>
      </c>
      <c r="T7181">
        <v>-0.274970099999999</v>
      </c>
      <c r="U7181">
        <v>2.8580320000000001</v>
      </c>
      <c r="V7181">
        <v>-0.31729400000000002</v>
      </c>
      <c r="W7181">
        <v>0.38607920000000001</v>
      </c>
      <c r="X7181">
        <v>0.86617980000000006</v>
      </c>
      <c r="Y7181">
        <v>-0.4627077</v>
      </c>
      <c r="Z7181">
        <v>-1.160605E-2</v>
      </c>
      <c r="AA7181">
        <v>0.88643490000000003</v>
      </c>
      <c r="AB7181">
        <v>32</v>
      </c>
      <c r="AC7181">
        <v>0.40209999999999002</v>
      </c>
      <c r="AD7181">
        <v>-8.0759999999999901E-2</v>
      </c>
      <c r="AE7181">
        <v>0.75589999999999602</v>
      </c>
      <c r="AF7181">
        <v>-0.45350462758411803</v>
      </c>
      <c r="AG7181">
        <v>-8.0759999999999901E-2</v>
      </c>
      <c r="AH7181">
        <v>0.71730778625053404</v>
      </c>
      <c r="AI7181">
        <v>95.436099881906003</v>
      </c>
      <c r="AJ7181">
        <v>122.30236652256001</v>
      </c>
      <c r="AK7181">
        <v>0.85247820210011904</v>
      </c>
      <c r="AL7181">
        <v>67.289246252731701</v>
      </c>
      <c r="AM7181">
        <v>110.118502169773</v>
      </c>
      <c r="AN7181">
        <v>1.0000000385183301</v>
      </c>
    </row>
    <row r="7182" spans="1:40" x14ac:dyDescent="0.25">
      <c r="A7182" t="str">
        <f>"20190304164301975"</f>
        <v>20190304164301975</v>
      </c>
      <c r="B7182" t="str">
        <f>"1551688981968575"</f>
        <v>1551688981968575</v>
      </c>
      <c r="C7182" t="s">
        <v>40</v>
      </c>
      <c r="D7182">
        <v>4.6496370000000002</v>
      </c>
      <c r="E7182">
        <v>0.4308265</v>
      </c>
      <c r="F7182" t="s">
        <v>41</v>
      </c>
      <c r="G7182">
        <v>-204.8648</v>
      </c>
      <c r="H7182">
        <v>1.0306139999999999</v>
      </c>
      <c r="I7182">
        <v>-57.43074</v>
      </c>
      <c r="J7182">
        <v>-205.29640000000001</v>
      </c>
      <c r="K7182">
        <v>1.1223510000000001</v>
      </c>
      <c r="L7182">
        <v>-58.27393</v>
      </c>
      <c r="M7182">
        <v>0.86422099999999902</v>
      </c>
      <c r="N7182">
        <v>-1.5838120000000001E-2</v>
      </c>
      <c r="O7182">
        <v>0.50286299999999995</v>
      </c>
      <c r="P7182">
        <v>0.60004619999999997</v>
      </c>
      <c r="Q7182">
        <v>0.38212800000000002</v>
      </c>
      <c r="R7182">
        <v>0.70279639999999999</v>
      </c>
      <c r="S7182">
        <v>1.8160099999999999</v>
      </c>
      <c r="T7182">
        <v>-0.27783909999999901</v>
      </c>
      <c r="U7182">
        <v>2.8733520000000001</v>
      </c>
      <c r="V7182">
        <v>-0.31716339999999998</v>
      </c>
      <c r="W7182">
        <v>0.38674510000000001</v>
      </c>
      <c r="X7182">
        <v>0.86593050000000005</v>
      </c>
      <c r="Y7182">
        <v>-0.46125859999999902</v>
      </c>
      <c r="Z7182">
        <v>-1.248934E-2</v>
      </c>
      <c r="AA7182">
        <v>0.88717780000000002</v>
      </c>
      <c r="AB7182">
        <v>32</v>
      </c>
      <c r="AC7182">
        <v>0.43160000000000298</v>
      </c>
      <c r="AD7182">
        <v>-9.1737000000000096E-2</v>
      </c>
      <c r="AE7182">
        <v>0.84319000000000699</v>
      </c>
      <c r="AF7182">
        <v>-0.50697587982492998</v>
      </c>
      <c r="AG7182">
        <v>-9.1737000000000096E-2</v>
      </c>
      <c r="AH7182">
        <v>0.78969988906202404</v>
      </c>
      <c r="AI7182">
        <v>95.583257736664095</v>
      </c>
      <c r="AJ7182">
        <v>122.699874709808</v>
      </c>
      <c r="AK7182">
        <v>0.94290303567113198</v>
      </c>
      <c r="AL7182">
        <v>67.247879294427406</v>
      </c>
      <c r="AM7182">
        <v>110.11621072481699</v>
      </c>
      <c r="AN7182">
        <v>1.00000001275191</v>
      </c>
    </row>
    <row r="7183" spans="1:40" x14ac:dyDescent="0.25">
      <c r="A7183" t="str">
        <f>"20190304164301986"</f>
        <v>20190304164301986</v>
      </c>
      <c r="B7183" t="str">
        <f>"1551688981978335"</f>
        <v>1551688981978335</v>
      </c>
      <c r="C7183" t="s">
        <v>40</v>
      </c>
      <c r="D7183">
        <v>4.6414269999999904</v>
      </c>
      <c r="E7183">
        <v>0.43111680000000002</v>
      </c>
      <c r="F7183" t="s">
        <v>41</v>
      </c>
      <c r="G7183">
        <v>-204.8099</v>
      </c>
      <c r="H7183">
        <v>1.046827</v>
      </c>
      <c r="I7183">
        <v>-57.490540000000003</v>
      </c>
      <c r="J7183">
        <v>-205.17189999999999</v>
      </c>
      <c r="K7183">
        <v>1.1224080000000001</v>
      </c>
      <c r="L7183">
        <v>-58.195189999999997</v>
      </c>
      <c r="M7183">
        <v>0.86087789999999997</v>
      </c>
      <c r="N7183">
        <v>-1.585694E-2</v>
      </c>
      <c r="O7183">
        <v>0.50856440000000003</v>
      </c>
      <c r="P7183">
        <v>0.59528590000000003</v>
      </c>
      <c r="Q7183">
        <v>0.38259080000000001</v>
      </c>
      <c r="R7183">
        <v>0.70658269999999901</v>
      </c>
      <c r="S7183">
        <v>1.793655</v>
      </c>
      <c r="T7183">
        <v>-0.2784684</v>
      </c>
      <c r="U7183">
        <v>2.8886720000000001</v>
      </c>
      <c r="V7183">
        <v>-0.31712089999999998</v>
      </c>
      <c r="W7183">
        <v>0.38719619999999999</v>
      </c>
      <c r="X7183">
        <v>0.86574449999999903</v>
      </c>
      <c r="Y7183">
        <v>-0.46246429999999999</v>
      </c>
      <c r="Z7183">
        <v>-1.291673E-2</v>
      </c>
      <c r="AA7183">
        <v>0.88654379999999999</v>
      </c>
      <c r="AB7183">
        <v>32</v>
      </c>
      <c r="AC7183">
        <v>0.36199999999999399</v>
      </c>
      <c r="AD7183">
        <v>-7.5581000000000106E-2</v>
      </c>
      <c r="AE7183">
        <v>0.70465</v>
      </c>
      <c r="AF7183">
        <v>-0.41875870135263998</v>
      </c>
      <c r="AG7183">
        <v>-7.5581000000000106E-2</v>
      </c>
      <c r="AH7183">
        <v>0.66403758833151905</v>
      </c>
      <c r="AI7183">
        <v>95.499219383838707</v>
      </c>
      <c r="AJ7183">
        <v>122.23655556265599</v>
      </c>
      <c r="AK7183">
        <v>0.78868070613949304</v>
      </c>
      <c r="AL7183">
        <v>67.219850335340496</v>
      </c>
      <c r="AM7183">
        <v>110.117706058697</v>
      </c>
      <c r="AN7183">
        <v>1.0000000508957401</v>
      </c>
    </row>
    <row r="7184" spans="1:40" x14ac:dyDescent="0.25">
      <c r="A7184" t="str">
        <f>"20190304164301996"</f>
        <v>20190304164301996</v>
      </c>
      <c r="B7184" t="str">
        <f>"1551688981988095"</f>
        <v>1551688981988095</v>
      </c>
      <c r="C7184" t="s">
        <v>40</v>
      </c>
      <c r="D7184">
        <v>4.6356159999999997</v>
      </c>
      <c r="E7184">
        <v>0.43149330000000002</v>
      </c>
      <c r="F7184" t="s">
        <v>41</v>
      </c>
      <c r="G7184">
        <v>-204.61869999999999</v>
      </c>
      <c r="H7184">
        <v>1.0352589999999999</v>
      </c>
      <c r="I7184">
        <v>-57.292479999999998</v>
      </c>
      <c r="J7184">
        <v>-205.0367</v>
      </c>
      <c r="K7184">
        <v>1.1224620000000001</v>
      </c>
      <c r="L7184">
        <v>-58.108310000000003</v>
      </c>
      <c r="M7184">
        <v>0.85717659999999996</v>
      </c>
      <c r="N7184">
        <v>-1.587651E-2</v>
      </c>
      <c r="O7184">
        <v>0.51477790000000001</v>
      </c>
      <c r="P7184">
        <v>0.59017129999999995</v>
      </c>
      <c r="Q7184">
        <v>0.3829939</v>
      </c>
      <c r="R7184">
        <v>0.71064320000000003</v>
      </c>
      <c r="S7184">
        <v>1.7772829999999999</v>
      </c>
      <c r="T7184">
        <v>-0.27999039999999997</v>
      </c>
      <c r="U7184">
        <v>2.900055</v>
      </c>
      <c r="V7184">
        <v>-0.31696530000000001</v>
      </c>
      <c r="W7184">
        <v>0.38759349999999998</v>
      </c>
      <c r="X7184">
        <v>0.865623699999999</v>
      </c>
      <c r="Y7184">
        <v>-0.46125349999999998</v>
      </c>
      <c r="Z7184">
        <v>-1.3588950000000001E-2</v>
      </c>
      <c r="AA7184">
        <v>0.88716439999999996</v>
      </c>
      <c r="AB7184">
        <v>32</v>
      </c>
      <c r="AC7184">
        <v>0.41800000000000598</v>
      </c>
      <c r="AD7184">
        <v>-8.72030000000001E-2</v>
      </c>
      <c r="AE7184">
        <v>0.81582999999999095</v>
      </c>
      <c r="AF7184">
        <v>-0.47985178887351698</v>
      </c>
      <c r="AG7184">
        <v>-8.72030000000001E-2</v>
      </c>
      <c r="AH7184">
        <v>0.77138842895595305</v>
      </c>
      <c r="AI7184">
        <v>95.4830236982054</v>
      </c>
      <c r="AJ7184">
        <v>121.884192727601</v>
      </c>
      <c r="AK7184">
        <v>0.91263476310145497</v>
      </c>
      <c r="AL7184">
        <v>67.195158776111299</v>
      </c>
      <c r="AM7184">
        <v>110.111207361463</v>
      </c>
      <c r="AN7184">
        <v>1.0000000563240099</v>
      </c>
    </row>
    <row r="7185" spans="1:40" x14ac:dyDescent="0.25">
      <c r="A7185" t="str">
        <f>"20190304164302008"</f>
        <v>20190304164302008</v>
      </c>
      <c r="B7185" t="str">
        <f>"1551688981997856"</f>
        <v>1551688981997856</v>
      </c>
      <c r="C7185" t="s">
        <v>40</v>
      </c>
      <c r="D7185">
        <v>4.6661359999999998</v>
      </c>
      <c r="E7185">
        <v>0.4318227</v>
      </c>
      <c r="F7185" t="s">
        <v>41</v>
      </c>
      <c r="G7185">
        <v>-204.5616</v>
      </c>
      <c r="H7185">
        <v>1.0465180000000001</v>
      </c>
      <c r="I7185">
        <v>-57.322279999999999</v>
      </c>
      <c r="J7185">
        <v>-204.91069999999999</v>
      </c>
      <c r="K7185">
        <v>1.122514</v>
      </c>
      <c r="L7185">
        <v>-58.025910000000003</v>
      </c>
      <c r="M7185">
        <v>0.85365849999999899</v>
      </c>
      <c r="N7185">
        <v>-1.589376E-2</v>
      </c>
      <c r="O7185">
        <v>0.52059069999999996</v>
      </c>
      <c r="P7185">
        <v>0.58572819999999903</v>
      </c>
      <c r="Q7185">
        <v>0.38282260000000001</v>
      </c>
      <c r="R7185">
        <v>0.71440139999999996</v>
      </c>
      <c r="S7185">
        <v>1.760025</v>
      </c>
      <c r="T7185">
        <v>-0.28132049999999997</v>
      </c>
      <c r="U7185">
        <v>2.9114990000000001</v>
      </c>
      <c r="V7185">
        <v>-0.31657800000000003</v>
      </c>
      <c r="W7185">
        <v>0.38743129999999998</v>
      </c>
      <c r="X7185">
        <v>0.86583790000000005</v>
      </c>
      <c r="Y7185">
        <v>-0.4606307</v>
      </c>
      <c r="Z7185">
        <v>-1.419251E-2</v>
      </c>
      <c r="AA7185">
        <v>0.88747849999999995</v>
      </c>
      <c r="AB7185">
        <v>32</v>
      </c>
      <c r="AC7185">
        <v>0.34909999999999197</v>
      </c>
      <c r="AD7185">
        <v>-7.5995999999999897E-2</v>
      </c>
      <c r="AE7185">
        <v>0.70362999999998899</v>
      </c>
      <c r="AF7185">
        <v>-0.41508878519404802</v>
      </c>
      <c r="AG7185">
        <v>-7.5995999999999897E-2</v>
      </c>
      <c r="AH7185">
        <v>0.65823756498119501</v>
      </c>
      <c r="AI7185">
        <v>95.577689098490097</v>
      </c>
      <c r="AJ7185">
        <v>122.23579101159901</v>
      </c>
      <c r="AK7185">
        <v>0.78188923995809201</v>
      </c>
      <c r="AL7185">
        <v>67.205237416867803</v>
      </c>
      <c r="AM7185">
        <v>110.084027003892</v>
      </c>
      <c r="AN7185">
        <v>0.99999995569004896</v>
      </c>
    </row>
    <row r="7186" spans="1:40" x14ac:dyDescent="0.25">
      <c r="A7186" t="str">
        <f>"20190304164302020"</f>
        <v>20190304164302020</v>
      </c>
      <c r="B7186" t="str">
        <f>"1551688982008591"</f>
        <v>1551688982008591</v>
      </c>
      <c r="C7186" t="s">
        <v>40</v>
      </c>
      <c r="D7186">
        <v>4.6628509999999999</v>
      </c>
      <c r="E7186">
        <v>0.43228179999999999</v>
      </c>
      <c r="F7186" t="s">
        <v>41</v>
      </c>
      <c r="G7186">
        <v>-204.38319999999999</v>
      </c>
      <c r="H7186">
        <v>1.0364409999999999</v>
      </c>
      <c r="I7186">
        <v>-57.142209999999999</v>
      </c>
      <c r="J7186">
        <v>-204.76490000000001</v>
      </c>
      <c r="K7186">
        <v>1.1225620000000001</v>
      </c>
      <c r="L7186">
        <v>-57.929470000000002</v>
      </c>
      <c r="M7186">
        <v>0.84951889999999997</v>
      </c>
      <c r="N7186">
        <v>-1.5912809999999999E-2</v>
      </c>
      <c r="O7186">
        <v>0.52731819999999996</v>
      </c>
      <c r="P7186">
        <v>0.58066549999999995</v>
      </c>
      <c r="Q7186">
        <v>0.38273259999999998</v>
      </c>
      <c r="R7186">
        <v>0.71857040000000005</v>
      </c>
      <c r="S7186">
        <v>1.743927</v>
      </c>
      <c r="T7186">
        <v>-0.28459069999999997</v>
      </c>
      <c r="U7186">
        <v>2.9220280000000001</v>
      </c>
      <c r="V7186">
        <v>-0.3159169</v>
      </c>
      <c r="W7186">
        <v>0.38736009999999998</v>
      </c>
      <c r="X7186">
        <v>0.86611119999999997</v>
      </c>
      <c r="Y7186">
        <v>-0.45864389999999999</v>
      </c>
      <c r="Z7186">
        <v>-1.512645E-2</v>
      </c>
      <c r="AA7186">
        <v>0.88849140000000004</v>
      </c>
      <c r="AB7186">
        <v>32</v>
      </c>
      <c r="AC7186">
        <v>0.38170000000002302</v>
      </c>
      <c r="AD7186">
        <v>-8.61210000000001E-2</v>
      </c>
      <c r="AE7186">
        <v>0.78725999999999596</v>
      </c>
      <c r="AF7186">
        <v>-0.46308713413987002</v>
      </c>
      <c r="AG7186">
        <v>-8.61210000000001E-2</v>
      </c>
      <c r="AH7186">
        <v>0.732395172108954</v>
      </c>
      <c r="AI7186">
        <v>95.675845041212298</v>
      </c>
      <c r="AJ7186">
        <v>122.304813611561</v>
      </c>
      <c r="AK7186">
        <v>0.87078654593154003</v>
      </c>
      <c r="AL7186">
        <v>67.209662819738199</v>
      </c>
      <c r="AM7186">
        <v>110.03960694740201</v>
      </c>
      <c r="AN7186">
        <v>0.99999997277152897</v>
      </c>
    </row>
    <row r="7187" spans="1:40" x14ac:dyDescent="0.25">
      <c r="A7187" t="str">
        <f>"20190304164302039"</f>
        <v>20190304164302039</v>
      </c>
      <c r="B7187" t="str">
        <f>"1551688982028111"</f>
        <v>1551688982028111</v>
      </c>
      <c r="C7187" t="s">
        <v>40</v>
      </c>
      <c r="D7187">
        <v>4.6352129999999896</v>
      </c>
      <c r="E7187">
        <v>0.43320219999999998</v>
      </c>
      <c r="F7187" t="s">
        <v>41</v>
      </c>
      <c r="G7187">
        <v>-204.28210000000001</v>
      </c>
      <c r="H7187">
        <v>1.0422480000000001</v>
      </c>
      <c r="I7187">
        <v>-57.109430000000003</v>
      </c>
      <c r="J7187">
        <v>-204.5446</v>
      </c>
      <c r="K7187">
        <v>1.1226119999999999</v>
      </c>
      <c r="L7187">
        <v>-57.780029999999996</v>
      </c>
      <c r="M7187">
        <v>0.8430936</v>
      </c>
      <c r="N7187">
        <v>-1.5939149999999999E-2</v>
      </c>
      <c r="O7187">
        <v>0.53753070000000003</v>
      </c>
      <c r="P7187">
        <v>0.5733857</v>
      </c>
      <c r="Q7187">
        <v>0.38219619999999999</v>
      </c>
      <c r="R7187">
        <v>0.72467579999999998</v>
      </c>
      <c r="S7187">
        <v>1.7263949999999999</v>
      </c>
      <c r="T7187">
        <v>-0.28721740000000001</v>
      </c>
      <c r="U7187">
        <v>2.9328609999999999</v>
      </c>
      <c r="V7187">
        <v>-0.3144497</v>
      </c>
      <c r="W7187">
        <v>0.386876</v>
      </c>
      <c r="X7187">
        <v>0.866861199999999</v>
      </c>
      <c r="Y7187">
        <v>-0.45332630000000002</v>
      </c>
      <c r="Z7187">
        <v>-1.6471070000000001E-2</v>
      </c>
      <c r="AA7187">
        <v>0.89119249999999905</v>
      </c>
      <c r="AB7187">
        <v>32</v>
      </c>
      <c r="AC7187">
        <v>0.26249999999998802</v>
      </c>
      <c r="AD7187">
        <v>-8.0364000000000102E-2</v>
      </c>
      <c r="AE7187">
        <v>0.67059999999999997</v>
      </c>
      <c r="AF7187">
        <v>-0.419111351340413</v>
      </c>
      <c r="AG7187">
        <v>-8.0364000000000102E-2</v>
      </c>
      <c r="AH7187">
        <v>0.57469720542411595</v>
      </c>
      <c r="AI7187">
        <v>96.446153143550902</v>
      </c>
      <c r="AJ7187">
        <v>126.102274154539</v>
      </c>
      <c r="AK7187">
        <v>0.71581392501171404</v>
      </c>
      <c r="AL7187">
        <v>67.239745802243107</v>
      </c>
      <c r="AM7187">
        <v>109.93799460743401</v>
      </c>
      <c r="AN7187">
        <v>0.999999996635764</v>
      </c>
    </row>
    <row r="7188" spans="1:40" x14ac:dyDescent="0.25">
      <c r="A7188" t="str">
        <f>"20190304164302053"</f>
        <v>20190304164302053</v>
      </c>
      <c r="B7188" t="str">
        <f>"1551688982048606"</f>
        <v>1551688982048606</v>
      </c>
      <c r="C7188" t="s">
        <v>40</v>
      </c>
      <c r="D7188">
        <v>4.7027839999999896</v>
      </c>
      <c r="E7188">
        <v>0.43456139999999999</v>
      </c>
      <c r="F7188" t="s">
        <v>41</v>
      </c>
      <c r="G7188">
        <v>-204.0668</v>
      </c>
      <c r="H7188">
        <v>1.0399560000000001</v>
      </c>
      <c r="I7188">
        <v>-56.952289999999998</v>
      </c>
      <c r="J7188">
        <v>-204.3836</v>
      </c>
      <c r="K7188">
        <v>1.122647</v>
      </c>
      <c r="L7188">
        <v>-57.667999999999999</v>
      </c>
      <c r="M7188">
        <v>0.83826789999999995</v>
      </c>
      <c r="N7188">
        <v>-1.5956580000000001E-2</v>
      </c>
      <c r="O7188">
        <v>0.54502510000000004</v>
      </c>
      <c r="P7188">
        <v>0.56749700000000003</v>
      </c>
      <c r="Q7188">
        <v>0.38220969999999999</v>
      </c>
      <c r="R7188">
        <v>0.72928939999999998</v>
      </c>
      <c r="S7188">
        <v>1.7022710000000001</v>
      </c>
      <c r="T7188">
        <v>-0.29441919999999999</v>
      </c>
      <c r="U7188">
        <v>2.9481809999999999</v>
      </c>
      <c r="V7188">
        <v>-0.313753</v>
      </c>
      <c r="W7188">
        <v>0.38691429999999999</v>
      </c>
      <c r="X7188">
        <v>0.86709650000000005</v>
      </c>
      <c r="Y7188">
        <v>-0.45286080000000001</v>
      </c>
      <c r="Z7188">
        <v>-1.7823840000000001E-2</v>
      </c>
      <c r="AA7188">
        <v>0.891403099999999</v>
      </c>
      <c r="AB7188">
        <v>32</v>
      </c>
      <c r="AC7188">
        <v>0.31680000000000003</v>
      </c>
      <c r="AD7188">
        <v>-8.2691000000000001E-2</v>
      </c>
      <c r="AE7188">
        <v>0.71570999999999396</v>
      </c>
      <c r="AF7188">
        <v>-0.422629821763012</v>
      </c>
      <c r="AG7188">
        <v>-8.2691000000000001E-2</v>
      </c>
      <c r="AH7188">
        <v>0.64848830547887004</v>
      </c>
      <c r="AI7188">
        <v>96.097727083013496</v>
      </c>
      <c r="AJ7188">
        <v>123.092907073942</v>
      </c>
      <c r="AK7188">
        <v>0.77845414127441903</v>
      </c>
      <c r="AL7188">
        <v>67.237365657876097</v>
      </c>
      <c r="AM7188">
        <v>109.892314135764</v>
      </c>
      <c r="AN7188">
        <v>0.99999998043286897</v>
      </c>
    </row>
    <row r="7189" spans="1:40" x14ac:dyDescent="0.25">
      <c r="A7189" t="str">
        <f>"20190304164302068"</f>
        <v>20190304164302068</v>
      </c>
      <c r="B7189" t="str">
        <f>"1551688982058368"</f>
        <v>1551688982058368</v>
      </c>
      <c r="C7189" t="s">
        <v>40</v>
      </c>
      <c r="D7189">
        <v>4.6916349999999998</v>
      </c>
      <c r="E7189">
        <v>0.4352279</v>
      </c>
      <c r="F7189" t="s">
        <v>41</v>
      </c>
      <c r="G7189">
        <v>-203.91120000000001</v>
      </c>
      <c r="H7189">
        <v>1.0386599999999999</v>
      </c>
      <c r="I7189">
        <v>-56.840310000000002</v>
      </c>
      <c r="J7189">
        <v>-204.21870000000001</v>
      </c>
      <c r="K7189">
        <v>1.122684</v>
      </c>
      <c r="L7189">
        <v>-57.551389999999998</v>
      </c>
      <c r="M7189">
        <v>0.83322389999999902</v>
      </c>
      <c r="N7189">
        <v>-1.597316E-2</v>
      </c>
      <c r="O7189">
        <v>0.55270489999999906</v>
      </c>
      <c r="P7189">
        <v>0.56154859999999995</v>
      </c>
      <c r="Q7189">
        <v>0.38221850000000002</v>
      </c>
      <c r="R7189">
        <v>0.7338749</v>
      </c>
      <c r="S7189">
        <v>1.6876529999999901</v>
      </c>
      <c r="T7189">
        <v>-0.30009599999999997</v>
      </c>
      <c r="U7189">
        <v>2.9576419999999999</v>
      </c>
      <c r="V7189">
        <v>-0.3128417</v>
      </c>
      <c r="W7189">
        <v>0.386957</v>
      </c>
      <c r="X7189">
        <v>0.86740669999999898</v>
      </c>
      <c r="Y7189">
        <v>-0.44923669999999999</v>
      </c>
      <c r="Z7189">
        <v>-1.9237629999999999E-2</v>
      </c>
      <c r="AA7189">
        <v>0.89320560000000004</v>
      </c>
      <c r="AB7189">
        <v>32</v>
      </c>
      <c r="AC7189">
        <v>0.30750000000000399</v>
      </c>
      <c r="AD7189">
        <v>-8.4023999999999793E-2</v>
      </c>
      <c r="AE7189">
        <v>0.71108000000000904</v>
      </c>
      <c r="AF7189">
        <v>-0.417672948068531</v>
      </c>
      <c r="AG7189">
        <v>-8.4023999999999793E-2</v>
      </c>
      <c r="AH7189">
        <v>0.64176752007151405</v>
      </c>
      <c r="AI7189">
        <v>96.262184938908604</v>
      </c>
      <c r="AJ7189">
        <v>123.056746024869</v>
      </c>
      <c r="AK7189">
        <v>0.77030920671052605</v>
      </c>
      <c r="AL7189">
        <v>67.234713320836093</v>
      </c>
      <c r="AM7189">
        <v>109.832509590553</v>
      </c>
      <c r="AN7189">
        <v>1.00000001615638</v>
      </c>
    </row>
    <row r="7190" spans="1:40" x14ac:dyDescent="0.25">
      <c r="A7190" t="str">
        <f>"20190304164302084"</f>
        <v>20190304164302084</v>
      </c>
      <c r="B7190" t="str">
        <f>"1551688982077887"</f>
        <v>1551688982077887</v>
      </c>
      <c r="C7190" t="s">
        <v>40</v>
      </c>
      <c r="D7190">
        <v>4.696612</v>
      </c>
      <c r="E7190">
        <v>0.45036179999999898</v>
      </c>
      <c r="F7190" t="s">
        <v>41</v>
      </c>
      <c r="G7190">
        <v>-203.7132</v>
      </c>
      <c r="H7190">
        <v>1.0309839999999999</v>
      </c>
      <c r="I7190">
        <v>-56.651609999999998</v>
      </c>
      <c r="J7190">
        <v>-204.03270000000001</v>
      </c>
      <c r="K7190">
        <v>1.1227259999999999</v>
      </c>
      <c r="L7190">
        <v>-57.41733</v>
      </c>
      <c r="M7190">
        <v>0.82740599999999997</v>
      </c>
      <c r="N7190">
        <v>-1.5990259999999999E-2</v>
      </c>
      <c r="O7190">
        <v>0.5613766</v>
      </c>
      <c r="P7190">
        <v>0.55466539999999998</v>
      </c>
      <c r="Q7190">
        <v>0.38238470000000002</v>
      </c>
      <c r="R7190">
        <v>0.73900489999999996</v>
      </c>
      <c r="S7190">
        <v>1.6678310000000001</v>
      </c>
      <c r="T7190">
        <v>-0.30258869999999999</v>
      </c>
      <c r="U7190">
        <v>2.9692989999999999</v>
      </c>
      <c r="V7190">
        <v>-0.31183139999999998</v>
      </c>
      <c r="W7190">
        <v>0.3871619</v>
      </c>
      <c r="X7190">
        <v>0.86767909999999904</v>
      </c>
      <c r="Y7190">
        <v>-0.44596069999999999</v>
      </c>
      <c r="Z7190">
        <v>-2.042124E-2</v>
      </c>
      <c r="AA7190">
        <v>0.89481959999999905</v>
      </c>
      <c r="AB7190">
        <v>32</v>
      </c>
      <c r="AC7190">
        <v>0.319500000000005</v>
      </c>
      <c r="AD7190">
        <v>-9.1742000000000004E-2</v>
      </c>
      <c r="AE7190">
        <v>0.76572000000000795</v>
      </c>
      <c r="AF7190">
        <v>-0.44877278393836101</v>
      </c>
      <c r="AG7190">
        <v>-9.1742000000000004E-2</v>
      </c>
      <c r="AH7190">
        <v>0.68591611696302501</v>
      </c>
      <c r="AI7190">
        <v>96.386191722100705</v>
      </c>
      <c r="AJ7190">
        <v>123.195429264232</v>
      </c>
      <c r="AK7190">
        <v>0.82479968821370298</v>
      </c>
      <c r="AL7190">
        <v>67.221982760896495</v>
      </c>
      <c r="AM7190">
        <v>109.76770806698499</v>
      </c>
      <c r="AN7190">
        <v>1.0000000897071799</v>
      </c>
    </row>
    <row r="7191" spans="1:40" x14ac:dyDescent="0.25">
      <c r="A7191" t="str">
        <f>"20190304164302096"</f>
        <v>20190304164302096</v>
      </c>
      <c r="B7191" t="str">
        <f>"1551688982088623"</f>
        <v>1551688982088623</v>
      </c>
      <c r="C7191" t="s">
        <v>40</v>
      </c>
      <c r="D7191">
        <v>4.6706260000000004</v>
      </c>
      <c r="E7191">
        <v>0.45102619999999999</v>
      </c>
      <c r="F7191" t="s">
        <v>41</v>
      </c>
      <c r="G7191">
        <v>-203.48169999999999</v>
      </c>
      <c r="H7191">
        <v>1.008378</v>
      </c>
      <c r="I7191">
        <v>-56.495289999999997</v>
      </c>
      <c r="J7191">
        <v>-203.8844</v>
      </c>
      <c r="K7191">
        <v>1.122754</v>
      </c>
      <c r="L7191">
        <v>-57.3078</v>
      </c>
      <c r="M7191">
        <v>0.82265569999999899</v>
      </c>
      <c r="N7191">
        <v>-1.600244E-2</v>
      </c>
      <c r="O7191">
        <v>0.5683146</v>
      </c>
      <c r="P7191">
        <v>0.54864669999999904</v>
      </c>
      <c r="Q7191">
        <v>0.38303769999999998</v>
      </c>
      <c r="R7191">
        <v>0.74314799999999903</v>
      </c>
      <c r="S7191">
        <v>1.7522580000000001</v>
      </c>
      <c r="T7191">
        <v>-0.36366959999999998</v>
      </c>
      <c r="U7191">
        <v>2.9325260000000002</v>
      </c>
      <c r="V7191">
        <v>-0.3113283</v>
      </c>
      <c r="W7191">
        <v>0.38783400000000001</v>
      </c>
      <c r="X7191">
        <v>0.86755949999999904</v>
      </c>
      <c r="Y7191">
        <v>-0.41427910000000001</v>
      </c>
      <c r="Z7191">
        <v>-2.9429859999999999E-2</v>
      </c>
      <c r="AA7191">
        <v>0.90967390000000004</v>
      </c>
      <c r="AB7191">
        <v>32</v>
      </c>
      <c r="AC7191">
        <v>0.40270000000000999</v>
      </c>
      <c r="AD7191">
        <v>-0.11437600000000001</v>
      </c>
      <c r="AE7191">
        <v>0.81250999999999596</v>
      </c>
      <c r="AF7191">
        <v>-0.43272810749687601</v>
      </c>
      <c r="AG7191">
        <v>-0.11437600000000001</v>
      </c>
      <c r="AH7191">
        <v>0.78072644098450406</v>
      </c>
      <c r="AI7191">
        <v>97.3017383104918</v>
      </c>
      <c r="AJ7191">
        <v>118.997999995302</v>
      </c>
      <c r="AK7191">
        <v>0.89992736376118598</v>
      </c>
      <c r="AL7191">
        <v>67.180208571355493</v>
      </c>
      <c r="AM7191">
        <v>109.740792058918</v>
      </c>
      <c r="AN7191">
        <v>1.0000000039885699</v>
      </c>
    </row>
    <row r="7192" spans="1:40" x14ac:dyDescent="0.25">
      <c r="A7192" t="str">
        <f>"20190304164302108"</f>
        <v>20190304164302108</v>
      </c>
      <c r="B7192" t="str">
        <f>"1551688982098384"</f>
        <v>1551688982098384</v>
      </c>
      <c r="C7192" t="s">
        <v>40</v>
      </c>
      <c r="D7192">
        <v>4.6786669999999999</v>
      </c>
      <c r="E7192">
        <v>0.45118340000000001</v>
      </c>
      <c r="F7192" t="s">
        <v>57</v>
      </c>
      <c r="G7192">
        <v>-198.5599</v>
      </c>
      <c r="H7192" s="1">
        <v>-3.9160679999999996E-6</v>
      </c>
      <c r="I7192">
        <v>-48.261069999999997</v>
      </c>
      <c r="J7192">
        <v>-203.7577</v>
      </c>
      <c r="K7192">
        <v>1.1227739999999999</v>
      </c>
      <c r="L7192">
        <v>-57.212800000000001</v>
      </c>
      <c r="M7192">
        <v>0.81852939999999996</v>
      </c>
      <c r="N7192">
        <v>-1.6011839999999999E-2</v>
      </c>
      <c r="O7192">
        <v>0.57424149999999996</v>
      </c>
      <c r="P7192">
        <v>0.54354969999999903</v>
      </c>
      <c r="Q7192">
        <v>0.38346350000000001</v>
      </c>
      <c r="R7192">
        <v>0.74666549999999998</v>
      </c>
      <c r="S7192">
        <v>1.7335509999999901</v>
      </c>
      <c r="T7192">
        <v>-0.36555140000000003</v>
      </c>
      <c r="U7192">
        <v>2.945465</v>
      </c>
      <c r="V7192">
        <v>-0.31083179999999999</v>
      </c>
      <c r="W7192">
        <v>0.38828049999999997</v>
      </c>
      <c r="X7192">
        <v>0.86753789999999997</v>
      </c>
      <c r="Y7192">
        <v>-0.41376689999999999</v>
      </c>
      <c r="Z7192">
        <v>-3.0292010000000001E-2</v>
      </c>
      <c r="AA7192">
        <v>0.90987879999999999</v>
      </c>
      <c r="AB7192">
        <v>32</v>
      </c>
      <c r="AC7192">
        <v>5.1978</v>
      </c>
      <c r="AD7192">
        <v>-1.122777916068</v>
      </c>
      <c r="AE7192">
        <v>8.9517299999999906</v>
      </c>
      <c r="AF7192">
        <v>-4.29251675639187</v>
      </c>
      <c r="AG7192">
        <v>-1.122777916068</v>
      </c>
      <c r="AH7192">
        <v>9.2869500082394598</v>
      </c>
      <c r="AI7192">
        <v>96.262740618641899</v>
      </c>
      <c r="AJ7192">
        <v>114.806829563031</v>
      </c>
      <c r="AK7192">
        <v>10.2924132645485</v>
      </c>
      <c r="AL7192">
        <v>67.152452638432806</v>
      </c>
      <c r="AM7192">
        <v>109.712190521594</v>
      </c>
      <c r="AN7192">
        <v>1.00000008125394</v>
      </c>
    </row>
    <row r="7193" spans="1:40" x14ac:dyDescent="0.25">
      <c r="A7193" t="str">
        <f>"20190304164302119"</f>
        <v>20190304164302119</v>
      </c>
      <c r="B7193" t="str">
        <f>"1551688982108143"</f>
        <v>1551688982108143</v>
      </c>
      <c r="C7193" t="s">
        <v>40</v>
      </c>
      <c r="D7193">
        <v>4.6896990000000001</v>
      </c>
      <c r="E7193">
        <v>0.4513934</v>
      </c>
      <c r="F7193" t="s">
        <v>41</v>
      </c>
      <c r="G7193">
        <v>-203.2268</v>
      </c>
      <c r="H7193">
        <v>1.0106440000000001</v>
      </c>
      <c r="I7193">
        <v>-56.296439999999997</v>
      </c>
      <c r="J7193">
        <v>-203.62819999999999</v>
      </c>
      <c r="K7193">
        <v>1.122789</v>
      </c>
      <c r="L7193">
        <v>-57.114620000000002</v>
      </c>
      <c r="M7193">
        <v>0.81425040000000004</v>
      </c>
      <c r="N7193">
        <v>-1.6020759999999998E-2</v>
      </c>
      <c r="O7193">
        <v>0.58029280000000005</v>
      </c>
      <c r="P7193">
        <v>0.53797550000000005</v>
      </c>
      <c r="Q7193">
        <v>0.38408880000000001</v>
      </c>
      <c r="R7193">
        <v>0.75037209999999999</v>
      </c>
      <c r="S7193">
        <v>1.712723</v>
      </c>
      <c r="T7193">
        <v>-0.36179440000000002</v>
      </c>
      <c r="U7193">
        <v>2.9568479999999999</v>
      </c>
      <c r="V7193">
        <v>-0.31062020000000001</v>
      </c>
      <c r="W7193">
        <v>0.38891579999999998</v>
      </c>
      <c r="X7193">
        <v>0.86732900000000002</v>
      </c>
      <c r="Y7193">
        <v>-0.41335630000000001</v>
      </c>
      <c r="Z7193">
        <v>-3.0538470000000002E-2</v>
      </c>
      <c r="AA7193">
        <v>0.91005709999999995</v>
      </c>
      <c r="AB7193">
        <v>32</v>
      </c>
      <c r="AC7193">
        <v>0.40139999999999498</v>
      </c>
      <c r="AD7193">
        <v>-0.112144999999999</v>
      </c>
      <c r="AE7193">
        <v>0.81817999999999003</v>
      </c>
      <c r="AF7193">
        <v>-0.42686561760539898</v>
      </c>
      <c r="AG7193">
        <v>-0.112144999999999</v>
      </c>
      <c r="AH7193">
        <v>0.78976782359869502</v>
      </c>
      <c r="AI7193">
        <v>97.120415068792994</v>
      </c>
      <c r="AJ7193">
        <v>118.39100334806901</v>
      </c>
      <c r="AK7193">
        <v>0.90472314644340701</v>
      </c>
      <c r="AL7193">
        <v>67.112945908559894</v>
      </c>
      <c r="AM7193">
        <v>109.704183996171</v>
      </c>
      <c r="AN7193">
        <v>1.00000000118934</v>
      </c>
    </row>
    <row r="7194" spans="1:40" x14ac:dyDescent="0.25">
      <c r="A7194" t="str">
        <f>"20190304164302132"</f>
        <v>20190304164302132</v>
      </c>
      <c r="B7194" t="str">
        <f>"1551688982128639"</f>
        <v>1551688982128639</v>
      </c>
      <c r="C7194" t="s">
        <v>40</v>
      </c>
      <c r="D7194">
        <v>4.6770420000000001</v>
      </c>
      <c r="E7194">
        <v>0.45222879999999899</v>
      </c>
      <c r="F7194" t="s">
        <v>57</v>
      </c>
      <c r="G7194">
        <v>-198.36439999999999</v>
      </c>
      <c r="H7194" s="1">
        <v>-4.0750120000000003E-6</v>
      </c>
      <c r="I7194">
        <v>-47.876049999999999</v>
      </c>
      <c r="J7194">
        <v>-203.49510000000001</v>
      </c>
      <c r="K7194">
        <v>1.122792</v>
      </c>
      <c r="L7194">
        <v>-57.01144</v>
      </c>
      <c r="M7194">
        <v>0.80977559999999904</v>
      </c>
      <c r="N7194">
        <v>-1.6028230000000001E-2</v>
      </c>
      <c r="O7194">
        <v>0.58652090000000001</v>
      </c>
      <c r="P7194">
        <v>0.53211730000000002</v>
      </c>
      <c r="Q7194">
        <v>0.38435999999999998</v>
      </c>
      <c r="R7194">
        <v>0.7543995</v>
      </c>
      <c r="S7194">
        <v>1.6920010000000001</v>
      </c>
      <c r="T7194">
        <v>-0.36091289999999998</v>
      </c>
      <c r="U7194">
        <v>2.9696660000000001</v>
      </c>
      <c r="V7194">
        <v>-0.31061080000000002</v>
      </c>
      <c r="W7194">
        <v>0.38919740000000003</v>
      </c>
      <c r="X7194">
        <v>0.86720599999999903</v>
      </c>
      <c r="Y7194">
        <v>-0.41287800000000002</v>
      </c>
      <c r="Z7194">
        <v>-3.1119270000000001E-2</v>
      </c>
      <c r="AA7194">
        <v>0.91025449999999997</v>
      </c>
      <c r="AB7194">
        <v>32</v>
      </c>
      <c r="AC7194">
        <v>5.1307000000000098</v>
      </c>
      <c r="AD7194">
        <v>-1.1227960750120001</v>
      </c>
      <c r="AE7194">
        <v>9.1353899999999992</v>
      </c>
      <c r="AF7194">
        <v>-4.3390878529978698</v>
      </c>
      <c r="AG7194">
        <v>-1.1227960750120001</v>
      </c>
      <c r="AH7194">
        <v>9.4060184619189293</v>
      </c>
      <c r="AI7194">
        <v>96.186281354264494</v>
      </c>
      <c r="AJ7194">
        <v>114.76433578458899</v>
      </c>
      <c r="AK7194">
        <v>10.4192868147515</v>
      </c>
      <c r="AL7194">
        <v>67.095430670521594</v>
      </c>
      <c r="AM7194">
        <v>109.706213057806</v>
      </c>
      <c r="AN7194">
        <v>0.99999996583969897</v>
      </c>
    </row>
    <row r="7195" spans="1:40" x14ac:dyDescent="0.25">
      <c r="A7195" t="str">
        <f>"20190304164302145"</f>
        <v>20190304164302145</v>
      </c>
      <c r="B7195" t="str">
        <f>"1551688982138399"</f>
        <v>1551688982138399</v>
      </c>
      <c r="C7195" t="s">
        <v>40</v>
      </c>
      <c r="D7195">
        <v>4.6865319999999997</v>
      </c>
      <c r="E7195">
        <v>0.45280310000000001</v>
      </c>
      <c r="F7195" t="s">
        <v>57</v>
      </c>
      <c r="G7195">
        <v>-198.31639999999999</v>
      </c>
      <c r="H7195" s="1">
        <v>-4.1074400000000001E-6</v>
      </c>
      <c r="I7195">
        <v>-47.794620000000002</v>
      </c>
      <c r="J7195">
        <v>-203.3493</v>
      </c>
      <c r="K7195">
        <v>1.1227860000000001</v>
      </c>
      <c r="L7195">
        <v>-56.897060000000003</v>
      </c>
      <c r="M7195">
        <v>0.80480050000000003</v>
      </c>
      <c r="N7195">
        <v>-1.6035250000000001E-2</v>
      </c>
      <c r="O7195">
        <v>0.59332879999999999</v>
      </c>
      <c r="P7195">
        <v>0.52538999999999902</v>
      </c>
      <c r="Q7195">
        <v>0.38453470000000001</v>
      </c>
      <c r="R7195">
        <v>0.75901149999999995</v>
      </c>
      <c r="S7195">
        <v>1.674652</v>
      </c>
      <c r="T7195">
        <v>-0.36307820000000002</v>
      </c>
      <c r="U7195">
        <v>2.9804379999999999</v>
      </c>
      <c r="V7195">
        <v>-0.31093100000000001</v>
      </c>
      <c r="W7195">
        <v>0.38937569999999999</v>
      </c>
      <c r="X7195">
        <v>0.86701119999999898</v>
      </c>
      <c r="Y7195">
        <v>-0.410661</v>
      </c>
      <c r="Z7195">
        <v>-3.2228159999999999E-2</v>
      </c>
      <c r="AA7195">
        <v>0.91121830000000004</v>
      </c>
      <c r="AB7195">
        <v>32</v>
      </c>
      <c r="AC7195">
        <v>5.0329000000000104</v>
      </c>
      <c r="AD7195">
        <v>-1.12279010744</v>
      </c>
      <c r="AE7195">
        <v>9.1024399999999908</v>
      </c>
      <c r="AF7195">
        <v>-4.2900503627734201</v>
      </c>
      <c r="AG7195">
        <v>-1.12279010744</v>
      </c>
      <c r="AH7195">
        <v>9.3435563283209095</v>
      </c>
      <c r="AI7195">
        <v>96.232360925815996</v>
      </c>
      <c r="AJ7195">
        <v>114.66200087678401</v>
      </c>
      <c r="AK7195">
        <v>10.3424965361852</v>
      </c>
      <c r="AL7195">
        <v>67.084340103253794</v>
      </c>
      <c r="AM7195">
        <v>109.72905060372101</v>
      </c>
      <c r="AN7195">
        <v>0.999999971718464</v>
      </c>
    </row>
    <row r="7196" spans="1:40" x14ac:dyDescent="0.25">
      <c r="A7196" t="str">
        <f>"20190304164302162"</f>
        <v>20190304164302162</v>
      </c>
      <c r="B7196" t="str">
        <f>"1551688982157920"</f>
        <v>1551688982157920</v>
      </c>
      <c r="C7196" t="s">
        <v>40</v>
      </c>
      <c r="D7196">
        <v>4.6687190000000003</v>
      </c>
      <c r="E7196">
        <v>0.45345479999999999</v>
      </c>
      <c r="F7196" t="s">
        <v>41</v>
      </c>
      <c r="G7196">
        <v>-202.83920000000001</v>
      </c>
      <c r="H7196">
        <v>1.00986</v>
      </c>
      <c r="I7196">
        <v>-55.973030000000001</v>
      </c>
      <c r="J7196">
        <v>-203.1652</v>
      </c>
      <c r="K7196">
        <v>1.1227560000000001</v>
      </c>
      <c r="L7196">
        <v>-56.749879999999997</v>
      </c>
      <c r="M7196">
        <v>0.79841130000000005</v>
      </c>
      <c r="N7196">
        <v>-1.604092E-2</v>
      </c>
      <c r="O7196">
        <v>0.60189869999999901</v>
      </c>
      <c r="P7196">
        <v>0.51653760000000004</v>
      </c>
      <c r="Q7196">
        <v>0.38336730000000002</v>
      </c>
      <c r="R7196">
        <v>0.76564900000000002</v>
      </c>
      <c r="S7196">
        <v>1.6528929999999999</v>
      </c>
      <c r="T7196">
        <v>-0.3658843</v>
      </c>
      <c r="U7196">
        <v>2.993744</v>
      </c>
      <c r="V7196">
        <v>-0.31214170000000002</v>
      </c>
      <c r="W7196">
        <v>0.38820090000000002</v>
      </c>
      <c r="X7196">
        <v>0.86710299999999996</v>
      </c>
      <c r="Y7196">
        <v>-0.40774329999999998</v>
      </c>
      <c r="Z7196">
        <v>-3.3659389999999997E-2</v>
      </c>
      <c r="AA7196">
        <v>0.91247599999999995</v>
      </c>
      <c r="AB7196">
        <v>32</v>
      </c>
      <c r="AC7196">
        <v>0.32599999999999302</v>
      </c>
      <c r="AD7196">
        <v>-0.112895999999999</v>
      </c>
      <c r="AE7196">
        <v>0.77685000000000304</v>
      </c>
      <c r="AF7196">
        <v>-0.41660044273366498</v>
      </c>
      <c r="AG7196">
        <v>-0.112895999999999</v>
      </c>
      <c r="AH7196">
        <v>0.71511923610325401</v>
      </c>
      <c r="AI7196">
        <v>97.767817250256002</v>
      </c>
      <c r="AJ7196">
        <v>120.22340139647901</v>
      </c>
      <c r="AK7196">
        <v>0.83528256150047098</v>
      </c>
      <c r="AL7196">
        <v>67.157399532869306</v>
      </c>
      <c r="AM7196">
        <v>109.7979766787</v>
      </c>
      <c r="AN7196">
        <v>0.99999999612434998</v>
      </c>
    </row>
    <row r="7197" spans="1:40" x14ac:dyDescent="0.25">
      <c r="A7197" t="str">
        <f>"20190304164302174"</f>
        <v>20190304164302174</v>
      </c>
      <c r="B7197" t="str">
        <f>"1551688982168656"</f>
        <v>1551688982168656</v>
      </c>
      <c r="C7197" t="s">
        <v>40</v>
      </c>
      <c r="D7197">
        <v>4.6810559999999999</v>
      </c>
      <c r="E7197">
        <v>0.46102660000000001</v>
      </c>
      <c r="F7197" t="s">
        <v>41</v>
      </c>
      <c r="G7197">
        <v>-202.64439999999999</v>
      </c>
      <c r="H7197">
        <v>1.003253</v>
      </c>
      <c r="I7197">
        <v>-55.783499999999997</v>
      </c>
      <c r="J7197">
        <v>-203.02699999999999</v>
      </c>
      <c r="K7197">
        <v>1.1227229999999999</v>
      </c>
      <c r="L7197">
        <v>-56.636539999999997</v>
      </c>
      <c r="M7197">
        <v>0.79353260000000003</v>
      </c>
      <c r="N7197">
        <v>-1.6041E-2</v>
      </c>
      <c r="O7197">
        <v>0.60831639999999998</v>
      </c>
      <c r="P7197">
        <v>0.51024840000000005</v>
      </c>
      <c r="Q7197">
        <v>0.38250109999999998</v>
      </c>
      <c r="R7197">
        <v>0.77028540000000001</v>
      </c>
      <c r="S7197">
        <v>1.6221620000000001</v>
      </c>
      <c r="T7197">
        <v>-0.37223519999999999</v>
      </c>
      <c r="U7197">
        <v>3.0102540000000002</v>
      </c>
      <c r="V7197">
        <v>-0.31253500000000001</v>
      </c>
      <c r="W7197">
        <v>0.38735399999999998</v>
      </c>
      <c r="X7197">
        <v>0.86734009999999995</v>
      </c>
      <c r="Y7197">
        <v>-0.40970250000000002</v>
      </c>
      <c r="Z7197">
        <v>-3.5066930000000003E-2</v>
      </c>
      <c r="AA7197">
        <v>0.91154489999999999</v>
      </c>
      <c r="AB7197">
        <v>32</v>
      </c>
      <c r="AC7197">
        <v>0.38260000000002398</v>
      </c>
      <c r="AD7197">
        <v>-0.11946999999999899</v>
      </c>
      <c r="AE7197">
        <v>0.85304000000000701</v>
      </c>
      <c r="AF7197">
        <v>-0.437092754350701</v>
      </c>
      <c r="AG7197">
        <v>-0.11946999999999899</v>
      </c>
      <c r="AH7197">
        <v>0.80941217387411502</v>
      </c>
      <c r="AI7197">
        <v>97.399823054409296</v>
      </c>
      <c r="AJ7197">
        <v>118.369604236397</v>
      </c>
      <c r="AK7197">
        <v>0.92761588172125597</v>
      </c>
      <c r="AL7197">
        <v>67.210043738797395</v>
      </c>
      <c r="AM7197">
        <v>109.815983703353</v>
      </c>
      <c r="AN7197">
        <v>1.0000000483045</v>
      </c>
    </row>
    <row r="7198" spans="1:40" x14ac:dyDescent="0.25">
      <c r="A7198" t="str">
        <f>"20190304164302187"</f>
        <v>20190304164302187</v>
      </c>
      <c r="B7198" t="str">
        <f>"1551688982178416"</f>
        <v>1551688982178416</v>
      </c>
      <c r="C7198" t="s">
        <v>40</v>
      </c>
      <c r="D7198">
        <v>4.6658220000000004</v>
      </c>
      <c r="E7198">
        <v>0.46184120000000001</v>
      </c>
      <c r="F7198" t="s">
        <v>57</v>
      </c>
      <c r="G7198">
        <v>-198.3665</v>
      </c>
      <c r="H7198" s="1">
        <v>-3.9225750000000003E-6</v>
      </c>
      <c r="I7198">
        <v>-48.179729999999999</v>
      </c>
      <c r="J7198">
        <v>-202.89930000000001</v>
      </c>
      <c r="K7198">
        <v>1.1226849999999999</v>
      </c>
      <c r="L7198">
        <v>-56.530700000000003</v>
      </c>
      <c r="M7198">
        <v>0.78897059999999997</v>
      </c>
      <c r="N7198">
        <v>-1.6039810000000002E-2</v>
      </c>
      <c r="O7198">
        <v>0.61422149999999998</v>
      </c>
      <c r="P7198">
        <v>0.50432969999999999</v>
      </c>
      <c r="Q7198">
        <v>0.3818336</v>
      </c>
      <c r="R7198">
        <v>0.77450289999999999</v>
      </c>
      <c r="S7198">
        <v>1.6521300000000001</v>
      </c>
      <c r="T7198">
        <v>-0.3980052</v>
      </c>
      <c r="U7198">
        <v>2.997925</v>
      </c>
      <c r="V7198">
        <v>-0.31291269999999999</v>
      </c>
      <c r="W7198">
        <v>0.38670549999999998</v>
      </c>
      <c r="X7198">
        <v>0.86749330000000002</v>
      </c>
      <c r="Y7198">
        <v>-0.3943778</v>
      </c>
      <c r="Z7198">
        <v>-3.990672E-2</v>
      </c>
      <c r="AA7198">
        <v>0.91808149999999999</v>
      </c>
      <c r="AB7198">
        <v>32</v>
      </c>
      <c r="AC7198">
        <v>4.5327999999999999</v>
      </c>
      <c r="AD7198">
        <v>-1.1226889225750001</v>
      </c>
      <c r="AE7198">
        <v>8.3509700000000002</v>
      </c>
      <c r="AF7198">
        <v>-3.7526273756970601</v>
      </c>
      <c r="AG7198">
        <v>-1.1226889225750001</v>
      </c>
      <c r="AH7198">
        <v>8.5868344563750796</v>
      </c>
      <c r="AI7198">
        <v>96.831725135306201</v>
      </c>
      <c r="AJ7198">
        <v>113.60634035753399</v>
      </c>
      <c r="AK7198">
        <v>9.4380277928650909</v>
      </c>
      <c r="AL7198">
        <v>67.250340854508295</v>
      </c>
      <c r="AM7198">
        <v>109.834833717339</v>
      </c>
      <c r="AN7198">
        <v>1.00000006354821</v>
      </c>
    </row>
    <row r="7199" spans="1:40" x14ac:dyDescent="0.25">
      <c r="A7199" t="str">
        <f>"20190304164302197"</f>
        <v>20190304164302197</v>
      </c>
      <c r="B7199" t="str">
        <f>"1551688982188175"</f>
        <v>1551688982188175</v>
      </c>
      <c r="C7199" t="s">
        <v>40</v>
      </c>
      <c r="D7199">
        <v>4.5852380000000004</v>
      </c>
      <c r="E7199">
        <v>0.46240730000000002</v>
      </c>
      <c r="F7199" t="s">
        <v>57</v>
      </c>
      <c r="G7199">
        <v>-198.34520000000001</v>
      </c>
      <c r="H7199" s="1">
        <v>-3.9327280000000004E-6</v>
      </c>
      <c r="I7199">
        <v>-48.151989999999998</v>
      </c>
      <c r="J7199">
        <v>-202.77189999999999</v>
      </c>
      <c r="K7199">
        <v>1.122636</v>
      </c>
      <c r="L7199">
        <v>-56.423609999999996</v>
      </c>
      <c r="M7199">
        <v>0.78436930000000005</v>
      </c>
      <c r="N7199">
        <v>-1.6036720000000001E-2</v>
      </c>
      <c r="O7199">
        <v>0.62008680000000005</v>
      </c>
      <c r="P7199">
        <v>0.49794749999999999</v>
      </c>
      <c r="Q7199">
        <v>0.38149430000000001</v>
      </c>
      <c r="R7199">
        <v>0.77878789999999998</v>
      </c>
      <c r="S7199">
        <v>1.6347659999999999</v>
      </c>
      <c r="T7199">
        <v>-0.40300570000000002</v>
      </c>
      <c r="U7199">
        <v>3.00766</v>
      </c>
      <c r="V7199">
        <v>-0.31365470000000001</v>
      </c>
      <c r="W7199">
        <v>0.38637480000000002</v>
      </c>
      <c r="X7199">
        <v>0.86737260000000005</v>
      </c>
      <c r="Y7199">
        <v>-0.39290069999999999</v>
      </c>
      <c r="Z7199">
        <v>-4.1364110000000003E-2</v>
      </c>
      <c r="AA7199">
        <v>0.91865010000000002</v>
      </c>
      <c r="AB7199">
        <v>32</v>
      </c>
      <c r="AC7199">
        <v>4.4266999999999799</v>
      </c>
      <c r="AD7199">
        <v>-1.1226399327279999</v>
      </c>
      <c r="AE7199">
        <v>8.2716199999999898</v>
      </c>
      <c r="AF7199">
        <v>-3.69069961541754</v>
      </c>
      <c r="AG7199">
        <v>-1.1226399327279999</v>
      </c>
      <c r="AH7199">
        <v>8.4809546123760295</v>
      </c>
      <c r="AI7199">
        <v>96.920529515955096</v>
      </c>
      <c r="AJ7199">
        <v>113.51747211583699</v>
      </c>
      <c r="AK7199">
        <v>9.3170904904364296</v>
      </c>
      <c r="AL7199">
        <v>67.270883729971203</v>
      </c>
      <c r="AM7199">
        <v>109.880736305512</v>
      </c>
      <c r="AN7199">
        <v>0.99999999206894497</v>
      </c>
    </row>
    <row r="7200" spans="1:40" x14ac:dyDescent="0.25">
      <c r="A7200" t="str">
        <f>"20190304164302211"</f>
        <v>20190304164302211</v>
      </c>
      <c r="B7200" t="str">
        <f>"1551688982208336"</f>
        <v>1551688982208336</v>
      </c>
      <c r="C7200" t="s">
        <v>40</v>
      </c>
      <c r="D7200">
        <v>4.6971220000000002</v>
      </c>
      <c r="E7200">
        <v>0.46302840000000001</v>
      </c>
      <c r="F7200" t="s">
        <v>57</v>
      </c>
      <c r="G7200">
        <v>-198.3212</v>
      </c>
      <c r="H7200" s="1">
        <v>-3.9519689999999998E-6</v>
      </c>
      <c r="I7200">
        <v>-48.105260000000001</v>
      </c>
      <c r="J7200">
        <v>-202.64429999999999</v>
      </c>
      <c r="K7200">
        <v>1.122579</v>
      </c>
      <c r="L7200">
        <v>-56.314239999999998</v>
      </c>
      <c r="M7200">
        <v>0.77971509999999999</v>
      </c>
      <c r="N7200">
        <v>-1.603094E-2</v>
      </c>
      <c r="O7200">
        <v>0.62592919999999996</v>
      </c>
      <c r="P7200">
        <v>0.49143930000000002</v>
      </c>
      <c r="Q7200">
        <v>0.3808549</v>
      </c>
      <c r="R7200">
        <v>0.78322230000000004</v>
      </c>
      <c r="S7200">
        <v>1.6152949999999999</v>
      </c>
      <c r="T7200">
        <v>-0.40743170000000001</v>
      </c>
      <c r="U7200">
        <v>3.0189210000000002</v>
      </c>
      <c r="V7200">
        <v>-0.31457540000000001</v>
      </c>
      <c r="W7200">
        <v>0.3857467</v>
      </c>
      <c r="X7200">
        <v>0.8673187</v>
      </c>
      <c r="Y7200">
        <v>-0.392096</v>
      </c>
      <c r="Z7200">
        <v>-4.2717900000000003E-2</v>
      </c>
      <c r="AA7200">
        <v>0.91893199999999997</v>
      </c>
      <c r="AB7200">
        <v>32</v>
      </c>
      <c r="AC7200">
        <v>4.3230999999999797</v>
      </c>
      <c r="AD7200">
        <v>-1.122582951969</v>
      </c>
      <c r="AE7200">
        <v>8.2089800000000093</v>
      </c>
      <c r="AF7200">
        <v>-3.6418677072506802</v>
      </c>
      <c r="AG7200">
        <v>-1.122582951969</v>
      </c>
      <c r="AH7200">
        <v>8.3873266854255295</v>
      </c>
      <c r="AI7200">
        <v>96.999112818501601</v>
      </c>
      <c r="AJ7200">
        <v>113.47100560646101</v>
      </c>
      <c r="AK7200">
        <v>9.2125263532441508</v>
      </c>
      <c r="AL7200">
        <v>67.309894981815106</v>
      </c>
      <c r="AM7200">
        <v>109.93564447034299</v>
      </c>
      <c r="AN7200">
        <v>0.99999996310786898</v>
      </c>
    </row>
    <row r="7201" spans="1:40" x14ac:dyDescent="0.25">
      <c r="A7201" t="str">
        <f>"20190304164302224"</f>
        <v>20190304164302224</v>
      </c>
      <c r="B7201" t="str">
        <f>"1551688982218096"</f>
        <v>1551688982218096</v>
      </c>
      <c r="C7201" t="s">
        <v>40</v>
      </c>
      <c r="D7201">
        <v>4.6868759999999998</v>
      </c>
      <c r="E7201">
        <v>0.4634143</v>
      </c>
      <c r="F7201" t="s">
        <v>57</v>
      </c>
      <c r="G7201">
        <v>-198.31880000000001</v>
      </c>
      <c r="H7201" s="1">
        <v>-3.9520359999999997E-6</v>
      </c>
      <c r="I7201">
        <v>-48.104309999999998</v>
      </c>
      <c r="J7201">
        <v>-202.50700000000001</v>
      </c>
      <c r="K7201">
        <v>1.1225099999999999</v>
      </c>
      <c r="L7201">
        <v>-56.195430000000002</v>
      </c>
      <c r="M7201">
        <v>0.77466239999999997</v>
      </c>
      <c r="N7201">
        <v>-1.6023590000000001E-2</v>
      </c>
      <c r="O7201">
        <v>0.63217190000000001</v>
      </c>
      <c r="P7201">
        <v>0.48429650000000002</v>
      </c>
      <c r="Q7201">
        <v>0.38029390000000002</v>
      </c>
      <c r="R7201">
        <v>0.78792980000000001</v>
      </c>
      <c r="S7201">
        <v>1.596436</v>
      </c>
      <c r="T7201">
        <v>-0.41431879999999999</v>
      </c>
      <c r="U7201">
        <v>3.03009</v>
      </c>
      <c r="V7201">
        <v>-0.3156255</v>
      </c>
      <c r="W7201">
        <v>0.38520110000000002</v>
      </c>
      <c r="X7201">
        <v>0.86717979999999995</v>
      </c>
      <c r="Y7201">
        <v>-0.390625</v>
      </c>
      <c r="Z7201">
        <v>-4.4512459999999997E-2</v>
      </c>
      <c r="AA7201">
        <v>0.91947310000000004</v>
      </c>
      <c r="AB7201">
        <v>32</v>
      </c>
      <c r="AC7201">
        <v>4.1881999999999904</v>
      </c>
      <c r="AD7201">
        <v>-1.1225139520359999</v>
      </c>
      <c r="AE7201">
        <v>8.0911200000000001</v>
      </c>
      <c r="AF7201">
        <v>-3.5665494229335901</v>
      </c>
      <c r="AG7201">
        <v>-1.1225139520359999</v>
      </c>
      <c r="AH7201">
        <v>8.2354801901781407</v>
      </c>
      <c r="AI7201">
        <v>97.129348653086794</v>
      </c>
      <c r="AJ7201">
        <v>113.416047653254</v>
      </c>
      <c r="AK7201">
        <v>9.0445257654318194</v>
      </c>
      <c r="AL7201">
        <v>67.343776422167096</v>
      </c>
      <c r="AM7201">
        <v>109.999875441155</v>
      </c>
      <c r="AN7201">
        <v>1.0000000746097399</v>
      </c>
    </row>
    <row r="7202" spans="1:40" x14ac:dyDescent="0.25">
      <c r="A7202" t="str">
        <f>"20190304164302240"</f>
        <v>20190304164302240</v>
      </c>
      <c r="B7202" t="str">
        <f>"1551688982227856"</f>
        <v>1551688982227856</v>
      </c>
      <c r="C7202" t="s">
        <v>40</v>
      </c>
      <c r="D7202">
        <v>4.6819920000000002</v>
      </c>
      <c r="E7202">
        <v>0.4639277</v>
      </c>
      <c r="F7202" t="s">
        <v>41</v>
      </c>
      <c r="G7202">
        <v>-201.97720000000001</v>
      </c>
      <c r="H7202">
        <v>0.98142989999999997</v>
      </c>
      <c r="I7202">
        <v>-55.170960000000001</v>
      </c>
      <c r="J7202">
        <v>-202.33279999999999</v>
      </c>
      <c r="K7202">
        <v>1.122398</v>
      </c>
      <c r="L7202">
        <v>-56.04166</v>
      </c>
      <c r="M7202">
        <v>0.76820409999999995</v>
      </c>
      <c r="N7202">
        <v>-1.6008890000000001E-2</v>
      </c>
      <c r="O7202">
        <v>0.64000489999999999</v>
      </c>
      <c r="P7202">
        <v>0.47556019999999999</v>
      </c>
      <c r="Q7202">
        <v>0.3800267</v>
      </c>
      <c r="R7202">
        <v>0.79336139999999999</v>
      </c>
      <c r="S7202">
        <v>1.5732269999999999</v>
      </c>
      <c r="T7202">
        <v>-0.4189811</v>
      </c>
      <c r="U7202">
        <v>3.042694</v>
      </c>
      <c r="V7202">
        <v>-0.31638719999999998</v>
      </c>
      <c r="W7202">
        <v>0.38498359999999998</v>
      </c>
      <c r="X7202">
        <v>0.86699869999999901</v>
      </c>
      <c r="Y7202">
        <v>-0.38841720000000002</v>
      </c>
      <c r="Z7202">
        <v>-4.6293300000000003E-2</v>
      </c>
      <c r="AA7202">
        <v>0.92032009999999997</v>
      </c>
      <c r="AB7202">
        <v>32</v>
      </c>
      <c r="AC7202">
        <v>0.35559999999998099</v>
      </c>
      <c r="AD7202">
        <v>-0.14096809999999901</v>
      </c>
      <c r="AE7202">
        <v>0.87069999999999903</v>
      </c>
      <c r="AF7202">
        <v>-0.43164903928758003</v>
      </c>
      <c r="AG7202">
        <v>-0.14096809999999901</v>
      </c>
      <c r="AH7202">
        <v>0.81228394699713202</v>
      </c>
      <c r="AI7202">
        <v>98.712847569876899</v>
      </c>
      <c r="AJ7202">
        <v>117.98625090931399</v>
      </c>
      <c r="AK7202">
        <v>0.93059019384729202</v>
      </c>
      <c r="AL7202">
        <v>67.357277607033495</v>
      </c>
      <c r="AM7202">
        <v>110.04815589122499</v>
      </c>
      <c r="AN7202">
        <v>0.99999998919724398</v>
      </c>
    </row>
    <row r="7203" spans="1:40" x14ac:dyDescent="0.25">
      <c r="A7203" t="str">
        <f>"20190304164302255"</f>
        <v>20190304164302255</v>
      </c>
      <c r="B7203" t="str">
        <f>"1551688982248352"</f>
        <v>1551688982248352</v>
      </c>
      <c r="C7203" t="s">
        <v>40</v>
      </c>
      <c r="D7203">
        <v>4.674868</v>
      </c>
      <c r="E7203">
        <v>0.47357270000000001</v>
      </c>
      <c r="F7203" t="s">
        <v>57</v>
      </c>
      <c r="G7203">
        <v>-198.2225</v>
      </c>
      <c r="H7203" s="1">
        <v>-4.0393660000000001E-6</v>
      </c>
      <c r="I7203">
        <v>-47.896700000000003</v>
      </c>
      <c r="J7203">
        <v>-202.19069999999999</v>
      </c>
      <c r="K7203">
        <v>1.1222939999999999</v>
      </c>
      <c r="L7203">
        <v>-55.913420000000002</v>
      </c>
      <c r="M7203">
        <v>0.76289669999999998</v>
      </c>
      <c r="N7203">
        <v>-1.599157E-2</v>
      </c>
      <c r="O7203">
        <v>0.64632259999999997</v>
      </c>
      <c r="P7203">
        <v>0.46909109999999998</v>
      </c>
      <c r="Q7203">
        <v>0.38005050000000001</v>
      </c>
      <c r="R7203">
        <v>0.79719200000000001</v>
      </c>
      <c r="S7203">
        <v>1.5432889999999999</v>
      </c>
      <c r="T7203">
        <v>-0.42142560000000001</v>
      </c>
      <c r="U7203">
        <v>3.0581670000000001</v>
      </c>
      <c r="V7203">
        <v>-0.31617030000000002</v>
      </c>
      <c r="W7203">
        <v>0.38508300000000001</v>
      </c>
      <c r="X7203">
        <v>0.86703369999999902</v>
      </c>
      <c r="Y7203">
        <v>-0.38988790000000001</v>
      </c>
      <c r="Z7203">
        <v>-4.737715E-2</v>
      </c>
      <c r="AA7203">
        <v>0.91964279999999998</v>
      </c>
      <c r="AB7203">
        <v>32</v>
      </c>
      <c r="AC7203">
        <v>3.9681999999999902</v>
      </c>
      <c r="AD7203">
        <v>-1.122298039366</v>
      </c>
      <c r="AE7203">
        <v>8.0167199999999905</v>
      </c>
      <c r="AF7203">
        <v>-3.4966039817087902</v>
      </c>
      <c r="AG7203">
        <v>-1.122298039366</v>
      </c>
      <c r="AH7203">
        <v>8.0825319864082505</v>
      </c>
      <c r="AI7203">
        <v>97.262651551503197</v>
      </c>
      <c r="AJ7203">
        <v>113.393909944306</v>
      </c>
      <c r="AK7203">
        <v>8.8776751238924607</v>
      </c>
      <c r="AL7203">
        <v>67.351107048389295</v>
      </c>
      <c r="AM7203">
        <v>110.034761041132</v>
      </c>
      <c r="AN7203">
        <v>1.00000000621338</v>
      </c>
    </row>
    <row r="7204" spans="1:40" x14ac:dyDescent="0.25">
      <c r="A7204" t="str">
        <f>"20190304164302270"</f>
        <v>20190304164302270</v>
      </c>
      <c r="B7204" t="str">
        <f>"1551688982258112"</f>
        <v>1551688982258112</v>
      </c>
      <c r="C7204" t="s">
        <v>40</v>
      </c>
      <c r="D7204">
        <v>4.6596669999999998</v>
      </c>
      <c r="E7204">
        <v>0.47347280000000003</v>
      </c>
      <c r="F7204" t="s">
        <v>57</v>
      </c>
      <c r="G7204">
        <v>-198.3648</v>
      </c>
      <c r="H7204" s="1">
        <v>-3.7118260000000001E-6</v>
      </c>
      <c r="I7204">
        <v>-48.597920000000002</v>
      </c>
      <c r="J7204">
        <v>-202.0335</v>
      </c>
      <c r="K7204">
        <v>1.1221680000000001</v>
      </c>
      <c r="L7204">
        <v>-55.769649999999999</v>
      </c>
      <c r="M7204">
        <v>0.75699309999999997</v>
      </c>
      <c r="N7204">
        <v>-1.59702E-2</v>
      </c>
      <c r="O7204">
        <v>0.65322769999999997</v>
      </c>
      <c r="P7204">
        <v>0.4622193</v>
      </c>
      <c r="Q7204">
        <v>0.38022879999999998</v>
      </c>
      <c r="R7204">
        <v>0.80111129999999997</v>
      </c>
      <c r="S7204">
        <v>1.5941160000000001</v>
      </c>
      <c r="T7204">
        <v>-0.46762369999999998</v>
      </c>
      <c r="U7204">
        <v>3.0481259999999999</v>
      </c>
      <c r="V7204">
        <v>-0.31555830000000001</v>
      </c>
      <c r="W7204">
        <v>0.38536209999999999</v>
      </c>
      <c r="X7204">
        <v>0.86713269999999998</v>
      </c>
      <c r="Y7204">
        <v>-0.36835479999999998</v>
      </c>
      <c r="Z7204">
        <v>-5.6024980000000002E-2</v>
      </c>
      <c r="AA7204">
        <v>0.92799560000000003</v>
      </c>
      <c r="AB7204">
        <v>32</v>
      </c>
      <c r="AC7204">
        <v>3.6686999999999999</v>
      </c>
      <c r="AD7204">
        <v>-1.122171711826</v>
      </c>
      <c r="AE7204">
        <v>7.1717299999999904</v>
      </c>
      <c r="AF7204">
        <v>-2.9751075545401799</v>
      </c>
      <c r="AG7204">
        <v>-1.122171711826</v>
      </c>
      <c r="AH7204">
        <v>7.3208418150991497</v>
      </c>
      <c r="AI7204">
        <v>98.082311452057596</v>
      </c>
      <c r="AJ7204">
        <v>112.116270297333</v>
      </c>
      <c r="AK7204">
        <v>7.9815574416030302</v>
      </c>
      <c r="AL7204">
        <v>67.333779584510296</v>
      </c>
      <c r="AM7204">
        <v>109.996954765794</v>
      </c>
      <c r="AN7204">
        <v>1.00000005411229</v>
      </c>
    </row>
    <row r="7205" spans="1:40" x14ac:dyDescent="0.25">
      <c r="A7205" t="str">
        <f>"20190304164302286"</f>
        <v>20190304164302286</v>
      </c>
      <c r="B7205" t="str">
        <f>"1551688982278608"</f>
        <v>1551688982278608</v>
      </c>
      <c r="C7205" t="s">
        <v>40</v>
      </c>
      <c r="D7205">
        <v>4.6799150000000003</v>
      </c>
      <c r="E7205">
        <v>0.47381030000000002</v>
      </c>
      <c r="F7205" t="s">
        <v>57</v>
      </c>
      <c r="G7205">
        <v>-198.34960000000001</v>
      </c>
      <c r="H7205" s="1">
        <v>-3.7289559999999998E-6</v>
      </c>
      <c r="I7205">
        <v>-48.558509999999998</v>
      </c>
      <c r="J7205">
        <v>-201.86179999999999</v>
      </c>
      <c r="K7205">
        <v>1.1220139999999901</v>
      </c>
      <c r="L7205">
        <v>-55.60989</v>
      </c>
      <c r="M7205">
        <v>0.75051250000000003</v>
      </c>
      <c r="N7205">
        <v>-1.5943880000000001E-2</v>
      </c>
      <c r="O7205">
        <v>0.66066389999999997</v>
      </c>
      <c r="P7205">
        <v>0.4559841</v>
      </c>
      <c r="Q7205">
        <v>0.3805036</v>
      </c>
      <c r="R7205">
        <v>0.80454680000000001</v>
      </c>
      <c r="S7205">
        <v>1.56694</v>
      </c>
      <c r="T7205">
        <v>-0.47731580000000001</v>
      </c>
      <c r="U7205">
        <v>3.0672609999999998</v>
      </c>
      <c r="V7205">
        <v>-0.31348359999999997</v>
      </c>
      <c r="W7205">
        <v>0.3858007</v>
      </c>
      <c r="X7205">
        <v>0.86768999999999996</v>
      </c>
      <c r="Y7205">
        <v>-0.36812909999999999</v>
      </c>
      <c r="Z7205">
        <v>-5.8469559999999997E-2</v>
      </c>
      <c r="AA7205">
        <v>0.92793440000000005</v>
      </c>
      <c r="AB7205">
        <v>32</v>
      </c>
      <c r="AC7205">
        <v>3.5121999999999698</v>
      </c>
      <c r="AD7205">
        <v>-1.1220177289559901</v>
      </c>
      <c r="AE7205">
        <v>7.05138</v>
      </c>
      <c r="AF7205">
        <v>-2.9130475992124101</v>
      </c>
      <c r="AG7205">
        <v>-1.1220177289559901</v>
      </c>
      <c r="AH7205">
        <v>7.1504133374594403</v>
      </c>
      <c r="AI7205">
        <v>98.268329648593394</v>
      </c>
      <c r="AJ7205">
        <v>112.16577019516799</v>
      </c>
      <c r="AK7205">
        <v>7.8021266969901601</v>
      </c>
      <c r="AL7205">
        <v>67.306543308564301</v>
      </c>
      <c r="AM7205">
        <v>109.864040405813</v>
      </c>
      <c r="AN7205">
        <v>1.0000000418447199</v>
      </c>
    </row>
    <row r="7206" spans="1:40" x14ac:dyDescent="0.25">
      <c r="A7206" t="str">
        <f>"20190304164302299"</f>
        <v>20190304164302299</v>
      </c>
      <c r="B7206" t="str">
        <f>"1551688982288368"</f>
        <v>1551688982288368</v>
      </c>
      <c r="C7206" t="s">
        <v>40</v>
      </c>
      <c r="D7206">
        <v>4.6887049999999997</v>
      </c>
      <c r="E7206">
        <v>0.47442980000000001</v>
      </c>
      <c r="F7206" t="s">
        <v>57</v>
      </c>
      <c r="G7206">
        <v>-198.24359999999999</v>
      </c>
      <c r="H7206" s="1">
        <v>-3.80388E-6</v>
      </c>
      <c r="I7206">
        <v>-48.372109999999999</v>
      </c>
      <c r="J7206">
        <v>-201.7345</v>
      </c>
      <c r="K7206">
        <v>1.1218919999999999</v>
      </c>
      <c r="L7206">
        <v>-55.489409999999999</v>
      </c>
      <c r="M7206">
        <v>0.74568679999999998</v>
      </c>
      <c r="N7206">
        <v>-1.5922459999999999E-2</v>
      </c>
      <c r="O7206">
        <v>0.66610639999999999</v>
      </c>
      <c r="P7206">
        <v>0.4509089</v>
      </c>
      <c r="Q7206">
        <v>0.3806158</v>
      </c>
      <c r="R7206">
        <v>0.80734930000000005</v>
      </c>
      <c r="S7206">
        <v>1.540543</v>
      </c>
      <c r="T7206">
        <v>-0.47772199999999998</v>
      </c>
      <c r="U7206">
        <v>3.0816349999999999</v>
      </c>
      <c r="V7206">
        <v>-0.31247429999999998</v>
      </c>
      <c r="W7206">
        <v>0.38601930000000001</v>
      </c>
      <c r="X7206">
        <v>0.86795679999999997</v>
      </c>
      <c r="Y7206">
        <v>-0.3694769</v>
      </c>
      <c r="Z7206">
        <v>-5.9244329999999998E-2</v>
      </c>
      <c r="AA7206">
        <v>0.92734939999999999</v>
      </c>
      <c r="AB7206">
        <v>32</v>
      </c>
      <c r="AC7206">
        <v>3.4909000000000101</v>
      </c>
      <c r="AD7206">
        <v>-1.12189580388</v>
      </c>
      <c r="AE7206">
        <v>7.1173000000000002</v>
      </c>
      <c r="AF7206">
        <v>-2.9237842198832702</v>
      </c>
      <c r="AG7206">
        <v>-1.12189580388</v>
      </c>
      <c r="AH7206">
        <v>7.2007072337519702</v>
      </c>
      <c r="AI7206">
        <v>98.214317884725403</v>
      </c>
      <c r="AJ7206">
        <v>112.09918178985301</v>
      </c>
      <c r="AK7206">
        <v>7.8522193694146099</v>
      </c>
      <c r="AL7206">
        <v>67.292966897373404</v>
      </c>
      <c r="AM7206">
        <v>109.79945208957599</v>
      </c>
      <c r="AN7206">
        <v>1.0000000473996</v>
      </c>
    </row>
    <row r="7207" spans="1:40" x14ac:dyDescent="0.25">
      <c r="A7207" t="str">
        <f>"20190304164302312"</f>
        <v>20190304164302312</v>
      </c>
      <c r="B7207" t="str">
        <f>"1551688982307888"</f>
        <v>1551688982307888</v>
      </c>
      <c r="C7207" t="s">
        <v>40</v>
      </c>
      <c r="D7207">
        <v>4.7359749999999998</v>
      </c>
      <c r="E7207">
        <v>0.47476299999999999</v>
      </c>
      <c r="F7207" t="s">
        <v>57</v>
      </c>
      <c r="G7207">
        <v>-198.17679999999999</v>
      </c>
      <c r="H7207" s="1">
        <v>-3.8395509999999998E-6</v>
      </c>
      <c r="I7207">
        <v>-48.277569999999997</v>
      </c>
      <c r="J7207">
        <v>-201.60050000000001</v>
      </c>
      <c r="K7207">
        <v>1.1217569999999999</v>
      </c>
      <c r="L7207">
        <v>-55.3604699999999</v>
      </c>
      <c r="M7207">
        <v>0.74060429999999999</v>
      </c>
      <c r="N7207">
        <v>-1.5897970000000001E-2</v>
      </c>
      <c r="O7207">
        <v>0.6717533</v>
      </c>
      <c r="P7207">
        <v>0.44551160000000001</v>
      </c>
      <c r="Q7207">
        <v>0.38088119999999998</v>
      </c>
      <c r="R7207">
        <v>0.81021540000000003</v>
      </c>
      <c r="S7207">
        <v>1.5248109999999999</v>
      </c>
      <c r="T7207">
        <v>-0.48083690000000001</v>
      </c>
      <c r="U7207">
        <v>3.0909420000000001</v>
      </c>
      <c r="V7207">
        <v>-0.31145230000000002</v>
      </c>
      <c r="W7207">
        <v>0.3863936</v>
      </c>
      <c r="X7207">
        <v>0.86815750000000003</v>
      </c>
      <c r="Y7207">
        <v>-0.36737340000000002</v>
      </c>
      <c r="Z7207">
        <v>-6.0675439999999997E-2</v>
      </c>
      <c r="AA7207">
        <v>0.92809229999999998</v>
      </c>
      <c r="AB7207">
        <v>32</v>
      </c>
      <c r="AC7207">
        <v>3.4237000000000202</v>
      </c>
      <c r="AD7207">
        <v>-1.1217608395509999</v>
      </c>
      <c r="AE7207">
        <v>7.08289999999998</v>
      </c>
      <c r="AF7207">
        <v>-2.8874092343759701</v>
      </c>
      <c r="AG7207">
        <v>-1.1217608395509999</v>
      </c>
      <c r="AH7207">
        <v>7.1491323401772604</v>
      </c>
      <c r="AI7207">
        <v>98.2779072473067</v>
      </c>
      <c r="AJ7207">
        <v>111.992918931676</v>
      </c>
      <c r="AK7207">
        <v>7.7913780992375301</v>
      </c>
      <c r="AL7207">
        <v>67.269715990542807</v>
      </c>
      <c r="AM7207">
        <v>109.73549497658</v>
      </c>
      <c r="AN7207">
        <v>0.99999999705124998</v>
      </c>
    </row>
    <row r="7208" spans="1:40" x14ac:dyDescent="0.25">
      <c r="A7208" t="str">
        <f>"20190304164302326"</f>
        <v>20190304164302326</v>
      </c>
      <c r="B7208" t="str">
        <f>"1551688982318624"</f>
        <v>1551688982318624</v>
      </c>
      <c r="C7208" t="s">
        <v>40</v>
      </c>
      <c r="D7208">
        <v>4.736389</v>
      </c>
      <c r="E7208">
        <v>0.48915979999999998</v>
      </c>
      <c r="F7208" t="s">
        <v>57</v>
      </c>
      <c r="G7208">
        <v>-198.04849999999999</v>
      </c>
      <c r="H7208" s="1">
        <v>-3.9325449999999998E-6</v>
      </c>
      <c r="I7208">
        <v>-48.04739</v>
      </c>
      <c r="J7208">
        <v>-201.46360000000001</v>
      </c>
      <c r="K7208">
        <v>1.1216189999999999</v>
      </c>
      <c r="L7208">
        <v>-55.227260000000001</v>
      </c>
      <c r="M7208">
        <v>0.73539540000000003</v>
      </c>
      <c r="N7208">
        <v>-1.587268E-2</v>
      </c>
      <c r="O7208">
        <v>0.67745230000000001</v>
      </c>
      <c r="P7208">
        <v>0.43988359999999899</v>
      </c>
      <c r="Q7208">
        <v>0.38108629999999999</v>
      </c>
      <c r="R7208">
        <v>0.81318849999999998</v>
      </c>
      <c r="S7208">
        <v>1.50502</v>
      </c>
      <c r="T7208">
        <v>-0.47529320000000003</v>
      </c>
      <c r="U7208">
        <v>3.0985719999999999</v>
      </c>
      <c r="V7208">
        <v>-0.3105637</v>
      </c>
      <c r="W7208">
        <v>0.38670759999999899</v>
      </c>
      <c r="X7208">
        <v>0.868336</v>
      </c>
      <c r="Y7208">
        <v>-0.36590050000000002</v>
      </c>
      <c r="Z7208">
        <v>-6.0829290000000001E-2</v>
      </c>
      <c r="AA7208">
        <v>0.92866389999999999</v>
      </c>
      <c r="AB7208">
        <v>32</v>
      </c>
      <c r="AC7208">
        <v>3.4151000000000198</v>
      </c>
      <c r="AD7208">
        <v>-1.121622932545</v>
      </c>
      <c r="AE7208">
        <v>7.1798700000000002</v>
      </c>
      <c r="AF7208">
        <v>-2.9089574295337699</v>
      </c>
      <c r="AG7208">
        <v>-1.121622932545</v>
      </c>
      <c r="AH7208">
        <v>7.2324613737244299</v>
      </c>
      <c r="AI7208">
        <v>98.187526211978195</v>
      </c>
      <c r="AJ7208">
        <v>111.910410519629</v>
      </c>
      <c r="AK7208">
        <v>7.8758217889986897</v>
      </c>
      <c r="AL7208">
        <v>67.250208718739003</v>
      </c>
      <c r="AM7208">
        <v>109.679784838147</v>
      </c>
      <c r="AN7208">
        <v>0.99999999427572495</v>
      </c>
    </row>
    <row r="7209" spans="1:40" x14ac:dyDescent="0.25">
      <c r="A7209" t="str">
        <f>"20190304164302342"</f>
        <v>20190304164302342</v>
      </c>
      <c r="B7209" t="str">
        <f>"1551688982328384"</f>
        <v>1551688982328384</v>
      </c>
      <c r="C7209" t="s">
        <v>40</v>
      </c>
      <c r="D7209">
        <v>4.7121069999999996</v>
      </c>
      <c r="E7209">
        <v>0.49124279999999998</v>
      </c>
      <c r="F7209" t="s">
        <v>57</v>
      </c>
      <c r="G7209">
        <v>-197.21719999999999</v>
      </c>
      <c r="H7209" s="1">
        <v>-4.293484E-6</v>
      </c>
      <c r="I7209">
        <v>-47.036090000000002</v>
      </c>
      <c r="J7209">
        <v>-201.3126</v>
      </c>
      <c r="K7209">
        <v>1.121461</v>
      </c>
      <c r="L7209">
        <v>-55.078060000000001</v>
      </c>
      <c r="M7209">
        <v>0.72964259999999903</v>
      </c>
      <c r="N7209">
        <v>-1.5843949999999999E-2</v>
      </c>
      <c r="O7209">
        <v>0.68364519999999995</v>
      </c>
      <c r="P7209">
        <v>0.43500040000000001</v>
      </c>
      <c r="Q7209">
        <v>0.38158700000000001</v>
      </c>
      <c r="R7209">
        <v>0.81557709999999894</v>
      </c>
      <c r="S7209">
        <v>1.572449</v>
      </c>
      <c r="T7209">
        <v>-0.4153385</v>
      </c>
      <c r="U7209">
        <v>3.0332029999999999</v>
      </c>
      <c r="V7209">
        <v>-0.30810199999999999</v>
      </c>
      <c r="W7209">
        <v>0.38737680000000002</v>
      </c>
      <c r="X7209">
        <v>0.86891450000000003</v>
      </c>
      <c r="Y7209">
        <v>-0.33355269999999998</v>
      </c>
      <c r="Z7209">
        <v>-5.4746080000000003E-2</v>
      </c>
      <c r="AA7209">
        <v>0.94114050000000005</v>
      </c>
      <c r="AB7209">
        <v>32</v>
      </c>
      <c r="AC7209">
        <v>4.0954000000000104</v>
      </c>
      <c r="AD7209">
        <v>-1.1214652934839999</v>
      </c>
      <c r="AE7209">
        <v>8.0419699999999992</v>
      </c>
      <c r="AF7209">
        <v>-3.02168736207644</v>
      </c>
      <c r="AG7209">
        <v>-1.1214652934839999</v>
      </c>
      <c r="AH7209">
        <v>8.3580324245264404</v>
      </c>
      <c r="AI7209">
        <v>97.191848837163207</v>
      </c>
      <c r="AJ7209">
        <v>109.876491320592</v>
      </c>
      <c r="AK7209">
        <v>8.9579565151912295</v>
      </c>
      <c r="AL7209">
        <v>67.208626035941705</v>
      </c>
      <c r="AM7209">
        <v>109.52362306713501</v>
      </c>
      <c r="AN7209">
        <v>1.00000001794624</v>
      </c>
    </row>
    <row r="7210" spans="1:40" x14ac:dyDescent="0.25">
      <c r="A7210" t="str">
        <f>"20190304164302354"</f>
        <v>20190304164302354</v>
      </c>
      <c r="B7210" t="str">
        <f>"1551688982347904"</f>
        <v>1551688982347904</v>
      </c>
      <c r="C7210" t="s">
        <v>40</v>
      </c>
      <c r="D7210">
        <v>4.6924010000000003</v>
      </c>
      <c r="E7210">
        <v>0.4938053</v>
      </c>
      <c r="F7210" t="s">
        <v>57</v>
      </c>
      <c r="G7210">
        <v>-197.11840000000001</v>
      </c>
      <c r="H7210" s="1">
        <v>-4.3140760000000001E-6</v>
      </c>
      <c r="I7210">
        <v>-46.960209999999996</v>
      </c>
      <c r="J7210">
        <v>-201.1859</v>
      </c>
      <c r="K7210">
        <v>1.121321</v>
      </c>
      <c r="L7210">
        <v>-54.950380000000003</v>
      </c>
      <c r="M7210">
        <v>0.72483500000000001</v>
      </c>
      <c r="N7210">
        <v>-1.581668E-2</v>
      </c>
      <c r="O7210">
        <v>0.68874089999999999</v>
      </c>
      <c r="P7210">
        <v>0.43059829999999999</v>
      </c>
      <c r="Q7210">
        <v>0.38175759999999997</v>
      </c>
      <c r="R7210">
        <v>0.81783019999999995</v>
      </c>
      <c r="S7210">
        <v>1.5694269999999999</v>
      </c>
      <c r="T7210">
        <v>-0.41964649999999998</v>
      </c>
      <c r="U7210">
        <v>3.0376590000000001</v>
      </c>
      <c r="V7210">
        <v>-0.30650060000000001</v>
      </c>
      <c r="W7210">
        <v>0.3876753</v>
      </c>
      <c r="X7210">
        <v>0.8693476</v>
      </c>
      <c r="Y7210">
        <v>-0.32830690000000001</v>
      </c>
      <c r="Z7210">
        <v>-5.6350709999999998E-2</v>
      </c>
      <c r="AA7210">
        <v>0.94288870000000002</v>
      </c>
      <c r="AB7210">
        <v>32</v>
      </c>
      <c r="AC7210">
        <v>4.0674999999999901</v>
      </c>
      <c r="AD7210">
        <v>-1.121325314076</v>
      </c>
      <c r="AE7210">
        <v>7.99017</v>
      </c>
      <c r="AF7210">
        <v>-2.94442054845462</v>
      </c>
      <c r="AG7210">
        <v>-1.121325314076</v>
      </c>
      <c r="AH7210">
        <v>8.3223082016779397</v>
      </c>
      <c r="AI7210">
        <v>97.239043598337403</v>
      </c>
      <c r="AJ7210">
        <v>109.48370537964099</v>
      </c>
      <c r="AK7210">
        <v>8.89875253222975</v>
      </c>
      <c r="AL7210">
        <v>67.190073165764304</v>
      </c>
      <c r="AM7210">
        <v>109.420811783684</v>
      </c>
      <c r="AN7210">
        <v>1.0000000028281</v>
      </c>
    </row>
    <row r="7211" spans="1:40" x14ac:dyDescent="0.25">
      <c r="A7211" t="str">
        <f>"20190304164302368"</f>
        <v>20190304164302368</v>
      </c>
      <c r="B7211" t="str">
        <f>"1551688982358640"</f>
        <v>1551688982358640</v>
      </c>
      <c r="C7211" t="s">
        <v>40</v>
      </c>
      <c r="D7211">
        <v>4.7030949999999896</v>
      </c>
      <c r="E7211">
        <v>0.49479380000000001</v>
      </c>
      <c r="F7211" t="s">
        <v>57</v>
      </c>
      <c r="G7211">
        <v>-197.04060000000001</v>
      </c>
      <c r="H7211" s="1">
        <v>-4.3149309999999998E-6</v>
      </c>
      <c r="I7211">
        <v>-46.930970000000002</v>
      </c>
      <c r="J7211">
        <v>-201.05430000000001</v>
      </c>
      <c r="K7211">
        <v>1.121173</v>
      </c>
      <c r="L7211">
        <v>-54.81635</v>
      </c>
      <c r="M7211">
        <v>0.71983529999999996</v>
      </c>
      <c r="N7211">
        <v>-1.578802E-2</v>
      </c>
      <c r="O7211">
        <v>0.69396539999999995</v>
      </c>
      <c r="P7211">
        <v>0.42580410000000002</v>
      </c>
      <c r="Q7211">
        <v>0.38178200000000001</v>
      </c>
      <c r="R7211">
        <v>0.82032519999999998</v>
      </c>
      <c r="S7211">
        <v>1.571121</v>
      </c>
      <c r="T7211">
        <v>-0.4249926</v>
      </c>
      <c r="U7211">
        <v>3.0394290000000002</v>
      </c>
      <c r="V7211">
        <v>-0.30514160000000001</v>
      </c>
      <c r="W7211">
        <v>0.38782610000000001</v>
      </c>
      <c r="X7211">
        <v>0.86975829999999998</v>
      </c>
      <c r="Y7211">
        <v>-0.32135320000000001</v>
      </c>
      <c r="Z7211">
        <v>-5.8256210000000003E-2</v>
      </c>
      <c r="AA7211">
        <v>0.94516579999999994</v>
      </c>
      <c r="AB7211">
        <v>31</v>
      </c>
      <c r="AC7211">
        <v>4.0137</v>
      </c>
      <c r="AD7211">
        <v>-1.121177314931</v>
      </c>
      <c r="AE7211">
        <v>7.8853799999999898</v>
      </c>
      <c r="AF7211">
        <v>-2.84547806522228</v>
      </c>
      <c r="AG7211">
        <v>-1.121177314931</v>
      </c>
      <c r="AH7211">
        <v>8.23027718817346</v>
      </c>
      <c r="AI7211">
        <v>97.336379318070101</v>
      </c>
      <c r="AJ7211">
        <v>109.07195435779199</v>
      </c>
      <c r="AK7211">
        <v>8.7801621047304899</v>
      </c>
      <c r="AL7211">
        <v>67.180699310323703</v>
      </c>
      <c r="AM7211">
        <v>109.332652912184</v>
      </c>
      <c r="AN7211">
        <v>0.99999999015533003</v>
      </c>
    </row>
    <row r="7212" spans="1:40" x14ac:dyDescent="0.25">
      <c r="A7212" t="str">
        <f>"20190304164302387"</f>
        <v>20190304164302387</v>
      </c>
      <c r="B7212" t="str">
        <f>"1551688982378160"</f>
        <v>1551688982378160</v>
      </c>
      <c r="C7212" t="s">
        <v>40</v>
      </c>
      <c r="D7212">
        <v>4.703595</v>
      </c>
      <c r="E7212">
        <v>0.49631599999999998</v>
      </c>
      <c r="F7212" t="s">
        <v>57</v>
      </c>
      <c r="G7212">
        <v>-196.94390000000001</v>
      </c>
      <c r="H7212" s="1">
        <v>-4.3714490000000001E-6</v>
      </c>
      <c r="I7212">
        <v>-46.784469999999999</v>
      </c>
      <c r="J7212">
        <v>-200.86770000000001</v>
      </c>
      <c r="K7212">
        <v>1.1209530000000001</v>
      </c>
      <c r="L7212">
        <v>-54.623199999999997</v>
      </c>
      <c r="M7212">
        <v>0.71277299999999999</v>
      </c>
      <c r="N7212">
        <v>-1.5744999999999999E-2</v>
      </c>
      <c r="O7212">
        <v>0.70121809999999996</v>
      </c>
      <c r="P7212">
        <v>0.41951769999999999</v>
      </c>
      <c r="Q7212">
        <v>0.38184360000000001</v>
      </c>
      <c r="R7212">
        <v>0.82352919999999996</v>
      </c>
      <c r="S7212">
        <v>1.5587310000000001</v>
      </c>
      <c r="T7212">
        <v>-0.425176</v>
      </c>
      <c r="U7212">
        <v>3.045868</v>
      </c>
      <c r="V7212">
        <v>-0.3027377</v>
      </c>
      <c r="W7212">
        <v>0.38808530000000002</v>
      </c>
      <c r="X7212">
        <v>0.87048239999999999</v>
      </c>
      <c r="Y7212">
        <v>-0.31567420000000002</v>
      </c>
      <c r="Z7212">
        <v>-5.956794E-2</v>
      </c>
      <c r="AA7212">
        <v>0.94699599999999995</v>
      </c>
      <c r="AB7212">
        <v>31</v>
      </c>
      <c r="AC7212">
        <v>3.9238</v>
      </c>
      <c r="AD7212">
        <v>-1.120957371449</v>
      </c>
      <c r="AE7212">
        <v>7.8387299999999902</v>
      </c>
      <c r="AF7212">
        <v>-2.79051549423066</v>
      </c>
      <c r="AG7212">
        <v>-1.120957371449</v>
      </c>
      <c r="AH7212">
        <v>8.1610141663537892</v>
      </c>
      <c r="AI7212">
        <v>97.405074133238998</v>
      </c>
      <c r="AJ7212">
        <v>108.877222383117</v>
      </c>
      <c r="AK7212">
        <v>8.6974521772513693</v>
      </c>
      <c r="AL7212">
        <v>67.164585554315195</v>
      </c>
      <c r="AM7212">
        <v>109.17673054186599</v>
      </c>
      <c r="AN7212">
        <v>0.99999996189356899</v>
      </c>
    </row>
    <row r="7213" spans="1:40" x14ac:dyDescent="0.25">
      <c r="A7213" t="str">
        <f>"20190304164302403"</f>
        <v>20190304164302403</v>
      </c>
      <c r="B7213" t="str">
        <f>"1551688982398657"</f>
        <v>1551688982398657</v>
      </c>
      <c r="C7213" t="s">
        <v>40</v>
      </c>
      <c r="D7213">
        <v>4.727576</v>
      </c>
      <c r="E7213">
        <v>0.497525</v>
      </c>
      <c r="F7213" t="s">
        <v>57</v>
      </c>
      <c r="G7213">
        <v>-196.84200000000001</v>
      </c>
      <c r="H7213" s="1">
        <v>-4.4107909999999997E-6</v>
      </c>
      <c r="I7213">
        <v>-46.670229999999997</v>
      </c>
      <c r="J7213">
        <v>-200.7269</v>
      </c>
      <c r="K7213">
        <v>1.1207830000000001</v>
      </c>
      <c r="L7213">
        <v>-54.475340000000003</v>
      </c>
      <c r="M7213">
        <v>0.70745519999999995</v>
      </c>
      <c r="N7213">
        <v>-1.5711449999999998E-2</v>
      </c>
      <c r="O7213">
        <v>0.70658359999999998</v>
      </c>
      <c r="P7213">
        <v>0.4139642</v>
      </c>
      <c r="Q7213">
        <v>0.38186979999999998</v>
      </c>
      <c r="R7213">
        <v>0.82632269999999897</v>
      </c>
      <c r="S7213">
        <v>1.546295</v>
      </c>
      <c r="T7213">
        <v>-0.43056559999999999</v>
      </c>
      <c r="U7213">
        <v>3.0547789999999999</v>
      </c>
      <c r="V7213">
        <v>-0.30183979999999999</v>
      </c>
      <c r="W7213">
        <v>0.3882352</v>
      </c>
      <c r="X7213">
        <v>0.87072739999999904</v>
      </c>
      <c r="Y7213">
        <v>-0.3127489</v>
      </c>
      <c r="Z7213">
        <v>-6.1318119999999997E-2</v>
      </c>
      <c r="AA7213">
        <v>0.94785450000000004</v>
      </c>
      <c r="AB7213">
        <v>31</v>
      </c>
      <c r="AC7213">
        <v>3.88489999999998</v>
      </c>
      <c r="AD7213">
        <v>-1.1207874107910001</v>
      </c>
      <c r="AE7213">
        <v>7.80511</v>
      </c>
      <c r="AF7213">
        <v>-2.7319538817037401</v>
      </c>
      <c r="AG7213">
        <v>-1.1207874107910001</v>
      </c>
      <c r="AH7213">
        <v>8.1300198209913805</v>
      </c>
      <c r="AI7213">
        <v>97.445068395288402</v>
      </c>
      <c r="AJ7213">
        <v>108.574040680846</v>
      </c>
      <c r="AK7213">
        <v>8.6496796889628502</v>
      </c>
      <c r="AL7213">
        <v>67.155267612471107</v>
      </c>
      <c r="AM7213">
        <v>109.118999954401</v>
      </c>
      <c r="AN7213">
        <v>1.0000000202469099</v>
      </c>
    </row>
    <row r="7214" spans="1:40" x14ac:dyDescent="0.25">
      <c r="A7214" t="str">
        <f>"20190304164302419"</f>
        <v>20190304164302419</v>
      </c>
      <c r="B7214" t="str">
        <f>"1551688982408193"</f>
        <v>1551688982408193</v>
      </c>
      <c r="C7214" t="s">
        <v>40</v>
      </c>
      <c r="D7214">
        <v>4.7202739999999999</v>
      </c>
      <c r="E7214">
        <v>0.49812509999999999</v>
      </c>
      <c r="F7214" t="s">
        <v>57</v>
      </c>
      <c r="G7214">
        <v>-196.7612</v>
      </c>
      <c r="H7214" s="1">
        <v>-4.4466900000000003E-6</v>
      </c>
      <c r="I7214">
        <v>-46.570309999999999</v>
      </c>
      <c r="J7214">
        <v>-200.5609</v>
      </c>
      <c r="K7214">
        <v>1.1205879999999999</v>
      </c>
      <c r="L7214">
        <v>-54.297699999999999</v>
      </c>
      <c r="M7214">
        <v>0.701214</v>
      </c>
      <c r="N7214">
        <v>-1.5669789999999999E-2</v>
      </c>
      <c r="O7214">
        <v>0.71277869999999999</v>
      </c>
      <c r="P7214">
        <v>0.40803790000000001</v>
      </c>
      <c r="Q7214">
        <v>0.38206190000000001</v>
      </c>
      <c r="R7214">
        <v>0.82917649999999998</v>
      </c>
      <c r="S7214">
        <v>1.5359499999999999</v>
      </c>
      <c r="T7214">
        <v>-0.43408930000000001</v>
      </c>
      <c r="U7214">
        <v>3.0616759999999998</v>
      </c>
      <c r="V7214">
        <v>-0.30014780000000002</v>
      </c>
      <c r="W7214">
        <v>0.38858890000000001</v>
      </c>
      <c r="X7214">
        <v>0.8711544</v>
      </c>
      <c r="Y7214">
        <v>-0.3078727</v>
      </c>
      <c r="Z7214">
        <v>-6.3004580000000004E-2</v>
      </c>
      <c r="AA7214">
        <v>0.94933920000000005</v>
      </c>
      <c r="AB7214">
        <v>31</v>
      </c>
      <c r="AC7214">
        <v>3.7997000000000001</v>
      </c>
      <c r="AD7214">
        <v>-1.1205924466899999</v>
      </c>
      <c r="AE7214">
        <v>7.7273899999999998</v>
      </c>
      <c r="AF7214">
        <v>-2.6654031649958401</v>
      </c>
      <c r="AG7214">
        <v>-1.1205924466899999</v>
      </c>
      <c r="AH7214">
        <v>8.0372155389882796</v>
      </c>
      <c r="AI7214">
        <v>97.538601898040397</v>
      </c>
      <c r="AJ7214">
        <v>108.34720684095301</v>
      </c>
      <c r="AK7214">
        <v>8.54148318992101</v>
      </c>
      <c r="AL7214">
        <v>67.133275191066403</v>
      </c>
      <c r="AM7214">
        <v>109.010893780266</v>
      </c>
      <c r="AN7214">
        <v>1.0000000118437</v>
      </c>
    </row>
    <row r="7215" spans="1:40" x14ac:dyDescent="0.25">
      <c r="A7215" t="str">
        <f>"20190304164302436"</f>
        <v>20190304164302436</v>
      </c>
      <c r="B7215" t="str">
        <f>"1551688982428689"</f>
        <v>1551688982428689</v>
      </c>
      <c r="C7215" t="s">
        <v>40</v>
      </c>
      <c r="D7215">
        <v>4.7336010000000002</v>
      </c>
      <c r="E7215">
        <v>0.5068397</v>
      </c>
      <c r="F7215" t="s">
        <v>57</v>
      </c>
      <c r="G7215">
        <v>-196.64660000000001</v>
      </c>
      <c r="H7215" s="1">
        <v>-4.5194110000000004E-6</v>
      </c>
      <c r="I7215">
        <v>-46.385260000000002</v>
      </c>
      <c r="J7215">
        <v>-200.41560000000001</v>
      </c>
      <c r="K7215">
        <v>1.120409</v>
      </c>
      <c r="L7215">
        <v>-54.139679999999998</v>
      </c>
      <c r="M7215">
        <v>0.69577800000000001</v>
      </c>
      <c r="N7215">
        <v>-1.5633270000000001E-2</v>
      </c>
      <c r="O7215">
        <v>0.71808680000000003</v>
      </c>
      <c r="P7215">
        <v>0.40231339999999999</v>
      </c>
      <c r="Q7215">
        <v>0.38201049999999998</v>
      </c>
      <c r="R7215">
        <v>0.83199269999999903</v>
      </c>
      <c r="S7215">
        <v>1.51915</v>
      </c>
      <c r="T7215">
        <v>-0.43490839999999997</v>
      </c>
      <c r="U7215">
        <v>3.070862</v>
      </c>
      <c r="V7215">
        <v>-0.29936570000000001</v>
      </c>
      <c r="W7215">
        <v>0.38866010000000001</v>
      </c>
      <c r="X7215">
        <v>0.87139169999999999</v>
      </c>
      <c r="Y7215">
        <v>-0.3059788</v>
      </c>
      <c r="Z7215">
        <v>-6.3967490000000002E-2</v>
      </c>
      <c r="AA7215">
        <v>0.94988689999999998</v>
      </c>
      <c r="AB7215">
        <v>31</v>
      </c>
      <c r="AC7215">
        <v>3.7690000000000001</v>
      </c>
      <c r="AD7215">
        <v>-1.1204135194110001</v>
      </c>
      <c r="AE7215">
        <v>7.7544199999999996</v>
      </c>
      <c r="AF7215">
        <v>-2.6445553427018198</v>
      </c>
      <c r="AG7215">
        <v>-1.1204135194110001</v>
      </c>
      <c r="AH7215">
        <v>8.0556972904590491</v>
      </c>
      <c r="AI7215">
        <v>97.527729111310094</v>
      </c>
      <c r="AJ7215">
        <v>108.17417305012999</v>
      </c>
      <c r="AK7215">
        <v>8.5523831912865695</v>
      </c>
      <c r="AL7215">
        <v>67.128847314218405</v>
      </c>
      <c r="AM7215">
        <v>108.96010497032</v>
      </c>
      <c r="AN7215">
        <v>0.99999999524869398</v>
      </c>
    </row>
    <row r="7216" spans="1:40" x14ac:dyDescent="0.25">
      <c r="A7216" t="str">
        <f>"20190304164302460"</f>
        <v>20190304164302460</v>
      </c>
      <c r="B7216" t="str">
        <f>"1551688982448209"</f>
        <v>1551688982448209</v>
      </c>
      <c r="C7216" t="s">
        <v>40</v>
      </c>
      <c r="D7216">
        <v>4.7442460000000004</v>
      </c>
      <c r="E7216">
        <v>0.50667659999999903</v>
      </c>
      <c r="F7216" t="s">
        <v>57</v>
      </c>
      <c r="G7216">
        <v>-196.62129999999999</v>
      </c>
      <c r="H7216" s="1">
        <v>-4.3456140000000003E-6</v>
      </c>
      <c r="I7216">
        <v>-46.721679999999999</v>
      </c>
      <c r="J7216">
        <v>-200.19030000000001</v>
      </c>
      <c r="K7216">
        <v>1.1201080000000001</v>
      </c>
      <c r="L7216">
        <v>-53.890689999999999</v>
      </c>
      <c r="M7216">
        <v>0.68740619999999997</v>
      </c>
      <c r="N7216">
        <v>-1.557685E-2</v>
      </c>
      <c r="O7216">
        <v>0.72610600000000003</v>
      </c>
      <c r="P7216">
        <v>0.39339030000000003</v>
      </c>
      <c r="Q7216">
        <v>0.38234879999999999</v>
      </c>
      <c r="R7216">
        <v>0.83609419999999901</v>
      </c>
      <c r="S7216">
        <v>1.5656890000000001</v>
      </c>
      <c r="T7216">
        <v>-0.46233370000000001</v>
      </c>
      <c r="U7216">
        <v>3.0610050000000002</v>
      </c>
      <c r="V7216">
        <v>-0.29818909999999998</v>
      </c>
      <c r="W7216">
        <v>0.38919559999999997</v>
      </c>
      <c r="X7216">
        <v>0.87155609999999994</v>
      </c>
      <c r="Y7216">
        <v>-0.28242539999999999</v>
      </c>
      <c r="Z7216">
        <v>-7.0948730000000002E-2</v>
      </c>
      <c r="AA7216">
        <v>0.95666200000000001</v>
      </c>
      <c r="AB7216">
        <v>31</v>
      </c>
      <c r="AC7216">
        <v>3.5690000000000102</v>
      </c>
      <c r="AD7216">
        <v>-1.1201123456139901</v>
      </c>
      <c r="AE7216">
        <v>7.1690100000000001</v>
      </c>
      <c r="AF7216">
        <v>-2.2919940199276998</v>
      </c>
      <c r="AG7216">
        <v>-1.1201123456139901</v>
      </c>
      <c r="AH7216">
        <v>7.5127682314250901</v>
      </c>
      <c r="AI7216">
        <v>98.115983109939606</v>
      </c>
      <c r="AJ7216">
        <v>106.965890194934</v>
      </c>
      <c r="AK7216">
        <v>7.9340768053561996</v>
      </c>
      <c r="AL7216">
        <v>67.095543334716993</v>
      </c>
      <c r="AM7216">
        <v>108.88756871959301</v>
      </c>
      <c r="AN7216">
        <v>0.99999999493268898</v>
      </c>
    </row>
    <row r="7217" spans="1:40" x14ac:dyDescent="0.25">
      <c r="A7217" t="str">
        <f>"20190304164302478"</f>
        <v>20190304164302478</v>
      </c>
      <c r="B7217" t="str">
        <f>"1551688982468705"</f>
        <v>1551688982468705</v>
      </c>
      <c r="C7217" t="s">
        <v>40</v>
      </c>
      <c r="D7217">
        <v>4.7728010000000003</v>
      </c>
      <c r="E7217">
        <v>0.50717069999999997</v>
      </c>
      <c r="F7217" t="s">
        <v>57</v>
      </c>
      <c r="G7217">
        <v>-196.49619999999999</v>
      </c>
      <c r="H7217" s="1">
        <v>-4.4483950000000001E-6</v>
      </c>
      <c r="I7217">
        <v>-46.473179999999999</v>
      </c>
      <c r="J7217">
        <v>-200.03110000000001</v>
      </c>
      <c r="K7217">
        <v>1.119883</v>
      </c>
      <c r="L7217">
        <v>-53.711179999999999</v>
      </c>
      <c r="M7217">
        <v>0.68157330000000005</v>
      </c>
      <c r="N7217">
        <v>-1.553365E-2</v>
      </c>
      <c r="O7217">
        <v>0.73158500000000004</v>
      </c>
      <c r="P7217">
        <v>0.38624310000000001</v>
      </c>
      <c r="Q7217">
        <v>0.38331189999999998</v>
      </c>
      <c r="R7217">
        <v>0.83898039999999996</v>
      </c>
      <c r="S7217">
        <v>1.5335240000000001</v>
      </c>
      <c r="T7217">
        <v>-0.46499119999999999</v>
      </c>
      <c r="U7217">
        <v>3.079224</v>
      </c>
      <c r="V7217">
        <v>-0.29815160000000002</v>
      </c>
      <c r="W7217">
        <v>0.39027899999999999</v>
      </c>
      <c r="X7217">
        <v>0.87108439999999998</v>
      </c>
      <c r="Y7217">
        <v>-0.28504459999999998</v>
      </c>
      <c r="Z7217">
        <v>-7.2048580000000001E-2</v>
      </c>
      <c r="AA7217">
        <v>0.95580259999999995</v>
      </c>
      <c r="AB7217">
        <v>31</v>
      </c>
      <c r="AC7217">
        <v>3.5349000000000199</v>
      </c>
      <c r="AD7217">
        <v>-1.1198874483950001</v>
      </c>
      <c r="AE7217">
        <v>7.2380000000000004</v>
      </c>
      <c r="AF7217">
        <v>-2.3029177099957998</v>
      </c>
      <c r="AG7217">
        <v>-1.1198874483950001</v>
      </c>
      <c r="AH7217">
        <v>7.5593207779748397</v>
      </c>
      <c r="AI7217">
        <v>98.066026918019702</v>
      </c>
      <c r="AJ7217">
        <v>106.943153615245</v>
      </c>
      <c r="AK7217">
        <v>7.9812848903173004</v>
      </c>
      <c r="AL7217">
        <v>67.028140583978399</v>
      </c>
      <c r="AM7217">
        <v>108.894863063038</v>
      </c>
      <c r="AN7217">
        <v>1.0000000531734501</v>
      </c>
    </row>
    <row r="7218" spans="1:40" x14ac:dyDescent="0.25">
      <c r="A7218" t="str">
        <f>"20190304164302498"</f>
        <v>20190304164302498</v>
      </c>
      <c r="B7218" t="str">
        <f>"1551688982488224"</f>
        <v>1551688982488224</v>
      </c>
      <c r="C7218" t="s">
        <v>40</v>
      </c>
      <c r="D7218">
        <v>4.7706400000000002</v>
      </c>
      <c r="E7218">
        <v>0.50797409999999998</v>
      </c>
      <c r="F7218" t="s">
        <v>57</v>
      </c>
      <c r="G7218">
        <v>-196.3768</v>
      </c>
      <c r="H7218" s="1">
        <v>-4.5388429999999998E-6</v>
      </c>
      <c r="I7218">
        <v>-46.251199999999997</v>
      </c>
      <c r="J7218">
        <v>-199.84139999999999</v>
      </c>
      <c r="K7218">
        <v>1.119599</v>
      </c>
      <c r="L7218">
        <v>-53.4940199999999</v>
      </c>
      <c r="M7218">
        <v>0.674701</v>
      </c>
      <c r="N7218">
        <v>-1.5480219999999999E-2</v>
      </c>
      <c r="O7218">
        <v>0.73792880000000005</v>
      </c>
      <c r="P7218">
        <v>0.37864209999999998</v>
      </c>
      <c r="Q7218">
        <v>0.3834612</v>
      </c>
      <c r="R7218">
        <v>0.84237030000000002</v>
      </c>
      <c r="S7218">
        <v>1.5140229999999999</v>
      </c>
      <c r="T7218">
        <v>-0.46398279999999997</v>
      </c>
      <c r="U7218">
        <v>3.0907589999999998</v>
      </c>
      <c r="V7218">
        <v>-0.29755470000000001</v>
      </c>
      <c r="W7218">
        <v>0.39060289999999998</v>
      </c>
      <c r="X7218">
        <v>0.87114329999999995</v>
      </c>
      <c r="Y7218">
        <v>-0.28238730000000001</v>
      </c>
      <c r="Z7218">
        <v>-7.29099E-2</v>
      </c>
      <c r="AA7218">
        <v>0.95652579999999998</v>
      </c>
      <c r="AB7218">
        <v>31</v>
      </c>
      <c r="AC7218">
        <v>3.4645999999999901</v>
      </c>
      <c r="AD7218">
        <v>-1.1196035388429999</v>
      </c>
      <c r="AE7218">
        <v>7.2428199999999903</v>
      </c>
      <c r="AF7218">
        <v>-2.2859371872257599</v>
      </c>
      <c r="AG7218">
        <v>-1.1196035388429999</v>
      </c>
      <c r="AH7218">
        <v>7.5366197546530698</v>
      </c>
      <c r="AI7218">
        <v>98.090943927162996</v>
      </c>
      <c r="AJ7218">
        <v>106.87311042787699</v>
      </c>
      <c r="AK7218">
        <v>7.9548512389835597</v>
      </c>
      <c r="AL7218">
        <v>67.007982101715399</v>
      </c>
      <c r="AM7218">
        <v>108.858526655652</v>
      </c>
      <c r="AN7218">
        <v>1.00000003705769</v>
      </c>
    </row>
    <row r="7219" spans="1:40" x14ac:dyDescent="0.25">
      <c r="A7219" t="str">
        <f>"20190304164302512"</f>
        <v>20190304164302512</v>
      </c>
      <c r="B7219" t="str">
        <f>"1551688982508030"</f>
        <v>1551688982508030</v>
      </c>
      <c r="C7219" t="s">
        <v>40</v>
      </c>
      <c r="D7219">
        <v>5.2450830000000002</v>
      </c>
      <c r="E7219">
        <v>0.50848409999999999</v>
      </c>
      <c r="F7219" t="s">
        <v>57</v>
      </c>
      <c r="G7219">
        <v>-196.26769999999999</v>
      </c>
      <c r="H7219" s="1">
        <v>-4.61491999999999E-6</v>
      </c>
      <c r="I7219">
        <v>-46.061450000000001</v>
      </c>
      <c r="J7219">
        <v>-199.7176</v>
      </c>
      <c r="K7219">
        <v>1.119407</v>
      </c>
      <c r="L7219">
        <v>-53.350099999999998</v>
      </c>
      <c r="M7219">
        <v>0.67028239999999994</v>
      </c>
      <c r="N7219">
        <v>-1.5444319999999999E-2</v>
      </c>
      <c r="O7219">
        <v>0.74194539999999998</v>
      </c>
      <c r="P7219">
        <v>0.373776</v>
      </c>
      <c r="Q7219">
        <v>0.38301459999999998</v>
      </c>
      <c r="R7219">
        <v>0.84474329999999997</v>
      </c>
      <c r="S7219">
        <v>1.4921719999999901</v>
      </c>
      <c r="T7219">
        <v>-0.46749269999999998</v>
      </c>
      <c r="U7219">
        <v>3.103485</v>
      </c>
      <c r="V7219">
        <v>-0.29731419999999997</v>
      </c>
      <c r="W7219">
        <v>0.39027240000000002</v>
      </c>
      <c r="X7219">
        <v>0.87137350000000002</v>
      </c>
      <c r="Y7219">
        <v>-0.28369630000000001</v>
      </c>
      <c r="Z7219">
        <v>-7.4036370000000004E-2</v>
      </c>
      <c r="AA7219">
        <v>0.95605180000000001</v>
      </c>
      <c r="AB7219">
        <v>31</v>
      </c>
      <c r="AC7219">
        <v>3.4499000000000102</v>
      </c>
      <c r="AD7219">
        <v>-1.11941161492</v>
      </c>
      <c r="AE7219">
        <v>7.2886499999999899</v>
      </c>
      <c r="AF7219">
        <v>-2.2821164847928901</v>
      </c>
      <c r="AG7219">
        <v>-1.11941161492</v>
      </c>
      <c r="AH7219">
        <v>7.57513255345203</v>
      </c>
      <c r="AI7219">
        <v>98.053491119807603</v>
      </c>
      <c r="AJ7219">
        <v>106.765675319441</v>
      </c>
      <c r="AK7219">
        <v>7.9902297348793399</v>
      </c>
      <c r="AL7219">
        <v>67.028550698615703</v>
      </c>
      <c r="AM7219">
        <v>108.83973310710201</v>
      </c>
      <c r="AN7219">
        <v>1.0000000281128201</v>
      </c>
    </row>
    <row r="7220" spans="1:40" x14ac:dyDescent="0.25">
      <c r="A7220" t="str">
        <f>"20190304164302532"</f>
        <v>20190304164302532</v>
      </c>
      <c r="B7220" t="str">
        <f>"1551688982528527"</f>
        <v>1551688982528527</v>
      </c>
      <c r="C7220" t="s">
        <v>40</v>
      </c>
      <c r="D7220">
        <v>4.7640799999999999</v>
      </c>
      <c r="E7220">
        <v>0.50965729999999998</v>
      </c>
      <c r="F7220" t="s">
        <v>57</v>
      </c>
      <c r="G7220">
        <v>-196.21039999999999</v>
      </c>
      <c r="H7220" s="1">
        <v>-4.6527999999999997E-6</v>
      </c>
      <c r="I7220">
        <v>-45.965879999999999</v>
      </c>
      <c r="J7220">
        <v>-199.5378</v>
      </c>
      <c r="K7220">
        <v>1.1191180000000001</v>
      </c>
      <c r="L7220">
        <v>-53.138399999999997</v>
      </c>
      <c r="M7220">
        <v>0.66393409999999997</v>
      </c>
      <c r="N7220">
        <v>-1.539274E-2</v>
      </c>
      <c r="O7220">
        <v>0.74763259999999998</v>
      </c>
      <c r="P7220">
        <v>0.36654930000000002</v>
      </c>
      <c r="Q7220">
        <v>0.3824399</v>
      </c>
      <c r="R7220">
        <v>0.84816349999999996</v>
      </c>
      <c r="S7220">
        <v>1.477768</v>
      </c>
      <c r="T7220">
        <v>-0.47166730000000001</v>
      </c>
      <c r="U7220">
        <v>3.1113590000000002</v>
      </c>
      <c r="V7220">
        <v>-0.29721199999999998</v>
      </c>
      <c r="W7220">
        <v>0.38986140000000002</v>
      </c>
      <c r="X7220">
        <v>0.87159229999999999</v>
      </c>
      <c r="Y7220">
        <v>-0.28014099999999997</v>
      </c>
      <c r="Z7220">
        <v>-7.5835470000000002E-2</v>
      </c>
      <c r="AA7220">
        <v>0.95695870000000005</v>
      </c>
      <c r="AB7220">
        <v>31</v>
      </c>
      <c r="AC7220">
        <v>3.3274000000000101</v>
      </c>
      <c r="AD7220">
        <v>-1.1191226528</v>
      </c>
      <c r="AE7220">
        <v>7.1725199999999898</v>
      </c>
      <c r="AF7220">
        <v>-2.2300024126017601</v>
      </c>
      <c r="AG7220">
        <v>-1.1191226528</v>
      </c>
      <c r="AH7220">
        <v>7.4237566746265697</v>
      </c>
      <c r="AI7220">
        <v>98.215356239976003</v>
      </c>
      <c r="AJ7220">
        <v>106.71960180244299</v>
      </c>
      <c r="AK7220">
        <v>7.83182669856033</v>
      </c>
      <c r="AL7220">
        <v>67.054124680672004</v>
      </c>
      <c r="AM7220">
        <v>108.82931889753</v>
      </c>
      <c r="AN7220">
        <v>1.00000001078662</v>
      </c>
    </row>
    <row r="7221" spans="1:40" x14ac:dyDescent="0.25">
      <c r="A7221" t="str">
        <f>"20190304164302547"</f>
        <v>20190304164302547</v>
      </c>
      <c r="B7221" t="str">
        <f>"1551688982538285"</f>
        <v>1551688982538285</v>
      </c>
      <c r="C7221" t="s">
        <v>40</v>
      </c>
      <c r="D7221">
        <v>4.7723940000000002</v>
      </c>
      <c r="E7221">
        <v>0.50965729999999998</v>
      </c>
      <c r="F7221" t="s">
        <v>57</v>
      </c>
      <c r="G7221">
        <v>-196.1157</v>
      </c>
      <c r="H7221" s="1">
        <v>-4.7026020000000001E-6</v>
      </c>
      <c r="I7221">
        <v>-45.833410000000001</v>
      </c>
      <c r="J7221">
        <v>-199.4059</v>
      </c>
      <c r="K7221">
        <v>1.118914</v>
      </c>
      <c r="L7221">
        <v>-52.981169999999999</v>
      </c>
      <c r="M7221">
        <v>0.6593369</v>
      </c>
      <c r="N7221">
        <v>-1.535563E-2</v>
      </c>
      <c r="O7221">
        <v>0.75169079999999999</v>
      </c>
      <c r="P7221">
        <v>0.36110429999999999</v>
      </c>
      <c r="Q7221">
        <v>0.3819129</v>
      </c>
      <c r="R7221">
        <v>0.85073269999999901</v>
      </c>
      <c r="S7221">
        <v>1.461975</v>
      </c>
      <c r="T7221">
        <v>-0.47810910000000001</v>
      </c>
      <c r="U7221">
        <v>3.120819</v>
      </c>
      <c r="V7221">
        <v>-0.29740339999999998</v>
      </c>
      <c r="W7221">
        <v>0.38944600000000001</v>
      </c>
      <c r="X7221">
        <v>0.87171270000000001</v>
      </c>
      <c r="Y7221">
        <v>-0.27940619999999999</v>
      </c>
      <c r="Z7221">
        <v>-7.76501E-2</v>
      </c>
      <c r="AA7221">
        <v>0.95702799999999999</v>
      </c>
      <c r="AB7221">
        <v>31</v>
      </c>
      <c r="AC7221">
        <v>3.2901999999999898</v>
      </c>
      <c r="AD7221">
        <v>-1.118918702602</v>
      </c>
      <c r="AE7221">
        <v>7.1477599999999901</v>
      </c>
      <c r="AF7221">
        <v>-2.1954397326163302</v>
      </c>
      <c r="AG7221">
        <v>-1.118918702602</v>
      </c>
      <c r="AH7221">
        <v>7.3936408957200204</v>
      </c>
      <c r="AI7221">
        <v>98.254577204508095</v>
      </c>
      <c r="AJ7221">
        <v>106.538061010364</v>
      </c>
      <c r="AK7221">
        <v>7.7934498380015604</v>
      </c>
      <c r="AL7221">
        <v>67.079967708843199</v>
      </c>
      <c r="AM7221">
        <v>108.838170837766</v>
      </c>
      <c r="AN7221">
        <v>1.00000000029442</v>
      </c>
    </row>
    <row r="7222" spans="1:40" x14ac:dyDescent="0.25">
      <c r="A7222" t="str">
        <f>"20190304164302560"</f>
        <v>20190304164302560</v>
      </c>
      <c r="B7222" t="str">
        <f>"1551688982548046"</f>
        <v>1551688982548046</v>
      </c>
      <c r="C7222" t="s">
        <v>40</v>
      </c>
      <c r="D7222">
        <v>4.742902</v>
      </c>
      <c r="E7222">
        <v>0.51586620000000005</v>
      </c>
      <c r="F7222" t="s">
        <v>57</v>
      </c>
      <c r="G7222">
        <v>-196.04239999999999</v>
      </c>
      <c r="H7222" s="1">
        <v>-4.7635759999999998E-6</v>
      </c>
      <c r="I7222">
        <v>-45.686329999999998</v>
      </c>
      <c r="J7222">
        <v>-199.2901</v>
      </c>
      <c r="K7222">
        <v>1.118738</v>
      </c>
      <c r="L7222">
        <v>-52.841669999999901</v>
      </c>
      <c r="M7222">
        <v>0.65533350000000001</v>
      </c>
      <c r="N7222">
        <v>-1.5323720000000001E-2</v>
      </c>
      <c r="O7222">
        <v>0.75518419999999997</v>
      </c>
      <c r="P7222">
        <v>0.35633700000000001</v>
      </c>
      <c r="Q7222">
        <v>0.3815905</v>
      </c>
      <c r="R7222">
        <v>0.85288489999999995</v>
      </c>
      <c r="S7222">
        <v>1.4429019999999999</v>
      </c>
      <c r="T7222">
        <v>-0.48000229999999999</v>
      </c>
      <c r="U7222">
        <v>3.1293950000000001</v>
      </c>
      <c r="V7222">
        <v>-0.29757129999999998</v>
      </c>
      <c r="W7222">
        <v>0.3892176</v>
      </c>
      <c r="X7222">
        <v>0.87175740000000002</v>
      </c>
      <c r="Y7222">
        <v>-0.28013660000000001</v>
      </c>
      <c r="Z7222">
        <v>-7.8513830000000007E-2</v>
      </c>
      <c r="AA7222">
        <v>0.95674400000000004</v>
      </c>
      <c r="AB7222">
        <v>31</v>
      </c>
      <c r="AC7222">
        <v>3.2477</v>
      </c>
      <c r="AD7222">
        <v>-1.1187427635760001</v>
      </c>
      <c r="AE7222">
        <v>7.15533999999999</v>
      </c>
      <c r="AF7222">
        <v>-2.19234659480612</v>
      </c>
      <c r="AG7222">
        <v>-1.1187427635760001</v>
      </c>
      <c r="AH7222">
        <v>7.38315606083059</v>
      </c>
      <c r="AI7222">
        <v>98.264849778984598</v>
      </c>
      <c r="AJ7222">
        <v>106.538204991526</v>
      </c>
      <c r="AK7222">
        <v>7.7826064002614901</v>
      </c>
      <c r="AL7222">
        <v>67.0941748486497</v>
      </c>
      <c r="AM7222">
        <v>108.847157129745</v>
      </c>
      <c r="AN7222">
        <v>0.99999999159410502</v>
      </c>
    </row>
    <row r="7223" spans="1:40" x14ac:dyDescent="0.25">
      <c r="A7223" t="str">
        <f>"20190304164302577"</f>
        <v>20190304164302577</v>
      </c>
      <c r="B7223" t="str">
        <f>"1551688982568541"</f>
        <v>1551688982568541</v>
      </c>
      <c r="C7223" t="s">
        <v>40</v>
      </c>
      <c r="D7223">
        <v>4.7569819999999998</v>
      </c>
      <c r="E7223">
        <v>0.51672410000000002</v>
      </c>
      <c r="F7223" t="s">
        <v>57</v>
      </c>
      <c r="G7223">
        <v>-196.0343</v>
      </c>
      <c r="H7223" s="1">
        <v>-4.6309699999999998E-6</v>
      </c>
      <c r="I7223">
        <v>-45.94697</v>
      </c>
      <c r="J7223">
        <v>-199.1413</v>
      </c>
      <c r="K7223">
        <v>1.118528</v>
      </c>
      <c r="L7223">
        <v>-52.660029999999999</v>
      </c>
      <c r="M7223">
        <v>0.65025619999999995</v>
      </c>
      <c r="N7223">
        <v>-1.528358E-2</v>
      </c>
      <c r="O7223">
        <v>0.75956129999999999</v>
      </c>
      <c r="P7223">
        <v>0.35075020000000001</v>
      </c>
      <c r="Q7223">
        <v>0.381189</v>
      </c>
      <c r="R7223">
        <v>0.85537669999999999</v>
      </c>
      <c r="S7223">
        <v>1.4768520000000001</v>
      </c>
      <c r="T7223">
        <v>-0.50747229999999999</v>
      </c>
      <c r="U7223">
        <v>3.1275019999999998</v>
      </c>
      <c r="V7223">
        <v>-0.29733599999999999</v>
      </c>
      <c r="W7223">
        <v>0.3889377</v>
      </c>
      <c r="X7223">
        <v>0.87196260000000003</v>
      </c>
      <c r="Y7223">
        <v>-0.26521040000000001</v>
      </c>
      <c r="Z7223">
        <v>-8.4866570000000002E-2</v>
      </c>
      <c r="AA7223">
        <v>0.96044839999999998</v>
      </c>
      <c r="AB7223">
        <v>31</v>
      </c>
      <c r="AC7223">
        <v>3.10699999999999</v>
      </c>
      <c r="AD7223">
        <v>-1.1185326309700001</v>
      </c>
      <c r="AE7223">
        <v>6.7130599999999996</v>
      </c>
      <c r="AF7223">
        <v>-1.96065660815042</v>
      </c>
      <c r="AG7223">
        <v>-1.1185326309700001</v>
      </c>
      <c r="AH7223">
        <v>6.9609980397016704</v>
      </c>
      <c r="AI7223">
        <v>98.792130680106197</v>
      </c>
      <c r="AJ7223">
        <v>105.730571798211</v>
      </c>
      <c r="AK7223">
        <v>7.3178400700178701</v>
      </c>
      <c r="AL7223">
        <v>67.111583956133501</v>
      </c>
      <c r="AM7223">
        <v>108.82918516457801</v>
      </c>
      <c r="AN7223">
        <v>1.0000000035880201</v>
      </c>
    </row>
    <row r="7224" spans="1:40" x14ac:dyDescent="0.25">
      <c r="A7224" t="str">
        <f>"20190304164302598"</f>
        <v>20190304164302598</v>
      </c>
      <c r="B7224" t="str">
        <f>"1551688982588062"</f>
        <v>1551688982588062</v>
      </c>
      <c r="C7224" t="s">
        <v>40</v>
      </c>
      <c r="D7224">
        <v>4.7630980000000003</v>
      </c>
      <c r="E7224">
        <v>0.51735600000000004</v>
      </c>
      <c r="F7224" t="s">
        <v>57</v>
      </c>
      <c r="G7224">
        <v>-195.9297</v>
      </c>
      <c r="H7224" s="1">
        <v>-4.6990390000000003E-6</v>
      </c>
      <c r="I7224">
        <v>-45.774709999999999</v>
      </c>
      <c r="J7224">
        <v>-198.95930000000001</v>
      </c>
      <c r="K7224">
        <v>1.1182989999999999</v>
      </c>
      <c r="L7224">
        <v>-52.434910000000002</v>
      </c>
      <c r="M7224">
        <v>0.64409939999999999</v>
      </c>
      <c r="N7224">
        <v>-1.523686E-2</v>
      </c>
      <c r="O7224">
        <v>0.76479010000000003</v>
      </c>
      <c r="P7224">
        <v>0.344039599999999</v>
      </c>
      <c r="Q7224">
        <v>0.38135249999999998</v>
      </c>
      <c r="R7224">
        <v>0.85802509999999999</v>
      </c>
      <c r="S7224">
        <v>1.4621120000000001</v>
      </c>
      <c r="T7224">
        <v>-0.50922330000000005</v>
      </c>
      <c r="U7224">
        <v>3.1346129999999999</v>
      </c>
      <c r="V7224">
        <v>-0.29684969999999999</v>
      </c>
      <c r="W7224">
        <v>0.38923819999999998</v>
      </c>
      <c r="X7224">
        <v>0.87199419999999905</v>
      </c>
      <c r="Y7224">
        <v>-0.26202110000000001</v>
      </c>
      <c r="Z7224">
        <v>-8.622233E-2</v>
      </c>
      <c r="AA7224">
        <v>0.96120269999999997</v>
      </c>
      <c r="AB7224">
        <v>31</v>
      </c>
      <c r="AC7224">
        <v>3.0296000000000101</v>
      </c>
      <c r="AD7224">
        <v>-1.1183036990389901</v>
      </c>
      <c r="AE7224">
        <v>6.6601999999999899</v>
      </c>
      <c r="AF7224">
        <v>-1.9280138294725599</v>
      </c>
      <c r="AG7224">
        <v>-1.1183036990389901</v>
      </c>
      <c r="AH7224">
        <v>6.8850044002667001</v>
      </c>
      <c r="AI7224">
        <v>98.889559469996996</v>
      </c>
      <c r="AJ7224">
        <v>105.643887020515</v>
      </c>
      <c r="AK7224">
        <v>7.2367897635356</v>
      </c>
      <c r="AL7224">
        <v>67.092893782075706</v>
      </c>
      <c r="AM7224">
        <v>108.799921114686</v>
      </c>
      <c r="AN7224">
        <v>1.0000000027814799</v>
      </c>
    </row>
    <row r="7225" spans="1:40" x14ac:dyDescent="0.25">
      <c r="A7225" t="str">
        <f>"20190304164302612"</f>
        <v>20190304164302612</v>
      </c>
      <c r="B7225" t="str">
        <f>"1551688982608088"</f>
        <v>1551688982608088</v>
      </c>
      <c r="C7225" t="s">
        <v>40</v>
      </c>
      <c r="D7225">
        <v>4.7386400000000002</v>
      </c>
      <c r="E7225">
        <v>0.51815310000000003</v>
      </c>
      <c r="F7225" t="s">
        <v>57</v>
      </c>
      <c r="G7225">
        <v>-195.8092</v>
      </c>
      <c r="H7225" s="1">
        <v>-4.7846989999999999E-6</v>
      </c>
      <c r="I7225">
        <v>-45.561860000000003</v>
      </c>
      <c r="J7225">
        <v>-198.8416</v>
      </c>
      <c r="K7225">
        <v>1.118174</v>
      </c>
      <c r="L7225">
        <v>-52.287260000000003</v>
      </c>
      <c r="M7225">
        <v>0.64014859999999996</v>
      </c>
      <c r="N7225">
        <v>-1.520794E-2</v>
      </c>
      <c r="O7225">
        <v>0.76810059999999902</v>
      </c>
      <c r="P7225">
        <v>0.33972150000000001</v>
      </c>
      <c r="Q7225">
        <v>0.38130350000000002</v>
      </c>
      <c r="R7225">
        <v>0.85976569999999997</v>
      </c>
      <c r="S7225">
        <v>1.4417719999999901</v>
      </c>
      <c r="T7225">
        <v>-0.51184560000000001</v>
      </c>
      <c r="U7225">
        <v>3.1457820000000001</v>
      </c>
      <c r="V7225">
        <v>-0.29662149999999998</v>
      </c>
      <c r="W7225">
        <v>0.38926500000000003</v>
      </c>
      <c r="X7225">
        <v>0.8720599</v>
      </c>
      <c r="Y7225">
        <v>-0.26350519999999999</v>
      </c>
      <c r="Z7225">
        <v>-8.7140960000000003E-2</v>
      </c>
      <c r="AA7225">
        <v>0.96071399999999996</v>
      </c>
      <c r="AB7225">
        <v>31</v>
      </c>
      <c r="AC7225">
        <v>3.0323999999999902</v>
      </c>
      <c r="AD7225">
        <v>-1.1181787846989999</v>
      </c>
      <c r="AE7225">
        <v>6.7253999999999996</v>
      </c>
      <c r="AF7225">
        <v>-1.9319143160654699</v>
      </c>
      <c r="AG7225">
        <v>-1.1181787846989999</v>
      </c>
      <c r="AH7225">
        <v>6.9481737724779196</v>
      </c>
      <c r="AI7225">
        <v>98.813500716433595</v>
      </c>
      <c r="AJ7225">
        <v>105.53839545544901</v>
      </c>
      <c r="AK7225">
        <v>7.2979267940778696</v>
      </c>
      <c r="AL7225">
        <v>67.091227000571493</v>
      </c>
      <c r="AM7225">
        <v>108.785166932951</v>
      </c>
      <c r="AN7225">
        <v>1.00000001183763</v>
      </c>
    </row>
    <row r="7226" spans="1:40" x14ac:dyDescent="0.25">
      <c r="A7226" t="str">
        <f>"20190304164302626"</f>
        <v>20190304164302626</v>
      </c>
      <c r="B7226" t="str">
        <f>"1551688982617848"</f>
        <v>1551688982617848</v>
      </c>
      <c r="C7226" t="s">
        <v>40</v>
      </c>
      <c r="D7226">
        <v>4.7508730000000003</v>
      </c>
      <c r="E7226">
        <v>0.51848170000000005</v>
      </c>
      <c r="F7226" t="s">
        <v>57</v>
      </c>
      <c r="G7226">
        <v>-195.732</v>
      </c>
      <c r="H7226" s="1">
        <v>-4.8312950000000003E-6</v>
      </c>
      <c r="I7226">
        <v>-45.441929999999999</v>
      </c>
      <c r="J7226">
        <v>-198.72559999999999</v>
      </c>
      <c r="K7226">
        <v>1.1180619999999999</v>
      </c>
      <c r="L7226">
        <v>-52.140500000000003</v>
      </c>
      <c r="M7226">
        <v>0.63625390000000004</v>
      </c>
      <c r="N7226">
        <v>-1.5180809999999999E-2</v>
      </c>
      <c r="O7226">
        <v>0.77133039999999997</v>
      </c>
      <c r="P7226">
        <v>0.33545340000000001</v>
      </c>
      <c r="Q7226">
        <v>0.38189529999999999</v>
      </c>
      <c r="R7226">
        <v>0.86117770000000005</v>
      </c>
      <c r="S7226">
        <v>1.431824</v>
      </c>
      <c r="T7226">
        <v>-0.51485800000000004</v>
      </c>
      <c r="U7226">
        <v>3.1518860000000002</v>
      </c>
      <c r="V7226">
        <v>-0.29625899999999999</v>
      </c>
      <c r="W7226">
        <v>0.38992460000000001</v>
      </c>
      <c r="X7226">
        <v>0.87188840000000001</v>
      </c>
      <c r="Y7226">
        <v>-0.26188610000000001</v>
      </c>
      <c r="Z7226">
        <v>-8.8301149999999995E-2</v>
      </c>
      <c r="AA7226">
        <v>0.96105070000000004</v>
      </c>
      <c r="AB7226">
        <v>31</v>
      </c>
      <c r="AC7226">
        <v>2.9935999999999798</v>
      </c>
      <c r="AD7226">
        <v>-1.118066831295</v>
      </c>
      <c r="AE7226">
        <v>6.6985700000000001</v>
      </c>
      <c r="AF7226">
        <v>-1.9088354962246199</v>
      </c>
      <c r="AG7226">
        <v>-1.118066831295</v>
      </c>
      <c r="AH7226">
        <v>6.9118121265669297</v>
      </c>
      <c r="AI7226">
        <v>98.862470657406703</v>
      </c>
      <c r="AJ7226">
        <v>105.43855810871899</v>
      </c>
      <c r="AK7226">
        <v>7.2571945863292697</v>
      </c>
      <c r="AL7226">
        <v>67.050191770674004</v>
      </c>
      <c r="AM7226">
        <v>108.76724959238901</v>
      </c>
      <c r="AN7226">
        <v>0.99999998541035995</v>
      </c>
    </row>
    <row r="7227" spans="1:40" x14ac:dyDescent="0.25">
      <c r="A7227" t="str">
        <f>"20190304164302647"</f>
        <v>20190304164302647</v>
      </c>
      <c r="B7227" t="str">
        <f>"1551688982638344"</f>
        <v>1551688982638344</v>
      </c>
      <c r="C7227" t="s">
        <v>40</v>
      </c>
      <c r="D7227">
        <v>4.7412660000000004</v>
      </c>
      <c r="E7227">
        <v>0.52240279999999994</v>
      </c>
      <c r="F7227" t="s">
        <v>57</v>
      </c>
      <c r="G7227">
        <v>-195.6474</v>
      </c>
      <c r="H7227" s="1">
        <v>-4.8946879999999996E-6</v>
      </c>
      <c r="I7227">
        <v>-45.278190000000002</v>
      </c>
      <c r="J7227">
        <v>-198.55289999999999</v>
      </c>
      <c r="K7227">
        <v>1.117928</v>
      </c>
      <c r="L7227">
        <v>-51.91919</v>
      </c>
      <c r="M7227">
        <v>0.63045790000000002</v>
      </c>
      <c r="N7227">
        <v>-1.514338E-2</v>
      </c>
      <c r="O7227">
        <v>0.77607569999999904</v>
      </c>
      <c r="P7227">
        <v>0.32949879999999998</v>
      </c>
      <c r="Q7227">
        <v>0.3828838</v>
      </c>
      <c r="R7227">
        <v>0.86303569999999996</v>
      </c>
      <c r="S7227">
        <v>1.4173739999999999</v>
      </c>
      <c r="T7227">
        <v>-0.51482079999999997</v>
      </c>
      <c r="U7227">
        <v>3.1597900000000001</v>
      </c>
      <c r="V7227">
        <v>-0.2953384</v>
      </c>
      <c r="W7227">
        <v>0.39100279999999998</v>
      </c>
      <c r="X7227">
        <v>0.87171790000000005</v>
      </c>
      <c r="Y7227">
        <v>-0.2592487</v>
      </c>
      <c r="Z7227">
        <v>-8.9181830000000004E-2</v>
      </c>
      <c r="AA7227">
        <v>0.96168430000000005</v>
      </c>
      <c r="AB7227">
        <v>31</v>
      </c>
      <c r="AC7227">
        <v>2.90549999999998</v>
      </c>
      <c r="AD7227">
        <v>-1.1179328946879901</v>
      </c>
      <c r="AE7227">
        <v>6.6409999999999902</v>
      </c>
      <c r="AF7227">
        <v>-1.88731492205476</v>
      </c>
      <c r="AG7227">
        <v>-1.1179328946879901</v>
      </c>
      <c r="AH7227">
        <v>6.8242022740402799</v>
      </c>
      <c r="AI7227">
        <v>98.972461791562395</v>
      </c>
      <c r="AJ7227">
        <v>105.45942086561</v>
      </c>
      <c r="AK7227">
        <v>7.1680867914006603</v>
      </c>
      <c r="AL7227">
        <v>66.983089753062501</v>
      </c>
      <c r="AM7227">
        <v>108.716402381706</v>
      </c>
      <c r="AN7227">
        <v>1.0000000286513999</v>
      </c>
    </row>
    <row r="7228" spans="1:40" x14ac:dyDescent="0.25">
      <c r="A7228" t="str">
        <f>"20190304164302668"</f>
        <v>20190304164302668</v>
      </c>
      <c r="B7228" t="str">
        <f>"1551688982657864"</f>
        <v>1551688982657864</v>
      </c>
      <c r="C7228" t="s">
        <v>40</v>
      </c>
      <c r="D7228">
        <v>4.7548820000000003</v>
      </c>
      <c r="E7228">
        <v>0.52280320000000002</v>
      </c>
      <c r="F7228" t="s">
        <v>57</v>
      </c>
      <c r="G7228">
        <v>-195.59610000000001</v>
      </c>
      <c r="H7228" s="1">
        <v>-4.8529580000000001E-6</v>
      </c>
      <c r="I7228">
        <v>-45.348199999999999</v>
      </c>
      <c r="J7228">
        <v>-198.3768</v>
      </c>
      <c r="K7228">
        <v>1.1178170000000001</v>
      </c>
      <c r="L7228">
        <v>-51.689970000000002</v>
      </c>
      <c r="M7228">
        <v>0.62451129999999999</v>
      </c>
      <c r="N7228">
        <v>-1.510936E-2</v>
      </c>
      <c r="O7228">
        <v>0.78086959999999905</v>
      </c>
      <c r="P7228">
        <v>0.32362750000000001</v>
      </c>
      <c r="Q7228">
        <v>0.38405929999999999</v>
      </c>
      <c r="R7228">
        <v>0.86473330000000004</v>
      </c>
      <c r="S7228">
        <v>1.4267430000000001</v>
      </c>
      <c r="T7228">
        <v>-0.53943819999999998</v>
      </c>
      <c r="U7228">
        <v>3.170715</v>
      </c>
      <c r="V7228">
        <v>-0.29417189999999999</v>
      </c>
      <c r="W7228">
        <v>0.39225450000000001</v>
      </c>
      <c r="X7228">
        <v>0.87155000000000005</v>
      </c>
      <c r="Y7228">
        <v>-0.25099270000000001</v>
      </c>
      <c r="Z7228">
        <v>-9.484331E-2</v>
      </c>
      <c r="AA7228">
        <v>0.96333139999999995</v>
      </c>
      <c r="AB7228">
        <v>31</v>
      </c>
      <c r="AC7228">
        <v>2.7806999999999902</v>
      </c>
      <c r="AD7228">
        <v>-1.117821852958</v>
      </c>
      <c r="AE7228">
        <v>6.3417700000000004</v>
      </c>
      <c r="AF7228">
        <v>-1.74390326773384</v>
      </c>
      <c r="AG7228">
        <v>-1.117821852958</v>
      </c>
      <c r="AH7228">
        <v>6.5195464289455396</v>
      </c>
      <c r="AI7228">
        <v>99.404733419236294</v>
      </c>
      <c r="AJ7228">
        <v>104.975366107684</v>
      </c>
      <c r="AK7228">
        <v>6.8407024450227203</v>
      </c>
      <c r="AL7228">
        <v>66.905147344818602</v>
      </c>
      <c r="AM7228">
        <v>108.650941886345</v>
      </c>
      <c r="AN7228">
        <v>1.0000000510099201</v>
      </c>
    </row>
    <row r="7229" spans="1:40" x14ac:dyDescent="0.25">
      <c r="A7229" t="str">
        <f>"20190304164302684"</f>
        <v>20190304164302684</v>
      </c>
      <c r="B7229" t="str">
        <f>"1551688982678359"</f>
        <v>1551688982678359</v>
      </c>
      <c r="C7229" t="s">
        <v>40</v>
      </c>
      <c r="D7229">
        <v>4.8242430000000001</v>
      </c>
      <c r="E7229">
        <v>0.52315500000000004</v>
      </c>
      <c r="F7229" t="s">
        <v>57</v>
      </c>
      <c r="G7229">
        <v>-195.44589999999999</v>
      </c>
      <c r="H7229" s="1">
        <v>-4.9602740000000003E-6</v>
      </c>
      <c r="I7229">
        <v>-45.060420000000001</v>
      </c>
      <c r="J7229">
        <v>-198.2441</v>
      </c>
      <c r="K7229">
        <v>1.117745</v>
      </c>
      <c r="L7229">
        <v>-51.515050000000002</v>
      </c>
      <c r="M7229">
        <v>0.61999329999999997</v>
      </c>
      <c r="N7229">
        <v>-1.508635E-2</v>
      </c>
      <c r="O7229">
        <v>0.78446199999999999</v>
      </c>
      <c r="P7229">
        <v>0.319422599999999</v>
      </c>
      <c r="Q7229">
        <v>0.38483089999999998</v>
      </c>
      <c r="R7229">
        <v>0.86595290000000003</v>
      </c>
      <c r="S7229">
        <v>1.406372</v>
      </c>
      <c r="T7229">
        <v>-0.53638529999999995</v>
      </c>
      <c r="U7229">
        <v>3.1811829999999999</v>
      </c>
      <c r="V7229">
        <v>-0.29309540000000001</v>
      </c>
      <c r="W7229">
        <v>0.3930785</v>
      </c>
      <c r="X7229">
        <v>0.87154129999999996</v>
      </c>
      <c r="Y7229">
        <v>-0.2517257</v>
      </c>
      <c r="Z7229">
        <v>-9.4773990000000002E-2</v>
      </c>
      <c r="AA7229">
        <v>0.96314699999999998</v>
      </c>
      <c r="AB7229">
        <v>31</v>
      </c>
      <c r="AC7229">
        <v>2.7982</v>
      </c>
      <c r="AD7229">
        <v>-1.117749960274</v>
      </c>
      <c r="AE7229">
        <v>6.4546299999999999</v>
      </c>
      <c r="AF7229">
        <v>-1.76246049525695</v>
      </c>
      <c r="AG7229">
        <v>-1.117749960274</v>
      </c>
      <c r="AH7229">
        <v>6.6316440951679896</v>
      </c>
      <c r="AI7229">
        <v>99.251845648646494</v>
      </c>
      <c r="AJ7229">
        <v>104.88318741771</v>
      </c>
      <c r="AK7229">
        <v>6.9522899375680796</v>
      </c>
      <c r="AL7229">
        <v>66.853809467130702</v>
      </c>
      <c r="AM7229">
        <v>108.587559507642</v>
      </c>
      <c r="AN7229">
        <v>0.99999992913454705</v>
      </c>
    </row>
    <row r="7230" spans="1:40" x14ac:dyDescent="0.25">
      <c r="A7230" t="str">
        <f>"20190304164302699"</f>
        <v>20190304164302699</v>
      </c>
      <c r="B7230" t="str">
        <f>"1551688982688120"</f>
        <v>1551688982688120</v>
      </c>
      <c r="C7230" t="s">
        <v>40</v>
      </c>
      <c r="D7230">
        <v>4.7687559999999998</v>
      </c>
      <c r="E7230">
        <v>0.52338909999999905</v>
      </c>
      <c r="F7230" t="s">
        <v>57</v>
      </c>
      <c r="G7230">
        <v>-195.3347</v>
      </c>
      <c r="H7230" s="1">
        <v>-5.0358589999999999E-6</v>
      </c>
      <c r="I7230">
        <v>-44.855640000000001</v>
      </c>
      <c r="J7230">
        <v>-198.1147</v>
      </c>
      <c r="K7230">
        <v>1.117685</v>
      </c>
      <c r="L7230">
        <v>-51.342320000000001</v>
      </c>
      <c r="M7230">
        <v>0.61554379999999997</v>
      </c>
      <c r="N7230">
        <v>-1.5065759999999999E-2</v>
      </c>
      <c r="O7230">
        <v>0.78795859999999995</v>
      </c>
      <c r="P7230">
        <v>0.31628289999999998</v>
      </c>
      <c r="Q7230">
        <v>0.38552819999999999</v>
      </c>
      <c r="R7230">
        <v>0.86679479999999998</v>
      </c>
      <c r="S7230">
        <v>1.39296</v>
      </c>
      <c r="T7230">
        <v>-0.53515570000000001</v>
      </c>
      <c r="U7230">
        <v>3.1883849999999998</v>
      </c>
      <c r="V7230">
        <v>-0.2910702</v>
      </c>
      <c r="W7230">
        <v>0.39384039999999998</v>
      </c>
      <c r="X7230">
        <v>0.87187610000000004</v>
      </c>
      <c r="Y7230">
        <v>-0.25046220000000002</v>
      </c>
      <c r="Z7230">
        <v>-9.5153669999999996E-2</v>
      </c>
      <c r="AA7230">
        <v>0.96343889999999999</v>
      </c>
      <c r="AB7230">
        <v>31</v>
      </c>
      <c r="AC7230">
        <v>2.78</v>
      </c>
      <c r="AD7230">
        <v>-1.1176900358589901</v>
      </c>
      <c r="AE7230">
        <v>6.4866799999999998</v>
      </c>
      <c r="AF7230">
        <v>-1.7584105524881499</v>
      </c>
      <c r="AG7230">
        <v>-1.1176900358589901</v>
      </c>
      <c r="AH7230">
        <v>6.6562677415738598</v>
      </c>
      <c r="AI7230">
        <v>99.221293663608904</v>
      </c>
      <c r="AJ7230">
        <v>104.797978436965</v>
      </c>
      <c r="AK7230">
        <v>6.9747500983817998</v>
      </c>
      <c r="AL7230">
        <v>66.806328298191502</v>
      </c>
      <c r="AM7230">
        <v>108.461253997809</v>
      </c>
      <c r="AN7230">
        <v>1.0000000278757</v>
      </c>
    </row>
    <row r="7231" spans="1:40" x14ac:dyDescent="0.25">
      <c r="A7231" t="str">
        <f>"20190304164302722"</f>
        <v>20190304164302722</v>
      </c>
      <c r="B7231" t="str">
        <f>"1551688982717907"</f>
        <v>1551688982717907</v>
      </c>
      <c r="C7231" t="s">
        <v>40</v>
      </c>
      <c r="D7231">
        <v>4.8623459999999996</v>
      </c>
      <c r="E7231">
        <v>0.51788800000000001</v>
      </c>
      <c r="F7231" t="s">
        <v>57</v>
      </c>
      <c r="G7231">
        <v>-194.94929999999999</v>
      </c>
      <c r="H7231" s="1">
        <v>-5.3507439999999998E-6</v>
      </c>
      <c r="I7231">
        <v>-44.032389999999999</v>
      </c>
      <c r="J7231">
        <v>-197.93629999999999</v>
      </c>
      <c r="K7231">
        <v>1.1176159999999999</v>
      </c>
      <c r="L7231">
        <v>-51.100830000000002</v>
      </c>
      <c r="M7231">
        <v>0.60932219999999904</v>
      </c>
      <c r="N7231">
        <v>-1.5039800000000001E-2</v>
      </c>
      <c r="O7231">
        <v>0.79278009999999999</v>
      </c>
      <c r="P7231">
        <v>0.31112289999999998</v>
      </c>
      <c r="Q7231">
        <v>0.38535039999999998</v>
      </c>
      <c r="R7231">
        <v>0.86873909999999999</v>
      </c>
      <c r="S7231">
        <v>1.3749849999999999</v>
      </c>
      <c r="T7231">
        <v>-0.48549930000000002</v>
      </c>
      <c r="U7231">
        <v>3.175262</v>
      </c>
      <c r="V7231">
        <v>-0.28935860000000002</v>
      </c>
      <c r="W7231">
        <v>0.3937252</v>
      </c>
      <c r="X7231">
        <v>0.87249759999999998</v>
      </c>
      <c r="Y7231">
        <v>-0.24562320000000001</v>
      </c>
      <c r="Z7231">
        <v>-8.6787310000000006E-2</v>
      </c>
      <c r="AA7231">
        <v>0.96547249999999996</v>
      </c>
      <c r="AB7231">
        <v>31</v>
      </c>
      <c r="AC7231">
        <v>2.9869999999999899</v>
      </c>
      <c r="AD7231">
        <v>-1.11762135074399</v>
      </c>
      <c r="AE7231">
        <v>7.0684399999999998</v>
      </c>
      <c r="AF7231">
        <v>-1.89886358144648</v>
      </c>
      <c r="AG7231">
        <v>-1.11762135074399</v>
      </c>
      <c r="AH7231">
        <v>7.2703832099701504</v>
      </c>
      <c r="AI7231">
        <v>98.4597740744737</v>
      </c>
      <c r="AJ7231">
        <v>104.637414583745</v>
      </c>
      <c r="AK7231">
        <v>7.59692256143226</v>
      </c>
      <c r="AL7231">
        <v>66.813508191185704</v>
      </c>
      <c r="AM7231">
        <v>108.347792567724</v>
      </c>
      <c r="AN7231">
        <v>0.99999999725737998</v>
      </c>
    </row>
    <row r="7232" spans="1:40" x14ac:dyDescent="0.25">
      <c r="A7232" t="str">
        <f>"20190304164302736"</f>
        <v>20190304164302736</v>
      </c>
      <c r="B7232" t="str">
        <f>"1551688982728643"</f>
        <v>1551688982728643</v>
      </c>
      <c r="C7232" t="s">
        <v>40</v>
      </c>
      <c r="D7232">
        <v>4.7386670000000004</v>
      </c>
      <c r="E7232">
        <v>0.47810659999999999</v>
      </c>
      <c r="F7232" t="s">
        <v>57</v>
      </c>
      <c r="G7232">
        <v>-194.89930000000001</v>
      </c>
      <c r="H7232" s="1">
        <v>-5.4888720000000002E-6</v>
      </c>
      <c r="I7232">
        <v>-43.716740000000001</v>
      </c>
      <c r="J7232">
        <v>-197.81899999999999</v>
      </c>
      <c r="K7232">
        <v>1.1175889999999999</v>
      </c>
      <c r="L7232">
        <v>-50.939329999999998</v>
      </c>
      <c r="M7232">
        <v>0.60515079999999999</v>
      </c>
      <c r="N7232">
        <v>-1.502476E-2</v>
      </c>
      <c r="O7232">
        <v>0.79596909999999998</v>
      </c>
      <c r="P7232">
        <v>0.30713659999999998</v>
      </c>
      <c r="Q7232">
        <v>0.38510149999999999</v>
      </c>
      <c r="R7232">
        <v>0.870266599999999</v>
      </c>
      <c r="S7232">
        <v>1.3149109999999999</v>
      </c>
      <c r="T7232">
        <v>-0.48388209999999998</v>
      </c>
      <c r="U7232">
        <v>3.1969910000000001</v>
      </c>
      <c r="V7232">
        <v>-0.28880529999999999</v>
      </c>
      <c r="W7232">
        <v>0.39349849999999997</v>
      </c>
      <c r="X7232">
        <v>0.87278310000000003</v>
      </c>
      <c r="Y7232">
        <v>-0.25826789999999999</v>
      </c>
      <c r="Z7232">
        <v>-8.642213E-2</v>
      </c>
      <c r="AA7232">
        <v>0.96220000000000006</v>
      </c>
      <c r="AB7232">
        <v>31</v>
      </c>
      <c r="AC7232">
        <v>2.9197000000000002</v>
      </c>
      <c r="AD7232">
        <v>-1.117594488872</v>
      </c>
      <c r="AE7232">
        <v>7.2225899999999896</v>
      </c>
      <c r="AF7232">
        <v>-2.0057182114401</v>
      </c>
      <c r="AG7232">
        <v>-1.117594488872</v>
      </c>
      <c r="AH7232">
        <v>7.3650910295724303</v>
      </c>
      <c r="AI7232">
        <v>98.329502852359596</v>
      </c>
      <c r="AJ7232">
        <v>105.233807025019</v>
      </c>
      <c r="AK7232">
        <v>7.7146930502222704</v>
      </c>
      <c r="AL7232">
        <v>66.827636696028804</v>
      </c>
      <c r="AM7232">
        <v>108.309460792807</v>
      </c>
      <c r="AN7232">
        <v>0.99999995522797303</v>
      </c>
    </row>
    <row r="7233" spans="1:40" x14ac:dyDescent="0.25">
      <c r="A7233" t="str">
        <f>"20190304164302750"</f>
        <v>20190304164302750</v>
      </c>
      <c r="B7233" t="str">
        <f>"1551688982738403"</f>
        <v>1551688982738403</v>
      </c>
      <c r="C7233" t="s">
        <v>40</v>
      </c>
      <c r="D7233">
        <v>4.7898829999999997</v>
      </c>
      <c r="E7233">
        <v>0.47619669999999997</v>
      </c>
      <c r="F7233" t="s">
        <v>42</v>
      </c>
      <c r="G7233">
        <v>-194.56620000000001</v>
      </c>
      <c r="H7233" s="1">
        <v>-1.3278790000000001E-6</v>
      </c>
      <c r="I7233">
        <v>-40.147660000000002</v>
      </c>
      <c r="J7233">
        <v>-197.7139</v>
      </c>
      <c r="K7233">
        <v>1.117575</v>
      </c>
      <c r="L7233">
        <v>-50.793460000000003</v>
      </c>
      <c r="M7233">
        <v>0.60136869999999998</v>
      </c>
      <c r="N7233">
        <v>-1.501249E-2</v>
      </c>
      <c r="O7233">
        <v>0.79883059999999995</v>
      </c>
      <c r="P7233">
        <v>0.30355539999999998</v>
      </c>
      <c r="Q7233">
        <v>0.38501609999999997</v>
      </c>
      <c r="R7233">
        <v>0.87156</v>
      </c>
      <c r="S7233">
        <v>0.97972110000000001</v>
      </c>
      <c r="T7233">
        <v>-0.33661530000000001</v>
      </c>
      <c r="U7233">
        <v>3.2504270000000002</v>
      </c>
      <c r="V7233">
        <v>-0.28825050000000002</v>
      </c>
      <c r="W7233">
        <v>0.39343020000000001</v>
      </c>
      <c r="X7233">
        <v>0.87299729999999998</v>
      </c>
      <c r="Y7233">
        <v>-0.34539839999999999</v>
      </c>
      <c r="Z7233">
        <v>-5.4748739999999997E-2</v>
      </c>
      <c r="AA7233">
        <v>0.93685779999999996</v>
      </c>
      <c r="AB7233">
        <v>31</v>
      </c>
      <c r="AC7233">
        <v>3.14769999999998</v>
      </c>
      <c r="AD7233">
        <v>-1.1175763278790001</v>
      </c>
      <c r="AE7233">
        <v>10.645799999999999</v>
      </c>
      <c r="AF7233">
        <v>-3.8490025408350501</v>
      </c>
      <c r="AG7233">
        <v>-1.1175763278790001</v>
      </c>
      <c r="AH7233">
        <v>10.293967405856099</v>
      </c>
      <c r="AI7233">
        <v>95.806453230255897</v>
      </c>
      <c r="AJ7233">
        <v>110.501200489474</v>
      </c>
      <c r="AK7233">
        <v>11.0466991613249</v>
      </c>
      <c r="AL7233">
        <v>66.831893932405606</v>
      </c>
      <c r="AM7233">
        <v>108.272441468244</v>
      </c>
      <c r="AN7233">
        <v>0.99999997941478902</v>
      </c>
    </row>
    <row r="7234" spans="1:40" x14ac:dyDescent="0.25">
      <c r="A7234" t="str">
        <f>"20190304164302767"</f>
        <v>20190304164302767</v>
      </c>
      <c r="B7234" t="str">
        <f>"1551688982757922"</f>
        <v>1551688982757922</v>
      </c>
      <c r="C7234" t="s">
        <v>40</v>
      </c>
      <c r="D7234">
        <v>4.7688189999999997</v>
      </c>
      <c r="E7234">
        <v>0.47450799999999999</v>
      </c>
      <c r="F7234" t="s">
        <v>42</v>
      </c>
      <c r="G7234">
        <v>-194.4897</v>
      </c>
      <c r="H7234" s="1">
        <v>-1.4751089999999999E-6</v>
      </c>
      <c r="I7234">
        <v>-39.757019999999997</v>
      </c>
      <c r="J7234">
        <v>-197.57329999999999</v>
      </c>
      <c r="K7234">
        <v>1.117559</v>
      </c>
      <c r="L7234">
        <v>-50.596040000000002</v>
      </c>
      <c r="M7234">
        <v>0.59622649999999999</v>
      </c>
      <c r="N7234">
        <v>-1.499794E-2</v>
      </c>
      <c r="O7234">
        <v>0.80267619999999995</v>
      </c>
      <c r="P7234">
        <v>0.29880380000000001</v>
      </c>
      <c r="Q7234">
        <v>0.38435009999999997</v>
      </c>
      <c r="R7234">
        <v>0.87349370000000004</v>
      </c>
      <c r="S7234">
        <v>0.95133970000000001</v>
      </c>
      <c r="T7234">
        <v>-0.32975480000000001</v>
      </c>
      <c r="U7234">
        <v>3.2564389999999999</v>
      </c>
      <c r="V7234">
        <v>-0.28753779999999901</v>
      </c>
      <c r="W7234">
        <v>0.39278479999999999</v>
      </c>
      <c r="X7234">
        <v>0.87352280000000004</v>
      </c>
      <c r="Y7234">
        <v>-0.3473405</v>
      </c>
      <c r="Z7234">
        <v>-5.3769520000000001E-2</v>
      </c>
      <c r="AA7234">
        <v>0.93619629999999998</v>
      </c>
      <c r="AB7234">
        <v>31</v>
      </c>
      <c r="AC7234">
        <v>3.0835999999999899</v>
      </c>
      <c r="AD7234">
        <v>-1.117560475109</v>
      </c>
      <c r="AE7234">
        <v>10.8390199999999</v>
      </c>
      <c r="AF7234">
        <v>-3.9489897899109101</v>
      </c>
      <c r="AG7234">
        <v>-1.117560475109</v>
      </c>
      <c r="AH7234">
        <v>10.437284704710899</v>
      </c>
      <c r="AI7234">
        <v>95.7188483581604</v>
      </c>
      <c r="AJ7234">
        <v>110.724343601531</v>
      </c>
      <c r="AK7234">
        <v>11.2151849643035</v>
      </c>
      <c r="AL7234">
        <v>66.872110461343496</v>
      </c>
      <c r="AM7234">
        <v>108.22001181514899</v>
      </c>
      <c r="AN7234">
        <v>0.999999983829859</v>
      </c>
    </row>
    <row r="7235" spans="1:40" x14ac:dyDescent="0.25">
      <c r="A7235" t="str">
        <f>"20190304164302781"</f>
        <v>20190304164302781</v>
      </c>
      <c r="B7235" t="str">
        <f>"1551688982768659"</f>
        <v>1551688982768659</v>
      </c>
      <c r="C7235" t="s">
        <v>40</v>
      </c>
      <c r="D7235">
        <v>4.7810829999999997</v>
      </c>
      <c r="E7235">
        <v>0.4744526</v>
      </c>
      <c r="F7235" t="s">
        <v>42</v>
      </c>
      <c r="G7235">
        <v>-194.4469</v>
      </c>
      <c r="H7235" s="1">
        <v>-1.56907E-6</v>
      </c>
      <c r="I7235">
        <v>-39.511429999999997</v>
      </c>
      <c r="J7235">
        <v>-197.46879999999999</v>
      </c>
      <c r="K7235">
        <v>1.117553</v>
      </c>
      <c r="L7235">
        <v>-50.447690000000001</v>
      </c>
      <c r="M7235">
        <v>0.5923446</v>
      </c>
      <c r="N7235">
        <v>-1.498848E-2</v>
      </c>
      <c r="O7235">
        <v>0.80554530000000002</v>
      </c>
      <c r="P7235">
        <v>0.29496620000000001</v>
      </c>
      <c r="Q7235">
        <v>0.38421509999999998</v>
      </c>
      <c r="R7235">
        <v>0.87485639999999998</v>
      </c>
      <c r="S7235">
        <v>0.92071530000000001</v>
      </c>
      <c r="T7235">
        <v>-0.32911410000000002</v>
      </c>
      <c r="U7235">
        <v>3.2643430000000002</v>
      </c>
      <c r="V7235">
        <v>-0.28717759999999998</v>
      </c>
      <c r="W7235">
        <v>0.39265630000000001</v>
      </c>
      <c r="X7235">
        <v>0.87369909999999995</v>
      </c>
      <c r="Y7235">
        <v>-0.35152939999999999</v>
      </c>
      <c r="Z7235">
        <v>-5.3823830000000003E-2</v>
      </c>
      <c r="AA7235">
        <v>0.93462829999999997</v>
      </c>
      <c r="AB7235">
        <v>31</v>
      </c>
      <c r="AC7235">
        <v>3.02189999999998</v>
      </c>
      <c r="AD7235">
        <v>-1.1175545690699999</v>
      </c>
      <c r="AE7235">
        <v>10.936260000000001</v>
      </c>
      <c r="AF7235">
        <v>-4.00535298323374</v>
      </c>
      <c r="AG7235">
        <v>-1.1175545690699999</v>
      </c>
      <c r="AH7235">
        <v>10.498992277853599</v>
      </c>
      <c r="AI7235">
        <v>95.679533059215899</v>
      </c>
      <c r="AJ7235">
        <v>110.88179302354</v>
      </c>
      <c r="AK7235">
        <v>11.2925028043202</v>
      </c>
      <c r="AL7235">
        <v>66.880117308781706</v>
      </c>
      <c r="AM7235">
        <v>108.19526254843301</v>
      </c>
      <c r="AN7235">
        <v>1.0000000306061201</v>
      </c>
    </row>
    <row r="7236" spans="1:40" x14ac:dyDescent="0.25">
      <c r="A7236" t="str">
        <f>"20190304164302795"</f>
        <v>20190304164302795</v>
      </c>
      <c r="B7236" t="str">
        <f>"1551688982788179"</f>
        <v>1551688982788179</v>
      </c>
      <c r="C7236" t="s">
        <v>40</v>
      </c>
      <c r="D7236">
        <v>4.7725650000000002</v>
      </c>
      <c r="E7236">
        <v>0.4744061</v>
      </c>
      <c r="F7236" t="s">
        <v>42</v>
      </c>
      <c r="G7236">
        <v>-194.39189999999999</v>
      </c>
      <c r="H7236" s="1">
        <v>-1.62477999999999E-6</v>
      </c>
      <c r="I7236">
        <v>-39.347479999999997</v>
      </c>
      <c r="J7236">
        <v>-197.36510000000001</v>
      </c>
      <c r="K7236">
        <v>1.1175550000000001</v>
      </c>
      <c r="L7236">
        <v>-50.298279999999998</v>
      </c>
      <c r="M7236">
        <v>0.58841290000000002</v>
      </c>
      <c r="N7236">
        <v>-1.4980129999999999E-2</v>
      </c>
      <c r="O7236">
        <v>0.80842190000000003</v>
      </c>
      <c r="P7236">
        <v>0.29103479999999998</v>
      </c>
      <c r="Q7236">
        <v>0.38410430000000001</v>
      </c>
      <c r="R7236">
        <v>0.87622060000000002</v>
      </c>
      <c r="S7236">
        <v>0.90591429999999995</v>
      </c>
      <c r="T7236">
        <v>-0.32903670000000002</v>
      </c>
      <c r="U7236">
        <v>3.2681879999999999</v>
      </c>
      <c r="V7236">
        <v>-0.28686679999999998</v>
      </c>
      <c r="W7236">
        <v>0.39254660000000002</v>
      </c>
      <c r="X7236">
        <v>0.87385049999999997</v>
      </c>
      <c r="Y7236">
        <v>-0.35118709999999997</v>
      </c>
      <c r="Z7236">
        <v>-5.4147809999999998E-2</v>
      </c>
      <c r="AA7236">
        <v>0.93473830000000002</v>
      </c>
      <c r="AB7236">
        <v>31</v>
      </c>
      <c r="AC7236">
        <v>2.9732000000000198</v>
      </c>
      <c r="AD7236">
        <v>-1.11755662478</v>
      </c>
      <c r="AE7236">
        <v>10.950799999999999</v>
      </c>
      <c r="AF7236">
        <v>-4.0016305183278602</v>
      </c>
      <c r="AG7236">
        <v>-1.11755662478</v>
      </c>
      <c r="AH7236">
        <v>10.501662006136399</v>
      </c>
      <c r="AI7236">
        <v>95.678956811909501</v>
      </c>
      <c r="AJ7236">
        <v>110.85920981328501</v>
      </c>
      <c r="AK7236">
        <v>11.293665680634099</v>
      </c>
      <c r="AL7236">
        <v>66.886951728968697</v>
      </c>
      <c r="AM7236">
        <v>108.17392393666501</v>
      </c>
      <c r="AN7236">
        <v>1.0000000452320199</v>
      </c>
    </row>
    <row r="7237" spans="1:40" x14ac:dyDescent="0.25">
      <c r="A7237" t="str">
        <f>"20190304164302812"</f>
        <v>20190304164302812</v>
      </c>
      <c r="B7237" t="str">
        <f>"1551688982808675"</f>
        <v>1551688982808675</v>
      </c>
      <c r="C7237" t="s">
        <v>40</v>
      </c>
      <c r="D7237">
        <v>4.7774599999999996</v>
      </c>
      <c r="E7237">
        <v>0.47476829999999998</v>
      </c>
      <c r="F7237" t="s">
        <v>42</v>
      </c>
      <c r="G7237">
        <v>-194.32419999999999</v>
      </c>
      <c r="H7237" s="1">
        <v>-1.701725E-6</v>
      </c>
      <c r="I7237">
        <v>-39.126089999999998</v>
      </c>
      <c r="J7237">
        <v>-197.2319</v>
      </c>
      <c r="K7237">
        <v>1.1175569999999999</v>
      </c>
      <c r="L7237">
        <v>-50.104489999999998</v>
      </c>
      <c r="M7237">
        <v>0.5832794</v>
      </c>
      <c r="N7237">
        <v>-1.497043E-2</v>
      </c>
      <c r="O7237">
        <v>0.81213369999999996</v>
      </c>
      <c r="P7237">
        <v>0.28641630000000001</v>
      </c>
      <c r="Q7237">
        <v>0.38412930000000001</v>
      </c>
      <c r="R7237">
        <v>0.87773029999999996</v>
      </c>
      <c r="S7237">
        <v>0.89044190000000001</v>
      </c>
      <c r="T7237">
        <v>-0.32724730000000002</v>
      </c>
      <c r="U7237">
        <v>3.2714840000000001</v>
      </c>
      <c r="V7237">
        <v>-0.28592600000000001</v>
      </c>
      <c r="W7237">
        <v>0.3925787</v>
      </c>
      <c r="X7237">
        <v>0.87414429999999999</v>
      </c>
      <c r="Y7237">
        <v>-0.34961389999999998</v>
      </c>
      <c r="Z7237">
        <v>-5.4268839999999999E-2</v>
      </c>
      <c r="AA7237">
        <v>0.93532079999999995</v>
      </c>
      <c r="AB7237">
        <v>31</v>
      </c>
      <c r="AC7237">
        <v>2.9077000000000002</v>
      </c>
      <c r="AD7237">
        <v>-1.1175587017249999</v>
      </c>
      <c r="AE7237">
        <v>10.978400000000001</v>
      </c>
      <c r="AF7237">
        <v>-4.0037174302945102</v>
      </c>
      <c r="AG7237">
        <v>-1.1175587017249999</v>
      </c>
      <c r="AH7237">
        <v>10.5113355933346</v>
      </c>
      <c r="AI7237">
        <v>95.674060364508094</v>
      </c>
      <c r="AJ7237">
        <v>110.851597711281</v>
      </c>
      <c r="AK7237">
        <v>11.3034006683452</v>
      </c>
      <c r="AL7237">
        <v>66.884950539161593</v>
      </c>
      <c r="AM7237">
        <v>108.112529874484</v>
      </c>
      <c r="AN7237">
        <v>0.99999998519609001</v>
      </c>
    </row>
    <row r="7238" spans="1:40" x14ac:dyDescent="0.25">
      <c r="A7238" t="str">
        <f>"20190304164302829"</f>
        <v>20190304164302829</v>
      </c>
      <c r="B7238" t="str">
        <f>"1551688982818435"</f>
        <v>1551688982818435</v>
      </c>
      <c r="C7238" t="s">
        <v>40</v>
      </c>
      <c r="D7238">
        <v>4.7804789999999997</v>
      </c>
      <c r="E7238">
        <v>0.47508929999999999</v>
      </c>
      <c r="F7238" t="s">
        <v>42</v>
      </c>
      <c r="G7238">
        <v>-194.2465</v>
      </c>
      <c r="H7238" s="1">
        <v>-1.767483E-6</v>
      </c>
      <c r="I7238">
        <v>-38.92465</v>
      </c>
      <c r="J7238">
        <v>-197.1052</v>
      </c>
      <c r="K7238">
        <v>1.117575</v>
      </c>
      <c r="L7238">
        <v>-49.917819999999999</v>
      </c>
      <c r="M7238">
        <v>0.57829019999999898</v>
      </c>
      <c r="N7238">
        <v>-1.4962639999999999E-2</v>
      </c>
      <c r="O7238">
        <v>0.81569389999999997</v>
      </c>
      <c r="P7238">
        <v>0.28143980000000002</v>
      </c>
      <c r="Q7238">
        <v>0.38406610000000002</v>
      </c>
      <c r="R7238">
        <v>0.87936619999999999</v>
      </c>
      <c r="S7238">
        <v>0.87472530000000004</v>
      </c>
      <c r="T7238">
        <v>-0.32745089999999999</v>
      </c>
      <c r="U7238">
        <v>3.275757</v>
      </c>
      <c r="V7238">
        <v>-0.28554619999999997</v>
      </c>
      <c r="W7238">
        <v>0.39250669999999999</v>
      </c>
      <c r="X7238">
        <v>0.87430079999999999</v>
      </c>
      <c r="Y7238">
        <v>-0.34837230000000002</v>
      </c>
      <c r="Z7238">
        <v>-5.4750060000000003E-2</v>
      </c>
      <c r="AA7238">
        <v>0.93575589999999997</v>
      </c>
      <c r="AB7238">
        <v>31</v>
      </c>
      <c r="AC7238">
        <v>2.85869999999999</v>
      </c>
      <c r="AD7238">
        <v>-1.1175767674829999</v>
      </c>
      <c r="AE7238">
        <v>10.993169999999999</v>
      </c>
      <c r="AF7238">
        <v>-3.9872708764951801</v>
      </c>
      <c r="AG7238">
        <v>-1.1175767674829999</v>
      </c>
      <c r="AH7238">
        <v>10.519575880408899</v>
      </c>
      <c r="AI7238">
        <v>95.673218795335202</v>
      </c>
      <c r="AJ7238">
        <v>110.758382737839</v>
      </c>
      <c r="AK7238">
        <v>11.3052546887474</v>
      </c>
      <c r="AL7238">
        <v>66.889436592708606</v>
      </c>
      <c r="AM7238">
        <v>108.087011755234</v>
      </c>
      <c r="AN7238">
        <v>1.00000001537998</v>
      </c>
    </row>
    <row r="7239" spans="1:40" x14ac:dyDescent="0.25">
      <c r="A7239" t="str">
        <f>"20190304164302848"</f>
        <v>20190304164302848</v>
      </c>
      <c r="B7239" t="str">
        <f>"1551688982837955"</f>
        <v>1551688982837955</v>
      </c>
      <c r="C7239" t="s">
        <v>40</v>
      </c>
      <c r="D7239">
        <v>4.7973650000000001</v>
      </c>
      <c r="E7239">
        <v>0.47599920000000001</v>
      </c>
      <c r="F7239" t="s">
        <v>42</v>
      </c>
      <c r="G7239">
        <v>-194.18680000000001</v>
      </c>
      <c r="H7239" s="1">
        <v>-1.818814E-6</v>
      </c>
      <c r="I7239">
        <v>-38.767980000000001</v>
      </c>
      <c r="J7239">
        <v>-196.9606</v>
      </c>
      <c r="K7239">
        <v>1.117613</v>
      </c>
      <c r="L7239">
        <v>-49.701320000000003</v>
      </c>
      <c r="M7239">
        <v>0.57244810000000002</v>
      </c>
      <c r="N7239">
        <v>-1.495586E-2</v>
      </c>
      <c r="O7239">
        <v>0.81980450000000005</v>
      </c>
      <c r="P7239">
        <v>0.2762693</v>
      </c>
      <c r="Q7239">
        <v>0.3839187</v>
      </c>
      <c r="R7239">
        <v>0.88106849999999903</v>
      </c>
      <c r="S7239">
        <v>0.85861209999999899</v>
      </c>
      <c r="T7239">
        <v>-0.32879920000000001</v>
      </c>
      <c r="U7239">
        <v>3.2803650000000002</v>
      </c>
      <c r="V7239">
        <v>-0.28449059999999998</v>
      </c>
      <c r="W7239">
        <v>0.3923567</v>
      </c>
      <c r="X7239">
        <v>0.87471209999999899</v>
      </c>
      <c r="Y7239">
        <v>-0.34631299999999998</v>
      </c>
      <c r="Z7239">
        <v>-5.5554020000000003E-2</v>
      </c>
      <c r="AA7239">
        <v>0.93647270000000005</v>
      </c>
      <c r="AB7239">
        <v>31</v>
      </c>
      <c r="AC7239">
        <v>2.7737999999999898</v>
      </c>
      <c r="AD7239">
        <v>-1.117614818814</v>
      </c>
      <c r="AE7239">
        <v>10.933339999999999</v>
      </c>
      <c r="AF7239">
        <v>-3.9464982467901901</v>
      </c>
      <c r="AG7239">
        <v>-1.117614818814</v>
      </c>
      <c r="AH7239">
        <v>10.4496520080165</v>
      </c>
      <c r="AI7239">
        <v>95.713688831236098</v>
      </c>
      <c r="AJ7239">
        <v>110.689941824833</v>
      </c>
      <c r="AK7239">
        <v>11.2258246193228</v>
      </c>
      <c r="AL7239">
        <v>66.898779402182001</v>
      </c>
      <c r="AM7239">
        <v>108.016552804596</v>
      </c>
      <c r="AN7239">
        <v>0.99999996970482896</v>
      </c>
    </row>
    <row r="7240" spans="1:40" x14ac:dyDescent="0.25">
      <c r="A7240" t="str">
        <f>"20190304164302870"</f>
        <v>20190304164302870</v>
      </c>
      <c r="B7240" t="str">
        <f>"1551688982858450"</f>
        <v>1551688982858450</v>
      </c>
      <c r="C7240" t="s">
        <v>40</v>
      </c>
      <c r="D7240">
        <v>4.8082469999999997</v>
      </c>
      <c r="E7240">
        <v>0.4768732</v>
      </c>
      <c r="F7240" t="s">
        <v>42</v>
      </c>
      <c r="G7240">
        <v>-194.1215</v>
      </c>
      <c r="H7240" s="1">
        <v>-1.834839E-6</v>
      </c>
      <c r="I7240">
        <v>-38.690089999999998</v>
      </c>
      <c r="J7240">
        <v>-196.79669999999999</v>
      </c>
      <c r="K7240">
        <v>1.117656</v>
      </c>
      <c r="L7240">
        <v>-49.451599999999999</v>
      </c>
      <c r="M7240">
        <v>0.5656272</v>
      </c>
      <c r="N7240">
        <v>-1.495075E-2</v>
      </c>
      <c r="O7240">
        <v>0.82452559999999997</v>
      </c>
      <c r="P7240">
        <v>0.26928550000000001</v>
      </c>
      <c r="Q7240">
        <v>0.38420660000000001</v>
      </c>
      <c r="R7240">
        <v>0.88310279999999997</v>
      </c>
      <c r="S7240">
        <v>0.84690859999999901</v>
      </c>
      <c r="T7240">
        <v>-0.33338610000000002</v>
      </c>
      <c r="U7240">
        <v>3.2846679999999999</v>
      </c>
      <c r="V7240">
        <v>-0.28413359999999999</v>
      </c>
      <c r="W7240">
        <v>0.39261590000000002</v>
      </c>
      <c r="X7240">
        <v>0.87471189999999999</v>
      </c>
      <c r="Y7240">
        <v>-0.3419798</v>
      </c>
      <c r="Z7240">
        <v>-5.7173929999999998E-2</v>
      </c>
      <c r="AA7240">
        <v>0.93796639999999998</v>
      </c>
      <c r="AB7240">
        <v>31</v>
      </c>
      <c r="AC7240">
        <v>2.6751999999999798</v>
      </c>
      <c r="AD7240">
        <v>-1.1176578348390001</v>
      </c>
      <c r="AE7240">
        <v>10.7615099999999</v>
      </c>
      <c r="AF7240">
        <v>-3.8426301156675602</v>
      </c>
      <c r="AG7240">
        <v>-1.1176578348390001</v>
      </c>
      <c r="AH7240">
        <v>10.2830067516747</v>
      </c>
      <c r="AI7240">
        <v>95.813439754956406</v>
      </c>
      <c r="AJ7240">
        <v>110.490082655587</v>
      </c>
      <c r="AK7240">
        <v>11.0342735645171</v>
      </c>
      <c r="AL7240">
        <v>66.882634109280403</v>
      </c>
      <c r="AM7240">
        <v>107.995406725134</v>
      </c>
      <c r="AN7240">
        <v>1.0000000277916801</v>
      </c>
    </row>
    <row r="7241" spans="1:40" x14ac:dyDescent="0.25">
      <c r="A7241" t="str">
        <f>"20190304164302890"</f>
        <v>20190304164302890</v>
      </c>
      <c r="B7241" t="str">
        <f>"1551688982877971"</f>
        <v>1551688982877971</v>
      </c>
      <c r="C7241" t="s">
        <v>40</v>
      </c>
      <c r="D7241">
        <v>4.7867139999999999</v>
      </c>
      <c r="E7241">
        <v>0.477794</v>
      </c>
      <c r="F7241" t="s">
        <v>42</v>
      </c>
      <c r="G7241">
        <v>-194.03620000000001</v>
      </c>
      <c r="H7241" s="1">
        <v>-1.8972809999999999E-6</v>
      </c>
      <c r="I7241">
        <v>-38.491660000000003</v>
      </c>
      <c r="J7241">
        <v>-196.6508</v>
      </c>
      <c r="K7241">
        <v>1.1177170000000001</v>
      </c>
      <c r="L7241">
        <v>-49.225490000000001</v>
      </c>
      <c r="M7241">
        <v>0.55937389999999998</v>
      </c>
      <c r="N7241">
        <v>-1.494792E-2</v>
      </c>
      <c r="O7241">
        <v>0.82878069999999904</v>
      </c>
      <c r="P7241">
        <v>0.26242070000000001</v>
      </c>
      <c r="Q7241">
        <v>0.38417950000000001</v>
      </c>
      <c r="R7241">
        <v>0.88517880000000004</v>
      </c>
      <c r="S7241">
        <v>0.82873539999999901</v>
      </c>
      <c r="T7241">
        <v>-0.33554460000000003</v>
      </c>
      <c r="U7241">
        <v>3.2904049999999998</v>
      </c>
      <c r="V7241">
        <v>-0.28436050000000002</v>
      </c>
      <c r="W7241">
        <v>0.3925497</v>
      </c>
      <c r="X7241">
        <v>0.87466790000000005</v>
      </c>
      <c r="Y7241">
        <v>-0.34014640000000002</v>
      </c>
      <c r="Z7241">
        <v>-5.8153820000000002E-2</v>
      </c>
      <c r="AA7241">
        <v>0.93857259999999998</v>
      </c>
      <c r="AB7241">
        <v>30</v>
      </c>
      <c r="AC7241">
        <v>2.61459999999999</v>
      </c>
      <c r="AD7241">
        <v>-1.1177188972809999</v>
      </c>
      <c r="AE7241">
        <v>10.733829999999999</v>
      </c>
      <c r="AF7241">
        <v>-3.7988387505262202</v>
      </c>
      <c r="AG7241">
        <v>-1.1177188972809999</v>
      </c>
      <c r="AH7241">
        <v>10.254721765381801</v>
      </c>
      <c r="AI7241">
        <v>95.835813709434802</v>
      </c>
      <c r="AJ7241">
        <v>110.32703616913101</v>
      </c>
      <c r="AK7241">
        <v>10.9927153092962</v>
      </c>
      <c r="AL7241">
        <v>66.886758681130999</v>
      </c>
      <c r="AM7241">
        <v>108.00969709406201</v>
      </c>
      <c r="AN7241">
        <v>1.0000000481103699</v>
      </c>
    </row>
    <row r="7242" spans="1:40" x14ac:dyDescent="0.25">
      <c r="A7242" t="str">
        <f>"20190304164302905"</f>
        <v>20190304164302905</v>
      </c>
      <c r="B7242" t="str">
        <f>"1551688982898467"</f>
        <v>1551688982898467</v>
      </c>
      <c r="C7242" t="s">
        <v>40</v>
      </c>
      <c r="D7242">
        <v>4.8092649999999999</v>
      </c>
      <c r="E7242">
        <v>0.47827330000000001</v>
      </c>
      <c r="F7242" t="s">
        <v>42</v>
      </c>
      <c r="G7242">
        <v>-193.96809999999999</v>
      </c>
      <c r="H7242" s="1">
        <v>-1.9534830000000002E-6</v>
      </c>
      <c r="I7242">
        <v>-38.318370000000002</v>
      </c>
      <c r="J7242">
        <v>-196.5395</v>
      </c>
      <c r="K7242">
        <v>1.117761</v>
      </c>
      <c r="L7242">
        <v>-49.050289999999997</v>
      </c>
      <c r="M7242">
        <v>0.55447760000000001</v>
      </c>
      <c r="N7242">
        <v>-1.4946620000000001E-2</v>
      </c>
      <c r="O7242">
        <v>0.83206440000000004</v>
      </c>
      <c r="P7242">
        <v>0.25688430000000001</v>
      </c>
      <c r="Q7242">
        <v>0.38482139999999998</v>
      </c>
      <c r="R7242">
        <v>0.886522899999999</v>
      </c>
      <c r="S7242">
        <v>0.81056209999999995</v>
      </c>
      <c r="T7242">
        <v>-0.3377037</v>
      </c>
      <c r="U7242">
        <v>3.2954409999999998</v>
      </c>
      <c r="V7242">
        <v>-0.28456619999999999</v>
      </c>
      <c r="W7242">
        <v>0.39315480000000003</v>
      </c>
      <c r="X7242">
        <v>0.87432909999999997</v>
      </c>
      <c r="Y7242">
        <v>-0.33982610000000002</v>
      </c>
      <c r="Z7242">
        <v>-5.8988970000000002E-2</v>
      </c>
      <c r="AA7242">
        <v>0.93863649999999998</v>
      </c>
      <c r="AB7242">
        <v>30</v>
      </c>
      <c r="AC7242">
        <v>2.5714000000000099</v>
      </c>
      <c r="AD7242">
        <v>-1.117762953483</v>
      </c>
      <c r="AE7242">
        <v>10.731920000000001</v>
      </c>
      <c r="AF7242">
        <v>-3.7727602422934301</v>
      </c>
      <c r="AG7242">
        <v>-1.117762953483</v>
      </c>
      <c r="AH7242">
        <v>10.251420873397301</v>
      </c>
      <c r="AI7242">
        <v>95.842477677519</v>
      </c>
      <c r="AJ7242">
        <v>110.20478355444401</v>
      </c>
      <c r="AK7242">
        <v>10.9806531586029</v>
      </c>
      <c r="AL7242">
        <v>66.849056674167102</v>
      </c>
      <c r="AM7242">
        <v>108.028414345437</v>
      </c>
      <c r="AN7242">
        <v>0.99999999702614495</v>
      </c>
    </row>
    <row r="7243" spans="1:40" x14ac:dyDescent="0.25">
      <c r="A7243" t="str">
        <f>"20190304164302924"</f>
        <v>20190304164302924</v>
      </c>
      <c r="B7243" t="str">
        <f>"1551688982917987"</f>
        <v>1551688982917987</v>
      </c>
      <c r="C7243" t="s">
        <v>40</v>
      </c>
      <c r="D7243">
        <v>4.7921500000000004</v>
      </c>
      <c r="E7243">
        <v>0.4876857</v>
      </c>
      <c r="F7243" t="s">
        <v>42</v>
      </c>
      <c r="G7243">
        <v>-193.90649999999999</v>
      </c>
      <c r="H7243" s="1">
        <v>-2.0241240000000001E-6</v>
      </c>
      <c r="I7243">
        <v>-38.115499999999997</v>
      </c>
      <c r="J7243">
        <v>-196.40729999999999</v>
      </c>
      <c r="K7243">
        <v>1.1178140000000001</v>
      </c>
      <c r="L7243">
        <v>-48.83905</v>
      </c>
      <c r="M7243">
        <v>0.54850909999999997</v>
      </c>
      <c r="N7243">
        <v>-1.4946340000000001E-2</v>
      </c>
      <c r="O7243">
        <v>0.83601109999999901</v>
      </c>
      <c r="P7243">
        <v>0.250245</v>
      </c>
      <c r="Q7243">
        <v>0.38522139999999999</v>
      </c>
      <c r="R7243">
        <v>0.88824650000000005</v>
      </c>
      <c r="S7243">
        <v>0.7946472</v>
      </c>
      <c r="T7243">
        <v>-0.33734609999999998</v>
      </c>
      <c r="U7243">
        <v>3.3001710000000002</v>
      </c>
      <c r="V7243">
        <v>-0.28481410000000001</v>
      </c>
      <c r="W7243">
        <v>0.39351120000000001</v>
      </c>
      <c r="X7243">
        <v>0.87408799999999898</v>
      </c>
      <c r="Y7243">
        <v>-0.3376904</v>
      </c>
      <c r="Z7243">
        <v>-5.9417909999999997E-2</v>
      </c>
      <c r="AA7243">
        <v>0.93937999999999999</v>
      </c>
      <c r="AB7243">
        <v>30</v>
      </c>
      <c r="AC7243">
        <v>2.5007999999999901</v>
      </c>
      <c r="AD7243">
        <v>-1.1178160241239901</v>
      </c>
      <c r="AE7243">
        <v>10.723549999999999</v>
      </c>
      <c r="AF7243">
        <v>-3.7530151281120898</v>
      </c>
      <c r="AG7243">
        <v>-1.1178160241239901</v>
      </c>
      <c r="AH7243">
        <v>10.232423146276</v>
      </c>
      <c r="AI7243">
        <v>95.855871406973193</v>
      </c>
      <c r="AJ7243">
        <v>110.141864148653</v>
      </c>
      <c r="AK7243">
        <v>10.9561452463936</v>
      </c>
      <c r="AL7243">
        <v>66.826845885805596</v>
      </c>
      <c r="AM7243">
        <v>108.047756418012</v>
      </c>
      <c r="AN7243">
        <v>0.99999998391412404</v>
      </c>
    </row>
    <row r="7244" spans="1:40" x14ac:dyDescent="0.25">
      <c r="A7244" t="str">
        <f>"20190304164302958"</f>
        <v>20190304164302958</v>
      </c>
      <c r="B7244" t="str">
        <f>"1551688982948243"</f>
        <v>1551688982948243</v>
      </c>
      <c r="C7244" t="s">
        <v>40</v>
      </c>
      <c r="D7244">
        <v>4.7992499999999998</v>
      </c>
      <c r="E7244">
        <v>0.48880760000000001</v>
      </c>
      <c r="F7244" t="s">
        <v>42</v>
      </c>
      <c r="G7244">
        <v>-193.84039999999999</v>
      </c>
      <c r="H7244" s="1">
        <v>-1.7022279999999999E-6</v>
      </c>
      <c r="I7244">
        <v>-38.824840000000002</v>
      </c>
      <c r="J7244">
        <v>-196.166</v>
      </c>
      <c r="K7244">
        <v>1.117928</v>
      </c>
      <c r="L7244">
        <v>-48.443939999999998</v>
      </c>
      <c r="M7244">
        <v>0.537159099999999</v>
      </c>
      <c r="N7244">
        <v>-1.4949209999999999E-2</v>
      </c>
      <c r="O7244">
        <v>0.8433484</v>
      </c>
      <c r="P7244">
        <v>0.2385632</v>
      </c>
      <c r="Q7244">
        <v>0.38495810000000003</v>
      </c>
      <c r="R7244">
        <v>0.89156880000000005</v>
      </c>
      <c r="S7244">
        <v>0.84559629999999997</v>
      </c>
      <c r="T7244">
        <v>-0.3682319</v>
      </c>
      <c r="U7244">
        <v>3.298889</v>
      </c>
      <c r="V7244">
        <v>-0.28462599999999999</v>
      </c>
      <c r="W7244">
        <v>0.39318809999999998</v>
      </c>
      <c r="X7244">
        <v>0.87429460000000003</v>
      </c>
      <c r="Y7244">
        <v>-0.31124950000000001</v>
      </c>
      <c r="Z7244">
        <v>-6.7678420000000003E-2</v>
      </c>
      <c r="AA7244">
        <v>0.94791530000000002</v>
      </c>
      <c r="AB7244">
        <v>30</v>
      </c>
      <c r="AC7244">
        <v>2.3256000000000001</v>
      </c>
      <c r="AD7244">
        <v>-1.1179297022279999</v>
      </c>
      <c r="AE7244">
        <v>9.6190999999999995</v>
      </c>
      <c r="AF7244">
        <v>-3.16565714510498</v>
      </c>
      <c r="AG7244">
        <v>-1.1179297022279999</v>
      </c>
      <c r="AH7244">
        <v>9.2445457087251697</v>
      </c>
      <c r="AI7244">
        <v>96.526644024985202</v>
      </c>
      <c r="AJ7244">
        <v>108.90300504841299</v>
      </c>
      <c r="AK7244">
        <v>9.8352822704885696</v>
      </c>
      <c r="AL7244">
        <v>66.846980328265005</v>
      </c>
      <c r="AM7244">
        <v>108.032623167587</v>
      </c>
      <c r="AN7244">
        <v>0.99999994472338305</v>
      </c>
    </row>
    <row r="7245" spans="1:40" x14ac:dyDescent="0.25">
      <c r="A7245" t="str">
        <f>"20190304164302973"</f>
        <v>20190304164302973</v>
      </c>
      <c r="B7245" t="str">
        <f>"1551688982968740"</f>
        <v>1551688982968740</v>
      </c>
      <c r="C7245" t="s">
        <v>40</v>
      </c>
      <c r="D7245">
        <v>4.7967719999999998</v>
      </c>
      <c r="E7245">
        <v>0.49019489999999999</v>
      </c>
      <c r="F7245" t="s">
        <v>42</v>
      </c>
      <c r="G7245">
        <v>-193.73269999999999</v>
      </c>
      <c r="H7245" s="1">
        <v>-1.805272E-6</v>
      </c>
      <c r="I7245">
        <v>-38.517850000000003</v>
      </c>
      <c r="J7245">
        <v>-196.0642</v>
      </c>
      <c r="K7245">
        <v>1.1179699999999999</v>
      </c>
      <c r="L7245">
        <v>-48.273159999999997</v>
      </c>
      <c r="M7245">
        <v>0.53218500000000002</v>
      </c>
      <c r="N7245">
        <v>-1.495115E-2</v>
      </c>
      <c r="O7245">
        <v>0.84649599999999903</v>
      </c>
      <c r="P7245">
        <v>0.23371890000000001</v>
      </c>
      <c r="Q7245">
        <v>0.3846715</v>
      </c>
      <c r="R7245">
        <v>0.89297439999999995</v>
      </c>
      <c r="S7245">
        <v>0.81112669999999998</v>
      </c>
      <c r="T7245">
        <v>-0.37264530000000001</v>
      </c>
      <c r="U7245">
        <v>3.308716</v>
      </c>
      <c r="V7245">
        <v>-0.28432299999999999</v>
      </c>
      <c r="W7245">
        <v>0.39288430000000002</v>
      </c>
      <c r="X7245">
        <v>0.87452980000000002</v>
      </c>
      <c r="Y7245">
        <v>-0.31562899999999999</v>
      </c>
      <c r="Z7245">
        <v>-6.8854460000000006E-2</v>
      </c>
      <c r="AA7245">
        <v>0.94638120000000003</v>
      </c>
      <c r="AB7245">
        <v>30</v>
      </c>
      <c r="AC7245">
        <v>2.3315000000000001</v>
      </c>
      <c r="AD7245">
        <v>-1.117971805272</v>
      </c>
      <c r="AE7245">
        <v>9.7553099999999908</v>
      </c>
      <c r="AF7245">
        <v>-3.1788901735528801</v>
      </c>
      <c r="AG7245">
        <v>-1.117971805272</v>
      </c>
      <c r="AH7245">
        <v>9.38310849796067</v>
      </c>
      <c r="AI7245">
        <v>96.438418476631398</v>
      </c>
      <c r="AJ7245">
        <v>108.71579422510401</v>
      </c>
      <c r="AK7245">
        <v>9.9698509907318105</v>
      </c>
      <c r="AL7245">
        <v>66.865911714610803</v>
      </c>
      <c r="AM7245">
        <v>108.01013540491201</v>
      </c>
      <c r="AN7245">
        <v>1.00000000630176</v>
      </c>
    </row>
    <row r="7246" spans="1:40" x14ac:dyDescent="0.25">
      <c r="A7246" t="str">
        <f>"20190304164302991"</f>
        <v>20190304164302991</v>
      </c>
      <c r="B7246" t="str">
        <f>"1551688982978499"</f>
        <v>1551688982978499</v>
      </c>
      <c r="C7246" t="s">
        <v>40</v>
      </c>
      <c r="D7246">
        <v>4.7795420000000002</v>
      </c>
      <c r="E7246">
        <v>0.49074889999999999</v>
      </c>
      <c r="F7246" t="s">
        <v>42</v>
      </c>
      <c r="G7246">
        <v>-193.6883</v>
      </c>
      <c r="H7246" s="1">
        <v>-1.8091500000000001E-6</v>
      </c>
      <c r="I7246">
        <v>-38.481279999999998</v>
      </c>
      <c r="J7246">
        <v>-195.9469</v>
      </c>
      <c r="K7246">
        <v>1.1180079999999999</v>
      </c>
      <c r="L7246">
        <v>-48.073639999999997</v>
      </c>
      <c r="M7246">
        <v>0.52633260000000004</v>
      </c>
      <c r="N7246">
        <v>-1.4953370000000001E-2</v>
      </c>
      <c r="O7246">
        <v>0.85014730000000005</v>
      </c>
      <c r="P7246">
        <v>0.2285797</v>
      </c>
      <c r="Q7246">
        <v>0.3843028</v>
      </c>
      <c r="R7246">
        <v>0.89446229999999904</v>
      </c>
      <c r="S7246">
        <v>0.80366519999999997</v>
      </c>
      <c r="T7246">
        <v>-0.37815710000000002</v>
      </c>
      <c r="U7246">
        <v>3.3121339999999901</v>
      </c>
      <c r="V7246">
        <v>-0.28343079999999998</v>
      </c>
      <c r="W7246">
        <v>0.3925111</v>
      </c>
      <c r="X7246">
        <v>0.87498690000000001</v>
      </c>
      <c r="Y7246">
        <v>-0.31135109999999999</v>
      </c>
      <c r="Z7246">
        <v>-7.0645739999999999E-2</v>
      </c>
      <c r="AA7246">
        <v>0.94766539999999999</v>
      </c>
      <c r="AB7246">
        <v>30</v>
      </c>
      <c r="AC7246">
        <v>2.2585999999999999</v>
      </c>
      <c r="AD7246">
        <v>-1.1180098091499999</v>
      </c>
      <c r="AE7246">
        <v>9.5923599999999993</v>
      </c>
      <c r="AF7246">
        <v>-3.0892180718000399</v>
      </c>
      <c r="AG7246">
        <v>-1.1180098091499999</v>
      </c>
      <c r="AH7246">
        <v>9.2259922260088292</v>
      </c>
      <c r="AI7246">
        <v>96.555099413160406</v>
      </c>
      <c r="AJ7246">
        <v>108.512533234457</v>
      </c>
      <c r="AK7246">
        <v>9.7934747042541996</v>
      </c>
      <c r="AL7246">
        <v>66.88916281745</v>
      </c>
      <c r="AM7246">
        <v>107.948474898317</v>
      </c>
      <c r="AN7246">
        <v>1.0000000285917201</v>
      </c>
    </row>
    <row r="7247" spans="1:40" x14ac:dyDescent="0.25">
      <c r="A7247" t="str">
        <f>"20190304164303013"</f>
        <v>20190304164303013</v>
      </c>
      <c r="B7247" t="str">
        <f>"1551688983008756"</f>
        <v>1551688983008756</v>
      </c>
      <c r="C7247" t="s">
        <v>40</v>
      </c>
      <c r="D7247">
        <v>4.7666890000000004</v>
      </c>
      <c r="E7247">
        <v>0.4924248</v>
      </c>
      <c r="F7247" t="s">
        <v>42</v>
      </c>
      <c r="G7247">
        <v>-193.62370000000001</v>
      </c>
      <c r="H7247" s="1">
        <v>-1.875818E-6</v>
      </c>
      <c r="I7247">
        <v>-38.28584</v>
      </c>
      <c r="J7247">
        <v>-195.79580000000001</v>
      </c>
      <c r="K7247">
        <v>1.1180509999999999</v>
      </c>
      <c r="L7247">
        <v>-47.811860000000003</v>
      </c>
      <c r="M7247">
        <v>0.51859619999999995</v>
      </c>
      <c r="N7247">
        <v>-1.4955710000000001E-2</v>
      </c>
      <c r="O7247">
        <v>0.85488850000000005</v>
      </c>
      <c r="P7247">
        <v>0.22056110000000001</v>
      </c>
      <c r="Q7247">
        <v>0.38511679999999998</v>
      </c>
      <c r="R7247">
        <v>0.89612380000000003</v>
      </c>
      <c r="S7247">
        <v>0.78695680000000001</v>
      </c>
      <c r="T7247">
        <v>-0.378722</v>
      </c>
      <c r="U7247">
        <v>3.315582</v>
      </c>
      <c r="V7247">
        <v>-0.28320040000000002</v>
      </c>
      <c r="W7247">
        <v>0.39329779999999998</v>
      </c>
      <c r="X7247">
        <v>0.87470820000000005</v>
      </c>
      <c r="Y7247">
        <v>-0.30748599999999998</v>
      </c>
      <c r="Z7247">
        <v>-7.1524530000000003E-2</v>
      </c>
      <c r="AA7247">
        <v>0.9488607</v>
      </c>
      <c r="AB7247">
        <v>30</v>
      </c>
      <c r="AC7247">
        <v>2.1720999999999999</v>
      </c>
      <c r="AD7247">
        <v>-1.1180528758179999</v>
      </c>
      <c r="AE7247">
        <v>9.5260199999999902</v>
      </c>
      <c r="AF7247">
        <v>-3.0437429564793401</v>
      </c>
      <c r="AG7247">
        <v>-1.1180528758179999</v>
      </c>
      <c r="AH7247">
        <v>9.1513322706733806</v>
      </c>
      <c r="AI7247">
        <v>96.612761676269798</v>
      </c>
      <c r="AJ7247">
        <v>108.397180782189</v>
      </c>
      <c r="AK7247">
        <v>9.7088256625871292</v>
      </c>
      <c r="AL7247">
        <v>66.840146332347501</v>
      </c>
      <c r="AM7247">
        <v>107.940167751752</v>
      </c>
      <c r="AN7247">
        <v>1.0000000305961101</v>
      </c>
    </row>
    <row r="7248" spans="1:40" x14ac:dyDescent="0.25">
      <c r="A7248" t="str">
        <f>"20190304164303036"</f>
        <v>20190304164303036</v>
      </c>
      <c r="B7248" t="str">
        <f>"1551688983028274"</f>
        <v>1551688983028274</v>
      </c>
      <c r="C7248" t="s">
        <v>40</v>
      </c>
      <c r="D7248">
        <v>4.7732060000000001</v>
      </c>
      <c r="E7248">
        <v>0.49290800000000001</v>
      </c>
      <c r="F7248" t="s">
        <v>42</v>
      </c>
      <c r="G7248">
        <v>-193.5341</v>
      </c>
      <c r="H7248" s="1">
        <v>-1.9458730000000002E-6</v>
      </c>
      <c r="I7248">
        <v>-38.066949999999999</v>
      </c>
      <c r="J7248">
        <v>-195.64709999999999</v>
      </c>
      <c r="K7248">
        <v>1.11808</v>
      </c>
      <c r="L7248">
        <v>-47.548650000000002</v>
      </c>
      <c r="M7248">
        <v>0.51076560000000004</v>
      </c>
      <c r="N7248">
        <v>-1.4956860000000001E-2</v>
      </c>
      <c r="O7248">
        <v>0.85958989999999902</v>
      </c>
      <c r="P7248">
        <v>0.21138680000000001</v>
      </c>
      <c r="Q7248">
        <v>0.38606439999999997</v>
      </c>
      <c r="R7248">
        <v>0.89792530000000004</v>
      </c>
      <c r="S7248">
        <v>0.77096560000000003</v>
      </c>
      <c r="T7248">
        <v>-0.38111400000000001</v>
      </c>
      <c r="U7248">
        <v>3.3217769999999902</v>
      </c>
      <c r="V7248">
        <v>-0.28399629999999998</v>
      </c>
      <c r="W7248">
        <v>0.39420290000000002</v>
      </c>
      <c r="X7248">
        <v>0.87404249999999895</v>
      </c>
      <c r="Y7248">
        <v>-0.3035428</v>
      </c>
      <c r="Z7248">
        <v>-7.2741970000000003E-2</v>
      </c>
      <c r="AA7248">
        <v>0.95003709999999997</v>
      </c>
      <c r="AB7248">
        <v>30</v>
      </c>
      <c r="AC7248">
        <v>2.1129999999999902</v>
      </c>
      <c r="AD7248">
        <v>-1.118081945873</v>
      </c>
      <c r="AE7248">
        <v>9.4817</v>
      </c>
      <c r="AF7248">
        <v>-2.9873768378829402</v>
      </c>
      <c r="AG7248">
        <v>-1.118081945873</v>
      </c>
      <c r="AH7248">
        <v>9.1099718561877001</v>
      </c>
      <c r="AI7248">
        <v>96.651863356248299</v>
      </c>
      <c r="AJ7248">
        <v>108.155549933724</v>
      </c>
      <c r="AK7248">
        <v>9.65225957119568</v>
      </c>
      <c r="AL7248">
        <v>66.783731185443699</v>
      </c>
      <c r="AM7248">
        <v>108.00015869170601</v>
      </c>
      <c r="AN7248">
        <v>1.0000000582941699</v>
      </c>
    </row>
    <row r="7249" spans="1:40" x14ac:dyDescent="0.25">
      <c r="A7249" t="str">
        <f>"20190304164303062"</f>
        <v>20190304164303062</v>
      </c>
      <c r="B7249" t="str">
        <f>"1551688983058530"</f>
        <v>1551688983058530</v>
      </c>
      <c r="C7249" t="s">
        <v>40</v>
      </c>
      <c r="D7249">
        <v>4.8016509999999997</v>
      </c>
      <c r="E7249">
        <v>0.50033339999999904</v>
      </c>
      <c r="F7249" t="s">
        <v>42</v>
      </c>
      <c r="G7249">
        <v>-193.45060000000001</v>
      </c>
      <c r="H7249" s="1">
        <v>-2.0663509999999999E-6</v>
      </c>
      <c r="I7249">
        <v>-37.734340000000003</v>
      </c>
      <c r="J7249">
        <v>-195.4845</v>
      </c>
      <c r="K7249">
        <v>1.1180950000000001</v>
      </c>
      <c r="L7249">
        <v>-47.254359999999998</v>
      </c>
      <c r="M7249">
        <v>0.50196949999999996</v>
      </c>
      <c r="N7249">
        <v>-1.495673E-2</v>
      </c>
      <c r="O7249">
        <v>0.86475599999999997</v>
      </c>
      <c r="P7249">
        <v>0.20147619999999999</v>
      </c>
      <c r="Q7249">
        <v>0.38596659999999999</v>
      </c>
      <c r="R7249">
        <v>0.90024289999999996</v>
      </c>
      <c r="S7249">
        <v>0.74497990000000003</v>
      </c>
      <c r="T7249">
        <v>-0.37921860000000002</v>
      </c>
      <c r="U7249">
        <v>3.3287049999999998</v>
      </c>
      <c r="V7249">
        <v>-0.28475299999999998</v>
      </c>
      <c r="W7249">
        <v>0.3940785</v>
      </c>
      <c r="X7249">
        <v>0.87385230000000003</v>
      </c>
      <c r="Y7249">
        <v>-0.30131520000000001</v>
      </c>
      <c r="Z7249">
        <v>-7.3029730000000001E-2</v>
      </c>
      <c r="AA7249">
        <v>0.95072380000000001</v>
      </c>
      <c r="AB7249">
        <v>30</v>
      </c>
      <c r="AC7249">
        <v>2.0338999999999801</v>
      </c>
      <c r="AD7249">
        <v>-1.1180970663509999</v>
      </c>
      <c r="AE7249">
        <v>9.5200199999999899</v>
      </c>
      <c r="AF7249">
        <v>-2.9809466244090599</v>
      </c>
      <c r="AG7249">
        <v>-1.1180970663509999</v>
      </c>
      <c r="AH7249">
        <v>9.1339927396897096</v>
      </c>
      <c r="AI7249">
        <v>96.637659510555807</v>
      </c>
      <c r="AJ7249">
        <v>108.07447964345999</v>
      </c>
      <c r="AK7249">
        <v>9.6729523515865008</v>
      </c>
      <c r="AL7249">
        <v>66.791484868206396</v>
      </c>
      <c r="AM7249">
        <v>108.048687058578</v>
      </c>
      <c r="AN7249">
        <v>0.99999998869327</v>
      </c>
    </row>
    <row r="7250" spans="1:40" x14ac:dyDescent="0.25">
      <c r="A7250" t="str">
        <f>"20190304164303082"</f>
        <v>20190304164303082</v>
      </c>
      <c r="B7250" t="str">
        <f>"1551688983078051"</f>
        <v>1551688983078051</v>
      </c>
      <c r="C7250" t="s">
        <v>40</v>
      </c>
      <c r="D7250">
        <v>4.7710569999999999</v>
      </c>
      <c r="E7250">
        <v>0.50133689999999997</v>
      </c>
      <c r="F7250" t="s">
        <v>42</v>
      </c>
      <c r="G7250">
        <v>-193.2997</v>
      </c>
      <c r="H7250" s="1">
        <v>-2.0091290000000001E-6</v>
      </c>
      <c r="I7250">
        <v>-37.774099999999997</v>
      </c>
      <c r="J7250">
        <v>-195.35339999999999</v>
      </c>
      <c r="K7250">
        <v>1.118098</v>
      </c>
      <c r="L7250">
        <v>-47.01144</v>
      </c>
      <c r="M7250">
        <v>0.49469069999999998</v>
      </c>
      <c r="N7250">
        <v>-1.495574E-2</v>
      </c>
      <c r="O7250">
        <v>0.8689405</v>
      </c>
      <c r="P7250">
        <v>0.1934351</v>
      </c>
      <c r="Q7250">
        <v>0.38570539999999998</v>
      </c>
      <c r="R7250">
        <v>0.90211649999999999</v>
      </c>
      <c r="S7250">
        <v>0.7672272</v>
      </c>
      <c r="T7250">
        <v>-0.3926289</v>
      </c>
      <c r="U7250">
        <v>3.3290709999999999</v>
      </c>
      <c r="V7250">
        <v>-0.28526810000000002</v>
      </c>
      <c r="W7250">
        <v>0.39380490000000001</v>
      </c>
      <c r="X7250">
        <v>0.87380769999999997</v>
      </c>
      <c r="Y7250">
        <v>-0.2873406</v>
      </c>
      <c r="Z7250">
        <v>-7.6977980000000001E-2</v>
      </c>
      <c r="AA7250">
        <v>0.95473019999999997</v>
      </c>
      <c r="AB7250">
        <v>30</v>
      </c>
      <c r="AC7250">
        <v>2.0536999999999899</v>
      </c>
      <c r="AD7250">
        <v>-1.1181000091290001</v>
      </c>
      <c r="AE7250">
        <v>9.2373399999999997</v>
      </c>
      <c r="AF7250">
        <v>-2.7470431108162301</v>
      </c>
      <c r="AG7250">
        <v>-1.1181000091290001</v>
      </c>
      <c r="AH7250">
        <v>8.9191364274400406</v>
      </c>
      <c r="AI7250">
        <v>96.831813775620901</v>
      </c>
      <c r="AJ7250">
        <v>107.11853363673001</v>
      </c>
      <c r="AK7250">
        <v>9.3993291300169393</v>
      </c>
      <c r="AL7250">
        <v>66.808541480227703</v>
      </c>
      <c r="AM7250">
        <v>108.080076022361</v>
      </c>
      <c r="AN7250">
        <v>1.00000004236045</v>
      </c>
    </row>
    <row r="7251" spans="1:40" x14ac:dyDescent="0.25">
      <c r="A7251" t="str">
        <f>"20190304164303104"</f>
        <v>20190304164303104</v>
      </c>
      <c r="B7251" t="str">
        <f>"1551688983098548"</f>
        <v>1551688983098548</v>
      </c>
      <c r="C7251" t="s">
        <v>40</v>
      </c>
      <c r="D7251">
        <v>4.8042619999999996</v>
      </c>
      <c r="E7251">
        <v>0.50221830000000001</v>
      </c>
      <c r="F7251" t="s">
        <v>42</v>
      </c>
      <c r="G7251">
        <v>-193.25229999999999</v>
      </c>
      <c r="H7251" s="1">
        <v>-2.0716519999999999E-6</v>
      </c>
      <c r="I7251">
        <v>-37.598999999999997</v>
      </c>
      <c r="J7251">
        <v>-195.22110000000001</v>
      </c>
      <c r="K7251">
        <v>1.1180890000000001</v>
      </c>
      <c r="L7251">
        <v>-46.761139999999997</v>
      </c>
      <c r="M7251">
        <v>0.4871857</v>
      </c>
      <c r="N7251">
        <v>-1.4953910000000001E-2</v>
      </c>
      <c r="O7251">
        <v>0.87317040000000001</v>
      </c>
      <c r="P7251">
        <v>0.18503520000000001</v>
      </c>
      <c r="Q7251">
        <v>0.3845749</v>
      </c>
      <c r="R7251">
        <v>0.90435840000000001</v>
      </c>
      <c r="S7251">
        <v>0.74449160000000003</v>
      </c>
      <c r="T7251">
        <v>-0.39619510000000002</v>
      </c>
      <c r="U7251">
        <v>3.3352659999999998</v>
      </c>
      <c r="V7251">
        <v>-0.2860799</v>
      </c>
      <c r="W7251">
        <v>0.39266630000000002</v>
      </c>
      <c r="X7251">
        <v>0.87405460000000001</v>
      </c>
      <c r="Y7251">
        <v>-0.28568909999999997</v>
      </c>
      <c r="Z7251">
        <v>-7.8392749999999997E-2</v>
      </c>
      <c r="AA7251">
        <v>0.95511069999999998</v>
      </c>
      <c r="AB7251">
        <v>30</v>
      </c>
      <c r="AC7251">
        <v>1.9688000000000101</v>
      </c>
      <c r="AD7251">
        <v>-1.1180910716519901</v>
      </c>
      <c r="AE7251">
        <v>9.1621399999999902</v>
      </c>
      <c r="AF7251">
        <v>-2.70634778993848</v>
      </c>
      <c r="AG7251">
        <v>-1.1180910716519901</v>
      </c>
      <c r="AH7251">
        <v>8.8345231989420903</v>
      </c>
      <c r="AI7251">
        <v>96.899740604442698</v>
      </c>
      <c r="AJ7251">
        <v>107.031802813594</v>
      </c>
      <c r="AK7251">
        <v>9.3071610148991706</v>
      </c>
      <c r="AL7251">
        <v>66.8794932732402</v>
      </c>
      <c r="AM7251">
        <v>108.123379991267</v>
      </c>
      <c r="AN7251">
        <v>0.99999998806043</v>
      </c>
    </row>
    <row r="7252" spans="1:40" x14ac:dyDescent="0.25">
      <c r="A7252" t="str">
        <f>"20190304164303126"</f>
        <v>20190304164303126</v>
      </c>
      <c r="B7252" t="str">
        <f>"1551688983118068"</f>
        <v>1551688983118068</v>
      </c>
      <c r="C7252" t="s">
        <v>40</v>
      </c>
      <c r="D7252">
        <v>4.765644</v>
      </c>
      <c r="E7252">
        <v>0.50302829999999998</v>
      </c>
      <c r="F7252" t="s">
        <v>42</v>
      </c>
      <c r="G7252">
        <v>-193.2243</v>
      </c>
      <c r="H7252" s="1">
        <v>-2.1051579999999999E-6</v>
      </c>
      <c r="I7252">
        <v>-37.503520000000002</v>
      </c>
      <c r="J7252">
        <v>-195.0822</v>
      </c>
      <c r="K7252">
        <v>1.1180730000000001</v>
      </c>
      <c r="L7252">
        <v>-46.492249999999999</v>
      </c>
      <c r="M7252">
        <v>0.47912529999999998</v>
      </c>
      <c r="N7252">
        <v>-1.495112E-2</v>
      </c>
      <c r="O7252">
        <v>0.87761909999999899</v>
      </c>
      <c r="P7252">
        <v>0.17618979999999901</v>
      </c>
      <c r="Q7252">
        <v>0.38455450000000002</v>
      </c>
      <c r="R7252">
        <v>0.90613189999999999</v>
      </c>
      <c r="S7252">
        <v>0.72071839999999998</v>
      </c>
      <c r="T7252">
        <v>-0.40356189999999997</v>
      </c>
      <c r="U7252">
        <v>3.341431</v>
      </c>
      <c r="V7252">
        <v>-0.28656700000000002</v>
      </c>
      <c r="W7252">
        <v>0.39264139999999997</v>
      </c>
      <c r="X7252">
        <v>0.87390619999999997</v>
      </c>
      <c r="Y7252">
        <v>-0.28376010000000002</v>
      </c>
      <c r="Z7252">
        <v>-8.0745159999999996E-2</v>
      </c>
      <c r="AA7252">
        <v>0.95548960000000005</v>
      </c>
      <c r="AB7252">
        <v>30</v>
      </c>
      <c r="AC7252">
        <v>1.8579000000000001</v>
      </c>
      <c r="AD7252">
        <v>-1.11807510515799</v>
      </c>
      <c r="AE7252">
        <v>8.9887299999999897</v>
      </c>
      <c r="AF7252">
        <v>-2.6373653990994401</v>
      </c>
      <c r="AG7252">
        <v>-1.11807510515799</v>
      </c>
      <c r="AH7252">
        <v>8.6514591384012505</v>
      </c>
      <c r="AI7252">
        <v>97.047094420258105</v>
      </c>
      <c r="AJ7252">
        <v>106.95364922249399</v>
      </c>
      <c r="AK7252">
        <v>9.1133711332616993</v>
      </c>
      <c r="AL7252">
        <v>66.881044338487797</v>
      </c>
      <c r="AM7252">
        <v>108.155096137624</v>
      </c>
      <c r="AN7252">
        <v>0.99999998044069904</v>
      </c>
    </row>
    <row r="7253" spans="1:40" x14ac:dyDescent="0.25">
      <c r="A7253" t="str">
        <f>"20190304164303140"</f>
        <v>20190304164303140</v>
      </c>
      <c r="B7253" t="str">
        <f>"1551688983128804"</f>
        <v>1551688983128804</v>
      </c>
      <c r="C7253" t="s">
        <v>40</v>
      </c>
      <c r="D7253">
        <v>4.7716900000000004</v>
      </c>
      <c r="E7253">
        <v>0.50302829999999998</v>
      </c>
      <c r="F7253" t="s">
        <v>42</v>
      </c>
      <c r="G7253">
        <v>-193.1628</v>
      </c>
      <c r="H7253" s="1">
        <v>-2.1989069999999998E-6</v>
      </c>
      <c r="I7253">
        <v>-37.246839999999999</v>
      </c>
      <c r="J7253">
        <v>-194.995</v>
      </c>
      <c r="K7253">
        <v>1.118063</v>
      </c>
      <c r="L7253">
        <v>-46.320950000000003</v>
      </c>
      <c r="M7253">
        <v>0.47398899999999999</v>
      </c>
      <c r="N7253">
        <v>-1.494906E-2</v>
      </c>
      <c r="O7253">
        <v>0.88040390000000002</v>
      </c>
      <c r="P7253">
        <v>0.17155129999999999</v>
      </c>
      <c r="Q7253">
        <v>0.38454310000000003</v>
      </c>
      <c r="R7253">
        <v>0.90702640000000001</v>
      </c>
      <c r="S7253">
        <v>0.69493099999999997</v>
      </c>
      <c r="T7253">
        <v>-0.40481630000000002</v>
      </c>
      <c r="U7253">
        <v>3.3474430000000002</v>
      </c>
      <c r="V7253">
        <v>-0.28592040000000002</v>
      </c>
      <c r="W7253">
        <v>0.39264969999999999</v>
      </c>
      <c r="X7253">
        <v>0.87411430000000001</v>
      </c>
      <c r="Y7253">
        <v>-0.28556039999999999</v>
      </c>
      <c r="Z7253">
        <v>-8.1347100000000006E-2</v>
      </c>
      <c r="AA7253">
        <v>0.95490209999999998</v>
      </c>
      <c r="AB7253">
        <v>30</v>
      </c>
      <c r="AC7253">
        <v>1.8322000000000001</v>
      </c>
      <c r="AD7253">
        <v>-1.1180651989070001</v>
      </c>
      <c r="AE7253">
        <v>9.0741099999999992</v>
      </c>
      <c r="AF7253">
        <v>-2.6496023513062599</v>
      </c>
      <c r="AG7253">
        <v>-1.1180651989070001</v>
      </c>
      <c r="AH7253">
        <v>8.7309539578828392</v>
      </c>
      <c r="AI7253">
        <v>96.9861518206678</v>
      </c>
      <c r="AJ7253">
        <v>106.881588610311</v>
      </c>
      <c r="AK7253">
        <v>9.1923892119363995</v>
      </c>
      <c r="AL7253">
        <v>66.880528609690202</v>
      </c>
      <c r="AM7253">
        <v>108.11277932155301</v>
      </c>
      <c r="AN7253">
        <v>1.00000003575536</v>
      </c>
    </row>
    <row r="7254" spans="1:40" x14ac:dyDescent="0.25">
      <c r="A7254" t="str">
        <f>"20190304164303160"</f>
        <v>20190304164303160</v>
      </c>
      <c r="B7254" t="str">
        <f>"1551688983148323"</f>
        <v>1551688983148323</v>
      </c>
      <c r="C7254" t="s">
        <v>40</v>
      </c>
      <c r="D7254">
        <v>4.7370489999999998</v>
      </c>
      <c r="E7254">
        <v>0.50914890000000002</v>
      </c>
      <c r="F7254" t="s">
        <v>42</v>
      </c>
      <c r="G7254">
        <v>-193.1249</v>
      </c>
      <c r="H7254" s="1">
        <v>-2.2660049999999999E-6</v>
      </c>
      <c r="I7254">
        <v>-37.066899999999997</v>
      </c>
      <c r="J7254">
        <v>-194.8836</v>
      </c>
      <c r="K7254">
        <v>1.1180559999999999</v>
      </c>
      <c r="L7254">
        <v>-46.097630000000002</v>
      </c>
      <c r="M7254">
        <v>0.46730060000000001</v>
      </c>
      <c r="N7254">
        <v>-1.4946030000000001E-2</v>
      </c>
      <c r="O7254">
        <v>0.88397219999999999</v>
      </c>
      <c r="P7254">
        <v>0.16555249999999999</v>
      </c>
      <c r="Q7254">
        <v>0.38487539999999998</v>
      </c>
      <c r="R7254">
        <v>0.90799960000000002</v>
      </c>
      <c r="S7254">
        <v>0.67721560000000003</v>
      </c>
      <c r="T7254">
        <v>-0.4048736</v>
      </c>
      <c r="U7254">
        <v>3.3510740000000001</v>
      </c>
      <c r="V7254">
        <v>-0.28499079999999999</v>
      </c>
      <c r="W7254">
        <v>0.39300800000000002</v>
      </c>
      <c r="X7254">
        <v>0.87425679999999995</v>
      </c>
      <c r="Y7254">
        <v>-0.283356099999999</v>
      </c>
      <c r="Z7254">
        <v>-8.1930569999999994E-2</v>
      </c>
      <c r="AA7254">
        <v>0.95550860000000004</v>
      </c>
      <c r="AB7254">
        <v>30</v>
      </c>
      <c r="AC7254">
        <v>1.7586999999999999</v>
      </c>
      <c r="AD7254">
        <v>-1.118058266005</v>
      </c>
      <c r="AE7254">
        <v>9.0307300000000001</v>
      </c>
      <c r="AF7254">
        <v>-2.6269272621341302</v>
      </c>
      <c r="AG7254">
        <v>-1.118058266005</v>
      </c>
      <c r="AH7254">
        <v>8.67758985389119</v>
      </c>
      <c r="AI7254">
        <v>97.030085300079193</v>
      </c>
      <c r="AJ7254">
        <v>106.84239946526699</v>
      </c>
      <c r="AK7254">
        <v>9.1351719633010209</v>
      </c>
      <c r="AL7254">
        <v>66.858204052455307</v>
      </c>
      <c r="AM7254">
        <v>108.054966267496</v>
      </c>
      <c r="AN7254">
        <v>0.99999999824744001</v>
      </c>
    </row>
    <row r="7255" spans="1:40" x14ac:dyDescent="0.25">
      <c r="A7255" t="str">
        <f>"20190304164303181"</f>
        <v>20190304164303181</v>
      </c>
      <c r="B7255" t="str">
        <f>"1551688983178578"</f>
        <v>1551688983178578</v>
      </c>
      <c r="C7255" t="s">
        <v>40</v>
      </c>
      <c r="D7255">
        <v>4.7147620000000003</v>
      </c>
      <c r="E7255">
        <v>0.51007000000000002</v>
      </c>
      <c r="F7255" t="s">
        <v>42</v>
      </c>
      <c r="G7255">
        <v>-192.9759</v>
      </c>
      <c r="H7255" s="1">
        <v>-2.2457170000000002E-6</v>
      </c>
      <c r="I7255">
        <v>-37.021769999999997</v>
      </c>
      <c r="J7255">
        <v>-194.7576</v>
      </c>
      <c r="K7255">
        <v>1.1180410000000001</v>
      </c>
      <c r="L7255">
        <v>-45.840420000000002</v>
      </c>
      <c r="M7255">
        <v>0.45960329999999999</v>
      </c>
      <c r="N7255">
        <v>-1.494236E-2</v>
      </c>
      <c r="O7255">
        <v>0.88799859999999897</v>
      </c>
      <c r="P7255">
        <v>0.15903719999999999</v>
      </c>
      <c r="Q7255">
        <v>0.38497500000000001</v>
      </c>
      <c r="R7255">
        <v>0.90912130000000002</v>
      </c>
      <c r="S7255">
        <v>0.70425419999999905</v>
      </c>
      <c r="T7255">
        <v>-0.41274889999999997</v>
      </c>
      <c r="U7255">
        <v>3.3504939999999999</v>
      </c>
      <c r="V7255">
        <v>-0.28361979999999998</v>
      </c>
      <c r="W7255">
        <v>0.39314739999999998</v>
      </c>
      <c r="X7255">
        <v>0.87463989999999903</v>
      </c>
      <c r="Y7255">
        <v>-0.2676287</v>
      </c>
      <c r="Z7255">
        <v>-8.4730539999999993E-2</v>
      </c>
      <c r="AA7255">
        <v>0.95978929999999996</v>
      </c>
      <c r="AB7255">
        <v>30</v>
      </c>
      <c r="AC7255">
        <v>1.7817000000000001</v>
      </c>
      <c r="AD7255">
        <v>-1.118043245717</v>
      </c>
      <c r="AE7255">
        <v>8.8186499999999892</v>
      </c>
      <c r="AF7255">
        <v>-2.43362644027092</v>
      </c>
      <c r="AG7255">
        <v>-1.118043245717</v>
      </c>
      <c r="AH7255">
        <v>8.5192257153969795</v>
      </c>
      <c r="AI7255">
        <v>97.192131981734505</v>
      </c>
      <c r="AJ7255">
        <v>105.942672120181</v>
      </c>
      <c r="AK7255">
        <v>8.9302724000984597</v>
      </c>
      <c r="AL7255">
        <v>66.849518159010898</v>
      </c>
      <c r="AM7255">
        <v>107.966342324485</v>
      </c>
      <c r="AN7255">
        <v>1.0000000118754</v>
      </c>
    </row>
    <row r="7256" spans="1:40" x14ac:dyDescent="0.25">
      <c r="A7256" t="str">
        <f>"20190304164303197"</f>
        <v>20190304164303197</v>
      </c>
      <c r="B7256" t="str">
        <f>"1551688983188339"</f>
        <v>1551688983188339</v>
      </c>
      <c r="C7256" t="s">
        <v>40</v>
      </c>
      <c r="D7256">
        <v>4.7231800000000002</v>
      </c>
      <c r="E7256">
        <v>0.51034670000000004</v>
      </c>
      <c r="F7256" t="s">
        <v>42</v>
      </c>
      <c r="G7256">
        <v>-192.8845</v>
      </c>
      <c r="H7256" s="1">
        <v>-2.3583860000000002E-6</v>
      </c>
      <c r="I7256">
        <v>-36.702440000000003</v>
      </c>
      <c r="J7256">
        <v>-194.66800000000001</v>
      </c>
      <c r="K7256">
        <v>1.1180239999999999</v>
      </c>
      <c r="L7256">
        <v>-45.653199999999998</v>
      </c>
      <c r="M7256">
        <v>0.45401340000000001</v>
      </c>
      <c r="N7256">
        <v>-1.493921E-2</v>
      </c>
      <c r="O7256">
        <v>0.89086960000000004</v>
      </c>
      <c r="P7256">
        <v>0.15382660000000001</v>
      </c>
      <c r="Q7256">
        <v>0.3847333</v>
      </c>
      <c r="R7256">
        <v>0.91011960000000003</v>
      </c>
      <c r="S7256">
        <v>0.68739319999999904</v>
      </c>
      <c r="T7256">
        <v>-0.41028819999999999</v>
      </c>
      <c r="U7256">
        <v>3.3533629999999999</v>
      </c>
      <c r="V7256">
        <v>-0.28315590000000002</v>
      </c>
      <c r="W7256">
        <v>0.39292589999999999</v>
      </c>
      <c r="X7256">
        <v>0.87488969999999899</v>
      </c>
      <c r="Y7256">
        <v>-0.26636409999999899</v>
      </c>
      <c r="Z7256">
        <v>-8.4608970000000006E-2</v>
      </c>
      <c r="AA7256">
        <v>0.9601518</v>
      </c>
      <c r="AB7256">
        <v>30</v>
      </c>
      <c r="AC7256">
        <v>1.7835000000000001</v>
      </c>
      <c r="AD7256">
        <v>-1.118026358386</v>
      </c>
      <c r="AE7256">
        <v>8.9507599999999901</v>
      </c>
      <c r="AF7256">
        <v>-2.4385810968150601</v>
      </c>
      <c r="AG7256">
        <v>-1.118026358386</v>
      </c>
      <c r="AH7256">
        <v>8.6547964165063007</v>
      </c>
      <c r="AI7256">
        <v>97.087704216226498</v>
      </c>
      <c r="AJ7256">
        <v>105.73574779971401</v>
      </c>
      <c r="AK7256">
        <v>9.0610243193007598</v>
      </c>
      <c r="AL7256">
        <v>66.863319777094304</v>
      </c>
      <c r="AM7256">
        <v>107.93404653402</v>
      </c>
      <c r="AN7256">
        <v>1.0000000068808499</v>
      </c>
    </row>
    <row r="7257" spans="1:40" x14ac:dyDescent="0.25">
      <c r="A7257" t="str">
        <f>"20190304164303215"</f>
        <v>20190304164303215</v>
      </c>
      <c r="B7257" t="str">
        <f>"1551688983207859"</f>
        <v>1551688983207859</v>
      </c>
      <c r="C7257" t="s">
        <v>40</v>
      </c>
      <c r="D7257">
        <v>4.7431489999999998</v>
      </c>
      <c r="E7257">
        <v>0.51108180000000003</v>
      </c>
      <c r="F7257" t="s">
        <v>42</v>
      </c>
      <c r="G7257">
        <v>-192.84479999999999</v>
      </c>
      <c r="H7257" s="1">
        <v>-2.4204020000000002E-6</v>
      </c>
      <c r="I7257">
        <v>-36.533279999999998</v>
      </c>
      <c r="J7257">
        <v>-194.56720000000001</v>
      </c>
      <c r="K7257">
        <v>1.1179889999999999</v>
      </c>
      <c r="L7257">
        <v>-45.439540000000001</v>
      </c>
      <c r="M7257">
        <v>0.44764150000000003</v>
      </c>
      <c r="N7257">
        <v>-1.4935220000000001E-2</v>
      </c>
      <c r="O7257">
        <v>0.89408840000000001</v>
      </c>
      <c r="P7257">
        <v>0.1477531</v>
      </c>
      <c r="Q7257">
        <v>0.38422889999999998</v>
      </c>
      <c r="R7257">
        <v>0.91133819999999999</v>
      </c>
      <c r="S7257">
        <v>0.6710663</v>
      </c>
      <c r="T7257">
        <v>-0.41151700000000002</v>
      </c>
      <c r="U7257">
        <v>3.3568120000000001</v>
      </c>
      <c r="V7257">
        <v>-0.28280739999999999</v>
      </c>
      <c r="W7257">
        <v>0.39244400000000002</v>
      </c>
      <c r="X7257">
        <v>0.87521870000000002</v>
      </c>
      <c r="Y7257">
        <v>-0.26417689999999999</v>
      </c>
      <c r="Z7257">
        <v>-8.5421759999999999E-2</v>
      </c>
      <c r="AA7257">
        <v>0.96068399999999998</v>
      </c>
      <c r="AB7257">
        <v>30</v>
      </c>
      <c r="AC7257">
        <v>1.7224000000000199</v>
      </c>
      <c r="AD7257">
        <v>-1.1179914204019901</v>
      </c>
      <c r="AE7257">
        <v>8.9062599999999996</v>
      </c>
      <c r="AF7257">
        <v>-2.4104927525884401</v>
      </c>
      <c r="AG7257">
        <v>-1.1179914204019901</v>
      </c>
      <c r="AH7257">
        <v>8.6042819465814908</v>
      </c>
      <c r="AI7257">
        <v>97.131626738518605</v>
      </c>
      <c r="AJ7257">
        <v>105.65023524420199</v>
      </c>
      <c r="AK7257">
        <v>9.0052233699471298</v>
      </c>
      <c r="AL7257">
        <v>66.893343174729694</v>
      </c>
      <c r="AM7257">
        <v>107.907081474378</v>
      </c>
      <c r="AN7257">
        <v>1.0000000457302201</v>
      </c>
    </row>
    <row r="7258" spans="1:40" x14ac:dyDescent="0.25">
      <c r="A7258" t="str">
        <f>"20190304164303238"</f>
        <v>20190304164303238</v>
      </c>
      <c r="B7258" t="str">
        <f>"1551688983228355"</f>
        <v>1551688983228355</v>
      </c>
      <c r="C7258" t="s">
        <v>40</v>
      </c>
      <c r="D7258">
        <v>4.7094680000000002</v>
      </c>
      <c r="E7258">
        <v>0.51151689999999905</v>
      </c>
      <c r="F7258" t="s">
        <v>42</v>
      </c>
      <c r="G7258">
        <v>-192.81190000000001</v>
      </c>
      <c r="H7258" s="1">
        <v>-2.4554600000000002E-6</v>
      </c>
      <c r="I7258">
        <v>-36.431159999999998</v>
      </c>
      <c r="J7258">
        <v>-194.4434</v>
      </c>
      <c r="K7258">
        <v>1.117953</v>
      </c>
      <c r="L7258">
        <v>-45.171689999999998</v>
      </c>
      <c r="M7258">
        <v>0.43966470000000002</v>
      </c>
      <c r="N7258">
        <v>-1.4929690000000001E-2</v>
      </c>
      <c r="O7258">
        <v>0.89803789999999994</v>
      </c>
      <c r="P7258">
        <v>0.1397195</v>
      </c>
      <c r="Q7258">
        <v>0.3837122</v>
      </c>
      <c r="R7258">
        <v>0.91282169999999896</v>
      </c>
      <c r="S7258">
        <v>0.65501399999999999</v>
      </c>
      <c r="T7258">
        <v>-0.417186</v>
      </c>
      <c r="U7258">
        <v>3.361542</v>
      </c>
      <c r="V7258">
        <v>-0.28278189999999997</v>
      </c>
      <c r="W7258">
        <v>0.3919475</v>
      </c>
      <c r="X7258">
        <v>0.87544940000000004</v>
      </c>
      <c r="Y7258">
        <v>-0.26029960000000002</v>
      </c>
      <c r="Z7258">
        <v>-8.7423589999999995E-2</v>
      </c>
      <c r="AA7258">
        <v>0.96156189999999997</v>
      </c>
      <c r="AB7258">
        <v>30</v>
      </c>
      <c r="AC7258">
        <v>1.63149999999998</v>
      </c>
      <c r="AD7258">
        <v>-1.11795545546</v>
      </c>
      <c r="AE7258">
        <v>8.7405299999999997</v>
      </c>
      <c r="AF7258">
        <v>-2.34101007323174</v>
      </c>
      <c r="AG7258">
        <v>-1.11795545546</v>
      </c>
      <c r="AH7258">
        <v>8.4342592763251893</v>
      </c>
      <c r="AI7258">
        <v>97.278458873047697</v>
      </c>
      <c r="AJ7258">
        <v>105.512507930328</v>
      </c>
      <c r="AK7258">
        <v>8.8242213312927902</v>
      </c>
      <c r="AL7258">
        <v>66.9242682609121</v>
      </c>
      <c r="AM7258">
        <v>107.90115258981299</v>
      </c>
      <c r="AN7258">
        <v>1.0000000488420999</v>
      </c>
    </row>
    <row r="7259" spans="1:40" x14ac:dyDescent="0.25">
      <c r="A7259" t="str">
        <f>"20190304164303253"</f>
        <v>20190304164303253</v>
      </c>
      <c r="B7259" t="str">
        <f>"1551688983248851"</f>
        <v>1551688983248851</v>
      </c>
      <c r="C7259" t="s">
        <v>40</v>
      </c>
      <c r="D7259">
        <v>4.6658980000000003</v>
      </c>
      <c r="E7259">
        <v>0.51218069999999905</v>
      </c>
      <c r="F7259" t="s">
        <v>42</v>
      </c>
      <c r="G7259">
        <v>-192.76830000000001</v>
      </c>
      <c r="H7259" s="1">
        <v>-2.544196E-6</v>
      </c>
      <c r="I7259">
        <v>-36.197270000000003</v>
      </c>
      <c r="J7259">
        <v>-194.35839999999999</v>
      </c>
      <c r="K7259">
        <v>1.117923</v>
      </c>
      <c r="L7259">
        <v>-44.983829999999998</v>
      </c>
      <c r="M7259">
        <v>0.434083</v>
      </c>
      <c r="N7259">
        <v>-1.4925539999999999E-2</v>
      </c>
      <c r="O7259">
        <v>0.90074929999999997</v>
      </c>
      <c r="P7259">
        <v>0.1339852</v>
      </c>
      <c r="Q7259">
        <v>0.38356059999999997</v>
      </c>
      <c r="R7259">
        <v>0.91374460000000002</v>
      </c>
      <c r="S7259">
        <v>0.62838749999999999</v>
      </c>
      <c r="T7259">
        <v>-0.4193866</v>
      </c>
      <c r="U7259">
        <v>3.366638</v>
      </c>
      <c r="V7259">
        <v>-0.28284870000000001</v>
      </c>
      <c r="W7259">
        <v>0.39180710000000002</v>
      </c>
      <c r="X7259">
        <v>0.87549059999999901</v>
      </c>
      <c r="Y7259">
        <v>-0.26192720000000003</v>
      </c>
      <c r="Z7259">
        <v>-8.8294799999999896E-2</v>
      </c>
      <c r="AA7259">
        <v>0.96104009999999995</v>
      </c>
      <c r="AB7259">
        <v>30</v>
      </c>
      <c r="AC7259">
        <v>1.5900999999999701</v>
      </c>
      <c r="AD7259">
        <v>-1.1179255441959901</v>
      </c>
      <c r="AE7259">
        <v>8.7865599999999908</v>
      </c>
      <c r="AF7259">
        <v>-2.34531844122345</v>
      </c>
      <c r="AG7259">
        <v>-1.1179255441959901</v>
      </c>
      <c r="AH7259">
        <v>8.4728734366599401</v>
      </c>
      <c r="AI7259">
        <v>97.246845578489697</v>
      </c>
      <c r="AJ7259">
        <v>105.47225848148901</v>
      </c>
      <c r="AK7259">
        <v>8.8622717396143003</v>
      </c>
      <c r="AL7259">
        <v>66.933010509607499</v>
      </c>
      <c r="AM7259">
        <v>107.904322515597</v>
      </c>
      <c r="AN7259">
        <v>0.99999999069522905</v>
      </c>
    </row>
    <row r="7260" spans="1:40" x14ac:dyDescent="0.25">
      <c r="A7260" t="str">
        <f>"20190304164303272"</f>
        <v>20190304164303272</v>
      </c>
      <c r="B7260" t="str">
        <f>"1551688983268370"</f>
        <v>1551688983268370</v>
      </c>
      <c r="C7260" t="s">
        <v>40</v>
      </c>
      <c r="D7260">
        <v>4.6664459999999996</v>
      </c>
      <c r="E7260">
        <v>0.51274560000000002</v>
      </c>
      <c r="F7260" t="s">
        <v>42</v>
      </c>
      <c r="G7260">
        <v>-192.73609999999999</v>
      </c>
      <c r="H7260" s="1">
        <v>-2.6012779999999998E-6</v>
      </c>
      <c r="I7260">
        <v>-36.044229999999999</v>
      </c>
      <c r="J7260">
        <v>-194.26220000000001</v>
      </c>
      <c r="K7260">
        <v>1.1178980000000001</v>
      </c>
      <c r="L7260">
        <v>-44.767699999999998</v>
      </c>
      <c r="M7260">
        <v>0.42766860000000001</v>
      </c>
      <c r="N7260">
        <v>-1.492068E-2</v>
      </c>
      <c r="O7260">
        <v>0.90381250000000002</v>
      </c>
      <c r="P7260">
        <v>0.12699630000000001</v>
      </c>
      <c r="Q7260">
        <v>0.38377509999999998</v>
      </c>
      <c r="R7260">
        <v>0.91465220000000003</v>
      </c>
      <c r="S7260">
        <v>0.61164859999999999</v>
      </c>
      <c r="T7260">
        <v>-0.42148229999999998</v>
      </c>
      <c r="U7260">
        <v>3.370422</v>
      </c>
      <c r="V7260">
        <v>-0.28326010000000001</v>
      </c>
      <c r="W7260">
        <v>0.39202510000000002</v>
      </c>
      <c r="X7260">
        <v>0.87526000000000004</v>
      </c>
      <c r="Y7260">
        <v>-0.2598935</v>
      </c>
      <c r="Z7260">
        <v>-8.9292300000000005E-2</v>
      </c>
      <c r="AA7260">
        <v>0.96150000000000002</v>
      </c>
      <c r="AB7260">
        <v>30</v>
      </c>
      <c r="AC7260">
        <v>1.52610000000001</v>
      </c>
      <c r="AD7260">
        <v>-1.117900601278</v>
      </c>
      <c r="AE7260">
        <v>8.7234699999999901</v>
      </c>
      <c r="AF7260">
        <v>-2.3148223204347702</v>
      </c>
      <c r="AG7260">
        <v>-1.117900601278</v>
      </c>
      <c r="AH7260">
        <v>8.4040823113587493</v>
      </c>
      <c r="AI7260">
        <v>97.307892099252697</v>
      </c>
      <c r="AJ7260">
        <v>105.39969824824</v>
      </c>
      <c r="AK7260">
        <v>8.7884414787613991</v>
      </c>
      <c r="AL7260">
        <v>66.919434519172498</v>
      </c>
      <c r="AM7260">
        <v>107.933119390366</v>
      </c>
      <c r="AN7260">
        <v>1.000000015441</v>
      </c>
    </row>
    <row r="7261" spans="1:40" x14ac:dyDescent="0.25">
      <c r="A7261" t="str">
        <f>"20190304164303294"</f>
        <v>20190304164303294</v>
      </c>
      <c r="B7261" t="str">
        <f>"1551688983287891"</f>
        <v>1551688983287891</v>
      </c>
      <c r="C7261" t="s">
        <v>40</v>
      </c>
      <c r="D7261">
        <v>4.9101129999999999</v>
      </c>
      <c r="E7261">
        <v>0.51293329999999904</v>
      </c>
      <c r="F7261" t="s">
        <v>42</v>
      </c>
      <c r="G7261">
        <v>-192.6952</v>
      </c>
      <c r="H7261" s="1">
        <v>-2.6962499999999998E-6</v>
      </c>
      <c r="I7261">
        <v>-35.797469999999997</v>
      </c>
      <c r="J7261">
        <v>-194.14060000000001</v>
      </c>
      <c r="K7261">
        <v>1.11788</v>
      </c>
      <c r="L7261">
        <v>-44.488399999999999</v>
      </c>
      <c r="M7261">
        <v>0.4193887</v>
      </c>
      <c r="N7261">
        <v>-1.4914480000000001E-2</v>
      </c>
      <c r="O7261">
        <v>0.9076843</v>
      </c>
      <c r="P7261">
        <v>0.118885</v>
      </c>
      <c r="Q7261">
        <v>0.38451950000000001</v>
      </c>
      <c r="R7261">
        <v>0.91542950000000001</v>
      </c>
      <c r="S7261">
        <v>0.58952329999999997</v>
      </c>
      <c r="T7261">
        <v>-0.4205468</v>
      </c>
      <c r="U7261">
        <v>3.3745419999999999</v>
      </c>
      <c r="V7261">
        <v>-0.28286509999999998</v>
      </c>
      <c r="W7261">
        <v>0.39278999999999997</v>
      </c>
      <c r="X7261">
        <v>0.87504479999999996</v>
      </c>
      <c r="Y7261">
        <v>-0.25739069999999997</v>
      </c>
      <c r="Z7261">
        <v>-8.9703850000000002E-2</v>
      </c>
      <c r="AA7261">
        <v>0.96213470000000001</v>
      </c>
      <c r="AB7261">
        <v>30</v>
      </c>
      <c r="AC7261">
        <v>1.4454</v>
      </c>
      <c r="AD7261">
        <v>-1.1178826962499999</v>
      </c>
      <c r="AE7261">
        <v>8.6909299999999892</v>
      </c>
      <c r="AF7261">
        <v>-2.2962027523383499</v>
      </c>
      <c r="AG7261">
        <v>-1.1178826962499999</v>
      </c>
      <c r="AH7261">
        <v>8.3611399598145297</v>
      </c>
      <c r="AI7261">
        <v>97.346408809988105</v>
      </c>
      <c r="AJ7261">
        <v>105.356431379516</v>
      </c>
      <c r="AK7261">
        <v>8.7424750631631092</v>
      </c>
      <c r="AL7261">
        <v>66.871787503680395</v>
      </c>
      <c r="AM7261">
        <v>107.91383355691001</v>
      </c>
      <c r="AN7261">
        <v>1.0000000254525201</v>
      </c>
    </row>
    <row r="7262" spans="1:40" x14ac:dyDescent="0.25">
      <c r="A7262" t="str">
        <f>"20190304164303326"</f>
        <v>20190304164303326</v>
      </c>
      <c r="B7262" t="str">
        <f>"1551688983318147"</f>
        <v>1551688983318147</v>
      </c>
      <c r="C7262" t="s">
        <v>40</v>
      </c>
      <c r="D7262">
        <v>4.630579</v>
      </c>
      <c r="E7262">
        <v>0.51381489999999996</v>
      </c>
      <c r="F7262" t="s">
        <v>42</v>
      </c>
      <c r="G7262">
        <v>-192.6525</v>
      </c>
      <c r="H7262" s="1">
        <v>-2.8308079999999999E-6</v>
      </c>
      <c r="I7262">
        <v>-35.457349999999998</v>
      </c>
      <c r="J7262">
        <v>-193.97579999999999</v>
      </c>
      <c r="K7262">
        <v>1.117845</v>
      </c>
      <c r="L7262">
        <v>-44.098300000000002</v>
      </c>
      <c r="M7262">
        <v>0.40783849999999999</v>
      </c>
      <c r="N7262">
        <v>-1.490637E-2</v>
      </c>
      <c r="O7262">
        <v>0.91293239999999998</v>
      </c>
      <c r="P7262">
        <v>0.1103925</v>
      </c>
      <c r="Q7262">
        <v>0.38553749999999998</v>
      </c>
      <c r="R7262">
        <v>0.91606460000000001</v>
      </c>
      <c r="S7262">
        <v>0.55705260000000001</v>
      </c>
      <c r="T7262">
        <v>-0.41845579999999999</v>
      </c>
      <c r="U7262">
        <v>3.380585</v>
      </c>
      <c r="V7262">
        <v>-0.27965899999999999</v>
      </c>
      <c r="W7262">
        <v>0.39389039999999997</v>
      </c>
      <c r="X7262">
        <v>0.87558049999999998</v>
      </c>
      <c r="Y7262">
        <v>-0.2544109</v>
      </c>
      <c r="Z7262">
        <v>-9.0034180000000005E-2</v>
      </c>
      <c r="AA7262">
        <v>0.96289610000000003</v>
      </c>
      <c r="AB7262">
        <v>30</v>
      </c>
      <c r="AC7262">
        <v>1.3232999999999799</v>
      </c>
      <c r="AD7262">
        <v>-1.117847830808</v>
      </c>
      <c r="AE7262">
        <v>8.6409500000000001</v>
      </c>
      <c r="AF7262">
        <v>-2.2790191445891601</v>
      </c>
      <c r="AG7262">
        <v>-1.117847830808</v>
      </c>
      <c r="AH7262">
        <v>8.2936140715255</v>
      </c>
      <c r="AI7262">
        <v>97.405025986247907</v>
      </c>
      <c r="AJ7262">
        <v>105.365173260918</v>
      </c>
      <c r="AK7262">
        <v>8.6733814859979397</v>
      </c>
      <c r="AL7262">
        <v>66.803211084590103</v>
      </c>
      <c r="AM7262">
        <v>107.713398164415</v>
      </c>
      <c r="AN7262">
        <v>1.0000000077366999</v>
      </c>
    </row>
    <row r="7263" spans="1:40" x14ac:dyDescent="0.25">
      <c r="A7263" t="str">
        <f>"20190304164303349"</f>
        <v>20190304164303349</v>
      </c>
      <c r="B7263" t="str">
        <f>"1551688983338643"</f>
        <v>1551688983338643</v>
      </c>
      <c r="C7263" t="s">
        <v>40</v>
      </c>
      <c r="D7263">
        <v>5.1917030000000004</v>
      </c>
      <c r="E7263">
        <v>0.51433609999999996</v>
      </c>
      <c r="F7263" t="s">
        <v>42</v>
      </c>
      <c r="G7263">
        <v>-192.56030000000001</v>
      </c>
      <c r="H7263" s="1">
        <v>-3.0062679999999999E-6</v>
      </c>
      <c r="I7263">
        <v>-34.991190000000003</v>
      </c>
      <c r="J7263">
        <v>-193.86760000000001</v>
      </c>
      <c r="K7263">
        <v>1.1178269999999999</v>
      </c>
      <c r="L7263">
        <v>-43.83408</v>
      </c>
      <c r="M7263">
        <v>0.40001959999999998</v>
      </c>
      <c r="N7263">
        <v>-1.490114E-2</v>
      </c>
      <c r="O7263">
        <v>0.91638549999999996</v>
      </c>
      <c r="P7263">
        <v>0.1050775</v>
      </c>
      <c r="Q7263">
        <v>0.38555109999999998</v>
      </c>
      <c r="R7263">
        <v>0.91668369999999999</v>
      </c>
      <c r="S7263">
        <v>0.52633669999999899</v>
      </c>
      <c r="T7263">
        <v>-0.41566009999999998</v>
      </c>
      <c r="U7263">
        <v>3.3863829999999999</v>
      </c>
      <c r="V7263">
        <v>-0.27721230000000002</v>
      </c>
      <c r="W7263">
        <v>0.39396750000000003</v>
      </c>
      <c r="X7263">
        <v>0.87632359999999898</v>
      </c>
      <c r="Y7263">
        <v>-0.25491960000000002</v>
      </c>
      <c r="Z7263">
        <v>-8.9809730000000004E-2</v>
      </c>
      <c r="AA7263">
        <v>0.96278260000000004</v>
      </c>
      <c r="AB7263">
        <v>30</v>
      </c>
      <c r="AC7263">
        <v>1.3072999999999899</v>
      </c>
      <c r="AD7263">
        <v>-1.117830006268</v>
      </c>
      <c r="AE7263">
        <v>8.8428899999999899</v>
      </c>
      <c r="AF7263">
        <v>-2.3035755103749298</v>
      </c>
      <c r="AG7263">
        <v>-1.117830006268</v>
      </c>
      <c r="AH7263">
        <v>8.4945635639114005</v>
      </c>
      <c r="AI7263">
        <v>97.238177934449297</v>
      </c>
      <c r="AJ7263">
        <v>105.172695771618</v>
      </c>
      <c r="AK7263">
        <v>8.8720693299953108</v>
      </c>
      <c r="AL7263">
        <v>66.7984060266852</v>
      </c>
      <c r="AM7263">
        <v>107.554014117419</v>
      </c>
      <c r="AN7263">
        <v>1.00000005112224</v>
      </c>
    </row>
    <row r="7264" spans="1:40" x14ac:dyDescent="0.25">
      <c r="A7264" t="str">
        <f>"20190304164303371"</f>
        <v>20190304164303371</v>
      </c>
      <c r="B7264" t="str">
        <f>"1551688983358163"</f>
        <v>1551688983358163</v>
      </c>
      <c r="C7264" t="s">
        <v>40</v>
      </c>
      <c r="D7264">
        <v>4.9874429999999998</v>
      </c>
      <c r="E7264">
        <v>0.51493859999999902</v>
      </c>
      <c r="F7264" t="s">
        <v>42</v>
      </c>
      <c r="G7264">
        <v>-192.49700000000001</v>
      </c>
      <c r="H7264" s="1">
        <v>-3.1143139999999999E-6</v>
      </c>
      <c r="I7264">
        <v>-34.700069999999997</v>
      </c>
      <c r="J7264">
        <v>-193.75899999999999</v>
      </c>
      <c r="K7264">
        <v>1.117815</v>
      </c>
      <c r="L7264">
        <v>-43.56241</v>
      </c>
      <c r="M7264">
        <v>0.39197979999999999</v>
      </c>
      <c r="N7264">
        <v>-1.489588E-2</v>
      </c>
      <c r="O7264">
        <v>0.91985320000000004</v>
      </c>
      <c r="P7264">
        <v>0.1000018</v>
      </c>
      <c r="Q7264">
        <v>0.38565129999999997</v>
      </c>
      <c r="R7264">
        <v>0.91720919999999895</v>
      </c>
      <c r="S7264">
        <v>0.50848389999999999</v>
      </c>
      <c r="T7264">
        <v>-0.41472789999999998</v>
      </c>
      <c r="U7264">
        <v>3.3888240000000001</v>
      </c>
      <c r="V7264">
        <v>-0.27433449999999998</v>
      </c>
      <c r="W7264">
        <v>0.3941384</v>
      </c>
      <c r="X7264">
        <v>0.87715189999999998</v>
      </c>
      <c r="Y7264">
        <v>-0.25152150000000001</v>
      </c>
      <c r="Z7264">
        <v>-9.0191380000000002E-2</v>
      </c>
      <c r="AA7264">
        <v>0.96364019999999995</v>
      </c>
      <c r="AB7264">
        <v>30</v>
      </c>
      <c r="AC7264">
        <v>1.262</v>
      </c>
      <c r="AD7264">
        <v>-1.117818114314</v>
      </c>
      <c r="AE7264">
        <v>8.8623399999999908</v>
      </c>
      <c r="AF7264">
        <v>-2.2777435861190298</v>
      </c>
      <c r="AG7264">
        <v>-1.117818114314</v>
      </c>
      <c r="AH7264">
        <v>8.5149176506716397</v>
      </c>
      <c r="AI7264">
        <v>97.227591793658604</v>
      </c>
      <c r="AJ7264">
        <v>104.976004072758</v>
      </c>
      <c r="AK7264">
        <v>8.8849004371751104</v>
      </c>
      <c r="AL7264">
        <v>66.787750302358404</v>
      </c>
      <c r="AM7264">
        <v>107.36738525610799</v>
      </c>
      <c r="AN7264">
        <v>0.99999997595920898</v>
      </c>
    </row>
    <row r="7265" spans="1:40" x14ac:dyDescent="0.25">
      <c r="A7265" t="str">
        <f>"20190304164303395"</f>
        <v>20190304164303395</v>
      </c>
      <c r="B7265" t="str">
        <f>"1551688983388419"</f>
        <v>1551688983388419</v>
      </c>
      <c r="C7265" t="s">
        <v>40</v>
      </c>
      <c r="D7265">
        <v>4.678032</v>
      </c>
      <c r="E7265">
        <v>0.51593429999999996</v>
      </c>
      <c r="F7265" t="s">
        <v>42</v>
      </c>
      <c r="G7265">
        <v>-192.428</v>
      </c>
      <c r="H7265" s="1">
        <v>-3.220166E-6</v>
      </c>
      <c r="I7265">
        <v>-34.410499999999999</v>
      </c>
      <c r="J7265">
        <v>-193.6472</v>
      </c>
      <c r="K7265">
        <v>1.117801</v>
      </c>
      <c r="L7265">
        <v>-43.275329999999997</v>
      </c>
      <c r="M7265">
        <v>0.38347999999999999</v>
      </c>
      <c r="N7265">
        <v>-1.4890509999999999E-2</v>
      </c>
      <c r="O7265">
        <v>0.9234291</v>
      </c>
      <c r="P7265">
        <v>9.3676330000000002E-2</v>
      </c>
      <c r="Q7265">
        <v>0.3866715</v>
      </c>
      <c r="R7265">
        <v>0.91744749999999997</v>
      </c>
      <c r="S7265">
        <v>0.49319459999999998</v>
      </c>
      <c r="T7265">
        <v>-0.4141997</v>
      </c>
      <c r="U7265">
        <v>3.3911739999999999</v>
      </c>
      <c r="V7265">
        <v>-0.27211039999999997</v>
      </c>
      <c r="W7265">
        <v>0.39520880000000003</v>
      </c>
      <c r="X7265">
        <v>0.877362999999999</v>
      </c>
      <c r="Y7265">
        <v>-0.2469549</v>
      </c>
      <c r="Z7265">
        <v>-9.0707289999999996E-2</v>
      </c>
      <c r="AA7265">
        <v>0.96477219999999997</v>
      </c>
      <c r="AB7265">
        <v>30</v>
      </c>
      <c r="AC7265">
        <v>1.2192000000000001</v>
      </c>
      <c r="AD7265">
        <v>-1.1178042201659999</v>
      </c>
      <c r="AE7265">
        <v>8.8648299999999907</v>
      </c>
      <c r="AF7265">
        <v>-2.23895443349749</v>
      </c>
      <c r="AG7265">
        <v>-1.1178042201659999</v>
      </c>
      <c r="AH7265">
        <v>8.5215649708477894</v>
      </c>
      <c r="AI7265">
        <v>97.230355746690904</v>
      </c>
      <c r="AJ7265">
        <v>104.721157951756</v>
      </c>
      <c r="AK7265">
        <v>8.8814116435552695</v>
      </c>
      <c r="AL7265">
        <v>66.721001739874794</v>
      </c>
      <c r="AM7265">
        <v>107.23105424257101</v>
      </c>
      <c r="AN7265">
        <v>0.99999994957729799</v>
      </c>
    </row>
    <row r="7266" spans="1:40" x14ac:dyDescent="0.25">
      <c r="A7266" t="str">
        <f>"20190304164303417"</f>
        <v>20190304164303417</v>
      </c>
      <c r="B7266" t="str">
        <f>"1551688983407940"</f>
        <v>1551688983407940</v>
      </c>
      <c r="C7266" t="s">
        <v>40</v>
      </c>
      <c r="D7266">
        <v>4.6334249999999999</v>
      </c>
      <c r="E7266">
        <v>0.51649069999999997</v>
      </c>
      <c r="F7266" t="s">
        <v>42</v>
      </c>
      <c r="G7266">
        <v>-192.364</v>
      </c>
      <c r="H7266" s="1">
        <v>-3.314446E-6</v>
      </c>
      <c r="I7266">
        <v>-34.151009999999999</v>
      </c>
      <c r="J7266">
        <v>-193.54409999999999</v>
      </c>
      <c r="K7266">
        <v>1.1177809999999999</v>
      </c>
      <c r="L7266">
        <v>-43.003329999999998</v>
      </c>
      <c r="M7266">
        <v>0.37542300000000001</v>
      </c>
      <c r="N7266">
        <v>-1.4885590000000001E-2</v>
      </c>
      <c r="O7266">
        <v>0.92673410000000001</v>
      </c>
      <c r="P7266">
        <v>8.7986510000000004E-2</v>
      </c>
      <c r="Q7266">
        <v>0.38763009999999998</v>
      </c>
      <c r="R7266">
        <v>0.91760629999999999</v>
      </c>
      <c r="S7266">
        <v>0.4776917</v>
      </c>
      <c r="T7266">
        <v>-0.4161049</v>
      </c>
      <c r="U7266">
        <v>3.3965450000000001</v>
      </c>
      <c r="V7266">
        <v>-0.2697386</v>
      </c>
      <c r="W7266">
        <v>0.39622079999999998</v>
      </c>
      <c r="X7266">
        <v>0.87763899999999995</v>
      </c>
      <c r="Y7266">
        <v>-0.24306179999999999</v>
      </c>
      <c r="Z7266">
        <v>-9.1682639999999996E-2</v>
      </c>
      <c r="AA7266">
        <v>0.96566830000000003</v>
      </c>
      <c r="AB7266">
        <v>29</v>
      </c>
      <c r="AC7266">
        <v>1.1800999999999799</v>
      </c>
      <c r="AD7266">
        <v>-1.117784314446</v>
      </c>
      <c r="AE7266">
        <v>8.85231999999999</v>
      </c>
      <c r="AF7266">
        <v>-2.19557718879161</v>
      </c>
      <c r="AG7266">
        <v>-1.117784314446</v>
      </c>
      <c r="AH7266">
        <v>8.5143572904697091</v>
      </c>
      <c r="AI7266">
        <v>97.244792879639903</v>
      </c>
      <c r="AJ7266">
        <v>104.459717547229</v>
      </c>
      <c r="AK7266">
        <v>8.8636494196994402</v>
      </c>
      <c r="AL7266">
        <v>66.657866600829806</v>
      </c>
      <c r="AM7266">
        <v>107.084587215246</v>
      </c>
      <c r="AN7266">
        <v>1.0000000245017899</v>
      </c>
    </row>
    <row r="7267" spans="1:40" x14ac:dyDescent="0.25">
      <c r="A7267" t="str">
        <f>"20190304164303440"</f>
        <v>20190304164303440</v>
      </c>
      <c r="B7267" t="str">
        <f>"1551688983428435"</f>
        <v>1551688983428435</v>
      </c>
      <c r="C7267" t="s">
        <v>40</v>
      </c>
      <c r="D7267">
        <v>4.6287839999999996</v>
      </c>
      <c r="E7267">
        <v>0.51703659999999996</v>
      </c>
      <c r="F7267" t="s">
        <v>42</v>
      </c>
      <c r="G7267">
        <v>-192.30940000000001</v>
      </c>
      <c r="H7267" s="1">
        <v>-3.4332119999999999E-6</v>
      </c>
      <c r="I7267">
        <v>-33.840309999999903</v>
      </c>
      <c r="J7267">
        <v>-193.44229999999999</v>
      </c>
      <c r="K7267">
        <v>1.1177569999999999</v>
      </c>
      <c r="L7267">
        <v>-42.727629999999998</v>
      </c>
      <c r="M7267">
        <v>0.36725679999999999</v>
      </c>
      <c r="N7267">
        <v>-1.488045E-2</v>
      </c>
      <c r="O7267">
        <v>0.93000050000000001</v>
      </c>
      <c r="P7267">
        <v>8.2928870000000002E-2</v>
      </c>
      <c r="Q7267">
        <v>0.38867499999999999</v>
      </c>
      <c r="R7267">
        <v>0.91763530000000004</v>
      </c>
      <c r="S7267">
        <v>0.45825199999999999</v>
      </c>
      <c r="T7267">
        <v>-0.4148425</v>
      </c>
      <c r="U7267">
        <v>3.400665</v>
      </c>
      <c r="V7267">
        <v>-0.26666790000000001</v>
      </c>
      <c r="W7267">
        <v>0.39733390000000002</v>
      </c>
      <c r="X7267">
        <v>0.87807400000000002</v>
      </c>
      <c r="Y7267">
        <v>-0.24011299999999999</v>
      </c>
      <c r="Z7267">
        <v>-9.1880600000000007E-2</v>
      </c>
      <c r="AA7267">
        <v>0.96638690000000005</v>
      </c>
      <c r="AB7267">
        <v>29</v>
      </c>
      <c r="AC7267">
        <v>1.13289999999997</v>
      </c>
      <c r="AD7267">
        <v>-1.1177604332119999</v>
      </c>
      <c r="AE7267">
        <v>8.8873200000000008</v>
      </c>
      <c r="AF7267">
        <v>-2.1766952309227201</v>
      </c>
      <c r="AG7267">
        <v>-1.1177604332119999</v>
      </c>
      <c r="AH7267">
        <v>8.5491691801291303</v>
      </c>
      <c r="AI7267">
        <v>97.221047547278204</v>
      </c>
      <c r="AJ7267">
        <v>104.284513856516</v>
      </c>
      <c r="AK7267">
        <v>8.8924509661198492</v>
      </c>
      <c r="AL7267">
        <v>66.588386189183296</v>
      </c>
      <c r="AM7267">
        <v>106.893346284909</v>
      </c>
      <c r="AN7267">
        <v>0.99999997322780898</v>
      </c>
    </row>
    <row r="7268" spans="1:40" x14ac:dyDescent="0.25">
      <c r="A7268" t="str">
        <f>"20190304164303461"</f>
        <v>20190304164303461</v>
      </c>
      <c r="B7268" t="str">
        <f>"1551688983447955"</f>
        <v>1551688983447955</v>
      </c>
      <c r="C7268" t="s">
        <v>40</v>
      </c>
      <c r="D7268">
        <v>4.6683649999999997</v>
      </c>
      <c r="E7268">
        <v>0.51749319999999999</v>
      </c>
      <c r="F7268" t="s">
        <v>42</v>
      </c>
      <c r="G7268">
        <v>-192.2561</v>
      </c>
      <c r="H7268" s="1">
        <v>-3.5475720000000002E-6</v>
      </c>
      <c r="I7268">
        <v>-33.540680000000002</v>
      </c>
      <c r="J7268">
        <v>-193.34979999999999</v>
      </c>
      <c r="K7268">
        <v>1.11772</v>
      </c>
      <c r="L7268">
        <v>-42.470399999999998</v>
      </c>
      <c r="M7268">
        <v>0.35965350000000001</v>
      </c>
      <c r="N7268">
        <v>-1.4875050000000001E-2</v>
      </c>
      <c r="O7268">
        <v>0.9329674</v>
      </c>
      <c r="P7268">
        <v>7.8244170000000002E-2</v>
      </c>
      <c r="Q7268">
        <v>0.38927580000000001</v>
      </c>
      <c r="R7268">
        <v>0.91779200000000005</v>
      </c>
      <c r="S7268">
        <v>0.43965149999999997</v>
      </c>
      <c r="T7268">
        <v>-0.41428029999999999</v>
      </c>
      <c r="U7268">
        <v>3.4049990000000001</v>
      </c>
      <c r="V7268">
        <v>-0.26385340000000002</v>
      </c>
      <c r="W7268">
        <v>0.398005</v>
      </c>
      <c r="X7268">
        <v>0.87862009999999902</v>
      </c>
      <c r="Y7268">
        <v>-0.23754649999999999</v>
      </c>
      <c r="Z7268">
        <v>-9.2186409999999996E-2</v>
      </c>
      <c r="AA7268">
        <v>0.96699190000000002</v>
      </c>
      <c r="AB7268">
        <v>29</v>
      </c>
      <c r="AC7268">
        <v>1.0936999999999799</v>
      </c>
      <c r="AD7268">
        <v>-1.117723547572</v>
      </c>
      <c r="AE7268">
        <v>8.9297199999999908</v>
      </c>
      <c r="AF7268">
        <v>-2.1581484296206401</v>
      </c>
      <c r="AG7268">
        <v>-1.117723547572</v>
      </c>
      <c r="AH7268">
        <v>8.59281945307802</v>
      </c>
      <c r="AI7268">
        <v>97.190350462531001</v>
      </c>
      <c r="AJ7268">
        <v>104.098628697446</v>
      </c>
      <c r="AK7268">
        <v>8.9299191892349796</v>
      </c>
      <c r="AL7268">
        <v>66.546477972097094</v>
      </c>
      <c r="AM7268">
        <v>106.715238756983</v>
      </c>
      <c r="AN7268">
        <v>0.99999993842028301</v>
      </c>
    </row>
    <row r="7269" spans="1:40" x14ac:dyDescent="0.25">
      <c r="A7269" t="str">
        <f>"20190304164303485"</f>
        <v>20190304164303485</v>
      </c>
      <c r="B7269" t="str">
        <f>"1551688983478211"</f>
        <v>1551688983478211</v>
      </c>
      <c r="C7269" t="s">
        <v>40</v>
      </c>
      <c r="D7269">
        <v>4.6727410000000003</v>
      </c>
      <c r="E7269">
        <v>0.51828529999999995</v>
      </c>
      <c r="F7269" t="s">
        <v>42</v>
      </c>
      <c r="G7269">
        <v>-192.20310000000001</v>
      </c>
      <c r="H7269" s="1">
        <v>-3.657717E-6</v>
      </c>
      <c r="I7269">
        <v>-33.251080000000002</v>
      </c>
      <c r="J7269">
        <v>-193.24969999999999</v>
      </c>
      <c r="K7269">
        <v>1.117672</v>
      </c>
      <c r="L7269">
        <v>-42.184019999999997</v>
      </c>
      <c r="M7269">
        <v>0.35124660000000002</v>
      </c>
      <c r="N7269">
        <v>-1.486677E-2</v>
      </c>
      <c r="O7269">
        <v>0.93616489999999997</v>
      </c>
      <c r="P7269">
        <v>7.1666430000000003E-2</v>
      </c>
      <c r="Q7269">
        <v>0.38953019999999999</v>
      </c>
      <c r="R7269">
        <v>0.91822119999999996</v>
      </c>
      <c r="S7269">
        <v>0.42387390000000003</v>
      </c>
      <c r="T7269">
        <v>-0.41315279999999999</v>
      </c>
      <c r="U7269">
        <v>3.4078059999999999</v>
      </c>
      <c r="V7269">
        <v>-0.2621463</v>
      </c>
      <c r="W7269">
        <v>0.39832079999999997</v>
      </c>
      <c r="X7269">
        <v>0.87898799999999899</v>
      </c>
      <c r="Y7269">
        <v>-0.23332220000000001</v>
      </c>
      <c r="Z7269">
        <v>-9.2456469999999999E-2</v>
      </c>
      <c r="AA7269">
        <v>0.96799409999999997</v>
      </c>
      <c r="AB7269">
        <v>29</v>
      </c>
      <c r="AC7269">
        <v>1.04659999999998</v>
      </c>
      <c r="AD7269">
        <v>-1.1176756577169999</v>
      </c>
      <c r="AE7269">
        <v>8.9329400000000003</v>
      </c>
      <c r="AF7269">
        <v>-2.1252930646336599</v>
      </c>
      <c r="AG7269">
        <v>-1.1176756577169999</v>
      </c>
      <c r="AH7269">
        <v>8.5985012663978306</v>
      </c>
      <c r="AI7269">
        <v>97.191997733979306</v>
      </c>
      <c r="AJ7269">
        <v>103.88354260955801</v>
      </c>
      <c r="AK7269">
        <v>8.92750208707219</v>
      </c>
      <c r="AL7269">
        <v>66.5267551087735</v>
      </c>
      <c r="AM7269">
        <v>106.606500757943</v>
      </c>
      <c r="AN7269">
        <v>1.00000002323016</v>
      </c>
    </row>
    <row r="7270" spans="1:40" x14ac:dyDescent="0.25">
      <c r="A7270" t="str">
        <f>"20190304164303507"</f>
        <v>20190304164303507</v>
      </c>
      <c r="B7270" t="str">
        <f>"1551688983498707"</f>
        <v>1551688983498707</v>
      </c>
      <c r="C7270" t="s">
        <v>40</v>
      </c>
      <c r="D7270">
        <v>4.6309559999999896</v>
      </c>
      <c r="E7270">
        <v>0.51885990000000004</v>
      </c>
      <c r="F7270" t="s">
        <v>42</v>
      </c>
      <c r="G7270">
        <v>-192.1549</v>
      </c>
      <c r="H7270" s="1">
        <v>-3.7349239999999998E-6</v>
      </c>
      <c r="I7270">
        <v>-33.041229999999999</v>
      </c>
      <c r="J7270">
        <v>-193.15549999999999</v>
      </c>
      <c r="K7270">
        <v>1.11759599999999</v>
      </c>
      <c r="L7270">
        <v>-41.906619999999997</v>
      </c>
      <c r="M7270">
        <v>0.34319690000000003</v>
      </c>
      <c r="N7270">
        <v>-1.4855159999999999E-2</v>
      </c>
      <c r="O7270">
        <v>0.93914600000000004</v>
      </c>
      <c r="P7270">
        <v>6.3117950000000006E-2</v>
      </c>
      <c r="Q7270">
        <v>0.39028499999999999</v>
      </c>
      <c r="R7270">
        <v>0.91852809999999996</v>
      </c>
      <c r="S7270">
        <v>0.40859990000000002</v>
      </c>
      <c r="T7270">
        <v>-0.41713790000000001</v>
      </c>
      <c r="U7270">
        <v>3.4122620000000001</v>
      </c>
      <c r="V7270">
        <v>-0.26260460000000002</v>
      </c>
      <c r="W7270">
        <v>0.39910319999999999</v>
      </c>
      <c r="X7270">
        <v>0.878496099999999</v>
      </c>
      <c r="Y7270">
        <v>-0.2294158</v>
      </c>
      <c r="Z7270">
        <v>-9.3943830000000006E-2</v>
      </c>
      <c r="AA7270">
        <v>0.96878430000000004</v>
      </c>
      <c r="AB7270">
        <v>29</v>
      </c>
      <c r="AC7270">
        <v>1.0005999999999899</v>
      </c>
      <c r="AD7270">
        <v>-1.1175997349240001</v>
      </c>
      <c r="AE7270">
        <v>8.8653899999999997</v>
      </c>
      <c r="AF7270">
        <v>-2.0706049238186899</v>
      </c>
      <c r="AG7270">
        <v>-1.1175997349240001</v>
      </c>
      <c r="AH7270">
        <v>8.5363030653706495</v>
      </c>
      <c r="AI7270">
        <v>97.250988094160803</v>
      </c>
      <c r="AJ7270">
        <v>103.63459003465699</v>
      </c>
      <c r="AK7270">
        <v>8.8546543660326407</v>
      </c>
      <c r="AL7270">
        <v>66.477872081852496</v>
      </c>
      <c r="AM7270">
        <v>106.642729401591</v>
      </c>
      <c r="AN7270">
        <v>0.99999996895330401</v>
      </c>
    </row>
    <row r="7271" spans="1:40" x14ac:dyDescent="0.25">
      <c r="A7271" t="str">
        <f>"20190304164303528"</f>
        <v>20190304164303528</v>
      </c>
      <c r="B7271" t="str">
        <f>"1551688983518227"</f>
        <v>1551688983518227</v>
      </c>
      <c r="C7271" t="s">
        <v>40</v>
      </c>
      <c r="D7271">
        <v>4.6769080000000001</v>
      </c>
      <c r="E7271">
        <v>0.51931300000000002</v>
      </c>
      <c r="F7271" t="s">
        <v>42</v>
      </c>
      <c r="G7271">
        <v>-192.11490000000001</v>
      </c>
      <c r="H7271" s="1">
        <v>-3.8488110000000004E-6</v>
      </c>
      <c r="I7271">
        <v>-32.750920000000001</v>
      </c>
      <c r="J7271">
        <v>-193.06880000000001</v>
      </c>
      <c r="K7271">
        <v>1.117497</v>
      </c>
      <c r="L7271">
        <v>-41.644680000000001</v>
      </c>
      <c r="M7271">
        <v>0.33568490000000001</v>
      </c>
      <c r="N7271">
        <v>-1.483946E-2</v>
      </c>
      <c r="O7271">
        <v>0.94185750000000001</v>
      </c>
      <c r="P7271">
        <v>5.4779729999999999E-2</v>
      </c>
      <c r="Q7271">
        <v>0.39094010000000001</v>
      </c>
      <c r="R7271">
        <v>0.91878459999999995</v>
      </c>
      <c r="S7271">
        <v>0.38832090000000002</v>
      </c>
      <c r="T7271">
        <v>-0.41705429999999999</v>
      </c>
      <c r="U7271">
        <v>3.4166259999999999</v>
      </c>
      <c r="V7271">
        <v>-0.26338929999999999</v>
      </c>
      <c r="W7271">
        <v>0.39978419999999998</v>
      </c>
      <c r="X7271">
        <v>0.87795140000000005</v>
      </c>
      <c r="Y7271">
        <v>-0.2274661</v>
      </c>
      <c r="Z7271">
        <v>-9.432517E-2</v>
      </c>
      <c r="AA7271">
        <v>0.96920689999999998</v>
      </c>
      <c r="AB7271">
        <v>29</v>
      </c>
      <c r="AC7271">
        <v>0.95390000000000397</v>
      </c>
      <c r="AD7271">
        <v>-1.1175008488110001</v>
      </c>
      <c r="AE7271">
        <v>8.8937600000000003</v>
      </c>
      <c r="AF7271">
        <v>-2.0552142456013698</v>
      </c>
      <c r="AG7271">
        <v>-1.1175008488110001</v>
      </c>
      <c r="AH7271">
        <v>8.5641492389913907</v>
      </c>
      <c r="AI7271">
        <v>97.231245531545099</v>
      </c>
      <c r="AJ7271">
        <v>103.494584684667</v>
      </c>
      <c r="AK7271">
        <v>8.8779145034255098</v>
      </c>
      <c r="AL7271">
        <v>66.435311410742997</v>
      </c>
      <c r="AM7271">
        <v>106.699476538083</v>
      </c>
      <c r="AN7271">
        <v>0.99999999534304496</v>
      </c>
    </row>
    <row r="7272" spans="1:40" x14ac:dyDescent="0.25">
      <c r="A7272" t="str">
        <f>"20190304164303550"</f>
        <v>20190304164303550</v>
      </c>
      <c r="B7272" t="str">
        <f>"1551688983538723"</f>
        <v>1551688983538723</v>
      </c>
      <c r="C7272" t="s">
        <v>40</v>
      </c>
      <c r="D7272">
        <v>4.6606920000000001</v>
      </c>
      <c r="E7272">
        <v>0.51977870000000004</v>
      </c>
      <c r="F7272" t="s">
        <v>42</v>
      </c>
      <c r="G7272">
        <v>-192.0855</v>
      </c>
      <c r="H7272" s="1">
        <v>-3.9534860000000004E-6</v>
      </c>
      <c r="I7272">
        <v>-32.482770000000002</v>
      </c>
      <c r="J7272">
        <v>-192.98490000000001</v>
      </c>
      <c r="K7272">
        <v>1.1173679999999999</v>
      </c>
      <c r="L7272">
        <v>-41.385159999999999</v>
      </c>
      <c r="M7272">
        <v>0.32837090000000002</v>
      </c>
      <c r="N7272">
        <v>-1.481363E-2</v>
      </c>
      <c r="O7272">
        <v>0.94443270000000001</v>
      </c>
      <c r="P7272">
        <v>4.7281789999999997E-2</v>
      </c>
      <c r="Q7272">
        <v>0.38956299999999999</v>
      </c>
      <c r="R7272">
        <v>0.91978539999999998</v>
      </c>
      <c r="S7272">
        <v>0.36712650000000002</v>
      </c>
      <c r="T7272">
        <v>-0.4172477</v>
      </c>
      <c r="U7272">
        <v>3.4208370000000001</v>
      </c>
      <c r="V7272">
        <v>-0.26379920000000001</v>
      </c>
      <c r="W7272">
        <v>0.39845950000000002</v>
      </c>
      <c r="X7272">
        <v>0.87843039999999994</v>
      </c>
      <c r="Y7272">
        <v>-0.22598650000000001</v>
      </c>
      <c r="Z7272">
        <v>-9.4761029999999996E-2</v>
      </c>
      <c r="AA7272">
        <v>0.96951039999999999</v>
      </c>
      <c r="AB7272">
        <v>29</v>
      </c>
      <c r="AC7272">
        <v>0.89940000000001397</v>
      </c>
      <c r="AD7272">
        <v>-1.117371953486</v>
      </c>
      <c r="AE7272">
        <v>8.9023899999999898</v>
      </c>
      <c r="AF7272">
        <v>-2.0422428201124201</v>
      </c>
      <c r="AG7272">
        <v>-1.117371953486</v>
      </c>
      <c r="AH7272">
        <v>8.5703495328463895</v>
      </c>
      <c r="AI7272">
        <v>97.227973413972705</v>
      </c>
      <c r="AJ7272">
        <v>103.403147685153</v>
      </c>
      <c r="AK7272">
        <v>8.8808877334362393</v>
      </c>
      <c r="AL7272">
        <v>66.518089837222604</v>
      </c>
      <c r="AM7272">
        <v>106.715404348799</v>
      </c>
      <c r="AN7272">
        <v>0.99999997935252405</v>
      </c>
    </row>
    <row r="7273" spans="1:40" x14ac:dyDescent="0.25">
      <c r="A7273" t="str">
        <f>"20190304164303571"</f>
        <v>20190304164303571</v>
      </c>
      <c r="B7273" t="str">
        <f>"1551688983568003"</f>
        <v>1551688983568003</v>
      </c>
      <c r="C7273" t="s">
        <v>40</v>
      </c>
      <c r="D7273">
        <v>4.5723659999999997</v>
      </c>
      <c r="E7273">
        <v>0.52063820000000005</v>
      </c>
      <c r="F7273" t="s">
        <v>42</v>
      </c>
      <c r="G7273">
        <v>-192.07810000000001</v>
      </c>
      <c r="H7273" s="1">
        <v>-3.9816470000000004E-6</v>
      </c>
      <c r="I7273">
        <v>-32.396180000000001</v>
      </c>
      <c r="J7273">
        <v>-192.89920000000001</v>
      </c>
      <c r="K7273">
        <v>1.1171869999999999</v>
      </c>
      <c r="L7273">
        <v>-41.11307</v>
      </c>
      <c r="M7273">
        <v>0.32090279999999999</v>
      </c>
      <c r="N7273">
        <v>-1.4769330000000001E-2</v>
      </c>
      <c r="O7273">
        <v>0.94699699999999998</v>
      </c>
      <c r="P7273">
        <v>4.0516959999999998E-2</v>
      </c>
      <c r="Q7273">
        <v>0.3868722</v>
      </c>
      <c r="R7273">
        <v>0.92124280000000003</v>
      </c>
      <c r="S7273">
        <v>0.34542850000000003</v>
      </c>
      <c r="T7273">
        <v>-0.4256392</v>
      </c>
      <c r="U7273">
        <v>3.4241640000000002</v>
      </c>
      <c r="V7273">
        <v>-0.26348389999999999</v>
      </c>
      <c r="W7273">
        <v>0.39585340000000002</v>
      </c>
      <c r="X7273">
        <v>0.8797024</v>
      </c>
      <c r="Y7273">
        <v>-0.2244941</v>
      </c>
      <c r="Z7273">
        <v>-9.7366709999999995E-2</v>
      </c>
      <c r="AA7273">
        <v>0.96959890000000004</v>
      </c>
      <c r="AB7273">
        <v>29</v>
      </c>
      <c r="AC7273">
        <v>0.82110000000000105</v>
      </c>
      <c r="AD7273">
        <v>-1.117190981647</v>
      </c>
      <c r="AE7273">
        <v>8.7168899999999994</v>
      </c>
      <c r="AF7273">
        <v>-1.9875549929711001</v>
      </c>
      <c r="AG7273">
        <v>-1.117190981647</v>
      </c>
      <c r="AH7273">
        <v>8.38280602953715</v>
      </c>
      <c r="AI7273">
        <v>97.388690375148499</v>
      </c>
      <c r="AJ7273">
        <v>103.33846807590901</v>
      </c>
      <c r="AK7273">
        <v>8.6873429464020901</v>
      </c>
      <c r="AL7273">
        <v>66.680790839798604</v>
      </c>
      <c r="AM7273">
        <v>106.67373701628399</v>
      </c>
      <c r="AN7273">
        <v>0.99999999620826496</v>
      </c>
    </row>
    <row r="7274" spans="1:40" x14ac:dyDescent="0.25">
      <c r="A7274" t="str">
        <f>"20190304164303595"</f>
        <v>20190304164303595</v>
      </c>
      <c r="B7274" t="str">
        <f>"1551688983588499"</f>
        <v>1551688983588499</v>
      </c>
      <c r="C7274" t="s">
        <v>40</v>
      </c>
      <c r="D7274">
        <v>4.5550860000000002</v>
      </c>
      <c r="E7274">
        <v>0.52128960000000002</v>
      </c>
      <c r="F7274" t="s">
        <v>42</v>
      </c>
      <c r="G7274">
        <v>-192.07239999999999</v>
      </c>
      <c r="H7274" s="1">
        <v>-3.9847140000000001E-6</v>
      </c>
      <c r="I7274">
        <v>-32.3842</v>
      </c>
      <c r="J7274">
        <v>-192.81010000000001</v>
      </c>
      <c r="K7274">
        <v>1.116954</v>
      </c>
      <c r="L7274">
        <v>-40.823030000000003</v>
      </c>
      <c r="M7274">
        <v>0.31321640000000001</v>
      </c>
      <c r="N7274">
        <v>-1.469642E-2</v>
      </c>
      <c r="O7274">
        <v>0.94956799999999997</v>
      </c>
      <c r="P7274">
        <v>3.447273E-2</v>
      </c>
      <c r="Q7274">
        <v>0.38475860000000001</v>
      </c>
      <c r="R7274">
        <v>0.92237329999999995</v>
      </c>
      <c r="S7274">
        <v>0.32453920000000003</v>
      </c>
      <c r="T7274">
        <v>-0.43853350000000002</v>
      </c>
      <c r="U7274">
        <v>3.426361</v>
      </c>
      <c r="V7274">
        <v>-0.262152</v>
      </c>
      <c r="W7274">
        <v>0.39384920000000001</v>
      </c>
      <c r="X7274">
        <v>0.88099899999999998</v>
      </c>
      <c r="Y7274">
        <v>-0.2225451</v>
      </c>
      <c r="Z7274">
        <v>-0.10122829999999999</v>
      </c>
      <c r="AA7274">
        <v>0.96965279999999998</v>
      </c>
      <c r="AB7274">
        <v>29</v>
      </c>
      <c r="AC7274">
        <v>0.73770000000001701</v>
      </c>
      <c r="AD7274">
        <v>-1.1169579847139901</v>
      </c>
      <c r="AE7274">
        <v>8.4388299999999905</v>
      </c>
      <c r="AF7274">
        <v>-1.9096914289064999</v>
      </c>
      <c r="AG7274">
        <v>-1.1169579847139901</v>
      </c>
      <c r="AH7274">
        <v>8.1042913094195299</v>
      </c>
      <c r="AI7274">
        <v>97.640554451236198</v>
      </c>
      <c r="AJ7274">
        <v>103.259271167634</v>
      </c>
      <c r="AK7274">
        <v>8.4008365131805895</v>
      </c>
      <c r="AL7274">
        <v>66.805780321793605</v>
      </c>
      <c r="AM7274">
        <v>106.57101557495299</v>
      </c>
      <c r="AN7274">
        <v>1.00000005072281</v>
      </c>
    </row>
    <row r="7275" spans="1:40" x14ac:dyDescent="0.25">
      <c r="A7275" t="str">
        <f>"20190304164303617"</f>
        <v>20190304164303617</v>
      </c>
      <c r="B7275" t="str">
        <f>"1551688983608019"</f>
        <v>1551688983608019</v>
      </c>
      <c r="C7275" t="s">
        <v>40</v>
      </c>
      <c r="D7275">
        <v>4.6005839999999996</v>
      </c>
      <c r="E7275">
        <v>0.52191949999999998</v>
      </c>
      <c r="F7275" t="s">
        <v>42</v>
      </c>
      <c r="G7275">
        <v>-192.05359999999999</v>
      </c>
      <c r="H7275" s="1">
        <v>-4.0291729999999998E-6</v>
      </c>
      <c r="I7275">
        <v>-32.243729999999999</v>
      </c>
      <c r="J7275">
        <v>-192.72620000000001</v>
      </c>
      <c r="K7275">
        <v>1.1166940000000001</v>
      </c>
      <c r="L7275">
        <v>-40.543329999999997</v>
      </c>
      <c r="M7275">
        <v>0.3061123</v>
      </c>
      <c r="N7275">
        <v>-1.4600119999999999E-2</v>
      </c>
      <c r="O7275">
        <v>0.95188340000000005</v>
      </c>
      <c r="P7275">
        <v>3.0168509999999999E-2</v>
      </c>
      <c r="Q7275">
        <v>0.38285799999999998</v>
      </c>
      <c r="R7275">
        <v>0.92331450000000004</v>
      </c>
      <c r="S7275">
        <v>0.30221559999999997</v>
      </c>
      <c r="T7275">
        <v>-0.44620900000000002</v>
      </c>
      <c r="U7275">
        <v>3.4273069999999999</v>
      </c>
      <c r="V7275">
        <v>-0.25963999999999998</v>
      </c>
      <c r="W7275">
        <v>0.39207510000000001</v>
      </c>
      <c r="X7275">
        <v>0.88253280000000001</v>
      </c>
      <c r="Y7275">
        <v>-0.2215695</v>
      </c>
      <c r="Z7275">
        <v>-0.10375379999999999</v>
      </c>
      <c r="AA7275">
        <v>0.96960930000000001</v>
      </c>
      <c r="AB7275">
        <v>29</v>
      </c>
      <c r="AC7275">
        <v>0.67260000000001696</v>
      </c>
      <c r="AD7275">
        <v>-1.116698029173</v>
      </c>
      <c r="AE7275">
        <v>8.2995999999999892</v>
      </c>
      <c r="AF7275">
        <v>-1.8669972897070299</v>
      </c>
      <c r="AG7275">
        <v>-1.116698029173</v>
      </c>
      <c r="AH7275">
        <v>7.9637772673307596</v>
      </c>
      <c r="AI7275">
        <v>97.774002011563795</v>
      </c>
      <c r="AJ7275">
        <v>103.193931917629</v>
      </c>
      <c r="AK7275">
        <v>8.2555703456385494</v>
      </c>
      <c r="AL7275">
        <v>66.916319522617997</v>
      </c>
      <c r="AM7275">
        <v>106.39381433972601</v>
      </c>
      <c r="AN7275">
        <v>0.99999997835792398</v>
      </c>
    </row>
    <row r="7276" spans="1:40" x14ac:dyDescent="0.25">
      <c r="A7276" t="str">
        <f>"20190304164303639"</f>
        <v>20190304164303639</v>
      </c>
      <c r="B7276" t="str">
        <f>"1551688983628515"</f>
        <v>1551688983628515</v>
      </c>
      <c r="C7276" t="s">
        <v>40</v>
      </c>
      <c r="D7276">
        <v>4.6026439999999997</v>
      </c>
      <c r="E7276">
        <v>0.52256670000000005</v>
      </c>
      <c r="F7276" t="s">
        <v>42</v>
      </c>
      <c r="G7276">
        <v>-192.02529999999999</v>
      </c>
      <c r="H7276" s="1">
        <v>-4.0731489999999999E-6</v>
      </c>
      <c r="I7276">
        <v>-32.09975</v>
      </c>
      <c r="J7276">
        <v>-192.64949999999999</v>
      </c>
      <c r="K7276">
        <v>1.116422</v>
      </c>
      <c r="L7276">
        <v>-40.281950000000002</v>
      </c>
      <c r="M7276">
        <v>0.29978900000000003</v>
      </c>
      <c r="N7276">
        <v>-1.448897E-2</v>
      </c>
      <c r="O7276">
        <v>0.95389550000000001</v>
      </c>
      <c r="P7276">
        <v>2.7510400000000001E-2</v>
      </c>
      <c r="Q7276">
        <v>0.38302570000000002</v>
      </c>
      <c r="R7276">
        <v>0.92332800000000004</v>
      </c>
      <c r="S7276">
        <v>0.28456120000000001</v>
      </c>
      <c r="T7276">
        <v>-0.45334760000000002</v>
      </c>
      <c r="U7276">
        <v>3.4278559999999998</v>
      </c>
      <c r="V7276">
        <v>-0.25603229999999999</v>
      </c>
      <c r="W7276">
        <v>0.3923681</v>
      </c>
      <c r="X7276">
        <v>0.88345609999999997</v>
      </c>
      <c r="Y7276">
        <v>-0.22008929999999999</v>
      </c>
      <c r="Z7276">
        <v>-0.1061256</v>
      </c>
      <c r="AA7276">
        <v>0.96968969999999999</v>
      </c>
      <c r="AB7276">
        <v>29</v>
      </c>
      <c r="AC7276">
        <v>0.62420000000000098</v>
      </c>
      <c r="AD7276">
        <v>-1.1164260731489899</v>
      </c>
      <c r="AE7276">
        <v>8.1821999999999999</v>
      </c>
      <c r="AF7276">
        <v>-1.82394627552475</v>
      </c>
      <c r="AG7276">
        <v>-1.1164260731489899</v>
      </c>
      <c r="AH7276">
        <v>7.8476729385496702</v>
      </c>
      <c r="AI7276">
        <v>97.889160440895296</v>
      </c>
      <c r="AJ7276">
        <v>103.08431575958301</v>
      </c>
      <c r="AK7276">
        <v>8.1338279882999895</v>
      </c>
      <c r="AL7276">
        <v>66.898069356981694</v>
      </c>
      <c r="AM7276">
        <v>106.16199043412399</v>
      </c>
      <c r="AN7276">
        <v>0.99999997258405404</v>
      </c>
    </row>
    <row r="7277" spans="1:40" x14ac:dyDescent="0.25">
      <c r="A7277" t="str">
        <f>"20190304164303660"</f>
        <v>20190304164303660</v>
      </c>
      <c r="B7277" t="str">
        <f>"1551688983648035"</f>
        <v>1551688983648035</v>
      </c>
      <c r="C7277" t="s">
        <v>40</v>
      </c>
      <c r="D7277">
        <v>4.5913890000000004</v>
      </c>
      <c r="E7277">
        <v>0.53911830000000005</v>
      </c>
      <c r="F7277" t="s">
        <v>42</v>
      </c>
      <c r="G7277">
        <v>-191.96940000000001</v>
      </c>
      <c r="H7277" s="1">
        <v>-4.1571000000000004E-6</v>
      </c>
      <c r="I7277">
        <v>-31.82394</v>
      </c>
      <c r="J7277">
        <v>-192.57169999999999</v>
      </c>
      <c r="K7277">
        <v>1.1161239999999999</v>
      </c>
      <c r="L7277">
        <v>-40.011139999999997</v>
      </c>
      <c r="M7277">
        <v>0.29357529999999998</v>
      </c>
      <c r="N7277">
        <v>-1.435516E-2</v>
      </c>
      <c r="O7277">
        <v>0.95582809999999996</v>
      </c>
      <c r="P7277">
        <v>2.5199900000000001E-2</v>
      </c>
      <c r="Q7277">
        <v>0.38444640000000002</v>
      </c>
      <c r="R7277">
        <v>0.92280329999999999</v>
      </c>
      <c r="S7277">
        <v>0.27569579999999999</v>
      </c>
      <c r="T7277">
        <v>-0.4525689</v>
      </c>
      <c r="U7277">
        <v>3.4286500000000002</v>
      </c>
      <c r="V7277">
        <v>-0.25203730000000002</v>
      </c>
      <c r="W7277">
        <v>0.39390530000000001</v>
      </c>
      <c r="X7277">
        <v>0.8839207</v>
      </c>
      <c r="Y7277">
        <v>-0.21625900000000001</v>
      </c>
      <c r="Z7277">
        <v>-0.1064587</v>
      </c>
      <c r="AA7277">
        <v>0.97051460000000001</v>
      </c>
      <c r="AB7277">
        <v>29</v>
      </c>
      <c r="AC7277">
        <v>0.60229999999998496</v>
      </c>
      <c r="AD7277">
        <v>-1.1161281570999999</v>
      </c>
      <c r="AE7277">
        <v>8.1872000000000007</v>
      </c>
      <c r="AF7277">
        <v>-1.7948751064870301</v>
      </c>
      <c r="AG7277">
        <v>-1.1161281570999999</v>
      </c>
      <c r="AH7277">
        <v>7.8579492157955402</v>
      </c>
      <c r="AI7277">
        <v>97.883713112130195</v>
      </c>
      <c r="AJ7277">
        <v>102.866494918992</v>
      </c>
      <c r="AK7277">
        <v>8.1372406004111699</v>
      </c>
      <c r="AL7277">
        <v>66.802281973609198</v>
      </c>
      <c r="AM7277">
        <v>105.914739775686</v>
      </c>
      <c r="AN7277">
        <v>0.99999999492393499</v>
      </c>
    </row>
    <row r="7278" spans="1:40" x14ac:dyDescent="0.25">
      <c r="A7278" t="str">
        <f>"20190304164303688"</f>
        <v>20190304164303688</v>
      </c>
      <c r="B7278" t="str">
        <f>"1551688983678291"</f>
        <v>1551688983678291</v>
      </c>
      <c r="C7278" t="s">
        <v>40</v>
      </c>
      <c r="D7278">
        <v>4.6005820000000002</v>
      </c>
      <c r="E7278">
        <v>0.53983269999999905</v>
      </c>
      <c r="F7278" t="s">
        <v>42</v>
      </c>
      <c r="G7278">
        <v>-191.5264</v>
      </c>
      <c r="H7278" s="1">
        <v>-4.3338559999999998E-6</v>
      </c>
      <c r="I7278">
        <v>-31.073630000000001</v>
      </c>
      <c r="J7278">
        <v>-192.4803</v>
      </c>
      <c r="K7278">
        <v>1.1157509999999999</v>
      </c>
      <c r="L7278">
        <v>-39.686340000000001</v>
      </c>
      <c r="M7278">
        <v>0.28663889999999997</v>
      </c>
      <c r="N7278">
        <v>-1.41703E-2</v>
      </c>
      <c r="O7278">
        <v>0.9579339</v>
      </c>
      <c r="P7278">
        <v>2.3075209999999999E-2</v>
      </c>
      <c r="Q7278">
        <v>0.3867295</v>
      </c>
      <c r="R7278">
        <v>0.92190439999999996</v>
      </c>
      <c r="S7278">
        <v>0.3997192</v>
      </c>
      <c r="T7278">
        <v>-0.42682910000000002</v>
      </c>
      <c r="U7278">
        <v>3.4178769999999998</v>
      </c>
      <c r="V7278">
        <v>-0.2470434</v>
      </c>
      <c r="W7278">
        <v>0.39630530000000003</v>
      </c>
      <c r="X7278">
        <v>0.88425769999999904</v>
      </c>
      <c r="Y7278">
        <v>-0.17387559999999999</v>
      </c>
      <c r="Z7278">
        <v>-0.1010209</v>
      </c>
      <c r="AA7278">
        <v>0.97957240000000001</v>
      </c>
      <c r="AB7278">
        <v>29</v>
      </c>
      <c r="AC7278">
        <v>0.95390000000000397</v>
      </c>
      <c r="AD7278">
        <v>-1.115755333856</v>
      </c>
      <c r="AE7278">
        <v>8.6127099999999999</v>
      </c>
      <c r="AF7278">
        <v>-1.5297585420944899</v>
      </c>
      <c r="AG7278">
        <v>-1.115755333856</v>
      </c>
      <c r="AH7278">
        <v>8.3856601106999697</v>
      </c>
      <c r="AI7278">
        <v>97.457331147590295</v>
      </c>
      <c r="AJ7278">
        <v>100.338528144343</v>
      </c>
      <c r="AK7278">
        <v>8.5967648946754291</v>
      </c>
      <c r="AL7278">
        <v>66.652592976296503</v>
      </c>
      <c r="AM7278">
        <v>105.60926930713801</v>
      </c>
      <c r="AN7278">
        <v>1.0000000061504699</v>
      </c>
    </row>
    <row r="7279" spans="1:40" x14ac:dyDescent="0.25">
      <c r="A7279" t="str">
        <f>"20190304164303709"</f>
        <v>20190304164303709</v>
      </c>
      <c r="B7279" t="str">
        <f>"1551688983697811"</f>
        <v>1551688983697811</v>
      </c>
      <c r="C7279" t="s">
        <v>40</v>
      </c>
      <c r="D7279">
        <v>4.6284130000000001</v>
      </c>
      <c r="E7279">
        <v>0.54006899999999902</v>
      </c>
      <c r="F7279" t="s">
        <v>42</v>
      </c>
      <c r="G7279">
        <v>-191.4358</v>
      </c>
      <c r="H7279" s="1">
        <v>-4.467001E-6</v>
      </c>
      <c r="I7279">
        <v>-30.63514</v>
      </c>
      <c r="J7279">
        <v>-192.40620000000001</v>
      </c>
      <c r="K7279">
        <v>1.1154599999999999</v>
      </c>
      <c r="L7279">
        <v>-39.4176</v>
      </c>
      <c r="M7279">
        <v>0.28126879999999999</v>
      </c>
      <c r="N7279">
        <v>-1.4005439999999999E-2</v>
      </c>
      <c r="O7279">
        <v>0.95952680000000001</v>
      </c>
      <c r="P7279">
        <v>2.304192E-2</v>
      </c>
      <c r="Q7279">
        <v>0.3882158</v>
      </c>
      <c r="R7279">
        <v>0.9212804</v>
      </c>
      <c r="S7279">
        <v>0.39480589999999999</v>
      </c>
      <c r="T7279">
        <v>-0.42172959999999898</v>
      </c>
      <c r="U7279">
        <v>3.4211429999999998</v>
      </c>
      <c r="V7279">
        <v>-0.24165010000000001</v>
      </c>
      <c r="W7279">
        <v>0.39788770000000001</v>
      </c>
      <c r="X7279">
        <v>0.88503699999999996</v>
      </c>
      <c r="Y7279">
        <v>-0.16985</v>
      </c>
      <c r="Z7279">
        <v>-0.1000529</v>
      </c>
      <c r="AA7279">
        <v>0.98037770000000002</v>
      </c>
      <c r="AB7279">
        <v>29</v>
      </c>
      <c r="AC7279">
        <v>0.97040000000001203</v>
      </c>
      <c r="AD7279">
        <v>-1.1154644670010001</v>
      </c>
      <c r="AE7279">
        <v>8.7824599999999897</v>
      </c>
      <c r="AF7279">
        <v>-1.51511170020671</v>
      </c>
      <c r="AG7279">
        <v>-1.1154644670010001</v>
      </c>
      <c r="AH7279">
        <v>8.5643122713717403</v>
      </c>
      <c r="AI7279">
        <v>97.308521473488995</v>
      </c>
      <c r="AJ7279">
        <v>100.032388957265</v>
      </c>
      <c r="AK7279">
        <v>8.7685385967567999</v>
      </c>
      <c r="AL7279">
        <v>66.553803907898498</v>
      </c>
      <c r="AM7279">
        <v>105.271770609813</v>
      </c>
      <c r="AN7279">
        <v>0.99999994200514797</v>
      </c>
    </row>
    <row r="7280" spans="1:40" x14ac:dyDescent="0.25">
      <c r="A7280" t="str">
        <f>"20190304164303730"</f>
        <v>20190304164303730</v>
      </c>
      <c r="B7280" t="str">
        <f>"1551688983718307"</f>
        <v>1551688983718307</v>
      </c>
      <c r="C7280" t="s">
        <v>40</v>
      </c>
      <c r="D7280">
        <v>4.6244430000000003</v>
      </c>
      <c r="E7280">
        <v>0.54033439999999999</v>
      </c>
      <c r="F7280" t="s">
        <v>42</v>
      </c>
      <c r="G7280">
        <v>-191.36259999999999</v>
      </c>
      <c r="H7280" s="1">
        <v>-3.985267E-7</v>
      </c>
      <c r="I7280">
        <v>-30.32704</v>
      </c>
      <c r="J7280">
        <v>-192.33519999999999</v>
      </c>
      <c r="K7280">
        <v>1.115197</v>
      </c>
      <c r="L7280">
        <v>-39.155610000000003</v>
      </c>
      <c r="M7280">
        <v>0.2763216</v>
      </c>
      <c r="N7280">
        <v>-1.3841910000000001E-2</v>
      </c>
      <c r="O7280">
        <v>0.96096559999999998</v>
      </c>
      <c r="P7280">
        <v>2.2003600000000002E-2</v>
      </c>
      <c r="Q7280">
        <v>0.38916200000000001</v>
      </c>
      <c r="R7280">
        <v>0.92090649999999996</v>
      </c>
      <c r="S7280">
        <v>0.3930206</v>
      </c>
      <c r="T7280">
        <v>-0.42008450000000003</v>
      </c>
      <c r="U7280">
        <v>3.4235229999999999</v>
      </c>
      <c r="V7280">
        <v>-0.2377176</v>
      </c>
      <c r="W7280">
        <v>0.3988854</v>
      </c>
      <c r="X7280">
        <v>0.88565269999999996</v>
      </c>
      <c r="Y7280">
        <v>-0.16535910000000001</v>
      </c>
      <c r="Z7280">
        <v>-0.1000006</v>
      </c>
      <c r="AA7280">
        <v>0.98115050000000004</v>
      </c>
      <c r="AB7280">
        <v>29</v>
      </c>
      <c r="AC7280">
        <v>0.97260000000000002</v>
      </c>
      <c r="AD7280">
        <v>-1.1151973985267001</v>
      </c>
      <c r="AE7280">
        <v>8.8285699999999903</v>
      </c>
      <c r="AF7280">
        <v>-1.48167548719856</v>
      </c>
      <c r="AG7280">
        <v>-1.1151973985267001</v>
      </c>
      <c r="AH7280">
        <v>8.6176859789728599</v>
      </c>
      <c r="AI7280">
        <v>97.268073972402405</v>
      </c>
      <c r="AJ7280">
        <v>99.755722997514198</v>
      </c>
      <c r="AK7280">
        <v>8.8149610957298705</v>
      </c>
      <c r="AL7280">
        <v>66.4914811379941</v>
      </c>
      <c r="AM7280">
        <v>105.024604244184</v>
      </c>
      <c r="AN7280">
        <v>0.99999996235010402</v>
      </c>
    </row>
    <row r="7281" spans="1:40" x14ac:dyDescent="0.25">
      <c r="A7281" t="str">
        <f>"20190304164303751"</f>
        <v>20190304164303751</v>
      </c>
      <c r="B7281" t="str">
        <f>"1551688983737832"</f>
        <v>1551688983737832</v>
      </c>
      <c r="C7281" t="s">
        <v>40</v>
      </c>
      <c r="D7281">
        <v>4.6215320000000002</v>
      </c>
      <c r="E7281">
        <v>0.5408155</v>
      </c>
      <c r="F7281" t="s">
        <v>42</v>
      </c>
      <c r="G7281">
        <v>-191.2955</v>
      </c>
      <c r="H7281" s="1">
        <v>-5.0912399999999995E-7</v>
      </c>
      <c r="I7281">
        <v>-30.02758</v>
      </c>
      <c r="J7281">
        <v>-192.2647</v>
      </c>
      <c r="K7281">
        <v>1.1149359999999999</v>
      </c>
      <c r="L7281">
        <v>-38.891359999999999</v>
      </c>
      <c r="M7281">
        <v>0.271632599999999</v>
      </c>
      <c r="N7281">
        <v>-1.36659E-2</v>
      </c>
      <c r="O7281">
        <v>0.96230400000000005</v>
      </c>
      <c r="P7281">
        <v>1.989724E-2</v>
      </c>
      <c r="Q7281">
        <v>0.3903742</v>
      </c>
      <c r="R7281">
        <v>0.92044130000000002</v>
      </c>
      <c r="S7281">
        <v>0.3901367</v>
      </c>
      <c r="T7281">
        <v>-0.41846299999999997</v>
      </c>
      <c r="U7281">
        <v>3.4251710000000002</v>
      </c>
      <c r="V7281">
        <v>-0.2350457</v>
      </c>
      <c r="W7281">
        <v>0.40010849999999998</v>
      </c>
      <c r="X7281">
        <v>0.88581409999999905</v>
      </c>
      <c r="Y7281">
        <v>-0.16142310000000001</v>
      </c>
      <c r="Z7281">
        <v>-9.9965440000000003E-2</v>
      </c>
      <c r="AA7281">
        <v>0.9818093</v>
      </c>
      <c r="AB7281">
        <v>29</v>
      </c>
      <c r="AC7281">
        <v>0.96919999999999995</v>
      </c>
      <c r="AD7281">
        <v>-1.114936509124</v>
      </c>
      <c r="AE7281">
        <v>8.8637799999999896</v>
      </c>
      <c r="AF7281">
        <v>-1.4524550343899401</v>
      </c>
      <c r="AG7281">
        <v>-1.114936509124</v>
      </c>
      <c r="AH7281">
        <v>8.6583639946742394</v>
      </c>
      <c r="AI7281">
        <v>97.237558455451506</v>
      </c>
      <c r="AJ7281">
        <v>99.522797587081499</v>
      </c>
      <c r="AK7281">
        <v>8.8498574062282795</v>
      </c>
      <c r="AL7281">
        <v>66.415037395644205</v>
      </c>
      <c r="AM7281">
        <v>104.86065665240901</v>
      </c>
      <c r="AN7281">
        <v>0.99999995630977301</v>
      </c>
    </row>
    <row r="7282" spans="1:40" x14ac:dyDescent="0.25">
      <c r="A7282" t="str">
        <f>"20190304164303773"</f>
        <v>20190304164303773</v>
      </c>
      <c r="B7282" t="str">
        <f>"1551688983768084"</f>
        <v>1551688983768084</v>
      </c>
      <c r="C7282" t="s">
        <v>40</v>
      </c>
      <c r="D7282">
        <v>4.653708</v>
      </c>
      <c r="E7282">
        <v>0.54111430000000005</v>
      </c>
      <c r="F7282" t="s">
        <v>42</v>
      </c>
      <c r="G7282">
        <v>-191.227</v>
      </c>
      <c r="H7282" s="1">
        <v>-6.2902650000000002E-7</v>
      </c>
      <c r="I7282">
        <v>-29.705639999999999</v>
      </c>
      <c r="J7282">
        <v>-192.191</v>
      </c>
      <c r="K7282">
        <v>1.11466</v>
      </c>
      <c r="L7282">
        <v>-38.611109999999996</v>
      </c>
      <c r="M7282">
        <v>0.26700119999999999</v>
      </c>
      <c r="N7282">
        <v>-1.3463960000000001E-2</v>
      </c>
      <c r="O7282">
        <v>0.96360219999999996</v>
      </c>
      <c r="P7282">
        <v>1.7830760000000001E-2</v>
      </c>
      <c r="Q7282">
        <v>0.3915478</v>
      </c>
      <c r="R7282">
        <v>0.91998500000000005</v>
      </c>
      <c r="S7282">
        <v>0.38716129999999999</v>
      </c>
      <c r="T7282">
        <v>-0.41600429999999999</v>
      </c>
      <c r="U7282">
        <v>3.427368</v>
      </c>
      <c r="V7282">
        <v>-0.23238239999999999</v>
      </c>
      <c r="W7282">
        <v>0.40127629999999997</v>
      </c>
      <c r="X7282">
        <v>0.88598849999999996</v>
      </c>
      <c r="Y7282">
        <v>-0.1575906</v>
      </c>
      <c r="Z7282">
        <v>-9.9702719999999995E-2</v>
      </c>
      <c r="AA7282">
        <v>0.98245839999999995</v>
      </c>
      <c r="AB7282">
        <v>29</v>
      </c>
      <c r="AC7282">
        <v>0.96399999999996999</v>
      </c>
      <c r="AD7282">
        <v>-1.1146606290265</v>
      </c>
      <c r="AE7282">
        <v>8.9054699999999904</v>
      </c>
      <c r="AF7282">
        <v>-1.4268943951352799</v>
      </c>
      <c r="AG7282">
        <v>-1.1146606290265</v>
      </c>
      <c r="AH7282">
        <v>8.7047273144994808</v>
      </c>
      <c r="AI7282">
        <v>97.202056186719503</v>
      </c>
      <c r="AJ7282">
        <v>99.309234556658794</v>
      </c>
      <c r="AK7282">
        <v>8.8910501940189004</v>
      </c>
      <c r="AL7282">
        <v>66.342007949490906</v>
      </c>
      <c r="AM7282">
        <v>104.69683364318399</v>
      </c>
      <c r="AN7282">
        <v>0.99999993545184795</v>
      </c>
    </row>
    <row r="7283" spans="1:40" x14ac:dyDescent="0.25">
      <c r="A7283" t="str">
        <f>"20190304164303796"</f>
        <v>20190304164303796</v>
      </c>
      <c r="B7283" t="str">
        <f>"1551688983788580"</f>
        <v>1551688983788580</v>
      </c>
      <c r="C7283" t="s">
        <v>40</v>
      </c>
      <c r="D7283">
        <v>4.5893480000000002</v>
      </c>
      <c r="E7283">
        <v>0.54144230000000004</v>
      </c>
      <c r="F7283" t="s">
        <v>42</v>
      </c>
      <c r="G7283">
        <v>-191.14789999999999</v>
      </c>
      <c r="H7283" s="1">
        <v>-7.9008560000000003E-7</v>
      </c>
      <c r="I7283">
        <v>-29.281130000000001</v>
      </c>
      <c r="J7283">
        <v>-192.11519999999999</v>
      </c>
      <c r="K7283">
        <v>1.1143510000000001</v>
      </c>
      <c r="L7283">
        <v>-38.318510000000003</v>
      </c>
      <c r="M7283">
        <v>0.26254470000000002</v>
      </c>
      <c r="N7283">
        <v>-1.324474E-2</v>
      </c>
      <c r="O7283">
        <v>0.96482889999999999</v>
      </c>
      <c r="P7283">
        <v>1.726542E-2</v>
      </c>
      <c r="Q7283">
        <v>0.39193499999999998</v>
      </c>
      <c r="R7283">
        <v>0.91983090000000001</v>
      </c>
      <c r="S7283">
        <v>0.38323970000000002</v>
      </c>
      <c r="T7283">
        <v>-0.40952149999999998</v>
      </c>
      <c r="U7283">
        <v>3.4277950000000001</v>
      </c>
      <c r="V7283">
        <v>-0.22848099999999999</v>
      </c>
      <c r="W7283">
        <v>0.4016767</v>
      </c>
      <c r="X7283">
        <v>0.88682139999999998</v>
      </c>
      <c r="Y7283">
        <v>-0.15414120000000001</v>
      </c>
      <c r="Z7283">
        <v>-9.8414580000000002E-2</v>
      </c>
      <c r="AA7283">
        <v>0.98313530000000005</v>
      </c>
      <c r="AB7283">
        <v>29</v>
      </c>
      <c r="AC7283">
        <v>0.96729999999999405</v>
      </c>
      <c r="AD7283">
        <v>-1.1143517900855999</v>
      </c>
      <c r="AE7283">
        <v>9.0373800000000006</v>
      </c>
      <c r="AF7283">
        <v>-1.4182446899323899</v>
      </c>
      <c r="AG7283">
        <v>-1.1143517900855999</v>
      </c>
      <c r="AH7283">
        <v>8.8413701340872599</v>
      </c>
      <c r="AI7283">
        <v>97.093841187592602</v>
      </c>
      <c r="AJ7283">
        <v>99.113183560099898</v>
      </c>
      <c r="AK7283">
        <v>9.0234707158896796</v>
      </c>
      <c r="AL7283">
        <v>66.316960157925195</v>
      </c>
      <c r="AM7283">
        <v>104.447507745913</v>
      </c>
      <c r="AN7283">
        <v>0.99999996709092398</v>
      </c>
    </row>
    <row r="7284" spans="1:40" x14ac:dyDescent="0.25">
      <c r="A7284" t="str">
        <f>"20190304164303819"</f>
        <v>20190304164303819</v>
      </c>
      <c r="B7284" t="str">
        <f>"1551688983808099"</f>
        <v>1551688983808099</v>
      </c>
      <c r="C7284" t="s">
        <v>40</v>
      </c>
      <c r="D7284">
        <v>4.6606189999999996</v>
      </c>
      <c r="E7284">
        <v>0.54159259999999998</v>
      </c>
      <c r="F7284" t="s">
        <v>42</v>
      </c>
      <c r="G7284">
        <v>-191.09309999999999</v>
      </c>
      <c r="H7284" s="1">
        <v>-8.6713169999999898E-7</v>
      </c>
      <c r="I7284">
        <v>-29.067550000000001</v>
      </c>
      <c r="J7284">
        <v>-192.04259999999999</v>
      </c>
      <c r="K7284">
        <v>1.1140099999999999</v>
      </c>
      <c r="L7284">
        <v>-38.034269999999999</v>
      </c>
      <c r="M7284">
        <v>0.25860119999999998</v>
      </c>
      <c r="N7284">
        <v>-1.303004E-2</v>
      </c>
      <c r="O7284">
        <v>0.96589630000000004</v>
      </c>
      <c r="P7284">
        <v>1.528679E-2</v>
      </c>
      <c r="Q7284">
        <v>0.3905962</v>
      </c>
      <c r="R7284">
        <v>0.92043520000000001</v>
      </c>
      <c r="S7284">
        <v>0.37902829999999998</v>
      </c>
      <c r="T7284">
        <v>-0.41322120000000001</v>
      </c>
      <c r="U7284">
        <v>3.4304199999999998</v>
      </c>
      <c r="V7284">
        <v>-0.22658529999999999</v>
      </c>
      <c r="W7284">
        <v>0.4003466</v>
      </c>
      <c r="X7284">
        <v>0.88790859999999905</v>
      </c>
      <c r="Y7284">
        <v>-0.15139749999999999</v>
      </c>
      <c r="Z7284">
        <v>-9.9750240000000004E-2</v>
      </c>
      <c r="AA7284">
        <v>0.98342700000000005</v>
      </c>
      <c r="AB7284">
        <v>29</v>
      </c>
      <c r="AC7284">
        <v>0.94950000000000001</v>
      </c>
      <c r="AD7284">
        <v>-1.1140108671316999</v>
      </c>
      <c r="AE7284">
        <v>8.9667199999999898</v>
      </c>
      <c r="AF7284">
        <v>-1.38072951762031</v>
      </c>
      <c r="AG7284">
        <v>-1.1140108671316999</v>
      </c>
      <c r="AH7284">
        <v>8.7733036736675096</v>
      </c>
      <c r="AI7284">
        <v>97.149469789548604</v>
      </c>
      <c r="AJ7284">
        <v>98.943766526029904</v>
      </c>
      <c r="AK7284">
        <v>8.9508821667645293</v>
      </c>
      <c r="AL7284">
        <v>66.400151849019096</v>
      </c>
      <c r="AM7284">
        <v>104.315767130003</v>
      </c>
      <c r="AN7284">
        <v>0.99999999013080398</v>
      </c>
    </row>
    <row r="7285" spans="1:40" x14ac:dyDescent="0.25">
      <c r="A7285" t="str">
        <f>"20190304164303840"</f>
        <v>20190304164303840</v>
      </c>
      <c r="B7285" t="str">
        <f>"1551688983828595"</f>
        <v>1551688983828595</v>
      </c>
      <c r="C7285" t="s">
        <v>40</v>
      </c>
      <c r="D7285">
        <v>4.6412519999999997</v>
      </c>
      <c r="E7285">
        <v>0.54177149999999996</v>
      </c>
      <c r="F7285" t="s">
        <v>42</v>
      </c>
      <c r="G7285">
        <v>-191.05670000000001</v>
      </c>
      <c r="H7285" s="1">
        <v>-9.6586649999999996E-7</v>
      </c>
      <c r="I7285">
        <v>-28.814820000000001</v>
      </c>
      <c r="J7285">
        <v>-191.976</v>
      </c>
      <c r="K7285">
        <v>1.1136779999999999</v>
      </c>
      <c r="L7285">
        <v>-37.771120000000003</v>
      </c>
      <c r="M7285">
        <v>0.25531540000000003</v>
      </c>
      <c r="N7285">
        <v>-1.283423E-2</v>
      </c>
      <c r="O7285">
        <v>0.96677259999999998</v>
      </c>
      <c r="P7285">
        <v>1.4625839999999999E-2</v>
      </c>
      <c r="Q7285">
        <v>0.39053779999999999</v>
      </c>
      <c r="R7285">
        <v>0.92047069999999998</v>
      </c>
      <c r="S7285">
        <v>0.36668400000000001</v>
      </c>
      <c r="T7285">
        <v>-0.41434070000000001</v>
      </c>
      <c r="U7285">
        <v>3.4290470000000002</v>
      </c>
      <c r="V7285">
        <v>-0.2238919</v>
      </c>
      <c r="W7285">
        <v>0.40031080000000002</v>
      </c>
      <c r="X7285">
        <v>0.888607699999999</v>
      </c>
      <c r="Y7285">
        <v>-0.15150050000000001</v>
      </c>
      <c r="Z7285">
        <v>-0.1004543</v>
      </c>
      <c r="AA7285">
        <v>0.98333950000000003</v>
      </c>
      <c r="AB7285">
        <v>29</v>
      </c>
      <c r="AC7285">
        <v>0.91929999999999201</v>
      </c>
      <c r="AD7285">
        <v>-1.1136789658665001</v>
      </c>
      <c r="AE7285">
        <v>8.9563000000000006</v>
      </c>
      <c r="AF7285">
        <v>-1.3769738028806</v>
      </c>
      <c r="AG7285">
        <v>-1.1136789658665001</v>
      </c>
      <c r="AH7285">
        <v>8.7601138967925607</v>
      </c>
      <c r="AI7285">
        <v>97.158220233282194</v>
      </c>
      <c r="AJ7285">
        <v>98.933044161246698</v>
      </c>
      <c r="AK7285">
        <v>8.9373336727242698</v>
      </c>
      <c r="AL7285">
        <v>66.402390026417805</v>
      </c>
      <c r="AM7285">
        <v>104.14178565594401</v>
      </c>
      <c r="AN7285">
        <v>0.999999981990769</v>
      </c>
    </row>
    <row r="7286" spans="1:40" x14ac:dyDescent="0.25">
      <c r="A7286" t="str">
        <f>"20190304164303863"</f>
        <v>20190304164303863</v>
      </c>
      <c r="B7286" t="str">
        <f>"1551688983857876"</f>
        <v>1551688983857876</v>
      </c>
      <c r="C7286" t="s">
        <v>40</v>
      </c>
      <c r="D7286">
        <v>4.5769320000000002</v>
      </c>
      <c r="E7286">
        <v>0.54212490000000002</v>
      </c>
      <c r="F7286" t="s">
        <v>42</v>
      </c>
      <c r="G7286">
        <v>-190.9965</v>
      </c>
      <c r="H7286" s="1">
        <v>-1.074222E-6</v>
      </c>
      <c r="I7286">
        <v>-28.524889999999999</v>
      </c>
      <c r="J7286">
        <v>-191.9032</v>
      </c>
      <c r="K7286">
        <v>1.1133059999999999</v>
      </c>
      <c r="L7286">
        <v>-37.480739999999997</v>
      </c>
      <c r="M7286">
        <v>0.25212449999999997</v>
      </c>
      <c r="N7286">
        <v>-1.2623819999999999E-2</v>
      </c>
      <c r="O7286">
        <v>0.96761249999999999</v>
      </c>
      <c r="P7286">
        <v>1.3112250000000001E-2</v>
      </c>
      <c r="Q7286">
        <v>0.39146890000000001</v>
      </c>
      <c r="R7286">
        <v>0.92009790000000002</v>
      </c>
      <c r="S7286">
        <v>0.36322019999999999</v>
      </c>
      <c r="T7286">
        <v>-0.4129699</v>
      </c>
      <c r="U7286">
        <v>3.4286500000000002</v>
      </c>
      <c r="V7286">
        <v>-0.22196879999999999</v>
      </c>
      <c r="W7286">
        <v>0.4012597</v>
      </c>
      <c r="X7286">
        <v>0.88866219999999996</v>
      </c>
      <c r="Y7286">
        <v>-0.14921319999999999</v>
      </c>
      <c r="Z7286">
        <v>-0.1004752</v>
      </c>
      <c r="AA7286">
        <v>0.98368699999999998</v>
      </c>
      <c r="AB7286">
        <v>29</v>
      </c>
      <c r="AC7286">
        <v>0.90669999999999995</v>
      </c>
      <c r="AD7286">
        <v>-1.1133070742219999</v>
      </c>
      <c r="AE7286">
        <v>8.9558499999999999</v>
      </c>
      <c r="AF7286">
        <v>-1.35996247255709</v>
      </c>
      <c r="AG7286">
        <v>-1.1133070742219999</v>
      </c>
      <c r="AH7286">
        <v>8.7610895404141207</v>
      </c>
      <c r="AI7286">
        <v>97.157181774117703</v>
      </c>
      <c r="AJ7286">
        <v>98.823464371280906</v>
      </c>
      <c r="AK7286">
        <v>8.9356387854159607</v>
      </c>
      <c r="AL7286">
        <v>66.343047953016395</v>
      </c>
      <c r="AM7286">
        <v>104.02430374233001</v>
      </c>
      <c r="AN7286">
        <v>1.0000000003631799</v>
      </c>
    </row>
    <row r="7287" spans="1:40" x14ac:dyDescent="0.25">
      <c r="A7287" t="str">
        <f>"20190304164303886"</f>
        <v>20190304164303886</v>
      </c>
      <c r="B7287" t="str">
        <f>"1551688983878372"</f>
        <v>1551688983878372</v>
      </c>
      <c r="C7287" t="s">
        <v>40</v>
      </c>
      <c r="D7287">
        <v>4.6079699999999999</v>
      </c>
      <c r="E7287">
        <v>0.54217709999999997</v>
      </c>
      <c r="F7287" t="s">
        <v>42</v>
      </c>
      <c r="G7287">
        <v>-190.92509999999999</v>
      </c>
      <c r="H7287" s="1">
        <v>-1.201153E-6</v>
      </c>
      <c r="I7287">
        <v>-28.184719999999999</v>
      </c>
      <c r="J7287">
        <v>-191.83099999999999</v>
      </c>
      <c r="K7287">
        <v>1.11294</v>
      </c>
      <c r="L7287">
        <v>-37.191070000000003</v>
      </c>
      <c r="M7287">
        <v>0.24941289999999999</v>
      </c>
      <c r="N7287">
        <v>-1.2422040000000001E-2</v>
      </c>
      <c r="O7287">
        <v>0.9683176</v>
      </c>
      <c r="P7287">
        <v>1.2027360000000001E-2</v>
      </c>
      <c r="Q7287">
        <v>0.3931076</v>
      </c>
      <c r="R7287">
        <v>0.91941379999999995</v>
      </c>
      <c r="S7287">
        <v>0.36090090000000002</v>
      </c>
      <c r="T7287">
        <v>-0.4108038</v>
      </c>
      <c r="U7287">
        <v>3.4301759999999999</v>
      </c>
      <c r="V7287">
        <v>-0.22000720000000001</v>
      </c>
      <c r="W7287">
        <v>0.40291490000000002</v>
      </c>
      <c r="X7287">
        <v>0.88840110000000005</v>
      </c>
      <c r="Y7287">
        <v>-0.14714730000000001</v>
      </c>
      <c r="Z7287">
        <v>-0.10018249999999999</v>
      </c>
      <c r="AA7287">
        <v>0.98402800000000001</v>
      </c>
      <c r="AB7287">
        <v>29</v>
      </c>
      <c r="AC7287">
        <v>0.90590000000000204</v>
      </c>
      <c r="AD7287">
        <v>-1.112941201153</v>
      </c>
      <c r="AE7287">
        <v>9.0063499999999994</v>
      </c>
      <c r="AF7287">
        <v>-1.34881605566053</v>
      </c>
      <c r="AG7287">
        <v>-1.112941201153</v>
      </c>
      <c r="AH7287">
        <v>8.814390368702</v>
      </c>
      <c r="AI7287">
        <v>97.114368100544894</v>
      </c>
      <c r="AJ7287">
        <v>98.700157477082001</v>
      </c>
      <c r="AK7287">
        <v>8.9861794129150407</v>
      </c>
      <c r="AL7287">
        <v>66.239471369802104</v>
      </c>
      <c r="AM7287">
        <v>103.909124750214</v>
      </c>
      <c r="AN7287">
        <v>1.0000000495875201</v>
      </c>
    </row>
    <row r="7288" spans="1:40" x14ac:dyDescent="0.25">
      <c r="A7288" t="str">
        <f>"20190304164303910"</f>
        <v>20190304164303910</v>
      </c>
      <c r="B7288" t="str">
        <f>"1551688983898868"</f>
        <v>1551688983898868</v>
      </c>
      <c r="C7288" t="s">
        <v>40</v>
      </c>
      <c r="D7288">
        <v>4.7712469999999998</v>
      </c>
      <c r="E7288">
        <v>0.54250889999999996</v>
      </c>
      <c r="F7288" t="s">
        <v>42</v>
      </c>
      <c r="G7288">
        <v>-190.84719999999999</v>
      </c>
      <c r="H7288" s="1">
        <v>-1.348221E-6</v>
      </c>
      <c r="I7288">
        <v>-27.793569999999999</v>
      </c>
      <c r="J7288">
        <v>-191.75710000000001</v>
      </c>
      <c r="K7288">
        <v>1.1126130000000001</v>
      </c>
      <c r="L7288">
        <v>-36.89282</v>
      </c>
      <c r="M7288">
        <v>0.24700559999999999</v>
      </c>
      <c r="N7288">
        <v>-1.222784E-2</v>
      </c>
      <c r="O7288">
        <v>0.96893689999999999</v>
      </c>
      <c r="P7288">
        <v>1.052577E-2</v>
      </c>
      <c r="Q7288">
        <v>0.3940323</v>
      </c>
      <c r="R7288">
        <v>0.91903630000000003</v>
      </c>
      <c r="S7288">
        <v>0.35929870000000003</v>
      </c>
      <c r="T7288">
        <v>-0.4064547</v>
      </c>
      <c r="U7288">
        <v>3.4320369999999998</v>
      </c>
      <c r="V7288">
        <v>-0.21883859999999999</v>
      </c>
      <c r="W7288">
        <v>0.40383940000000002</v>
      </c>
      <c r="X7288">
        <v>0.88826989999999995</v>
      </c>
      <c r="Y7288">
        <v>-0.14519299999999999</v>
      </c>
      <c r="Z7288">
        <v>-9.9263329999999997E-2</v>
      </c>
      <c r="AA7288">
        <v>0.98441140000000005</v>
      </c>
      <c r="AB7288">
        <v>29</v>
      </c>
      <c r="AC7288">
        <v>0.90990000000002103</v>
      </c>
      <c r="AD7288">
        <v>-1.11261434822099</v>
      </c>
      <c r="AE7288">
        <v>9.0992499999999907</v>
      </c>
      <c r="AF7288">
        <v>-1.34610541636127</v>
      </c>
      <c r="AG7288">
        <v>-1.11261434822099</v>
      </c>
      <c r="AH7288">
        <v>8.9101266736925702</v>
      </c>
      <c r="AI7288">
        <v>97.038668461535707</v>
      </c>
      <c r="AJ7288">
        <v>98.591044184807899</v>
      </c>
      <c r="AK7288">
        <v>9.0796623186698007</v>
      </c>
      <c r="AL7288">
        <v>66.181581715426006</v>
      </c>
      <c r="AM7288">
        <v>103.84005661842301</v>
      </c>
      <c r="AN7288">
        <v>1.0000000045441599</v>
      </c>
    </row>
    <row r="7289" spans="1:40" x14ac:dyDescent="0.25">
      <c r="A7289" t="str">
        <f>"20190304164303931"</f>
        <v>20190304164303931</v>
      </c>
      <c r="B7289" t="str">
        <f>"1551688983928148"</f>
        <v>1551688983928148</v>
      </c>
      <c r="C7289" t="s">
        <v>40</v>
      </c>
      <c r="D7289">
        <v>4.5708989999999998</v>
      </c>
      <c r="E7289">
        <v>0.51528339999999995</v>
      </c>
      <c r="F7289" t="s">
        <v>42</v>
      </c>
      <c r="G7289">
        <v>-190.76759999999999</v>
      </c>
      <c r="H7289" s="1">
        <v>-1.4806080000000001E-6</v>
      </c>
      <c r="I7289">
        <v>-27.43562</v>
      </c>
      <c r="J7289">
        <v>-191.691</v>
      </c>
      <c r="K7289">
        <v>1.11232999999999</v>
      </c>
      <c r="L7289">
        <v>-36.625239999999998</v>
      </c>
      <c r="M7289">
        <v>0.24519189999999999</v>
      </c>
      <c r="N7289">
        <v>-1.206467E-2</v>
      </c>
      <c r="O7289">
        <v>0.96939949999999997</v>
      </c>
      <c r="P7289">
        <v>9.2443820000000006E-3</v>
      </c>
      <c r="Q7289">
        <v>0.39399869999999998</v>
      </c>
      <c r="R7289">
        <v>0.91906449999999995</v>
      </c>
      <c r="S7289">
        <v>0.3592224</v>
      </c>
      <c r="T7289">
        <v>-0.40392450000000002</v>
      </c>
      <c r="U7289">
        <v>3.4333499999999999</v>
      </c>
      <c r="V7289">
        <v>-0.21815470000000001</v>
      </c>
      <c r="W7289">
        <v>0.40380490000000002</v>
      </c>
      <c r="X7289">
        <v>0.88845379999999996</v>
      </c>
      <c r="Y7289">
        <v>-0.14340020000000001</v>
      </c>
      <c r="Z7289">
        <v>-9.8791550000000006E-2</v>
      </c>
      <c r="AA7289">
        <v>0.98472159999999997</v>
      </c>
      <c r="AB7289">
        <v>29</v>
      </c>
      <c r="AC7289">
        <v>0.92339999999998601</v>
      </c>
      <c r="AD7289">
        <v>-1.11233148060799</v>
      </c>
      <c r="AE7289">
        <v>9.1896199999999997</v>
      </c>
      <c r="AF7289">
        <v>-1.33875738331963</v>
      </c>
      <c r="AG7289">
        <v>-1.11233148060799</v>
      </c>
      <c r="AH7289">
        <v>9.0048745703695801</v>
      </c>
      <c r="AI7289">
        <v>96.966018321658396</v>
      </c>
      <c r="AJ7289">
        <v>98.456241257972096</v>
      </c>
      <c r="AK7289">
        <v>9.1715494155694994</v>
      </c>
      <c r="AL7289">
        <v>66.183742634645697</v>
      </c>
      <c r="AM7289">
        <v>103.79571309181</v>
      </c>
      <c r="AN7289">
        <v>1.0000000125652699</v>
      </c>
    </row>
    <row r="7290" spans="1:40" x14ac:dyDescent="0.25">
      <c r="A7290" t="str">
        <f>"20190304164303952"</f>
        <v>20190304164303952</v>
      </c>
      <c r="B7290" t="str">
        <f>"1551688983948644"</f>
        <v>1551688983948644</v>
      </c>
      <c r="C7290" t="s">
        <v>40</v>
      </c>
      <c r="D7290">
        <v>4.6298719999999998</v>
      </c>
      <c r="E7290">
        <v>0.51261540000000005</v>
      </c>
      <c r="F7290" t="s">
        <v>42</v>
      </c>
      <c r="G7290">
        <v>-191.226</v>
      </c>
      <c r="H7290" s="1">
        <v>-2.5535319999999998E-6</v>
      </c>
      <c r="I7290">
        <v>-25.21894</v>
      </c>
      <c r="J7290">
        <v>-191.62540000000001</v>
      </c>
      <c r="K7290">
        <v>1.1120559999999999</v>
      </c>
      <c r="L7290">
        <v>-36.358490000000003</v>
      </c>
      <c r="M7290">
        <v>0.24373639999999999</v>
      </c>
      <c r="N7290">
        <v>-1.191454E-2</v>
      </c>
      <c r="O7290">
        <v>0.96976830000000003</v>
      </c>
      <c r="P7290">
        <v>7.8298510000000005E-3</v>
      </c>
      <c r="Q7290">
        <v>0.39297870000000001</v>
      </c>
      <c r="R7290">
        <v>0.91951419999999995</v>
      </c>
      <c r="S7290">
        <v>0.13882449999999999</v>
      </c>
      <c r="T7290">
        <v>-0.33206750000000002</v>
      </c>
      <c r="U7290">
        <v>3.405151</v>
      </c>
      <c r="V7290">
        <v>-0.2180279</v>
      </c>
      <c r="W7290">
        <v>0.40279779999999998</v>
      </c>
      <c r="X7290">
        <v>0.88894189999999995</v>
      </c>
      <c r="Y7290">
        <v>-0.20403209999999999</v>
      </c>
      <c r="Z7290">
        <v>-7.9818379999999994E-2</v>
      </c>
      <c r="AA7290">
        <v>0.97570480000000004</v>
      </c>
      <c r="AB7290">
        <v>29</v>
      </c>
      <c r="AC7290">
        <v>0.39940000000001402</v>
      </c>
      <c r="AD7290">
        <v>-1.112058553532</v>
      </c>
      <c r="AE7290">
        <v>11.13955</v>
      </c>
      <c r="AF7290">
        <v>-2.3050114542436302</v>
      </c>
      <c r="AG7290">
        <v>-1.112058553532</v>
      </c>
      <c r="AH7290">
        <v>10.7934753820767</v>
      </c>
      <c r="AI7290">
        <v>95.7536262018766</v>
      </c>
      <c r="AJ7290">
        <v>102.054777228448</v>
      </c>
      <c r="AK7290">
        <v>11.092739195265199</v>
      </c>
      <c r="AL7290">
        <v>66.246799791133697</v>
      </c>
      <c r="AM7290">
        <v>103.78071855546401</v>
      </c>
      <c r="AN7290">
        <v>0.99999996721942896</v>
      </c>
    </row>
    <row r="7291" spans="1:40" x14ac:dyDescent="0.25">
      <c r="A7291" t="str">
        <f>"20190304164303974"</f>
        <v>20190304164303974</v>
      </c>
      <c r="B7291" t="str">
        <f>"1551688983968164"</f>
        <v>1551688983968164</v>
      </c>
      <c r="C7291" t="s">
        <v>40</v>
      </c>
      <c r="D7291">
        <v>4.5573129999999997</v>
      </c>
      <c r="E7291">
        <v>0.51090630000000004</v>
      </c>
      <c r="F7291" t="s">
        <v>42</v>
      </c>
      <c r="G7291">
        <v>-191.25280000000001</v>
      </c>
      <c r="H7291" s="1">
        <v>-2.590408E-6</v>
      </c>
      <c r="I7291">
        <v>-25.14959</v>
      </c>
      <c r="J7291">
        <v>-191.55410000000001</v>
      </c>
      <c r="K7291">
        <v>1.1117379999999999</v>
      </c>
      <c r="L7291">
        <v>-36.067959999999999</v>
      </c>
      <c r="M7291">
        <v>0.24254890000000001</v>
      </c>
      <c r="N7291">
        <v>-1.176724E-2</v>
      </c>
      <c r="O7291">
        <v>0.97006780000000004</v>
      </c>
      <c r="P7291">
        <v>5.884795E-3</v>
      </c>
      <c r="Q7291">
        <v>0.39263540000000002</v>
      </c>
      <c r="R7291">
        <v>0.91967540000000003</v>
      </c>
      <c r="S7291">
        <v>0.1132355</v>
      </c>
      <c r="T7291">
        <v>-0.337920099999999</v>
      </c>
      <c r="U7291">
        <v>3.4060359999999998</v>
      </c>
      <c r="V7291">
        <v>-0.21855140000000001</v>
      </c>
      <c r="W7291">
        <v>0.40248620000000002</v>
      </c>
      <c r="X7291">
        <v>0.88895449999999998</v>
      </c>
      <c r="Y7291">
        <v>-0.21015880000000001</v>
      </c>
      <c r="Z7291">
        <v>-8.1521930000000006E-2</v>
      </c>
      <c r="AA7291">
        <v>0.97426250000000003</v>
      </c>
      <c r="AB7291">
        <v>29</v>
      </c>
      <c r="AC7291">
        <v>0.30129999999999701</v>
      </c>
      <c r="AD7291">
        <v>-1.111740590408</v>
      </c>
      <c r="AE7291">
        <v>10.918369999999999</v>
      </c>
      <c r="AF7291">
        <v>-2.33196119456399</v>
      </c>
      <c r="AG7291">
        <v>-1.111740590408</v>
      </c>
      <c r="AH7291">
        <v>10.556017144637099</v>
      </c>
      <c r="AI7291">
        <v>95.871581721030793</v>
      </c>
      <c r="AJ7291">
        <v>102.457303890511</v>
      </c>
      <c r="AK7291">
        <v>10.8675437938471</v>
      </c>
      <c r="AL7291">
        <v>66.266304350572696</v>
      </c>
      <c r="AM7291">
        <v>103.812352976105</v>
      </c>
      <c r="AN7291">
        <v>0.99999997935132401</v>
      </c>
    </row>
    <row r="7292" spans="1:40" x14ac:dyDescent="0.25">
      <c r="A7292" t="str">
        <f>"20190304164303998"</f>
        <v>20190304164303998</v>
      </c>
      <c r="B7292" t="str">
        <f>"1551688983988660"</f>
        <v>1551688983988660</v>
      </c>
      <c r="C7292" t="s">
        <v>40</v>
      </c>
      <c r="D7292">
        <v>4.5339559999999999</v>
      </c>
      <c r="E7292">
        <v>0.51060470000000002</v>
      </c>
      <c r="F7292" t="s">
        <v>42</v>
      </c>
      <c r="G7292">
        <v>-191.2413</v>
      </c>
      <c r="H7292" s="1">
        <v>-2.7802949999999999E-6</v>
      </c>
      <c r="I7292">
        <v>-24.699819999999999</v>
      </c>
      <c r="J7292">
        <v>-191.4819</v>
      </c>
      <c r="K7292">
        <v>1.111402</v>
      </c>
      <c r="L7292">
        <v>-35.7746</v>
      </c>
      <c r="M7292">
        <v>0.24174200000000001</v>
      </c>
      <c r="N7292">
        <v>-1.1635929999999999E-2</v>
      </c>
      <c r="O7292">
        <v>0.97027079999999999</v>
      </c>
      <c r="P7292">
        <v>4.3591029999999996E-3</v>
      </c>
      <c r="Q7292">
        <v>0.39228610000000003</v>
      </c>
      <c r="R7292">
        <v>0.91983289999999995</v>
      </c>
      <c r="S7292">
        <v>9.3643190000000001E-2</v>
      </c>
      <c r="T7292">
        <v>-0.33284659999999999</v>
      </c>
      <c r="U7292">
        <v>3.4035340000000001</v>
      </c>
      <c r="V7292">
        <v>-0.2190001</v>
      </c>
      <c r="W7292">
        <v>0.4021942</v>
      </c>
      <c r="X7292">
        <v>0.88897630000000005</v>
      </c>
      <c r="Y7292">
        <v>-0.2149192</v>
      </c>
      <c r="Z7292">
        <v>-8.0309019999999995E-2</v>
      </c>
      <c r="AA7292">
        <v>0.97332430000000003</v>
      </c>
      <c r="AB7292">
        <v>29</v>
      </c>
      <c r="AC7292">
        <v>0.24060000000000001</v>
      </c>
      <c r="AD7292">
        <v>-1.111404780295</v>
      </c>
      <c r="AE7292">
        <v>11.074779999999899</v>
      </c>
      <c r="AF7292">
        <v>-2.4196013441262201</v>
      </c>
      <c r="AG7292">
        <v>-1.111404780295</v>
      </c>
      <c r="AH7292">
        <v>10.696753544758501</v>
      </c>
      <c r="AI7292">
        <v>95.786647692352304</v>
      </c>
      <c r="AJ7292">
        <v>102.745786636624</v>
      </c>
      <c r="AK7292">
        <v>11.0231677682716</v>
      </c>
      <c r="AL7292">
        <v>66.284580644776099</v>
      </c>
      <c r="AM7292">
        <v>103.83929511608299</v>
      </c>
      <c r="AN7292">
        <v>1.0000000401376601</v>
      </c>
    </row>
    <row r="7293" spans="1:40" x14ac:dyDescent="0.25">
      <c r="A7293" t="str">
        <f>"20190304164304020"</f>
        <v>20190304164304020</v>
      </c>
      <c r="B7293" t="str">
        <f>"1551688984008179"</f>
        <v>1551688984008179</v>
      </c>
      <c r="C7293" t="s">
        <v>40</v>
      </c>
      <c r="D7293">
        <v>4.5815970000000004</v>
      </c>
      <c r="E7293">
        <v>0.51083420000000002</v>
      </c>
      <c r="F7293" t="s">
        <v>42</v>
      </c>
      <c r="G7293">
        <v>-191.19890000000001</v>
      </c>
      <c r="H7293" s="1">
        <v>-2.8950919999999998E-6</v>
      </c>
      <c r="I7293">
        <v>-24.405909999999999</v>
      </c>
      <c r="J7293">
        <v>-191.41079999999999</v>
      </c>
      <c r="K7293">
        <v>1.1110880000000001</v>
      </c>
      <c r="L7293">
        <v>-35.48648</v>
      </c>
      <c r="M7293">
        <v>0.2412802</v>
      </c>
      <c r="N7293">
        <v>-1.1522859999999999E-2</v>
      </c>
      <c r="O7293">
        <v>0.97038709999999995</v>
      </c>
      <c r="P7293">
        <v>2.9927E-3</v>
      </c>
      <c r="Q7293">
        <v>0.39149529999999999</v>
      </c>
      <c r="R7293">
        <v>0.92017530000000003</v>
      </c>
      <c r="S7293">
        <v>8.4716799999999995E-2</v>
      </c>
      <c r="T7293">
        <v>-0.33267059999999998</v>
      </c>
      <c r="U7293">
        <v>3.4029240000000001</v>
      </c>
      <c r="V7293">
        <v>-0.2196824</v>
      </c>
      <c r="W7293">
        <v>0.4014663</v>
      </c>
      <c r="X7293">
        <v>0.88913690000000001</v>
      </c>
      <c r="Y7293">
        <v>-0.2170002</v>
      </c>
      <c r="Z7293">
        <v>-8.0382659999999995E-2</v>
      </c>
      <c r="AA7293">
        <v>0.97285639999999995</v>
      </c>
      <c r="AB7293">
        <v>29</v>
      </c>
      <c r="AC7293">
        <v>0.21189999999998499</v>
      </c>
      <c r="AD7293">
        <v>-1.11109089509199</v>
      </c>
      <c r="AE7293">
        <v>11.0805699999999</v>
      </c>
      <c r="AF7293">
        <v>-2.4435009132863099</v>
      </c>
      <c r="AG7293">
        <v>-1.11109089509199</v>
      </c>
      <c r="AH7293">
        <v>10.696771613380299</v>
      </c>
      <c r="AI7293">
        <v>95.782241098179099</v>
      </c>
      <c r="AJ7293">
        <v>102.867490655764</v>
      </c>
      <c r="AK7293">
        <v>11.028424304460099</v>
      </c>
      <c r="AL7293">
        <v>66.330123648203795</v>
      </c>
      <c r="AM7293">
        <v>103.87833654583601</v>
      </c>
      <c r="AN7293">
        <v>0.99999998692352998</v>
      </c>
    </row>
    <row r="7294" spans="1:40" x14ac:dyDescent="0.25">
      <c r="A7294" t="str">
        <f>"20190304164304041"</f>
        <v>20190304164304041</v>
      </c>
      <c r="B7294" t="str">
        <f>"1551688984028675"</f>
        <v>1551688984028675</v>
      </c>
      <c r="C7294" t="s">
        <v>40</v>
      </c>
      <c r="D7294">
        <v>4.5496040000000004</v>
      </c>
      <c r="E7294">
        <v>0.51108819999999999</v>
      </c>
      <c r="F7294" t="s">
        <v>42</v>
      </c>
      <c r="G7294">
        <v>-191.14680000000001</v>
      </c>
      <c r="H7294" s="1">
        <v>-2.9509450000000002E-6</v>
      </c>
      <c r="I7294">
        <v>-24.243410000000001</v>
      </c>
      <c r="J7294">
        <v>-191.3466</v>
      </c>
      <c r="K7294">
        <v>1.1108559999999901</v>
      </c>
      <c r="L7294">
        <v>-35.226869999999998</v>
      </c>
      <c r="M7294">
        <v>0.24110609999999999</v>
      </c>
      <c r="N7294">
        <v>-1.143308E-2</v>
      </c>
      <c r="O7294">
        <v>0.97043140000000006</v>
      </c>
      <c r="P7294">
        <v>1.032912E-3</v>
      </c>
      <c r="Q7294">
        <v>0.39028099999999999</v>
      </c>
      <c r="R7294">
        <v>0.92069520000000005</v>
      </c>
      <c r="S7294">
        <v>7.9925540000000003E-2</v>
      </c>
      <c r="T7294">
        <v>-0.33630729999999998</v>
      </c>
      <c r="U7294">
        <v>3.403076</v>
      </c>
      <c r="V7294">
        <v>-0.2213242</v>
      </c>
      <c r="W7294">
        <v>0.40029330000000002</v>
      </c>
      <c r="X7294">
        <v>0.88925859999999901</v>
      </c>
      <c r="Y7294">
        <v>-0.21819540000000001</v>
      </c>
      <c r="Z7294">
        <v>-8.1455700000000006E-2</v>
      </c>
      <c r="AA7294">
        <v>0.97249969999999997</v>
      </c>
      <c r="AB7294">
        <v>29</v>
      </c>
      <c r="AC7294">
        <v>0.19979999999998199</v>
      </c>
      <c r="AD7294">
        <v>-1.11085895094499</v>
      </c>
      <c r="AE7294">
        <v>10.9834599999999</v>
      </c>
      <c r="AF7294">
        <v>-2.4296029235277401</v>
      </c>
      <c r="AG7294">
        <v>-1.11085895094499</v>
      </c>
      <c r="AH7294">
        <v>10.599182724056501</v>
      </c>
      <c r="AI7294">
        <v>95.832906327858893</v>
      </c>
      <c r="AJ7294">
        <v>102.91061114954699</v>
      </c>
      <c r="AK7294">
        <v>10.9306748370284</v>
      </c>
      <c r="AL7294">
        <v>66.403484458832096</v>
      </c>
      <c r="AM7294">
        <v>103.97616596864199</v>
      </c>
      <c r="AN7294">
        <v>0.99999999260224404</v>
      </c>
    </row>
    <row r="7295" spans="1:40" x14ac:dyDescent="0.25">
      <c r="A7295" t="str">
        <f>"20190304164304064"</f>
        <v>20190304164304064</v>
      </c>
      <c r="B7295" t="str">
        <f>"1551688984057956"</f>
        <v>1551688984057956</v>
      </c>
      <c r="C7295" t="s">
        <v>40</v>
      </c>
      <c r="D7295">
        <v>4.5582560000000001</v>
      </c>
      <c r="E7295">
        <v>0.51171869999999997</v>
      </c>
      <c r="F7295" t="s">
        <v>42</v>
      </c>
      <c r="G7295">
        <v>-191.10919999999999</v>
      </c>
      <c r="H7295" s="1">
        <v>-2.98295E-6</v>
      </c>
      <c r="I7295">
        <v>-24.145489999999999</v>
      </c>
      <c r="J7295">
        <v>-191.2724</v>
      </c>
      <c r="K7295">
        <v>1.1106670000000001</v>
      </c>
      <c r="L7295">
        <v>-34.927399999999999</v>
      </c>
      <c r="M7295">
        <v>0.2411247</v>
      </c>
      <c r="N7295">
        <v>-1.134169E-2</v>
      </c>
      <c r="O7295">
        <v>0.97042790000000001</v>
      </c>
      <c r="P7295" s="1">
        <v>-9.0133860000000005E-5</v>
      </c>
      <c r="Q7295">
        <v>0.39083259999999997</v>
      </c>
      <c r="R7295">
        <v>0.9204618</v>
      </c>
      <c r="S7295">
        <v>7.2921749999999994E-2</v>
      </c>
      <c r="T7295">
        <v>-0.34112799999999999</v>
      </c>
      <c r="U7295">
        <v>3.4029240000000001</v>
      </c>
      <c r="V7295">
        <v>-0.2221861</v>
      </c>
      <c r="W7295">
        <v>0.4008622</v>
      </c>
      <c r="X7295">
        <v>0.88878729999999995</v>
      </c>
      <c r="Y7295">
        <v>-0.22021279999999999</v>
      </c>
      <c r="Z7295">
        <v>-8.2845189999999999E-2</v>
      </c>
      <c r="AA7295">
        <v>0.97192750000000006</v>
      </c>
      <c r="AB7295">
        <v>29</v>
      </c>
      <c r="AC7295">
        <v>0.163200000000017</v>
      </c>
      <c r="AD7295">
        <v>-1.11066998295</v>
      </c>
      <c r="AE7295">
        <v>10.78191</v>
      </c>
      <c r="AF7295">
        <v>-2.4159369877465902</v>
      </c>
      <c r="AG7295">
        <v>-1.11066998295</v>
      </c>
      <c r="AH7295">
        <v>10.3928342649376</v>
      </c>
      <c r="AI7295">
        <v>95.9427048326788</v>
      </c>
      <c r="AJ7295">
        <v>103.086656462113</v>
      </c>
      <c r="AK7295">
        <v>10.7275972798315</v>
      </c>
      <c r="AL7295">
        <v>66.367910555377307</v>
      </c>
      <c r="AM7295">
        <v>104.03559274757799</v>
      </c>
      <c r="AN7295">
        <v>1.00000001553167</v>
      </c>
    </row>
    <row r="7296" spans="1:40" x14ac:dyDescent="0.25">
      <c r="A7296" t="str">
        <f>"20190304164304079"</f>
        <v>20190304164304079</v>
      </c>
      <c r="B7296" t="str">
        <f>"1551688984068692"</f>
        <v>1551688984068692</v>
      </c>
      <c r="C7296" t="s">
        <v>40</v>
      </c>
      <c r="D7296">
        <v>4.5591850000000003</v>
      </c>
      <c r="E7296">
        <v>0.51186319999999996</v>
      </c>
      <c r="F7296" t="s">
        <v>42</v>
      </c>
      <c r="G7296">
        <v>-191.04329999999999</v>
      </c>
      <c r="H7296" s="1">
        <v>-3.0938860000000002E-6</v>
      </c>
      <c r="I7296">
        <v>-23.846060000000001</v>
      </c>
      <c r="J7296">
        <v>-191.2226</v>
      </c>
      <c r="K7296">
        <v>1.110581</v>
      </c>
      <c r="L7296">
        <v>-34.727330000000002</v>
      </c>
      <c r="M7296">
        <v>0.2412263</v>
      </c>
      <c r="N7296">
        <v>-1.1287200000000001E-2</v>
      </c>
      <c r="O7296">
        <v>0.97040329999999997</v>
      </c>
      <c r="P7296" s="1">
        <v>3.3174869999999998E-5</v>
      </c>
      <c r="Q7296">
        <v>0.39119989999999999</v>
      </c>
      <c r="R7296">
        <v>0.9203057</v>
      </c>
      <c r="S7296">
        <v>7.0358279999999995E-2</v>
      </c>
      <c r="T7296">
        <v>-0.34119050000000001</v>
      </c>
      <c r="U7296">
        <v>3.4041139999999999</v>
      </c>
      <c r="V7296">
        <v>-0.2220345</v>
      </c>
      <c r="W7296">
        <v>0.40122829999999998</v>
      </c>
      <c r="X7296">
        <v>0.88866000000000001</v>
      </c>
      <c r="Y7296">
        <v>-0.22105369999999999</v>
      </c>
      <c r="Z7296">
        <v>-8.2870100000000002E-2</v>
      </c>
      <c r="AA7296">
        <v>0.9717344</v>
      </c>
      <c r="AB7296">
        <v>29</v>
      </c>
      <c r="AC7296">
        <v>0.17930000000001201</v>
      </c>
      <c r="AD7296">
        <v>-1.1105840938860001</v>
      </c>
      <c r="AE7296">
        <v>10.881269999999899</v>
      </c>
      <c r="AF7296">
        <v>-2.4257489811247899</v>
      </c>
      <c r="AG7296">
        <v>-1.1105840938860001</v>
      </c>
      <c r="AH7296">
        <v>10.493861989312199</v>
      </c>
      <c r="AI7296">
        <v>95.887119541614894</v>
      </c>
      <c r="AJ7296">
        <v>103.015809343047</v>
      </c>
      <c r="AK7296">
        <v>10.8276864841826</v>
      </c>
      <c r="AL7296">
        <v>66.345012871920204</v>
      </c>
      <c r="AM7296">
        <v>104.02832422661599</v>
      </c>
      <c r="AN7296">
        <v>1.00000003175556</v>
      </c>
    </row>
    <row r="7297" spans="1:40" x14ac:dyDescent="0.25">
      <c r="A7297" t="str">
        <f>"20190304164304124"</f>
        <v>20190304164304124</v>
      </c>
      <c r="B7297" t="str">
        <f>"1551688984118468"</f>
        <v>1551688984118468</v>
      </c>
      <c r="C7297" t="s">
        <v>40</v>
      </c>
      <c r="D7297">
        <v>4.5905559999999896</v>
      </c>
      <c r="E7297">
        <v>0.51264179999999904</v>
      </c>
      <c r="F7297" t="s">
        <v>42</v>
      </c>
      <c r="G7297">
        <v>-190.99629999999999</v>
      </c>
      <c r="H7297" s="1">
        <v>-3.181102E-6</v>
      </c>
      <c r="I7297">
        <v>-23.613610000000001</v>
      </c>
      <c r="J7297">
        <v>-191.08670000000001</v>
      </c>
      <c r="K7297">
        <v>1.1104430000000001</v>
      </c>
      <c r="L7297">
        <v>-34.181519999999999</v>
      </c>
      <c r="M7297">
        <v>0.24163879999999999</v>
      </c>
      <c r="N7297">
        <v>-1.11629E-2</v>
      </c>
      <c r="O7297">
        <v>0.970302</v>
      </c>
      <c r="P7297">
        <v>2.6469990000000001E-3</v>
      </c>
      <c r="Q7297">
        <v>0.39297739999999998</v>
      </c>
      <c r="R7297">
        <v>0.91954429999999998</v>
      </c>
      <c r="S7297">
        <v>6.9320679999999996E-2</v>
      </c>
      <c r="T7297">
        <v>-0.34019779999999999</v>
      </c>
      <c r="U7297">
        <v>3.4043879999999902</v>
      </c>
      <c r="V7297">
        <v>-0.21957160000000001</v>
      </c>
      <c r="W7297">
        <v>0.40295930000000002</v>
      </c>
      <c r="X7297">
        <v>0.88848869999999902</v>
      </c>
      <c r="Y7297">
        <v>-0.22176679999999999</v>
      </c>
      <c r="Z7297">
        <v>-8.2691310000000004E-2</v>
      </c>
      <c r="AA7297">
        <v>0.97158719999999998</v>
      </c>
      <c r="AB7297">
        <v>29</v>
      </c>
      <c r="AC7297">
        <v>9.0400000000016606E-2</v>
      </c>
      <c r="AD7297">
        <v>-1.1104461811020001</v>
      </c>
      <c r="AE7297">
        <v>10.5679099999999</v>
      </c>
      <c r="AF7297">
        <v>-2.4391266290819802</v>
      </c>
      <c r="AG7297">
        <v>-1.1104461811020001</v>
      </c>
      <c r="AH7297">
        <v>10.164330879072599</v>
      </c>
      <c r="AI7297">
        <v>96.063981270762</v>
      </c>
      <c r="AJ7297">
        <v>103.49406616012701</v>
      </c>
      <c r="AK7297">
        <v>10.5117102154259</v>
      </c>
      <c r="AL7297">
        <v>66.2366912503077</v>
      </c>
      <c r="AM7297">
        <v>103.881336029877</v>
      </c>
      <c r="AN7297">
        <v>1.00000002750536</v>
      </c>
    </row>
    <row r="7298" spans="1:40" x14ac:dyDescent="0.25">
      <c r="A7298" t="str">
        <f>"20190304164304143"</f>
        <v>20190304164304143</v>
      </c>
      <c r="B7298" t="str">
        <f>"1551688984137988"</f>
        <v>1551688984137988</v>
      </c>
      <c r="C7298" t="s">
        <v>40</v>
      </c>
      <c r="D7298">
        <v>4.5880429999999999</v>
      </c>
      <c r="E7298">
        <v>0.51297309999999996</v>
      </c>
      <c r="F7298" t="s">
        <v>42</v>
      </c>
      <c r="G7298">
        <v>-190.83410000000001</v>
      </c>
      <c r="H7298" s="1">
        <v>-3.434633E-6</v>
      </c>
      <c r="I7298">
        <v>-22.92201</v>
      </c>
      <c r="J7298">
        <v>-191.02250000000001</v>
      </c>
      <c r="K7298">
        <v>1.1104270000000001</v>
      </c>
      <c r="L7298">
        <v>-33.92407</v>
      </c>
      <c r="M7298">
        <v>0.24180270000000001</v>
      </c>
      <c r="N7298">
        <v>-1.111065E-2</v>
      </c>
      <c r="O7298">
        <v>0.97026179999999995</v>
      </c>
      <c r="P7298">
        <v>3.4703120000000001E-3</v>
      </c>
      <c r="Q7298">
        <v>0.3932061</v>
      </c>
      <c r="R7298">
        <v>0.91944380000000003</v>
      </c>
      <c r="S7298">
        <v>7.6400759999999998E-2</v>
      </c>
      <c r="T7298">
        <v>-0.33589259999999999</v>
      </c>
      <c r="U7298">
        <v>3.4058229999999998</v>
      </c>
      <c r="V7298">
        <v>-0.21889049999999999</v>
      </c>
      <c r="W7298">
        <v>0.40314699999999998</v>
      </c>
      <c r="X7298">
        <v>0.88857160000000002</v>
      </c>
      <c r="Y7298">
        <v>-0.21992249999999999</v>
      </c>
      <c r="Z7298">
        <v>-8.1543539999999998E-2</v>
      </c>
      <c r="AA7298">
        <v>0.97210319999999995</v>
      </c>
      <c r="AB7298">
        <v>29</v>
      </c>
      <c r="AC7298">
        <v>0.18840000000000101</v>
      </c>
      <c r="AD7298">
        <v>-1.1104304346330001</v>
      </c>
      <c r="AE7298">
        <v>11.00206</v>
      </c>
      <c r="AF7298">
        <v>-2.4527057630760298</v>
      </c>
      <c r="AG7298">
        <v>-1.1104304346330001</v>
      </c>
      <c r="AH7298">
        <v>10.6130159721305</v>
      </c>
      <c r="AI7298">
        <v>95.820750625298004</v>
      </c>
      <c r="AJ7298">
        <v>103.012802515353</v>
      </c>
      <c r="AK7298">
        <v>10.949197657138299</v>
      </c>
      <c r="AL7298">
        <v>66.224939903740193</v>
      </c>
      <c r="AM7298">
        <v>103.838693170353</v>
      </c>
      <c r="AN7298">
        <v>1.0000000214628999</v>
      </c>
    </row>
    <row r="7299" spans="1:40" x14ac:dyDescent="0.25">
      <c r="A7299" t="str">
        <f>"20190304164304165"</f>
        <v>20190304164304165</v>
      </c>
      <c r="B7299" t="str">
        <f>"1551688984158484"</f>
        <v>1551688984158484</v>
      </c>
      <c r="C7299" t="s">
        <v>40</v>
      </c>
      <c r="D7299">
        <v>4.5683389999999999</v>
      </c>
      <c r="E7299">
        <v>0.51323260000000004</v>
      </c>
      <c r="F7299" t="s">
        <v>42</v>
      </c>
      <c r="G7299">
        <v>-190.74860000000001</v>
      </c>
      <c r="H7299" s="1">
        <v>-3.5016539999999999E-6</v>
      </c>
      <c r="I7299">
        <v>-22.71275</v>
      </c>
      <c r="J7299">
        <v>-190.95050000000001</v>
      </c>
      <c r="K7299">
        <v>1.1104309999999999</v>
      </c>
      <c r="L7299">
        <v>-33.635590000000001</v>
      </c>
      <c r="M7299">
        <v>0.24193129999999999</v>
      </c>
      <c r="N7299">
        <v>-1.10556E-2</v>
      </c>
      <c r="O7299">
        <v>0.97023040000000005</v>
      </c>
      <c r="P7299">
        <v>4.6170029999999997E-3</v>
      </c>
      <c r="Q7299">
        <v>0.39245770000000002</v>
      </c>
      <c r="R7299">
        <v>0.91975850000000003</v>
      </c>
      <c r="S7299">
        <v>8.3221439999999994E-2</v>
      </c>
      <c r="T7299">
        <v>-0.33743119999999999</v>
      </c>
      <c r="U7299">
        <v>3.4068299999999998</v>
      </c>
      <c r="V7299">
        <v>-0.21798190000000001</v>
      </c>
      <c r="W7299">
        <v>0.40235080000000001</v>
      </c>
      <c r="X7299">
        <v>0.88915560000000005</v>
      </c>
      <c r="Y7299">
        <v>-0.21811510000000001</v>
      </c>
      <c r="Z7299">
        <v>-8.2007659999999996E-2</v>
      </c>
      <c r="AA7299">
        <v>0.97247139999999999</v>
      </c>
      <c r="AB7299">
        <v>29</v>
      </c>
      <c r="AC7299">
        <v>0.201899999999994</v>
      </c>
      <c r="AD7299">
        <v>-1.110434501654</v>
      </c>
      <c r="AE7299">
        <v>10.9228399999999</v>
      </c>
      <c r="AF7299">
        <v>-2.4218157275275298</v>
      </c>
      <c r="AG7299">
        <v>-1.110434501654</v>
      </c>
      <c r="AH7299">
        <v>10.538290896713701</v>
      </c>
      <c r="AI7299">
        <v>95.863406070673605</v>
      </c>
      <c r="AJ7299">
        <v>102.942482137238</v>
      </c>
      <c r="AK7299">
        <v>10.8698588410486</v>
      </c>
      <c r="AL7299">
        <v>66.2747786182087</v>
      </c>
      <c r="AM7299">
        <v>103.774736629915</v>
      </c>
      <c r="AN7299">
        <v>0.999999977999804</v>
      </c>
    </row>
    <row r="7300" spans="1:40" x14ac:dyDescent="0.25">
      <c r="A7300" t="str">
        <f>"20190304164304186"</f>
        <v>20190304164304186</v>
      </c>
      <c r="B7300" t="str">
        <f>"1551688984178004"</f>
        <v>1551688984178004</v>
      </c>
      <c r="C7300" t="s">
        <v>40</v>
      </c>
      <c r="D7300">
        <v>4.56501</v>
      </c>
      <c r="E7300">
        <v>0.51346159999999996</v>
      </c>
      <c r="F7300" t="s">
        <v>42</v>
      </c>
      <c r="G7300">
        <v>-190.65549999999999</v>
      </c>
      <c r="H7300" s="1">
        <v>-3.5475809999999998E-6</v>
      </c>
      <c r="I7300">
        <v>-22.547920000000001</v>
      </c>
      <c r="J7300">
        <v>-190.881</v>
      </c>
      <c r="K7300">
        <v>1.1104529999999999</v>
      </c>
      <c r="L7300">
        <v>-33.357030000000002</v>
      </c>
      <c r="M7300">
        <v>0.2420052</v>
      </c>
      <c r="N7300">
        <v>-1.1008220000000001E-2</v>
      </c>
      <c r="O7300">
        <v>0.97021250000000003</v>
      </c>
      <c r="P7300">
        <v>5.7636409999999999E-3</v>
      </c>
      <c r="Q7300">
        <v>0.3914125</v>
      </c>
      <c r="R7300">
        <v>0.92019720000000005</v>
      </c>
      <c r="S7300">
        <v>9.0652469999999999E-2</v>
      </c>
      <c r="T7300">
        <v>-0.34119840000000001</v>
      </c>
      <c r="U7300">
        <v>3.40686</v>
      </c>
      <c r="V7300">
        <v>-0.21705949999999999</v>
      </c>
      <c r="W7300">
        <v>0.40126230000000002</v>
      </c>
      <c r="X7300">
        <v>0.88987280000000002</v>
      </c>
      <c r="Y7300">
        <v>-0.21607219999999999</v>
      </c>
      <c r="Z7300">
        <v>-8.3103699999999905E-2</v>
      </c>
      <c r="AA7300">
        <v>0.97283430000000004</v>
      </c>
      <c r="AB7300">
        <v>30</v>
      </c>
      <c r="AC7300">
        <v>0.22549999999998199</v>
      </c>
      <c r="AD7300">
        <v>-1.110456547581</v>
      </c>
      <c r="AE7300">
        <v>10.80911</v>
      </c>
      <c r="AF7300">
        <v>-2.3721975333771899</v>
      </c>
      <c r="AG7300">
        <v>-1.110456547581</v>
      </c>
      <c r="AH7300">
        <v>10.432288590414601</v>
      </c>
      <c r="AI7300">
        <v>95.925773262583405</v>
      </c>
      <c r="AJ7300">
        <v>102.810652142</v>
      </c>
      <c r="AK7300">
        <v>10.7560717790056</v>
      </c>
      <c r="AL7300">
        <v>66.342883552050495</v>
      </c>
      <c r="AM7300">
        <v>103.708015603655</v>
      </c>
      <c r="AN7300">
        <v>0.99999993006068699</v>
      </c>
    </row>
    <row r="7301" spans="1:40" x14ac:dyDescent="0.25">
      <c r="A7301" t="str">
        <f>"20190304164304210"</f>
        <v>20190304164304210</v>
      </c>
      <c r="B7301" t="str">
        <f>"1551688984198500"</f>
        <v>1551688984198500</v>
      </c>
      <c r="C7301" t="s">
        <v>40</v>
      </c>
      <c r="D7301">
        <v>4.6026230000000004</v>
      </c>
      <c r="E7301">
        <v>0.51363019999999904</v>
      </c>
      <c r="F7301" t="s">
        <v>42</v>
      </c>
      <c r="G7301">
        <v>-190.5712</v>
      </c>
      <c r="H7301" s="1">
        <v>-3.5719079999999999E-6</v>
      </c>
      <c r="I7301">
        <v>-22.438960000000002</v>
      </c>
      <c r="J7301">
        <v>-190.80879999999999</v>
      </c>
      <c r="K7301">
        <v>1.1104750000000001</v>
      </c>
      <c r="L7301">
        <v>-33.067630000000001</v>
      </c>
      <c r="M7301">
        <v>0.2420206</v>
      </c>
      <c r="N7301">
        <v>-1.0963469999999999E-2</v>
      </c>
      <c r="O7301">
        <v>0.97020919999999999</v>
      </c>
      <c r="P7301">
        <v>5.9983969999999999E-3</v>
      </c>
      <c r="Q7301">
        <v>0.39182109999999998</v>
      </c>
      <c r="R7301">
        <v>0.92002189999999995</v>
      </c>
      <c r="S7301">
        <v>9.6664429999999996E-2</v>
      </c>
      <c r="T7301">
        <v>-0.34651480000000001</v>
      </c>
      <c r="U7301">
        <v>3.4069519999999902</v>
      </c>
      <c r="V7301">
        <v>-0.21682580000000001</v>
      </c>
      <c r="W7301">
        <v>0.40161740000000001</v>
      </c>
      <c r="X7301">
        <v>0.8897697</v>
      </c>
      <c r="Y7301">
        <v>-0.21437600000000001</v>
      </c>
      <c r="Z7301">
        <v>-8.4616419999999998E-2</v>
      </c>
      <c r="AA7301">
        <v>0.97307909999999997</v>
      </c>
      <c r="AB7301">
        <v>30</v>
      </c>
      <c r="AC7301">
        <v>0.23759999999998599</v>
      </c>
      <c r="AD7301">
        <v>-1.1104785719079999</v>
      </c>
      <c r="AE7301">
        <v>10.62867</v>
      </c>
      <c r="AF7301">
        <v>-2.3166996649024898</v>
      </c>
      <c r="AG7301">
        <v>-1.1104785719079999</v>
      </c>
      <c r="AH7301">
        <v>10.2582377212038</v>
      </c>
      <c r="AI7301">
        <v>96.027701726876003</v>
      </c>
      <c r="AJ7301">
        <v>102.726074369469</v>
      </c>
      <c r="AK7301">
        <v>10.5750508812371</v>
      </c>
      <c r="AL7301">
        <v>66.320672068085301</v>
      </c>
      <c r="AM7301">
        <v>103.69533961127701</v>
      </c>
      <c r="AN7301">
        <v>1.0000000412832399</v>
      </c>
    </row>
    <row r="7302" spans="1:40" x14ac:dyDescent="0.25">
      <c r="A7302" t="str">
        <f>"20190304164304231"</f>
        <v>20190304164304231</v>
      </c>
      <c r="B7302" t="str">
        <f>"1551688984228757"</f>
        <v>1551688984228757</v>
      </c>
      <c r="C7302" t="s">
        <v>40</v>
      </c>
      <c r="D7302">
        <v>4.6346499999999997</v>
      </c>
      <c r="E7302">
        <v>0.51386179999999904</v>
      </c>
      <c r="F7302" t="s">
        <v>42</v>
      </c>
      <c r="G7302">
        <v>-190.48910000000001</v>
      </c>
      <c r="H7302" s="1">
        <v>-3.6843929999999998E-6</v>
      </c>
      <c r="I7302">
        <v>-22.125789999999999</v>
      </c>
      <c r="J7302">
        <v>-190.73990000000001</v>
      </c>
      <c r="K7302">
        <v>1.1104969999999901</v>
      </c>
      <c r="L7302">
        <v>-32.791170000000001</v>
      </c>
      <c r="M7302">
        <v>0.24197099999999999</v>
      </c>
      <c r="N7302">
        <v>-1.091871E-2</v>
      </c>
      <c r="O7302">
        <v>0.97022209999999998</v>
      </c>
      <c r="P7302">
        <v>5.4323150000000001E-3</v>
      </c>
      <c r="Q7302">
        <v>0.39250800000000002</v>
      </c>
      <c r="R7302">
        <v>0.91973260000000001</v>
      </c>
      <c r="S7302">
        <v>9.9578860000000005E-2</v>
      </c>
      <c r="T7302">
        <v>-0.3458155</v>
      </c>
      <c r="U7302">
        <v>3.40741</v>
      </c>
      <c r="V7302">
        <v>-0.21729000000000001</v>
      </c>
      <c r="W7302">
        <v>0.40224349999999998</v>
      </c>
      <c r="X7302">
        <v>0.88937350000000004</v>
      </c>
      <c r="Y7302">
        <v>-0.2134992</v>
      </c>
      <c r="Z7302">
        <v>-8.4468860000000007E-2</v>
      </c>
      <c r="AA7302">
        <v>0.9732847</v>
      </c>
      <c r="AB7302">
        <v>30</v>
      </c>
      <c r="AC7302">
        <v>0.25079999999999802</v>
      </c>
      <c r="AD7302">
        <v>-1.1105006843930001</v>
      </c>
      <c r="AE7302">
        <v>10.665380000000001</v>
      </c>
      <c r="AF7302">
        <v>-2.3124637116377902</v>
      </c>
      <c r="AG7302">
        <v>-1.1105006843930001</v>
      </c>
      <c r="AH7302">
        <v>10.2975159552942</v>
      </c>
      <c r="AI7302">
        <v>96.0066234191343</v>
      </c>
      <c r="AJ7302">
        <v>102.656669392441</v>
      </c>
      <c r="AK7302">
        <v>10.6122351574594</v>
      </c>
      <c r="AL7302">
        <v>66.281494381909795</v>
      </c>
      <c r="AM7302">
        <v>103.729434609584</v>
      </c>
      <c r="AN7302">
        <v>0.99999999994724997</v>
      </c>
    </row>
    <row r="7303" spans="1:40" x14ac:dyDescent="0.25">
      <c r="A7303" t="str">
        <f>"20190304164304246"</f>
        <v>20190304164304246</v>
      </c>
      <c r="B7303" t="str">
        <f>"1551688984238516"</f>
        <v>1551688984238516</v>
      </c>
      <c r="C7303" t="s">
        <v>40</v>
      </c>
      <c r="D7303">
        <v>4.5900730000000003</v>
      </c>
      <c r="E7303">
        <v>0.51388880000000003</v>
      </c>
      <c r="F7303" t="s">
        <v>42</v>
      </c>
      <c r="G7303">
        <v>-190.4143</v>
      </c>
      <c r="H7303" s="1">
        <v>-3.7948609999999999E-6</v>
      </c>
      <c r="I7303">
        <v>-21.821899999999999</v>
      </c>
      <c r="J7303">
        <v>-190.68960000000001</v>
      </c>
      <c r="K7303">
        <v>1.110514</v>
      </c>
      <c r="L7303">
        <v>-32.589289999999998</v>
      </c>
      <c r="M7303">
        <v>0.24189769999999999</v>
      </c>
      <c r="N7303">
        <v>-1.0884100000000001E-2</v>
      </c>
      <c r="O7303">
        <v>0.97024069999999996</v>
      </c>
      <c r="P7303">
        <v>4.802298E-3</v>
      </c>
      <c r="Q7303">
        <v>0.39279009999999998</v>
      </c>
      <c r="R7303">
        <v>0.91961559999999998</v>
      </c>
      <c r="S7303">
        <v>0.10118099999999999</v>
      </c>
      <c r="T7303">
        <v>-0.34506569999999998</v>
      </c>
      <c r="U7303">
        <v>3.4084780000000001</v>
      </c>
      <c r="V7303">
        <v>-0.217833</v>
      </c>
      <c r="W7303">
        <v>0.40247709999999998</v>
      </c>
      <c r="X7303">
        <v>0.88913500000000001</v>
      </c>
      <c r="Y7303">
        <v>-0.21297779999999999</v>
      </c>
      <c r="Z7303">
        <v>-8.4277409999999997E-2</v>
      </c>
      <c r="AA7303">
        <v>0.97341549999999999</v>
      </c>
      <c r="AB7303">
        <v>30</v>
      </c>
      <c r="AC7303">
        <v>0.27530000000001498</v>
      </c>
      <c r="AD7303">
        <v>-1.1105177948610001</v>
      </c>
      <c r="AE7303">
        <v>10.767390000000001</v>
      </c>
      <c r="AF7303">
        <v>-2.3130496468444499</v>
      </c>
      <c r="AG7303">
        <v>-1.1105177948610001</v>
      </c>
      <c r="AH7303">
        <v>10.403583934121</v>
      </c>
      <c r="AI7303">
        <v>95.948722158506797</v>
      </c>
      <c r="AJ7303">
        <v>102.534801506268</v>
      </c>
      <c r="AK7303">
        <v>10.715316472963799</v>
      </c>
      <c r="AL7303">
        <v>66.266875440534506</v>
      </c>
      <c r="AM7303">
        <v>103.765992171067</v>
      </c>
      <c r="AN7303">
        <v>1.0000000400692</v>
      </c>
    </row>
    <row r="7304" spans="1:40" x14ac:dyDescent="0.25">
      <c r="A7304" t="str">
        <f>"20190304164304265"</f>
        <v>20190304164304265</v>
      </c>
      <c r="B7304" t="str">
        <f>"1551688984258037"</f>
        <v>1551688984258037</v>
      </c>
      <c r="C7304" t="s">
        <v>40</v>
      </c>
      <c r="D7304">
        <v>4.6148490000000004</v>
      </c>
      <c r="E7304">
        <v>0.51392209999999905</v>
      </c>
      <c r="F7304" t="s">
        <v>42</v>
      </c>
      <c r="G7304">
        <v>-190.3673</v>
      </c>
      <c r="H7304" s="1">
        <v>-3.8768949999999997E-6</v>
      </c>
      <c r="I7304">
        <v>-21.601520000000001</v>
      </c>
      <c r="J7304">
        <v>-190.62819999999999</v>
      </c>
      <c r="K7304">
        <v>1.1105480000000001</v>
      </c>
      <c r="L7304">
        <v>-32.342320000000001</v>
      </c>
      <c r="M7304">
        <v>0.24176529999999999</v>
      </c>
      <c r="N7304">
        <v>-1.08413E-2</v>
      </c>
      <c r="O7304">
        <v>0.97027419999999998</v>
      </c>
      <c r="P7304">
        <v>2.880166E-3</v>
      </c>
      <c r="Q7304">
        <v>0.39376430000000001</v>
      </c>
      <c r="R7304">
        <v>0.919207</v>
      </c>
      <c r="S7304">
        <v>0.1000061</v>
      </c>
      <c r="T7304">
        <v>-0.34453</v>
      </c>
      <c r="U7304">
        <v>3.4088750000000001</v>
      </c>
      <c r="V7304">
        <v>-0.2195173</v>
      </c>
      <c r="W7304">
        <v>0.40338180000000001</v>
      </c>
      <c r="X7304">
        <v>0.88831039999999994</v>
      </c>
      <c r="Y7304">
        <v>-0.21318329999999999</v>
      </c>
      <c r="Z7304">
        <v>-8.4165279999999995E-2</v>
      </c>
      <c r="AA7304">
        <v>0.97338020000000003</v>
      </c>
      <c r="AB7304">
        <v>30</v>
      </c>
      <c r="AC7304">
        <v>0.26089999999999203</v>
      </c>
      <c r="AD7304">
        <v>-1.11055187689499</v>
      </c>
      <c r="AE7304">
        <v>10.7408</v>
      </c>
      <c r="AF7304">
        <v>-2.31896922579068</v>
      </c>
      <c r="AG7304">
        <v>-1.11055187689499</v>
      </c>
      <c r="AH7304">
        <v>10.3743703595946</v>
      </c>
      <c r="AI7304">
        <v>95.964029537680801</v>
      </c>
      <c r="AJ7304">
        <v>102.60011943915499</v>
      </c>
      <c r="AK7304">
        <v>10.6882413941431</v>
      </c>
      <c r="AL7304">
        <v>66.2102390332102</v>
      </c>
      <c r="AM7304">
        <v>103.880713758376</v>
      </c>
      <c r="AN7304">
        <v>1.00000004415934</v>
      </c>
    </row>
    <row r="7305" spans="1:40" x14ac:dyDescent="0.25">
      <c r="A7305" t="str">
        <f>"20190304164304289"</f>
        <v>20190304164304289</v>
      </c>
      <c r="B7305" t="str">
        <f>"1551688984278532"</f>
        <v>1551688984278532</v>
      </c>
      <c r="C7305" t="s">
        <v>40</v>
      </c>
      <c r="D7305">
        <v>4.5970529999999998</v>
      </c>
      <c r="E7305">
        <v>0.51390709999999995</v>
      </c>
      <c r="F7305" t="s">
        <v>42</v>
      </c>
      <c r="G7305">
        <v>-190.32159999999999</v>
      </c>
      <c r="H7305" s="1">
        <v>-4.0133939999999998E-6</v>
      </c>
      <c r="I7305">
        <v>-21.255009999999999</v>
      </c>
      <c r="J7305">
        <v>-190.5557</v>
      </c>
      <c r="K7305">
        <v>1.1105969999999901</v>
      </c>
      <c r="L7305">
        <v>-32.050809999999998</v>
      </c>
      <c r="M7305">
        <v>0.2415533</v>
      </c>
      <c r="N7305">
        <v>-1.078982E-2</v>
      </c>
      <c r="O7305">
        <v>0.97032759999999996</v>
      </c>
      <c r="P7305">
        <v>9.6787260000000003E-4</v>
      </c>
      <c r="Q7305">
        <v>0.39325690000000002</v>
      </c>
      <c r="R7305">
        <v>0.91942820000000003</v>
      </c>
      <c r="S7305">
        <v>9.4284060000000003E-2</v>
      </c>
      <c r="T7305">
        <v>-0.34153</v>
      </c>
      <c r="U7305">
        <v>3.4096980000000001</v>
      </c>
      <c r="V7305">
        <v>-0.22128120000000001</v>
      </c>
      <c r="W7305">
        <v>0.40279959999999998</v>
      </c>
      <c r="X7305">
        <v>0.88813690000000001</v>
      </c>
      <c r="Y7305">
        <v>-0.21460750000000001</v>
      </c>
      <c r="Z7305">
        <v>-8.336652E-2</v>
      </c>
      <c r="AA7305">
        <v>0.97313590000000005</v>
      </c>
      <c r="AB7305">
        <v>30</v>
      </c>
      <c r="AC7305">
        <v>0.23410000000001199</v>
      </c>
      <c r="AD7305">
        <v>-1.1106010133940001</v>
      </c>
      <c r="AE7305">
        <v>10.7957999999999</v>
      </c>
      <c r="AF7305">
        <v>-2.3558260749862998</v>
      </c>
      <c r="AG7305">
        <v>-1.1106010133940001</v>
      </c>
      <c r="AH7305">
        <v>10.4223755252047</v>
      </c>
      <c r="AI7305">
        <v>95.933855959798905</v>
      </c>
      <c r="AJ7305">
        <v>102.736837770124</v>
      </c>
      <c r="AK7305">
        <v>10.7428703191895</v>
      </c>
      <c r="AL7305">
        <v>66.246688449235705</v>
      </c>
      <c r="AM7305">
        <v>103.990512569687</v>
      </c>
      <c r="AN7305">
        <v>1.0000000201876</v>
      </c>
    </row>
    <row r="7306" spans="1:40" x14ac:dyDescent="0.25">
      <c r="A7306" t="str">
        <f>"20190304164304311"</f>
        <v>20190304164304311</v>
      </c>
      <c r="B7306" t="str">
        <f>"1551688984308789"</f>
        <v>1551688984308789</v>
      </c>
      <c r="C7306" t="s">
        <v>40</v>
      </c>
      <c r="D7306">
        <v>4.6197540000000004</v>
      </c>
      <c r="E7306">
        <v>0.51391169999999997</v>
      </c>
      <c r="F7306" t="s">
        <v>42</v>
      </c>
      <c r="G7306">
        <v>-190.274</v>
      </c>
      <c r="H7306" s="1">
        <v>-4.0907730000000002E-6</v>
      </c>
      <c r="I7306">
        <v>-21.045120000000001</v>
      </c>
      <c r="J7306">
        <v>-190.483</v>
      </c>
      <c r="K7306">
        <v>1.1106510000000001</v>
      </c>
      <c r="L7306">
        <v>-31.75778</v>
      </c>
      <c r="M7306">
        <v>0.2412849</v>
      </c>
      <c r="N7306">
        <v>-1.073985E-2</v>
      </c>
      <c r="O7306">
        <v>0.97039489999999995</v>
      </c>
      <c r="P7306">
        <v>-3.7590560000000002E-3</v>
      </c>
      <c r="Q7306">
        <v>0.3924878</v>
      </c>
      <c r="R7306">
        <v>0.91974959999999994</v>
      </c>
      <c r="S7306">
        <v>8.7295529999999996E-2</v>
      </c>
      <c r="T7306">
        <v>-0.34410540000000001</v>
      </c>
      <c r="U7306">
        <v>3.4099729999999999</v>
      </c>
      <c r="V7306">
        <v>-0.22574669999999999</v>
      </c>
      <c r="W7306">
        <v>0.40194879999999999</v>
      </c>
      <c r="X7306">
        <v>0.88739820000000003</v>
      </c>
      <c r="Y7306">
        <v>-0.21633189999999999</v>
      </c>
      <c r="Z7306">
        <v>-8.4102060000000006E-2</v>
      </c>
      <c r="AA7306">
        <v>0.97269079999999997</v>
      </c>
      <c r="AB7306">
        <v>30</v>
      </c>
      <c r="AC7306">
        <v>0.20900000000000299</v>
      </c>
      <c r="AD7306">
        <v>-1.110655090773</v>
      </c>
      <c r="AE7306">
        <v>10.71266</v>
      </c>
      <c r="AF7306">
        <v>-2.3568045347623499</v>
      </c>
      <c r="AG7306">
        <v>-1.110655090773</v>
      </c>
      <c r="AH7306">
        <v>10.3354888130956</v>
      </c>
      <c r="AI7306">
        <v>95.981110644726201</v>
      </c>
      <c r="AJ7306">
        <v>102.845532689084</v>
      </c>
      <c r="AK7306">
        <v>10.658818478206699</v>
      </c>
      <c r="AL7306">
        <v>66.2999356612372</v>
      </c>
      <c r="AM7306">
        <v>104.272819784492</v>
      </c>
      <c r="AN7306">
        <v>0.99999998787278399</v>
      </c>
    </row>
    <row r="7307" spans="1:40" x14ac:dyDescent="0.25">
      <c r="A7307" t="str">
        <f>"20190304164304344"</f>
        <v>20190304164304344</v>
      </c>
      <c r="B7307" t="str">
        <f>"1551688984338068"</f>
        <v>1551688984338068</v>
      </c>
      <c r="C7307" t="s">
        <v>40</v>
      </c>
      <c r="D7307">
        <v>4.6473069999999996</v>
      </c>
      <c r="E7307">
        <v>0.51397649999999995</v>
      </c>
      <c r="F7307" t="s">
        <v>42</v>
      </c>
      <c r="G7307">
        <v>-190.25030000000001</v>
      </c>
      <c r="H7307" s="1">
        <v>-4.1599720000000001E-6</v>
      </c>
      <c r="I7307">
        <v>-20.869109999999999</v>
      </c>
      <c r="J7307">
        <v>-190.37970000000001</v>
      </c>
      <c r="K7307">
        <v>1.1107229999999999</v>
      </c>
      <c r="L7307">
        <v>-31.339970000000001</v>
      </c>
      <c r="M7307">
        <v>0.24078769999999999</v>
      </c>
      <c r="N7307">
        <v>-1.0675830000000001E-2</v>
      </c>
      <c r="O7307">
        <v>0.97051909999999997</v>
      </c>
      <c r="P7307">
        <v>-1.081638E-2</v>
      </c>
      <c r="Q7307">
        <v>0.39178639999999998</v>
      </c>
      <c r="R7307">
        <v>0.91999260000000005</v>
      </c>
      <c r="S7307">
        <v>7.2906490000000004E-2</v>
      </c>
      <c r="T7307">
        <v>-0.3478733</v>
      </c>
      <c r="U7307">
        <v>3.4104920000000001</v>
      </c>
      <c r="V7307">
        <v>-0.23227049999999999</v>
      </c>
      <c r="W7307">
        <v>0.40113169999999998</v>
      </c>
      <c r="X7307">
        <v>0.88608339999999997</v>
      </c>
      <c r="Y7307">
        <v>-0.21993389999999999</v>
      </c>
      <c r="Z7307">
        <v>-8.5155700000000001E-2</v>
      </c>
      <c r="AA7307">
        <v>0.97179090000000001</v>
      </c>
      <c r="AB7307">
        <v>30</v>
      </c>
      <c r="AC7307">
        <v>0.12940000000000301</v>
      </c>
      <c r="AD7307">
        <v>-1.1107271599720001</v>
      </c>
      <c r="AE7307">
        <v>10.47086</v>
      </c>
      <c r="AF7307">
        <v>-2.36915077872077</v>
      </c>
      <c r="AG7307">
        <v>-1.1107271599720001</v>
      </c>
      <c r="AH7307">
        <v>10.0804946961557</v>
      </c>
      <c r="AI7307">
        <v>96.122320512237494</v>
      </c>
      <c r="AJ7307">
        <v>103.225814423401</v>
      </c>
      <c r="AK7307">
        <v>10.414555370030801</v>
      </c>
      <c r="AL7307">
        <v>66.351054629475598</v>
      </c>
      <c r="AM7307">
        <v>104.68855750301201</v>
      </c>
      <c r="AN7307">
        <v>1.00000000883535</v>
      </c>
    </row>
    <row r="7308" spans="1:40" x14ac:dyDescent="0.25">
      <c r="A7308" t="str">
        <f>"20190304164304365"</f>
        <v>20190304164304365</v>
      </c>
      <c r="B7308" t="str">
        <f>"1551688984358564"</f>
        <v>1551688984358564</v>
      </c>
      <c r="C7308" t="s">
        <v>40</v>
      </c>
      <c r="D7308">
        <v>4.6205259999999999</v>
      </c>
      <c r="E7308">
        <v>0.51404380000000005</v>
      </c>
      <c r="F7308" t="s">
        <v>42</v>
      </c>
      <c r="G7308">
        <v>-190.215</v>
      </c>
      <c r="H7308" s="1">
        <v>-4.2770589999999996E-6</v>
      </c>
      <c r="I7308">
        <v>-20.556930000000001</v>
      </c>
      <c r="J7308">
        <v>-190.31030000000001</v>
      </c>
      <c r="K7308">
        <v>1.110789</v>
      </c>
      <c r="L7308">
        <v>-31.058589999999999</v>
      </c>
      <c r="M7308">
        <v>0.2403295</v>
      </c>
      <c r="N7308">
        <v>-1.0638659999999999E-2</v>
      </c>
      <c r="O7308">
        <v>0.97063310000000003</v>
      </c>
      <c r="P7308">
        <v>-1.5097930000000001E-2</v>
      </c>
      <c r="Q7308">
        <v>0.3927949</v>
      </c>
      <c r="R7308">
        <v>0.91950209999999999</v>
      </c>
      <c r="S7308">
        <v>5.2093510000000003E-2</v>
      </c>
      <c r="T7308">
        <v>-0.35137020000000002</v>
      </c>
      <c r="U7308">
        <v>3.411133</v>
      </c>
      <c r="V7308">
        <v>-0.23595840000000001</v>
      </c>
      <c r="W7308">
        <v>0.40205010000000002</v>
      </c>
      <c r="X7308">
        <v>0.88469169999999997</v>
      </c>
      <c r="Y7308">
        <v>-0.22539690000000001</v>
      </c>
      <c r="Z7308">
        <v>-8.6077989999999993E-2</v>
      </c>
      <c r="AA7308">
        <v>0.97045700000000001</v>
      </c>
      <c r="AB7308">
        <v>30</v>
      </c>
      <c r="AC7308">
        <v>9.5300000000008794E-2</v>
      </c>
      <c r="AD7308">
        <v>-1.1107932770589899</v>
      </c>
      <c r="AE7308">
        <v>10.501659999999999</v>
      </c>
      <c r="AF7308">
        <v>-2.40459461481657</v>
      </c>
      <c r="AG7308">
        <v>-1.1107932770589899</v>
      </c>
      <c r="AH7308">
        <v>10.1037095550899</v>
      </c>
      <c r="AI7308">
        <v>96.104691976855705</v>
      </c>
      <c r="AJ7308">
        <v>103.38685997727001</v>
      </c>
      <c r="AK7308">
        <v>10.4451368463788</v>
      </c>
      <c r="AL7308">
        <v>66.293597834508802</v>
      </c>
      <c r="AM7308">
        <v>104.93387279058901</v>
      </c>
      <c r="AN7308">
        <v>1.00000002674472</v>
      </c>
    </row>
    <row r="7309" spans="1:40" x14ac:dyDescent="0.25">
      <c r="A7309" t="str">
        <f>"20190304164304389"</f>
        <v>20190304164304389</v>
      </c>
      <c r="B7309" t="str">
        <f>"1551688984378084"</f>
        <v>1551688984378084</v>
      </c>
      <c r="C7309" t="s">
        <v>40</v>
      </c>
      <c r="D7309">
        <v>4.634074</v>
      </c>
      <c r="E7309">
        <v>0.51416359999999905</v>
      </c>
      <c r="F7309" t="s">
        <v>42</v>
      </c>
      <c r="G7309">
        <v>-190.18700000000001</v>
      </c>
      <c r="H7309" s="1">
        <v>-1.491647E-7</v>
      </c>
      <c r="I7309">
        <v>-20.179120000000001</v>
      </c>
      <c r="J7309">
        <v>-190.23429999999999</v>
      </c>
      <c r="K7309">
        <v>1.1108789999999999</v>
      </c>
      <c r="L7309">
        <v>-30.749179999999999</v>
      </c>
      <c r="M7309">
        <v>0.23970130000000001</v>
      </c>
      <c r="N7309">
        <v>-1.060272E-2</v>
      </c>
      <c r="O7309">
        <v>0.97078880000000001</v>
      </c>
      <c r="P7309">
        <v>-1.802627E-2</v>
      </c>
      <c r="Q7309">
        <v>0.39437450000000002</v>
      </c>
      <c r="R7309">
        <v>0.91877299999999995</v>
      </c>
      <c r="S7309">
        <v>3.8696290000000001E-2</v>
      </c>
      <c r="T7309">
        <v>-0.34837190000000001</v>
      </c>
      <c r="U7309">
        <v>3.4120789999999999</v>
      </c>
      <c r="V7309">
        <v>-0.2381479</v>
      </c>
      <c r="W7309">
        <v>0.4035261</v>
      </c>
      <c r="X7309">
        <v>0.88343209999999905</v>
      </c>
      <c r="Y7309">
        <v>-0.22857749999999999</v>
      </c>
      <c r="Z7309">
        <v>-8.5252750000000002E-2</v>
      </c>
      <c r="AA7309">
        <v>0.96978569999999997</v>
      </c>
      <c r="AB7309">
        <v>30</v>
      </c>
      <c r="AC7309">
        <v>4.7299999999978498E-2</v>
      </c>
      <c r="AD7309">
        <v>-1.1108791491646901</v>
      </c>
      <c r="AE7309">
        <v>10.5700599999999</v>
      </c>
      <c r="AF7309">
        <v>-2.4606999259813498</v>
      </c>
      <c r="AG7309">
        <v>-1.1108791491646901</v>
      </c>
      <c r="AH7309">
        <v>10.160981908733</v>
      </c>
      <c r="AI7309">
        <v>96.065291275775905</v>
      </c>
      <c r="AJ7309">
        <v>103.613315179777</v>
      </c>
      <c r="AK7309">
        <v>10.5135460221265</v>
      </c>
      <c r="AL7309">
        <v>66.201202229663096</v>
      </c>
      <c r="AM7309">
        <v>105.086676509011</v>
      </c>
      <c r="AN7309">
        <v>1.00000000548301</v>
      </c>
    </row>
    <row r="7310" spans="1:40" x14ac:dyDescent="0.25">
      <c r="A7310" t="str">
        <f>"20190304164304412"</f>
        <v>20190304164304412</v>
      </c>
      <c r="B7310" t="str">
        <f>"1551688984408340"</f>
        <v>1551688984408340</v>
      </c>
      <c r="C7310" t="s">
        <v>40</v>
      </c>
      <c r="D7310">
        <v>4.8786759999999996</v>
      </c>
      <c r="E7310">
        <v>0.51474319999999996</v>
      </c>
      <c r="F7310" t="s">
        <v>42</v>
      </c>
      <c r="G7310">
        <v>-190.1456</v>
      </c>
      <c r="H7310" s="1">
        <v>-3.4258230000000002E-7</v>
      </c>
      <c r="I7310">
        <v>-19.702590000000001</v>
      </c>
      <c r="J7310">
        <v>-190.16540000000001</v>
      </c>
      <c r="K7310">
        <v>1.111011</v>
      </c>
      <c r="L7310">
        <v>-30.466740000000001</v>
      </c>
      <c r="M7310">
        <v>0.2389348</v>
      </c>
      <c r="N7310">
        <v>-1.057461E-2</v>
      </c>
      <c r="O7310">
        <v>0.97097800000000001</v>
      </c>
      <c r="P7310">
        <v>-2.096717E-2</v>
      </c>
      <c r="Q7310">
        <v>0.39519270000000001</v>
      </c>
      <c r="R7310">
        <v>0.91835889999999998</v>
      </c>
      <c r="S7310">
        <v>2.7435299999999999E-2</v>
      </c>
      <c r="T7310">
        <v>-0.343230599999999</v>
      </c>
      <c r="U7310">
        <v>3.4130859999999998</v>
      </c>
      <c r="V7310">
        <v>-0.24033650000000001</v>
      </c>
      <c r="W7310">
        <v>0.40422930000000001</v>
      </c>
      <c r="X7310">
        <v>0.88251740000000001</v>
      </c>
      <c r="Y7310">
        <v>-0.23101060000000001</v>
      </c>
      <c r="Z7310">
        <v>-8.3848099999999995E-2</v>
      </c>
      <c r="AA7310">
        <v>0.96933150000000001</v>
      </c>
      <c r="AB7310">
        <v>30</v>
      </c>
      <c r="AC7310">
        <v>1.9800000000003599E-2</v>
      </c>
      <c r="AD7310">
        <v>-1.1110113425823001</v>
      </c>
      <c r="AE7310">
        <v>10.764150000000001</v>
      </c>
      <c r="AF7310">
        <v>-2.5259384032382299</v>
      </c>
      <c r="AG7310">
        <v>-1.1110113425823001</v>
      </c>
      <c r="AH7310">
        <v>10.3468427992784</v>
      </c>
      <c r="AI7310">
        <v>95.955180274493699</v>
      </c>
      <c r="AJ7310">
        <v>103.719076707244</v>
      </c>
      <c r="AK7310">
        <v>10.7084950825631</v>
      </c>
      <c r="AL7310">
        <v>66.157158878678501</v>
      </c>
      <c r="AM7310">
        <v>105.233962774792</v>
      </c>
      <c r="AN7310">
        <v>0.99999996075674902</v>
      </c>
    </row>
    <row r="7311" spans="1:40" x14ac:dyDescent="0.25">
      <c r="A7311" t="str">
        <f>"20190304164304434"</f>
        <v>20190304164304434</v>
      </c>
      <c r="B7311" t="str">
        <f>"1551688984428531"</f>
        <v>1551688984428531</v>
      </c>
      <c r="C7311" t="s">
        <v>40</v>
      </c>
      <c r="D7311">
        <v>4.6884620000000004</v>
      </c>
      <c r="E7311">
        <v>0.54458139999999999</v>
      </c>
      <c r="F7311" t="s">
        <v>42</v>
      </c>
      <c r="G7311">
        <v>-190.09309999999999</v>
      </c>
      <c r="H7311" s="1">
        <v>-5.0544949999999995E-7</v>
      </c>
      <c r="I7311">
        <v>-19.290389999999999</v>
      </c>
      <c r="J7311">
        <v>-190.09440000000001</v>
      </c>
      <c r="K7311">
        <v>1.111205</v>
      </c>
      <c r="L7311">
        <v>-30.173950000000001</v>
      </c>
      <c r="M7311">
        <v>0.2378509</v>
      </c>
      <c r="N7311">
        <v>-1.0551339999999999E-2</v>
      </c>
      <c r="O7311">
        <v>0.97124440000000001</v>
      </c>
      <c r="P7311">
        <v>-2.4184239999999999E-2</v>
      </c>
      <c r="Q7311">
        <v>0.39476250000000002</v>
      </c>
      <c r="R7311">
        <v>0.91846490000000003</v>
      </c>
      <c r="S7311">
        <v>2.207947E-2</v>
      </c>
      <c r="T7311">
        <v>-0.33929809999999999</v>
      </c>
      <c r="U7311">
        <v>3.413208</v>
      </c>
      <c r="V7311">
        <v>-0.2427001</v>
      </c>
      <c r="W7311">
        <v>0.40364879999999997</v>
      </c>
      <c r="X7311">
        <v>0.88213619999999904</v>
      </c>
      <c r="Y7311">
        <v>-0.23144709999999999</v>
      </c>
      <c r="Z7311">
        <v>-8.2828589999999994E-2</v>
      </c>
      <c r="AA7311">
        <v>0.96931509999999999</v>
      </c>
      <c r="AB7311">
        <v>30</v>
      </c>
      <c r="AC7311">
        <v>1.3000000000147299E-3</v>
      </c>
      <c r="AD7311">
        <v>-1.1112055054495</v>
      </c>
      <c r="AE7311">
        <v>10.883559999999999</v>
      </c>
      <c r="AF7311">
        <v>-2.5608508074083902</v>
      </c>
      <c r="AG7311">
        <v>-1.1112055054495</v>
      </c>
      <c r="AH7311">
        <v>10.462430550290501</v>
      </c>
      <c r="AI7311">
        <v>95.890012018217107</v>
      </c>
      <c r="AJ7311">
        <v>103.753670231969</v>
      </c>
      <c r="AK7311">
        <v>10.828443450136101</v>
      </c>
      <c r="AL7311">
        <v>66.193517917066302</v>
      </c>
      <c r="AM7311">
        <v>105.383053048535</v>
      </c>
      <c r="AN7311">
        <v>0.99999998381594402</v>
      </c>
    </row>
    <row r="7312" spans="1:40" x14ac:dyDescent="0.25">
      <c r="A7312" t="str">
        <f>"20190304164304454"</f>
        <v>20190304164304454</v>
      </c>
      <c r="B7312" t="str">
        <f>"1551688984448051"</f>
        <v>1551688984448051</v>
      </c>
      <c r="C7312" t="s">
        <v>40</v>
      </c>
      <c r="D7312">
        <v>4.6892769999999997</v>
      </c>
      <c r="E7312">
        <v>0.54601529999999998</v>
      </c>
      <c r="F7312" t="s">
        <v>42</v>
      </c>
      <c r="G7312">
        <v>-189.4239</v>
      </c>
      <c r="H7312" s="1">
        <v>-4.164664E-6</v>
      </c>
      <c r="I7312">
        <v>-20.897490000000001</v>
      </c>
      <c r="J7312">
        <v>-190.02850000000001</v>
      </c>
      <c r="K7312">
        <v>1.111461</v>
      </c>
      <c r="L7312">
        <v>-29.899629999999998</v>
      </c>
      <c r="M7312">
        <v>0.23648839999999999</v>
      </c>
      <c r="N7312">
        <v>-1.053903E-2</v>
      </c>
      <c r="O7312">
        <v>0.97157720000000003</v>
      </c>
      <c r="P7312">
        <v>-2.648532E-2</v>
      </c>
      <c r="Q7312">
        <v>0.3935883</v>
      </c>
      <c r="R7312">
        <v>0.91890519999999998</v>
      </c>
      <c r="S7312">
        <v>0.24940490000000001</v>
      </c>
      <c r="T7312">
        <v>-0.41333249999999999</v>
      </c>
      <c r="U7312">
        <v>3.4505309999999998</v>
      </c>
      <c r="V7312">
        <v>-0.24405589999999999</v>
      </c>
      <c r="W7312">
        <v>0.40230589999999999</v>
      </c>
      <c r="X7312">
        <v>0.88237559999999904</v>
      </c>
      <c r="Y7312">
        <v>-0.166104</v>
      </c>
      <c r="Z7312">
        <v>-0.10255350000000001</v>
      </c>
      <c r="AA7312">
        <v>0.98076110000000005</v>
      </c>
      <c r="AB7312">
        <v>30</v>
      </c>
      <c r="AC7312">
        <v>0.60460000000000402</v>
      </c>
      <c r="AD7312">
        <v>-1.1114651646639999</v>
      </c>
      <c r="AE7312">
        <v>9.00213999999999</v>
      </c>
      <c r="AF7312">
        <v>-1.51852710867847</v>
      </c>
      <c r="AG7312">
        <v>-1.1114651646639999</v>
      </c>
      <c r="AH7312">
        <v>8.7568576814342798</v>
      </c>
      <c r="AI7312">
        <v>97.1283288955334</v>
      </c>
      <c r="AJ7312">
        <v>99.837831115575099</v>
      </c>
      <c r="AK7312">
        <v>8.95677597380595</v>
      </c>
      <c r="AL7312">
        <v>66.2775894529277</v>
      </c>
      <c r="AM7312">
        <v>105.460889836421</v>
      </c>
      <c r="AN7312">
        <v>1.0000000094874899</v>
      </c>
    </row>
    <row r="7313" spans="1:40" x14ac:dyDescent="0.25">
      <c r="A7313" t="str">
        <f>"20190304164304478"</f>
        <v>20190304164304478</v>
      </c>
      <c r="B7313" t="str">
        <f>"1551688984468549"</f>
        <v>1551688984468549</v>
      </c>
      <c r="C7313" t="s">
        <v>40</v>
      </c>
      <c r="D7313">
        <v>4.719322</v>
      </c>
      <c r="E7313">
        <v>0.5463249</v>
      </c>
      <c r="F7313" t="s">
        <v>42</v>
      </c>
      <c r="G7313">
        <v>-189.32650000000001</v>
      </c>
      <c r="H7313" s="1">
        <v>-4.3876579999999996E-6</v>
      </c>
      <c r="I7313">
        <v>-20.417960000000001</v>
      </c>
      <c r="J7313">
        <v>-189.958</v>
      </c>
      <c r="K7313">
        <v>1.111831</v>
      </c>
      <c r="L7313">
        <v>-29.601780000000002</v>
      </c>
      <c r="M7313">
        <v>0.2345728</v>
      </c>
      <c r="N7313">
        <v>-1.054153E-2</v>
      </c>
      <c r="O7313">
        <v>0.97204140000000006</v>
      </c>
      <c r="P7313">
        <v>-2.7710559999999999E-2</v>
      </c>
      <c r="Q7313">
        <v>0.39489619999999998</v>
      </c>
      <c r="R7313">
        <v>0.91830780000000001</v>
      </c>
      <c r="S7313">
        <v>0.25508120000000001</v>
      </c>
      <c r="T7313">
        <v>-0.40383950000000002</v>
      </c>
      <c r="U7313">
        <v>3.445068</v>
      </c>
      <c r="V7313">
        <v>-0.24370839999999999</v>
      </c>
      <c r="W7313">
        <v>0.40340399999999998</v>
      </c>
      <c r="X7313">
        <v>0.88197019999999904</v>
      </c>
      <c r="Y7313">
        <v>-0.16242789999999999</v>
      </c>
      <c r="Z7313">
        <v>-0.1002725</v>
      </c>
      <c r="AA7313">
        <v>0.98161229999999999</v>
      </c>
      <c r="AB7313">
        <v>30</v>
      </c>
      <c r="AC7313">
        <v>0.63149999999998796</v>
      </c>
      <c r="AD7313">
        <v>-1.1118353876580001</v>
      </c>
      <c r="AE7313">
        <v>9.1838199999999901</v>
      </c>
      <c r="AF7313">
        <v>-1.5183664063631599</v>
      </c>
      <c r="AG7313">
        <v>-1.1118353876580001</v>
      </c>
      <c r="AH7313">
        <v>8.9452006738116907</v>
      </c>
      <c r="AI7313">
        <v>96.986267452748095</v>
      </c>
      <c r="AJ7313">
        <v>99.633616300093607</v>
      </c>
      <c r="AK7313">
        <v>9.1410190661644393</v>
      </c>
      <c r="AL7313">
        <v>66.208847896381499</v>
      </c>
      <c r="AM7313">
        <v>105.446685010538</v>
      </c>
      <c r="AN7313">
        <v>1.0000000025672999</v>
      </c>
    </row>
    <row r="7314" spans="1:40" x14ac:dyDescent="0.25">
      <c r="A7314" t="str">
        <f>"20190304164304500"</f>
        <v>20190304164304500</v>
      </c>
      <c r="B7314" t="str">
        <f>"1551688984488067"</f>
        <v>1551688984488067</v>
      </c>
      <c r="C7314" t="s">
        <v>40</v>
      </c>
      <c r="D7314">
        <v>4.6661650000000003</v>
      </c>
      <c r="E7314">
        <v>0.54659979999999997</v>
      </c>
      <c r="F7314" t="s">
        <v>42</v>
      </c>
      <c r="G7314">
        <v>-189.25020000000001</v>
      </c>
      <c r="H7314" s="1">
        <v>-3.509209E-7</v>
      </c>
      <c r="I7314">
        <v>-19.907</v>
      </c>
      <c r="J7314">
        <v>-189.8895</v>
      </c>
      <c r="K7314">
        <v>1.1122339999999999</v>
      </c>
      <c r="L7314">
        <v>-29.307559999999999</v>
      </c>
      <c r="M7314">
        <v>0.23218449999999999</v>
      </c>
      <c r="N7314">
        <v>-1.056171E-2</v>
      </c>
      <c r="O7314">
        <v>0.97261439999999999</v>
      </c>
      <c r="P7314">
        <v>-2.9261120000000002E-2</v>
      </c>
      <c r="Q7314">
        <v>0.39595979999999997</v>
      </c>
      <c r="R7314">
        <v>0.9178016</v>
      </c>
      <c r="S7314">
        <v>0.25148009999999998</v>
      </c>
      <c r="T7314">
        <v>-0.39500879999999999</v>
      </c>
      <c r="U7314">
        <v>3.4443359999999998</v>
      </c>
      <c r="V7314">
        <v>-0.24330579999999999</v>
      </c>
      <c r="W7314">
        <v>0.40425630000000001</v>
      </c>
      <c r="X7314">
        <v>0.881691</v>
      </c>
      <c r="Y7314">
        <v>-0.16099579999999999</v>
      </c>
      <c r="Z7314">
        <v>-9.7996009999999995E-2</v>
      </c>
      <c r="AA7314">
        <v>0.98207800000000001</v>
      </c>
      <c r="AB7314">
        <v>30</v>
      </c>
      <c r="AC7314">
        <v>0.63929999999999099</v>
      </c>
      <c r="AD7314">
        <v>-1.1122343509208901</v>
      </c>
      <c r="AE7314">
        <v>9.4005600000000005</v>
      </c>
      <c r="AF7314">
        <v>-1.5395072693845899</v>
      </c>
      <c r="AG7314">
        <v>-1.1122343509208901</v>
      </c>
      <c r="AH7314">
        <v>9.1643760187644592</v>
      </c>
      <c r="AI7314">
        <v>96.8251465228564</v>
      </c>
      <c r="AJ7314">
        <v>99.535979671521901</v>
      </c>
      <c r="AK7314">
        <v>9.3591097705477093</v>
      </c>
      <c r="AL7314">
        <v>66.155467113867701</v>
      </c>
      <c r="AM7314">
        <v>105.427034341363</v>
      </c>
      <c r="AN7314">
        <v>0.99999994394216296</v>
      </c>
    </row>
    <row r="7315" spans="1:40" x14ac:dyDescent="0.25">
      <c r="A7315" t="str">
        <f>"20190304164304523"</f>
        <v>20190304164304523</v>
      </c>
      <c r="B7315" t="str">
        <f>"1551688984518402"</f>
        <v>1551688984518402</v>
      </c>
      <c r="C7315" t="s">
        <v>40</v>
      </c>
      <c r="D7315">
        <v>4.6447949999999896</v>
      </c>
      <c r="E7315">
        <v>0.54704299999999995</v>
      </c>
      <c r="F7315" t="s">
        <v>42</v>
      </c>
      <c r="G7315">
        <v>-189.19110000000001</v>
      </c>
      <c r="H7315" s="1">
        <v>-5.0715069999999998E-7</v>
      </c>
      <c r="I7315">
        <v>-19.51951</v>
      </c>
      <c r="J7315">
        <v>-189.8244</v>
      </c>
      <c r="K7315">
        <v>1.112617</v>
      </c>
      <c r="L7315">
        <v>-29.022549999999999</v>
      </c>
      <c r="M7315">
        <v>0.2293663</v>
      </c>
      <c r="N7315">
        <v>-1.060168E-2</v>
      </c>
      <c r="O7315">
        <v>0.97328250000000005</v>
      </c>
      <c r="P7315">
        <v>-3.2081020000000002E-2</v>
      </c>
      <c r="Q7315">
        <v>0.39443129999999998</v>
      </c>
      <c r="R7315">
        <v>0.91836519999999999</v>
      </c>
      <c r="S7315">
        <v>0.24583440000000001</v>
      </c>
      <c r="T7315">
        <v>-0.39151130000000001</v>
      </c>
      <c r="U7315">
        <v>3.4454349999999998</v>
      </c>
      <c r="V7315">
        <v>-0.24398210000000001</v>
      </c>
      <c r="W7315">
        <v>0.40254119999999999</v>
      </c>
      <c r="X7315">
        <v>0.88228869999999904</v>
      </c>
      <c r="Y7315">
        <v>-0.1597557</v>
      </c>
      <c r="Z7315">
        <v>-9.7100350000000002E-2</v>
      </c>
      <c r="AA7315">
        <v>0.98236939999999995</v>
      </c>
      <c r="AB7315">
        <v>30</v>
      </c>
      <c r="AC7315">
        <v>0.63329999999999098</v>
      </c>
      <c r="AD7315">
        <v>-1.1126175071506901</v>
      </c>
      <c r="AE7315">
        <v>9.5030400000000004</v>
      </c>
      <c r="AF7315">
        <v>-1.54233657503947</v>
      </c>
      <c r="AG7315">
        <v>-1.1126175071506901</v>
      </c>
      <c r="AH7315">
        <v>9.2684397830712992</v>
      </c>
      <c r="AI7315">
        <v>96.753250133666498</v>
      </c>
      <c r="AJ7315">
        <v>99.447865844396205</v>
      </c>
      <c r="AK7315">
        <v>9.4615377101368399</v>
      </c>
      <c r="AL7315">
        <v>66.262862834847994</v>
      </c>
      <c r="AM7315">
        <v>105.45788775879601</v>
      </c>
      <c r="AN7315">
        <v>1.00000001648276</v>
      </c>
    </row>
    <row r="7316" spans="1:40" x14ac:dyDescent="0.25">
      <c r="A7316" t="str">
        <f>"20190304164304544"</f>
        <v>20190304164304544</v>
      </c>
      <c r="B7316" t="str">
        <f>"1551688984537922"</f>
        <v>1551688984537922</v>
      </c>
      <c r="C7316" t="s">
        <v>40</v>
      </c>
      <c r="D7316">
        <v>4.9533769999999997</v>
      </c>
      <c r="E7316">
        <v>0.54720029999999997</v>
      </c>
      <c r="F7316" t="s">
        <v>42</v>
      </c>
      <c r="G7316">
        <v>-189.17080000000001</v>
      </c>
      <c r="H7316" s="1">
        <v>-4.6193950000000001E-7</v>
      </c>
      <c r="I7316">
        <v>-19.642849999999999</v>
      </c>
      <c r="J7316">
        <v>-189.7602</v>
      </c>
      <c r="K7316">
        <v>1.1129910000000001</v>
      </c>
      <c r="L7316">
        <v>-28.73517</v>
      </c>
      <c r="M7316">
        <v>0.22602649999999999</v>
      </c>
      <c r="N7316">
        <v>-1.06645E-2</v>
      </c>
      <c r="O7316">
        <v>0.97406280000000001</v>
      </c>
      <c r="P7316">
        <v>-3.5643080000000001E-2</v>
      </c>
      <c r="Q7316">
        <v>0.3932137</v>
      </c>
      <c r="R7316">
        <v>0.91875600000000002</v>
      </c>
      <c r="S7316">
        <v>0.24047850000000001</v>
      </c>
      <c r="T7316">
        <v>-0.4093446</v>
      </c>
      <c r="U7316">
        <v>3.4508969999999999</v>
      </c>
      <c r="V7316">
        <v>-0.24485509999999999</v>
      </c>
      <c r="W7316">
        <v>0.40115879999999998</v>
      </c>
      <c r="X7316">
        <v>0.88267640000000003</v>
      </c>
      <c r="Y7316">
        <v>-0.15802629999999901</v>
      </c>
      <c r="Z7316">
        <v>-0.1018584</v>
      </c>
      <c r="AA7316">
        <v>0.98216720000000002</v>
      </c>
      <c r="AB7316">
        <v>30</v>
      </c>
      <c r="AC7316">
        <v>0.58939999999998305</v>
      </c>
      <c r="AD7316">
        <v>-1.1129914619395</v>
      </c>
      <c r="AE7316">
        <v>9.0923199999999902</v>
      </c>
      <c r="AF7316">
        <v>-1.45930183798026</v>
      </c>
      <c r="AG7316">
        <v>-1.1129914619395</v>
      </c>
      <c r="AH7316">
        <v>8.8580462054364002</v>
      </c>
      <c r="AI7316">
        <v>97.067263234052703</v>
      </c>
      <c r="AJ7316">
        <v>99.355054362653505</v>
      </c>
      <c r="AK7316">
        <v>9.0461756796078792</v>
      </c>
      <c r="AL7316">
        <v>66.349359705667297</v>
      </c>
      <c r="AM7316">
        <v>105.504054654711</v>
      </c>
      <c r="AN7316">
        <v>1.0000000149652</v>
      </c>
    </row>
    <row r="7317" spans="1:40" x14ac:dyDescent="0.25">
      <c r="A7317" t="str">
        <f>"20190304164304567"</f>
        <v>20190304164304567</v>
      </c>
      <c r="B7317" t="str">
        <f>"1551688984558418"</f>
        <v>1551688984558418</v>
      </c>
      <c r="C7317" t="s">
        <v>40</v>
      </c>
      <c r="D7317">
        <v>4.6423439999999996</v>
      </c>
      <c r="E7317">
        <v>0.54739740000000003</v>
      </c>
      <c r="F7317" t="s">
        <v>42</v>
      </c>
      <c r="G7317">
        <v>-189.1294</v>
      </c>
      <c r="H7317" s="1">
        <v>-5.8061809999999895E-7</v>
      </c>
      <c r="I7317">
        <v>-19.37378</v>
      </c>
      <c r="J7317">
        <v>-189.69579999999999</v>
      </c>
      <c r="K7317">
        <v>1.113327</v>
      </c>
      <c r="L7317">
        <v>-28.44012</v>
      </c>
      <c r="M7317">
        <v>0.22219949999999999</v>
      </c>
      <c r="N7317">
        <v>-1.073905E-2</v>
      </c>
      <c r="O7317">
        <v>0.97494210000000003</v>
      </c>
      <c r="P7317">
        <v>-3.902394E-2</v>
      </c>
      <c r="Q7317">
        <v>0.39381579999999999</v>
      </c>
      <c r="R7317">
        <v>0.91836070000000003</v>
      </c>
      <c r="S7317">
        <v>0.2324677</v>
      </c>
      <c r="T7317">
        <v>-0.41015950000000001</v>
      </c>
      <c r="U7317">
        <v>3.4498600000000001</v>
      </c>
      <c r="V7317">
        <v>-0.24490729999999999</v>
      </c>
      <c r="W7317">
        <v>0.40162920000000002</v>
      </c>
      <c r="X7317">
        <v>0.88244800000000001</v>
      </c>
      <c r="Y7317">
        <v>-0.1564005</v>
      </c>
      <c r="Z7317">
        <v>-0.10221330000000001</v>
      </c>
      <c r="AA7317">
        <v>0.9823906</v>
      </c>
      <c r="AB7317">
        <v>30</v>
      </c>
      <c r="AC7317">
        <v>0.56639999999998702</v>
      </c>
      <c r="AD7317">
        <v>-1.1133275806181</v>
      </c>
      <c r="AE7317">
        <v>9.0663400000000003</v>
      </c>
      <c r="AF7317">
        <v>-1.44077190209401</v>
      </c>
      <c r="AG7317">
        <v>-1.1133275806181</v>
      </c>
      <c r="AH7317">
        <v>8.8328515262666691</v>
      </c>
      <c r="AI7317">
        <v>97.091159475110203</v>
      </c>
      <c r="AJ7317">
        <v>99.264221639967502</v>
      </c>
      <c r="AK7317">
        <v>9.0185690694643998</v>
      </c>
      <c r="AL7317">
        <v>66.319933695851702</v>
      </c>
      <c r="AM7317">
        <v>105.51102130657701</v>
      </c>
      <c r="AN7317">
        <v>1.0000000362949599</v>
      </c>
    </row>
    <row r="7318" spans="1:40" x14ac:dyDescent="0.25">
      <c r="A7318" t="str">
        <f>"20190304164304589"</f>
        <v>20190304164304589</v>
      </c>
      <c r="B7318" t="str">
        <f>"1551688984577938"</f>
        <v>1551688984577938</v>
      </c>
      <c r="C7318" t="s">
        <v>40</v>
      </c>
      <c r="D7318">
        <v>4.638363</v>
      </c>
      <c r="E7318">
        <v>0.5474812</v>
      </c>
      <c r="F7318" t="s">
        <v>42</v>
      </c>
      <c r="G7318">
        <v>-189.08590000000001</v>
      </c>
      <c r="H7318" s="1">
        <v>-7.4688769999999995E-7</v>
      </c>
      <c r="I7318">
        <v>-19.004180000000002</v>
      </c>
      <c r="J7318">
        <v>-189.63470000000001</v>
      </c>
      <c r="K7318">
        <v>1.113612</v>
      </c>
      <c r="L7318">
        <v>-28.153320000000001</v>
      </c>
      <c r="M7318">
        <v>0.218136</v>
      </c>
      <c r="N7318">
        <v>-1.082254E-2</v>
      </c>
      <c r="O7318">
        <v>0.97585840000000001</v>
      </c>
      <c r="P7318">
        <v>-4.1307549999999998E-2</v>
      </c>
      <c r="Q7318">
        <v>0.39466279999999998</v>
      </c>
      <c r="R7318">
        <v>0.91789699999999996</v>
      </c>
      <c r="S7318">
        <v>0.22303770000000001</v>
      </c>
      <c r="T7318">
        <v>-0.40714600000000001</v>
      </c>
      <c r="U7318">
        <v>3.4507449999999902</v>
      </c>
      <c r="V7318">
        <v>-0.24362149999999999</v>
      </c>
      <c r="W7318">
        <v>0.40239370000000002</v>
      </c>
      <c r="X7318">
        <v>0.88245560000000001</v>
      </c>
      <c r="Y7318">
        <v>-0.15497139999999901</v>
      </c>
      <c r="Z7318">
        <v>-0.10146189999999999</v>
      </c>
      <c r="AA7318">
        <v>0.98269490000000004</v>
      </c>
      <c r="AB7318">
        <v>30</v>
      </c>
      <c r="AC7318">
        <v>0.54879999999999995</v>
      </c>
      <c r="AD7318">
        <v>-1.1136127468877</v>
      </c>
      <c r="AE7318">
        <v>9.1491399999999992</v>
      </c>
      <c r="AF7318">
        <v>-1.43904783033595</v>
      </c>
      <c r="AG7318">
        <v>-1.1136127468877</v>
      </c>
      <c r="AH7318">
        <v>8.9168760408458194</v>
      </c>
      <c r="AI7318">
        <v>97.028694287981693</v>
      </c>
      <c r="AJ7318">
        <v>99.167620205617794</v>
      </c>
      <c r="AK7318">
        <v>9.1006412046534209</v>
      </c>
      <c r="AL7318">
        <v>66.272094381597199</v>
      </c>
      <c r="AM7318">
        <v>105.43335139651199</v>
      </c>
      <c r="AN7318">
        <v>1.00000000551665</v>
      </c>
    </row>
    <row r="7319" spans="1:40" x14ac:dyDescent="0.25">
      <c r="A7319" t="str">
        <f>"20190304164304611"</f>
        <v>20190304164304611</v>
      </c>
      <c r="B7319" t="str">
        <f>"1551688984598434"</f>
        <v>1551688984598434</v>
      </c>
      <c r="C7319" t="s">
        <v>40</v>
      </c>
      <c r="D7319">
        <v>4.6536010000000001</v>
      </c>
      <c r="E7319">
        <v>0.54775119999999999</v>
      </c>
      <c r="F7319" t="s">
        <v>42</v>
      </c>
      <c r="G7319">
        <v>-189.04679999999999</v>
      </c>
      <c r="H7319" s="1">
        <v>-9.1217980000000002E-7</v>
      </c>
      <c r="I7319">
        <v>-18.635020000000001</v>
      </c>
      <c r="J7319">
        <v>-189.57679999999999</v>
      </c>
      <c r="K7319">
        <v>1.113874</v>
      </c>
      <c r="L7319">
        <v>-27.874269999999999</v>
      </c>
      <c r="M7319">
        <v>0.21387880000000001</v>
      </c>
      <c r="N7319">
        <v>-1.091807E-2</v>
      </c>
      <c r="O7319">
        <v>0.97679919999999998</v>
      </c>
      <c r="P7319">
        <v>-4.368611E-2</v>
      </c>
      <c r="Q7319">
        <v>0.39377810000000002</v>
      </c>
      <c r="R7319">
        <v>0.91816679999999995</v>
      </c>
      <c r="S7319">
        <v>0.2131653</v>
      </c>
      <c r="T7319">
        <v>-0.40382309999999999</v>
      </c>
      <c r="U7319">
        <v>3.4515690000000001</v>
      </c>
      <c r="V7319">
        <v>-0.24237410000000001</v>
      </c>
      <c r="W7319">
        <v>0.40146490000000001</v>
      </c>
      <c r="X7319">
        <v>0.883221699999999</v>
      </c>
      <c r="Y7319">
        <v>-0.15347379999999999</v>
      </c>
      <c r="Z7319">
        <v>-0.10061829999999999</v>
      </c>
      <c r="AA7319">
        <v>0.98301669999999997</v>
      </c>
      <c r="AB7319">
        <v>30</v>
      </c>
      <c r="AC7319">
        <v>0.53000000000000103</v>
      </c>
      <c r="AD7319">
        <v>-1.1138749121797999</v>
      </c>
      <c r="AE7319">
        <v>9.2392500000000002</v>
      </c>
      <c r="AF7319">
        <v>-1.4376362822314801</v>
      </c>
      <c r="AG7319">
        <v>-1.1138749121797999</v>
      </c>
      <c r="AH7319">
        <v>9.0082910105203897</v>
      </c>
      <c r="AI7319">
        <v>96.961627770640007</v>
      </c>
      <c r="AJ7319">
        <v>99.067389903378398</v>
      </c>
      <c r="AK7319">
        <v>9.1900392997089195</v>
      </c>
      <c r="AL7319">
        <v>66.330209569937793</v>
      </c>
      <c r="AM7319">
        <v>105.345375757181</v>
      </c>
      <c r="AN7319">
        <v>0.99999992081685096</v>
      </c>
    </row>
    <row r="7320" spans="1:40" x14ac:dyDescent="0.25">
      <c r="A7320" t="str">
        <f>"20190304164304635"</f>
        <v>20190304164304635</v>
      </c>
      <c r="B7320" t="str">
        <f>"1551688984628690"</f>
        <v>1551688984628690</v>
      </c>
      <c r="C7320" t="s">
        <v>40</v>
      </c>
      <c r="D7320">
        <v>4.6386279999999998</v>
      </c>
      <c r="E7320">
        <v>0.54808480000000004</v>
      </c>
      <c r="F7320" t="s">
        <v>42</v>
      </c>
      <c r="G7320">
        <v>-189.02760000000001</v>
      </c>
      <c r="H7320" s="1">
        <v>-9.4224319999999996E-7</v>
      </c>
      <c r="I7320">
        <v>-18.572880000000001</v>
      </c>
      <c r="J7320">
        <v>-189.51169999999999</v>
      </c>
      <c r="K7320">
        <v>1.1141620000000001</v>
      </c>
      <c r="L7320">
        <v>-27.551819999999999</v>
      </c>
      <c r="M7320">
        <v>0.2086218</v>
      </c>
      <c r="N7320">
        <v>-1.104515E-2</v>
      </c>
      <c r="O7320">
        <v>0.97793399999999997</v>
      </c>
      <c r="P7320">
        <v>-4.7053209999999998E-2</v>
      </c>
      <c r="Q7320">
        <v>0.39145419999999997</v>
      </c>
      <c r="R7320">
        <v>0.91899379999999997</v>
      </c>
      <c r="S7320">
        <v>0.2039337</v>
      </c>
      <c r="T7320">
        <v>-0.41368840000000001</v>
      </c>
      <c r="U7320">
        <v>3.4544980000000001</v>
      </c>
      <c r="V7320">
        <v>-0.24131520000000001</v>
      </c>
      <c r="W7320">
        <v>0.39911580000000002</v>
      </c>
      <c r="X7320">
        <v>0.88457540000000001</v>
      </c>
      <c r="Y7320">
        <v>-0.1508418</v>
      </c>
      <c r="Z7320">
        <v>-0.1033139</v>
      </c>
      <c r="AA7320">
        <v>0.98314449999999998</v>
      </c>
      <c r="AB7320">
        <v>30</v>
      </c>
      <c r="AC7320">
        <v>0.48409999999998299</v>
      </c>
      <c r="AD7320">
        <v>-1.1141629422432</v>
      </c>
      <c r="AE7320">
        <v>8.9789399999999997</v>
      </c>
      <c r="AF7320">
        <v>-1.3787032837394899</v>
      </c>
      <c r="AG7320">
        <v>-1.1141629422432</v>
      </c>
      <c r="AH7320">
        <v>8.7480398960311501</v>
      </c>
      <c r="AI7320">
        <v>97.170627958939903</v>
      </c>
      <c r="AJ7320">
        <v>98.956227402506002</v>
      </c>
      <c r="AK7320">
        <v>8.9258267868592895</v>
      </c>
      <c r="AL7320">
        <v>66.477086573330993</v>
      </c>
      <c r="AM7320">
        <v>105.25917983331701</v>
      </c>
      <c r="AN7320">
        <v>1.0000000429229099</v>
      </c>
    </row>
    <row r="7321" spans="1:40" x14ac:dyDescent="0.25">
      <c r="A7321" t="str">
        <f>"20190304164304656"</f>
        <v>20190304164304656</v>
      </c>
      <c r="B7321" t="str">
        <f>"1551688984648210"</f>
        <v>1551688984648210</v>
      </c>
      <c r="C7321" t="s">
        <v>40</v>
      </c>
      <c r="D7321">
        <v>4.8066329999999997</v>
      </c>
      <c r="E7321">
        <v>0.54830469999999998</v>
      </c>
      <c r="F7321" t="s">
        <v>42</v>
      </c>
      <c r="G7321">
        <v>-189.0121</v>
      </c>
      <c r="H7321" s="1">
        <v>-9.3628970000000005E-7</v>
      </c>
      <c r="I7321">
        <v>-18.59318</v>
      </c>
      <c r="J7321">
        <v>-189.45920000000001</v>
      </c>
      <c r="K7321">
        <v>1.1143940000000001</v>
      </c>
      <c r="L7321">
        <v>-27.283329999999999</v>
      </c>
      <c r="M7321">
        <v>0.20400370000000001</v>
      </c>
      <c r="N7321">
        <v>-1.116236E-2</v>
      </c>
      <c r="O7321">
        <v>0.97890650000000001</v>
      </c>
      <c r="P7321">
        <v>-5.0460419999999999E-2</v>
      </c>
      <c r="Q7321">
        <v>0.38923259999999998</v>
      </c>
      <c r="R7321">
        <v>0.91975640000000003</v>
      </c>
      <c r="S7321">
        <v>0.19281010000000001</v>
      </c>
      <c r="T7321">
        <v>-0.42999510000000002</v>
      </c>
      <c r="U7321">
        <v>3.4574579999999999</v>
      </c>
      <c r="V7321">
        <v>-0.24080260000000001</v>
      </c>
      <c r="W7321">
        <v>0.39688839999999997</v>
      </c>
      <c r="X7321">
        <v>0.88571650000000002</v>
      </c>
      <c r="Y7321">
        <v>-0.14940000000000001</v>
      </c>
      <c r="Z7321">
        <v>-0.1077375</v>
      </c>
      <c r="AA7321">
        <v>0.98288980000000004</v>
      </c>
      <c r="AB7321">
        <v>30</v>
      </c>
      <c r="AC7321">
        <v>0.44710000000000599</v>
      </c>
      <c r="AD7321">
        <v>-1.1143949362896901</v>
      </c>
      <c r="AE7321">
        <v>8.6901499999999992</v>
      </c>
      <c r="AF7321">
        <v>-1.3136907094701999</v>
      </c>
      <c r="AG7321">
        <v>-1.1143949362896901</v>
      </c>
      <c r="AH7321">
        <v>8.4598383786270492</v>
      </c>
      <c r="AI7321">
        <v>97.416356777283298</v>
      </c>
      <c r="AJ7321">
        <v>98.826709615020604</v>
      </c>
      <c r="AK7321">
        <v>8.6334538133164003</v>
      </c>
      <c r="AL7321">
        <v>66.616199266877004</v>
      </c>
      <c r="AM7321">
        <v>105.20956312044299</v>
      </c>
      <c r="AN7321">
        <v>1.00000000629678</v>
      </c>
    </row>
    <row r="7322" spans="1:40" x14ac:dyDescent="0.25">
      <c r="A7322" t="str">
        <f>"20190304164304678"</f>
        <v>20190304164304678</v>
      </c>
      <c r="B7322" t="str">
        <f>"1551688984668706"</f>
        <v>1551688984668706</v>
      </c>
      <c r="C7322" t="s">
        <v>40</v>
      </c>
      <c r="D7322">
        <v>4.6483759999999998</v>
      </c>
      <c r="E7322">
        <v>0.54853099999999999</v>
      </c>
      <c r="F7322" t="s">
        <v>42</v>
      </c>
      <c r="G7322">
        <v>-188.99510000000001</v>
      </c>
      <c r="H7322" s="1">
        <v>-9.716836999999999E-7</v>
      </c>
      <c r="I7322">
        <v>-18.517690000000002</v>
      </c>
      <c r="J7322">
        <v>-189.40280000000001</v>
      </c>
      <c r="K7322">
        <v>1.114635</v>
      </c>
      <c r="L7322">
        <v>-26.985810000000001</v>
      </c>
      <c r="M7322">
        <v>0.19867299999999999</v>
      </c>
      <c r="N7322">
        <v>-1.129809E-2</v>
      </c>
      <c r="O7322">
        <v>0.98000069999999995</v>
      </c>
      <c r="P7322">
        <v>-5.4764119999999999E-2</v>
      </c>
      <c r="Q7322">
        <v>0.38765899999999998</v>
      </c>
      <c r="R7322">
        <v>0.92017470000000001</v>
      </c>
      <c r="S7322">
        <v>0.18307499999999999</v>
      </c>
      <c r="T7322">
        <v>-0.43960110000000002</v>
      </c>
      <c r="U7322">
        <v>3.4578250000000001</v>
      </c>
      <c r="V7322">
        <v>-0.2404578</v>
      </c>
      <c r="W7322">
        <v>0.39531870000000002</v>
      </c>
      <c r="X7322">
        <v>0.88651179999999996</v>
      </c>
      <c r="Y7322">
        <v>-0.14679700000000001</v>
      </c>
      <c r="Z7322">
        <v>-0.1104406</v>
      </c>
      <c r="AA7322">
        <v>0.98298189999999996</v>
      </c>
      <c r="AB7322">
        <v>30</v>
      </c>
      <c r="AC7322">
        <v>0.407700000000005</v>
      </c>
      <c r="AD7322">
        <v>-1.1146359716837</v>
      </c>
      <c r="AE7322">
        <v>8.4681199999999901</v>
      </c>
      <c r="AF7322">
        <v>-1.2611230402643401</v>
      </c>
      <c r="AG7322">
        <v>-1.1146359716837</v>
      </c>
      <c r="AH7322">
        <v>8.23789973380471</v>
      </c>
      <c r="AI7322">
        <v>97.617967195246493</v>
      </c>
      <c r="AJ7322">
        <v>98.703719023197394</v>
      </c>
      <c r="AK7322">
        <v>8.4080816299722407</v>
      </c>
      <c r="AL7322">
        <v>66.714147952017797</v>
      </c>
      <c r="AM7322">
        <v>105.175794240153</v>
      </c>
      <c r="AN7322">
        <v>0.99999999984488497</v>
      </c>
    </row>
    <row r="7323" spans="1:40" x14ac:dyDescent="0.25">
      <c r="A7323" t="str">
        <f>"20190304164304702"</f>
        <v>20190304164304702</v>
      </c>
      <c r="B7323" t="str">
        <f>"1551688984698962"</f>
        <v>1551688984698962</v>
      </c>
      <c r="C7323" t="s">
        <v>40</v>
      </c>
      <c r="D7323">
        <v>4.6733099999999999</v>
      </c>
      <c r="E7323">
        <v>0.54885169999999905</v>
      </c>
      <c r="F7323" t="s">
        <v>42</v>
      </c>
      <c r="G7323">
        <v>-188.9752</v>
      </c>
      <c r="H7323" s="1">
        <v>-1.061941E-6</v>
      </c>
      <c r="I7323">
        <v>-18.315550000000002</v>
      </c>
      <c r="J7323">
        <v>-189.34620000000001</v>
      </c>
      <c r="K7323">
        <v>1.1148389999999999</v>
      </c>
      <c r="L7323">
        <v>-26.6767</v>
      </c>
      <c r="M7323">
        <v>0.19293859999999999</v>
      </c>
      <c r="N7323">
        <v>-1.144124E-2</v>
      </c>
      <c r="O7323">
        <v>0.98114409999999996</v>
      </c>
      <c r="P7323">
        <v>-5.9128359999999998E-2</v>
      </c>
      <c r="Q7323">
        <v>0.38739649999999998</v>
      </c>
      <c r="R7323">
        <v>0.92001520000000003</v>
      </c>
      <c r="S7323">
        <v>0.17053219999999999</v>
      </c>
      <c r="T7323">
        <v>-0.44451309999999999</v>
      </c>
      <c r="U7323">
        <v>3.4576720000000001</v>
      </c>
      <c r="V7323">
        <v>-0.2396837</v>
      </c>
      <c r="W7323">
        <v>0.3950823</v>
      </c>
      <c r="X7323">
        <v>0.88682680000000003</v>
      </c>
      <c r="Y7323">
        <v>-0.14457349999999999</v>
      </c>
      <c r="Z7323">
        <v>-0.1118869</v>
      </c>
      <c r="AA7323">
        <v>0.98314789999999996</v>
      </c>
      <c r="AB7323">
        <v>30</v>
      </c>
      <c r="AC7323">
        <v>0.37100000000000899</v>
      </c>
      <c r="AD7323">
        <v>-1.1148400619409999</v>
      </c>
      <c r="AE7323">
        <v>8.3611499999999896</v>
      </c>
      <c r="AF7323">
        <v>-1.2274860359365001</v>
      </c>
      <c r="AG7323">
        <v>-1.1148400619409999</v>
      </c>
      <c r="AH7323">
        <v>8.1313368448030605</v>
      </c>
      <c r="AI7323">
        <v>97.720417049138206</v>
      </c>
      <c r="AJ7323">
        <v>98.584409870457606</v>
      </c>
      <c r="AK7323">
        <v>8.2986884033429895</v>
      </c>
      <c r="AL7323">
        <v>66.728893899808796</v>
      </c>
      <c r="AM7323">
        <v>105.12405433684999</v>
      </c>
      <c r="AN7323">
        <v>1.0000000365085999</v>
      </c>
    </row>
    <row r="7324" spans="1:40" x14ac:dyDescent="0.25">
      <c r="A7324" t="str">
        <f>"20190304164304725"</f>
        <v>20190304164304725</v>
      </c>
      <c r="B7324" t="str">
        <f>"1551688984718482"</f>
        <v>1551688984718482</v>
      </c>
      <c r="C7324" t="s">
        <v>40</v>
      </c>
      <c r="D7324">
        <v>4.6978080000000002</v>
      </c>
      <c r="E7324">
        <v>0.54909469999999905</v>
      </c>
      <c r="F7324" t="s">
        <v>42</v>
      </c>
      <c r="G7324">
        <v>-188.95419999999999</v>
      </c>
      <c r="H7324" s="1">
        <v>-1.163133E-6</v>
      </c>
      <c r="I7324">
        <v>-18.088329999999999</v>
      </c>
      <c r="J7324">
        <v>-189.2961</v>
      </c>
      <c r="K7324">
        <v>1.1149720000000001</v>
      </c>
      <c r="L7324">
        <v>-26.392849999999999</v>
      </c>
      <c r="M7324">
        <v>0.1875291</v>
      </c>
      <c r="N7324">
        <v>-1.15727E-2</v>
      </c>
      <c r="O7324">
        <v>0.98219080000000003</v>
      </c>
      <c r="P7324">
        <v>-6.4171489999999998E-2</v>
      </c>
      <c r="Q7324">
        <v>0.38735380000000003</v>
      </c>
      <c r="R7324">
        <v>0.91969509999999999</v>
      </c>
      <c r="S7324">
        <v>0.15789790000000001</v>
      </c>
      <c r="T7324">
        <v>-0.44914700000000002</v>
      </c>
      <c r="U7324">
        <v>3.460083</v>
      </c>
      <c r="V7324">
        <v>-0.2397919</v>
      </c>
      <c r="W7324">
        <v>0.39507829999999999</v>
      </c>
      <c r="X7324">
        <v>0.88679929999999996</v>
      </c>
      <c r="Y7324">
        <v>-0.14274189999999901</v>
      </c>
      <c r="Z7324">
        <v>-0.1131597</v>
      </c>
      <c r="AA7324">
        <v>0.98326990000000003</v>
      </c>
      <c r="AB7324">
        <v>30</v>
      </c>
      <c r="AC7324">
        <v>0.34190000000000897</v>
      </c>
      <c r="AD7324">
        <v>-1.11497316313299</v>
      </c>
      <c r="AE7324">
        <v>8.3045200000000001</v>
      </c>
      <c r="AF7324">
        <v>-1.2000151308651501</v>
      </c>
      <c r="AG7324">
        <v>-1.11497316313299</v>
      </c>
      <c r="AH7324">
        <v>8.0759594304853692</v>
      </c>
      <c r="AI7324">
        <v>97.776290423563196</v>
      </c>
      <c r="AJ7324">
        <v>98.451797720644606</v>
      </c>
      <c r="AK7324">
        <v>8.2404078898837092</v>
      </c>
      <c r="AL7324">
        <v>66.729142687710507</v>
      </c>
      <c r="AM7324">
        <v>105.131016500665</v>
      </c>
      <c r="AN7324">
        <v>1.0000000084584899</v>
      </c>
    </row>
    <row r="7325" spans="1:40" x14ac:dyDescent="0.25">
      <c r="A7325" t="str">
        <f>"20190304164304746"</f>
        <v>20190304164304746</v>
      </c>
      <c r="B7325" t="str">
        <f>"1551688984738002"</f>
        <v>1551688984738002</v>
      </c>
      <c r="C7325" t="s">
        <v>40</v>
      </c>
      <c r="D7325">
        <v>4.6759029999999999</v>
      </c>
      <c r="E7325">
        <v>0.54934780000000005</v>
      </c>
      <c r="F7325" t="s">
        <v>42</v>
      </c>
      <c r="G7325">
        <v>-188.9365</v>
      </c>
      <c r="H7325" s="1">
        <v>-1.284654E-6</v>
      </c>
      <c r="I7325">
        <v>-17.812390000000001</v>
      </c>
      <c r="J7325">
        <v>-189.2448</v>
      </c>
      <c r="K7325">
        <v>1.115067</v>
      </c>
      <c r="L7325">
        <v>-26.090699999999998</v>
      </c>
      <c r="M7325">
        <v>0.18167900000000001</v>
      </c>
      <c r="N7325">
        <v>-1.170593E-2</v>
      </c>
      <c r="O7325">
        <v>0.98328819999999995</v>
      </c>
      <c r="P7325">
        <v>-7.1307659999999995E-2</v>
      </c>
      <c r="Q7325">
        <v>0.38710650000000002</v>
      </c>
      <c r="R7325">
        <v>0.91927349999999997</v>
      </c>
      <c r="S7325">
        <v>0.1450806</v>
      </c>
      <c r="T7325">
        <v>-0.4498008</v>
      </c>
      <c r="U7325">
        <v>3.4615170000000002</v>
      </c>
      <c r="V7325">
        <v>-0.24151439999999999</v>
      </c>
      <c r="W7325">
        <v>0.39487060000000002</v>
      </c>
      <c r="X7325">
        <v>0.8864242</v>
      </c>
      <c r="Y7325">
        <v>-0.14050379999999901</v>
      </c>
      <c r="Z7325">
        <v>-0.11339150000000001</v>
      </c>
      <c r="AA7325">
        <v>0.98356540000000003</v>
      </c>
      <c r="AB7325">
        <v>30</v>
      </c>
      <c r="AC7325">
        <v>0.30830000000000202</v>
      </c>
      <c r="AD7325">
        <v>-1.1150682846539901</v>
      </c>
      <c r="AE7325">
        <v>8.2783099999999905</v>
      </c>
      <c r="AF7325">
        <v>-1.1795580358378499</v>
      </c>
      <c r="AG7325">
        <v>-1.1150682846539901</v>
      </c>
      <c r="AH7325">
        <v>8.0506733148773897</v>
      </c>
      <c r="AI7325">
        <v>97.803380199724003</v>
      </c>
      <c r="AJ7325">
        <v>98.335479531376606</v>
      </c>
      <c r="AK7325">
        <v>8.2126777157166995</v>
      </c>
      <c r="AL7325">
        <v>66.742094297145997</v>
      </c>
      <c r="AM7325">
        <v>105.240819931742</v>
      </c>
      <c r="AN7325">
        <v>0.99999992924867698</v>
      </c>
    </row>
    <row r="7326" spans="1:40" x14ac:dyDescent="0.25">
      <c r="A7326" t="str">
        <f>"20190304164304768"</f>
        <v>20190304164304768</v>
      </c>
      <c r="B7326" t="str">
        <f>"1551688984758498"</f>
        <v>1551688984758498</v>
      </c>
      <c r="C7326" t="s">
        <v>40</v>
      </c>
      <c r="D7326">
        <v>4.6666869999999996</v>
      </c>
      <c r="E7326">
        <v>0.54955769999999904</v>
      </c>
      <c r="F7326" t="s">
        <v>42</v>
      </c>
      <c r="G7326">
        <v>-188.93090000000001</v>
      </c>
      <c r="H7326" s="1">
        <v>-1.410266E-6</v>
      </c>
      <c r="I7326">
        <v>-17.521920000000001</v>
      </c>
      <c r="J7326">
        <v>-189.19829999999999</v>
      </c>
      <c r="K7326">
        <v>1.11514</v>
      </c>
      <c r="L7326">
        <v>-25.807459999999999</v>
      </c>
      <c r="M7326">
        <v>0.17614569999999999</v>
      </c>
      <c r="N7326">
        <v>-1.182655E-2</v>
      </c>
      <c r="O7326">
        <v>0.98429299999999997</v>
      </c>
      <c r="P7326">
        <v>-7.7933589999999997E-2</v>
      </c>
      <c r="Q7326">
        <v>0.38646439999999999</v>
      </c>
      <c r="R7326">
        <v>0.91900579999999998</v>
      </c>
      <c r="S7326">
        <v>0.12687680000000001</v>
      </c>
      <c r="T7326">
        <v>-0.45065549999999999</v>
      </c>
      <c r="U7326">
        <v>3.4630740000000002</v>
      </c>
      <c r="V7326">
        <v>-0.24302280000000001</v>
      </c>
      <c r="W7326">
        <v>0.39428479999999999</v>
      </c>
      <c r="X7326">
        <v>0.88627269999999903</v>
      </c>
      <c r="Y7326">
        <v>-0.14011589999999999</v>
      </c>
      <c r="Z7326">
        <v>-0.1136532</v>
      </c>
      <c r="AA7326">
        <v>0.98359059999999998</v>
      </c>
      <c r="AB7326">
        <v>30</v>
      </c>
      <c r="AC7326">
        <v>0.26739999999997999</v>
      </c>
      <c r="AD7326">
        <v>-1.115141410266</v>
      </c>
      <c r="AE7326">
        <v>8.2855399999999904</v>
      </c>
      <c r="AF7326">
        <v>-1.17508254302832</v>
      </c>
      <c r="AG7326">
        <v>-1.115141410266</v>
      </c>
      <c r="AH7326">
        <v>8.0572756076822891</v>
      </c>
      <c r="AI7326">
        <v>97.798314309136302</v>
      </c>
      <c r="AJ7326">
        <v>98.297584915121206</v>
      </c>
      <c r="AK7326">
        <v>8.2185186965761705</v>
      </c>
      <c r="AL7326">
        <v>66.778622234590401</v>
      </c>
      <c r="AM7326">
        <v>105.334039002688</v>
      </c>
      <c r="AN7326">
        <v>0.99999994179808305</v>
      </c>
    </row>
    <row r="7327" spans="1:40" x14ac:dyDescent="0.25">
      <c r="A7327" t="str">
        <f>"20190304164304790"</f>
        <v>20190304164304790</v>
      </c>
      <c r="B7327" t="str">
        <f>"1551688984778018"</f>
        <v>1551688984778018</v>
      </c>
      <c r="C7327" t="s">
        <v>40</v>
      </c>
      <c r="D7327">
        <v>4.8040079999999996</v>
      </c>
      <c r="E7327">
        <v>0.54966680000000001</v>
      </c>
      <c r="F7327" t="s">
        <v>42</v>
      </c>
      <c r="G7327">
        <v>-188.93020000000001</v>
      </c>
      <c r="H7327" s="1">
        <v>-1.5123300000000001E-6</v>
      </c>
      <c r="I7327">
        <v>-17.284269999999999</v>
      </c>
      <c r="J7327">
        <v>-189.15270000000001</v>
      </c>
      <c r="K7327">
        <v>1.1151930000000001</v>
      </c>
      <c r="L7327">
        <v>-25.518799999999999</v>
      </c>
      <c r="M7327">
        <v>0.1704842</v>
      </c>
      <c r="N7327">
        <v>-1.194834E-2</v>
      </c>
      <c r="O7327">
        <v>0.98528800000000005</v>
      </c>
      <c r="P7327">
        <v>-8.2696420000000007E-2</v>
      </c>
      <c r="Q7327">
        <v>0.3867409</v>
      </c>
      <c r="R7327">
        <v>0.91847310000000004</v>
      </c>
      <c r="S7327">
        <v>0.1089783</v>
      </c>
      <c r="T7327">
        <v>-0.45324680000000001</v>
      </c>
      <c r="U7327">
        <v>3.4642330000000001</v>
      </c>
      <c r="V7327">
        <v>-0.24253659999999999</v>
      </c>
      <c r="W7327">
        <v>0.39465549999999999</v>
      </c>
      <c r="X7327">
        <v>0.88624099999999995</v>
      </c>
      <c r="Y7327">
        <v>-0.1395131</v>
      </c>
      <c r="Z7327">
        <v>-0.1144032</v>
      </c>
      <c r="AA7327">
        <v>0.98358939999999995</v>
      </c>
      <c r="AB7327">
        <v>30</v>
      </c>
      <c r="AC7327">
        <v>0.22249999999999601</v>
      </c>
      <c r="AD7327">
        <v>-1.11519451233</v>
      </c>
      <c r="AE7327">
        <v>8.2345299999999906</v>
      </c>
      <c r="AF7327">
        <v>-1.16339295615722</v>
      </c>
      <c r="AG7327">
        <v>-1.11519451233</v>
      </c>
      <c r="AH7327">
        <v>8.0051818388882001</v>
      </c>
      <c r="AI7327">
        <v>97.849365424653001</v>
      </c>
      <c r="AJ7327">
        <v>98.2689037767164</v>
      </c>
      <c r="AK7327">
        <v>8.16578705603035</v>
      </c>
      <c r="AL7327">
        <v>66.7555107228401</v>
      </c>
      <c r="AM7327">
        <v>105.30532289452</v>
      </c>
      <c r="AN7327">
        <v>1.0000000380503999</v>
      </c>
    </row>
    <row r="7328" spans="1:40" x14ac:dyDescent="0.25">
      <c r="A7328" t="str">
        <f>"20190304164304812"</f>
        <v>20190304164304812</v>
      </c>
      <c r="B7328" t="str">
        <f>"1551688984808274"</f>
        <v>1551688984808274</v>
      </c>
      <c r="C7328" t="s">
        <v>40</v>
      </c>
      <c r="D7328">
        <v>4.6858420000000001</v>
      </c>
      <c r="E7328">
        <v>0.52534230000000004</v>
      </c>
      <c r="F7328" t="s">
        <v>42</v>
      </c>
      <c r="G7328">
        <v>-188.93360000000001</v>
      </c>
      <c r="H7328" s="1">
        <v>-1.6408189999999999E-6</v>
      </c>
      <c r="I7328">
        <v>-16.983360000000001</v>
      </c>
      <c r="J7328">
        <v>-189.1104</v>
      </c>
      <c r="K7328">
        <v>1.115227</v>
      </c>
      <c r="L7328">
        <v>-25.241029999999999</v>
      </c>
      <c r="M7328">
        <v>0.1650334</v>
      </c>
      <c r="N7328">
        <v>-1.2063050000000001E-2</v>
      </c>
      <c r="O7328">
        <v>0.98621420000000004</v>
      </c>
      <c r="P7328">
        <v>-8.5811090000000007E-2</v>
      </c>
      <c r="Q7328">
        <v>0.38530520000000001</v>
      </c>
      <c r="R7328">
        <v>0.91879069999999996</v>
      </c>
      <c r="S7328">
        <v>8.8943480000000005E-2</v>
      </c>
      <c r="T7328">
        <v>-0.4527098</v>
      </c>
      <c r="U7328">
        <v>3.4649350000000001</v>
      </c>
      <c r="V7328">
        <v>-0.24073430000000001</v>
      </c>
      <c r="W7328">
        <v>0.39334380000000002</v>
      </c>
      <c r="X7328">
        <v>0.88731489999999902</v>
      </c>
      <c r="Y7328">
        <v>-0.13972499999999999</v>
      </c>
      <c r="Z7328">
        <v>-0.1142976</v>
      </c>
      <c r="AA7328">
        <v>0.98357150000000004</v>
      </c>
      <c r="AB7328">
        <v>30</v>
      </c>
      <c r="AC7328">
        <v>0.176799999999985</v>
      </c>
      <c r="AD7328">
        <v>-1.115228640819</v>
      </c>
      <c r="AE7328">
        <v>8.2576699999999903</v>
      </c>
      <c r="AF7328">
        <v>-1.16723514684767</v>
      </c>
      <c r="AG7328">
        <v>-1.115228640819</v>
      </c>
      <c r="AH7328">
        <v>8.0272580483546996</v>
      </c>
      <c r="AI7328">
        <v>97.828196127662906</v>
      </c>
      <c r="AJ7328">
        <v>98.273334388167598</v>
      </c>
      <c r="AK7328">
        <v>8.1879817161626995</v>
      </c>
      <c r="AL7328">
        <v>66.837279907953402</v>
      </c>
      <c r="AM7328">
        <v>105.179322815953</v>
      </c>
      <c r="AN7328">
        <v>1.0000000399784601</v>
      </c>
    </row>
    <row r="7329" spans="1:40" x14ac:dyDescent="0.25">
      <c r="A7329" t="str">
        <f>"20190304164304835"</f>
        <v>20190304164304835</v>
      </c>
      <c r="B7329" t="str">
        <f>"1551688984828770"</f>
        <v>1551688984828770</v>
      </c>
      <c r="C7329" t="s">
        <v>40</v>
      </c>
      <c r="D7329">
        <v>4.6888439999999996</v>
      </c>
      <c r="E7329">
        <v>0.52393780000000001</v>
      </c>
      <c r="F7329" t="s">
        <v>42</v>
      </c>
      <c r="G7329">
        <v>-189.47069999999999</v>
      </c>
      <c r="H7329" s="1">
        <v>-2.510394E-6</v>
      </c>
      <c r="I7329">
        <v>-14.73429</v>
      </c>
      <c r="J7329">
        <v>-189.06370000000001</v>
      </c>
      <c r="K7329">
        <v>1.115246</v>
      </c>
      <c r="L7329">
        <v>-24.922180000000001</v>
      </c>
      <c r="M7329">
        <v>0.15878439999999999</v>
      </c>
      <c r="N7329">
        <v>-1.2188879999999999E-2</v>
      </c>
      <c r="O7329">
        <v>0.98723799999999995</v>
      </c>
      <c r="P7329">
        <v>-8.9091320000000002E-2</v>
      </c>
      <c r="Q7329">
        <v>0.38501370000000001</v>
      </c>
      <c r="R7329">
        <v>0.91860070000000005</v>
      </c>
      <c r="S7329">
        <v>-0.1167908</v>
      </c>
      <c r="T7329">
        <v>-0.36151129999999998</v>
      </c>
      <c r="U7329">
        <v>3.405853</v>
      </c>
      <c r="V7329">
        <v>-0.23829939999999999</v>
      </c>
      <c r="W7329">
        <v>0.39319340000000003</v>
      </c>
      <c r="X7329">
        <v>0.88803849999999995</v>
      </c>
      <c r="Y7329">
        <v>-0.19224959999999999</v>
      </c>
      <c r="Z7329">
        <v>-9.0367619999999996E-2</v>
      </c>
      <c r="AA7329">
        <v>0.97717639999999995</v>
      </c>
      <c r="AB7329">
        <v>30</v>
      </c>
      <c r="AC7329">
        <v>-0.40699999999998199</v>
      </c>
      <c r="AD7329">
        <v>-1.115248510394</v>
      </c>
      <c r="AE7329">
        <v>10.1878899999999</v>
      </c>
      <c r="AF7329">
        <v>-1.99575642626147</v>
      </c>
      <c r="AG7329">
        <v>-1.115248510394</v>
      </c>
      <c r="AH7329">
        <v>9.8758336427824496</v>
      </c>
      <c r="AI7329">
        <v>96.316326250398305</v>
      </c>
      <c r="AJ7329">
        <v>101.42474541138</v>
      </c>
      <c r="AK7329">
        <v>10.1370071072685</v>
      </c>
      <c r="AL7329">
        <v>66.846651797923798</v>
      </c>
      <c r="AM7329">
        <v>105.021079147259</v>
      </c>
      <c r="AN7329">
        <v>1.0000000156630799</v>
      </c>
    </row>
    <row r="7330" spans="1:40" x14ac:dyDescent="0.25">
      <c r="A7330" t="str">
        <f>"20190304164304858"</f>
        <v>20190304164304858</v>
      </c>
      <c r="B7330" t="str">
        <f>"1551688984848291"</f>
        <v>1551688984848291</v>
      </c>
      <c r="C7330" t="s">
        <v>40</v>
      </c>
      <c r="D7330">
        <v>4.6408519999999998</v>
      </c>
      <c r="E7330">
        <v>0.52321879999999998</v>
      </c>
      <c r="F7330" t="s">
        <v>42</v>
      </c>
      <c r="G7330">
        <v>-189.52500000000001</v>
      </c>
      <c r="H7330" s="1">
        <v>-2.7976149999999999E-6</v>
      </c>
      <c r="I7330">
        <v>-14.0423299999999</v>
      </c>
      <c r="J7330">
        <v>-189.0231</v>
      </c>
      <c r="K7330">
        <v>1.1152629999999999</v>
      </c>
      <c r="L7330">
        <v>-24.632390000000001</v>
      </c>
      <c r="M7330">
        <v>0.15311920000000001</v>
      </c>
      <c r="N7330">
        <v>-1.230086E-2</v>
      </c>
      <c r="O7330">
        <v>0.98813119999999999</v>
      </c>
      <c r="P7330">
        <v>-9.0985099999999999E-2</v>
      </c>
      <c r="Q7330">
        <v>0.384876</v>
      </c>
      <c r="R7330">
        <v>0.91847279999999998</v>
      </c>
      <c r="S7330">
        <v>-0.144043</v>
      </c>
      <c r="T7330">
        <v>-0.34830029999999901</v>
      </c>
      <c r="U7330">
        <v>3.3978579999999998</v>
      </c>
      <c r="V7330">
        <v>-0.23503360000000001</v>
      </c>
      <c r="W7330">
        <v>0.39319999999999999</v>
      </c>
      <c r="X7330">
        <v>0.88890550000000002</v>
      </c>
      <c r="Y7330">
        <v>-0.19454070000000001</v>
      </c>
      <c r="Z7330">
        <v>-8.6865629999999999E-2</v>
      </c>
      <c r="AA7330">
        <v>0.97704060000000004</v>
      </c>
      <c r="AB7330">
        <v>30</v>
      </c>
      <c r="AC7330">
        <v>-0.50190000000000601</v>
      </c>
      <c r="AD7330">
        <v>-1.115265797615</v>
      </c>
      <c r="AE7330">
        <v>10.590059999999999</v>
      </c>
      <c r="AF7330">
        <v>-2.0944676045538801</v>
      </c>
      <c r="AG7330">
        <v>-1.115265797615</v>
      </c>
      <c r="AH7330">
        <v>10.2746063243876</v>
      </c>
      <c r="AI7330">
        <v>96.071069742463493</v>
      </c>
      <c r="AJ7330">
        <v>101.52182082320201</v>
      </c>
      <c r="AK7330">
        <v>10.545053222578</v>
      </c>
      <c r="AL7330">
        <v>66.846240393293797</v>
      </c>
      <c r="AM7330">
        <v>104.81052142698201</v>
      </c>
      <c r="AN7330">
        <v>1.0000000105296001</v>
      </c>
    </row>
    <row r="7331" spans="1:40" x14ac:dyDescent="0.25">
      <c r="A7331" t="str">
        <f>"20190304164304880"</f>
        <v>20190304164304880</v>
      </c>
      <c r="B7331" t="str">
        <f>"1551688984868786"</f>
        <v>1551688984868786</v>
      </c>
      <c r="C7331" t="s">
        <v>40</v>
      </c>
      <c r="D7331">
        <v>4.6669349999999996</v>
      </c>
      <c r="E7331">
        <v>0.52334389999999997</v>
      </c>
      <c r="F7331" t="s">
        <v>42</v>
      </c>
      <c r="G7331">
        <v>-189.54669999999999</v>
      </c>
      <c r="H7331" s="1">
        <v>-2.9887700000000001E-6</v>
      </c>
      <c r="I7331">
        <v>-13.587759999999999</v>
      </c>
      <c r="J7331">
        <v>-188.9837</v>
      </c>
      <c r="K7331">
        <v>1.115281</v>
      </c>
      <c r="L7331">
        <v>-24.33905</v>
      </c>
      <c r="M7331">
        <v>0.14740149999999999</v>
      </c>
      <c r="N7331">
        <v>-1.2410010000000001E-2</v>
      </c>
      <c r="O7331">
        <v>0.98899890000000001</v>
      </c>
      <c r="P7331">
        <v>-9.1922249999999997E-2</v>
      </c>
      <c r="Q7331">
        <v>0.3854457</v>
      </c>
      <c r="R7331">
        <v>0.91814050000000003</v>
      </c>
      <c r="S7331">
        <v>-0.1608887</v>
      </c>
      <c r="T7331">
        <v>-0.34271499999999999</v>
      </c>
      <c r="U7331">
        <v>3.3939509999999999</v>
      </c>
      <c r="V7331">
        <v>-0.2307478</v>
      </c>
      <c r="W7331">
        <v>0.39392500000000003</v>
      </c>
      <c r="X7331">
        <v>0.88970700000000003</v>
      </c>
      <c r="Y7331">
        <v>-0.19376289999999999</v>
      </c>
      <c r="Z7331">
        <v>-8.5416480000000003E-2</v>
      </c>
      <c r="AA7331">
        <v>0.97732289999999999</v>
      </c>
      <c r="AB7331">
        <v>30</v>
      </c>
      <c r="AC7331">
        <v>-0.56299999999998795</v>
      </c>
      <c r="AD7331">
        <v>-1.1152839887699999</v>
      </c>
      <c r="AE7331">
        <v>10.751289999999999</v>
      </c>
      <c r="AF7331">
        <v>-2.1189876254066302</v>
      </c>
      <c r="AG7331">
        <v>-1.1152839887699999</v>
      </c>
      <c r="AH7331">
        <v>10.438815083777399</v>
      </c>
      <c r="AI7331">
        <v>95.977355779238707</v>
      </c>
      <c r="AJ7331">
        <v>101.474628890033</v>
      </c>
      <c r="AK7331">
        <v>10.7099405827265</v>
      </c>
      <c r="AL7331">
        <v>66.801054066168902</v>
      </c>
      <c r="AM7331">
        <v>104.53946473837399</v>
      </c>
      <c r="AN7331">
        <v>0.99999999933941996</v>
      </c>
    </row>
    <row r="7332" spans="1:40" x14ac:dyDescent="0.25">
      <c r="A7332" t="str">
        <f>"20190304164304903"</f>
        <v>20190304164304903</v>
      </c>
      <c r="B7332" t="str">
        <f>"1551688984898067"</f>
        <v>1551688984898067</v>
      </c>
      <c r="C7332" t="s">
        <v>40</v>
      </c>
      <c r="D7332">
        <v>4.6393849999999999</v>
      </c>
      <c r="E7332">
        <v>0.52361099999999905</v>
      </c>
      <c r="F7332" t="s">
        <v>42</v>
      </c>
      <c r="G7332">
        <v>-189.5453</v>
      </c>
      <c r="H7332" s="1">
        <v>-3.2144379999999999E-6</v>
      </c>
      <c r="I7332">
        <v>-13.062279999999999</v>
      </c>
      <c r="J7332">
        <v>-188.94540000000001</v>
      </c>
      <c r="K7332">
        <v>1.1152709999999999</v>
      </c>
      <c r="L7332">
        <v>-24.040679999999998</v>
      </c>
      <c r="M7332">
        <v>0.1416219</v>
      </c>
      <c r="N7332">
        <v>-1.2511069999999999E-2</v>
      </c>
      <c r="O7332">
        <v>0.98984179999999999</v>
      </c>
      <c r="P7332">
        <v>-9.3406710000000004E-2</v>
      </c>
      <c r="Q7332">
        <v>0.38712750000000001</v>
      </c>
      <c r="R7332">
        <v>0.91728259999999995</v>
      </c>
      <c r="S7332">
        <v>-0.16889949999999901</v>
      </c>
      <c r="T7332">
        <v>-0.33540890000000001</v>
      </c>
      <c r="U7332">
        <v>3.3913570000000002</v>
      </c>
      <c r="V7332">
        <v>-0.2268742</v>
      </c>
      <c r="W7332">
        <v>0.39575100000000002</v>
      </c>
      <c r="X7332">
        <v>0.88989280000000004</v>
      </c>
      <c r="Y7332">
        <v>-0.190383</v>
      </c>
      <c r="Z7332">
        <v>-8.3471710000000005E-2</v>
      </c>
      <c r="AA7332">
        <v>0.97815479999999999</v>
      </c>
      <c r="AB7332">
        <v>30</v>
      </c>
      <c r="AC7332">
        <v>-0.599899999999991</v>
      </c>
      <c r="AD7332">
        <v>-1.1152742144379999</v>
      </c>
      <c r="AE7332">
        <v>10.978400000000001</v>
      </c>
      <c r="AF7332">
        <v>-2.12687180271636</v>
      </c>
      <c r="AG7332">
        <v>-1.1152742144379999</v>
      </c>
      <c r="AH7332">
        <v>10.672945456910499</v>
      </c>
      <c r="AI7332">
        <v>95.851270052621302</v>
      </c>
      <c r="AJ7332">
        <v>101.270091488552</v>
      </c>
      <c r="AK7332">
        <v>10.939798214079</v>
      </c>
      <c r="AL7332">
        <v>66.687179168630195</v>
      </c>
      <c r="AM7332">
        <v>104.30262196512</v>
      </c>
      <c r="AN7332">
        <v>0.99999997605923896</v>
      </c>
    </row>
    <row r="7333" spans="1:40" x14ac:dyDescent="0.25">
      <c r="A7333" t="str">
        <f>"20190304164304926"</f>
        <v>20190304164304926</v>
      </c>
      <c r="B7333" t="str">
        <f>"1551688984918563"</f>
        <v>1551688984918563</v>
      </c>
      <c r="C7333" t="s">
        <v>40</v>
      </c>
      <c r="D7333">
        <v>4.674868</v>
      </c>
      <c r="E7333">
        <v>0.52405249999999903</v>
      </c>
      <c r="F7333" t="s">
        <v>42</v>
      </c>
      <c r="G7333">
        <v>-189.55</v>
      </c>
      <c r="H7333" s="1">
        <v>-3.5082379999999999E-6</v>
      </c>
      <c r="I7333">
        <v>-12.375489999999999</v>
      </c>
      <c r="J7333">
        <v>-188.90780000000001</v>
      </c>
      <c r="K7333">
        <v>1.115224</v>
      </c>
      <c r="L7333">
        <v>-23.73236</v>
      </c>
      <c r="M7333">
        <v>0.1357276</v>
      </c>
      <c r="N7333">
        <v>-1.2601640000000001E-2</v>
      </c>
      <c r="O7333">
        <v>0.99066600000000005</v>
      </c>
      <c r="P7333">
        <v>-9.6717860000000003E-2</v>
      </c>
      <c r="Q7333">
        <v>0.38934249999999998</v>
      </c>
      <c r="R7333">
        <v>0.91600110000000001</v>
      </c>
      <c r="S7333">
        <v>-0.17567439999999901</v>
      </c>
      <c r="T7333">
        <v>-0.32405089999999998</v>
      </c>
      <c r="U7333">
        <v>3.3894039999999999</v>
      </c>
      <c r="V7333">
        <v>-0.224636</v>
      </c>
      <c r="W7333">
        <v>0.39808900000000003</v>
      </c>
      <c r="X7333">
        <v>0.88941769999999998</v>
      </c>
      <c r="Y7333">
        <v>-0.1865367</v>
      </c>
      <c r="Z7333">
        <v>-8.0358390000000002E-2</v>
      </c>
      <c r="AA7333">
        <v>0.97915609999999997</v>
      </c>
      <c r="AB7333">
        <v>30</v>
      </c>
      <c r="AC7333">
        <v>-0.64220000000000199</v>
      </c>
      <c r="AD7333">
        <v>-1.1152275082379901</v>
      </c>
      <c r="AE7333">
        <v>11.356869999999899</v>
      </c>
      <c r="AF7333">
        <v>-2.15708509266977</v>
      </c>
      <c r="AG7333">
        <v>-1.1152275082379901</v>
      </c>
      <c r="AH7333">
        <v>11.058293132136001</v>
      </c>
      <c r="AI7333">
        <v>95.652966353281101</v>
      </c>
      <c r="AJ7333">
        <v>101.037792480706</v>
      </c>
      <c r="AK7333">
        <v>11.321775279892901</v>
      </c>
      <c r="AL7333">
        <v>66.541233489478302</v>
      </c>
      <c r="AM7333">
        <v>104.174491760686</v>
      </c>
      <c r="AN7333">
        <v>1.00000001474514</v>
      </c>
    </row>
    <row r="7334" spans="1:40" x14ac:dyDescent="0.25">
      <c r="A7334" t="str">
        <f>"20190304164304948"</f>
        <v>20190304164304948</v>
      </c>
      <c r="B7334" t="str">
        <f>"1551688984938083"</f>
        <v>1551688984938083</v>
      </c>
      <c r="C7334" t="s">
        <v>40</v>
      </c>
      <c r="D7334">
        <v>4.6845100000000004</v>
      </c>
      <c r="E7334">
        <v>0.53757919999999904</v>
      </c>
      <c r="F7334" t="s">
        <v>42</v>
      </c>
      <c r="G7334">
        <v>-189.54249999999999</v>
      </c>
      <c r="H7334" s="1">
        <v>-3.7703999999999999E-6</v>
      </c>
      <c r="I7334">
        <v>-11.767480000000001</v>
      </c>
      <c r="J7334">
        <v>-188.8733</v>
      </c>
      <c r="K7334">
        <v>1.1151799999999901</v>
      </c>
      <c r="L7334">
        <v>-23.436710000000001</v>
      </c>
      <c r="M7334">
        <v>0.1301513</v>
      </c>
      <c r="N7334">
        <v>-1.267706E-2</v>
      </c>
      <c r="O7334">
        <v>0.99141310000000005</v>
      </c>
      <c r="P7334">
        <v>-9.9372600000000005E-2</v>
      </c>
      <c r="Q7334">
        <v>0.39186949999999998</v>
      </c>
      <c r="R7334">
        <v>0.91463839999999996</v>
      </c>
      <c r="S7334">
        <v>-0.17987059999999999</v>
      </c>
      <c r="T7334">
        <v>-0.31601770000000001</v>
      </c>
      <c r="U7334">
        <v>3.3904420000000002</v>
      </c>
      <c r="V7334">
        <v>-0.22202450000000001</v>
      </c>
      <c r="W7334">
        <v>0.40073900000000001</v>
      </c>
      <c r="X7334">
        <v>0.88888319999999998</v>
      </c>
      <c r="Y7334">
        <v>-0.18221570000000001</v>
      </c>
      <c r="Z7334">
        <v>-7.81081E-2</v>
      </c>
      <c r="AA7334">
        <v>0.98015129999999995</v>
      </c>
      <c r="AB7334">
        <v>30</v>
      </c>
      <c r="AC7334">
        <v>-0.66919999999998903</v>
      </c>
      <c r="AD7334">
        <v>-1.1151837703999901</v>
      </c>
      <c r="AE7334">
        <v>11.669230000000001</v>
      </c>
      <c r="AF7334">
        <v>-2.1627074326909699</v>
      </c>
      <c r="AG7334">
        <v>-1.1151837703999901</v>
      </c>
      <c r="AH7334">
        <v>11.3792679469387</v>
      </c>
      <c r="AI7334">
        <v>95.499368950436505</v>
      </c>
      <c r="AJ7334">
        <v>100.76110894193</v>
      </c>
      <c r="AK7334">
        <v>11.636523419364</v>
      </c>
      <c r="AL7334">
        <v>66.375614531324899</v>
      </c>
      <c r="AM7334">
        <v>104.024334013786</v>
      </c>
      <c r="AN7334">
        <v>0.99999998398174395</v>
      </c>
    </row>
    <row r="7335" spans="1:40" x14ac:dyDescent="0.25">
      <c r="A7335" t="str">
        <f>"20190304164304970"</f>
        <v>20190304164304970</v>
      </c>
      <c r="B7335" t="str">
        <f>"1551688984958578"</f>
        <v>1551688984958578</v>
      </c>
      <c r="C7335" t="s">
        <v>40</v>
      </c>
      <c r="D7335">
        <v>4.7530780000000004</v>
      </c>
      <c r="E7335">
        <v>0.5382749</v>
      </c>
      <c r="F7335" t="s">
        <v>42</v>
      </c>
      <c r="G7335">
        <v>-189.1499</v>
      </c>
      <c r="H7335" s="1">
        <v>-3.8674259999999999E-6</v>
      </c>
      <c r="I7335">
        <v>-11.70365</v>
      </c>
      <c r="J7335">
        <v>-188.84270000000001</v>
      </c>
      <c r="K7335">
        <v>1.115102</v>
      </c>
      <c r="L7335">
        <v>-23.162600000000001</v>
      </c>
      <c r="M7335">
        <v>0.12510080000000001</v>
      </c>
      <c r="N7335">
        <v>-1.273755E-2</v>
      </c>
      <c r="O7335">
        <v>0.99206229999999995</v>
      </c>
      <c r="P7335">
        <v>-9.989294E-2</v>
      </c>
      <c r="Q7335">
        <v>0.39120519999999998</v>
      </c>
      <c r="R7335">
        <v>0.91486610000000002</v>
      </c>
      <c r="S7335">
        <v>-8.0398559999999994E-2</v>
      </c>
      <c r="T7335">
        <v>-0.32411970000000001</v>
      </c>
      <c r="U7335">
        <v>3.410126</v>
      </c>
      <c r="V7335">
        <v>-0.2179228</v>
      </c>
      <c r="W7335">
        <v>0.40023570000000003</v>
      </c>
      <c r="X7335">
        <v>0.89012420000000003</v>
      </c>
      <c r="Y7335">
        <v>-0.1482792</v>
      </c>
      <c r="Z7335">
        <v>-8.0263000000000001E-2</v>
      </c>
      <c r="AA7335">
        <v>0.98568310000000003</v>
      </c>
      <c r="AB7335">
        <v>30</v>
      </c>
      <c r="AC7335">
        <v>-0.30719999999999398</v>
      </c>
      <c r="AD7335">
        <v>-1.1151058674259999</v>
      </c>
      <c r="AE7335">
        <v>11.45895</v>
      </c>
      <c r="AF7335">
        <v>-1.72212975043071</v>
      </c>
      <c r="AG7335">
        <v>-1.1151058674259999</v>
      </c>
      <c r="AH7335">
        <v>11.2242645387152</v>
      </c>
      <c r="AI7335">
        <v>95.608389336845903</v>
      </c>
      <c r="AJ7335">
        <v>98.722822579235</v>
      </c>
      <c r="AK7335">
        <v>11.4102281488122</v>
      </c>
      <c r="AL7335">
        <v>66.4070866238023</v>
      </c>
      <c r="AM7335">
        <v>103.756728528577</v>
      </c>
      <c r="AN7335">
        <v>1.00000002686998</v>
      </c>
    </row>
    <row r="7336" spans="1:40" x14ac:dyDescent="0.25">
      <c r="A7336" t="str">
        <f>"20190304164304990"</f>
        <v>20190304164304990</v>
      </c>
      <c r="B7336" t="str">
        <f>"1551688984978098"</f>
        <v>1551688984978098</v>
      </c>
      <c r="C7336" t="s">
        <v>40</v>
      </c>
      <c r="D7336">
        <v>4.8395029999999997</v>
      </c>
      <c r="E7336">
        <v>0.53862010000000005</v>
      </c>
      <c r="F7336" t="s">
        <v>42</v>
      </c>
      <c r="G7336">
        <v>-189.1217</v>
      </c>
      <c r="H7336" s="1">
        <v>-4.1432060000000002E-6</v>
      </c>
      <c r="I7336">
        <v>-11.072469999999999</v>
      </c>
      <c r="J7336">
        <v>-188.81309999999999</v>
      </c>
      <c r="K7336">
        <v>1.1149789999999999</v>
      </c>
      <c r="L7336">
        <v>-22.8855</v>
      </c>
      <c r="M7336">
        <v>0.1201716</v>
      </c>
      <c r="N7336">
        <v>-1.278872E-2</v>
      </c>
      <c r="O7336">
        <v>0.99267079999999996</v>
      </c>
      <c r="P7336">
        <v>-0.1011389</v>
      </c>
      <c r="Q7336">
        <v>0.38865620000000001</v>
      </c>
      <c r="R7336">
        <v>0.91581509999999999</v>
      </c>
      <c r="S7336">
        <v>-7.8567499999999998E-2</v>
      </c>
      <c r="T7336">
        <v>-0.31404130000000002</v>
      </c>
      <c r="U7336">
        <v>3.4048769999999902</v>
      </c>
      <c r="V7336">
        <v>-0.21467269999999999</v>
      </c>
      <c r="W7336">
        <v>0.39785720000000002</v>
      </c>
      <c r="X7336">
        <v>0.8919783</v>
      </c>
      <c r="Y7336">
        <v>-0.14288229999999999</v>
      </c>
      <c r="Z7336">
        <v>-7.7602309999999994E-2</v>
      </c>
      <c r="AA7336">
        <v>0.98669269999999998</v>
      </c>
      <c r="AB7336">
        <v>30</v>
      </c>
      <c r="AC7336">
        <v>-0.30860000000001198</v>
      </c>
      <c r="AD7336">
        <v>-1.114983143206</v>
      </c>
      <c r="AE7336">
        <v>11.813029999999999</v>
      </c>
      <c r="AF7336">
        <v>-1.71083906484087</v>
      </c>
      <c r="AG7336">
        <v>-1.114983143206</v>
      </c>
      <c r="AH7336">
        <v>11.5871644373247</v>
      </c>
      <c r="AI7336">
        <v>95.437809918283506</v>
      </c>
      <c r="AJ7336">
        <v>98.399010303059299</v>
      </c>
      <c r="AK7336">
        <v>11.765735736154401</v>
      </c>
      <c r="AL7336">
        <v>66.555710219159806</v>
      </c>
      <c r="AM7336">
        <v>103.532042352869</v>
      </c>
      <c r="AN7336">
        <v>1.00000000369401</v>
      </c>
    </row>
    <row r="7337" spans="1:40" x14ac:dyDescent="0.25">
      <c r="A7337" t="str">
        <f>"20190304164305014"</f>
        <v>20190304164305014</v>
      </c>
      <c r="B7337" t="str">
        <f>"1551688985008355"</f>
        <v>1551688985008355</v>
      </c>
      <c r="C7337" t="s">
        <v>40</v>
      </c>
      <c r="D7337">
        <v>4.6355959999999996</v>
      </c>
      <c r="E7337">
        <v>0.53930710000000004</v>
      </c>
      <c r="F7337" t="s">
        <v>42</v>
      </c>
      <c r="G7337">
        <v>-189.10769999999999</v>
      </c>
      <c r="H7337" s="1">
        <v>-4.3726990000000003E-6</v>
      </c>
      <c r="I7337">
        <v>-10.543290000000001</v>
      </c>
      <c r="J7337">
        <v>-188.7817</v>
      </c>
      <c r="K7337">
        <v>1.1147750000000001</v>
      </c>
      <c r="L7337">
        <v>-22.580020000000001</v>
      </c>
      <c r="M7337">
        <v>0.1150048</v>
      </c>
      <c r="N7337">
        <v>-1.2833539999999999E-2</v>
      </c>
      <c r="O7337">
        <v>0.993282</v>
      </c>
      <c r="P7337">
        <v>-0.1044848</v>
      </c>
      <c r="Q7337">
        <v>0.38761689999999999</v>
      </c>
      <c r="R7337">
        <v>0.91588000000000003</v>
      </c>
      <c r="S7337">
        <v>-8.1100459999999999E-2</v>
      </c>
      <c r="T7337">
        <v>-0.30688749999999998</v>
      </c>
      <c r="U7337">
        <v>3.3970639999999999</v>
      </c>
      <c r="V7337">
        <v>-0.2131333</v>
      </c>
      <c r="W7337">
        <v>0.39698369999999999</v>
      </c>
      <c r="X7337">
        <v>0.89273630000000004</v>
      </c>
      <c r="Y7337">
        <v>-0.13852679999999901</v>
      </c>
      <c r="Z7337">
        <v>-7.5824989999999995E-2</v>
      </c>
      <c r="AA7337">
        <v>0.98745170000000004</v>
      </c>
      <c r="AB7337">
        <v>30</v>
      </c>
      <c r="AC7337">
        <v>-0.32599999999999302</v>
      </c>
      <c r="AD7337">
        <v>-1.1147793726989901</v>
      </c>
      <c r="AE7337">
        <v>12.03673</v>
      </c>
      <c r="AF7337">
        <v>-1.69371519599373</v>
      </c>
      <c r="AG7337">
        <v>-1.1147793726989901</v>
      </c>
      <c r="AH7337">
        <v>11.818062518965901</v>
      </c>
      <c r="AI7337">
        <v>95.334490574630195</v>
      </c>
      <c r="AJ7337">
        <v>98.155854765346305</v>
      </c>
      <c r="AK7337">
        <v>11.9907466788821</v>
      </c>
      <c r="AL7337">
        <v>66.610249629903606</v>
      </c>
      <c r="AM7337">
        <v>103.42754010962599</v>
      </c>
      <c r="AN7337">
        <v>0.999999981486134</v>
      </c>
    </row>
    <row r="7338" spans="1:40" x14ac:dyDescent="0.25">
      <c r="A7338" t="str">
        <f>"20190304164305036"</f>
        <v>20190304164305036</v>
      </c>
      <c r="B7338" t="str">
        <f>"1551688985028851"</f>
        <v>1551688985028851</v>
      </c>
      <c r="C7338" t="s">
        <v>40</v>
      </c>
      <c r="D7338">
        <v>4.6749179999999999</v>
      </c>
      <c r="E7338">
        <v>0.53972589999999998</v>
      </c>
      <c r="F7338" t="s">
        <v>42</v>
      </c>
      <c r="G7338">
        <v>-189.0685</v>
      </c>
      <c r="H7338" s="1">
        <v>-4.18889E-6</v>
      </c>
      <c r="I7338">
        <v>-10.98798</v>
      </c>
      <c r="J7338">
        <v>-188.7517</v>
      </c>
      <c r="K7338">
        <v>1.1145210000000001</v>
      </c>
      <c r="L7338">
        <v>-22.27515</v>
      </c>
      <c r="M7338">
        <v>0.11017879999999999</v>
      </c>
      <c r="N7338">
        <v>-1.2864489999999999E-2</v>
      </c>
      <c r="O7338">
        <v>0.9938285</v>
      </c>
      <c r="P7338">
        <v>-0.1069422</v>
      </c>
      <c r="Q7338">
        <v>0.38711800000000002</v>
      </c>
      <c r="R7338">
        <v>0.91580729999999999</v>
      </c>
      <c r="S7338">
        <v>-8.4213259999999998E-2</v>
      </c>
      <c r="T7338">
        <v>-0.3274012</v>
      </c>
      <c r="U7338">
        <v>3.40448</v>
      </c>
      <c r="V7338">
        <v>-0.21096239999999999</v>
      </c>
      <c r="W7338">
        <v>0.39666689999999999</v>
      </c>
      <c r="X7338">
        <v>0.89339249999999903</v>
      </c>
      <c r="Y7338">
        <v>-0.13455239999999999</v>
      </c>
      <c r="Z7338">
        <v>-8.1572190000000003E-2</v>
      </c>
      <c r="AA7338">
        <v>0.98754319999999896</v>
      </c>
      <c r="AB7338">
        <v>30</v>
      </c>
      <c r="AC7338">
        <v>-0.31680000000000003</v>
      </c>
      <c r="AD7338">
        <v>-1.1145251888900001</v>
      </c>
      <c r="AE7338">
        <v>11.28717</v>
      </c>
      <c r="AF7338">
        <v>-1.54354285676166</v>
      </c>
      <c r="AG7338">
        <v>-1.1145251888900001</v>
      </c>
      <c r="AH7338">
        <v>11.0756286849959</v>
      </c>
      <c r="AI7338">
        <v>95.691611446135198</v>
      </c>
      <c r="AJ7338">
        <v>97.933862282896698</v>
      </c>
      <c r="AK7338">
        <v>11.2380710851656</v>
      </c>
      <c r="AL7338">
        <v>66.630024074696607</v>
      </c>
      <c r="AM7338">
        <v>103.286233522199</v>
      </c>
      <c r="AN7338">
        <v>0.999999961412809</v>
      </c>
    </row>
    <row r="7339" spans="1:40" x14ac:dyDescent="0.25">
      <c r="A7339" t="str">
        <f>"20190304164305060"</f>
        <v>20190304164305060</v>
      </c>
      <c r="B7339" t="str">
        <f>"1551688985048370"</f>
        <v>1551688985048370</v>
      </c>
      <c r="C7339" t="s">
        <v>40</v>
      </c>
      <c r="D7339">
        <v>4.6878339999999996</v>
      </c>
      <c r="E7339">
        <v>0.53989770000000004</v>
      </c>
      <c r="F7339" t="s">
        <v>42</v>
      </c>
      <c r="G7339">
        <v>-189.0453</v>
      </c>
      <c r="H7339" s="1">
        <v>-4.1697920000000001E-6</v>
      </c>
      <c r="I7339">
        <v>-11.042059999999999</v>
      </c>
      <c r="J7339">
        <v>-188.72370000000001</v>
      </c>
      <c r="K7339">
        <v>1.1142339999999999</v>
      </c>
      <c r="L7339">
        <v>-21.981480000000001</v>
      </c>
      <c r="M7339">
        <v>0.1058973</v>
      </c>
      <c r="N7339">
        <v>-1.28734E-2</v>
      </c>
      <c r="O7339">
        <v>0.99429369999999995</v>
      </c>
      <c r="P7339">
        <v>-0.1070811</v>
      </c>
      <c r="Q7339">
        <v>0.38756679999999999</v>
      </c>
      <c r="R7339">
        <v>0.91560129999999995</v>
      </c>
      <c r="S7339">
        <v>-8.9111330000000002E-2</v>
      </c>
      <c r="T7339">
        <v>-0.33817039999999998</v>
      </c>
      <c r="U7339">
        <v>3.4083559999999999</v>
      </c>
      <c r="V7339">
        <v>-0.2069443</v>
      </c>
      <c r="W7339">
        <v>0.39730680000000002</v>
      </c>
      <c r="X7339">
        <v>0.894047699999999</v>
      </c>
      <c r="Y7339">
        <v>-0.13166729999999999</v>
      </c>
      <c r="Z7339">
        <v>-8.4618460000000006E-2</v>
      </c>
      <c r="AA7339">
        <v>0.98767579999999999</v>
      </c>
      <c r="AB7339">
        <v>30</v>
      </c>
      <c r="AC7339">
        <v>-0.32159999999998901</v>
      </c>
      <c r="AD7339">
        <v>-1.1142381697920001</v>
      </c>
      <c r="AE7339">
        <v>10.939419999999901</v>
      </c>
      <c r="AF7339">
        <v>-1.46317583500763</v>
      </c>
      <c r="AG7339">
        <v>-1.1142381697920001</v>
      </c>
      <c r="AH7339">
        <v>10.7325896286623</v>
      </c>
      <c r="AI7339">
        <v>95.873168337430698</v>
      </c>
      <c r="AJ7339">
        <v>97.763283881296005</v>
      </c>
      <c r="AK7339">
        <v>10.8890261438038</v>
      </c>
      <c r="AL7339">
        <v>66.590077942982106</v>
      </c>
      <c r="AM7339">
        <v>103.032675911928</v>
      </c>
      <c r="AN7339">
        <v>0.99999996325200902</v>
      </c>
    </row>
    <row r="7340" spans="1:40" x14ac:dyDescent="0.25">
      <c r="A7340" t="str">
        <f>"20190304164305080"</f>
        <v>20190304164305080</v>
      </c>
      <c r="B7340" t="str">
        <f>"1551688985067890"</f>
        <v>1551688985067890</v>
      </c>
      <c r="C7340" t="s">
        <v>40</v>
      </c>
      <c r="D7340">
        <v>4.6343560000000004</v>
      </c>
      <c r="E7340">
        <v>0.54022700000000001</v>
      </c>
      <c r="F7340" t="s">
        <v>42</v>
      </c>
      <c r="G7340">
        <v>-189.03309999999999</v>
      </c>
      <c r="H7340" s="1">
        <v>-4.2715060000000003E-6</v>
      </c>
      <c r="I7340">
        <v>-10.81002</v>
      </c>
      <c r="J7340">
        <v>-188.69829999999999</v>
      </c>
      <c r="K7340">
        <v>1.1139289999999999</v>
      </c>
      <c r="L7340">
        <v>-21.705749999999998</v>
      </c>
      <c r="M7340">
        <v>0.10226</v>
      </c>
      <c r="N7340">
        <v>-1.2857179999999999E-2</v>
      </c>
      <c r="O7340">
        <v>0.99467459999999996</v>
      </c>
      <c r="P7340">
        <v>-0.1063352</v>
      </c>
      <c r="Q7340">
        <v>0.38802789999999998</v>
      </c>
      <c r="R7340">
        <v>0.9154928</v>
      </c>
      <c r="S7340">
        <v>-9.4421389999999994E-2</v>
      </c>
      <c r="T7340">
        <v>-0.3400553</v>
      </c>
      <c r="U7340">
        <v>3.409424</v>
      </c>
      <c r="V7340">
        <v>-0.2026271</v>
      </c>
      <c r="W7340">
        <v>0.39794020000000002</v>
      </c>
      <c r="X7340">
        <v>0.89475459999999996</v>
      </c>
      <c r="Y7340">
        <v>-0.12957050000000001</v>
      </c>
      <c r="Z7340">
        <v>-8.5210579999999994E-2</v>
      </c>
      <c r="AA7340">
        <v>0.98790219999999995</v>
      </c>
      <c r="AB7340">
        <v>30</v>
      </c>
      <c r="AC7340">
        <v>-0.33480000000000099</v>
      </c>
      <c r="AD7340">
        <v>-1.113933271506</v>
      </c>
      <c r="AE7340">
        <v>10.89573</v>
      </c>
      <c r="AF7340">
        <v>-1.4323767604389701</v>
      </c>
      <c r="AG7340">
        <v>-1.113933271506</v>
      </c>
      <c r="AH7340">
        <v>10.692706067867199</v>
      </c>
      <c r="AI7340">
        <v>95.895161835085702</v>
      </c>
      <c r="AJ7340">
        <v>97.629823144516493</v>
      </c>
      <c r="AK7340">
        <v>10.845575760235899</v>
      </c>
      <c r="AL7340">
        <v>66.550525805485805</v>
      </c>
      <c r="AM7340">
        <v>102.76003886104699</v>
      </c>
      <c r="AN7340">
        <v>0.99999996932580404</v>
      </c>
    </row>
    <row r="7341" spans="1:40" x14ac:dyDescent="0.25">
      <c r="A7341" t="str">
        <f>"20190304164305104"</f>
        <v>20190304164305104</v>
      </c>
      <c r="B7341" t="str">
        <f>"1551688985098146"</f>
        <v>1551688985098146</v>
      </c>
      <c r="C7341" t="s">
        <v>40</v>
      </c>
      <c r="D7341">
        <v>4.9191539999999998</v>
      </c>
      <c r="E7341">
        <v>0.5404196</v>
      </c>
      <c r="F7341" t="s">
        <v>42</v>
      </c>
      <c r="G7341">
        <v>-189.00739999999999</v>
      </c>
      <c r="H7341" s="1">
        <v>-4.3345620000000002E-6</v>
      </c>
      <c r="I7341">
        <v>-10.673679999999999</v>
      </c>
      <c r="J7341">
        <v>-188.67150000000001</v>
      </c>
      <c r="K7341">
        <v>1.1135930000000001</v>
      </c>
      <c r="L7341">
        <v>-21.407779999999999</v>
      </c>
      <c r="M7341">
        <v>9.8761779999999993E-2</v>
      </c>
      <c r="N7341">
        <v>-1.281878E-2</v>
      </c>
      <c r="O7341">
        <v>0.99502860000000004</v>
      </c>
      <c r="P7341">
        <v>-0.1066535</v>
      </c>
      <c r="Q7341">
        <v>0.38917800000000002</v>
      </c>
      <c r="R7341">
        <v>0.91496750000000004</v>
      </c>
      <c r="S7341">
        <v>-9.5581050000000001E-2</v>
      </c>
      <c r="T7341">
        <v>-0.344501</v>
      </c>
      <c r="U7341">
        <v>3.411835</v>
      </c>
      <c r="V7341">
        <v>-0.19941439999999999</v>
      </c>
      <c r="W7341">
        <v>0.39924130000000002</v>
      </c>
      <c r="X7341">
        <v>0.89489680000000005</v>
      </c>
      <c r="Y7341">
        <v>-0.12639800000000001</v>
      </c>
      <c r="Z7341">
        <v>-8.6523399999999903E-2</v>
      </c>
      <c r="AA7341">
        <v>0.98819900000000005</v>
      </c>
      <c r="AB7341">
        <v>30</v>
      </c>
      <c r="AC7341">
        <v>-0.33589999999998099</v>
      </c>
      <c r="AD7341">
        <v>-1.1135973345620001</v>
      </c>
      <c r="AE7341">
        <v>10.7340999999999</v>
      </c>
      <c r="AF7341">
        <v>-1.37962927509708</v>
      </c>
      <c r="AG7341">
        <v>-1.1135973345620001</v>
      </c>
      <c r="AH7341">
        <v>10.5351598181475</v>
      </c>
      <c r="AI7341">
        <v>95.983216021785495</v>
      </c>
      <c r="AJ7341">
        <v>97.460699867670698</v>
      </c>
      <c r="AK7341">
        <v>10.6833079312617</v>
      </c>
      <c r="AL7341">
        <v>66.469242971833197</v>
      </c>
      <c r="AM7341">
        <v>102.562265094845</v>
      </c>
      <c r="AN7341">
        <v>1.0000000006016401</v>
      </c>
    </row>
    <row r="7342" spans="1:40" x14ac:dyDescent="0.25">
      <c r="A7342" t="str">
        <f>"20190304164305126"</f>
        <v>20190304164305126</v>
      </c>
      <c r="B7342" t="str">
        <f>"1551688985118642"</f>
        <v>1551688985118642</v>
      </c>
      <c r="C7342" t="s">
        <v>40</v>
      </c>
      <c r="D7342">
        <v>4.5653420000000002</v>
      </c>
      <c r="E7342">
        <v>0.54069489999999998</v>
      </c>
      <c r="F7342" t="s">
        <v>42</v>
      </c>
      <c r="G7342">
        <v>-188.98929999999999</v>
      </c>
      <c r="H7342" s="1">
        <v>-4.4611030000000002E-6</v>
      </c>
      <c r="I7342">
        <v>-10.38616</v>
      </c>
      <c r="J7342">
        <v>-188.64420000000001</v>
      </c>
      <c r="K7342">
        <v>1.113253</v>
      </c>
      <c r="L7342">
        <v>-21.096219999999999</v>
      </c>
      <c r="M7342">
        <v>9.5576410000000001E-2</v>
      </c>
      <c r="N7342">
        <v>-1.27574E-2</v>
      </c>
      <c r="O7342">
        <v>0.99534029999999996</v>
      </c>
      <c r="P7342">
        <v>-0.1067747</v>
      </c>
      <c r="Q7342">
        <v>0.3899435</v>
      </c>
      <c r="R7342">
        <v>0.91462739999999998</v>
      </c>
      <c r="S7342">
        <v>-9.8449709999999996E-2</v>
      </c>
      <c r="T7342">
        <v>-0.3449488</v>
      </c>
      <c r="U7342">
        <v>3.4140630000000001</v>
      </c>
      <c r="V7342">
        <v>-0.19630040000000001</v>
      </c>
      <c r="W7342">
        <v>0.40013609999999999</v>
      </c>
      <c r="X7342">
        <v>0.89518560000000003</v>
      </c>
      <c r="Y7342">
        <v>-0.12403599999999999</v>
      </c>
      <c r="Z7342">
        <v>-8.670899E-2</v>
      </c>
      <c r="AA7342">
        <v>0.98848199999999997</v>
      </c>
      <c r="AB7342">
        <v>30</v>
      </c>
      <c r="AC7342">
        <v>-0.34509999999997298</v>
      </c>
      <c r="AD7342">
        <v>-1.1132574611029999</v>
      </c>
      <c r="AE7342">
        <v>10.71006</v>
      </c>
      <c r="AF7342">
        <v>-1.35263288931019</v>
      </c>
      <c r="AG7342">
        <v>-1.1132574611029999</v>
      </c>
      <c r="AH7342">
        <v>10.5145489352798</v>
      </c>
      <c r="AI7342">
        <v>95.994797989065205</v>
      </c>
      <c r="AJ7342">
        <v>97.330493054283494</v>
      </c>
      <c r="AK7342">
        <v>10.6594886003193</v>
      </c>
      <c r="AL7342">
        <v>66.413313029120005</v>
      </c>
      <c r="AM7342">
        <v>102.36831457164701</v>
      </c>
      <c r="AN7342">
        <v>1.0000000020053601</v>
      </c>
    </row>
    <row r="7343" spans="1:40" x14ac:dyDescent="0.25">
      <c r="A7343" t="str">
        <f>"20190304164305148"</f>
        <v>20190304164305148</v>
      </c>
      <c r="B7343" t="str">
        <f>"1551688985138162"</f>
        <v>1551688985138162</v>
      </c>
      <c r="C7343" t="s">
        <v>40</v>
      </c>
      <c r="D7343">
        <v>4.5639940000000001</v>
      </c>
      <c r="E7343">
        <v>0.54082450000000004</v>
      </c>
      <c r="F7343" t="s">
        <v>42</v>
      </c>
      <c r="G7343">
        <v>-188.95590000000001</v>
      </c>
      <c r="H7343" s="1">
        <v>-3.7032969999999998E-7</v>
      </c>
      <c r="I7343">
        <v>-10.080030000000001</v>
      </c>
      <c r="J7343">
        <v>-188.61869999999999</v>
      </c>
      <c r="K7343">
        <v>1.1129910000000001</v>
      </c>
      <c r="L7343">
        <v>-20.79956</v>
      </c>
      <c r="M7343">
        <v>9.2853740000000004E-2</v>
      </c>
      <c r="N7343">
        <v>-1.269055E-2</v>
      </c>
      <c r="O7343">
        <v>0.99559889999999995</v>
      </c>
      <c r="P7343">
        <v>-0.1062722</v>
      </c>
      <c r="Q7343">
        <v>0.38977450000000002</v>
      </c>
      <c r="R7343">
        <v>0.91475790000000001</v>
      </c>
      <c r="S7343">
        <v>-9.6664429999999996E-2</v>
      </c>
      <c r="T7343">
        <v>-0.3451999</v>
      </c>
      <c r="U7343">
        <v>3.415924</v>
      </c>
      <c r="V7343">
        <v>-0.19308980000000001</v>
      </c>
      <c r="W7343">
        <v>0.40005960000000002</v>
      </c>
      <c r="X7343">
        <v>0.89591779999999999</v>
      </c>
      <c r="Y7343">
        <v>-0.12079239999999999</v>
      </c>
      <c r="Z7343">
        <v>-8.6854199999999895E-2</v>
      </c>
      <c r="AA7343">
        <v>0.9888709</v>
      </c>
      <c r="AB7343">
        <v>30</v>
      </c>
      <c r="AC7343">
        <v>-0.33720000000002398</v>
      </c>
      <c r="AD7343">
        <v>-1.1129913703296901</v>
      </c>
      <c r="AE7343">
        <v>10.719530000000001</v>
      </c>
      <c r="AF7343">
        <v>-1.3169880406138701</v>
      </c>
      <c r="AG7343">
        <v>-1.1129913703296901</v>
      </c>
      <c r="AH7343">
        <v>10.528510146500899</v>
      </c>
      <c r="AI7343">
        <v>95.988124696878899</v>
      </c>
      <c r="AJ7343">
        <v>97.129968770107396</v>
      </c>
      <c r="AK7343">
        <v>10.6687737437121</v>
      </c>
      <c r="AL7343">
        <v>66.418096320580304</v>
      </c>
      <c r="AM7343">
        <v>102.16245208268499</v>
      </c>
      <c r="AN7343">
        <v>1.0000000293865099</v>
      </c>
    </row>
    <row r="7344" spans="1:40" x14ac:dyDescent="0.25">
      <c r="A7344" t="str">
        <f>"20190304164305169"</f>
        <v>20190304164305169</v>
      </c>
      <c r="B7344" t="str">
        <f>"1551688985158658"</f>
        <v>1551688985158658</v>
      </c>
      <c r="C7344" t="s">
        <v>40</v>
      </c>
      <c r="D7344">
        <v>4.5510390000000003</v>
      </c>
      <c r="E7344">
        <v>0.54105429999999999</v>
      </c>
      <c r="F7344" t="s">
        <v>42</v>
      </c>
      <c r="G7344">
        <v>-188.9211</v>
      </c>
      <c r="H7344" s="1">
        <v>-4.4525149999999998E-7</v>
      </c>
      <c r="I7344">
        <v>-9.8870679999999993</v>
      </c>
      <c r="J7344">
        <v>-188.5959</v>
      </c>
      <c r="K7344">
        <v>1.1127860000000001</v>
      </c>
      <c r="L7344">
        <v>-20.528079999999999</v>
      </c>
      <c r="M7344">
        <v>9.0606729999999996E-2</v>
      </c>
      <c r="N7344">
        <v>-1.2621759999999999E-2</v>
      </c>
      <c r="O7344">
        <v>0.99580679999999999</v>
      </c>
      <c r="P7344">
        <v>-0.104924</v>
      </c>
      <c r="Q7344">
        <v>0.38897280000000001</v>
      </c>
      <c r="R7344">
        <v>0.91525469999999998</v>
      </c>
      <c r="S7344">
        <v>-9.4696039999999995E-2</v>
      </c>
      <c r="T7344">
        <v>-0.34851339999999997</v>
      </c>
      <c r="U7344">
        <v>3.4170530000000001</v>
      </c>
      <c r="V7344">
        <v>-0.18955859999999999</v>
      </c>
      <c r="W7344">
        <v>0.39932129999999999</v>
      </c>
      <c r="X7344">
        <v>0.89700059999999904</v>
      </c>
      <c r="Y7344">
        <v>-0.1179727</v>
      </c>
      <c r="Z7344">
        <v>-8.7886640000000002E-2</v>
      </c>
      <c r="AA7344">
        <v>0.98912</v>
      </c>
      <c r="AB7344">
        <v>30</v>
      </c>
      <c r="AC7344">
        <v>-0.32519999999999499</v>
      </c>
      <c r="AD7344">
        <v>-1.1127864452514999</v>
      </c>
      <c r="AE7344">
        <v>10.641012</v>
      </c>
      <c r="AF7344">
        <v>-1.2741649891703699</v>
      </c>
      <c r="AG7344">
        <v>-1.1127864452514999</v>
      </c>
      <c r="AH7344">
        <v>10.4535550087112</v>
      </c>
      <c r="AI7344">
        <v>96.031973580123307</v>
      </c>
      <c r="AJ7344">
        <v>96.949399523705296</v>
      </c>
      <c r="AK7344">
        <v>10.589551568055899</v>
      </c>
      <c r="AL7344">
        <v>66.464243977813993</v>
      </c>
      <c r="AM7344">
        <v>101.93246692310299</v>
      </c>
      <c r="AN7344">
        <v>1.000000019934</v>
      </c>
    </row>
    <row r="7345" spans="1:40" x14ac:dyDescent="0.25">
      <c r="A7345" t="str">
        <f>"20190304164305192"</f>
        <v>20190304164305192</v>
      </c>
      <c r="B7345" t="str">
        <f>"1551688985187938"</f>
        <v>1551688985187938</v>
      </c>
      <c r="C7345" t="s">
        <v>40</v>
      </c>
      <c r="D7345">
        <v>4.5880850000000004</v>
      </c>
      <c r="E7345">
        <v>0.54142029999999997</v>
      </c>
      <c r="F7345" t="s">
        <v>42</v>
      </c>
      <c r="G7345">
        <v>-188.88249999999999</v>
      </c>
      <c r="H7345" s="1">
        <v>-4.8565189999999997E-7</v>
      </c>
      <c r="I7345">
        <v>-9.7985740000000003</v>
      </c>
      <c r="J7345">
        <v>-188.57069999999999</v>
      </c>
      <c r="K7345">
        <v>1.1125860000000001</v>
      </c>
      <c r="L7345">
        <v>-20.222439999999999</v>
      </c>
      <c r="M7345">
        <v>8.8351150000000003E-2</v>
      </c>
      <c r="N7345">
        <v>-1.253084E-2</v>
      </c>
      <c r="O7345">
        <v>0.99601050000000002</v>
      </c>
      <c r="P7345">
        <v>-0.10327799999999999</v>
      </c>
      <c r="Q7345">
        <v>0.38906990000000002</v>
      </c>
      <c r="R7345">
        <v>0.91540060000000001</v>
      </c>
      <c r="S7345">
        <v>-9.1293330000000006E-2</v>
      </c>
      <c r="T7345">
        <v>-0.35448689999999999</v>
      </c>
      <c r="U7345">
        <v>3.4179689999999998</v>
      </c>
      <c r="V7345">
        <v>-0.18569459999999999</v>
      </c>
      <c r="W7345">
        <v>0.39945639999999999</v>
      </c>
      <c r="X7345">
        <v>0.8977484</v>
      </c>
      <c r="Y7345">
        <v>-0.1147292</v>
      </c>
      <c r="Z7345">
        <v>-8.9709419999999998E-2</v>
      </c>
      <c r="AA7345">
        <v>0.98933789999999999</v>
      </c>
      <c r="AB7345">
        <v>30</v>
      </c>
      <c r="AC7345">
        <v>-0.31180000000000502</v>
      </c>
      <c r="AD7345">
        <v>-1.1125864856518899</v>
      </c>
      <c r="AE7345">
        <v>10.423866</v>
      </c>
      <c r="AF7345">
        <v>-1.2177528487201701</v>
      </c>
      <c r="AG7345">
        <v>-1.1125864856518899</v>
      </c>
      <c r="AH7345">
        <v>10.2390047200971</v>
      </c>
      <c r="AI7345">
        <v>96.158453119958395</v>
      </c>
      <c r="AJ7345">
        <v>96.782484175310799</v>
      </c>
      <c r="AK7345">
        <v>10.3710167460472</v>
      </c>
      <c r="AL7345">
        <v>66.455801302401298</v>
      </c>
      <c r="AM7345">
        <v>101.686526426863</v>
      </c>
      <c r="AN7345">
        <v>1.00000004483633</v>
      </c>
    </row>
    <row r="7346" spans="1:40" x14ac:dyDescent="0.25">
      <c r="A7346" t="str">
        <f>"20190304164305207"</f>
        <v>20190304164305207</v>
      </c>
      <c r="B7346" t="str">
        <f>"1551688985198675"</f>
        <v>1551688985198675</v>
      </c>
      <c r="C7346" t="s">
        <v>40</v>
      </c>
      <c r="D7346">
        <v>4.5498010000000004</v>
      </c>
      <c r="E7346">
        <v>0.54150220000000004</v>
      </c>
      <c r="F7346" t="s">
        <v>42</v>
      </c>
      <c r="G7346">
        <v>-188.8383</v>
      </c>
      <c r="H7346" s="1">
        <v>-5.6225310000000002E-7</v>
      </c>
      <c r="I7346">
        <v>-9.6079709999999992</v>
      </c>
      <c r="J7346">
        <v>-188.55439999999999</v>
      </c>
      <c r="K7346">
        <v>1.112455</v>
      </c>
      <c r="L7346">
        <v>-20.02176</v>
      </c>
      <c r="M7346">
        <v>8.6999149999999997E-2</v>
      </c>
      <c r="N7346">
        <v>-1.246533E-2</v>
      </c>
      <c r="O7346">
        <v>0.99613039999999997</v>
      </c>
      <c r="P7346">
        <v>-0.102995699999999</v>
      </c>
      <c r="Q7346">
        <v>0.38961109999999999</v>
      </c>
      <c r="R7346">
        <v>0.91520230000000002</v>
      </c>
      <c r="S7346">
        <v>-8.6242680000000002E-2</v>
      </c>
      <c r="T7346">
        <v>-0.3584657</v>
      </c>
      <c r="U7346">
        <v>3.4198909999999998</v>
      </c>
      <c r="V7346">
        <v>-0.18405189999999999</v>
      </c>
      <c r="W7346">
        <v>0.40000229999999998</v>
      </c>
      <c r="X7346">
        <v>0.89784349999999902</v>
      </c>
      <c r="Y7346">
        <v>-0.1119045</v>
      </c>
      <c r="Z7346">
        <v>-9.0891680000000002E-2</v>
      </c>
      <c r="AA7346">
        <v>0.98955349999999997</v>
      </c>
      <c r="AB7346">
        <v>30</v>
      </c>
      <c r="AC7346">
        <v>-0.28390000000001597</v>
      </c>
      <c r="AD7346">
        <v>-1.1124555622531</v>
      </c>
      <c r="AE7346">
        <v>10.413789</v>
      </c>
      <c r="AF7346">
        <v>-1.1754803877551401</v>
      </c>
      <c r="AG7346">
        <v>-1.1124555622531</v>
      </c>
      <c r="AH7346">
        <v>10.2329093223012</v>
      </c>
      <c r="AI7346">
        <v>96.164237242606106</v>
      </c>
      <c r="AJ7346">
        <v>96.552989262191005</v>
      </c>
      <c r="AK7346">
        <v>10.3601035090593</v>
      </c>
      <c r="AL7346">
        <v>66.421676392193007</v>
      </c>
      <c r="AM7346">
        <v>101.584757705313</v>
      </c>
      <c r="AN7346">
        <v>0.99999994619557298</v>
      </c>
    </row>
    <row r="7347" spans="1:40" x14ac:dyDescent="0.25">
      <c r="A7347" t="str">
        <f>"20190304164305226"</f>
        <v>20190304164305226</v>
      </c>
      <c r="B7347" t="str">
        <f>"1551688985218195"</f>
        <v>1551688985218195</v>
      </c>
      <c r="C7347" t="s">
        <v>40</v>
      </c>
      <c r="D7347">
        <v>4.5234719999999999</v>
      </c>
      <c r="E7347">
        <v>0.54161419999999905</v>
      </c>
      <c r="F7347" t="s">
        <v>42</v>
      </c>
      <c r="G7347">
        <v>-188.82329999999999</v>
      </c>
      <c r="H7347" s="1">
        <v>-6.4242389999999996E-7</v>
      </c>
      <c r="I7347">
        <v>-9.3841769999999993</v>
      </c>
      <c r="J7347">
        <v>-188.53460000000001</v>
      </c>
      <c r="K7347">
        <v>1.112296</v>
      </c>
      <c r="L7347">
        <v>-19.775569999999998</v>
      </c>
      <c r="M7347">
        <v>8.5462780000000002E-2</v>
      </c>
      <c r="N7347">
        <v>-1.237983E-2</v>
      </c>
      <c r="O7347">
        <v>0.9962645</v>
      </c>
      <c r="P7347">
        <v>-0.10184849999999999</v>
      </c>
      <c r="Q7347">
        <v>0.39049970000000001</v>
      </c>
      <c r="R7347">
        <v>0.91495179999999998</v>
      </c>
      <c r="S7347">
        <v>-8.6471560000000003E-2</v>
      </c>
      <c r="T7347">
        <v>-0.3577089</v>
      </c>
      <c r="U7347">
        <v>3.4205019999999902</v>
      </c>
      <c r="V7347">
        <v>-0.18135490000000001</v>
      </c>
      <c r="W7347">
        <v>0.40089229999999998</v>
      </c>
      <c r="X7347">
        <v>0.8979954</v>
      </c>
      <c r="Y7347">
        <v>-0.1104358</v>
      </c>
      <c r="Z7347">
        <v>-9.0772080000000005E-2</v>
      </c>
      <c r="AA7347">
        <v>0.98972950000000004</v>
      </c>
      <c r="AB7347">
        <v>30</v>
      </c>
      <c r="AC7347">
        <v>-0.28869999999997698</v>
      </c>
      <c r="AD7347">
        <v>-1.1122966424239</v>
      </c>
      <c r="AE7347">
        <v>10.3913929999999</v>
      </c>
      <c r="AF7347">
        <v>-1.1624799804288299</v>
      </c>
      <c r="AG7347">
        <v>-1.1122966424239</v>
      </c>
      <c r="AH7347">
        <v>10.2117815627154</v>
      </c>
      <c r="AI7347">
        <v>96.176733021008303</v>
      </c>
      <c r="AJ7347">
        <v>96.494430270532803</v>
      </c>
      <c r="AK7347">
        <v>10.337748604520201</v>
      </c>
      <c r="AL7347">
        <v>66.366027361236704</v>
      </c>
      <c r="AM7347">
        <v>101.417611567796</v>
      </c>
      <c r="AN7347">
        <v>0.99999998718722904</v>
      </c>
    </row>
    <row r="7348" spans="1:40" x14ac:dyDescent="0.25">
      <c r="A7348" t="str">
        <f>"20190304164305249"</f>
        <v>20190304164305249</v>
      </c>
      <c r="B7348" t="str">
        <f>"1551688985238691"</f>
        <v>1551688985238691</v>
      </c>
      <c r="C7348" t="s">
        <v>40</v>
      </c>
      <c r="D7348">
        <v>4.4450089999999998</v>
      </c>
      <c r="E7348">
        <v>0.54174049999999996</v>
      </c>
      <c r="F7348" t="s">
        <v>42</v>
      </c>
      <c r="G7348">
        <v>-188.79660000000001</v>
      </c>
      <c r="H7348" s="1">
        <v>-7.7866619999999995E-7</v>
      </c>
      <c r="I7348">
        <v>-9.0497189999999996</v>
      </c>
      <c r="J7348">
        <v>-188.51050000000001</v>
      </c>
      <c r="K7348">
        <v>1.1121000000000001</v>
      </c>
      <c r="L7348">
        <v>-19.470790000000001</v>
      </c>
      <c r="M7348">
        <v>8.3718719999999996E-2</v>
      </c>
      <c r="N7348">
        <v>-1.226445E-2</v>
      </c>
      <c r="O7348">
        <v>0.99641389999999996</v>
      </c>
      <c r="P7348">
        <v>-0.1011128</v>
      </c>
      <c r="Q7348">
        <v>0.39088479999999998</v>
      </c>
      <c r="R7348">
        <v>0.91486900000000004</v>
      </c>
      <c r="S7348">
        <v>-8.3557129999999993E-2</v>
      </c>
      <c r="T7348">
        <v>-0.35476170000000001</v>
      </c>
      <c r="U7348">
        <v>3.4209589999999999</v>
      </c>
      <c r="V7348">
        <v>-0.1788691</v>
      </c>
      <c r="W7348">
        <v>0.40126099999999998</v>
      </c>
      <c r="X7348">
        <v>0.8983293</v>
      </c>
      <c r="Y7348">
        <v>-0.10785450000000001</v>
      </c>
      <c r="Z7348">
        <v>-9.0071410000000005E-2</v>
      </c>
      <c r="AA7348">
        <v>0.99007800000000001</v>
      </c>
      <c r="AB7348">
        <v>30</v>
      </c>
      <c r="AC7348">
        <v>-0.28610000000000402</v>
      </c>
      <c r="AD7348">
        <v>-1.1121007786661901</v>
      </c>
      <c r="AE7348">
        <v>10.421071</v>
      </c>
      <c r="AF7348">
        <v>-1.1445747795919701</v>
      </c>
      <c r="AG7348">
        <v>-1.1121007786661901</v>
      </c>
      <c r="AH7348">
        <v>10.243953207543401</v>
      </c>
      <c r="AI7348">
        <v>96.157840577411704</v>
      </c>
      <c r="AJ7348">
        <v>96.375315462864407</v>
      </c>
      <c r="AK7348">
        <v>10.3675164280712</v>
      </c>
      <c r="AL7348">
        <v>66.3429675832258</v>
      </c>
      <c r="AM7348">
        <v>101.26106102371</v>
      </c>
      <c r="AN7348">
        <v>1.0000000381471399</v>
      </c>
    </row>
    <row r="7349" spans="1:40" x14ac:dyDescent="0.25">
      <c r="A7349" t="str">
        <f>"20190304164305269"</f>
        <v>20190304164305269</v>
      </c>
      <c r="B7349" t="str">
        <f>"1551688985258210"</f>
        <v>1551688985258210</v>
      </c>
      <c r="C7349" t="s">
        <v>40</v>
      </c>
      <c r="D7349">
        <v>4.4640269999999997</v>
      </c>
      <c r="E7349">
        <v>0.54197620000000002</v>
      </c>
      <c r="F7349" t="s">
        <v>42</v>
      </c>
      <c r="G7349">
        <v>-188.7672</v>
      </c>
      <c r="H7349" s="1">
        <v>-9.1935610000000004E-7</v>
      </c>
      <c r="I7349">
        <v>-8.7339129999999994</v>
      </c>
      <c r="J7349">
        <v>-188.4889</v>
      </c>
      <c r="K7349">
        <v>1.1119479999999999</v>
      </c>
      <c r="L7349">
        <v>-19.193539999999999</v>
      </c>
      <c r="M7349">
        <v>8.2256590000000004E-2</v>
      </c>
      <c r="N7349">
        <v>-1.215373E-2</v>
      </c>
      <c r="O7349">
        <v>0.99653709999999995</v>
      </c>
      <c r="P7349">
        <v>-9.942819E-2</v>
      </c>
      <c r="Q7349">
        <v>0.3904763</v>
      </c>
      <c r="R7349">
        <v>0.91522800000000004</v>
      </c>
      <c r="S7349">
        <v>-8.1802369999999999E-2</v>
      </c>
      <c r="T7349">
        <v>-0.35439490000000001</v>
      </c>
      <c r="U7349">
        <v>3.4215390000000001</v>
      </c>
      <c r="V7349">
        <v>-0.175756299999999</v>
      </c>
      <c r="W7349">
        <v>0.40083340000000001</v>
      </c>
      <c r="X7349">
        <v>0.899134199999999</v>
      </c>
      <c r="Y7349">
        <v>-0.1058862</v>
      </c>
      <c r="Z7349">
        <v>-9.0090669999999998E-2</v>
      </c>
      <c r="AA7349">
        <v>0.99028870000000002</v>
      </c>
      <c r="AB7349">
        <v>30</v>
      </c>
      <c r="AC7349">
        <v>-0.27830000000000099</v>
      </c>
      <c r="AD7349">
        <v>-1.1119489193561001</v>
      </c>
      <c r="AE7349">
        <v>10.4596269999999</v>
      </c>
      <c r="AF7349">
        <v>-1.12508731802475</v>
      </c>
      <c r="AG7349">
        <v>-1.1119489193561001</v>
      </c>
      <c r="AH7349">
        <v>10.28512686356</v>
      </c>
      <c r="AI7349">
        <v>96.134103480934698</v>
      </c>
      <c r="AJ7349">
        <v>96.242748707040604</v>
      </c>
      <c r="AK7349">
        <v>10.406060084006899</v>
      </c>
      <c r="AL7349">
        <v>66.369711335375499</v>
      </c>
      <c r="AM7349">
        <v>101.060305035041</v>
      </c>
      <c r="AN7349">
        <v>1.0000000005774401</v>
      </c>
    </row>
    <row r="7350" spans="1:40" x14ac:dyDescent="0.25">
      <c r="A7350" t="str">
        <f>"20190304164305293"</f>
        <v>20190304164305293</v>
      </c>
      <c r="B7350" t="str">
        <f>"1551688985288466"</f>
        <v>1551688985288466</v>
      </c>
      <c r="C7350" t="s">
        <v>40</v>
      </c>
      <c r="D7350">
        <v>4.4400729999999999</v>
      </c>
      <c r="E7350">
        <v>0.54229890000000003</v>
      </c>
      <c r="F7350" t="s">
        <v>42</v>
      </c>
      <c r="G7350">
        <v>-188.73390000000001</v>
      </c>
      <c r="H7350" s="1">
        <v>-9.9522500000000007E-7</v>
      </c>
      <c r="I7350">
        <v>-8.5708559999999991</v>
      </c>
      <c r="J7350">
        <v>-188.4658</v>
      </c>
      <c r="K7350">
        <v>1.111804</v>
      </c>
      <c r="L7350">
        <v>-18.894169999999999</v>
      </c>
      <c r="M7350">
        <v>8.0812800000000004E-2</v>
      </c>
      <c r="N7350">
        <v>-1.202874E-2</v>
      </c>
      <c r="O7350">
        <v>0.99665669999999995</v>
      </c>
      <c r="P7350">
        <v>-9.7290059999999998E-2</v>
      </c>
      <c r="Q7350">
        <v>0.38996320000000001</v>
      </c>
      <c r="R7350">
        <v>0.9156765</v>
      </c>
      <c r="S7350">
        <v>-7.8918459999999996E-2</v>
      </c>
      <c r="T7350">
        <v>-0.3582166</v>
      </c>
      <c r="U7350">
        <v>3.4221189999999999</v>
      </c>
      <c r="V7350">
        <v>-0.17221900000000001</v>
      </c>
      <c r="W7350">
        <v>0.40028629999999998</v>
      </c>
      <c r="X7350">
        <v>0.90006189999999997</v>
      </c>
      <c r="Y7350">
        <v>-0.1036064</v>
      </c>
      <c r="Z7350">
        <v>-9.1322039999999993E-2</v>
      </c>
      <c r="AA7350">
        <v>0.99041710000000005</v>
      </c>
      <c r="AB7350">
        <v>30</v>
      </c>
      <c r="AC7350">
        <v>-0.268100000000004</v>
      </c>
      <c r="AD7350">
        <v>-1.111804995225</v>
      </c>
      <c r="AE7350">
        <v>10.323314</v>
      </c>
      <c r="AF7350">
        <v>-1.08891748266705</v>
      </c>
      <c r="AG7350">
        <v>-1.111804995225</v>
      </c>
      <c r="AH7350">
        <v>10.150224457766001</v>
      </c>
      <c r="AI7350">
        <v>96.215590200537207</v>
      </c>
      <c r="AJ7350">
        <v>96.123279809377493</v>
      </c>
      <c r="AK7350">
        <v>10.268831879746401</v>
      </c>
      <c r="AL7350">
        <v>66.403921429196501</v>
      </c>
      <c r="AM7350">
        <v>100.83212112327701</v>
      </c>
      <c r="AN7350">
        <v>0.99999996488014897</v>
      </c>
    </row>
    <row r="7351" spans="1:40" x14ac:dyDescent="0.25">
      <c r="A7351" t="str">
        <f>"20190304164305316"</f>
        <v>20190304164305316</v>
      </c>
      <c r="B7351" t="str">
        <f>"1551688985307986"</f>
        <v>1551688985307986</v>
      </c>
      <c r="C7351" t="s">
        <v>40</v>
      </c>
      <c r="D7351">
        <v>4.4197810000000004</v>
      </c>
      <c r="E7351">
        <v>0.54429550000000004</v>
      </c>
      <c r="F7351" t="s">
        <v>42</v>
      </c>
      <c r="G7351">
        <v>-188.68960000000001</v>
      </c>
      <c r="H7351" s="1">
        <v>-1.084454E-6</v>
      </c>
      <c r="I7351">
        <v>-8.3811699999999991</v>
      </c>
      <c r="J7351">
        <v>-188.44130000000001</v>
      </c>
      <c r="K7351">
        <v>1.1116509999999999</v>
      </c>
      <c r="L7351">
        <v>-18.571870000000001</v>
      </c>
      <c r="M7351">
        <v>7.9419879999999998E-2</v>
      </c>
      <c r="N7351">
        <v>-1.1883289999999999E-2</v>
      </c>
      <c r="O7351">
        <v>0.99677039999999995</v>
      </c>
      <c r="P7351">
        <v>-9.5784339999999996E-2</v>
      </c>
      <c r="Q7351">
        <v>0.38917819999999997</v>
      </c>
      <c r="R7351">
        <v>0.91616900000000001</v>
      </c>
      <c r="S7351">
        <v>-7.2845460000000001E-2</v>
      </c>
      <c r="T7351">
        <v>-0.36196529999999999</v>
      </c>
      <c r="U7351">
        <v>3.4226679999999998</v>
      </c>
      <c r="V7351">
        <v>-0.1693577</v>
      </c>
      <c r="W7351">
        <v>0.39944459999999998</v>
      </c>
      <c r="X7351">
        <v>0.90097839999999996</v>
      </c>
      <c r="Y7351">
        <v>-0.10045569999999999</v>
      </c>
      <c r="Z7351">
        <v>-9.2558589999999996E-2</v>
      </c>
      <c r="AA7351">
        <v>0.99062689999999998</v>
      </c>
      <c r="AB7351">
        <v>30</v>
      </c>
      <c r="AC7351">
        <v>-0.24829999999999999</v>
      </c>
      <c r="AD7351">
        <v>-1.1116520844540001</v>
      </c>
      <c r="AE7351">
        <v>10.1907</v>
      </c>
      <c r="AF7351">
        <v>-1.04449528341841</v>
      </c>
      <c r="AG7351">
        <v>-1.1116520844540001</v>
      </c>
      <c r="AH7351">
        <v>10.0196261651584</v>
      </c>
      <c r="AI7351">
        <v>96.297083032661305</v>
      </c>
      <c r="AJ7351">
        <v>95.9512993552202</v>
      </c>
      <c r="AK7351">
        <v>10.1350702633717</v>
      </c>
      <c r="AL7351">
        <v>66.456538866965701</v>
      </c>
      <c r="AM7351">
        <v>100.64571603909199</v>
      </c>
      <c r="AN7351">
        <v>1.0000000481425</v>
      </c>
    </row>
    <row r="7352" spans="1:40" x14ac:dyDescent="0.25">
      <c r="A7352" t="str">
        <f>"20190304164305339"</f>
        <v>20190304164305339</v>
      </c>
      <c r="B7352" t="str">
        <f>"1551688985328483"</f>
        <v>1551688985328483</v>
      </c>
      <c r="C7352" t="s">
        <v>40</v>
      </c>
      <c r="D7352">
        <v>4.4492900000000004</v>
      </c>
      <c r="E7352">
        <v>0.54455580000000003</v>
      </c>
      <c r="F7352" t="s">
        <v>42</v>
      </c>
      <c r="G7352">
        <v>-188.62610000000001</v>
      </c>
      <c r="H7352" s="1">
        <v>-2.5031970000000002E-6</v>
      </c>
      <c r="I7352">
        <v>-5.100295</v>
      </c>
      <c r="J7352">
        <v>-188.41909999999999</v>
      </c>
      <c r="K7352">
        <v>1.1115029999999999</v>
      </c>
      <c r="L7352">
        <v>-18.27704</v>
      </c>
      <c r="M7352">
        <v>7.8301389999999998E-2</v>
      </c>
      <c r="N7352">
        <v>-1.1742020000000001E-2</v>
      </c>
      <c r="O7352">
        <v>0.99686059999999999</v>
      </c>
      <c r="P7352">
        <v>-9.3961669999999997E-2</v>
      </c>
      <c r="Q7352">
        <v>0.389594</v>
      </c>
      <c r="R7352">
        <v>0.91618109999999997</v>
      </c>
      <c r="S7352">
        <v>-4.6478270000000002E-2</v>
      </c>
      <c r="T7352">
        <v>-0.27960780000000002</v>
      </c>
      <c r="U7352">
        <v>3.3884280000000002</v>
      </c>
      <c r="V7352">
        <v>-0.1664042</v>
      </c>
      <c r="W7352">
        <v>0.39979559999999997</v>
      </c>
      <c r="X7352">
        <v>0.90137299999999998</v>
      </c>
      <c r="Y7352">
        <v>-9.1887629999999998E-2</v>
      </c>
      <c r="Z7352">
        <v>-6.996848E-2</v>
      </c>
      <c r="AA7352">
        <v>0.99330810000000003</v>
      </c>
      <c r="AB7352">
        <v>30</v>
      </c>
      <c r="AC7352">
        <v>-0.207000000000022</v>
      </c>
      <c r="AD7352">
        <v>-1.111505503197</v>
      </c>
      <c r="AE7352">
        <v>13.176745</v>
      </c>
      <c r="AF7352">
        <v>-1.2294469283987901</v>
      </c>
      <c r="AG7352">
        <v>-1.111505503197</v>
      </c>
      <c r="AH7352">
        <v>13.0273998634582</v>
      </c>
      <c r="AI7352">
        <v>94.8552297230584</v>
      </c>
      <c r="AJ7352">
        <v>95.391260104954995</v>
      </c>
      <c r="AK7352">
        <v>13.132407678556801</v>
      </c>
      <c r="AL7352">
        <v>66.434600987246398</v>
      </c>
      <c r="AM7352">
        <v>100.45971711747301</v>
      </c>
      <c r="AN7352">
        <v>1.00000008234299</v>
      </c>
    </row>
    <row r="7353" spans="1:40" x14ac:dyDescent="0.25">
      <c r="A7353" t="str">
        <f>"20190304164305372"</f>
        <v>20190304164305372</v>
      </c>
      <c r="B7353" t="str">
        <f>"1551688985368499"</f>
        <v>1551688985368499</v>
      </c>
      <c r="C7353" t="s">
        <v>40</v>
      </c>
      <c r="D7353">
        <v>4.3922330000000001</v>
      </c>
      <c r="E7353">
        <v>0.54612179999999999</v>
      </c>
      <c r="F7353" t="s">
        <v>42</v>
      </c>
      <c r="G7353">
        <v>-188.56450000000001</v>
      </c>
      <c r="H7353" s="1">
        <v>-2.7562E-6</v>
      </c>
      <c r="I7353">
        <v>-4.5360149999999999</v>
      </c>
      <c r="J7353">
        <v>-188.387</v>
      </c>
      <c r="K7353">
        <v>1.111272</v>
      </c>
      <c r="L7353">
        <v>-17.847349999999999</v>
      </c>
      <c r="M7353">
        <v>7.6989779999999994E-2</v>
      </c>
      <c r="N7353">
        <v>-1.152356E-2</v>
      </c>
      <c r="O7353">
        <v>0.99696530000000005</v>
      </c>
      <c r="P7353">
        <v>-9.4139299999999995E-2</v>
      </c>
      <c r="Q7353">
        <v>0.38937490000000002</v>
      </c>
      <c r="R7353">
        <v>0.91625599999999996</v>
      </c>
      <c r="S7353">
        <v>-3.5842899999999997E-2</v>
      </c>
      <c r="T7353">
        <v>-0.2739972</v>
      </c>
      <c r="U7353">
        <v>3.3872990000000001</v>
      </c>
      <c r="V7353">
        <v>-0.16519449999999999</v>
      </c>
      <c r="W7353">
        <v>0.3994682</v>
      </c>
      <c r="X7353">
        <v>0.90174049999999994</v>
      </c>
      <c r="Y7353">
        <v>-8.746806E-2</v>
      </c>
      <c r="Z7353">
        <v>-6.8614750000000002E-2</v>
      </c>
      <c r="AA7353">
        <v>0.9938015</v>
      </c>
      <c r="AB7353">
        <v>30</v>
      </c>
      <c r="AC7353">
        <v>-0.17750000000000901</v>
      </c>
      <c r="AD7353">
        <v>-1.1112747562</v>
      </c>
      <c r="AE7353">
        <v>13.311335</v>
      </c>
      <c r="AF7353">
        <v>-1.19356087353344</v>
      </c>
      <c r="AG7353">
        <v>-1.1112747562</v>
      </c>
      <c r="AH7353">
        <v>13.1664069921906</v>
      </c>
      <c r="AI7353">
        <v>94.804850569927197</v>
      </c>
      <c r="AJ7353">
        <v>95.179817992363695</v>
      </c>
      <c r="AK7353">
        <v>13.2670189653367</v>
      </c>
      <c r="AL7353">
        <v>66.455062634193595</v>
      </c>
      <c r="AM7353">
        <v>100.381198613465</v>
      </c>
      <c r="AN7353">
        <v>0.99999999749086999</v>
      </c>
    </row>
    <row r="7354" spans="1:40" x14ac:dyDescent="0.25">
      <c r="A7354" t="str">
        <f>"20190304164305395"</f>
        <v>20190304164305395</v>
      </c>
      <c r="B7354" t="str">
        <f>"1551688985388019"</f>
        <v>1551688985388019</v>
      </c>
      <c r="C7354" t="s">
        <v>40</v>
      </c>
      <c r="D7354">
        <v>4.4496840000000004</v>
      </c>
      <c r="E7354">
        <v>0.5456934</v>
      </c>
      <c r="F7354" t="s">
        <v>42</v>
      </c>
      <c r="G7354">
        <v>-188.47540000000001</v>
      </c>
      <c r="H7354" s="1">
        <v>-1.7373009999999999E-6</v>
      </c>
      <c r="I7354">
        <v>-6.9479240000000004</v>
      </c>
      <c r="J7354">
        <v>-188.3631</v>
      </c>
      <c r="K7354">
        <v>1.1110799999999901</v>
      </c>
      <c r="L7354">
        <v>-17.52655</v>
      </c>
      <c r="M7354">
        <v>7.6240440000000007E-2</v>
      </c>
      <c r="N7354">
        <v>-1.1354950000000001E-2</v>
      </c>
      <c r="O7354">
        <v>0.99702480000000004</v>
      </c>
      <c r="P7354">
        <v>-9.5782500000000007E-2</v>
      </c>
      <c r="Q7354">
        <v>0.38854630000000001</v>
      </c>
      <c r="R7354">
        <v>0.91643739999999996</v>
      </c>
      <c r="S7354">
        <v>-2.7740480000000001E-2</v>
      </c>
      <c r="T7354">
        <v>-0.34864499999999998</v>
      </c>
      <c r="U7354">
        <v>3.4195250000000001</v>
      </c>
      <c r="V7354">
        <v>-0.166007399999999</v>
      </c>
      <c r="W7354">
        <v>0.39855259999999998</v>
      </c>
      <c r="X7354">
        <v>0.90199629999999997</v>
      </c>
      <c r="Y7354">
        <v>-8.4243810000000002E-2</v>
      </c>
      <c r="Z7354">
        <v>-8.9500759999999999E-2</v>
      </c>
      <c r="AA7354">
        <v>0.99241760000000001</v>
      </c>
      <c r="AB7354">
        <v>30</v>
      </c>
      <c r="AC7354">
        <v>-0.11230000000000399</v>
      </c>
      <c r="AD7354">
        <v>-1.11108173730099</v>
      </c>
      <c r="AE7354">
        <v>10.578626</v>
      </c>
      <c r="AF7354">
        <v>-0.90852299075535004</v>
      </c>
      <c r="AG7354">
        <v>-1.11108173730099</v>
      </c>
      <c r="AH7354">
        <v>10.424287888815901</v>
      </c>
      <c r="AI7354">
        <v>96.061146206785907</v>
      </c>
      <c r="AJ7354">
        <v>94.980995409417304</v>
      </c>
      <c r="AK7354">
        <v>10.522627744086099</v>
      </c>
      <c r="AL7354">
        <v>66.512273814827097</v>
      </c>
      <c r="AM7354">
        <v>100.42827110827901</v>
      </c>
      <c r="AN7354">
        <v>0.99999997851760403</v>
      </c>
    </row>
    <row r="7355" spans="1:40" x14ac:dyDescent="0.25">
      <c r="A7355" t="str">
        <f>"20190304164305416"</f>
        <v>20190304164305416</v>
      </c>
      <c r="B7355" t="str">
        <f>"1551688985408516"</f>
        <v>1551688985408516</v>
      </c>
      <c r="C7355" t="s">
        <v>40</v>
      </c>
      <c r="D7355">
        <v>4.4000159999999999</v>
      </c>
      <c r="E7355">
        <v>0.53515800000000002</v>
      </c>
      <c r="F7355" t="s">
        <v>42</v>
      </c>
      <c r="G7355">
        <v>-188.48410000000001</v>
      </c>
      <c r="H7355" s="1">
        <v>-1.805817E-6</v>
      </c>
      <c r="I7355">
        <v>-6.7846349999999997</v>
      </c>
      <c r="J7355">
        <v>-188.34200000000001</v>
      </c>
      <c r="K7355">
        <v>1.1109309999999999</v>
      </c>
      <c r="L7355">
        <v>-17.24231</v>
      </c>
      <c r="M7355">
        <v>7.5738420000000001E-2</v>
      </c>
      <c r="N7355">
        <v>-1.1209530000000001E-2</v>
      </c>
      <c r="O7355">
        <v>0.99706470000000003</v>
      </c>
      <c r="P7355">
        <v>-9.8435460000000002E-2</v>
      </c>
      <c r="Q7355">
        <v>0.38757029999999998</v>
      </c>
      <c r="R7355">
        <v>0.91656959999999998</v>
      </c>
      <c r="S7355">
        <v>-3.8497919999999998E-2</v>
      </c>
      <c r="T7355">
        <v>-0.35369289999999998</v>
      </c>
      <c r="U7355">
        <v>3.4194949999999902</v>
      </c>
      <c r="V7355">
        <v>-0.16807139999999901</v>
      </c>
      <c r="W7355">
        <v>0.39749839999999997</v>
      </c>
      <c r="X7355">
        <v>0.90207930000000003</v>
      </c>
      <c r="Y7355">
        <v>-8.6860199999999999E-2</v>
      </c>
      <c r="Z7355">
        <v>-9.1083789999999998E-2</v>
      </c>
      <c r="AA7355">
        <v>0.99204789999999998</v>
      </c>
      <c r="AB7355">
        <v>30</v>
      </c>
      <c r="AC7355">
        <v>-0.142099999999999</v>
      </c>
      <c r="AD7355">
        <v>-1.1109328058169901</v>
      </c>
      <c r="AE7355">
        <v>10.457674999999901</v>
      </c>
      <c r="AF7355">
        <v>-0.92337094721301005</v>
      </c>
      <c r="AG7355">
        <v>-1.1109328058169901</v>
      </c>
      <c r="AH7355">
        <v>10.300648392899699</v>
      </c>
      <c r="AI7355">
        <v>96.131203766142605</v>
      </c>
      <c r="AJ7355">
        <v>95.122418066572195</v>
      </c>
      <c r="AK7355">
        <v>10.4014490778614</v>
      </c>
      <c r="AL7355">
        <v>66.578116213442698</v>
      </c>
      <c r="AM7355">
        <v>100.554082008489</v>
      </c>
      <c r="AN7355">
        <v>1.0000000184944999</v>
      </c>
    </row>
    <row r="7356" spans="1:40" x14ac:dyDescent="0.25">
      <c r="A7356" t="str">
        <f>"20190304164305440"</f>
        <v>20190304164305440</v>
      </c>
      <c r="B7356" t="str">
        <f>"1551688985428035"</f>
        <v>1551688985428035</v>
      </c>
      <c r="C7356" t="s">
        <v>40</v>
      </c>
      <c r="D7356">
        <v>4.3959260000000002</v>
      </c>
      <c r="E7356">
        <v>0.53482629999999998</v>
      </c>
      <c r="F7356" t="s">
        <v>42</v>
      </c>
      <c r="G7356">
        <v>-188.7482</v>
      </c>
      <c r="H7356" s="1">
        <v>-1.7533400000000001E-6</v>
      </c>
      <c r="I7356">
        <v>-6.7977270000000001</v>
      </c>
      <c r="J7356">
        <v>-188.31829999999999</v>
      </c>
      <c r="K7356">
        <v>1.1107769999999999</v>
      </c>
      <c r="L7356">
        <v>-16.92484</v>
      </c>
      <c r="M7356">
        <v>7.5358610000000006E-2</v>
      </c>
      <c r="N7356">
        <v>-1.105561E-2</v>
      </c>
      <c r="O7356">
        <v>0.99709519999999996</v>
      </c>
      <c r="P7356">
        <v>-0.1022322</v>
      </c>
      <c r="Q7356">
        <v>0.3876848</v>
      </c>
      <c r="R7356">
        <v>0.91610539999999996</v>
      </c>
      <c r="S7356">
        <v>-0.132720899999999</v>
      </c>
      <c r="T7356">
        <v>-0.36294690000000002</v>
      </c>
      <c r="U7356">
        <v>3.4122919999999999</v>
      </c>
      <c r="V7356">
        <v>-0.17133699999999999</v>
      </c>
      <c r="W7356">
        <v>0.39752290000000001</v>
      </c>
      <c r="X7356">
        <v>0.90145390000000003</v>
      </c>
      <c r="Y7356">
        <v>-0.11381380000000001</v>
      </c>
      <c r="Z7356">
        <v>-9.3917990000000007E-2</v>
      </c>
      <c r="AA7356">
        <v>0.98905299999999996</v>
      </c>
      <c r="AB7356">
        <v>30</v>
      </c>
      <c r="AC7356">
        <v>-0.429900000000003</v>
      </c>
      <c r="AD7356">
        <v>-1.11077875334</v>
      </c>
      <c r="AE7356">
        <v>10.127113</v>
      </c>
      <c r="AF7356">
        <v>-1.17774584812898</v>
      </c>
      <c r="AG7356">
        <v>-1.11077875334</v>
      </c>
      <c r="AH7356">
        <v>9.9464685707060205</v>
      </c>
      <c r="AI7356">
        <v>96.328297013562207</v>
      </c>
      <c r="AJ7356">
        <v>96.752861498115493</v>
      </c>
      <c r="AK7356">
        <v>10.0773583716021</v>
      </c>
      <c r="AL7356">
        <v>66.576585419556693</v>
      </c>
      <c r="AM7356">
        <v>100.76169428828899</v>
      </c>
      <c r="AN7356">
        <v>0.99999997870930901</v>
      </c>
    </row>
    <row r="7357" spans="1:40" x14ac:dyDescent="0.25">
      <c r="A7357" t="str">
        <f>"20190304164305460"</f>
        <v>20190304164305460</v>
      </c>
      <c r="B7357" t="str">
        <f>"1551688985448531"</f>
        <v>1551688985448531</v>
      </c>
      <c r="C7357" t="s">
        <v>40</v>
      </c>
      <c r="D7357">
        <v>4.3701129999999999</v>
      </c>
      <c r="E7357">
        <v>0.53496469999999996</v>
      </c>
      <c r="F7357" t="s">
        <v>42</v>
      </c>
      <c r="G7357">
        <v>-188.7688</v>
      </c>
      <c r="H7357" s="1">
        <v>-1.894804E-6</v>
      </c>
      <c r="I7357">
        <v>-6.4594800000000001</v>
      </c>
      <c r="J7357">
        <v>-188.29830000000001</v>
      </c>
      <c r="K7357">
        <v>1.1106560000000001</v>
      </c>
      <c r="L7357">
        <v>-16.655760000000001</v>
      </c>
      <c r="M7357">
        <v>7.517385E-2</v>
      </c>
      <c r="N7357">
        <v>-1.093177E-2</v>
      </c>
      <c r="O7357">
        <v>0.99711050000000001</v>
      </c>
      <c r="P7357">
        <v>-0.10513889999999999</v>
      </c>
      <c r="Q7357">
        <v>0.38832280000000002</v>
      </c>
      <c r="R7357">
        <v>0.91550600000000004</v>
      </c>
      <c r="S7357">
        <v>-0.146835299999999</v>
      </c>
      <c r="T7357">
        <v>-0.36210179999999997</v>
      </c>
      <c r="U7357">
        <v>3.411591</v>
      </c>
      <c r="V7357">
        <v>-0.17391860000000001</v>
      </c>
      <c r="W7357">
        <v>0.39808369999999998</v>
      </c>
      <c r="X7357">
        <v>0.90071179999999995</v>
      </c>
      <c r="Y7357">
        <v>-0.11772059999999999</v>
      </c>
      <c r="Z7357">
        <v>-9.37886E-2</v>
      </c>
      <c r="AA7357">
        <v>0.98860789999999998</v>
      </c>
      <c r="AB7357">
        <v>30</v>
      </c>
      <c r="AC7357">
        <v>-0.47049999999998698</v>
      </c>
      <c r="AD7357">
        <v>-1.11065789480399</v>
      </c>
      <c r="AE7357">
        <v>10.19628</v>
      </c>
      <c r="AF7357">
        <v>-1.2212483406185599</v>
      </c>
      <c r="AG7357">
        <v>-1.11065789480399</v>
      </c>
      <c r="AH7357">
        <v>10.0134939601932</v>
      </c>
      <c r="AI7357">
        <v>96.282977019391794</v>
      </c>
      <c r="AJ7357">
        <v>96.953467936207602</v>
      </c>
      <c r="AK7357">
        <v>10.1486486666738</v>
      </c>
      <c r="AL7357">
        <v>66.541564875269003</v>
      </c>
      <c r="AM7357">
        <v>100.928754892599</v>
      </c>
      <c r="AN7357">
        <v>1.0000000291454401</v>
      </c>
    </row>
    <row r="7358" spans="1:40" x14ac:dyDescent="0.25">
      <c r="A7358" t="str">
        <f>"20190304164305482"</f>
        <v>20190304164305482</v>
      </c>
      <c r="B7358" t="str">
        <f>"1551688985478787"</f>
        <v>1551688985478787</v>
      </c>
      <c r="C7358" t="s">
        <v>40</v>
      </c>
      <c r="D7358">
        <v>4.4065390000000004</v>
      </c>
      <c r="E7358">
        <v>0.53581630000000002</v>
      </c>
      <c r="F7358" t="s">
        <v>42</v>
      </c>
      <c r="G7358">
        <v>-188.77699999999999</v>
      </c>
      <c r="H7358" s="1">
        <v>-2.0332490000000002E-6</v>
      </c>
      <c r="I7358">
        <v>-6.1333510000000002</v>
      </c>
      <c r="J7358">
        <v>-188.27619999999999</v>
      </c>
      <c r="K7358">
        <v>1.110557</v>
      </c>
      <c r="L7358">
        <v>-16.360869999999998</v>
      </c>
      <c r="M7358">
        <v>7.5065660000000006E-2</v>
      </c>
      <c r="N7358">
        <v>-1.080386E-2</v>
      </c>
      <c r="O7358">
        <v>0.99712009999999995</v>
      </c>
      <c r="P7358">
        <v>-0.1065014</v>
      </c>
      <c r="Q7358">
        <v>0.3887332</v>
      </c>
      <c r="R7358">
        <v>0.91517420000000005</v>
      </c>
      <c r="S7358">
        <v>-0.1552277</v>
      </c>
      <c r="T7358">
        <v>-0.36012169999999999</v>
      </c>
      <c r="U7358">
        <v>3.4118040000000001</v>
      </c>
      <c r="V7358">
        <v>-0.175062299999999</v>
      </c>
      <c r="W7358">
        <v>0.39841399999999999</v>
      </c>
      <c r="X7358">
        <v>0.90034409999999898</v>
      </c>
      <c r="Y7358">
        <v>-0.1200386</v>
      </c>
      <c r="Z7358">
        <v>-9.3323080000000003E-2</v>
      </c>
      <c r="AA7358">
        <v>0.98837319999999995</v>
      </c>
      <c r="AB7358">
        <v>30</v>
      </c>
      <c r="AC7358">
        <v>-0.500800000000026</v>
      </c>
      <c r="AD7358">
        <v>-1.1105590332490001</v>
      </c>
      <c r="AE7358">
        <v>10.227518999999999</v>
      </c>
      <c r="AF7358">
        <v>-1.2524352491936599</v>
      </c>
      <c r="AG7358">
        <v>-1.1105590332490001</v>
      </c>
      <c r="AH7358">
        <v>10.042933730243499</v>
      </c>
      <c r="AI7358">
        <v>96.262078442757598</v>
      </c>
      <c r="AJ7358">
        <v>97.108548788473001</v>
      </c>
      <c r="AK7358">
        <v>10.181475989748099</v>
      </c>
      <c r="AL7358">
        <v>66.5209329468492</v>
      </c>
      <c r="AM7358">
        <v>101.003258271939</v>
      </c>
      <c r="AN7358">
        <v>1.0000000113410401</v>
      </c>
    </row>
    <row r="7359" spans="1:40" x14ac:dyDescent="0.25">
      <c r="A7359" t="str">
        <f>"20190304164305506"</f>
        <v>20190304164305506</v>
      </c>
      <c r="B7359" t="str">
        <f>"1551688985498306"</f>
        <v>1551688985498306</v>
      </c>
      <c r="C7359" t="s">
        <v>40</v>
      </c>
      <c r="D7359">
        <v>4.3611519999999997</v>
      </c>
      <c r="E7359">
        <v>0.53692289999999998</v>
      </c>
      <c r="F7359" t="s">
        <v>42</v>
      </c>
      <c r="G7359">
        <v>-188.77879999999999</v>
      </c>
      <c r="H7359" s="1">
        <v>-2.3663309999999999E-6</v>
      </c>
      <c r="I7359">
        <v>-5.356204</v>
      </c>
      <c r="J7359">
        <v>-188.25190000000001</v>
      </c>
      <c r="K7359">
        <v>1.1104830000000001</v>
      </c>
      <c r="L7359">
        <v>-16.037289999999999</v>
      </c>
      <c r="M7359">
        <v>7.5014010000000006E-2</v>
      </c>
      <c r="N7359">
        <v>-1.0671109999999999E-2</v>
      </c>
      <c r="O7359">
        <v>0.99712540000000005</v>
      </c>
      <c r="P7359">
        <v>-0.1054254</v>
      </c>
      <c r="Q7359">
        <v>0.3885421</v>
      </c>
      <c r="R7359">
        <v>0.91537999999999997</v>
      </c>
      <c r="S7359">
        <v>-0.15554809999999999</v>
      </c>
      <c r="T7359">
        <v>-0.3437212</v>
      </c>
      <c r="U7359">
        <v>3.4059750000000002</v>
      </c>
      <c r="V7359">
        <v>-0.17389830000000001</v>
      </c>
      <c r="W7359">
        <v>0.39813270000000001</v>
      </c>
      <c r="X7359">
        <v>0.90069399999999999</v>
      </c>
      <c r="Y7359">
        <v>-0.1201791</v>
      </c>
      <c r="Z7359">
        <v>-8.8926539999999998E-2</v>
      </c>
      <c r="AA7359">
        <v>0.98876140000000001</v>
      </c>
      <c r="AB7359">
        <v>30</v>
      </c>
      <c r="AC7359">
        <v>-0.52689999999998305</v>
      </c>
      <c r="AD7359">
        <v>-1.1104853663309999</v>
      </c>
      <c r="AE7359">
        <v>10.681086000000001</v>
      </c>
      <c r="AF7359">
        <v>-1.31253888262878</v>
      </c>
      <c r="AG7359">
        <v>-1.1104853663309999</v>
      </c>
      <c r="AH7359">
        <v>10.4982586205146</v>
      </c>
      <c r="AI7359">
        <v>95.991877502115997</v>
      </c>
      <c r="AJ7359">
        <v>97.126394990150402</v>
      </c>
      <c r="AK7359">
        <v>10.6381093306309</v>
      </c>
      <c r="AL7359">
        <v>66.538503017058204</v>
      </c>
      <c r="AM7359">
        <v>100.927720741538</v>
      </c>
      <c r="AN7359">
        <v>0.99999997359408899</v>
      </c>
    </row>
    <row r="7360" spans="1:40" x14ac:dyDescent="0.25">
      <c r="A7360" t="str">
        <f>"20190304164305529"</f>
        <v>20190304164305529</v>
      </c>
      <c r="B7360" t="str">
        <f>"1551688985518803"</f>
        <v>1551688985518803</v>
      </c>
      <c r="C7360" t="s">
        <v>40</v>
      </c>
      <c r="D7360">
        <v>4.3642620000000001</v>
      </c>
      <c r="E7360">
        <v>0.53701379999999999</v>
      </c>
      <c r="F7360" t="s">
        <v>42</v>
      </c>
      <c r="G7360">
        <v>-188.739</v>
      </c>
      <c r="H7360" s="1">
        <v>-2.4871010000000001E-6</v>
      </c>
      <c r="I7360">
        <v>-5.0911269999999904</v>
      </c>
      <c r="J7360">
        <v>-188.22909999999999</v>
      </c>
      <c r="K7360">
        <v>1.1104449999999999</v>
      </c>
      <c r="L7360">
        <v>-15.73312</v>
      </c>
      <c r="M7360">
        <v>7.4965829999999997E-2</v>
      </c>
      <c r="N7360">
        <v>-1.055072E-2</v>
      </c>
      <c r="O7360">
        <v>0.99713030000000002</v>
      </c>
      <c r="P7360">
        <v>-0.1054166</v>
      </c>
      <c r="Q7360">
        <v>0.38803399999999999</v>
      </c>
      <c r="R7360">
        <v>0.91559650000000004</v>
      </c>
      <c r="S7360">
        <v>-0.15158079999999999</v>
      </c>
      <c r="T7360">
        <v>-0.34559400000000001</v>
      </c>
      <c r="U7360">
        <v>3.406555</v>
      </c>
      <c r="V7360">
        <v>-0.17384369999999999</v>
      </c>
      <c r="W7360">
        <v>0.39752690000000002</v>
      </c>
      <c r="X7360">
        <v>0.90097210000000005</v>
      </c>
      <c r="Y7360">
        <v>-0.1189728</v>
      </c>
      <c r="Z7360">
        <v>-8.9578320000000003E-2</v>
      </c>
      <c r="AA7360">
        <v>0.98884839999999996</v>
      </c>
      <c r="AB7360">
        <v>30</v>
      </c>
      <c r="AC7360">
        <v>-0.50990000000001601</v>
      </c>
      <c r="AD7360">
        <v>-1.1104474871009999</v>
      </c>
      <c r="AE7360">
        <v>10.641992999999999</v>
      </c>
      <c r="AF7360">
        <v>-1.29225733321145</v>
      </c>
      <c r="AG7360">
        <v>-1.1104474871009999</v>
      </c>
      <c r="AH7360">
        <v>10.4601868152217</v>
      </c>
      <c r="AI7360">
        <v>96.014407122022902</v>
      </c>
      <c r="AJ7360">
        <v>97.042668299569698</v>
      </c>
      <c r="AK7360">
        <v>10.598043727319901</v>
      </c>
      <c r="AL7360">
        <v>66.576336098043697</v>
      </c>
      <c r="AM7360">
        <v>100.921081361915</v>
      </c>
      <c r="AN7360">
        <v>0.99999999661585504</v>
      </c>
    </row>
    <row r="7361" spans="1:40" x14ac:dyDescent="0.25">
      <c r="A7361" t="str">
        <f>"20190304164305552"</f>
        <v>20190304164305552</v>
      </c>
      <c r="B7361" t="str">
        <f>"1551688985548590"</f>
        <v>1551688985548590</v>
      </c>
      <c r="C7361" t="s">
        <v>40</v>
      </c>
      <c r="D7361">
        <v>4.3680019999999997</v>
      </c>
      <c r="E7361">
        <v>0.53721589999999997</v>
      </c>
      <c r="F7361" t="s">
        <v>42</v>
      </c>
      <c r="G7361">
        <v>-188.7166</v>
      </c>
      <c r="H7361" s="1">
        <v>-2.5473990000000001E-6</v>
      </c>
      <c r="I7361">
        <v>-4.9598529999999998</v>
      </c>
      <c r="J7361">
        <v>-188.20570000000001</v>
      </c>
      <c r="K7361">
        <v>1.110452</v>
      </c>
      <c r="L7361">
        <v>-15.420500000000001</v>
      </c>
      <c r="M7361">
        <v>7.4882660000000004E-2</v>
      </c>
      <c r="N7361">
        <v>-1.0436290000000001E-2</v>
      </c>
      <c r="O7361">
        <v>0.99713770000000002</v>
      </c>
      <c r="P7361">
        <v>-0.10629379999999999</v>
      </c>
      <c r="Q7361">
        <v>0.3885865</v>
      </c>
      <c r="R7361">
        <v>0.91526070000000004</v>
      </c>
      <c r="S7361">
        <v>-0.154174799999999</v>
      </c>
      <c r="T7361">
        <v>-0.35124159999999999</v>
      </c>
      <c r="U7361">
        <v>3.407654</v>
      </c>
      <c r="V7361">
        <v>-0.17463010000000001</v>
      </c>
      <c r="W7361">
        <v>0.3979666</v>
      </c>
      <c r="X7361">
        <v>0.90062589999999998</v>
      </c>
      <c r="Y7361">
        <v>-0.1196193</v>
      </c>
      <c r="Z7361">
        <v>-9.1275400000000007E-2</v>
      </c>
      <c r="AA7361">
        <v>0.98861520000000003</v>
      </c>
      <c r="AB7361">
        <v>30</v>
      </c>
      <c r="AC7361">
        <v>-0.51089999999999203</v>
      </c>
      <c r="AD7361">
        <v>-1.110454547399</v>
      </c>
      <c r="AE7361">
        <v>10.460647</v>
      </c>
      <c r="AF7361">
        <v>-1.27845656781719</v>
      </c>
      <c r="AG7361">
        <v>-1.110454547399</v>
      </c>
      <c r="AH7361">
        <v>10.277473345007399</v>
      </c>
      <c r="AI7361">
        <v>96.119932710735</v>
      </c>
      <c r="AJ7361">
        <v>97.090829744957006</v>
      </c>
      <c r="AK7361">
        <v>10.416046219894101</v>
      </c>
      <c r="AL7361">
        <v>66.548879000056004</v>
      </c>
      <c r="AM7361">
        <v>100.973402491266</v>
      </c>
      <c r="AN7361">
        <v>1.00000004914618</v>
      </c>
    </row>
    <row r="7362" spans="1:40" x14ac:dyDescent="0.25">
      <c r="A7362" t="str">
        <f>"20190304164305571"</f>
        <v>20190304164305571</v>
      </c>
      <c r="B7362" t="str">
        <f>"1551688985558350"</f>
        <v>1551688985558350</v>
      </c>
      <c r="C7362" t="s">
        <v>40</v>
      </c>
      <c r="D7362">
        <v>4.3512089999999999</v>
      </c>
      <c r="E7362">
        <v>0.53734930000000003</v>
      </c>
      <c r="F7362" t="s">
        <v>42</v>
      </c>
      <c r="G7362">
        <v>-188.67859999999999</v>
      </c>
      <c r="H7362" s="1">
        <v>-2.67418E-6</v>
      </c>
      <c r="I7362">
        <v>-4.6800249999999997</v>
      </c>
      <c r="J7362">
        <v>-188.18600000000001</v>
      </c>
      <c r="K7362">
        <v>1.1104849999999999</v>
      </c>
      <c r="L7362">
        <v>-15.155760000000001</v>
      </c>
      <c r="M7362">
        <v>7.4742660000000002E-2</v>
      </c>
      <c r="N7362">
        <v>-1.0346960000000001E-2</v>
      </c>
      <c r="O7362">
        <v>0.99714919999999996</v>
      </c>
      <c r="P7362">
        <v>-0.1062265</v>
      </c>
      <c r="Q7362">
        <v>0.38982080000000002</v>
      </c>
      <c r="R7362">
        <v>0.91474350000000004</v>
      </c>
      <c r="S7362">
        <v>-0.150116</v>
      </c>
      <c r="T7362">
        <v>-0.35255920000000002</v>
      </c>
      <c r="U7362">
        <v>3.4100039999999998</v>
      </c>
      <c r="V7362">
        <v>-0.17443339999999999</v>
      </c>
      <c r="W7362">
        <v>0.39909919999999999</v>
      </c>
      <c r="X7362">
        <v>0.90016269999999998</v>
      </c>
      <c r="Y7362">
        <v>-0.1182743</v>
      </c>
      <c r="Z7362">
        <v>-9.1685799999999998E-2</v>
      </c>
      <c r="AA7362">
        <v>0.98873909999999998</v>
      </c>
      <c r="AB7362">
        <v>30</v>
      </c>
      <c r="AC7362">
        <v>-0.49260000000000997</v>
      </c>
      <c r="AD7362">
        <v>-1.1104876741800001</v>
      </c>
      <c r="AE7362">
        <v>10.475735</v>
      </c>
      <c r="AF7362">
        <v>-1.2601191923529</v>
      </c>
      <c r="AG7362">
        <v>-1.1104876741800001</v>
      </c>
      <c r="AH7362">
        <v>10.294186793811299</v>
      </c>
      <c r="AI7362">
        <v>96.111714660461502</v>
      </c>
      <c r="AJ7362">
        <v>96.978899723159202</v>
      </c>
      <c r="AK7362">
        <v>10.4303099186612</v>
      </c>
      <c r="AL7362">
        <v>66.478123668317295</v>
      </c>
      <c r="AM7362">
        <v>100.966845506147</v>
      </c>
      <c r="AN7362">
        <v>1.0000000344737401</v>
      </c>
    </row>
    <row r="7363" spans="1:40" x14ac:dyDescent="0.25">
      <c r="A7363" t="str">
        <f>"20190304164305595"</f>
        <v>20190304164305595</v>
      </c>
      <c r="B7363" t="str">
        <f>"1551688985588608"</f>
        <v>1551688985588608</v>
      </c>
      <c r="C7363" t="s">
        <v>40</v>
      </c>
      <c r="D7363">
        <v>4.3215620000000001</v>
      </c>
      <c r="E7363">
        <v>0.5375837</v>
      </c>
      <c r="F7363" t="s">
        <v>42</v>
      </c>
      <c r="G7363">
        <v>-188.649</v>
      </c>
      <c r="H7363" s="1">
        <v>-2.8423389999999999E-6</v>
      </c>
      <c r="I7363">
        <v>-4.3002719999999997</v>
      </c>
      <c r="J7363">
        <v>-188.16200000000001</v>
      </c>
      <c r="K7363">
        <v>1.1105670000000001</v>
      </c>
      <c r="L7363">
        <v>-14.8316</v>
      </c>
      <c r="M7363">
        <v>7.443234E-2</v>
      </c>
      <c r="N7363">
        <v>-1.024158E-2</v>
      </c>
      <c r="O7363">
        <v>0.99717350000000005</v>
      </c>
      <c r="P7363">
        <v>-0.1039413</v>
      </c>
      <c r="Q7363">
        <v>0.39101360000000002</v>
      </c>
      <c r="R7363">
        <v>0.91449689999999995</v>
      </c>
      <c r="S7363">
        <v>-0.1454926</v>
      </c>
      <c r="T7363">
        <v>-0.34898099999999999</v>
      </c>
      <c r="U7363">
        <v>3.4114379999999902</v>
      </c>
      <c r="V7363">
        <v>-0.1719338</v>
      </c>
      <c r="W7363">
        <v>0.40016400000000002</v>
      </c>
      <c r="X7363">
        <v>0.9001709</v>
      </c>
      <c r="Y7363">
        <v>-0.11661539999999999</v>
      </c>
      <c r="Z7363">
        <v>-9.0740459999999995E-2</v>
      </c>
      <c r="AA7363">
        <v>0.98902330000000005</v>
      </c>
      <c r="AB7363">
        <v>30</v>
      </c>
      <c r="AC7363">
        <v>-0.48699999999999399</v>
      </c>
      <c r="AD7363">
        <v>-1.110569842339</v>
      </c>
      <c r="AE7363">
        <v>10.531327999999901</v>
      </c>
      <c r="AF7363">
        <v>-1.25562797878858</v>
      </c>
      <c r="AG7363">
        <v>-1.110569842339</v>
      </c>
      <c r="AH7363">
        <v>10.3509983148831</v>
      </c>
      <c r="AI7363">
        <v>96.0796697867044</v>
      </c>
      <c r="AJ7363">
        <v>96.916472268417806</v>
      </c>
      <c r="AK7363">
        <v>10.4858539523752</v>
      </c>
      <c r="AL7363">
        <v>66.4115700378388</v>
      </c>
      <c r="AM7363">
        <v>100.813327519414</v>
      </c>
      <c r="AN7363">
        <v>1.0000000538426199</v>
      </c>
    </row>
    <row r="7364" spans="1:40" x14ac:dyDescent="0.25">
      <c r="A7364" t="str">
        <f>"20190304164305616"</f>
        <v>20190304164305616</v>
      </c>
      <c r="B7364" t="str">
        <f>"1551688985608127"</f>
        <v>1551688985608127</v>
      </c>
      <c r="C7364" t="s">
        <v>40</v>
      </c>
      <c r="D7364">
        <v>4.3188769999999996</v>
      </c>
      <c r="E7364">
        <v>0.53772959999999903</v>
      </c>
      <c r="F7364" t="s">
        <v>42</v>
      </c>
      <c r="G7364">
        <v>-188.6018</v>
      </c>
      <c r="H7364" s="1">
        <v>-3.0382960000000001E-6</v>
      </c>
      <c r="I7364">
        <v>-3.8630070000000001</v>
      </c>
      <c r="J7364">
        <v>-188.1405</v>
      </c>
      <c r="K7364">
        <v>1.1106640000000001</v>
      </c>
      <c r="L7364">
        <v>-14.537509999999999</v>
      </c>
      <c r="M7364">
        <v>7.3983919999999995E-2</v>
      </c>
      <c r="N7364">
        <v>-1.0146840000000001E-2</v>
      </c>
      <c r="O7364">
        <v>0.99720779999999998</v>
      </c>
      <c r="P7364">
        <v>-0.1012359</v>
      </c>
      <c r="Q7364">
        <v>0.39080239999999999</v>
      </c>
      <c r="R7364">
        <v>0.9148906</v>
      </c>
      <c r="S7364">
        <v>-0.13682559999999999</v>
      </c>
      <c r="T7364">
        <v>-0.34553460000000003</v>
      </c>
      <c r="U7364">
        <v>3.4126889999999999</v>
      </c>
      <c r="V7364">
        <v>-0.16895950000000001</v>
      </c>
      <c r="W7364">
        <v>0.3998332</v>
      </c>
      <c r="X7364">
        <v>0.90088080000000004</v>
      </c>
      <c r="Y7364">
        <v>-0.11365169999999999</v>
      </c>
      <c r="Z7364">
        <v>-8.9839500000000003E-2</v>
      </c>
      <c r="AA7364">
        <v>0.98945050000000001</v>
      </c>
      <c r="AB7364">
        <v>30</v>
      </c>
      <c r="AC7364">
        <v>-0.46129999999999399</v>
      </c>
      <c r="AD7364">
        <v>-1.11066703829599</v>
      </c>
      <c r="AE7364">
        <v>10.674503</v>
      </c>
      <c r="AF7364">
        <v>-1.23645682560573</v>
      </c>
      <c r="AG7364">
        <v>-1.11066703829599</v>
      </c>
      <c r="AH7364">
        <v>10.497678098197399</v>
      </c>
      <c r="AI7364">
        <v>95.998335663051193</v>
      </c>
      <c r="AJ7364">
        <v>96.717566615630005</v>
      </c>
      <c r="AK7364">
        <v>10.628436018762001</v>
      </c>
      <c r="AL7364">
        <v>66.432250032861106</v>
      </c>
      <c r="AM7364">
        <v>100.62238010447101</v>
      </c>
      <c r="AN7364">
        <v>1.0000000581355599</v>
      </c>
    </row>
    <row r="7365" spans="1:40" x14ac:dyDescent="0.25">
      <c r="A7365" t="str">
        <f>"20190304164305639"</f>
        <v>20190304164305639</v>
      </c>
      <c r="B7365" t="str">
        <f>"1551688985628622"</f>
        <v>1551688985628622</v>
      </c>
      <c r="C7365" t="s">
        <v>40</v>
      </c>
      <c r="D7365">
        <v>4.3205819999999999</v>
      </c>
      <c r="E7365">
        <v>0.53789830000000005</v>
      </c>
      <c r="F7365" t="s">
        <v>42</v>
      </c>
      <c r="G7365">
        <v>-188.55170000000001</v>
      </c>
      <c r="H7365" s="1">
        <v>-3.1662139999999998E-6</v>
      </c>
      <c r="I7365">
        <v>-3.585528</v>
      </c>
      <c r="J7365">
        <v>-188.11840000000001</v>
      </c>
      <c r="K7365">
        <v>1.110784</v>
      </c>
      <c r="L7365">
        <v>-14.231450000000001</v>
      </c>
      <c r="M7365">
        <v>7.3331759999999996E-2</v>
      </c>
      <c r="N7365">
        <v>-1.004847E-2</v>
      </c>
      <c r="O7365">
        <v>0.99725699999999995</v>
      </c>
      <c r="P7365">
        <v>-9.8883059999999995E-2</v>
      </c>
      <c r="Q7365">
        <v>0.38928180000000001</v>
      </c>
      <c r="R7365">
        <v>0.91579569999999999</v>
      </c>
      <c r="S7365">
        <v>-0.12814329999999999</v>
      </c>
      <c r="T7365">
        <v>-0.3460954</v>
      </c>
      <c r="U7365">
        <v>3.41275</v>
      </c>
      <c r="V7365">
        <v>-0.16621529999999901</v>
      </c>
      <c r="W7365">
        <v>0.39818389999999998</v>
      </c>
      <c r="X7365">
        <v>0.9021209</v>
      </c>
      <c r="Y7365">
        <v>-0.11048860000000001</v>
      </c>
      <c r="Z7365">
        <v>-9.0127849999999995E-2</v>
      </c>
      <c r="AA7365">
        <v>0.98978239999999995</v>
      </c>
      <c r="AB7365">
        <v>30</v>
      </c>
      <c r="AC7365">
        <v>-0.43330000000000202</v>
      </c>
      <c r="AD7365">
        <v>-1.1107871662140001</v>
      </c>
      <c r="AE7365">
        <v>10.645922000000001</v>
      </c>
      <c r="AF7365">
        <v>-1.1998164568121501</v>
      </c>
      <c r="AG7365">
        <v>-1.1107871662140001</v>
      </c>
      <c r="AH7365">
        <v>10.471666724965299</v>
      </c>
      <c r="AI7365">
        <v>96.015966592929303</v>
      </c>
      <c r="AJ7365">
        <v>96.536298692137606</v>
      </c>
      <c r="AK7365">
        <v>10.5985476201887</v>
      </c>
      <c r="AL7365">
        <v>66.535306487664599</v>
      </c>
      <c r="AM7365">
        <v>100.439633554948</v>
      </c>
      <c r="AN7365">
        <v>1.0000000311950501</v>
      </c>
    </row>
    <row r="7366" spans="1:40" x14ac:dyDescent="0.25">
      <c r="A7366" t="str">
        <f>"20190304164305660"</f>
        <v>20190304164305660</v>
      </c>
      <c r="B7366" t="str">
        <f>"1551688985648142"</f>
        <v>1551688985648142</v>
      </c>
      <c r="C7366" t="s">
        <v>40</v>
      </c>
      <c r="D7366">
        <v>4.3380979999999996</v>
      </c>
      <c r="E7366">
        <v>0.53800170000000003</v>
      </c>
      <c r="F7366" t="s">
        <v>42</v>
      </c>
      <c r="G7366">
        <v>-188.48820000000001</v>
      </c>
      <c r="H7366" s="1">
        <v>-3.2173519999999998E-6</v>
      </c>
      <c r="I7366">
        <v>-3.492597</v>
      </c>
      <c r="J7366">
        <v>-188.0976</v>
      </c>
      <c r="K7366">
        <v>1.1109089999999999</v>
      </c>
      <c r="L7366">
        <v>-13.93707</v>
      </c>
      <c r="M7366">
        <v>7.2517150000000002E-2</v>
      </c>
      <c r="N7366">
        <v>-9.9536889999999999E-3</v>
      </c>
      <c r="O7366">
        <v>0.99731749999999997</v>
      </c>
      <c r="P7366">
        <v>-9.6446619999999997E-2</v>
      </c>
      <c r="Q7366">
        <v>0.38809779999999999</v>
      </c>
      <c r="R7366">
        <v>0.91655779999999998</v>
      </c>
      <c r="S7366">
        <v>-0.11752319999999999</v>
      </c>
      <c r="T7366">
        <v>-0.35304980000000002</v>
      </c>
      <c r="U7366">
        <v>3.413208</v>
      </c>
      <c r="V7366">
        <v>-0.16323360000000001</v>
      </c>
      <c r="W7366">
        <v>0.39687349999999999</v>
      </c>
      <c r="X7366">
        <v>0.90324210000000005</v>
      </c>
      <c r="Y7366">
        <v>-0.1065904</v>
      </c>
      <c r="Z7366">
        <v>-9.2240000000000003E-2</v>
      </c>
      <c r="AA7366">
        <v>0.99001530000000004</v>
      </c>
      <c r="AB7366">
        <v>30</v>
      </c>
      <c r="AC7366">
        <v>-0.390600000000006</v>
      </c>
      <c r="AD7366">
        <v>-1.1109122173520001</v>
      </c>
      <c r="AE7366">
        <v>10.444473</v>
      </c>
      <c r="AF7366">
        <v>-1.1341989211171599</v>
      </c>
      <c r="AG7366">
        <v>-1.1109122173520001</v>
      </c>
      <c r="AH7366">
        <v>10.272591277936799</v>
      </c>
      <c r="AI7366">
        <v>96.135174795948004</v>
      </c>
      <c r="AJ7366">
        <v>96.300519549191506</v>
      </c>
      <c r="AK7366">
        <v>10.3945497598919</v>
      </c>
      <c r="AL7366">
        <v>66.617130128049894</v>
      </c>
      <c r="AM7366">
        <v>100.243907827276</v>
      </c>
      <c r="AN7366">
        <v>1.0000000371918001</v>
      </c>
    </row>
    <row r="7367" spans="1:40" x14ac:dyDescent="0.25">
      <c r="A7367" t="str">
        <f>"20190304164305684"</f>
        <v>20190304164305684</v>
      </c>
      <c r="B7367" t="str">
        <f>"1551688985678399"</f>
        <v>1551688985678399</v>
      </c>
      <c r="C7367" t="s">
        <v>40</v>
      </c>
      <c r="D7367">
        <v>4.3542690000000004</v>
      </c>
      <c r="E7367">
        <v>0.53807910000000003</v>
      </c>
      <c r="F7367" t="s">
        <v>42</v>
      </c>
      <c r="G7367">
        <v>-188.4255</v>
      </c>
      <c r="H7367" s="1">
        <v>-3.30087E-6</v>
      </c>
      <c r="I7367">
        <v>-3.3238349999999999</v>
      </c>
      <c r="J7367">
        <v>-188.0761</v>
      </c>
      <c r="K7367">
        <v>1.111029</v>
      </c>
      <c r="L7367">
        <v>-13.628329999999901</v>
      </c>
      <c r="M7367">
        <v>7.1468139999999999E-2</v>
      </c>
      <c r="N7367">
        <v>-9.8537999999999994E-3</v>
      </c>
      <c r="O7367">
        <v>0.99739420000000001</v>
      </c>
      <c r="P7367">
        <v>-9.3752119999999994E-2</v>
      </c>
      <c r="Q7367">
        <v>0.38583020000000001</v>
      </c>
      <c r="R7367">
        <v>0.91779390000000005</v>
      </c>
      <c r="S7367">
        <v>-0.1054688</v>
      </c>
      <c r="T7367">
        <v>-0.35727799999999998</v>
      </c>
      <c r="U7367">
        <v>3.4133</v>
      </c>
      <c r="V7367">
        <v>-0.1598157</v>
      </c>
      <c r="W7367">
        <v>0.39448030000000001</v>
      </c>
      <c r="X7367">
        <v>0.90490009999999999</v>
      </c>
      <c r="Y7367">
        <v>-0.10204870000000001</v>
      </c>
      <c r="Z7367">
        <v>-9.3592309999999998E-2</v>
      </c>
      <c r="AA7367">
        <v>0.99036690000000005</v>
      </c>
      <c r="AB7367">
        <v>31</v>
      </c>
      <c r="AC7367">
        <v>-0.34940000000000199</v>
      </c>
      <c r="AD7367">
        <v>-1.11103230087</v>
      </c>
      <c r="AE7367">
        <v>10.304494999999999</v>
      </c>
      <c r="AF7367">
        <v>-1.0725312524902799</v>
      </c>
      <c r="AG7367">
        <v>-1.11103230087</v>
      </c>
      <c r="AH7367">
        <v>10.1354789332335</v>
      </c>
      <c r="AI7367">
        <v>96.221219651334494</v>
      </c>
      <c r="AJ7367">
        <v>96.040530518209906</v>
      </c>
      <c r="AK7367">
        <v>10.2524460138625</v>
      </c>
      <c r="AL7367">
        <v>66.766433811439597</v>
      </c>
      <c r="AM7367">
        <v>100.015805496513</v>
      </c>
      <c r="AN7367">
        <v>0.99999997801729401</v>
      </c>
    </row>
    <row r="7368" spans="1:40" x14ac:dyDescent="0.25">
      <c r="A7368" t="str">
        <f>"20190304164305706"</f>
        <v>20190304164305706</v>
      </c>
      <c r="B7368" t="str">
        <f>"1551688985698895"</f>
        <v>1551688985698895</v>
      </c>
      <c r="C7368" t="s">
        <v>40</v>
      </c>
      <c r="D7368">
        <v>4.3573060000000003</v>
      </c>
      <c r="E7368">
        <v>0.5379505</v>
      </c>
      <c r="F7368" t="s">
        <v>42</v>
      </c>
      <c r="G7368">
        <v>-188.3613</v>
      </c>
      <c r="H7368" s="1">
        <v>-3.3481280000000001E-6</v>
      </c>
      <c r="I7368">
        <v>-3.2402280000000001</v>
      </c>
      <c r="J7368">
        <v>-188.0547</v>
      </c>
      <c r="K7368">
        <v>1.1111260000000001</v>
      </c>
      <c r="L7368">
        <v>-13.31189</v>
      </c>
      <c r="M7368">
        <v>7.0218240000000001E-2</v>
      </c>
      <c r="N7368">
        <v>-9.7564750000000006E-3</v>
      </c>
      <c r="O7368">
        <v>0.99748400000000004</v>
      </c>
      <c r="P7368">
        <v>-9.0905609999999998E-2</v>
      </c>
      <c r="Q7368">
        <v>0.38248599999999999</v>
      </c>
      <c r="R7368">
        <v>0.91947849999999998</v>
      </c>
      <c r="S7368">
        <v>-9.3673709999999993E-2</v>
      </c>
      <c r="T7368">
        <v>-0.36498219999999998</v>
      </c>
      <c r="U7368">
        <v>3.4125670000000001</v>
      </c>
      <c r="V7368">
        <v>-0.156073499999999</v>
      </c>
      <c r="W7368">
        <v>0.39102599999999998</v>
      </c>
      <c r="X7368">
        <v>0.90705000000000002</v>
      </c>
      <c r="Y7368">
        <v>-9.738339E-2</v>
      </c>
      <c r="Z7368">
        <v>-9.5964549999999996E-2</v>
      </c>
      <c r="AA7368">
        <v>0.99060950000000003</v>
      </c>
      <c r="AB7368">
        <v>31</v>
      </c>
      <c r="AC7368">
        <v>-0.30660000000000298</v>
      </c>
      <c r="AD7368">
        <v>-1.111129348128</v>
      </c>
      <c r="AE7368">
        <v>10.071662</v>
      </c>
      <c r="AF7368">
        <v>-1.00092019148073</v>
      </c>
      <c r="AG7368">
        <v>-1.111129348128</v>
      </c>
      <c r="AH7368">
        <v>9.9048290875219394</v>
      </c>
      <c r="AI7368">
        <v>96.368546443234706</v>
      </c>
      <c r="AJ7368">
        <v>95.770364926463898</v>
      </c>
      <c r="AK7368">
        <v>10.017089842414601</v>
      </c>
      <c r="AL7368">
        <v>66.981644475520397</v>
      </c>
      <c r="AM7368">
        <v>99.763117570257407</v>
      </c>
      <c r="AN7368">
        <v>0.99999998628912501</v>
      </c>
    </row>
    <row r="7369" spans="1:40" x14ac:dyDescent="0.25">
      <c r="A7369" t="str">
        <f>"20190304164305730"</f>
        <v>20190304164305730</v>
      </c>
      <c r="B7369" t="str">
        <f>"1551688985718414"</f>
        <v>1551688985718414</v>
      </c>
      <c r="C7369" t="s">
        <v>40</v>
      </c>
      <c r="D7369">
        <v>4.333653</v>
      </c>
      <c r="E7369">
        <v>0.53797790000000001</v>
      </c>
      <c r="F7369" t="s">
        <v>42</v>
      </c>
      <c r="G7369">
        <v>-188.30609999999999</v>
      </c>
      <c r="H7369" s="1">
        <v>-3.3468650000000002E-6</v>
      </c>
      <c r="I7369">
        <v>-3.2659820000000002</v>
      </c>
      <c r="J7369">
        <v>-188.03389999999999</v>
      </c>
      <c r="K7369">
        <v>1.111197</v>
      </c>
      <c r="L7369">
        <v>-12.997339999999999</v>
      </c>
      <c r="M7369">
        <v>6.8858849999999999E-2</v>
      </c>
      <c r="N7369">
        <v>-9.6680069999999993E-3</v>
      </c>
      <c r="O7369">
        <v>0.99757960000000001</v>
      </c>
      <c r="P7369">
        <v>-8.8318939999999999E-2</v>
      </c>
      <c r="Q7369">
        <v>0.37772630000000001</v>
      </c>
      <c r="R7369">
        <v>0.9216955</v>
      </c>
      <c r="S7369">
        <v>-8.5372920000000005E-2</v>
      </c>
      <c r="T7369">
        <v>-0.3772992</v>
      </c>
      <c r="U7369">
        <v>3.4112239999999998</v>
      </c>
      <c r="V7369">
        <v>-0.1524895</v>
      </c>
      <c r="W7369">
        <v>0.38618170000000002</v>
      </c>
      <c r="X7369">
        <v>0.90973110000000001</v>
      </c>
      <c r="Y7369">
        <v>-9.3620149999999999E-2</v>
      </c>
      <c r="Z7369">
        <v>-9.9662669999999995E-2</v>
      </c>
      <c r="AA7369">
        <v>0.99060720000000002</v>
      </c>
      <c r="AB7369">
        <v>31</v>
      </c>
      <c r="AC7369">
        <v>-0.272199999999998</v>
      </c>
      <c r="AD7369">
        <v>-1.111200346865</v>
      </c>
      <c r="AE7369">
        <v>9.7313580000000002</v>
      </c>
      <c r="AF7369">
        <v>-0.92956433165582897</v>
      </c>
      <c r="AG7369">
        <v>-1.111200346865</v>
      </c>
      <c r="AH7369">
        <v>9.5648960282577598</v>
      </c>
      <c r="AI7369">
        <v>96.595823189157301</v>
      </c>
      <c r="AJ7369">
        <v>95.550857791615002</v>
      </c>
      <c r="AK7369">
        <v>9.6739904945653503</v>
      </c>
      <c r="AL7369">
        <v>67.282879073950994</v>
      </c>
      <c r="AM7369">
        <v>99.515482535871101</v>
      </c>
      <c r="AN7369">
        <v>1.00000001366617</v>
      </c>
    </row>
    <row r="7370" spans="1:40" x14ac:dyDescent="0.25">
      <c r="A7370" t="str">
        <f>"20190304164305752"</f>
        <v>20190304164305752</v>
      </c>
      <c r="B7370" t="str">
        <f>"1551688985748671"</f>
        <v>1551688985748671</v>
      </c>
      <c r="C7370" t="s">
        <v>40</v>
      </c>
      <c r="D7370">
        <v>4.4706429999999999</v>
      </c>
      <c r="E7370">
        <v>0.53862330000000003</v>
      </c>
      <c r="F7370" t="s">
        <v>42</v>
      </c>
      <c r="G7370">
        <v>-188.25</v>
      </c>
      <c r="H7370" s="1">
        <v>-3.3139620000000002E-6</v>
      </c>
      <c r="I7370">
        <v>-3.3658640000000002</v>
      </c>
      <c r="J7370">
        <v>-188.01439999999999</v>
      </c>
      <c r="K7370">
        <v>1.111227</v>
      </c>
      <c r="L7370">
        <v>-12.694979999999999</v>
      </c>
      <c r="M7370">
        <v>6.7479800000000006E-2</v>
      </c>
      <c r="N7370">
        <v>-9.5890569999999998E-3</v>
      </c>
      <c r="O7370">
        <v>0.99767459999999997</v>
      </c>
      <c r="P7370">
        <v>-8.673757E-2</v>
      </c>
      <c r="Q7370">
        <v>0.37174049999999997</v>
      </c>
      <c r="R7370">
        <v>0.92427579999999998</v>
      </c>
      <c r="S7370">
        <v>-7.6492309999999994E-2</v>
      </c>
      <c r="T7370">
        <v>-0.39327010000000001</v>
      </c>
      <c r="U7370">
        <v>3.408722</v>
      </c>
      <c r="V7370">
        <v>-0.14987159999999999</v>
      </c>
      <c r="W7370">
        <v>0.38013350000000001</v>
      </c>
      <c r="X7370">
        <v>0.91270859999999998</v>
      </c>
      <c r="Y7370">
        <v>-8.9671749999999995E-2</v>
      </c>
      <c r="Z7370">
        <v>-0.10443669999999999</v>
      </c>
      <c r="AA7370">
        <v>0.99048069999999999</v>
      </c>
      <c r="AB7370">
        <v>31</v>
      </c>
      <c r="AC7370">
        <v>-0.235600000000005</v>
      </c>
      <c r="AD7370">
        <v>-1.1112303139619999</v>
      </c>
      <c r="AE7370">
        <v>9.3291160000000009</v>
      </c>
      <c r="AF7370">
        <v>-0.85253057324311698</v>
      </c>
      <c r="AG7370">
        <v>-1.1112303139619999</v>
      </c>
      <c r="AH7370">
        <v>9.1620406903830407</v>
      </c>
      <c r="AI7370">
        <v>96.885958655904403</v>
      </c>
      <c r="AJ7370">
        <v>95.3160815084115</v>
      </c>
      <c r="AK7370">
        <v>9.2684751065758793</v>
      </c>
      <c r="AL7370">
        <v>67.658047363807697</v>
      </c>
      <c r="AM7370">
        <v>99.325053913853594</v>
      </c>
      <c r="AN7370">
        <v>0.99999998141138402</v>
      </c>
    </row>
    <row r="7371" spans="1:40" x14ac:dyDescent="0.25">
      <c r="A7371" t="str">
        <f>"20190304164305773"</f>
        <v>20190304164305773</v>
      </c>
      <c r="B7371" t="str">
        <f>"1551688985768190"</f>
        <v>1551688985768190</v>
      </c>
      <c r="C7371" t="s">
        <v>40</v>
      </c>
      <c r="D7371">
        <v>4.678814</v>
      </c>
      <c r="E7371">
        <v>0.53929759999999904</v>
      </c>
      <c r="F7371" t="s">
        <v>42</v>
      </c>
      <c r="G7371">
        <v>-188.18539999999999</v>
      </c>
      <c r="H7371" s="1">
        <v>-3.2424270000000002E-6</v>
      </c>
      <c r="I7371">
        <v>-3.5593569999999999</v>
      </c>
      <c r="J7371">
        <v>-187.99629999999999</v>
      </c>
      <c r="K7371">
        <v>1.111235</v>
      </c>
      <c r="L7371">
        <v>-12.40781</v>
      </c>
      <c r="M7371">
        <v>6.6132380000000004E-2</v>
      </c>
      <c r="N7371">
        <v>-9.5172980000000004E-3</v>
      </c>
      <c r="O7371">
        <v>0.99776549999999997</v>
      </c>
      <c r="P7371">
        <v>-8.4568779999999996E-2</v>
      </c>
      <c r="Q7371">
        <v>0.36543029999999999</v>
      </c>
      <c r="R7371">
        <v>0.92698910000000001</v>
      </c>
      <c r="S7371">
        <v>-6.3751219999999997E-2</v>
      </c>
      <c r="T7371">
        <v>-0.41435240000000001</v>
      </c>
      <c r="U7371">
        <v>3.4064640000000002</v>
      </c>
      <c r="V7371">
        <v>-0.14667189999999999</v>
      </c>
      <c r="W7371">
        <v>0.37377969999999999</v>
      </c>
      <c r="X7371">
        <v>0.91584719999999997</v>
      </c>
      <c r="Y7371">
        <v>-8.4625500000000006E-2</v>
      </c>
      <c r="Z7371">
        <v>-0.1106654</v>
      </c>
      <c r="AA7371">
        <v>0.99024829999999997</v>
      </c>
      <c r="AB7371">
        <v>31</v>
      </c>
      <c r="AC7371">
        <v>-0.18909999999999599</v>
      </c>
      <c r="AD7371">
        <v>-1.111238242427</v>
      </c>
      <c r="AE7371">
        <v>8.8484529999999992</v>
      </c>
      <c r="AF7371">
        <v>-0.76187118685648902</v>
      </c>
      <c r="AG7371">
        <v>-1.111238242427</v>
      </c>
      <c r="AH7371">
        <v>8.6797423628510497</v>
      </c>
      <c r="AI7371">
        <v>97.268053567475604</v>
      </c>
      <c r="AJ7371">
        <v>95.016325395770096</v>
      </c>
      <c r="AK7371">
        <v>8.7836908883604004</v>
      </c>
      <c r="AL7371">
        <v>68.051089134621805</v>
      </c>
      <c r="AM7371">
        <v>99.098593797857106</v>
      </c>
      <c r="AN7371">
        <v>1.0000000020647699</v>
      </c>
    </row>
    <row r="7372" spans="1:40" x14ac:dyDescent="0.25">
      <c r="A7372" t="str">
        <f>"20190304164305796"</f>
        <v>20190304164305796</v>
      </c>
      <c r="B7372" t="str">
        <f>"1551688985788687"</f>
        <v>1551688985788687</v>
      </c>
      <c r="C7372" t="s">
        <v>40</v>
      </c>
      <c r="D7372">
        <v>4.4248560000000001</v>
      </c>
      <c r="E7372">
        <v>0.5612994</v>
      </c>
      <c r="F7372" t="s">
        <v>42</v>
      </c>
      <c r="G7372">
        <v>-188.11240000000001</v>
      </c>
      <c r="H7372" s="1">
        <v>-3.1579950000000002E-6</v>
      </c>
      <c r="I7372">
        <v>-3.7863319999999998</v>
      </c>
      <c r="J7372">
        <v>-187.97620000000001</v>
      </c>
      <c r="K7372">
        <v>1.111235</v>
      </c>
      <c r="L7372">
        <v>-12.081939999999999</v>
      </c>
      <c r="M7372">
        <v>6.4585089999999998E-2</v>
      </c>
      <c r="N7372">
        <v>-9.4389799999999996E-3</v>
      </c>
      <c r="O7372">
        <v>0.99786759999999997</v>
      </c>
      <c r="P7372">
        <v>-8.2628019999999996E-2</v>
      </c>
      <c r="Q7372">
        <v>0.35950729999999997</v>
      </c>
      <c r="R7372">
        <v>0.92947679999999999</v>
      </c>
      <c r="S7372">
        <v>-4.586792E-2</v>
      </c>
      <c r="T7372">
        <v>-0.43889250000000002</v>
      </c>
      <c r="U7372">
        <v>3.4051209999999998</v>
      </c>
      <c r="V7372">
        <v>-0.143482</v>
      </c>
      <c r="W7372">
        <v>0.36780980000000002</v>
      </c>
      <c r="X7372">
        <v>0.9187649</v>
      </c>
      <c r="Y7372">
        <v>-7.7877379999999996E-2</v>
      </c>
      <c r="Z7372">
        <v>-0.1178638</v>
      </c>
      <c r="AA7372">
        <v>0.9899713</v>
      </c>
      <c r="AB7372">
        <v>31</v>
      </c>
      <c r="AC7372">
        <v>-0.13620000000000199</v>
      </c>
      <c r="AD7372">
        <v>-1.1112381579949999</v>
      </c>
      <c r="AE7372">
        <v>8.2956079999999996</v>
      </c>
      <c r="AF7372">
        <v>-0.65987449613951299</v>
      </c>
      <c r="AG7372">
        <v>-1.1112381579949999</v>
      </c>
      <c r="AH7372">
        <v>8.1237570960632102</v>
      </c>
      <c r="AI7372">
        <v>97.763817167618498</v>
      </c>
      <c r="AJ7372">
        <v>94.643811852870002</v>
      </c>
      <c r="AK7372">
        <v>8.2259172102736908</v>
      </c>
      <c r="AL7372">
        <v>68.419395607874904</v>
      </c>
      <c r="AM7372">
        <v>98.876092478251906</v>
      </c>
      <c r="AN7372">
        <v>1.0000000373860201</v>
      </c>
    </row>
    <row r="7373" spans="1:40" x14ac:dyDescent="0.25">
      <c r="A7373" t="str">
        <f>"20190304164305818"</f>
        <v>20190304164305818</v>
      </c>
      <c r="B7373" t="str">
        <f>"1551688985808206"</f>
        <v>1551688985808206</v>
      </c>
      <c r="C7373" t="s">
        <v>40</v>
      </c>
      <c r="D7373">
        <v>4.3641230000000002</v>
      </c>
      <c r="E7373">
        <v>0.56177959999999905</v>
      </c>
      <c r="F7373" t="s">
        <v>41</v>
      </c>
      <c r="G7373">
        <v>-187.94159999999999</v>
      </c>
      <c r="H7373">
        <v>1.0241769999999999</v>
      </c>
      <c r="I7373">
        <v>-11.282120000000001</v>
      </c>
      <c r="J7373">
        <v>-187.95750000000001</v>
      </c>
      <c r="K7373">
        <v>1.1112359999999999</v>
      </c>
      <c r="L7373">
        <v>-11.77176</v>
      </c>
      <c r="M7373">
        <v>6.3115470000000007E-2</v>
      </c>
      <c r="N7373">
        <v>-9.3679720000000005E-3</v>
      </c>
      <c r="O7373">
        <v>0.99796220000000002</v>
      </c>
      <c r="P7373">
        <v>-8.0324450000000006E-2</v>
      </c>
      <c r="Q7373">
        <v>0.35535070000000002</v>
      </c>
      <c r="R7373">
        <v>0.93127539999999998</v>
      </c>
      <c r="S7373">
        <v>0.14607239999999999</v>
      </c>
      <c r="T7373">
        <v>-0.3682433</v>
      </c>
      <c r="U7373">
        <v>3.3830260000000001</v>
      </c>
      <c r="V7373">
        <v>-0.13994389999999901</v>
      </c>
      <c r="W7373">
        <v>0.36361139999999997</v>
      </c>
      <c r="X7373">
        <v>0.92097910000000005</v>
      </c>
      <c r="Y7373">
        <v>-2.0206890000000002E-2</v>
      </c>
      <c r="Z7373">
        <v>-9.8522830000000006E-2</v>
      </c>
      <c r="AA7373">
        <v>0.99492959999999997</v>
      </c>
      <c r="AB7373">
        <v>31</v>
      </c>
      <c r="AC7373">
        <v>1.59000000000162E-2</v>
      </c>
      <c r="AD7373">
        <v>-8.7058999999999997E-2</v>
      </c>
      <c r="AE7373">
        <v>0.48964000000000102</v>
      </c>
      <c r="AF7373">
        <v>-1.4576587924920901E-2</v>
      </c>
      <c r="AG7373">
        <v>-8.7058999999999997E-2</v>
      </c>
      <c r="AH7373">
        <v>0.47467684184599301</v>
      </c>
      <c r="AI7373">
        <v>100.388144598473</v>
      </c>
      <c r="AJ7373">
        <v>91.758911571564994</v>
      </c>
      <c r="AK7373">
        <v>0.48281450949761101</v>
      </c>
      <c r="AL7373">
        <v>68.677849689820505</v>
      </c>
      <c r="AM7373">
        <v>98.6400709183483</v>
      </c>
      <c r="AN7373">
        <v>1.00000002399698</v>
      </c>
    </row>
    <row r="7374" spans="1:40" x14ac:dyDescent="0.25">
      <c r="A7374" t="str">
        <f>"20190304164305839"</f>
        <v>20190304164305839</v>
      </c>
      <c r="B7374" t="str">
        <f>"1551688985828702"</f>
        <v>1551688985828702</v>
      </c>
      <c r="C7374" t="s">
        <v>40</v>
      </c>
      <c r="D7374">
        <v>4.373068</v>
      </c>
      <c r="E7374">
        <v>0.56234039999999996</v>
      </c>
      <c r="F7374" t="s">
        <v>41</v>
      </c>
      <c r="G7374">
        <v>-187.92080000000001</v>
      </c>
      <c r="H7374">
        <v>1.022715</v>
      </c>
      <c r="I7374">
        <v>-11.007149999999999</v>
      </c>
      <c r="J7374">
        <v>-187.9408</v>
      </c>
      <c r="K7374">
        <v>1.111229</v>
      </c>
      <c r="L7374">
        <v>-11.48654</v>
      </c>
      <c r="M7374">
        <v>6.1775770000000001E-2</v>
      </c>
      <c r="N7374">
        <v>-9.3083260000000004E-3</v>
      </c>
      <c r="O7374">
        <v>0.99804660000000001</v>
      </c>
      <c r="P7374">
        <v>-7.8195870000000001E-2</v>
      </c>
      <c r="Q7374">
        <v>0.35312480000000002</v>
      </c>
      <c r="R7374">
        <v>0.93230270000000004</v>
      </c>
      <c r="S7374">
        <v>0.16194149999999999</v>
      </c>
      <c r="T7374">
        <v>-0.391928</v>
      </c>
      <c r="U7374">
        <v>3.3849179999999999</v>
      </c>
      <c r="V7374">
        <v>-0.13664599999999999</v>
      </c>
      <c r="W7374">
        <v>0.36134840000000001</v>
      </c>
      <c r="X7374">
        <v>0.92236390000000001</v>
      </c>
      <c r="Y7374">
        <v>-1.427018E-2</v>
      </c>
      <c r="Z7374">
        <v>-0.1053814</v>
      </c>
      <c r="AA7374">
        <v>0.99432949999999998</v>
      </c>
      <c r="AB7374">
        <v>31</v>
      </c>
      <c r="AC7374">
        <v>1.99999999999818E-2</v>
      </c>
      <c r="AD7374">
        <v>-8.8513999999999898E-2</v>
      </c>
      <c r="AE7374">
        <v>0.47938999999999998</v>
      </c>
      <c r="AF7374">
        <v>-9.3364331933793697E-3</v>
      </c>
      <c r="AG7374">
        <v>-8.8513999999999898E-2</v>
      </c>
      <c r="AH7374">
        <v>0.46392158176507098</v>
      </c>
      <c r="AI7374">
        <v>100.79979811613001</v>
      </c>
      <c r="AJ7374">
        <v>91.152923331514799</v>
      </c>
      <c r="AK7374">
        <v>0.47238239934207898</v>
      </c>
      <c r="AL7374">
        <v>68.816970555139903</v>
      </c>
      <c r="AM7374">
        <v>98.426938404189102</v>
      </c>
      <c r="AN7374">
        <v>0.99999997976088395</v>
      </c>
    </row>
    <row r="7375" spans="1:40" x14ac:dyDescent="0.25">
      <c r="A7375" t="str">
        <f>"20190304164305861"</f>
        <v>20190304164305861</v>
      </c>
      <c r="B7375" t="str">
        <f>"1551688985857983"</f>
        <v>1551688985857983</v>
      </c>
      <c r="C7375" t="s">
        <v>40</v>
      </c>
      <c r="D7375">
        <v>4.6795720000000003</v>
      </c>
      <c r="E7375">
        <v>0.56236600000000003</v>
      </c>
      <c r="F7375" t="s">
        <v>41</v>
      </c>
      <c r="G7375">
        <v>-187.9016</v>
      </c>
      <c r="H7375">
        <v>1.0191490000000001</v>
      </c>
      <c r="I7375">
        <v>-10.73254</v>
      </c>
      <c r="J7375">
        <v>-187.9229</v>
      </c>
      <c r="K7375">
        <v>1.111227</v>
      </c>
      <c r="L7375">
        <v>-11.174440000000001</v>
      </c>
      <c r="M7375">
        <v>6.0323050000000003E-2</v>
      </c>
      <c r="N7375">
        <v>-9.2499850000000005E-3</v>
      </c>
      <c r="O7375">
        <v>0.99813600000000002</v>
      </c>
      <c r="P7375">
        <v>-7.9417089999999996E-2</v>
      </c>
      <c r="Q7375">
        <v>0.35271469999999999</v>
      </c>
      <c r="R7375">
        <v>0.93235469999999998</v>
      </c>
      <c r="S7375">
        <v>0.17605589999999999</v>
      </c>
      <c r="T7375">
        <v>-0.41392820000000002</v>
      </c>
      <c r="U7375">
        <v>3.3893740000000001</v>
      </c>
      <c r="V7375">
        <v>-0.13652909999999999</v>
      </c>
      <c r="W7375">
        <v>0.3608828</v>
      </c>
      <c r="X7375">
        <v>0.92256349999999998</v>
      </c>
      <c r="Y7375">
        <v>-8.7850710000000002E-3</v>
      </c>
      <c r="Z7375">
        <v>-0.1116398</v>
      </c>
      <c r="AA7375">
        <v>0.99370990000000003</v>
      </c>
      <c r="AB7375">
        <v>31</v>
      </c>
      <c r="AC7375">
        <v>2.1299999999996499E-2</v>
      </c>
      <c r="AD7375">
        <v>-9.2077999999999799E-2</v>
      </c>
      <c r="AE7375">
        <v>0.44189999999999802</v>
      </c>
      <c r="AF7375">
        <v>-5.1726286408741301E-3</v>
      </c>
      <c r="AG7375">
        <v>-9.2077999999999799E-2</v>
      </c>
      <c r="AH7375">
        <v>0.42401324796739598</v>
      </c>
      <c r="AI7375">
        <v>102.25114184887499</v>
      </c>
      <c r="AJ7375">
        <v>90.698928844425495</v>
      </c>
      <c r="AK7375">
        <v>0.43392666272414898</v>
      </c>
      <c r="AL7375">
        <v>68.845578332960997</v>
      </c>
      <c r="AM7375">
        <v>98.418037028378905</v>
      </c>
      <c r="AN7375">
        <v>1.0000000010074499</v>
      </c>
    </row>
    <row r="7376" spans="1:40" x14ac:dyDescent="0.25">
      <c r="A7376" t="str">
        <f>"20190304164305884"</f>
        <v>20190304164305884</v>
      </c>
      <c r="B7376" t="str">
        <f>"1551688985878478"</f>
        <v>1551688985878478</v>
      </c>
      <c r="C7376" t="s">
        <v>40</v>
      </c>
      <c r="D7376">
        <v>4.413233</v>
      </c>
      <c r="E7376">
        <v>0.56202680000000005</v>
      </c>
      <c r="F7376" t="s">
        <v>41</v>
      </c>
      <c r="G7376">
        <v>-187.8854</v>
      </c>
      <c r="H7376">
        <v>1.0225299999999999</v>
      </c>
      <c r="I7376">
        <v>-10.453810000000001</v>
      </c>
      <c r="J7376">
        <v>-187.9057</v>
      </c>
      <c r="K7376">
        <v>1.1112219999999999</v>
      </c>
      <c r="L7376">
        <v>-10.86703</v>
      </c>
      <c r="M7376">
        <v>5.8904310000000001E-2</v>
      </c>
      <c r="N7376">
        <v>-9.1946179999999999E-3</v>
      </c>
      <c r="O7376">
        <v>0.99822129999999998</v>
      </c>
      <c r="P7376">
        <v>-8.0105369999999995E-2</v>
      </c>
      <c r="Q7376">
        <v>0.35049429999999998</v>
      </c>
      <c r="R7376">
        <v>0.93313279999999998</v>
      </c>
      <c r="S7376">
        <v>0.17507929999999999</v>
      </c>
      <c r="T7376">
        <v>-0.4173694</v>
      </c>
      <c r="U7376">
        <v>3.3904719999999999</v>
      </c>
      <c r="V7376">
        <v>-0.1359475</v>
      </c>
      <c r="W7376">
        <v>0.35861880000000002</v>
      </c>
      <c r="X7376">
        <v>0.92353180000000001</v>
      </c>
      <c r="Y7376">
        <v>-7.6725079999999998E-3</v>
      </c>
      <c r="Z7376">
        <v>-0.1126629</v>
      </c>
      <c r="AA7376">
        <v>0.99360360000000003</v>
      </c>
      <c r="AB7376">
        <v>31</v>
      </c>
      <c r="AC7376">
        <v>2.02999999999917E-2</v>
      </c>
      <c r="AD7376">
        <v>-8.8691999999999993E-2</v>
      </c>
      <c r="AE7376">
        <v>0.41321999999999898</v>
      </c>
      <c r="AF7376">
        <v>-3.8975939709181601E-3</v>
      </c>
      <c r="AG7376">
        <v>-8.8691999999999993E-2</v>
      </c>
      <c r="AH7376">
        <v>0.39552096687069599</v>
      </c>
      <c r="AI7376">
        <v>102.638388466389</v>
      </c>
      <c r="AJ7376">
        <v>90.564593220964497</v>
      </c>
      <c r="AK7376">
        <v>0.40536193375438201</v>
      </c>
      <c r="AL7376">
        <v>68.984605663512397</v>
      </c>
      <c r="AM7376">
        <v>98.374023313713906</v>
      </c>
      <c r="AN7376">
        <v>1.0000000760404599</v>
      </c>
    </row>
    <row r="7377" spans="1:40" x14ac:dyDescent="0.25">
      <c r="A7377" t="str">
        <f>"20190304164305898"</f>
        <v>20190304164305898</v>
      </c>
      <c r="B7377" t="str">
        <f>"1551688985888239"</f>
        <v>1551688985888239</v>
      </c>
      <c r="C7377" t="s">
        <v>40</v>
      </c>
      <c r="D7377">
        <v>4.397945</v>
      </c>
      <c r="E7377">
        <v>0.56186800000000003</v>
      </c>
      <c r="F7377" t="s">
        <v>41</v>
      </c>
      <c r="G7377">
        <v>-187.8563</v>
      </c>
      <c r="H7377">
        <v>0.99253029999999998</v>
      </c>
      <c r="I7377">
        <v>-9.9122839999999997</v>
      </c>
      <c r="J7377">
        <v>-187.89420000000001</v>
      </c>
      <c r="K7377">
        <v>1.111218</v>
      </c>
      <c r="L7377">
        <v>-10.6554</v>
      </c>
      <c r="M7377">
        <v>5.7932259999999999E-2</v>
      </c>
      <c r="N7377">
        <v>-9.1579279999999992E-3</v>
      </c>
      <c r="O7377">
        <v>0.99827849999999996</v>
      </c>
      <c r="P7377">
        <v>-8.0926219999999993E-2</v>
      </c>
      <c r="Q7377">
        <v>0.3492749</v>
      </c>
      <c r="R7377">
        <v>0.93351910000000005</v>
      </c>
      <c r="S7377">
        <v>0.17486570000000001</v>
      </c>
      <c r="T7377">
        <v>-0.42125509999999999</v>
      </c>
      <c r="U7377">
        <v>3.3882140000000001</v>
      </c>
      <c r="V7377">
        <v>-0.1358877</v>
      </c>
      <c r="W7377">
        <v>0.35736849999999998</v>
      </c>
      <c r="X7377">
        <v>0.92402510000000004</v>
      </c>
      <c r="Y7377">
        <v>-6.734996E-3</v>
      </c>
      <c r="Z7377">
        <v>-0.1139087</v>
      </c>
      <c r="AA7377">
        <v>0.99346840000000003</v>
      </c>
      <c r="AB7377">
        <v>31</v>
      </c>
      <c r="AC7377">
        <v>3.7900000000007601E-2</v>
      </c>
      <c r="AD7377">
        <v>-0.11868769999999999</v>
      </c>
      <c r="AE7377">
        <v>0.743116</v>
      </c>
      <c r="AF7377">
        <v>-5.0864382047464797E-3</v>
      </c>
      <c r="AG7377">
        <v>-0.11868769999999999</v>
      </c>
      <c r="AH7377">
        <v>0.72560200518756202</v>
      </c>
      <c r="AI7377">
        <v>99.289456474300806</v>
      </c>
      <c r="AJ7377">
        <v>90.401634320669402</v>
      </c>
      <c r="AK7377">
        <v>0.73526247824644997</v>
      </c>
      <c r="AL7377">
        <v>69.061326784140206</v>
      </c>
      <c r="AM7377">
        <v>98.365986626370898</v>
      </c>
      <c r="AN7377">
        <v>1.0000000486167699</v>
      </c>
    </row>
    <row r="7378" spans="1:40" x14ac:dyDescent="0.25">
      <c r="A7378" t="str">
        <f>"20190304164305918"</f>
        <v>20190304164305918</v>
      </c>
      <c r="B7378" t="str">
        <f>"1551688985908735"</f>
        <v>1551688985908735</v>
      </c>
      <c r="C7378" t="s">
        <v>40</v>
      </c>
      <c r="D7378">
        <v>4.393853</v>
      </c>
      <c r="E7378">
        <v>0.56155739999999998</v>
      </c>
      <c r="F7378" t="s">
        <v>41</v>
      </c>
      <c r="G7378">
        <v>-187.85579999999999</v>
      </c>
      <c r="H7378">
        <v>1.016659</v>
      </c>
      <c r="I7378">
        <v>-9.9007529999999999</v>
      </c>
      <c r="J7378">
        <v>-187.87979999999999</v>
      </c>
      <c r="K7378">
        <v>1.111213</v>
      </c>
      <c r="L7378">
        <v>-10.387600000000001</v>
      </c>
      <c r="M7378">
        <v>5.6705310000000002E-2</v>
      </c>
      <c r="N7378">
        <v>-9.1150420000000003E-3</v>
      </c>
      <c r="O7378">
        <v>0.99834940000000005</v>
      </c>
      <c r="P7378">
        <v>-8.1904279999999996E-2</v>
      </c>
      <c r="Q7378">
        <v>0.34687249999999997</v>
      </c>
      <c r="R7378">
        <v>0.93432930000000003</v>
      </c>
      <c r="S7378">
        <v>0.17161560000000001</v>
      </c>
      <c r="T7378">
        <v>-0.42449369999999997</v>
      </c>
      <c r="U7378">
        <v>3.3873600000000001</v>
      </c>
      <c r="V7378">
        <v>-0.13576869999999999</v>
      </c>
      <c r="W7378">
        <v>0.354933</v>
      </c>
      <c r="X7378">
        <v>0.92498080000000005</v>
      </c>
      <c r="Y7378">
        <v>-6.4499149999999996E-3</v>
      </c>
      <c r="Z7378">
        <v>-0.1149297</v>
      </c>
      <c r="AA7378">
        <v>0.99335269999999998</v>
      </c>
      <c r="AB7378">
        <v>31</v>
      </c>
      <c r="AC7378">
        <v>2.4000000000000899E-2</v>
      </c>
      <c r="AD7378">
        <v>-9.4553999999999999E-2</v>
      </c>
      <c r="AE7378">
        <v>0.48684699999999997</v>
      </c>
      <c r="AF7378">
        <v>-3.5143354416393002E-3</v>
      </c>
      <c r="AG7378">
        <v>-9.4553999999999999E-2</v>
      </c>
      <c r="AH7378">
        <v>0.46974847788762603</v>
      </c>
      <c r="AI7378">
        <v>101.38047755657701</v>
      </c>
      <c r="AJ7378">
        <v>90.428639669009499</v>
      </c>
      <c r="AK7378">
        <v>0.47918309856185198</v>
      </c>
      <c r="AL7378">
        <v>69.210662433179806</v>
      </c>
      <c r="AM7378">
        <v>98.350249362966693</v>
      </c>
      <c r="AN7378">
        <v>1.00000002737866</v>
      </c>
    </row>
    <row r="7379" spans="1:40" x14ac:dyDescent="0.25">
      <c r="A7379" t="str">
        <f>"20190304164305941"</f>
        <v>20190304164305941</v>
      </c>
      <c r="B7379" t="str">
        <f>"1551688985938015"</f>
        <v>1551688985938015</v>
      </c>
      <c r="C7379" t="s">
        <v>40</v>
      </c>
      <c r="D7379">
        <v>4.4659449999999996</v>
      </c>
      <c r="E7379">
        <v>0.56101279999999998</v>
      </c>
      <c r="F7379" t="s">
        <v>41</v>
      </c>
      <c r="G7379">
        <v>-187.84229999999999</v>
      </c>
      <c r="H7379">
        <v>1.0131460000000001</v>
      </c>
      <c r="I7379">
        <v>-9.6236420000000003</v>
      </c>
      <c r="J7379">
        <v>-187.86279999999999</v>
      </c>
      <c r="K7379">
        <v>1.1112089999999999</v>
      </c>
      <c r="L7379">
        <v>-10.062709999999999</v>
      </c>
      <c r="M7379">
        <v>5.5225740000000002E-2</v>
      </c>
      <c r="N7379">
        <v>-9.0685209999999995E-3</v>
      </c>
      <c r="O7379">
        <v>0.99843269999999995</v>
      </c>
      <c r="P7379">
        <v>-8.3231310000000003E-2</v>
      </c>
      <c r="Q7379">
        <v>0.34580240000000001</v>
      </c>
      <c r="R7379">
        <v>0.93460860000000001</v>
      </c>
      <c r="S7379">
        <v>0.1661987</v>
      </c>
      <c r="T7379">
        <v>-0.43478159999999999</v>
      </c>
      <c r="U7379">
        <v>3.386841</v>
      </c>
      <c r="V7379">
        <v>-0.1357332</v>
      </c>
      <c r="W7379">
        <v>0.35382229999999998</v>
      </c>
      <c r="X7379">
        <v>0.9254114</v>
      </c>
      <c r="Y7379">
        <v>-6.5624500000000001E-3</v>
      </c>
      <c r="Z7379">
        <v>-0.117974499999999</v>
      </c>
      <c r="AA7379">
        <v>0.99299499999999996</v>
      </c>
      <c r="AB7379">
        <v>31</v>
      </c>
      <c r="AC7379">
        <v>2.0499999999998401E-2</v>
      </c>
      <c r="AD7379">
        <v>-9.8063000000000206E-2</v>
      </c>
      <c r="AE7379">
        <v>0.43906800000000001</v>
      </c>
      <c r="AF7379">
        <v>-3.6009092905440799E-3</v>
      </c>
      <c r="AG7379">
        <v>-9.8063000000000206E-2</v>
      </c>
      <c r="AH7379">
        <v>0.41869023754937601</v>
      </c>
      <c r="AI7379">
        <v>103.181380694501</v>
      </c>
      <c r="AJ7379">
        <v>90.492755262941003</v>
      </c>
      <c r="AK7379">
        <v>0.43003585145412199</v>
      </c>
      <c r="AL7379">
        <v>69.278716666501197</v>
      </c>
      <c r="AM7379">
        <v>98.344267042771904</v>
      </c>
      <c r="AN7379">
        <v>0.99999999040474497</v>
      </c>
    </row>
    <row r="7380" spans="1:40" x14ac:dyDescent="0.25">
      <c r="A7380" t="str">
        <f>"20190304164305965"</f>
        <v>20190304164305965</v>
      </c>
      <c r="B7380" t="str">
        <f>"1551688985958511"</f>
        <v>1551688985958511</v>
      </c>
      <c r="C7380" t="s">
        <v>40</v>
      </c>
      <c r="D7380">
        <v>4.4247560000000004</v>
      </c>
      <c r="E7380">
        <v>0.56086919999999996</v>
      </c>
      <c r="F7380" t="s">
        <v>41</v>
      </c>
      <c r="G7380">
        <v>-187.8295</v>
      </c>
      <c r="H7380">
        <v>1.019093</v>
      </c>
      <c r="I7380">
        <v>-9.341431</v>
      </c>
      <c r="J7380">
        <v>-187.8468</v>
      </c>
      <c r="K7380">
        <v>1.1111960000000001</v>
      </c>
      <c r="L7380">
        <v>-9.7459720000000001</v>
      </c>
      <c r="M7380">
        <v>5.380157E-2</v>
      </c>
      <c r="N7380">
        <v>-9.0235739999999995E-3</v>
      </c>
      <c r="O7380">
        <v>0.99851089999999998</v>
      </c>
      <c r="P7380">
        <v>-8.5012389999999993E-2</v>
      </c>
      <c r="Q7380">
        <v>0.34556740000000002</v>
      </c>
      <c r="R7380">
        <v>0.93453520000000001</v>
      </c>
      <c r="S7380">
        <v>0.15554809999999999</v>
      </c>
      <c r="T7380">
        <v>-0.43219770000000002</v>
      </c>
      <c r="U7380">
        <v>3.383667</v>
      </c>
      <c r="V7380">
        <v>-0.1361782</v>
      </c>
      <c r="W7380">
        <v>0.35354619999999998</v>
      </c>
      <c r="X7380">
        <v>0.92545160000000004</v>
      </c>
      <c r="Y7380">
        <v>-8.2050000000000005E-3</v>
      </c>
      <c r="Z7380">
        <v>-0.1174145</v>
      </c>
      <c r="AA7380">
        <v>0.99304910000000002</v>
      </c>
      <c r="AB7380">
        <v>31</v>
      </c>
      <c r="AC7380">
        <v>1.73000000000058E-2</v>
      </c>
      <c r="AD7380">
        <v>-9.2102999999999796E-2</v>
      </c>
      <c r="AE7380">
        <v>0.40454099999999998</v>
      </c>
      <c r="AF7380">
        <v>-4.2699562605289804E-3</v>
      </c>
      <c r="AG7380">
        <v>-9.2102999999999796E-2</v>
      </c>
      <c r="AH7380">
        <v>0.38496750443669098</v>
      </c>
      <c r="AI7380">
        <v>103.45423048260299</v>
      </c>
      <c r="AJ7380">
        <v>90.635483352551702</v>
      </c>
      <c r="AK7380">
        <v>0.39585499189435502</v>
      </c>
      <c r="AL7380">
        <v>69.295630265136197</v>
      </c>
      <c r="AM7380">
        <v>98.3708781228448</v>
      </c>
      <c r="AN7380">
        <v>1.00000004081611</v>
      </c>
    </row>
    <row r="7381" spans="1:40" x14ac:dyDescent="0.25">
      <c r="A7381" t="str">
        <f>"20190304164305985"</f>
        <v>20190304164305985</v>
      </c>
      <c r="B7381" t="str">
        <f>"1551688985978031"</f>
        <v>1551688985978031</v>
      </c>
      <c r="C7381" t="s">
        <v>40</v>
      </c>
      <c r="D7381">
        <v>4.4729739999999998</v>
      </c>
      <c r="E7381">
        <v>0.54123350000000003</v>
      </c>
      <c r="F7381" t="s">
        <v>41</v>
      </c>
      <c r="G7381">
        <v>-187.8058</v>
      </c>
      <c r="H7381">
        <v>0.99055700000000002</v>
      </c>
      <c r="I7381">
        <v>-8.7947159999999993</v>
      </c>
      <c r="J7381">
        <v>-187.83179999999999</v>
      </c>
      <c r="K7381">
        <v>1.1111770000000001</v>
      </c>
      <c r="L7381">
        <v>-9.4445800000000002</v>
      </c>
      <c r="M7381">
        <v>5.2471860000000002E-2</v>
      </c>
      <c r="N7381">
        <v>-8.9774250000000007E-3</v>
      </c>
      <c r="O7381">
        <v>0.99858210000000003</v>
      </c>
      <c r="P7381">
        <v>-8.6796090000000006E-2</v>
      </c>
      <c r="Q7381">
        <v>0.3451767</v>
      </c>
      <c r="R7381">
        <v>0.93451569999999995</v>
      </c>
      <c r="S7381">
        <v>0.1450958</v>
      </c>
      <c r="T7381">
        <v>-0.42893579999999998</v>
      </c>
      <c r="U7381">
        <v>3.381958</v>
      </c>
      <c r="V7381">
        <v>-0.1367099</v>
      </c>
      <c r="W7381">
        <v>0.35311619999999999</v>
      </c>
      <c r="X7381">
        <v>0.92553730000000001</v>
      </c>
      <c r="Y7381">
        <v>-9.9082739999999999E-3</v>
      </c>
      <c r="Z7381">
        <v>-0.11660280000000001</v>
      </c>
      <c r="AA7381">
        <v>0.99312920000000005</v>
      </c>
      <c r="AB7381">
        <v>31</v>
      </c>
      <c r="AC7381">
        <v>2.5999999999981999E-2</v>
      </c>
      <c r="AD7381">
        <v>-0.12062</v>
      </c>
      <c r="AE7381">
        <v>0.649863999999999</v>
      </c>
      <c r="AF7381">
        <v>-7.8662052345179097E-3</v>
      </c>
      <c r="AG7381">
        <v>-0.12062</v>
      </c>
      <c r="AH7381">
        <v>0.628708387810477</v>
      </c>
      <c r="AI7381">
        <v>100.859608347199</v>
      </c>
      <c r="AJ7381">
        <v>90.716829700000801</v>
      </c>
      <c r="AK7381">
        <v>0.64022285064502404</v>
      </c>
      <c r="AL7381">
        <v>69.321964640576894</v>
      </c>
      <c r="AM7381">
        <v>98.402328986254105</v>
      </c>
      <c r="AN7381">
        <v>0.99999997057586898</v>
      </c>
    </row>
    <row r="7382" spans="1:40" x14ac:dyDescent="0.25">
      <c r="A7382" t="str">
        <f>"20190304164306009"</f>
        <v>20190304164306009</v>
      </c>
      <c r="B7382" t="str">
        <f>"1551688985998527"</f>
        <v>1551688985998527</v>
      </c>
      <c r="C7382" t="s">
        <v>40</v>
      </c>
      <c r="D7382">
        <v>4.4515940000000001</v>
      </c>
      <c r="E7382">
        <v>0.53796549999999999</v>
      </c>
      <c r="F7382" t="s">
        <v>41</v>
      </c>
      <c r="G7382">
        <v>-187.83629999999999</v>
      </c>
      <c r="H7382">
        <v>1.0099499999999999</v>
      </c>
      <c r="I7382">
        <v>-8.4979969999999998</v>
      </c>
      <c r="J7382">
        <v>-187.81639999999999</v>
      </c>
      <c r="K7382">
        <v>1.1111470000000001</v>
      </c>
      <c r="L7382">
        <v>-9.1241149999999998</v>
      </c>
      <c r="M7382">
        <v>5.1086279999999998E-2</v>
      </c>
      <c r="N7382">
        <v>-8.927941E-3</v>
      </c>
      <c r="O7382">
        <v>0.99865440000000005</v>
      </c>
      <c r="P7382">
        <v>-8.8525670000000001E-2</v>
      </c>
      <c r="Q7382">
        <v>0.34445940000000003</v>
      </c>
      <c r="R7382">
        <v>0.93461810000000001</v>
      </c>
      <c r="S7382">
        <v>-1.570129E-2</v>
      </c>
      <c r="T7382">
        <v>-0.35725820000000003</v>
      </c>
      <c r="U7382">
        <v>3.3407290000000001</v>
      </c>
      <c r="V7382">
        <v>-0.13713510000000001</v>
      </c>
      <c r="W7382">
        <v>0.3523599</v>
      </c>
      <c r="X7382">
        <v>0.92576270000000005</v>
      </c>
      <c r="Y7382">
        <v>-5.5730259999999997E-2</v>
      </c>
      <c r="Z7382">
        <v>-9.7160150000000001E-2</v>
      </c>
      <c r="AA7382">
        <v>0.99370720000000001</v>
      </c>
      <c r="AB7382">
        <v>31</v>
      </c>
      <c r="AC7382">
        <v>-1.9900000000006898E-2</v>
      </c>
      <c r="AD7382">
        <v>-0.101196999999999</v>
      </c>
      <c r="AE7382">
        <v>0.62611799999999995</v>
      </c>
      <c r="AF7382">
        <v>-5.0542340948935803E-2</v>
      </c>
      <c r="AG7382">
        <v>-0.101196999999999</v>
      </c>
      <c r="AH7382">
        <v>0.60840636475278098</v>
      </c>
      <c r="AI7382">
        <v>99.411786088686597</v>
      </c>
      <c r="AJ7382">
        <v>94.748846852618897</v>
      </c>
      <c r="AK7382">
        <v>0.61883250214358698</v>
      </c>
      <c r="AL7382">
        <v>69.3682759544877</v>
      </c>
      <c r="AM7382">
        <v>98.426064863627701</v>
      </c>
      <c r="AN7382">
        <v>1.0000000557456501</v>
      </c>
    </row>
    <row r="7383" spans="1:40" x14ac:dyDescent="0.25">
      <c r="A7383" t="str">
        <f>"20190304164306031"</f>
        <v>20190304164306031</v>
      </c>
      <c r="B7383" t="str">
        <f>"1551688986018047"</f>
        <v>1551688986018047</v>
      </c>
      <c r="C7383" t="s">
        <v>40</v>
      </c>
      <c r="D7383">
        <v>4.4441350000000002</v>
      </c>
      <c r="E7383">
        <v>0.5364932</v>
      </c>
      <c r="F7383" t="s">
        <v>42</v>
      </c>
      <c r="G7383">
        <v>-187.97370000000001</v>
      </c>
      <c r="H7383" s="1">
        <v>-1.2125710000000001E-6</v>
      </c>
      <c r="I7383">
        <v>1.6214649999999999</v>
      </c>
      <c r="J7383">
        <v>-187.80160000000001</v>
      </c>
      <c r="K7383">
        <v>1.1111070000000001</v>
      </c>
      <c r="L7383">
        <v>-8.8073119999999996</v>
      </c>
      <c r="M7383">
        <v>4.9754769999999997E-2</v>
      </c>
      <c r="N7383">
        <v>-8.8765609999999998E-3</v>
      </c>
      <c r="O7383">
        <v>0.998722</v>
      </c>
      <c r="P7383">
        <v>-8.9483590000000002E-2</v>
      </c>
      <c r="Q7383">
        <v>0.343059</v>
      </c>
      <c r="R7383">
        <v>0.93504180000000003</v>
      </c>
      <c r="S7383">
        <v>-4.8767089999999999E-2</v>
      </c>
      <c r="T7383">
        <v>-0.34457140000000003</v>
      </c>
      <c r="U7383">
        <v>3.3322449999999999</v>
      </c>
      <c r="V7383">
        <v>-0.1368492</v>
      </c>
      <c r="W7383">
        <v>0.35092570000000001</v>
      </c>
      <c r="X7383">
        <v>0.92634950000000005</v>
      </c>
      <c r="Y7383">
        <v>-6.4269859999999998E-2</v>
      </c>
      <c r="Z7383">
        <v>-9.3717369999999994E-2</v>
      </c>
      <c r="AA7383">
        <v>0.99352220000000002</v>
      </c>
      <c r="AB7383">
        <v>32</v>
      </c>
      <c r="AC7383">
        <v>-0.1721</v>
      </c>
      <c r="AD7383">
        <v>-1.1111082125709999</v>
      </c>
      <c r="AE7383">
        <v>10.428777</v>
      </c>
      <c r="AF7383">
        <v>-0.683037426919196</v>
      </c>
      <c r="AG7383">
        <v>-1.1111082125709999</v>
      </c>
      <c r="AH7383">
        <v>10.290517394281499</v>
      </c>
      <c r="AI7383">
        <v>96.149152541412704</v>
      </c>
      <c r="AJ7383">
        <v>93.797461217265095</v>
      </c>
      <c r="AK7383">
        <v>10.372841935970399</v>
      </c>
      <c r="AL7383">
        <v>69.456053915548395</v>
      </c>
      <c r="AM7383">
        <v>98.403499098084794</v>
      </c>
      <c r="AN7383">
        <v>0.99999997330568902</v>
      </c>
    </row>
    <row r="7384" spans="1:40" x14ac:dyDescent="0.25">
      <c r="A7384" t="str">
        <f>"20190304164306052"</f>
        <v>20190304164306052</v>
      </c>
      <c r="B7384" t="str">
        <f>"1551688986048303"</f>
        <v>1551688986048303</v>
      </c>
      <c r="C7384" t="s">
        <v>40</v>
      </c>
      <c r="D7384">
        <v>4.4543689999999998</v>
      </c>
      <c r="E7384">
        <v>0.53611999999999904</v>
      </c>
      <c r="F7384" t="s">
        <v>42</v>
      </c>
      <c r="G7384">
        <v>-188.0119</v>
      </c>
      <c r="H7384" s="1">
        <v>-1.322782E-6</v>
      </c>
      <c r="I7384">
        <v>1.894191</v>
      </c>
      <c r="J7384">
        <v>-187.7885</v>
      </c>
      <c r="K7384">
        <v>1.111056</v>
      </c>
      <c r="L7384">
        <v>-8.5223080000000007</v>
      </c>
      <c r="M7384">
        <v>4.8600110000000002E-2</v>
      </c>
      <c r="N7384">
        <v>-8.8280939999999999E-3</v>
      </c>
      <c r="O7384">
        <v>0.99877930000000004</v>
      </c>
      <c r="P7384">
        <v>-8.9301329999999998E-2</v>
      </c>
      <c r="Q7384">
        <v>0.34205950000000002</v>
      </c>
      <c r="R7384">
        <v>0.93542530000000002</v>
      </c>
      <c r="S7384">
        <v>-6.5444950000000002E-2</v>
      </c>
      <c r="T7384">
        <v>-0.345636</v>
      </c>
      <c r="U7384">
        <v>3.3289490000000002</v>
      </c>
      <c r="V7384">
        <v>-0.13558529999999999</v>
      </c>
      <c r="W7384">
        <v>0.34989900000000002</v>
      </c>
      <c r="X7384">
        <v>0.92692359999999896</v>
      </c>
      <c r="Y7384">
        <v>-6.8103350000000007E-2</v>
      </c>
      <c r="Z7384">
        <v>-9.4170519999999994E-2</v>
      </c>
      <c r="AA7384">
        <v>0.993224</v>
      </c>
      <c r="AB7384">
        <v>32</v>
      </c>
      <c r="AC7384">
        <v>-0.22339999999999799</v>
      </c>
      <c r="AD7384">
        <v>-1.111057322782</v>
      </c>
      <c r="AE7384">
        <v>10.416499</v>
      </c>
      <c r="AF7384">
        <v>-0.72119739665975802</v>
      </c>
      <c r="AG7384">
        <v>-1.111057322782</v>
      </c>
      <c r="AH7384">
        <v>10.276469271858801</v>
      </c>
      <c r="AI7384">
        <v>96.155634788242097</v>
      </c>
      <c r="AJ7384">
        <v>94.014406820174898</v>
      </c>
      <c r="AK7384">
        <v>10.361486126754</v>
      </c>
      <c r="AL7384">
        <v>69.518862841202605</v>
      </c>
      <c r="AM7384">
        <v>98.321894856619494</v>
      </c>
      <c r="AN7384">
        <v>1.00000002200702</v>
      </c>
    </row>
    <row r="7385" spans="1:40" x14ac:dyDescent="0.25">
      <c r="A7385" t="str">
        <f>"20190304164306074"</f>
        <v>20190304164306074</v>
      </c>
      <c r="B7385" t="str">
        <f>"1551688986068799"</f>
        <v>1551688986068799</v>
      </c>
      <c r="C7385" t="s">
        <v>40</v>
      </c>
      <c r="D7385">
        <v>4.4309960000000004</v>
      </c>
      <c r="E7385">
        <v>0.53609680000000004</v>
      </c>
      <c r="F7385" t="s">
        <v>42</v>
      </c>
      <c r="G7385">
        <v>-188.01339999999999</v>
      </c>
      <c r="H7385" s="1">
        <v>-1.43398E-6</v>
      </c>
      <c r="I7385">
        <v>2.1540159999999999</v>
      </c>
      <c r="J7385">
        <v>-187.77379999999999</v>
      </c>
      <c r="K7385">
        <v>1.1110059999999999</v>
      </c>
      <c r="L7385">
        <v>-8.1950990000000008</v>
      </c>
      <c r="M7385">
        <v>4.7331119999999997E-2</v>
      </c>
      <c r="N7385">
        <v>-8.7713830000000007E-3</v>
      </c>
      <c r="O7385">
        <v>0.99884070000000003</v>
      </c>
      <c r="P7385">
        <v>-8.9070280000000002E-2</v>
      </c>
      <c r="Q7385">
        <v>0.34161760000000002</v>
      </c>
      <c r="R7385">
        <v>0.93560889999999997</v>
      </c>
      <c r="S7385">
        <v>-7.0098880000000002E-2</v>
      </c>
      <c r="T7385">
        <v>-0.34623500000000001</v>
      </c>
      <c r="U7385">
        <v>3.327026</v>
      </c>
      <c r="V7385">
        <v>-0.1341484</v>
      </c>
      <c r="W7385">
        <v>0.3494236</v>
      </c>
      <c r="X7385">
        <v>0.92731189999999997</v>
      </c>
      <c r="Y7385">
        <v>-6.8235329999999997E-2</v>
      </c>
      <c r="Z7385">
        <v>-9.4470029999999997E-2</v>
      </c>
      <c r="AA7385">
        <v>0.99318649999999997</v>
      </c>
      <c r="AB7385">
        <v>32</v>
      </c>
      <c r="AC7385">
        <v>-0.23959999999999501</v>
      </c>
      <c r="AD7385">
        <v>-1.11100743397999</v>
      </c>
      <c r="AE7385">
        <v>10.349114999999999</v>
      </c>
      <c r="AF7385">
        <v>-0.72088205941513595</v>
      </c>
      <c r="AG7385">
        <v>-1.11100743397999</v>
      </c>
      <c r="AH7385">
        <v>10.208587107927301</v>
      </c>
      <c r="AI7385">
        <v>96.195785699118602</v>
      </c>
      <c r="AJ7385">
        <v>94.039251490982195</v>
      </c>
      <c r="AK7385">
        <v>10.294137127612199</v>
      </c>
      <c r="AL7385">
        <v>69.547936081429796</v>
      </c>
      <c r="AM7385">
        <v>98.231516321867005</v>
      </c>
      <c r="AN7385">
        <v>1.00000000267056</v>
      </c>
    </row>
    <row r="7386" spans="1:40" x14ac:dyDescent="0.25">
      <c r="A7386" t="str">
        <f>"20190304164306098"</f>
        <v>20190304164306098</v>
      </c>
      <c r="B7386" t="str">
        <f>"1551688986088320"</f>
        <v>1551688986088320</v>
      </c>
      <c r="C7386" t="s">
        <v>40</v>
      </c>
      <c r="D7386">
        <v>4.9509540000000003</v>
      </c>
      <c r="E7386">
        <v>0.53620819999999902</v>
      </c>
      <c r="F7386" t="s">
        <v>42</v>
      </c>
      <c r="G7386">
        <v>-188.00299999999999</v>
      </c>
      <c r="H7386" s="1">
        <v>-1.5620620000000001E-6</v>
      </c>
      <c r="I7386">
        <v>2.4482620000000002</v>
      </c>
      <c r="J7386">
        <v>-187.75960000000001</v>
      </c>
      <c r="K7386">
        <v>1.110949</v>
      </c>
      <c r="L7386">
        <v>-7.8698729999999903</v>
      </c>
      <c r="M7386">
        <v>4.6131680000000001E-2</v>
      </c>
      <c r="N7386">
        <v>-8.7116859999999997E-3</v>
      </c>
      <c r="O7386">
        <v>0.99889740000000005</v>
      </c>
      <c r="P7386">
        <v>-8.9016709999999999E-2</v>
      </c>
      <c r="Q7386">
        <v>0.34138980000000002</v>
      </c>
      <c r="R7386">
        <v>0.93569709999999995</v>
      </c>
      <c r="S7386">
        <v>-7.1624759999999996E-2</v>
      </c>
      <c r="T7386">
        <v>-0.34723140000000002</v>
      </c>
      <c r="U7386">
        <v>3.3264469999999999</v>
      </c>
      <c r="V7386">
        <v>-0.13294489999999901</v>
      </c>
      <c r="W7386">
        <v>0.3491591</v>
      </c>
      <c r="X7386">
        <v>0.92758479999999999</v>
      </c>
      <c r="Y7386">
        <v>-6.749608E-2</v>
      </c>
      <c r="Z7386">
        <v>-9.4852240000000004E-2</v>
      </c>
      <c r="AA7386">
        <v>0.99320050000000004</v>
      </c>
      <c r="AB7386">
        <v>32</v>
      </c>
      <c r="AC7386">
        <v>-0.24339999999997899</v>
      </c>
      <c r="AD7386">
        <v>-1.1109505620619999</v>
      </c>
      <c r="AE7386">
        <v>10.3181349999999</v>
      </c>
      <c r="AF7386">
        <v>-0.71091491792782902</v>
      </c>
      <c r="AG7386">
        <v>-1.1109505620619999</v>
      </c>
      <c r="AH7386">
        <v>10.177994779687401</v>
      </c>
      <c r="AI7386">
        <v>96.214277974527207</v>
      </c>
      <c r="AJ7386">
        <v>93.995519457042406</v>
      </c>
      <c r="AK7386">
        <v>10.263098406778701</v>
      </c>
      <c r="AL7386">
        <v>69.564109292200399</v>
      </c>
      <c r="AM7386">
        <v>98.156298632964095</v>
      </c>
      <c r="AN7386">
        <v>0.99999999236992998</v>
      </c>
    </row>
    <row r="7387" spans="1:40" x14ac:dyDescent="0.25">
      <c r="A7387" t="str">
        <f>"20190304164306120"</f>
        <v>20190304164306120</v>
      </c>
      <c r="B7387" t="str">
        <f>"1551688986108816"</f>
        <v>1551688986108816</v>
      </c>
      <c r="C7387" t="s">
        <v>40</v>
      </c>
      <c r="D7387">
        <v>4.4447049999999999</v>
      </c>
      <c r="E7387">
        <v>0.53635849999999996</v>
      </c>
      <c r="F7387" t="s">
        <v>42</v>
      </c>
      <c r="G7387">
        <v>-187.9881</v>
      </c>
      <c r="H7387" s="1">
        <v>-1.7058250000000001E-6</v>
      </c>
      <c r="I7387">
        <v>2.7772260000000002</v>
      </c>
      <c r="J7387">
        <v>-187.74610000000001</v>
      </c>
      <c r="K7387">
        <v>1.110889</v>
      </c>
      <c r="L7387">
        <v>-7.55264299999999</v>
      </c>
      <c r="M7387">
        <v>4.5024080000000001E-2</v>
      </c>
      <c r="N7387">
        <v>-8.6485929999999996E-3</v>
      </c>
      <c r="O7387">
        <v>0.99894850000000002</v>
      </c>
      <c r="P7387">
        <v>-8.9312870000000003E-2</v>
      </c>
      <c r="Q7387">
        <v>0.34110819999999997</v>
      </c>
      <c r="R7387">
        <v>0.93577160000000004</v>
      </c>
      <c r="S7387">
        <v>-7.1380620000000006E-2</v>
      </c>
      <c r="T7387">
        <v>-0.34704390000000002</v>
      </c>
      <c r="U7387">
        <v>3.3259889999999999</v>
      </c>
      <c r="V7387">
        <v>-0.13217499999999999</v>
      </c>
      <c r="W7387">
        <v>0.34883639999999999</v>
      </c>
      <c r="X7387">
        <v>0.92781619999999998</v>
      </c>
      <c r="Y7387">
        <v>-6.6320610000000002E-2</v>
      </c>
      <c r="Z7387">
        <v>-9.4885960000000005E-2</v>
      </c>
      <c r="AA7387">
        <v>0.99327650000000001</v>
      </c>
      <c r="AB7387">
        <v>32</v>
      </c>
      <c r="AC7387">
        <v>-0.24199999999999</v>
      </c>
      <c r="AD7387">
        <v>-1.1108907058249999</v>
      </c>
      <c r="AE7387">
        <v>10.329869</v>
      </c>
      <c r="AF7387">
        <v>-0.69878761308646997</v>
      </c>
      <c r="AG7387">
        <v>-1.1108907058249999</v>
      </c>
      <c r="AH7387">
        <v>10.1907036344759</v>
      </c>
      <c r="AI7387">
        <v>96.206798584207505</v>
      </c>
      <c r="AJ7387">
        <v>93.922693341972305</v>
      </c>
      <c r="AK7387">
        <v>10.274863641635999</v>
      </c>
      <c r="AL7387">
        <v>69.583838981594496</v>
      </c>
      <c r="AM7387">
        <v>98.107698956460595</v>
      </c>
      <c r="AN7387">
        <v>0.99999998278619995</v>
      </c>
    </row>
    <row r="7388" spans="1:40" x14ac:dyDescent="0.25">
      <c r="A7388" t="str">
        <f>"20190304164306143"</f>
        <v>20190304164306143</v>
      </c>
      <c r="B7388" t="str">
        <f>"1551688986138989"</f>
        <v>1551688986138989</v>
      </c>
      <c r="C7388" t="s">
        <v>40</v>
      </c>
      <c r="D7388">
        <v>4.4496890000000002</v>
      </c>
      <c r="E7388">
        <v>0.53649809999999998</v>
      </c>
      <c r="F7388" t="s">
        <v>42</v>
      </c>
      <c r="G7388">
        <v>-187.97659999999999</v>
      </c>
      <c r="H7388" s="1">
        <v>-1.8712570000000001E-6</v>
      </c>
      <c r="I7388">
        <v>3.1580689999999998</v>
      </c>
      <c r="J7388">
        <v>-187.73230000000001</v>
      </c>
      <c r="K7388">
        <v>1.110819</v>
      </c>
      <c r="L7388">
        <v>-7.2225950000000001</v>
      </c>
      <c r="M7388">
        <v>4.3943599999999999E-2</v>
      </c>
      <c r="N7388">
        <v>-8.5822199999999998E-3</v>
      </c>
      <c r="O7388">
        <v>0.99899720000000003</v>
      </c>
      <c r="P7388">
        <v>-8.9594919999999995E-2</v>
      </c>
      <c r="Q7388">
        <v>0.34051910000000002</v>
      </c>
      <c r="R7388">
        <v>0.93595919999999999</v>
      </c>
      <c r="S7388">
        <v>-7.1548459999999994E-2</v>
      </c>
      <c r="T7388">
        <v>-0.34483740000000002</v>
      </c>
      <c r="U7388">
        <v>3.3247680000000002</v>
      </c>
      <c r="V7388">
        <v>-0.13141549999999999</v>
      </c>
      <c r="W7388">
        <v>0.3482054</v>
      </c>
      <c r="X7388">
        <v>0.92816109999999996</v>
      </c>
      <c r="Y7388">
        <v>-6.5301349999999994E-2</v>
      </c>
      <c r="Z7388">
        <v>-9.4348829999999995E-2</v>
      </c>
      <c r="AA7388">
        <v>0.99339520000000003</v>
      </c>
      <c r="AB7388">
        <v>32</v>
      </c>
      <c r="AC7388">
        <v>-0.244299999999981</v>
      </c>
      <c r="AD7388">
        <v>-1.110820871257</v>
      </c>
      <c r="AE7388">
        <v>10.380663999999999</v>
      </c>
      <c r="AF7388">
        <v>-0.69232123649458799</v>
      </c>
      <c r="AG7388">
        <v>-1.110820871257</v>
      </c>
      <c r="AH7388">
        <v>10.2426774071017</v>
      </c>
      <c r="AI7388">
        <v>96.175569212896704</v>
      </c>
      <c r="AJ7388">
        <v>93.866844575364595</v>
      </c>
      <c r="AK7388">
        <v>10.3259707615543</v>
      </c>
      <c r="AL7388">
        <v>69.622412073689901</v>
      </c>
      <c r="AM7388">
        <v>98.058768594770896</v>
      </c>
      <c r="AN7388">
        <v>1.0000000308913</v>
      </c>
    </row>
    <row r="7389" spans="1:40" x14ac:dyDescent="0.25">
      <c r="A7389" t="str">
        <f>"20190304164306165"</f>
        <v>20190304164306165</v>
      </c>
      <c r="B7389" t="str">
        <f>"1551688986158508"</f>
        <v>1551688986158508</v>
      </c>
      <c r="C7389" t="s">
        <v>40</v>
      </c>
      <c r="D7389">
        <v>4.4344089999999996</v>
      </c>
      <c r="E7389">
        <v>0.53658569999999906</v>
      </c>
      <c r="F7389" t="s">
        <v>42</v>
      </c>
      <c r="G7389">
        <v>-187.9639</v>
      </c>
      <c r="H7389" s="1">
        <v>-2.0217710000000001E-6</v>
      </c>
      <c r="I7389">
        <v>3.5036939999999999</v>
      </c>
      <c r="J7389">
        <v>-187.71950000000001</v>
      </c>
      <c r="K7389">
        <v>1.1107590000000001</v>
      </c>
      <c r="L7389">
        <v>-6.9092710000000004</v>
      </c>
      <c r="M7389">
        <v>4.2994699999999997E-2</v>
      </c>
      <c r="N7389">
        <v>-8.5189069999999992E-3</v>
      </c>
      <c r="O7389">
        <v>0.99903900000000001</v>
      </c>
      <c r="P7389">
        <v>-9.0133359999999996E-2</v>
      </c>
      <c r="Q7389">
        <v>0.33952300000000002</v>
      </c>
      <c r="R7389">
        <v>0.93626920000000002</v>
      </c>
      <c r="S7389">
        <v>-7.1777339999999995E-2</v>
      </c>
      <c r="T7389">
        <v>-0.34419490000000003</v>
      </c>
      <c r="U7389">
        <v>3.3236080000000001</v>
      </c>
      <c r="V7389">
        <v>-0.1310375</v>
      </c>
      <c r="W7389">
        <v>0.34717130000000002</v>
      </c>
      <c r="X7389">
        <v>0.92860180000000003</v>
      </c>
      <c r="Y7389">
        <v>-6.443024E-2</v>
      </c>
      <c r="Z7389">
        <v>-9.4266820000000001E-2</v>
      </c>
      <c r="AA7389">
        <v>0.99345989999999995</v>
      </c>
      <c r="AB7389">
        <v>32</v>
      </c>
      <c r="AC7389">
        <v>-0.24439999999998399</v>
      </c>
      <c r="AD7389">
        <v>-1.110761021771</v>
      </c>
      <c r="AE7389">
        <v>10.412965</v>
      </c>
      <c r="AF7389">
        <v>-0.68411250904099097</v>
      </c>
      <c r="AG7389">
        <v>-1.110761021771</v>
      </c>
      <c r="AH7389">
        <v>10.275964464712301</v>
      </c>
      <c r="AI7389">
        <v>96.155804513726594</v>
      </c>
      <c r="AJ7389">
        <v>93.808791388108901</v>
      </c>
      <c r="AK7389">
        <v>10.358438379048399</v>
      </c>
      <c r="AL7389">
        <v>69.685603966004805</v>
      </c>
      <c r="AM7389">
        <v>98.032127856196297</v>
      </c>
      <c r="AN7389">
        <v>1.00000002045658</v>
      </c>
    </row>
    <row r="7390" spans="1:40" x14ac:dyDescent="0.25">
      <c r="A7390" t="str">
        <f>"20190304164306186"</f>
        <v>20190304164306186</v>
      </c>
      <c r="B7390" t="str">
        <f>"1551688986178029"</f>
        <v>1551688986178029</v>
      </c>
      <c r="C7390" t="s">
        <v>40</v>
      </c>
      <c r="D7390">
        <v>4.4683349999999997</v>
      </c>
      <c r="E7390">
        <v>0.53666239999999998</v>
      </c>
      <c r="F7390" t="s">
        <v>42</v>
      </c>
      <c r="G7390">
        <v>-187.9502</v>
      </c>
      <c r="H7390" s="1">
        <v>-2.132741E-6</v>
      </c>
      <c r="I7390">
        <v>3.7566869999999999</v>
      </c>
      <c r="J7390">
        <v>-187.70670000000001</v>
      </c>
      <c r="K7390">
        <v>1.1107</v>
      </c>
      <c r="L7390">
        <v>-6.591431</v>
      </c>
      <c r="M7390">
        <v>4.209442E-2</v>
      </c>
      <c r="N7390">
        <v>-8.4571019999999993E-3</v>
      </c>
      <c r="O7390">
        <v>0.99907789999999996</v>
      </c>
      <c r="P7390">
        <v>-9.1584209999999999E-2</v>
      </c>
      <c r="Q7390">
        <v>0.33866279999999999</v>
      </c>
      <c r="R7390">
        <v>0.93644000000000005</v>
      </c>
      <c r="S7390">
        <v>-7.1868899999999999E-2</v>
      </c>
      <c r="T7390">
        <v>-0.34603739999999999</v>
      </c>
      <c r="U7390">
        <v>3.3227839999999902</v>
      </c>
      <c r="V7390">
        <v>-0.13161120000000001</v>
      </c>
      <c r="W7390">
        <v>0.34627010000000003</v>
      </c>
      <c r="X7390">
        <v>0.92885709999999999</v>
      </c>
      <c r="Y7390">
        <v>-6.3562830000000001E-2</v>
      </c>
      <c r="Z7390">
        <v>-9.4907210000000006E-2</v>
      </c>
      <c r="AA7390">
        <v>0.99345479999999997</v>
      </c>
      <c r="AB7390">
        <v>32</v>
      </c>
      <c r="AC7390">
        <v>-0.24349999999998301</v>
      </c>
      <c r="AD7390">
        <v>-1.110702132741</v>
      </c>
      <c r="AE7390">
        <v>10.348117999999999</v>
      </c>
      <c r="AF7390">
        <v>-0.67116978150471596</v>
      </c>
      <c r="AG7390">
        <v>-1.110702132741</v>
      </c>
      <c r="AH7390">
        <v>10.2111223558049</v>
      </c>
      <c r="AI7390">
        <v>96.194607911137993</v>
      </c>
      <c r="AJ7390">
        <v>93.760601211628298</v>
      </c>
      <c r="AK7390">
        <v>10.2932573983409</v>
      </c>
      <c r="AL7390">
        <v>69.740653341272903</v>
      </c>
      <c r="AM7390">
        <v>98.064643685895405</v>
      </c>
      <c r="AN7390">
        <v>1.0000000011699299</v>
      </c>
    </row>
    <row r="7391" spans="1:40" x14ac:dyDescent="0.25">
      <c r="A7391" t="str">
        <f>"20190304164306210"</f>
        <v>20190304164306210</v>
      </c>
      <c r="B7391" t="str">
        <f>"1551688986198524"</f>
        <v>1551688986198524</v>
      </c>
      <c r="C7391" t="s">
        <v>40</v>
      </c>
      <c r="D7391">
        <v>4.4438449999999996</v>
      </c>
      <c r="E7391">
        <v>0.53675430000000002</v>
      </c>
      <c r="F7391" t="s">
        <v>42</v>
      </c>
      <c r="G7391">
        <v>-187.9462</v>
      </c>
      <c r="H7391" s="1">
        <v>-2.2468089999999999E-6</v>
      </c>
      <c r="I7391">
        <v>4.020956</v>
      </c>
      <c r="J7391">
        <v>-187.69380000000001</v>
      </c>
      <c r="K7391">
        <v>1.1106309999999999</v>
      </c>
      <c r="L7391">
        <v>-6.264221</v>
      </c>
      <c r="M7391">
        <v>4.1242679999999997E-2</v>
      </c>
      <c r="N7391">
        <v>-8.3988750000000001E-3</v>
      </c>
      <c r="O7391">
        <v>0.9991139</v>
      </c>
      <c r="P7391">
        <v>-9.4549270000000005E-2</v>
      </c>
      <c r="Q7391">
        <v>0.33866800000000002</v>
      </c>
      <c r="R7391">
        <v>0.93614339999999996</v>
      </c>
      <c r="S7391">
        <v>-7.4981690000000004E-2</v>
      </c>
      <c r="T7391">
        <v>-0.3476861</v>
      </c>
      <c r="U7391">
        <v>3.3220209999999999</v>
      </c>
      <c r="V7391">
        <v>-0.13372200000000001</v>
      </c>
      <c r="W7391">
        <v>0.34623159999999997</v>
      </c>
      <c r="X7391">
        <v>0.92856989999999995</v>
      </c>
      <c r="Y7391">
        <v>-6.3646170000000002E-2</v>
      </c>
      <c r="Z7391">
        <v>-9.5480280000000001E-2</v>
      </c>
      <c r="AA7391">
        <v>0.99339460000000002</v>
      </c>
      <c r="AB7391">
        <v>32</v>
      </c>
      <c r="AC7391">
        <v>-0.25239999999999402</v>
      </c>
      <c r="AD7391">
        <v>-1.1106332468090001</v>
      </c>
      <c r="AE7391">
        <v>10.285176999999999</v>
      </c>
      <c r="AF7391">
        <v>-0.66859694665219904</v>
      </c>
      <c r="AG7391">
        <v>-1.1106332468090001</v>
      </c>
      <c r="AH7391">
        <v>10.1477584195496</v>
      </c>
      <c r="AI7391">
        <v>96.232537247828603</v>
      </c>
      <c r="AJ7391">
        <v>93.769551302208797</v>
      </c>
      <c r="AK7391">
        <v>10.230226245178001</v>
      </c>
      <c r="AL7391">
        <v>69.743004159443004</v>
      </c>
      <c r="AM7391">
        <v>98.194742966647297</v>
      </c>
      <c r="AN7391">
        <v>0.99999997665428397</v>
      </c>
    </row>
    <row r="7392" spans="1:40" x14ac:dyDescent="0.25">
      <c r="A7392" t="str">
        <f>"20190304164306231"</f>
        <v>20190304164306231</v>
      </c>
      <c r="B7392" t="str">
        <f>"1551688986218044"</f>
        <v>1551688986218044</v>
      </c>
      <c r="C7392" t="s">
        <v>40</v>
      </c>
      <c r="D7392">
        <v>4.4872300000000003</v>
      </c>
      <c r="E7392">
        <v>0.53682989999999997</v>
      </c>
      <c r="F7392" t="s">
        <v>42</v>
      </c>
      <c r="G7392">
        <v>-187.9546</v>
      </c>
      <c r="H7392" s="1">
        <v>-2.4044849999999998E-6</v>
      </c>
      <c r="I7392">
        <v>4.3919699999999997</v>
      </c>
      <c r="J7392">
        <v>-187.68190000000001</v>
      </c>
      <c r="K7392">
        <v>1.110568</v>
      </c>
      <c r="L7392">
        <v>-5.9575809999999896</v>
      </c>
      <c r="M7392">
        <v>4.0525310000000002E-2</v>
      </c>
      <c r="N7392">
        <v>-8.3499750000000008E-3</v>
      </c>
      <c r="O7392">
        <v>0.99914360000000002</v>
      </c>
      <c r="P7392">
        <v>-9.7896349999999993E-2</v>
      </c>
      <c r="Q7392">
        <v>0.33940049999999999</v>
      </c>
      <c r="R7392">
        <v>0.93553390000000003</v>
      </c>
      <c r="S7392">
        <v>-8.1298830000000002E-2</v>
      </c>
      <c r="T7392">
        <v>-0.34620010000000001</v>
      </c>
      <c r="U7392">
        <v>3.3216860000000001</v>
      </c>
      <c r="V7392">
        <v>-0.13632520000000001</v>
      </c>
      <c r="W7392">
        <v>0.3469276</v>
      </c>
      <c r="X7392">
        <v>0.92793139999999996</v>
      </c>
      <c r="Y7392">
        <v>-6.4820669999999997E-2</v>
      </c>
      <c r="Z7392">
        <v>-9.5098009999999997E-2</v>
      </c>
      <c r="AA7392">
        <v>0.99335530000000005</v>
      </c>
      <c r="AB7392">
        <v>32</v>
      </c>
      <c r="AC7392">
        <v>-0.27269999999998601</v>
      </c>
      <c r="AD7392">
        <v>-1.110570404485</v>
      </c>
      <c r="AE7392">
        <v>10.3495509999999</v>
      </c>
      <c r="AF7392">
        <v>-0.68403838895742097</v>
      </c>
      <c r="AG7392">
        <v>-1.110570404485</v>
      </c>
      <c r="AH7392">
        <v>10.212485551250699</v>
      </c>
      <c r="AI7392">
        <v>96.192550632162906</v>
      </c>
      <c r="AJ7392">
        <v>93.831981810966795</v>
      </c>
      <c r="AK7392">
        <v>10.295442500222601</v>
      </c>
      <c r="AL7392">
        <v>69.700491901829906</v>
      </c>
      <c r="AM7392">
        <v>98.357708604185007</v>
      </c>
      <c r="AN7392">
        <v>1.0000000014513799</v>
      </c>
    </row>
    <row r="7393" spans="1:40" x14ac:dyDescent="0.25">
      <c r="A7393" t="str">
        <f>"20190304164306253"</f>
        <v>20190304164306253</v>
      </c>
      <c r="B7393" t="str">
        <f>"1551688986248807"</f>
        <v>1551688986248807</v>
      </c>
      <c r="C7393" t="s">
        <v>40</v>
      </c>
      <c r="D7393">
        <v>4.4703549999999996</v>
      </c>
      <c r="E7393">
        <v>0.53695009999999999</v>
      </c>
      <c r="F7393" t="s">
        <v>42</v>
      </c>
      <c r="G7393">
        <v>-187.97409999999999</v>
      </c>
      <c r="H7393" s="1">
        <v>-2.5860439999999998E-6</v>
      </c>
      <c r="I7393">
        <v>4.8232220000000003</v>
      </c>
      <c r="J7393">
        <v>-187.66970000000001</v>
      </c>
      <c r="K7393">
        <v>1.1105039999999999</v>
      </c>
      <c r="L7393">
        <v>-5.640625</v>
      </c>
      <c r="M7393">
        <v>3.9879409999999997E-2</v>
      </c>
      <c r="N7393">
        <v>-8.3029009999999997E-3</v>
      </c>
      <c r="O7393">
        <v>0.99917</v>
      </c>
      <c r="P7393">
        <v>-0.1011446</v>
      </c>
      <c r="Q7393">
        <v>0.3406747</v>
      </c>
      <c r="R7393">
        <v>0.93472480000000002</v>
      </c>
      <c r="S7393">
        <v>-9.0011599999999997E-2</v>
      </c>
      <c r="T7393">
        <v>-0.34215410000000002</v>
      </c>
      <c r="U7393">
        <v>3.3214419999999998</v>
      </c>
      <c r="V7393">
        <v>-0.1388781</v>
      </c>
      <c r="W7393">
        <v>0.34817049999999999</v>
      </c>
      <c r="X7393">
        <v>0.92708690000000005</v>
      </c>
      <c r="Y7393">
        <v>-6.6783819999999994E-2</v>
      </c>
      <c r="Z7393">
        <v>-9.3949130000000006E-2</v>
      </c>
      <c r="AA7393">
        <v>0.99333450000000001</v>
      </c>
      <c r="AB7393">
        <v>32</v>
      </c>
      <c r="AC7393">
        <v>-0.30439999999998602</v>
      </c>
      <c r="AD7393">
        <v>-1.110506586044</v>
      </c>
      <c r="AE7393">
        <v>10.463846999999999</v>
      </c>
      <c r="AF7393">
        <v>-0.71343553288606998</v>
      </c>
      <c r="AG7393">
        <v>-1.110506586044</v>
      </c>
      <c r="AH7393">
        <v>10.327164763680599</v>
      </c>
      <c r="AI7393">
        <v>96.123095603889098</v>
      </c>
      <c r="AJ7393">
        <v>93.951907716635105</v>
      </c>
      <c r="AK7393">
        <v>10.4111741505672</v>
      </c>
      <c r="AL7393">
        <v>69.6245439212516</v>
      </c>
      <c r="AM7393">
        <v>98.519587440554503</v>
      </c>
      <c r="AN7393">
        <v>0.99999997194073398</v>
      </c>
    </row>
    <row r="7394" spans="1:40" x14ac:dyDescent="0.25">
      <c r="A7394" t="str">
        <f>"20190304164306276"</f>
        <v>20190304164306276</v>
      </c>
      <c r="B7394" t="str">
        <f>"1551688986268328"</f>
        <v>1551688986268328</v>
      </c>
      <c r="C7394" t="s">
        <v>40</v>
      </c>
      <c r="D7394">
        <v>4.483765</v>
      </c>
      <c r="E7394">
        <v>0.54308159999999905</v>
      </c>
      <c r="F7394" t="s">
        <v>42</v>
      </c>
      <c r="G7394">
        <v>-188.0001</v>
      </c>
      <c r="H7394" s="1">
        <v>-2.794733E-6</v>
      </c>
      <c r="I7394">
        <v>5.3204330000000004</v>
      </c>
      <c r="J7394">
        <v>-187.65710000000001</v>
      </c>
      <c r="K7394">
        <v>1.110409</v>
      </c>
      <c r="L7394">
        <v>-5.3077699999999997</v>
      </c>
      <c r="M7394">
        <v>3.9310640000000001E-2</v>
      </c>
      <c r="N7394">
        <v>-8.2549549999999996E-3</v>
      </c>
      <c r="O7394">
        <v>0.999193</v>
      </c>
      <c r="P7394">
        <v>-0.1043678</v>
      </c>
      <c r="Q7394">
        <v>0.34109820000000002</v>
      </c>
      <c r="R7394">
        <v>0.93421589999999999</v>
      </c>
      <c r="S7394">
        <v>-0.1000977</v>
      </c>
      <c r="T7394">
        <v>-0.3364955</v>
      </c>
      <c r="U7394">
        <v>3.3213200000000001</v>
      </c>
      <c r="V7394">
        <v>-0.141477399999999</v>
      </c>
      <c r="W7394">
        <v>0.34857059999999901</v>
      </c>
      <c r="X7394">
        <v>0.92654340000000002</v>
      </c>
      <c r="Y7394">
        <v>-6.9234820000000002E-2</v>
      </c>
      <c r="Z7394">
        <v>-9.2316239999999994E-2</v>
      </c>
      <c r="AA7394">
        <v>0.99331979999999997</v>
      </c>
      <c r="AB7394">
        <v>32</v>
      </c>
      <c r="AC7394">
        <v>-0.34299999999998898</v>
      </c>
      <c r="AD7394">
        <v>-1.1104117947329999</v>
      </c>
      <c r="AE7394">
        <v>10.628202999999999</v>
      </c>
      <c r="AF7394">
        <v>-0.75234674112581101</v>
      </c>
      <c r="AG7394">
        <v>-1.1104117947329999</v>
      </c>
      <c r="AH7394">
        <v>10.4920946659139</v>
      </c>
      <c r="AI7394">
        <v>96.025948413227994</v>
      </c>
      <c r="AJ7394">
        <v>94.101434531538203</v>
      </c>
      <c r="AK7394">
        <v>10.5774803451135</v>
      </c>
      <c r="AL7394">
        <v>69.600088367575296</v>
      </c>
      <c r="AM7394">
        <v>98.681650724972997</v>
      </c>
      <c r="AN7394">
        <v>0.999999994989339</v>
      </c>
    </row>
    <row r="7395" spans="1:40" x14ac:dyDescent="0.25">
      <c r="A7395" t="str">
        <f>"20190304164306298"</f>
        <v>20190304164306298</v>
      </c>
      <c r="B7395" t="str">
        <f>"1551688986288823"</f>
        <v>1551688986288823</v>
      </c>
      <c r="C7395" t="s">
        <v>40</v>
      </c>
      <c r="D7395">
        <v>4.449541</v>
      </c>
      <c r="E7395">
        <v>0.54392980000000002</v>
      </c>
      <c r="F7395" t="s">
        <v>42</v>
      </c>
      <c r="G7395">
        <v>-187.8811</v>
      </c>
      <c r="H7395" s="1">
        <v>-3.579885E-6</v>
      </c>
      <c r="I7395">
        <v>7.1014359999999996</v>
      </c>
      <c r="J7395">
        <v>-187.64490000000001</v>
      </c>
      <c r="K7395">
        <v>1.1103160000000001</v>
      </c>
      <c r="L7395">
        <v>-4.9863280000000003</v>
      </c>
      <c r="M7395">
        <v>3.8863630000000003E-2</v>
      </c>
      <c r="N7395">
        <v>-8.2122480000000001E-3</v>
      </c>
      <c r="O7395">
        <v>0.99921079999999995</v>
      </c>
      <c r="P7395">
        <v>-0.1074872</v>
      </c>
      <c r="Q7395">
        <v>0.340858099999999</v>
      </c>
      <c r="R7395">
        <v>0.93394980000000005</v>
      </c>
      <c r="S7395">
        <v>-5.9799190000000002E-2</v>
      </c>
      <c r="T7395">
        <v>-0.29643979999999998</v>
      </c>
      <c r="U7395">
        <v>3.312805</v>
      </c>
      <c r="V7395">
        <v>-0.1440951</v>
      </c>
      <c r="W7395">
        <v>0.34831489999999998</v>
      </c>
      <c r="X7395">
        <v>0.92623619999999995</v>
      </c>
      <c r="Y7395">
        <v>-5.6811059999999997E-2</v>
      </c>
      <c r="Z7395">
        <v>-8.0761369999999999E-2</v>
      </c>
      <c r="AA7395">
        <v>0.99511309999999997</v>
      </c>
      <c r="AB7395">
        <v>32</v>
      </c>
      <c r="AC7395">
        <v>-0.236199999999996</v>
      </c>
      <c r="AD7395">
        <v>-1.1103195798850001</v>
      </c>
      <c r="AE7395">
        <v>12.087764</v>
      </c>
      <c r="AF7395">
        <v>-0.69990867014325198</v>
      </c>
      <c r="AG7395">
        <v>-1.1103195798850001</v>
      </c>
      <c r="AH7395">
        <v>11.9685079871994</v>
      </c>
      <c r="AI7395">
        <v>95.291176259797993</v>
      </c>
      <c r="AJ7395">
        <v>93.346799187714893</v>
      </c>
      <c r="AK7395">
        <v>12.0402601780723</v>
      </c>
      <c r="AL7395">
        <v>69.615720303254705</v>
      </c>
      <c r="AM7395">
        <v>98.842654885331797</v>
      </c>
      <c r="AN7395">
        <v>1.0000000827982201</v>
      </c>
    </row>
    <row r="7396" spans="1:40" x14ac:dyDescent="0.25">
      <c r="A7396" t="str">
        <f>"20190304164306320"</f>
        <v>20190304164306320</v>
      </c>
      <c r="B7396" t="str">
        <f>"1551688986308343"</f>
        <v>1551688986308343</v>
      </c>
      <c r="C7396" t="s">
        <v>40</v>
      </c>
      <c r="D7396">
        <v>4.4708139999999998</v>
      </c>
      <c r="E7396">
        <v>0.54454849999999999</v>
      </c>
      <c r="F7396" t="s">
        <v>42</v>
      </c>
      <c r="G7396">
        <v>-187.88489999999999</v>
      </c>
      <c r="H7396" s="1">
        <v>-3.786604E-6</v>
      </c>
      <c r="I7396">
        <v>7.5848740000000001</v>
      </c>
      <c r="J7396">
        <v>-187.63310000000001</v>
      </c>
      <c r="K7396">
        <v>1.110231</v>
      </c>
      <c r="L7396">
        <v>-4.6730349999999996</v>
      </c>
      <c r="M7396">
        <v>3.8508809999999997E-2</v>
      </c>
      <c r="N7396">
        <v>-8.1718680000000005E-3</v>
      </c>
      <c r="O7396">
        <v>0.99922480000000002</v>
      </c>
      <c r="P7396">
        <v>-0.1099323</v>
      </c>
      <c r="Q7396">
        <v>0.34110239999999997</v>
      </c>
      <c r="R7396">
        <v>0.93357590000000001</v>
      </c>
      <c r="S7396">
        <v>-6.3217159999999994E-2</v>
      </c>
      <c r="T7396">
        <v>-0.29249259999999999</v>
      </c>
      <c r="U7396">
        <v>3.3116460000000001</v>
      </c>
      <c r="V7396">
        <v>-0.14613129999999999</v>
      </c>
      <c r="W7396">
        <v>0.34854239999999997</v>
      </c>
      <c r="X7396">
        <v>0.92583139999999997</v>
      </c>
      <c r="Y7396">
        <v>-5.7491319999999999E-2</v>
      </c>
      <c r="Z7396">
        <v>-7.9655309999999993E-2</v>
      </c>
      <c r="AA7396">
        <v>0.99516320000000003</v>
      </c>
      <c r="AB7396">
        <v>32</v>
      </c>
      <c r="AC7396">
        <v>-0.25179999999997399</v>
      </c>
      <c r="AD7396">
        <v>-1.1102347866040001</v>
      </c>
      <c r="AE7396">
        <v>12.257909</v>
      </c>
      <c r="AF7396">
        <v>-0.71778069072719797</v>
      </c>
      <c r="AG7396">
        <v>-1.1102347866040001</v>
      </c>
      <c r="AH7396">
        <v>12.1395749068434</v>
      </c>
      <c r="AI7396">
        <v>95.2164358301155</v>
      </c>
      <c r="AJ7396">
        <v>93.383807007254106</v>
      </c>
      <c r="AK7396">
        <v>12.211351658200099</v>
      </c>
      <c r="AL7396">
        <v>69.601811710822105</v>
      </c>
      <c r="AM7396">
        <v>98.969450258666498</v>
      </c>
      <c r="AN7396">
        <v>0.99999997133170404</v>
      </c>
    </row>
    <row r="7397" spans="1:40" x14ac:dyDescent="0.25">
      <c r="A7397" t="str">
        <f>"20190304164306344"</f>
        <v>20190304164306344</v>
      </c>
      <c r="B7397" t="str">
        <f>"1551688986338599"</f>
        <v>1551688986338599</v>
      </c>
      <c r="C7397" t="s">
        <v>40</v>
      </c>
      <c r="D7397">
        <v>4.4439729999999997</v>
      </c>
      <c r="E7397">
        <v>0.54494819999999999</v>
      </c>
      <c r="F7397" t="s">
        <v>42</v>
      </c>
      <c r="G7397">
        <v>-187.88919999999999</v>
      </c>
      <c r="H7397" s="1">
        <v>-3.9239879999999997E-6</v>
      </c>
      <c r="I7397">
        <v>7.906917</v>
      </c>
      <c r="J7397">
        <v>-187.61969999999999</v>
      </c>
      <c r="K7397">
        <v>1.1101639999999999</v>
      </c>
      <c r="L7397">
        <v>-4.3179629999999998</v>
      </c>
      <c r="M7397">
        <v>3.8179190000000002E-2</v>
      </c>
      <c r="N7397">
        <v>-8.1270950000000008E-3</v>
      </c>
      <c r="O7397">
        <v>0.99923779999999995</v>
      </c>
      <c r="P7397">
        <v>-0.11108419999999899</v>
      </c>
      <c r="Q7397">
        <v>0.34132630000000003</v>
      </c>
      <c r="R7397">
        <v>0.93335780000000002</v>
      </c>
      <c r="S7397">
        <v>-6.744385E-2</v>
      </c>
      <c r="T7397">
        <v>-0.29232609999999998</v>
      </c>
      <c r="U7397">
        <v>3.3123170000000002</v>
      </c>
      <c r="V7397">
        <v>-0.14691360000000001</v>
      </c>
      <c r="W7397">
        <v>0.34874529999999998</v>
      </c>
      <c r="X7397">
        <v>0.92563119999999999</v>
      </c>
      <c r="Y7397">
        <v>-5.8427319999999998E-2</v>
      </c>
      <c r="Z7397">
        <v>-7.9630679999999995E-2</v>
      </c>
      <c r="AA7397">
        <v>0.99511059999999996</v>
      </c>
      <c r="AB7397">
        <v>33</v>
      </c>
      <c r="AC7397">
        <v>-0.26949999999999302</v>
      </c>
      <c r="AD7397">
        <v>-1.110167923988</v>
      </c>
      <c r="AE7397">
        <v>12.224880000000001</v>
      </c>
      <c r="AF7397">
        <v>-0.730037370749547</v>
      </c>
      <c r="AG7397">
        <v>-1.110167923988</v>
      </c>
      <c r="AH7397">
        <v>12.105889755331001</v>
      </c>
      <c r="AI7397">
        <v>95.230192823616903</v>
      </c>
      <c r="AJ7397">
        <v>93.451003379847293</v>
      </c>
      <c r="AK7397">
        <v>12.1785875269003</v>
      </c>
      <c r="AL7397">
        <v>69.589408840450503</v>
      </c>
      <c r="AM7397">
        <v>99.018598661745898</v>
      </c>
      <c r="AN7397">
        <v>1.0000000042752399</v>
      </c>
    </row>
    <row r="7398" spans="1:40" x14ac:dyDescent="0.25">
      <c r="A7398" t="str">
        <f>"20190304164306366"</f>
        <v>20190304164306366</v>
      </c>
      <c r="B7398" t="str">
        <f>"1551688986358120"</f>
        <v>1551688986358120</v>
      </c>
      <c r="C7398" t="s">
        <v>40</v>
      </c>
      <c r="D7398">
        <v>4.4638229999999997</v>
      </c>
      <c r="E7398">
        <v>0.54535210000000001</v>
      </c>
      <c r="F7398" t="s">
        <v>42</v>
      </c>
      <c r="G7398">
        <v>-187.88749999999999</v>
      </c>
      <c r="H7398" s="1">
        <v>-4.0260169999999999E-6</v>
      </c>
      <c r="I7398">
        <v>8.1440350000000006</v>
      </c>
      <c r="J7398">
        <v>-187.60720000000001</v>
      </c>
      <c r="K7398">
        <v>1.1101160000000001</v>
      </c>
      <c r="L7398">
        <v>-3.9841000000000002</v>
      </c>
      <c r="M7398">
        <v>3.7914919999999998E-2</v>
      </c>
      <c r="N7398">
        <v>-8.0841379999999994E-3</v>
      </c>
      <c r="O7398">
        <v>0.99924829999999998</v>
      </c>
      <c r="P7398">
        <v>-0.1119542</v>
      </c>
      <c r="Q7398">
        <v>0.34249210000000002</v>
      </c>
      <c r="R7398">
        <v>0.93282659999999995</v>
      </c>
      <c r="S7398">
        <v>-7.1197510000000006E-2</v>
      </c>
      <c r="T7398">
        <v>-0.29519770000000001</v>
      </c>
      <c r="U7398">
        <v>3.3136899999999998</v>
      </c>
      <c r="V7398">
        <v>-0.14748610000000001</v>
      </c>
      <c r="W7398">
        <v>0.34987970000000002</v>
      </c>
      <c r="X7398">
        <v>0.92511189999999999</v>
      </c>
      <c r="Y7398">
        <v>-5.9279730000000003E-2</v>
      </c>
      <c r="Z7398">
        <v>-8.0490660000000006E-2</v>
      </c>
      <c r="AA7398">
        <v>0.99499110000000002</v>
      </c>
      <c r="AB7398">
        <v>33</v>
      </c>
      <c r="AC7398">
        <v>-0.28029999999998201</v>
      </c>
      <c r="AD7398">
        <v>-1.1101200260170001</v>
      </c>
      <c r="AE7398">
        <v>12.128135</v>
      </c>
      <c r="AF7398">
        <v>-0.73380601717924399</v>
      </c>
      <c r="AG7398">
        <v>-1.1101200260170001</v>
      </c>
      <c r="AH7398">
        <v>12.0082321331424</v>
      </c>
      <c r="AI7398">
        <v>95.272007683058106</v>
      </c>
      <c r="AJ7398">
        <v>93.496915272142303</v>
      </c>
      <c r="AK7398">
        <v>12.0817414600068</v>
      </c>
      <c r="AL7398">
        <v>69.520042596082604</v>
      </c>
      <c r="AM7398">
        <v>99.058159485628394</v>
      </c>
      <c r="AN7398">
        <v>0.99999999084345503</v>
      </c>
    </row>
    <row r="7399" spans="1:40" x14ac:dyDescent="0.25">
      <c r="A7399" t="str">
        <f>"20190304164306400"</f>
        <v>20190304164306400</v>
      </c>
      <c r="B7399" t="str">
        <f>"1551688986388376"</f>
        <v>1551688986388376</v>
      </c>
      <c r="C7399" t="s">
        <v>40</v>
      </c>
      <c r="D7399">
        <v>4.4841049999999996</v>
      </c>
      <c r="E7399">
        <v>0.54571939999999997</v>
      </c>
      <c r="F7399" t="s">
        <v>42</v>
      </c>
      <c r="G7399">
        <v>-187.88339999999999</v>
      </c>
      <c r="H7399" s="1">
        <v>-4.1992889999999997E-6</v>
      </c>
      <c r="I7399">
        <v>8.5462629999999997</v>
      </c>
      <c r="J7399">
        <v>-187.58959999999999</v>
      </c>
      <c r="K7399">
        <v>1.1100859999999999</v>
      </c>
      <c r="L7399">
        <v>-3.5081180000000001</v>
      </c>
      <c r="M7399">
        <v>3.7563329999999999E-2</v>
      </c>
      <c r="N7399">
        <v>-8.022632E-3</v>
      </c>
      <c r="O7399">
        <v>0.99926199999999998</v>
      </c>
      <c r="P7399">
        <v>-0.11158360000000001</v>
      </c>
      <c r="Q7399">
        <v>0.34403779999999901</v>
      </c>
      <c r="R7399">
        <v>0.93230210000000002</v>
      </c>
      <c r="S7399">
        <v>-7.3074340000000002E-2</v>
      </c>
      <c r="T7399">
        <v>-0.29369879999999998</v>
      </c>
      <c r="U7399">
        <v>3.3150940000000002</v>
      </c>
      <c r="V7399">
        <v>-0.1467504</v>
      </c>
      <c r="W7399">
        <v>0.35137350000000001</v>
      </c>
      <c r="X7399">
        <v>0.9246626</v>
      </c>
      <c r="Y7399">
        <v>-5.948345E-2</v>
      </c>
      <c r="Z7399">
        <v>-8.0069169999999995E-2</v>
      </c>
      <c r="AA7399">
        <v>0.99501289999999998</v>
      </c>
      <c r="AB7399">
        <v>33</v>
      </c>
      <c r="AC7399">
        <v>-0.293800000000004</v>
      </c>
      <c r="AD7399">
        <v>-1.110090199289</v>
      </c>
      <c r="AE7399">
        <v>12.054380999999999</v>
      </c>
      <c r="AF7399">
        <v>-0.74013684117199097</v>
      </c>
      <c r="AG7399">
        <v>-1.110090199289</v>
      </c>
      <c r="AH7399">
        <v>11.9336917860442</v>
      </c>
      <c r="AI7399">
        <v>95.304313674613496</v>
      </c>
      <c r="AJ7399">
        <v>93.548982963769404</v>
      </c>
      <c r="AK7399">
        <v>12.0080432393673</v>
      </c>
      <c r="AL7399">
        <v>69.428651817281803</v>
      </c>
      <c r="AM7399">
        <v>99.018026491631502</v>
      </c>
      <c r="AN7399">
        <v>0.99999997012058395</v>
      </c>
    </row>
    <row r="7400" spans="1:40" x14ac:dyDescent="0.25">
      <c r="A7400" t="str">
        <f>"20190304164306422"</f>
        <v>20190304164306422</v>
      </c>
      <c r="B7400" t="str">
        <f>"1551688986418633"</f>
        <v>1551688986418633</v>
      </c>
      <c r="C7400" t="s">
        <v>40</v>
      </c>
      <c r="D7400">
        <v>4.4036410000000004</v>
      </c>
      <c r="E7400">
        <v>0.54599600000000004</v>
      </c>
      <c r="F7400" t="s">
        <v>42</v>
      </c>
      <c r="G7400">
        <v>-187.84469999999999</v>
      </c>
      <c r="H7400" s="1">
        <v>-4.4721559999999998E-6</v>
      </c>
      <c r="I7400">
        <v>9.1662859999999995</v>
      </c>
      <c r="J7400">
        <v>-187.57749999999999</v>
      </c>
      <c r="K7400">
        <v>1.110093</v>
      </c>
      <c r="L7400">
        <v>-3.18045</v>
      </c>
      <c r="M7400">
        <v>3.7297450000000003E-2</v>
      </c>
      <c r="N7400">
        <v>-7.9762949999999996E-3</v>
      </c>
      <c r="O7400">
        <v>0.9992723</v>
      </c>
      <c r="P7400">
        <v>-0.110847</v>
      </c>
      <c r="Q7400">
        <v>0.34470129999999999</v>
      </c>
      <c r="R7400">
        <v>0.9321448</v>
      </c>
      <c r="S7400">
        <v>-6.6757200000000003E-2</v>
      </c>
      <c r="T7400">
        <v>-0.29052420000000001</v>
      </c>
      <c r="U7400">
        <v>3.3170470000000001</v>
      </c>
      <c r="V7400">
        <v>-0.14576610000000001</v>
      </c>
      <c r="W7400">
        <v>0.351993099999999</v>
      </c>
      <c r="X7400">
        <v>0.92458269999999998</v>
      </c>
      <c r="Y7400">
        <v>-5.7313410000000002E-2</v>
      </c>
      <c r="Z7400">
        <v>-7.9128089999999998E-2</v>
      </c>
      <c r="AA7400">
        <v>0.99521550000000003</v>
      </c>
      <c r="AB7400">
        <v>33</v>
      </c>
      <c r="AC7400">
        <v>-0.26720000000000199</v>
      </c>
      <c r="AD7400">
        <v>-1.110097472156</v>
      </c>
      <c r="AE7400">
        <v>12.346736</v>
      </c>
      <c r="AF7400">
        <v>-0.72169915313094501</v>
      </c>
      <c r="AG7400">
        <v>-1.110097472156</v>
      </c>
      <c r="AH7400">
        <v>12.2293645051559</v>
      </c>
      <c r="AI7400">
        <v>95.177742550569405</v>
      </c>
      <c r="AJ7400">
        <v>93.377314763571604</v>
      </c>
      <c r="AK7400">
        <v>12.3008342101373</v>
      </c>
      <c r="AL7400">
        <v>69.390730161773504</v>
      </c>
      <c r="AM7400">
        <v>98.959285666678198</v>
      </c>
      <c r="AN7400">
        <v>1.0000000337480499</v>
      </c>
    </row>
    <row r="7401" spans="1:40" x14ac:dyDescent="0.25">
      <c r="A7401" t="str">
        <f>"20190304164306443"</f>
        <v>20190304164306443</v>
      </c>
      <c r="B7401" t="str">
        <f>"1551688986438152"</f>
        <v>1551688986438152</v>
      </c>
      <c r="C7401" t="s">
        <v>40</v>
      </c>
      <c r="D7401">
        <v>4.4624350000000002</v>
      </c>
      <c r="E7401">
        <v>0.54607249999999996</v>
      </c>
      <c r="F7401" t="s">
        <v>42</v>
      </c>
      <c r="G7401">
        <v>-187.81049999999999</v>
      </c>
      <c r="H7401" s="1">
        <v>-4.6479400000000003E-6</v>
      </c>
      <c r="I7401">
        <v>9.5619069999999997</v>
      </c>
      <c r="J7401">
        <v>-187.56620000000001</v>
      </c>
      <c r="K7401">
        <v>1.1101110000000001</v>
      </c>
      <c r="L7401">
        <v>-2.8692929999999999</v>
      </c>
      <c r="M7401">
        <v>3.699769E-2</v>
      </c>
      <c r="N7401">
        <v>-7.9272860000000004E-3</v>
      </c>
      <c r="O7401">
        <v>0.9992839</v>
      </c>
      <c r="P7401">
        <v>-0.11025020000000001</v>
      </c>
      <c r="Q7401">
        <v>0.34555999999999998</v>
      </c>
      <c r="R7401">
        <v>0.93189759999999999</v>
      </c>
      <c r="S7401">
        <v>-6.0653690000000003E-2</v>
      </c>
      <c r="T7401">
        <v>-0.28906459999999901</v>
      </c>
      <c r="U7401">
        <v>3.3180540000000001</v>
      </c>
      <c r="V7401">
        <v>-0.144900799999999</v>
      </c>
      <c r="W7401">
        <v>0.3527981</v>
      </c>
      <c r="X7401">
        <v>0.92441180000000001</v>
      </c>
      <c r="Y7401">
        <v>-5.5179359999999997E-2</v>
      </c>
      <c r="Z7401">
        <v>-7.8724859999999994E-2</v>
      </c>
      <c r="AA7401">
        <v>0.99536809999999998</v>
      </c>
      <c r="AB7401">
        <v>33</v>
      </c>
      <c r="AC7401">
        <v>-0.244299999999981</v>
      </c>
      <c r="AD7401">
        <v>-1.1101156479400001</v>
      </c>
      <c r="AE7401">
        <v>12.4312</v>
      </c>
      <c r="AF7401">
        <v>-0.69850470585858604</v>
      </c>
      <c r="AG7401">
        <v>-1.1101156479400001</v>
      </c>
      <c r="AH7401">
        <v>12.3154762320593</v>
      </c>
      <c r="AI7401">
        <v>95.142494690541099</v>
      </c>
      <c r="AJ7401">
        <v>93.246203290592206</v>
      </c>
      <c r="AK7401">
        <v>12.385120927884699</v>
      </c>
      <c r="AL7401">
        <v>69.341443880410097</v>
      </c>
      <c r="AM7401">
        <v>98.908576813022194</v>
      </c>
      <c r="AN7401">
        <v>0.99999995859174395</v>
      </c>
    </row>
    <row r="7402" spans="1:40" x14ac:dyDescent="0.25">
      <c r="A7402" t="str">
        <f>"20190304164306465"</f>
        <v>20190304164306465</v>
      </c>
      <c r="B7402" t="str">
        <f>"1551688986458649"</f>
        <v>1551688986458649</v>
      </c>
      <c r="C7402" t="s">
        <v>40</v>
      </c>
      <c r="D7402">
        <v>4.4419870000000001</v>
      </c>
      <c r="E7402">
        <v>0.54608459999999903</v>
      </c>
      <c r="F7402" t="s">
        <v>42</v>
      </c>
      <c r="G7402">
        <v>-187.78489999999999</v>
      </c>
      <c r="H7402" s="1">
        <v>-6.8159039999999997E-7</v>
      </c>
      <c r="I7402">
        <v>9.918984</v>
      </c>
      <c r="J7402">
        <v>-187.5539</v>
      </c>
      <c r="K7402">
        <v>1.1101399999999999</v>
      </c>
      <c r="L7402">
        <v>-2.5271300000000001</v>
      </c>
      <c r="M7402">
        <v>3.6606939999999998E-2</v>
      </c>
      <c r="N7402">
        <v>-7.8685630000000003E-3</v>
      </c>
      <c r="O7402">
        <v>0.99929880000000004</v>
      </c>
      <c r="P7402">
        <v>-0.1100855</v>
      </c>
      <c r="Q7402">
        <v>0.34592279999999997</v>
      </c>
      <c r="R7402">
        <v>0.93178249999999996</v>
      </c>
      <c r="S7402">
        <v>-5.6747440000000003E-2</v>
      </c>
      <c r="T7402">
        <v>-0.28814420000000002</v>
      </c>
      <c r="U7402">
        <v>3.319366</v>
      </c>
      <c r="V7402">
        <v>-0.14439869999999999</v>
      </c>
      <c r="W7402">
        <v>0.35309479999999999</v>
      </c>
      <c r="X7402">
        <v>0.92437709999999995</v>
      </c>
      <c r="Y7402">
        <v>-5.3611810000000003E-2</v>
      </c>
      <c r="Z7402">
        <v>-7.8482209999999997E-2</v>
      </c>
      <c r="AA7402">
        <v>0.99547289999999999</v>
      </c>
      <c r="AB7402">
        <v>33</v>
      </c>
      <c r="AC7402">
        <v>-0.23099999999999399</v>
      </c>
      <c r="AD7402">
        <v>-1.11014068159039</v>
      </c>
      <c r="AE7402">
        <v>12.446114</v>
      </c>
      <c r="AF7402">
        <v>-0.68105685339030697</v>
      </c>
      <c r="AG7402">
        <v>-1.11014068159039</v>
      </c>
      <c r="AH7402">
        <v>12.331242740209101</v>
      </c>
      <c r="AI7402">
        <v>95.136493996356194</v>
      </c>
      <c r="AJ7402">
        <v>93.161244951857199</v>
      </c>
      <c r="AK7402">
        <v>12.399830574989</v>
      </c>
      <c r="AL7402">
        <v>69.323275236806197</v>
      </c>
      <c r="AM7402">
        <v>98.878528005919193</v>
      </c>
      <c r="AN7402">
        <v>0.99999997267656904</v>
      </c>
    </row>
    <row r="7403" spans="1:40" x14ac:dyDescent="0.25">
      <c r="A7403" t="str">
        <f>"20190304164306487"</f>
        <v>20190304164306487</v>
      </c>
      <c r="B7403" t="str">
        <f>"1551688986478177"</f>
        <v>1551688986478177</v>
      </c>
      <c r="C7403" t="s">
        <v>40</v>
      </c>
      <c r="D7403">
        <v>4.4164879999999904</v>
      </c>
      <c r="E7403">
        <v>0.54739689999999996</v>
      </c>
      <c r="F7403" t="s">
        <v>42</v>
      </c>
      <c r="G7403">
        <v>-187.76410000000001</v>
      </c>
      <c r="H7403" s="1">
        <v>-8.1115110000000003E-7</v>
      </c>
      <c r="I7403">
        <v>10.283480000000001</v>
      </c>
      <c r="J7403">
        <v>-187.54230000000001</v>
      </c>
      <c r="K7403">
        <v>1.1101639999999999</v>
      </c>
      <c r="L7403">
        <v>-2.1971440000000002</v>
      </c>
      <c r="M7403">
        <v>3.6181770000000002E-2</v>
      </c>
      <c r="N7403">
        <v>-7.8126059999999997E-3</v>
      </c>
      <c r="O7403">
        <v>0.9993147</v>
      </c>
      <c r="P7403">
        <v>-0.1098157</v>
      </c>
      <c r="Q7403">
        <v>0.34673569999999998</v>
      </c>
      <c r="R7403">
        <v>0.93151209999999995</v>
      </c>
      <c r="S7403">
        <v>-5.4473880000000002E-2</v>
      </c>
      <c r="T7403">
        <v>-0.28770489999999999</v>
      </c>
      <c r="U7403">
        <v>3.3200069999999999</v>
      </c>
      <c r="V7403">
        <v>-0.14375389999999999</v>
      </c>
      <c r="W7403">
        <v>0.35384320000000002</v>
      </c>
      <c r="X7403">
        <v>0.9241914</v>
      </c>
      <c r="Y7403">
        <v>-5.2502819999999999E-2</v>
      </c>
      <c r="Z7403">
        <v>-7.8395939999999997E-2</v>
      </c>
      <c r="AA7403">
        <v>0.99553879999999995</v>
      </c>
      <c r="AB7403">
        <v>33</v>
      </c>
      <c r="AC7403">
        <v>-0.221800000000001</v>
      </c>
      <c r="AD7403">
        <v>-1.1101648111511</v>
      </c>
      <c r="AE7403">
        <v>12.480624000000001</v>
      </c>
      <c r="AF7403">
        <v>-0.66795620889424501</v>
      </c>
      <c r="AG7403">
        <v>-1.1101648111511</v>
      </c>
      <c r="AH7403">
        <v>12.3666088155069</v>
      </c>
      <c r="AI7403">
        <v>95.122331367839294</v>
      </c>
      <c r="AJ7403">
        <v>93.091706062309697</v>
      </c>
      <c r="AK7403">
        <v>12.4342931041813</v>
      </c>
      <c r="AL7403">
        <v>69.277435893723293</v>
      </c>
      <c r="AM7403">
        <v>98.841257271716799</v>
      </c>
      <c r="AN7403">
        <v>0.99999996889270404</v>
      </c>
    </row>
    <row r="7404" spans="1:40" x14ac:dyDescent="0.25">
      <c r="A7404" t="str">
        <f>"20190304164306510"</f>
        <v>20190304164306510</v>
      </c>
      <c r="B7404" t="str">
        <f>"1551688986498664"</f>
        <v>1551688986498664</v>
      </c>
      <c r="C7404" t="s">
        <v>40</v>
      </c>
      <c r="D7404">
        <v>4.3919040000000003</v>
      </c>
      <c r="E7404">
        <v>0.54773070000000001</v>
      </c>
      <c r="F7404" t="s">
        <v>42</v>
      </c>
      <c r="G7404">
        <v>-187.7054</v>
      </c>
      <c r="H7404" s="1">
        <v>-4.6158349999999998E-6</v>
      </c>
      <c r="I7404">
        <v>9.4436479999999996</v>
      </c>
      <c r="J7404">
        <v>-187.53100000000001</v>
      </c>
      <c r="K7404">
        <v>1.1101799999999999</v>
      </c>
      <c r="L7404">
        <v>-1.8745419999999999</v>
      </c>
      <c r="M7404">
        <v>3.5725149999999997E-2</v>
      </c>
      <c r="N7404">
        <v>-7.7604169999999899E-3</v>
      </c>
      <c r="O7404">
        <v>0.99933150000000004</v>
      </c>
      <c r="P7404">
        <v>-0.10938299999999999</v>
      </c>
      <c r="Q7404">
        <v>0.3474003</v>
      </c>
      <c r="R7404">
        <v>0.93131540000000002</v>
      </c>
      <c r="S7404">
        <v>-4.6722409999999999E-2</v>
      </c>
      <c r="T7404">
        <v>-0.31790289999999999</v>
      </c>
      <c r="U7404">
        <v>3.333405</v>
      </c>
      <c r="V7404">
        <v>-0.14291589999999901</v>
      </c>
      <c r="W7404">
        <v>0.35444920000000002</v>
      </c>
      <c r="X7404">
        <v>0.92408920000000006</v>
      </c>
      <c r="Y7404">
        <v>-4.9655619999999998E-2</v>
      </c>
      <c r="Z7404">
        <v>-8.7053930000000002E-2</v>
      </c>
      <c r="AA7404">
        <v>0.99496530000000005</v>
      </c>
      <c r="AB7404">
        <v>33</v>
      </c>
      <c r="AC7404">
        <v>-0.17440000000001901</v>
      </c>
      <c r="AD7404">
        <v>-1.1101846158349999</v>
      </c>
      <c r="AE7404">
        <v>11.31819</v>
      </c>
      <c r="AF7404">
        <v>-0.57313188681697302</v>
      </c>
      <c r="AG7404">
        <v>-1.1101846158349999</v>
      </c>
      <c r="AH7404">
        <v>11.1970289092279</v>
      </c>
      <c r="AI7404">
        <v>95.655010636031506</v>
      </c>
      <c r="AJ7404">
        <v>92.930188426034405</v>
      </c>
      <c r="AK7404">
        <v>11.266518825041199</v>
      </c>
      <c r="AL7404">
        <v>69.240309523890502</v>
      </c>
      <c r="AM7404">
        <v>98.791482272746606</v>
      </c>
      <c r="AN7404">
        <v>1.00000001970504</v>
      </c>
    </row>
    <row r="7405" spans="1:40" x14ac:dyDescent="0.25">
      <c r="A7405" t="str">
        <f>"20190304164306531"</f>
        <v>20190304164306531</v>
      </c>
      <c r="B7405" t="str">
        <f>"1551688986528920"</f>
        <v>1551688986528920</v>
      </c>
      <c r="C7405" t="s">
        <v>40</v>
      </c>
      <c r="D7405">
        <v>4.3573579999999996</v>
      </c>
      <c r="E7405">
        <v>0.54095150000000003</v>
      </c>
      <c r="F7405" t="s">
        <v>42</v>
      </c>
      <c r="G7405">
        <v>-187.685</v>
      </c>
      <c r="H7405" s="1">
        <v>-6.6864979999999996E-7</v>
      </c>
      <c r="I7405">
        <v>9.8029220000000006</v>
      </c>
      <c r="J7405">
        <v>-187.5198</v>
      </c>
      <c r="K7405">
        <v>1.1101909999999999</v>
      </c>
      <c r="L7405">
        <v>-1.5476379999999901</v>
      </c>
      <c r="M7405">
        <v>3.5229009999999998E-2</v>
      </c>
      <c r="N7405">
        <v>-7.7066000000000001E-3</v>
      </c>
      <c r="O7405">
        <v>0.9993495</v>
      </c>
      <c r="P7405">
        <v>-0.1101208</v>
      </c>
      <c r="Q7405">
        <v>0.34742889999999998</v>
      </c>
      <c r="R7405">
        <v>0.93121779999999998</v>
      </c>
      <c r="S7405">
        <v>-4.397583E-2</v>
      </c>
      <c r="T7405">
        <v>-0.31699490000000002</v>
      </c>
      <c r="U7405">
        <v>3.3343199999999902</v>
      </c>
      <c r="V7405">
        <v>-0.1432089</v>
      </c>
      <c r="W7405">
        <v>0.3544194</v>
      </c>
      <c r="X7405">
        <v>0.92405530000000002</v>
      </c>
      <c r="Y7405">
        <v>-4.8337459999999999E-2</v>
      </c>
      <c r="Z7405">
        <v>-8.6819560000000004E-2</v>
      </c>
      <c r="AA7405">
        <v>0.99505069999999995</v>
      </c>
      <c r="AB7405">
        <v>33</v>
      </c>
      <c r="AC7405">
        <v>-0.16519999999999799</v>
      </c>
      <c r="AD7405">
        <v>-1.1101916686497999</v>
      </c>
      <c r="AE7405">
        <v>11.35056</v>
      </c>
      <c r="AF7405">
        <v>-0.55962570822491498</v>
      </c>
      <c r="AG7405">
        <v>-1.1101916686497999</v>
      </c>
      <c r="AH7405">
        <v>11.230280125600901</v>
      </c>
      <c r="AI7405">
        <v>95.638792832894296</v>
      </c>
      <c r="AJ7405">
        <v>92.852795260233506</v>
      </c>
      <c r="AK7405">
        <v>11.2988892451387</v>
      </c>
      <c r="AL7405">
        <v>69.242136109066294</v>
      </c>
      <c r="AM7405">
        <v>98.809541872922793</v>
      </c>
      <c r="AN7405">
        <v>1.0000000487968199</v>
      </c>
    </row>
    <row r="7406" spans="1:40" x14ac:dyDescent="0.25">
      <c r="A7406" t="str">
        <f>"20190304164306557"</f>
        <v>20190304164306557</v>
      </c>
      <c r="B7406" t="str">
        <f>"1551688986548439"</f>
        <v>1551688986548439</v>
      </c>
      <c r="C7406" t="s">
        <v>40</v>
      </c>
      <c r="D7406">
        <v>4.3821320000000004</v>
      </c>
      <c r="E7406">
        <v>0.54050169999999997</v>
      </c>
      <c r="F7406" t="s">
        <v>42</v>
      </c>
      <c r="G7406">
        <v>-187.86240000000001</v>
      </c>
      <c r="H7406" s="1">
        <v>-6.8270280000000004E-7</v>
      </c>
      <c r="I7406">
        <v>9.9828880000000009</v>
      </c>
      <c r="J7406">
        <v>-187.50720000000001</v>
      </c>
      <c r="K7406">
        <v>1.110198</v>
      </c>
      <c r="L7406">
        <v>-1.172974</v>
      </c>
      <c r="M7406">
        <v>3.4632900000000001E-2</v>
      </c>
      <c r="N7406">
        <v>-7.6433339999999999E-3</v>
      </c>
      <c r="O7406">
        <v>0.99937089999999995</v>
      </c>
      <c r="P7406">
        <v>-0.11111790000000001</v>
      </c>
      <c r="Q7406">
        <v>0.34710550000000001</v>
      </c>
      <c r="R7406">
        <v>0.93121989999999999</v>
      </c>
      <c r="S7406">
        <v>-9.892273E-2</v>
      </c>
      <c r="T7406">
        <v>-0.32057360000000001</v>
      </c>
      <c r="U7406">
        <v>3.3294980000000001</v>
      </c>
      <c r="V7406">
        <v>-0.14366899999999999</v>
      </c>
      <c r="W7406">
        <v>0.35403099999999998</v>
      </c>
      <c r="X7406">
        <v>0.92413270000000003</v>
      </c>
      <c r="Y7406">
        <v>-6.415775E-2</v>
      </c>
      <c r="Z7406">
        <v>-8.801892E-2</v>
      </c>
      <c r="AA7406">
        <v>0.99405049999999995</v>
      </c>
      <c r="AB7406">
        <v>33</v>
      </c>
      <c r="AC7406">
        <v>-0.35519999999999602</v>
      </c>
      <c r="AD7406">
        <v>-1.1101986827028001</v>
      </c>
      <c r="AE7406">
        <v>11.1558619999999</v>
      </c>
      <c r="AF7406">
        <v>-0.73409517572469396</v>
      </c>
      <c r="AG7406">
        <v>-1.1101986827028001</v>
      </c>
      <c r="AH7406">
        <v>11.0277627935507</v>
      </c>
      <c r="AI7406">
        <v>95.736162258729905</v>
      </c>
      <c r="AJ7406">
        <v>93.8084417764248</v>
      </c>
      <c r="AK7406">
        <v>11.107789567367499</v>
      </c>
      <c r="AL7406">
        <v>69.265931460218795</v>
      </c>
      <c r="AM7406">
        <v>98.836670516522403</v>
      </c>
      <c r="AN7406">
        <v>0.99999998886564401</v>
      </c>
    </row>
    <row r="7407" spans="1:40" x14ac:dyDescent="0.25">
      <c r="A7407" t="str">
        <f>"20190304164306578"</f>
        <v>20190304164306578</v>
      </c>
      <c r="B7407" t="str">
        <f>"1551688986568936"</f>
        <v>1551688986568936</v>
      </c>
      <c r="C7407" t="s">
        <v>40</v>
      </c>
      <c r="D7407">
        <v>4.3647030000000004</v>
      </c>
      <c r="E7407">
        <v>0.5404601</v>
      </c>
      <c r="F7407" t="s">
        <v>42</v>
      </c>
      <c r="G7407">
        <v>-187.86609999999999</v>
      </c>
      <c r="H7407" s="1">
        <v>-7.5623969999999997E-7</v>
      </c>
      <c r="I7407">
        <v>10.201890000000001</v>
      </c>
      <c r="J7407">
        <v>-187.49629999999999</v>
      </c>
      <c r="K7407">
        <v>1.1101890000000001</v>
      </c>
      <c r="L7407">
        <v>-0.84558109999999997</v>
      </c>
      <c r="M7407">
        <v>3.4098440000000001E-2</v>
      </c>
      <c r="N7407">
        <v>-7.5908599999999996E-3</v>
      </c>
      <c r="O7407">
        <v>0.99938959999999999</v>
      </c>
      <c r="P7407">
        <v>-0.11129310000000001</v>
      </c>
      <c r="Q7407">
        <v>0.34607399999999999</v>
      </c>
      <c r="R7407">
        <v>0.93158289999999999</v>
      </c>
      <c r="S7407">
        <v>-0.10508729999999999</v>
      </c>
      <c r="T7407">
        <v>-0.32503080000000001</v>
      </c>
      <c r="U7407">
        <v>3.3302</v>
      </c>
      <c r="V7407">
        <v>-0.14336979999999999</v>
      </c>
      <c r="W7407">
        <v>0.35295019999999999</v>
      </c>
      <c r="X7407">
        <v>0.92459250000000004</v>
      </c>
      <c r="Y7407">
        <v>-6.5451699999999904E-2</v>
      </c>
      <c r="Z7407">
        <v>-8.9364810000000003E-2</v>
      </c>
      <c r="AA7407">
        <v>0.99384609999999995</v>
      </c>
      <c r="AB7407">
        <v>33</v>
      </c>
      <c r="AC7407">
        <v>-0.36979999999999702</v>
      </c>
      <c r="AD7407">
        <v>-1.1101897562396901</v>
      </c>
      <c r="AE7407">
        <v>11.047471099999999</v>
      </c>
      <c r="AF7407">
        <v>-0.73884427364215999</v>
      </c>
      <c r="AG7407">
        <v>-1.1101897562396901</v>
      </c>
      <c r="AH7407">
        <v>10.918298399715599</v>
      </c>
      <c r="AI7407">
        <v>95.792812415562096</v>
      </c>
      <c r="AJ7407">
        <v>93.871319184106397</v>
      </c>
      <c r="AK7407">
        <v>10.999438717534</v>
      </c>
      <c r="AL7407">
        <v>69.332131305483003</v>
      </c>
      <c r="AM7407">
        <v>98.814240542636099</v>
      </c>
      <c r="AN7407">
        <v>1.0000000171441601</v>
      </c>
    </row>
    <row r="7408" spans="1:40" x14ac:dyDescent="0.25">
      <c r="A7408" t="str">
        <f>"20190304164306600"</f>
        <v>20190304164306600</v>
      </c>
      <c r="B7408" t="str">
        <f>"1551688986588456"</f>
        <v>1551688986588456</v>
      </c>
      <c r="C7408" t="s">
        <v>40</v>
      </c>
      <c r="D7408">
        <v>4.3479000000000001</v>
      </c>
      <c r="E7408">
        <v>0.54050799999999999</v>
      </c>
      <c r="F7408" t="s">
        <v>42</v>
      </c>
      <c r="G7408">
        <v>-187.85769999999999</v>
      </c>
      <c r="H7408" s="1">
        <v>-7.821453E-7</v>
      </c>
      <c r="I7408">
        <v>10.27144</v>
      </c>
      <c r="J7408">
        <v>-187.48589999999999</v>
      </c>
      <c r="K7408">
        <v>1.110185</v>
      </c>
      <c r="L7408">
        <v>-0.52780150000000003</v>
      </c>
      <c r="M7408">
        <v>3.3574720000000002E-2</v>
      </c>
      <c r="N7408">
        <v>-7.5415909999999899E-3</v>
      </c>
      <c r="O7408">
        <v>0.99940779999999996</v>
      </c>
      <c r="P7408">
        <v>-0.1114603</v>
      </c>
      <c r="Q7408">
        <v>0.34497850000000002</v>
      </c>
      <c r="R7408">
        <v>0.93196909999999999</v>
      </c>
      <c r="S7408">
        <v>-0.1082916</v>
      </c>
      <c r="T7408">
        <v>-0.33264339999999998</v>
      </c>
      <c r="U7408">
        <v>3.3309630000000001</v>
      </c>
      <c r="V7408">
        <v>-0.14307029999999901</v>
      </c>
      <c r="W7408">
        <v>0.35181050000000003</v>
      </c>
      <c r="X7408">
        <v>0.92507309999999998</v>
      </c>
      <c r="Y7408">
        <v>-6.5869419999999998E-2</v>
      </c>
      <c r="Z7408">
        <v>-9.164071E-2</v>
      </c>
      <c r="AA7408">
        <v>0.99361120000000003</v>
      </c>
      <c r="AB7408">
        <v>34</v>
      </c>
      <c r="AC7408">
        <v>-0.37180000000000701</v>
      </c>
      <c r="AD7408">
        <v>-1.1101857821453001</v>
      </c>
      <c r="AE7408">
        <v>10.7992414999999</v>
      </c>
      <c r="AF7408">
        <v>-0.726513261640931</v>
      </c>
      <c r="AG7408">
        <v>-1.1101857821453001</v>
      </c>
      <c r="AH7408">
        <v>10.668059522535801</v>
      </c>
      <c r="AI7408">
        <v>95.927544205351595</v>
      </c>
      <c r="AJ7408">
        <v>93.895925981488503</v>
      </c>
      <c r="AK7408">
        <v>10.750247809543</v>
      </c>
      <c r="AL7408">
        <v>69.401906341648001</v>
      </c>
      <c r="AM7408">
        <v>98.791617406826205</v>
      </c>
      <c r="AN7408">
        <v>0.99999998949797497</v>
      </c>
    </row>
    <row r="7409" spans="1:40" x14ac:dyDescent="0.25">
      <c r="A7409" t="str">
        <f>"20190304164306620"</f>
        <v>20190304164306620</v>
      </c>
      <c r="B7409" t="str">
        <f>"1551688986608953"</f>
        <v>1551688986608953</v>
      </c>
      <c r="C7409" t="s">
        <v>40</v>
      </c>
      <c r="D7409">
        <v>4.3298819999999996</v>
      </c>
      <c r="E7409">
        <v>0.54072359999999997</v>
      </c>
      <c r="F7409" t="s">
        <v>42</v>
      </c>
      <c r="G7409">
        <v>-187.8475</v>
      </c>
      <c r="H7409" s="1">
        <v>-8.0792059999999905E-7</v>
      </c>
      <c r="I7409">
        <v>10.33916</v>
      </c>
      <c r="J7409">
        <v>-187.47569999999999</v>
      </c>
      <c r="K7409">
        <v>1.1101799999999999</v>
      </c>
      <c r="L7409">
        <v>-0.20840449999999999</v>
      </c>
      <c r="M7409">
        <v>3.3047529999999999E-2</v>
      </c>
      <c r="N7409">
        <v>-7.4902229999999998E-3</v>
      </c>
      <c r="O7409">
        <v>0.99942569999999997</v>
      </c>
      <c r="P7409">
        <v>-0.11143740000000001</v>
      </c>
      <c r="Q7409">
        <v>0.34389930000000002</v>
      </c>
      <c r="R7409">
        <v>0.9323707</v>
      </c>
      <c r="S7409">
        <v>-0.1108398</v>
      </c>
      <c r="T7409">
        <v>-0.34037450000000002</v>
      </c>
      <c r="U7409">
        <v>3.3317260000000002</v>
      </c>
      <c r="V7409">
        <v>-0.14257700000000001</v>
      </c>
      <c r="W7409">
        <v>0.35068500000000002</v>
      </c>
      <c r="X7409">
        <v>0.92557650000000002</v>
      </c>
      <c r="Y7409">
        <v>-6.6087170000000001E-2</v>
      </c>
      <c r="Z7409">
        <v>-9.3952099999999997E-2</v>
      </c>
      <c r="AA7409">
        <v>0.99338079999999995</v>
      </c>
      <c r="AB7409">
        <v>34</v>
      </c>
      <c r="AC7409">
        <v>-0.37180000000000701</v>
      </c>
      <c r="AD7409">
        <v>-1.1101808079205999</v>
      </c>
      <c r="AE7409">
        <v>10.5475645</v>
      </c>
      <c r="AF7409">
        <v>-0.71229622331288101</v>
      </c>
      <c r="AG7409">
        <v>-1.1101808079205999</v>
      </c>
      <c r="AH7409">
        <v>10.4142834693816</v>
      </c>
      <c r="AI7409">
        <v>96.070773565386204</v>
      </c>
      <c r="AJ7409">
        <v>93.912713374515903</v>
      </c>
      <c r="AK7409">
        <v>10.497483865986901</v>
      </c>
      <c r="AL7409">
        <v>69.470781803662803</v>
      </c>
      <c r="AM7409">
        <v>98.757084029698206</v>
      </c>
      <c r="AN7409">
        <v>1.00000001375312</v>
      </c>
    </row>
    <row r="7410" spans="1:40" x14ac:dyDescent="0.25">
      <c r="A7410" t="str">
        <f>"20190304164306645"</f>
        <v>20190304164306645</v>
      </c>
      <c r="B7410" t="str">
        <f>"1551688986638232"</f>
        <v>1551688986638232</v>
      </c>
      <c r="C7410" t="s">
        <v>40</v>
      </c>
      <c r="D7410">
        <v>4.3387209999999996</v>
      </c>
      <c r="E7410">
        <v>0.54085430000000001</v>
      </c>
      <c r="F7410" t="s">
        <v>42</v>
      </c>
      <c r="G7410">
        <v>-187.8289</v>
      </c>
      <c r="H7410" s="1">
        <v>-8.7141269999999899E-7</v>
      </c>
      <c r="I7410">
        <v>10.511229999999999</v>
      </c>
      <c r="J7410">
        <v>-187.46459999999999</v>
      </c>
      <c r="K7410">
        <v>1.110169</v>
      </c>
      <c r="L7410">
        <v>0.14129639999999999</v>
      </c>
      <c r="M7410">
        <v>3.247191E-2</v>
      </c>
      <c r="N7410">
        <v>-7.4341579999999997E-3</v>
      </c>
      <c r="O7410">
        <v>0.99944500000000003</v>
      </c>
      <c r="P7410">
        <v>-0.11135920000000001</v>
      </c>
      <c r="Q7410">
        <v>0.34313670000000002</v>
      </c>
      <c r="R7410">
        <v>0.93266090000000001</v>
      </c>
      <c r="S7410">
        <v>-0.109787</v>
      </c>
      <c r="T7410">
        <v>-0.34505400000000003</v>
      </c>
      <c r="U7410">
        <v>3.3317570000000001</v>
      </c>
      <c r="V7410">
        <v>-0.14197960000000001</v>
      </c>
      <c r="W7410">
        <v>0.34987119999999999</v>
      </c>
      <c r="X7410">
        <v>0.92597620000000003</v>
      </c>
      <c r="Y7410">
        <v>-6.5194299999999997E-2</v>
      </c>
      <c r="Z7410">
        <v>-9.5394160000000006E-2</v>
      </c>
      <c r="AA7410">
        <v>0.99330240000000003</v>
      </c>
      <c r="AB7410">
        <v>34</v>
      </c>
      <c r="AC7410">
        <v>-0.364300000000014</v>
      </c>
      <c r="AD7410">
        <v>-1.1101698714127</v>
      </c>
      <c r="AE7410">
        <v>10.3699336</v>
      </c>
      <c r="AF7410">
        <v>-0.69291691880669104</v>
      </c>
      <c r="AG7410">
        <v>-1.1101698714127</v>
      </c>
      <c r="AH7410">
        <v>10.2354695450238</v>
      </c>
      <c r="AI7410">
        <v>96.176247037611105</v>
      </c>
      <c r="AJ7410">
        <v>93.872878646320203</v>
      </c>
      <c r="AK7410">
        <v>10.318791005096999</v>
      </c>
      <c r="AL7410">
        <v>69.520562518213595</v>
      </c>
      <c r="AM7410">
        <v>98.717250370540199</v>
      </c>
      <c r="AN7410">
        <v>0.99999999318601995</v>
      </c>
    </row>
    <row r="7411" spans="1:40" x14ac:dyDescent="0.25">
      <c r="A7411" t="str">
        <f>"20190304164306666"</f>
        <v>20190304164306666</v>
      </c>
      <c r="B7411" t="str">
        <f>"1551688986658729"</f>
        <v>1551688986658729</v>
      </c>
      <c r="C7411" t="s">
        <v>40</v>
      </c>
      <c r="D7411">
        <v>4.3469620000000004</v>
      </c>
      <c r="E7411">
        <v>0.54100230000000005</v>
      </c>
      <c r="F7411" t="s">
        <v>42</v>
      </c>
      <c r="G7411">
        <v>-187.80930000000001</v>
      </c>
      <c r="H7411" s="1">
        <v>-9.7532449999999994E-7</v>
      </c>
      <c r="I7411">
        <v>10.801220000000001</v>
      </c>
      <c r="J7411">
        <v>-187.4539</v>
      </c>
      <c r="K7411">
        <v>1.1101589999999999</v>
      </c>
      <c r="L7411">
        <v>0.48605350000000003</v>
      </c>
      <c r="M7411">
        <v>3.1906789999999997E-2</v>
      </c>
      <c r="N7411">
        <v>-7.3791229999999996E-3</v>
      </c>
      <c r="O7411">
        <v>0.99946360000000001</v>
      </c>
      <c r="P7411">
        <v>-0.1113444</v>
      </c>
      <c r="Q7411">
        <v>0.34281089999999997</v>
      </c>
      <c r="R7411">
        <v>0.93278249999999996</v>
      </c>
      <c r="S7411">
        <v>-0.1076965</v>
      </c>
      <c r="T7411">
        <v>-0.34694530000000001</v>
      </c>
      <c r="U7411">
        <v>3.3313899999999999</v>
      </c>
      <c r="V7411">
        <v>-0.14144899999999999</v>
      </c>
      <c r="W7411">
        <v>0.34949370000000002</v>
      </c>
      <c r="X7411">
        <v>0.92620000000000002</v>
      </c>
      <c r="Y7411">
        <v>-6.4009579999999996E-2</v>
      </c>
      <c r="Z7411">
        <v>-9.6026009999999995E-2</v>
      </c>
      <c r="AA7411">
        <v>0.99331860000000005</v>
      </c>
      <c r="AB7411">
        <v>34</v>
      </c>
      <c r="AC7411">
        <v>-0.35540000000000299</v>
      </c>
      <c r="AD7411">
        <v>-1.1101599753244999</v>
      </c>
      <c r="AE7411">
        <v>10.315166499999901</v>
      </c>
      <c r="AF7411">
        <v>-0.67652499859244797</v>
      </c>
      <c r="AG7411">
        <v>-1.1101599753244999</v>
      </c>
      <c r="AH7411">
        <v>10.180790627882301</v>
      </c>
      <c r="AI7411">
        <v>96.209617833399705</v>
      </c>
      <c r="AJ7411">
        <v>93.801779719861599</v>
      </c>
      <c r="AK7411">
        <v>10.263461358299599</v>
      </c>
      <c r="AL7411">
        <v>69.543650453349102</v>
      </c>
      <c r="AM7411">
        <v>98.683103677746402</v>
      </c>
      <c r="AN7411">
        <v>1.0000000529703399</v>
      </c>
    </row>
    <row r="7412" spans="1:40" x14ac:dyDescent="0.25">
      <c r="A7412" t="str">
        <f>"20190304164306688"</f>
        <v>20190304164306688</v>
      </c>
      <c r="B7412" t="str">
        <f>"1551688986678248"</f>
        <v>1551688986678248</v>
      </c>
      <c r="C7412" t="s">
        <v>40</v>
      </c>
      <c r="D7412">
        <v>4.3431790000000001</v>
      </c>
      <c r="E7412">
        <v>0.5411338</v>
      </c>
      <c r="F7412" t="s">
        <v>42</v>
      </c>
      <c r="G7412">
        <v>-187.7936</v>
      </c>
      <c r="H7412" s="1">
        <v>-1.0813239999999999E-6</v>
      </c>
      <c r="I7412">
        <v>11.100429999999999</v>
      </c>
      <c r="J7412">
        <v>-187.44380000000001</v>
      </c>
      <c r="K7412">
        <v>1.1101589999999999</v>
      </c>
      <c r="L7412">
        <v>0.81979369999999996</v>
      </c>
      <c r="M7412">
        <v>3.1361529999999999E-2</v>
      </c>
      <c r="N7412">
        <v>-7.3283799999999998E-3</v>
      </c>
      <c r="O7412">
        <v>0.99948130000000002</v>
      </c>
      <c r="P7412">
        <v>-0.1108634</v>
      </c>
      <c r="Q7412">
        <v>0.34240039999999999</v>
      </c>
      <c r="R7412">
        <v>0.93299049999999994</v>
      </c>
      <c r="S7412">
        <v>-0.1065979</v>
      </c>
      <c r="T7412">
        <v>-0.34844370000000002</v>
      </c>
      <c r="U7412">
        <v>3.331512</v>
      </c>
      <c r="V7412">
        <v>-0.14047309999999999</v>
      </c>
      <c r="W7412">
        <v>0.349037599999999</v>
      </c>
      <c r="X7412">
        <v>0.92652040000000002</v>
      </c>
      <c r="Y7412">
        <v>-6.3135640000000007E-2</v>
      </c>
      <c r="Z7412">
        <v>-9.6520980000000006E-2</v>
      </c>
      <c r="AA7412">
        <v>0.9933265</v>
      </c>
      <c r="AB7412">
        <v>34</v>
      </c>
      <c r="AC7412">
        <v>-0.34979999999998701</v>
      </c>
      <c r="AD7412">
        <v>-1.110160081324</v>
      </c>
      <c r="AE7412">
        <v>10.280636299999999</v>
      </c>
      <c r="AF7412">
        <v>-0.66431550510416804</v>
      </c>
      <c r="AG7412">
        <v>-1.110160081324</v>
      </c>
      <c r="AH7412">
        <v>10.1464290448382</v>
      </c>
      <c r="AI7412">
        <v>96.230879785044195</v>
      </c>
      <c r="AJ7412">
        <v>93.745970786641806</v>
      </c>
      <c r="AK7412">
        <v>10.228577264626001</v>
      </c>
      <c r="AL7412">
        <v>69.571538157569705</v>
      </c>
      <c r="AM7412">
        <v>98.621162604150598</v>
      </c>
      <c r="AN7412">
        <v>0.99999999482676505</v>
      </c>
    </row>
    <row r="7413" spans="1:40" x14ac:dyDescent="0.25">
      <c r="A7413" t="str">
        <f>"20190304164306710"</f>
        <v>20190304164306710</v>
      </c>
      <c r="B7413" t="str">
        <f>"1551688986698744"</f>
        <v>1551688986698744</v>
      </c>
      <c r="C7413" t="s">
        <v>40</v>
      </c>
      <c r="D7413">
        <v>4.3106939999999998</v>
      </c>
      <c r="E7413">
        <v>0.54128369999999904</v>
      </c>
      <c r="F7413" t="s">
        <v>42</v>
      </c>
      <c r="G7413">
        <v>-187.7731</v>
      </c>
      <c r="H7413" s="1">
        <v>-1.200011E-6</v>
      </c>
      <c r="I7413">
        <v>11.43323</v>
      </c>
      <c r="J7413">
        <v>-187.43389999999999</v>
      </c>
      <c r="K7413">
        <v>1.1101540000000001</v>
      </c>
      <c r="L7413">
        <v>1.1494450000000001</v>
      </c>
      <c r="M7413">
        <v>3.0824810000000001E-2</v>
      </c>
      <c r="N7413">
        <v>-7.2814289999999999E-3</v>
      </c>
      <c r="O7413">
        <v>0.99949829999999995</v>
      </c>
      <c r="P7413">
        <v>-0.1106948</v>
      </c>
      <c r="Q7413">
        <v>0.34250140000000001</v>
      </c>
      <c r="R7413">
        <v>0.93297339999999995</v>
      </c>
      <c r="S7413">
        <v>-0.103363</v>
      </c>
      <c r="T7413">
        <v>-0.34842659999999998</v>
      </c>
      <c r="U7413">
        <v>3.3310550000000001</v>
      </c>
      <c r="V7413">
        <v>-0.1398094</v>
      </c>
      <c r="W7413">
        <v>0.34909469999999998</v>
      </c>
      <c r="X7413">
        <v>0.92659930000000001</v>
      </c>
      <c r="Y7413">
        <v>-6.1640929999999997E-2</v>
      </c>
      <c r="Z7413">
        <v>-9.6585989999999997E-2</v>
      </c>
      <c r="AA7413">
        <v>0.99341409999999997</v>
      </c>
      <c r="AB7413">
        <v>34</v>
      </c>
      <c r="AC7413">
        <v>-0.339200000000005</v>
      </c>
      <c r="AD7413">
        <v>-1.110155200011</v>
      </c>
      <c r="AE7413">
        <v>10.283785</v>
      </c>
      <c r="AF7413">
        <v>-0.64849382321920401</v>
      </c>
      <c r="AG7413">
        <v>-1.110155200011</v>
      </c>
      <c r="AH7413">
        <v>10.150282719490001</v>
      </c>
      <c r="AI7413">
        <v>96.229135942183404</v>
      </c>
      <c r="AJ7413">
        <v>93.655615194462598</v>
      </c>
      <c r="AK7413">
        <v>10.2313844660653</v>
      </c>
      <c r="AL7413">
        <v>69.568047510222598</v>
      </c>
      <c r="AM7413">
        <v>98.580317760080703</v>
      </c>
      <c r="AN7413">
        <v>1.00000002032846</v>
      </c>
    </row>
    <row r="7414" spans="1:40" x14ac:dyDescent="0.25">
      <c r="A7414" t="str">
        <f>"20190304164306732"</f>
        <v>20190304164306732</v>
      </c>
      <c r="B7414" t="str">
        <f>"1551688986729000"</f>
        <v>1551688986729000</v>
      </c>
      <c r="C7414" t="s">
        <v>40</v>
      </c>
      <c r="D7414">
        <v>4.320322</v>
      </c>
      <c r="E7414">
        <v>0.54134579999999999</v>
      </c>
      <c r="F7414" t="s">
        <v>42</v>
      </c>
      <c r="G7414">
        <v>-187.7603</v>
      </c>
      <c r="H7414" s="1">
        <v>-1.3423540000000001E-6</v>
      </c>
      <c r="I7414">
        <v>11.83573</v>
      </c>
      <c r="J7414">
        <v>-187.4238</v>
      </c>
      <c r="K7414">
        <v>1.1101510000000001</v>
      </c>
      <c r="L7414">
        <v>1.494904</v>
      </c>
      <c r="M7414">
        <v>3.026678E-2</v>
      </c>
      <c r="N7414">
        <v>-7.2337859999999999E-3</v>
      </c>
      <c r="O7414">
        <v>0.99951570000000001</v>
      </c>
      <c r="P7414">
        <v>-0.110914899999999</v>
      </c>
      <c r="Q7414">
        <v>0.3425803</v>
      </c>
      <c r="R7414">
        <v>0.93291840000000004</v>
      </c>
      <c r="S7414">
        <v>-0.10169980000000001</v>
      </c>
      <c r="T7414">
        <v>-0.34598959999999901</v>
      </c>
      <c r="U7414">
        <v>3.3304749999999999</v>
      </c>
      <c r="V7414">
        <v>-0.13951150000000001</v>
      </c>
      <c r="W7414">
        <v>0.34912919999999997</v>
      </c>
      <c r="X7414">
        <v>0.92663119999999999</v>
      </c>
      <c r="Y7414">
        <v>-6.0596049999999999E-2</v>
      </c>
      <c r="Z7414">
        <v>-9.5939060000000007E-2</v>
      </c>
      <c r="AA7414">
        <v>0.99354109999999995</v>
      </c>
      <c r="AB7414">
        <v>34</v>
      </c>
      <c r="AC7414">
        <v>-0.33650000000000002</v>
      </c>
      <c r="AD7414">
        <v>-1.1101523423540001</v>
      </c>
      <c r="AE7414">
        <v>10.340826</v>
      </c>
      <c r="AF7414">
        <v>-0.641946671324374</v>
      </c>
      <c r="AG7414">
        <v>-1.1101523423540001</v>
      </c>
      <c r="AH7414">
        <v>10.208372362187699</v>
      </c>
      <c r="AI7414">
        <v>96.194340115243705</v>
      </c>
      <c r="AJ7414">
        <v>93.598268736721906</v>
      </c>
      <c r="AK7414">
        <v>10.2886053494697</v>
      </c>
      <c r="AL7414">
        <v>69.565938051715094</v>
      </c>
      <c r="AM7414">
        <v>98.562016049684104</v>
      </c>
      <c r="AN7414">
        <v>1.00000001886916</v>
      </c>
    </row>
    <row r="7415" spans="1:40" x14ac:dyDescent="0.25">
      <c r="A7415" t="str">
        <f>"20190304164306757"</f>
        <v>20190304164306757</v>
      </c>
      <c r="B7415" t="str">
        <f>"1551688986748520"</f>
        <v>1551688986748520</v>
      </c>
      <c r="C7415" t="s">
        <v>40</v>
      </c>
      <c r="D7415">
        <v>4.34293</v>
      </c>
      <c r="E7415">
        <v>0.54137840000000004</v>
      </c>
      <c r="F7415" t="s">
        <v>42</v>
      </c>
      <c r="G7415">
        <v>-187.75489999999999</v>
      </c>
      <c r="H7415" s="1">
        <v>-1.5302289999999999E-6</v>
      </c>
      <c r="I7415">
        <v>12.271459999999999</v>
      </c>
      <c r="J7415">
        <v>-187.41290000000001</v>
      </c>
      <c r="K7415">
        <v>1.1101430000000001</v>
      </c>
      <c r="L7415">
        <v>1.8745419999999999</v>
      </c>
      <c r="M7415">
        <v>2.9663370000000001E-2</v>
      </c>
      <c r="N7415">
        <v>-7.1850280000000004E-3</v>
      </c>
      <c r="O7415">
        <v>0.99953409999999998</v>
      </c>
      <c r="P7415">
        <v>-0.1116573</v>
      </c>
      <c r="Q7415">
        <v>0.34218789999999999</v>
      </c>
      <c r="R7415">
        <v>0.93297379999999996</v>
      </c>
      <c r="S7415">
        <v>-0.10229489999999999</v>
      </c>
      <c r="T7415">
        <v>-0.34299000000000002</v>
      </c>
      <c r="U7415">
        <v>3.3294980000000001</v>
      </c>
      <c r="V7415">
        <v>-0.1396926</v>
      </c>
      <c r="W7415">
        <v>0.3486921</v>
      </c>
      <c r="X7415">
        <v>0.9267685</v>
      </c>
      <c r="Y7415">
        <v>-6.0182670000000001E-2</v>
      </c>
      <c r="Z7415">
        <v>-9.513576E-2</v>
      </c>
      <c r="AA7415">
        <v>0.99364339999999995</v>
      </c>
      <c r="AB7415">
        <v>34</v>
      </c>
      <c r="AC7415">
        <v>-0.34199999999998398</v>
      </c>
      <c r="AD7415">
        <v>-1.1101445302290001</v>
      </c>
      <c r="AE7415">
        <v>10.396917999999999</v>
      </c>
      <c r="AF7415">
        <v>-0.642942704153045</v>
      </c>
      <c r="AG7415">
        <v>-1.1101445302290001</v>
      </c>
      <c r="AH7415">
        <v>10.2652875258027</v>
      </c>
      <c r="AI7415">
        <v>96.160313962823906</v>
      </c>
      <c r="AJ7415">
        <v>93.583908045630594</v>
      </c>
      <c r="AK7415">
        <v>10.345140124049699</v>
      </c>
      <c r="AL7415">
        <v>69.592661632905902</v>
      </c>
      <c r="AM7415">
        <v>98.571714159503102</v>
      </c>
      <c r="AN7415">
        <v>1.0000000278447001</v>
      </c>
    </row>
    <row r="7416" spans="1:40" x14ac:dyDescent="0.25">
      <c r="A7416" t="str">
        <f>"20190304164306779"</f>
        <v>20190304164306779</v>
      </c>
      <c r="B7416" t="str">
        <f>"1551688986768040"</f>
        <v>1551688986768040</v>
      </c>
      <c r="C7416" t="s">
        <v>40</v>
      </c>
      <c r="D7416">
        <v>4.5639250000000002</v>
      </c>
      <c r="E7416">
        <v>0.54148039999999997</v>
      </c>
      <c r="F7416" t="s">
        <v>42</v>
      </c>
      <c r="G7416">
        <v>-187.7509</v>
      </c>
      <c r="H7416" s="1">
        <v>-1.6941099999999899E-6</v>
      </c>
      <c r="I7416">
        <v>12.651820000000001</v>
      </c>
      <c r="J7416">
        <v>-187.4032</v>
      </c>
      <c r="K7416">
        <v>1.1101319999999999</v>
      </c>
      <c r="L7416">
        <v>2.2171020000000001</v>
      </c>
      <c r="M7416">
        <v>2.9132080000000001E-2</v>
      </c>
      <c r="N7416">
        <v>-7.1430629999999998E-3</v>
      </c>
      <c r="O7416">
        <v>0.99955000000000005</v>
      </c>
      <c r="P7416">
        <v>-0.1128222</v>
      </c>
      <c r="Q7416">
        <v>0.34174729999999998</v>
      </c>
      <c r="R7416">
        <v>0.93299509999999997</v>
      </c>
      <c r="S7416">
        <v>-0.10441590000000001</v>
      </c>
      <c r="T7416">
        <v>-0.34289219999999998</v>
      </c>
      <c r="U7416">
        <v>3.3287960000000001</v>
      </c>
      <c r="V7416">
        <v>-0.14035899999999901</v>
      </c>
      <c r="W7416">
        <v>0.34821429999999998</v>
      </c>
      <c r="X7416">
        <v>0.92684739999999999</v>
      </c>
      <c r="Y7416">
        <v>-6.0291020000000001E-2</v>
      </c>
      <c r="Z7416">
        <v>-9.517101E-2</v>
      </c>
      <c r="AA7416">
        <v>0.9936334</v>
      </c>
      <c r="AB7416">
        <v>34</v>
      </c>
      <c r="AC7416">
        <v>-0.34770000000000301</v>
      </c>
      <c r="AD7416">
        <v>-1.11013369411</v>
      </c>
      <c r="AE7416">
        <v>10.434717999999901</v>
      </c>
      <c r="AF7416">
        <v>-0.64426124040882304</v>
      </c>
      <c r="AG7416">
        <v>-1.11013369411</v>
      </c>
      <c r="AH7416">
        <v>10.303666714966001</v>
      </c>
      <c r="AI7416">
        <v>96.137523962927602</v>
      </c>
      <c r="AJ7416">
        <v>93.577896784760298</v>
      </c>
      <c r="AK7416">
        <v>10.3833047310473</v>
      </c>
      <c r="AL7416">
        <v>69.621866913080396</v>
      </c>
      <c r="AM7416">
        <v>98.611271491288903</v>
      </c>
      <c r="AN7416">
        <v>0.99999997524612405</v>
      </c>
    </row>
    <row r="7417" spans="1:40" x14ac:dyDescent="0.25">
      <c r="A7417" t="str">
        <f>"20190304164306800"</f>
        <v>20190304164306800</v>
      </c>
      <c r="B7417" t="str">
        <f>"1551688986788536"</f>
        <v>1551688986788536</v>
      </c>
      <c r="C7417" t="s">
        <v>40</v>
      </c>
      <c r="D7417">
        <v>4.5156679999999998</v>
      </c>
      <c r="E7417">
        <v>0.54254080000000005</v>
      </c>
      <c r="F7417" t="s">
        <v>42</v>
      </c>
      <c r="G7417">
        <v>-187.74860000000001</v>
      </c>
      <c r="H7417" s="1">
        <v>-1.831977E-6</v>
      </c>
      <c r="I7417">
        <v>12.97222</v>
      </c>
      <c r="J7417">
        <v>-187.39449999999999</v>
      </c>
      <c r="K7417">
        <v>1.110114</v>
      </c>
      <c r="L7417">
        <v>2.5295100000000001</v>
      </c>
      <c r="M7417">
        <v>2.8662960000000001E-2</v>
      </c>
      <c r="N7417">
        <v>-7.1061179999999998E-3</v>
      </c>
      <c r="O7417">
        <v>0.99956389999999995</v>
      </c>
      <c r="P7417">
        <v>-0.1135024</v>
      </c>
      <c r="Q7417">
        <v>0.34155980000000002</v>
      </c>
      <c r="R7417">
        <v>0.93298130000000001</v>
      </c>
      <c r="S7417">
        <v>-0.10688780000000001</v>
      </c>
      <c r="T7417">
        <v>-0.3435512</v>
      </c>
      <c r="U7417">
        <v>3.3283689999999999</v>
      </c>
      <c r="V7417">
        <v>-0.14059489999999999</v>
      </c>
      <c r="W7417">
        <v>0.34799530000000001</v>
      </c>
      <c r="X7417">
        <v>0.92689390000000005</v>
      </c>
      <c r="Y7417">
        <v>-6.0562989999999997E-2</v>
      </c>
      <c r="Z7417">
        <v>-9.5415509999999995E-2</v>
      </c>
      <c r="AA7417">
        <v>0.99359350000000002</v>
      </c>
      <c r="AB7417">
        <v>34</v>
      </c>
      <c r="AC7417">
        <v>-0.35410000000001601</v>
      </c>
      <c r="AD7417">
        <v>-1.1101158319769999</v>
      </c>
      <c r="AE7417">
        <v>10.44271</v>
      </c>
      <c r="AF7417">
        <v>-0.645989206543085</v>
      </c>
      <c r="AG7417">
        <v>-1.1101158319769999</v>
      </c>
      <c r="AH7417">
        <v>10.311870597099899</v>
      </c>
      <c r="AI7417">
        <v>96.132535689616205</v>
      </c>
      <c r="AJ7417">
        <v>93.584621334955102</v>
      </c>
      <c r="AK7417">
        <v>10.3915511078332</v>
      </c>
      <c r="AL7417">
        <v>69.635251905946205</v>
      </c>
      <c r="AM7417">
        <v>98.625100654519102</v>
      </c>
      <c r="AN7417">
        <v>0.99999997829265397</v>
      </c>
    </row>
    <row r="7418" spans="1:40" x14ac:dyDescent="0.25">
      <c r="A7418" t="str">
        <f>"20190304164306824"</f>
        <v>20190304164306824</v>
      </c>
      <c r="B7418" t="str">
        <f>"1551688986818793"</f>
        <v>1551688986818793</v>
      </c>
      <c r="C7418" t="s">
        <v>40</v>
      </c>
      <c r="D7418">
        <v>4.4528619999999997</v>
      </c>
      <c r="E7418">
        <v>0.53943069999999904</v>
      </c>
      <c r="F7418" t="s">
        <v>42</v>
      </c>
      <c r="G7418">
        <v>-187.70849999999999</v>
      </c>
      <c r="H7418" s="1">
        <v>-1.79326E-6</v>
      </c>
      <c r="I7418">
        <v>12.865410000000001</v>
      </c>
      <c r="J7418">
        <v>-187.3845</v>
      </c>
      <c r="K7418">
        <v>1.1100859999999999</v>
      </c>
      <c r="L7418">
        <v>2.894409</v>
      </c>
      <c r="M7418">
        <v>2.8137539999999999E-2</v>
      </c>
      <c r="N7418">
        <v>-7.0627229999999999E-3</v>
      </c>
      <c r="O7418">
        <v>0.99957910000000005</v>
      </c>
      <c r="P7418">
        <v>-0.1143752</v>
      </c>
      <c r="Q7418">
        <v>0.34201700000000002</v>
      </c>
      <c r="R7418">
        <v>0.93270719999999996</v>
      </c>
      <c r="S7418">
        <v>-0.10130309999999999</v>
      </c>
      <c r="T7418">
        <v>-0.35811559999999998</v>
      </c>
      <c r="U7418">
        <v>3.3342900000000002</v>
      </c>
      <c r="V7418">
        <v>-0.1409599</v>
      </c>
      <c r="W7418">
        <v>0.34841549999999999</v>
      </c>
      <c r="X7418">
        <v>0.92668059999999997</v>
      </c>
      <c r="Y7418">
        <v>-5.8306730000000001E-2</v>
      </c>
      <c r="Z7418">
        <v>-9.9583099999999994E-2</v>
      </c>
      <c r="AA7418">
        <v>0.99331950000000002</v>
      </c>
      <c r="AB7418">
        <v>34</v>
      </c>
      <c r="AC7418">
        <v>-0.32399999999998302</v>
      </c>
      <c r="AD7418">
        <v>-1.11008779326</v>
      </c>
      <c r="AE7418">
        <v>9.9710009999999993</v>
      </c>
      <c r="AF7418">
        <v>-0.59704573302894304</v>
      </c>
      <c r="AG7418">
        <v>-1.11008779326</v>
      </c>
      <c r="AH7418">
        <v>9.83614827739361</v>
      </c>
      <c r="AI7418">
        <v>96.427309940065697</v>
      </c>
      <c r="AJ7418">
        <v>93.473542720043099</v>
      </c>
      <c r="AK7418">
        <v>9.9165806330078503</v>
      </c>
      <c r="AL7418">
        <v>69.609569272951802</v>
      </c>
      <c r="AM7418">
        <v>98.649114608622298</v>
      </c>
      <c r="AN7418">
        <v>0.99999999423230901</v>
      </c>
    </row>
    <row r="7419" spans="1:40" x14ac:dyDescent="0.25">
      <c r="A7419" t="str">
        <f>"20190304164306845"</f>
        <v>20190304164306845</v>
      </c>
      <c r="B7419" t="str">
        <f>"1551688986838313"</f>
        <v>1551688986838313</v>
      </c>
      <c r="C7419" t="s">
        <v>40</v>
      </c>
      <c r="D7419">
        <v>4.3633559999999996</v>
      </c>
      <c r="E7419">
        <v>0.53875989999999996</v>
      </c>
      <c r="F7419" t="s">
        <v>41</v>
      </c>
      <c r="G7419">
        <v>-187.43289999999999</v>
      </c>
      <c r="H7419">
        <v>0.79422910000000002</v>
      </c>
      <c r="I7419">
        <v>3.8113260000000002</v>
      </c>
      <c r="J7419">
        <v>-187.37540000000001</v>
      </c>
      <c r="K7419">
        <v>1.110069</v>
      </c>
      <c r="L7419">
        <v>3.2335820000000002</v>
      </c>
      <c r="M7419">
        <v>2.767472E-2</v>
      </c>
      <c r="N7419">
        <v>-7.0237980000000004E-3</v>
      </c>
      <c r="O7419">
        <v>0.99959229999999999</v>
      </c>
      <c r="P7419">
        <v>-0.11498800000000001</v>
      </c>
      <c r="Q7419">
        <v>0.34187849999999997</v>
      </c>
      <c r="R7419">
        <v>0.93268260000000003</v>
      </c>
      <c r="S7419">
        <v>-0.19290160000000001</v>
      </c>
      <c r="T7419">
        <v>-1.258866</v>
      </c>
      <c r="U7419">
        <v>3.6544189999999999</v>
      </c>
      <c r="V7419">
        <v>-0.141128</v>
      </c>
      <c r="W7419">
        <v>0.3482461</v>
      </c>
      <c r="X7419">
        <v>0.92671870000000001</v>
      </c>
      <c r="Y7419">
        <v>-7.7490310000000007E-2</v>
      </c>
      <c r="Z7419">
        <v>-0.31815969999999999</v>
      </c>
      <c r="AA7419">
        <v>0.94486490000000001</v>
      </c>
      <c r="AB7419">
        <v>35</v>
      </c>
      <c r="AC7419">
        <v>-5.7499999999976098E-2</v>
      </c>
      <c r="AD7419">
        <v>-0.31583989999999901</v>
      </c>
      <c r="AE7419">
        <v>0.57774399999999904</v>
      </c>
      <c r="AF7419">
        <v>-5.6690967170684399E-2</v>
      </c>
      <c r="AG7419">
        <v>-0.31583989999999901</v>
      </c>
      <c r="AH7419">
        <v>0.44441701390864502</v>
      </c>
      <c r="AI7419">
        <v>125.182729221928</v>
      </c>
      <c r="AJ7419">
        <v>97.269534893206398</v>
      </c>
      <c r="AK7419">
        <v>0.54815617340520295</v>
      </c>
      <c r="AL7419">
        <v>69.619923858116906</v>
      </c>
      <c r="AM7419">
        <v>98.658922138432999</v>
      </c>
      <c r="AN7419">
        <v>1.0000000037394401</v>
      </c>
    </row>
    <row r="7420" spans="1:40" x14ac:dyDescent="0.25">
      <c r="A7420" t="str">
        <f>"20190304164306867"</f>
        <v>20190304164306867</v>
      </c>
      <c r="B7420" t="str">
        <f>"1551688986858808"</f>
        <v>1551688986858808</v>
      </c>
      <c r="C7420" t="s">
        <v>40</v>
      </c>
      <c r="D7420">
        <v>4.3561880000000004</v>
      </c>
      <c r="E7420">
        <v>0.53878099999999995</v>
      </c>
      <c r="F7420" t="s">
        <v>41</v>
      </c>
      <c r="G7420">
        <v>-187.42439999999999</v>
      </c>
      <c r="H7420">
        <v>0.80140900000000004</v>
      </c>
      <c r="I7420">
        <v>4.122954</v>
      </c>
      <c r="J7420">
        <v>-187.3663</v>
      </c>
      <c r="K7420">
        <v>1.110042</v>
      </c>
      <c r="L7420">
        <v>3.5769039999999999</v>
      </c>
      <c r="M7420">
        <v>2.7227910000000001E-2</v>
      </c>
      <c r="N7420">
        <v>-6.9881049999999997E-3</v>
      </c>
      <c r="O7420">
        <v>0.99960479999999996</v>
      </c>
      <c r="P7420">
        <v>-0.1159506</v>
      </c>
      <c r="Q7420">
        <v>0.34190680000000001</v>
      </c>
      <c r="R7420">
        <v>0.93255310000000002</v>
      </c>
      <c r="S7420">
        <v>-0.20196529999999999</v>
      </c>
      <c r="T7420">
        <v>-1.269109</v>
      </c>
      <c r="U7420">
        <v>3.6568299999999998</v>
      </c>
      <c r="V7420">
        <v>-0.1416578</v>
      </c>
      <c r="W7420">
        <v>0.34824559999999999</v>
      </c>
      <c r="X7420">
        <v>0.92663810000000002</v>
      </c>
      <c r="Y7420">
        <v>-7.9303990000000005E-2</v>
      </c>
      <c r="Z7420">
        <v>-0.32032909999999998</v>
      </c>
      <c r="AA7420">
        <v>0.94398099999999996</v>
      </c>
      <c r="AB7420">
        <v>35</v>
      </c>
      <c r="AC7420">
        <v>-5.8099999999996002E-2</v>
      </c>
      <c r="AD7420">
        <v>-0.30863299999999899</v>
      </c>
      <c r="AE7420">
        <v>0.54604999999999904</v>
      </c>
      <c r="AF7420">
        <v>-5.5435351868977398E-2</v>
      </c>
      <c r="AG7420">
        <v>-0.30863299999999899</v>
      </c>
      <c r="AH7420">
        <v>0.413611379046395</v>
      </c>
      <c r="AI7420">
        <v>126.485802889016</v>
      </c>
      <c r="AJ7420">
        <v>97.633725087829902</v>
      </c>
      <c r="AK7420">
        <v>0.51903928541344302</v>
      </c>
      <c r="AL7420">
        <v>69.619955388707396</v>
      </c>
      <c r="AM7420">
        <v>98.691677059527507</v>
      </c>
      <c r="AN7420">
        <v>1.0000000492959</v>
      </c>
    </row>
    <row r="7421" spans="1:40" x14ac:dyDescent="0.25">
      <c r="A7421" t="str">
        <f>"20190304164306889"</f>
        <v>20190304164306889</v>
      </c>
      <c r="B7421" t="str">
        <f>"1551688986878334"</f>
        <v>1551688986878334</v>
      </c>
      <c r="C7421" t="s">
        <v>40</v>
      </c>
      <c r="D7421">
        <v>4.3692539999999997</v>
      </c>
      <c r="E7421">
        <v>0.53896580000000005</v>
      </c>
      <c r="F7421" t="s">
        <v>41</v>
      </c>
      <c r="G7421">
        <v>-187.41419999999999</v>
      </c>
      <c r="H7421">
        <v>0.81191679999999999</v>
      </c>
      <c r="I7421">
        <v>4.4370820000000002</v>
      </c>
      <c r="J7421">
        <v>-187.35740000000001</v>
      </c>
      <c r="K7421">
        <v>1.1100129999999999</v>
      </c>
      <c r="L7421">
        <v>3.9180299999999999</v>
      </c>
      <c r="M7421">
        <v>2.6807649999999999E-2</v>
      </c>
      <c r="N7421">
        <v>-6.9572509999999898E-3</v>
      </c>
      <c r="O7421">
        <v>0.99961639999999996</v>
      </c>
      <c r="P7421">
        <v>-0.1168096</v>
      </c>
      <c r="Q7421">
        <v>0.34153620000000001</v>
      </c>
      <c r="R7421">
        <v>0.93258169999999996</v>
      </c>
      <c r="S7421">
        <v>-0.2037659</v>
      </c>
      <c r="T7421">
        <v>-1.267201</v>
      </c>
      <c r="U7421">
        <v>3.65625</v>
      </c>
      <c r="V7421">
        <v>-0.14211260000000001</v>
      </c>
      <c r="W7421">
        <v>0.34785129999999997</v>
      </c>
      <c r="X7421">
        <v>0.92671650000000005</v>
      </c>
      <c r="Y7421">
        <v>-7.936406E-2</v>
      </c>
      <c r="Z7421">
        <v>-0.31996540000000001</v>
      </c>
      <c r="AA7421">
        <v>0.94409929999999997</v>
      </c>
      <c r="AB7421">
        <v>35</v>
      </c>
      <c r="AC7421">
        <v>-5.6799999999981303E-2</v>
      </c>
      <c r="AD7421">
        <v>-0.29809619999999898</v>
      </c>
      <c r="AE7421">
        <v>0.51905199999999896</v>
      </c>
      <c r="AF7421">
        <v>-5.3316996887446802E-2</v>
      </c>
      <c r="AG7421">
        <v>-0.29809619999999898</v>
      </c>
      <c r="AH7421">
        <v>0.39017414775506898</v>
      </c>
      <c r="AI7421">
        <v>127.124748178933</v>
      </c>
      <c r="AJ7421">
        <v>97.781229996597304</v>
      </c>
      <c r="AK7421">
        <v>0.49390273555420899</v>
      </c>
      <c r="AL7421">
        <v>69.644052670387097</v>
      </c>
      <c r="AM7421">
        <v>98.718427693419699</v>
      </c>
      <c r="AN7421">
        <v>0.99999999468134904</v>
      </c>
    </row>
    <row r="7422" spans="1:40" x14ac:dyDescent="0.25">
      <c r="A7422" t="str">
        <f>"20190304164306911"</f>
        <v>20190304164306911</v>
      </c>
      <c r="B7422" t="str">
        <f>"1551688986908584"</f>
        <v>1551688986908584</v>
      </c>
      <c r="C7422" t="s">
        <v>40</v>
      </c>
      <c r="D7422">
        <v>4.4627129999999999</v>
      </c>
      <c r="E7422">
        <v>0.54113750000000005</v>
      </c>
      <c r="F7422" t="s">
        <v>41</v>
      </c>
      <c r="G7422">
        <v>-187.40430000000001</v>
      </c>
      <c r="H7422">
        <v>0.82117870000000004</v>
      </c>
      <c r="I7422">
        <v>4.7530809999999999</v>
      </c>
      <c r="J7422">
        <v>-187.3485</v>
      </c>
      <c r="K7422">
        <v>1.1099950000000001</v>
      </c>
      <c r="L7422">
        <v>4.2642819999999997</v>
      </c>
      <c r="M7422">
        <v>2.6407960000000001E-2</v>
      </c>
      <c r="N7422">
        <v>-6.9305719999999899E-3</v>
      </c>
      <c r="O7422">
        <v>0.99962720000000005</v>
      </c>
      <c r="P7422">
        <v>-0.1169635</v>
      </c>
      <c r="Q7422">
        <v>0.34129300000000001</v>
      </c>
      <c r="R7422">
        <v>0.93265140000000002</v>
      </c>
      <c r="S7422">
        <v>-0.2056885</v>
      </c>
      <c r="T7422">
        <v>-1.263865</v>
      </c>
      <c r="U7422">
        <v>3.6539920000000001</v>
      </c>
      <c r="V7422">
        <v>-0.14188100000000001</v>
      </c>
      <c r="W7422">
        <v>0.34759069999999997</v>
      </c>
      <c r="X7422">
        <v>0.92684979999999995</v>
      </c>
      <c r="Y7422">
        <v>-7.9504359999999996E-2</v>
      </c>
      <c r="Z7422">
        <v>-0.31940000000000002</v>
      </c>
      <c r="AA7422">
        <v>0.94427890000000003</v>
      </c>
      <c r="AB7422">
        <v>35</v>
      </c>
      <c r="AC7422">
        <v>-5.5800000000004901E-2</v>
      </c>
      <c r="AD7422">
        <v>-0.28881630000000003</v>
      </c>
      <c r="AE7422">
        <v>0.48879899999999998</v>
      </c>
      <c r="AF7422">
        <v>-5.1083767853928097E-2</v>
      </c>
      <c r="AG7422">
        <v>-0.28881630000000003</v>
      </c>
      <c r="AH7422">
        <v>0.36229522707267903</v>
      </c>
      <c r="AI7422">
        <v>128.28674048182299</v>
      </c>
      <c r="AJ7422">
        <v>98.025818869929495</v>
      </c>
      <c r="AK7422">
        <v>0.46613542886535497</v>
      </c>
      <c r="AL7422">
        <v>69.659978503321199</v>
      </c>
      <c r="AM7422">
        <v>98.703204406125906</v>
      </c>
      <c r="AN7422">
        <v>1.0000000323237599</v>
      </c>
    </row>
    <row r="7423" spans="1:40" x14ac:dyDescent="0.25">
      <c r="A7423" t="str">
        <f>"20190304164306934"</f>
        <v>20190304164306934</v>
      </c>
      <c r="B7423" t="str">
        <f>"1551688986928104"</f>
        <v>1551688986928104</v>
      </c>
      <c r="C7423" t="s">
        <v>40</v>
      </c>
      <c r="D7423">
        <v>4.425694</v>
      </c>
      <c r="E7423">
        <v>0.54043619999999903</v>
      </c>
      <c r="F7423" t="s">
        <v>41</v>
      </c>
      <c r="G7423">
        <v>-187.3905</v>
      </c>
      <c r="H7423">
        <v>0.83668989999999999</v>
      </c>
      <c r="I7423">
        <v>5.072889</v>
      </c>
      <c r="J7423">
        <v>-187.33920000000001</v>
      </c>
      <c r="K7423">
        <v>1.1099680000000001</v>
      </c>
      <c r="L7423">
        <v>4.6312259999999998</v>
      </c>
      <c r="M7423">
        <v>2.601624E-2</v>
      </c>
      <c r="N7423">
        <v>-6.9071069999999896E-3</v>
      </c>
      <c r="O7423">
        <v>0.99963769999999996</v>
      </c>
      <c r="P7423">
        <v>-0.1174087</v>
      </c>
      <c r="Q7423">
        <v>0.34092270000000002</v>
      </c>
      <c r="R7423">
        <v>0.93273090000000003</v>
      </c>
      <c r="S7423">
        <v>-0.18939210000000001</v>
      </c>
      <c r="T7423">
        <v>-1.231503</v>
      </c>
      <c r="U7423">
        <v>3.6435550000000001</v>
      </c>
      <c r="V7423">
        <v>-0.14194590000000001</v>
      </c>
      <c r="W7423">
        <v>0.34720699999999999</v>
      </c>
      <c r="X7423">
        <v>0.92698369999999997</v>
      </c>
      <c r="Y7423">
        <v>-7.5175580000000006E-2</v>
      </c>
      <c r="Z7423">
        <v>-0.31283230000000001</v>
      </c>
      <c r="AA7423">
        <v>0.94682869999999997</v>
      </c>
      <c r="AB7423">
        <v>35</v>
      </c>
      <c r="AC7423">
        <v>-5.1299999999997598E-2</v>
      </c>
      <c r="AD7423">
        <v>-0.27327810000000002</v>
      </c>
      <c r="AE7423">
        <v>0.44166299999999997</v>
      </c>
      <c r="AF7423">
        <v>-4.5562108487442403E-2</v>
      </c>
      <c r="AG7423">
        <v>-0.27327810000000002</v>
      </c>
      <c r="AH7423">
        <v>0.31949044569509999</v>
      </c>
      <c r="AI7423">
        <v>130.25755133846599</v>
      </c>
      <c r="AJ7423">
        <v>98.116150318794695</v>
      </c>
      <c r="AK7423">
        <v>0.42288411008204702</v>
      </c>
      <c r="AL7423">
        <v>69.683423662308797</v>
      </c>
      <c r="AM7423">
        <v>98.705886030206798</v>
      </c>
      <c r="AN7423">
        <v>1.0000000597207399</v>
      </c>
    </row>
    <row r="7424" spans="1:40" x14ac:dyDescent="0.25">
      <c r="A7424" t="str">
        <f>"20190304164306951"</f>
        <v>20190304164306951</v>
      </c>
      <c r="B7424" t="str">
        <f>"1551688986938841"</f>
        <v>1551688986938841</v>
      </c>
      <c r="C7424" t="s">
        <v>40</v>
      </c>
      <c r="D7424">
        <v>4.4219229999999996</v>
      </c>
      <c r="E7424">
        <v>0.5401977</v>
      </c>
      <c r="F7424" t="s">
        <v>41</v>
      </c>
      <c r="G7424">
        <v>-187.3809</v>
      </c>
      <c r="H7424">
        <v>0.85058679999999998</v>
      </c>
      <c r="I7424">
        <v>5.3932599999999997</v>
      </c>
      <c r="J7424">
        <v>-187.33260000000001</v>
      </c>
      <c r="K7424">
        <v>1.1099490000000001</v>
      </c>
      <c r="L7424">
        <v>4.8903499999999998</v>
      </c>
      <c r="M7424">
        <v>2.5759069999999998E-2</v>
      </c>
      <c r="N7424">
        <v>-6.893461E-3</v>
      </c>
      <c r="O7424">
        <v>0.99964439999999999</v>
      </c>
      <c r="P7424">
        <v>-0.1178275</v>
      </c>
      <c r="Q7424">
        <v>0.34085910000000003</v>
      </c>
      <c r="R7424">
        <v>0.93270129999999996</v>
      </c>
      <c r="S7424">
        <v>-0.2005005</v>
      </c>
      <c r="T7424">
        <v>-1.240521</v>
      </c>
      <c r="U7424">
        <v>3.6445620000000001</v>
      </c>
      <c r="V7424">
        <v>-0.14211070000000001</v>
      </c>
      <c r="W7424">
        <v>0.34713640000000001</v>
      </c>
      <c r="X7424">
        <v>0.92698480000000005</v>
      </c>
      <c r="Y7424">
        <v>-7.7743129999999994E-2</v>
      </c>
      <c r="Z7424">
        <v>-0.31481490000000001</v>
      </c>
      <c r="AA7424">
        <v>0.94596380000000002</v>
      </c>
      <c r="AB7424">
        <v>35</v>
      </c>
      <c r="AC7424">
        <v>-4.8299999999983301E-2</v>
      </c>
      <c r="AD7424">
        <v>-0.25936219999999999</v>
      </c>
      <c r="AE7424">
        <v>0.50290999999999997</v>
      </c>
      <c r="AF7424">
        <v>-4.84660641331063E-2</v>
      </c>
      <c r="AG7424">
        <v>-0.25936219999999999</v>
      </c>
      <c r="AH7424">
        <v>0.39690015559828401</v>
      </c>
      <c r="AI7424">
        <v>122.96951649227699</v>
      </c>
      <c r="AJ7424">
        <v>96.9620048033145</v>
      </c>
      <c r="AK7424">
        <v>0.47659987796403802</v>
      </c>
      <c r="AL7424">
        <v>69.687735239161299</v>
      </c>
      <c r="AM7424">
        <v>98.715828307856896</v>
      </c>
      <c r="AN7424">
        <v>0.99999997534524399</v>
      </c>
    </row>
    <row r="7425" spans="1:40" x14ac:dyDescent="0.25">
      <c r="A7425" t="str">
        <f>"20190304164306969"</f>
        <v>20190304164306969</v>
      </c>
      <c r="B7425" t="str">
        <f>"1551688986958360"</f>
        <v>1551688986958360</v>
      </c>
      <c r="C7425" t="s">
        <v>40</v>
      </c>
      <c r="D7425">
        <v>4.422237</v>
      </c>
      <c r="E7425">
        <v>0.53961159999999997</v>
      </c>
      <c r="F7425" t="s">
        <v>41</v>
      </c>
      <c r="G7425">
        <v>-187.37799999999999</v>
      </c>
      <c r="H7425">
        <v>0.83332899999999999</v>
      </c>
      <c r="I7425">
        <v>5.7018250000000004</v>
      </c>
      <c r="J7425">
        <v>-187.32550000000001</v>
      </c>
      <c r="K7425">
        <v>1.1099250000000001</v>
      </c>
      <c r="L7425">
        <v>5.173737</v>
      </c>
      <c r="M7425">
        <v>2.5493209999999999E-2</v>
      </c>
      <c r="N7425">
        <v>-6.8810549999999996E-3</v>
      </c>
      <c r="O7425">
        <v>0.99965130000000002</v>
      </c>
      <c r="P7425">
        <v>-0.11809840000000001</v>
      </c>
      <c r="Q7425">
        <v>0.34071459999999998</v>
      </c>
      <c r="R7425">
        <v>0.93271979999999999</v>
      </c>
      <c r="S7425">
        <v>-0.20373540000000001</v>
      </c>
      <c r="T7425">
        <v>-1.2424519999999999</v>
      </c>
      <c r="U7425">
        <v>3.6447750000000001</v>
      </c>
      <c r="V7425">
        <v>-0.14212</v>
      </c>
      <c r="W7425">
        <v>0.34698699999999999</v>
      </c>
      <c r="X7425">
        <v>0.92703930000000001</v>
      </c>
      <c r="Y7425">
        <v>-7.8303300000000006E-2</v>
      </c>
      <c r="Z7425">
        <v>-0.31524809999999998</v>
      </c>
      <c r="AA7425">
        <v>0.94577339999999999</v>
      </c>
      <c r="AB7425">
        <v>35</v>
      </c>
      <c r="AC7425">
        <v>-5.2499999999980597E-2</v>
      </c>
      <c r="AD7425">
        <v>-0.27659599999999901</v>
      </c>
      <c r="AE7425">
        <v>0.528088</v>
      </c>
      <c r="AF7425">
        <v>-5.1858585530716497E-2</v>
      </c>
      <c r="AG7425">
        <v>-0.27659599999999901</v>
      </c>
      <c r="AH7425">
        <v>0.41409066013832302</v>
      </c>
      <c r="AI7425">
        <v>123.535731034883</v>
      </c>
      <c r="AJ7425">
        <v>97.138265386133796</v>
      </c>
      <c r="AK7425">
        <v>0.500665292309182</v>
      </c>
      <c r="AL7425">
        <v>69.696862409921593</v>
      </c>
      <c r="AM7425">
        <v>98.7158853676505</v>
      </c>
      <c r="AN7425">
        <v>0.99999996815674397</v>
      </c>
    </row>
    <row r="7426" spans="1:40" x14ac:dyDescent="0.25">
      <c r="A7426" t="str">
        <f>"20190304164306991"</f>
        <v>20190304164306991</v>
      </c>
      <c r="B7426" t="str">
        <f>"1551688986978856"</f>
        <v>1551688986978856</v>
      </c>
      <c r="C7426" t="s">
        <v>40</v>
      </c>
      <c r="D7426">
        <v>4.419333</v>
      </c>
      <c r="E7426">
        <v>0.53915919999999995</v>
      </c>
      <c r="F7426" t="s">
        <v>41</v>
      </c>
      <c r="G7426">
        <v>-187.37350000000001</v>
      </c>
      <c r="H7426">
        <v>0.82239869999999904</v>
      </c>
      <c r="I7426">
        <v>6.0137419999999997</v>
      </c>
      <c r="J7426">
        <v>-187.31700000000001</v>
      </c>
      <c r="K7426">
        <v>1.1099000000000001</v>
      </c>
      <c r="L7426">
        <v>5.5209349999999997</v>
      </c>
      <c r="M7426">
        <v>2.518575E-2</v>
      </c>
      <c r="N7426">
        <v>-6.8692930000000003E-3</v>
      </c>
      <c r="O7426">
        <v>0.99965919999999997</v>
      </c>
      <c r="P7426">
        <v>-0.1182474</v>
      </c>
      <c r="Q7426">
        <v>0.34021760000000001</v>
      </c>
      <c r="R7426">
        <v>0.9328824</v>
      </c>
      <c r="S7426">
        <v>-0.2091827</v>
      </c>
      <c r="T7426">
        <v>-1.247892</v>
      </c>
      <c r="U7426">
        <v>3.6457519999999999</v>
      </c>
      <c r="V7426">
        <v>-0.14197070000000001</v>
      </c>
      <c r="W7426">
        <v>0.34648699999999999</v>
      </c>
      <c r="X7426">
        <v>0.9272492</v>
      </c>
      <c r="Y7426">
        <v>-7.9367190000000004E-2</v>
      </c>
      <c r="Z7426">
        <v>-0.31642399999999998</v>
      </c>
      <c r="AA7426">
        <v>0.94529189999999996</v>
      </c>
      <c r="AB7426">
        <v>35</v>
      </c>
      <c r="AC7426">
        <v>-5.6499999999999703E-2</v>
      </c>
      <c r="AD7426">
        <v>-0.28750130000000002</v>
      </c>
      <c r="AE7426">
        <v>0.492807</v>
      </c>
      <c r="AF7426">
        <v>-5.1569958851125398E-2</v>
      </c>
      <c r="AG7426">
        <v>-0.28750130000000002</v>
      </c>
      <c r="AH7426">
        <v>0.36770340758057901</v>
      </c>
      <c r="AI7426">
        <v>127.750819022076</v>
      </c>
      <c r="AJ7426">
        <v>97.983590645025799</v>
      </c>
      <c r="AK7426">
        <v>0.46959797071960002</v>
      </c>
      <c r="AL7426">
        <v>69.727405767363194</v>
      </c>
      <c r="AM7426">
        <v>98.704928767342096</v>
      </c>
      <c r="AN7426">
        <v>0.99999999986406496</v>
      </c>
    </row>
    <row r="7427" spans="1:40" x14ac:dyDescent="0.25">
      <c r="A7427" t="str">
        <f>"20190304164307013"</f>
        <v>20190304164307013</v>
      </c>
      <c r="B7427" t="str">
        <f>"1551688987008137"</f>
        <v>1551688987008137</v>
      </c>
      <c r="C7427" t="s">
        <v>40</v>
      </c>
      <c r="D7427">
        <v>4.7198379999999904</v>
      </c>
      <c r="E7427">
        <v>0.5384177</v>
      </c>
      <c r="F7427" t="s">
        <v>41</v>
      </c>
      <c r="G7427">
        <v>-187.36420000000001</v>
      </c>
      <c r="H7427">
        <v>0.83035969999999903</v>
      </c>
      <c r="I7427">
        <v>6.3340360000000002</v>
      </c>
      <c r="J7427">
        <v>-187.30869999999999</v>
      </c>
      <c r="K7427">
        <v>1.1098779999999999</v>
      </c>
      <c r="L7427">
        <v>5.8619379999999897</v>
      </c>
      <c r="M7427">
        <v>2.4897949999999999E-2</v>
      </c>
      <c r="N7427">
        <v>-6.8609780000000002E-3</v>
      </c>
      <c r="O7427">
        <v>0.99966650000000001</v>
      </c>
      <c r="P7427">
        <v>-0.1178237</v>
      </c>
      <c r="Q7427">
        <v>0.34037129999999999</v>
      </c>
      <c r="R7427">
        <v>0.93288000000000004</v>
      </c>
      <c r="S7427">
        <v>-0.2123871</v>
      </c>
      <c r="T7427">
        <v>-1.2534879999999999</v>
      </c>
      <c r="U7427">
        <v>3.6460569999999999</v>
      </c>
      <c r="V7427">
        <v>-0.1412667</v>
      </c>
      <c r="W7427">
        <v>0.34663860000000002</v>
      </c>
      <c r="X7427">
        <v>0.92730000000000001</v>
      </c>
      <c r="Y7427">
        <v>-7.9878069999999995E-2</v>
      </c>
      <c r="Z7427">
        <v>-0.31769560000000002</v>
      </c>
      <c r="AA7427">
        <v>0.94482219999999995</v>
      </c>
      <c r="AB7427">
        <v>35</v>
      </c>
      <c r="AC7427">
        <v>-5.5500000000023399E-2</v>
      </c>
      <c r="AD7427">
        <v>-0.2795183</v>
      </c>
      <c r="AE7427">
        <v>0.47209800000000002</v>
      </c>
      <c r="AF7427">
        <v>-4.9961755330655798E-2</v>
      </c>
      <c r="AG7427">
        <v>-0.2795183</v>
      </c>
      <c r="AH7427">
        <v>0.34966420385291302</v>
      </c>
      <c r="AI7427">
        <v>128.35644654461899</v>
      </c>
      <c r="AJ7427">
        <v>98.131664204549395</v>
      </c>
      <c r="AK7427">
        <v>0.45043502582137401</v>
      </c>
      <c r="AL7427">
        <v>69.718144694323101</v>
      </c>
      <c r="AM7427">
        <v>98.661952049736996</v>
      </c>
      <c r="AN7427">
        <v>0.999999944769423</v>
      </c>
    </row>
    <row r="7428" spans="1:40" x14ac:dyDescent="0.25">
      <c r="A7428" t="str">
        <f>"20190304164307035"</f>
        <v>20190304164307035</v>
      </c>
      <c r="B7428" t="str">
        <f>"1551688987028633"</f>
        <v>1551688987028633</v>
      </c>
      <c r="C7428" t="s">
        <v>40</v>
      </c>
      <c r="D7428">
        <v>4.4985900000000001</v>
      </c>
      <c r="E7428">
        <v>0.53817590000000004</v>
      </c>
      <c r="F7428" t="s">
        <v>41</v>
      </c>
      <c r="G7428">
        <v>-187.35570000000001</v>
      </c>
      <c r="H7428">
        <v>0.83631029999999995</v>
      </c>
      <c r="I7428">
        <v>6.65435</v>
      </c>
      <c r="J7428">
        <v>-187.29990000000001</v>
      </c>
      <c r="K7428">
        <v>1.109864</v>
      </c>
      <c r="L7428">
        <v>6.2240909999999996</v>
      </c>
      <c r="M7428">
        <v>2.4603199999999999E-2</v>
      </c>
      <c r="N7428">
        <v>-6.8553099999999999E-3</v>
      </c>
      <c r="O7428">
        <v>0.99967379999999995</v>
      </c>
      <c r="P7428">
        <v>-0.1176098</v>
      </c>
      <c r="Q7428">
        <v>0.3404257</v>
      </c>
      <c r="R7428">
        <v>0.93288709999999997</v>
      </c>
      <c r="S7428">
        <v>-0.2177124</v>
      </c>
      <c r="T7428">
        <v>-1.259339</v>
      </c>
      <c r="U7428">
        <v>3.6478269999999999</v>
      </c>
      <c r="V7428">
        <v>-0.140769799999999</v>
      </c>
      <c r="W7428">
        <v>0.34669270000000002</v>
      </c>
      <c r="X7428">
        <v>0.92735540000000005</v>
      </c>
      <c r="Y7428">
        <v>-8.0906489999999998E-2</v>
      </c>
      <c r="Z7428">
        <v>-0.31889269999999997</v>
      </c>
      <c r="AA7428">
        <v>0.94433129999999998</v>
      </c>
      <c r="AB7428">
        <v>35</v>
      </c>
      <c r="AC7428">
        <v>-5.5800000000004901E-2</v>
      </c>
      <c r="AD7428">
        <v>-0.27355369999999901</v>
      </c>
      <c r="AE7428">
        <v>0.430258999999999</v>
      </c>
      <c r="AF7428">
        <v>-4.7489930532053297E-2</v>
      </c>
      <c r="AG7428">
        <v>-0.27355369999999901</v>
      </c>
      <c r="AH7428">
        <v>0.30679313871056202</v>
      </c>
      <c r="AI7428">
        <v>131.38523776234001</v>
      </c>
      <c r="AJ7428">
        <v>98.7992418857242</v>
      </c>
      <c r="AK7428">
        <v>0.41377403283133601</v>
      </c>
      <c r="AL7428">
        <v>69.714841267136293</v>
      </c>
      <c r="AM7428">
        <v>98.631435802744207</v>
      </c>
      <c r="AN7428">
        <v>1.0000000013672401</v>
      </c>
    </row>
    <row r="7429" spans="1:40" x14ac:dyDescent="0.25">
      <c r="A7429" t="str">
        <f>"20190304164307057"</f>
        <v>20190304164307057</v>
      </c>
      <c r="B7429" t="str">
        <f>"1551688987048152"</f>
        <v>1551688987048152</v>
      </c>
      <c r="C7429" t="s">
        <v>40</v>
      </c>
      <c r="D7429">
        <v>4.4922259999999996</v>
      </c>
      <c r="E7429">
        <v>0.53795809999999999</v>
      </c>
      <c r="F7429" t="s">
        <v>41</v>
      </c>
      <c r="G7429">
        <v>-187.34479999999999</v>
      </c>
      <c r="H7429">
        <v>0.84918179999999999</v>
      </c>
      <c r="I7429">
        <v>6.978173</v>
      </c>
      <c r="J7429">
        <v>-187.29140000000001</v>
      </c>
      <c r="K7429">
        <v>1.109855</v>
      </c>
      <c r="L7429">
        <v>6.5799260000000004</v>
      </c>
      <c r="M7429">
        <v>2.4320669999999999E-2</v>
      </c>
      <c r="N7429">
        <v>-6.8525569999999996E-3</v>
      </c>
      <c r="O7429">
        <v>0.99968069999999998</v>
      </c>
      <c r="P7429">
        <v>-0.1176157</v>
      </c>
      <c r="Q7429">
        <v>0.34007690000000002</v>
      </c>
      <c r="R7429">
        <v>0.9330136</v>
      </c>
      <c r="S7429">
        <v>-0.21760560000000001</v>
      </c>
      <c r="T7429">
        <v>-1.2613129999999999</v>
      </c>
      <c r="U7429">
        <v>3.6486510000000001</v>
      </c>
      <c r="V7429">
        <v>-0.14050960000000001</v>
      </c>
      <c r="W7429">
        <v>0.34634520000000002</v>
      </c>
      <c r="X7429">
        <v>0.92752469999999998</v>
      </c>
      <c r="Y7429">
        <v>-8.0576949999999994E-2</v>
      </c>
      <c r="Z7429">
        <v>-0.31929449999999998</v>
      </c>
      <c r="AA7429">
        <v>0.9442237</v>
      </c>
      <c r="AB7429">
        <v>36</v>
      </c>
      <c r="AC7429">
        <v>-5.3399999999982101E-2</v>
      </c>
      <c r="AD7429">
        <v>-0.26067319999999899</v>
      </c>
      <c r="AE7429">
        <v>0.39824700000000002</v>
      </c>
      <c r="AF7429">
        <v>-4.4388320988949903E-2</v>
      </c>
      <c r="AG7429">
        <v>-0.26067319999999899</v>
      </c>
      <c r="AH7429">
        <v>0.279286804360934</v>
      </c>
      <c r="AI7429">
        <v>132.669350049233</v>
      </c>
      <c r="AJ7429">
        <v>99.030744705810804</v>
      </c>
      <c r="AK7429">
        <v>0.38460623932614602</v>
      </c>
      <c r="AL7429">
        <v>69.736066732811693</v>
      </c>
      <c r="AM7429">
        <v>98.614172003032493</v>
      </c>
      <c r="AN7429">
        <v>1.00000000718264</v>
      </c>
    </row>
    <row r="7430" spans="1:40" x14ac:dyDescent="0.25">
      <c r="A7430" t="str">
        <f>"20190304164307079"</f>
        <v>20190304164307079</v>
      </c>
      <c r="B7430" t="str">
        <f>"1551688987068648"</f>
        <v>1551688987068648</v>
      </c>
      <c r="C7430" t="s">
        <v>40</v>
      </c>
      <c r="D7430">
        <v>4.7145239999999999</v>
      </c>
      <c r="E7430">
        <v>0.53775980000000001</v>
      </c>
      <c r="F7430" t="s">
        <v>41</v>
      </c>
      <c r="G7430">
        <v>-187.33420000000001</v>
      </c>
      <c r="H7430">
        <v>0.85952169999999894</v>
      </c>
      <c r="I7430">
        <v>7.3017770000000004</v>
      </c>
      <c r="J7430">
        <v>-187.28309999999999</v>
      </c>
      <c r="K7430">
        <v>1.109845</v>
      </c>
      <c r="L7430">
        <v>6.9317019999999996</v>
      </c>
      <c r="M7430">
        <v>2.4045E-2</v>
      </c>
      <c r="N7430">
        <v>-6.8521779999999996E-3</v>
      </c>
      <c r="O7430">
        <v>0.9996874</v>
      </c>
      <c r="P7430">
        <v>-0.1175194</v>
      </c>
      <c r="Q7430">
        <v>0.34025860000000002</v>
      </c>
      <c r="R7430">
        <v>0.93295939999999999</v>
      </c>
      <c r="S7430">
        <v>-0.217392</v>
      </c>
      <c r="T7430">
        <v>-1.265525</v>
      </c>
      <c r="U7430">
        <v>3.6492610000000001</v>
      </c>
      <c r="V7430">
        <v>-0.14015179999999999</v>
      </c>
      <c r="W7430">
        <v>0.34652810000000001</v>
      </c>
      <c r="X7430">
        <v>0.92751050000000002</v>
      </c>
      <c r="Y7430">
        <v>-8.0219120000000005E-2</v>
      </c>
      <c r="Z7430">
        <v>-0.32022830000000002</v>
      </c>
      <c r="AA7430">
        <v>0.9439379</v>
      </c>
      <c r="AB7430">
        <v>36</v>
      </c>
      <c r="AC7430">
        <v>-5.1100000000019401E-2</v>
      </c>
      <c r="AD7430">
        <v>-0.25032330000000003</v>
      </c>
      <c r="AE7430">
        <v>0.37007499999999899</v>
      </c>
      <c r="AF7430">
        <v>-4.1397505224072401E-2</v>
      </c>
      <c r="AG7430">
        <v>-0.25032330000000003</v>
      </c>
      <c r="AH7430">
        <v>0.25448310384022299</v>
      </c>
      <c r="AI7430">
        <v>134.15385404203101</v>
      </c>
      <c r="AJ7430">
        <v>99.239537715964502</v>
      </c>
      <c r="AK7430">
        <v>0.35935658906136803</v>
      </c>
      <c r="AL7430">
        <v>69.724895163517999</v>
      </c>
      <c r="AM7430">
        <v>98.592693899165297</v>
      </c>
      <c r="AN7430">
        <v>0.99999998937154899</v>
      </c>
    </row>
    <row r="7431" spans="1:40" x14ac:dyDescent="0.25">
      <c r="A7431" t="str">
        <f>"20190304164307100"</f>
        <v>20190304164307100</v>
      </c>
      <c r="B7431" t="str">
        <f>"1551688987088177"</f>
        <v>1551688987088177</v>
      </c>
      <c r="C7431" t="s">
        <v>40</v>
      </c>
      <c r="D7431">
        <v>4.4698409999999997</v>
      </c>
      <c r="E7431">
        <v>0.53760790000000003</v>
      </c>
      <c r="F7431" t="s">
        <v>41</v>
      </c>
      <c r="G7431">
        <v>-187.32470000000001</v>
      </c>
      <c r="H7431">
        <v>0.86885630000000003</v>
      </c>
      <c r="I7431">
        <v>7.6258660000000003</v>
      </c>
      <c r="J7431">
        <v>-187.27510000000001</v>
      </c>
      <c r="K7431">
        <v>1.1098399999999999</v>
      </c>
      <c r="L7431">
        <v>7.2730709999999998</v>
      </c>
      <c r="M7431">
        <v>2.3778750000000001E-2</v>
      </c>
      <c r="N7431">
        <v>-6.8537999999999898E-3</v>
      </c>
      <c r="O7431">
        <v>0.99969379999999997</v>
      </c>
      <c r="P7431">
        <v>-0.117689</v>
      </c>
      <c r="Q7431">
        <v>0.34035029999999999</v>
      </c>
      <c r="R7431">
        <v>0.93290459999999997</v>
      </c>
      <c r="S7431">
        <v>-0.2189026</v>
      </c>
      <c r="T7431">
        <v>-1.267198</v>
      </c>
      <c r="U7431">
        <v>3.6501459999999999</v>
      </c>
      <c r="V7431">
        <v>-0.1400692</v>
      </c>
      <c r="W7431">
        <v>0.34662300000000001</v>
      </c>
      <c r="X7431">
        <v>0.92748759999999997</v>
      </c>
      <c r="Y7431">
        <v>-8.0322820000000003E-2</v>
      </c>
      <c r="Z7431">
        <v>-0.32054050000000001</v>
      </c>
      <c r="AA7431">
        <v>0.94382310000000003</v>
      </c>
      <c r="AB7431">
        <v>36</v>
      </c>
      <c r="AC7431">
        <v>-4.9599999999998E-2</v>
      </c>
      <c r="AD7431">
        <v>-0.240983699999999</v>
      </c>
      <c r="AE7431">
        <v>0.35279499999999903</v>
      </c>
      <c r="AF7431">
        <v>-3.9776031961886699E-2</v>
      </c>
      <c r="AG7431">
        <v>-0.240983699999999</v>
      </c>
      <c r="AH7431">
        <v>0.241170436427708</v>
      </c>
      <c r="AI7431">
        <v>134.59339387224199</v>
      </c>
      <c r="AJ7431">
        <v>99.365432511422796</v>
      </c>
      <c r="AK7431">
        <v>0.34324693121869898</v>
      </c>
      <c r="AL7431">
        <v>69.719100164385495</v>
      </c>
      <c r="AM7431">
        <v>98.587914099806298</v>
      </c>
      <c r="AN7431">
        <v>1.0000000665356901</v>
      </c>
    </row>
    <row r="7432" spans="1:40" x14ac:dyDescent="0.25">
      <c r="A7432" t="str">
        <f>"20190304164307125"</f>
        <v>20190304164307125</v>
      </c>
      <c r="B7432" t="str">
        <f>"1551688987118425"</f>
        <v>1551688987118425</v>
      </c>
      <c r="C7432" t="s">
        <v>40</v>
      </c>
      <c r="D7432">
        <v>4.4601410000000001</v>
      </c>
      <c r="E7432">
        <v>0.5374312</v>
      </c>
      <c r="F7432" t="s">
        <v>41</v>
      </c>
      <c r="G7432">
        <v>-187.31569999999999</v>
      </c>
      <c r="H7432">
        <v>0.87489869999999903</v>
      </c>
      <c r="I7432">
        <v>7.9493580000000001</v>
      </c>
      <c r="J7432">
        <v>-187.26609999999999</v>
      </c>
      <c r="K7432">
        <v>1.1098330000000001</v>
      </c>
      <c r="L7432">
        <v>7.6658330000000001</v>
      </c>
      <c r="M7432">
        <v>2.3475449999999998E-2</v>
      </c>
      <c r="N7432">
        <v>-6.8578129999999999E-3</v>
      </c>
      <c r="O7432">
        <v>0.9997009</v>
      </c>
      <c r="P7432">
        <v>-0.1183071</v>
      </c>
      <c r="Q7432">
        <v>0.34082190000000001</v>
      </c>
      <c r="R7432">
        <v>0.93265419999999999</v>
      </c>
      <c r="S7432">
        <v>-0.21974179999999999</v>
      </c>
      <c r="T7432">
        <v>-1.2682469999999999</v>
      </c>
      <c r="U7432">
        <v>3.6507260000000001</v>
      </c>
      <c r="V7432">
        <v>-0.1403954</v>
      </c>
      <c r="W7432">
        <v>0.34709790000000001</v>
      </c>
      <c r="X7432">
        <v>0.92726059999999999</v>
      </c>
      <c r="Y7432">
        <v>-8.0223810000000007E-2</v>
      </c>
      <c r="Z7432">
        <v>-0.3207354</v>
      </c>
      <c r="AA7432">
        <v>0.94376530000000003</v>
      </c>
      <c r="AB7432">
        <v>36</v>
      </c>
      <c r="AC7432">
        <v>-4.9599999999998E-2</v>
      </c>
      <c r="AD7432">
        <v>-0.23493430000000001</v>
      </c>
      <c r="AE7432">
        <v>0.28352500000000003</v>
      </c>
      <c r="AF7432">
        <v>-3.3754446555999101E-2</v>
      </c>
      <c r="AG7432">
        <v>-0.23493430000000001</v>
      </c>
      <c r="AH7432">
        <v>0.16941478415214101</v>
      </c>
      <c r="AI7432">
        <v>143.67334939953199</v>
      </c>
      <c r="AJ7432">
        <v>101.268136050812</v>
      </c>
      <c r="AK7432">
        <v>0.29160736799351999</v>
      </c>
      <c r="AL7432">
        <v>69.690088334402105</v>
      </c>
      <c r="AM7432">
        <v>98.609690455463095</v>
      </c>
      <c r="AN7432">
        <v>1.0000000204189601</v>
      </c>
    </row>
    <row r="7433" spans="1:40" x14ac:dyDescent="0.25">
      <c r="A7433" t="str">
        <f>"20190304164307139"</f>
        <v>20190304164307139</v>
      </c>
      <c r="B7433" t="str">
        <f>"1551688987128185"</f>
        <v>1551688987128185</v>
      </c>
      <c r="C7433" t="s">
        <v>40</v>
      </c>
      <c r="D7433">
        <v>4.425516</v>
      </c>
      <c r="E7433">
        <v>0.53738850000000005</v>
      </c>
      <c r="F7433" t="s">
        <v>41</v>
      </c>
      <c r="G7433">
        <v>-187.32089999999999</v>
      </c>
      <c r="H7433">
        <v>0.79642219999999997</v>
      </c>
      <c r="I7433">
        <v>8.5681809999999992</v>
      </c>
      <c r="J7433">
        <v>-187.26050000000001</v>
      </c>
      <c r="K7433">
        <v>1.109829</v>
      </c>
      <c r="L7433">
        <v>7.908264</v>
      </c>
      <c r="M7433">
        <v>2.3290809999999999E-2</v>
      </c>
      <c r="N7433">
        <v>-6.8612179999999997E-3</v>
      </c>
      <c r="O7433">
        <v>0.99970519999999996</v>
      </c>
      <c r="P7433">
        <v>-0.1187921</v>
      </c>
      <c r="Q7433">
        <v>0.34113459999999901</v>
      </c>
      <c r="R7433">
        <v>0.93247820000000003</v>
      </c>
      <c r="S7433">
        <v>-0.2225647</v>
      </c>
      <c r="T7433">
        <v>-1.268397</v>
      </c>
      <c r="U7433">
        <v>3.6519170000000001</v>
      </c>
      <c r="V7433">
        <v>-0.14070189999999999</v>
      </c>
      <c r="W7433">
        <v>0.34741359999999999</v>
      </c>
      <c r="X7433">
        <v>0.92709589999999997</v>
      </c>
      <c r="Y7433">
        <v>-8.0749009999999996E-2</v>
      </c>
      <c r="Z7433">
        <v>-0.32065969999999999</v>
      </c>
      <c r="AA7433">
        <v>0.94374630000000004</v>
      </c>
      <c r="AB7433">
        <v>36</v>
      </c>
      <c r="AC7433">
        <v>-6.0399999999987103E-2</v>
      </c>
      <c r="AD7433">
        <v>-0.31340679999999999</v>
      </c>
      <c r="AE7433">
        <v>0.65991699999999898</v>
      </c>
      <c r="AF7433">
        <v>-6.1907000634594901E-2</v>
      </c>
      <c r="AG7433">
        <v>-0.31340679999999999</v>
      </c>
      <c r="AH7433">
        <v>0.53799562695446601</v>
      </c>
      <c r="AI7433">
        <v>120.059099043711</v>
      </c>
      <c r="AJ7433">
        <v>96.564138311043706</v>
      </c>
      <c r="AK7433">
        <v>0.62569608727875303</v>
      </c>
      <c r="AL7433">
        <v>69.670799748171405</v>
      </c>
      <c r="AM7433">
        <v>98.629713603897798</v>
      </c>
      <c r="AN7433">
        <v>1.00000002096268</v>
      </c>
    </row>
    <row r="7434" spans="1:40" x14ac:dyDescent="0.25">
      <c r="A7434" t="str">
        <f>"20190304164307160"</f>
        <v>20190304164307160</v>
      </c>
      <c r="B7434" t="str">
        <f>"1551688987148680"</f>
        <v>1551688987148680</v>
      </c>
      <c r="C7434" t="s">
        <v>40</v>
      </c>
      <c r="D7434">
        <v>4.4237279999999997</v>
      </c>
      <c r="E7434">
        <v>0.53729499999999997</v>
      </c>
      <c r="F7434" t="s">
        <v>41</v>
      </c>
      <c r="G7434">
        <v>-187.30250000000001</v>
      </c>
      <c r="H7434">
        <v>0.87218200000000001</v>
      </c>
      <c r="I7434">
        <v>8.5928240000000002</v>
      </c>
      <c r="J7434">
        <v>-187.25319999999999</v>
      </c>
      <c r="K7434">
        <v>1.109823</v>
      </c>
      <c r="L7434">
        <v>8.2333979999999993</v>
      </c>
      <c r="M7434">
        <v>2.3046500000000001E-2</v>
      </c>
      <c r="N7434">
        <v>-6.866881E-3</v>
      </c>
      <c r="O7434">
        <v>0.99971080000000001</v>
      </c>
      <c r="P7434">
        <v>-0.1192623</v>
      </c>
      <c r="Q7434">
        <v>0.34144799999999997</v>
      </c>
      <c r="R7434">
        <v>0.93230349999999995</v>
      </c>
      <c r="S7434">
        <v>-0.22476199999999999</v>
      </c>
      <c r="T7434">
        <v>-1.2679480000000001</v>
      </c>
      <c r="U7434">
        <v>3.652466</v>
      </c>
      <c r="V7434">
        <v>-0.14093610000000001</v>
      </c>
      <c r="W7434">
        <v>0.34773280000000001</v>
      </c>
      <c r="X7434">
        <v>0.9269406</v>
      </c>
      <c r="Y7434">
        <v>-8.1065399999999996E-2</v>
      </c>
      <c r="Z7434">
        <v>-0.32050000000000001</v>
      </c>
      <c r="AA7434">
        <v>0.94377339999999998</v>
      </c>
      <c r="AB7434">
        <v>36</v>
      </c>
      <c r="AC7434">
        <v>-4.9300000000016497E-2</v>
      </c>
      <c r="AD7434">
        <v>-0.23764099999999999</v>
      </c>
      <c r="AE7434">
        <v>0.35942600000000002</v>
      </c>
      <c r="AF7434">
        <v>-4.0285345644687102E-2</v>
      </c>
      <c r="AG7434">
        <v>-0.23764099999999999</v>
      </c>
      <c r="AH7434">
        <v>0.25064839819745799</v>
      </c>
      <c r="AI7434">
        <v>133.10940418635701</v>
      </c>
      <c r="AJ7434">
        <v>99.130748578744701</v>
      </c>
      <c r="AK7434">
        <v>0.34773664384655101</v>
      </c>
      <c r="AL7434">
        <v>69.651293995492907</v>
      </c>
      <c r="AM7434">
        <v>98.645287395349698</v>
      </c>
      <c r="AN7434">
        <v>0.99999998020370395</v>
      </c>
    </row>
    <row r="7435" spans="1:40" x14ac:dyDescent="0.25">
      <c r="A7435" t="str">
        <f>"20190304164307181"</f>
        <v>20190304164307181</v>
      </c>
      <c r="B7435" t="str">
        <f>"1551688987178937"</f>
        <v>1551688987178937</v>
      </c>
      <c r="C7435" t="s">
        <v>40</v>
      </c>
      <c r="D7435">
        <v>4.4275010000000004</v>
      </c>
      <c r="E7435">
        <v>0.53719150000000004</v>
      </c>
      <c r="F7435" t="s">
        <v>41</v>
      </c>
      <c r="G7435">
        <v>-187.29589999999999</v>
      </c>
      <c r="H7435">
        <v>0.87261889999999998</v>
      </c>
      <c r="I7435">
        <v>8.916506</v>
      </c>
      <c r="J7435">
        <v>-187.24549999999999</v>
      </c>
      <c r="K7435">
        <v>1.109818</v>
      </c>
      <c r="L7435">
        <v>8.5771479999999993</v>
      </c>
      <c r="M7435">
        <v>2.2795869999999999E-2</v>
      </c>
      <c r="N7435">
        <v>-6.8709249999999999E-3</v>
      </c>
      <c r="O7435">
        <v>0.99971650000000001</v>
      </c>
      <c r="P7435">
        <v>-0.1202259</v>
      </c>
      <c r="Q7435">
        <v>0.3413408</v>
      </c>
      <c r="R7435">
        <v>0.93221900000000002</v>
      </c>
      <c r="S7435">
        <v>-0.2288818</v>
      </c>
      <c r="T7435">
        <v>-1.2685249999999999</v>
      </c>
      <c r="U7435">
        <v>3.6531370000000001</v>
      </c>
      <c r="V7435">
        <v>-0.1416587</v>
      </c>
      <c r="W7435">
        <v>0.34763090000000002</v>
      </c>
      <c r="X7435">
        <v>0.92686869999999999</v>
      </c>
      <c r="Y7435">
        <v>-8.1862879999999999E-2</v>
      </c>
      <c r="Z7435">
        <v>-0.32055729999999999</v>
      </c>
      <c r="AA7435">
        <v>0.94368510000000005</v>
      </c>
      <c r="AB7435">
        <v>36</v>
      </c>
      <c r="AC7435">
        <v>-5.0399999999996198E-2</v>
      </c>
      <c r="AD7435">
        <v>-0.2371991</v>
      </c>
      <c r="AE7435">
        <v>0.33935799999999999</v>
      </c>
      <c r="AF7435">
        <v>-3.9325268638775203E-2</v>
      </c>
      <c r="AG7435">
        <v>-0.2371991</v>
      </c>
      <c r="AH7435">
        <v>0.228768018566361</v>
      </c>
      <c r="AI7435">
        <v>135.61962418744901</v>
      </c>
      <c r="AJ7435">
        <v>99.753827480429393</v>
      </c>
      <c r="AK7435">
        <v>0.331880544945167</v>
      </c>
      <c r="AL7435">
        <v>69.657521517869696</v>
      </c>
      <c r="AM7435">
        <v>98.689601992371905</v>
      </c>
      <c r="AN7435">
        <v>1.00000000848009</v>
      </c>
    </row>
    <row r="7436" spans="1:40" x14ac:dyDescent="0.25">
      <c r="A7436" t="str">
        <f>"20190304164307202"</f>
        <v>20190304164307202</v>
      </c>
      <c r="B7436" t="str">
        <f>"1551688987198456"</f>
        <v>1551688987198456</v>
      </c>
      <c r="C7436" t="s">
        <v>40</v>
      </c>
      <c r="D7436">
        <v>4.4246629999999998</v>
      </c>
      <c r="E7436">
        <v>0.53711660000000006</v>
      </c>
      <c r="F7436" t="s">
        <v>41</v>
      </c>
      <c r="G7436">
        <v>-187.2877</v>
      </c>
      <c r="H7436">
        <v>0.87829419999999903</v>
      </c>
      <c r="I7436">
        <v>9.2430869999999992</v>
      </c>
      <c r="J7436">
        <v>-187.238</v>
      </c>
      <c r="K7436">
        <v>1.1098049999999999</v>
      </c>
      <c r="L7436">
        <v>8.911346</v>
      </c>
      <c r="M7436">
        <v>2.2563260000000002E-2</v>
      </c>
      <c r="N7436">
        <v>-6.8723309999999998E-3</v>
      </c>
      <c r="O7436">
        <v>0.99972179999999999</v>
      </c>
      <c r="P7436">
        <v>-0.12135360000000001</v>
      </c>
      <c r="Q7436">
        <v>0.34158329999999998</v>
      </c>
      <c r="R7436">
        <v>0.93198400000000003</v>
      </c>
      <c r="S7436">
        <v>-0.2327728</v>
      </c>
      <c r="T7436">
        <v>-1.270046</v>
      </c>
      <c r="U7436">
        <v>3.6531370000000001</v>
      </c>
      <c r="V7436">
        <v>-0.14255709999999999</v>
      </c>
      <c r="W7436">
        <v>0.3478755</v>
      </c>
      <c r="X7436">
        <v>0.92663910000000005</v>
      </c>
      <c r="Y7436">
        <v>-8.2623899999999903E-2</v>
      </c>
      <c r="Z7436">
        <v>-0.32088919999999999</v>
      </c>
      <c r="AA7436">
        <v>0.94350590000000001</v>
      </c>
      <c r="AB7436">
        <v>36</v>
      </c>
      <c r="AC7436">
        <v>-4.9700000000001403E-2</v>
      </c>
      <c r="AD7436">
        <v>-0.23151079999999999</v>
      </c>
      <c r="AE7436">
        <v>0.33174099999999901</v>
      </c>
      <c r="AF7436">
        <v>-3.8726323549145097E-2</v>
      </c>
      <c r="AG7436">
        <v>-0.23151079999999999</v>
      </c>
      <c r="AH7436">
        <v>0.22389031954595401</v>
      </c>
      <c r="AI7436">
        <v>135.53655309358899</v>
      </c>
      <c r="AJ7436">
        <v>99.813356190284793</v>
      </c>
      <c r="AK7436">
        <v>0.32438226498787298</v>
      </c>
      <c r="AL7436">
        <v>69.642572923356497</v>
      </c>
      <c r="AM7436">
        <v>98.745995459537596</v>
      </c>
      <c r="AN7436">
        <v>0.99999995595473401</v>
      </c>
    </row>
    <row r="7437" spans="1:40" x14ac:dyDescent="0.25">
      <c r="A7437" t="str">
        <f>"20190304164307225"</f>
        <v>20190304164307225</v>
      </c>
      <c r="B7437" t="str">
        <f>"1551688987218952"</f>
        <v>1551688987218952</v>
      </c>
      <c r="C7437" t="s">
        <v>40</v>
      </c>
      <c r="D7437">
        <v>4.4175839999999997</v>
      </c>
      <c r="E7437">
        <v>0.53708480000000003</v>
      </c>
      <c r="F7437" t="s">
        <v>42</v>
      </c>
      <c r="G7437">
        <v>-187.4451</v>
      </c>
      <c r="H7437" s="1">
        <v>-1.515732E-6</v>
      </c>
      <c r="I7437">
        <v>12.104480000000001</v>
      </c>
      <c r="J7437">
        <v>-187.22970000000001</v>
      </c>
      <c r="K7437">
        <v>1.1097900000000001</v>
      </c>
      <c r="L7437">
        <v>9.2886050000000004</v>
      </c>
      <c r="M7437">
        <v>2.2315580000000002E-2</v>
      </c>
      <c r="N7437">
        <v>-6.8732699999999999E-3</v>
      </c>
      <c r="O7437">
        <v>0.99972740000000004</v>
      </c>
      <c r="P7437">
        <v>-0.1221723</v>
      </c>
      <c r="Q7437">
        <v>0.34166590000000002</v>
      </c>
      <c r="R7437">
        <v>0.93184670000000003</v>
      </c>
      <c r="S7437">
        <v>-0.23687739999999999</v>
      </c>
      <c r="T7437">
        <v>-1.2698119999999999</v>
      </c>
      <c r="U7437">
        <v>3.6535030000000002</v>
      </c>
      <c r="V7437">
        <v>-0.1431327</v>
      </c>
      <c r="W7437">
        <v>0.34796169999999998</v>
      </c>
      <c r="X7437">
        <v>0.92651799999999995</v>
      </c>
      <c r="Y7437">
        <v>-8.3427929999999997E-2</v>
      </c>
      <c r="Z7437">
        <v>-0.32078610000000002</v>
      </c>
      <c r="AA7437">
        <v>0.94347020000000004</v>
      </c>
      <c r="AB7437">
        <v>36</v>
      </c>
      <c r="AC7437">
        <v>-0.21539999999998799</v>
      </c>
      <c r="AD7437">
        <v>-1.109791515732</v>
      </c>
      <c r="AE7437">
        <v>2.8158750000000001</v>
      </c>
      <c r="AF7437">
        <v>-0.24097306381263101</v>
      </c>
      <c r="AG7437">
        <v>-1.109791515732</v>
      </c>
      <c r="AH7437">
        <v>2.4344265605716302</v>
      </c>
      <c r="AI7437">
        <v>114.401743735807</v>
      </c>
      <c r="AJ7437">
        <v>95.653039429341405</v>
      </c>
      <c r="AK7437">
        <v>2.68628701085543</v>
      </c>
      <c r="AL7437">
        <v>69.637304979465696</v>
      </c>
      <c r="AM7437">
        <v>98.781889530626799</v>
      </c>
      <c r="AN7437">
        <v>0.99999995940008901</v>
      </c>
    </row>
    <row r="7438" spans="1:40" x14ac:dyDescent="0.25">
      <c r="A7438" t="str">
        <f>"20190304164307247"</f>
        <v>20190304164307247</v>
      </c>
      <c r="B7438" t="str">
        <f>"1551688987238473"</f>
        <v>1551688987238473</v>
      </c>
      <c r="C7438" t="s">
        <v>40</v>
      </c>
      <c r="D7438">
        <v>4.4021839999999903</v>
      </c>
      <c r="E7438">
        <v>0.53700289999999995</v>
      </c>
      <c r="F7438" t="s">
        <v>42</v>
      </c>
      <c r="G7438">
        <v>-187.44059999999999</v>
      </c>
      <c r="H7438" s="1">
        <v>-1.6761299999999999E-6</v>
      </c>
      <c r="I7438">
        <v>12.48161</v>
      </c>
      <c r="J7438">
        <v>-187.22200000000001</v>
      </c>
      <c r="K7438">
        <v>1.1097680000000001</v>
      </c>
      <c r="L7438">
        <v>9.6461790000000001</v>
      </c>
      <c r="M7438">
        <v>2.2092710000000002E-2</v>
      </c>
      <c r="N7438">
        <v>-6.8749759999999997E-3</v>
      </c>
      <c r="O7438">
        <v>0.99973230000000002</v>
      </c>
      <c r="P7438">
        <v>-0.12313010000000001</v>
      </c>
      <c r="Q7438">
        <v>0.34118660000000001</v>
      </c>
      <c r="R7438">
        <v>0.93189630000000001</v>
      </c>
      <c r="S7438">
        <v>-0.2413025</v>
      </c>
      <c r="T7438">
        <v>-1.2697940000000001</v>
      </c>
      <c r="U7438">
        <v>3.6533509999999998</v>
      </c>
      <c r="V7438">
        <v>-0.14387539999999999</v>
      </c>
      <c r="W7438">
        <v>0.34748790000000002</v>
      </c>
      <c r="X7438">
        <v>0.92658079999999998</v>
      </c>
      <c r="Y7438">
        <v>-8.4345390000000006E-2</v>
      </c>
      <c r="Z7438">
        <v>-0.32077080000000002</v>
      </c>
      <c r="AA7438">
        <v>0.94339390000000001</v>
      </c>
      <c r="AB7438">
        <v>36</v>
      </c>
      <c r="AC7438">
        <v>-0.21859999999998</v>
      </c>
      <c r="AD7438">
        <v>-1.10976967613</v>
      </c>
      <c r="AE7438">
        <v>2.8354309999999998</v>
      </c>
      <c r="AF7438">
        <v>-0.24402882898946199</v>
      </c>
      <c r="AG7438">
        <v>-1.10976967613</v>
      </c>
      <c r="AH7438">
        <v>2.4559133966636599</v>
      </c>
      <c r="AI7438">
        <v>114.211648534605</v>
      </c>
      <c r="AJ7438">
        <v>95.674498847378004</v>
      </c>
      <c r="AK7438">
        <v>2.7060394334428501</v>
      </c>
      <c r="AL7438">
        <v>69.666258854000105</v>
      </c>
      <c r="AM7438">
        <v>98.826153211625396</v>
      </c>
      <c r="AN7438">
        <v>0.99999997515010397</v>
      </c>
    </row>
    <row r="7439" spans="1:40" x14ac:dyDescent="0.25">
      <c r="A7439" t="str">
        <f>"20190304164307269"</f>
        <v>20190304164307269</v>
      </c>
      <c r="B7439" t="str">
        <f>"1551688987258969"</f>
        <v>1551688987258969</v>
      </c>
      <c r="C7439" t="s">
        <v>40</v>
      </c>
      <c r="D7439">
        <v>4.3956629999999999</v>
      </c>
      <c r="E7439">
        <v>0.53689819999999999</v>
      </c>
      <c r="F7439" t="s">
        <v>41</v>
      </c>
      <c r="G7439">
        <v>-187.2807</v>
      </c>
      <c r="H7439">
        <v>0.80461359999999904</v>
      </c>
      <c r="I7439">
        <v>10.52211</v>
      </c>
      <c r="J7439">
        <v>-187.21420000000001</v>
      </c>
      <c r="K7439">
        <v>1.1097539999999999</v>
      </c>
      <c r="L7439">
        <v>10.00592</v>
      </c>
      <c r="M7439">
        <v>2.1878189999999999E-2</v>
      </c>
      <c r="N7439">
        <v>-6.8778329999999999E-3</v>
      </c>
      <c r="O7439">
        <v>0.99973699999999999</v>
      </c>
      <c r="P7439">
        <v>-0.123624</v>
      </c>
      <c r="Q7439">
        <v>0.34110190000000001</v>
      </c>
      <c r="R7439">
        <v>0.93186190000000002</v>
      </c>
      <c r="S7439">
        <v>-0.24607850000000001</v>
      </c>
      <c r="T7439">
        <v>-1.2724599999999999</v>
      </c>
      <c r="U7439">
        <v>3.6525880000000002</v>
      </c>
      <c r="V7439">
        <v>-0.14416180000000001</v>
      </c>
      <c r="W7439">
        <v>0.34740870000000001</v>
      </c>
      <c r="X7439">
        <v>0.926566</v>
      </c>
      <c r="Y7439">
        <v>-8.5356269999999998E-2</v>
      </c>
      <c r="Z7439">
        <v>-0.32141890000000001</v>
      </c>
      <c r="AA7439">
        <v>0.94308230000000004</v>
      </c>
      <c r="AB7439">
        <v>37</v>
      </c>
      <c r="AC7439">
        <v>-6.6499999999990594E-2</v>
      </c>
      <c r="AD7439">
        <v>-0.30514039999999998</v>
      </c>
      <c r="AE7439">
        <v>0.51619000000000104</v>
      </c>
      <c r="AF7439">
        <v>-5.7881424873983602E-2</v>
      </c>
      <c r="AG7439">
        <v>-0.30514039999999998</v>
      </c>
      <c r="AH7439">
        <v>0.38296922753282098</v>
      </c>
      <c r="AI7439">
        <v>128.23202711079199</v>
      </c>
      <c r="AJ7439">
        <v>98.594555197769694</v>
      </c>
      <c r="AK7439">
        <v>0.49307844436224102</v>
      </c>
      <c r="AL7439">
        <v>69.671098507656495</v>
      </c>
      <c r="AM7439">
        <v>98.843584232043199</v>
      </c>
      <c r="AN7439">
        <v>0.99999999088546498</v>
      </c>
    </row>
    <row r="7440" spans="1:40" x14ac:dyDescent="0.25">
      <c r="A7440" t="str">
        <f>"20190304164307291"</f>
        <v>20190304164307291</v>
      </c>
      <c r="B7440" t="str">
        <f>"1551688987278488"</f>
        <v>1551688987278488</v>
      </c>
      <c r="C7440" t="s">
        <v>40</v>
      </c>
      <c r="D7440">
        <v>4.8559669999999997</v>
      </c>
      <c r="E7440">
        <v>0.53688139999999995</v>
      </c>
      <c r="F7440" t="s">
        <v>41</v>
      </c>
      <c r="G7440">
        <v>-187.27199999999999</v>
      </c>
      <c r="H7440">
        <v>0.81448569999999998</v>
      </c>
      <c r="I7440">
        <v>10.852399999999999</v>
      </c>
      <c r="J7440">
        <v>-187.20660000000001</v>
      </c>
      <c r="K7440">
        <v>1.1097410000000001</v>
      </c>
      <c r="L7440">
        <v>10.360749999999999</v>
      </c>
      <c r="M7440">
        <v>2.167465E-2</v>
      </c>
      <c r="N7440">
        <v>-6.8817929999999998E-3</v>
      </c>
      <c r="O7440">
        <v>0.9997414</v>
      </c>
      <c r="P7440">
        <v>-0.123892</v>
      </c>
      <c r="Q7440">
        <v>0.34144770000000002</v>
      </c>
      <c r="R7440">
        <v>0.93169959999999996</v>
      </c>
      <c r="S7440">
        <v>-0.24995419999999999</v>
      </c>
      <c r="T7440">
        <v>-1.2740940000000001</v>
      </c>
      <c r="U7440">
        <v>3.6525880000000002</v>
      </c>
      <c r="V7440">
        <v>-0.14423150000000001</v>
      </c>
      <c r="W7440">
        <v>0.3477597</v>
      </c>
      <c r="X7440">
        <v>0.92642349999999996</v>
      </c>
      <c r="Y7440">
        <v>-8.6140159999999993E-2</v>
      </c>
      <c r="Z7440">
        <v>-0.32177209999999901</v>
      </c>
      <c r="AA7440">
        <v>0.94289060000000002</v>
      </c>
      <c r="AB7440">
        <v>37</v>
      </c>
      <c r="AC7440">
        <v>-6.5400000000010894E-2</v>
      </c>
      <c r="AD7440">
        <v>-0.2952553</v>
      </c>
      <c r="AE7440">
        <v>0.49164999999999898</v>
      </c>
      <c r="AF7440">
        <v>-5.6144793296312598E-2</v>
      </c>
      <c r="AG7440">
        <v>-0.2952553</v>
      </c>
      <c r="AH7440">
        <v>0.36187624142171498</v>
      </c>
      <c r="AI7440">
        <v>128.87767776958901</v>
      </c>
      <c r="AJ7440">
        <v>98.819078284826205</v>
      </c>
      <c r="AK7440">
        <v>0.470406573187369</v>
      </c>
      <c r="AL7440">
        <v>69.649650946111095</v>
      </c>
      <c r="AM7440">
        <v>98.849131739519393</v>
      </c>
      <c r="AN7440">
        <v>1.0000000179442901</v>
      </c>
    </row>
    <row r="7441" spans="1:40" x14ac:dyDescent="0.25">
      <c r="A7441" t="str">
        <f>"20190304164307306"</f>
        <v>20190304164307306</v>
      </c>
      <c r="B7441" t="str">
        <f>"1551688987298009"</f>
        <v>1551688987298009</v>
      </c>
      <c r="C7441" t="s">
        <v>40</v>
      </c>
      <c r="D7441">
        <v>4.3840870000000001</v>
      </c>
      <c r="E7441">
        <v>0.5511798</v>
      </c>
      <c r="F7441" t="s">
        <v>41</v>
      </c>
      <c r="G7441">
        <v>-187.2636</v>
      </c>
      <c r="H7441">
        <v>0.82301639999999998</v>
      </c>
      <c r="I7441">
        <v>11.18356</v>
      </c>
      <c r="J7441">
        <v>-187.2011</v>
      </c>
      <c r="K7441">
        <v>1.109734</v>
      </c>
      <c r="L7441">
        <v>10.62177</v>
      </c>
      <c r="M7441">
        <v>2.1528820000000001E-2</v>
      </c>
      <c r="N7441">
        <v>-6.8853789999999996E-3</v>
      </c>
      <c r="O7441">
        <v>0.99974450000000004</v>
      </c>
      <c r="P7441">
        <v>-0.1238659</v>
      </c>
      <c r="Q7441">
        <v>0.34162320000000002</v>
      </c>
      <c r="R7441">
        <v>0.93163879999999999</v>
      </c>
      <c r="S7441">
        <v>-0.25361630000000002</v>
      </c>
      <c r="T7441">
        <v>-1.27284</v>
      </c>
      <c r="U7441">
        <v>3.652679</v>
      </c>
      <c r="V7441">
        <v>-0.1440652</v>
      </c>
      <c r="W7441">
        <v>0.34793940000000001</v>
      </c>
      <c r="X7441">
        <v>0.92638189999999998</v>
      </c>
      <c r="Y7441">
        <v>-8.6940649999999994E-2</v>
      </c>
      <c r="Z7441">
        <v>-0.32145240000000003</v>
      </c>
      <c r="AA7441">
        <v>0.94292609999999999</v>
      </c>
      <c r="AB7441">
        <v>37</v>
      </c>
      <c r="AC7441">
        <v>-6.25E-2</v>
      </c>
      <c r="AD7441">
        <v>-0.28671759999999902</v>
      </c>
      <c r="AE7441">
        <v>0.56179000000000001</v>
      </c>
      <c r="AF7441">
        <v>-5.9318559983493301E-2</v>
      </c>
      <c r="AG7441">
        <v>-0.28671759999999902</v>
      </c>
      <c r="AH7441">
        <v>0.44565325066761702</v>
      </c>
      <c r="AI7441">
        <v>122.527294684194</v>
      </c>
      <c r="AJ7441">
        <v>97.581774316624703</v>
      </c>
      <c r="AK7441">
        <v>0.533228369030464</v>
      </c>
      <c r="AL7441">
        <v>69.6386690460197</v>
      </c>
      <c r="AM7441">
        <v>98.839480491775802</v>
      </c>
      <c r="AN7441">
        <v>1.0000000162855001</v>
      </c>
    </row>
    <row r="7442" spans="1:40" x14ac:dyDescent="0.25">
      <c r="A7442" t="str">
        <f>"20190304164307327"</f>
        <v>20190304164307327</v>
      </c>
      <c r="B7442" t="str">
        <f>"1551688987318505"</f>
        <v>1551688987318505</v>
      </c>
      <c r="C7442" t="s">
        <v>40</v>
      </c>
      <c r="D7442">
        <v>4.4621440000000003</v>
      </c>
      <c r="E7442">
        <v>0.53124740000000004</v>
      </c>
      <c r="F7442" t="s">
        <v>41</v>
      </c>
      <c r="G7442">
        <v>-187.2312</v>
      </c>
      <c r="H7442">
        <v>0.85952969999999895</v>
      </c>
      <c r="I7442">
        <v>11.526680000000001</v>
      </c>
      <c r="J7442">
        <v>-187.19390000000001</v>
      </c>
      <c r="K7442">
        <v>1.1097250000000001</v>
      </c>
      <c r="L7442">
        <v>10.959110000000001</v>
      </c>
      <c r="M7442">
        <v>2.1343890000000001E-2</v>
      </c>
      <c r="N7442">
        <v>-6.8909779999999999E-3</v>
      </c>
      <c r="O7442">
        <v>0.99974850000000004</v>
      </c>
      <c r="P7442">
        <v>-0.1239111</v>
      </c>
      <c r="Q7442">
        <v>0.3415609</v>
      </c>
      <c r="R7442">
        <v>0.93165560000000003</v>
      </c>
      <c r="S7442">
        <v>-0.11920169999999999</v>
      </c>
      <c r="T7442">
        <v>-0.98591450000000003</v>
      </c>
      <c r="U7442">
        <v>3.5657960000000002</v>
      </c>
      <c r="V7442">
        <v>-0.14393590000000001</v>
      </c>
      <c r="W7442">
        <v>0.34788390000000002</v>
      </c>
      <c r="X7442">
        <v>0.92642279999999999</v>
      </c>
      <c r="Y7442">
        <v>-5.3537670000000002E-2</v>
      </c>
      <c r="Z7442">
        <v>-0.25949109999999997</v>
      </c>
      <c r="AA7442">
        <v>0.96426040000000002</v>
      </c>
      <c r="AB7442">
        <v>37</v>
      </c>
      <c r="AC7442">
        <v>-3.72999999999876E-2</v>
      </c>
      <c r="AD7442">
        <v>-0.25019530000000001</v>
      </c>
      <c r="AE7442">
        <v>0.56756999999999902</v>
      </c>
      <c r="AF7442">
        <v>-4.1396358040400198E-2</v>
      </c>
      <c r="AG7442">
        <v>-0.25019530000000001</v>
      </c>
      <c r="AH7442">
        <v>0.47478137766551798</v>
      </c>
      <c r="AI7442">
        <v>117.698474995558</v>
      </c>
      <c r="AJ7442">
        <v>94.983037713855893</v>
      </c>
      <c r="AK7442">
        <v>0.53826452899951105</v>
      </c>
      <c r="AL7442">
        <v>69.642060038481702</v>
      </c>
      <c r="AM7442">
        <v>98.831288334263405</v>
      </c>
      <c r="AN7442">
        <v>0.99999997777392902</v>
      </c>
    </row>
    <row r="7443" spans="1:40" x14ac:dyDescent="0.25">
      <c r="A7443" t="str">
        <f>"20190304164307348"</f>
        <v>20190304164307348</v>
      </c>
      <c r="B7443" t="str">
        <f>"1551688987339001"</f>
        <v>1551688987339001</v>
      </c>
      <c r="C7443" t="s">
        <v>40</v>
      </c>
      <c r="D7443">
        <v>4.9107539999999998</v>
      </c>
      <c r="E7443">
        <v>0.53012099999999995</v>
      </c>
      <c r="F7443" t="s">
        <v>42</v>
      </c>
      <c r="G7443">
        <v>-187.8391</v>
      </c>
      <c r="H7443" s="1">
        <v>-7.5758680000000004E-7</v>
      </c>
      <c r="I7443">
        <v>20.184719999999999</v>
      </c>
      <c r="J7443">
        <v>-187.1866</v>
      </c>
      <c r="K7443">
        <v>1.109723</v>
      </c>
      <c r="L7443">
        <v>11.31207</v>
      </c>
      <c r="M7443">
        <v>2.115295E-2</v>
      </c>
      <c r="N7443">
        <v>-6.8979840000000002E-3</v>
      </c>
      <c r="O7443">
        <v>0.99975250000000004</v>
      </c>
      <c r="P7443">
        <v>-0.1236377</v>
      </c>
      <c r="Q7443">
        <v>0.3416922</v>
      </c>
      <c r="R7443">
        <v>0.93164380000000002</v>
      </c>
      <c r="S7443">
        <v>-0.23330690000000001</v>
      </c>
      <c r="T7443">
        <v>-0.4013004</v>
      </c>
      <c r="U7443">
        <v>3.336182</v>
      </c>
      <c r="V7443">
        <v>-0.1434831</v>
      </c>
      <c r="W7443">
        <v>0.34802300000000003</v>
      </c>
      <c r="X7443">
        <v>0.92644079999999995</v>
      </c>
      <c r="Y7443">
        <v>-9.0368210000000004E-2</v>
      </c>
      <c r="Z7443">
        <v>-0.11214209999999999</v>
      </c>
      <c r="AA7443">
        <v>0.98957459999999997</v>
      </c>
      <c r="AB7443">
        <v>37</v>
      </c>
      <c r="AC7443">
        <v>-0.65250000000000297</v>
      </c>
      <c r="AD7443">
        <v>-1.1097237575868</v>
      </c>
      <c r="AE7443">
        <v>8.8726500000000001</v>
      </c>
      <c r="AF7443">
        <v>-0.82717124919922402</v>
      </c>
      <c r="AG7443">
        <v>-1.1097237575868</v>
      </c>
      <c r="AH7443">
        <v>8.7211696818520998</v>
      </c>
      <c r="AI7443">
        <v>97.219565557360994</v>
      </c>
      <c r="AJ7443">
        <v>95.418088509794202</v>
      </c>
      <c r="AK7443">
        <v>8.8303170788658907</v>
      </c>
      <c r="AL7443">
        <v>69.633559073914299</v>
      </c>
      <c r="AM7443">
        <v>98.803774007055594</v>
      </c>
      <c r="AN7443">
        <v>0.99999998220962505</v>
      </c>
    </row>
    <row r="7444" spans="1:40" x14ac:dyDescent="0.25">
      <c r="A7444" t="str">
        <f>"20190304164307372"</f>
        <v>20190304164307372</v>
      </c>
      <c r="B7444" t="str">
        <f>"1551688987358520"</f>
        <v>1551688987358520</v>
      </c>
      <c r="C7444" t="s">
        <v>40</v>
      </c>
      <c r="D7444">
        <v>4.378851</v>
      </c>
      <c r="E7444">
        <v>0.53032800000000002</v>
      </c>
      <c r="F7444" t="s">
        <v>42</v>
      </c>
      <c r="G7444">
        <v>-187.92429999999999</v>
      </c>
      <c r="H7444" s="1">
        <v>-1.2299160000000001E-6</v>
      </c>
      <c r="I7444">
        <v>21.639320000000001</v>
      </c>
      <c r="J7444">
        <v>-187.1788</v>
      </c>
      <c r="K7444">
        <v>1.109721</v>
      </c>
      <c r="L7444">
        <v>11.685029999999999</v>
      </c>
      <c r="M7444">
        <v>2.0952479999999999E-2</v>
      </c>
      <c r="N7444">
        <v>-6.906438E-3</v>
      </c>
      <c r="O7444">
        <v>0.9997566</v>
      </c>
      <c r="P7444">
        <v>-0.12311469999999999</v>
      </c>
      <c r="Q7444">
        <v>0.34193010000000001</v>
      </c>
      <c r="R7444">
        <v>0.93162579999999995</v>
      </c>
      <c r="S7444">
        <v>-0.23713680000000001</v>
      </c>
      <c r="T7444">
        <v>-0.3566954</v>
      </c>
      <c r="U7444">
        <v>3.319458</v>
      </c>
      <c r="V7444">
        <v>-0.14277210000000001</v>
      </c>
      <c r="W7444">
        <v>0.34826970000000002</v>
      </c>
      <c r="X7444">
        <v>0.92645789999999995</v>
      </c>
      <c r="Y7444">
        <v>-9.1750300000000007E-2</v>
      </c>
      <c r="Z7444">
        <v>-9.9571499999999993E-2</v>
      </c>
      <c r="AA7444">
        <v>0.99079130000000004</v>
      </c>
      <c r="AB7444">
        <v>37</v>
      </c>
      <c r="AC7444">
        <v>-0.74549999999999195</v>
      </c>
      <c r="AD7444">
        <v>-1.1097222299159999</v>
      </c>
      <c r="AE7444">
        <v>9.9542900000000003</v>
      </c>
      <c r="AF7444">
        <v>-0.94226306438201002</v>
      </c>
      <c r="AG7444">
        <v>-1.1097222299159999</v>
      </c>
      <c r="AH7444">
        <v>9.8151796427503708</v>
      </c>
      <c r="AI7444">
        <v>96.421299661646799</v>
      </c>
      <c r="AJ7444">
        <v>95.483624100623402</v>
      </c>
      <c r="AK7444">
        <v>9.9225548388270202</v>
      </c>
      <c r="AL7444">
        <v>69.618480200163901</v>
      </c>
      <c r="AM7444">
        <v>98.760668026527497</v>
      </c>
      <c r="AN7444">
        <v>0.99999994847445295</v>
      </c>
    </row>
    <row r="7445" spans="1:40" x14ac:dyDescent="0.25">
      <c r="A7445" t="str">
        <f>"20190304164307394"</f>
        <v>20190304164307394</v>
      </c>
      <c r="B7445" t="str">
        <f>"1551688987388776"</f>
        <v>1551688987388776</v>
      </c>
      <c r="C7445" t="s">
        <v>40</v>
      </c>
      <c r="D7445">
        <v>4.3829050000000001</v>
      </c>
      <c r="E7445">
        <v>0.53125180000000005</v>
      </c>
      <c r="F7445" t="s">
        <v>42</v>
      </c>
      <c r="G7445">
        <v>-187.95740000000001</v>
      </c>
      <c r="H7445" s="1">
        <v>-1.7276960000000001E-6</v>
      </c>
      <c r="I7445">
        <v>22.81549</v>
      </c>
      <c r="J7445">
        <v>-187.17080000000001</v>
      </c>
      <c r="K7445">
        <v>1.109726</v>
      </c>
      <c r="L7445">
        <v>12.076230000000001</v>
      </c>
      <c r="M7445">
        <v>2.0742610000000002E-2</v>
      </c>
      <c r="N7445">
        <v>-6.9163669999999997E-3</v>
      </c>
      <c r="O7445">
        <v>0.99976089999999995</v>
      </c>
      <c r="P7445">
        <v>-0.12258520000000001</v>
      </c>
      <c r="Q7445">
        <v>0.3421805</v>
      </c>
      <c r="R7445">
        <v>0.93160370000000003</v>
      </c>
      <c r="S7445">
        <v>-0.2315826</v>
      </c>
      <c r="T7445">
        <v>-0.33008459999999901</v>
      </c>
      <c r="U7445">
        <v>3.31073</v>
      </c>
      <c r="V7445">
        <v>-0.14204559999999999</v>
      </c>
      <c r="W7445">
        <v>0.34853079999999997</v>
      </c>
      <c r="X7445">
        <v>0.9264715</v>
      </c>
      <c r="Y7445">
        <v>-9.0127009999999994E-2</v>
      </c>
      <c r="Z7445">
        <v>-9.1966350000000002E-2</v>
      </c>
      <c r="AA7445">
        <v>0.99167499999999997</v>
      </c>
      <c r="AB7445">
        <v>37</v>
      </c>
      <c r="AC7445">
        <v>-0.78659999999999197</v>
      </c>
      <c r="AD7445">
        <v>-1.109727727696</v>
      </c>
      <c r="AE7445">
        <v>10.73926</v>
      </c>
      <c r="AF7445">
        <v>-0.99859046144578001</v>
      </c>
      <c r="AG7445">
        <v>-1.109727727696</v>
      </c>
      <c r="AH7445">
        <v>10.607966867154699</v>
      </c>
      <c r="AI7445">
        <v>95.9460436977852</v>
      </c>
      <c r="AJ7445">
        <v>95.377741809776197</v>
      </c>
      <c r="AK7445">
        <v>10.7124992225885</v>
      </c>
      <c r="AL7445">
        <v>69.602522602399603</v>
      </c>
      <c r="AM7445">
        <v>98.716649518117904</v>
      </c>
      <c r="AN7445">
        <v>1.0000000556701201</v>
      </c>
    </row>
    <row r="7446" spans="1:40" x14ac:dyDescent="0.25">
      <c r="A7446" t="str">
        <f>"20190304164307427"</f>
        <v>20190304164307427</v>
      </c>
      <c r="B7446" t="str">
        <f>"1551688987418057"</f>
        <v>1551688987418057</v>
      </c>
      <c r="C7446" t="s">
        <v>40</v>
      </c>
      <c r="D7446">
        <v>4.3929790000000004</v>
      </c>
      <c r="E7446">
        <v>0.53206909999999996</v>
      </c>
      <c r="F7446" t="s">
        <v>42</v>
      </c>
      <c r="G7446">
        <v>-187.95099999999999</v>
      </c>
      <c r="H7446" s="1">
        <v>-2.1220289999999999E-6</v>
      </c>
      <c r="I7446">
        <v>23.732030000000002</v>
      </c>
      <c r="J7446">
        <v>-187.15969999999999</v>
      </c>
      <c r="K7446">
        <v>1.109721</v>
      </c>
      <c r="L7446">
        <v>12.62387</v>
      </c>
      <c r="M7446">
        <v>2.0448500000000001E-2</v>
      </c>
      <c r="N7446">
        <v>-6.9318610000000001E-3</v>
      </c>
      <c r="O7446">
        <v>0.99976690000000001</v>
      </c>
      <c r="P7446">
        <v>-0.122767</v>
      </c>
      <c r="Q7446">
        <v>0.34282889999999999</v>
      </c>
      <c r="R7446">
        <v>0.93134139999999999</v>
      </c>
      <c r="S7446">
        <v>-0.22132869999999999</v>
      </c>
      <c r="T7446">
        <v>-0.31483100000000003</v>
      </c>
      <c r="U7446">
        <v>3.3067630000000001</v>
      </c>
      <c r="V7446">
        <v>-0.1419473</v>
      </c>
      <c r="W7446">
        <v>0.34919260000000002</v>
      </c>
      <c r="X7446">
        <v>0.92623730000000004</v>
      </c>
      <c r="Y7446">
        <v>-8.6884710000000004E-2</v>
      </c>
      <c r="Z7446">
        <v>-8.7558200000000003E-2</v>
      </c>
      <c r="AA7446">
        <v>0.9923632</v>
      </c>
      <c r="AB7446">
        <v>37</v>
      </c>
      <c r="AC7446">
        <v>-0.791300000000006</v>
      </c>
      <c r="AD7446">
        <v>-1.109723122029</v>
      </c>
      <c r="AE7446">
        <v>11.1081599999999</v>
      </c>
      <c r="AF7446">
        <v>-1.00827310510977</v>
      </c>
      <c r="AG7446">
        <v>-1.109723122029</v>
      </c>
      <c r="AH7446">
        <v>10.980619052937501</v>
      </c>
      <c r="AI7446">
        <v>95.746818063723595</v>
      </c>
      <c r="AJ7446">
        <v>95.246357102759006</v>
      </c>
      <c r="AK7446">
        <v>11.0825130204204</v>
      </c>
      <c r="AL7446">
        <v>69.562061585886497</v>
      </c>
      <c r="AM7446">
        <v>98.712878592879605</v>
      </c>
      <c r="AN7446">
        <v>1.00000002189166</v>
      </c>
    </row>
    <row r="7447" spans="1:40" x14ac:dyDescent="0.25">
      <c r="A7447" t="str">
        <f>"20190304164307449"</f>
        <v>20190304164307449</v>
      </c>
      <c r="B7447" t="str">
        <f>"1551688987438553"</f>
        <v>1551688987438553</v>
      </c>
      <c r="C7447" t="s">
        <v>40</v>
      </c>
      <c r="D7447">
        <v>4.404712</v>
      </c>
      <c r="E7447">
        <v>0.53242900000000004</v>
      </c>
      <c r="F7447" t="s">
        <v>42</v>
      </c>
      <c r="G7447">
        <v>-187.90389999999999</v>
      </c>
      <c r="H7447" s="1">
        <v>-2.2487519999999999E-6</v>
      </c>
      <c r="I7447">
        <v>24.007950000000001</v>
      </c>
      <c r="J7447">
        <v>-187.1525</v>
      </c>
      <c r="K7447">
        <v>1.1097140000000001</v>
      </c>
      <c r="L7447">
        <v>12.983980000000001</v>
      </c>
      <c r="M7447">
        <v>2.0254339999999999E-2</v>
      </c>
      <c r="N7447">
        <v>-6.9430009999999999E-3</v>
      </c>
      <c r="O7447">
        <v>0.99977079999999996</v>
      </c>
      <c r="P7447">
        <v>-0.12365130000000001</v>
      </c>
      <c r="Q7447">
        <v>0.34303820000000002</v>
      </c>
      <c r="R7447">
        <v>0.93114719999999995</v>
      </c>
      <c r="S7447">
        <v>-0.21646119999999999</v>
      </c>
      <c r="T7447">
        <v>-0.32280229999999999</v>
      </c>
      <c r="U7447">
        <v>3.3114620000000001</v>
      </c>
      <c r="V7447">
        <v>-0.14264679999999999</v>
      </c>
      <c r="W7447">
        <v>0.34941070000000002</v>
      </c>
      <c r="X7447">
        <v>0.92604759999999997</v>
      </c>
      <c r="Y7447">
        <v>-8.5131830000000006E-2</v>
      </c>
      <c r="Z7447">
        <v>-8.9794959999999993E-2</v>
      </c>
      <c r="AA7447">
        <v>0.99231519999999995</v>
      </c>
      <c r="AB7447">
        <v>37</v>
      </c>
      <c r="AC7447">
        <v>-0.75139999999998897</v>
      </c>
      <c r="AD7447">
        <v>-1.10971624875199</v>
      </c>
      <c r="AE7447">
        <v>11.02397</v>
      </c>
      <c r="AF7447">
        <v>-0.96480309806456399</v>
      </c>
      <c r="AG7447">
        <v>-1.10971624875199</v>
      </c>
      <c r="AH7447">
        <v>10.8965820096437</v>
      </c>
      <c r="AI7447">
        <v>95.792491587498006</v>
      </c>
      <c r="AJ7447">
        <v>95.059877016258497</v>
      </c>
      <c r="AK7447">
        <v>10.995354230931801</v>
      </c>
      <c r="AL7447">
        <v>69.548725976711907</v>
      </c>
      <c r="AM7447">
        <v>98.756916687879794</v>
      </c>
      <c r="AN7447">
        <v>1.0000000521452399</v>
      </c>
    </row>
    <row r="7448" spans="1:40" x14ac:dyDescent="0.25">
      <c r="A7448" t="str">
        <f>"20190304164307469"</f>
        <v>20190304164307469</v>
      </c>
      <c r="B7448" t="str">
        <f>"1551688987458072"</f>
        <v>1551688987458072</v>
      </c>
      <c r="C7448" t="s">
        <v>40</v>
      </c>
      <c r="D7448">
        <v>4.4182540000000001</v>
      </c>
      <c r="E7448">
        <v>0.53270479999999998</v>
      </c>
      <c r="F7448" t="s">
        <v>42</v>
      </c>
      <c r="G7448">
        <v>-187.88489999999999</v>
      </c>
      <c r="H7448" s="1">
        <v>-2.3163880000000001E-6</v>
      </c>
      <c r="I7448">
        <v>24.157789999999999</v>
      </c>
      <c r="J7448">
        <v>-187.1456</v>
      </c>
      <c r="K7448">
        <v>1.1097189999999999</v>
      </c>
      <c r="L7448">
        <v>13.335660000000001</v>
      </c>
      <c r="M7448">
        <v>2.0064490000000001E-2</v>
      </c>
      <c r="N7448">
        <v>-6.9544589999999996E-3</v>
      </c>
      <c r="O7448">
        <v>0.99977450000000001</v>
      </c>
      <c r="P7448">
        <v>-0.12521669999999999</v>
      </c>
      <c r="Q7448">
        <v>0.34370869999999998</v>
      </c>
      <c r="R7448">
        <v>0.93069060000000003</v>
      </c>
      <c r="S7448">
        <v>-0.2172394</v>
      </c>
      <c r="T7448">
        <v>-0.32915040000000001</v>
      </c>
      <c r="U7448">
        <v>3.3142399999999999</v>
      </c>
      <c r="V7448">
        <v>-0.1440266</v>
      </c>
      <c r="W7448">
        <v>0.35008790000000001</v>
      </c>
      <c r="X7448">
        <v>0.92557809999999996</v>
      </c>
      <c r="Y7448">
        <v>-8.5109249999999997E-2</v>
      </c>
      <c r="Z7448">
        <v>-9.1586550000000003E-2</v>
      </c>
      <c r="AA7448">
        <v>0.99215330000000002</v>
      </c>
      <c r="AB7448">
        <v>37</v>
      </c>
      <c r="AC7448">
        <v>-0.73929999999998497</v>
      </c>
      <c r="AD7448">
        <v>-1.109721316388</v>
      </c>
      <c r="AE7448">
        <v>10.8221299999999</v>
      </c>
      <c r="AF7448">
        <v>-0.94639200360003195</v>
      </c>
      <c r="AG7448">
        <v>-1.109721316388</v>
      </c>
      <c r="AH7448">
        <v>10.6932022808867</v>
      </c>
      <c r="AI7448">
        <v>95.9019377817269</v>
      </c>
      <c r="AJ7448">
        <v>95.057731892587896</v>
      </c>
      <c r="AK7448">
        <v>10.7922061805955</v>
      </c>
      <c r="AL7448">
        <v>69.507308633291501</v>
      </c>
      <c r="AM7448">
        <v>98.844702638556001</v>
      </c>
      <c r="AN7448">
        <v>1.00000000921679</v>
      </c>
    </row>
    <row r="7449" spans="1:40" x14ac:dyDescent="0.25">
      <c r="A7449" t="str">
        <f>"20190304164307493"</f>
        <v>20190304164307493</v>
      </c>
      <c r="B7449" t="str">
        <f>"1551688987488329"</f>
        <v>1551688987488329</v>
      </c>
      <c r="C7449" t="s">
        <v>40</v>
      </c>
      <c r="D7449">
        <v>4.425357</v>
      </c>
      <c r="E7449">
        <v>0.53312760000000003</v>
      </c>
      <c r="F7449" t="s">
        <v>42</v>
      </c>
      <c r="G7449">
        <v>-187.8837</v>
      </c>
      <c r="H7449" s="1">
        <v>-2.436081E-6</v>
      </c>
      <c r="I7449">
        <v>24.43628</v>
      </c>
      <c r="J7449">
        <v>-187.1379</v>
      </c>
      <c r="K7449">
        <v>1.109721</v>
      </c>
      <c r="L7449">
        <v>13.72626</v>
      </c>
      <c r="M7449">
        <v>1.9853490000000001E-2</v>
      </c>
      <c r="N7449">
        <v>-6.9677740000000004E-3</v>
      </c>
      <c r="O7449">
        <v>0.99977859999999996</v>
      </c>
      <c r="P7449">
        <v>-0.1268012</v>
      </c>
      <c r="Q7449">
        <v>0.34404079999999998</v>
      </c>
      <c r="R7449">
        <v>0.9303534</v>
      </c>
      <c r="S7449">
        <v>-0.2205048</v>
      </c>
      <c r="T7449">
        <v>-0.33151760000000002</v>
      </c>
      <c r="U7449">
        <v>3.3161930000000002</v>
      </c>
      <c r="V7449">
        <v>-0.1454088</v>
      </c>
      <c r="W7449">
        <v>0.3504295</v>
      </c>
      <c r="X7449">
        <v>0.92523259999999996</v>
      </c>
      <c r="Y7449">
        <v>-8.5829150000000007E-2</v>
      </c>
      <c r="Z7449">
        <v>-9.2211840000000003E-2</v>
      </c>
      <c r="AA7449">
        <v>0.99203339999999995</v>
      </c>
      <c r="AB7449">
        <v>38</v>
      </c>
      <c r="AC7449">
        <v>-0.74580000000000202</v>
      </c>
      <c r="AD7449">
        <v>-1.109723436081</v>
      </c>
      <c r="AE7449">
        <v>10.71002</v>
      </c>
      <c r="AF7449">
        <v>-0.94815897478210798</v>
      </c>
      <c r="AG7449">
        <v>-1.109723436081</v>
      </c>
      <c r="AH7449">
        <v>10.580060792174301</v>
      </c>
      <c r="AI7449">
        <v>95.964028285229205</v>
      </c>
      <c r="AJ7449">
        <v>95.121026295143196</v>
      </c>
      <c r="AK7449">
        <v>10.680270498079601</v>
      </c>
      <c r="AL7449">
        <v>69.486411620567907</v>
      </c>
      <c r="AM7449">
        <v>98.9315029889339</v>
      </c>
      <c r="AN7449">
        <v>0.99999995884522397</v>
      </c>
    </row>
    <row r="7450" spans="1:40" x14ac:dyDescent="0.25">
      <c r="A7450" t="str">
        <f>"20190304164307515"</f>
        <v>20190304164307515</v>
      </c>
      <c r="B7450" t="str">
        <f>"1551688987508824"</f>
        <v>1551688987508824</v>
      </c>
      <c r="C7450" t="s">
        <v>40</v>
      </c>
      <c r="D7450">
        <v>4.4371799999999997</v>
      </c>
      <c r="E7450">
        <v>0.5333291</v>
      </c>
      <c r="F7450" t="s">
        <v>42</v>
      </c>
      <c r="G7450">
        <v>-187.87180000000001</v>
      </c>
      <c r="H7450" s="1">
        <v>-2.5306540000000002E-6</v>
      </c>
      <c r="I7450">
        <v>24.651800000000001</v>
      </c>
      <c r="J7450">
        <v>-187.13059999999999</v>
      </c>
      <c r="K7450">
        <v>1.109721</v>
      </c>
      <c r="L7450">
        <v>14.104609999999999</v>
      </c>
      <c r="M7450">
        <v>1.9649E-2</v>
      </c>
      <c r="N7450">
        <v>-6.9812269999999996E-3</v>
      </c>
      <c r="O7450">
        <v>0.99978259999999997</v>
      </c>
      <c r="P7450">
        <v>-0.1280519</v>
      </c>
      <c r="Q7450">
        <v>0.34385320000000003</v>
      </c>
      <c r="R7450">
        <v>0.93025139999999995</v>
      </c>
      <c r="S7450">
        <v>-0.22291559999999999</v>
      </c>
      <c r="T7450">
        <v>-0.33710040000000002</v>
      </c>
      <c r="U7450">
        <v>3.318848</v>
      </c>
      <c r="V7450">
        <v>-0.14646770000000001</v>
      </c>
      <c r="W7450">
        <v>0.35025269999999997</v>
      </c>
      <c r="X7450">
        <v>0.92513259999999997</v>
      </c>
      <c r="Y7450">
        <v>-8.6279800000000004E-2</v>
      </c>
      <c r="Z7450">
        <v>-9.376893E-2</v>
      </c>
      <c r="AA7450">
        <v>0.99184830000000002</v>
      </c>
      <c r="AB7450">
        <v>38</v>
      </c>
      <c r="AC7450">
        <v>-0.74120000000001995</v>
      </c>
      <c r="AD7450">
        <v>-1.1097235306540001</v>
      </c>
      <c r="AE7450">
        <v>10.547189999999899</v>
      </c>
      <c r="AF7450">
        <v>-0.93797116154178695</v>
      </c>
      <c r="AG7450">
        <v>-1.1097235306540001</v>
      </c>
      <c r="AH7450">
        <v>10.4158504043286</v>
      </c>
      <c r="AI7450">
        <v>96.057127667586002</v>
      </c>
      <c r="AJ7450">
        <v>95.145736360430405</v>
      </c>
      <c r="AK7450">
        <v>10.516711266347601</v>
      </c>
      <c r="AL7450">
        <v>69.497228584445693</v>
      </c>
      <c r="AM7450">
        <v>98.9964408606521</v>
      </c>
      <c r="AN7450">
        <v>1.00000003429166</v>
      </c>
    </row>
    <row r="7451" spans="1:40" x14ac:dyDescent="0.25">
      <c r="A7451" t="str">
        <f>"20190304164307538"</f>
        <v>20190304164307538</v>
      </c>
      <c r="B7451" t="str">
        <f>"1551688987528344"</f>
        <v>1551688987528344</v>
      </c>
      <c r="C7451" t="s">
        <v>40</v>
      </c>
      <c r="D7451">
        <v>4.4252060000000002</v>
      </c>
      <c r="E7451">
        <v>0.53348680000000004</v>
      </c>
      <c r="F7451" t="s">
        <v>42</v>
      </c>
      <c r="G7451">
        <v>-187.86680000000001</v>
      </c>
      <c r="H7451" s="1">
        <v>-2.639067E-6</v>
      </c>
      <c r="I7451">
        <v>24.902450000000002</v>
      </c>
      <c r="J7451">
        <v>-187.1232</v>
      </c>
      <c r="K7451">
        <v>1.109718</v>
      </c>
      <c r="L7451">
        <v>14.4904799999999</v>
      </c>
      <c r="M7451">
        <v>1.9440450000000001E-2</v>
      </c>
      <c r="N7451">
        <v>-6.9954129999999998E-3</v>
      </c>
      <c r="O7451">
        <v>0.99978659999999997</v>
      </c>
      <c r="P7451">
        <v>-0.12962989999999999</v>
      </c>
      <c r="Q7451">
        <v>0.34427489999999999</v>
      </c>
      <c r="R7451">
        <v>0.92987679999999995</v>
      </c>
      <c r="S7451">
        <v>-0.22634889999999999</v>
      </c>
      <c r="T7451">
        <v>-0.34119389999999999</v>
      </c>
      <c r="U7451">
        <v>3.3198850000000002</v>
      </c>
      <c r="V7451">
        <v>-0.14784530000000001</v>
      </c>
      <c r="W7451">
        <v>0.35068460000000001</v>
      </c>
      <c r="X7451">
        <v>0.92474979999999996</v>
      </c>
      <c r="Y7451">
        <v>-8.7064059999999999E-2</v>
      </c>
      <c r="Z7451">
        <v>-9.4928180000000001E-2</v>
      </c>
      <c r="AA7451">
        <v>0.99166949999999998</v>
      </c>
      <c r="AB7451">
        <v>38</v>
      </c>
      <c r="AC7451">
        <v>-0.74360000000001403</v>
      </c>
      <c r="AD7451">
        <v>-1.109720639067</v>
      </c>
      <c r="AE7451">
        <v>10.41197</v>
      </c>
      <c r="AF7451">
        <v>-0.93530702855799297</v>
      </c>
      <c r="AG7451">
        <v>-1.109720639067</v>
      </c>
      <c r="AH7451">
        <v>10.2793693881318</v>
      </c>
      <c r="AI7451">
        <v>96.136411613548702</v>
      </c>
      <c r="AJ7451">
        <v>95.198955909917899</v>
      </c>
      <c r="AK7451">
        <v>10.381315627226799</v>
      </c>
      <c r="AL7451">
        <v>69.470807204107999</v>
      </c>
      <c r="AM7451">
        <v>99.083349508924798</v>
      </c>
      <c r="AN7451">
        <v>1.0000000570046399</v>
      </c>
    </row>
    <row r="7452" spans="1:40" x14ac:dyDescent="0.25">
      <c r="A7452" t="str">
        <f>"20190304164307559"</f>
        <v>20190304164307559</v>
      </c>
      <c r="B7452" t="str">
        <f>"1551688987548841"</f>
        <v>1551688987548841</v>
      </c>
      <c r="C7452" t="s">
        <v>40</v>
      </c>
      <c r="D7452">
        <v>4.4142849999999996</v>
      </c>
      <c r="E7452">
        <v>0.53367200000000004</v>
      </c>
      <c r="F7452" t="s">
        <v>42</v>
      </c>
      <c r="G7452">
        <v>-187.87209999999999</v>
      </c>
      <c r="H7452" s="1">
        <v>-2.7821539999999998E-6</v>
      </c>
      <c r="I7452">
        <v>25.23818</v>
      </c>
      <c r="J7452">
        <v>-187.1164</v>
      </c>
      <c r="K7452">
        <v>1.109721</v>
      </c>
      <c r="L7452">
        <v>14.847049999999999</v>
      </c>
      <c r="M7452">
        <v>1.92471E-2</v>
      </c>
      <c r="N7452">
        <v>-7.0089019999999896E-3</v>
      </c>
      <c r="O7452">
        <v>0.99979019999999996</v>
      </c>
      <c r="P7452">
        <v>-0.13134460000000001</v>
      </c>
      <c r="Q7452">
        <v>0.34420610000000001</v>
      </c>
      <c r="R7452">
        <v>0.92966159999999998</v>
      </c>
      <c r="S7452">
        <v>-0.23139950000000001</v>
      </c>
      <c r="T7452">
        <v>-0.34289160000000002</v>
      </c>
      <c r="U7452">
        <v>3.3209230000000001</v>
      </c>
      <c r="V7452">
        <v>-0.14937700000000001</v>
      </c>
      <c r="W7452">
        <v>0.35062559999999998</v>
      </c>
      <c r="X7452">
        <v>0.92452590000000001</v>
      </c>
      <c r="Y7452">
        <v>-8.8347690000000006E-2</v>
      </c>
      <c r="Z7452">
        <v>-9.5374570000000006E-2</v>
      </c>
      <c r="AA7452">
        <v>0.99151319999999998</v>
      </c>
      <c r="AB7452">
        <v>38</v>
      </c>
      <c r="AC7452">
        <v>-0.75569999999999005</v>
      </c>
      <c r="AD7452">
        <v>-1.109723782154</v>
      </c>
      <c r="AE7452">
        <v>10.39113</v>
      </c>
      <c r="AF7452">
        <v>-0.94484455548234803</v>
      </c>
      <c r="AG7452">
        <v>-1.109723782154</v>
      </c>
      <c r="AH7452">
        <v>10.2582771225914</v>
      </c>
      <c r="AI7452">
        <v>96.148330898111197</v>
      </c>
      <c r="AJ7452">
        <v>95.2624133524466</v>
      </c>
      <c r="AK7452">
        <v>10.361296619177701</v>
      </c>
      <c r="AL7452">
        <v>69.474414976439405</v>
      </c>
      <c r="AM7452">
        <v>99.178045953534394</v>
      </c>
      <c r="AN7452">
        <v>0.99999996963758397</v>
      </c>
    </row>
    <row r="7453" spans="1:40" x14ac:dyDescent="0.25">
      <c r="A7453" t="str">
        <f>"20190304164307584"</f>
        <v>20190304164307584</v>
      </c>
      <c r="B7453" t="str">
        <f>"1551688987578121"</f>
        <v>1551688987578121</v>
      </c>
      <c r="C7453" t="s">
        <v>40</v>
      </c>
      <c r="D7453">
        <v>4.3556679999999997</v>
      </c>
      <c r="E7453">
        <v>0.54480479999999998</v>
      </c>
      <c r="F7453" t="s">
        <v>42</v>
      </c>
      <c r="G7453">
        <v>-187.87190000000001</v>
      </c>
      <c r="H7453" s="1">
        <v>-2.894983E-6</v>
      </c>
      <c r="I7453">
        <v>25.501110000000001</v>
      </c>
      <c r="J7453">
        <v>-187.1086</v>
      </c>
      <c r="K7453">
        <v>1.1097269999999999</v>
      </c>
      <c r="L7453">
        <v>15.265169999999999</v>
      </c>
      <c r="M7453">
        <v>1.9014099999999999E-2</v>
      </c>
      <c r="N7453">
        <v>-7.0253750000000004E-3</v>
      </c>
      <c r="O7453">
        <v>0.99979450000000003</v>
      </c>
      <c r="P7453">
        <v>-0.13279549999999901</v>
      </c>
      <c r="Q7453">
        <v>0.34519179999999999</v>
      </c>
      <c r="R7453">
        <v>0.92908979999999997</v>
      </c>
      <c r="S7453">
        <v>-0.23554990000000001</v>
      </c>
      <c r="T7453">
        <v>-0.34599839999999998</v>
      </c>
      <c r="U7453">
        <v>3.3218079999999999</v>
      </c>
      <c r="V7453">
        <v>-0.1506045</v>
      </c>
      <c r="W7453">
        <v>0.3516203</v>
      </c>
      <c r="X7453">
        <v>0.92394880000000001</v>
      </c>
      <c r="Y7453">
        <v>-8.9323299999999994E-2</v>
      </c>
      <c r="Z7453">
        <v>-9.6240829999999999E-2</v>
      </c>
      <c r="AA7453">
        <v>0.9913421</v>
      </c>
      <c r="AB7453">
        <v>38</v>
      </c>
      <c r="AC7453">
        <v>-0.76330000000001497</v>
      </c>
      <c r="AD7453">
        <v>-1.1097298949829999</v>
      </c>
      <c r="AE7453">
        <v>10.235939999999999</v>
      </c>
      <c r="AF7453">
        <v>-0.94672786233634099</v>
      </c>
      <c r="AG7453">
        <v>-1.1097298949829999</v>
      </c>
      <c r="AH7453">
        <v>10.101500932333799</v>
      </c>
      <c r="AI7453">
        <v>96.242117953941204</v>
      </c>
      <c r="AJ7453">
        <v>95.354206575855599</v>
      </c>
      <c r="AK7453">
        <v>10.2062782232841</v>
      </c>
      <c r="AL7453">
        <v>69.413547342828494</v>
      </c>
      <c r="AM7453">
        <v>99.257845980738793</v>
      </c>
      <c r="AN7453">
        <v>0.99999996790688905</v>
      </c>
    </row>
    <row r="7454" spans="1:40" x14ac:dyDescent="0.25">
      <c r="A7454" t="str">
        <f>"20190304164307606"</f>
        <v>20190304164307606</v>
      </c>
      <c r="B7454" t="str">
        <f>"1551688987598617"</f>
        <v>1551688987598617</v>
      </c>
      <c r="C7454" t="s">
        <v>40</v>
      </c>
      <c r="D7454">
        <v>4.3728579999999999</v>
      </c>
      <c r="E7454">
        <v>0.54604259999999905</v>
      </c>
      <c r="F7454" t="s">
        <v>42</v>
      </c>
      <c r="G7454">
        <v>-187.71440000000001</v>
      </c>
      <c r="H7454" s="1">
        <v>-4.3957390000000001E-6</v>
      </c>
      <c r="I7454">
        <v>28.934290000000001</v>
      </c>
      <c r="J7454">
        <v>-187.10159999999999</v>
      </c>
      <c r="K7454">
        <v>1.1097410000000001</v>
      </c>
      <c r="L7454">
        <v>15.64236</v>
      </c>
      <c r="M7454">
        <v>1.8790459999999998E-2</v>
      </c>
      <c r="N7454">
        <v>-7.0443809999999997E-3</v>
      </c>
      <c r="O7454">
        <v>0.99979870000000004</v>
      </c>
      <c r="P7454">
        <v>-0.13397629999999999</v>
      </c>
      <c r="Q7454">
        <v>0.3450259</v>
      </c>
      <c r="R7454">
        <v>0.92898199999999997</v>
      </c>
      <c r="S7454">
        <v>-0.1466064</v>
      </c>
      <c r="T7454">
        <v>-0.26854460000000002</v>
      </c>
      <c r="U7454">
        <v>3.3077999999999999</v>
      </c>
      <c r="V7454">
        <v>-0.15158250000000001</v>
      </c>
      <c r="W7454">
        <v>0.35146769999999999</v>
      </c>
      <c r="X7454">
        <v>0.92384699999999997</v>
      </c>
      <c r="Y7454">
        <v>-6.2902440000000004E-2</v>
      </c>
      <c r="Z7454">
        <v>-7.3751819999999996E-2</v>
      </c>
      <c r="AA7454">
        <v>0.99529089999999998</v>
      </c>
      <c r="AB7454">
        <v>38</v>
      </c>
      <c r="AC7454">
        <v>-0.61280000000002099</v>
      </c>
      <c r="AD7454">
        <v>-1.109745395739</v>
      </c>
      <c r="AE7454">
        <v>13.291929999999899</v>
      </c>
      <c r="AF7454">
        <v>-0.85650178454532999</v>
      </c>
      <c r="AG7454">
        <v>-1.109745395739</v>
      </c>
      <c r="AH7454">
        <v>13.1863461465448</v>
      </c>
      <c r="AI7454">
        <v>94.8005322404466</v>
      </c>
      <c r="AJ7454">
        <v>93.716351521773007</v>
      </c>
      <c r="AK7454">
        <v>13.2606506192868</v>
      </c>
      <c r="AL7454">
        <v>69.422888331919793</v>
      </c>
      <c r="AM7454">
        <v>99.317922606159001</v>
      </c>
      <c r="AN7454">
        <v>1.00000003892926</v>
      </c>
    </row>
    <row r="7455" spans="1:40" x14ac:dyDescent="0.25">
      <c r="A7455" t="str">
        <f>"20190304164307627"</f>
        <v>20190304164307627</v>
      </c>
      <c r="B7455" t="str">
        <f>"1551688987618137"</f>
        <v>1551688987618137</v>
      </c>
      <c r="C7455" t="s">
        <v>40</v>
      </c>
      <c r="D7455">
        <v>4.3484290000000003</v>
      </c>
      <c r="E7455">
        <v>0.54706369999999904</v>
      </c>
      <c r="F7455" t="s">
        <v>42</v>
      </c>
      <c r="G7455">
        <v>-187.70509999999999</v>
      </c>
      <c r="H7455" s="1">
        <v>-6.906934E-7</v>
      </c>
      <c r="I7455">
        <v>29.88336</v>
      </c>
      <c r="J7455">
        <v>-187.09469999999999</v>
      </c>
      <c r="K7455">
        <v>1.1097490000000001</v>
      </c>
      <c r="L7455">
        <v>16.018740000000001</v>
      </c>
      <c r="M7455">
        <v>1.8552320000000001E-2</v>
      </c>
      <c r="N7455">
        <v>-7.0676640000000004E-3</v>
      </c>
      <c r="O7455">
        <v>0.99980290000000005</v>
      </c>
      <c r="P7455">
        <v>-0.13506840000000001</v>
      </c>
      <c r="Q7455">
        <v>0.34509440000000002</v>
      </c>
      <c r="R7455">
        <v>0.92879840000000002</v>
      </c>
      <c r="S7455">
        <v>-0.14004520000000001</v>
      </c>
      <c r="T7455">
        <v>-0.25753019999999999</v>
      </c>
      <c r="U7455">
        <v>3.3048099999999998</v>
      </c>
      <c r="V7455">
        <v>-0.1524615</v>
      </c>
      <c r="W7455">
        <v>0.35155160000000002</v>
      </c>
      <c r="X7455">
        <v>0.9236704</v>
      </c>
      <c r="Y7455">
        <v>-6.074334E-2</v>
      </c>
      <c r="Z7455">
        <v>-7.0512930000000001E-2</v>
      </c>
      <c r="AA7455">
        <v>0.99565959999999998</v>
      </c>
      <c r="AB7455">
        <v>38</v>
      </c>
      <c r="AC7455">
        <v>-0.61039999999999806</v>
      </c>
      <c r="AD7455">
        <v>-1.1097496906933999</v>
      </c>
      <c r="AE7455">
        <v>13.864619999999899</v>
      </c>
      <c r="AF7455">
        <v>-0.862010279247723</v>
      </c>
      <c r="AG7455">
        <v>-1.1097496906933999</v>
      </c>
      <c r="AH7455">
        <v>13.7629048609768</v>
      </c>
      <c r="AI7455">
        <v>94.601002367452793</v>
      </c>
      <c r="AJ7455">
        <v>93.583917780463693</v>
      </c>
      <c r="AK7455">
        <v>13.834455403441799</v>
      </c>
      <c r="AL7455">
        <v>69.417753174157397</v>
      </c>
      <c r="AM7455">
        <v>99.372759704150994</v>
      </c>
      <c r="AN7455">
        <v>1.0000000221404799</v>
      </c>
    </row>
    <row r="7456" spans="1:40" x14ac:dyDescent="0.25">
      <c r="A7456" t="str">
        <f>"20190304164307650"</f>
        <v>20190304164307650</v>
      </c>
      <c r="B7456" t="str">
        <f>"1551688987638633"</f>
        <v>1551688987638633</v>
      </c>
      <c r="C7456" t="s">
        <v>40</v>
      </c>
      <c r="D7456">
        <v>4.3423569999999998</v>
      </c>
      <c r="E7456">
        <v>0.54759349999999996</v>
      </c>
      <c r="F7456" t="s">
        <v>42</v>
      </c>
      <c r="G7456">
        <v>-187.67949999999999</v>
      </c>
      <c r="H7456" s="1">
        <v>-8.4506119999999898E-7</v>
      </c>
      <c r="I7456">
        <v>30.316960000000002</v>
      </c>
      <c r="J7456">
        <v>-187.08799999999999</v>
      </c>
      <c r="K7456">
        <v>1.1097629999999901</v>
      </c>
      <c r="L7456">
        <v>16.393039999999999</v>
      </c>
      <c r="M7456">
        <v>1.8285679999999999E-2</v>
      </c>
      <c r="N7456">
        <v>-7.0971269999999999E-3</v>
      </c>
      <c r="O7456">
        <v>0.99980760000000002</v>
      </c>
      <c r="P7456">
        <v>-0.13556499999999999</v>
      </c>
      <c r="Q7456">
        <v>0.34476289999999998</v>
      </c>
      <c r="R7456">
        <v>0.92884920000000004</v>
      </c>
      <c r="S7456">
        <v>-0.13519289999999901</v>
      </c>
      <c r="T7456">
        <v>-0.25656509999999999</v>
      </c>
      <c r="U7456">
        <v>3.3056339999999902</v>
      </c>
      <c r="V7456">
        <v>-0.152729799999999</v>
      </c>
      <c r="W7456">
        <v>0.35124</v>
      </c>
      <c r="X7456">
        <v>0.92374460000000003</v>
      </c>
      <c r="Y7456">
        <v>-5.9009039999999999E-2</v>
      </c>
      <c r="Z7456">
        <v>-7.0182380000000003E-2</v>
      </c>
      <c r="AA7456">
        <v>0.99578730000000004</v>
      </c>
      <c r="AB7456">
        <v>38</v>
      </c>
      <c r="AC7456">
        <v>-0.59149999999999603</v>
      </c>
      <c r="AD7456">
        <v>-1.10976384506119</v>
      </c>
      <c r="AE7456">
        <v>13.923920000000001</v>
      </c>
      <c r="AF7456">
        <v>-0.84068510803961605</v>
      </c>
      <c r="AG7456">
        <v>-1.10976384506119</v>
      </c>
      <c r="AH7456">
        <v>13.8231237058066</v>
      </c>
      <c r="AI7456">
        <v>94.581611599061503</v>
      </c>
      <c r="AJ7456">
        <v>93.480288130230093</v>
      </c>
      <c r="AK7456">
        <v>13.893058562775799</v>
      </c>
      <c r="AL7456">
        <v>69.436822346895397</v>
      </c>
      <c r="AM7456">
        <v>99.388219593526898</v>
      </c>
      <c r="AN7456">
        <v>1.0000000077186</v>
      </c>
    </row>
    <row r="7457" spans="1:40" x14ac:dyDescent="0.25">
      <c r="A7457" t="str">
        <f>"20190304164307670"</f>
        <v>20190304164307670</v>
      </c>
      <c r="B7457" t="str">
        <f>"1551688987658153"</f>
        <v>1551688987658153</v>
      </c>
      <c r="C7457" t="s">
        <v>40</v>
      </c>
      <c r="D7457">
        <v>4.3328280000000001</v>
      </c>
      <c r="E7457">
        <v>0.54793819999999904</v>
      </c>
      <c r="F7457" t="s">
        <v>42</v>
      </c>
      <c r="G7457">
        <v>-187.65639999999999</v>
      </c>
      <c r="H7457" s="1">
        <v>-9.7582139999999996E-7</v>
      </c>
      <c r="I7457">
        <v>30.68317</v>
      </c>
      <c r="J7457">
        <v>-187.08179999999999</v>
      </c>
      <c r="K7457">
        <v>1.1097950000000001</v>
      </c>
      <c r="L7457">
        <v>16.744109999999999</v>
      </c>
      <c r="M7457">
        <v>1.7987489999999998E-2</v>
      </c>
      <c r="N7457">
        <v>-7.1308379999999996E-3</v>
      </c>
      <c r="O7457">
        <v>0.99981279999999995</v>
      </c>
      <c r="P7457">
        <v>-0.1353453</v>
      </c>
      <c r="Q7457">
        <v>0.34538750000000001</v>
      </c>
      <c r="R7457">
        <v>0.92864910000000001</v>
      </c>
      <c r="S7457">
        <v>-0.13150020000000001</v>
      </c>
      <c r="T7457">
        <v>-0.25673499999999999</v>
      </c>
      <c r="U7457">
        <v>3.3059080000000001</v>
      </c>
      <c r="V7457">
        <v>-0.1522589</v>
      </c>
      <c r="W7457">
        <v>0.3518828</v>
      </c>
      <c r="X7457">
        <v>0.92357769999999995</v>
      </c>
      <c r="Y7457">
        <v>-5.7597710000000003E-2</v>
      </c>
      <c r="Z7457">
        <v>-7.0198899999999995E-2</v>
      </c>
      <c r="AA7457">
        <v>0.9958688</v>
      </c>
      <c r="AB7457">
        <v>38</v>
      </c>
      <c r="AC7457">
        <v>-0.574600000000003</v>
      </c>
      <c r="AD7457">
        <v>-1.10979597582139</v>
      </c>
      <c r="AE7457">
        <v>13.93906</v>
      </c>
      <c r="AF7457">
        <v>-0.82005262685178104</v>
      </c>
      <c r="AG7457">
        <v>-1.10979597582139</v>
      </c>
      <c r="AH7457">
        <v>13.8388931998141</v>
      </c>
      <c r="AI7457">
        <v>94.5769703062291</v>
      </c>
      <c r="AJ7457">
        <v>93.391215924293206</v>
      </c>
      <c r="AK7457">
        <v>13.907519491793501</v>
      </c>
      <c r="AL7457">
        <v>69.397481598744804</v>
      </c>
      <c r="AM7457">
        <v>99.361448091510397</v>
      </c>
      <c r="AN7457">
        <v>1.0000000227511601</v>
      </c>
    </row>
    <row r="7458" spans="1:40" x14ac:dyDescent="0.25">
      <c r="A7458" t="str">
        <f>"20190304164307694"</f>
        <v>20190304164307694</v>
      </c>
      <c r="B7458" t="str">
        <f>"1551688987688409"</f>
        <v>1551688987688409</v>
      </c>
      <c r="C7458" t="s">
        <v>40</v>
      </c>
      <c r="D7458">
        <v>4.3178530000000004</v>
      </c>
      <c r="E7458">
        <v>0.54839649999999995</v>
      </c>
      <c r="F7458" t="s">
        <v>42</v>
      </c>
      <c r="G7458">
        <v>-187.63290000000001</v>
      </c>
      <c r="H7458" s="1">
        <v>-1.1496209999999999E-6</v>
      </c>
      <c r="I7458">
        <v>31.17548</v>
      </c>
      <c r="J7458">
        <v>-187.07490000000001</v>
      </c>
      <c r="K7458">
        <v>1.109856</v>
      </c>
      <c r="L7458">
        <v>17.14771</v>
      </c>
      <c r="M7458">
        <v>1.755665E-2</v>
      </c>
      <c r="N7458">
        <v>-7.1734490000000001E-3</v>
      </c>
      <c r="O7458">
        <v>0.99982009999999999</v>
      </c>
      <c r="P7458">
        <v>-0.13442850000000001</v>
      </c>
      <c r="Q7458">
        <v>0.34585529999999998</v>
      </c>
      <c r="R7458">
        <v>0.92860810000000005</v>
      </c>
      <c r="S7458">
        <v>-0.1262665</v>
      </c>
      <c r="T7458">
        <v>-0.25428840000000003</v>
      </c>
      <c r="U7458">
        <v>3.3066710000000001</v>
      </c>
      <c r="V7458">
        <v>-0.15099570000000001</v>
      </c>
      <c r="W7458">
        <v>0.35236840000000003</v>
      </c>
      <c r="X7458">
        <v>0.92359999999999998</v>
      </c>
      <c r="Y7458">
        <v>-5.5587159999999997E-2</v>
      </c>
      <c r="Z7458">
        <v>-6.9413790000000003E-2</v>
      </c>
      <c r="AA7458">
        <v>0.99603799999999998</v>
      </c>
      <c r="AB7458">
        <v>38</v>
      </c>
      <c r="AC7458">
        <v>-0.55799999999999195</v>
      </c>
      <c r="AD7458">
        <v>-1.1098571496209999</v>
      </c>
      <c r="AE7458">
        <v>14.02777</v>
      </c>
      <c r="AF7458">
        <v>-0.79920605961120605</v>
      </c>
      <c r="AG7458">
        <v>-1.1098571496209999</v>
      </c>
      <c r="AH7458">
        <v>13.9287581466118</v>
      </c>
      <c r="AI7458">
        <v>94.548309277886005</v>
      </c>
      <c r="AJ7458">
        <v>93.283923863246997</v>
      </c>
      <c r="AK7458">
        <v>13.9957428071928</v>
      </c>
      <c r="AL7458">
        <v>69.367755987422697</v>
      </c>
      <c r="AM7458">
        <v>99.284919705446598</v>
      </c>
      <c r="AN7458">
        <v>1.0000000753685201</v>
      </c>
    </row>
    <row r="7459" spans="1:40" x14ac:dyDescent="0.25">
      <c r="A7459" t="str">
        <f>"20190304164307716"</f>
        <v>20190304164307716</v>
      </c>
      <c r="B7459" t="str">
        <f>"1551688987708905"</f>
        <v>1551688987708905</v>
      </c>
      <c r="C7459" t="s">
        <v>40</v>
      </c>
      <c r="D7459">
        <v>4.2840420000000003</v>
      </c>
      <c r="E7459">
        <v>0.54857119999999904</v>
      </c>
      <c r="F7459" t="s">
        <v>42</v>
      </c>
      <c r="G7459">
        <v>-187.5889</v>
      </c>
      <c r="H7459" s="1">
        <v>-1.2424679999999999E-6</v>
      </c>
      <c r="I7459">
        <v>31.41394</v>
      </c>
      <c r="J7459">
        <v>-187.0685</v>
      </c>
      <c r="K7459">
        <v>1.109955</v>
      </c>
      <c r="L7459">
        <v>17.540040000000001</v>
      </c>
      <c r="M7459">
        <v>1.7023119999999999E-2</v>
      </c>
      <c r="N7459">
        <v>-7.215445E-3</v>
      </c>
      <c r="O7459">
        <v>0.99982910000000003</v>
      </c>
      <c r="P7459">
        <v>-0.13324049999999901</v>
      </c>
      <c r="Q7459">
        <v>0.34658549999999999</v>
      </c>
      <c r="R7459">
        <v>0.92850710000000003</v>
      </c>
      <c r="S7459">
        <v>-0.119232199999999</v>
      </c>
      <c r="T7459">
        <v>-0.25744800000000001</v>
      </c>
      <c r="U7459">
        <v>3.3092649999999999</v>
      </c>
      <c r="V7459">
        <v>-0.14938489999999999</v>
      </c>
      <c r="W7459">
        <v>0.35310770000000002</v>
      </c>
      <c r="X7459">
        <v>0.9235795</v>
      </c>
      <c r="Y7459">
        <v>-5.2908480000000001E-2</v>
      </c>
      <c r="Z7459">
        <v>-7.0267640000000006E-2</v>
      </c>
      <c r="AA7459">
        <v>0.99612409999999996</v>
      </c>
      <c r="AB7459">
        <v>38</v>
      </c>
      <c r="AC7459">
        <v>-0.52039999999999498</v>
      </c>
      <c r="AD7459">
        <v>-1.1099562424680001</v>
      </c>
      <c r="AE7459">
        <v>13.873900000000001</v>
      </c>
      <c r="AF7459">
        <v>-0.75170326693595502</v>
      </c>
      <c r="AG7459">
        <v>-1.1099562424680001</v>
      </c>
      <c r="AH7459">
        <v>13.7749873768327</v>
      </c>
      <c r="AI7459">
        <v>94.599992085877503</v>
      </c>
      <c r="AJ7459">
        <v>93.1235417869282</v>
      </c>
      <c r="AK7459">
        <v>13.8400627850316</v>
      </c>
      <c r="AL7459">
        <v>69.322485704810006</v>
      </c>
      <c r="AM7459">
        <v>99.187768071020002</v>
      </c>
      <c r="AN7459">
        <v>0.99999999448377497</v>
      </c>
    </row>
    <row r="7460" spans="1:40" x14ac:dyDescent="0.25">
      <c r="A7460" t="str">
        <f>"20190304164307739"</f>
        <v>20190304164307739</v>
      </c>
      <c r="B7460" t="str">
        <f>"1551688987728425"</f>
        <v>1551688987728425</v>
      </c>
      <c r="C7460" t="s">
        <v>40</v>
      </c>
      <c r="D7460">
        <v>4.2960029999999998</v>
      </c>
      <c r="E7460">
        <v>0.54870830000000004</v>
      </c>
      <c r="F7460" t="s">
        <v>42</v>
      </c>
      <c r="G7460">
        <v>-187.56639999999999</v>
      </c>
      <c r="H7460" s="1">
        <v>-1.4557830000000001E-6</v>
      </c>
      <c r="I7460">
        <v>32.019970000000001</v>
      </c>
      <c r="J7460">
        <v>-187.0624</v>
      </c>
      <c r="K7460">
        <v>1.110069</v>
      </c>
      <c r="L7460">
        <v>17.925629999999899</v>
      </c>
      <c r="M7460">
        <v>1.6370559999999999E-2</v>
      </c>
      <c r="N7460">
        <v>-7.2558659999999997E-3</v>
      </c>
      <c r="O7460">
        <v>0.9998397</v>
      </c>
      <c r="P7460">
        <v>-0.13318940000000001</v>
      </c>
      <c r="Q7460">
        <v>0.34657690000000002</v>
      </c>
      <c r="R7460">
        <v>0.9285177</v>
      </c>
      <c r="S7460">
        <v>-0.1138</v>
      </c>
      <c r="T7460">
        <v>-0.25367810000000002</v>
      </c>
      <c r="U7460">
        <v>3.3093569999999999</v>
      </c>
      <c r="V7460">
        <v>-0.14881810000000001</v>
      </c>
      <c r="W7460">
        <v>0.353101</v>
      </c>
      <c r="X7460">
        <v>0.92367359999999998</v>
      </c>
      <c r="Y7460">
        <v>-5.0626160000000003E-2</v>
      </c>
      <c r="Z7460">
        <v>-6.9105079999999999E-2</v>
      </c>
      <c r="AA7460">
        <v>0.99632399999999999</v>
      </c>
      <c r="AB7460">
        <v>39</v>
      </c>
      <c r="AC7460">
        <v>-0.50399999999999001</v>
      </c>
      <c r="AD7460">
        <v>-1.1100704557829999</v>
      </c>
      <c r="AE7460">
        <v>14.094340000000001</v>
      </c>
      <c r="AF7460">
        <v>-0.73014733962251599</v>
      </c>
      <c r="AG7460">
        <v>-1.1100704557829999</v>
      </c>
      <c r="AH7460">
        <v>13.9974827248264</v>
      </c>
      <c r="AI7460">
        <v>94.528221403762302</v>
      </c>
      <c r="AJ7460">
        <v>92.985999733757893</v>
      </c>
      <c r="AK7460">
        <v>14.0604016367305</v>
      </c>
      <c r="AL7460">
        <v>69.322896811475601</v>
      </c>
      <c r="AM7460">
        <v>99.152582102290907</v>
      </c>
      <c r="AN7460">
        <v>1.0000000312127799</v>
      </c>
    </row>
    <row r="7461" spans="1:40" x14ac:dyDescent="0.25">
      <c r="A7461" t="str">
        <f>"20190304164307760"</f>
        <v>20190304164307760</v>
      </c>
      <c r="B7461" t="str">
        <f>"1551688987748921"</f>
        <v>1551688987748921</v>
      </c>
      <c r="C7461" t="s">
        <v>40</v>
      </c>
      <c r="D7461">
        <v>4.2896400000000003</v>
      </c>
      <c r="E7461">
        <v>0.54882350000000002</v>
      </c>
      <c r="F7461" t="s">
        <v>42</v>
      </c>
      <c r="G7461">
        <v>-187.54910000000001</v>
      </c>
      <c r="H7461" s="1">
        <v>-1.6253510000000001E-6</v>
      </c>
      <c r="I7461">
        <v>32.408090000000001</v>
      </c>
      <c r="J7461">
        <v>-187.05690000000001</v>
      </c>
      <c r="K7461">
        <v>1.1101799999999999</v>
      </c>
      <c r="L7461">
        <v>18.300750000000001</v>
      </c>
      <c r="M7461">
        <v>1.560751E-2</v>
      </c>
      <c r="N7461">
        <v>-7.293941E-3</v>
      </c>
      <c r="O7461">
        <v>0.99985159999999995</v>
      </c>
      <c r="P7461">
        <v>-0.13371150000000001</v>
      </c>
      <c r="Q7461">
        <v>0.34610999999999997</v>
      </c>
      <c r="R7461">
        <v>0.92861680000000002</v>
      </c>
      <c r="S7461">
        <v>-0.1112213</v>
      </c>
      <c r="T7461">
        <v>-0.25368560000000001</v>
      </c>
      <c r="U7461">
        <v>3.3096920000000001</v>
      </c>
      <c r="V7461">
        <v>-0.14873</v>
      </c>
      <c r="W7461">
        <v>0.35263030000000001</v>
      </c>
      <c r="X7461">
        <v>0.92386760000000001</v>
      </c>
      <c r="Y7461">
        <v>-4.9085530000000002E-2</v>
      </c>
      <c r="Z7461">
        <v>-6.9067110000000001E-2</v>
      </c>
      <c r="AA7461">
        <v>0.9964037</v>
      </c>
      <c r="AB7461">
        <v>39</v>
      </c>
      <c r="AC7461">
        <v>-0.49219999999999597</v>
      </c>
      <c r="AD7461">
        <v>-1.110181625351</v>
      </c>
      <c r="AE7461">
        <v>14.107339999999899</v>
      </c>
      <c r="AF7461">
        <v>-0.70794739524263295</v>
      </c>
      <c r="AG7461">
        <v>-1.110181625351</v>
      </c>
      <c r="AH7461">
        <v>14.0112736826946</v>
      </c>
      <c r="AI7461">
        <v>94.524611481444893</v>
      </c>
      <c r="AJ7461">
        <v>92.892523069911206</v>
      </c>
      <c r="AK7461">
        <v>14.073005470299099</v>
      </c>
      <c r="AL7461">
        <v>69.351720245551505</v>
      </c>
      <c r="AM7461">
        <v>99.145367078763798</v>
      </c>
      <c r="AN7461">
        <v>1.0000000418539201</v>
      </c>
    </row>
    <row r="7462" spans="1:40" x14ac:dyDescent="0.25">
      <c r="A7462" t="str">
        <f>"20190304164307785"</f>
        <v>20190304164307785</v>
      </c>
      <c r="B7462" t="str">
        <f>"1551688987778200"</f>
        <v>1551688987778200</v>
      </c>
      <c r="C7462" t="s">
        <v>40</v>
      </c>
      <c r="D7462">
        <v>4.2588520000000001</v>
      </c>
      <c r="E7462">
        <v>0.54898230000000003</v>
      </c>
      <c r="F7462" t="s">
        <v>42</v>
      </c>
      <c r="G7462">
        <v>-187.53370000000001</v>
      </c>
      <c r="H7462" s="1">
        <v>-1.7167870000000001E-6</v>
      </c>
      <c r="I7462">
        <v>32.614870000000003</v>
      </c>
      <c r="J7462">
        <v>-187.0514</v>
      </c>
      <c r="K7462">
        <v>1.1102970000000001</v>
      </c>
      <c r="L7462">
        <v>18.70758</v>
      </c>
      <c r="M7462">
        <v>1.4648359999999999E-2</v>
      </c>
      <c r="N7462">
        <v>-7.3334109999999997E-3</v>
      </c>
      <c r="O7462">
        <v>0.99986580000000003</v>
      </c>
      <c r="P7462">
        <v>-0.13581009999999999</v>
      </c>
      <c r="Q7462">
        <v>0.34579749999999998</v>
      </c>
      <c r="R7462">
        <v>0.92842860000000005</v>
      </c>
      <c r="S7462">
        <v>-0.11027530000000001</v>
      </c>
      <c r="T7462">
        <v>-0.25675170000000003</v>
      </c>
      <c r="U7462">
        <v>3.310425</v>
      </c>
      <c r="V7462">
        <v>-0.15003649999999999</v>
      </c>
      <c r="W7462">
        <v>0.3523095</v>
      </c>
      <c r="X7462">
        <v>0.92377869999999995</v>
      </c>
      <c r="Y7462">
        <v>-4.7833680000000003E-2</v>
      </c>
      <c r="Z7462">
        <v>-6.9932960000000002E-2</v>
      </c>
      <c r="AA7462">
        <v>0.99640419999999996</v>
      </c>
      <c r="AB7462">
        <v>39</v>
      </c>
      <c r="AC7462">
        <v>-0.482300000000009</v>
      </c>
      <c r="AD7462">
        <v>-1.11029871678699</v>
      </c>
      <c r="AE7462">
        <v>13.90729</v>
      </c>
      <c r="AF7462">
        <v>-0.68163338314710797</v>
      </c>
      <c r="AG7462">
        <v>-1.11029871678699</v>
      </c>
      <c r="AH7462">
        <v>13.810811824786599</v>
      </c>
      <c r="AI7462">
        <v>94.590755810038701</v>
      </c>
      <c r="AJ7462">
        <v>92.825543594728202</v>
      </c>
      <c r="AK7462">
        <v>13.8721271104754</v>
      </c>
      <c r="AL7462">
        <v>69.371360558428094</v>
      </c>
      <c r="AM7462">
        <v>99.225200700315597</v>
      </c>
      <c r="AN7462">
        <v>1.00000001084809</v>
      </c>
    </row>
    <row r="7463" spans="1:40" x14ac:dyDescent="0.25">
      <c r="A7463" t="str">
        <f>"20190304164307806"</f>
        <v>20190304164307806</v>
      </c>
      <c r="B7463" t="str">
        <f>"1551688987798697"</f>
        <v>1551688987798697</v>
      </c>
      <c r="C7463" t="s">
        <v>40</v>
      </c>
      <c r="D7463">
        <v>4.2552599999999998</v>
      </c>
      <c r="E7463">
        <v>0.5491433</v>
      </c>
      <c r="F7463" t="s">
        <v>42</v>
      </c>
      <c r="G7463">
        <v>-187.53700000000001</v>
      </c>
      <c r="H7463" s="1">
        <v>-1.81043E-6</v>
      </c>
      <c r="I7463">
        <v>32.834499999999998</v>
      </c>
      <c r="J7463">
        <v>-187.04650000000001</v>
      </c>
      <c r="K7463">
        <v>1.110392</v>
      </c>
      <c r="L7463">
        <v>19.097529999999999</v>
      </c>
      <c r="M7463">
        <v>1.3628899999999999E-2</v>
      </c>
      <c r="N7463">
        <v>-7.3685749999999996E-3</v>
      </c>
      <c r="O7463">
        <v>0.99987999999999999</v>
      </c>
      <c r="P7463">
        <v>-0.13766579999999901</v>
      </c>
      <c r="Q7463">
        <v>0.34605940000000002</v>
      </c>
      <c r="R7463">
        <v>0.92805769999999999</v>
      </c>
      <c r="S7463">
        <v>-0.1138306</v>
      </c>
      <c r="T7463">
        <v>-0.26027</v>
      </c>
      <c r="U7463">
        <v>3.3115540000000001</v>
      </c>
      <c r="V7463">
        <v>-0.1510243</v>
      </c>
      <c r="W7463">
        <v>0.35256559999999998</v>
      </c>
      <c r="X7463">
        <v>0.92352000000000001</v>
      </c>
      <c r="Y7463">
        <v>-4.7869809999999999E-2</v>
      </c>
      <c r="Z7463">
        <v>-7.0924319999999999E-2</v>
      </c>
      <c r="AA7463">
        <v>0.99633240000000001</v>
      </c>
      <c r="AB7463">
        <v>39</v>
      </c>
      <c r="AC7463">
        <v>-0.49049999999999699</v>
      </c>
      <c r="AD7463">
        <v>-1.11039381043</v>
      </c>
      <c r="AE7463">
        <v>13.736969999999999</v>
      </c>
      <c r="AF7463">
        <v>-0.67328573210928799</v>
      </c>
      <c r="AG7463">
        <v>-1.11039381043</v>
      </c>
      <c r="AH7463">
        <v>13.640000066417899</v>
      </c>
      <c r="AI7463">
        <v>94.648389800663296</v>
      </c>
      <c r="AJ7463">
        <v>92.825890442548896</v>
      </c>
      <c r="AK7463">
        <v>13.701674711625</v>
      </c>
      <c r="AL7463">
        <v>69.355681148310595</v>
      </c>
      <c r="AM7463">
        <v>99.287438159325205</v>
      </c>
      <c r="AN7463">
        <v>1.00000001594692</v>
      </c>
    </row>
    <row r="7464" spans="1:40" x14ac:dyDescent="0.25">
      <c r="A7464" t="str">
        <f>"20190304164307829"</f>
        <v>20190304164307829</v>
      </c>
      <c r="B7464" t="str">
        <f>"1551688987818217"</f>
        <v>1551688987818217</v>
      </c>
      <c r="C7464" t="s">
        <v>40</v>
      </c>
      <c r="D7464">
        <v>4.2360790000000001</v>
      </c>
      <c r="E7464">
        <v>0.54921350000000002</v>
      </c>
      <c r="F7464" t="s">
        <v>42</v>
      </c>
      <c r="G7464">
        <v>-187.54679999999999</v>
      </c>
      <c r="H7464" s="1">
        <v>-1.9875710000000001E-6</v>
      </c>
      <c r="I7464">
        <v>33.2515</v>
      </c>
      <c r="J7464">
        <v>-187.0419</v>
      </c>
      <c r="K7464">
        <v>1.1104750000000001</v>
      </c>
      <c r="L7464">
        <v>19.506769999999999</v>
      </c>
      <c r="M7464">
        <v>1.248558E-2</v>
      </c>
      <c r="N7464">
        <v>-7.4025559999999898E-3</v>
      </c>
      <c r="O7464">
        <v>0.99989470000000003</v>
      </c>
      <c r="P7464">
        <v>-0.13943889999999901</v>
      </c>
      <c r="Q7464">
        <v>0.34620640000000003</v>
      </c>
      <c r="R7464">
        <v>0.92773810000000001</v>
      </c>
      <c r="S7464">
        <v>-0.1170807</v>
      </c>
      <c r="T7464">
        <v>-0.2598356</v>
      </c>
      <c r="U7464">
        <v>3.3120729999999998</v>
      </c>
      <c r="V7464">
        <v>-0.1518022</v>
      </c>
      <c r="W7464">
        <v>0.35271200000000003</v>
      </c>
      <c r="X7464">
        <v>0.9233365</v>
      </c>
      <c r="Y7464">
        <v>-4.7699270000000002E-2</v>
      </c>
      <c r="Z7464">
        <v>-7.074917E-2</v>
      </c>
      <c r="AA7464">
        <v>0.99635300000000004</v>
      </c>
      <c r="AB7464">
        <v>39</v>
      </c>
      <c r="AC7464">
        <v>-0.50489999999999202</v>
      </c>
      <c r="AD7464">
        <v>-1.1104769875710001</v>
      </c>
      <c r="AE7464">
        <v>13.744729999999899</v>
      </c>
      <c r="AF7464">
        <v>-0.67209507479528197</v>
      </c>
      <c r="AG7464">
        <v>-1.1104769875710001</v>
      </c>
      <c r="AH7464">
        <v>13.648384687959201</v>
      </c>
      <c r="AI7464">
        <v>94.6459198643565</v>
      </c>
      <c r="AJ7464">
        <v>92.819170968220902</v>
      </c>
      <c r="AK7464">
        <v>13.7099699314043</v>
      </c>
      <c r="AL7464">
        <v>69.3467163685944</v>
      </c>
      <c r="AM7464">
        <v>99.336258677125898</v>
      </c>
      <c r="AN7464">
        <v>0.99999997755054404</v>
      </c>
    </row>
    <row r="7465" spans="1:40" x14ac:dyDescent="0.25">
      <c r="A7465" t="str">
        <f>"20190304164307850"</f>
        <v>20190304164307850</v>
      </c>
      <c r="B7465" t="str">
        <f>"1551688987838417"</f>
        <v>1551688987838417</v>
      </c>
      <c r="C7465" t="s">
        <v>40</v>
      </c>
      <c r="D7465">
        <v>4.2384000000000004</v>
      </c>
      <c r="E7465">
        <v>0.5492977</v>
      </c>
      <c r="F7465" t="s">
        <v>42</v>
      </c>
      <c r="G7465">
        <v>-187.56970000000001</v>
      </c>
      <c r="H7465" s="1">
        <v>-2.1605860000000002E-6</v>
      </c>
      <c r="I7465">
        <v>33.664250000000003</v>
      </c>
      <c r="J7465">
        <v>-187.03829999999999</v>
      </c>
      <c r="K7465">
        <v>1.1105210000000001</v>
      </c>
      <c r="L7465">
        <v>19.86243</v>
      </c>
      <c r="M7465">
        <v>1.1453380000000001E-2</v>
      </c>
      <c r="N7465">
        <v>-7.4299709999999996E-3</v>
      </c>
      <c r="O7465">
        <v>0.99990679999999998</v>
      </c>
      <c r="P7465">
        <v>-0.1411308</v>
      </c>
      <c r="Q7465">
        <v>0.34568470000000001</v>
      </c>
      <c r="R7465">
        <v>0.92767670000000002</v>
      </c>
      <c r="S7465">
        <v>-0.1234741</v>
      </c>
      <c r="T7465">
        <v>-0.25979079999999999</v>
      </c>
      <c r="U7465">
        <v>3.3120729999999998</v>
      </c>
      <c r="V7465">
        <v>-0.15258060000000001</v>
      </c>
      <c r="W7465">
        <v>0.35219519999999999</v>
      </c>
      <c r="X7465">
        <v>0.92340549999999999</v>
      </c>
      <c r="Y7465">
        <v>-4.858867E-2</v>
      </c>
      <c r="Z7465">
        <v>-7.0705530000000003E-2</v>
      </c>
      <c r="AA7465">
        <v>0.99631320000000001</v>
      </c>
      <c r="AB7465">
        <v>39</v>
      </c>
      <c r="AC7465">
        <v>-0.53140000000001897</v>
      </c>
      <c r="AD7465">
        <v>-1.110523160586</v>
      </c>
      <c r="AE7465">
        <v>13.801819999999999</v>
      </c>
      <c r="AF7465">
        <v>-0.68501864916751498</v>
      </c>
      <c r="AG7465">
        <v>-1.110523160586</v>
      </c>
      <c r="AH7465">
        <v>13.7062234162197</v>
      </c>
      <c r="AI7465">
        <v>94.626423836177096</v>
      </c>
      <c r="AJ7465">
        <v>92.861185453405199</v>
      </c>
      <c r="AK7465">
        <v>13.768190606438999</v>
      </c>
      <c r="AL7465">
        <v>69.378357901012095</v>
      </c>
      <c r="AM7465">
        <v>99.382594461939206</v>
      </c>
      <c r="AN7465">
        <v>1.0000000079148199</v>
      </c>
    </row>
    <row r="7466" spans="1:40" x14ac:dyDescent="0.25">
      <c r="A7466" t="str">
        <f>"20190304164307872"</f>
        <v>20190304164307872</v>
      </c>
      <c r="B7466" t="str">
        <f>"1551688987858913"</f>
        <v>1551688987858913</v>
      </c>
      <c r="C7466" t="s">
        <v>40</v>
      </c>
      <c r="D7466">
        <v>4.2262180000000003</v>
      </c>
      <c r="E7466">
        <v>0.5494194</v>
      </c>
      <c r="F7466" t="s">
        <v>42</v>
      </c>
      <c r="G7466">
        <v>-187.59180000000001</v>
      </c>
      <c r="H7466" s="1">
        <v>-2.2512959999999998E-6</v>
      </c>
      <c r="I7466">
        <v>33.884860000000003</v>
      </c>
      <c r="J7466">
        <v>-187.03479999999999</v>
      </c>
      <c r="K7466">
        <v>1.1105590000000001</v>
      </c>
      <c r="L7466">
        <v>20.239260000000002</v>
      </c>
      <c r="M7466">
        <v>1.034617E-2</v>
      </c>
      <c r="N7466">
        <v>-7.4571669999999998E-3</v>
      </c>
      <c r="O7466">
        <v>0.99991870000000005</v>
      </c>
      <c r="P7466">
        <v>-0.14187060000000001</v>
      </c>
      <c r="Q7466">
        <v>0.34517009999999998</v>
      </c>
      <c r="R7466">
        <v>0.92775549999999996</v>
      </c>
      <c r="S7466">
        <v>-0.1307373</v>
      </c>
      <c r="T7466">
        <v>-0.26227689999999998</v>
      </c>
      <c r="U7466">
        <v>3.3117369999999999</v>
      </c>
      <c r="V7466">
        <v>-0.1523272</v>
      </c>
      <c r="W7466">
        <v>0.35169440000000002</v>
      </c>
      <c r="X7466">
        <v>0.92363819999999996</v>
      </c>
      <c r="Y7466">
        <v>-4.9665719999999997E-2</v>
      </c>
      <c r="Z7466">
        <v>-7.1425779999999994E-2</v>
      </c>
      <c r="AA7466">
        <v>0.99620869999999995</v>
      </c>
      <c r="AB7466">
        <v>39</v>
      </c>
      <c r="AC7466">
        <v>-0.55700000000001604</v>
      </c>
      <c r="AD7466">
        <v>-1.1105612512959999</v>
      </c>
      <c r="AE7466">
        <v>13.6455999999999</v>
      </c>
      <c r="AF7466">
        <v>-0.69356747309695299</v>
      </c>
      <c r="AG7466">
        <v>-1.1105612512959999</v>
      </c>
      <c r="AH7466">
        <v>13.5495082239055</v>
      </c>
      <c r="AI7466">
        <v>94.679572896833093</v>
      </c>
      <c r="AJ7466">
        <v>92.930278763678203</v>
      </c>
      <c r="AK7466">
        <v>13.612624847629601</v>
      </c>
      <c r="AL7466">
        <v>69.409013294321298</v>
      </c>
      <c r="AM7466">
        <v>99.364970450469798</v>
      </c>
      <c r="AN7466">
        <v>1.00000002567521</v>
      </c>
    </row>
    <row r="7467" spans="1:40" x14ac:dyDescent="0.25">
      <c r="A7467" t="str">
        <f>"20190304164307896"</f>
        <v>20190304164307896</v>
      </c>
      <c r="B7467" t="str">
        <f>"1551688987888193"</f>
        <v>1551688987888193</v>
      </c>
      <c r="C7467" t="s">
        <v>40</v>
      </c>
      <c r="D7467">
        <v>4.214518</v>
      </c>
      <c r="E7467">
        <v>0.54961470000000001</v>
      </c>
      <c r="F7467" t="s">
        <v>42</v>
      </c>
      <c r="G7467">
        <v>-187.59610000000001</v>
      </c>
      <c r="H7467" s="1">
        <v>-2.3431839999999998E-6</v>
      </c>
      <c r="I7467">
        <v>34.100819999999999</v>
      </c>
      <c r="J7467">
        <v>-187.03139999999999</v>
      </c>
      <c r="K7467">
        <v>1.1105780000000001</v>
      </c>
      <c r="L7467">
        <v>20.656459999999999</v>
      </c>
      <c r="M7467">
        <v>9.1362470000000001E-3</v>
      </c>
      <c r="N7467">
        <v>-7.485345E-3</v>
      </c>
      <c r="O7467">
        <v>0.99993030000000005</v>
      </c>
      <c r="P7467">
        <v>-0.1432378</v>
      </c>
      <c r="Q7467">
        <v>0.3450821</v>
      </c>
      <c r="R7467">
        <v>0.92757820000000002</v>
      </c>
      <c r="S7467">
        <v>-0.13410949999999999</v>
      </c>
      <c r="T7467">
        <v>-0.2653373</v>
      </c>
      <c r="U7467">
        <v>3.3118289999999999</v>
      </c>
      <c r="V7467">
        <v>-0.152591</v>
      </c>
      <c r="W7467">
        <v>0.35162300000000002</v>
      </c>
      <c r="X7467">
        <v>0.92362180000000005</v>
      </c>
      <c r="Y7467">
        <v>-4.9466120000000002E-2</v>
      </c>
      <c r="Z7467">
        <v>-7.2310749999999993E-2</v>
      </c>
      <c r="AA7467">
        <v>0.99615469999999895</v>
      </c>
      <c r="AB7467">
        <v>39</v>
      </c>
      <c r="AC7467">
        <v>-0.56470000000001597</v>
      </c>
      <c r="AD7467">
        <v>-1.110580343184</v>
      </c>
      <c r="AE7467">
        <v>13.44436</v>
      </c>
      <c r="AF7467">
        <v>-0.682859439269627</v>
      </c>
      <c r="AG7467">
        <v>-1.110580343184</v>
      </c>
      <c r="AH7467">
        <v>13.347719088062799</v>
      </c>
      <c r="AI7467">
        <v>94.750084913655897</v>
      </c>
      <c r="AJ7467">
        <v>92.928656468136893</v>
      </c>
      <c r="AK7467">
        <v>13.4112374733393</v>
      </c>
      <c r="AL7467">
        <v>69.413382533155399</v>
      </c>
      <c r="AM7467">
        <v>99.381064252781599</v>
      </c>
      <c r="AN7467">
        <v>0.99999998842261995</v>
      </c>
    </row>
    <row r="7468" spans="1:40" x14ac:dyDescent="0.25">
      <c r="A7468" t="str">
        <f>"20190304164307917"</f>
        <v>20190304164307917</v>
      </c>
      <c r="B7468" t="str">
        <f>"1551688987908689"</f>
        <v>1551688987908689</v>
      </c>
      <c r="C7468" t="s">
        <v>40</v>
      </c>
      <c r="D7468">
        <v>4.2461589999999996</v>
      </c>
      <c r="E7468">
        <v>0.54968879999999998</v>
      </c>
      <c r="F7468" t="s">
        <v>42</v>
      </c>
      <c r="G7468">
        <v>-187.60720000000001</v>
      </c>
      <c r="H7468" s="1">
        <v>-2.4762359999999998E-6</v>
      </c>
      <c r="I7468">
        <v>34.415559999999999</v>
      </c>
      <c r="J7468">
        <v>-187.02869999999999</v>
      </c>
      <c r="K7468">
        <v>1.1105799999999999</v>
      </c>
      <c r="L7468">
        <v>21.041840000000001</v>
      </c>
      <c r="M7468">
        <v>8.0587419999999903E-3</v>
      </c>
      <c r="N7468">
        <v>-7.5098069999999899E-3</v>
      </c>
      <c r="O7468">
        <v>0.99993929999999998</v>
      </c>
      <c r="P7468">
        <v>-0.1443527</v>
      </c>
      <c r="Q7468">
        <v>0.344852299999999</v>
      </c>
      <c r="R7468">
        <v>0.92749079999999995</v>
      </c>
      <c r="S7468">
        <v>-0.13861080000000001</v>
      </c>
      <c r="T7468">
        <v>-0.26735500000000001</v>
      </c>
      <c r="U7468">
        <v>3.3122859999999998</v>
      </c>
      <c r="V7468">
        <v>-0.15270989999999901</v>
      </c>
      <c r="W7468">
        <v>0.35141499999999998</v>
      </c>
      <c r="X7468">
        <v>0.92368130000000004</v>
      </c>
      <c r="Y7468">
        <v>-4.9733779999999998E-2</v>
      </c>
      <c r="Z7468">
        <v>-7.2876800000000005E-2</v>
      </c>
      <c r="AA7468">
        <v>0.99610010000000004</v>
      </c>
      <c r="AB7468">
        <v>39</v>
      </c>
      <c r="AC7468">
        <v>-0.578500000000019</v>
      </c>
      <c r="AD7468">
        <v>-1.1105824762359999</v>
      </c>
      <c r="AE7468">
        <v>13.37372</v>
      </c>
      <c r="AF7468">
        <v>-0.68156829891126203</v>
      </c>
      <c r="AG7468">
        <v>-1.1105824762359999</v>
      </c>
      <c r="AH7468">
        <v>13.277234791485</v>
      </c>
      <c r="AI7468">
        <v>94.775151961459898</v>
      </c>
      <c r="AJ7468">
        <v>92.938619383619496</v>
      </c>
      <c r="AK7468">
        <v>13.3410229177085</v>
      </c>
      <c r="AL7468">
        <v>69.4261122867739</v>
      </c>
      <c r="AM7468">
        <v>99.387649967217897</v>
      </c>
      <c r="AN7468">
        <v>0.99999997987634903</v>
      </c>
    </row>
    <row r="7469" spans="1:40" x14ac:dyDescent="0.25">
      <c r="A7469" t="str">
        <f>"20190304164307938"</f>
        <v>20190304164307938</v>
      </c>
      <c r="B7469" t="str">
        <f>"1551688987928209"</f>
        <v>1551688987928209</v>
      </c>
      <c r="C7469" t="s">
        <v>40</v>
      </c>
      <c r="D7469">
        <v>4.39588</v>
      </c>
      <c r="E7469">
        <v>0.54977769999999904</v>
      </c>
      <c r="F7469" t="s">
        <v>42</v>
      </c>
      <c r="G7469">
        <v>-187.6173</v>
      </c>
      <c r="H7469" s="1">
        <v>-2.6111120000000002E-6</v>
      </c>
      <c r="I7469">
        <v>34.73413</v>
      </c>
      <c r="J7469">
        <v>-187.0264</v>
      </c>
      <c r="K7469">
        <v>1.1105609999999999</v>
      </c>
      <c r="L7469">
        <v>21.418399999999998</v>
      </c>
      <c r="M7469">
        <v>7.0602109999999899E-3</v>
      </c>
      <c r="N7469">
        <v>-7.5325259999999899E-3</v>
      </c>
      <c r="O7469">
        <v>0.99994669999999997</v>
      </c>
      <c r="P7469">
        <v>-0.1454385</v>
      </c>
      <c r="Q7469">
        <v>0.34489950000000003</v>
      </c>
      <c r="R7469">
        <v>0.92730360000000001</v>
      </c>
      <c r="S7469">
        <v>-0.142379799999999</v>
      </c>
      <c r="T7469">
        <v>-0.26865739999999999</v>
      </c>
      <c r="U7469">
        <v>3.3122560000000001</v>
      </c>
      <c r="V7469">
        <v>-0.1528592</v>
      </c>
      <c r="W7469">
        <v>0.35148639999999998</v>
      </c>
      <c r="X7469">
        <v>0.92362949999999999</v>
      </c>
      <c r="Y7469">
        <v>-4.9866899999999999E-2</v>
      </c>
      <c r="Z7469">
        <v>-7.3242929999999998E-2</v>
      </c>
      <c r="AA7469">
        <v>0.99606660000000002</v>
      </c>
      <c r="AB7469">
        <v>39</v>
      </c>
      <c r="AC7469">
        <v>-0.59090000000000398</v>
      </c>
      <c r="AD7469">
        <v>-1.1105636111120001</v>
      </c>
      <c r="AE7469">
        <v>13.31573</v>
      </c>
      <c r="AF7469">
        <v>-0.68017781373312403</v>
      </c>
      <c r="AG7469">
        <v>-1.1105636111120001</v>
      </c>
      <c r="AH7469">
        <v>13.2194528795244</v>
      </c>
      <c r="AI7469">
        <v>94.795816639147006</v>
      </c>
      <c r="AJ7469">
        <v>92.945430659073594</v>
      </c>
      <c r="AK7469">
        <v>13.2834456308063</v>
      </c>
      <c r="AL7469">
        <v>69.421743878986504</v>
      </c>
      <c r="AM7469">
        <v>99.397181979142204</v>
      </c>
      <c r="AN7469">
        <v>1.0000000388399199</v>
      </c>
    </row>
    <row r="7470" spans="1:40" x14ac:dyDescent="0.25">
      <c r="A7470" t="str">
        <f>"20190304164307961"</f>
        <v>20190304164307961</v>
      </c>
      <c r="B7470" t="str">
        <f>"1551688987959007"</f>
        <v>1551688987959007</v>
      </c>
      <c r="C7470" t="s">
        <v>40</v>
      </c>
      <c r="D7470">
        <v>4.2050519999999896</v>
      </c>
      <c r="E7470">
        <v>0.55205289999999996</v>
      </c>
      <c r="F7470" t="s">
        <v>42</v>
      </c>
      <c r="G7470">
        <v>-187.62860000000001</v>
      </c>
      <c r="H7470" s="1">
        <v>-2.7723239999999999E-6</v>
      </c>
      <c r="I7470">
        <v>35.114570000000001</v>
      </c>
      <c r="J7470">
        <v>-187.02430000000001</v>
      </c>
      <c r="K7470">
        <v>1.1105339999999999</v>
      </c>
      <c r="L7470">
        <v>21.823029999999999</v>
      </c>
      <c r="M7470">
        <v>6.0559150000000003E-3</v>
      </c>
      <c r="N7470">
        <v>-7.5557580000000001E-3</v>
      </c>
      <c r="O7470">
        <v>0.99995310000000004</v>
      </c>
      <c r="P7470">
        <v>-0.1464047</v>
      </c>
      <c r="Q7470">
        <v>0.34536289999999997</v>
      </c>
      <c r="R7470">
        <v>0.92697909999999994</v>
      </c>
      <c r="S7470">
        <v>-0.14561459999999901</v>
      </c>
      <c r="T7470">
        <v>-0.268576599999999</v>
      </c>
      <c r="U7470">
        <v>3.3122560000000001</v>
      </c>
      <c r="V7470">
        <v>-0.1528726</v>
      </c>
      <c r="W7470">
        <v>0.35197919999999999</v>
      </c>
      <c r="X7470">
        <v>0.92343960000000003</v>
      </c>
      <c r="Y7470">
        <v>-4.9834879999999998E-2</v>
      </c>
      <c r="Z7470">
        <v>-7.3194930000000005E-2</v>
      </c>
      <c r="AA7470">
        <v>0.99607179999999995</v>
      </c>
      <c r="AB7470">
        <v>39</v>
      </c>
      <c r="AC7470">
        <v>-0.60429999999999495</v>
      </c>
      <c r="AD7470">
        <v>-1.1105367723239901</v>
      </c>
      <c r="AE7470">
        <v>13.291539999999999</v>
      </c>
      <c r="AF7470">
        <v>-0.680046070790853</v>
      </c>
      <c r="AG7470">
        <v>-1.1105367723239901</v>
      </c>
      <c r="AH7470">
        <v>13.1957078482829</v>
      </c>
      <c r="AI7470">
        <v>94.804270267477307</v>
      </c>
      <c r="AJ7470">
        <v>92.950150946932695</v>
      </c>
      <c r="AK7470">
        <v>13.2598061900737</v>
      </c>
      <c r="AL7470">
        <v>69.391581200658194</v>
      </c>
      <c r="AM7470">
        <v>99.399889216263901</v>
      </c>
      <c r="AN7470">
        <v>1.00000004195577</v>
      </c>
    </row>
    <row r="7471" spans="1:40" x14ac:dyDescent="0.25">
      <c r="A7471" t="str">
        <f>"20190304164307985"</f>
        <v>20190304164307985</v>
      </c>
      <c r="B7471" t="str">
        <f>"1551688987978527"</f>
        <v>1551688987978527</v>
      </c>
      <c r="C7471" t="s">
        <v>40</v>
      </c>
      <c r="D7471">
        <v>4.2115530000000003</v>
      </c>
      <c r="E7471">
        <v>0.55207539999999999</v>
      </c>
      <c r="F7471" t="s">
        <v>42</v>
      </c>
      <c r="G7471">
        <v>-187.6628</v>
      </c>
      <c r="H7471" s="1">
        <v>-4.1252720000000002E-6</v>
      </c>
      <c r="I7471">
        <v>38.28246</v>
      </c>
      <c r="J7471">
        <v>-187.02260000000001</v>
      </c>
      <c r="K7471">
        <v>1.110506</v>
      </c>
      <c r="L7471">
        <v>22.22916</v>
      </c>
      <c r="M7471">
        <v>5.1309040000000004E-3</v>
      </c>
      <c r="N7471">
        <v>-7.5778679999999998E-3</v>
      </c>
      <c r="O7471">
        <v>0.99995809999999996</v>
      </c>
      <c r="P7471">
        <v>-0.1471412</v>
      </c>
      <c r="Q7471">
        <v>0.34593770000000001</v>
      </c>
      <c r="R7471">
        <v>0.92664809999999997</v>
      </c>
      <c r="S7471">
        <v>-0.1279602</v>
      </c>
      <c r="T7471">
        <v>-0.22259039999999999</v>
      </c>
      <c r="U7471">
        <v>3.299042</v>
      </c>
      <c r="V7471">
        <v>-0.1527212</v>
      </c>
      <c r="W7471">
        <v>0.35258659999999997</v>
      </c>
      <c r="X7471">
        <v>0.92323290000000002</v>
      </c>
      <c r="Y7471">
        <v>-4.3803059999999998E-2</v>
      </c>
      <c r="Z7471">
        <v>-5.9696010000000001E-2</v>
      </c>
      <c r="AA7471">
        <v>0.99725509999999995</v>
      </c>
      <c r="AB7471">
        <v>39</v>
      </c>
      <c r="AC7471">
        <v>-0.640199999999992</v>
      </c>
      <c r="AD7471">
        <v>-1.110510125272</v>
      </c>
      <c r="AE7471">
        <v>16.0533</v>
      </c>
      <c r="AF7471">
        <v>-0.71912605374708505</v>
      </c>
      <c r="AG7471">
        <v>-1.110510125272</v>
      </c>
      <c r="AH7471">
        <v>15.9734859559308</v>
      </c>
      <c r="AI7471">
        <v>93.972912114881396</v>
      </c>
      <c r="AJ7471">
        <v>92.5777144124541</v>
      </c>
      <c r="AK7471">
        <v>16.028182323764302</v>
      </c>
      <c r="AL7471">
        <v>69.354395704740398</v>
      </c>
      <c r="AM7471">
        <v>99.392810783850294</v>
      </c>
      <c r="AN7471">
        <v>1.0000000315357001</v>
      </c>
    </row>
    <row r="7472" spans="1:40" x14ac:dyDescent="0.25">
      <c r="A7472" t="str">
        <f>"20190304164308008"</f>
        <v>20190304164308008</v>
      </c>
      <c r="B7472" t="str">
        <f>"1551688987998048"</f>
        <v>1551688987998048</v>
      </c>
      <c r="C7472" t="s">
        <v>40</v>
      </c>
      <c r="D7472">
        <v>4.2433719999999999</v>
      </c>
      <c r="E7472">
        <v>0.55208179999999996</v>
      </c>
      <c r="F7472" t="s">
        <v>42</v>
      </c>
      <c r="G7472">
        <v>-187.6737</v>
      </c>
      <c r="H7472" s="1">
        <v>-4.2924450000000004E-6</v>
      </c>
      <c r="I7472">
        <v>38.676690000000001</v>
      </c>
      <c r="J7472">
        <v>-187.02109999999999</v>
      </c>
      <c r="K7472">
        <v>1.110471</v>
      </c>
      <c r="L7472">
        <v>22.65192</v>
      </c>
      <c r="M7472">
        <v>4.2421630000000002E-3</v>
      </c>
      <c r="N7472">
        <v>-7.5999989999999996E-3</v>
      </c>
      <c r="O7472">
        <v>0.99996220000000002</v>
      </c>
      <c r="P7472">
        <v>-0.1480129</v>
      </c>
      <c r="Q7472">
        <v>0.34639789999999998</v>
      </c>
      <c r="R7472">
        <v>0.92633719999999997</v>
      </c>
      <c r="S7472">
        <v>-0.13064580000000001</v>
      </c>
      <c r="T7472">
        <v>-0.22280359999999999</v>
      </c>
      <c r="U7472">
        <v>3.2998959999999999</v>
      </c>
      <c r="V7472">
        <v>-0.15273519999999999</v>
      </c>
      <c r="W7472">
        <v>0.35308099999999998</v>
      </c>
      <c r="X7472">
        <v>0.92304160000000002</v>
      </c>
      <c r="Y7472">
        <v>-4.3715400000000001E-2</v>
      </c>
      <c r="Z7472">
        <v>-5.9720299999999997E-2</v>
      </c>
      <c r="AA7472">
        <v>0.99725750000000002</v>
      </c>
      <c r="AB7472">
        <v>40</v>
      </c>
      <c r="AC7472">
        <v>-0.65260000000000595</v>
      </c>
      <c r="AD7472">
        <v>-1.1104752924449901</v>
      </c>
      <c r="AE7472">
        <v>16.02477</v>
      </c>
      <c r="AF7472">
        <v>-0.71713768334388095</v>
      </c>
      <c r="AG7472">
        <v>-1.1104752924449901</v>
      </c>
      <c r="AH7472">
        <v>15.945412077552801</v>
      </c>
      <c r="AI7472">
        <v>93.979768121591405</v>
      </c>
      <c r="AJ7472">
        <v>92.575116420680601</v>
      </c>
      <c r="AK7472">
        <v>16.0001127544455</v>
      </c>
      <c r="AL7472">
        <v>69.3241212589637</v>
      </c>
      <c r="AM7472">
        <v>99.395568600706895</v>
      </c>
      <c r="AN7472">
        <v>1.0000000146052901</v>
      </c>
    </row>
    <row r="7473" spans="1:40" x14ac:dyDescent="0.25">
      <c r="A7473" t="str">
        <f>"20190304164308029"</f>
        <v>20190304164308029</v>
      </c>
      <c r="B7473" t="str">
        <f>"1551688988018542"</f>
        <v>1551688988018542</v>
      </c>
      <c r="C7473" t="s">
        <v>40</v>
      </c>
      <c r="D7473">
        <v>4.1909989999999997</v>
      </c>
      <c r="E7473">
        <v>0.55324770000000001</v>
      </c>
      <c r="F7473" t="s">
        <v>42</v>
      </c>
      <c r="G7473">
        <v>-187.69370000000001</v>
      </c>
      <c r="H7473" s="1">
        <v>-4.5246769999999996E-6</v>
      </c>
      <c r="I7473">
        <v>39.226280000000003</v>
      </c>
      <c r="J7473">
        <v>-187.02010000000001</v>
      </c>
      <c r="K7473">
        <v>1.1104400000000001</v>
      </c>
      <c r="L7473">
        <v>23.019069999999999</v>
      </c>
      <c r="M7473">
        <v>3.5192489999999999E-3</v>
      </c>
      <c r="N7473">
        <v>-7.6187349999999997E-3</v>
      </c>
      <c r="O7473">
        <v>0.99996479999999999</v>
      </c>
      <c r="P7473">
        <v>-0.1484287</v>
      </c>
      <c r="Q7473">
        <v>0.34687679999999999</v>
      </c>
      <c r="R7473">
        <v>0.92609149999999996</v>
      </c>
      <c r="S7473">
        <v>-0.13391110000000001</v>
      </c>
      <c r="T7473">
        <v>-0.22108749999999999</v>
      </c>
      <c r="U7473">
        <v>3.2998349999999999</v>
      </c>
      <c r="V7473">
        <v>-0.15245349999999999</v>
      </c>
      <c r="W7473">
        <v>0.35358859999999998</v>
      </c>
      <c r="X7473">
        <v>0.92289379999999999</v>
      </c>
      <c r="Y7473">
        <v>-4.3980409999999998E-2</v>
      </c>
      <c r="Z7473">
        <v>-5.9185160000000001E-2</v>
      </c>
      <c r="AA7473">
        <v>0.99727770000000004</v>
      </c>
      <c r="AB7473">
        <v>40</v>
      </c>
      <c r="AC7473">
        <v>-0.67359999999999298</v>
      </c>
      <c r="AD7473">
        <v>-1.1104445246769901</v>
      </c>
      <c r="AE7473">
        <v>16.2072099999999</v>
      </c>
      <c r="AF7473">
        <v>-0.72722670700455005</v>
      </c>
      <c r="AG7473">
        <v>-1.1104445246769901</v>
      </c>
      <c r="AH7473">
        <v>16.129153363949499</v>
      </c>
      <c r="AI7473">
        <v>93.934445697903598</v>
      </c>
      <c r="AJ7473">
        <v>92.581587484278998</v>
      </c>
      <c r="AK7473">
        <v>16.183681100527501</v>
      </c>
      <c r="AL7473">
        <v>69.293031574736005</v>
      </c>
      <c r="AM7473">
        <v>99.380023131909695</v>
      </c>
      <c r="AN7473">
        <v>0.999999966895324</v>
      </c>
    </row>
    <row r="7474" spans="1:40" x14ac:dyDescent="0.25">
      <c r="A7474" t="str">
        <f>"20190304164308051"</f>
        <v>20190304164308051</v>
      </c>
      <c r="B7474" t="str">
        <f>"1551688988048863"</f>
        <v>1551688988048863</v>
      </c>
      <c r="C7474" t="s">
        <v>40</v>
      </c>
      <c r="D7474">
        <v>4.1480779999999999</v>
      </c>
      <c r="E7474">
        <v>0.55335069999999997</v>
      </c>
      <c r="F7474" t="s">
        <v>42</v>
      </c>
      <c r="G7474">
        <v>-187.56010000000001</v>
      </c>
      <c r="H7474" s="1">
        <v>-3.465986E-6</v>
      </c>
      <c r="I7474">
        <v>36.703209999999999</v>
      </c>
      <c r="J7474">
        <v>-187.01929999999999</v>
      </c>
      <c r="K7474">
        <v>1.110409</v>
      </c>
      <c r="L7474">
        <v>23.40503</v>
      </c>
      <c r="M7474">
        <v>2.8020900000000001E-3</v>
      </c>
      <c r="N7474">
        <v>-7.637975E-3</v>
      </c>
      <c r="O7474">
        <v>0.99996689999999999</v>
      </c>
      <c r="P7474">
        <v>-0.14849709999999999</v>
      </c>
      <c r="Q7474">
        <v>0.34826669999999998</v>
      </c>
      <c r="R7474">
        <v>0.92555869999999996</v>
      </c>
      <c r="S7474">
        <v>-0.13099669999999999</v>
      </c>
      <c r="T7474">
        <v>-0.26935569999999998</v>
      </c>
      <c r="U7474">
        <v>3.3193049999999999</v>
      </c>
      <c r="V7474">
        <v>-0.15183250000000001</v>
      </c>
      <c r="W7474">
        <v>0.35500599999999999</v>
      </c>
      <c r="X7474">
        <v>0.92245200000000005</v>
      </c>
      <c r="Y7474">
        <v>-4.2114159999999998E-2</v>
      </c>
      <c r="Z7474">
        <v>-7.3198990000000005E-2</v>
      </c>
      <c r="AA7474">
        <v>0.99642779999999997</v>
      </c>
      <c r="AB7474">
        <v>40</v>
      </c>
      <c r="AC7474">
        <v>-0.54080000000001804</v>
      </c>
      <c r="AD7474">
        <v>-1.110412465986</v>
      </c>
      <c r="AE7474">
        <v>13.29818</v>
      </c>
      <c r="AF7474">
        <v>-0.57406563660966703</v>
      </c>
      <c r="AG7474">
        <v>-1.110412465986</v>
      </c>
      <c r="AH7474">
        <v>13.204695557297701</v>
      </c>
      <c r="AI7474">
        <v>94.802306566648497</v>
      </c>
      <c r="AJ7474">
        <v>92.489329616230194</v>
      </c>
      <c r="AK7474">
        <v>13.2637306954216</v>
      </c>
      <c r="AL7474">
        <v>69.206188550006104</v>
      </c>
      <c r="AM7474">
        <v>99.346885345152103</v>
      </c>
      <c r="AN7474">
        <v>1.00000003019812</v>
      </c>
    </row>
    <row r="7475" spans="1:40" x14ac:dyDescent="0.25">
      <c r="A7475" t="str">
        <f>"20190304164308073"</f>
        <v>20190304164308073</v>
      </c>
      <c r="B7475" t="str">
        <f>"1551688988068383"</f>
        <v>1551688988068383</v>
      </c>
      <c r="C7475" t="s">
        <v>40</v>
      </c>
      <c r="D7475">
        <v>4.1789779999999999</v>
      </c>
      <c r="E7475">
        <v>0.55324069999999903</v>
      </c>
      <c r="F7475" t="s">
        <v>42</v>
      </c>
      <c r="G7475">
        <v>-187.5685</v>
      </c>
      <c r="H7475" s="1">
        <v>-3.7019640000000002E-6</v>
      </c>
      <c r="I7475">
        <v>37.256740000000001</v>
      </c>
      <c r="J7475">
        <v>-187.0187</v>
      </c>
      <c r="K7475">
        <v>1.1103829999999999</v>
      </c>
      <c r="L7475">
        <v>23.80499</v>
      </c>
      <c r="M7475">
        <v>2.0943939999999999E-3</v>
      </c>
      <c r="N7475">
        <v>-7.6574410000000001E-3</v>
      </c>
      <c r="O7475">
        <v>0.99996850000000004</v>
      </c>
      <c r="P7475">
        <v>-0.14807699999999999</v>
      </c>
      <c r="Q7475">
        <v>0.34934189999999998</v>
      </c>
      <c r="R7475">
        <v>0.92522079999999995</v>
      </c>
      <c r="S7475">
        <v>-0.13165279999999999</v>
      </c>
      <c r="T7475">
        <v>-0.26617049999999998</v>
      </c>
      <c r="U7475">
        <v>3.3203130000000001</v>
      </c>
      <c r="V7475">
        <v>-0.15073449999999999</v>
      </c>
      <c r="W7475">
        <v>0.35611009999999998</v>
      </c>
      <c r="X7475">
        <v>0.92220650000000004</v>
      </c>
      <c r="Y7475">
        <v>-4.1594920000000001E-2</v>
      </c>
      <c r="Z7475">
        <v>-7.2206300000000001E-2</v>
      </c>
      <c r="AA7475">
        <v>0.99652200000000002</v>
      </c>
      <c r="AB7475">
        <v>40</v>
      </c>
      <c r="AC7475">
        <v>-0.54980000000000395</v>
      </c>
      <c r="AD7475">
        <v>-1.1103867019639999</v>
      </c>
      <c r="AE7475">
        <v>13.451750000000001</v>
      </c>
      <c r="AF7475">
        <v>-0.57406781058435297</v>
      </c>
      <c r="AG7475">
        <v>-1.1103867019639999</v>
      </c>
      <c r="AH7475">
        <v>13.359690197186699</v>
      </c>
      <c r="AI7475">
        <v>94.746841044277701</v>
      </c>
      <c r="AJ7475">
        <v>92.460494257496705</v>
      </c>
      <c r="AK7475">
        <v>13.4180413862774</v>
      </c>
      <c r="AL7475">
        <v>69.138506138455</v>
      </c>
      <c r="AM7475">
        <v>99.282899680139494</v>
      </c>
      <c r="AN7475">
        <v>1.0000000607272499</v>
      </c>
    </row>
    <row r="7476" spans="1:40" x14ac:dyDescent="0.25">
      <c r="A7476" t="str">
        <f>"20190304164308096"</f>
        <v>20190304164308096</v>
      </c>
      <c r="B7476" t="str">
        <f>"1551688988088878"</f>
        <v>1551688988088878</v>
      </c>
      <c r="C7476" t="s">
        <v>40</v>
      </c>
      <c r="D7476">
        <v>4.1916929999999999</v>
      </c>
      <c r="E7476">
        <v>0.54851289999999997</v>
      </c>
      <c r="F7476" t="s">
        <v>42</v>
      </c>
      <c r="G7476">
        <v>-187.57579999999999</v>
      </c>
      <c r="H7476" s="1">
        <v>-3.9430030000000001E-6</v>
      </c>
      <c r="I7476">
        <v>37.821620000000003</v>
      </c>
      <c r="J7476">
        <v>-187.01840000000001</v>
      </c>
      <c r="K7476">
        <v>1.110365</v>
      </c>
      <c r="L7476">
        <v>24.215119999999999</v>
      </c>
      <c r="M7476">
        <v>1.394195E-3</v>
      </c>
      <c r="N7476">
        <v>-7.6769730000000001E-3</v>
      </c>
      <c r="O7476">
        <v>0.99996949999999996</v>
      </c>
      <c r="P7476">
        <v>-0.14717930000000001</v>
      </c>
      <c r="Q7476">
        <v>0.3505607</v>
      </c>
      <c r="R7476">
        <v>0.92490300000000003</v>
      </c>
      <c r="S7476">
        <v>-0.13197329999999999</v>
      </c>
      <c r="T7476">
        <v>-0.26306160000000001</v>
      </c>
      <c r="U7476">
        <v>3.3206790000000002</v>
      </c>
      <c r="V7476">
        <v>-0.14916969999999999</v>
      </c>
      <c r="W7476">
        <v>0.35735739999999999</v>
      </c>
      <c r="X7476">
        <v>0.92197839999999998</v>
      </c>
      <c r="Y7476">
        <v>-4.099001E-2</v>
      </c>
      <c r="Z7476">
        <v>-7.1252029999999994E-2</v>
      </c>
      <c r="AA7476">
        <v>0.99661580000000005</v>
      </c>
      <c r="AB7476">
        <v>40</v>
      </c>
      <c r="AC7476">
        <v>-0.55739999999997203</v>
      </c>
      <c r="AD7476">
        <v>-1.1103689430029999</v>
      </c>
      <c r="AE7476">
        <v>13.6065</v>
      </c>
      <c r="AF7476">
        <v>-0.57256353281977801</v>
      </c>
      <c r="AG7476">
        <v>-1.1103689430029999</v>
      </c>
      <c r="AH7476">
        <v>13.5158515848038</v>
      </c>
      <c r="AI7476">
        <v>94.692288826642596</v>
      </c>
      <c r="AJ7476">
        <v>92.425734769149699</v>
      </c>
      <c r="AK7476">
        <v>13.573466478801301</v>
      </c>
      <c r="AL7476">
        <v>69.062007553196096</v>
      </c>
      <c r="AM7476">
        <v>99.190418815052894</v>
      </c>
      <c r="AN7476">
        <v>1.0000000403997</v>
      </c>
    </row>
    <row r="7477" spans="1:40" x14ac:dyDescent="0.25">
      <c r="A7477" t="str">
        <f>"20190304164308119"</f>
        <v>20190304164308119</v>
      </c>
      <c r="B7477" t="str">
        <f>"1551688988108398"</f>
        <v>1551688988108398</v>
      </c>
      <c r="C7477" t="s">
        <v>40</v>
      </c>
      <c r="D7477">
        <v>4.1633440000000004</v>
      </c>
      <c r="E7477">
        <v>0.54864259999999998</v>
      </c>
      <c r="F7477" t="s">
        <v>42</v>
      </c>
      <c r="G7477">
        <v>-187.7902</v>
      </c>
      <c r="H7477" s="1">
        <v>-6.1634909999999995E-7</v>
      </c>
      <c r="I7477">
        <v>39.731450000000002</v>
      </c>
      <c r="J7477">
        <v>-187.01830000000001</v>
      </c>
      <c r="K7477">
        <v>1.1103459999999901</v>
      </c>
      <c r="L7477">
        <v>24.623439999999999</v>
      </c>
      <c r="M7477">
        <v>7.1324349999999997E-4</v>
      </c>
      <c r="N7477">
        <v>-7.6960119999999899E-3</v>
      </c>
      <c r="O7477">
        <v>0.99997009999999997</v>
      </c>
      <c r="P7477">
        <v>-0.14602179999999901</v>
      </c>
      <c r="Q7477">
        <v>0.35138560000000002</v>
      </c>
      <c r="R7477">
        <v>0.92477339999999997</v>
      </c>
      <c r="S7477">
        <v>-0.16450499999999901</v>
      </c>
      <c r="T7477">
        <v>-0.23665939999999999</v>
      </c>
      <c r="U7477">
        <v>3.3070979999999999</v>
      </c>
      <c r="V7477">
        <v>-0.14736640000000001</v>
      </c>
      <c r="W7477">
        <v>0.35821049999999999</v>
      </c>
      <c r="X7477">
        <v>0.92193729999999996</v>
      </c>
      <c r="Y7477">
        <v>-5.027802E-2</v>
      </c>
      <c r="Z7477">
        <v>-6.3610860000000005E-2</v>
      </c>
      <c r="AA7477">
        <v>0.99670749999999997</v>
      </c>
      <c r="AB7477">
        <v>40</v>
      </c>
      <c r="AC7477">
        <v>-0.77189999999998704</v>
      </c>
      <c r="AD7477">
        <v>-1.11034661634909</v>
      </c>
      <c r="AE7477">
        <v>15.10801</v>
      </c>
      <c r="AF7477">
        <v>-0.77848190469371203</v>
      </c>
      <c r="AG7477">
        <v>-1.11034661634909</v>
      </c>
      <c r="AH7477">
        <v>15.0265034452511</v>
      </c>
      <c r="AI7477">
        <v>94.220411211884894</v>
      </c>
      <c r="AJ7477">
        <v>92.965685698187102</v>
      </c>
      <c r="AK7477">
        <v>15.087568043740999</v>
      </c>
      <c r="AL7477">
        <v>69.009662730697997</v>
      </c>
      <c r="AM7477">
        <v>99.081577077486898</v>
      </c>
      <c r="AN7477">
        <v>1.0000000016452499</v>
      </c>
    </row>
    <row r="7478" spans="1:40" x14ac:dyDescent="0.25">
      <c r="A7478" t="str">
        <f>"20190304164308140"</f>
        <v>20190304164308140</v>
      </c>
      <c r="B7478" t="str">
        <f>"1551688988128894"</f>
        <v>1551688988128894</v>
      </c>
      <c r="C7478" t="s">
        <v>40</v>
      </c>
      <c r="D7478">
        <v>4.1666420000000004</v>
      </c>
      <c r="E7478">
        <v>0.54876020000000003</v>
      </c>
      <c r="F7478" t="s">
        <v>42</v>
      </c>
      <c r="G7478">
        <v>-187.78739999999999</v>
      </c>
      <c r="H7478" s="1">
        <v>-9.2034650000000002E-7</v>
      </c>
      <c r="I7478">
        <v>40.622540000000001</v>
      </c>
      <c r="J7478">
        <v>-187.01849999999999</v>
      </c>
      <c r="K7478">
        <v>1.1103320000000001</v>
      </c>
      <c r="L7478">
        <v>25.00018</v>
      </c>
      <c r="M7478" s="1">
        <v>9.3415769999999999E-5</v>
      </c>
      <c r="N7478">
        <v>-7.7132290000000003E-3</v>
      </c>
      <c r="O7478">
        <v>0.99997029999999998</v>
      </c>
      <c r="P7478">
        <v>-0.14459610000000001</v>
      </c>
      <c r="Q7478">
        <v>0.35211880000000001</v>
      </c>
      <c r="R7478">
        <v>0.9247185</v>
      </c>
      <c r="S7478">
        <v>-0.15892029999999999</v>
      </c>
      <c r="T7478">
        <v>-0.22944690000000001</v>
      </c>
      <c r="U7478">
        <v>3.3061219999999998</v>
      </c>
      <c r="V7478">
        <v>-0.14535509999999999</v>
      </c>
      <c r="W7478">
        <v>0.35896899999999998</v>
      </c>
      <c r="X7478">
        <v>0.92196160000000005</v>
      </c>
      <c r="Y7478">
        <v>-4.8001340000000003E-2</v>
      </c>
      <c r="Z7478">
        <v>-6.1457650000000003E-2</v>
      </c>
      <c r="AA7478">
        <v>0.99695480000000003</v>
      </c>
      <c r="AB7478">
        <v>40</v>
      </c>
      <c r="AC7478">
        <v>-0.76890000000000203</v>
      </c>
      <c r="AD7478">
        <v>-1.11033292034649</v>
      </c>
      <c r="AE7478">
        <v>15.62236</v>
      </c>
      <c r="AF7478">
        <v>-0.76649687668031397</v>
      </c>
      <c r="AG7478">
        <v>-1.11033292034649</v>
      </c>
      <c r="AH7478">
        <v>15.543958842339901</v>
      </c>
      <c r="AI7478">
        <v>94.080858907735205</v>
      </c>
      <c r="AJ7478">
        <v>92.823057605328003</v>
      </c>
      <c r="AK7478">
        <v>15.6024040823305</v>
      </c>
      <c r="AL7478">
        <v>68.963108157116906</v>
      </c>
      <c r="AM7478">
        <v>98.959421035397895</v>
      </c>
      <c r="AN7478">
        <v>1.0000000199657799</v>
      </c>
    </row>
    <row r="7479" spans="1:40" x14ac:dyDescent="0.25">
      <c r="A7479" t="str">
        <f>"20190304164308163"</f>
        <v>20190304164308163</v>
      </c>
      <c r="B7479" t="str">
        <f>"1551688988158175"</f>
        <v>1551688988158175</v>
      </c>
      <c r="C7479" t="s">
        <v>40</v>
      </c>
      <c r="D7479">
        <v>4.118131</v>
      </c>
      <c r="E7479">
        <v>0.54884460000000002</v>
      </c>
      <c r="F7479" t="s">
        <v>42</v>
      </c>
      <c r="G7479">
        <v>-187.76660000000001</v>
      </c>
      <c r="H7479" s="1">
        <v>-1.075328E-6</v>
      </c>
      <c r="I7479">
        <v>41.061700000000002</v>
      </c>
      <c r="J7479">
        <v>-187.01900000000001</v>
      </c>
      <c r="K7479">
        <v>1.1103149999999999</v>
      </c>
      <c r="L7479">
        <v>25.412600000000001</v>
      </c>
      <c r="M7479">
        <v>-5.7741629999999997E-4</v>
      </c>
      <c r="N7479">
        <v>-7.7316989999999999E-3</v>
      </c>
      <c r="O7479">
        <v>0.99997000000000003</v>
      </c>
      <c r="P7479">
        <v>-0.14264830000000001</v>
      </c>
      <c r="Q7479">
        <v>0.35347149999999999</v>
      </c>
      <c r="R7479">
        <v>0.92450489999999996</v>
      </c>
      <c r="S7479">
        <v>-0.1540222</v>
      </c>
      <c r="T7479">
        <v>-0.2286263</v>
      </c>
      <c r="U7479">
        <v>3.3071899999999999</v>
      </c>
      <c r="V7479">
        <v>-0.14277570000000001</v>
      </c>
      <c r="W7479">
        <v>0.36034830000000001</v>
      </c>
      <c r="X7479">
        <v>0.92182649999999999</v>
      </c>
      <c r="Y7479">
        <v>-4.584394E-2</v>
      </c>
      <c r="Z7479">
        <v>-6.1176769999999998E-2</v>
      </c>
      <c r="AA7479">
        <v>0.9970736</v>
      </c>
      <c r="AB7479">
        <v>40</v>
      </c>
      <c r="AC7479">
        <v>-0.74760000000000504</v>
      </c>
      <c r="AD7479">
        <v>-1.1103160753279999</v>
      </c>
      <c r="AE7479">
        <v>15.649100000000001</v>
      </c>
      <c r="AF7479">
        <v>-0.73487262396566799</v>
      </c>
      <c r="AG7479">
        <v>-1.1103160753279999</v>
      </c>
      <c r="AH7479">
        <v>15.571321300364099</v>
      </c>
      <c r="AI7479">
        <v>94.074064349687504</v>
      </c>
      <c r="AJ7479">
        <v>92.702011017341505</v>
      </c>
      <c r="AK7479">
        <v>15.628144054869701</v>
      </c>
      <c r="AL7479">
        <v>68.878410970913507</v>
      </c>
      <c r="AM7479">
        <v>98.804213623186698</v>
      </c>
      <c r="AN7479">
        <v>0.99999994696281302</v>
      </c>
    </row>
    <row r="7480" spans="1:40" x14ac:dyDescent="0.25">
      <c r="A7480" t="str">
        <f>"20190304164308187"</f>
        <v>20190304164308187</v>
      </c>
      <c r="B7480" t="str">
        <f>"1551688988178671"</f>
        <v>1551688988178671</v>
      </c>
      <c r="C7480" t="s">
        <v>40</v>
      </c>
      <c r="D7480">
        <v>4.1415879999999996</v>
      </c>
      <c r="E7480">
        <v>0.54880039999999997</v>
      </c>
      <c r="F7480" t="s">
        <v>42</v>
      </c>
      <c r="G7480">
        <v>-187.75450000000001</v>
      </c>
      <c r="H7480" s="1">
        <v>-1.2957609999999999E-6</v>
      </c>
      <c r="I7480">
        <v>41.700040000000001</v>
      </c>
      <c r="J7480">
        <v>-187.0198</v>
      </c>
      <c r="K7480">
        <v>1.1102970000000001</v>
      </c>
      <c r="L7480">
        <v>25.842739999999999</v>
      </c>
      <c r="M7480">
        <v>-1.2636609999999999E-3</v>
      </c>
      <c r="N7480">
        <v>-7.750486E-3</v>
      </c>
      <c r="O7480">
        <v>0.9999692</v>
      </c>
      <c r="P7480">
        <v>-0.14172860000000001</v>
      </c>
      <c r="Q7480">
        <v>0.35451070000000001</v>
      </c>
      <c r="R7480">
        <v>0.92424850000000003</v>
      </c>
      <c r="S7480">
        <v>-0.1493835</v>
      </c>
      <c r="T7480">
        <v>-0.2255181</v>
      </c>
      <c r="U7480">
        <v>3.3081670000000001</v>
      </c>
      <c r="V7480">
        <v>-0.14120759999999999</v>
      </c>
      <c r="W7480">
        <v>0.36141289999999998</v>
      </c>
      <c r="X7480">
        <v>0.92165129999999995</v>
      </c>
      <c r="Y7480">
        <v>-4.3752869999999999E-2</v>
      </c>
      <c r="Z7480">
        <v>-6.0210800000000002E-2</v>
      </c>
      <c r="AA7480">
        <v>0.99722630000000001</v>
      </c>
      <c r="AB7480">
        <v>40</v>
      </c>
      <c r="AC7480">
        <v>-0.73470000000000302</v>
      </c>
      <c r="AD7480">
        <v>-1.1102982957609999</v>
      </c>
      <c r="AE7480">
        <v>15.8573</v>
      </c>
      <c r="AF7480">
        <v>-0.71118143591009697</v>
      </c>
      <c r="AG7480">
        <v>-1.1102982957609999</v>
      </c>
      <c r="AH7480">
        <v>15.7810144981779</v>
      </c>
      <c r="AI7480">
        <v>94.020436552825501</v>
      </c>
      <c r="AJ7480">
        <v>92.580324815547499</v>
      </c>
      <c r="AK7480">
        <v>15.8360020185669</v>
      </c>
      <c r="AL7480">
        <v>68.813007453531995</v>
      </c>
      <c r="AM7480">
        <v>98.710637981672207</v>
      </c>
      <c r="AN7480">
        <v>0.99999999468792999</v>
      </c>
    </row>
    <row r="7481" spans="1:40" x14ac:dyDescent="0.25">
      <c r="A7481" t="str">
        <f>"20190304164308208"</f>
        <v>20190304164308208</v>
      </c>
      <c r="B7481" t="str">
        <f>"1551688988198191"</f>
        <v>1551688988198191</v>
      </c>
      <c r="C7481" t="s">
        <v>40</v>
      </c>
      <c r="D7481">
        <v>4.1485000000000003</v>
      </c>
      <c r="E7481">
        <v>0.54882010000000003</v>
      </c>
      <c r="F7481" t="s">
        <v>42</v>
      </c>
      <c r="G7481">
        <v>-187.7525</v>
      </c>
      <c r="H7481" s="1">
        <v>-1.5417870000000001E-6</v>
      </c>
      <c r="I7481">
        <v>42.297420000000002</v>
      </c>
      <c r="J7481">
        <v>-187.02090000000001</v>
      </c>
      <c r="K7481">
        <v>1.1102860000000001</v>
      </c>
      <c r="L7481">
        <v>26.237459999999999</v>
      </c>
      <c r="M7481">
        <v>-1.880514E-3</v>
      </c>
      <c r="N7481">
        <v>-7.7674719999999897E-3</v>
      </c>
      <c r="O7481">
        <v>0.99996810000000003</v>
      </c>
      <c r="P7481">
        <v>-0.14130279999999901</v>
      </c>
      <c r="Q7481">
        <v>0.35500670000000001</v>
      </c>
      <c r="R7481">
        <v>0.92412320000000003</v>
      </c>
      <c r="S7481">
        <v>-0.14733889999999999</v>
      </c>
      <c r="T7481">
        <v>-0.223274</v>
      </c>
      <c r="U7481">
        <v>3.308929</v>
      </c>
      <c r="V7481">
        <v>-0.14019679999999901</v>
      </c>
      <c r="W7481">
        <v>0.36193209999999998</v>
      </c>
      <c r="X7481">
        <v>0.92160180000000003</v>
      </c>
      <c r="Y7481">
        <v>-4.2513540000000002E-2</v>
      </c>
      <c r="Z7481">
        <v>-5.9507770000000001E-2</v>
      </c>
      <c r="AA7481">
        <v>0.99732209999999999</v>
      </c>
      <c r="AB7481">
        <v>40</v>
      </c>
      <c r="AC7481">
        <v>-0.73159999999998604</v>
      </c>
      <c r="AD7481">
        <v>-1.110287541787</v>
      </c>
      <c r="AE7481">
        <v>16.05996</v>
      </c>
      <c r="AF7481">
        <v>-0.69806731675290401</v>
      </c>
      <c r="AG7481">
        <v>-1.110287541787</v>
      </c>
      <c r="AH7481">
        <v>15.9850651052678</v>
      </c>
      <c r="AI7481">
        <v>93.969486670981397</v>
      </c>
      <c r="AJ7481">
        <v>92.500516241259305</v>
      </c>
      <c r="AK7481">
        <v>16.038776225878902</v>
      </c>
      <c r="AL7481">
        <v>68.781098102718204</v>
      </c>
      <c r="AM7481">
        <v>98.649688828528596</v>
      </c>
      <c r="AN7481">
        <v>0.99999993275194199</v>
      </c>
    </row>
    <row r="7482" spans="1:40" x14ac:dyDescent="0.25">
      <c r="A7482" t="str">
        <f>"20190304164308230"</f>
        <v>20190304164308230</v>
      </c>
      <c r="B7482" t="str">
        <f>"1551688988218686"</f>
        <v>1551688988218686</v>
      </c>
      <c r="C7482" t="s">
        <v>40</v>
      </c>
      <c r="D7482">
        <v>4.1462450000000004</v>
      </c>
      <c r="E7482">
        <v>0.54880200000000001</v>
      </c>
      <c r="F7482" t="s">
        <v>42</v>
      </c>
      <c r="G7482">
        <v>-187.7484</v>
      </c>
      <c r="H7482" s="1">
        <v>-1.708942E-6</v>
      </c>
      <c r="I7482">
        <v>42.685339999999997</v>
      </c>
      <c r="J7482">
        <v>-187.02199999999999</v>
      </c>
      <c r="K7482">
        <v>1.1102700000000001</v>
      </c>
      <c r="L7482">
        <v>26.618130000000001</v>
      </c>
      <c r="M7482">
        <v>-2.4510069999999998E-3</v>
      </c>
      <c r="N7482">
        <v>-7.7847059999999997E-3</v>
      </c>
      <c r="O7482">
        <v>0.99996669999999999</v>
      </c>
      <c r="P7482">
        <v>-0.13991339999999999</v>
      </c>
      <c r="Q7482">
        <v>0.35566150000000002</v>
      </c>
      <c r="R7482">
        <v>0.92408290000000004</v>
      </c>
      <c r="S7482">
        <v>-0.14639279999999999</v>
      </c>
      <c r="T7482">
        <v>-0.2234197</v>
      </c>
      <c r="U7482">
        <v>3.3097530000000002</v>
      </c>
      <c r="V7482">
        <v>-0.13826089999999999</v>
      </c>
      <c r="W7482">
        <v>0.36261389999999999</v>
      </c>
      <c r="X7482">
        <v>0.92162630000000001</v>
      </c>
      <c r="Y7482">
        <v>-4.1648169999999998E-2</v>
      </c>
      <c r="Z7482">
        <v>-5.9519219999999998E-2</v>
      </c>
      <c r="AA7482">
        <v>0.99735799999999997</v>
      </c>
      <c r="AB7482">
        <v>40</v>
      </c>
      <c r="AC7482">
        <v>-0.72639999999998395</v>
      </c>
      <c r="AD7482">
        <v>-1.110271708942</v>
      </c>
      <c r="AE7482">
        <v>16.067209999999999</v>
      </c>
      <c r="AF7482">
        <v>-0.68375746678146898</v>
      </c>
      <c r="AG7482">
        <v>-1.110271708942</v>
      </c>
      <c r="AH7482">
        <v>15.992731932207899</v>
      </c>
      <c r="AI7482">
        <v>93.967689606297697</v>
      </c>
      <c r="AJ7482">
        <v>92.448147872770804</v>
      </c>
      <c r="AK7482">
        <v>16.045800141984799</v>
      </c>
      <c r="AL7482">
        <v>68.739187876780704</v>
      </c>
      <c r="AM7482">
        <v>98.531796473247496</v>
      </c>
      <c r="AN7482">
        <v>0.99999997689685405</v>
      </c>
    </row>
    <row r="7483" spans="1:40" x14ac:dyDescent="0.25">
      <c r="A7483" t="str">
        <f>"20190304164308252"</f>
        <v>20190304164308252</v>
      </c>
      <c r="B7483" t="str">
        <f>"1551688988248473"</f>
        <v>1551688988248473</v>
      </c>
      <c r="C7483" t="s">
        <v>40</v>
      </c>
      <c r="D7483">
        <v>4.1201999999999996</v>
      </c>
      <c r="E7483">
        <v>0.54874089999999998</v>
      </c>
      <c r="F7483" t="s">
        <v>42</v>
      </c>
      <c r="G7483">
        <v>-187.74109999999999</v>
      </c>
      <c r="H7483" s="1">
        <v>-1.844606E-6</v>
      </c>
      <c r="I7483">
        <v>42.998559999999998</v>
      </c>
      <c r="J7483">
        <v>-187.02340000000001</v>
      </c>
      <c r="K7483">
        <v>1.110242</v>
      </c>
      <c r="L7483">
        <v>27.015139999999999</v>
      </c>
      <c r="M7483">
        <v>-3.000427E-3</v>
      </c>
      <c r="N7483">
        <v>-7.8058479999999998E-3</v>
      </c>
      <c r="O7483">
        <v>0.99996499999999999</v>
      </c>
      <c r="P7483">
        <v>-0.13682520000000001</v>
      </c>
      <c r="Q7483">
        <v>0.35647479999999998</v>
      </c>
      <c r="R7483">
        <v>0.9242319</v>
      </c>
      <c r="S7483">
        <v>-0.14534</v>
      </c>
      <c r="T7483">
        <v>-0.22440869999999999</v>
      </c>
      <c r="U7483">
        <v>3.3108219999999999</v>
      </c>
      <c r="V7483">
        <v>-0.13463459999999999</v>
      </c>
      <c r="W7483">
        <v>0.36346650000000003</v>
      </c>
      <c r="X7483">
        <v>0.92182730000000002</v>
      </c>
      <c r="Y7483">
        <v>-4.0767959999999999E-2</v>
      </c>
      <c r="Z7483">
        <v>-5.977474E-2</v>
      </c>
      <c r="AA7483">
        <v>0.99737909999999996</v>
      </c>
      <c r="AB7483">
        <v>41</v>
      </c>
      <c r="AC7483">
        <v>-0.71769999999997902</v>
      </c>
      <c r="AD7483">
        <v>-1.1102438446059999</v>
      </c>
      <c r="AE7483">
        <v>15.983419999999899</v>
      </c>
      <c r="AF7483">
        <v>-0.66652869189329</v>
      </c>
      <c r="AG7483">
        <v>-1.1102438446059999</v>
      </c>
      <c r="AH7483">
        <v>15.908895556923699</v>
      </c>
      <c r="AI7483">
        <v>93.988575432774695</v>
      </c>
      <c r="AJ7483">
        <v>92.399095491307193</v>
      </c>
      <c r="AK7483">
        <v>15.961511824783701</v>
      </c>
      <c r="AL7483">
        <v>68.686760438918597</v>
      </c>
      <c r="AM7483">
        <v>98.309405007894398</v>
      </c>
      <c r="AN7483">
        <v>0.99999997158234899</v>
      </c>
    </row>
    <row r="7484" spans="1:40" x14ac:dyDescent="0.25">
      <c r="A7484" t="str">
        <f>"20190304164308275"</f>
        <v>20190304164308275</v>
      </c>
      <c r="B7484" t="str">
        <f>"1551688988268968"</f>
        <v>1551688988268968</v>
      </c>
      <c r="C7484" t="s">
        <v>40</v>
      </c>
      <c r="D7484">
        <v>4.1792759999999998</v>
      </c>
      <c r="E7484">
        <v>0.54869380000000001</v>
      </c>
      <c r="F7484" t="s">
        <v>42</v>
      </c>
      <c r="G7484">
        <v>-187.73429999999999</v>
      </c>
      <c r="H7484" s="1">
        <v>-2.0509830000000001E-6</v>
      </c>
      <c r="I7484">
        <v>43.47683</v>
      </c>
      <c r="J7484">
        <v>-187.02510000000001</v>
      </c>
      <c r="K7484">
        <v>1.110188</v>
      </c>
      <c r="L7484">
        <v>27.447780000000002</v>
      </c>
      <c r="M7484">
        <v>-3.5221580000000001E-3</v>
      </c>
      <c r="N7484">
        <v>-7.8314999999999999E-3</v>
      </c>
      <c r="O7484">
        <v>0.99996309999999999</v>
      </c>
      <c r="P7484">
        <v>-0.13215189999999999</v>
      </c>
      <c r="Q7484">
        <v>0.35759819999999998</v>
      </c>
      <c r="R7484">
        <v>0.92447789999999996</v>
      </c>
      <c r="S7484">
        <v>-0.14297489999999999</v>
      </c>
      <c r="T7484">
        <v>-0.22329950000000001</v>
      </c>
      <c r="U7484">
        <v>3.310883</v>
      </c>
      <c r="V7484">
        <v>-0.12942980000000001</v>
      </c>
      <c r="W7484">
        <v>0.36464170000000001</v>
      </c>
      <c r="X7484">
        <v>0.9221087</v>
      </c>
      <c r="Y7484">
        <v>-3.9535969999999997E-2</v>
      </c>
      <c r="Z7484">
        <v>-5.9417900000000003E-2</v>
      </c>
      <c r="AA7484">
        <v>0.9974499</v>
      </c>
      <c r="AB7484">
        <v>41</v>
      </c>
      <c r="AC7484">
        <v>-0.70919999999998096</v>
      </c>
      <c r="AD7484">
        <v>-1.1101900509830001</v>
      </c>
      <c r="AE7484">
        <v>16.029050000000002</v>
      </c>
      <c r="AF7484">
        <v>-0.64962678251016504</v>
      </c>
      <c r="AG7484">
        <v>-1.1101900509830001</v>
      </c>
      <c r="AH7484">
        <v>15.955060021876999</v>
      </c>
      <c r="AI7484">
        <v>93.977072858664002</v>
      </c>
      <c r="AJ7484">
        <v>92.331569112331195</v>
      </c>
      <c r="AK7484">
        <v>16.0068259566834</v>
      </c>
      <c r="AL7484">
        <v>68.614467111872699</v>
      </c>
      <c r="AM7484">
        <v>97.989999191414</v>
      </c>
      <c r="AN7484">
        <v>1.0000000485613001</v>
      </c>
    </row>
    <row r="7485" spans="1:40" x14ac:dyDescent="0.25">
      <c r="A7485" t="str">
        <f>"20190304164308297"</f>
        <v>20190304164308297</v>
      </c>
      <c r="B7485" t="str">
        <f>"1551688988288488"</f>
        <v>1551688988288488</v>
      </c>
      <c r="C7485" t="s">
        <v>40</v>
      </c>
      <c r="D7485">
        <v>4.1625769999999997</v>
      </c>
      <c r="E7485">
        <v>0.54859559999999996</v>
      </c>
      <c r="F7485" t="s">
        <v>42</v>
      </c>
      <c r="G7485">
        <v>-187.7021</v>
      </c>
      <c r="H7485" s="1">
        <v>-2.2612890000000002E-6</v>
      </c>
      <c r="I7485">
        <v>43.953740000000003</v>
      </c>
      <c r="J7485">
        <v>-187.02680000000001</v>
      </c>
      <c r="K7485">
        <v>1.1101209999999999</v>
      </c>
      <c r="L7485">
        <v>27.842829999999999</v>
      </c>
      <c r="M7485">
        <v>-3.9058489999999999E-3</v>
      </c>
      <c r="N7485">
        <v>-7.8554709999999993E-3</v>
      </c>
      <c r="O7485">
        <v>0.99996149999999995</v>
      </c>
      <c r="P7485">
        <v>-0.12894620000000001</v>
      </c>
      <c r="Q7485">
        <v>0.3587495</v>
      </c>
      <c r="R7485">
        <v>0.92448459999999999</v>
      </c>
      <c r="S7485">
        <v>-0.1358337</v>
      </c>
      <c r="T7485">
        <v>-0.22275349999999999</v>
      </c>
      <c r="U7485">
        <v>3.3118289999999999</v>
      </c>
      <c r="V7485">
        <v>-0.12580759999999999</v>
      </c>
      <c r="W7485">
        <v>0.365842</v>
      </c>
      <c r="X7485">
        <v>0.92213449999999997</v>
      </c>
      <c r="Y7485">
        <v>-3.6994449999999998E-2</v>
      </c>
      <c r="Z7485">
        <v>-5.9217359999999997E-2</v>
      </c>
      <c r="AA7485">
        <v>0.99755939999999999</v>
      </c>
      <c r="AB7485">
        <v>41</v>
      </c>
      <c r="AC7485">
        <v>-0.67529999999999202</v>
      </c>
      <c r="AD7485">
        <v>-1.110123261289</v>
      </c>
      <c r="AE7485">
        <v>16.110910000000001</v>
      </c>
      <c r="AF7485">
        <v>-0.60947745664539499</v>
      </c>
      <c r="AG7485">
        <v>-1.110123261289</v>
      </c>
      <c r="AH7485">
        <v>16.0374141855253</v>
      </c>
      <c r="AI7485">
        <v>93.956898280672803</v>
      </c>
      <c r="AJ7485">
        <v>92.176391321938894</v>
      </c>
      <c r="AK7485">
        <v>16.087339437691401</v>
      </c>
      <c r="AL7485">
        <v>68.5405895120834</v>
      </c>
      <c r="AM7485">
        <v>97.768947126186703</v>
      </c>
      <c r="AN7485">
        <v>0.99999997863600398</v>
      </c>
    </row>
    <row r="7486" spans="1:40" x14ac:dyDescent="0.25">
      <c r="A7486" t="str">
        <f>"20190304164308319"</f>
        <v>20190304164308319</v>
      </c>
      <c r="B7486" t="str">
        <f>"1551688988308983"</f>
        <v>1551688988308983</v>
      </c>
      <c r="C7486" t="s">
        <v>40</v>
      </c>
      <c r="D7486">
        <v>4.1696609999999996</v>
      </c>
      <c r="E7486">
        <v>0.54850429999999994</v>
      </c>
      <c r="F7486" t="s">
        <v>42</v>
      </c>
      <c r="G7486">
        <v>-187.684</v>
      </c>
      <c r="H7486" s="1">
        <v>-2.509373E-6</v>
      </c>
      <c r="I7486">
        <v>44.524540000000002</v>
      </c>
      <c r="J7486">
        <v>-187.02860000000001</v>
      </c>
      <c r="K7486">
        <v>1.110039</v>
      </c>
      <c r="L7486">
        <v>28.252379999999999</v>
      </c>
      <c r="M7486">
        <v>-4.2039340000000003E-3</v>
      </c>
      <c r="N7486">
        <v>-7.8825890000000006E-3</v>
      </c>
      <c r="O7486">
        <v>0.99996010000000002</v>
      </c>
      <c r="P7486">
        <v>-0.12762399999999999</v>
      </c>
      <c r="Q7486">
        <v>0.35952600000000001</v>
      </c>
      <c r="R7486">
        <v>0.92436640000000003</v>
      </c>
      <c r="S7486">
        <v>-0.1304932</v>
      </c>
      <c r="T7486">
        <v>-0.22042999999999999</v>
      </c>
      <c r="U7486">
        <v>3.3123779999999998</v>
      </c>
      <c r="V7486">
        <v>-0.1241352</v>
      </c>
      <c r="W7486">
        <v>0.36667080000000002</v>
      </c>
      <c r="X7486">
        <v>0.92203199999999996</v>
      </c>
      <c r="Y7486">
        <v>-3.5086249999999999E-2</v>
      </c>
      <c r="Z7486">
        <v>-5.8486950000000003E-2</v>
      </c>
      <c r="AA7486">
        <v>0.99767139999999999</v>
      </c>
      <c r="AB7486">
        <v>41</v>
      </c>
      <c r="AC7486">
        <v>-0.65540000000001397</v>
      </c>
      <c r="AD7486">
        <v>-1.1100415093730001</v>
      </c>
      <c r="AE7486">
        <v>16.27216</v>
      </c>
      <c r="AF7486">
        <v>-0.58427044566168496</v>
      </c>
      <c r="AG7486">
        <v>-1.1100415093730001</v>
      </c>
      <c r="AH7486">
        <v>16.199507791162599</v>
      </c>
      <c r="AI7486">
        <v>93.917421193285193</v>
      </c>
      <c r="AJ7486">
        <v>92.065601413979394</v>
      </c>
      <c r="AK7486">
        <v>16.248003470646601</v>
      </c>
      <c r="AL7486">
        <v>68.489557548106006</v>
      </c>
      <c r="AM7486">
        <v>97.667750767710999</v>
      </c>
      <c r="AN7486">
        <v>1.00000001623783</v>
      </c>
    </row>
    <row r="7487" spans="1:40" x14ac:dyDescent="0.25">
      <c r="A7487" t="str">
        <f>"20190304164308340"</f>
        <v>20190304164308340</v>
      </c>
      <c r="B7487" t="str">
        <f>"1551688988328504"</f>
        <v>1551688988328504</v>
      </c>
      <c r="C7487" t="s">
        <v>40</v>
      </c>
      <c r="D7487">
        <v>4.1595740000000001</v>
      </c>
      <c r="E7487">
        <v>0.54600919999999997</v>
      </c>
      <c r="F7487" t="s">
        <v>42</v>
      </c>
      <c r="G7487">
        <v>-187.6799</v>
      </c>
      <c r="H7487" s="1">
        <v>-2.7475899999999999E-6</v>
      </c>
      <c r="I7487">
        <v>45.078139999999998</v>
      </c>
      <c r="J7487">
        <v>-187.03030000000001</v>
      </c>
      <c r="K7487">
        <v>1.109958</v>
      </c>
      <c r="L7487">
        <v>28.63531</v>
      </c>
      <c r="M7487">
        <v>-4.3988330000000004E-3</v>
      </c>
      <c r="N7487">
        <v>-7.911052E-3</v>
      </c>
      <c r="O7487">
        <v>0.99995909999999999</v>
      </c>
      <c r="P7487">
        <v>-0.12765360000000001</v>
      </c>
      <c r="Q7487">
        <v>0.3607322</v>
      </c>
      <c r="R7487">
        <v>0.9238923</v>
      </c>
      <c r="S7487">
        <v>-0.12823490000000001</v>
      </c>
      <c r="T7487">
        <v>-0.21855289999999999</v>
      </c>
      <c r="U7487">
        <v>3.3127749999999998</v>
      </c>
      <c r="V7487">
        <v>-0.1239167</v>
      </c>
      <c r="W7487">
        <v>0.36792409999999998</v>
      </c>
      <c r="X7487">
        <v>0.92156199999999999</v>
      </c>
      <c r="Y7487">
        <v>-3.4209330000000003E-2</v>
      </c>
      <c r="Z7487">
        <v>-5.7889650000000001E-2</v>
      </c>
      <c r="AA7487">
        <v>0.99773670000000003</v>
      </c>
      <c r="AB7487">
        <v>41</v>
      </c>
      <c r="AC7487">
        <v>-0.64959999999999196</v>
      </c>
      <c r="AD7487">
        <v>-1.10996074759</v>
      </c>
      <c r="AE7487">
        <v>16.442830000000001</v>
      </c>
      <c r="AF7487">
        <v>-0.57464770607030102</v>
      </c>
      <c r="AG7487">
        <v>-1.10996074759</v>
      </c>
      <c r="AH7487">
        <v>16.3710447856188</v>
      </c>
      <c r="AI7487">
        <v>93.876351431151406</v>
      </c>
      <c r="AJ7487">
        <v>92.010340591489495</v>
      </c>
      <c r="AK7487">
        <v>16.418688748496901</v>
      </c>
      <c r="AL7487">
        <v>68.412352137015603</v>
      </c>
      <c r="AM7487">
        <v>97.658271779562696</v>
      </c>
      <c r="AN7487">
        <v>1.0000000058718499</v>
      </c>
    </row>
    <row r="7488" spans="1:40" x14ac:dyDescent="0.25">
      <c r="A7488" t="str">
        <f>"20190304164308365"</f>
        <v>20190304164308365</v>
      </c>
      <c r="B7488" t="str">
        <f>"1551688988358292"</f>
        <v>1551688988358292</v>
      </c>
      <c r="C7488" t="s">
        <v>40</v>
      </c>
      <c r="D7488">
        <v>4.180593</v>
      </c>
      <c r="E7488">
        <v>0.54597229999999997</v>
      </c>
      <c r="F7488" t="s">
        <v>42</v>
      </c>
      <c r="G7488">
        <v>-187.72710000000001</v>
      </c>
      <c r="H7488" s="1">
        <v>-2.3180020000000001E-6</v>
      </c>
      <c r="I7488">
        <v>44.096290000000003</v>
      </c>
      <c r="J7488">
        <v>-187.03229999999999</v>
      </c>
      <c r="K7488">
        <v>1.109883</v>
      </c>
      <c r="L7488">
        <v>29.075869999999998</v>
      </c>
      <c r="M7488">
        <v>-4.5339450000000002E-3</v>
      </c>
      <c r="N7488">
        <v>-7.9485800000000002E-3</v>
      </c>
      <c r="O7488">
        <v>0.99995820000000002</v>
      </c>
      <c r="P7488">
        <v>-0.12793089999999999</v>
      </c>
      <c r="Q7488">
        <v>0.36166320000000002</v>
      </c>
      <c r="R7488">
        <v>0.92348980000000003</v>
      </c>
      <c r="S7488">
        <v>-0.14961240000000001</v>
      </c>
      <c r="T7488">
        <v>-0.23831189999999999</v>
      </c>
      <c r="U7488">
        <v>3.3195190000000001</v>
      </c>
      <c r="V7488">
        <v>-0.1239968</v>
      </c>
      <c r="W7488">
        <v>0.3689114</v>
      </c>
      <c r="X7488">
        <v>0.92115650000000004</v>
      </c>
      <c r="Y7488">
        <v>-4.0390870000000002E-2</v>
      </c>
      <c r="Z7488">
        <v>-6.3610710000000001E-2</v>
      </c>
      <c r="AA7488">
        <v>0.99715710000000002</v>
      </c>
      <c r="AB7488">
        <v>41</v>
      </c>
      <c r="AC7488">
        <v>-0.69480000000001496</v>
      </c>
      <c r="AD7488">
        <v>-1.1098853180020001</v>
      </c>
      <c r="AE7488">
        <v>15.02042</v>
      </c>
      <c r="AF7488">
        <v>-0.62329304406789898</v>
      </c>
      <c r="AG7488">
        <v>-1.1098853180020001</v>
      </c>
      <c r="AH7488">
        <v>14.9420068331435</v>
      </c>
      <c r="AI7488">
        <v>94.244424733427607</v>
      </c>
      <c r="AJ7488">
        <v>92.388659635562703</v>
      </c>
      <c r="AK7488">
        <v>14.996129762028801</v>
      </c>
      <c r="AL7488">
        <v>68.351505258801396</v>
      </c>
      <c r="AM7488">
        <v>97.666496565597697</v>
      </c>
      <c r="AN7488">
        <v>1.00000006247622</v>
      </c>
    </row>
    <row r="7489" spans="1:40" x14ac:dyDescent="0.25">
      <c r="A7489" t="str">
        <f>"20190304164308388"</f>
        <v>20190304164308388</v>
      </c>
      <c r="B7489" t="str">
        <f>"1551688988378789"</f>
        <v>1551688988378789</v>
      </c>
      <c r="C7489" t="s">
        <v>40</v>
      </c>
      <c r="D7489">
        <v>4.1480779999999999</v>
      </c>
      <c r="E7489">
        <v>0.54588570000000003</v>
      </c>
      <c r="F7489" t="s">
        <v>42</v>
      </c>
      <c r="G7489">
        <v>-187.74270000000001</v>
      </c>
      <c r="H7489" s="1">
        <v>-2.6672219999999998E-6</v>
      </c>
      <c r="I7489">
        <v>44.916789999999999</v>
      </c>
      <c r="J7489">
        <v>-187.0343</v>
      </c>
      <c r="K7489">
        <v>1.1098140000000001</v>
      </c>
      <c r="L7489">
        <v>29.51031</v>
      </c>
      <c r="M7489">
        <v>-4.5890640000000003E-3</v>
      </c>
      <c r="N7489">
        <v>-7.9884250000000004E-3</v>
      </c>
      <c r="O7489">
        <v>0.9999576</v>
      </c>
      <c r="P7489">
        <v>-0.12779479999999999</v>
      </c>
      <c r="Q7489">
        <v>0.36209550000000001</v>
      </c>
      <c r="R7489">
        <v>0.92333920000000003</v>
      </c>
      <c r="S7489">
        <v>-0.1488495</v>
      </c>
      <c r="T7489">
        <v>-0.2325441</v>
      </c>
      <c r="U7489">
        <v>3.319</v>
      </c>
      <c r="V7489">
        <v>-0.123749499999999</v>
      </c>
      <c r="W7489">
        <v>0.36940020000000001</v>
      </c>
      <c r="X7489">
        <v>0.92099379999999997</v>
      </c>
      <c r="Y7489">
        <v>-4.011928E-2</v>
      </c>
      <c r="Z7489">
        <v>-6.1858679999999999E-2</v>
      </c>
      <c r="AA7489">
        <v>0.99727829999999995</v>
      </c>
      <c r="AB7489">
        <v>41</v>
      </c>
      <c r="AC7489">
        <v>-0.70840000000001102</v>
      </c>
      <c r="AD7489">
        <v>-1.10981666722199</v>
      </c>
      <c r="AE7489">
        <v>15.40648</v>
      </c>
      <c r="AF7489">
        <v>-0.63440389699298405</v>
      </c>
      <c r="AG7489">
        <v>-1.10981666722199</v>
      </c>
      <c r="AH7489">
        <v>15.3301860641541</v>
      </c>
      <c r="AI7489">
        <v>94.137130353599602</v>
      </c>
      <c r="AJ7489">
        <v>92.3696997295241</v>
      </c>
      <c r="AK7489">
        <v>15.383392541989799</v>
      </c>
      <c r="AL7489">
        <v>68.321369472425204</v>
      </c>
      <c r="AM7489">
        <v>97.652723424566801</v>
      </c>
      <c r="AN7489">
        <v>1.00000001307436</v>
      </c>
    </row>
    <row r="7490" spans="1:40" x14ac:dyDescent="0.25">
      <c r="A7490" t="str">
        <f>"20190304164308410"</f>
        <v>20190304164308410</v>
      </c>
      <c r="B7490" t="str">
        <f>"1551688988398308"</f>
        <v>1551688988398308</v>
      </c>
      <c r="C7490" t="s">
        <v>40</v>
      </c>
      <c r="D7490">
        <v>4.1734150000000003</v>
      </c>
      <c r="E7490">
        <v>0.54576059999999904</v>
      </c>
      <c r="F7490" t="s">
        <v>42</v>
      </c>
      <c r="G7490">
        <v>-187.756</v>
      </c>
      <c r="H7490" s="1">
        <v>-2.9380629999999999E-6</v>
      </c>
      <c r="I7490">
        <v>45.553600000000003</v>
      </c>
      <c r="J7490">
        <v>-187.0361</v>
      </c>
      <c r="K7490">
        <v>1.1097680000000001</v>
      </c>
      <c r="L7490">
        <v>29.9223</v>
      </c>
      <c r="M7490">
        <v>-4.5920889999999997E-3</v>
      </c>
      <c r="N7490">
        <v>-8.0260950000000005E-3</v>
      </c>
      <c r="O7490">
        <v>0.99995730000000005</v>
      </c>
      <c r="P7490">
        <v>-0.1268571</v>
      </c>
      <c r="Q7490">
        <v>0.3619657</v>
      </c>
      <c r="R7490">
        <v>0.92351939999999999</v>
      </c>
      <c r="S7490">
        <v>-0.14927670000000001</v>
      </c>
      <c r="T7490">
        <v>-0.2295586</v>
      </c>
      <c r="U7490">
        <v>3.318451</v>
      </c>
      <c r="V7490">
        <v>-0.1227606</v>
      </c>
      <c r="W7490">
        <v>0.36932219999999999</v>
      </c>
      <c r="X7490">
        <v>0.92115740000000002</v>
      </c>
      <c r="Y7490">
        <v>-4.0254369999999998E-2</v>
      </c>
      <c r="Z7490">
        <v>-6.0939390000000003E-2</v>
      </c>
      <c r="AA7490">
        <v>0.99732940000000003</v>
      </c>
      <c r="AB7490">
        <v>41</v>
      </c>
      <c r="AC7490">
        <v>-0.71989999999996701</v>
      </c>
      <c r="AD7490">
        <v>-1.1097709380630001</v>
      </c>
      <c r="AE7490">
        <v>15.6313</v>
      </c>
      <c r="AF7490">
        <v>-0.64486619036181303</v>
      </c>
      <c r="AG7490">
        <v>-1.1097709380630001</v>
      </c>
      <c r="AH7490">
        <v>15.5561955692016</v>
      </c>
      <c r="AI7490">
        <v>94.077048487043101</v>
      </c>
      <c r="AJ7490">
        <v>92.373778885280601</v>
      </c>
      <c r="AK7490">
        <v>15.609057131219901</v>
      </c>
      <c r="AL7490">
        <v>68.326178409707396</v>
      </c>
      <c r="AM7490">
        <v>97.590952907683501</v>
      </c>
      <c r="AN7490">
        <v>1.0000000039499799</v>
      </c>
    </row>
    <row r="7491" spans="1:40" x14ac:dyDescent="0.25">
      <c r="A7491" t="str">
        <f>"20190304164308433"</f>
        <v>20190304164308433</v>
      </c>
      <c r="B7491" t="str">
        <f>"1551688988428564"</f>
        <v>1551688988428564</v>
      </c>
      <c r="C7491" t="s">
        <v>40</v>
      </c>
      <c r="D7491">
        <v>4.157108</v>
      </c>
      <c r="E7491">
        <v>0.54572129999999996</v>
      </c>
      <c r="F7491" t="s">
        <v>42</v>
      </c>
      <c r="G7491">
        <v>-187.7552</v>
      </c>
      <c r="H7491" s="1">
        <v>-3.1215789999999999E-6</v>
      </c>
      <c r="I7491">
        <v>45.981050000000003</v>
      </c>
      <c r="J7491">
        <v>-187.03800000000001</v>
      </c>
      <c r="K7491">
        <v>1.1097300000000001</v>
      </c>
      <c r="L7491">
        <v>30.335170000000002</v>
      </c>
      <c r="M7491">
        <v>-4.5626540000000002E-3</v>
      </c>
      <c r="N7491">
        <v>-8.0624659999999904E-3</v>
      </c>
      <c r="O7491">
        <v>0.99995710000000004</v>
      </c>
      <c r="P7491">
        <v>-0.1252278</v>
      </c>
      <c r="Q7491">
        <v>0.36251709999999998</v>
      </c>
      <c r="R7491">
        <v>0.9235255</v>
      </c>
      <c r="S7491">
        <v>-0.14855960000000001</v>
      </c>
      <c r="T7491">
        <v>-0.2292901</v>
      </c>
      <c r="U7491">
        <v>3.3179020000000001</v>
      </c>
      <c r="V7491">
        <v>-0.12112000000000001</v>
      </c>
      <c r="W7491">
        <v>0.36992069999999999</v>
      </c>
      <c r="X7491">
        <v>0.92113440000000002</v>
      </c>
      <c r="Y7491">
        <v>-4.007633E-2</v>
      </c>
      <c r="Z7491">
        <v>-6.0834729999999997E-2</v>
      </c>
      <c r="AA7491">
        <v>0.99734299999999998</v>
      </c>
      <c r="AB7491">
        <v>41</v>
      </c>
      <c r="AC7491">
        <v>-0.71720000000001904</v>
      </c>
      <c r="AD7491">
        <v>-1.1097331215789901</v>
      </c>
      <c r="AE7491">
        <v>15.64588</v>
      </c>
      <c r="AF7491">
        <v>-0.64257757655418102</v>
      </c>
      <c r="AG7491">
        <v>-1.1097331215789901</v>
      </c>
      <c r="AH7491">
        <v>15.570820136681199</v>
      </c>
      <c r="AI7491">
        <v>94.073124929571193</v>
      </c>
      <c r="AJ7491">
        <v>92.363144890884797</v>
      </c>
      <c r="AK7491">
        <v>15.623535236043599</v>
      </c>
      <c r="AL7491">
        <v>68.289272830164407</v>
      </c>
      <c r="AM7491">
        <v>97.490850312044799</v>
      </c>
      <c r="AN7491">
        <v>0.999999980775924</v>
      </c>
    </row>
    <row r="7492" spans="1:40" x14ac:dyDescent="0.25">
      <c r="A7492" t="str">
        <f>"20190304164308464"</f>
        <v>20190304164308464</v>
      </c>
      <c r="B7492" t="str">
        <f>"1551688988458145"</f>
        <v>1551688988458145</v>
      </c>
      <c r="C7492" t="s">
        <v>40</v>
      </c>
      <c r="D7492">
        <v>4.1486489999999998</v>
      </c>
      <c r="E7492">
        <v>0.54564709999999905</v>
      </c>
      <c r="F7492" t="s">
        <v>42</v>
      </c>
      <c r="G7492">
        <v>-187.7466</v>
      </c>
      <c r="H7492" s="1">
        <v>-3.3732000000000002E-6</v>
      </c>
      <c r="I7492">
        <v>46.564039999999999</v>
      </c>
      <c r="J7492">
        <v>-187.04060000000001</v>
      </c>
      <c r="K7492">
        <v>1.1096980000000001</v>
      </c>
      <c r="L7492">
        <v>30.91846</v>
      </c>
      <c r="M7492">
        <v>-4.493782E-3</v>
      </c>
      <c r="N7492">
        <v>-8.1109430000000007E-3</v>
      </c>
      <c r="O7492">
        <v>0.99995699999999998</v>
      </c>
      <c r="P7492">
        <v>-0.1248186</v>
      </c>
      <c r="Q7492">
        <v>0.36416690000000002</v>
      </c>
      <c r="R7492">
        <v>0.92293159999999996</v>
      </c>
      <c r="S7492">
        <v>-0.14486689999999999</v>
      </c>
      <c r="T7492">
        <v>-0.22687470000000001</v>
      </c>
      <c r="U7492">
        <v>3.317841</v>
      </c>
      <c r="V7492">
        <v>-0.1207346</v>
      </c>
      <c r="W7492">
        <v>0.37162440000000002</v>
      </c>
      <c r="X7492">
        <v>0.92049899999999996</v>
      </c>
      <c r="Y7492">
        <v>-3.9040489999999997E-2</v>
      </c>
      <c r="Z7492">
        <v>-6.006806E-2</v>
      </c>
      <c r="AA7492">
        <v>0.99743059999999995</v>
      </c>
      <c r="AB7492">
        <v>41</v>
      </c>
      <c r="AC7492">
        <v>-0.70599999999998797</v>
      </c>
      <c r="AD7492">
        <v>-1.1097013731999901</v>
      </c>
      <c r="AE7492">
        <v>15.645580000000001</v>
      </c>
      <c r="AF7492">
        <v>-0.63250724005817605</v>
      </c>
      <c r="AG7492">
        <v>-1.1097013731999901</v>
      </c>
      <c r="AH7492">
        <v>15.5704236839982</v>
      </c>
      <c r="AI7492">
        <v>94.073219298362304</v>
      </c>
      <c r="AJ7492">
        <v>92.326210365095207</v>
      </c>
      <c r="AK7492">
        <v>15.6227269145185</v>
      </c>
      <c r="AL7492">
        <v>68.184166227082301</v>
      </c>
      <c r="AM7492">
        <v>97.472380348694401</v>
      </c>
      <c r="AN7492">
        <v>0.99999997365675897</v>
      </c>
    </row>
    <row r="7493" spans="1:40" x14ac:dyDescent="0.25">
      <c r="A7493" t="str">
        <f>"20190304164308487"</f>
        <v>20190304164308487</v>
      </c>
      <c r="B7493" t="str">
        <f>"1551688988478641"</f>
        <v>1551688988478641</v>
      </c>
      <c r="C7493" t="s">
        <v>40</v>
      </c>
      <c r="D7493">
        <v>4.1728990000000001</v>
      </c>
      <c r="E7493">
        <v>0.54555799999999999</v>
      </c>
      <c r="F7493" t="s">
        <v>42</v>
      </c>
      <c r="G7493">
        <v>-187.75810000000001</v>
      </c>
      <c r="H7493" s="1">
        <v>-3.7912490000000001E-6</v>
      </c>
      <c r="I7493">
        <v>47.543289999999999</v>
      </c>
      <c r="J7493">
        <v>-187.04249999999999</v>
      </c>
      <c r="K7493">
        <v>1.1096710000000001</v>
      </c>
      <c r="L7493">
        <v>31.33765</v>
      </c>
      <c r="M7493">
        <v>-4.4387970000000004E-3</v>
      </c>
      <c r="N7493">
        <v>-8.1434650000000008E-3</v>
      </c>
      <c r="O7493">
        <v>0.99995699999999998</v>
      </c>
      <c r="P7493">
        <v>-0.1247916</v>
      </c>
      <c r="Q7493">
        <v>0.36482520000000002</v>
      </c>
      <c r="R7493">
        <v>0.92267529999999998</v>
      </c>
      <c r="S7493">
        <v>-0.14321900000000001</v>
      </c>
      <c r="T7493">
        <v>-0.2215115</v>
      </c>
      <c r="U7493">
        <v>3.3185419999999999</v>
      </c>
      <c r="V7493">
        <v>-0.1207353</v>
      </c>
      <c r="W7493">
        <v>0.37231799999999998</v>
      </c>
      <c r="X7493">
        <v>0.9202186</v>
      </c>
      <c r="Y7493">
        <v>-3.8596440000000003E-2</v>
      </c>
      <c r="Z7493">
        <v>-5.8417990000000003E-2</v>
      </c>
      <c r="AA7493">
        <v>0.99754580000000004</v>
      </c>
      <c r="AB7493">
        <v>41</v>
      </c>
      <c r="AC7493">
        <v>-0.715600000000023</v>
      </c>
      <c r="AD7493">
        <v>-1.1096747912489999</v>
      </c>
      <c r="AE7493">
        <v>16.205639999999999</v>
      </c>
      <c r="AF7493">
        <v>-0.64065896142893697</v>
      </c>
      <c r="AG7493">
        <v>-1.1096747912489999</v>
      </c>
      <c r="AH7493">
        <v>16.1331593616157</v>
      </c>
      <c r="AI7493">
        <v>93.931645592618594</v>
      </c>
      <c r="AJ7493">
        <v>92.274060342346402</v>
      </c>
      <c r="AK7493">
        <v>16.183962834685499</v>
      </c>
      <c r="AL7493">
        <v>68.141354185391705</v>
      </c>
      <c r="AM7493">
        <v>97.474674363746701</v>
      </c>
      <c r="AN7493">
        <v>0.99999998878802399</v>
      </c>
    </row>
    <row r="7494" spans="1:40" x14ac:dyDescent="0.25">
      <c r="A7494" t="str">
        <f>"20190304164308508"</f>
        <v>20190304164308508</v>
      </c>
      <c r="B7494" t="str">
        <f>"1551688988498160"</f>
        <v>1551688988498160</v>
      </c>
      <c r="C7494" t="s">
        <v>40</v>
      </c>
      <c r="D7494">
        <v>4.1737159999999998</v>
      </c>
      <c r="E7494">
        <v>0.54541519999999899</v>
      </c>
      <c r="F7494" t="s">
        <v>42</v>
      </c>
      <c r="G7494">
        <v>-187.75989999999999</v>
      </c>
      <c r="H7494" s="1">
        <v>-4.0323000000000003E-6</v>
      </c>
      <c r="I7494">
        <v>48.105919999999998</v>
      </c>
      <c r="J7494">
        <v>-187.04429999999999</v>
      </c>
      <c r="K7494">
        <v>1.1096549999999901</v>
      </c>
      <c r="L7494">
        <v>31.743410000000001</v>
      </c>
      <c r="M7494">
        <v>-4.3872379999999999E-3</v>
      </c>
      <c r="N7494">
        <v>-8.1731630000000006E-3</v>
      </c>
      <c r="O7494">
        <v>0.99995699999999998</v>
      </c>
      <c r="P7494">
        <v>-0.1245241</v>
      </c>
      <c r="Q7494">
        <v>0.3649791</v>
      </c>
      <c r="R7494">
        <v>0.92265050000000004</v>
      </c>
      <c r="S7494">
        <v>-0.14199829999999999</v>
      </c>
      <c r="T7494">
        <v>-0.2196457</v>
      </c>
      <c r="U7494">
        <v>3.319061</v>
      </c>
      <c r="V7494">
        <v>-0.12049559999999999</v>
      </c>
      <c r="W7494">
        <v>0.37250559999999999</v>
      </c>
      <c r="X7494">
        <v>0.92017409999999999</v>
      </c>
      <c r="Y7494">
        <v>-3.8276650000000002E-2</v>
      </c>
      <c r="Z7494">
        <v>-5.7820669999999998E-2</v>
      </c>
      <c r="AA7494">
        <v>0.9975929</v>
      </c>
      <c r="AB7494">
        <v>41</v>
      </c>
      <c r="AC7494">
        <v>-0.71559999999999402</v>
      </c>
      <c r="AD7494">
        <v>-1.10965903229999</v>
      </c>
      <c r="AE7494">
        <v>16.36251</v>
      </c>
      <c r="AF7494">
        <v>-0.64086268268412205</v>
      </c>
      <c r="AG7494">
        <v>-1.10965903229999</v>
      </c>
      <c r="AH7494">
        <v>16.290711444896399</v>
      </c>
      <c r="AI7494">
        <v>93.893740857135995</v>
      </c>
      <c r="AJ7494">
        <v>92.2528054147284</v>
      </c>
      <c r="AK7494">
        <v>16.3410320214759</v>
      </c>
      <c r="AL7494">
        <v>68.129772486997396</v>
      </c>
      <c r="AM7494">
        <v>97.460358645976797</v>
      </c>
      <c r="AN7494">
        <v>0.99999999298076503</v>
      </c>
    </row>
    <row r="7495" spans="1:40" x14ac:dyDescent="0.25">
      <c r="A7495" t="str">
        <f>"20190304164308530"</f>
        <v>20190304164308530</v>
      </c>
      <c r="B7495" t="str">
        <f>"1551688988518656"</f>
        <v>1551688988518656</v>
      </c>
      <c r="C7495" t="s">
        <v>40</v>
      </c>
      <c r="D7495">
        <v>4.167567</v>
      </c>
      <c r="E7495">
        <v>0.54523739999999998</v>
      </c>
      <c r="F7495" t="s">
        <v>42</v>
      </c>
      <c r="G7495">
        <v>-187.75450000000001</v>
      </c>
      <c r="H7495" s="1">
        <v>-4.1864189999999997E-6</v>
      </c>
      <c r="I7495">
        <v>48.462940000000003</v>
      </c>
      <c r="J7495">
        <v>-187.0461</v>
      </c>
      <c r="K7495">
        <v>1.109632</v>
      </c>
      <c r="L7495">
        <v>32.138579999999997</v>
      </c>
      <c r="M7495">
        <v>-4.3405919999999999E-3</v>
      </c>
      <c r="N7495">
        <v>-8.2003639999999999E-3</v>
      </c>
      <c r="O7495">
        <v>0.99995699999999998</v>
      </c>
      <c r="P7495">
        <v>-0.1241324</v>
      </c>
      <c r="Q7495">
        <v>0.36465320000000001</v>
      </c>
      <c r="R7495">
        <v>0.92283210000000004</v>
      </c>
      <c r="S7495">
        <v>-0.14100650000000001</v>
      </c>
      <c r="T7495">
        <v>-0.2203214</v>
      </c>
      <c r="U7495">
        <v>3.3196409999999998</v>
      </c>
      <c r="V7495">
        <v>-0.1201296</v>
      </c>
      <c r="W7495">
        <v>0.37221179999999998</v>
      </c>
      <c r="X7495">
        <v>0.92034079999999996</v>
      </c>
      <c r="Y7495">
        <v>-3.8017910000000002E-2</v>
      </c>
      <c r="Z7495">
        <v>-5.798495E-2</v>
      </c>
      <c r="AA7495">
        <v>0.99759330000000002</v>
      </c>
      <c r="AB7495">
        <v>41</v>
      </c>
      <c r="AC7495">
        <v>-0.70840000000001102</v>
      </c>
      <c r="AD7495">
        <v>-1.1096361864190001</v>
      </c>
      <c r="AE7495">
        <v>16.324359999999999</v>
      </c>
      <c r="AF7495">
        <v>-0.63460687117321402</v>
      </c>
      <c r="AG7495">
        <v>-1.1096361864190001</v>
      </c>
      <c r="AH7495">
        <v>16.2523284633684</v>
      </c>
      <c r="AI7495">
        <v>93.902872639440403</v>
      </c>
      <c r="AJ7495">
        <v>92.236100081270294</v>
      </c>
      <c r="AK7495">
        <v>16.302521241463399</v>
      </c>
      <c r="AL7495">
        <v>68.147909688769104</v>
      </c>
      <c r="AM7495">
        <v>97.436620107464293</v>
      </c>
      <c r="AN7495">
        <v>0.99999996650001899</v>
      </c>
    </row>
    <row r="7496" spans="1:40" x14ac:dyDescent="0.25">
      <c r="A7496" t="str">
        <f>"20190304164308554"</f>
        <v>20190304164308554</v>
      </c>
      <c r="B7496" t="str">
        <f>"1551688988548912"</f>
        <v>1551688988548912</v>
      </c>
      <c r="C7496" t="s">
        <v>40</v>
      </c>
      <c r="D7496">
        <v>4.1721510000000004</v>
      </c>
      <c r="E7496">
        <v>0.54508939999999995</v>
      </c>
      <c r="F7496" t="s">
        <v>42</v>
      </c>
      <c r="G7496">
        <v>-187.75530000000001</v>
      </c>
      <c r="H7496" s="1">
        <v>-4.2478079999999996E-6</v>
      </c>
      <c r="I7496">
        <v>48.606369999999998</v>
      </c>
      <c r="J7496">
        <v>-187.048</v>
      </c>
      <c r="K7496">
        <v>1.109607</v>
      </c>
      <c r="L7496">
        <v>32.586910000000003</v>
      </c>
      <c r="M7496">
        <v>-4.2915669999999996E-3</v>
      </c>
      <c r="N7496">
        <v>-8.2294069999999993E-3</v>
      </c>
      <c r="O7496">
        <v>0.99995690000000004</v>
      </c>
      <c r="P7496">
        <v>-0.12365810000000001</v>
      </c>
      <c r="Q7496">
        <v>0.36392449999999998</v>
      </c>
      <c r="R7496">
        <v>0.92318339999999999</v>
      </c>
      <c r="S7496">
        <v>-0.14299010000000001</v>
      </c>
      <c r="T7496">
        <v>-0.22371150000000001</v>
      </c>
      <c r="U7496">
        <v>3.3200379999999998</v>
      </c>
      <c r="V7496">
        <v>-0.1196835</v>
      </c>
      <c r="W7496">
        <v>0.37151770000000001</v>
      </c>
      <c r="X7496">
        <v>0.92067929999999998</v>
      </c>
      <c r="Y7496">
        <v>-3.8653920000000001E-2</v>
      </c>
      <c r="Z7496">
        <v>-5.8960409999999998E-2</v>
      </c>
      <c r="AA7496">
        <v>0.9975117</v>
      </c>
      <c r="AB7496">
        <v>42</v>
      </c>
      <c r="AC7496">
        <v>-0.70730000000000304</v>
      </c>
      <c r="AD7496">
        <v>-1.109611247808</v>
      </c>
      <c r="AE7496">
        <v>16.019459999999999</v>
      </c>
      <c r="AF7496">
        <v>-0.63549947641417803</v>
      </c>
      <c r="AG7496">
        <v>-1.109611247808</v>
      </c>
      <c r="AH7496">
        <v>15.9459905073988</v>
      </c>
      <c r="AI7496">
        <v>93.977397202886195</v>
      </c>
      <c r="AJ7496">
        <v>92.282215019103603</v>
      </c>
      <c r="AK7496">
        <v>15.9971781876629</v>
      </c>
      <c r="AL7496">
        <v>68.190750766663697</v>
      </c>
      <c r="AM7496">
        <v>97.406617827945496</v>
      </c>
      <c r="AN7496">
        <v>0.99999995751701398</v>
      </c>
    </row>
    <row r="7497" spans="1:40" x14ac:dyDescent="0.25">
      <c r="A7497" t="str">
        <f>"20190304164308576"</f>
        <v>20190304164308576</v>
      </c>
      <c r="B7497" t="str">
        <f>"1551688988568433"</f>
        <v>1551688988568433</v>
      </c>
      <c r="C7497" t="s">
        <v>40</v>
      </c>
      <c r="D7497">
        <v>4.1683349999999999</v>
      </c>
      <c r="E7497">
        <v>0.54499189999999997</v>
      </c>
      <c r="F7497" t="s">
        <v>42</v>
      </c>
      <c r="G7497">
        <v>-187.75290000000001</v>
      </c>
      <c r="H7497" s="1">
        <v>-4.3011530000000002E-6</v>
      </c>
      <c r="I7497">
        <v>48.72974</v>
      </c>
      <c r="J7497">
        <v>-187.0497</v>
      </c>
      <c r="K7497">
        <v>1.1095900000000001</v>
      </c>
      <c r="L7497">
        <v>32.988489999999999</v>
      </c>
      <c r="M7497">
        <v>-4.249938E-3</v>
      </c>
      <c r="N7497">
        <v>-8.2539799999999993E-3</v>
      </c>
      <c r="O7497">
        <v>0.99995690000000004</v>
      </c>
      <c r="P7497">
        <v>-0.12362389999999999</v>
      </c>
      <c r="Q7497">
        <v>0.3633923</v>
      </c>
      <c r="R7497">
        <v>0.92339769999999999</v>
      </c>
      <c r="S7497">
        <v>-0.14498900000000001</v>
      </c>
      <c r="T7497">
        <v>-0.22821820000000001</v>
      </c>
      <c r="U7497">
        <v>3.32016</v>
      </c>
      <c r="V7497">
        <v>-0.1196753</v>
      </c>
      <c r="W7497">
        <v>0.37101339999999999</v>
      </c>
      <c r="X7497">
        <v>0.92088380000000003</v>
      </c>
      <c r="Y7497">
        <v>-3.928947E-2</v>
      </c>
      <c r="Z7497">
        <v>-6.0279279999999998E-2</v>
      </c>
      <c r="AA7497">
        <v>0.99740799999999996</v>
      </c>
      <c r="AB7497">
        <v>42</v>
      </c>
      <c r="AC7497">
        <v>-0.70320000000000904</v>
      </c>
      <c r="AD7497">
        <v>-1.1095943011529901</v>
      </c>
      <c r="AE7497">
        <v>15.7412499999999</v>
      </c>
      <c r="AF7497">
        <v>-0.63315230269223</v>
      </c>
      <c r="AG7497">
        <v>-1.1095943011529901</v>
      </c>
      <c r="AH7497">
        <v>15.6664085455722</v>
      </c>
      <c r="AI7497">
        <v>94.047991336878894</v>
      </c>
      <c r="AJ7497">
        <v>92.314328970407004</v>
      </c>
      <c r="AK7497">
        <v>15.7184107997066</v>
      </c>
      <c r="AL7497">
        <v>68.221871206566803</v>
      </c>
      <c r="AM7497">
        <v>97.404489586481503</v>
      </c>
      <c r="AN7497">
        <v>1.0000000467560399</v>
      </c>
    </row>
    <row r="7498" spans="1:40" x14ac:dyDescent="0.25">
      <c r="A7498" t="str">
        <f>"20190304164308600"</f>
        <v>20190304164308600</v>
      </c>
      <c r="B7498" t="str">
        <f>"1551688988588929"</f>
        <v>1551688988588929</v>
      </c>
      <c r="C7498" t="s">
        <v>40</v>
      </c>
      <c r="D7498">
        <v>4.1712179999999996</v>
      </c>
      <c r="E7498">
        <v>0.54499849999999905</v>
      </c>
      <c r="F7498" t="s">
        <v>42</v>
      </c>
      <c r="G7498">
        <v>-187.76060000000001</v>
      </c>
      <c r="H7498" s="1">
        <v>-4.3886349999999997E-6</v>
      </c>
      <c r="I7498">
        <v>48.936810000000001</v>
      </c>
      <c r="J7498">
        <v>-187.05160000000001</v>
      </c>
      <c r="K7498">
        <v>1.109578</v>
      </c>
      <c r="L7498">
        <v>33.446659999999902</v>
      </c>
      <c r="M7498">
        <v>-4.203671E-3</v>
      </c>
      <c r="N7498">
        <v>-8.2805269999999993E-3</v>
      </c>
      <c r="O7498">
        <v>0.99995690000000004</v>
      </c>
      <c r="P7498">
        <v>-0.12370059999999999</v>
      </c>
      <c r="Q7498">
        <v>0.36319050000000003</v>
      </c>
      <c r="R7498">
        <v>0.92346669999999997</v>
      </c>
      <c r="S7498">
        <v>-0.14797969999999999</v>
      </c>
      <c r="T7498">
        <v>-0.23098540000000001</v>
      </c>
      <c r="U7498">
        <v>3.3199770000000002</v>
      </c>
      <c r="V7498">
        <v>-0.1197844</v>
      </c>
      <c r="W7498">
        <v>0.3708398</v>
      </c>
      <c r="X7498">
        <v>0.92093950000000002</v>
      </c>
      <c r="Y7498">
        <v>-4.0232169999999998E-2</v>
      </c>
      <c r="Z7498">
        <v>-6.1081179999999999E-2</v>
      </c>
      <c r="AA7498">
        <v>0.99732169999999998</v>
      </c>
      <c r="AB7498">
        <v>42</v>
      </c>
      <c r="AC7498">
        <v>-0.70900000000000296</v>
      </c>
      <c r="AD7498">
        <v>-1.109582388635</v>
      </c>
      <c r="AE7498">
        <v>15.49015</v>
      </c>
      <c r="AF7498">
        <v>-0.64059593935010095</v>
      </c>
      <c r="AG7498">
        <v>-1.109582388635</v>
      </c>
      <c r="AH7498">
        <v>15.4140683305457</v>
      </c>
      <c r="AI7498">
        <v>94.113798348752496</v>
      </c>
      <c r="AJ7498">
        <v>92.379795769412496</v>
      </c>
      <c r="AK7498">
        <v>15.4672246616325</v>
      </c>
      <c r="AL7498">
        <v>68.232581012108795</v>
      </c>
      <c r="AM7498">
        <v>97.410721501698603</v>
      </c>
      <c r="AN7498">
        <v>1.0000000112038201</v>
      </c>
    </row>
    <row r="7499" spans="1:40" x14ac:dyDescent="0.25">
      <c r="A7499" t="str">
        <f>"20190304164308622"</f>
        <v>20190304164308622</v>
      </c>
      <c r="B7499" t="str">
        <f>"1551688988618209"</f>
        <v>1551688988618209</v>
      </c>
      <c r="C7499" t="s">
        <v>40</v>
      </c>
      <c r="D7499">
        <v>4.1878019999999996</v>
      </c>
      <c r="E7499">
        <v>0.54501429999999995</v>
      </c>
      <c r="F7499" t="s">
        <v>42</v>
      </c>
      <c r="G7499">
        <v>-187.75479999999999</v>
      </c>
      <c r="H7499" s="1">
        <v>-4.5240899999999997E-6</v>
      </c>
      <c r="I7499">
        <v>49.250190000000003</v>
      </c>
      <c r="J7499">
        <v>-187.05330000000001</v>
      </c>
      <c r="K7499">
        <v>1.1095649999999999</v>
      </c>
      <c r="L7499">
        <v>33.838039999999999</v>
      </c>
      <c r="M7499">
        <v>-4.1643660000000001E-3</v>
      </c>
      <c r="N7499">
        <v>-8.3019870000000003E-3</v>
      </c>
      <c r="O7499">
        <v>0.99995679999999998</v>
      </c>
      <c r="P7499">
        <v>-0.1240952</v>
      </c>
      <c r="Q7499">
        <v>0.36256450000000001</v>
      </c>
      <c r="R7499">
        <v>0.92365969999999997</v>
      </c>
      <c r="S7499">
        <v>-0.14775089999999999</v>
      </c>
      <c r="T7499">
        <v>-0.2331376</v>
      </c>
      <c r="U7499">
        <v>3.3205260000000001</v>
      </c>
      <c r="V7499">
        <v>-0.1202076</v>
      </c>
      <c r="W7499">
        <v>0.3702375</v>
      </c>
      <c r="X7499">
        <v>0.92112669999999996</v>
      </c>
      <c r="Y7499">
        <v>-4.0193699999999999E-2</v>
      </c>
      <c r="Z7499">
        <v>-6.1691709999999997E-2</v>
      </c>
      <c r="AA7499">
        <v>0.99728559999999999</v>
      </c>
      <c r="AB7499">
        <v>42</v>
      </c>
      <c r="AC7499">
        <v>-0.70149999999998103</v>
      </c>
      <c r="AD7499">
        <v>-1.1095695240900001</v>
      </c>
      <c r="AE7499">
        <v>15.41215</v>
      </c>
      <c r="AF7499">
        <v>-0.63403047084169795</v>
      </c>
      <c r="AG7499">
        <v>-1.1095695240900001</v>
      </c>
      <c r="AH7499">
        <v>15.3356173278966</v>
      </c>
      <c r="AI7499">
        <v>94.134759097904194</v>
      </c>
      <c r="AJ7499">
        <v>92.367468648066904</v>
      </c>
      <c r="AK7499">
        <v>15.388771815659201</v>
      </c>
      <c r="AL7499">
        <v>68.269735544735397</v>
      </c>
      <c r="AM7499">
        <v>97.435116707474094</v>
      </c>
      <c r="AN7499">
        <v>1.00000003547844</v>
      </c>
    </row>
    <row r="7500" spans="1:40" x14ac:dyDescent="0.25">
      <c r="A7500" t="str">
        <f>"20190304164308643"</f>
        <v>20190304164308643</v>
      </c>
      <c r="B7500" t="str">
        <f>"1551688988638705"</f>
        <v>1551688988638705</v>
      </c>
      <c r="C7500" t="s">
        <v>40</v>
      </c>
      <c r="D7500">
        <v>4.2027489999999998</v>
      </c>
      <c r="E7500">
        <v>0.54493659999999999</v>
      </c>
      <c r="F7500" t="s">
        <v>42</v>
      </c>
      <c r="G7500">
        <v>-187.74610000000001</v>
      </c>
      <c r="H7500" s="1">
        <v>-4.6227379999999996E-6</v>
      </c>
      <c r="I7500">
        <v>49.476520000000001</v>
      </c>
      <c r="J7500">
        <v>-187.0549</v>
      </c>
      <c r="K7500">
        <v>1.109561</v>
      </c>
      <c r="L7500">
        <v>34.246920000000003</v>
      </c>
      <c r="M7500">
        <v>-4.1230149999999998E-3</v>
      </c>
      <c r="N7500">
        <v>-8.3234260000000001E-3</v>
      </c>
      <c r="O7500">
        <v>0.99995679999999998</v>
      </c>
      <c r="P7500">
        <v>-0.12436469999999999</v>
      </c>
      <c r="Q7500">
        <v>0.36163679999999998</v>
      </c>
      <c r="R7500">
        <v>0.92398720000000001</v>
      </c>
      <c r="S7500">
        <v>-0.14710999999999999</v>
      </c>
      <c r="T7500">
        <v>-0.23560629999999999</v>
      </c>
      <c r="U7500">
        <v>3.3206790000000002</v>
      </c>
      <c r="V7500">
        <v>-0.12050900000000001</v>
      </c>
      <c r="W7500">
        <v>0.36933369999999999</v>
      </c>
      <c r="X7500">
        <v>0.92144999999999999</v>
      </c>
      <c r="Y7500">
        <v>-4.0038810000000001E-2</v>
      </c>
      <c r="Z7500">
        <v>-6.2405299999999997E-2</v>
      </c>
      <c r="AA7500">
        <v>0.99724749999999995</v>
      </c>
      <c r="AB7500">
        <v>42</v>
      </c>
      <c r="AC7500">
        <v>-0.69120000000000903</v>
      </c>
      <c r="AD7500">
        <v>-1.109565622738</v>
      </c>
      <c r="AE7500">
        <v>15.2295999999999</v>
      </c>
      <c r="AF7500">
        <v>-0.625088939388728</v>
      </c>
      <c r="AG7500">
        <v>-1.109565622738</v>
      </c>
      <c r="AH7500">
        <v>15.152059022763799</v>
      </c>
      <c r="AI7500">
        <v>94.184673081278802</v>
      </c>
      <c r="AJ7500">
        <v>92.362362804724299</v>
      </c>
      <c r="AK7500">
        <v>15.205484690815499</v>
      </c>
      <c r="AL7500">
        <v>68.325468190925207</v>
      </c>
      <c r="AM7500">
        <v>97.450963871839804</v>
      </c>
      <c r="AN7500">
        <v>0.999999951768343</v>
      </c>
    </row>
    <row r="7501" spans="1:40" x14ac:dyDescent="0.25">
      <c r="A7501" t="str">
        <f>"20190304164308666"</f>
        <v>20190304164308666</v>
      </c>
      <c r="B7501" t="str">
        <f>"1551688988658225"</f>
        <v>1551688988658225</v>
      </c>
      <c r="C7501" t="s">
        <v>40</v>
      </c>
      <c r="D7501">
        <v>4.2019719999999996</v>
      </c>
      <c r="E7501">
        <v>0.54480969999999995</v>
      </c>
      <c r="F7501" t="s">
        <v>42</v>
      </c>
      <c r="G7501">
        <v>-187.73410000000001</v>
      </c>
      <c r="H7501" s="1">
        <v>-6.2879139999999995E-7</v>
      </c>
      <c r="I7501">
        <v>49.724119999999999</v>
      </c>
      <c r="J7501">
        <v>-187.05670000000001</v>
      </c>
      <c r="K7501">
        <v>1.1095549999999901</v>
      </c>
      <c r="L7501">
        <v>34.676479999999998</v>
      </c>
      <c r="M7501">
        <v>-4.0790820000000004E-3</v>
      </c>
      <c r="N7501">
        <v>-8.3487130000000007E-3</v>
      </c>
      <c r="O7501">
        <v>0.99995679999999998</v>
      </c>
      <c r="P7501">
        <v>-0.12475940000000001</v>
      </c>
      <c r="Q7501">
        <v>0.36133280000000001</v>
      </c>
      <c r="R7501">
        <v>0.92405280000000001</v>
      </c>
      <c r="S7501">
        <v>-0.14569089999999901</v>
      </c>
      <c r="T7501">
        <v>-0.23803569999999999</v>
      </c>
      <c r="U7501">
        <v>3.3203429999999998</v>
      </c>
      <c r="V7501">
        <v>-0.12093950000000001</v>
      </c>
      <c r="W7501">
        <v>0.36905490000000002</v>
      </c>
      <c r="X7501">
        <v>0.92150529999999997</v>
      </c>
      <c r="Y7501">
        <v>-3.965979E-2</v>
      </c>
      <c r="Z7501">
        <v>-6.3114260000000005E-2</v>
      </c>
      <c r="AA7501">
        <v>0.99721800000000005</v>
      </c>
      <c r="AB7501">
        <v>42</v>
      </c>
      <c r="AC7501">
        <v>-0.677400000000005</v>
      </c>
      <c r="AD7501">
        <v>-1.1095556287913999</v>
      </c>
      <c r="AE7501">
        <v>15.047639999999999</v>
      </c>
      <c r="AF7501">
        <v>-0.61268720658245601</v>
      </c>
      <c r="AG7501">
        <v>-1.1095556287913999</v>
      </c>
      <c r="AH7501">
        <v>14.969055531322001</v>
      </c>
      <c r="AI7501">
        <v>94.235665640550096</v>
      </c>
      <c r="AJ7501">
        <v>92.343822388411994</v>
      </c>
      <c r="AK7501">
        <v>15.0226203708373</v>
      </c>
      <c r="AL7501">
        <v>68.342656533837697</v>
      </c>
      <c r="AM7501">
        <v>97.476837002518906</v>
      </c>
      <c r="AN7501">
        <v>0.99999994990117302</v>
      </c>
    </row>
    <row r="7502" spans="1:40" x14ac:dyDescent="0.25">
      <c r="A7502" t="str">
        <f>"20190304164308687"</f>
        <v>20190304164308687</v>
      </c>
      <c r="B7502" t="str">
        <f>"1551688988678721"</f>
        <v>1551688988678721</v>
      </c>
      <c r="C7502" t="s">
        <v>40</v>
      </c>
      <c r="D7502">
        <v>4.2039489999999997</v>
      </c>
      <c r="E7502">
        <v>0.5446278</v>
      </c>
      <c r="F7502" t="s">
        <v>42</v>
      </c>
      <c r="G7502">
        <v>-187.73990000000001</v>
      </c>
      <c r="H7502" s="1">
        <v>-7.6957199999999998E-7</v>
      </c>
      <c r="I7502">
        <v>50.14235</v>
      </c>
      <c r="J7502">
        <v>-187.0583</v>
      </c>
      <c r="K7502">
        <v>1.1095569999999999</v>
      </c>
      <c r="L7502">
        <v>35.088929999999998</v>
      </c>
      <c r="M7502">
        <v>-4.0364809999999997E-3</v>
      </c>
      <c r="N7502">
        <v>-8.3751729999999996E-3</v>
      </c>
      <c r="O7502">
        <v>0.99995679999999998</v>
      </c>
      <c r="P7502">
        <v>-0.12527779999999999</v>
      </c>
      <c r="Q7502">
        <v>0.36123359999999999</v>
      </c>
      <c r="R7502">
        <v>0.92402150000000005</v>
      </c>
      <c r="S7502">
        <v>-0.14665220000000001</v>
      </c>
      <c r="T7502">
        <v>-0.23817830000000001</v>
      </c>
      <c r="U7502">
        <v>3.3199160000000001</v>
      </c>
      <c r="V7502">
        <v>-0.121494699999999</v>
      </c>
      <c r="W7502">
        <v>0.36898140000000001</v>
      </c>
      <c r="X7502">
        <v>0.9214618</v>
      </c>
      <c r="Y7502">
        <v>-3.9995929999999999E-2</v>
      </c>
      <c r="Z7502">
        <v>-6.3138689999999997E-2</v>
      </c>
      <c r="AA7502">
        <v>0.99720299999999995</v>
      </c>
      <c r="AB7502">
        <v>42</v>
      </c>
      <c r="AC7502">
        <v>-0.68160000000000298</v>
      </c>
      <c r="AD7502">
        <v>-1.10955776957199</v>
      </c>
      <c r="AE7502">
        <v>15.053419999999999</v>
      </c>
      <c r="AF7502">
        <v>-0.61748163791726496</v>
      </c>
      <c r="AG7502">
        <v>-1.10955776957199</v>
      </c>
      <c r="AH7502">
        <v>14.974858680015</v>
      </c>
      <c r="AI7502">
        <v>94.233985669087701</v>
      </c>
      <c r="AJ7502">
        <v>92.361228336869104</v>
      </c>
      <c r="AK7502">
        <v>15.0285992196081</v>
      </c>
      <c r="AL7502">
        <v>68.3471896650302</v>
      </c>
      <c r="AM7502">
        <v>97.511120635045998</v>
      </c>
      <c r="AN7502">
        <v>1.00000004226664</v>
      </c>
    </row>
    <row r="7503" spans="1:40" x14ac:dyDescent="0.25">
      <c r="A7503" t="str">
        <f>"20190304164308709"</f>
        <v>20190304164308709</v>
      </c>
      <c r="B7503" t="str">
        <f>"1551688988698241"</f>
        <v>1551688988698241</v>
      </c>
      <c r="C7503" t="s">
        <v>40</v>
      </c>
      <c r="D7503">
        <v>4.2027359999999998</v>
      </c>
      <c r="E7503">
        <v>0.54445399999999999</v>
      </c>
      <c r="F7503" t="s">
        <v>42</v>
      </c>
      <c r="G7503">
        <v>-187.75309999999999</v>
      </c>
      <c r="H7503" s="1">
        <v>-9.1320480000000005E-7</v>
      </c>
      <c r="I7503">
        <v>50.574779999999997</v>
      </c>
      <c r="J7503">
        <v>-187.06</v>
      </c>
      <c r="K7503">
        <v>1.109561</v>
      </c>
      <c r="L7503">
        <v>35.499510000000001</v>
      </c>
      <c r="M7503">
        <v>-3.9937799999999997E-3</v>
      </c>
      <c r="N7503">
        <v>-8.4030879999999995E-3</v>
      </c>
      <c r="O7503">
        <v>0.99995670000000003</v>
      </c>
      <c r="P7503">
        <v>-0.1261303</v>
      </c>
      <c r="Q7503">
        <v>0.36073179999999999</v>
      </c>
      <c r="R7503">
        <v>0.92410159999999997</v>
      </c>
      <c r="S7503">
        <v>-0.148925799999999</v>
      </c>
      <c r="T7503">
        <v>-0.23783850000000001</v>
      </c>
      <c r="U7503">
        <v>3.319458</v>
      </c>
      <c r="V7503">
        <v>-0.122384199999999</v>
      </c>
      <c r="W7503">
        <v>0.36850670000000002</v>
      </c>
      <c r="X7503">
        <v>0.92153399999999996</v>
      </c>
      <c r="Y7503">
        <v>-4.0726369999999998E-2</v>
      </c>
      <c r="Z7503">
        <v>-6.301698E-2</v>
      </c>
      <c r="AA7503">
        <v>0.99718110000000004</v>
      </c>
      <c r="AB7503">
        <v>42</v>
      </c>
      <c r="AC7503">
        <v>-0.69309999999998695</v>
      </c>
      <c r="AD7503">
        <v>-1.1095619132048</v>
      </c>
      <c r="AE7503">
        <v>15.0752699999999</v>
      </c>
      <c r="AF7503">
        <v>-0.62948221074157795</v>
      </c>
      <c r="AG7503">
        <v>-1.1095619132048</v>
      </c>
      <c r="AH7503">
        <v>14.996848756050399</v>
      </c>
      <c r="AI7503">
        <v>94.227686159256294</v>
      </c>
      <c r="AJ7503">
        <v>92.403539279860595</v>
      </c>
      <c r="AK7503">
        <v>15.0510082089117</v>
      </c>
      <c r="AL7503">
        <v>68.376448878193401</v>
      </c>
      <c r="AM7503">
        <v>97.564891291197</v>
      </c>
      <c r="AN7503">
        <v>0.99999999675526496</v>
      </c>
    </row>
    <row r="7504" spans="1:40" x14ac:dyDescent="0.25">
      <c r="A7504" t="str">
        <f>"20190304164308731"</f>
        <v>20190304164308731</v>
      </c>
      <c r="B7504" t="str">
        <f>"1551688988718737"</f>
        <v>1551688988718737</v>
      </c>
      <c r="C7504" t="s">
        <v>40</v>
      </c>
      <c r="D7504">
        <v>4.2156859999999998</v>
      </c>
      <c r="E7504">
        <v>0.54431300000000005</v>
      </c>
      <c r="F7504" t="s">
        <v>42</v>
      </c>
      <c r="G7504">
        <v>-187.768</v>
      </c>
      <c r="H7504" s="1">
        <v>-1.020906E-6</v>
      </c>
      <c r="I7504">
        <v>50.90287</v>
      </c>
      <c r="J7504">
        <v>-187.0616</v>
      </c>
      <c r="K7504">
        <v>1.109561</v>
      </c>
      <c r="L7504">
        <v>35.908809999999903</v>
      </c>
      <c r="M7504">
        <v>-3.9506649999999999E-3</v>
      </c>
      <c r="N7504">
        <v>-8.4349490000000006E-3</v>
      </c>
      <c r="O7504">
        <v>0.99995659999999997</v>
      </c>
      <c r="P7504">
        <v>-0.12746679999999999</v>
      </c>
      <c r="Q7504">
        <v>0.36045779999999999</v>
      </c>
      <c r="R7504">
        <v>0.92402510000000004</v>
      </c>
      <c r="S7504">
        <v>-0.15254210000000001</v>
      </c>
      <c r="T7504">
        <v>-0.23907349999999999</v>
      </c>
      <c r="U7504">
        <v>3.3189090000000001</v>
      </c>
      <c r="V7504">
        <v>-0.1237596</v>
      </c>
      <c r="W7504">
        <v>0.36826199999999998</v>
      </c>
      <c r="X7504">
        <v>0.92144809999999999</v>
      </c>
      <c r="Y7504">
        <v>-4.1859599999999997E-2</v>
      </c>
      <c r="Z7504">
        <v>-6.3362639999999998E-2</v>
      </c>
      <c r="AA7504">
        <v>0.99711229999999995</v>
      </c>
      <c r="AB7504">
        <v>42</v>
      </c>
      <c r="AC7504">
        <v>-0.70640000000000203</v>
      </c>
      <c r="AD7504">
        <v>-1.109562020906</v>
      </c>
      <c r="AE7504">
        <v>14.994059999999999</v>
      </c>
      <c r="AF7504">
        <v>-0.643639098100658</v>
      </c>
      <c r="AG7504">
        <v>-1.109562020906</v>
      </c>
      <c r="AH7504">
        <v>14.915238630840999</v>
      </c>
      <c r="AI7504">
        <v>94.250522083969798</v>
      </c>
      <c r="AJ7504">
        <v>92.470958670098497</v>
      </c>
      <c r="AK7504">
        <v>14.970295340499201</v>
      </c>
      <c r="AL7504">
        <v>68.391529133821294</v>
      </c>
      <c r="AM7504">
        <v>97.649611987860098</v>
      </c>
      <c r="AN7504">
        <v>0.99999997011488395</v>
      </c>
    </row>
    <row r="7505" spans="1:40" x14ac:dyDescent="0.25">
      <c r="A7505" t="str">
        <f>"20190304164308755"</f>
        <v>20190304164308755</v>
      </c>
      <c r="B7505" t="str">
        <f>"1551688988748993"</f>
        <v>1551688988748993</v>
      </c>
      <c r="C7505" t="s">
        <v>40</v>
      </c>
      <c r="D7505">
        <v>4.2325619999999997</v>
      </c>
      <c r="E7505">
        <v>0.54446399999999995</v>
      </c>
      <c r="F7505" t="s">
        <v>42</v>
      </c>
      <c r="G7505">
        <v>-187.79069999999999</v>
      </c>
      <c r="H7505" s="1">
        <v>-1.1571440000000001E-6</v>
      </c>
      <c r="I7505">
        <v>51.320970000000003</v>
      </c>
      <c r="J7505">
        <v>-187.0633</v>
      </c>
      <c r="K7505">
        <v>1.1095549999999901</v>
      </c>
      <c r="L7505">
        <v>36.356349999999999</v>
      </c>
      <c r="M7505">
        <v>-3.9032469999999999E-3</v>
      </c>
      <c r="N7505">
        <v>-8.477208E-3</v>
      </c>
      <c r="O7505">
        <v>0.99995639999999997</v>
      </c>
      <c r="P7505">
        <v>-0.12892139999999999</v>
      </c>
      <c r="Q7505">
        <v>0.36030469999999998</v>
      </c>
      <c r="R7505">
        <v>0.92388300000000001</v>
      </c>
      <c r="S7505">
        <v>-0.1569672</v>
      </c>
      <c r="T7505">
        <v>-0.2388865</v>
      </c>
      <c r="U7505">
        <v>3.3182070000000001</v>
      </c>
      <c r="V7505">
        <v>-0.1252568</v>
      </c>
      <c r="W7505">
        <v>0.36814760000000002</v>
      </c>
      <c r="X7505">
        <v>0.92129150000000004</v>
      </c>
      <c r="Y7505">
        <v>-4.3243169999999997E-2</v>
      </c>
      <c r="Z7505">
        <v>-6.3275369999999997E-2</v>
      </c>
      <c r="AA7505">
        <v>0.99705880000000002</v>
      </c>
      <c r="AB7505">
        <v>42</v>
      </c>
      <c r="AC7505">
        <v>-0.72739999999998795</v>
      </c>
      <c r="AD7505">
        <v>-1.10955615714399</v>
      </c>
      <c r="AE7505">
        <v>14.96462</v>
      </c>
      <c r="AF7505">
        <v>-0.66533268744559504</v>
      </c>
      <c r="AG7505">
        <v>-1.10955615714399</v>
      </c>
      <c r="AH7505">
        <v>14.8857036937862</v>
      </c>
      <c r="AI7505">
        <v>94.258615162996193</v>
      </c>
      <c r="AJ7505">
        <v>92.559193774833801</v>
      </c>
      <c r="AK7505">
        <v>14.941819062953501</v>
      </c>
      <c r="AL7505">
        <v>68.398579169216504</v>
      </c>
      <c r="AM7505">
        <v>97.742338666872897</v>
      </c>
      <c r="AN7505">
        <v>0.99999997465212398</v>
      </c>
    </row>
    <row r="7506" spans="1:40" x14ac:dyDescent="0.25">
      <c r="A7506" t="str">
        <f>"20190304164308777"</f>
        <v>20190304164308777</v>
      </c>
      <c r="B7506" t="str">
        <f>"1551688988768514"</f>
        <v>1551688988768514</v>
      </c>
      <c r="C7506" t="s">
        <v>40</v>
      </c>
      <c r="D7506">
        <v>4.2331599999999998</v>
      </c>
      <c r="E7506">
        <v>0.54482430000000004</v>
      </c>
      <c r="F7506" t="s">
        <v>42</v>
      </c>
      <c r="G7506">
        <v>-187.80029999999999</v>
      </c>
      <c r="H7506" s="1">
        <v>-1.3456049999999901E-6</v>
      </c>
      <c r="I7506">
        <v>51.859879999999997</v>
      </c>
      <c r="J7506">
        <v>-187.065</v>
      </c>
      <c r="K7506">
        <v>1.1095680000000001</v>
      </c>
      <c r="L7506">
        <v>36.778500000000001</v>
      </c>
      <c r="M7506">
        <v>-3.8585970000000001E-3</v>
      </c>
      <c r="N7506">
        <v>-8.5251289999999993E-3</v>
      </c>
      <c r="O7506">
        <v>0.99995619999999996</v>
      </c>
      <c r="P7506">
        <v>-0.1300714</v>
      </c>
      <c r="Q7506">
        <v>0.3612882</v>
      </c>
      <c r="R7506">
        <v>0.92333759999999998</v>
      </c>
      <c r="S7506">
        <v>-0.15771479999999999</v>
      </c>
      <c r="T7506">
        <v>-0.23744480000000001</v>
      </c>
      <c r="U7506">
        <v>3.3177490000000001</v>
      </c>
      <c r="V7506">
        <v>-0.12644910000000001</v>
      </c>
      <c r="W7506">
        <v>0.36917109999999997</v>
      </c>
      <c r="X7506">
        <v>0.92071890000000001</v>
      </c>
      <c r="Y7506">
        <v>-4.3519759999999998E-2</v>
      </c>
      <c r="Z7506">
        <v>-6.2805559999999996E-2</v>
      </c>
      <c r="AA7506">
        <v>0.99707650000000003</v>
      </c>
      <c r="AB7506">
        <v>42</v>
      </c>
      <c r="AC7506">
        <v>-0.73529999999999496</v>
      </c>
      <c r="AD7506">
        <v>-1.109569345605</v>
      </c>
      <c r="AE7506">
        <v>15.0813799999999</v>
      </c>
      <c r="AF7506">
        <v>-0.67346272826835396</v>
      </c>
      <c r="AG7506">
        <v>-1.109569345605</v>
      </c>
      <c r="AH7506">
        <v>15.0030880309099</v>
      </c>
      <c r="AI7506">
        <v>94.225430730751498</v>
      </c>
      <c r="AJ7506">
        <v>92.570183313880506</v>
      </c>
      <c r="AK7506">
        <v>15.0591283493535</v>
      </c>
      <c r="AL7506">
        <v>68.335493685476493</v>
      </c>
      <c r="AM7506">
        <v>97.819930449295498</v>
      </c>
      <c r="AN7506">
        <v>0.99999998439161397</v>
      </c>
    </row>
    <row r="7507" spans="1:40" x14ac:dyDescent="0.25">
      <c r="A7507" t="str">
        <f>"20190304164308800"</f>
        <v>20190304164308800</v>
      </c>
      <c r="B7507" t="str">
        <f>"1551688988789009"</f>
        <v>1551688988789009</v>
      </c>
      <c r="C7507" t="s">
        <v>40</v>
      </c>
      <c r="D7507">
        <v>4.2276870000000004</v>
      </c>
      <c r="E7507">
        <v>0.54514399999999996</v>
      </c>
      <c r="F7507" t="s">
        <v>42</v>
      </c>
      <c r="G7507">
        <v>-187.8135</v>
      </c>
      <c r="H7507" s="1">
        <v>-1.6706440000000001E-6</v>
      </c>
      <c r="I7507">
        <v>52.622979999999998</v>
      </c>
      <c r="J7507">
        <v>-187.06659999999999</v>
      </c>
      <c r="K7507">
        <v>1.109578</v>
      </c>
      <c r="L7507">
        <v>37.213560000000001</v>
      </c>
      <c r="M7507">
        <v>-3.8123850000000002E-3</v>
      </c>
      <c r="N7507">
        <v>-8.5825019999999901E-3</v>
      </c>
      <c r="O7507">
        <v>0.99995590000000001</v>
      </c>
      <c r="P7507">
        <v>-0.1303898</v>
      </c>
      <c r="Q7507">
        <v>0.36151919999999999</v>
      </c>
      <c r="R7507">
        <v>0.92320219999999997</v>
      </c>
      <c r="S7507">
        <v>-0.156738299999999</v>
      </c>
      <c r="T7507">
        <v>-0.23235069999999999</v>
      </c>
      <c r="U7507">
        <v>3.3179319999999999</v>
      </c>
      <c r="V7507">
        <v>-0.12680910000000001</v>
      </c>
      <c r="W7507">
        <v>0.36945420000000001</v>
      </c>
      <c r="X7507">
        <v>0.92055580000000004</v>
      </c>
      <c r="Y7507">
        <v>-4.327541E-2</v>
      </c>
      <c r="Z7507">
        <v>-6.1222150000000003E-2</v>
      </c>
      <c r="AA7507">
        <v>0.99718560000000001</v>
      </c>
      <c r="AB7507">
        <v>42</v>
      </c>
      <c r="AC7507">
        <v>-0.74690000000001</v>
      </c>
      <c r="AD7507">
        <v>-1.109579670644</v>
      </c>
      <c r="AE7507">
        <v>15.409420000000001</v>
      </c>
      <c r="AF7507">
        <v>-0.68460444770530804</v>
      </c>
      <c r="AG7507">
        <v>-1.109579670644</v>
      </c>
      <c r="AH7507">
        <v>15.332841934993599</v>
      </c>
      <c r="AI7507">
        <v>94.134957947484295</v>
      </c>
      <c r="AJ7507">
        <v>92.556532620698505</v>
      </c>
      <c r="AK7507">
        <v>15.3881737740001</v>
      </c>
      <c r="AL7507">
        <v>68.318038928199201</v>
      </c>
      <c r="AM7507">
        <v>97.843289251464398</v>
      </c>
      <c r="AN7507">
        <v>0.99999996732704399</v>
      </c>
    </row>
    <row r="7508" spans="1:40" x14ac:dyDescent="0.25">
      <c r="A7508" t="str">
        <f>"20190304164308825"</f>
        <v>20190304164308825</v>
      </c>
      <c r="B7508" t="str">
        <f>"1551688988818289"</f>
        <v>1551688988818289</v>
      </c>
      <c r="C7508" t="s">
        <v>40</v>
      </c>
      <c r="D7508">
        <v>4.2407250000000003</v>
      </c>
      <c r="E7508">
        <v>0.54563059999999997</v>
      </c>
      <c r="F7508" t="s">
        <v>42</v>
      </c>
      <c r="G7508">
        <v>-187.8133</v>
      </c>
      <c r="H7508" s="1">
        <v>-1.9159799999999998E-6</v>
      </c>
      <c r="I7508">
        <v>53.194789999999998</v>
      </c>
      <c r="J7508">
        <v>-187.06829999999999</v>
      </c>
      <c r="K7508">
        <v>1.109585</v>
      </c>
      <c r="L7508">
        <v>37.660220000000002</v>
      </c>
      <c r="M7508">
        <v>-3.7649239999999998E-3</v>
      </c>
      <c r="N7508">
        <v>-8.6496549999999991E-3</v>
      </c>
      <c r="O7508">
        <v>0.9999555</v>
      </c>
      <c r="P7508">
        <v>-0.13066920000000001</v>
      </c>
      <c r="Q7508">
        <v>0.36204760000000002</v>
      </c>
      <c r="R7508">
        <v>0.92295559999999999</v>
      </c>
      <c r="S7508">
        <v>-0.15501400000000001</v>
      </c>
      <c r="T7508">
        <v>-0.2303605</v>
      </c>
      <c r="U7508">
        <v>3.3178709999999998</v>
      </c>
      <c r="V7508">
        <v>-0.12713260000000001</v>
      </c>
      <c r="W7508">
        <v>0.3700426</v>
      </c>
      <c r="X7508">
        <v>0.92027490000000001</v>
      </c>
      <c r="Y7508">
        <v>-4.2808609999999997E-2</v>
      </c>
      <c r="Z7508">
        <v>-6.0562709999999999E-2</v>
      </c>
      <c r="AA7508">
        <v>0.99724599999999997</v>
      </c>
      <c r="AB7508">
        <v>42</v>
      </c>
      <c r="AC7508">
        <v>-0.74500000000000399</v>
      </c>
      <c r="AD7508">
        <v>-1.10958691597999</v>
      </c>
      <c r="AE7508">
        <v>15.53457</v>
      </c>
      <c r="AF7508">
        <v>-0.68302936678163595</v>
      </c>
      <c r="AG7508">
        <v>-1.10958691597999</v>
      </c>
      <c r="AH7508">
        <v>15.458579122126601</v>
      </c>
      <c r="AI7508">
        <v>94.101551177677393</v>
      </c>
      <c r="AJ7508">
        <v>92.5299390280274</v>
      </c>
      <c r="AK7508">
        <v>15.513393591186</v>
      </c>
      <c r="AL7508">
        <v>68.281756757548905</v>
      </c>
      <c r="AM7508">
        <v>97.865418170426906</v>
      </c>
      <c r="AN7508">
        <v>1.00000005768376</v>
      </c>
    </row>
    <row r="7509" spans="1:40" x14ac:dyDescent="0.25">
      <c r="A7509" t="str">
        <f>"20190304164308844"</f>
        <v>20190304164308844</v>
      </c>
      <c r="B7509" t="str">
        <f>"1551688988838786"</f>
        <v>1551688988838786</v>
      </c>
      <c r="C7509" t="s">
        <v>40</v>
      </c>
      <c r="D7509">
        <v>4.2190599999999998</v>
      </c>
      <c r="E7509">
        <v>0.54591129999999999</v>
      </c>
      <c r="F7509" t="s">
        <v>42</v>
      </c>
      <c r="G7509">
        <v>-187.81139999999999</v>
      </c>
      <c r="H7509" s="1">
        <v>-2.2092270000000001E-6</v>
      </c>
      <c r="I7509">
        <v>53.877589999999998</v>
      </c>
      <c r="J7509">
        <v>-187.06970000000001</v>
      </c>
      <c r="K7509">
        <v>1.1095969999999999</v>
      </c>
      <c r="L7509">
        <v>38.047240000000002</v>
      </c>
      <c r="M7509">
        <v>-3.7239809999999999E-3</v>
      </c>
      <c r="N7509">
        <v>-8.7134440000000007E-3</v>
      </c>
      <c r="O7509">
        <v>0.99995509999999999</v>
      </c>
      <c r="P7509">
        <v>-0.13089509999999999</v>
      </c>
      <c r="Q7509">
        <v>0.36171789999999998</v>
      </c>
      <c r="R7509">
        <v>0.92305289999999995</v>
      </c>
      <c r="S7509">
        <v>-0.1520386</v>
      </c>
      <c r="T7509">
        <v>-0.22701189999999999</v>
      </c>
      <c r="U7509">
        <v>3.3179319999999999</v>
      </c>
      <c r="V7509">
        <v>-0.12739529999999999</v>
      </c>
      <c r="W7509">
        <v>0.3697723</v>
      </c>
      <c r="X7509">
        <v>0.92034720000000003</v>
      </c>
      <c r="Y7509">
        <v>-4.1959539999999997E-2</v>
      </c>
      <c r="Z7509">
        <v>-5.9498769999999999E-2</v>
      </c>
      <c r="AA7509">
        <v>0.99734610000000001</v>
      </c>
      <c r="AB7509">
        <v>42</v>
      </c>
      <c r="AC7509">
        <v>-0.74169999999998004</v>
      </c>
      <c r="AD7509">
        <v>-1.1095992092269999</v>
      </c>
      <c r="AE7509">
        <v>15.830349999999999</v>
      </c>
      <c r="AF7509">
        <v>-0.67941003136086897</v>
      </c>
      <c r="AG7509">
        <v>-1.1095992092269999</v>
      </c>
      <c r="AH7509">
        <v>15.7557630987768</v>
      </c>
      <c r="AI7509">
        <v>94.024674919115697</v>
      </c>
      <c r="AJ7509">
        <v>92.469142634334204</v>
      </c>
      <c r="AK7509">
        <v>15.8093921205279</v>
      </c>
      <c r="AL7509">
        <v>68.298425844127905</v>
      </c>
      <c r="AM7509">
        <v>97.880855440566506</v>
      </c>
      <c r="AN7509">
        <v>1.0000000424286</v>
      </c>
    </row>
    <row r="7510" spans="1:40" x14ac:dyDescent="0.25">
      <c r="A7510" t="str">
        <f>"20190304164308867"</f>
        <v>20190304164308867</v>
      </c>
      <c r="B7510" t="str">
        <f>"1551688988858306"</f>
        <v>1551688988858306</v>
      </c>
      <c r="C7510" t="s">
        <v>40</v>
      </c>
      <c r="D7510">
        <v>4.2286260000000002</v>
      </c>
      <c r="E7510">
        <v>0.54624069999999902</v>
      </c>
      <c r="F7510" t="s">
        <v>42</v>
      </c>
      <c r="G7510">
        <v>-187.8031</v>
      </c>
      <c r="H7510" s="1">
        <v>-2.3654039999999999E-6</v>
      </c>
      <c r="I7510">
        <v>54.238219999999998</v>
      </c>
      <c r="J7510">
        <v>-187.07130000000001</v>
      </c>
      <c r="K7510">
        <v>1.1096109999999999</v>
      </c>
      <c r="L7510">
        <v>38.479950000000002</v>
      </c>
      <c r="M7510">
        <v>-3.6778990000000001E-3</v>
      </c>
      <c r="N7510">
        <v>-8.7885580000000001E-3</v>
      </c>
      <c r="O7510">
        <v>0.99995460000000003</v>
      </c>
      <c r="P7510">
        <v>-0.1311107</v>
      </c>
      <c r="Q7510">
        <v>0.3625118</v>
      </c>
      <c r="R7510">
        <v>0.92271080000000005</v>
      </c>
      <c r="S7510">
        <v>-0.15029909999999999</v>
      </c>
      <c r="T7510">
        <v>-0.22738030000000001</v>
      </c>
      <c r="U7510">
        <v>3.3178709999999998</v>
      </c>
      <c r="V7510">
        <v>-0.12765399999999999</v>
      </c>
      <c r="W7510">
        <v>0.37063259999999998</v>
      </c>
      <c r="X7510">
        <v>0.91996509999999998</v>
      </c>
      <c r="Y7510">
        <v>-4.1484510000000002E-2</v>
      </c>
      <c r="Z7510">
        <v>-5.9536720000000001E-2</v>
      </c>
      <c r="AA7510">
        <v>0.99736369999999996</v>
      </c>
      <c r="AB7510">
        <v>43</v>
      </c>
      <c r="AC7510">
        <v>-0.73179999999999201</v>
      </c>
      <c r="AD7510">
        <v>-1.1096133654039999</v>
      </c>
      <c r="AE7510">
        <v>15.7582699999999</v>
      </c>
      <c r="AF7510">
        <v>-0.67051805979506296</v>
      </c>
      <c r="AG7510">
        <v>-1.1096133654039999</v>
      </c>
      <c r="AH7510">
        <v>15.683261192174699</v>
      </c>
      <c r="AI7510">
        <v>94.043333868535399</v>
      </c>
      <c r="AJ7510">
        <v>92.448117920774806</v>
      </c>
      <c r="AK7510">
        <v>15.7367569057658</v>
      </c>
      <c r="AL7510">
        <v>68.2453616727895</v>
      </c>
      <c r="AM7510">
        <v>97.899895713005606</v>
      </c>
      <c r="AN7510">
        <v>0.99999992655838199</v>
      </c>
    </row>
    <row r="7511" spans="1:40" x14ac:dyDescent="0.25">
      <c r="A7511" t="str">
        <f>"20190304164308888"</f>
        <v>20190304164308888</v>
      </c>
      <c r="B7511" t="str">
        <f>"1551688988878801"</f>
        <v>1551688988878801</v>
      </c>
      <c r="C7511" t="s">
        <v>40</v>
      </c>
      <c r="D7511">
        <v>4.2356109999999996</v>
      </c>
      <c r="E7511">
        <v>0.54647990000000002</v>
      </c>
      <c r="F7511" t="s">
        <v>42</v>
      </c>
      <c r="G7511">
        <v>-187.81319999999999</v>
      </c>
      <c r="H7511" s="1">
        <v>-2.6625060000000001E-6</v>
      </c>
      <c r="I7511">
        <v>54.934930000000001</v>
      </c>
      <c r="J7511">
        <v>-187.0728</v>
      </c>
      <c r="K7511">
        <v>1.1096250000000001</v>
      </c>
      <c r="L7511">
        <v>38.898800000000001</v>
      </c>
      <c r="M7511">
        <v>-3.6330809999999998E-3</v>
      </c>
      <c r="N7511">
        <v>-8.8705769999999993E-3</v>
      </c>
      <c r="O7511">
        <v>0.99995400000000001</v>
      </c>
      <c r="P7511">
        <v>-0.1310143</v>
      </c>
      <c r="Q7511">
        <v>0.36277120000000002</v>
      </c>
      <c r="R7511">
        <v>0.92262250000000001</v>
      </c>
      <c r="S7511">
        <v>-0.14959720000000001</v>
      </c>
      <c r="T7511">
        <v>-0.2237391</v>
      </c>
      <c r="U7511">
        <v>3.3179319999999999</v>
      </c>
      <c r="V7511">
        <v>-0.1275993</v>
      </c>
      <c r="W7511">
        <v>0.37096649999999998</v>
      </c>
      <c r="X7511">
        <v>0.91983820000000005</v>
      </c>
      <c r="Y7511">
        <v>-4.1321120000000003E-2</v>
      </c>
      <c r="Z7511">
        <v>-5.836471E-2</v>
      </c>
      <c r="AA7511">
        <v>0.99743979999999999</v>
      </c>
      <c r="AB7511">
        <v>43</v>
      </c>
      <c r="AC7511">
        <v>-0.74039999999999395</v>
      </c>
      <c r="AD7511">
        <v>-1.109627662506</v>
      </c>
      <c r="AE7511">
        <v>16.03613</v>
      </c>
      <c r="AF7511">
        <v>-0.67888864463309495</v>
      </c>
      <c r="AG7511">
        <v>-1.109627662506</v>
      </c>
      <c r="AH7511">
        <v>15.962448350074499</v>
      </c>
      <c r="AI7511">
        <v>93.972932102752594</v>
      </c>
      <c r="AJ7511">
        <v>92.435342353920504</v>
      </c>
      <c r="AK7511">
        <v>16.0153651431994</v>
      </c>
      <c r="AL7511">
        <v>68.224764263785701</v>
      </c>
      <c r="AM7511">
        <v>97.897628959269497</v>
      </c>
      <c r="AN7511">
        <v>1.00000001983098</v>
      </c>
    </row>
    <row r="7512" spans="1:40" x14ac:dyDescent="0.25">
      <c r="A7512" t="str">
        <f>"20190304164308911"</f>
        <v>20190304164308911</v>
      </c>
      <c r="B7512" t="str">
        <f>"1551688988898339"</f>
        <v>1551688988898339</v>
      </c>
      <c r="C7512" t="s">
        <v>40</v>
      </c>
      <c r="D7512">
        <v>4.2434289999999999</v>
      </c>
      <c r="E7512">
        <v>0.54670030000000003</v>
      </c>
      <c r="F7512" t="s">
        <v>42</v>
      </c>
      <c r="G7512">
        <v>-187.81370000000001</v>
      </c>
      <c r="H7512" s="1">
        <v>-2.8768539999999999E-6</v>
      </c>
      <c r="I7512">
        <v>55.434780000000003</v>
      </c>
      <c r="J7512">
        <v>-187.07419999999999</v>
      </c>
      <c r="K7512">
        <v>1.109631</v>
      </c>
      <c r="L7512">
        <v>39.316679999999998</v>
      </c>
      <c r="M7512">
        <v>-3.5883220000000001E-3</v>
      </c>
      <c r="N7512">
        <v>-8.9624430000000005E-3</v>
      </c>
      <c r="O7512">
        <v>0.99995339999999999</v>
      </c>
      <c r="P7512">
        <v>-0.1306736</v>
      </c>
      <c r="Q7512">
        <v>0.36178700000000003</v>
      </c>
      <c r="R7512">
        <v>0.92305720000000002</v>
      </c>
      <c r="S7512">
        <v>-0.1486664</v>
      </c>
      <c r="T7512">
        <v>-0.22265219999999999</v>
      </c>
      <c r="U7512">
        <v>3.3180239999999999</v>
      </c>
      <c r="V7512">
        <v>-0.1272983</v>
      </c>
      <c r="W7512">
        <v>0.37007050000000002</v>
      </c>
      <c r="X7512">
        <v>0.92024070000000002</v>
      </c>
      <c r="Y7512">
        <v>-4.108643E-2</v>
      </c>
      <c r="Z7512">
        <v>-5.7946659999999997E-2</v>
      </c>
      <c r="AA7512">
        <v>0.99747379999999997</v>
      </c>
      <c r="AB7512">
        <v>43</v>
      </c>
      <c r="AC7512">
        <v>-0.73950000000002003</v>
      </c>
      <c r="AD7512">
        <v>-1.1096338768539999</v>
      </c>
      <c r="AE7512">
        <v>16.118099999999998</v>
      </c>
      <c r="AF7512">
        <v>-0.67844724253005395</v>
      </c>
      <c r="AG7512">
        <v>-1.1096338768539999</v>
      </c>
      <c r="AH7512">
        <v>16.044765602811999</v>
      </c>
      <c r="AI7512">
        <v>93.9526769003147</v>
      </c>
      <c r="AJ7512">
        <v>92.421289391582604</v>
      </c>
      <c r="AK7512">
        <v>16.097393616692699</v>
      </c>
      <c r="AL7512">
        <v>68.280034484526595</v>
      </c>
      <c r="AM7512">
        <v>97.875830128852101</v>
      </c>
      <c r="AN7512">
        <v>0.99999998904481402</v>
      </c>
    </row>
    <row r="7513" spans="1:40" x14ac:dyDescent="0.25">
      <c r="A7513" t="str">
        <f>"20190304164308933"</f>
        <v>20190304164308933</v>
      </c>
      <c r="B7513" t="str">
        <f>"1551688988928577"</f>
        <v>1551688988928577</v>
      </c>
      <c r="C7513" t="s">
        <v>40</v>
      </c>
      <c r="D7513">
        <v>4.2450460000000003</v>
      </c>
      <c r="E7513">
        <v>0.54701630000000001</v>
      </c>
      <c r="F7513" t="s">
        <v>42</v>
      </c>
      <c r="G7513">
        <v>-187.792</v>
      </c>
      <c r="H7513" s="1">
        <v>-2.95452E-6</v>
      </c>
      <c r="I7513">
        <v>55.606859999999998</v>
      </c>
      <c r="J7513">
        <v>-187.07570000000001</v>
      </c>
      <c r="K7513">
        <v>1.1096440000000001</v>
      </c>
      <c r="L7513">
        <v>39.745060000000002</v>
      </c>
      <c r="M7513">
        <v>-3.5421960000000001E-3</v>
      </c>
      <c r="N7513">
        <v>-9.0662629999999998E-3</v>
      </c>
      <c r="O7513">
        <v>0.99995259999999997</v>
      </c>
      <c r="P7513">
        <v>-0.12995619999999999</v>
      </c>
      <c r="Q7513">
        <v>0.36107479999999997</v>
      </c>
      <c r="R7513">
        <v>0.92343730000000002</v>
      </c>
      <c r="S7513">
        <v>-0.14619450000000001</v>
      </c>
      <c r="T7513">
        <v>-0.22600880000000001</v>
      </c>
      <c r="U7513">
        <v>3.3179630000000002</v>
      </c>
      <c r="V7513">
        <v>-0.12662190000000001</v>
      </c>
      <c r="W7513">
        <v>0.36945739999999999</v>
      </c>
      <c r="X7513">
        <v>0.92058030000000002</v>
      </c>
      <c r="Y7513">
        <v>-4.03892E-2</v>
      </c>
      <c r="Z7513">
        <v>-5.8850699999999902E-2</v>
      </c>
      <c r="AA7513">
        <v>0.99744940000000004</v>
      </c>
      <c r="AB7513">
        <v>43</v>
      </c>
      <c r="AC7513">
        <v>-0.71629999999998895</v>
      </c>
      <c r="AD7513">
        <v>-1.1096469545200001</v>
      </c>
      <c r="AE7513">
        <v>15.861800000000001</v>
      </c>
      <c r="AF7513">
        <v>-0.65689926282784195</v>
      </c>
      <c r="AG7513">
        <v>-1.1096469545200001</v>
      </c>
      <c r="AH7513">
        <v>15.7871327419845</v>
      </c>
      <c r="AI7513">
        <v>94.017132149834794</v>
      </c>
      <c r="AJ7513">
        <v>92.382690822247895</v>
      </c>
      <c r="AK7513">
        <v>15.839709379222199</v>
      </c>
      <c r="AL7513">
        <v>68.317841964426094</v>
      </c>
      <c r="AM7513">
        <v>97.831648660687307</v>
      </c>
      <c r="AN7513">
        <v>0.999999982361229</v>
      </c>
    </row>
    <row r="7514" spans="1:40" x14ac:dyDescent="0.25">
      <c r="A7514" t="str">
        <f>"20190304164308955"</f>
        <v>20190304164308955</v>
      </c>
      <c r="B7514" t="str">
        <f>"1551688988949073"</f>
        <v>1551688988949073</v>
      </c>
      <c r="C7514" t="s">
        <v>40</v>
      </c>
      <c r="D7514">
        <v>4.21129</v>
      </c>
      <c r="E7514">
        <v>0.54719910000000005</v>
      </c>
      <c r="F7514" t="s">
        <v>42</v>
      </c>
      <c r="G7514">
        <v>-187.7587</v>
      </c>
      <c r="H7514" s="1">
        <v>-3.0750420000000001E-6</v>
      </c>
      <c r="I7514">
        <v>55.874020000000002</v>
      </c>
      <c r="J7514">
        <v>-187.0772</v>
      </c>
      <c r="K7514">
        <v>1.109659</v>
      </c>
      <c r="L7514">
        <v>40.178100000000001</v>
      </c>
      <c r="M7514">
        <v>-3.495845E-3</v>
      </c>
      <c r="N7514">
        <v>-9.1796889999999996E-3</v>
      </c>
      <c r="O7514">
        <v>0.99995179999999995</v>
      </c>
      <c r="P7514">
        <v>-0.128410199999999</v>
      </c>
      <c r="Q7514">
        <v>0.36080600000000002</v>
      </c>
      <c r="R7514">
        <v>0.92375850000000004</v>
      </c>
      <c r="S7514">
        <v>-0.14050289999999999</v>
      </c>
      <c r="T7514">
        <v>-0.22828950000000001</v>
      </c>
      <c r="U7514">
        <v>3.3182369999999999</v>
      </c>
      <c r="V7514">
        <v>-0.1251177</v>
      </c>
      <c r="W7514">
        <v>0.36929600000000001</v>
      </c>
      <c r="X7514">
        <v>0.92085070000000002</v>
      </c>
      <c r="Y7514">
        <v>-3.8723010000000002E-2</v>
      </c>
      <c r="Z7514">
        <v>-5.9418970000000002E-2</v>
      </c>
      <c r="AA7514">
        <v>0.99748179999999997</v>
      </c>
      <c r="AB7514">
        <v>43</v>
      </c>
      <c r="AC7514">
        <v>-0.681499999999999</v>
      </c>
      <c r="AD7514">
        <v>-1.1096620750420001</v>
      </c>
      <c r="AE7514">
        <v>15.6959199999999</v>
      </c>
      <c r="AF7514">
        <v>-0.62351248709991103</v>
      </c>
      <c r="AG7514">
        <v>-1.1096620750420001</v>
      </c>
      <c r="AH7514">
        <v>15.6202812403702</v>
      </c>
      <c r="AI7514">
        <v>94.060233227125494</v>
      </c>
      <c r="AJ7514">
        <v>92.285853727147398</v>
      </c>
      <c r="AK7514">
        <v>15.672054867521901</v>
      </c>
      <c r="AL7514">
        <v>68.327793505724898</v>
      </c>
      <c r="AM7514">
        <v>97.737502030676197</v>
      </c>
      <c r="AN7514">
        <v>0.99999999307988996</v>
      </c>
    </row>
    <row r="7515" spans="1:40" x14ac:dyDescent="0.25">
      <c r="A7515" t="str">
        <f>"20190304164308978"</f>
        <v>20190304164308978</v>
      </c>
      <c r="B7515" t="str">
        <f>"1551688988968593"</f>
        <v>1551688988968593</v>
      </c>
      <c r="C7515" t="s">
        <v>40</v>
      </c>
      <c r="D7515">
        <v>4.2330399999999999</v>
      </c>
      <c r="E7515">
        <v>0.54737190000000002</v>
      </c>
      <c r="F7515" t="s">
        <v>42</v>
      </c>
      <c r="G7515">
        <v>-187.73050000000001</v>
      </c>
      <c r="H7515" s="1">
        <v>-3.2451940000000001E-6</v>
      </c>
      <c r="I7515">
        <v>56.259010000000004</v>
      </c>
      <c r="J7515">
        <v>-187.0787</v>
      </c>
      <c r="K7515">
        <v>1.1096680000000001</v>
      </c>
      <c r="L7515">
        <v>40.608759999999997</v>
      </c>
      <c r="M7515">
        <v>-3.4496679999999999E-3</v>
      </c>
      <c r="N7515">
        <v>-9.2995749999999992E-3</v>
      </c>
      <c r="O7515">
        <v>0.99995080000000003</v>
      </c>
      <c r="P7515">
        <v>-0.1270878</v>
      </c>
      <c r="Q7515">
        <v>0.36045480000000002</v>
      </c>
      <c r="R7515">
        <v>0.92407850000000002</v>
      </c>
      <c r="S7515">
        <v>-0.1348114</v>
      </c>
      <c r="T7515">
        <v>-0.22897909999999999</v>
      </c>
      <c r="U7515">
        <v>3.318298</v>
      </c>
      <c r="V7515">
        <v>-0.1238361</v>
      </c>
      <c r="W7515">
        <v>0.369058</v>
      </c>
      <c r="X7515">
        <v>0.92111929999999997</v>
      </c>
      <c r="Y7515">
        <v>-3.7060540000000003E-2</v>
      </c>
      <c r="Z7515">
        <v>-5.9508940000000003E-2</v>
      </c>
      <c r="AA7515">
        <v>0.99753959999999997</v>
      </c>
      <c r="AB7515">
        <v>43</v>
      </c>
      <c r="AC7515">
        <v>-0.65180000000000804</v>
      </c>
      <c r="AD7515">
        <v>-1.1096712451940001</v>
      </c>
      <c r="AE7515">
        <v>15.65025</v>
      </c>
      <c r="AF7515">
        <v>-0.59482037940377297</v>
      </c>
      <c r="AG7515">
        <v>-1.1096712451940001</v>
      </c>
      <c r="AH7515">
        <v>15.5742426112835</v>
      </c>
      <c r="AI7515">
        <v>94.072501700393403</v>
      </c>
      <c r="AJ7515">
        <v>92.187210112688504</v>
      </c>
      <c r="AK7515">
        <v>15.6250508629983</v>
      </c>
      <c r="AL7515">
        <v>68.342466018227796</v>
      </c>
      <c r="AM7515">
        <v>97.656984271287399</v>
      </c>
      <c r="AN7515">
        <v>0.99999997592984902</v>
      </c>
    </row>
    <row r="7516" spans="1:40" x14ac:dyDescent="0.25">
      <c r="A7516" t="str">
        <f>"20190304164309000"</f>
        <v>20190304164309000</v>
      </c>
      <c r="B7516" t="str">
        <f>"1551688988988113"</f>
        <v>1551688988988113</v>
      </c>
      <c r="C7516" t="s">
        <v>40</v>
      </c>
      <c r="D7516">
        <v>4.2349180000000004</v>
      </c>
      <c r="E7516">
        <v>0.54754409999999998</v>
      </c>
      <c r="F7516" t="s">
        <v>42</v>
      </c>
      <c r="G7516">
        <v>-187.70760000000001</v>
      </c>
      <c r="H7516" s="1">
        <v>-3.3865039999999998E-6</v>
      </c>
      <c r="I7516">
        <v>56.578919999999997</v>
      </c>
      <c r="J7516">
        <v>-187.08009999999999</v>
      </c>
      <c r="K7516">
        <v>1.1096790000000001</v>
      </c>
      <c r="L7516">
        <v>41.03125</v>
      </c>
      <c r="M7516">
        <v>-3.404556E-3</v>
      </c>
      <c r="N7516">
        <v>-9.4211329999999999E-3</v>
      </c>
      <c r="O7516">
        <v>0.9999498</v>
      </c>
      <c r="P7516">
        <v>-0.1268668</v>
      </c>
      <c r="Q7516">
        <v>0.36000670000000001</v>
      </c>
      <c r="R7516">
        <v>0.92428350000000004</v>
      </c>
      <c r="S7516">
        <v>-0.1306763</v>
      </c>
      <c r="T7516">
        <v>-0.2305796</v>
      </c>
      <c r="U7516">
        <v>3.318451</v>
      </c>
      <c r="V7516">
        <v>-0.12365619999999999</v>
      </c>
      <c r="W7516">
        <v>0.36872389999999999</v>
      </c>
      <c r="X7516">
        <v>0.92127729999999997</v>
      </c>
      <c r="Y7516">
        <v>-3.5861999999999998E-2</v>
      </c>
      <c r="Z7516">
        <v>-5.986644E-2</v>
      </c>
      <c r="AA7516">
        <v>0.99756199999999995</v>
      </c>
      <c r="AB7516">
        <v>43</v>
      </c>
      <c r="AC7516">
        <v>-0.62750000000002604</v>
      </c>
      <c r="AD7516">
        <v>-1.109682386504</v>
      </c>
      <c r="AE7516">
        <v>15.547669999999901</v>
      </c>
      <c r="AF7516">
        <v>-0.57165377825933505</v>
      </c>
      <c r="AG7516">
        <v>-1.109682386504</v>
      </c>
      <c r="AH7516">
        <v>15.4710336420962</v>
      </c>
      <c r="AI7516">
        <v>94.099808984758397</v>
      </c>
      <c r="AJ7516">
        <v>92.116112973735198</v>
      </c>
      <c r="AK7516">
        <v>15.521310028344599</v>
      </c>
      <c r="AL7516">
        <v>68.363061981595493</v>
      </c>
      <c r="AM7516">
        <v>97.644696664319397</v>
      </c>
      <c r="AN7516">
        <v>1.0000000168624601</v>
      </c>
    </row>
    <row r="7517" spans="1:40" x14ac:dyDescent="0.25">
      <c r="A7517" t="str">
        <f>"20190304164309025"</f>
        <v>20190304164309025</v>
      </c>
      <c r="B7517" t="str">
        <f>"1551688989018369"</f>
        <v>1551688989018369</v>
      </c>
      <c r="C7517" t="s">
        <v>40</v>
      </c>
      <c r="D7517">
        <v>4.1948100000000004</v>
      </c>
      <c r="E7517">
        <v>0.54774959999999995</v>
      </c>
      <c r="F7517" t="s">
        <v>42</v>
      </c>
      <c r="G7517">
        <v>-187.6962</v>
      </c>
      <c r="H7517" s="1">
        <v>-3.5289760000000002E-6</v>
      </c>
      <c r="I7517">
        <v>56.906329999999997</v>
      </c>
      <c r="J7517">
        <v>-187.08160000000001</v>
      </c>
      <c r="K7517">
        <v>1.1096900000000001</v>
      </c>
      <c r="L7517">
        <v>41.470730000000003</v>
      </c>
      <c r="M7517">
        <v>-3.3579970000000002E-3</v>
      </c>
      <c r="N7517">
        <v>-9.5526650000000001E-3</v>
      </c>
      <c r="O7517">
        <v>0.99994870000000002</v>
      </c>
      <c r="P7517">
        <v>-0.12755129999999901</v>
      </c>
      <c r="Q7517">
        <v>0.35906100000000002</v>
      </c>
      <c r="R7517">
        <v>0.92455710000000002</v>
      </c>
      <c r="S7517">
        <v>-0.12878419999999999</v>
      </c>
      <c r="T7517">
        <v>-0.23196069999999999</v>
      </c>
      <c r="U7517">
        <v>3.3184200000000001</v>
      </c>
      <c r="V7517">
        <v>-0.1243823</v>
      </c>
      <c r="W7517">
        <v>0.36790240000000002</v>
      </c>
      <c r="X7517">
        <v>0.92150799999999999</v>
      </c>
      <c r="Y7517">
        <v>-3.5340219999999999E-2</v>
      </c>
      <c r="Z7517">
        <v>-6.0150330000000002E-2</v>
      </c>
      <c r="AA7517">
        <v>0.99756350000000005</v>
      </c>
      <c r="AB7517">
        <v>43</v>
      </c>
      <c r="AC7517">
        <v>-0.61459999999999504</v>
      </c>
      <c r="AD7517">
        <v>-1.1096935289759999</v>
      </c>
      <c r="AE7517">
        <v>15.435600000000001</v>
      </c>
      <c r="AF7517">
        <v>-0.55987238534775996</v>
      </c>
      <c r="AG7517">
        <v>-1.1096935289759999</v>
      </c>
      <c r="AH7517">
        <v>15.3583240287037</v>
      </c>
      <c r="AI7517">
        <v>94.129908526791695</v>
      </c>
      <c r="AJ7517">
        <v>92.087736034070304</v>
      </c>
      <c r="AK7517">
        <v>15.4085363934017</v>
      </c>
      <c r="AL7517">
        <v>68.413690540844897</v>
      </c>
      <c r="AM7517">
        <v>97.687148340409095</v>
      </c>
      <c r="AN7517">
        <v>1.00000006327152</v>
      </c>
    </row>
    <row r="7518" spans="1:40" x14ac:dyDescent="0.25">
      <c r="A7518" t="str">
        <f>"20190304164309045"</f>
        <v>20190304164309045</v>
      </c>
      <c r="B7518" t="str">
        <f>"1551688989038866"</f>
        <v>1551688989038866</v>
      </c>
      <c r="C7518" t="s">
        <v>40</v>
      </c>
      <c r="D7518">
        <v>4.2097759999999997</v>
      </c>
      <c r="E7518">
        <v>0.5478999</v>
      </c>
      <c r="F7518" t="s">
        <v>42</v>
      </c>
      <c r="G7518">
        <v>-187.6908</v>
      </c>
      <c r="H7518" s="1">
        <v>-3.6427030000000002E-6</v>
      </c>
      <c r="I7518">
        <v>57.16919</v>
      </c>
      <c r="J7518">
        <v>-187.083</v>
      </c>
      <c r="K7518">
        <v>1.1096969999999999</v>
      </c>
      <c r="L7518">
        <v>41.903689999999997</v>
      </c>
      <c r="M7518">
        <v>-3.3120160000000001E-3</v>
      </c>
      <c r="N7518">
        <v>-9.6853809999999999E-3</v>
      </c>
      <c r="O7518">
        <v>0.99994760000000005</v>
      </c>
      <c r="P7518">
        <v>-0.12793180000000001</v>
      </c>
      <c r="Q7518">
        <v>0.35807169999999999</v>
      </c>
      <c r="R7518">
        <v>0.92488820000000005</v>
      </c>
      <c r="S7518">
        <v>-0.12876889999999999</v>
      </c>
      <c r="T7518">
        <v>-0.23455119999999999</v>
      </c>
      <c r="U7518">
        <v>3.3181150000000001</v>
      </c>
      <c r="V7518">
        <v>-0.12480430000000001</v>
      </c>
      <c r="W7518">
        <v>0.36703859999999999</v>
      </c>
      <c r="X7518">
        <v>0.92179529999999998</v>
      </c>
      <c r="Y7518">
        <v>-3.538326E-2</v>
      </c>
      <c r="Z7518">
        <v>-6.0799119999999998E-2</v>
      </c>
      <c r="AA7518">
        <v>0.99752269999999998</v>
      </c>
      <c r="AB7518">
        <v>43</v>
      </c>
      <c r="AC7518">
        <v>-0.60779999999999701</v>
      </c>
      <c r="AD7518">
        <v>-1.1097006427029901</v>
      </c>
      <c r="AE7518">
        <v>15.2654999999999</v>
      </c>
      <c r="AF7518">
        <v>-0.55431019400243198</v>
      </c>
      <c r="AG7518">
        <v>-1.1097006427029901</v>
      </c>
      <c r="AH7518">
        <v>15.1873017707175</v>
      </c>
      <c r="AI7518">
        <v>94.176271229176294</v>
      </c>
      <c r="AJ7518">
        <v>92.090268818825393</v>
      </c>
      <c r="AK7518">
        <v>15.2378748643776</v>
      </c>
      <c r="AL7518">
        <v>68.466904654164296</v>
      </c>
      <c r="AM7518">
        <v>97.7105406197186</v>
      </c>
      <c r="AN7518">
        <v>1.00000001114527</v>
      </c>
    </row>
    <row r="7519" spans="1:40" x14ac:dyDescent="0.25">
      <c r="A7519" t="str">
        <f>"20190304164309068"</f>
        <v>20190304164309068</v>
      </c>
      <c r="B7519" t="str">
        <f>"1551688989058385"</f>
        <v>1551688989058385</v>
      </c>
      <c r="C7519" t="s">
        <v>40</v>
      </c>
      <c r="D7519">
        <v>4.1545120000000004</v>
      </c>
      <c r="E7519">
        <v>0.54800470000000001</v>
      </c>
      <c r="F7519" t="s">
        <v>42</v>
      </c>
      <c r="G7519">
        <v>-187.6833</v>
      </c>
      <c r="H7519" s="1">
        <v>-3.7321970000000002E-6</v>
      </c>
      <c r="I7519">
        <v>57.374699999999997</v>
      </c>
      <c r="J7519">
        <v>-187.08439999999999</v>
      </c>
      <c r="K7519">
        <v>1.1097109999999999</v>
      </c>
      <c r="L7519">
        <v>42.336939999999998</v>
      </c>
      <c r="M7519">
        <v>-3.266073E-3</v>
      </c>
      <c r="N7519">
        <v>-9.8164199999999993E-3</v>
      </c>
      <c r="O7519">
        <v>0.99994649999999996</v>
      </c>
      <c r="P7519">
        <v>-0.12859909999999999</v>
      </c>
      <c r="Q7519">
        <v>0.35703400000000002</v>
      </c>
      <c r="R7519">
        <v>0.92519680000000004</v>
      </c>
      <c r="S7519">
        <v>-0.1287384</v>
      </c>
      <c r="T7519">
        <v>-0.2379899</v>
      </c>
      <c r="U7519">
        <v>3.3179630000000002</v>
      </c>
      <c r="V7519">
        <v>-0.12551300000000001</v>
      </c>
      <c r="W7519">
        <v>0.36612460000000002</v>
      </c>
      <c r="X7519">
        <v>0.92206250000000001</v>
      </c>
      <c r="Y7519">
        <v>-3.5419239999999998E-2</v>
      </c>
      <c r="Z7519">
        <v>-6.1700039999999998E-2</v>
      </c>
      <c r="AA7519">
        <v>0.99746610000000002</v>
      </c>
      <c r="AB7519">
        <v>43</v>
      </c>
      <c r="AC7519">
        <v>-0.59890000000001398</v>
      </c>
      <c r="AD7519">
        <v>-1.109714732197</v>
      </c>
      <c r="AE7519">
        <v>15.037759999999899</v>
      </c>
      <c r="AF7519">
        <v>-0.54680696821651698</v>
      </c>
      <c r="AG7519">
        <v>-1.109714732197</v>
      </c>
      <c r="AH7519">
        <v>14.9583059808757</v>
      </c>
      <c r="AI7519">
        <v>94.240018932117493</v>
      </c>
      <c r="AJ7519">
        <v>92.093538360677698</v>
      </c>
      <c r="AK7519">
        <v>15.009376484879301</v>
      </c>
      <c r="AL7519">
        <v>68.523190980024907</v>
      </c>
      <c r="AM7519">
        <v>97.751574089913007</v>
      </c>
      <c r="AN7519">
        <v>0.99999999490020497</v>
      </c>
    </row>
    <row r="7520" spans="1:40" x14ac:dyDescent="0.25">
      <c r="A7520" t="str">
        <f>"20190304164309089"</f>
        <v>20190304164309089</v>
      </c>
      <c r="B7520" t="str">
        <f>"1551688989078881"</f>
        <v>1551688989078881</v>
      </c>
      <c r="C7520" t="s">
        <v>40</v>
      </c>
      <c r="D7520">
        <v>4.1961180000000002</v>
      </c>
      <c r="E7520">
        <v>0.54814759999999996</v>
      </c>
      <c r="F7520" t="s">
        <v>42</v>
      </c>
      <c r="G7520">
        <v>-187.6789</v>
      </c>
      <c r="H7520" s="1">
        <v>-3.8532639999999999E-6</v>
      </c>
      <c r="I7520">
        <v>57.655079999999998</v>
      </c>
      <c r="J7520">
        <v>-187.0857</v>
      </c>
      <c r="K7520">
        <v>1.1097239999999999</v>
      </c>
      <c r="L7520">
        <v>42.736330000000002</v>
      </c>
      <c r="M7520">
        <v>-3.2237569999999998E-3</v>
      </c>
      <c r="N7520">
        <v>-9.9382659999999994E-3</v>
      </c>
      <c r="O7520">
        <v>0.99994539999999998</v>
      </c>
      <c r="P7520">
        <v>-0.12956780000000001</v>
      </c>
      <c r="Q7520">
        <v>0.3568018</v>
      </c>
      <c r="R7520">
        <v>0.92515119999999895</v>
      </c>
      <c r="S7520">
        <v>-0.1287384</v>
      </c>
      <c r="T7520">
        <v>-0.24032829999999999</v>
      </c>
      <c r="U7520">
        <v>3.3174130000000002</v>
      </c>
      <c r="V7520">
        <v>-0.12652089999999999</v>
      </c>
      <c r="W7520">
        <v>0.36600480000000002</v>
      </c>
      <c r="X7520">
        <v>0.92197229999999997</v>
      </c>
      <c r="Y7520">
        <v>-3.5466159999999997E-2</v>
      </c>
      <c r="Z7520">
        <v>-6.2289560000000001E-2</v>
      </c>
      <c r="AA7520">
        <v>0.99742779999999998</v>
      </c>
      <c r="AB7520">
        <v>43</v>
      </c>
      <c r="AC7520">
        <v>-0.59319999999999595</v>
      </c>
      <c r="AD7520">
        <v>-1.109727853264</v>
      </c>
      <c r="AE7520">
        <v>14.918749999999999</v>
      </c>
      <c r="AF7520">
        <v>-0.54210533105027003</v>
      </c>
      <c r="AG7520">
        <v>-1.109727853264</v>
      </c>
      <c r="AH7520">
        <v>14.8386110595125</v>
      </c>
      <c r="AI7520">
        <v>94.274148362179702</v>
      </c>
      <c r="AJ7520">
        <v>92.092280725774401</v>
      </c>
      <c r="AK7520">
        <v>14.8899211641214</v>
      </c>
      <c r="AL7520">
        <v>68.530566806451503</v>
      </c>
      <c r="AM7520">
        <v>97.813810269531402</v>
      </c>
      <c r="AN7520">
        <v>0.99999998686356995</v>
      </c>
    </row>
    <row r="7521" spans="1:40" x14ac:dyDescent="0.25">
      <c r="A7521" t="str">
        <f>"20190304164309112"</f>
        <v>20190304164309112</v>
      </c>
      <c r="B7521" t="str">
        <f>"1551688989098402"</f>
        <v>1551688989098402</v>
      </c>
      <c r="C7521" t="s">
        <v>40</v>
      </c>
      <c r="D7521">
        <v>4.2033550000000002</v>
      </c>
      <c r="E7521">
        <v>0.54831529999999995</v>
      </c>
      <c r="F7521" t="s">
        <v>42</v>
      </c>
      <c r="G7521">
        <v>-187.68260000000001</v>
      </c>
      <c r="H7521" s="1">
        <v>-4.0182360000000001E-6</v>
      </c>
      <c r="I7521">
        <v>58.041150000000002</v>
      </c>
      <c r="J7521">
        <v>-187.08709999999999</v>
      </c>
      <c r="K7521">
        <v>1.109748</v>
      </c>
      <c r="L7521">
        <v>43.159329999999997</v>
      </c>
      <c r="M7521">
        <v>-3.1787260000000002E-3</v>
      </c>
      <c r="N7521">
        <v>-1.0072630000000001E-2</v>
      </c>
      <c r="O7521">
        <v>0.99994419999999995</v>
      </c>
      <c r="P7521">
        <v>-0.12903290000000001</v>
      </c>
      <c r="Q7521">
        <v>0.35753069999999998</v>
      </c>
      <c r="R7521">
        <v>0.92494449999999995</v>
      </c>
      <c r="S7521">
        <v>-0.12936400000000001</v>
      </c>
      <c r="T7521">
        <v>-0.2405359</v>
      </c>
      <c r="U7521">
        <v>3.3173520000000001</v>
      </c>
      <c r="V7521">
        <v>-0.126028</v>
      </c>
      <c r="W7521">
        <v>0.36685489999999998</v>
      </c>
      <c r="X7521">
        <v>0.92170200000000002</v>
      </c>
      <c r="Y7521">
        <v>-3.5699540000000002E-2</v>
      </c>
      <c r="Z7521">
        <v>-6.2218299999999997E-2</v>
      </c>
      <c r="AA7521">
        <v>0.99742390000000003</v>
      </c>
      <c r="AB7521">
        <v>43</v>
      </c>
      <c r="AC7521">
        <v>-0.59550000000001502</v>
      </c>
      <c r="AD7521">
        <v>-1.1097520182359999</v>
      </c>
      <c r="AE7521">
        <v>14.881819999999999</v>
      </c>
      <c r="AF7521">
        <v>-0.545162650622249</v>
      </c>
      <c r="AG7521">
        <v>-1.1097520182359999</v>
      </c>
      <c r="AH7521">
        <v>14.801460976549199</v>
      </c>
      <c r="AI7521">
        <v>94.284882429021593</v>
      </c>
      <c r="AJ7521">
        <v>92.109346242772801</v>
      </c>
      <c r="AK7521">
        <v>14.8530131252188</v>
      </c>
      <c r="AL7521">
        <v>68.478220623930497</v>
      </c>
      <c r="AM7521">
        <v>97.785997792136598</v>
      </c>
      <c r="AN7521">
        <v>1.0000000756209999</v>
      </c>
    </row>
    <row r="7522" spans="1:40" x14ac:dyDescent="0.25">
      <c r="A7522" t="str">
        <f>"20190304164309134"</f>
        <v>20190304164309134</v>
      </c>
      <c r="B7522" t="str">
        <f>"1551688989128657"</f>
        <v>1551688989128657</v>
      </c>
      <c r="C7522" t="s">
        <v>40</v>
      </c>
      <c r="D7522">
        <v>4.1624429999999997</v>
      </c>
      <c r="E7522">
        <v>0.54851070000000002</v>
      </c>
      <c r="F7522" t="s">
        <v>42</v>
      </c>
      <c r="G7522">
        <v>-187.6807</v>
      </c>
      <c r="H7522" s="1">
        <v>-4.2755559999999998E-6</v>
      </c>
      <c r="I7522">
        <v>58.640180000000001</v>
      </c>
      <c r="J7522">
        <v>-187.08840000000001</v>
      </c>
      <c r="K7522">
        <v>1.1097699999999999</v>
      </c>
      <c r="L7522">
        <v>43.594760000000001</v>
      </c>
      <c r="M7522">
        <v>-3.132456E-3</v>
      </c>
      <c r="N7522">
        <v>-1.021876E-2</v>
      </c>
      <c r="O7522">
        <v>0.99994289999999997</v>
      </c>
      <c r="P7522">
        <v>-0.12773180000000001</v>
      </c>
      <c r="Q7522">
        <v>0.35854560000000002</v>
      </c>
      <c r="R7522">
        <v>0.9247322</v>
      </c>
      <c r="S7522">
        <v>-0.12721250000000001</v>
      </c>
      <c r="T7522">
        <v>-0.2378256</v>
      </c>
      <c r="U7522">
        <v>3.3176269999999999</v>
      </c>
      <c r="V7522">
        <v>-0.1247698</v>
      </c>
      <c r="W7522">
        <v>0.3680022</v>
      </c>
      <c r="X7522">
        <v>0.92141569999999995</v>
      </c>
      <c r="Y7522">
        <v>-3.5099119999999998E-2</v>
      </c>
      <c r="Z7522">
        <v>-6.1257569999999997E-2</v>
      </c>
      <c r="AA7522">
        <v>0.99750470000000002</v>
      </c>
      <c r="AB7522">
        <v>43</v>
      </c>
      <c r="AC7522">
        <v>-0.59229999999999405</v>
      </c>
      <c r="AD7522">
        <v>-1.1097742755560001</v>
      </c>
      <c r="AE7522">
        <v>15.04542</v>
      </c>
      <c r="AF7522">
        <v>-0.54221998630913504</v>
      </c>
      <c r="AG7522">
        <v>-1.1097742755560001</v>
      </c>
      <c r="AH7522">
        <v>14.965901540346101</v>
      </c>
      <c r="AI7522">
        <v>94.238151307898903</v>
      </c>
      <c r="AJ7522">
        <v>92.074939099427795</v>
      </c>
      <c r="AK7522">
        <v>15.016784288640901</v>
      </c>
      <c r="AL7522">
        <v>68.407539727876397</v>
      </c>
      <c r="AM7522">
        <v>97.711572279072797</v>
      </c>
      <c r="AN7522">
        <v>1.0000000072016799</v>
      </c>
    </row>
    <row r="7523" spans="1:40" x14ac:dyDescent="0.25">
      <c r="A7523" t="str">
        <f>"20190304164309157"</f>
        <v>20190304164309157</v>
      </c>
      <c r="B7523" t="str">
        <f>"1551688989148177"</f>
        <v>1551688989148177</v>
      </c>
      <c r="C7523" t="s">
        <v>40</v>
      </c>
      <c r="D7523">
        <v>4.1736800000000001</v>
      </c>
      <c r="E7523">
        <v>0.54867010000000005</v>
      </c>
      <c r="F7523" t="s">
        <v>42</v>
      </c>
      <c r="G7523">
        <v>-187.67080000000001</v>
      </c>
      <c r="H7523" s="1">
        <v>-4.5767499999999998E-6</v>
      </c>
      <c r="I7523">
        <v>59.338209999999997</v>
      </c>
      <c r="J7523">
        <v>-187.0898</v>
      </c>
      <c r="K7523">
        <v>1.1097840000000001</v>
      </c>
      <c r="L7523">
        <v>44.053379999999997</v>
      </c>
      <c r="M7523">
        <v>-3.0836779999999999E-3</v>
      </c>
      <c r="N7523">
        <v>-1.038148E-2</v>
      </c>
      <c r="O7523">
        <v>0.99994130000000003</v>
      </c>
      <c r="P7523">
        <v>-0.12730730000000001</v>
      </c>
      <c r="Q7523">
        <v>0.35760449999999999</v>
      </c>
      <c r="R7523">
        <v>0.92515499999999995</v>
      </c>
      <c r="S7523">
        <v>-0.1227417</v>
      </c>
      <c r="T7523">
        <v>-0.2338828</v>
      </c>
      <c r="U7523">
        <v>3.3179020000000001</v>
      </c>
      <c r="V7523">
        <v>-0.1243896</v>
      </c>
      <c r="W7523">
        <v>0.36721589999999998</v>
      </c>
      <c r="X7523">
        <v>0.92178070000000001</v>
      </c>
      <c r="Y7523">
        <v>-3.3805979999999999E-2</v>
      </c>
      <c r="Z7523">
        <v>-5.9913199999999903E-2</v>
      </c>
      <c r="AA7523">
        <v>0.99763100000000005</v>
      </c>
      <c r="AB7523">
        <v>43</v>
      </c>
      <c r="AC7523">
        <v>-0.58100000000001695</v>
      </c>
      <c r="AD7523">
        <v>-1.10978857675</v>
      </c>
      <c r="AE7523">
        <v>15.284829999999999</v>
      </c>
      <c r="AF7523">
        <v>-0.53106556619004996</v>
      </c>
      <c r="AG7523">
        <v>-1.10978857675</v>
      </c>
      <c r="AH7523">
        <v>15.2064990098616</v>
      </c>
      <c r="AI7523">
        <v>94.171580369491906</v>
      </c>
      <c r="AJ7523">
        <v>92.000161517142999</v>
      </c>
      <c r="AK7523">
        <v>15.256188038222399</v>
      </c>
      <c r="AL7523">
        <v>68.455982663645301</v>
      </c>
      <c r="AM7523">
        <v>97.685346988661706</v>
      </c>
      <c r="AN7523">
        <v>0.99999997434672905</v>
      </c>
    </row>
    <row r="7524" spans="1:40" x14ac:dyDescent="0.25">
      <c r="A7524" t="str">
        <f>"20190304164309172"</f>
        <v>20190304164309172</v>
      </c>
      <c r="B7524" t="str">
        <f>"1551688989168673"</f>
        <v>1551688989168673</v>
      </c>
      <c r="C7524" t="s">
        <v>40</v>
      </c>
      <c r="D7524">
        <v>4.1501859999999997</v>
      </c>
      <c r="E7524">
        <v>0.54878249999999995</v>
      </c>
      <c r="F7524" t="s">
        <v>42</v>
      </c>
      <c r="G7524">
        <v>-187.6508</v>
      </c>
      <c r="H7524" s="1">
        <v>-4.6951799999999998E-6</v>
      </c>
      <c r="I7524">
        <v>59.606000000000002</v>
      </c>
      <c r="J7524">
        <v>-187.09059999999999</v>
      </c>
      <c r="K7524">
        <v>1.109793</v>
      </c>
      <c r="L7524">
        <v>44.33032</v>
      </c>
      <c r="M7524">
        <v>-3.0544000000000001E-3</v>
      </c>
      <c r="N7524">
        <v>-1.048281E-2</v>
      </c>
      <c r="O7524">
        <v>0.99994039999999995</v>
      </c>
      <c r="P7524">
        <v>-0.1272315</v>
      </c>
      <c r="Q7524">
        <v>0.35664899999999999</v>
      </c>
      <c r="R7524">
        <v>0.92553419999999997</v>
      </c>
      <c r="S7524">
        <v>-0.11967469999999999</v>
      </c>
      <c r="T7524">
        <v>-0.23674480000000001</v>
      </c>
      <c r="U7524">
        <v>3.3177490000000001</v>
      </c>
      <c r="V7524">
        <v>-0.1243394</v>
      </c>
      <c r="W7524">
        <v>0.36635760000000001</v>
      </c>
      <c r="X7524">
        <v>0.92212899999999998</v>
      </c>
      <c r="Y7524">
        <v>-3.2914319999999997E-2</v>
      </c>
      <c r="Z7524">
        <v>-6.0673709999999999E-2</v>
      </c>
      <c r="AA7524">
        <v>0.99761480000000002</v>
      </c>
      <c r="AB7524">
        <v>43</v>
      </c>
      <c r="AC7524">
        <v>-0.56020000000000802</v>
      </c>
      <c r="AD7524">
        <v>-1.1097976951799999</v>
      </c>
      <c r="AE7524">
        <v>15.275679999999999</v>
      </c>
      <c r="AF7524">
        <v>-0.51084406621901401</v>
      </c>
      <c r="AG7524">
        <v>-1.1097976951799999</v>
      </c>
      <c r="AH7524">
        <v>15.197213578253001</v>
      </c>
      <c r="AI7524">
        <v>94.174340761692704</v>
      </c>
      <c r="AJ7524">
        <v>91.925234012045905</v>
      </c>
      <c r="AK7524">
        <v>15.246242590463201</v>
      </c>
      <c r="AL7524">
        <v>68.508845158409201</v>
      </c>
      <c r="AM7524">
        <v>97.679415390646696</v>
      </c>
      <c r="AN7524">
        <v>1.00000003505555</v>
      </c>
    </row>
    <row r="7525" spans="1:40" x14ac:dyDescent="0.25">
      <c r="A7525" t="str">
        <f>"20190304164309191"</f>
        <v>20190304164309191</v>
      </c>
      <c r="B7525" t="str">
        <f>"1551688989178433"</f>
        <v>1551688989178433</v>
      </c>
      <c r="C7525" t="s">
        <v>40</v>
      </c>
      <c r="D7525">
        <v>4.1733089999999997</v>
      </c>
      <c r="E7525">
        <v>0.54883919999999997</v>
      </c>
      <c r="F7525" t="s">
        <v>42</v>
      </c>
      <c r="G7525">
        <v>-187.63399999999999</v>
      </c>
      <c r="H7525" s="1">
        <v>-6.4902299999999995E-7</v>
      </c>
      <c r="I7525">
        <v>59.705350000000003</v>
      </c>
      <c r="J7525">
        <v>-187.0916</v>
      </c>
      <c r="K7525">
        <v>1.109802</v>
      </c>
      <c r="L7525">
        <v>44.666049999999998</v>
      </c>
      <c r="M7525">
        <v>-3.0205229999999998E-3</v>
      </c>
      <c r="N7525">
        <v>-1.060503E-2</v>
      </c>
      <c r="O7525">
        <v>0.99993920000000003</v>
      </c>
      <c r="P7525">
        <v>-0.12784499999999999</v>
      </c>
      <c r="Q7525">
        <v>0.35461609999999899</v>
      </c>
      <c r="R7525">
        <v>0.92623049999999996</v>
      </c>
      <c r="S7525">
        <v>-0.11724850000000001</v>
      </c>
      <c r="T7525">
        <v>-0.23946490000000001</v>
      </c>
      <c r="U7525">
        <v>3.3175349999999999</v>
      </c>
      <c r="V7525">
        <v>-0.1249832</v>
      </c>
      <c r="W7525">
        <v>0.36444490000000002</v>
      </c>
      <c r="X7525">
        <v>0.92279960000000005</v>
      </c>
      <c r="Y7525">
        <v>-3.2220310000000002E-2</v>
      </c>
      <c r="Z7525">
        <v>-6.1371729999999999E-2</v>
      </c>
      <c r="AA7525">
        <v>0.9975948</v>
      </c>
      <c r="AB7525">
        <v>43</v>
      </c>
      <c r="AC7525">
        <v>-0.54240000000001398</v>
      </c>
      <c r="AD7525">
        <v>-1.109802649023</v>
      </c>
      <c r="AE7525">
        <v>15.039300000000001</v>
      </c>
      <c r="AF7525">
        <v>-0.494280321243945</v>
      </c>
      <c r="AG7525">
        <v>-1.109802649023</v>
      </c>
      <c r="AH7525">
        <v>14.9595138786225</v>
      </c>
      <c r="AI7525">
        <v>94.240528502963301</v>
      </c>
      <c r="AJ7525">
        <v>91.892432960593496</v>
      </c>
      <c r="AK7525">
        <v>15.008765120436999</v>
      </c>
      <c r="AL7525">
        <v>68.626574956782207</v>
      </c>
      <c r="AM7525">
        <v>97.713157811478496</v>
      </c>
      <c r="AN7525">
        <v>0.99999999358920499</v>
      </c>
    </row>
    <row r="7526" spans="1:40" x14ac:dyDescent="0.25">
      <c r="A7526" t="str">
        <f>"20190304164309213"</f>
        <v>20190304164309213</v>
      </c>
      <c r="B7526" t="str">
        <f>"1551688989208689"</f>
        <v>1551688989208689</v>
      </c>
      <c r="C7526" t="s">
        <v>40</v>
      </c>
      <c r="D7526">
        <v>4.1561830000000004</v>
      </c>
      <c r="E7526">
        <v>0.54900470000000001</v>
      </c>
      <c r="F7526" t="s">
        <v>42</v>
      </c>
      <c r="G7526">
        <v>-187.6225</v>
      </c>
      <c r="H7526" s="1">
        <v>-4.7022340000000001E-6</v>
      </c>
      <c r="I7526">
        <v>59.610709999999997</v>
      </c>
      <c r="J7526">
        <v>-187.09299999999999</v>
      </c>
      <c r="K7526">
        <v>1.1098209999999999</v>
      </c>
      <c r="L7526">
        <v>45.120640000000002</v>
      </c>
      <c r="M7526">
        <v>-2.9809160000000001E-3</v>
      </c>
      <c r="N7526">
        <v>-1.0763389999999999E-2</v>
      </c>
      <c r="O7526">
        <v>0.99993770000000004</v>
      </c>
      <c r="P7526">
        <v>-0.12824160000000001</v>
      </c>
      <c r="Q7526">
        <v>0.35262969999999999</v>
      </c>
      <c r="R7526">
        <v>0.92693389999999998</v>
      </c>
      <c r="S7526">
        <v>-0.1178131</v>
      </c>
      <c r="T7526">
        <v>-0.24632299999999999</v>
      </c>
      <c r="U7526">
        <v>3.316986</v>
      </c>
      <c r="V7526">
        <v>-0.12541739999999901</v>
      </c>
      <c r="W7526">
        <v>0.36261130000000003</v>
      </c>
      <c r="X7526">
        <v>0.92346280000000003</v>
      </c>
      <c r="Y7526">
        <v>-3.2430399999999998E-2</v>
      </c>
      <c r="Z7526">
        <v>-6.3276429999999995E-2</v>
      </c>
      <c r="AA7526">
        <v>0.99746900000000005</v>
      </c>
      <c r="AB7526">
        <v>43</v>
      </c>
      <c r="AC7526">
        <v>-0.52950000000001296</v>
      </c>
      <c r="AD7526">
        <v>-1.1098257022339999</v>
      </c>
      <c r="AE7526">
        <v>14.4900699999999</v>
      </c>
      <c r="AF7526">
        <v>-0.48346904604833602</v>
      </c>
      <c r="AG7526">
        <v>-1.1098257022339999</v>
      </c>
      <c r="AH7526">
        <v>14.407179133664901</v>
      </c>
      <c r="AI7526">
        <v>94.402488001944604</v>
      </c>
      <c r="AJ7526">
        <v>91.921982411310196</v>
      </c>
      <c r="AK7526">
        <v>14.4579481945861</v>
      </c>
      <c r="AL7526">
        <v>68.739348486417995</v>
      </c>
      <c r="AM7526">
        <v>97.7341385650886</v>
      </c>
      <c r="AN7526">
        <v>1.0000000110471401</v>
      </c>
    </row>
    <row r="7527" spans="1:40" x14ac:dyDescent="0.25">
      <c r="A7527" t="str">
        <f>"20190304164309236"</f>
        <v>20190304164309236</v>
      </c>
      <c r="B7527" t="str">
        <f>"1551688989228209"</f>
        <v>1551688989228209</v>
      </c>
      <c r="C7527" t="s">
        <v>40</v>
      </c>
      <c r="D7527">
        <v>4.1591990000000001</v>
      </c>
      <c r="E7527">
        <v>0.5491222</v>
      </c>
      <c r="F7527" t="s">
        <v>42</v>
      </c>
      <c r="G7527">
        <v>-187.61019999999999</v>
      </c>
      <c r="H7527" s="1">
        <v>-6.4689319999999905E-7</v>
      </c>
      <c r="I7527">
        <v>59.680480000000003</v>
      </c>
      <c r="J7527">
        <v>-187.0942</v>
      </c>
      <c r="K7527">
        <v>1.109836</v>
      </c>
      <c r="L7527">
        <v>45.550199999999997</v>
      </c>
      <c r="M7527">
        <v>-2.9519300000000002E-3</v>
      </c>
      <c r="N7527">
        <v>-1.0900959999999999E-2</v>
      </c>
      <c r="O7527">
        <v>0.99993620000000005</v>
      </c>
      <c r="P7527">
        <v>-0.1287507</v>
      </c>
      <c r="Q7527">
        <v>0.3513887</v>
      </c>
      <c r="R7527">
        <v>0.92733449999999995</v>
      </c>
      <c r="S7527">
        <v>-0.1178131</v>
      </c>
      <c r="T7527">
        <v>-0.25278790000000001</v>
      </c>
      <c r="U7527">
        <v>3.3163450000000001</v>
      </c>
      <c r="V7527">
        <v>-0.125958399999999</v>
      </c>
      <c r="W7527">
        <v>0.36149949999999997</v>
      </c>
      <c r="X7527">
        <v>0.92382500000000001</v>
      </c>
      <c r="Y7527">
        <v>-3.2461499999999997E-2</v>
      </c>
      <c r="Z7527">
        <v>-6.5086660000000005E-2</v>
      </c>
      <c r="AA7527">
        <v>0.99735149999999995</v>
      </c>
      <c r="AB7527">
        <v>43</v>
      </c>
      <c r="AC7527">
        <v>-0.51599999999999102</v>
      </c>
      <c r="AD7527">
        <v>-1.1098366468931999</v>
      </c>
      <c r="AE7527">
        <v>14.130280000000001</v>
      </c>
      <c r="AF7527">
        <v>-0.471379594256437</v>
      </c>
      <c r="AG7527">
        <v>-1.1098366468931999</v>
      </c>
      <c r="AH7527">
        <v>14.0452118288127</v>
      </c>
      <c r="AI7527">
        <v>94.515527447647798</v>
      </c>
      <c r="AJ7527">
        <v>91.9222157720816</v>
      </c>
      <c r="AK7527">
        <v>14.0968759454316</v>
      </c>
      <c r="AL7527">
        <v>68.807686376113395</v>
      </c>
      <c r="AM7527">
        <v>97.764086084798194</v>
      </c>
      <c r="AN7527">
        <v>1.0000000188278999</v>
      </c>
    </row>
    <row r="7528" spans="1:40" x14ac:dyDescent="0.25">
      <c r="A7528" t="str">
        <f>"20190304164309257"</f>
        <v>20190304164309257</v>
      </c>
      <c r="B7528" t="str">
        <f>"1551688989248705"</f>
        <v>1551688989248705</v>
      </c>
      <c r="C7528" t="s">
        <v>40</v>
      </c>
      <c r="D7528">
        <v>4.1426360000000004</v>
      </c>
      <c r="E7528">
        <v>0.54922260000000001</v>
      </c>
      <c r="F7528" t="s">
        <v>42</v>
      </c>
      <c r="G7528">
        <v>-187.6104</v>
      </c>
      <c r="H7528" s="1">
        <v>-7.1358459999999997E-7</v>
      </c>
      <c r="I7528">
        <v>59.876629999999999</v>
      </c>
      <c r="J7528">
        <v>-187.09540000000001</v>
      </c>
      <c r="K7528">
        <v>1.1098479999999999</v>
      </c>
      <c r="L7528">
        <v>45.972470000000001</v>
      </c>
      <c r="M7528">
        <v>-2.931052E-3</v>
      </c>
      <c r="N7528">
        <v>-1.102562E-2</v>
      </c>
      <c r="O7528">
        <v>0.99993489999999996</v>
      </c>
      <c r="P7528">
        <v>-0.12855079999999999</v>
      </c>
      <c r="Q7528">
        <v>0.35054269999999998</v>
      </c>
      <c r="R7528">
        <v>0.92768229999999996</v>
      </c>
      <c r="S7528">
        <v>-0.11947629999999999</v>
      </c>
      <c r="T7528">
        <v>-0.25686969999999998</v>
      </c>
      <c r="U7528">
        <v>3.3158259999999999</v>
      </c>
      <c r="V7528">
        <v>-0.1257837</v>
      </c>
      <c r="W7528">
        <v>0.36077039999999999</v>
      </c>
      <c r="X7528">
        <v>0.92413380000000001</v>
      </c>
      <c r="Y7528">
        <v>-3.2984220000000002E-2</v>
      </c>
      <c r="Z7528">
        <v>-6.6193139999999998E-2</v>
      </c>
      <c r="AA7528">
        <v>0.99726150000000002</v>
      </c>
      <c r="AB7528">
        <v>43</v>
      </c>
      <c r="AC7528">
        <v>-0.51499999999998602</v>
      </c>
      <c r="AD7528">
        <v>-1.1098487135846</v>
      </c>
      <c r="AE7528">
        <v>13.904159999999999</v>
      </c>
      <c r="AF7528">
        <v>-0.47124310658344798</v>
      </c>
      <c r="AG7528">
        <v>-1.1098487135846</v>
      </c>
      <c r="AH7528">
        <v>13.8176917795729</v>
      </c>
      <c r="AI7528">
        <v>94.589530225393403</v>
      </c>
      <c r="AJ7528">
        <v>91.953277061090603</v>
      </c>
      <c r="AK7528">
        <v>13.870199722708501</v>
      </c>
      <c r="AL7528">
        <v>68.852484660772106</v>
      </c>
      <c r="AM7528">
        <v>97.750889313344004</v>
      </c>
      <c r="AN7528">
        <v>1.00000005050214</v>
      </c>
    </row>
    <row r="7529" spans="1:40" x14ac:dyDescent="0.25">
      <c r="A7529" t="str">
        <f>"20190304164309278"</f>
        <v>20190304164309278</v>
      </c>
      <c r="B7529" t="str">
        <f>"1551688989268229"</f>
        <v>1551688989268229</v>
      </c>
      <c r="C7529" t="s">
        <v>40</v>
      </c>
      <c r="D7529">
        <v>4.0833830000000004</v>
      </c>
      <c r="E7529">
        <v>0.54930649999999903</v>
      </c>
      <c r="F7529" t="s">
        <v>42</v>
      </c>
      <c r="G7529">
        <v>-187.60679999999999</v>
      </c>
      <c r="H7529" s="1">
        <v>-8.0787849999999996E-7</v>
      </c>
      <c r="I7529">
        <v>60.150860000000002</v>
      </c>
      <c r="J7529">
        <v>-187.0967</v>
      </c>
      <c r="K7529">
        <v>1.1098730000000001</v>
      </c>
      <c r="L7529">
        <v>46.389249999999997</v>
      </c>
      <c r="M7529">
        <v>-2.916517E-3</v>
      </c>
      <c r="N7529">
        <v>-1.114508E-2</v>
      </c>
      <c r="O7529">
        <v>0.99993370000000004</v>
      </c>
      <c r="P7529">
        <v>-0.1281139</v>
      </c>
      <c r="Q7529">
        <v>0.35022599999999998</v>
      </c>
      <c r="R7529">
        <v>0.92786239999999998</v>
      </c>
      <c r="S7529">
        <v>-0.1195679</v>
      </c>
      <c r="T7529">
        <v>-0.2595189</v>
      </c>
      <c r="U7529">
        <v>3.315369</v>
      </c>
      <c r="V7529">
        <v>-0.12536649999999999</v>
      </c>
      <c r="W7529">
        <v>0.360564</v>
      </c>
      <c r="X7529">
        <v>0.92427099999999995</v>
      </c>
      <c r="Y7529">
        <v>-3.302919E-2</v>
      </c>
      <c r="Z7529">
        <v>-6.6876480000000002E-2</v>
      </c>
      <c r="AA7529">
        <v>0.99721439999999995</v>
      </c>
      <c r="AB7529">
        <v>43</v>
      </c>
      <c r="AC7529">
        <v>-0.510099999999994</v>
      </c>
      <c r="AD7529">
        <v>-1.1098738078785</v>
      </c>
      <c r="AE7529">
        <v>13.7616099999999</v>
      </c>
      <c r="AF7529">
        <v>-0.466926450673051</v>
      </c>
      <c r="AG7529">
        <v>-1.1098738078785</v>
      </c>
      <c r="AH7529">
        <v>13.6742184196143</v>
      </c>
      <c r="AI7529">
        <v>94.637573548627202</v>
      </c>
      <c r="AJ7529">
        <v>91.955689430017998</v>
      </c>
      <c r="AK7529">
        <v>13.727129691493101</v>
      </c>
      <c r="AL7529">
        <v>68.865163201700099</v>
      </c>
      <c r="AM7529">
        <v>97.724359157232598</v>
      </c>
      <c r="AN7529">
        <v>1.0000000194296199</v>
      </c>
    </row>
    <row r="7530" spans="1:40" x14ac:dyDescent="0.25">
      <c r="A7530" t="str">
        <f>"20190304164309301"</f>
        <v>20190304164309301</v>
      </c>
      <c r="B7530" t="str">
        <f>"1551688989298481"</f>
        <v>1551688989298481</v>
      </c>
      <c r="C7530" t="s">
        <v>40</v>
      </c>
      <c r="D7530">
        <v>4.1574839999999904</v>
      </c>
      <c r="E7530">
        <v>0.5494696</v>
      </c>
      <c r="F7530" t="s">
        <v>42</v>
      </c>
      <c r="G7530">
        <v>-187.5986</v>
      </c>
      <c r="H7530" s="1">
        <v>-9.4509050000000001E-7</v>
      </c>
      <c r="I7530">
        <v>60.54766</v>
      </c>
      <c r="J7530">
        <v>-187.09790000000001</v>
      </c>
      <c r="K7530">
        <v>1.1099000000000001</v>
      </c>
      <c r="L7530">
        <v>46.813049999999997</v>
      </c>
      <c r="M7530">
        <v>-2.9106959999999999E-3</v>
      </c>
      <c r="N7530">
        <v>-1.12698E-2</v>
      </c>
      <c r="O7530">
        <v>0.99993220000000005</v>
      </c>
      <c r="P7530">
        <v>-0.12738250000000001</v>
      </c>
      <c r="Q7530">
        <v>0.35014220000000001</v>
      </c>
      <c r="R7530">
        <v>0.92799469999999995</v>
      </c>
      <c r="S7530">
        <v>-0.11752319999999999</v>
      </c>
      <c r="T7530">
        <v>-0.25986920000000002</v>
      </c>
      <c r="U7530">
        <v>3.3150940000000002</v>
      </c>
      <c r="V7530">
        <v>-0.12464790000000001</v>
      </c>
      <c r="W7530">
        <v>0.36059380000000002</v>
      </c>
      <c r="X7530">
        <v>0.92435650000000003</v>
      </c>
      <c r="Y7530">
        <v>-3.2423809999999997E-2</v>
      </c>
      <c r="Z7530">
        <v>-6.6864809999999997E-2</v>
      </c>
      <c r="AA7530">
        <v>0.99723510000000004</v>
      </c>
      <c r="AB7530">
        <v>43</v>
      </c>
      <c r="AC7530">
        <v>-0.50069999999999404</v>
      </c>
      <c r="AD7530">
        <v>-1.1099009450905</v>
      </c>
      <c r="AE7530">
        <v>13.73461</v>
      </c>
      <c r="AF7530">
        <v>-0.45773287913014499</v>
      </c>
      <c r="AG7530">
        <v>-1.1099009450905</v>
      </c>
      <c r="AH7530">
        <v>13.647007972829799</v>
      </c>
      <c r="AI7530">
        <v>94.646987677593401</v>
      </c>
      <c r="AJ7530">
        <v>91.921031633113003</v>
      </c>
      <c r="AK7530">
        <v>13.699716278340601</v>
      </c>
      <c r="AL7530">
        <v>68.863331400916096</v>
      </c>
      <c r="AM7530">
        <v>97.679911241287599</v>
      </c>
      <c r="AN7530">
        <v>0.99999996333254904</v>
      </c>
    </row>
    <row r="7531" spans="1:40" x14ac:dyDescent="0.25">
      <c r="A7531" t="str">
        <f>"20190304164309324"</f>
        <v>20190304164309324</v>
      </c>
      <c r="B7531" t="str">
        <f>"1551688989318978"</f>
        <v>1551688989318978</v>
      </c>
      <c r="C7531" t="s">
        <v>40</v>
      </c>
      <c r="D7531">
        <v>4.1591870000000002</v>
      </c>
      <c r="E7531">
        <v>0.5495641</v>
      </c>
      <c r="F7531" t="s">
        <v>42</v>
      </c>
      <c r="G7531">
        <v>-187.5812</v>
      </c>
      <c r="H7531" s="1">
        <v>-1.108461E-6</v>
      </c>
      <c r="I7531">
        <v>61.014150000000001</v>
      </c>
      <c r="J7531">
        <v>-187.0992</v>
      </c>
      <c r="K7531">
        <v>1.1099300000000001</v>
      </c>
      <c r="L7531">
        <v>47.252690000000001</v>
      </c>
      <c r="M7531">
        <v>-2.9224139999999999E-3</v>
      </c>
      <c r="N7531">
        <v>-1.1410969999999999E-2</v>
      </c>
      <c r="O7531">
        <v>0.9999306</v>
      </c>
      <c r="P7531">
        <v>-0.1263881</v>
      </c>
      <c r="Q7531">
        <v>0.35061510000000001</v>
      </c>
      <c r="R7531">
        <v>0.92795209999999995</v>
      </c>
      <c r="S7531">
        <v>-0.11282349999999999</v>
      </c>
      <c r="T7531">
        <v>-0.25909209999999999</v>
      </c>
      <c r="U7531">
        <v>3.3150629999999999</v>
      </c>
      <c r="V7531">
        <v>-0.1236527</v>
      </c>
      <c r="W7531">
        <v>0.36119319999999999</v>
      </c>
      <c r="X7531">
        <v>0.92425610000000002</v>
      </c>
      <c r="Y7531">
        <v>-3.10017E-2</v>
      </c>
      <c r="Z7531">
        <v>-6.6495960000000007E-2</v>
      </c>
      <c r="AA7531">
        <v>0.997305</v>
      </c>
      <c r="AB7531">
        <v>43</v>
      </c>
      <c r="AC7531">
        <v>-0.48199999999999898</v>
      </c>
      <c r="AD7531">
        <v>-1.109931108461</v>
      </c>
      <c r="AE7531">
        <v>13.76146</v>
      </c>
      <c r="AF7531">
        <v>-0.43892681489035401</v>
      </c>
      <c r="AG7531">
        <v>-1.109931108461</v>
      </c>
      <c r="AH7531">
        <v>13.673966540956901</v>
      </c>
      <c r="AI7531">
        <v>94.638209752040794</v>
      </c>
      <c r="AJ7531">
        <v>91.838531764463596</v>
      </c>
      <c r="AK7531">
        <v>13.725959521198099</v>
      </c>
      <c r="AL7531">
        <v>68.826505793637494</v>
      </c>
      <c r="AM7531">
        <v>97.620135277316507</v>
      </c>
      <c r="AN7531">
        <v>0.99999992816536698</v>
      </c>
    </row>
    <row r="7532" spans="1:40" x14ac:dyDescent="0.25">
      <c r="A7532" t="str">
        <f>"20190304164309346"</f>
        <v>20190304164309346</v>
      </c>
      <c r="B7532" t="str">
        <f>"1551688989338498"</f>
        <v>1551688989338498</v>
      </c>
      <c r="C7532" t="s">
        <v>40</v>
      </c>
      <c r="D7532">
        <v>4.1914829999999998</v>
      </c>
      <c r="E7532">
        <v>0.54960390000000003</v>
      </c>
      <c r="F7532" t="s">
        <v>41</v>
      </c>
      <c r="G7532">
        <v>-187.1337</v>
      </c>
      <c r="H7532">
        <v>1.0264549999999999</v>
      </c>
      <c r="I7532">
        <v>48.332259999999998</v>
      </c>
      <c r="J7532">
        <v>-187.10050000000001</v>
      </c>
      <c r="K7532">
        <v>1.109972</v>
      </c>
      <c r="L7532">
        <v>47.689300000000003</v>
      </c>
      <c r="M7532">
        <v>-2.9506229999999999E-3</v>
      </c>
      <c r="N7532">
        <v>-1.1569400000000001E-2</v>
      </c>
      <c r="O7532">
        <v>0.9999287</v>
      </c>
      <c r="P7532">
        <v>-0.12679569999999901</v>
      </c>
      <c r="Q7532">
        <v>0.35145520000000002</v>
      </c>
      <c r="R7532">
        <v>0.92757860000000003</v>
      </c>
      <c r="S7532">
        <v>-0.1062164</v>
      </c>
      <c r="T7532">
        <v>-0.25635469999999999</v>
      </c>
      <c r="U7532">
        <v>3.3153079999999999</v>
      </c>
      <c r="V7532">
        <v>-0.1240459</v>
      </c>
      <c r="W7532">
        <v>0.36217169999999999</v>
      </c>
      <c r="X7532">
        <v>0.92382050000000004</v>
      </c>
      <c r="Y7532">
        <v>-2.898858E-2</v>
      </c>
      <c r="Z7532">
        <v>-6.5518480000000004E-2</v>
      </c>
      <c r="AA7532">
        <v>0.99743020000000004</v>
      </c>
      <c r="AB7532">
        <v>43</v>
      </c>
      <c r="AC7532">
        <v>-3.3199999999993603E-2</v>
      </c>
      <c r="AD7532">
        <v>-8.3516999999999994E-2</v>
      </c>
      <c r="AE7532">
        <v>0.64295999999999498</v>
      </c>
      <c r="AF7532">
        <v>-3.07845616944992E-2</v>
      </c>
      <c r="AG7532">
        <v>-8.3516999999999994E-2</v>
      </c>
      <c r="AH7532">
        <v>0.63241309343851204</v>
      </c>
      <c r="AI7532">
        <v>97.514200601296906</v>
      </c>
      <c r="AJ7532">
        <v>92.786840282998796</v>
      </c>
      <c r="AK7532">
        <v>0.63864630217373897</v>
      </c>
      <c r="AL7532">
        <v>68.766372872153497</v>
      </c>
      <c r="AM7532">
        <v>97.647641972465394</v>
      </c>
      <c r="AN7532">
        <v>1.0000000209039701</v>
      </c>
    </row>
    <row r="7533" spans="1:40" x14ac:dyDescent="0.25">
      <c r="A7533" t="str">
        <f>"20190304164309368"</f>
        <v>20190304164309368</v>
      </c>
      <c r="B7533" t="str">
        <f>"1551688989358524"</f>
        <v>1551688989358524</v>
      </c>
      <c r="C7533" t="s">
        <v>40</v>
      </c>
      <c r="D7533">
        <v>4.2084539999999997</v>
      </c>
      <c r="E7533">
        <v>0.54950889999999997</v>
      </c>
      <c r="F7533" t="s">
        <v>42</v>
      </c>
      <c r="G7533">
        <v>-187.56180000000001</v>
      </c>
      <c r="H7533" s="1">
        <v>-1.574762E-6</v>
      </c>
      <c r="I7533">
        <v>62.295439999999999</v>
      </c>
      <c r="J7533">
        <v>-187.1018</v>
      </c>
      <c r="K7533">
        <v>1.1100129999999999</v>
      </c>
      <c r="L7533">
        <v>48.111789999999999</v>
      </c>
      <c r="M7533">
        <v>-2.9843840000000001E-3</v>
      </c>
      <c r="N7533">
        <v>-1.1733560000000001E-2</v>
      </c>
      <c r="O7533">
        <v>0.99992669999999995</v>
      </c>
      <c r="P7533">
        <v>-0.1274787</v>
      </c>
      <c r="Q7533">
        <v>0.35227639999999999</v>
      </c>
      <c r="R7533">
        <v>0.92717340000000004</v>
      </c>
      <c r="S7533">
        <v>-0.1047211</v>
      </c>
      <c r="T7533">
        <v>-0.25194689999999997</v>
      </c>
      <c r="U7533">
        <v>3.315369</v>
      </c>
      <c r="V7533">
        <v>-0.12470879999999999</v>
      </c>
      <c r="W7533">
        <v>0.36313640000000003</v>
      </c>
      <c r="X7533">
        <v>0.92335239999999996</v>
      </c>
      <c r="Y7533">
        <v>-2.850809E-2</v>
      </c>
      <c r="Z7533">
        <v>-6.4035969999999998E-2</v>
      </c>
      <c r="AA7533">
        <v>0.99754030000000005</v>
      </c>
      <c r="AB7533">
        <v>43</v>
      </c>
      <c r="AC7533">
        <v>-0.46000000000000801</v>
      </c>
      <c r="AD7533">
        <v>-1.1100145747619901</v>
      </c>
      <c r="AE7533">
        <v>14.18365</v>
      </c>
      <c r="AF7533">
        <v>-0.415125749723466</v>
      </c>
      <c r="AG7533">
        <v>-1.1100145747619901</v>
      </c>
      <c r="AH7533">
        <v>14.098700844056999</v>
      </c>
      <c r="AI7533">
        <v>94.499765322463801</v>
      </c>
      <c r="AJ7533">
        <v>91.686544291922601</v>
      </c>
      <c r="AK7533">
        <v>14.148421368989601</v>
      </c>
      <c r="AL7533">
        <v>68.707061331919306</v>
      </c>
      <c r="AM7533">
        <v>97.691874225243197</v>
      </c>
      <c r="AN7533">
        <v>0.99999999219407898</v>
      </c>
    </row>
    <row r="7534" spans="1:40" x14ac:dyDescent="0.25">
      <c r="A7534" t="str">
        <f>"20190304164309391"</f>
        <v>20190304164309391</v>
      </c>
      <c r="B7534" t="str">
        <f>"1551688989379021"</f>
        <v>1551688989379021</v>
      </c>
      <c r="C7534" t="s">
        <v>40</v>
      </c>
      <c r="D7534">
        <v>4.1931510000000003</v>
      </c>
      <c r="E7534">
        <v>0.5494059</v>
      </c>
      <c r="F7534" t="s">
        <v>42</v>
      </c>
      <c r="G7534">
        <v>-187.5744</v>
      </c>
      <c r="H7534" s="1">
        <v>-1.8629899999999999E-6</v>
      </c>
      <c r="I7534">
        <v>62.972479999999997</v>
      </c>
      <c r="J7534">
        <v>-187.10310000000001</v>
      </c>
      <c r="K7534">
        <v>1.1100490000000001</v>
      </c>
      <c r="L7534">
        <v>48.551090000000002</v>
      </c>
      <c r="M7534">
        <v>-3.0190120000000002E-3</v>
      </c>
      <c r="N7534">
        <v>-1.192556E-2</v>
      </c>
      <c r="O7534">
        <v>0.99992429999999999</v>
      </c>
      <c r="P7534">
        <v>-0.12896169999999901</v>
      </c>
      <c r="Q7534">
        <v>0.35255879999999901</v>
      </c>
      <c r="R7534">
        <v>0.92686089999999999</v>
      </c>
      <c r="S7534">
        <v>-0.105423</v>
      </c>
      <c r="T7534">
        <v>-0.2476312</v>
      </c>
      <c r="U7534">
        <v>3.3152469999999998</v>
      </c>
      <c r="V7534">
        <v>-0.1261698</v>
      </c>
      <c r="W7534">
        <v>0.3635891</v>
      </c>
      <c r="X7534">
        <v>0.92297569999999995</v>
      </c>
      <c r="Y7534">
        <v>-2.8688450000000001E-2</v>
      </c>
      <c r="Z7534">
        <v>-6.2555429999999995E-2</v>
      </c>
      <c r="AA7534">
        <v>0.99762910000000005</v>
      </c>
      <c r="AB7534">
        <v>43</v>
      </c>
      <c r="AC7534">
        <v>-0.47129999999998501</v>
      </c>
      <c r="AD7534">
        <v>-1.1100508629899899</v>
      </c>
      <c r="AE7534">
        <v>14.421390000000001</v>
      </c>
      <c r="AF7534">
        <v>-0.42523964551632398</v>
      </c>
      <c r="AG7534">
        <v>-1.1100508629899899</v>
      </c>
      <c r="AH7534">
        <v>14.3378891618708</v>
      </c>
      <c r="AI7534">
        <v>94.425115952717306</v>
      </c>
      <c r="AJ7534">
        <v>91.698806331607599</v>
      </c>
      <c r="AK7534">
        <v>14.3870812638504</v>
      </c>
      <c r="AL7534">
        <v>68.679220668790606</v>
      </c>
      <c r="AM7534">
        <v>97.784025947645702</v>
      </c>
      <c r="AN7534">
        <v>0.99999999743066903</v>
      </c>
    </row>
    <row r="7535" spans="1:40" x14ac:dyDescent="0.25">
      <c r="A7535" t="str">
        <f>"20190304164309416"</f>
        <v>20190304164309416</v>
      </c>
      <c r="B7535" t="str">
        <f>"1551688989408301"</f>
        <v>1551688989408301</v>
      </c>
      <c r="C7535" t="s">
        <v>40</v>
      </c>
      <c r="D7535">
        <v>4.1881539999999999</v>
      </c>
      <c r="E7535">
        <v>0.54922869999999901</v>
      </c>
      <c r="F7535" t="s">
        <v>42</v>
      </c>
      <c r="G7535">
        <v>-187.60230000000001</v>
      </c>
      <c r="H7535" s="1">
        <v>-2.1005660000000002E-6</v>
      </c>
      <c r="I7535">
        <v>63.537820000000004</v>
      </c>
      <c r="J7535">
        <v>-187.1046</v>
      </c>
      <c r="K7535">
        <v>1.110088</v>
      </c>
      <c r="L7535">
        <v>49.005650000000003</v>
      </c>
      <c r="M7535">
        <v>-3.0594350000000001E-3</v>
      </c>
      <c r="N7535">
        <v>-1.216455E-2</v>
      </c>
      <c r="O7535">
        <v>0.99992130000000001</v>
      </c>
      <c r="P7535">
        <v>-0.1304246</v>
      </c>
      <c r="Q7535">
        <v>0.35250740000000003</v>
      </c>
      <c r="R7535">
        <v>0.92667580000000005</v>
      </c>
      <c r="S7535">
        <v>-0.1103973</v>
      </c>
      <c r="T7535">
        <v>-0.24552070000000001</v>
      </c>
      <c r="U7535">
        <v>3.3147579999999999</v>
      </c>
      <c r="V7535">
        <v>-0.1276013</v>
      </c>
      <c r="W7535">
        <v>0.36375439999999998</v>
      </c>
      <c r="X7535">
        <v>0.92271380000000003</v>
      </c>
      <c r="Y7535">
        <v>-3.0148990000000001E-2</v>
      </c>
      <c r="Z7535">
        <v>-6.1692780000000003E-2</v>
      </c>
      <c r="AA7535">
        <v>0.99763970000000002</v>
      </c>
      <c r="AB7535">
        <v>43</v>
      </c>
      <c r="AC7535">
        <v>-0.49770000000000802</v>
      </c>
      <c r="AD7535">
        <v>-1.110090100566</v>
      </c>
      <c r="AE7535">
        <v>14.532169999999899</v>
      </c>
      <c r="AF7535">
        <v>-0.45060784464338199</v>
      </c>
      <c r="AG7535">
        <v>-1.110090100566</v>
      </c>
      <c r="AH7535">
        <v>14.449408407999201</v>
      </c>
      <c r="AI7535">
        <v>94.391049031693399</v>
      </c>
      <c r="AJ7535">
        <v>91.786202064754306</v>
      </c>
      <c r="AK7535">
        <v>14.4989913718916</v>
      </c>
      <c r="AL7535">
        <v>68.669054811981894</v>
      </c>
      <c r="AM7535">
        <v>97.873447324584802</v>
      </c>
      <c r="AN7535">
        <v>1.00000005599574</v>
      </c>
    </row>
    <row r="7536" spans="1:40" x14ac:dyDescent="0.25">
      <c r="A7536" t="str">
        <f>"20190304164309439"</f>
        <v>20190304164309439</v>
      </c>
      <c r="B7536" t="str">
        <f>"1551688989428797"</f>
        <v>1551688989428797</v>
      </c>
      <c r="C7536" t="s">
        <v>40</v>
      </c>
      <c r="D7536">
        <v>4.8759810000000003</v>
      </c>
      <c r="E7536">
        <v>0.54911719999999997</v>
      </c>
      <c r="F7536" t="s">
        <v>42</v>
      </c>
      <c r="G7536">
        <v>-187.6361</v>
      </c>
      <c r="H7536" s="1">
        <v>-2.3110949999999999E-6</v>
      </c>
      <c r="I7536">
        <v>64.042550000000006</v>
      </c>
      <c r="J7536">
        <v>-187.10599999999999</v>
      </c>
      <c r="K7536">
        <v>1.110142</v>
      </c>
      <c r="L7536">
        <v>49.452179999999998</v>
      </c>
      <c r="M7536">
        <v>-3.1041390000000001E-3</v>
      </c>
      <c r="N7536">
        <v>-1.2447700000000001E-2</v>
      </c>
      <c r="O7536">
        <v>0.99991770000000002</v>
      </c>
      <c r="P7536">
        <v>-0.13201599999999999</v>
      </c>
      <c r="Q7536">
        <v>0.35228130000000002</v>
      </c>
      <c r="R7536">
        <v>0.92653640000000004</v>
      </c>
      <c r="S7536">
        <v>-0.1171417</v>
      </c>
      <c r="T7536">
        <v>-0.24465139999999999</v>
      </c>
      <c r="U7536">
        <v>3.313965</v>
      </c>
      <c r="V7536">
        <v>-0.12915479999999999</v>
      </c>
      <c r="W7536">
        <v>0.36378640000000001</v>
      </c>
      <c r="X7536">
        <v>0.922485</v>
      </c>
      <c r="Y7536">
        <v>-3.2139830000000001E-2</v>
      </c>
      <c r="Z7536">
        <v>-6.1162699999999903E-2</v>
      </c>
      <c r="AA7536">
        <v>0.9976102</v>
      </c>
      <c r="AB7536">
        <v>43</v>
      </c>
      <c r="AC7536">
        <v>-0.53010000000000401</v>
      </c>
      <c r="AD7536">
        <v>-1.110144311095</v>
      </c>
      <c r="AE7536">
        <v>14.59037</v>
      </c>
      <c r="AF7536">
        <v>-0.48201653869630101</v>
      </c>
      <c r="AG7536">
        <v>-1.110144311095</v>
      </c>
      <c r="AH7536">
        <v>14.508064473327</v>
      </c>
      <c r="AI7536">
        <v>94.373292039871501</v>
      </c>
      <c r="AJ7536">
        <v>91.902897409544494</v>
      </c>
      <c r="AK7536">
        <v>14.5584578543624</v>
      </c>
      <c r="AL7536">
        <v>68.667086164166093</v>
      </c>
      <c r="AM7536">
        <v>97.970030716336097</v>
      </c>
      <c r="AN7536">
        <v>1.00000004120649</v>
      </c>
    </row>
    <row r="7537" spans="1:40" x14ac:dyDescent="0.25">
      <c r="A7537" t="str">
        <f>"20190304164309460"</f>
        <v>20190304164309460</v>
      </c>
      <c r="B7537" t="str">
        <f>"1551688989448317"</f>
        <v>1551688989448317</v>
      </c>
      <c r="C7537" t="s">
        <v>40</v>
      </c>
      <c r="D7537">
        <v>4.2429430000000004</v>
      </c>
      <c r="E7537">
        <v>0.549014</v>
      </c>
      <c r="F7537" t="s">
        <v>42</v>
      </c>
      <c r="G7537">
        <v>-187.6712</v>
      </c>
      <c r="H7537" s="1">
        <v>-2.4995820000000001E-6</v>
      </c>
      <c r="I7537">
        <v>64.496430000000004</v>
      </c>
      <c r="J7537">
        <v>-187.10730000000001</v>
      </c>
      <c r="K7537">
        <v>1.1101989999999999</v>
      </c>
      <c r="L7537">
        <v>49.867370000000001</v>
      </c>
      <c r="M7537">
        <v>-3.148774E-3</v>
      </c>
      <c r="N7537">
        <v>-1.273701E-2</v>
      </c>
      <c r="O7537">
        <v>0.99991390000000002</v>
      </c>
      <c r="P7537">
        <v>-0.13449549999999999</v>
      </c>
      <c r="Q7537">
        <v>0.35203410000000002</v>
      </c>
      <c r="R7537">
        <v>0.92627369999999998</v>
      </c>
      <c r="S7537">
        <v>-0.1244659</v>
      </c>
      <c r="T7537">
        <v>-0.24447859999999999</v>
      </c>
      <c r="U7537">
        <v>3.3130799999999998</v>
      </c>
      <c r="V7537">
        <v>-0.13159609999999999</v>
      </c>
      <c r="W7537">
        <v>0.36380230000000002</v>
      </c>
      <c r="X7537">
        <v>0.9221336</v>
      </c>
      <c r="Y7537">
        <v>-3.4306129999999997E-2</v>
      </c>
      <c r="Z7537">
        <v>-6.0836149999999999E-2</v>
      </c>
      <c r="AA7537">
        <v>0.9975581</v>
      </c>
      <c r="AB7537">
        <v>43</v>
      </c>
      <c r="AC7537">
        <v>-0.56389999999998897</v>
      </c>
      <c r="AD7537">
        <v>-1.110201499582</v>
      </c>
      <c r="AE7537">
        <v>14.629060000000001</v>
      </c>
      <c r="AF7537">
        <v>-0.51486896949608396</v>
      </c>
      <c r="AG7537">
        <v>-1.110201499582</v>
      </c>
      <c r="AH7537">
        <v>14.547106148721401</v>
      </c>
      <c r="AI7537">
        <v>94.361501154095706</v>
      </c>
      <c r="AJ7537">
        <v>92.027036164877998</v>
      </c>
      <c r="AK7537">
        <v>14.5984908373294</v>
      </c>
      <c r="AL7537">
        <v>68.666107485128293</v>
      </c>
      <c r="AM7537">
        <v>98.121743551679202</v>
      </c>
      <c r="AN7537">
        <v>1.0000000116347201</v>
      </c>
    </row>
    <row r="7538" spans="1:40" x14ac:dyDescent="0.25">
      <c r="A7538" t="str">
        <f>"20190304164309491"</f>
        <v>20190304164309491</v>
      </c>
      <c r="B7538" t="str">
        <f>"1551688989478572"</f>
        <v>1551688989478572</v>
      </c>
      <c r="C7538" t="s">
        <v>40</v>
      </c>
      <c r="D7538">
        <v>4.2399829999999996</v>
      </c>
      <c r="E7538">
        <v>0.54888239999999999</v>
      </c>
      <c r="F7538" t="s">
        <v>42</v>
      </c>
      <c r="G7538">
        <v>-187.7105</v>
      </c>
      <c r="H7538" s="1">
        <v>-2.6820470000000001E-6</v>
      </c>
      <c r="I7538">
        <v>64.938019999999995</v>
      </c>
      <c r="J7538">
        <v>-187.10919999999999</v>
      </c>
      <c r="K7538">
        <v>1.1102650000000001</v>
      </c>
      <c r="L7538">
        <v>50.448120000000003</v>
      </c>
      <c r="M7538">
        <v>-3.211635E-3</v>
      </c>
      <c r="N7538">
        <v>-1.3130849999999999E-2</v>
      </c>
      <c r="O7538">
        <v>0.99990860000000004</v>
      </c>
      <c r="P7538">
        <v>-0.13576540000000001</v>
      </c>
      <c r="Q7538">
        <v>0.3518232</v>
      </c>
      <c r="R7538">
        <v>0.92616860000000001</v>
      </c>
      <c r="S7538">
        <v>-0.1325684</v>
      </c>
      <c r="T7538">
        <v>-0.2440022</v>
      </c>
      <c r="U7538">
        <v>3.3122560000000001</v>
      </c>
      <c r="V7538">
        <v>-0.13281089999999901</v>
      </c>
      <c r="W7538">
        <v>0.3639521</v>
      </c>
      <c r="X7538">
        <v>0.92190030000000001</v>
      </c>
      <c r="Y7538">
        <v>-3.6688310000000002E-2</v>
      </c>
      <c r="Z7538">
        <v>-6.0312009999999999E-2</v>
      </c>
      <c r="AA7538">
        <v>0.99750510000000003</v>
      </c>
      <c r="AB7538">
        <v>43</v>
      </c>
      <c r="AC7538">
        <v>-0.60130000000000905</v>
      </c>
      <c r="AD7538">
        <v>-1.1102676820469899</v>
      </c>
      <c r="AE7538">
        <v>14.489899999999899</v>
      </c>
      <c r="AF7538">
        <v>-0.55152408986422796</v>
      </c>
      <c r="AG7538">
        <v>-1.1102676820469899</v>
      </c>
      <c r="AH7538">
        <v>14.4073142126643</v>
      </c>
      <c r="AI7538">
        <v>94.403449990662196</v>
      </c>
      <c r="AJ7538">
        <v>92.192260122422198</v>
      </c>
      <c r="AK7538">
        <v>14.460552408879099</v>
      </c>
      <c r="AL7538">
        <v>68.656892957127397</v>
      </c>
      <c r="AM7538">
        <v>98.197749504223694</v>
      </c>
      <c r="AN7538">
        <v>1.0000000146966499</v>
      </c>
    </row>
    <row r="7539" spans="1:40" x14ac:dyDescent="0.25">
      <c r="A7539" t="str">
        <f>"20190304164309513"</f>
        <v>20190304164309513</v>
      </c>
      <c r="B7539" t="str">
        <f>"1551688989508829"</f>
        <v>1551688989508829</v>
      </c>
      <c r="C7539" t="s">
        <v>40</v>
      </c>
      <c r="D7539">
        <v>4.2437889999999996</v>
      </c>
      <c r="E7539">
        <v>0.54878349999999998</v>
      </c>
      <c r="F7539" t="s">
        <v>42</v>
      </c>
      <c r="G7539">
        <v>-187.7294</v>
      </c>
      <c r="H7539" s="1">
        <v>-2.9463189999999898E-6</v>
      </c>
      <c r="I7539">
        <v>65.561869999999999</v>
      </c>
      <c r="J7539">
        <v>-187.11060000000001</v>
      </c>
      <c r="K7539">
        <v>1.1103050000000001</v>
      </c>
      <c r="L7539">
        <v>50.882510000000003</v>
      </c>
      <c r="M7539">
        <v>-3.2566330000000001E-3</v>
      </c>
      <c r="N7539">
        <v>-1.339975E-2</v>
      </c>
      <c r="O7539">
        <v>0.99990489999999999</v>
      </c>
      <c r="P7539">
        <v>-0.1352594</v>
      </c>
      <c r="Q7539">
        <v>0.35180329999999999</v>
      </c>
      <c r="R7539">
        <v>0.92625020000000002</v>
      </c>
      <c r="S7539">
        <v>-0.13589479999999901</v>
      </c>
      <c r="T7539">
        <v>-0.2432762</v>
      </c>
      <c r="U7539">
        <v>3.3116460000000001</v>
      </c>
      <c r="V7539">
        <v>-0.13226540000000001</v>
      </c>
      <c r="W7539">
        <v>0.36418070000000002</v>
      </c>
      <c r="X7539">
        <v>0.92188840000000005</v>
      </c>
      <c r="Y7539">
        <v>-3.7651129999999998E-2</v>
      </c>
      <c r="Z7539">
        <v>-5.9836779999999999E-2</v>
      </c>
      <c r="AA7539">
        <v>0.99749790000000005</v>
      </c>
      <c r="AB7539">
        <v>43</v>
      </c>
      <c r="AC7539">
        <v>-0.61879999999999302</v>
      </c>
      <c r="AD7539">
        <v>-1.110307946319</v>
      </c>
      <c r="AE7539">
        <v>14.679360000000001</v>
      </c>
      <c r="AF7539">
        <v>-0.56774482482895505</v>
      </c>
      <c r="AG7539">
        <v>-1.110307946319</v>
      </c>
      <c r="AH7539">
        <v>14.5979307738733</v>
      </c>
      <c r="AI7539">
        <v>94.346227508910999</v>
      </c>
      <c r="AJ7539">
        <v>92.227233186238905</v>
      </c>
      <c r="AK7539">
        <v>14.651098962213601</v>
      </c>
      <c r="AL7539">
        <v>68.64282904913</v>
      </c>
      <c r="AM7539">
        <v>98.164637375841494</v>
      </c>
      <c r="AN7539">
        <v>0.99999997017210396</v>
      </c>
    </row>
    <row r="7540" spans="1:40" x14ac:dyDescent="0.25">
      <c r="A7540" t="str">
        <f>"20190304164309537"</f>
        <v>20190304164309537</v>
      </c>
      <c r="B7540" t="str">
        <f>"1551688989528349"</f>
        <v>1551688989528349</v>
      </c>
      <c r="C7540" t="s">
        <v>40</v>
      </c>
      <c r="D7540">
        <v>4.2416150000000004</v>
      </c>
      <c r="E7540">
        <v>0.54872809999999905</v>
      </c>
      <c r="F7540" t="s">
        <v>42</v>
      </c>
      <c r="G7540">
        <v>-187.72649999999999</v>
      </c>
      <c r="H7540" s="1">
        <v>-3.1430889999999999E-6</v>
      </c>
      <c r="I7540">
        <v>66.01934</v>
      </c>
      <c r="J7540">
        <v>-187.1122</v>
      </c>
      <c r="K7540">
        <v>1.1103339999999999</v>
      </c>
      <c r="L7540">
        <v>51.33569</v>
      </c>
      <c r="M7540">
        <v>-3.301815E-3</v>
      </c>
      <c r="N7540">
        <v>-1.365271E-2</v>
      </c>
      <c r="O7540">
        <v>0.99990140000000005</v>
      </c>
      <c r="P7540">
        <v>-0.13408149999999999</v>
      </c>
      <c r="Q7540">
        <v>0.35135939999999999</v>
      </c>
      <c r="R7540">
        <v>0.92658980000000002</v>
      </c>
      <c r="S7540">
        <v>-0.1347351</v>
      </c>
      <c r="T7540">
        <v>-0.24289820000000001</v>
      </c>
      <c r="U7540">
        <v>3.3114319999999999</v>
      </c>
      <c r="V7540">
        <v>-0.13104660000000001</v>
      </c>
      <c r="W7540">
        <v>0.36397420000000003</v>
      </c>
      <c r="X7540">
        <v>0.92214399999999996</v>
      </c>
      <c r="Y7540">
        <v>-3.7260519999999998E-2</v>
      </c>
      <c r="Z7540">
        <v>-5.9476750000000002E-2</v>
      </c>
      <c r="AA7540">
        <v>0.99753400000000003</v>
      </c>
      <c r="AB7540">
        <v>43</v>
      </c>
      <c r="AC7540">
        <v>-0.61429999999998497</v>
      </c>
      <c r="AD7540">
        <v>-1.1103371430889999</v>
      </c>
      <c r="AE7540">
        <v>14.68365</v>
      </c>
      <c r="AF7540">
        <v>-0.56259814104282202</v>
      </c>
      <c r="AG7540">
        <v>-1.1103371430889999</v>
      </c>
      <c r="AH7540">
        <v>14.602249131058301</v>
      </c>
      <c r="AI7540">
        <v>94.345121821370498</v>
      </c>
      <c r="AJ7540">
        <v>92.206411018595702</v>
      </c>
      <c r="AK7540">
        <v>14.6552053866577</v>
      </c>
      <c r="AL7540">
        <v>68.655532996713603</v>
      </c>
      <c r="AM7540">
        <v>98.088189619739694</v>
      </c>
      <c r="AN7540">
        <v>0.99999999318660004</v>
      </c>
    </row>
    <row r="7541" spans="1:40" x14ac:dyDescent="0.25">
      <c r="A7541" t="str">
        <f>"20190304164309559"</f>
        <v>20190304164309559</v>
      </c>
      <c r="B7541" t="str">
        <f>"1551688989548844"</f>
        <v>1551688989548844</v>
      </c>
      <c r="C7541" t="s">
        <v>40</v>
      </c>
      <c r="D7541">
        <v>4.2565390000000001</v>
      </c>
      <c r="E7541">
        <v>0.54867659999999996</v>
      </c>
      <c r="F7541" t="s">
        <v>42</v>
      </c>
      <c r="G7541">
        <v>-187.7114</v>
      </c>
      <c r="H7541" s="1">
        <v>-3.3083830000000001E-6</v>
      </c>
      <c r="I7541">
        <v>66.398380000000003</v>
      </c>
      <c r="J7541">
        <v>-187.11359999999999</v>
      </c>
      <c r="K7541">
        <v>1.1103540000000001</v>
      </c>
      <c r="L7541">
        <v>51.761200000000002</v>
      </c>
      <c r="M7541">
        <v>-3.3436030000000001E-3</v>
      </c>
      <c r="N7541">
        <v>-1.386484E-2</v>
      </c>
      <c r="O7541">
        <v>0.99989830000000002</v>
      </c>
      <c r="P7541">
        <v>-0.133238299999999</v>
      </c>
      <c r="Q7541">
        <v>0.35090749999999998</v>
      </c>
      <c r="R7541">
        <v>0.92688269999999995</v>
      </c>
      <c r="S7541">
        <v>-0.13171389999999999</v>
      </c>
      <c r="T7541">
        <v>-0.24408009999999999</v>
      </c>
      <c r="U7541">
        <v>3.3111570000000001</v>
      </c>
      <c r="V7541">
        <v>-0.13016559999999999</v>
      </c>
      <c r="W7541">
        <v>0.36372110000000002</v>
      </c>
      <c r="X7541">
        <v>0.92236859999999998</v>
      </c>
      <c r="Y7541">
        <v>-3.6313089999999999E-2</v>
      </c>
      <c r="Z7541">
        <v>-5.9627729999999997E-2</v>
      </c>
      <c r="AA7541">
        <v>0.99756</v>
      </c>
      <c r="AB7541">
        <v>43</v>
      </c>
      <c r="AC7541">
        <v>-0.59780000000000599</v>
      </c>
      <c r="AD7541">
        <v>-1.1103573083830001</v>
      </c>
      <c r="AE7541">
        <v>14.637179999999899</v>
      </c>
      <c r="AF7541">
        <v>-0.54571591942416497</v>
      </c>
      <c r="AG7541">
        <v>-1.1103573083830001</v>
      </c>
      <c r="AH7541">
        <v>14.555476556348101</v>
      </c>
      <c r="AI7541">
        <v>94.3592803269444</v>
      </c>
      <c r="AJ7541">
        <v>92.147135537313702</v>
      </c>
      <c r="AK7541">
        <v>14.6079634788492</v>
      </c>
      <c r="AL7541">
        <v>68.671101321852902</v>
      </c>
      <c r="AM7541">
        <v>98.032595829636094</v>
      </c>
      <c r="AN7541">
        <v>0.99999997813726405</v>
      </c>
    </row>
    <row r="7542" spans="1:40" x14ac:dyDescent="0.25">
      <c r="A7542" t="str">
        <f>"20190304164309582"</f>
        <v>20190304164309582</v>
      </c>
      <c r="B7542" t="str">
        <f>"1551688989579101"</f>
        <v>1551688989579101</v>
      </c>
      <c r="C7542" t="s">
        <v>40</v>
      </c>
      <c r="D7542">
        <v>4.2609110000000001</v>
      </c>
      <c r="E7542">
        <v>0.54857679999999998</v>
      </c>
      <c r="F7542" t="s">
        <v>42</v>
      </c>
      <c r="G7542">
        <v>-187.69370000000001</v>
      </c>
      <c r="H7542" s="1">
        <v>-3.470935E-6</v>
      </c>
      <c r="I7542">
        <v>66.769990000000007</v>
      </c>
      <c r="J7542">
        <v>-187.11510000000001</v>
      </c>
      <c r="K7542">
        <v>1.1103780000000001</v>
      </c>
      <c r="L7542">
        <v>52.183230000000002</v>
      </c>
      <c r="M7542">
        <v>-3.3849930000000002E-3</v>
      </c>
      <c r="N7542">
        <v>-1.4052159999999999E-2</v>
      </c>
      <c r="O7542">
        <v>0.99989550000000005</v>
      </c>
      <c r="P7542">
        <v>-0.13268250000000001</v>
      </c>
      <c r="Q7542">
        <v>0.35126390000000002</v>
      </c>
      <c r="R7542">
        <v>0.92682739999999997</v>
      </c>
      <c r="S7542">
        <v>-0.12797549999999999</v>
      </c>
      <c r="T7542">
        <v>-0.24494969999999999</v>
      </c>
      <c r="U7542">
        <v>3.3110050000000002</v>
      </c>
      <c r="V7542">
        <v>-0.12957299999999999</v>
      </c>
      <c r="W7542">
        <v>0.36424909999999999</v>
      </c>
      <c r="X7542">
        <v>0.9222437</v>
      </c>
      <c r="Y7542">
        <v>-3.5149050000000001E-2</v>
      </c>
      <c r="Z7542">
        <v>-5.9707820000000002E-2</v>
      </c>
      <c r="AA7542">
        <v>0.99759690000000001</v>
      </c>
      <c r="AB7542">
        <v>43</v>
      </c>
      <c r="AC7542">
        <v>-0.57859999999999401</v>
      </c>
      <c r="AD7542">
        <v>-1.1103814709349999</v>
      </c>
      <c r="AE7542">
        <v>14.58676</v>
      </c>
      <c r="AF7542">
        <v>-0.52617153974548003</v>
      </c>
      <c r="AG7542">
        <v>-1.1103814709349999</v>
      </c>
      <c r="AH7542">
        <v>14.504717530797899</v>
      </c>
      <c r="AI7542">
        <v>94.374766490560106</v>
      </c>
      <c r="AJ7542">
        <v>92.077544414942494</v>
      </c>
      <c r="AK7542">
        <v>14.556669747867099</v>
      </c>
      <c r="AL7542">
        <v>68.638621782443195</v>
      </c>
      <c r="AM7542">
        <v>97.997569187797595</v>
      </c>
      <c r="AN7542">
        <v>1.00000000568474</v>
      </c>
    </row>
    <row r="7543" spans="1:40" x14ac:dyDescent="0.25">
      <c r="A7543" t="str">
        <f>"20190304164309603"</f>
        <v>20190304164309603</v>
      </c>
      <c r="B7543" t="str">
        <f>"1551688989598620"</f>
        <v>1551688989598620</v>
      </c>
      <c r="C7543" t="s">
        <v>40</v>
      </c>
      <c r="D7543">
        <v>4.2877130000000001</v>
      </c>
      <c r="E7543">
        <v>0.54851619999999901</v>
      </c>
      <c r="F7543" t="s">
        <v>42</v>
      </c>
      <c r="G7543">
        <v>-187.68989999999999</v>
      </c>
      <c r="H7543" s="1">
        <v>-3.7067629999999999E-6</v>
      </c>
      <c r="I7543">
        <v>67.318150000000003</v>
      </c>
      <c r="J7543">
        <v>-187.1165</v>
      </c>
      <c r="K7543">
        <v>1.1103970000000001</v>
      </c>
      <c r="L7543">
        <v>52.590820000000001</v>
      </c>
      <c r="M7543">
        <v>-3.42517E-3</v>
      </c>
      <c r="N7543">
        <v>-1.4211369999999999E-2</v>
      </c>
      <c r="O7543">
        <v>0.99989309999999998</v>
      </c>
      <c r="P7543">
        <v>-0.13216849999999999</v>
      </c>
      <c r="Q7543">
        <v>0.3518732</v>
      </c>
      <c r="R7543">
        <v>0.92666970000000004</v>
      </c>
      <c r="S7543">
        <v>-0.12576289999999901</v>
      </c>
      <c r="T7543">
        <v>-0.24290690000000001</v>
      </c>
      <c r="U7543">
        <v>3.3109130000000002</v>
      </c>
      <c r="V7543">
        <v>-0.12902330000000001</v>
      </c>
      <c r="W7543">
        <v>0.36500300000000002</v>
      </c>
      <c r="X7543">
        <v>0.92202260000000003</v>
      </c>
      <c r="Y7543">
        <v>-3.4446310000000001E-2</v>
      </c>
      <c r="Z7543">
        <v>-5.8940560000000003E-2</v>
      </c>
      <c r="AA7543">
        <v>0.99766699999999997</v>
      </c>
      <c r="AB7543">
        <v>43</v>
      </c>
      <c r="AC7543">
        <v>-0.57339999999999203</v>
      </c>
      <c r="AD7543">
        <v>-1.110400706763</v>
      </c>
      <c r="AE7543">
        <v>14.72733</v>
      </c>
      <c r="AF7543">
        <v>-0.51999635452993398</v>
      </c>
      <c r="AG7543">
        <v>-1.110400706763</v>
      </c>
      <c r="AH7543">
        <v>14.6460745228887</v>
      </c>
      <c r="AI7543">
        <v>94.332899043461197</v>
      </c>
      <c r="AJ7543">
        <v>92.033383564564801</v>
      </c>
      <c r="AK7543">
        <v>14.697308762774</v>
      </c>
      <c r="AL7543">
        <v>68.592231287933103</v>
      </c>
      <c r="AM7543">
        <v>97.965961839780903</v>
      </c>
      <c r="AN7543">
        <v>0.99999993843132295</v>
      </c>
    </row>
    <row r="7544" spans="1:40" x14ac:dyDescent="0.25">
      <c r="A7544" t="str">
        <f>"20190304164309628"</f>
        <v>20190304164309628</v>
      </c>
      <c r="B7544" t="str">
        <f>"1551688989619117"</f>
        <v>1551688989619117</v>
      </c>
      <c r="C7544" t="s">
        <v>40</v>
      </c>
      <c r="D7544">
        <v>4.2684829999999998</v>
      </c>
      <c r="E7544">
        <v>0.54844740000000003</v>
      </c>
      <c r="F7544" t="s">
        <v>42</v>
      </c>
      <c r="G7544">
        <v>-187.68960000000001</v>
      </c>
      <c r="H7544" s="1">
        <v>-3.9500759999999999E-6</v>
      </c>
      <c r="I7544">
        <v>67.885170000000002</v>
      </c>
      <c r="J7544">
        <v>-187.1182</v>
      </c>
      <c r="K7544">
        <v>1.1104019999999999</v>
      </c>
      <c r="L7544">
        <v>53.080869999999997</v>
      </c>
      <c r="M7544">
        <v>-3.4741279999999999E-3</v>
      </c>
      <c r="N7544">
        <v>-1.437693E-2</v>
      </c>
      <c r="O7544">
        <v>0.99989059999999996</v>
      </c>
      <c r="P7544">
        <v>-0.13242409999999999</v>
      </c>
      <c r="Q7544">
        <v>0.35147</v>
      </c>
      <c r="R7544">
        <v>0.9267862</v>
      </c>
      <c r="S7544">
        <v>-0.1240692</v>
      </c>
      <c r="T7544">
        <v>-0.2403834</v>
      </c>
      <c r="U7544">
        <v>3.3109739999999999</v>
      </c>
      <c r="V7544">
        <v>-0.12923280000000001</v>
      </c>
      <c r="W7544">
        <v>0.36475439999999998</v>
      </c>
      <c r="X7544">
        <v>0.92209169999999996</v>
      </c>
      <c r="Y7544">
        <v>-3.3889290000000002E-2</v>
      </c>
      <c r="Z7544">
        <v>-5.8018970000000003E-2</v>
      </c>
      <c r="AA7544">
        <v>0.99774010000000002</v>
      </c>
      <c r="AB7544">
        <v>43</v>
      </c>
      <c r="AC7544">
        <v>-0.57140000000001101</v>
      </c>
      <c r="AD7544">
        <v>-1.110405950076</v>
      </c>
      <c r="AE7544">
        <v>14.8043</v>
      </c>
      <c r="AF7544">
        <v>-0.517054658351633</v>
      </c>
      <c r="AG7544">
        <v>-1.110405950076</v>
      </c>
      <c r="AH7544">
        <v>14.723487110878001</v>
      </c>
      <c r="AI7544">
        <v>94.310282570803594</v>
      </c>
      <c r="AJ7544">
        <v>92.011268125918903</v>
      </c>
      <c r="AK7544">
        <v>14.7743500566989</v>
      </c>
      <c r="AL7544">
        <v>68.607531066377106</v>
      </c>
      <c r="AM7544">
        <v>97.9781398197767</v>
      </c>
      <c r="AN7544">
        <v>0.99999999606204404</v>
      </c>
    </row>
    <row r="7545" spans="1:40" x14ac:dyDescent="0.25">
      <c r="A7545" t="str">
        <f>"20190304164309651"</f>
        <v>20190304164309651</v>
      </c>
      <c r="B7545" t="str">
        <f>"1551688989638637"</f>
        <v>1551688989638637</v>
      </c>
      <c r="C7545" t="s">
        <v>40</v>
      </c>
      <c r="D7545">
        <v>4.2448709999999998</v>
      </c>
      <c r="E7545">
        <v>0.54838619999999905</v>
      </c>
      <c r="F7545" t="s">
        <v>42</v>
      </c>
      <c r="G7545">
        <v>-187.6951</v>
      </c>
      <c r="H7545" s="1">
        <v>-4.1216639999999997E-6</v>
      </c>
      <c r="I7545">
        <v>68.287450000000007</v>
      </c>
      <c r="J7545">
        <v>-187.11969999999999</v>
      </c>
      <c r="K7545">
        <v>1.1104069999999999</v>
      </c>
      <c r="L7545">
        <v>53.50009</v>
      </c>
      <c r="M7545">
        <v>-3.5159750000000002E-3</v>
      </c>
      <c r="N7545">
        <v>-1.450015E-2</v>
      </c>
      <c r="O7545">
        <v>0.99988869999999996</v>
      </c>
      <c r="P7545">
        <v>-0.13306899999999999</v>
      </c>
      <c r="Q7545">
        <v>0.35090460000000001</v>
      </c>
      <c r="R7545">
        <v>0.92690810000000001</v>
      </c>
      <c r="S7545">
        <v>-0.12561040000000001</v>
      </c>
      <c r="T7545">
        <v>-0.24175430000000001</v>
      </c>
      <c r="U7545">
        <v>3.31073</v>
      </c>
      <c r="V7545">
        <v>-0.12983919999999999</v>
      </c>
      <c r="W7545">
        <v>0.36430370000000001</v>
      </c>
      <c r="X7545">
        <v>0.92218469999999997</v>
      </c>
      <c r="Y7545">
        <v>-3.4312759999999998E-2</v>
      </c>
      <c r="Z7545">
        <v>-5.8311040000000001E-2</v>
      </c>
      <c r="AA7545">
        <v>0.99770859999999995</v>
      </c>
      <c r="AB7545">
        <v>42</v>
      </c>
      <c r="AC7545">
        <v>-0.57540000000000102</v>
      </c>
      <c r="AD7545">
        <v>-1.110411121664</v>
      </c>
      <c r="AE7545">
        <v>14.78736</v>
      </c>
      <c r="AF7545">
        <v>-0.52046860978877596</v>
      </c>
      <c r="AG7545">
        <v>-1.110411121664</v>
      </c>
      <c r="AH7545">
        <v>14.7064903689357</v>
      </c>
      <c r="AI7545">
        <v>94.315224030791995</v>
      </c>
      <c r="AJ7545">
        <v>92.026874759344494</v>
      </c>
      <c r="AK7545">
        <v>14.757532293865699</v>
      </c>
      <c r="AL7545">
        <v>68.635262776703598</v>
      </c>
      <c r="AM7545">
        <v>98.014292532286902</v>
      </c>
      <c r="AN7545">
        <v>1.0000000123022099</v>
      </c>
    </row>
    <row r="7546" spans="1:40" x14ac:dyDescent="0.25">
      <c r="A7546" t="str">
        <f>"20190304164309671"</f>
        <v>20190304164309671</v>
      </c>
      <c r="B7546" t="str">
        <f>"1551688989668893"</f>
        <v>1551688989668893</v>
      </c>
      <c r="C7546" t="s">
        <v>40</v>
      </c>
      <c r="D7546">
        <v>4.2553720000000004</v>
      </c>
      <c r="E7546">
        <v>0.54830659999999998</v>
      </c>
      <c r="F7546" t="s">
        <v>42</v>
      </c>
      <c r="G7546">
        <v>-187.70320000000001</v>
      </c>
      <c r="H7546" s="1">
        <v>-4.2545620000000001E-6</v>
      </c>
      <c r="I7546">
        <v>68.600589999999997</v>
      </c>
      <c r="J7546">
        <v>-187.12110000000001</v>
      </c>
      <c r="K7546">
        <v>1.110409</v>
      </c>
      <c r="L7546">
        <v>53.888060000000003</v>
      </c>
      <c r="M7546">
        <v>-3.5542939999999999E-3</v>
      </c>
      <c r="N7546">
        <v>-1.4599910000000001E-2</v>
      </c>
      <c r="O7546">
        <v>0.99988710000000003</v>
      </c>
      <c r="P7546">
        <v>-0.13398750000000001</v>
      </c>
      <c r="Q7546">
        <v>0.35030309999999998</v>
      </c>
      <c r="R7546">
        <v>0.92700329999999997</v>
      </c>
      <c r="S7546">
        <v>-0.12792970000000001</v>
      </c>
      <c r="T7546">
        <v>-0.2434268</v>
      </c>
      <c r="U7546">
        <v>3.3103639999999999</v>
      </c>
      <c r="V7546">
        <v>-0.13072129999999901</v>
      </c>
      <c r="W7546">
        <v>0.36379610000000001</v>
      </c>
      <c r="X7546">
        <v>0.92226050000000004</v>
      </c>
      <c r="Y7546">
        <v>-3.4974989999999997E-2</v>
      </c>
      <c r="Z7546">
        <v>-5.8718989999999999E-2</v>
      </c>
      <c r="AA7546">
        <v>0.99766169999999998</v>
      </c>
      <c r="AB7546">
        <v>42</v>
      </c>
      <c r="AC7546">
        <v>-0.58209999999999695</v>
      </c>
      <c r="AD7546">
        <v>-1.110413254562</v>
      </c>
      <c r="AE7546">
        <v>14.712529999999999</v>
      </c>
      <c r="AF7546">
        <v>-0.526801947617619</v>
      </c>
      <c r="AG7546">
        <v>-1.110413254562</v>
      </c>
      <c r="AH7546">
        <v>14.631291931382201</v>
      </c>
      <c r="AI7546">
        <v>94.337231576566694</v>
      </c>
      <c r="AJ7546">
        <v>92.062052722040704</v>
      </c>
      <c r="AK7546">
        <v>14.6828213048191</v>
      </c>
      <c r="AL7546">
        <v>68.666489603470197</v>
      </c>
      <c r="AM7546">
        <v>98.067371038750395</v>
      </c>
      <c r="AN7546">
        <v>1.0000000452545701</v>
      </c>
    </row>
    <row r="7547" spans="1:40" x14ac:dyDescent="0.25">
      <c r="A7547" t="str">
        <f>"20190304164309693"</f>
        <v>20190304164309693</v>
      </c>
      <c r="B7547" t="str">
        <f>"1551688989688413"</f>
        <v>1551688989688413</v>
      </c>
      <c r="C7547" t="s">
        <v>40</v>
      </c>
      <c r="D7547">
        <v>4.2401949999999999</v>
      </c>
      <c r="E7547">
        <v>0.54824340000000005</v>
      </c>
      <c r="F7547" t="s">
        <v>42</v>
      </c>
      <c r="G7547">
        <v>-187.714</v>
      </c>
      <c r="H7547" s="1">
        <v>-4.3665090000000001E-6</v>
      </c>
      <c r="I7547">
        <v>68.865989999999996</v>
      </c>
      <c r="J7547">
        <v>-187.12260000000001</v>
      </c>
      <c r="K7547">
        <v>1.110422</v>
      </c>
      <c r="L7547">
        <v>54.290950000000002</v>
      </c>
      <c r="M7547">
        <v>-3.5928100000000001E-3</v>
      </c>
      <c r="N7547">
        <v>-1.4690430000000001E-2</v>
      </c>
      <c r="O7547">
        <v>0.99988560000000004</v>
      </c>
      <c r="P7547">
        <v>-0.134289299999999</v>
      </c>
      <c r="Q7547">
        <v>0.35064420000000002</v>
      </c>
      <c r="R7547">
        <v>0.92683059999999995</v>
      </c>
      <c r="S7547">
        <v>-0.13102719999999901</v>
      </c>
      <c r="T7547">
        <v>-0.24539430000000001</v>
      </c>
      <c r="U7547">
        <v>3.310028</v>
      </c>
      <c r="V7547">
        <v>-0.13098699999999999</v>
      </c>
      <c r="W7547">
        <v>0.3642185</v>
      </c>
      <c r="X7547">
        <v>0.92205599999999999</v>
      </c>
      <c r="Y7547">
        <v>-3.5870480000000003E-2</v>
      </c>
      <c r="Z7547">
        <v>-5.9223289999999998E-2</v>
      </c>
      <c r="AA7547">
        <v>0.99760009999999999</v>
      </c>
      <c r="AB7547">
        <v>42</v>
      </c>
      <c r="AC7547">
        <v>-0.59140000000002102</v>
      </c>
      <c r="AD7547">
        <v>-1.110426366509</v>
      </c>
      <c r="AE7547">
        <v>14.5750399999999</v>
      </c>
      <c r="AF7547">
        <v>-0.53591958181014698</v>
      </c>
      <c r="AG7547">
        <v>-1.110426366509</v>
      </c>
      <c r="AH7547">
        <v>14.4930850210022</v>
      </c>
      <c r="AI7547">
        <v>94.3783285317664</v>
      </c>
      <c r="AJ7547">
        <v>92.117695883201407</v>
      </c>
      <c r="AK7547">
        <v>14.545438114391899</v>
      </c>
      <c r="AL7547">
        <v>68.6405039670517</v>
      </c>
      <c r="AM7547">
        <v>98.085321132436505</v>
      </c>
      <c r="AN7547">
        <v>0.99999998852362404</v>
      </c>
    </row>
    <row r="7548" spans="1:40" x14ac:dyDescent="0.25">
      <c r="A7548" t="str">
        <f>"20190304164309716"</f>
        <v>20190304164309716</v>
      </c>
      <c r="B7548" t="str">
        <f>"1551688989708910"</f>
        <v>1551688989708910</v>
      </c>
      <c r="C7548" t="s">
        <v>40</v>
      </c>
      <c r="D7548">
        <v>4.821974</v>
      </c>
      <c r="E7548">
        <v>0.54818389999999995</v>
      </c>
      <c r="F7548" t="s">
        <v>42</v>
      </c>
      <c r="G7548">
        <v>-187.72659999999999</v>
      </c>
      <c r="H7548" s="1">
        <v>-4.574369E-6</v>
      </c>
      <c r="I7548">
        <v>69.355739999999997</v>
      </c>
      <c r="J7548">
        <v>-187.1242</v>
      </c>
      <c r="K7548">
        <v>1.1104309999999999</v>
      </c>
      <c r="L7548">
        <v>54.73404</v>
      </c>
      <c r="M7548">
        <v>-3.632021E-3</v>
      </c>
      <c r="N7548">
        <v>-1.477652E-2</v>
      </c>
      <c r="O7548">
        <v>0.9998842</v>
      </c>
      <c r="P7548">
        <v>-0.134763299999999</v>
      </c>
      <c r="Q7548">
        <v>0.35087489999999999</v>
      </c>
      <c r="R7548">
        <v>0.92667449999999996</v>
      </c>
      <c r="S7548">
        <v>-0.132720899999999</v>
      </c>
      <c r="T7548">
        <v>-0.24397340000000001</v>
      </c>
      <c r="U7548">
        <v>3.3099059999999998</v>
      </c>
      <c r="V7548">
        <v>-0.1314237</v>
      </c>
      <c r="W7548">
        <v>0.3645272</v>
      </c>
      <c r="X7548">
        <v>0.92187189999999997</v>
      </c>
      <c r="Y7548">
        <v>-3.6343260000000002E-2</v>
      </c>
      <c r="Z7548">
        <v>-5.8712760000000003E-2</v>
      </c>
      <c r="AA7548">
        <v>0.99761310000000003</v>
      </c>
      <c r="AB7548">
        <v>42</v>
      </c>
      <c r="AC7548">
        <v>-0.60239999999998795</v>
      </c>
      <c r="AD7548">
        <v>-1.110435574369</v>
      </c>
      <c r="AE7548">
        <v>14.621699999999899</v>
      </c>
      <c r="AF7548">
        <v>-0.54613935841141303</v>
      </c>
      <c r="AG7548">
        <v>-1.110435574369</v>
      </c>
      <c r="AH7548">
        <v>14.540073278183099</v>
      </c>
      <c r="AI7548">
        <v>94.364175771156695</v>
      </c>
      <c r="AJ7548">
        <v>92.1510742406209</v>
      </c>
      <c r="AK7548">
        <v>14.5926374003662</v>
      </c>
      <c r="AL7548">
        <v>68.621512082057905</v>
      </c>
      <c r="AM7548">
        <v>98.113517145726902</v>
      </c>
      <c r="AN7548">
        <v>1.0000000342355599</v>
      </c>
    </row>
    <row r="7549" spans="1:40" x14ac:dyDescent="0.25">
      <c r="A7549" t="str">
        <f>"20190304164309738"</f>
        <v>20190304164309738</v>
      </c>
      <c r="B7549" t="str">
        <f>"1551688989728428"</f>
        <v>1551688989728428</v>
      </c>
      <c r="C7549" t="s">
        <v>40</v>
      </c>
      <c r="D7549">
        <v>4.1773769999999999</v>
      </c>
      <c r="E7549">
        <v>0.54812620000000001</v>
      </c>
      <c r="F7549" t="s">
        <v>42</v>
      </c>
      <c r="G7549">
        <v>-187.73830000000001</v>
      </c>
      <c r="H7549" s="1">
        <v>-6.8409949999999897E-7</v>
      </c>
      <c r="I7549">
        <v>69.889969999999906</v>
      </c>
      <c r="J7549">
        <v>-187.12569999999999</v>
      </c>
      <c r="K7549">
        <v>1.1104320000000001</v>
      </c>
      <c r="L7549">
        <v>55.146509999999999</v>
      </c>
      <c r="M7549">
        <v>-3.6640499999999999E-3</v>
      </c>
      <c r="N7549">
        <v>-1.4845300000000001E-2</v>
      </c>
      <c r="O7549">
        <v>0.99988310000000002</v>
      </c>
      <c r="P7549">
        <v>-0.13444819999999999</v>
      </c>
      <c r="Q7549">
        <v>0.35118300000000002</v>
      </c>
      <c r="R7549">
        <v>0.92660359999999997</v>
      </c>
      <c r="S7549">
        <v>-0.13410949999999999</v>
      </c>
      <c r="T7549">
        <v>-0.2424917</v>
      </c>
      <c r="U7549">
        <v>3.3096920000000001</v>
      </c>
      <c r="V7549">
        <v>-0.1310762</v>
      </c>
      <c r="W7549">
        <v>0.36489870000000002</v>
      </c>
      <c r="X7549">
        <v>0.92177439999999999</v>
      </c>
      <c r="Y7549">
        <v>-3.6732630000000002E-2</v>
      </c>
      <c r="Z7549">
        <v>-5.820351E-2</v>
      </c>
      <c r="AA7549">
        <v>0.99762870000000003</v>
      </c>
      <c r="AB7549">
        <v>42</v>
      </c>
      <c r="AC7549">
        <v>-0.61260000000001402</v>
      </c>
      <c r="AD7549">
        <v>-1.11043268409949</v>
      </c>
      <c r="AE7549">
        <v>14.743459999999899</v>
      </c>
      <c r="AF7549">
        <v>-0.55542386681809697</v>
      </c>
      <c r="AG7549">
        <v>-1.11043268409949</v>
      </c>
      <c r="AH7549">
        <v>14.662573624571101</v>
      </c>
      <c r="AI7549">
        <v>94.327790724150105</v>
      </c>
      <c r="AJ7549">
        <v>92.169348704814894</v>
      </c>
      <c r="AK7549">
        <v>14.7150474587653</v>
      </c>
      <c r="AL7549">
        <v>68.598652189662005</v>
      </c>
      <c r="AM7549">
        <v>98.093193190636498</v>
      </c>
      <c r="AN7549">
        <v>1.00000003798174</v>
      </c>
    </row>
    <row r="7550" spans="1:40" x14ac:dyDescent="0.25">
      <c r="A7550" t="str">
        <f>"20190304164309759"</f>
        <v>20190304164309759</v>
      </c>
      <c r="B7550" t="str">
        <f>"1551688989748925"</f>
        <v>1551688989748925</v>
      </c>
      <c r="C7550" t="s">
        <v>40</v>
      </c>
      <c r="D7550">
        <v>4.1660440000000003</v>
      </c>
      <c r="E7550">
        <v>0.54807419999999996</v>
      </c>
      <c r="F7550" t="s">
        <v>42</v>
      </c>
      <c r="G7550">
        <v>-187.74359999999999</v>
      </c>
      <c r="H7550" s="1">
        <v>-8.6282510000000002E-7</v>
      </c>
      <c r="I7550">
        <v>70.419269999999997</v>
      </c>
      <c r="J7550">
        <v>-187.12719999999999</v>
      </c>
      <c r="K7550">
        <v>1.11043</v>
      </c>
      <c r="L7550">
        <v>55.554780000000001</v>
      </c>
      <c r="M7550">
        <v>-3.6908100000000001E-3</v>
      </c>
      <c r="N7550">
        <v>-1.4903909999999999E-2</v>
      </c>
      <c r="O7550">
        <v>0.9998821</v>
      </c>
      <c r="P7550">
        <v>-0.134041299999999</v>
      </c>
      <c r="Q7550">
        <v>0.35104429999999998</v>
      </c>
      <c r="R7550">
        <v>0.92671510000000001</v>
      </c>
      <c r="S7550">
        <v>-0.13388059999999999</v>
      </c>
      <c r="T7550">
        <v>-0.24061479999999999</v>
      </c>
      <c r="U7550">
        <v>3.3093870000000001</v>
      </c>
      <c r="V7550">
        <v>-0.1306407</v>
      </c>
      <c r="W7550">
        <v>0.36481659999999999</v>
      </c>
      <c r="X7550">
        <v>0.92186869999999999</v>
      </c>
      <c r="Y7550">
        <v>-3.6642260000000003E-2</v>
      </c>
      <c r="Z7550">
        <v>-5.7589139999999997E-2</v>
      </c>
      <c r="AA7550">
        <v>0.99766770000000005</v>
      </c>
      <c r="AB7550">
        <v>42</v>
      </c>
      <c r="AC7550">
        <v>-0.61639999999999795</v>
      </c>
      <c r="AD7550">
        <v>-1.1104308628251001</v>
      </c>
      <c r="AE7550">
        <v>14.864489999999901</v>
      </c>
      <c r="AF7550">
        <v>-0.558416731114172</v>
      </c>
      <c r="AG7550">
        <v>-1.1104308628251001</v>
      </c>
      <c r="AH7550">
        <v>14.784299966647501</v>
      </c>
      <c r="AI7550">
        <v>94.292302299355001</v>
      </c>
      <c r="AJ7550">
        <v>92.163086508970906</v>
      </c>
      <c r="AK7550">
        <v>14.8364554881048</v>
      </c>
      <c r="AL7550">
        <v>68.603704102850799</v>
      </c>
      <c r="AM7550">
        <v>98.065843804798206</v>
      </c>
      <c r="AN7550">
        <v>1.00000002208586</v>
      </c>
    </row>
    <row r="7551" spans="1:40" x14ac:dyDescent="0.25">
      <c r="A7551" t="str">
        <f>"20190304164309782"</f>
        <v>20190304164309782</v>
      </c>
      <c r="B7551" t="str">
        <f>"1551688989778205"</f>
        <v>1551688989778205</v>
      </c>
      <c r="C7551" t="s">
        <v>40</v>
      </c>
      <c r="D7551">
        <v>4.155875</v>
      </c>
      <c r="E7551">
        <v>0.54800749999999998</v>
      </c>
      <c r="F7551" t="s">
        <v>42</v>
      </c>
      <c r="G7551">
        <v>-187.7458</v>
      </c>
      <c r="H7551" s="1">
        <v>-1.001636E-6</v>
      </c>
      <c r="I7551">
        <v>70.828959999999995</v>
      </c>
      <c r="J7551">
        <v>-187.12880000000001</v>
      </c>
      <c r="K7551">
        <v>1.11043</v>
      </c>
      <c r="L7551">
        <v>55.965119999999999</v>
      </c>
      <c r="M7551">
        <v>-3.7116179999999999E-3</v>
      </c>
      <c r="N7551">
        <v>-1.495457E-2</v>
      </c>
      <c r="O7551">
        <v>0.99988129999999997</v>
      </c>
      <c r="P7551">
        <v>-0.13428789999999999</v>
      </c>
      <c r="Q7551">
        <v>0.3509409</v>
      </c>
      <c r="R7551">
        <v>0.9267185</v>
      </c>
      <c r="S7551">
        <v>-0.1340179</v>
      </c>
      <c r="T7551">
        <v>-0.2405632</v>
      </c>
      <c r="U7551">
        <v>3.3089900000000001</v>
      </c>
      <c r="V7551">
        <v>-0.13086300000000001</v>
      </c>
      <c r="W7551">
        <v>0.36476199999999998</v>
      </c>
      <c r="X7551">
        <v>0.92185870000000003</v>
      </c>
      <c r="Y7551">
        <v>-3.6667650000000003E-2</v>
      </c>
      <c r="Z7551">
        <v>-5.753163E-2</v>
      </c>
      <c r="AA7551">
        <v>0.9976701</v>
      </c>
      <c r="AB7551">
        <v>42</v>
      </c>
      <c r="AC7551">
        <v>-0.61699999999999</v>
      </c>
      <c r="AD7551">
        <v>-1.1104310016359999</v>
      </c>
      <c r="AE7551">
        <v>14.8638399999999</v>
      </c>
      <c r="AF7551">
        <v>-0.55870783386154099</v>
      </c>
      <c r="AG7551">
        <v>-1.1104310016359999</v>
      </c>
      <c r="AH7551">
        <v>14.783660508477301</v>
      </c>
      <c r="AI7551">
        <v>94.292484360406704</v>
      </c>
      <c r="AJ7551">
        <v>92.164306577078804</v>
      </c>
      <c r="AK7551">
        <v>14.835829248239699</v>
      </c>
      <c r="AL7551">
        <v>68.607062410100596</v>
      </c>
      <c r="AM7551">
        <v>98.079474171602399</v>
      </c>
      <c r="AN7551">
        <v>0.999999952089344</v>
      </c>
    </row>
    <row r="7552" spans="1:40" x14ac:dyDescent="0.25">
      <c r="A7552" t="str">
        <f>"20190304164309804"</f>
        <v>20190304164309804</v>
      </c>
      <c r="B7552" t="str">
        <f>"1551688989798701"</f>
        <v>1551688989798701</v>
      </c>
      <c r="C7552" t="s">
        <v>40</v>
      </c>
      <c r="D7552">
        <v>4.144304</v>
      </c>
      <c r="E7552">
        <v>0.54796069999999997</v>
      </c>
      <c r="F7552" t="s">
        <v>42</v>
      </c>
      <c r="G7552">
        <v>-187.75229999999999</v>
      </c>
      <c r="H7552" s="1">
        <v>-1.1637599999999999E-6</v>
      </c>
      <c r="I7552">
        <v>71.310400000000001</v>
      </c>
      <c r="J7552">
        <v>-187.13030000000001</v>
      </c>
      <c r="K7552">
        <v>1.1104350000000001</v>
      </c>
      <c r="L7552">
        <v>56.39114</v>
      </c>
      <c r="M7552">
        <v>-3.7266550000000002E-3</v>
      </c>
      <c r="N7552">
        <v>-1.499902E-2</v>
      </c>
      <c r="O7552">
        <v>0.99988060000000001</v>
      </c>
      <c r="P7552">
        <v>-0.13451099999999999</v>
      </c>
      <c r="Q7552">
        <v>0.35189690000000001</v>
      </c>
      <c r="R7552">
        <v>0.92632360000000002</v>
      </c>
      <c r="S7552">
        <v>-0.13442989999999999</v>
      </c>
      <c r="T7552">
        <v>-0.2394066</v>
      </c>
      <c r="U7552">
        <v>3.308411</v>
      </c>
      <c r="V7552">
        <v>-0.1310684</v>
      </c>
      <c r="W7552">
        <v>0.365755</v>
      </c>
      <c r="X7552">
        <v>0.92143600000000003</v>
      </c>
      <c r="Y7552">
        <v>-3.6784539999999998E-2</v>
      </c>
      <c r="Z7552">
        <v>-5.7152620000000001E-2</v>
      </c>
      <c r="AA7552">
        <v>0.99768760000000001</v>
      </c>
      <c r="AB7552">
        <v>42</v>
      </c>
      <c r="AC7552">
        <v>-0.62199999999998501</v>
      </c>
      <c r="AD7552">
        <v>-1.11043616376</v>
      </c>
      <c r="AE7552">
        <v>14.91926</v>
      </c>
      <c r="AF7552">
        <v>-0.56327548317495602</v>
      </c>
      <c r="AG7552">
        <v>-1.11043616376</v>
      </c>
      <c r="AH7552">
        <v>14.8394101687072</v>
      </c>
      <c r="AI7552">
        <v>94.276411097776005</v>
      </c>
      <c r="AJ7552">
        <v>92.173794035323397</v>
      </c>
      <c r="AK7552">
        <v>14.8915560603606</v>
      </c>
      <c r="AL7552">
        <v>68.545945333873902</v>
      </c>
      <c r="AM7552">
        <v>98.095650647214995</v>
      </c>
      <c r="AN7552">
        <v>0.99999997379977901</v>
      </c>
    </row>
    <row r="7553" spans="1:40" x14ac:dyDescent="0.25">
      <c r="A7553" t="str">
        <f>"20190304164309827"</f>
        <v>20190304164309827</v>
      </c>
      <c r="B7553" t="str">
        <f>"1551688989818221"</f>
        <v>1551688989818221</v>
      </c>
      <c r="C7553" t="s">
        <v>40</v>
      </c>
      <c r="D7553">
        <v>4.1254960000000001</v>
      </c>
      <c r="E7553">
        <v>0.54791899999999905</v>
      </c>
      <c r="F7553" t="s">
        <v>42</v>
      </c>
      <c r="G7553">
        <v>-187.76949999999999</v>
      </c>
      <c r="H7553" s="1">
        <v>-1.409445E-6</v>
      </c>
      <c r="I7553">
        <v>71.995959999999997</v>
      </c>
      <c r="J7553">
        <v>-187.13200000000001</v>
      </c>
      <c r="K7553">
        <v>1.1104419999999999</v>
      </c>
      <c r="L7553">
        <v>56.835270000000001</v>
      </c>
      <c r="M7553">
        <v>-3.7368100000000001E-3</v>
      </c>
      <c r="N7553">
        <v>-1.5038060000000001E-2</v>
      </c>
      <c r="O7553">
        <v>0.99987999999999999</v>
      </c>
      <c r="P7553">
        <v>-0.13481409999999999</v>
      </c>
      <c r="Q7553">
        <v>0.35242849999999998</v>
      </c>
      <c r="R7553">
        <v>0.92607740000000005</v>
      </c>
      <c r="S7553">
        <v>-0.135513299999999</v>
      </c>
      <c r="T7553">
        <v>-0.23542170000000001</v>
      </c>
      <c r="U7553">
        <v>3.3083499999999999</v>
      </c>
      <c r="V7553">
        <v>-0.13135769999999999</v>
      </c>
      <c r="W7553">
        <v>0.3663208</v>
      </c>
      <c r="X7553">
        <v>0.92117009999999999</v>
      </c>
      <c r="Y7553">
        <v>-3.7104209999999999E-2</v>
      </c>
      <c r="Z7553">
        <v>-5.5918570000000001E-2</v>
      </c>
      <c r="AA7553">
        <v>0.99774560000000001</v>
      </c>
      <c r="AB7553">
        <v>42</v>
      </c>
      <c r="AC7553">
        <v>-0.63749999999998797</v>
      </c>
      <c r="AD7553">
        <v>-1.110443409445</v>
      </c>
      <c r="AE7553">
        <v>15.160690000000001</v>
      </c>
      <c r="AF7553">
        <v>-0.57774251433859303</v>
      </c>
      <c r="AG7553">
        <v>-1.110443409445</v>
      </c>
      <c r="AH7553">
        <v>15.0821962013422</v>
      </c>
      <c r="AI7553">
        <v>94.207792502500595</v>
      </c>
      <c r="AJ7553">
        <v>92.193714394029698</v>
      </c>
      <c r="AK7553">
        <v>15.1340514481164</v>
      </c>
      <c r="AL7553">
        <v>68.511111814807293</v>
      </c>
      <c r="AM7553">
        <v>98.115592813381994</v>
      </c>
      <c r="AN7553">
        <v>1.00000006349796</v>
      </c>
    </row>
    <row r="7554" spans="1:40" x14ac:dyDescent="0.25">
      <c r="A7554" t="str">
        <f>"20190304164309849"</f>
        <v>20190304164309849</v>
      </c>
      <c r="B7554" t="str">
        <f>"1551688989838717"</f>
        <v>1551688989838717</v>
      </c>
      <c r="C7554" t="s">
        <v>40</v>
      </c>
      <c r="D7554">
        <v>4.1187569999999996</v>
      </c>
      <c r="E7554">
        <v>0.54788179999999997</v>
      </c>
      <c r="F7554" t="s">
        <v>42</v>
      </c>
      <c r="G7554">
        <v>-187.79159999999999</v>
      </c>
      <c r="H7554" s="1">
        <v>-1.646807E-6</v>
      </c>
      <c r="I7554">
        <v>72.558359999999993</v>
      </c>
      <c r="J7554">
        <v>-187.1335</v>
      </c>
      <c r="K7554">
        <v>1.1104369999999999</v>
      </c>
      <c r="L7554">
        <v>57.244450000000001</v>
      </c>
      <c r="M7554">
        <v>-3.7423980000000001E-3</v>
      </c>
      <c r="N7554">
        <v>-1.506848E-2</v>
      </c>
      <c r="O7554">
        <v>0.99987950000000003</v>
      </c>
      <c r="P7554">
        <v>-0.13453850000000001</v>
      </c>
      <c r="Q7554">
        <v>0.3531995</v>
      </c>
      <c r="R7554">
        <v>0.92582370000000003</v>
      </c>
      <c r="S7554">
        <v>-0.1387787</v>
      </c>
      <c r="T7554">
        <v>-0.2336413</v>
      </c>
      <c r="U7554">
        <v>3.3081969999999998</v>
      </c>
      <c r="V7554">
        <v>-0.1310741</v>
      </c>
      <c r="W7554">
        <v>0.36711700000000003</v>
      </c>
      <c r="X7554">
        <v>0.92089339999999997</v>
      </c>
      <c r="Y7554">
        <v>-3.8084409999999999E-2</v>
      </c>
      <c r="Z7554">
        <v>-5.5354510000000003E-2</v>
      </c>
      <c r="AA7554">
        <v>0.99774010000000002</v>
      </c>
      <c r="AB7554">
        <v>42</v>
      </c>
      <c r="AC7554">
        <v>-0.65809999999999003</v>
      </c>
      <c r="AD7554">
        <v>-1.110438646807</v>
      </c>
      <c r="AE7554">
        <v>15.3139099999999</v>
      </c>
      <c r="AF7554">
        <v>-0.59764155840556699</v>
      </c>
      <c r="AG7554">
        <v>-1.110438646807</v>
      </c>
      <c r="AH7554">
        <v>15.236301756364099</v>
      </c>
      <c r="AI7554">
        <v>94.165218520142304</v>
      </c>
      <c r="AJ7554">
        <v>92.246266454824706</v>
      </c>
      <c r="AK7554">
        <v>15.2883988903888</v>
      </c>
      <c r="AL7554">
        <v>68.462074904640104</v>
      </c>
      <c r="AM7554">
        <v>98.1007049981026</v>
      </c>
      <c r="AN7554">
        <v>0.999999982771684</v>
      </c>
    </row>
    <row r="7555" spans="1:40" x14ac:dyDescent="0.25">
      <c r="A7555" t="str">
        <f>"20190304164309871"</f>
        <v>20190304164309871</v>
      </c>
      <c r="B7555" t="str">
        <f>"1551688989858364"</f>
        <v>1551688989858364</v>
      </c>
      <c r="C7555" t="s">
        <v>40</v>
      </c>
      <c r="D7555">
        <v>4.110379</v>
      </c>
      <c r="E7555">
        <v>0.54784909999999998</v>
      </c>
      <c r="F7555" t="s">
        <v>42</v>
      </c>
      <c r="G7555">
        <v>-187.80840000000001</v>
      </c>
      <c r="H7555" s="1">
        <v>-1.890071E-6</v>
      </c>
      <c r="I7555">
        <v>73.132390000000001</v>
      </c>
      <c r="J7555">
        <v>-187.13499999999999</v>
      </c>
      <c r="K7555">
        <v>1.1104510000000001</v>
      </c>
      <c r="L7555">
        <v>57.636229999999998</v>
      </c>
      <c r="M7555">
        <v>-3.745384E-3</v>
      </c>
      <c r="N7555">
        <v>-1.5093179999999999E-2</v>
      </c>
      <c r="O7555">
        <v>0.99987910000000002</v>
      </c>
      <c r="P7555">
        <v>-0.13381870000000001</v>
      </c>
      <c r="Q7555">
        <v>0.35386190000000001</v>
      </c>
      <c r="R7555">
        <v>0.92567509999999997</v>
      </c>
      <c r="S7555">
        <v>-0.14051820000000001</v>
      </c>
      <c r="T7555">
        <v>-0.2312121</v>
      </c>
      <c r="U7555">
        <v>3.3081360000000002</v>
      </c>
      <c r="V7555">
        <v>-0.1303494</v>
      </c>
      <c r="W7555">
        <v>0.36780089999999999</v>
      </c>
      <c r="X7555">
        <v>0.92072339999999997</v>
      </c>
      <c r="Y7555">
        <v>-3.8607490000000001E-2</v>
      </c>
      <c r="Z7555">
        <v>-5.4600700000000002E-2</v>
      </c>
      <c r="AA7555">
        <v>0.99776160000000003</v>
      </c>
      <c r="AB7555">
        <v>42</v>
      </c>
      <c r="AC7555">
        <v>-0.67340000000001499</v>
      </c>
      <c r="AD7555">
        <v>-1.110452890071</v>
      </c>
      <c r="AE7555">
        <v>15.4961599999999</v>
      </c>
      <c r="AF7555">
        <v>-0.61221172951163305</v>
      </c>
      <c r="AG7555">
        <v>-1.110452890071</v>
      </c>
      <c r="AH7555">
        <v>15.4195414914397</v>
      </c>
      <c r="AI7555">
        <v>94.115867067244693</v>
      </c>
      <c r="AJ7555">
        <v>92.273656067344604</v>
      </c>
      <c r="AK7555">
        <v>15.4715923107174</v>
      </c>
      <c r="AL7555">
        <v>68.419943669785496</v>
      </c>
      <c r="AM7555">
        <v>98.057974370782603</v>
      </c>
      <c r="AN7555">
        <v>1.00000002371436</v>
      </c>
    </row>
    <row r="7556" spans="1:40" x14ac:dyDescent="0.25">
      <c r="A7556" t="str">
        <f>"20190304164309893"</f>
        <v>20190304164309893</v>
      </c>
      <c r="B7556" t="str">
        <f>"1551688989888621"</f>
        <v>1551688989888621</v>
      </c>
      <c r="C7556" t="s">
        <v>40</v>
      </c>
      <c r="D7556">
        <v>4.1085949999999896</v>
      </c>
      <c r="E7556">
        <v>0.547788099999999</v>
      </c>
      <c r="F7556" t="s">
        <v>42</v>
      </c>
      <c r="G7556">
        <v>-187.8109</v>
      </c>
      <c r="H7556" s="1">
        <v>-2.1367530000000002E-6</v>
      </c>
      <c r="I7556">
        <v>73.708449999999999</v>
      </c>
      <c r="J7556">
        <v>-187.13659999999999</v>
      </c>
      <c r="K7556">
        <v>1.1104639999999999</v>
      </c>
      <c r="L7556">
        <v>58.059629999999999</v>
      </c>
      <c r="M7556">
        <v>-3.7468409999999999E-3</v>
      </c>
      <c r="N7556">
        <v>-1.5115709999999999E-2</v>
      </c>
      <c r="O7556">
        <v>0.99987870000000001</v>
      </c>
      <c r="P7556">
        <v>-0.13289429999999999</v>
      </c>
      <c r="Q7556">
        <v>0.35447590000000001</v>
      </c>
      <c r="R7556">
        <v>0.92557330000000004</v>
      </c>
      <c r="S7556">
        <v>-0.13912959999999999</v>
      </c>
      <c r="T7556">
        <v>-0.22856609999999999</v>
      </c>
      <c r="U7556">
        <v>3.3081670000000001</v>
      </c>
      <c r="V7556">
        <v>-0.12942139999999999</v>
      </c>
      <c r="W7556">
        <v>0.36843490000000001</v>
      </c>
      <c r="X7556">
        <v>0.9206008</v>
      </c>
      <c r="Y7556">
        <v>-3.8189899999999999E-2</v>
      </c>
      <c r="Z7556">
        <v>-5.3784510000000001E-2</v>
      </c>
      <c r="AA7556">
        <v>0.99782199999999999</v>
      </c>
      <c r="AB7556">
        <v>42</v>
      </c>
      <c r="AC7556">
        <v>-0.674300000000016</v>
      </c>
      <c r="AD7556">
        <v>-1.110466136753</v>
      </c>
      <c r="AE7556">
        <v>15.648819999999899</v>
      </c>
      <c r="AF7556">
        <v>-0.61257597984330003</v>
      </c>
      <c r="AG7556">
        <v>-1.110466136753</v>
      </c>
      <c r="AH7556">
        <v>15.572963708818</v>
      </c>
      <c r="AI7556">
        <v>94.075562940820603</v>
      </c>
      <c r="AJ7556">
        <v>92.252617627098402</v>
      </c>
      <c r="AK7556">
        <v>15.6245186501255</v>
      </c>
      <c r="AL7556">
        <v>68.380874231321798</v>
      </c>
      <c r="AM7556">
        <v>98.002404345777904</v>
      </c>
      <c r="AN7556">
        <v>1.0000000036383001</v>
      </c>
    </row>
    <row r="7557" spans="1:40" x14ac:dyDescent="0.25">
      <c r="A7557" t="str">
        <f>"20190304164309915"</f>
        <v>20190304164309915</v>
      </c>
      <c r="B7557" t="str">
        <f>"1551688989909117"</f>
        <v>1551688989909117</v>
      </c>
      <c r="C7557" t="s">
        <v>40</v>
      </c>
      <c r="D7557">
        <v>4.0883089999999997</v>
      </c>
      <c r="E7557">
        <v>0.54774919999999905</v>
      </c>
      <c r="F7557" t="s">
        <v>42</v>
      </c>
      <c r="G7557">
        <v>-187.8108</v>
      </c>
      <c r="H7557" s="1">
        <v>-2.3914589999999998E-6</v>
      </c>
      <c r="I7557">
        <v>74.302109999999999</v>
      </c>
      <c r="J7557">
        <v>-187.13820000000001</v>
      </c>
      <c r="K7557">
        <v>1.110463</v>
      </c>
      <c r="L7557">
        <v>58.481929999999998</v>
      </c>
      <c r="M7557">
        <v>-3.7473850000000002E-3</v>
      </c>
      <c r="N7557">
        <v>-1.513459E-2</v>
      </c>
      <c r="O7557">
        <v>0.9998785</v>
      </c>
      <c r="P7557">
        <v>-0.1317178</v>
      </c>
      <c r="Q7557">
        <v>0.35429850000000002</v>
      </c>
      <c r="R7557">
        <v>0.9258094</v>
      </c>
      <c r="S7557">
        <v>-0.13731380000000001</v>
      </c>
      <c r="T7557">
        <v>-0.2261707</v>
      </c>
      <c r="U7557">
        <v>3.3081360000000002</v>
      </c>
      <c r="V7557">
        <v>-0.12824150000000001</v>
      </c>
      <c r="W7557">
        <v>0.36827929999999998</v>
      </c>
      <c r="X7557">
        <v>0.92082819999999999</v>
      </c>
      <c r="Y7557">
        <v>-3.7645150000000002E-2</v>
      </c>
      <c r="Z7557">
        <v>-5.3048690000000003E-2</v>
      </c>
      <c r="AA7557">
        <v>0.99788209999999999</v>
      </c>
      <c r="AB7557">
        <v>42</v>
      </c>
      <c r="AC7557">
        <v>-0.67259999999998799</v>
      </c>
      <c r="AD7557">
        <v>-1.1104653914589999</v>
      </c>
      <c r="AE7557">
        <v>15.820179999999899</v>
      </c>
      <c r="AF7557">
        <v>-0.61030261582693401</v>
      </c>
      <c r="AG7557">
        <v>-1.1104653914589999</v>
      </c>
      <c r="AH7557">
        <v>15.7451524479909</v>
      </c>
      <c r="AI7557">
        <v>94.031227705766696</v>
      </c>
      <c r="AJ7557">
        <v>92.219747804418503</v>
      </c>
      <c r="AK7557">
        <v>15.7960573650195</v>
      </c>
      <c r="AL7557">
        <v>68.390464788755096</v>
      </c>
      <c r="AM7557">
        <v>97.928447465290901</v>
      </c>
      <c r="AN7557">
        <v>1.0000000495229799</v>
      </c>
    </row>
    <row r="7558" spans="1:40" x14ac:dyDescent="0.25">
      <c r="A7558" t="str">
        <f>"20190304164309937"</f>
        <v>20190304164309937</v>
      </c>
      <c r="B7558" t="str">
        <f>"1551688989928636"</f>
        <v>1551688989928636</v>
      </c>
      <c r="C7558" t="s">
        <v>40</v>
      </c>
      <c r="D7558">
        <v>4.117121</v>
      </c>
      <c r="E7558">
        <v>0.54771440000000005</v>
      </c>
      <c r="F7558" t="s">
        <v>42</v>
      </c>
      <c r="G7558">
        <v>-187.7885</v>
      </c>
      <c r="H7558" s="1">
        <v>-2.567348E-6</v>
      </c>
      <c r="I7558">
        <v>74.702889999999996</v>
      </c>
      <c r="J7558">
        <v>-187.1397</v>
      </c>
      <c r="K7558">
        <v>1.1104670000000001</v>
      </c>
      <c r="L7558">
        <v>58.893430000000002</v>
      </c>
      <c r="M7558">
        <v>-3.7474610000000001E-3</v>
      </c>
      <c r="N7558">
        <v>-1.5149849999999999E-2</v>
      </c>
      <c r="O7558">
        <v>0.99987820000000005</v>
      </c>
      <c r="P7558">
        <v>-0.13081229999999999</v>
      </c>
      <c r="Q7558">
        <v>0.35384399999999999</v>
      </c>
      <c r="R7558">
        <v>0.92611149999999998</v>
      </c>
      <c r="S7558">
        <v>-0.13262939999999901</v>
      </c>
      <c r="T7558">
        <v>-0.22647690000000001</v>
      </c>
      <c r="U7558">
        <v>3.3082280000000002</v>
      </c>
      <c r="V7558">
        <v>-0.12733369999999999</v>
      </c>
      <c r="W7558">
        <v>0.3678438</v>
      </c>
      <c r="X7558">
        <v>0.92112819999999995</v>
      </c>
      <c r="Y7558">
        <v>-3.6233910000000001E-2</v>
      </c>
      <c r="Z7558">
        <v>-5.3127220000000003E-2</v>
      </c>
      <c r="AA7558">
        <v>0.99793019999999999</v>
      </c>
      <c r="AB7558">
        <v>42</v>
      </c>
      <c r="AC7558">
        <v>-0.64879999999999405</v>
      </c>
      <c r="AD7558">
        <v>-1.1104695673480001</v>
      </c>
      <c r="AE7558">
        <v>15.8094599999999</v>
      </c>
      <c r="AF7558">
        <v>-0.58665375712129697</v>
      </c>
      <c r="AG7558">
        <v>-1.1104695673480001</v>
      </c>
      <c r="AH7558">
        <v>15.73428172815</v>
      </c>
      <c r="AI7558">
        <v>94.034244151246</v>
      </c>
      <c r="AJ7558">
        <v>92.135287900635703</v>
      </c>
      <c r="AK7558">
        <v>15.784325351168601</v>
      </c>
      <c r="AL7558">
        <v>68.417300894210499</v>
      </c>
      <c r="AM7558">
        <v>97.870497582116101</v>
      </c>
      <c r="AN7558">
        <v>1.0000000465946799</v>
      </c>
    </row>
    <row r="7559" spans="1:40" x14ac:dyDescent="0.25">
      <c r="A7559" t="str">
        <f>"20190304164309960"</f>
        <v>20190304164309960</v>
      </c>
      <c r="B7559" t="str">
        <f>"1551688989948183"</f>
        <v>1551688989948183</v>
      </c>
      <c r="C7559" t="s">
        <v>40</v>
      </c>
      <c r="D7559">
        <v>4.1087160000000003</v>
      </c>
      <c r="E7559">
        <v>0.54767769999999905</v>
      </c>
      <c r="F7559" t="s">
        <v>42</v>
      </c>
      <c r="G7559">
        <v>-187.7653</v>
      </c>
      <c r="H7559" s="1">
        <v>-2.71677E-6</v>
      </c>
      <c r="I7559">
        <v>75.041619999999995</v>
      </c>
      <c r="J7559">
        <v>-187.1413</v>
      </c>
      <c r="K7559">
        <v>1.110468</v>
      </c>
      <c r="L7559">
        <v>59.312739999999998</v>
      </c>
      <c r="M7559">
        <v>-3.7476969999999999E-3</v>
      </c>
      <c r="N7559">
        <v>-1.5162459999999999E-2</v>
      </c>
      <c r="O7559">
        <v>0.99987800000000004</v>
      </c>
      <c r="P7559">
        <v>-0.1300181</v>
      </c>
      <c r="Q7559">
        <v>0.35373300000000002</v>
      </c>
      <c r="R7559">
        <v>0.92626580000000003</v>
      </c>
      <c r="S7559">
        <v>-0.12815860000000001</v>
      </c>
      <c r="T7559">
        <v>-0.22749420000000001</v>
      </c>
      <c r="U7559">
        <v>3.3081670000000001</v>
      </c>
      <c r="V7559">
        <v>-0.12653689999999901</v>
      </c>
      <c r="W7559">
        <v>0.36774679999999998</v>
      </c>
      <c r="X7559">
        <v>0.92127669999999995</v>
      </c>
      <c r="Y7559">
        <v>-3.4887950000000001E-2</v>
      </c>
      <c r="Z7559">
        <v>-5.3424720000000002E-2</v>
      </c>
      <c r="AA7559">
        <v>0.99796220000000002</v>
      </c>
      <c r="AB7559">
        <v>42</v>
      </c>
      <c r="AC7559">
        <v>-0.623999999999995</v>
      </c>
      <c r="AD7559">
        <v>-1.1104707167700001</v>
      </c>
      <c r="AE7559">
        <v>15.728879999999901</v>
      </c>
      <c r="AF7559">
        <v>-0.562243681607836</v>
      </c>
      <c r="AG7559">
        <v>-1.1104707167700001</v>
      </c>
      <c r="AH7559">
        <v>15.653208073625599</v>
      </c>
      <c r="AI7559">
        <v>94.055275476522795</v>
      </c>
      <c r="AJ7559">
        <v>92.057108472131006</v>
      </c>
      <c r="AK7559">
        <v>15.7026171756981</v>
      </c>
      <c r="AL7559">
        <v>68.423277059669203</v>
      </c>
      <c r="AM7559">
        <v>97.820613686952399</v>
      </c>
      <c r="AN7559">
        <v>1.0000000269673599</v>
      </c>
    </row>
    <row r="7560" spans="1:40" x14ac:dyDescent="0.25">
      <c r="A7560" t="str">
        <f>"20190304164309983"</f>
        <v>20190304164309983</v>
      </c>
      <c r="B7560" t="str">
        <f>"1551688989978439"</f>
        <v>1551688989978439</v>
      </c>
      <c r="C7560" t="s">
        <v>40</v>
      </c>
      <c r="D7560">
        <v>4.0703250000000004</v>
      </c>
      <c r="E7560">
        <v>0.54760889999999995</v>
      </c>
      <c r="F7560" t="s">
        <v>42</v>
      </c>
      <c r="G7560">
        <v>-187.7534</v>
      </c>
      <c r="H7560" s="1">
        <v>-2.8930960000000002E-6</v>
      </c>
      <c r="I7560">
        <v>75.447730000000007</v>
      </c>
      <c r="J7560">
        <v>-187.14279999999999</v>
      </c>
      <c r="K7560">
        <v>1.1104799999999999</v>
      </c>
      <c r="L7560">
        <v>59.721710000000002</v>
      </c>
      <c r="M7560">
        <v>-3.748085E-3</v>
      </c>
      <c r="N7560">
        <v>-1.517225E-2</v>
      </c>
      <c r="O7560">
        <v>0.99987789999999999</v>
      </c>
      <c r="P7560">
        <v>-0.12987489999999999</v>
      </c>
      <c r="Q7560">
        <v>0.35442610000000002</v>
      </c>
      <c r="R7560">
        <v>0.92602090000000004</v>
      </c>
      <c r="S7560">
        <v>-0.12550349999999999</v>
      </c>
      <c r="T7560">
        <v>-0.2276784</v>
      </c>
      <c r="U7560">
        <v>3.3081360000000002</v>
      </c>
      <c r="V7560">
        <v>-0.126392899999999</v>
      </c>
      <c r="W7560">
        <v>0.36844549999999998</v>
      </c>
      <c r="X7560">
        <v>0.92101719999999998</v>
      </c>
      <c r="Y7560">
        <v>-3.4088519999999997E-2</v>
      </c>
      <c r="Z7560">
        <v>-5.3472840000000001E-2</v>
      </c>
      <c r="AA7560">
        <v>0.99798730000000002</v>
      </c>
      <c r="AB7560">
        <v>42</v>
      </c>
      <c r="AC7560">
        <v>-0.61060000000000503</v>
      </c>
      <c r="AD7560">
        <v>-1.110482893096</v>
      </c>
      <c r="AE7560">
        <v>15.72602</v>
      </c>
      <c r="AF7560">
        <v>-0.54891349114641896</v>
      </c>
      <c r="AG7560">
        <v>-1.110482893096</v>
      </c>
      <c r="AH7560">
        <v>15.650277467360899</v>
      </c>
      <c r="AI7560">
        <v>94.056197748866694</v>
      </c>
      <c r="AJ7560">
        <v>92.008752849350699</v>
      </c>
      <c r="AK7560">
        <v>15.6992249197852</v>
      </c>
      <c r="AL7560">
        <v>68.380220109652498</v>
      </c>
      <c r="AM7560">
        <v>97.813997536484607</v>
      </c>
      <c r="AN7560">
        <v>0.99999996716824902</v>
      </c>
    </row>
    <row r="7561" spans="1:40" x14ac:dyDescent="0.25">
      <c r="A7561" t="str">
        <f>"20190304164310004"</f>
        <v>20190304164310004</v>
      </c>
      <c r="B7561" t="str">
        <f>"1551688989998936"</f>
        <v>1551688989998936</v>
      </c>
      <c r="C7561" t="s">
        <v>40</v>
      </c>
      <c r="D7561">
        <v>4.0616079999999997</v>
      </c>
      <c r="E7561">
        <v>0.54756450000000001</v>
      </c>
      <c r="F7561" t="s">
        <v>42</v>
      </c>
      <c r="G7561">
        <v>-187.76480000000001</v>
      </c>
      <c r="H7561" s="1">
        <v>-3.1531899999999999E-6</v>
      </c>
      <c r="I7561">
        <v>76.058719999999994</v>
      </c>
      <c r="J7561">
        <v>-187.14439999999999</v>
      </c>
      <c r="K7561">
        <v>1.1104860000000001</v>
      </c>
      <c r="L7561">
        <v>60.144039999999997</v>
      </c>
      <c r="M7561">
        <v>-3.7485560000000001E-3</v>
      </c>
      <c r="N7561">
        <v>-1.518008E-2</v>
      </c>
      <c r="O7561">
        <v>0.99987780000000004</v>
      </c>
      <c r="P7561">
        <v>-0.1304631</v>
      </c>
      <c r="Q7561">
        <v>0.35513270000000002</v>
      </c>
      <c r="R7561">
        <v>0.92566740000000003</v>
      </c>
      <c r="S7561">
        <v>-0.125946</v>
      </c>
      <c r="T7561">
        <v>-0.22486139999999999</v>
      </c>
      <c r="U7561">
        <v>3.3080750000000001</v>
      </c>
      <c r="V7561">
        <v>-0.12698119999999999</v>
      </c>
      <c r="W7561">
        <v>0.3691547</v>
      </c>
      <c r="X7561">
        <v>0.92065229999999998</v>
      </c>
      <c r="Y7561">
        <v>-3.4223900000000002E-2</v>
      </c>
      <c r="Z7561">
        <v>-5.2620109999999998E-2</v>
      </c>
      <c r="AA7561">
        <v>0.99802800000000003</v>
      </c>
      <c r="AB7561">
        <v>42</v>
      </c>
      <c r="AC7561">
        <v>-0.62040000000001705</v>
      </c>
      <c r="AD7561">
        <v>-1.1104891531899901</v>
      </c>
      <c r="AE7561">
        <v>15.914679999999899</v>
      </c>
      <c r="AF7561">
        <v>-0.55801887146254403</v>
      </c>
      <c r="AG7561">
        <v>-1.1104891531899901</v>
      </c>
      <c r="AH7561">
        <v>15.839887876306101</v>
      </c>
      <c r="AI7561">
        <v>94.007803244569303</v>
      </c>
      <c r="AJ7561">
        <v>92.017622210894899</v>
      </c>
      <c r="AK7561">
        <v>15.8885688201993</v>
      </c>
      <c r="AL7561">
        <v>68.336505964080203</v>
      </c>
      <c r="AM7561">
        <v>97.852988145956104</v>
      </c>
      <c r="AN7561">
        <v>1.0000000375903999</v>
      </c>
    </row>
    <row r="7562" spans="1:40" x14ac:dyDescent="0.25">
      <c r="A7562" t="str">
        <f>"20190304164310029"</f>
        <v>20190304164310029</v>
      </c>
      <c r="B7562" t="str">
        <f>"1551688990018456"</f>
        <v>1551688990018456</v>
      </c>
      <c r="C7562" t="s">
        <v>40</v>
      </c>
      <c r="D7562">
        <v>4.0567440000000001</v>
      </c>
      <c r="E7562">
        <v>0.5475158</v>
      </c>
      <c r="F7562" t="s">
        <v>42</v>
      </c>
      <c r="G7562">
        <v>-187.7886</v>
      </c>
      <c r="H7562" s="1">
        <v>-3.4108489999999999E-6</v>
      </c>
      <c r="I7562">
        <v>76.669159999999906</v>
      </c>
      <c r="J7562">
        <v>-187.14609999999999</v>
      </c>
      <c r="K7562">
        <v>1.1104969999999901</v>
      </c>
      <c r="L7562">
        <v>60.58408</v>
      </c>
      <c r="M7562">
        <v>-3.7490399999999999E-3</v>
      </c>
      <c r="N7562">
        <v>-1.518651E-2</v>
      </c>
      <c r="O7562">
        <v>0.99987760000000003</v>
      </c>
      <c r="P7562">
        <v>-0.130969899999999</v>
      </c>
      <c r="Q7562">
        <v>0.3551743</v>
      </c>
      <c r="R7562">
        <v>0.92557979999999995</v>
      </c>
      <c r="S7562">
        <v>-0.12895200000000001</v>
      </c>
      <c r="T7562">
        <v>-0.22229889999999999</v>
      </c>
      <c r="U7562">
        <v>3.308014</v>
      </c>
      <c r="V7562">
        <v>-0.1274874</v>
      </c>
      <c r="W7562">
        <v>0.36920120000000001</v>
      </c>
      <c r="X7562">
        <v>0.92056360000000004</v>
      </c>
      <c r="Y7562">
        <v>-3.5130870000000002E-2</v>
      </c>
      <c r="Z7562">
        <v>-5.1843180000000003E-2</v>
      </c>
      <c r="AA7562">
        <v>0.99803710000000001</v>
      </c>
      <c r="AB7562">
        <v>42</v>
      </c>
      <c r="AC7562">
        <v>-0.64250000000001195</v>
      </c>
      <c r="AD7562">
        <v>-1.11050041084899</v>
      </c>
      <c r="AE7562">
        <v>16.085079999999898</v>
      </c>
      <c r="AF7562">
        <v>-0.57942753004637204</v>
      </c>
      <c r="AG7562">
        <v>-1.11050041084899</v>
      </c>
      <c r="AH7562">
        <v>16.011181751586498</v>
      </c>
      <c r="AI7562">
        <v>93.964968420474307</v>
      </c>
      <c r="AJ7562">
        <v>92.072568477979402</v>
      </c>
      <c r="AK7562">
        <v>16.0601023815979</v>
      </c>
      <c r="AL7562">
        <v>68.333637260354905</v>
      </c>
      <c r="AM7562">
        <v>97.884650630513093</v>
      </c>
      <c r="AN7562">
        <v>0.999999952442579</v>
      </c>
    </row>
    <row r="7563" spans="1:40" x14ac:dyDescent="0.25">
      <c r="A7563" t="str">
        <f>"20190304164310051"</f>
        <v>20190304164310051</v>
      </c>
      <c r="B7563" t="str">
        <f>"1551688990038951"</f>
        <v>1551688990038951</v>
      </c>
      <c r="C7563" t="s">
        <v>40</v>
      </c>
      <c r="D7563">
        <v>4.0555659999999998</v>
      </c>
      <c r="E7563">
        <v>0.54747819999999903</v>
      </c>
      <c r="F7563" t="s">
        <v>42</v>
      </c>
      <c r="G7563">
        <v>-187.80279999999999</v>
      </c>
      <c r="H7563" s="1">
        <v>-3.6104280000000001E-6</v>
      </c>
      <c r="I7563">
        <v>77.140270000000001</v>
      </c>
      <c r="J7563">
        <v>-187.14760000000001</v>
      </c>
      <c r="K7563">
        <v>1.110503</v>
      </c>
      <c r="L7563">
        <v>60.994570000000003</v>
      </c>
      <c r="M7563">
        <v>-3.7494329999999999E-3</v>
      </c>
      <c r="N7563">
        <v>-1.5191100000000001E-2</v>
      </c>
      <c r="O7563">
        <v>0.99987760000000003</v>
      </c>
      <c r="P7563">
        <v>-0.1317374</v>
      </c>
      <c r="Q7563">
        <v>0.3550393</v>
      </c>
      <c r="R7563">
        <v>0.92552270000000003</v>
      </c>
      <c r="S7563">
        <v>-0.131210299999999</v>
      </c>
      <c r="T7563">
        <v>-0.22186739999999999</v>
      </c>
      <c r="U7563">
        <v>3.3077700000000001</v>
      </c>
      <c r="V7563">
        <v>-0.12825400000000001</v>
      </c>
      <c r="W7563">
        <v>0.3690696</v>
      </c>
      <c r="X7563">
        <v>0.92050989999999999</v>
      </c>
      <c r="Y7563">
        <v>-3.5813530000000003E-2</v>
      </c>
      <c r="Z7563">
        <v>-5.1712250000000001E-2</v>
      </c>
      <c r="AA7563">
        <v>0.99801960000000001</v>
      </c>
      <c r="AB7563">
        <v>42</v>
      </c>
      <c r="AC7563">
        <v>-0.65519999999997902</v>
      </c>
      <c r="AD7563">
        <v>-1.1105066104279999</v>
      </c>
      <c r="AE7563">
        <v>16.145700000000001</v>
      </c>
      <c r="AF7563">
        <v>-0.59185587851721</v>
      </c>
      <c r="AG7563">
        <v>-1.1105066104279999</v>
      </c>
      <c r="AH7563">
        <v>16.072135399490602</v>
      </c>
      <c r="AI7563">
        <v>93.949909625847894</v>
      </c>
      <c r="AJ7563">
        <v>92.108962309612707</v>
      </c>
      <c r="AK7563">
        <v>16.121322979591302</v>
      </c>
      <c r="AL7563">
        <v>68.341750701555995</v>
      </c>
      <c r="AM7563">
        <v>97.931917364012705</v>
      </c>
      <c r="AN7563">
        <v>0.99999996707908401</v>
      </c>
    </row>
    <row r="7564" spans="1:40" x14ac:dyDescent="0.25">
      <c r="A7564" t="str">
        <f>"20190304164310073"</f>
        <v>20190304164310073</v>
      </c>
      <c r="B7564" t="str">
        <f>"1551688990068231"</f>
        <v>1551688990068231</v>
      </c>
      <c r="C7564" t="s">
        <v>40</v>
      </c>
      <c r="D7564">
        <v>4.0469900000000001</v>
      </c>
      <c r="E7564">
        <v>0.54743969999999997</v>
      </c>
      <c r="F7564" t="s">
        <v>42</v>
      </c>
      <c r="G7564">
        <v>-187.8151</v>
      </c>
      <c r="H7564" s="1">
        <v>-3.780236E-6</v>
      </c>
      <c r="I7564">
        <v>77.541169999999994</v>
      </c>
      <c r="J7564">
        <v>-187.1491</v>
      </c>
      <c r="K7564">
        <v>1.1105100000000001</v>
      </c>
      <c r="L7564">
        <v>61.394649999999999</v>
      </c>
      <c r="M7564">
        <v>-3.7497580000000002E-3</v>
      </c>
      <c r="N7564">
        <v>-1.519447E-2</v>
      </c>
      <c r="O7564">
        <v>0.99987749999999997</v>
      </c>
      <c r="P7564">
        <v>-0.13227159999999999</v>
      </c>
      <c r="Q7564">
        <v>0.35461939999999997</v>
      </c>
      <c r="R7564">
        <v>0.92560759999999997</v>
      </c>
      <c r="S7564">
        <v>-0.13342290000000001</v>
      </c>
      <c r="T7564">
        <v>-0.22198300000000001</v>
      </c>
      <c r="U7564">
        <v>3.3075559999999999</v>
      </c>
      <c r="V7564">
        <v>-0.12878729999999999</v>
      </c>
      <c r="W7564">
        <v>0.3686548</v>
      </c>
      <c r="X7564">
        <v>0.92060169999999997</v>
      </c>
      <c r="Y7564">
        <v>-3.648179E-2</v>
      </c>
      <c r="Z7564">
        <v>-5.1746210000000001E-2</v>
      </c>
      <c r="AA7564">
        <v>0.99799369999999998</v>
      </c>
      <c r="AB7564">
        <v>41</v>
      </c>
      <c r="AC7564">
        <v>-0.66599999999999604</v>
      </c>
      <c r="AD7564">
        <v>-1.1105137802359999</v>
      </c>
      <c r="AE7564">
        <v>16.146519999999899</v>
      </c>
      <c r="AF7564">
        <v>-0.60259714945249199</v>
      </c>
      <c r="AG7564">
        <v>-1.1105137802359999</v>
      </c>
      <c r="AH7564">
        <v>16.073002857038201</v>
      </c>
      <c r="AI7564">
        <v>93.949625201570598</v>
      </c>
      <c r="AJ7564">
        <v>92.147085438704494</v>
      </c>
      <c r="AK7564">
        <v>16.1225861766337</v>
      </c>
      <c r="AL7564">
        <v>68.367321015090695</v>
      </c>
      <c r="AM7564">
        <v>97.963693124596603</v>
      </c>
      <c r="AN7564">
        <v>1.00000001012361</v>
      </c>
    </row>
    <row r="7565" spans="1:40" x14ac:dyDescent="0.25">
      <c r="A7565" t="str">
        <f>"20190304164310094"</f>
        <v>20190304164310094</v>
      </c>
      <c r="B7565" t="str">
        <f>"1551688990088727"</f>
        <v>1551688990088727</v>
      </c>
      <c r="C7565" t="s">
        <v>40</v>
      </c>
      <c r="D7565">
        <v>4.0545920000000004</v>
      </c>
      <c r="E7565">
        <v>0.54740449999999996</v>
      </c>
      <c r="F7565" t="s">
        <v>42</v>
      </c>
      <c r="G7565">
        <v>-187.82329999999999</v>
      </c>
      <c r="H7565" s="1">
        <v>-3.935136E-6</v>
      </c>
      <c r="I7565">
        <v>77.905649999999994</v>
      </c>
      <c r="J7565">
        <v>-187.1507</v>
      </c>
      <c r="K7565">
        <v>1.110506</v>
      </c>
      <c r="L7565">
        <v>61.798070000000003</v>
      </c>
      <c r="M7565">
        <v>-3.750022E-3</v>
      </c>
      <c r="N7565">
        <v>-1.519678E-2</v>
      </c>
      <c r="O7565">
        <v>0.99987749999999997</v>
      </c>
      <c r="P7565">
        <v>-0.13227729999999999</v>
      </c>
      <c r="Q7565">
        <v>0.35445739999999998</v>
      </c>
      <c r="R7565">
        <v>0.92566879999999996</v>
      </c>
      <c r="S7565">
        <v>-0.135040299999999</v>
      </c>
      <c r="T7565">
        <v>-0.2224283</v>
      </c>
      <c r="U7565">
        <v>3.3070369999999998</v>
      </c>
      <c r="V7565">
        <v>-0.12879209999999999</v>
      </c>
      <c r="W7565">
        <v>0.36849559999999998</v>
      </c>
      <c r="X7565">
        <v>0.92066479999999995</v>
      </c>
      <c r="Y7565">
        <v>-3.6974479999999997E-2</v>
      </c>
      <c r="Z7565">
        <v>-5.1886889999999998E-2</v>
      </c>
      <c r="AA7565">
        <v>0.99796830000000003</v>
      </c>
      <c r="AB7565">
        <v>41</v>
      </c>
      <c r="AC7565">
        <v>-0.67259999999998799</v>
      </c>
      <c r="AD7565">
        <v>-1.1105099351359999</v>
      </c>
      <c r="AE7565">
        <v>16.107579999999999</v>
      </c>
      <c r="AF7565">
        <v>-0.609293473812063</v>
      </c>
      <c r="AG7565">
        <v>-1.1105099351359999</v>
      </c>
      <c r="AH7565">
        <v>16.033909858789201</v>
      </c>
      <c r="AI7565">
        <v>93.959134984406404</v>
      </c>
      <c r="AJ7565">
        <v>92.176210032067601</v>
      </c>
      <c r="AK7565">
        <v>16.0838657111107</v>
      </c>
      <c r="AL7565">
        <v>68.377134057785398</v>
      </c>
      <c r="AM7565">
        <v>97.963447300718499</v>
      </c>
      <c r="AN7565">
        <v>1.0000000431003999</v>
      </c>
    </row>
    <row r="7566" spans="1:40" x14ac:dyDescent="0.25">
      <c r="A7566" t="str">
        <f>"20190304164310117"</f>
        <v>20190304164310117</v>
      </c>
      <c r="B7566" t="str">
        <f>"1551688990108251"</f>
        <v>1551688990108251</v>
      </c>
      <c r="C7566" t="s">
        <v>40</v>
      </c>
      <c r="D7566">
        <v>4.0505879999999896</v>
      </c>
      <c r="E7566">
        <v>0.54736859999999998</v>
      </c>
      <c r="F7566" t="s">
        <v>42</v>
      </c>
      <c r="G7566">
        <v>-187.8254</v>
      </c>
      <c r="H7566" s="1">
        <v>-4.1052749999999901E-6</v>
      </c>
      <c r="I7566">
        <v>78.303119999999893</v>
      </c>
      <c r="J7566">
        <v>-187.15219999999999</v>
      </c>
      <c r="K7566">
        <v>1.1105069999999999</v>
      </c>
      <c r="L7566">
        <v>62.222810000000003</v>
      </c>
      <c r="M7566">
        <v>-3.750256E-3</v>
      </c>
      <c r="N7566">
        <v>-1.519822E-2</v>
      </c>
      <c r="O7566">
        <v>0.99987749999999997</v>
      </c>
      <c r="P7566">
        <v>-0.13244139999999999</v>
      </c>
      <c r="Q7566">
        <v>0.35460019999999998</v>
      </c>
      <c r="R7566">
        <v>0.92559060000000004</v>
      </c>
      <c r="S7566">
        <v>-0.13519289999999901</v>
      </c>
      <c r="T7566">
        <v>-0.22249099999999999</v>
      </c>
      <c r="U7566">
        <v>3.3067929999999999</v>
      </c>
      <c r="V7566">
        <v>-0.12895580000000001</v>
      </c>
      <c r="W7566">
        <v>0.36863879999999999</v>
      </c>
      <c r="X7566">
        <v>0.92058450000000003</v>
      </c>
      <c r="Y7566">
        <v>-3.7023130000000001E-2</v>
      </c>
      <c r="Z7566">
        <v>-5.1909089999999998E-2</v>
      </c>
      <c r="AA7566">
        <v>0.99796530000000006</v>
      </c>
      <c r="AB7566">
        <v>41</v>
      </c>
      <c r="AC7566">
        <v>-0.67320000000000801</v>
      </c>
      <c r="AD7566">
        <v>-1.1105111052750001</v>
      </c>
      <c r="AE7566">
        <v>16.080309999999901</v>
      </c>
      <c r="AF7566">
        <v>-0.60997892346113203</v>
      </c>
      <c r="AG7566">
        <v>-1.1105111052750001</v>
      </c>
      <c r="AH7566">
        <v>16.0065151388755</v>
      </c>
      <c r="AI7566">
        <v>93.965877296482105</v>
      </c>
      <c r="AJ7566">
        <v>92.182380999370693</v>
      </c>
      <c r="AK7566">
        <v>16.0565823291589</v>
      </c>
      <c r="AL7566">
        <v>68.368306803348304</v>
      </c>
      <c r="AM7566">
        <v>97.974125625318806</v>
      </c>
      <c r="AN7566">
        <v>0.99999999242966497</v>
      </c>
    </row>
    <row r="7567" spans="1:40" x14ac:dyDescent="0.25">
      <c r="A7567" t="str">
        <f>"20190304164310139"</f>
        <v>20190304164310139</v>
      </c>
      <c r="B7567" t="str">
        <f>"1551688990128743"</f>
        <v>1551688990128743</v>
      </c>
      <c r="C7567" t="s">
        <v>40</v>
      </c>
      <c r="D7567">
        <v>4.0389739999999996</v>
      </c>
      <c r="E7567">
        <v>0.54733959999999904</v>
      </c>
      <c r="F7567" t="s">
        <v>42</v>
      </c>
      <c r="G7567">
        <v>-187.82900000000001</v>
      </c>
      <c r="H7567" s="1">
        <v>-4.3237429999999999E-6</v>
      </c>
      <c r="I7567">
        <v>78.813859999999906</v>
      </c>
      <c r="J7567">
        <v>-187.15379999999999</v>
      </c>
      <c r="K7567">
        <v>1.1105119999999999</v>
      </c>
      <c r="L7567">
        <v>62.626530000000002</v>
      </c>
      <c r="M7567">
        <v>-3.7504539999999999E-3</v>
      </c>
      <c r="N7567">
        <v>-1.51988E-2</v>
      </c>
      <c r="O7567">
        <v>0.99987749999999997</v>
      </c>
      <c r="P7567">
        <v>-0.13266979999999901</v>
      </c>
      <c r="Q7567">
        <v>0.35438599999999998</v>
      </c>
      <c r="R7567">
        <v>0.92563989999999996</v>
      </c>
      <c r="S7567">
        <v>-0.1348877</v>
      </c>
      <c r="T7567">
        <v>-0.22132979999999999</v>
      </c>
      <c r="U7567">
        <v>3.3066710000000001</v>
      </c>
      <c r="V7567">
        <v>-0.12918389999999999</v>
      </c>
      <c r="W7567">
        <v>0.36842609999999998</v>
      </c>
      <c r="X7567">
        <v>0.9206377</v>
      </c>
      <c r="Y7567">
        <v>-3.693337E-2</v>
      </c>
      <c r="Z7567">
        <v>-5.1562339999999998E-2</v>
      </c>
      <c r="AA7567">
        <v>0.99798659999999995</v>
      </c>
      <c r="AB7567">
        <v>41</v>
      </c>
      <c r="AC7567">
        <v>-0.67520000000001701</v>
      </c>
      <c r="AD7567">
        <v>-1.110516323743</v>
      </c>
      <c r="AE7567">
        <v>16.1873299999999</v>
      </c>
      <c r="AF7567">
        <v>-0.61160487492921101</v>
      </c>
      <c r="AG7567">
        <v>-1.110516323743</v>
      </c>
      <c r="AH7567">
        <v>16.114039481608799</v>
      </c>
      <c r="AI7567">
        <v>93.939539072746996</v>
      </c>
      <c r="AJ7567">
        <v>92.1736055496539</v>
      </c>
      <c r="AK7567">
        <v>16.163835418711201</v>
      </c>
      <c r="AL7567">
        <v>68.381417023795706</v>
      </c>
      <c r="AM7567">
        <v>97.987592896696597</v>
      </c>
      <c r="AN7567">
        <v>1.0000000229208501</v>
      </c>
    </row>
    <row r="7568" spans="1:40" x14ac:dyDescent="0.25">
      <c r="A7568" t="str">
        <f>"20190304164310161"</f>
        <v>20190304164310161</v>
      </c>
      <c r="B7568" t="str">
        <f>"1551688990148267"</f>
        <v>1551688990148267</v>
      </c>
      <c r="C7568" t="s">
        <v>40</v>
      </c>
      <c r="D7568">
        <v>4.0351229999999996</v>
      </c>
      <c r="E7568">
        <v>0.54730760000000001</v>
      </c>
      <c r="F7568" t="s">
        <v>42</v>
      </c>
      <c r="G7568">
        <v>-187.8321</v>
      </c>
      <c r="H7568" s="1">
        <v>-4.4861360000000003E-6</v>
      </c>
      <c r="I7568">
        <v>79.193659999999994</v>
      </c>
      <c r="J7568">
        <v>-187.15530000000001</v>
      </c>
      <c r="K7568">
        <v>1.1105179999999999</v>
      </c>
      <c r="L7568">
        <v>63.026980000000002</v>
      </c>
      <c r="M7568">
        <v>-3.7506499999999999E-3</v>
      </c>
      <c r="N7568">
        <v>-1.5198740000000001E-2</v>
      </c>
      <c r="O7568">
        <v>0.99987749999999997</v>
      </c>
      <c r="P7568">
        <v>-0.13239870000000001</v>
      </c>
      <c r="Q7568">
        <v>0.35455599999999998</v>
      </c>
      <c r="R7568">
        <v>0.92561360000000004</v>
      </c>
      <c r="S7568">
        <v>-0.135376</v>
      </c>
      <c r="T7568">
        <v>-0.2216361</v>
      </c>
      <c r="U7568">
        <v>3.3064580000000001</v>
      </c>
      <c r="V7568">
        <v>-0.12891259999999999</v>
      </c>
      <c r="W7568">
        <v>0.36859540000000002</v>
      </c>
      <c r="X7568">
        <v>0.92060799999999998</v>
      </c>
      <c r="Y7568">
        <v>-3.7082619999999997E-2</v>
      </c>
      <c r="Z7568">
        <v>-5.1658330000000002E-2</v>
      </c>
      <c r="AA7568">
        <v>0.99797610000000003</v>
      </c>
      <c r="AB7568">
        <v>41</v>
      </c>
      <c r="AC7568">
        <v>-0.67679999999998497</v>
      </c>
      <c r="AD7568">
        <v>-1.1105224861359999</v>
      </c>
      <c r="AE7568">
        <v>16.1666799999999</v>
      </c>
      <c r="AF7568">
        <v>-0.61326399409431998</v>
      </c>
      <c r="AG7568">
        <v>-1.1105224861359999</v>
      </c>
      <c r="AH7568">
        <v>16.093300027584199</v>
      </c>
      <c r="AI7568">
        <v>93.944599065712097</v>
      </c>
      <c r="AJ7568">
        <v>92.182302282296803</v>
      </c>
      <c r="AK7568">
        <v>16.143223305663199</v>
      </c>
      <c r="AL7568">
        <v>68.370983311750706</v>
      </c>
      <c r="AM7568">
        <v>97.971287780303399</v>
      </c>
      <c r="AN7568">
        <v>1.00000005850195</v>
      </c>
    </row>
    <row r="7569" spans="1:40" x14ac:dyDescent="0.25">
      <c r="A7569" t="str">
        <f>"20190304164310185"</f>
        <v>20190304164310185</v>
      </c>
      <c r="B7569" t="str">
        <f>"1551688990178520"</f>
        <v>1551688990178520</v>
      </c>
      <c r="C7569" t="s">
        <v>40</v>
      </c>
      <c r="D7569">
        <v>4.0529590000000004</v>
      </c>
      <c r="E7569">
        <v>0.54730040000000002</v>
      </c>
      <c r="F7569" t="s">
        <v>42</v>
      </c>
      <c r="G7569">
        <v>-187.83779999999999</v>
      </c>
      <c r="H7569" s="1">
        <v>-5.6911609999999899E-7</v>
      </c>
      <c r="I7569">
        <v>79.62988</v>
      </c>
      <c r="J7569">
        <v>-187.15690000000001</v>
      </c>
      <c r="K7569">
        <v>1.1105210000000001</v>
      </c>
      <c r="L7569">
        <v>63.463749999999997</v>
      </c>
      <c r="M7569">
        <v>-3.7508849999999998E-3</v>
      </c>
      <c r="N7569">
        <v>-1.519803E-2</v>
      </c>
      <c r="O7569">
        <v>0.99987749999999997</v>
      </c>
      <c r="P7569">
        <v>-0.13241889999999901</v>
      </c>
      <c r="Q7569">
        <v>0.35438429999999999</v>
      </c>
      <c r="R7569">
        <v>0.92567650000000001</v>
      </c>
      <c r="S7569">
        <v>-0.1359253</v>
      </c>
      <c r="T7569">
        <v>-0.22115290000000001</v>
      </c>
      <c r="U7569">
        <v>3.3063660000000001</v>
      </c>
      <c r="V7569">
        <v>-0.12893209999999999</v>
      </c>
      <c r="W7569">
        <v>0.36842380000000002</v>
      </c>
      <c r="X7569">
        <v>0.92067390000000005</v>
      </c>
      <c r="Y7569">
        <v>-3.7249270000000001E-2</v>
      </c>
      <c r="Z7569">
        <v>-5.1515279999999997E-2</v>
      </c>
      <c r="AA7569">
        <v>0.99797729999999996</v>
      </c>
      <c r="AB7569">
        <v>41</v>
      </c>
      <c r="AC7569">
        <v>-0.68089999999997897</v>
      </c>
      <c r="AD7569">
        <v>-1.1105215691160999</v>
      </c>
      <c r="AE7569">
        <v>16.166129999999999</v>
      </c>
      <c r="AF7569">
        <v>-0.61734288445943097</v>
      </c>
      <c r="AG7569">
        <v>-1.1105215691160999</v>
      </c>
      <c r="AH7569">
        <v>16.0927646664992</v>
      </c>
      <c r="AI7569">
        <v>93.944688388403407</v>
      </c>
      <c r="AJ7569">
        <v>92.196875865204504</v>
      </c>
      <c r="AK7569">
        <v>16.142845009594499</v>
      </c>
      <c r="AL7569">
        <v>68.381558401903007</v>
      </c>
      <c r="AM7569">
        <v>97.971914739315906</v>
      </c>
      <c r="AN7569">
        <v>1.00000000647903</v>
      </c>
    </row>
    <row r="7570" spans="1:40" x14ac:dyDescent="0.25">
      <c r="A7570" t="str">
        <f>"20190304164310206"</f>
        <v>20190304164310206</v>
      </c>
      <c r="B7570" t="str">
        <f>"1551688990199018"</f>
        <v>1551688990199018</v>
      </c>
      <c r="C7570" t="s">
        <v>40</v>
      </c>
      <c r="D7570">
        <v>4.0212899999999996</v>
      </c>
      <c r="E7570">
        <v>0.56056689999999998</v>
      </c>
      <c r="F7570" t="s">
        <v>42</v>
      </c>
      <c r="G7570">
        <v>-187.84180000000001</v>
      </c>
      <c r="H7570" s="1">
        <v>-6.98605E-7</v>
      </c>
      <c r="I7570">
        <v>80.013499999999993</v>
      </c>
      <c r="J7570">
        <v>-187.1584</v>
      </c>
      <c r="K7570">
        <v>1.110528</v>
      </c>
      <c r="L7570">
        <v>63.866489999999999</v>
      </c>
      <c r="M7570">
        <v>-3.7511010000000002E-3</v>
      </c>
      <c r="N7570">
        <v>-1.519679E-2</v>
      </c>
      <c r="O7570">
        <v>0.99987749999999997</v>
      </c>
      <c r="P7570">
        <v>-0.1328887</v>
      </c>
      <c r="Q7570">
        <v>0.35428759999999998</v>
      </c>
      <c r="R7570">
        <v>0.92564619999999997</v>
      </c>
      <c r="S7570">
        <v>-0.13682559999999999</v>
      </c>
      <c r="T7570">
        <v>-0.22185350000000001</v>
      </c>
      <c r="U7570">
        <v>3.3062130000000001</v>
      </c>
      <c r="V7570">
        <v>-0.1294015</v>
      </c>
      <c r="W7570">
        <v>0.36832579999999998</v>
      </c>
      <c r="X7570">
        <v>0.92064729999999995</v>
      </c>
      <c r="Y7570">
        <v>-3.7521550000000001E-2</v>
      </c>
      <c r="Z7570">
        <v>-5.172939E-2</v>
      </c>
      <c r="AA7570">
        <v>0.99795599999999995</v>
      </c>
      <c r="AB7570">
        <v>41</v>
      </c>
      <c r="AC7570">
        <v>-0.683400000000006</v>
      </c>
      <c r="AD7570">
        <v>-1.110528698605</v>
      </c>
      <c r="AE7570">
        <v>16.147009999999899</v>
      </c>
      <c r="AF7570">
        <v>-0.61989218825361503</v>
      </c>
      <c r="AG7570">
        <v>-1.110528698605</v>
      </c>
      <c r="AH7570">
        <v>16.073565668406602</v>
      </c>
      <c r="AI7570">
        <v>93.949379567163106</v>
      </c>
      <c r="AJ7570">
        <v>92.208571137608203</v>
      </c>
      <c r="AK7570">
        <v>16.1238039436127</v>
      </c>
      <c r="AL7570">
        <v>68.387599038366901</v>
      </c>
      <c r="AM7570">
        <v>98.000790931319898</v>
      </c>
      <c r="AN7570">
        <v>1.0000000470725801</v>
      </c>
    </row>
    <row r="7571" spans="1:40" x14ac:dyDescent="0.25">
      <c r="A7571" t="str">
        <f>"20190304164310230"</f>
        <v>20190304164310230</v>
      </c>
      <c r="B7571" t="str">
        <f>"1551688990218535"</f>
        <v>1551688990218535</v>
      </c>
      <c r="C7571" t="s">
        <v>40</v>
      </c>
      <c r="D7571">
        <v>4.0473600000000003</v>
      </c>
      <c r="E7571">
        <v>0.56349189999999905</v>
      </c>
      <c r="F7571" t="s">
        <v>41</v>
      </c>
      <c r="G7571">
        <v>-187.16890000000001</v>
      </c>
      <c r="H7571">
        <v>1.0343469999999999</v>
      </c>
      <c r="I7571">
        <v>64.877369999999999</v>
      </c>
      <c r="J7571">
        <v>-187.16</v>
      </c>
      <c r="K7571">
        <v>1.110536</v>
      </c>
      <c r="L7571">
        <v>64.290890000000005</v>
      </c>
      <c r="M7571">
        <v>-3.75129E-3</v>
      </c>
      <c r="N7571">
        <v>-1.51949999999999E-2</v>
      </c>
      <c r="O7571">
        <v>0.99987749999999997</v>
      </c>
      <c r="P7571">
        <v>-0.1334002</v>
      </c>
      <c r="Q7571">
        <v>0.3547189</v>
      </c>
      <c r="R7571">
        <v>0.92540750000000005</v>
      </c>
      <c r="S7571">
        <v>-3.489685E-2</v>
      </c>
      <c r="T7571">
        <v>-0.25112950000000001</v>
      </c>
      <c r="U7571">
        <v>3.3320919999999998</v>
      </c>
      <c r="V7571">
        <v>-0.1299139</v>
      </c>
      <c r="W7571">
        <v>0.3687513</v>
      </c>
      <c r="X7571">
        <v>0.92040469999999996</v>
      </c>
      <c r="Y7571">
        <v>-6.6973120000000004E-3</v>
      </c>
      <c r="Z7571">
        <v>-5.9989689999999998E-2</v>
      </c>
      <c r="AA7571">
        <v>0.99817650000000002</v>
      </c>
      <c r="AB7571">
        <v>41</v>
      </c>
      <c r="AC7571">
        <v>-8.9000000000112305E-3</v>
      </c>
      <c r="AD7571">
        <v>-7.6189000000000007E-2</v>
      </c>
      <c r="AE7571">
        <v>0.58647999999999401</v>
      </c>
      <c r="AF7571">
        <v>-6.5884632383218199E-3</v>
      </c>
      <c r="AG7571">
        <v>-7.6189000000000007E-2</v>
      </c>
      <c r="AH7571">
        <v>0.57677761182739995</v>
      </c>
      <c r="AI7571">
        <v>97.524392057517403</v>
      </c>
      <c r="AJ7571">
        <v>90.654454527959601</v>
      </c>
      <c r="AK7571">
        <v>0.58182521866464398</v>
      </c>
      <c r="AL7571">
        <v>68.361372164314801</v>
      </c>
      <c r="AM7571">
        <v>98.034149019424206</v>
      </c>
      <c r="AN7571">
        <v>0.99999997722349399</v>
      </c>
    </row>
    <row r="7572" spans="1:40" x14ac:dyDescent="0.25">
      <c r="A7572" t="str">
        <f>"20190304164310252"</f>
        <v>20190304164310252</v>
      </c>
      <c r="B7572" t="str">
        <f>"1551688990248791"</f>
        <v>1551688990248791</v>
      </c>
      <c r="C7572" t="s">
        <v>40</v>
      </c>
      <c r="D7572">
        <v>4.001665</v>
      </c>
      <c r="E7572">
        <v>0.56397379999999997</v>
      </c>
      <c r="F7572" t="s">
        <v>41</v>
      </c>
      <c r="G7572">
        <v>-187.16380000000001</v>
      </c>
      <c r="H7572">
        <v>1.0357449999999999</v>
      </c>
      <c r="I7572">
        <v>65.244050000000001</v>
      </c>
      <c r="J7572">
        <v>-187.16149999999999</v>
      </c>
      <c r="K7572">
        <v>1.110538</v>
      </c>
      <c r="L7572">
        <v>64.691959999999995</v>
      </c>
      <c r="M7572">
        <v>-3.7514480000000001E-3</v>
      </c>
      <c r="N7572">
        <v>-1.519296E-2</v>
      </c>
      <c r="O7572">
        <v>0.99987760000000003</v>
      </c>
      <c r="P7572">
        <v>-0.13286319999999999</v>
      </c>
      <c r="Q7572">
        <v>0.35551779999999999</v>
      </c>
      <c r="R7572">
        <v>0.9251781</v>
      </c>
      <c r="S7572">
        <v>-1.358032E-2</v>
      </c>
      <c r="T7572">
        <v>-0.26211129999999999</v>
      </c>
      <c r="U7572">
        <v>3.3403320000000001</v>
      </c>
      <c r="V7572">
        <v>-0.1293772</v>
      </c>
      <c r="W7572">
        <v>0.36954510000000002</v>
      </c>
      <c r="X7572">
        <v>0.92016200000000004</v>
      </c>
      <c r="Y7572">
        <v>-3.0533099999999999E-4</v>
      </c>
      <c r="Z7572">
        <v>-6.3071710000000003E-2</v>
      </c>
      <c r="AA7572">
        <v>0.99800900000000003</v>
      </c>
      <c r="AB7572">
        <v>41</v>
      </c>
      <c r="AC7572">
        <v>-2.3000000000195E-3</v>
      </c>
      <c r="AD7572">
        <v>-7.4792999999999804E-2</v>
      </c>
      <c r="AE7572">
        <v>0.55209000000000596</v>
      </c>
      <c r="AF7572">
        <v>-2.2448801608990001E-4</v>
      </c>
      <c r="AG7572">
        <v>-7.4792999999999804E-2</v>
      </c>
      <c r="AH7572">
        <v>0.54214504098569505</v>
      </c>
      <c r="AI7572">
        <v>97.854803329410402</v>
      </c>
      <c r="AJ7572">
        <v>90.0237246754387</v>
      </c>
      <c r="AK7572">
        <v>0.54727989978552205</v>
      </c>
      <c r="AL7572">
        <v>68.312436512229695</v>
      </c>
      <c r="AM7572">
        <v>98.003472170941194</v>
      </c>
      <c r="AN7572">
        <v>1.0000000735289201</v>
      </c>
    </row>
    <row r="7573" spans="1:40" x14ac:dyDescent="0.25">
      <c r="A7573" t="str">
        <f>"20190304164310273"</f>
        <v>20190304164310273</v>
      </c>
      <c r="B7573" t="str">
        <f>"1551688990268311"</f>
        <v>1551688990268311</v>
      </c>
      <c r="C7573" t="s">
        <v>40</v>
      </c>
      <c r="D7573">
        <v>4.017398</v>
      </c>
      <c r="E7573">
        <v>0.5640925</v>
      </c>
      <c r="F7573" t="s">
        <v>42</v>
      </c>
      <c r="G7573">
        <v>-187.19489999999999</v>
      </c>
      <c r="H7573" s="1">
        <v>-4.7456869999999996E-6</v>
      </c>
      <c r="I7573">
        <v>79.535209999999907</v>
      </c>
      <c r="J7573">
        <v>-187.16290000000001</v>
      </c>
      <c r="K7573">
        <v>1.110549</v>
      </c>
      <c r="L7573">
        <v>65.072850000000003</v>
      </c>
      <c r="M7573">
        <v>-3.7515719999999999E-3</v>
      </c>
      <c r="N7573">
        <v>-1.5190759999999999E-2</v>
      </c>
      <c r="O7573">
        <v>0.99987760000000003</v>
      </c>
      <c r="P7573">
        <v>-0.1323898</v>
      </c>
      <c r="Q7573">
        <v>0.35572969999999998</v>
      </c>
      <c r="R7573">
        <v>0.92516449999999995</v>
      </c>
      <c r="S7573">
        <v>-7.5073240000000001E-3</v>
      </c>
      <c r="T7573">
        <v>-0.2497047</v>
      </c>
      <c r="U7573">
        <v>3.337494</v>
      </c>
      <c r="V7573">
        <v>-0.12890399999999999</v>
      </c>
      <c r="W7573">
        <v>0.3697551</v>
      </c>
      <c r="X7573">
        <v>0.92014399999999996</v>
      </c>
      <c r="Y7573">
        <v>1.5055800000000001E-3</v>
      </c>
      <c r="Z7573">
        <v>-5.9451610000000002E-2</v>
      </c>
      <c r="AA7573">
        <v>0.99822999999999995</v>
      </c>
      <c r="AB7573">
        <v>41</v>
      </c>
      <c r="AC7573">
        <v>-3.1999999999982202E-2</v>
      </c>
      <c r="AD7573">
        <v>-1.110553745687</v>
      </c>
      <c r="AE7573">
        <v>14.462359999999901</v>
      </c>
      <c r="AF7573">
        <v>2.2132563957722302E-2</v>
      </c>
      <c r="AG7573">
        <v>-1.110553745687</v>
      </c>
      <c r="AH7573">
        <v>14.3775998903557</v>
      </c>
      <c r="AI7573">
        <v>94.416861888817607</v>
      </c>
      <c r="AJ7573">
        <v>89.911800195263098</v>
      </c>
      <c r="AK7573">
        <v>14.4204437546008</v>
      </c>
      <c r="AL7573">
        <v>68.299486175130497</v>
      </c>
      <c r="AM7573">
        <v>97.974730546182201</v>
      </c>
      <c r="AN7573">
        <v>1.000000027964</v>
      </c>
    </row>
    <row r="7574" spans="1:40" x14ac:dyDescent="0.25">
      <c r="A7574" t="str">
        <f>"20190304164310295"</f>
        <v>20190304164310295</v>
      </c>
      <c r="B7574" t="str">
        <f>"1551688990288808"</f>
        <v>1551688990288808</v>
      </c>
      <c r="C7574" t="s">
        <v>40</v>
      </c>
      <c r="D7574">
        <v>3.9771160000000001</v>
      </c>
      <c r="E7574">
        <v>0.56446949999999996</v>
      </c>
      <c r="F7574" t="s">
        <v>42</v>
      </c>
      <c r="G7574">
        <v>-187.18780000000001</v>
      </c>
      <c r="H7574" s="1">
        <v>-8.7815609999999895E-7</v>
      </c>
      <c r="I7574">
        <v>80.029790000000006</v>
      </c>
      <c r="J7574">
        <v>-187.1645</v>
      </c>
      <c r="K7574">
        <v>1.110554</v>
      </c>
      <c r="L7574">
        <v>65.499209999999906</v>
      </c>
      <c r="M7574">
        <v>-3.7517039999999998E-3</v>
      </c>
      <c r="N7574">
        <v>-1.518803E-2</v>
      </c>
      <c r="O7574">
        <v>0.99987760000000003</v>
      </c>
      <c r="P7574">
        <v>-0.1317719</v>
      </c>
      <c r="Q7574">
        <v>0.3557361</v>
      </c>
      <c r="R7574">
        <v>0.92525020000000002</v>
      </c>
      <c r="S7574">
        <v>-5.5541990000000001E-3</v>
      </c>
      <c r="T7574">
        <v>-0.247781</v>
      </c>
      <c r="U7574">
        <v>3.3371279999999999</v>
      </c>
      <c r="V7574">
        <v>-0.12828589999999901</v>
      </c>
      <c r="W7574">
        <v>0.36975989999999997</v>
      </c>
      <c r="X7574">
        <v>0.92022839999999995</v>
      </c>
      <c r="Y7574">
        <v>2.0892530000000001E-3</v>
      </c>
      <c r="Z7574">
        <v>-5.8890230000000002E-2</v>
      </c>
      <c r="AA7574">
        <v>0.99826230000000005</v>
      </c>
      <c r="AB7574">
        <v>41</v>
      </c>
      <c r="AC7574">
        <v>-2.3300000000006E-2</v>
      </c>
      <c r="AD7574">
        <v>-1.1105548781561001</v>
      </c>
      <c r="AE7574">
        <v>14.53058</v>
      </c>
      <c r="AF7574">
        <v>3.1039575773895399E-2</v>
      </c>
      <c r="AG7574">
        <v>-1.1105548781561001</v>
      </c>
      <c r="AH7574">
        <v>14.446179984665401</v>
      </c>
      <c r="AI7574">
        <v>94.395975729683499</v>
      </c>
      <c r="AJ7574">
        <v>89.876892441128405</v>
      </c>
      <c r="AK7574">
        <v>14.488837487597401</v>
      </c>
      <c r="AL7574">
        <v>68.299189128955604</v>
      </c>
      <c r="AM7574">
        <v>97.936261180354293</v>
      </c>
      <c r="AN7574">
        <v>0.99999998197668905</v>
      </c>
    </row>
    <row r="7575" spans="1:40" x14ac:dyDescent="0.25">
      <c r="A7575" t="str">
        <f>"20190304164310318"</f>
        <v>20190304164310318</v>
      </c>
      <c r="B7575" t="str">
        <f>"1551688990308331"</f>
        <v>1551688990308331</v>
      </c>
      <c r="C7575" t="s">
        <v>40</v>
      </c>
      <c r="D7575">
        <v>4.0335279999999996</v>
      </c>
      <c r="E7575">
        <v>0.56489840000000002</v>
      </c>
      <c r="F7575" t="s">
        <v>42</v>
      </c>
      <c r="G7575">
        <v>-187.17</v>
      </c>
      <c r="H7575" s="1">
        <v>-9.6919619999999995E-7</v>
      </c>
      <c r="I7575">
        <v>80.283389999999997</v>
      </c>
      <c r="J7575">
        <v>-187.166</v>
      </c>
      <c r="K7575">
        <v>1.11056</v>
      </c>
      <c r="L7575">
        <v>65.902709999999999</v>
      </c>
      <c r="M7575">
        <v>-3.7518349999999998E-3</v>
      </c>
      <c r="N7575">
        <v>-1.518512E-2</v>
      </c>
      <c r="O7575">
        <v>0.99987760000000003</v>
      </c>
      <c r="P7575">
        <v>-0.1312672</v>
      </c>
      <c r="Q7575">
        <v>0.35568870000000002</v>
      </c>
      <c r="R7575">
        <v>0.92534019999999995</v>
      </c>
      <c r="S7575">
        <v>-1.235962E-3</v>
      </c>
      <c r="T7575">
        <v>-0.25078979999999901</v>
      </c>
      <c r="U7575">
        <v>3.3386230000000001</v>
      </c>
      <c r="V7575">
        <v>-0.12778039999999999</v>
      </c>
      <c r="W7575">
        <v>0.36971120000000002</v>
      </c>
      <c r="X7575">
        <v>0.92031830000000003</v>
      </c>
      <c r="Y7575">
        <v>3.3804149999999999E-3</v>
      </c>
      <c r="Z7575">
        <v>-5.9754590000000003E-2</v>
      </c>
      <c r="AA7575">
        <v>0.99820739999999997</v>
      </c>
      <c r="AB7575">
        <v>41</v>
      </c>
      <c r="AC7575">
        <v>-3.9999999999906699E-3</v>
      </c>
      <c r="AD7575">
        <v>-1.1105609691962</v>
      </c>
      <c r="AE7575">
        <v>14.3806799999999</v>
      </c>
      <c r="AF7575">
        <v>4.9664003470532903E-2</v>
      </c>
      <c r="AG7575">
        <v>-1.1105609691962</v>
      </c>
      <c r="AH7575">
        <v>14.295338669439101</v>
      </c>
      <c r="AI7575">
        <v>94.442184196692395</v>
      </c>
      <c r="AJ7575">
        <v>89.800947259085206</v>
      </c>
      <c r="AK7575">
        <v>14.3384978241622</v>
      </c>
      <c r="AL7575">
        <v>68.302192372905495</v>
      </c>
      <c r="AM7575">
        <v>97.904622679416406</v>
      </c>
      <c r="AN7575">
        <v>0.99999998767224496</v>
      </c>
    </row>
    <row r="7576" spans="1:40" x14ac:dyDescent="0.25">
      <c r="A7576" t="str">
        <f>"20190304164310340"</f>
        <v>20190304164310340</v>
      </c>
      <c r="B7576" t="str">
        <f>"1551688990328823"</f>
        <v>1551688990328823</v>
      </c>
      <c r="C7576" t="s">
        <v>40</v>
      </c>
      <c r="D7576">
        <v>4.0764209999999999</v>
      </c>
      <c r="E7576">
        <v>0.56483509999999904</v>
      </c>
      <c r="F7576" t="s">
        <v>42</v>
      </c>
      <c r="G7576">
        <v>-187.15199999999999</v>
      </c>
      <c r="H7576" s="1">
        <v>-1.091806E-6</v>
      </c>
      <c r="I7576">
        <v>80.629639999999995</v>
      </c>
      <c r="J7576">
        <v>-187.16749999999999</v>
      </c>
      <c r="K7576">
        <v>1.110557</v>
      </c>
      <c r="L7576">
        <v>66.296940000000006</v>
      </c>
      <c r="M7576">
        <v>-3.7520040000000002E-3</v>
      </c>
      <c r="N7576">
        <v>-1.5182050000000001E-2</v>
      </c>
      <c r="O7576">
        <v>0.99987769999999998</v>
      </c>
      <c r="P7576">
        <v>-0.13128979999999901</v>
      </c>
      <c r="Q7576">
        <v>0.35598429999999998</v>
      </c>
      <c r="R7576">
        <v>0.92522340000000003</v>
      </c>
      <c r="S7576">
        <v>3.1738280000000001E-3</v>
      </c>
      <c r="T7576">
        <v>-0.25181700000000001</v>
      </c>
      <c r="U7576">
        <v>3.3392940000000002</v>
      </c>
      <c r="V7576">
        <v>-0.12780349999999999</v>
      </c>
      <c r="W7576">
        <v>0.3700022</v>
      </c>
      <c r="X7576">
        <v>0.92019810000000002</v>
      </c>
      <c r="Y7576">
        <v>4.6979320000000001E-3</v>
      </c>
      <c r="Z7576">
        <v>-6.0047749999999997E-2</v>
      </c>
      <c r="AA7576">
        <v>0.99818439999999997</v>
      </c>
      <c r="AB7576">
        <v>41</v>
      </c>
      <c r="AC7576">
        <v>1.5499999999974499E-2</v>
      </c>
      <c r="AD7576">
        <v>-1.1105580918060001</v>
      </c>
      <c r="AE7576">
        <v>14.332700000000001</v>
      </c>
      <c r="AF7576">
        <v>6.8868962301420505E-2</v>
      </c>
      <c r="AG7576">
        <v>-1.1105580918060001</v>
      </c>
      <c r="AH7576">
        <v>14.2470047979334</v>
      </c>
      <c r="AI7576">
        <v>94.457157387487896</v>
      </c>
      <c r="AJ7576">
        <v>89.723038617498503</v>
      </c>
      <c r="AK7576">
        <v>14.290389355142899</v>
      </c>
      <c r="AL7576">
        <v>68.284245962926093</v>
      </c>
      <c r="AM7576">
        <v>97.907053256726698</v>
      </c>
      <c r="AN7576">
        <v>0.99999995293034805</v>
      </c>
    </row>
    <row r="7577" spans="1:40" x14ac:dyDescent="0.25">
      <c r="A7577" t="str">
        <f>"20190304164310355"</f>
        <v>20190304164310355</v>
      </c>
      <c r="B7577" t="str">
        <f>"1551688990348344"</f>
        <v>1551688990348344</v>
      </c>
      <c r="C7577" t="s">
        <v>40</v>
      </c>
      <c r="D7577">
        <v>4.0294189999999999</v>
      </c>
      <c r="E7577">
        <v>0.56498119999999996</v>
      </c>
      <c r="F7577" t="s">
        <v>42</v>
      </c>
      <c r="G7577">
        <v>-187.1542</v>
      </c>
      <c r="H7577" s="1">
        <v>-1.2025309999999999E-6</v>
      </c>
      <c r="I7577">
        <v>80.956689999999995</v>
      </c>
      <c r="J7577">
        <v>-187.16849999999999</v>
      </c>
      <c r="K7577">
        <v>1.11056</v>
      </c>
      <c r="L7577">
        <v>66.570650000000001</v>
      </c>
      <c r="M7577">
        <v>-3.7521270000000001E-3</v>
      </c>
      <c r="N7577">
        <v>-1.517982E-2</v>
      </c>
      <c r="O7577">
        <v>0.99987780000000004</v>
      </c>
      <c r="P7577">
        <v>-0.131547</v>
      </c>
      <c r="Q7577">
        <v>0.35600199999999999</v>
      </c>
      <c r="R7577">
        <v>0.92518</v>
      </c>
      <c r="S7577">
        <v>3.0364989999999998E-3</v>
      </c>
      <c r="T7577">
        <v>-0.2530442</v>
      </c>
      <c r="U7577">
        <v>3.340271</v>
      </c>
      <c r="V7577">
        <v>-0.12806029999999999</v>
      </c>
      <c r="W7577">
        <v>0.37001729999999999</v>
      </c>
      <c r="X7577">
        <v>0.92015639999999999</v>
      </c>
      <c r="Y7577">
        <v>4.6567379999999997E-3</v>
      </c>
      <c r="Z7577">
        <v>-6.0392769999999998E-2</v>
      </c>
      <c r="AA7577">
        <v>0.99816380000000005</v>
      </c>
      <c r="AB7577">
        <v>41</v>
      </c>
      <c r="AC7577">
        <v>1.42999999999915E-2</v>
      </c>
      <c r="AD7577">
        <v>-1.1105612025309901</v>
      </c>
      <c r="AE7577">
        <v>14.386039999999999</v>
      </c>
      <c r="AF7577">
        <v>6.7879842600183204E-2</v>
      </c>
      <c r="AG7577">
        <v>-1.1105612025309901</v>
      </c>
      <c r="AH7577">
        <v>14.3006617820207</v>
      </c>
      <c r="AI7577">
        <v>94.440515100928806</v>
      </c>
      <c r="AJ7577">
        <v>89.728040607768904</v>
      </c>
      <c r="AK7577">
        <v>14.343879574973601</v>
      </c>
      <c r="AL7577">
        <v>68.283316270122597</v>
      </c>
      <c r="AM7577">
        <v>97.923094103946298</v>
      </c>
      <c r="AN7577">
        <v>1.0000000215981599</v>
      </c>
    </row>
    <row r="7578" spans="1:40" x14ac:dyDescent="0.25">
      <c r="A7578" t="str">
        <f>"20190304164310373"</f>
        <v>20190304164310373</v>
      </c>
      <c r="B7578" t="str">
        <f>"1551688990368839"</f>
        <v>1551688990368839</v>
      </c>
      <c r="C7578" t="s">
        <v>40</v>
      </c>
      <c r="D7578">
        <v>4.045693</v>
      </c>
      <c r="E7578">
        <v>0.56513800000000003</v>
      </c>
      <c r="F7578" t="s">
        <v>42</v>
      </c>
      <c r="G7578">
        <v>-187.1542</v>
      </c>
      <c r="H7578" s="1">
        <v>-1.292295E-6</v>
      </c>
      <c r="I7578">
        <v>81.220500000000001</v>
      </c>
      <c r="J7578">
        <v>-187.16990000000001</v>
      </c>
      <c r="K7578">
        <v>1.1105590000000001</v>
      </c>
      <c r="L7578">
        <v>66.920009999999905</v>
      </c>
      <c r="M7578">
        <v>-3.752273E-3</v>
      </c>
      <c r="N7578">
        <v>-1.517689E-2</v>
      </c>
      <c r="O7578">
        <v>0.99987780000000004</v>
      </c>
      <c r="P7578">
        <v>-0.1319602</v>
      </c>
      <c r="Q7578">
        <v>0.35689009999999999</v>
      </c>
      <c r="R7578">
        <v>0.92477889999999996</v>
      </c>
      <c r="S7578">
        <v>3.2653809999999999E-3</v>
      </c>
      <c r="T7578">
        <v>-0.25323449999999997</v>
      </c>
      <c r="U7578">
        <v>3.3405149999999999</v>
      </c>
      <c r="V7578">
        <v>-0.12847510000000001</v>
      </c>
      <c r="W7578">
        <v>0.37089650000000002</v>
      </c>
      <c r="X7578">
        <v>0.91974449999999996</v>
      </c>
      <c r="Y7578">
        <v>4.725155E-3</v>
      </c>
      <c r="Z7578">
        <v>-6.0446689999999997E-2</v>
      </c>
      <c r="AA7578">
        <v>0.99816020000000005</v>
      </c>
      <c r="AB7578">
        <v>41</v>
      </c>
      <c r="AC7578">
        <v>1.5700000000009501E-2</v>
      </c>
      <c r="AD7578">
        <v>-1.110560292295</v>
      </c>
      <c r="AE7578">
        <v>14.30049</v>
      </c>
      <c r="AF7578">
        <v>6.8949584201459094E-2</v>
      </c>
      <c r="AG7578">
        <v>-1.110560292295</v>
      </c>
      <c r="AH7578">
        <v>14.2146035745726</v>
      </c>
      <c r="AI7578">
        <v>94.467284552675395</v>
      </c>
      <c r="AJ7578">
        <v>89.722082352110704</v>
      </c>
      <c r="AK7578">
        <v>14.2580872837221</v>
      </c>
      <c r="AL7578">
        <v>68.229082735172099</v>
      </c>
      <c r="AM7578">
        <v>97.951944424060798</v>
      </c>
      <c r="AN7578">
        <v>1.0000000051562501</v>
      </c>
    </row>
    <row r="7579" spans="1:40" x14ac:dyDescent="0.25">
      <c r="A7579" t="str">
        <f>"20190304164310398"</f>
        <v>20190304164310398</v>
      </c>
      <c r="B7579" t="str">
        <f>"1551688990388360"</f>
        <v>1551688990388360</v>
      </c>
      <c r="C7579" t="s">
        <v>40</v>
      </c>
      <c r="D7579">
        <v>4.086811</v>
      </c>
      <c r="E7579">
        <v>0.56508959999999997</v>
      </c>
      <c r="F7579" t="s">
        <v>42</v>
      </c>
      <c r="G7579">
        <v>-187.15450000000001</v>
      </c>
      <c r="H7579" s="1">
        <v>-1.470018E-6</v>
      </c>
      <c r="I7579">
        <v>81.742959999999997</v>
      </c>
      <c r="J7579">
        <v>-187.17150000000001</v>
      </c>
      <c r="K7579">
        <v>1.110563</v>
      </c>
      <c r="L7579">
        <v>67.352540000000005</v>
      </c>
      <c r="M7579">
        <v>-3.7526270000000001E-3</v>
      </c>
      <c r="N7579">
        <v>-1.517306E-2</v>
      </c>
      <c r="O7579">
        <v>0.99987789999999999</v>
      </c>
      <c r="P7579">
        <v>-0.1321145</v>
      </c>
      <c r="Q7579">
        <v>0.35681230000000003</v>
      </c>
      <c r="R7579">
        <v>0.92478689999999997</v>
      </c>
      <c r="S7579">
        <v>3.4637449999999998E-3</v>
      </c>
      <c r="T7579">
        <v>-0.25032290000000001</v>
      </c>
      <c r="U7579">
        <v>3.3411249999999999</v>
      </c>
      <c r="V7579">
        <v>-0.1286291</v>
      </c>
      <c r="W7579">
        <v>0.37081510000000001</v>
      </c>
      <c r="X7579">
        <v>0.91975580000000001</v>
      </c>
      <c r="Y7579">
        <v>4.7846390000000003E-3</v>
      </c>
      <c r="Z7579">
        <v>-5.9571840000000001E-2</v>
      </c>
      <c r="AA7579">
        <v>0.99821260000000001</v>
      </c>
      <c r="AB7579">
        <v>41</v>
      </c>
      <c r="AC7579">
        <v>1.69999999999959E-2</v>
      </c>
      <c r="AD7579">
        <v>-1.110564470018</v>
      </c>
      <c r="AE7579">
        <v>14.390419999999899</v>
      </c>
      <c r="AF7579">
        <v>7.0587567634701504E-2</v>
      </c>
      <c r="AG7579">
        <v>-1.110564470018</v>
      </c>
      <c r="AH7579">
        <v>14.305056812174699</v>
      </c>
      <c r="AI7579">
        <v>94.439165257178004</v>
      </c>
      <c r="AJ7579">
        <v>89.717279215316296</v>
      </c>
      <c r="AK7579">
        <v>14.3482746853522</v>
      </c>
      <c r="AL7579">
        <v>68.234104785612999</v>
      </c>
      <c r="AM7579">
        <v>97.961257523443606</v>
      </c>
      <c r="AN7579">
        <v>1.0000000076942299</v>
      </c>
    </row>
    <row r="7580" spans="1:40" x14ac:dyDescent="0.25">
      <c r="A7580" t="str">
        <f>"20190304164310419"</f>
        <v>20190304164310419</v>
      </c>
      <c r="B7580" t="str">
        <f>"1551688990408856"</f>
        <v>1551688990408856</v>
      </c>
      <c r="C7580" t="s">
        <v>40</v>
      </c>
      <c r="D7580">
        <v>4.0542280000000002</v>
      </c>
      <c r="E7580">
        <v>0.56517399999999995</v>
      </c>
      <c r="F7580" t="s">
        <v>42</v>
      </c>
      <c r="G7580">
        <v>-187.1653</v>
      </c>
      <c r="H7580" s="1">
        <v>-1.5627709999999999E-6</v>
      </c>
      <c r="I7580">
        <v>82.023929999999993</v>
      </c>
      <c r="J7580">
        <v>-187.1729</v>
      </c>
      <c r="K7580">
        <v>1.1105590000000001</v>
      </c>
      <c r="L7580">
        <v>67.746430000000004</v>
      </c>
      <c r="M7580">
        <v>-3.752886E-3</v>
      </c>
      <c r="N7580">
        <v>-1.516939E-2</v>
      </c>
      <c r="O7580">
        <v>0.99987789999999999</v>
      </c>
      <c r="P7580">
        <v>-0.13192190000000001</v>
      </c>
      <c r="Q7580">
        <v>0.35648550000000001</v>
      </c>
      <c r="R7580">
        <v>0.9249404</v>
      </c>
      <c r="S7580">
        <v>1.419067E-3</v>
      </c>
      <c r="T7580">
        <v>-0.25296039999999997</v>
      </c>
      <c r="U7580">
        <v>3.3417970000000001</v>
      </c>
      <c r="V7580">
        <v>-0.12843540000000001</v>
      </c>
      <c r="W7580">
        <v>0.37048769999999998</v>
      </c>
      <c r="X7580">
        <v>0.91991480000000003</v>
      </c>
      <c r="Y7580">
        <v>4.1743079999999998E-3</v>
      </c>
      <c r="Z7580">
        <v>-6.0344059999999998E-2</v>
      </c>
      <c r="AA7580">
        <v>0.99816890000000003</v>
      </c>
      <c r="AB7580">
        <v>41</v>
      </c>
      <c r="AC7580">
        <v>7.5999999999964898E-3</v>
      </c>
      <c r="AD7580">
        <v>-1.110560562771</v>
      </c>
      <c r="AE7580">
        <v>14.2775</v>
      </c>
      <c r="AF7580">
        <v>6.0819960358165198E-2</v>
      </c>
      <c r="AG7580">
        <v>-1.110560562771</v>
      </c>
      <c r="AH7580">
        <v>14.191507413070299</v>
      </c>
      <c r="AI7580">
        <v>94.474537981014706</v>
      </c>
      <c r="AJ7580">
        <v>89.754451334663003</v>
      </c>
      <c r="AK7580">
        <v>14.235024639472501</v>
      </c>
      <c r="AL7580">
        <v>68.254302165694497</v>
      </c>
      <c r="AM7580">
        <v>97.948065765218601</v>
      </c>
      <c r="AN7580">
        <v>1.00000001354174</v>
      </c>
    </row>
    <row r="7581" spans="1:40" x14ac:dyDescent="0.25">
      <c r="A7581" t="str">
        <f>"20190304164310443"</f>
        <v>20190304164310443</v>
      </c>
      <c r="B7581" t="str">
        <f>"1551688990439112"</f>
        <v>1551688990439112</v>
      </c>
      <c r="C7581" t="s">
        <v>40</v>
      </c>
      <c r="D7581">
        <v>4.0281919999999998</v>
      </c>
      <c r="E7581">
        <v>0.56487379999999998</v>
      </c>
      <c r="F7581" t="s">
        <v>42</v>
      </c>
      <c r="G7581">
        <v>-187.16659999999999</v>
      </c>
      <c r="H7581" s="1">
        <v>-1.6478239999999999E-6</v>
      </c>
      <c r="I7581">
        <v>82.274950000000004</v>
      </c>
      <c r="J7581">
        <v>-187.1746</v>
      </c>
      <c r="K7581">
        <v>1.110568</v>
      </c>
      <c r="L7581">
        <v>68.179230000000004</v>
      </c>
      <c r="M7581">
        <v>-3.75312E-3</v>
      </c>
      <c r="N7581">
        <v>-1.516525E-2</v>
      </c>
      <c r="O7581">
        <v>0.99987789999999999</v>
      </c>
      <c r="P7581">
        <v>-0.132188</v>
      </c>
      <c r="Q7581">
        <v>0.3567517</v>
      </c>
      <c r="R7581">
        <v>0.9247997</v>
      </c>
      <c r="S7581">
        <v>1.449585E-3</v>
      </c>
      <c r="T7581">
        <v>-0.2554728</v>
      </c>
      <c r="U7581">
        <v>3.342133</v>
      </c>
      <c r="V7581">
        <v>-0.1287017</v>
      </c>
      <c r="W7581">
        <v>0.37074820000000003</v>
      </c>
      <c r="X7581">
        <v>0.91977260000000005</v>
      </c>
      <c r="Y7581">
        <v>4.1835650000000002E-3</v>
      </c>
      <c r="Z7581">
        <v>-6.1086649999999999E-2</v>
      </c>
      <c r="AA7581">
        <v>0.99812369999999995</v>
      </c>
      <c r="AB7581">
        <v>41</v>
      </c>
      <c r="AC7581">
        <v>8.0000000000097701E-3</v>
      </c>
      <c r="AD7581">
        <v>-1.1105696478239999</v>
      </c>
      <c r="AE7581">
        <v>14.09572</v>
      </c>
      <c r="AF7581">
        <v>6.0533199786975599E-2</v>
      </c>
      <c r="AG7581">
        <v>-1.1105696478239999</v>
      </c>
      <c r="AH7581">
        <v>14.008632048736199</v>
      </c>
      <c r="AI7581">
        <v>94.532745115997599</v>
      </c>
      <c r="AJ7581">
        <v>89.752418703734506</v>
      </c>
      <c r="AK7581">
        <v>14.0527150788672</v>
      </c>
      <c r="AL7581">
        <v>68.238231787645603</v>
      </c>
      <c r="AM7581">
        <v>97.965549673605295</v>
      </c>
      <c r="AN7581">
        <v>0.99999999554844499</v>
      </c>
    </row>
    <row r="7582" spans="1:40" x14ac:dyDescent="0.25">
      <c r="A7582" t="str">
        <f>"20190304164310464"</f>
        <v>20190304164310464</v>
      </c>
      <c r="B7582" t="str">
        <f>"1551688990458632"</f>
        <v>1551688990458632</v>
      </c>
      <c r="C7582" t="s">
        <v>40</v>
      </c>
      <c r="D7582">
        <v>4.0314569999999996</v>
      </c>
      <c r="E7582">
        <v>0.56496759999999902</v>
      </c>
      <c r="F7582" t="s">
        <v>41</v>
      </c>
      <c r="G7582">
        <v>-187.17500000000001</v>
      </c>
      <c r="H7582">
        <v>1.0282450000000001</v>
      </c>
      <c r="I7582">
        <v>69.245109999999997</v>
      </c>
      <c r="J7582">
        <v>-187.17590000000001</v>
      </c>
      <c r="K7582">
        <v>1.1105719999999999</v>
      </c>
      <c r="L7582">
        <v>68.551569999999998</v>
      </c>
      <c r="M7582">
        <v>-3.7532799999999999E-3</v>
      </c>
      <c r="N7582">
        <v>-1.5161579999999999E-2</v>
      </c>
      <c r="O7582">
        <v>0.99987800000000004</v>
      </c>
      <c r="P7582">
        <v>-0.132196799999999</v>
      </c>
      <c r="Q7582">
        <v>0.357010099999999</v>
      </c>
      <c r="R7582">
        <v>0.92469880000000004</v>
      </c>
      <c r="S7582">
        <v>-1.5411379999999901E-3</v>
      </c>
      <c r="T7582">
        <v>-0.25822879999999998</v>
      </c>
      <c r="U7582">
        <v>3.3433229999999998</v>
      </c>
      <c r="V7582">
        <v>-0.12871089999999999</v>
      </c>
      <c r="W7582">
        <v>0.37100090000000002</v>
      </c>
      <c r="X7582">
        <v>0.91966939999999997</v>
      </c>
      <c r="Y7582">
        <v>3.2913349999999998E-3</v>
      </c>
      <c r="Z7582">
        <v>-6.1881390000000001E-2</v>
      </c>
      <c r="AA7582">
        <v>0.99807809999999997</v>
      </c>
      <c r="AB7582">
        <v>41</v>
      </c>
      <c r="AC7582">
        <v>9.0000000000145497E-4</v>
      </c>
      <c r="AD7582">
        <v>-8.2326999999999803E-2</v>
      </c>
      <c r="AE7582">
        <v>0.69353999999999805</v>
      </c>
      <c r="AF7582">
        <v>3.4546631925310902E-3</v>
      </c>
      <c r="AG7582">
        <v>-8.2326999999999803E-2</v>
      </c>
      <c r="AH7582">
        <v>0.68389499324951797</v>
      </c>
      <c r="AI7582">
        <v>96.864125966673399</v>
      </c>
      <c r="AJ7582">
        <v>89.710575543105506</v>
      </c>
      <c r="AK7582">
        <v>0.68884107849236997</v>
      </c>
      <c r="AL7582">
        <v>68.222641020722904</v>
      </c>
      <c r="AM7582">
        <v>97.966994200372696</v>
      </c>
      <c r="AN7582">
        <v>0.99999998443798899</v>
      </c>
    </row>
    <row r="7583" spans="1:40" x14ac:dyDescent="0.25">
      <c r="A7583" t="str">
        <f>"20190304164310485"</f>
        <v>20190304164310485</v>
      </c>
      <c r="B7583" t="str">
        <f>"1551688990478152"</f>
        <v>1551688990478152</v>
      </c>
      <c r="C7583" t="s">
        <v>40</v>
      </c>
      <c r="D7583">
        <v>4.0860760000000003</v>
      </c>
      <c r="E7583">
        <v>0.56473219999999902</v>
      </c>
      <c r="F7583" t="s">
        <v>41</v>
      </c>
      <c r="G7583">
        <v>-187.17609999999999</v>
      </c>
      <c r="H7583">
        <v>1.0292349999999999</v>
      </c>
      <c r="I7583">
        <v>69.607439999999997</v>
      </c>
      <c r="J7583">
        <v>-187.17750000000001</v>
      </c>
      <c r="K7583">
        <v>1.1105700000000001</v>
      </c>
      <c r="L7583">
        <v>68.955929999999995</v>
      </c>
      <c r="M7583">
        <v>-3.7534059999999999E-3</v>
      </c>
      <c r="N7583">
        <v>-1.515771E-2</v>
      </c>
      <c r="O7583">
        <v>0.99987800000000004</v>
      </c>
      <c r="P7583">
        <v>-0.13234799999999999</v>
      </c>
      <c r="Q7583">
        <v>0.35676920000000001</v>
      </c>
      <c r="R7583">
        <v>0.92477010000000004</v>
      </c>
      <c r="S7583">
        <v>-6.5612789999999895E-4</v>
      </c>
      <c r="T7583">
        <v>-0.25758419999999999</v>
      </c>
      <c r="U7583">
        <v>3.343658</v>
      </c>
      <c r="V7583">
        <v>-0.1288617</v>
      </c>
      <c r="W7583">
        <v>0.37075789999999997</v>
      </c>
      <c r="X7583">
        <v>0.91974630000000002</v>
      </c>
      <c r="Y7583">
        <v>3.5554990000000002E-3</v>
      </c>
      <c r="Z7583">
        <v>-6.1686270000000001E-2</v>
      </c>
      <c r="AA7583">
        <v>0.99808929999999996</v>
      </c>
      <c r="AB7583">
        <v>41</v>
      </c>
      <c r="AC7583">
        <v>1.40000000001805E-3</v>
      </c>
      <c r="AD7583">
        <v>-8.1334999999999893E-2</v>
      </c>
      <c r="AE7583">
        <v>0.65150999999998704</v>
      </c>
      <c r="AF7583">
        <v>3.7866375367894599E-3</v>
      </c>
      <c r="AG7583">
        <v>-8.1334999999999893E-2</v>
      </c>
      <c r="AH7583">
        <v>0.64150225061131505</v>
      </c>
      <c r="AI7583">
        <v>97.225756973086206</v>
      </c>
      <c r="AJ7583">
        <v>89.661800360873301</v>
      </c>
      <c r="AK7583">
        <v>0.64664894524634997</v>
      </c>
      <c r="AL7583">
        <v>68.237633637949102</v>
      </c>
      <c r="AM7583">
        <v>97.975550102848999</v>
      </c>
      <c r="AN7583">
        <v>1.0000000072514901</v>
      </c>
    </row>
    <row r="7584" spans="1:40" x14ac:dyDescent="0.25">
      <c r="A7584" t="str">
        <f>"20190304164310509"</f>
        <v>20190304164310509</v>
      </c>
      <c r="B7584" t="str">
        <f>"1551688990498647"</f>
        <v>1551688990498647</v>
      </c>
      <c r="C7584" t="s">
        <v>40</v>
      </c>
      <c r="D7584">
        <v>4.042109</v>
      </c>
      <c r="E7584">
        <v>0.564581</v>
      </c>
      <c r="F7584" t="s">
        <v>41</v>
      </c>
      <c r="G7584">
        <v>-187.17830000000001</v>
      </c>
      <c r="H7584">
        <v>1.031363</v>
      </c>
      <c r="I7584">
        <v>69.970129999999997</v>
      </c>
      <c r="J7584">
        <v>-187.179</v>
      </c>
      <c r="K7584">
        <v>1.110576</v>
      </c>
      <c r="L7584">
        <v>69.366389999999996</v>
      </c>
      <c r="M7584">
        <v>-3.7534869999999998E-3</v>
      </c>
      <c r="N7584">
        <v>-1.515353E-2</v>
      </c>
      <c r="O7584">
        <v>0.99987809999999999</v>
      </c>
      <c r="P7584">
        <v>-0.1325355</v>
      </c>
      <c r="Q7584">
        <v>0.35703699999999999</v>
      </c>
      <c r="R7584">
        <v>0.92463989999999996</v>
      </c>
      <c r="S7584">
        <v>-3.0364989999999998E-3</v>
      </c>
      <c r="T7584">
        <v>-0.26121329999999998</v>
      </c>
      <c r="U7584">
        <v>3.3443909999999999</v>
      </c>
      <c r="V7584">
        <v>-0.12904969999999999</v>
      </c>
      <c r="W7584">
        <v>0.37102000000000002</v>
      </c>
      <c r="X7584">
        <v>0.91961420000000005</v>
      </c>
      <c r="Y7584">
        <v>2.8457669999999999E-3</v>
      </c>
      <c r="Z7584">
        <v>-6.2750319999999998E-2</v>
      </c>
      <c r="AA7584">
        <v>0.99802519999999995</v>
      </c>
      <c r="AB7584">
        <v>40</v>
      </c>
      <c r="AC7584">
        <v>6.9999999999481501E-4</v>
      </c>
      <c r="AD7584">
        <v>-7.9212999999999895E-2</v>
      </c>
      <c r="AE7584">
        <v>0.60374000000001604</v>
      </c>
      <c r="AF7584">
        <v>2.9161851736948701E-3</v>
      </c>
      <c r="AG7584">
        <v>-7.9212999999999895E-2</v>
      </c>
      <c r="AH7584">
        <v>0.59351608218112195</v>
      </c>
      <c r="AI7584">
        <v>97.601905550157198</v>
      </c>
      <c r="AJ7584">
        <v>89.718484868055896</v>
      </c>
      <c r="AK7584">
        <v>0.59878589104336399</v>
      </c>
      <c r="AL7584">
        <v>68.221462259211506</v>
      </c>
      <c r="AM7584">
        <v>97.988168317801495</v>
      </c>
      <c r="AN7584">
        <v>0.99999997115586403</v>
      </c>
    </row>
    <row r="7585" spans="1:40" x14ac:dyDescent="0.25">
      <c r="A7585" t="str">
        <f>"20190304164310541"</f>
        <v>20190304164310541</v>
      </c>
      <c r="B7585" t="str">
        <f>"1551688990528903"</f>
        <v>1551688990528903</v>
      </c>
      <c r="C7585" t="s">
        <v>40</v>
      </c>
      <c r="D7585">
        <v>4.0267520000000001</v>
      </c>
      <c r="E7585">
        <v>0.564407199999999</v>
      </c>
      <c r="F7585" t="s">
        <v>41</v>
      </c>
      <c r="G7585">
        <v>-187.18039999999999</v>
      </c>
      <c r="H7585">
        <v>1.0346409999999999</v>
      </c>
      <c r="I7585">
        <v>70.33417</v>
      </c>
      <c r="J7585">
        <v>-187.18119999999999</v>
      </c>
      <c r="K7585">
        <v>1.110573</v>
      </c>
      <c r="L7585">
        <v>69.943479999999994</v>
      </c>
      <c r="M7585">
        <v>-3.7536430000000001E-3</v>
      </c>
      <c r="N7585">
        <v>-1.5147249999999999E-2</v>
      </c>
      <c r="O7585">
        <v>0.99987820000000005</v>
      </c>
      <c r="P7585">
        <v>-0.13251299999999999</v>
      </c>
      <c r="Q7585">
        <v>0.35656310000000002</v>
      </c>
      <c r="R7585">
        <v>0.92482600000000004</v>
      </c>
      <c r="S7585">
        <v>-5.0964360000000002E-3</v>
      </c>
      <c r="T7585">
        <v>-0.262465</v>
      </c>
      <c r="U7585">
        <v>3.3451230000000001</v>
      </c>
      <c r="V7585">
        <v>-0.12902620000000001</v>
      </c>
      <c r="W7585">
        <v>0.37054310000000001</v>
      </c>
      <c r="X7585">
        <v>0.91980980000000001</v>
      </c>
      <c r="Y7585">
        <v>2.2319990000000001E-3</v>
      </c>
      <c r="Z7585">
        <v>-6.3110860000000005E-2</v>
      </c>
      <c r="AA7585">
        <v>0.998004</v>
      </c>
      <c r="AB7585">
        <v>40</v>
      </c>
      <c r="AC7585">
        <v>7.9999999999813499E-4</v>
      </c>
      <c r="AD7585">
        <v>-7.5932000000000097E-2</v>
      </c>
      <c r="AE7585">
        <v>0.39068999999999199</v>
      </c>
      <c r="AF7585">
        <v>2.1841704442271599E-3</v>
      </c>
      <c r="AG7585">
        <v>-7.5932000000000097E-2</v>
      </c>
      <c r="AH7585">
        <v>0.376464010122183</v>
      </c>
      <c r="AI7585">
        <v>101.403255795961</v>
      </c>
      <c r="AJ7585">
        <v>89.667584840241403</v>
      </c>
      <c r="AK7585">
        <v>0.38405154620415799</v>
      </c>
      <c r="AL7585">
        <v>68.250884639039498</v>
      </c>
      <c r="AM7585">
        <v>97.985055950130402</v>
      </c>
      <c r="AN7585">
        <v>1.00000000871004</v>
      </c>
    </row>
    <row r="7586" spans="1:40" x14ac:dyDescent="0.25">
      <c r="A7586" t="str">
        <f>"20190304164310564"</f>
        <v>20190304164310564</v>
      </c>
      <c r="B7586" t="str">
        <f>"1551688990558184"</f>
        <v>1551688990558184</v>
      </c>
      <c r="C7586" t="s">
        <v>40</v>
      </c>
      <c r="D7586">
        <v>4.0688230000000001</v>
      </c>
      <c r="E7586">
        <v>0.54462219999999995</v>
      </c>
      <c r="F7586" t="s">
        <v>42</v>
      </c>
      <c r="G7586">
        <v>-187.20750000000001</v>
      </c>
      <c r="H7586" s="1">
        <v>-2.298411E-6</v>
      </c>
      <c r="I7586">
        <v>83.835769999999997</v>
      </c>
      <c r="J7586">
        <v>-187.18270000000001</v>
      </c>
      <c r="K7586">
        <v>1.110574</v>
      </c>
      <c r="L7586">
        <v>70.341130000000007</v>
      </c>
      <c r="M7586">
        <v>-3.7537790000000001E-3</v>
      </c>
      <c r="N7586">
        <v>-1.514272E-2</v>
      </c>
      <c r="O7586">
        <v>0.9998783</v>
      </c>
      <c r="P7586">
        <v>-0.1325211</v>
      </c>
      <c r="Q7586">
        <v>0.3561724</v>
      </c>
      <c r="R7586">
        <v>0.92497529999999994</v>
      </c>
      <c r="S7586">
        <v>-6.3323969999999896E-3</v>
      </c>
      <c r="T7586">
        <v>-0.26749099999999998</v>
      </c>
      <c r="U7586">
        <v>3.346069</v>
      </c>
      <c r="V7586">
        <v>-0.12903339999999999</v>
      </c>
      <c r="W7586">
        <v>0.3701507</v>
      </c>
      <c r="X7586">
        <v>0.91996679999999997</v>
      </c>
      <c r="Y7586">
        <v>1.864344E-3</v>
      </c>
      <c r="Z7586">
        <v>-6.4583000000000002E-2</v>
      </c>
      <c r="AA7586">
        <v>0.99791059999999998</v>
      </c>
      <c r="AB7586">
        <v>40</v>
      </c>
      <c r="AC7586">
        <v>-2.4799999999999E-2</v>
      </c>
      <c r="AD7586">
        <v>-1.1105762984109999</v>
      </c>
      <c r="AE7586">
        <v>13.494639999999899</v>
      </c>
      <c r="AF7586">
        <v>2.56878987714971E-2</v>
      </c>
      <c r="AG7586">
        <v>-1.1105762984109999</v>
      </c>
      <c r="AH7586">
        <v>13.4038554388012</v>
      </c>
      <c r="AI7586">
        <v>94.736413874712298</v>
      </c>
      <c r="AJ7586">
        <v>89.890195295748796</v>
      </c>
      <c r="AK7586">
        <v>13.449809671776601</v>
      </c>
      <c r="AL7586">
        <v>68.275089182905404</v>
      </c>
      <c r="AM7586">
        <v>97.984150573172101</v>
      </c>
      <c r="AN7586">
        <v>1.0000000360641399</v>
      </c>
    </row>
    <row r="7587" spans="1:40" x14ac:dyDescent="0.25">
      <c r="A7587" t="str">
        <f>"20190304164310586"</f>
        <v>20190304164310586</v>
      </c>
      <c r="B7587" t="str">
        <f>"1551688990578680"</f>
        <v>1551688990578680</v>
      </c>
      <c r="C7587" t="s">
        <v>40</v>
      </c>
      <c r="D7587">
        <v>4.7067709999999998</v>
      </c>
      <c r="E7587">
        <v>0.54082469999999905</v>
      </c>
      <c r="F7587" t="s">
        <v>42</v>
      </c>
      <c r="G7587">
        <v>-187.9392</v>
      </c>
      <c r="H7587" s="1">
        <v>-3.1184219999999998E-6</v>
      </c>
      <c r="I7587">
        <v>86.049769999999995</v>
      </c>
      <c r="J7587">
        <v>-187.18430000000001</v>
      </c>
      <c r="K7587">
        <v>1.110582</v>
      </c>
      <c r="L7587">
        <v>70.761319999999998</v>
      </c>
      <c r="M7587">
        <v>-3.7539380000000001E-3</v>
      </c>
      <c r="N7587">
        <v>-1.5137980000000001E-2</v>
      </c>
      <c r="O7587">
        <v>0.9998783</v>
      </c>
      <c r="P7587">
        <v>-0.13227259999999999</v>
      </c>
      <c r="Q7587">
        <v>0.35567510000000002</v>
      </c>
      <c r="R7587">
        <v>0.92520230000000003</v>
      </c>
      <c r="S7587">
        <v>-0.15942379999999901</v>
      </c>
      <c r="T7587">
        <v>-0.23405500000000001</v>
      </c>
      <c r="U7587">
        <v>3.3106080000000002</v>
      </c>
      <c r="V7587">
        <v>-0.12878410000000001</v>
      </c>
      <c r="W7587">
        <v>0.36965229999999999</v>
      </c>
      <c r="X7587">
        <v>0.92020210000000002</v>
      </c>
      <c r="Y7587">
        <v>-4.4246920000000002E-2</v>
      </c>
      <c r="Z7587">
        <v>-5.5339560000000003E-2</v>
      </c>
      <c r="AA7587">
        <v>0.99748669999999995</v>
      </c>
      <c r="AB7587">
        <v>40</v>
      </c>
      <c r="AC7587">
        <v>-0.75489999999999202</v>
      </c>
      <c r="AD7587">
        <v>-1.1105851184219999</v>
      </c>
      <c r="AE7587">
        <v>15.2884499999999</v>
      </c>
      <c r="AF7587">
        <v>-0.69384378363031896</v>
      </c>
      <c r="AG7587">
        <v>-1.1105851184219999</v>
      </c>
      <c r="AH7587">
        <v>15.2111045549228</v>
      </c>
      <c r="AI7587">
        <v>94.171517473841902</v>
      </c>
      <c r="AJ7587">
        <v>92.611696138064701</v>
      </c>
      <c r="AK7587">
        <v>15.267367824289099</v>
      </c>
      <c r="AL7587">
        <v>68.305825495614499</v>
      </c>
      <c r="AM7587">
        <v>97.966911562883098</v>
      </c>
      <c r="AN7587">
        <v>1.00000003607625</v>
      </c>
    </row>
    <row r="7588" spans="1:40" x14ac:dyDescent="0.25">
      <c r="A7588" t="str">
        <f>"20190304164310608"</f>
        <v>20190304164310608</v>
      </c>
      <c r="B7588" t="str">
        <f>"1551688990598199"</f>
        <v>1551688990598199</v>
      </c>
      <c r="C7588" t="s">
        <v>40</v>
      </c>
      <c r="D7588">
        <v>4.0725410000000002</v>
      </c>
      <c r="E7588">
        <v>0.53952290000000003</v>
      </c>
      <c r="F7588" t="s">
        <v>42</v>
      </c>
      <c r="G7588">
        <v>-188.12350000000001</v>
      </c>
      <c r="H7588" s="1">
        <v>-3.6409959999999998E-6</v>
      </c>
      <c r="I7588">
        <v>87.344119999999904</v>
      </c>
      <c r="J7588">
        <v>-187.1858</v>
      </c>
      <c r="K7588">
        <v>1.110584</v>
      </c>
      <c r="L7588">
        <v>71.159970000000001</v>
      </c>
      <c r="M7588">
        <v>-3.7540970000000001E-3</v>
      </c>
      <c r="N7588">
        <v>-1.513363E-2</v>
      </c>
      <c r="O7588">
        <v>0.99987839999999995</v>
      </c>
      <c r="P7588">
        <v>-0.13226550000000001</v>
      </c>
      <c r="Q7588">
        <v>0.35594700000000001</v>
      </c>
      <c r="R7588">
        <v>0.92509870000000005</v>
      </c>
      <c r="S7588">
        <v>-0.1869507</v>
      </c>
      <c r="T7588">
        <v>-0.2210625</v>
      </c>
      <c r="U7588">
        <v>3.3008120000000001</v>
      </c>
      <c r="V7588">
        <v>-0.12877730000000001</v>
      </c>
      <c r="W7588">
        <v>0.36991859999999999</v>
      </c>
      <c r="X7588">
        <v>0.92009600000000002</v>
      </c>
      <c r="Y7588">
        <v>-5.2690170000000001E-2</v>
      </c>
      <c r="Z7588">
        <v>-5.1616259999999997E-2</v>
      </c>
      <c r="AA7588">
        <v>0.9972761</v>
      </c>
      <c r="AB7588">
        <v>40</v>
      </c>
      <c r="AC7588">
        <v>-0.93770000000000597</v>
      </c>
      <c r="AD7588">
        <v>-1.110587640996</v>
      </c>
      <c r="AE7588">
        <v>16.184149999999899</v>
      </c>
      <c r="AF7588">
        <v>-0.87283316790628995</v>
      </c>
      <c r="AG7588">
        <v>-1.110587640996</v>
      </c>
      <c r="AH7588">
        <v>16.111939759791898</v>
      </c>
      <c r="AI7588">
        <v>93.937376138386298</v>
      </c>
      <c r="AJ7588">
        <v>93.100857003163895</v>
      </c>
      <c r="AK7588">
        <v>16.173739378093501</v>
      </c>
      <c r="AL7588">
        <v>68.289402923099999</v>
      </c>
      <c r="AM7588">
        <v>97.967403151295599</v>
      </c>
      <c r="AN7588">
        <v>1.0000000064186201</v>
      </c>
    </row>
    <row r="7589" spans="1:40" x14ac:dyDescent="0.25">
      <c r="A7589" t="str">
        <f>"20190304164310631"</f>
        <v>20190304164310631</v>
      </c>
      <c r="B7589" t="str">
        <f>"1551688990628455"</f>
        <v>1551688990628455</v>
      </c>
      <c r="C7589" t="s">
        <v>40</v>
      </c>
      <c r="D7589">
        <v>4.0736889999999999</v>
      </c>
      <c r="E7589">
        <v>0.53868549999999904</v>
      </c>
      <c r="F7589" t="s">
        <v>42</v>
      </c>
      <c r="G7589">
        <v>-188.21379999999999</v>
      </c>
      <c r="H7589" s="1">
        <v>-4.0779119999999999E-6</v>
      </c>
      <c r="I7589">
        <v>88.399929999999998</v>
      </c>
      <c r="J7589">
        <v>-187.18729999999999</v>
      </c>
      <c r="K7589">
        <v>1.110587</v>
      </c>
      <c r="L7589">
        <v>71.569490000000002</v>
      </c>
      <c r="M7589">
        <v>-3.7542439999999999E-3</v>
      </c>
      <c r="N7589">
        <v>-1.512926E-2</v>
      </c>
      <c r="O7589">
        <v>0.9998785</v>
      </c>
      <c r="P7589">
        <v>-0.132264299999999</v>
      </c>
      <c r="Q7589">
        <v>0.35646339999999999</v>
      </c>
      <c r="R7589">
        <v>0.92490000000000006</v>
      </c>
      <c r="S7589">
        <v>-0.196579</v>
      </c>
      <c r="T7589">
        <v>-0.2123592</v>
      </c>
      <c r="U7589">
        <v>3.2965089999999901</v>
      </c>
      <c r="V7589">
        <v>-0.1287768</v>
      </c>
      <c r="W7589">
        <v>0.37042789999999998</v>
      </c>
      <c r="X7589">
        <v>0.91989109999999996</v>
      </c>
      <c r="Y7589">
        <v>-5.5673130000000001E-2</v>
      </c>
      <c r="Z7589">
        <v>-4.9075220000000003E-2</v>
      </c>
      <c r="AA7589">
        <v>0.99724230000000003</v>
      </c>
      <c r="AB7589">
        <v>40</v>
      </c>
      <c r="AC7589">
        <v>-1.02649999999999</v>
      </c>
      <c r="AD7589">
        <v>-1.1105910779120001</v>
      </c>
      <c r="AE7589">
        <v>16.8304399999999</v>
      </c>
      <c r="AF7589">
        <v>-0.95913906111448499</v>
      </c>
      <c r="AG7589">
        <v>-1.1105910779120001</v>
      </c>
      <c r="AH7589">
        <v>16.7614617462315</v>
      </c>
      <c r="AI7589">
        <v>93.784624267950406</v>
      </c>
      <c r="AJ7589">
        <v>93.275057771083993</v>
      </c>
      <c r="AK7589">
        <v>16.8255745860661</v>
      </c>
      <c r="AL7589">
        <v>68.257989791436401</v>
      </c>
      <c r="AM7589">
        <v>97.969124499253397</v>
      </c>
      <c r="AN7589">
        <v>0.99999996458792895</v>
      </c>
    </row>
    <row r="7590" spans="1:40" x14ac:dyDescent="0.25">
      <c r="A7590" t="str">
        <f>"20190304164310652"</f>
        <v>20190304164310652</v>
      </c>
      <c r="B7590" t="str">
        <f>"1551688990648952"</f>
        <v>1551688990648952</v>
      </c>
      <c r="C7590" t="s">
        <v>40</v>
      </c>
      <c r="D7590">
        <v>4.0656169999999996</v>
      </c>
      <c r="E7590">
        <v>0.53856459999999995</v>
      </c>
      <c r="F7590" t="s">
        <v>42</v>
      </c>
      <c r="G7590">
        <v>-188.25739999999999</v>
      </c>
      <c r="H7590" s="1">
        <v>-4.3284699999999997E-6</v>
      </c>
      <c r="I7590">
        <v>89.001980000000003</v>
      </c>
      <c r="J7590">
        <v>-187.18879999999999</v>
      </c>
      <c r="K7590">
        <v>1.110587</v>
      </c>
      <c r="L7590">
        <v>71.961609999999993</v>
      </c>
      <c r="M7590">
        <v>-3.754369E-3</v>
      </c>
      <c r="N7590">
        <v>-1.5125009999999999E-2</v>
      </c>
      <c r="O7590">
        <v>0.99987859999999995</v>
      </c>
      <c r="P7590">
        <v>-0.13199749999999999</v>
      </c>
      <c r="Q7590">
        <v>0.35664770000000001</v>
      </c>
      <c r="R7590">
        <v>0.92486699999999999</v>
      </c>
      <c r="S7590">
        <v>-0.20228579999999999</v>
      </c>
      <c r="T7590">
        <v>-0.209956</v>
      </c>
      <c r="U7590">
        <v>3.2955930000000002</v>
      </c>
      <c r="V7590">
        <v>-0.12850989999999901</v>
      </c>
      <c r="W7590">
        <v>0.37060779999999999</v>
      </c>
      <c r="X7590">
        <v>0.91985600000000001</v>
      </c>
      <c r="Y7590">
        <v>-5.7411339999999998E-2</v>
      </c>
      <c r="Z7590">
        <v>-4.836667E-2</v>
      </c>
      <c r="AA7590">
        <v>0.99717829999999996</v>
      </c>
      <c r="AB7590">
        <v>40</v>
      </c>
      <c r="AC7590">
        <v>-1.0686</v>
      </c>
      <c r="AD7590">
        <v>-1.11059132847</v>
      </c>
      <c r="AE7590">
        <v>17.040369999999999</v>
      </c>
      <c r="AF7590">
        <v>-1.00037669104002</v>
      </c>
      <c r="AG7590">
        <v>-1.11059132847</v>
      </c>
      <c r="AH7590">
        <v>16.9724513238036</v>
      </c>
      <c r="AI7590">
        <v>93.737340811702296</v>
      </c>
      <c r="AJ7590">
        <v>93.373179541664001</v>
      </c>
      <c r="AK7590">
        <v>17.038141640499699</v>
      </c>
      <c r="AL7590">
        <v>68.246893199563999</v>
      </c>
      <c r="AM7590">
        <v>97.9531189880163</v>
      </c>
      <c r="AN7590">
        <v>0.99999999827742503</v>
      </c>
    </row>
    <row r="7591" spans="1:40" x14ac:dyDescent="0.25">
      <c r="A7591" t="str">
        <f>"20190304164310675"</f>
        <v>20190304164310675</v>
      </c>
      <c r="B7591" t="str">
        <f>"1551688990668472"</f>
        <v>1551688990668472</v>
      </c>
      <c r="C7591" t="s">
        <v>40</v>
      </c>
      <c r="D7591">
        <v>4.0701999999999998</v>
      </c>
      <c r="E7591">
        <v>0.53835699999999997</v>
      </c>
      <c r="F7591" t="s">
        <v>42</v>
      </c>
      <c r="G7591">
        <v>-188.25389999999999</v>
      </c>
      <c r="H7591" s="1">
        <v>-4.4596599999999996E-6</v>
      </c>
      <c r="I7591">
        <v>89.306349999999995</v>
      </c>
      <c r="J7591">
        <v>-187.19030000000001</v>
      </c>
      <c r="K7591">
        <v>1.110589</v>
      </c>
      <c r="L7591">
        <v>72.366240000000005</v>
      </c>
      <c r="M7591">
        <v>-3.7545040000000001E-3</v>
      </c>
      <c r="N7591">
        <v>-1.512061E-2</v>
      </c>
      <c r="O7591">
        <v>0.99987859999999995</v>
      </c>
      <c r="P7591">
        <v>-0.13176640000000001</v>
      </c>
      <c r="Q7591">
        <v>0.35660330000000001</v>
      </c>
      <c r="R7591">
        <v>0.92491719999999999</v>
      </c>
      <c r="S7591">
        <v>-0.2024078</v>
      </c>
      <c r="T7591">
        <v>-0.2110573</v>
      </c>
      <c r="U7591">
        <v>3.2962039999999999</v>
      </c>
      <c r="V7591">
        <v>-0.12827830000000001</v>
      </c>
      <c r="W7591">
        <v>0.3705599</v>
      </c>
      <c r="X7591">
        <v>0.91990760000000005</v>
      </c>
      <c r="Y7591">
        <v>-5.7435590000000002E-2</v>
      </c>
      <c r="Z7591">
        <v>-4.8691020000000002E-2</v>
      </c>
      <c r="AA7591">
        <v>0.99716110000000002</v>
      </c>
      <c r="AB7591">
        <v>40</v>
      </c>
      <c r="AC7591">
        <v>-1.0635999999999699</v>
      </c>
      <c r="AD7591">
        <v>-1.11059345966</v>
      </c>
      <c r="AE7591">
        <v>16.940109999999901</v>
      </c>
      <c r="AF7591">
        <v>-0.99572060294641096</v>
      </c>
      <c r="AG7591">
        <v>-1.11059345966</v>
      </c>
      <c r="AH7591">
        <v>16.871752377765301</v>
      </c>
      <c r="AI7591">
        <v>93.759573810283001</v>
      </c>
      <c r="AJ7591">
        <v>93.377508691402198</v>
      </c>
      <c r="AK7591">
        <v>16.937559022728198</v>
      </c>
      <c r="AL7591">
        <v>68.249847572889195</v>
      </c>
      <c r="AM7591">
        <v>97.938529184808203</v>
      </c>
      <c r="AN7591">
        <v>0.999999977138329</v>
      </c>
    </row>
    <row r="7592" spans="1:40" x14ac:dyDescent="0.25">
      <c r="A7592" t="str">
        <f>"20190304164310698"</f>
        <v>20190304164310698</v>
      </c>
      <c r="B7592" t="str">
        <f>"1551688990688968"</f>
        <v>1551688990688968</v>
      </c>
      <c r="C7592" t="s">
        <v>40</v>
      </c>
      <c r="D7592">
        <v>4.0991140000000001</v>
      </c>
      <c r="E7592">
        <v>0.5381975</v>
      </c>
      <c r="F7592" t="s">
        <v>42</v>
      </c>
      <c r="G7592">
        <v>-188.2586</v>
      </c>
      <c r="H7592" s="1">
        <v>-4.8780559999999905E-7</v>
      </c>
      <c r="I7592">
        <v>89.719939999999994</v>
      </c>
      <c r="J7592">
        <v>-187.1918</v>
      </c>
      <c r="K7592">
        <v>1.110592</v>
      </c>
      <c r="L7592">
        <v>72.773529999999994</v>
      </c>
      <c r="M7592">
        <v>-3.7546569999999998E-3</v>
      </c>
      <c r="N7592">
        <v>-1.511611E-2</v>
      </c>
      <c r="O7592">
        <v>0.99987870000000001</v>
      </c>
      <c r="P7592">
        <v>-0.1315848</v>
      </c>
      <c r="Q7592">
        <v>0.35674909999999999</v>
      </c>
      <c r="R7592">
        <v>0.92488680000000001</v>
      </c>
      <c r="S7592">
        <v>-0.2028961</v>
      </c>
      <c r="T7592">
        <v>-0.21093249999999999</v>
      </c>
      <c r="U7592">
        <v>3.2959589999999999</v>
      </c>
      <c r="V7592">
        <v>-0.12809680000000001</v>
      </c>
      <c r="W7592">
        <v>0.37070170000000002</v>
      </c>
      <c r="X7592">
        <v>0.91987580000000002</v>
      </c>
      <c r="Y7592">
        <v>-5.7587149999999997E-2</v>
      </c>
      <c r="Z7592">
        <v>-4.866206E-2</v>
      </c>
      <c r="AA7592">
        <v>0.99715379999999998</v>
      </c>
      <c r="AB7592">
        <v>40</v>
      </c>
      <c r="AC7592">
        <v>-1.0668</v>
      </c>
      <c r="AD7592">
        <v>-1.1105924878055999</v>
      </c>
      <c r="AE7592">
        <v>16.94641</v>
      </c>
      <c r="AF7592">
        <v>-0.998884068546806</v>
      </c>
      <c r="AG7592">
        <v>-1.1105924878055999</v>
      </c>
      <c r="AH7592">
        <v>16.8780926968751</v>
      </c>
      <c r="AI7592">
        <v>93.758125808474304</v>
      </c>
      <c r="AJ7592">
        <v>93.386944452758996</v>
      </c>
      <c r="AK7592">
        <v>16.9440608515396</v>
      </c>
      <c r="AL7592">
        <v>68.241100876601195</v>
      </c>
      <c r="AM7592">
        <v>97.927710485719501</v>
      </c>
      <c r="AN7592">
        <v>1.0000000139893801</v>
      </c>
    </row>
    <row r="7593" spans="1:40" x14ac:dyDescent="0.25">
      <c r="A7593" t="str">
        <f>"20190304164310719"</f>
        <v>20190304164310719</v>
      </c>
      <c r="B7593" t="str">
        <f>"1551688990708488"</f>
        <v>1551688990708488</v>
      </c>
      <c r="C7593" t="s">
        <v>40</v>
      </c>
      <c r="D7593">
        <v>4.0593909999999997</v>
      </c>
      <c r="E7593">
        <v>0.53814980000000001</v>
      </c>
      <c r="F7593" t="s">
        <v>42</v>
      </c>
      <c r="G7593">
        <v>-188.25829999999999</v>
      </c>
      <c r="H7593" s="1">
        <v>-6.0148180000000003E-7</v>
      </c>
      <c r="I7593">
        <v>90.053790000000006</v>
      </c>
      <c r="J7593">
        <v>-187.19319999999999</v>
      </c>
      <c r="K7593">
        <v>1.1105969999999901</v>
      </c>
      <c r="L7593">
        <v>73.146640000000005</v>
      </c>
      <c r="M7593">
        <v>-3.7547969999999998E-3</v>
      </c>
      <c r="N7593">
        <v>-1.5111930000000001E-2</v>
      </c>
      <c r="O7593">
        <v>0.99987879999999996</v>
      </c>
      <c r="P7593">
        <v>-0.13164089999999901</v>
      </c>
      <c r="Q7593">
        <v>0.3565895</v>
      </c>
      <c r="R7593">
        <v>0.92494030000000005</v>
      </c>
      <c r="S7593">
        <v>-0.2034454</v>
      </c>
      <c r="T7593">
        <v>-0.21185889999999999</v>
      </c>
      <c r="U7593">
        <v>3.2964169999999999</v>
      </c>
      <c r="V7593">
        <v>-0.12815270000000001</v>
      </c>
      <c r="W7593">
        <v>0.3705387</v>
      </c>
      <c r="X7593">
        <v>0.91993369999999997</v>
      </c>
      <c r="Y7593">
        <v>-5.7743030000000001E-2</v>
      </c>
      <c r="Z7593">
        <v>-4.8935850000000003E-2</v>
      </c>
      <c r="AA7593">
        <v>0.9971314</v>
      </c>
      <c r="AB7593">
        <v>40</v>
      </c>
      <c r="AC7593">
        <v>-1.0650999999999999</v>
      </c>
      <c r="AD7593">
        <v>-1.11059760148179</v>
      </c>
      <c r="AE7593">
        <v>16.907150000000001</v>
      </c>
      <c r="AF7593">
        <v>-0.99731599963734996</v>
      </c>
      <c r="AG7593">
        <v>-1.11059760148179</v>
      </c>
      <c r="AH7593">
        <v>16.838660235219201</v>
      </c>
      <c r="AI7593">
        <v>93.766908427665697</v>
      </c>
      <c r="AJ7593">
        <v>93.389540525109794</v>
      </c>
      <c r="AK7593">
        <v>16.904690022378499</v>
      </c>
      <c r="AL7593">
        <v>68.251156492105395</v>
      </c>
      <c r="AM7593">
        <v>97.930633206557403</v>
      </c>
      <c r="AN7593">
        <v>1.00000002755533</v>
      </c>
    </row>
    <row r="7594" spans="1:40" x14ac:dyDescent="0.25">
      <c r="A7594" t="str">
        <f>"20190304164310741"</f>
        <v>20190304164310741</v>
      </c>
      <c r="B7594" t="str">
        <f>"1551688990728984"</f>
        <v>1551688990728984</v>
      </c>
      <c r="C7594" t="s">
        <v>40</v>
      </c>
      <c r="D7594">
        <v>4.0782259999999999</v>
      </c>
      <c r="E7594">
        <v>0.53802260000000002</v>
      </c>
      <c r="F7594" t="s">
        <v>42</v>
      </c>
      <c r="G7594">
        <v>-188.2593</v>
      </c>
      <c r="H7594" s="1">
        <v>-6.8989009999999898E-7</v>
      </c>
      <c r="I7594">
        <v>90.314300000000003</v>
      </c>
      <c r="J7594">
        <v>-187.19470000000001</v>
      </c>
      <c r="K7594">
        <v>1.1106009999999999</v>
      </c>
      <c r="L7594">
        <v>73.536010000000005</v>
      </c>
      <c r="M7594">
        <v>-3.7549279999999998E-3</v>
      </c>
      <c r="N7594">
        <v>-1.5107580000000001E-2</v>
      </c>
      <c r="O7594">
        <v>0.99987879999999996</v>
      </c>
      <c r="P7594">
        <v>-0.13182099999999999</v>
      </c>
      <c r="Q7594">
        <v>0.35706900000000003</v>
      </c>
      <c r="R7594">
        <v>0.92472960000000004</v>
      </c>
      <c r="S7594">
        <v>-0.20469670000000001</v>
      </c>
      <c r="T7594">
        <v>-0.21325720000000001</v>
      </c>
      <c r="U7594">
        <v>3.2965390000000001</v>
      </c>
      <c r="V7594">
        <v>-0.1283337</v>
      </c>
      <c r="W7594">
        <v>0.37101129999999999</v>
      </c>
      <c r="X7594">
        <v>0.91971800000000004</v>
      </c>
      <c r="Y7594">
        <v>-5.8115960000000001E-2</v>
      </c>
      <c r="Z7594">
        <v>-4.935755E-2</v>
      </c>
      <c r="AA7594">
        <v>0.997089</v>
      </c>
      <c r="AB7594">
        <v>40</v>
      </c>
      <c r="AC7594">
        <v>-1.06459999999998</v>
      </c>
      <c r="AD7594">
        <v>-1.1106016898901001</v>
      </c>
      <c r="AE7594">
        <v>16.778289999999998</v>
      </c>
      <c r="AF7594">
        <v>-0.99723219318948697</v>
      </c>
      <c r="AG7594">
        <v>-1.1106016898901001</v>
      </c>
      <c r="AH7594">
        <v>16.709251886127401</v>
      </c>
      <c r="AI7594">
        <v>93.795909281865704</v>
      </c>
      <c r="AJ7594">
        <v>93.415443274465702</v>
      </c>
      <c r="AK7594">
        <v>16.775786322994598</v>
      </c>
      <c r="AL7594">
        <v>68.222001110586106</v>
      </c>
      <c r="AM7594">
        <v>97.943530217846899</v>
      </c>
      <c r="AN7594">
        <v>1.0000000614036799</v>
      </c>
    </row>
    <row r="7595" spans="1:40" x14ac:dyDescent="0.25">
      <c r="A7595" t="str">
        <f>"20190304164310765"</f>
        <v>20190304164310765</v>
      </c>
      <c r="B7595" t="str">
        <f>"1551688990758264"</f>
        <v>1551688990758264</v>
      </c>
      <c r="C7595" t="s">
        <v>40</v>
      </c>
      <c r="D7595">
        <v>4.1075220000000003</v>
      </c>
      <c r="E7595">
        <v>0.53788100000000005</v>
      </c>
      <c r="F7595" t="s">
        <v>42</v>
      </c>
      <c r="G7595">
        <v>-188.27160000000001</v>
      </c>
      <c r="H7595" s="1">
        <v>-8.3065809999999999E-7</v>
      </c>
      <c r="I7595">
        <v>90.737610000000004</v>
      </c>
      <c r="J7595">
        <v>-187.19630000000001</v>
      </c>
      <c r="K7595">
        <v>1.110595</v>
      </c>
      <c r="L7595">
        <v>73.95975</v>
      </c>
      <c r="M7595">
        <v>-3.7550439999999999E-3</v>
      </c>
      <c r="N7595">
        <v>-1.5102880000000001E-2</v>
      </c>
      <c r="O7595">
        <v>0.99987890000000001</v>
      </c>
      <c r="P7595">
        <v>-0.132631</v>
      </c>
      <c r="Q7595">
        <v>0.35742220000000002</v>
      </c>
      <c r="R7595">
        <v>0.92447729999999995</v>
      </c>
      <c r="S7595">
        <v>-0.20640559999999999</v>
      </c>
      <c r="T7595">
        <v>-0.212863</v>
      </c>
      <c r="U7595">
        <v>3.2969360000000001</v>
      </c>
      <c r="V7595">
        <v>-0.12914419999999999</v>
      </c>
      <c r="W7595">
        <v>0.37135570000000001</v>
      </c>
      <c r="X7595">
        <v>0.91946539999999999</v>
      </c>
      <c r="Y7595">
        <v>-5.8623420000000002E-2</v>
      </c>
      <c r="Z7595">
        <v>-4.9233850000000003E-2</v>
      </c>
      <c r="AA7595">
        <v>0.99706539999999999</v>
      </c>
      <c r="AB7595">
        <v>40</v>
      </c>
      <c r="AC7595">
        <v>-1.0752999999999899</v>
      </c>
      <c r="AD7595">
        <v>-1.1105958306581001</v>
      </c>
      <c r="AE7595">
        <v>16.77786</v>
      </c>
      <c r="AF7595">
        <v>-1.00788548008514</v>
      </c>
      <c r="AG7595">
        <v>-1.1105958306581001</v>
      </c>
      <c r="AH7595">
        <v>16.7088668227012</v>
      </c>
      <c r="AI7595">
        <v>93.795831954770705</v>
      </c>
      <c r="AJ7595">
        <v>93.451921557491303</v>
      </c>
      <c r="AK7595">
        <v>16.776039065846501</v>
      </c>
      <c r="AL7595">
        <v>68.200747747143794</v>
      </c>
      <c r="AM7595">
        <v>97.995219230135604</v>
      </c>
      <c r="AN7595">
        <v>0.99999995105664297</v>
      </c>
    </row>
    <row r="7596" spans="1:40" x14ac:dyDescent="0.25">
      <c r="A7596" t="str">
        <f>"20190304164310787"</f>
        <v>20190304164310787</v>
      </c>
      <c r="B7596" t="str">
        <f>"1551688990778759"</f>
        <v>1551688990778759</v>
      </c>
      <c r="C7596" t="s">
        <v>40</v>
      </c>
      <c r="D7596">
        <v>4.0890149999999998</v>
      </c>
      <c r="E7596">
        <v>0.53777779999999997</v>
      </c>
      <c r="F7596" t="s">
        <v>42</v>
      </c>
      <c r="G7596">
        <v>-188.28870000000001</v>
      </c>
      <c r="H7596" s="1">
        <v>-9.8178850000000007E-7</v>
      </c>
      <c r="I7596">
        <v>91.195099999999996</v>
      </c>
      <c r="J7596">
        <v>-187.1978</v>
      </c>
      <c r="K7596">
        <v>1.1105879999999999</v>
      </c>
      <c r="L7596">
        <v>74.350890000000007</v>
      </c>
      <c r="M7596">
        <v>-3.7551609999999999E-3</v>
      </c>
      <c r="N7596">
        <v>-1.5098530000000001E-2</v>
      </c>
      <c r="O7596">
        <v>0.99987890000000001</v>
      </c>
      <c r="P7596">
        <v>-0.1341359</v>
      </c>
      <c r="Q7596">
        <v>0.3562092</v>
      </c>
      <c r="R7596">
        <v>0.92472840000000001</v>
      </c>
      <c r="S7596">
        <v>-0.20898439999999999</v>
      </c>
      <c r="T7596">
        <v>-0.21246470000000001</v>
      </c>
      <c r="U7596">
        <v>3.2972410000000001</v>
      </c>
      <c r="V7596">
        <v>-0.13064799999999999</v>
      </c>
      <c r="W7596">
        <v>0.37014269999999999</v>
      </c>
      <c r="X7596">
        <v>0.91974210000000001</v>
      </c>
      <c r="Y7596">
        <v>-5.9394240000000001E-2</v>
      </c>
      <c r="Z7596">
        <v>-4.910933E-2</v>
      </c>
      <c r="AA7596">
        <v>0.99702579999999996</v>
      </c>
      <c r="AB7596">
        <v>40</v>
      </c>
      <c r="AC7596">
        <v>-1.0909</v>
      </c>
      <c r="AD7596">
        <v>-1.1105889817885</v>
      </c>
      <c r="AE7596">
        <v>16.844209999999901</v>
      </c>
      <c r="AF7596">
        <v>-1.0232029255447901</v>
      </c>
      <c r="AG7596">
        <v>-1.1105889817885</v>
      </c>
      <c r="AH7596">
        <v>16.775566745856</v>
      </c>
      <c r="AI7596">
        <v>93.780606897750204</v>
      </c>
      <c r="AJ7596">
        <v>93.490354293590897</v>
      </c>
      <c r="AK7596">
        <v>16.843396087428001</v>
      </c>
      <c r="AL7596">
        <v>68.275582327999999</v>
      </c>
      <c r="AM7596">
        <v>98.084692910073997</v>
      </c>
      <c r="AN7596">
        <v>1.0000000243898399</v>
      </c>
    </row>
    <row r="7597" spans="1:40" x14ac:dyDescent="0.25">
      <c r="A7597" t="str">
        <f>"20190304164310809"</f>
        <v>20190304164310809</v>
      </c>
      <c r="B7597" t="str">
        <f>"1551688990798280"</f>
        <v>1551688990798280</v>
      </c>
      <c r="C7597" t="s">
        <v>40</v>
      </c>
      <c r="D7597">
        <v>4.0911910000000002</v>
      </c>
      <c r="E7597">
        <v>0.53770269999999898</v>
      </c>
      <c r="F7597" t="s">
        <v>42</v>
      </c>
      <c r="G7597">
        <v>-188.28729999999999</v>
      </c>
      <c r="H7597" s="1">
        <v>-9.7129049999999997E-7</v>
      </c>
      <c r="I7597">
        <v>91.163150000000002</v>
      </c>
      <c r="J7597">
        <v>-187.19919999999999</v>
      </c>
      <c r="K7597">
        <v>1.110582</v>
      </c>
      <c r="L7597">
        <v>74.737880000000004</v>
      </c>
      <c r="M7597">
        <v>-3.7552839999999998E-3</v>
      </c>
      <c r="N7597">
        <v>-1.509423E-2</v>
      </c>
      <c r="O7597">
        <v>0.99987899999999996</v>
      </c>
      <c r="P7597">
        <v>-0.1348597</v>
      </c>
      <c r="Q7597">
        <v>0.3559485</v>
      </c>
      <c r="R7597">
        <v>0.92472350000000003</v>
      </c>
      <c r="S7597">
        <v>-0.21366879999999999</v>
      </c>
      <c r="T7597">
        <v>-0.217802</v>
      </c>
      <c r="U7597">
        <v>3.2971189999999999</v>
      </c>
      <c r="V7597">
        <v>-0.13137160000000001</v>
      </c>
      <c r="W7597">
        <v>0.3698787</v>
      </c>
      <c r="X7597">
        <v>0.91974520000000004</v>
      </c>
      <c r="Y7597">
        <v>-6.0800369999999999E-2</v>
      </c>
      <c r="Z7597">
        <v>-5.0717159999999997E-2</v>
      </c>
      <c r="AA7597">
        <v>0.99686059999999999</v>
      </c>
      <c r="AB7597">
        <v>40</v>
      </c>
      <c r="AC7597">
        <v>-1.0880999999999901</v>
      </c>
      <c r="AD7597">
        <v>-1.1105829712905</v>
      </c>
      <c r="AE7597">
        <v>16.425269999999902</v>
      </c>
      <c r="AF7597">
        <v>-1.0217530122812899</v>
      </c>
      <c r="AG7597">
        <v>-1.1105829712905</v>
      </c>
      <c r="AH7597">
        <v>16.354798330941001</v>
      </c>
      <c r="AI7597">
        <v>93.877206629244299</v>
      </c>
      <c r="AJ7597">
        <v>93.574862139047099</v>
      </c>
      <c r="AK7597">
        <v>16.424274784597799</v>
      </c>
      <c r="AL7597">
        <v>68.291863210718304</v>
      </c>
      <c r="AM7597">
        <v>98.128846477493894</v>
      </c>
      <c r="AN7597">
        <v>0.99999999146164498</v>
      </c>
    </row>
    <row r="7598" spans="1:40" x14ac:dyDescent="0.25">
      <c r="A7598" t="str">
        <f>"20190304164310831"</f>
        <v>20190304164310831</v>
      </c>
      <c r="B7598" t="str">
        <f>"1551688990818776"</f>
        <v>1551688990818776</v>
      </c>
      <c r="C7598" t="s">
        <v>40</v>
      </c>
      <c r="D7598">
        <v>4.1110790000000001</v>
      </c>
      <c r="E7598">
        <v>0.53762030000000005</v>
      </c>
      <c r="F7598" t="s">
        <v>42</v>
      </c>
      <c r="G7598">
        <v>-188.2989</v>
      </c>
      <c r="H7598" s="1">
        <v>-1.0773090000000001E-6</v>
      </c>
      <c r="I7598">
        <v>91.440610000000007</v>
      </c>
      <c r="J7598">
        <v>-187.20070000000001</v>
      </c>
      <c r="K7598">
        <v>1.11059</v>
      </c>
      <c r="L7598">
        <v>75.138339999999999</v>
      </c>
      <c r="M7598">
        <v>-3.7554390000000002E-3</v>
      </c>
      <c r="N7598">
        <v>-1.508979E-2</v>
      </c>
      <c r="O7598">
        <v>0.99987910000000002</v>
      </c>
      <c r="P7598">
        <v>-0.13482720000000001</v>
      </c>
      <c r="Q7598">
        <v>0.35608400000000001</v>
      </c>
      <c r="R7598">
        <v>0.9246761</v>
      </c>
      <c r="S7598">
        <v>-0.21705630000000001</v>
      </c>
      <c r="T7598">
        <v>-0.2192171</v>
      </c>
      <c r="U7598">
        <v>3.2969360000000001</v>
      </c>
      <c r="V7598">
        <v>-0.13133919999999999</v>
      </c>
      <c r="W7598">
        <v>0.37000939999999999</v>
      </c>
      <c r="X7598">
        <v>0.91969730000000005</v>
      </c>
      <c r="Y7598">
        <v>-6.1821380000000002E-2</v>
      </c>
      <c r="Z7598">
        <v>-5.114689E-2</v>
      </c>
      <c r="AA7598">
        <v>0.99677590000000005</v>
      </c>
      <c r="AB7598">
        <v>40</v>
      </c>
      <c r="AC7598">
        <v>-1.0981999999999901</v>
      </c>
      <c r="AD7598">
        <v>-1.110591077309</v>
      </c>
      <c r="AE7598">
        <v>16.302269999999901</v>
      </c>
      <c r="AF7598">
        <v>-1.03219432279594</v>
      </c>
      <c r="AG7598">
        <v>-1.110591077309</v>
      </c>
      <c r="AH7598">
        <v>16.231290482799999</v>
      </c>
      <c r="AI7598">
        <v>93.906373134802905</v>
      </c>
      <c r="AJ7598">
        <v>93.638703219946805</v>
      </c>
      <c r="AK7598">
        <v>16.301951674509599</v>
      </c>
      <c r="AL7598">
        <v>68.283803736972999</v>
      </c>
      <c r="AM7598">
        <v>98.127286067542798</v>
      </c>
      <c r="AN7598">
        <v>1.00000003258614</v>
      </c>
    </row>
    <row r="7599" spans="1:40" x14ac:dyDescent="0.25">
      <c r="A7599" t="str">
        <f>"20190304164310854"</f>
        <v>20190304164310854</v>
      </c>
      <c r="B7599" t="str">
        <f>"1551688990849032"</f>
        <v>1551688990849032</v>
      </c>
      <c r="C7599" t="s">
        <v>40</v>
      </c>
      <c r="D7599">
        <v>4.1110939999999996</v>
      </c>
      <c r="E7599">
        <v>0.53753479999999998</v>
      </c>
      <c r="F7599" t="s">
        <v>42</v>
      </c>
      <c r="G7599">
        <v>-188.31270000000001</v>
      </c>
      <c r="H7599" s="1">
        <v>-1.2689390000000001E-6</v>
      </c>
      <c r="I7599">
        <v>91.893039999999999</v>
      </c>
      <c r="J7599">
        <v>-187.20230000000001</v>
      </c>
      <c r="K7599">
        <v>1.110598</v>
      </c>
      <c r="L7599">
        <v>75.549219999999906</v>
      </c>
      <c r="M7599">
        <v>-3.755609E-3</v>
      </c>
      <c r="N7599">
        <v>-1.508525E-2</v>
      </c>
      <c r="O7599">
        <v>0.99987919999999997</v>
      </c>
      <c r="P7599">
        <v>-0.13400989999999999</v>
      </c>
      <c r="Q7599">
        <v>0.35628019999999999</v>
      </c>
      <c r="R7599">
        <v>0.92471930000000002</v>
      </c>
      <c r="S7599">
        <v>-0.21879580000000001</v>
      </c>
      <c r="T7599">
        <v>-0.2185183</v>
      </c>
      <c r="U7599">
        <v>3.2966310000000001</v>
      </c>
      <c r="V7599">
        <v>-0.13052149999999901</v>
      </c>
      <c r="W7599">
        <v>0.37020160000000002</v>
      </c>
      <c r="X7599">
        <v>0.91973629999999995</v>
      </c>
      <c r="Y7599">
        <v>-6.2351370000000003E-2</v>
      </c>
      <c r="Z7599">
        <v>-5.0944959999999997E-2</v>
      </c>
      <c r="AA7599">
        <v>0.99675320000000001</v>
      </c>
      <c r="AB7599">
        <v>40</v>
      </c>
      <c r="AC7599">
        <v>-1.1103999999999901</v>
      </c>
      <c r="AD7599">
        <v>-1.1105992689390001</v>
      </c>
      <c r="AE7599">
        <v>16.343820000000001</v>
      </c>
      <c r="AF7599">
        <v>-1.0442047174864999</v>
      </c>
      <c r="AG7599">
        <v>-1.1105992689390001</v>
      </c>
      <c r="AH7599">
        <v>16.273079591068601</v>
      </c>
      <c r="AI7599">
        <v>93.896259163329802</v>
      </c>
      <c r="AJ7599">
        <v>93.671499969372505</v>
      </c>
      <c r="AK7599">
        <v>16.344323589718901</v>
      </c>
      <c r="AL7599">
        <v>68.271948396394706</v>
      </c>
      <c r="AM7599">
        <v>98.077018509493101</v>
      </c>
      <c r="AN7599">
        <v>0.99999997407124896</v>
      </c>
    </row>
    <row r="7600" spans="1:40" x14ac:dyDescent="0.25">
      <c r="A7600" t="str">
        <f>"20190304164310877"</f>
        <v>20190304164310877</v>
      </c>
      <c r="B7600" t="str">
        <f>"1551688990868551"</f>
        <v>1551688990868551</v>
      </c>
      <c r="C7600" t="s">
        <v>40</v>
      </c>
      <c r="D7600">
        <v>4.0971279999999997</v>
      </c>
      <c r="E7600">
        <v>0.53748039999999997</v>
      </c>
      <c r="F7600" t="s">
        <v>42</v>
      </c>
      <c r="G7600">
        <v>-188.309</v>
      </c>
      <c r="H7600" s="1">
        <v>-1.4865369999999901E-6</v>
      </c>
      <c r="I7600">
        <v>92.398740000000004</v>
      </c>
      <c r="J7600">
        <v>-187.2038</v>
      </c>
      <c r="K7600">
        <v>1.110603</v>
      </c>
      <c r="L7600">
        <v>75.945279999999997</v>
      </c>
      <c r="M7600">
        <v>-3.7557509999999999E-3</v>
      </c>
      <c r="N7600">
        <v>-1.508089E-2</v>
      </c>
      <c r="O7600">
        <v>0.99987919999999997</v>
      </c>
      <c r="P7600">
        <v>-0.13307859999999999</v>
      </c>
      <c r="Q7600">
        <v>0.35628910000000003</v>
      </c>
      <c r="R7600">
        <v>0.92485030000000001</v>
      </c>
      <c r="S7600">
        <v>-0.21653749999999999</v>
      </c>
      <c r="T7600">
        <v>-0.21728629999999999</v>
      </c>
      <c r="U7600">
        <v>3.29657</v>
      </c>
      <c r="V7600">
        <v>-0.12958989999999901</v>
      </c>
      <c r="W7600">
        <v>0.3702087</v>
      </c>
      <c r="X7600">
        <v>0.91986520000000005</v>
      </c>
      <c r="Y7600">
        <v>-6.1674390000000003E-2</v>
      </c>
      <c r="Z7600">
        <v>-5.0582540000000002E-2</v>
      </c>
      <c r="AA7600">
        <v>0.99681379999999997</v>
      </c>
      <c r="AB7600">
        <v>40</v>
      </c>
      <c r="AC7600">
        <v>-1.1052000000000199</v>
      </c>
      <c r="AD7600">
        <v>-1.1106044865369999</v>
      </c>
      <c r="AE7600">
        <v>16.4534599999999</v>
      </c>
      <c r="AF7600">
        <v>-1.0386788855484499</v>
      </c>
      <c r="AG7600">
        <v>-1.1106044865369999</v>
      </c>
      <c r="AH7600">
        <v>16.3831852021031</v>
      </c>
      <c r="AI7600">
        <v>93.870360126378301</v>
      </c>
      <c r="AJ7600">
        <v>93.627644593760493</v>
      </c>
      <c r="AK7600">
        <v>16.453603055841899</v>
      </c>
      <c r="AL7600">
        <v>68.271511187759998</v>
      </c>
      <c r="AM7600">
        <v>98.019012127864102</v>
      </c>
      <c r="AN7600">
        <v>1.00000000495437</v>
      </c>
    </row>
    <row r="7601" spans="1:40" x14ac:dyDescent="0.25">
      <c r="A7601" t="str">
        <f>"20190304164310897"</f>
        <v>20190304164310897</v>
      </c>
      <c r="B7601" t="str">
        <f>"1551688990889048"</f>
        <v>1551688990889048</v>
      </c>
      <c r="C7601" t="s">
        <v>40</v>
      </c>
      <c r="D7601">
        <v>4.7763479999999996</v>
      </c>
      <c r="E7601">
        <v>0.53744230000000004</v>
      </c>
      <c r="F7601" t="s">
        <v>42</v>
      </c>
      <c r="G7601">
        <v>-188.29409999999999</v>
      </c>
      <c r="H7601" s="1">
        <v>-1.670088E-6</v>
      </c>
      <c r="I7601">
        <v>92.820430000000002</v>
      </c>
      <c r="J7601">
        <v>-187.20519999999999</v>
      </c>
      <c r="K7601">
        <v>1.110606</v>
      </c>
      <c r="L7601">
        <v>76.322450000000003</v>
      </c>
      <c r="M7601">
        <v>-3.755881E-3</v>
      </c>
      <c r="N7601">
        <v>-1.507676E-2</v>
      </c>
      <c r="O7601">
        <v>0.99987930000000003</v>
      </c>
      <c r="P7601">
        <v>-0.13195299999999999</v>
      </c>
      <c r="Q7601">
        <v>0.35673690000000002</v>
      </c>
      <c r="R7601">
        <v>0.92483899999999997</v>
      </c>
      <c r="S7601">
        <v>-0.2130127</v>
      </c>
      <c r="T7601">
        <v>-0.2169672</v>
      </c>
      <c r="U7601">
        <v>3.2967219999999999</v>
      </c>
      <c r="V7601">
        <v>-0.12846399999999999</v>
      </c>
      <c r="W7601">
        <v>0.37065209999999998</v>
      </c>
      <c r="X7601">
        <v>0.91984460000000001</v>
      </c>
      <c r="Y7601">
        <v>-6.0610959999999998E-2</v>
      </c>
      <c r="Z7601">
        <v>-5.0491960000000002E-2</v>
      </c>
      <c r="AA7601">
        <v>0.99688359999999998</v>
      </c>
      <c r="AB7601">
        <v>40</v>
      </c>
      <c r="AC7601">
        <v>-1.08889999999999</v>
      </c>
      <c r="AD7601">
        <v>-1.1106076700880001</v>
      </c>
      <c r="AE7601">
        <v>16.497979999999998</v>
      </c>
      <c r="AF7601">
        <v>-1.02230814024067</v>
      </c>
      <c r="AG7601">
        <v>-1.1106076700880001</v>
      </c>
      <c r="AH7601">
        <v>16.427830981752098</v>
      </c>
      <c r="AI7601">
        <v>93.860165983544505</v>
      </c>
      <c r="AJ7601">
        <v>93.560939105213905</v>
      </c>
      <c r="AK7601">
        <v>16.4970359184756</v>
      </c>
      <c r="AL7601">
        <v>68.244161167517206</v>
      </c>
      <c r="AM7601">
        <v>97.950411965276899</v>
      </c>
      <c r="AN7601">
        <v>1.00000003333978</v>
      </c>
    </row>
    <row r="7602" spans="1:40" x14ac:dyDescent="0.25">
      <c r="A7602" t="str">
        <f>"20190304164310920"</f>
        <v>20190304164310920</v>
      </c>
      <c r="B7602" t="str">
        <f>"1551688990908568"</f>
        <v>1551688990908568</v>
      </c>
      <c r="C7602" t="s">
        <v>40</v>
      </c>
      <c r="D7602">
        <v>4.10215</v>
      </c>
      <c r="E7602">
        <v>0.53739630000000005</v>
      </c>
      <c r="F7602" t="s">
        <v>42</v>
      </c>
      <c r="G7602">
        <v>-188.28700000000001</v>
      </c>
      <c r="H7602" s="1">
        <v>-1.9125579999999998E-6</v>
      </c>
      <c r="I7602">
        <v>93.382710000000003</v>
      </c>
      <c r="J7602">
        <v>-187.20660000000001</v>
      </c>
      <c r="K7602">
        <v>1.1106130000000001</v>
      </c>
      <c r="L7602">
        <v>76.701899999999995</v>
      </c>
      <c r="M7602">
        <v>-3.7560039999999999E-3</v>
      </c>
      <c r="N7602">
        <v>-1.507261E-2</v>
      </c>
      <c r="O7602">
        <v>0.99987939999999997</v>
      </c>
      <c r="P7602">
        <v>-0.1310308</v>
      </c>
      <c r="Q7602">
        <v>0.3574505</v>
      </c>
      <c r="R7602">
        <v>0.92469449999999997</v>
      </c>
      <c r="S7602">
        <v>-0.20906069999999999</v>
      </c>
      <c r="T7602">
        <v>-0.21461569999999999</v>
      </c>
      <c r="U7602">
        <v>3.2967529999999998</v>
      </c>
      <c r="V7602">
        <v>-0.12754219999999999</v>
      </c>
      <c r="W7602">
        <v>0.37135960000000001</v>
      </c>
      <c r="X7602">
        <v>0.91968740000000004</v>
      </c>
      <c r="Y7602">
        <v>-5.9423320000000002E-2</v>
      </c>
      <c r="Z7602">
        <v>-4.9792299999999998E-2</v>
      </c>
      <c r="AA7602">
        <v>0.9969903</v>
      </c>
      <c r="AB7602">
        <v>40</v>
      </c>
      <c r="AC7602">
        <v>-1.08039999999999</v>
      </c>
      <c r="AD7602">
        <v>-1.1106149125579901</v>
      </c>
      <c r="AE7602">
        <v>16.680810000000001</v>
      </c>
      <c r="AF7602">
        <v>-1.0132591117487</v>
      </c>
      <c r="AG7602">
        <v>-1.1106149125579901</v>
      </c>
      <c r="AH7602">
        <v>16.611420798455601</v>
      </c>
      <c r="AI7602">
        <v>93.817942992713498</v>
      </c>
      <c r="AJ7602">
        <v>93.490588124745699</v>
      </c>
      <c r="AK7602">
        <v>16.679312349581501</v>
      </c>
      <c r="AL7602">
        <v>68.200506819027694</v>
      </c>
      <c r="AM7602">
        <v>97.895417448241304</v>
      </c>
      <c r="AN7602">
        <v>0.99999993950587795</v>
      </c>
    </row>
    <row r="7603" spans="1:40" x14ac:dyDescent="0.25">
      <c r="A7603" t="str">
        <f>"20190304164310943"</f>
        <v>20190304164310943</v>
      </c>
      <c r="B7603" t="str">
        <f>"1551688990938824"</f>
        <v>1551688990938824</v>
      </c>
      <c r="C7603" t="s">
        <v>40</v>
      </c>
      <c r="D7603">
        <v>4.0926650000000002</v>
      </c>
      <c r="E7603">
        <v>0.53728799999999999</v>
      </c>
      <c r="F7603" t="s">
        <v>42</v>
      </c>
      <c r="G7603">
        <v>-188.29249999999999</v>
      </c>
      <c r="H7603" s="1">
        <v>-2.2118670000000001E-6</v>
      </c>
      <c r="I7603">
        <v>94.082669999999993</v>
      </c>
      <c r="J7603">
        <v>-187.2081</v>
      </c>
      <c r="K7603">
        <v>1.1106149999999999</v>
      </c>
      <c r="L7603">
        <v>77.103669999999994</v>
      </c>
      <c r="M7603">
        <v>-3.756133E-3</v>
      </c>
      <c r="N7603">
        <v>-1.50682E-2</v>
      </c>
      <c r="O7603">
        <v>0.99987939999999997</v>
      </c>
      <c r="P7603">
        <v>-0.13038169999999999</v>
      </c>
      <c r="Q7603">
        <v>0.35753410000000002</v>
      </c>
      <c r="R7603">
        <v>0.92475399999999996</v>
      </c>
      <c r="S7603">
        <v>-0.20596310000000001</v>
      </c>
      <c r="T7603">
        <v>-0.2106479</v>
      </c>
      <c r="U7603">
        <v>3.29657</v>
      </c>
      <c r="V7603">
        <v>-0.1268927</v>
      </c>
      <c r="W7603">
        <v>0.37143979999999999</v>
      </c>
      <c r="X7603">
        <v>0.91974489999999998</v>
      </c>
      <c r="Y7603">
        <v>-5.8498290000000001E-2</v>
      </c>
      <c r="Z7603">
        <v>-4.860896E-2</v>
      </c>
      <c r="AA7603">
        <v>0.99710339999999997</v>
      </c>
      <c r="AB7603">
        <v>40</v>
      </c>
      <c r="AC7603">
        <v>-1.08439999999998</v>
      </c>
      <c r="AD7603">
        <v>-1.1106172118669999</v>
      </c>
      <c r="AE7603">
        <v>16.978999999999999</v>
      </c>
      <c r="AF7603">
        <v>-1.0162791080304201</v>
      </c>
      <c r="AG7603">
        <v>-1.1106172118669999</v>
      </c>
      <c r="AH7603">
        <v>16.9108923243062</v>
      </c>
      <c r="AI7603">
        <v>93.750737685552494</v>
      </c>
      <c r="AJ7603">
        <v>93.4391181621627</v>
      </c>
      <c r="AK7603">
        <v>16.977767021048201</v>
      </c>
      <c r="AL7603">
        <v>68.195558669421999</v>
      </c>
      <c r="AM7603">
        <v>97.855228840742996</v>
      </c>
      <c r="AN7603">
        <v>0.99999998170666904</v>
      </c>
    </row>
    <row r="7604" spans="1:40" x14ac:dyDescent="0.25">
      <c r="A7604" t="str">
        <f>"20190304164310967"</f>
        <v>20190304164310967</v>
      </c>
      <c r="B7604" t="str">
        <f>"1551688990958345"</f>
        <v>1551688990958345</v>
      </c>
      <c r="C7604" t="s">
        <v>40</v>
      </c>
      <c r="D7604">
        <v>4.6401899999999996</v>
      </c>
      <c r="E7604">
        <v>0.53722559999999997</v>
      </c>
      <c r="F7604" t="s">
        <v>42</v>
      </c>
      <c r="G7604">
        <v>-188.28440000000001</v>
      </c>
      <c r="H7604" s="1">
        <v>-2.3742259999999999E-6</v>
      </c>
      <c r="I7604">
        <v>94.45778</v>
      </c>
      <c r="J7604">
        <v>-187.2097</v>
      </c>
      <c r="K7604">
        <v>1.1106130000000001</v>
      </c>
      <c r="L7604">
        <v>77.526089999999996</v>
      </c>
      <c r="M7604">
        <v>-3.7562699999999999E-3</v>
      </c>
      <c r="N7604">
        <v>-1.5063480000000001E-2</v>
      </c>
      <c r="O7604">
        <v>0.99987950000000003</v>
      </c>
      <c r="P7604">
        <v>-0.13040470000000001</v>
      </c>
      <c r="Q7604">
        <v>0.35705130000000002</v>
      </c>
      <c r="R7604">
        <v>0.92493729999999996</v>
      </c>
      <c r="S7604">
        <v>-0.20446780000000001</v>
      </c>
      <c r="T7604">
        <v>-0.21098919999999999</v>
      </c>
      <c r="U7604">
        <v>3.2968440000000001</v>
      </c>
      <c r="V7604">
        <v>-0.12691520000000001</v>
      </c>
      <c r="W7604">
        <v>0.37095590000000001</v>
      </c>
      <c r="X7604">
        <v>0.91993709999999995</v>
      </c>
      <c r="Y7604">
        <v>-5.8042379999999998E-2</v>
      </c>
      <c r="Z7604">
        <v>-4.871292E-2</v>
      </c>
      <c r="AA7604">
        <v>0.99712489999999998</v>
      </c>
      <c r="AB7604">
        <v>39</v>
      </c>
      <c r="AC7604">
        <v>-1.0747</v>
      </c>
      <c r="AD7604">
        <v>-1.1106153742260001</v>
      </c>
      <c r="AE7604">
        <v>16.93169</v>
      </c>
      <c r="AF7604">
        <v>-1.00677089253841</v>
      </c>
      <c r="AG7604">
        <v>-1.1106153742260001</v>
      </c>
      <c r="AH7604">
        <v>16.863343466647599</v>
      </c>
      <c r="AI7604">
        <v>93.761365244683404</v>
      </c>
      <c r="AJ7604">
        <v>93.416602135000005</v>
      </c>
      <c r="AK7604">
        <v>16.929837772809702</v>
      </c>
      <c r="AL7604">
        <v>68.225417988643002</v>
      </c>
      <c r="AM7604">
        <v>97.854983332449393</v>
      </c>
      <c r="AN7604">
        <v>1.00000000784613</v>
      </c>
    </row>
    <row r="7605" spans="1:40" x14ac:dyDescent="0.25">
      <c r="A7605" t="str">
        <f>"20190304164310988"</f>
        <v>20190304164310988</v>
      </c>
      <c r="B7605" t="str">
        <f>"1551688990978840"</f>
        <v>1551688990978840</v>
      </c>
      <c r="C7605" t="s">
        <v>40</v>
      </c>
      <c r="D7605">
        <v>4.1149440000000004</v>
      </c>
      <c r="E7605">
        <v>0.53715939999999995</v>
      </c>
      <c r="F7605" t="s">
        <v>42</v>
      </c>
      <c r="G7605">
        <v>-188.28370000000001</v>
      </c>
      <c r="H7605" s="1">
        <v>-2.498787E-6</v>
      </c>
      <c r="I7605">
        <v>94.74785</v>
      </c>
      <c r="J7605">
        <v>-187.21119999999999</v>
      </c>
      <c r="K7605">
        <v>1.110606</v>
      </c>
      <c r="L7605">
        <v>77.905209999999997</v>
      </c>
      <c r="M7605">
        <v>-3.7563879999999998E-3</v>
      </c>
      <c r="N7605">
        <v>-1.505924E-2</v>
      </c>
      <c r="O7605">
        <v>0.99987950000000003</v>
      </c>
      <c r="P7605">
        <v>-0.1305557</v>
      </c>
      <c r="Q7605">
        <v>0.35712870000000002</v>
      </c>
      <c r="R7605">
        <v>0.92488599999999999</v>
      </c>
      <c r="S7605">
        <v>-0.20558170000000001</v>
      </c>
      <c r="T7605">
        <v>-0.2125908</v>
      </c>
      <c r="U7605">
        <v>3.2965390000000001</v>
      </c>
      <c r="V7605">
        <v>-0.12706600000000001</v>
      </c>
      <c r="W7605">
        <v>0.37102849999999998</v>
      </c>
      <c r="X7605">
        <v>0.91988700000000001</v>
      </c>
      <c r="Y7605">
        <v>-5.838169E-2</v>
      </c>
      <c r="Z7605">
        <v>-4.9204119999999997E-2</v>
      </c>
      <c r="AA7605">
        <v>0.997081</v>
      </c>
      <c r="AB7605">
        <v>39</v>
      </c>
      <c r="AC7605">
        <v>-1.07250000000001</v>
      </c>
      <c r="AD7605">
        <v>-1.110608498787</v>
      </c>
      <c r="AE7605">
        <v>16.842639999999999</v>
      </c>
      <c r="AF7605">
        <v>-1.00486612798464</v>
      </c>
      <c r="AG7605">
        <v>-1.110608498787</v>
      </c>
      <c r="AH7605">
        <v>16.773909877834001</v>
      </c>
      <c r="AI7605">
        <v>93.781292370906698</v>
      </c>
      <c r="AJ7605">
        <v>93.428292039472495</v>
      </c>
      <c r="AK7605">
        <v>16.840643092306401</v>
      </c>
      <c r="AL7605">
        <v>68.220938574279202</v>
      </c>
      <c r="AM7605">
        <v>97.864622821783101</v>
      </c>
      <c r="AN7605">
        <v>1.0000000044686199</v>
      </c>
    </row>
    <row r="7606" spans="1:40" x14ac:dyDescent="0.25">
      <c r="A7606" t="str">
        <f>"20190304164311010"</f>
        <v>20190304164311010</v>
      </c>
      <c r="B7606" t="str">
        <f>"1551688990998363"</f>
        <v>1551688990998363</v>
      </c>
      <c r="C7606" t="s">
        <v>40</v>
      </c>
      <c r="D7606">
        <v>4.1447419999999999</v>
      </c>
      <c r="E7606">
        <v>0.53716549999999996</v>
      </c>
      <c r="F7606" t="s">
        <v>42</v>
      </c>
      <c r="G7606">
        <v>-188.2946</v>
      </c>
      <c r="H7606" s="1">
        <v>-2.6934759999999999E-6</v>
      </c>
      <c r="I7606">
        <v>95.206180000000003</v>
      </c>
      <c r="J7606">
        <v>-187.21260000000001</v>
      </c>
      <c r="K7606">
        <v>1.1106020000000001</v>
      </c>
      <c r="L7606">
        <v>78.281189999999995</v>
      </c>
      <c r="M7606">
        <v>-3.7564999999999999E-3</v>
      </c>
      <c r="N7606">
        <v>-1.5055000000000001E-2</v>
      </c>
      <c r="O7606">
        <v>0.99987959999999998</v>
      </c>
      <c r="P7606">
        <v>-0.13081780000000001</v>
      </c>
      <c r="Q7606">
        <v>0.35691009999999901</v>
      </c>
      <c r="R7606">
        <v>0.92493340000000002</v>
      </c>
      <c r="S7606">
        <v>-0.20642089999999999</v>
      </c>
      <c r="T7606">
        <v>-0.2115948</v>
      </c>
      <c r="U7606">
        <v>3.2962039999999999</v>
      </c>
      <c r="V7606">
        <v>-0.1273282</v>
      </c>
      <c r="W7606">
        <v>0.37080669999999999</v>
      </c>
      <c r="X7606">
        <v>0.91994019999999999</v>
      </c>
      <c r="Y7606">
        <v>-5.8641640000000002E-2</v>
      </c>
      <c r="Z7606">
        <v>-4.8913860000000003E-2</v>
      </c>
      <c r="AA7606">
        <v>0.99707999999999997</v>
      </c>
      <c r="AB7606">
        <v>39</v>
      </c>
      <c r="AC7606">
        <v>-1.0819999999999901</v>
      </c>
      <c r="AD7606">
        <v>-1.1106046934759899</v>
      </c>
      <c r="AE7606">
        <v>16.924989999999902</v>
      </c>
      <c r="AF7606">
        <v>-1.01405779102965</v>
      </c>
      <c r="AG7606">
        <v>-1.1106046934759899</v>
      </c>
      <c r="AH7606">
        <v>16.856648237537598</v>
      </c>
      <c r="AI7606">
        <v>93.762716666611695</v>
      </c>
      <c r="AJ7606">
        <v>93.442635454039007</v>
      </c>
      <c r="AK7606">
        <v>16.923603215414801</v>
      </c>
      <c r="AL7606">
        <v>68.234623421295396</v>
      </c>
      <c r="AM7606">
        <v>97.880197719173196</v>
      </c>
      <c r="AN7606">
        <v>1.0000000254280801</v>
      </c>
    </row>
    <row r="7607" spans="1:40" x14ac:dyDescent="0.25">
      <c r="A7607" t="str">
        <f>"20190304164311032"</f>
        <v>20190304164311032</v>
      </c>
      <c r="B7607" t="str">
        <f>"1551688991028616"</f>
        <v>1551688991028616</v>
      </c>
      <c r="C7607" t="s">
        <v>40</v>
      </c>
      <c r="D7607">
        <v>4.0918780000000003</v>
      </c>
      <c r="E7607">
        <v>0.54303630000000003</v>
      </c>
      <c r="F7607" t="s">
        <v>42</v>
      </c>
      <c r="G7607">
        <v>-188.29339999999999</v>
      </c>
      <c r="H7607" s="1">
        <v>-2.8240110000000001E-6</v>
      </c>
      <c r="I7607">
        <v>95.509960000000007</v>
      </c>
      <c r="J7607">
        <v>-187.214</v>
      </c>
      <c r="K7607">
        <v>1.110603</v>
      </c>
      <c r="L7607">
        <v>78.668520000000001</v>
      </c>
      <c r="M7607">
        <v>-3.756625E-3</v>
      </c>
      <c r="N7607">
        <v>-1.505074E-2</v>
      </c>
      <c r="O7607">
        <v>0.99987969999999904</v>
      </c>
      <c r="P7607">
        <v>-0.13074479999999999</v>
      </c>
      <c r="Q7607">
        <v>0.35731049999999998</v>
      </c>
      <c r="R7607">
        <v>0.92478919999999998</v>
      </c>
      <c r="S7607">
        <v>-0.2067871</v>
      </c>
      <c r="T7607">
        <v>-0.21248069999999999</v>
      </c>
      <c r="U7607">
        <v>3.2962039999999999</v>
      </c>
      <c r="V7607">
        <v>-0.1272557</v>
      </c>
      <c r="W7607">
        <v>0.37120120000000001</v>
      </c>
      <c r="X7607">
        <v>0.91979109999999997</v>
      </c>
      <c r="Y7607">
        <v>-5.8750879999999998E-2</v>
      </c>
      <c r="Z7607">
        <v>-4.9184539999999999E-2</v>
      </c>
      <c r="AA7607">
        <v>0.99706030000000001</v>
      </c>
      <c r="AB7607">
        <v>39</v>
      </c>
      <c r="AC7607">
        <v>-1.0793999999999599</v>
      </c>
      <c r="AD7607">
        <v>-1.1106058240109999</v>
      </c>
      <c r="AE7607">
        <v>16.841439999999899</v>
      </c>
      <c r="AF7607">
        <v>-1.0117364825472299</v>
      </c>
      <c r="AG7607">
        <v>-1.1106058240109999</v>
      </c>
      <c r="AH7607">
        <v>16.772734964238801</v>
      </c>
      <c r="AI7607">
        <v>93.781453940815595</v>
      </c>
      <c r="AJ7607">
        <v>93.4519162846303</v>
      </c>
      <c r="AK7607">
        <v>16.839884031282399</v>
      </c>
      <c r="AL7607">
        <v>68.210282650864499</v>
      </c>
      <c r="AM7607">
        <v>97.877027751672202</v>
      </c>
      <c r="AN7607">
        <v>1.0000000058515699</v>
      </c>
    </row>
    <row r="7608" spans="1:40" x14ac:dyDescent="0.25">
      <c r="A7608" t="str">
        <f>"20190304164311055"</f>
        <v>20190304164311055</v>
      </c>
      <c r="B7608" t="str">
        <f>"1551688991049112"</f>
        <v>1551688991049112</v>
      </c>
      <c r="C7608" t="s">
        <v>40</v>
      </c>
      <c r="D7608">
        <v>4.0944729999999998</v>
      </c>
      <c r="E7608">
        <v>0.54316019999999998</v>
      </c>
      <c r="F7608" t="s">
        <v>42</v>
      </c>
      <c r="G7608">
        <v>-187.98330000000001</v>
      </c>
      <c r="H7608" s="1">
        <v>-2.3688000000000001E-6</v>
      </c>
      <c r="I7608">
        <v>94.320610000000002</v>
      </c>
      <c r="J7608">
        <v>-187.21559999999999</v>
      </c>
      <c r="K7608">
        <v>1.110603</v>
      </c>
      <c r="L7608">
        <v>79.089600000000004</v>
      </c>
      <c r="M7608">
        <v>-3.7567780000000001E-3</v>
      </c>
      <c r="N7608">
        <v>-1.5046179999999999E-2</v>
      </c>
      <c r="O7608">
        <v>0.99987969999999904</v>
      </c>
      <c r="P7608">
        <v>-0.13003999999999999</v>
      </c>
      <c r="Q7608">
        <v>0.35742079999999998</v>
      </c>
      <c r="R7608">
        <v>0.9248459</v>
      </c>
      <c r="S7608">
        <v>-0.16276550000000001</v>
      </c>
      <c r="T7608">
        <v>-0.2349888</v>
      </c>
      <c r="U7608">
        <v>3.3117679999999998</v>
      </c>
      <c r="V7608">
        <v>-0.12655079999999999</v>
      </c>
      <c r="W7608">
        <v>0.37130790000000002</v>
      </c>
      <c r="X7608">
        <v>0.91984529999999998</v>
      </c>
      <c r="Y7608">
        <v>-4.5229949999999998E-2</v>
      </c>
      <c r="Z7608">
        <v>-5.5683249999999997E-2</v>
      </c>
      <c r="AA7608">
        <v>0.99742350000000002</v>
      </c>
      <c r="AB7608">
        <v>39</v>
      </c>
      <c r="AC7608">
        <v>-0.76770000000001903</v>
      </c>
      <c r="AD7608">
        <v>-1.1106053687999999</v>
      </c>
      <c r="AE7608">
        <v>15.2310099999999</v>
      </c>
      <c r="AF7608">
        <v>-0.70672050601116398</v>
      </c>
      <c r="AG7608">
        <v>-1.1106053687999999</v>
      </c>
      <c r="AH7608">
        <v>15.153421172011299</v>
      </c>
      <c r="AI7608">
        <v>94.187220037620193</v>
      </c>
      <c r="AJ7608">
        <v>92.6702077579681</v>
      </c>
      <c r="AK7608">
        <v>15.210492147698099</v>
      </c>
      <c r="AL7608">
        <v>68.203698935071301</v>
      </c>
      <c r="AM7608">
        <v>97.833482373927595</v>
      </c>
      <c r="AN7608">
        <v>1.0000000187575699</v>
      </c>
    </row>
    <row r="7609" spans="1:40" x14ac:dyDescent="0.25">
      <c r="A7609" t="str">
        <f>"20190304164311078"</f>
        <v>20190304164311078</v>
      </c>
      <c r="B7609" t="str">
        <f>"1551688991068632"</f>
        <v>1551688991068632</v>
      </c>
      <c r="C7609" t="s">
        <v>40</v>
      </c>
      <c r="D7609">
        <v>4.115704</v>
      </c>
      <c r="E7609">
        <v>0.54321980000000003</v>
      </c>
      <c r="F7609" t="s">
        <v>42</v>
      </c>
      <c r="G7609">
        <v>-187.98009999999999</v>
      </c>
      <c r="H7609" s="1">
        <v>-2.6014880000000001E-6</v>
      </c>
      <c r="I7609">
        <v>94.861720000000005</v>
      </c>
      <c r="J7609">
        <v>-187.21709999999999</v>
      </c>
      <c r="K7609">
        <v>1.1106149999999999</v>
      </c>
      <c r="L7609">
        <v>79.489009999999993</v>
      </c>
      <c r="M7609">
        <v>-3.7569299999999999E-3</v>
      </c>
      <c r="N7609">
        <v>-1.504167E-2</v>
      </c>
      <c r="O7609">
        <v>0.99987979999999999</v>
      </c>
      <c r="P7609">
        <v>-0.12913569999999999</v>
      </c>
      <c r="Q7609">
        <v>0.35775790000000002</v>
      </c>
      <c r="R7609">
        <v>0.92484230000000001</v>
      </c>
      <c r="S7609">
        <v>-0.16052249999999901</v>
      </c>
      <c r="T7609">
        <v>-0.2331705</v>
      </c>
      <c r="U7609">
        <v>3.31134</v>
      </c>
      <c r="V7609">
        <v>-0.12564620000000001</v>
      </c>
      <c r="W7609">
        <v>0.37164069999999999</v>
      </c>
      <c r="X7609">
        <v>0.91983490000000001</v>
      </c>
      <c r="Y7609">
        <v>-4.4564109999999997E-2</v>
      </c>
      <c r="Z7609">
        <v>-5.5154080000000001E-2</v>
      </c>
      <c r="AA7609">
        <v>0.99748289999999995</v>
      </c>
      <c r="AB7609">
        <v>39</v>
      </c>
      <c r="AC7609">
        <v>-0.76300000000000501</v>
      </c>
      <c r="AD7609">
        <v>-1.11061760148799</v>
      </c>
      <c r="AE7609">
        <v>15.3727099999999</v>
      </c>
      <c r="AF7609">
        <v>-0.70158098601988905</v>
      </c>
      <c r="AG7609">
        <v>-1.11061760148799</v>
      </c>
      <c r="AH7609">
        <v>15.295828087459</v>
      </c>
      <c r="AI7609">
        <v>94.148565486630304</v>
      </c>
      <c r="AJ7609">
        <v>92.626171998800203</v>
      </c>
      <c r="AK7609">
        <v>15.352134842352701</v>
      </c>
      <c r="AL7609">
        <v>68.183161100201204</v>
      </c>
      <c r="AM7609">
        <v>97.778262438494494</v>
      </c>
      <c r="AN7609">
        <v>1.0000000103644699</v>
      </c>
    </row>
    <row r="7610" spans="1:40" x14ac:dyDescent="0.25">
      <c r="A7610" t="str">
        <f>"20190304164311099"</f>
        <v>20190304164311099</v>
      </c>
      <c r="B7610" t="str">
        <f>"1551688991089128"</f>
        <v>1551688991089128</v>
      </c>
      <c r="C7610" t="s">
        <v>40</v>
      </c>
      <c r="D7610">
        <v>4.1066479999999999</v>
      </c>
      <c r="E7610">
        <v>0.54325299999999999</v>
      </c>
      <c r="F7610" t="s">
        <v>42</v>
      </c>
      <c r="G7610">
        <v>-187.9683</v>
      </c>
      <c r="H7610" s="1">
        <v>-2.8077229999999998E-6</v>
      </c>
      <c r="I7610">
        <v>95.337580000000003</v>
      </c>
      <c r="J7610">
        <v>-187.2184</v>
      </c>
      <c r="K7610">
        <v>1.1106180000000001</v>
      </c>
      <c r="L7610">
        <v>79.853909999999999</v>
      </c>
      <c r="M7610">
        <v>-3.7604280000000001E-3</v>
      </c>
      <c r="N7610">
        <v>-1.5037379999999999E-2</v>
      </c>
      <c r="O7610">
        <v>0.99987979999999999</v>
      </c>
      <c r="P7610">
        <v>-0.12855849999999999</v>
      </c>
      <c r="Q7610">
        <v>0.35796090000000003</v>
      </c>
      <c r="R7610">
        <v>0.92484409999999895</v>
      </c>
      <c r="S7610">
        <v>-0.15698239999999999</v>
      </c>
      <c r="T7610">
        <v>-0.23206979999999999</v>
      </c>
      <c r="U7610">
        <v>3.3116460000000001</v>
      </c>
      <c r="V7610">
        <v>-0.12506700000000001</v>
      </c>
      <c r="W7610">
        <v>0.37183909999999998</v>
      </c>
      <c r="X7610">
        <v>0.91983369999999998</v>
      </c>
      <c r="Y7610">
        <v>-4.3493980000000002E-2</v>
      </c>
      <c r="Z7610">
        <v>-5.4825449999999998E-2</v>
      </c>
      <c r="AA7610">
        <v>0.9975482</v>
      </c>
      <c r="AB7610">
        <v>39</v>
      </c>
      <c r="AC7610">
        <v>-0.74989999999999601</v>
      </c>
      <c r="AD7610">
        <v>-1.110620807723</v>
      </c>
      <c r="AE7610">
        <v>15.48367</v>
      </c>
      <c r="AF7610">
        <v>-0.68813074803613306</v>
      </c>
      <c r="AG7610">
        <v>-1.110620807723</v>
      </c>
      <c r="AH7610">
        <v>15.4072960168079</v>
      </c>
      <c r="AI7610">
        <v>94.118890556337007</v>
      </c>
      <c r="AJ7610">
        <v>92.557282160793704</v>
      </c>
      <c r="AK7610">
        <v>15.4625927015648</v>
      </c>
      <c r="AL7610">
        <v>68.170917087016903</v>
      </c>
      <c r="AM7610">
        <v>97.742852359430202</v>
      </c>
      <c r="AN7610">
        <v>1.0000000532167399</v>
      </c>
    </row>
    <row r="7611" spans="1:40" x14ac:dyDescent="0.25">
      <c r="A7611" t="str">
        <f>"20190304164311114"</f>
        <v>20190304164311114</v>
      </c>
      <c r="B7611" t="str">
        <f>"1551688991108648"</f>
        <v>1551688991108648</v>
      </c>
      <c r="C7611" t="s">
        <v>40</v>
      </c>
      <c r="D7611">
        <v>4.1138899999999996</v>
      </c>
      <c r="E7611">
        <v>0.54315080000000004</v>
      </c>
      <c r="F7611" t="s">
        <v>42</v>
      </c>
      <c r="G7611">
        <v>-187.96029999999999</v>
      </c>
      <c r="H7611" s="1">
        <v>-3.0069890000000001E-6</v>
      </c>
      <c r="I7611">
        <v>95.798739999999995</v>
      </c>
      <c r="J7611">
        <v>-187.21940000000001</v>
      </c>
      <c r="K7611">
        <v>1.1106229999999999</v>
      </c>
      <c r="L7611">
        <v>80.107299999999995</v>
      </c>
      <c r="M7611">
        <v>-3.7678019999999998E-3</v>
      </c>
      <c r="N7611">
        <v>-1.503435E-2</v>
      </c>
      <c r="O7611">
        <v>0.99987990000000004</v>
      </c>
      <c r="P7611">
        <v>-0.12835279999999999</v>
      </c>
      <c r="Q7611">
        <v>0.35813240000000002</v>
      </c>
      <c r="R7611">
        <v>0.92480640000000003</v>
      </c>
      <c r="S7611">
        <v>-0.15408329999999901</v>
      </c>
      <c r="T7611">
        <v>-0.23066929999999999</v>
      </c>
      <c r="U7611">
        <v>3.3116460000000001</v>
      </c>
      <c r="V7611">
        <v>-0.1248572</v>
      </c>
      <c r="W7611">
        <v>0.3720059</v>
      </c>
      <c r="X7611">
        <v>0.91979469999999997</v>
      </c>
      <c r="Y7611">
        <v>-4.2616969999999997E-2</v>
      </c>
      <c r="Z7611">
        <v>-5.4411370000000001E-2</v>
      </c>
      <c r="AA7611">
        <v>0.99760870000000001</v>
      </c>
      <c r="AB7611">
        <v>39</v>
      </c>
      <c r="AC7611">
        <v>-0.74089999999998202</v>
      </c>
      <c r="AD7611">
        <v>-1.1106260069889999</v>
      </c>
      <c r="AE7611">
        <v>15.69144</v>
      </c>
      <c r="AF7611">
        <v>-0.67837493678262695</v>
      </c>
      <c r="AG7611">
        <v>-1.1106260069889999</v>
      </c>
      <c r="AH7611">
        <v>15.6160630026107</v>
      </c>
      <c r="AI7611">
        <v>94.064248503867702</v>
      </c>
      <c r="AJ7611">
        <v>92.487413061505293</v>
      </c>
      <c r="AK7611">
        <v>15.6701980326913</v>
      </c>
      <c r="AL7611">
        <v>68.1606203717201</v>
      </c>
      <c r="AM7611">
        <v>97.730344682087903</v>
      </c>
      <c r="AN7611">
        <v>1.0000000000873699</v>
      </c>
    </row>
    <row r="7612" spans="1:40" x14ac:dyDescent="0.25">
      <c r="A7612" t="str">
        <f>"20190304164311133"</f>
        <v>20190304164311133</v>
      </c>
      <c r="B7612" t="str">
        <f>"1551688991118408"</f>
        <v>1551688991118408</v>
      </c>
      <c r="C7612" t="s">
        <v>40</v>
      </c>
      <c r="D7612">
        <v>4.1096879999999896</v>
      </c>
      <c r="E7612">
        <v>0.54315649999999904</v>
      </c>
      <c r="F7612" t="s">
        <v>42</v>
      </c>
      <c r="G7612">
        <v>-187.96680000000001</v>
      </c>
      <c r="H7612" s="1">
        <v>-3.153548E-6</v>
      </c>
      <c r="I7612">
        <v>96.143050000000002</v>
      </c>
      <c r="J7612">
        <v>-187.22059999999999</v>
      </c>
      <c r="K7612">
        <v>1.1106290000000001</v>
      </c>
      <c r="L7612">
        <v>80.430819999999997</v>
      </c>
      <c r="M7612">
        <v>-3.784033E-3</v>
      </c>
      <c r="N7612">
        <v>-1.50305E-2</v>
      </c>
      <c r="O7612">
        <v>0.99987990000000004</v>
      </c>
      <c r="P7612">
        <v>-0.1270376</v>
      </c>
      <c r="Q7612">
        <v>0.35815160000000001</v>
      </c>
      <c r="R7612">
        <v>0.92498049999999998</v>
      </c>
      <c r="S7612">
        <v>-0.154327399999999</v>
      </c>
      <c r="T7612">
        <v>-0.22933919999999999</v>
      </c>
      <c r="U7612">
        <v>3.3113100000000002</v>
      </c>
      <c r="V7612">
        <v>-0.12353210000000001</v>
      </c>
      <c r="W7612">
        <v>0.37202239999999998</v>
      </c>
      <c r="X7612">
        <v>0.91996690000000003</v>
      </c>
      <c r="Y7612">
        <v>-4.2679920000000003E-2</v>
      </c>
      <c r="Z7612">
        <v>-5.4023269999999998E-2</v>
      </c>
      <c r="AA7612">
        <v>0.99762709999999999</v>
      </c>
      <c r="AB7612">
        <v>39</v>
      </c>
      <c r="AC7612">
        <v>-0.74620000000001596</v>
      </c>
      <c r="AD7612">
        <v>-1.1106321535479999</v>
      </c>
      <c r="AE7612">
        <v>15.71223</v>
      </c>
      <c r="AF7612">
        <v>-0.68332579823444395</v>
      </c>
      <c r="AG7612">
        <v>-1.1106321535479999</v>
      </c>
      <c r="AH7612">
        <v>15.6369872543493</v>
      </c>
      <c r="AI7612">
        <v>94.058805133503995</v>
      </c>
      <c r="AJ7612">
        <v>92.502194981249204</v>
      </c>
      <c r="AK7612">
        <v>15.691265351134399</v>
      </c>
      <c r="AL7612">
        <v>68.159601234781704</v>
      </c>
      <c r="AM7612">
        <v>97.647864763547602</v>
      </c>
      <c r="AN7612">
        <v>0.99999997146388897</v>
      </c>
    </row>
    <row r="7613" spans="1:40" x14ac:dyDescent="0.25">
      <c r="A7613" t="str">
        <f>"20190304164311156"</f>
        <v>20190304164311156</v>
      </c>
      <c r="B7613" t="str">
        <f>"1551688991148665"</f>
        <v>1551688991148665</v>
      </c>
      <c r="C7613" t="s">
        <v>40</v>
      </c>
      <c r="D7613">
        <v>4.1151790000000004</v>
      </c>
      <c r="E7613">
        <v>0.54302499999999998</v>
      </c>
      <c r="F7613" t="s">
        <v>42</v>
      </c>
      <c r="G7613">
        <v>-187.94579999999999</v>
      </c>
      <c r="H7613" s="1">
        <v>-3.2857090000000002E-6</v>
      </c>
      <c r="I7613">
        <v>96.442459999999997</v>
      </c>
      <c r="J7613">
        <v>-187.22219999999999</v>
      </c>
      <c r="K7613">
        <v>1.110636</v>
      </c>
      <c r="L7613">
        <v>80.845209999999994</v>
      </c>
      <c r="M7613">
        <v>-3.8176439999999998E-3</v>
      </c>
      <c r="N7613">
        <v>-1.502559E-2</v>
      </c>
      <c r="O7613">
        <v>0.99987979999999999</v>
      </c>
      <c r="P7613">
        <v>-0.12566920000000001</v>
      </c>
      <c r="Q7613">
        <v>0.3579271</v>
      </c>
      <c r="R7613">
        <v>0.92525429999999997</v>
      </c>
      <c r="S7613">
        <v>-0.14999390000000001</v>
      </c>
      <c r="T7613">
        <v>-0.229709</v>
      </c>
      <c r="U7613">
        <v>3.3116460000000001</v>
      </c>
      <c r="V7613">
        <v>-0.1221415</v>
      </c>
      <c r="W7613">
        <v>0.37179440000000002</v>
      </c>
      <c r="X7613">
        <v>0.92024479999999997</v>
      </c>
      <c r="Y7613">
        <v>-4.1339430000000003E-2</v>
      </c>
      <c r="Z7613">
        <v>-5.4136049999999998E-2</v>
      </c>
      <c r="AA7613">
        <v>0.99767740000000005</v>
      </c>
      <c r="AB7613">
        <v>39</v>
      </c>
      <c r="AC7613">
        <v>-0.72360000000000402</v>
      </c>
      <c r="AD7613">
        <v>-1.1106392857089999</v>
      </c>
      <c r="AE7613">
        <v>15.597250000000001</v>
      </c>
      <c r="AF7613">
        <v>-0.66070037352748001</v>
      </c>
      <c r="AG7613">
        <v>-1.1106392857089999</v>
      </c>
      <c r="AH7613">
        <v>15.521367147524099</v>
      </c>
      <c r="AI7613">
        <v>94.089162184247797</v>
      </c>
      <c r="AJ7613">
        <v>92.437446601187602</v>
      </c>
      <c r="AK7613">
        <v>15.5750724792786</v>
      </c>
      <c r="AL7613">
        <v>68.173676090469201</v>
      </c>
      <c r="AM7613">
        <v>97.560517443495897</v>
      </c>
      <c r="AN7613">
        <v>1.00000005691032</v>
      </c>
    </row>
    <row r="7614" spans="1:40" x14ac:dyDescent="0.25">
      <c r="A7614" t="str">
        <f>"20190304164311177"</f>
        <v>20190304164311177</v>
      </c>
      <c r="B7614" t="str">
        <f>"1551688991169160"</f>
        <v>1551688991169160</v>
      </c>
      <c r="C7614" t="s">
        <v>40</v>
      </c>
      <c r="D7614">
        <v>4.1167099999999897</v>
      </c>
      <c r="E7614">
        <v>0.54291519999999904</v>
      </c>
      <c r="F7614" t="s">
        <v>42</v>
      </c>
      <c r="G7614">
        <v>-187.92590000000001</v>
      </c>
      <c r="H7614" s="1">
        <v>-3.425565E-6</v>
      </c>
      <c r="I7614">
        <v>96.760249999999999</v>
      </c>
      <c r="J7614">
        <v>-187.22370000000001</v>
      </c>
      <c r="K7614">
        <v>1.1106450000000001</v>
      </c>
      <c r="L7614">
        <v>81.230959999999996</v>
      </c>
      <c r="M7614">
        <v>-3.8609899999999999E-3</v>
      </c>
      <c r="N7614">
        <v>-1.502118E-2</v>
      </c>
      <c r="O7614">
        <v>0.99987969999999904</v>
      </c>
      <c r="P7614">
        <v>-0.124126</v>
      </c>
      <c r="Q7614">
        <v>0.3575122</v>
      </c>
      <c r="R7614">
        <v>0.92562290000000003</v>
      </c>
      <c r="S7614">
        <v>-0.1464539</v>
      </c>
      <c r="T7614">
        <v>-0.23112189999999999</v>
      </c>
      <c r="U7614">
        <v>3.31189</v>
      </c>
      <c r="V7614">
        <v>-0.1205671</v>
      </c>
      <c r="W7614">
        <v>0.37137740000000002</v>
      </c>
      <c r="X7614">
        <v>0.92062069999999996</v>
      </c>
      <c r="Y7614">
        <v>-4.0228050000000001E-2</v>
      </c>
      <c r="Z7614">
        <v>-5.4562100000000002E-2</v>
      </c>
      <c r="AA7614">
        <v>0.99769969999999997</v>
      </c>
      <c r="AB7614">
        <v>39</v>
      </c>
      <c r="AC7614">
        <v>-0.70220000000000404</v>
      </c>
      <c r="AD7614">
        <v>-1.110648425565</v>
      </c>
      <c r="AE7614">
        <v>15.52929</v>
      </c>
      <c r="AF7614">
        <v>-0.63896788005112104</v>
      </c>
      <c r="AG7614">
        <v>-1.110648425565</v>
      </c>
      <c r="AH7614">
        <v>15.4530040906072</v>
      </c>
      <c r="AI7614">
        <v>94.107433102285995</v>
      </c>
      <c r="AJ7614">
        <v>92.367780349496599</v>
      </c>
      <c r="AK7614">
        <v>15.506036092479301</v>
      </c>
      <c r="AL7614">
        <v>68.199410613913003</v>
      </c>
      <c r="AM7614">
        <v>97.461155193712202</v>
      </c>
      <c r="AN7614">
        <v>1.0000000360508201</v>
      </c>
    </row>
    <row r="7615" spans="1:40" x14ac:dyDescent="0.25">
      <c r="A7615" t="str">
        <f>"20190304164311192"</f>
        <v>20190304164311192</v>
      </c>
      <c r="B7615" t="str">
        <f>"1551688991188681"</f>
        <v>1551688991188681</v>
      </c>
      <c r="C7615" t="s">
        <v>40</v>
      </c>
      <c r="D7615">
        <v>4.1135820000000001</v>
      </c>
      <c r="E7615">
        <v>0.54283899999999996</v>
      </c>
      <c r="F7615" t="s">
        <v>42</v>
      </c>
      <c r="G7615">
        <v>-187.89510000000001</v>
      </c>
      <c r="H7615" s="1">
        <v>-3.5309400000000002E-6</v>
      </c>
      <c r="I7615">
        <v>96.993139999999997</v>
      </c>
      <c r="J7615">
        <v>-187.22460000000001</v>
      </c>
      <c r="K7615">
        <v>1.110654</v>
      </c>
      <c r="L7615">
        <v>81.472470000000001</v>
      </c>
      <c r="M7615">
        <v>-3.8936930000000002E-3</v>
      </c>
      <c r="N7615">
        <v>-1.5018480000000001E-2</v>
      </c>
      <c r="O7615">
        <v>0.99987969999999904</v>
      </c>
      <c r="P7615">
        <v>-0.12316199999999999</v>
      </c>
      <c r="Q7615">
        <v>0.35747040000000002</v>
      </c>
      <c r="R7615">
        <v>0.92576780000000003</v>
      </c>
      <c r="S7615">
        <v>-0.141098</v>
      </c>
      <c r="T7615">
        <v>-0.23339309999999999</v>
      </c>
      <c r="U7615">
        <v>3.3122859999999998</v>
      </c>
      <c r="V7615">
        <v>-0.11957760000000001</v>
      </c>
      <c r="W7615">
        <v>0.371334</v>
      </c>
      <c r="X7615">
        <v>0.92076720000000001</v>
      </c>
      <c r="Y7615">
        <v>-3.8579120000000001E-2</v>
      </c>
      <c r="Z7615">
        <v>-5.5241890000000002E-2</v>
      </c>
      <c r="AA7615">
        <v>0.99772740000000004</v>
      </c>
      <c r="AB7615">
        <v>39</v>
      </c>
      <c r="AC7615">
        <v>-0.67050000000000398</v>
      </c>
      <c r="AD7615">
        <v>-1.11065753094</v>
      </c>
      <c r="AE7615">
        <v>15.5206699999999</v>
      </c>
      <c r="AF7615">
        <v>-0.60695307248005803</v>
      </c>
      <c r="AG7615">
        <v>-1.11065753094</v>
      </c>
      <c r="AH7615">
        <v>15.444223589677501</v>
      </c>
      <c r="AI7615">
        <v>94.110131819036297</v>
      </c>
      <c r="AJ7615">
        <v>92.250547748518898</v>
      </c>
      <c r="AK7615">
        <v>15.4959993053426</v>
      </c>
      <c r="AL7615">
        <v>68.202087691715604</v>
      </c>
      <c r="AM7615">
        <v>97.399438257462407</v>
      </c>
      <c r="AN7615">
        <v>0.99999998928679901</v>
      </c>
    </row>
    <row r="7616" spans="1:40" x14ac:dyDescent="0.25">
      <c r="A7616" t="str">
        <f>"20190304164311211"</f>
        <v>20190304164311211</v>
      </c>
      <c r="B7616" t="str">
        <f>"1551688991198444"</f>
        <v>1551688991198444</v>
      </c>
      <c r="C7616" t="s">
        <v>40</v>
      </c>
      <c r="D7616">
        <v>4.1327280000000002</v>
      </c>
      <c r="E7616">
        <v>0.54282240000000004</v>
      </c>
      <c r="F7616" t="s">
        <v>42</v>
      </c>
      <c r="G7616">
        <v>-187.88079999999999</v>
      </c>
      <c r="H7616" s="1">
        <v>-3.618503E-6</v>
      </c>
      <c r="I7616">
        <v>97.191329999999994</v>
      </c>
      <c r="J7616">
        <v>-187.226</v>
      </c>
      <c r="K7616">
        <v>1.1106659999999999</v>
      </c>
      <c r="L7616">
        <v>81.799869999999999</v>
      </c>
      <c r="M7616">
        <v>-3.9429390000000003E-3</v>
      </c>
      <c r="N7616">
        <v>-1.501477E-2</v>
      </c>
      <c r="O7616">
        <v>0.99987950000000003</v>
      </c>
      <c r="P7616">
        <v>-0.1218284</v>
      </c>
      <c r="Q7616">
        <v>0.35734349999999998</v>
      </c>
      <c r="R7616">
        <v>0.92599319999999896</v>
      </c>
      <c r="S7616">
        <v>-0.13827509999999901</v>
      </c>
      <c r="T7616">
        <v>-0.23405790000000001</v>
      </c>
      <c r="U7616">
        <v>3.3125610000000001</v>
      </c>
      <c r="V7616">
        <v>-0.118204</v>
      </c>
      <c r="W7616">
        <v>0.37120520000000001</v>
      </c>
      <c r="X7616">
        <v>0.9209965</v>
      </c>
      <c r="Y7616">
        <v>-3.7677710000000003E-2</v>
      </c>
      <c r="Z7616">
        <v>-5.5441459999999998E-2</v>
      </c>
      <c r="AA7616">
        <v>0.99775080000000005</v>
      </c>
      <c r="AB7616">
        <v>39</v>
      </c>
      <c r="AC7616">
        <v>-0.65479999999999405</v>
      </c>
      <c r="AD7616">
        <v>-1.1106696185029901</v>
      </c>
      <c r="AE7616">
        <v>15.39146</v>
      </c>
      <c r="AF7616">
        <v>-0.59102839450800004</v>
      </c>
      <c r="AG7616">
        <v>-1.1106696185029901</v>
      </c>
      <c r="AH7616">
        <v>15.3143207162358</v>
      </c>
      <c r="AI7616">
        <v>94.145033216928496</v>
      </c>
      <c r="AJ7616">
        <v>92.210129705787296</v>
      </c>
      <c r="AK7616">
        <v>15.3659142443367</v>
      </c>
      <c r="AL7616">
        <v>68.210036147189996</v>
      </c>
      <c r="AM7616">
        <v>97.313564558425298</v>
      </c>
      <c r="AN7616">
        <v>1.00000001956764</v>
      </c>
    </row>
    <row r="7617" spans="1:40" x14ac:dyDescent="0.25">
      <c r="A7617" t="str">
        <f>"20190304164311224"</f>
        <v>20190304164311224</v>
      </c>
      <c r="B7617" t="str">
        <f>"1551688991218937"</f>
        <v>1551688991218937</v>
      </c>
      <c r="C7617" t="s">
        <v>40</v>
      </c>
      <c r="D7617">
        <v>4.0841010000000004</v>
      </c>
      <c r="E7617">
        <v>0.5427054</v>
      </c>
      <c r="F7617" t="s">
        <v>42</v>
      </c>
      <c r="G7617">
        <v>-187.85650000000001</v>
      </c>
      <c r="H7617" s="1">
        <v>-3.7467460000000001E-6</v>
      </c>
      <c r="I7617">
        <v>97.480239999999995</v>
      </c>
      <c r="J7617">
        <v>-187.2269</v>
      </c>
      <c r="K7617">
        <v>1.110673</v>
      </c>
      <c r="L7617">
        <v>82.035550000000001</v>
      </c>
      <c r="M7617">
        <v>-3.981386E-3</v>
      </c>
      <c r="N7617">
        <v>-1.5012050000000001E-2</v>
      </c>
      <c r="O7617">
        <v>0.99987939999999997</v>
      </c>
      <c r="P7617">
        <v>-0.1207135</v>
      </c>
      <c r="Q7617">
        <v>0.35736220000000002</v>
      </c>
      <c r="R7617">
        <v>0.92613199999999996</v>
      </c>
      <c r="S7617">
        <v>-0.1332245</v>
      </c>
      <c r="T7617">
        <v>-0.234652</v>
      </c>
      <c r="U7617">
        <v>3.312805</v>
      </c>
      <c r="V7617">
        <v>-0.1170568</v>
      </c>
      <c r="W7617">
        <v>0.37122240000000001</v>
      </c>
      <c r="X7617">
        <v>0.92113610000000001</v>
      </c>
      <c r="Y7617">
        <v>-3.6118129999999998E-2</v>
      </c>
      <c r="Z7617">
        <v>-5.5621230000000001E-2</v>
      </c>
      <c r="AA7617">
        <v>0.99779839999999997</v>
      </c>
      <c r="AB7617">
        <v>39</v>
      </c>
      <c r="AC7617">
        <v>-0.62960000000001004</v>
      </c>
      <c r="AD7617">
        <v>-1.1106767467459999</v>
      </c>
      <c r="AE7617">
        <v>15.44469</v>
      </c>
      <c r="AF7617">
        <v>-0.56517883080651599</v>
      </c>
      <c r="AG7617">
        <v>-1.1106767467459999</v>
      </c>
      <c r="AH7617">
        <v>15.367732067087699</v>
      </c>
      <c r="AI7617">
        <v>94.130984661734402</v>
      </c>
      <c r="AJ7617">
        <v>92.106216702653299</v>
      </c>
      <c r="AK7617">
        <v>15.418178194337701</v>
      </c>
      <c r="AL7617">
        <v>68.208975286929501</v>
      </c>
      <c r="AM7617">
        <v>97.242255948726495</v>
      </c>
      <c r="AN7617">
        <v>1.0000000397055999</v>
      </c>
    </row>
    <row r="7618" spans="1:40" x14ac:dyDescent="0.25">
      <c r="A7618" t="str">
        <f>"20190304164311246"</f>
        <v>20190304164311246</v>
      </c>
      <c r="B7618" t="str">
        <f>"1551688991238456"</f>
        <v>1551688991238456</v>
      </c>
      <c r="C7618" t="s">
        <v>40</v>
      </c>
      <c r="D7618">
        <v>4.1175639999999998</v>
      </c>
      <c r="E7618">
        <v>0.54262619999999995</v>
      </c>
      <c r="F7618" t="s">
        <v>42</v>
      </c>
      <c r="G7618">
        <v>-187.84479999999999</v>
      </c>
      <c r="H7618" s="1">
        <v>-3.8321070000000001E-6</v>
      </c>
      <c r="I7618">
        <v>97.674390000000002</v>
      </c>
      <c r="J7618">
        <v>-187.22839999999999</v>
      </c>
      <c r="K7618">
        <v>1.1106830000000001</v>
      </c>
      <c r="L7618">
        <v>82.404240000000001</v>
      </c>
      <c r="M7618">
        <v>-4.0462170000000004E-3</v>
      </c>
      <c r="N7618">
        <v>-1.50078E-2</v>
      </c>
      <c r="O7618">
        <v>0.99987919999999997</v>
      </c>
      <c r="P7618">
        <v>-0.11919589999999899</v>
      </c>
      <c r="Q7618">
        <v>0.35736869999999998</v>
      </c>
      <c r="R7618">
        <v>0.92632599999999998</v>
      </c>
      <c r="S7618">
        <v>-0.1309052</v>
      </c>
      <c r="T7618">
        <v>-0.2352921</v>
      </c>
      <c r="U7618">
        <v>3.3130190000000002</v>
      </c>
      <c r="V7618">
        <v>-0.11548269999999999</v>
      </c>
      <c r="W7618">
        <v>0.37122640000000001</v>
      </c>
      <c r="X7618">
        <v>0.92133310000000002</v>
      </c>
      <c r="Y7618">
        <v>-3.5353330000000002E-2</v>
      </c>
      <c r="Z7618">
        <v>-5.5814639999999999E-2</v>
      </c>
      <c r="AA7618">
        <v>0.99781509999999995</v>
      </c>
      <c r="AB7618">
        <v>39</v>
      </c>
      <c r="AC7618">
        <v>-0.61639999999999795</v>
      </c>
      <c r="AD7618">
        <v>-1.110686832107</v>
      </c>
      <c r="AE7618">
        <v>15.270149999999999</v>
      </c>
      <c r="AF7618">
        <v>-0.55168769865281497</v>
      </c>
      <c r="AG7618">
        <v>-1.110686832107</v>
      </c>
      <c r="AH7618">
        <v>15.192275374475599</v>
      </c>
      <c r="AI7618">
        <v>94.1786338892055</v>
      </c>
      <c r="AJ7618">
        <v>92.079707790935601</v>
      </c>
      <c r="AK7618">
        <v>15.2428086522713</v>
      </c>
      <c r="AL7618">
        <v>68.208727273420706</v>
      </c>
      <c r="AM7618">
        <v>97.144368408554598</v>
      </c>
      <c r="AN7618">
        <v>0.99999998760592901</v>
      </c>
    </row>
    <row r="7619" spans="1:40" x14ac:dyDescent="0.25">
      <c r="A7619" t="str">
        <f>"20190304164311268"</f>
        <v>20190304164311268</v>
      </c>
      <c r="B7619" t="str">
        <f>"1551688991258952"</f>
        <v>1551688991258952</v>
      </c>
      <c r="C7619" t="s">
        <v>40</v>
      </c>
      <c r="D7619">
        <v>4.1503949999999996</v>
      </c>
      <c r="E7619">
        <v>0.54253079999999998</v>
      </c>
      <c r="F7619" t="s">
        <v>42</v>
      </c>
      <c r="G7619">
        <v>-187.8279</v>
      </c>
      <c r="H7619" s="1">
        <v>-3.9991420000000003E-6</v>
      </c>
      <c r="I7619">
        <v>98.056730000000002</v>
      </c>
      <c r="J7619">
        <v>-187.23009999999999</v>
      </c>
      <c r="K7619">
        <v>1.110689</v>
      </c>
      <c r="L7619">
        <v>82.791600000000003</v>
      </c>
      <c r="M7619">
        <v>-4.1175129999999997E-3</v>
      </c>
      <c r="N7619">
        <v>-1.500341E-2</v>
      </c>
      <c r="O7619">
        <v>0.99987890000000001</v>
      </c>
      <c r="P7619">
        <v>-0.1174096</v>
      </c>
      <c r="Q7619">
        <v>0.357377099999999</v>
      </c>
      <c r="R7619">
        <v>0.92655089999999996</v>
      </c>
      <c r="S7619">
        <v>-0.12687680000000001</v>
      </c>
      <c r="T7619">
        <v>-0.23508680000000001</v>
      </c>
      <c r="U7619">
        <v>3.3129879999999998</v>
      </c>
      <c r="V7619">
        <v>-0.1136335</v>
      </c>
      <c r="W7619">
        <v>0.37123309999999998</v>
      </c>
      <c r="X7619">
        <v>0.9215603</v>
      </c>
      <c r="Y7619">
        <v>-3.4071940000000002E-2</v>
      </c>
      <c r="Z7619">
        <v>-5.576134E-2</v>
      </c>
      <c r="AA7619">
        <v>0.99786260000000004</v>
      </c>
      <c r="AB7619">
        <v>39</v>
      </c>
      <c r="AC7619">
        <v>-0.59780000000000599</v>
      </c>
      <c r="AD7619">
        <v>-1.110692999142</v>
      </c>
      <c r="AE7619">
        <v>15.265129999999999</v>
      </c>
      <c r="AF7619">
        <v>-0.532120726781111</v>
      </c>
      <c r="AG7619">
        <v>-1.110692999142</v>
      </c>
      <c r="AH7619">
        <v>15.1871838809467</v>
      </c>
      <c r="AI7619">
        <v>94.180242340873903</v>
      </c>
      <c r="AJ7619">
        <v>92.006679131425201</v>
      </c>
      <c r="AK7619">
        <v>15.237038611222999</v>
      </c>
      <c r="AL7619">
        <v>68.208313827979794</v>
      </c>
      <c r="AM7619">
        <v>97.029405298846498</v>
      </c>
      <c r="AN7619">
        <v>0.99999998669697399</v>
      </c>
    </row>
    <row r="7620" spans="1:40" x14ac:dyDescent="0.25">
      <c r="A7620" t="str">
        <f>"20190304164311290"</f>
        <v>20190304164311290</v>
      </c>
      <c r="B7620" t="str">
        <f>"1551688991278472"</f>
        <v>1551688991278472</v>
      </c>
      <c r="C7620" t="s">
        <v>40</v>
      </c>
      <c r="D7620">
        <v>4.1005589999999996</v>
      </c>
      <c r="E7620">
        <v>0.54236149999999905</v>
      </c>
      <c r="F7620" t="s">
        <v>42</v>
      </c>
      <c r="G7620">
        <v>-187.81110000000001</v>
      </c>
      <c r="H7620" s="1">
        <v>-4.1540819999999997E-6</v>
      </c>
      <c r="I7620">
        <v>98.410960000000003</v>
      </c>
      <c r="J7620">
        <v>-187.23159999999999</v>
      </c>
      <c r="K7620">
        <v>1.1106910000000001</v>
      </c>
      <c r="L7620">
        <v>83.160550000000001</v>
      </c>
      <c r="M7620">
        <v>-4.1866129999999996E-3</v>
      </c>
      <c r="N7620">
        <v>-1.4999210000000001E-2</v>
      </c>
      <c r="O7620">
        <v>0.99987879999999996</v>
      </c>
      <c r="P7620">
        <v>-0.1160115</v>
      </c>
      <c r="Q7620">
        <v>0.35741489999999998</v>
      </c>
      <c r="R7620">
        <v>0.92671239999999999</v>
      </c>
      <c r="S7620">
        <v>-0.1232452</v>
      </c>
      <c r="T7620">
        <v>-0.23559089999999999</v>
      </c>
      <c r="U7620">
        <v>3.3130489999999999</v>
      </c>
      <c r="V7620">
        <v>-0.1121735</v>
      </c>
      <c r="W7620">
        <v>0.37126890000000001</v>
      </c>
      <c r="X7620">
        <v>0.92172469999999995</v>
      </c>
      <c r="Y7620">
        <v>-3.2910290000000002E-2</v>
      </c>
      <c r="Z7620">
        <v>-5.5918099999999998E-2</v>
      </c>
      <c r="AA7620">
        <v>0.99789280000000002</v>
      </c>
      <c r="AB7620">
        <v>39</v>
      </c>
      <c r="AC7620">
        <v>-0.579500000000024</v>
      </c>
      <c r="AD7620">
        <v>-1.110695154082</v>
      </c>
      <c r="AE7620">
        <v>15.25041</v>
      </c>
      <c r="AF7620">
        <v>-0.51292340761613198</v>
      </c>
      <c r="AG7620">
        <v>-1.110695154082</v>
      </c>
      <c r="AH7620">
        <v>15.1723403765874</v>
      </c>
      <c r="AI7620">
        <v>94.184502024091699</v>
      </c>
      <c r="AJ7620">
        <v>91.936231171100303</v>
      </c>
      <c r="AK7620">
        <v>15.2215848928555</v>
      </c>
      <c r="AL7620">
        <v>68.206104068686599</v>
      </c>
      <c r="AM7620">
        <v>96.938749895782905</v>
      </c>
      <c r="AN7620">
        <v>0.99999995639977401</v>
      </c>
    </row>
    <row r="7621" spans="1:40" x14ac:dyDescent="0.25">
      <c r="A7621" t="str">
        <f>"20190304164311311"</f>
        <v>20190304164311311</v>
      </c>
      <c r="B7621" t="str">
        <f>"1551688991298974"</f>
        <v>1551688991298974</v>
      </c>
      <c r="C7621" t="s">
        <v>40</v>
      </c>
      <c r="D7621">
        <v>4.1310149999999997</v>
      </c>
      <c r="E7621">
        <v>0.5422844</v>
      </c>
      <c r="F7621" t="s">
        <v>42</v>
      </c>
      <c r="G7621">
        <v>-187.79939999999999</v>
      </c>
      <c r="H7621" s="1">
        <v>-4.3113279999999996E-6</v>
      </c>
      <c r="I7621">
        <v>98.772670000000005</v>
      </c>
      <c r="J7621">
        <v>-187.23330000000001</v>
      </c>
      <c r="K7621">
        <v>1.110698</v>
      </c>
      <c r="L7621">
        <v>83.535309999999996</v>
      </c>
      <c r="M7621">
        <v>-4.2566669999999996E-3</v>
      </c>
      <c r="N7621">
        <v>-1.499498E-2</v>
      </c>
      <c r="O7621">
        <v>0.9998785</v>
      </c>
      <c r="P7621">
        <v>-0.1150586</v>
      </c>
      <c r="Q7621">
        <v>0.35772409999999999</v>
      </c>
      <c r="R7621">
        <v>0.92671190000000003</v>
      </c>
      <c r="S7621">
        <v>-0.12048339999999901</v>
      </c>
      <c r="T7621">
        <v>-0.235703</v>
      </c>
      <c r="U7621">
        <v>3.3130799999999998</v>
      </c>
      <c r="V7621">
        <v>-0.1111586</v>
      </c>
      <c r="W7621">
        <v>0.3715735</v>
      </c>
      <c r="X7621">
        <v>0.92172500000000002</v>
      </c>
      <c r="Y7621">
        <v>-3.2009679999999999E-2</v>
      </c>
      <c r="Z7621">
        <v>-5.595733E-2</v>
      </c>
      <c r="AA7621">
        <v>0.99791989999999997</v>
      </c>
      <c r="AB7621">
        <v>39</v>
      </c>
      <c r="AC7621">
        <v>-0.56609999999997695</v>
      </c>
      <c r="AD7621">
        <v>-1.1107023113279999</v>
      </c>
      <c r="AE7621">
        <v>15.237359999999899</v>
      </c>
      <c r="AF7621">
        <v>-0.49858167608308801</v>
      </c>
      <c r="AG7621">
        <v>-1.1107023113279999</v>
      </c>
      <c r="AH7621">
        <v>15.1591954223582</v>
      </c>
      <c r="AI7621">
        <v>94.188271952353702</v>
      </c>
      <c r="AJ7621">
        <v>91.883763034495004</v>
      </c>
      <c r="AK7621">
        <v>15.2080060877605</v>
      </c>
      <c r="AL7621">
        <v>68.187308993901098</v>
      </c>
      <c r="AM7621">
        <v>96.876572539997397</v>
      </c>
      <c r="AN7621">
        <v>1.0000000379406</v>
      </c>
    </row>
    <row r="7622" spans="1:40" x14ac:dyDescent="0.25">
      <c r="A7622" t="str">
        <f>"20190304164311334"</f>
        <v>20190304164311334</v>
      </c>
      <c r="B7622" t="str">
        <f>"1551688991329231"</f>
        <v>1551688991329231</v>
      </c>
      <c r="C7622" t="s">
        <v>40</v>
      </c>
      <c r="D7622">
        <v>4.718763</v>
      </c>
      <c r="E7622">
        <v>0.5394989</v>
      </c>
      <c r="F7622" t="s">
        <v>42</v>
      </c>
      <c r="G7622">
        <v>-187.7919</v>
      </c>
      <c r="H7622" s="1">
        <v>-4.5028670000000003E-6</v>
      </c>
      <c r="I7622">
        <v>99.216059999999999</v>
      </c>
      <c r="J7622">
        <v>-187.23500000000001</v>
      </c>
      <c r="K7622">
        <v>1.110703</v>
      </c>
      <c r="L7622">
        <v>83.919619999999995</v>
      </c>
      <c r="M7622">
        <v>-4.3279709999999999E-3</v>
      </c>
      <c r="N7622">
        <v>-1.4990649999999999E-2</v>
      </c>
      <c r="O7622">
        <v>0.9998783</v>
      </c>
      <c r="P7622">
        <v>-0.1142961</v>
      </c>
      <c r="Q7622">
        <v>0.35838979999999998</v>
      </c>
      <c r="R7622">
        <v>0.92654910000000001</v>
      </c>
      <c r="S7622">
        <v>-0.11804199999999999</v>
      </c>
      <c r="T7622">
        <v>-0.23468149999999999</v>
      </c>
      <c r="U7622">
        <v>3.3132019999999902</v>
      </c>
      <c r="V7622">
        <v>-0.1103325</v>
      </c>
      <c r="W7622">
        <v>0.37223210000000001</v>
      </c>
      <c r="X7622">
        <v>0.9215584</v>
      </c>
      <c r="Y7622">
        <v>-3.120388E-2</v>
      </c>
      <c r="Z7622">
        <v>-5.5654750000000003E-2</v>
      </c>
      <c r="AA7622">
        <v>0.99796240000000003</v>
      </c>
      <c r="AB7622">
        <v>39</v>
      </c>
      <c r="AC7622">
        <v>-0.55689999999998396</v>
      </c>
      <c r="AD7622">
        <v>-1.1107075028669999</v>
      </c>
      <c r="AE7622">
        <v>15.29644</v>
      </c>
      <c r="AF7622">
        <v>-0.48811460686216002</v>
      </c>
      <c r="AG7622">
        <v>-1.1107075028669999</v>
      </c>
      <c r="AH7622">
        <v>15.2185731273594</v>
      </c>
      <c r="AI7622">
        <v>94.172118069318998</v>
      </c>
      <c r="AJ7622">
        <v>91.837052827878594</v>
      </c>
      <c r="AK7622">
        <v>15.266856096103799</v>
      </c>
      <c r="AL7622">
        <v>68.146655945239601</v>
      </c>
      <c r="AM7622">
        <v>96.827174075434797</v>
      </c>
      <c r="AN7622">
        <v>0.99999994071860798</v>
      </c>
    </row>
    <row r="7623" spans="1:40" x14ac:dyDescent="0.25">
      <c r="A7623" t="str">
        <f>"20190304164311356"</f>
        <v>20190304164311356</v>
      </c>
      <c r="B7623" t="str">
        <f>"1551688991348750"</f>
        <v>1551688991348750</v>
      </c>
      <c r="C7623" t="s">
        <v>40</v>
      </c>
      <c r="D7623">
        <v>4.1319549999999996</v>
      </c>
      <c r="E7623">
        <v>0.53911549999999997</v>
      </c>
      <c r="F7623" t="s">
        <v>42</v>
      </c>
      <c r="G7623">
        <v>-187.97890000000001</v>
      </c>
      <c r="H7623" s="1">
        <v>-1.426968E-6</v>
      </c>
      <c r="I7623">
        <v>102.1234</v>
      </c>
      <c r="J7623">
        <v>-187.23670000000001</v>
      </c>
      <c r="K7623">
        <v>1.1107100000000001</v>
      </c>
      <c r="L7623">
        <v>84.313509999999994</v>
      </c>
      <c r="M7623">
        <v>-4.4006160000000004E-3</v>
      </c>
      <c r="N7623">
        <v>-1.498622E-2</v>
      </c>
      <c r="O7623">
        <v>0.99987800000000004</v>
      </c>
      <c r="P7623">
        <v>-0.11333500000000001</v>
      </c>
      <c r="Q7623">
        <v>0.35868820000000001</v>
      </c>
      <c r="R7623">
        <v>0.92655160000000003</v>
      </c>
      <c r="S7623">
        <v>-0.13482669999999999</v>
      </c>
      <c r="T7623">
        <v>-0.20129130000000001</v>
      </c>
      <c r="U7623">
        <v>3.299042</v>
      </c>
      <c r="V7623">
        <v>-0.1093061</v>
      </c>
      <c r="W7623">
        <v>0.37252590000000002</v>
      </c>
      <c r="X7623">
        <v>0.92156199999999999</v>
      </c>
      <c r="Y7623">
        <v>-3.6372790000000002E-2</v>
      </c>
      <c r="Z7623">
        <v>-4.5891590000000003E-2</v>
      </c>
      <c r="AA7623">
        <v>0.99828399999999995</v>
      </c>
      <c r="AB7623">
        <v>39</v>
      </c>
      <c r="AC7623">
        <v>-0.74219999999999597</v>
      </c>
      <c r="AD7623">
        <v>-1.1107114269679901</v>
      </c>
      <c r="AE7623">
        <v>17.809889999999999</v>
      </c>
      <c r="AF7623">
        <v>-0.66124216008650105</v>
      </c>
      <c r="AG7623">
        <v>-1.1107114269679901</v>
      </c>
      <c r="AH7623">
        <v>17.744090212252502</v>
      </c>
      <c r="AI7623">
        <v>93.579342894448601</v>
      </c>
      <c r="AJ7623">
        <v>92.134167564441796</v>
      </c>
      <c r="AK7623">
        <v>17.791111784507098</v>
      </c>
      <c r="AL7623">
        <v>68.128518067597597</v>
      </c>
      <c r="AM7623">
        <v>96.764227356518603</v>
      </c>
      <c r="AN7623">
        <v>0.99999994475600795</v>
      </c>
    </row>
    <row r="7624" spans="1:40" x14ac:dyDescent="0.25">
      <c r="A7624" t="str">
        <f>"20190304164311379"</f>
        <v>20190304164311379</v>
      </c>
      <c r="B7624" t="str">
        <f>"1551688991368274"</f>
        <v>1551688991368274</v>
      </c>
      <c r="C7624" t="s">
        <v>40</v>
      </c>
      <c r="D7624">
        <v>4.1327350000000003</v>
      </c>
      <c r="E7624">
        <v>0.53763539999999999</v>
      </c>
      <c r="F7624" t="s">
        <v>42</v>
      </c>
      <c r="G7624">
        <v>-187.98869999999999</v>
      </c>
      <c r="H7624" s="1">
        <v>-1.6419380000000001E-6</v>
      </c>
      <c r="I7624">
        <v>102.6285</v>
      </c>
      <c r="J7624">
        <v>-187.23849999999999</v>
      </c>
      <c r="K7624">
        <v>1.1107129999999901</v>
      </c>
      <c r="L7624">
        <v>84.704530000000005</v>
      </c>
      <c r="M7624">
        <v>-4.4725720000000002E-3</v>
      </c>
      <c r="N7624">
        <v>-1.4981889999999999E-2</v>
      </c>
      <c r="O7624">
        <v>0.99987780000000004</v>
      </c>
      <c r="P7624">
        <v>-0.1123424</v>
      </c>
      <c r="Q7624">
        <v>0.35903449999999998</v>
      </c>
      <c r="R7624">
        <v>0.92653839999999998</v>
      </c>
      <c r="S7624">
        <v>-0.135437</v>
      </c>
      <c r="T7624">
        <v>-0.20004959999999999</v>
      </c>
      <c r="U7624">
        <v>3.2987060000000001</v>
      </c>
      <c r="V7624">
        <v>-0.108248499999999</v>
      </c>
      <c r="W7624">
        <v>0.37286799999999998</v>
      </c>
      <c r="X7624">
        <v>0.92154849999999999</v>
      </c>
      <c r="Y7624">
        <v>-3.6490149999999999E-2</v>
      </c>
      <c r="Z7624">
        <v>-4.5527379999999999E-2</v>
      </c>
      <c r="AA7624">
        <v>0.99829639999999997</v>
      </c>
      <c r="AB7624">
        <v>39</v>
      </c>
      <c r="AC7624">
        <v>-0.75020000000000597</v>
      </c>
      <c r="AD7624">
        <v>-1.1107146419379901</v>
      </c>
      <c r="AE7624">
        <v>17.923969999999901</v>
      </c>
      <c r="AF7624">
        <v>-0.667458662349941</v>
      </c>
      <c r="AG7624">
        <v>-1.1107146419379901</v>
      </c>
      <c r="AH7624">
        <v>17.858688102206798</v>
      </c>
      <c r="AI7624">
        <v>93.556429516727604</v>
      </c>
      <c r="AJ7624">
        <v>92.140402064929305</v>
      </c>
      <c r="AK7624">
        <v>17.905639581250998</v>
      </c>
      <c r="AL7624">
        <v>68.107395717127005</v>
      </c>
      <c r="AM7624">
        <v>96.699474535231403</v>
      </c>
      <c r="AN7624">
        <v>0.999999960514249</v>
      </c>
    </row>
    <row r="7625" spans="1:40" x14ac:dyDescent="0.25">
      <c r="A7625" t="str">
        <f>"20190304164311401"</f>
        <v>20190304164311401</v>
      </c>
      <c r="B7625" t="str">
        <f>"1551688991388766"</f>
        <v>1551688991388766</v>
      </c>
      <c r="C7625" t="s">
        <v>40</v>
      </c>
      <c r="D7625">
        <v>4.162534</v>
      </c>
      <c r="E7625">
        <v>0.53774460000000002</v>
      </c>
      <c r="F7625" t="s">
        <v>42</v>
      </c>
      <c r="G7625">
        <v>-187.95840000000001</v>
      </c>
      <c r="H7625" s="1">
        <v>-9.654222999999999E-7</v>
      </c>
      <c r="I7625">
        <v>100.8887</v>
      </c>
      <c r="J7625">
        <v>-187.24019999999999</v>
      </c>
      <c r="K7625">
        <v>1.1107119999999999</v>
      </c>
      <c r="L7625">
        <v>85.078400000000002</v>
      </c>
      <c r="M7625">
        <v>-4.5414219999999998E-3</v>
      </c>
      <c r="N7625">
        <v>-1.4977799999999999E-2</v>
      </c>
      <c r="O7625">
        <v>0.99987749999999997</v>
      </c>
      <c r="P7625">
        <v>-0.11201659999999999</v>
      </c>
      <c r="Q7625">
        <v>0.35937740000000001</v>
      </c>
      <c r="R7625">
        <v>0.92644490000000002</v>
      </c>
      <c r="S7625">
        <v>-0.14714050000000001</v>
      </c>
      <c r="T7625">
        <v>-0.22702539999999999</v>
      </c>
      <c r="U7625">
        <v>3.3079830000000001</v>
      </c>
      <c r="V7625">
        <v>-0.1078606</v>
      </c>
      <c r="W7625">
        <v>0.37320560000000003</v>
      </c>
      <c r="X7625">
        <v>0.92145739999999998</v>
      </c>
      <c r="Y7625">
        <v>-3.9810129999999999E-2</v>
      </c>
      <c r="Z7625">
        <v>-5.3457789999999998E-2</v>
      </c>
      <c r="AA7625">
        <v>0.9977762</v>
      </c>
      <c r="AB7625">
        <v>39</v>
      </c>
      <c r="AC7625">
        <v>-0.71820000000002404</v>
      </c>
      <c r="AD7625">
        <v>-1.1107129654223</v>
      </c>
      <c r="AE7625">
        <v>15.8102999999999</v>
      </c>
      <c r="AF7625">
        <v>-0.64321529615735895</v>
      </c>
      <c r="AG7625">
        <v>-1.1107129654223</v>
      </c>
      <c r="AH7625">
        <v>15.7358957307158</v>
      </c>
      <c r="AI7625">
        <v>94.034149578880601</v>
      </c>
      <c r="AJ7625">
        <v>92.340700381087004</v>
      </c>
      <c r="AK7625">
        <v>15.7881545361302</v>
      </c>
      <c r="AL7625">
        <v>68.086549489527499</v>
      </c>
      <c r="AM7625">
        <v>96.676338590802203</v>
      </c>
      <c r="AN7625">
        <v>1.0000000344592299</v>
      </c>
    </row>
    <row r="7626" spans="1:40" x14ac:dyDescent="0.25">
      <c r="A7626" t="str">
        <f>"20190304164311424"</f>
        <v>20190304164311424</v>
      </c>
      <c r="B7626" t="str">
        <f>"1551688991419023"</f>
        <v>1551688991419023</v>
      </c>
      <c r="C7626" t="s">
        <v>40</v>
      </c>
      <c r="D7626">
        <v>4.1650790000000004</v>
      </c>
      <c r="E7626">
        <v>0.53756749999999998</v>
      </c>
      <c r="F7626" t="s">
        <v>42</v>
      </c>
      <c r="G7626">
        <v>-187.99270000000001</v>
      </c>
      <c r="H7626" s="1">
        <v>-1.5089150000000001E-6</v>
      </c>
      <c r="I7626">
        <v>102.3201</v>
      </c>
      <c r="J7626">
        <v>-187.24209999999999</v>
      </c>
      <c r="K7626">
        <v>1.110716</v>
      </c>
      <c r="L7626">
        <v>85.470209999999994</v>
      </c>
      <c r="M7626">
        <v>-4.6137410000000002E-3</v>
      </c>
      <c r="N7626">
        <v>-1.4973510000000001E-2</v>
      </c>
      <c r="O7626">
        <v>0.99987729999999997</v>
      </c>
      <c r="P7626">
        <v>-0.11196929999999999</v>
      </c>
      <c r="Q7626">
        <v>0.35947959999999901</v>
      </c>
      <c r="R7626">
        <v>0.92641099999999998</v>
      </c>
      <c r="S7626">
        <v>-0.14416499999999999</v>
      </c>
      <c r="T7626">
        <v>-0.21279999999999999</v>
      </c>
      <c r="U7626">
        <v>3.3033139999999999</v>
      </c>
      <c r="V7626">
        <v>-0.107747</v>
      </c>
      <c r="W7626">
        <v>0.37330289999999999</v>
      </c>
      <c r="X7626">
        <v>0.92143120000000001</v>
      </c>
      <c r="Y7626">
        <v>-3.8914610000000002E-2</v>
      </c>
      <c r="Z7626">
        <v>-4.9282840000000001E-2</v>
      </c>
      <c r="AA7626">
        <v>0.99802650000000004</v>
      </c>
      <c r="AB7626">
        <v>38</v>
      </c>
      <c r="AC7626">
        <v>-0.75060000000001903</v>
      </c>
      <c r="AD7626">
        <v>-1.1107175089149901</v>
      </c>
      <c r="AE7626">
        <v>16.849889999999998</v>
      </c>
      <c r="AF7626">
        <v>-0.66993700126801903</v>
      </c>
      <c r="AG7626">
        <v>-1.1107175089149901</v>
      </c>
      <c r="AH7626">
        <v>16.780403717422399</v>
      </c>
      <c r="AI7626">
        <v>93.783954949689104</v>
      </c>
      <c r="AJ7626">
        <v>92.286249426730606</v>
      </c>
      <c r="AK7626">
        <v>16.830462200722899</v>
      </c>
      <c r="AL7626">
        <v>68.080538692094194</v>
      </c>
      <c r="AM7626">
        <v>96.669558301928404</v>
      </c>
      <c r="AN7626">
        <v>0.99999996374542399</v>
      </c>
    </row>
    <row r="7627" spans="1:40" x14ac:dyDescent="0.25">
      <c r="A7627" t="str">
        <f>"20190304164311448"</f>
        <v>20190304164311448</v>
      </c>
      <c r="B7627" t="str">
        <f>"1551688991438544"</f>
        <v>1551688991438544</v>
      </c>
      <c r="C7627" t="s">
        <v>40</v>
      </c>
      <c r="D7627">
        <v>4.1590809999999996</v>
      </c>
      <c r="E7627">
        <v>0.53749910000000001</v>
      </c>
      <c r="F7627" t="s">
        <v>42</v>
      </c>
      <c r="G7627">
        <v>-187.97749999999999</v>
      </c>
      <c r="H7627" s="1">
        <v>-1.4019850000000001E-6</v>
      </c>
      <c r="I7627">
        <v>102.0646</v>
      </c>
      <c r="J7627">
        <v>-187.244</v>
      </c>
      <c r="K7627">
        <v>1.110725</v>
      </c>
      <c r="L7627">
        <v>85.880769999999998</v>
      </c>
      <c r="M7627">
        <v>-4.6896719999999998E-3</v>
      </c>
      <c r="N7627">
        <v>-1.496901E-2</v>
      </c>
      <c r="O7627">
        <v>0.99987700000000002</v>
      </c>
      <c r="P7627">
        <v>-0.1113005</v>
      </c>
      <c r="Q7627">
        <v>0.36033939999999998</v>
      </c>
      <c r="R7627">
        <v>0.92615749999999997</v>
      </c>
      <c r="S7627">
        <v>-0.1465302</v>
      </c>
      <c r="T7627">
        <v>-0.22131290000000001</v>
      </c>
      <c r="U7627">
        <v>3.3064580000000001</v>
      </c>
      <c r="V7627">
        <v>-0.1070096</v>
      </c>
      <c r="W7627">
        <v>0.37415520000000002</v>
      </c>
      <c r="X7627">
        <v>0.92117139999999997</v>
      </c>
      <c r="Y7627">
        <v>-3.9503209999999997E-2</v>
      </c>
      <c r="Z7627">
        <v>-5.1782790000000002E-2</v>
      </c>
      <c r="AA7627">
        <v>0.99787680000000001</v>
      </c>
      <c r="AB7627">
        <v>38</v>
      </c>
      <c r="AC7627">
        <v>-0.73349999999996296</v>
      </c>
      <c r="AD7627">
        <v>-1.1107264019850001</v>
      </c>
      <c r="AE7627">
        <v>16.18383</v>
      </c>
      <c r="AF7627">
        <v>-0.65450993669899304</v>
      </c>
      <c r="AG7627">
        <v>-1.1107264019850001</v>
      </c>
      <c r="AH7627">
        <v>16.1113579699478</v>
      </c>
      <c r="AI7627">
        <v>93.940524358436704</v>
      </c>
      <c r="AJ7627">
        <v>92.326312166372801</v>
      </c>
      <c r="AK7627">
        <v>16.162857174185</v>
      </c>
      <c r="AL7627">
        <v>68.027890368308903</v>
      </c>
      <c r="AM7627">
        <v>96.626171826504304</v>
      </c>
      <c r="AN7627">
        <v>0.99999995817857901</v>
      </c>
    </row>
    <row r="7628" spans="1:40" x14ac:dyDescent="0.25">
      <c r="A7628" t="str">
        <f>"20190304164311469"</f>
        <v>20190304164311469</v>
      </c>
      <c r="B7628" t="str">
        <f>"1551688991459038"</f>
        <v>1551688991459038</v>
      </c>
      <c r="C7628" t="s">
        <v>40</v>
      </c>
      <c r="D7628">
        <v>4.1727679999999996</v>
      </c>
      <c r="E7628">
        <v>0.53732040000000003</v>
      </c>
      <c r="F7628" t="s">
        <v>42</v>
      </c>
      <c r="G7628">
        <v>-187.98269999999999</v>
      </c>
      <c r="H7628" s="1">
        <v>-1.6121960000000001E-6</v>
      </c>
      <c r="I7628">
        <v>102.55670000000001</v>
      </c>
      <c r="J7628">
        <v>-187.24590000000001</v>
      </c>
      <c r="K7628">
        <v>1.1107320000000001</v>
      </c>
      <c r="L7628">
        <v>86.253419999999906</v>
      </c>
      <c r="M7628">
        <v>-4.7586140000000004E-3</v>
      </c>
      <c r="N7628">
        <v>-1.4964939999999999E-2</v>
      </c>
      <c r="O7628">
        <v>0.99987669999999995</v>
      </c>
      <c r="P7628">
        <v>-0.1101186</v>
      </c>
      <c r="Q7628">
        <v>0.36082029999999998</v>
      </c>
      <c r="R7628">
        <v>0.92611149999999998</v>
      </c>
      <c r="S7628">
        <v>-0.14649960000000001</v>
      </c>
      <c r="T7628">
        <v>-0.22028629999999999</v>
      </c>
      <c r="U7628">
        <v>3.3072810000000001</v>
      </c>
      <c r="V7628">
        <v>-0.10576430000000001</v>
      </c>
      <c r="W7628">
        <v>0.3746314</v>
      </c>
      <c r="X7628">
        <v>0.92112169999999904</v>
      </c>
      <c r="Y7628">
        <v>-3.9415029999999997E-2</v>
      </c>
      <c r="Z7628">
        <v>-5.1462090000000002E-2</v>
      </c>
      <c r="AA7628">
        <v>0.99789689999999998</v>
      </c>
      <c r="AB7628">
        <v>38</v>
      </c>
      <c r="AC7628">
        <v>-0.73679999999998802</v>
      </c>
      <c r="AD7628">
        <v>-1.1107336121960001</v>
      </c>
      <c r="AE7628">
        <v>16.303280000000001</v>
      </c>
      <c r="AF7628">
        <v>-0.65616250021935496</v>
      </c>
      <c r="AG7628">
        <v>-1.1107336121960001</v>
      </c>
      <c r="AH7628">
        <v>16.2314153627674</v>
      </c>
      <c r="AI7628">
        <v>93.911525314393998</v>
      </c>
      <c r="AJ7628">
        <v>92.314947987691596</v>
      </c>
      <c r="AK7628">
        <v>16.282601851750801</v>
      </c>
      <c r="AL7628">
        <v>67.998466584811794</v>
      </c>
      <c r="AM7628">
        <v>96.550085490124005</v>
      </c>
      <c r="AN7628">
        <v>0.999999979615669</v>
      </c>
    </row>
    <row r="7629" spans="1:40" x14ac:dyDescent="0.25">
      <c r="A7629" t="str">
        <f>"20190304164311490"</f>
        <v>20190304164311490</v>
      </c>
      <c r="B7629" t="str">
        <f>"1551688991478558"</f>
        <v>1551688991478558</v>
      </c>
      <c r="C7629" t="s">
        <v>40</v>
      </c>
      <c r="D7629">
        <v>4.1681330000000001</v>
      </c>
      <c r="E7629">
        <v>0.53702269999999996</v>
      </c>
      <c r="F7629" t="s">
        <v>42</v>
      </c>
      <c r="G7629">
        <v>-187.9794</v>
      </c>
      <c r="H7629" s="1">
        <v>-1.747093E-6</v>
      </c>
      <c r="I7629">
        <v>102.8698</v>
      </c>
      <c r="J7629">
        <v>-187.24760000000001</v>
      </c>
      <c r="K7629">
        <v>1.1107320000000001</v>
      </c>
      <c r="L7629">
        <v>86.600129999999993</v>
      </c>
      <c r="M7629">
        <v>-4.8226759999999997E-3</v>
      </c>
      <c r="N7629">
        <v>-1.4961159999999999E-2</v>
      </c>
      <c r="O7629">
        <v>0.9998764</v>
      </c>
      <c r="P7629">
        <v>-0.10947659999999999</v>
      </c>
      <c r="Q7629">
        <v>0.36081590000000002</v>
      </c>
      <c r="R7629">
        <v>0.92618940000000005</v>
      </c>
      <c r="S7629">
        <v>-0.146041899999999</v>
      </c>
      <c r="T7629">
        <v>-0.22113450000000001</v>
      </c>
      <c r="U7629">
        <v>3.3081360000000002</v>
      </c>
      <c r="V7629">
        <v>-0.10506310000000001</v>
      </c>
      <c r="W7629">
        <v>0.37462479999999998</v>
      </c>
      <c r="X7629">
        <v>0.92120469999999999</v>
      </c>
      <c r="Y7629">
        <v>-3.9201310000000003E-2</v>
      </c>
      <c r="Z7629">
        <v>-5.1703970000000002E-2</v>
      </c>
      <c r="AA7629">
        <v>0.99789269999999997</v>
      </c>
      <c r="AB7629">
        <v>38</v>
      </c>
      <c r="AC7629">
        <v>-0.73179999999999201</v>
      </c>
      <c r="AD7629">
        <v>-1.1107337470929901</v>
      </c>
      <c r="AE7629">
        <v>16.269669999999898</v>
      </c>
      <c r="AF7629">
        <v>-0.65029456720309498</v>
      </c>
      <c r="AG7629">
        <v>-1.1107337470929901</v>
      </c>
      <c r="AH7629">
        <v>16.1976683755903</v>
      </c>
      <c r="AI7629">
        <v>93.919693567401197</v>
      </c>
      <c r="AJ7629">
        <v>92.299042944652498</v>
      </c>
      <c r="AK7629">
        <v>16.248725281900299</v>
      </c>
      <c r="AL7629">
        <v>67.998876011092904</v>
      </c>
      <c r="AM7629">
        <v>96.506451910943298</v>
      </c>
      <c r="AN7629">
        <v>1.00000004752936</v>
      </c>
    </row>
    <row r="7630" spans="1:40" x14ac:dyDescent="0.25">
      <c r="A7630" t="str">
        <f>"20190304164311512"</f>
        <v>20190304164311512</v>
      </c>
      <c r="B7630" t="str">
        <f>"1551688991508815"</f>
        <v>1551688991508815</v>
      </c>
      <c r="C7630" t="s">
        <v>40</v>
      </c>
      <c r="D7630">
        <v>4.1988300000000001</v>
      </c>
      <c r="E7630">
        <v>0.52965439999999997</v>
      </c>
      <c r="F7630" t="s">
        <v>42</v>
      </c>
      <c r="G7630">
        <v>-187.9777</v>
      </c>
      <c r="H7630" s="1">
        <v>-1.8638630000000001E-6</v>
      </c>
      <c r="I7630">
        <v>103.1413</v>
      </c>
      <c r="J7630">
        <v>-187.24950000000001</v>
      </c>
      <c r="K7630">
        <v>1.1107389999999999</v>
      </c>
      <c r="L7630">
        <v>86.988339999999994</v>
      </c>
      <c r="M7630">
        <v>-4.8943779999999996E-3</v>
      </c>
      <c r="N7630">
        <v>-1.495691E-2</v>
      </c>
      <c r="O7630">
        <v>0.99987610000000005</v>
      </c>
      <c r="P7630">
        <v>-0.10830629999999999</v>
      </c>
      <c r="Q7630">
        <v>0.36056909999999998</v>
      </c>
      <c r="R7630">
        <v>0.92642310000000005</v>
      </c>
      <c r="S7630">
        <v>-0.14602660000000001</v>
      </c>
      <c r="T7630">
        <v>-0.22215699999999999</v>
      </c>
      <c r="U7630">
        <v>3.3083800000000001</v>
      </c>
      <c r="V7630">
        <v>-0.103825399999999</v>
      </c>
      <c r="W7630">
        <v>0.37437809999999999</v>
      </c>
      <c r="X7630">
        <v>0.92144530000000002</v>
      </c>
      <c r="Y7630">
        <v>-3.9121080000000003E-2</v>
      </c>
      <c r="Z7630">
        <v>-5.201041E-2</v>
      </c>
      <c r="AA7630">
        <v>0.99787999999999999</v>
      </c>
      <c r="AB7630">
        <v>38</v>
      </c>
      <c r="AC7630">
        <v>-0.72819999999998597</v>
      </c>
      <c r="AD7630">
        <v>-1.1107408638630001</v>
      </c>
      <c r="AE7630">
        <v>16.152959999999901</v>
      </c>
      <c r="AF7630">
        <v>-0.64607498016574505</v>
      </c>
      <c r="AG7630">
        <v>-1.1107408638630001</v>
      </c>
      <c r="AH7630">
        <v>16.080449155810101</v>
      </c>
      <c r="AI7630">
        <v>93.948196769085897</v>
      </c>
      <c r="AJ7630">
        <v>92.300773451888602</v>
      </c>
      <c r="AK7630">
        <v>16.1317080062604</v>
      </c>
      <c r="AL7630">
        <v>68.0141205051859</v>
      </c>
      <c r="AM7630">
        <v>96.4287832056269</v>
      </c>
      <c r="AN7630">
        <v>1.0000000581684201</v>
      </c>
    </row>
    <row r="7631" spans="1:40" x14ac:dyDescent="0.25">
      <c r="A7631" t="str">
        <f>"20190304164311535"</f>
        <v>20190304164311535</v>
      </c>
      <c r="B7631" t="str">
        <f>"1551688991528334"</f>
        <v>1551688991528334</v>
      </c>
      <c r="C7631" t="s">
        <v>40</v>
      </c>
      <c r="D7631">
        <v>4.5638529999999999</v>
      </c>
      <c r="E7631">
        <v>0.52968539999999997</v>
      </c>
      <c r="F7631" t="s">
        <v>42</v>
      </c>
      <c r="G7631">
        <v>-188.16849999999999</v>
      </c>
      <c r="H7631" s="1">
        <v>-1.368251E-6</v>
      </c>
      <c r="I7631">
        <v>102.06489999999999</v>
      </c>
      <c r="J7631">
        <v>-187.25149999999999</v>
      </c>
      <c r="K7631">
        <v>1.110735</v>
      </c>
      <c r="L7631">
        <v>87.380799999999994</v>
      </c>
      <c r="M7631">
        <v>-4.9670130000000002E-3</v>
      </c>
      <c r="N7631">
        <v>-1.49526E-2</v>
      </c>
      <c r="O7631">
        <v>0.99987579999999998</v>
      </c>
      <c r="P7631">
        <v>-0.1072698</v>
      </c>
      <c r="Q7631">
        <v>0.3606586</v>
      </c>
      <c r="R7631">
        <v>0.92650880000000002</v>
      </c>
      <c r="S7631">
        <v>-0.20173650000000001</v>
      </c>
      <c r="T7631">
        <v>-0.24382719999999999</v>
      </c>
      <c r="U7631">
        <v>3.3095699999999999</v>
      </c>
      <c r="V7631">
        <v>-0.1027208</v>
      </c>
      <c r="W7631">
        <v>0.37446469999999998</v>
      </c>
      <c r="X7631">
        <v>0.92153379999999996</v>
      </c>
      <c r="Y7631">
        <v>-5.5742630000000001E-2</v>
      </c>
      <c r="Z7631">
        <v>-5.84299E-2</v>
      </c>
      <c r="AA7631">
        <v>0.99673400000000001</v>
      </c>
      <c r="AB7631">
        <v>38</v>
      </c>
      <c r="AC7631">
        <v>-0.91700000000000104</v>
      </c>
      <c r="AD7631">
        <v>-1.1107363682510001</v>
      </c>
      <c r="AE7631">
        <v>14.684100000000001</v>
      </c>
      <c r="AF7631">
        <v>-0.83926103995768697</v>
      </c>
      <c r="AG7631">
        <v>-1.1107363682510001</v>
      </c>
      <c r="AH7631">
        <v>14.6052315289779</v>
      </c>
      <c r="AI7631">
        <v>94.341870808496694</v>
      </c>
      <c r="AJ7631">
        <v>93.2887731503222</v>
      </c>
      <c r="AK7631">
        <v>14.6714308227929</v>
      </c>
      <c r="AL7631">
        <v>68.008767163009296</v>
      </c>
      <c r="AM7631">
        <v>96.360345005530405</v>
      </c>
      <c r="AN7631">
        <v>0.99999995942058395</v>
      </c>
    </row>
    <row r="7632" spans="1:40" x14ac:dyDescent="0.25">
      <c r="A7632" t="str">
        <f>"20190304164311557"</f>
        <v>20190304164311557</v>
      </c>
      <c r="B7632" t="str">
        <f>"1551688991548830"</f>
        <v>1551688991548830</v>
      </c>
      <c r="C7632" t="s">
        <v>40</v>
      </c>
      <c r="D7632">
        <v>4.1867320000000001</v>
      </c>
      <c r="E7632">
        <v>0.52919469999999902</v>
      </c>
      <c r="F7632" t="s">
        <v>42</v>
      </c>
      <c r="G7632">
        <v>-188.15430000000001</v>
      </c>
      <c r="H7632" s="1">
        <v>-1.5593940000000001E-6</v>
      </c>
      <c r="I7632">
        <v>102.5046</v>
      </c>
      <c r="J7632">
        <v>-187.2534</v>
      </c>
      <c r="K7632">
        <v>1.1107309999999999</v>
      </c>
      <c r="L7632">
        <v>87.753509999999906</v>
      </c>
      <c r="M7632">
        <v>-5.0360769999999999E-3</v>
      </c>
      <c r="N7632">
        <v>-1.49485E-2</v>
      </c>
      <c r="O7632">
        <v>0.99987559999999998</v>
      </c>
      <c r="P7632">
        <v>-0.106104</v>
      </c>
      <c r="Q7632">
        <v>0.36038209999999998</v>
      </c>
      <c r="R7632">
        <v>0.92675059999999998</v>
      </c>
      <c r="S7632">
        <v>-0.19757079999999999</v>
      </c>
      <c r="T7632">
        <v>-0.24307390000000001</v>
      </c>
      <c r="U7632">
        <v>3.3096920000000001</v>
      </c>
      <c r="V7632">
        <v>-0.10148980000000001</v>
      </c>
      <c r="W7632">
        <v>0.37418839999999998</v>
      </c>
      <c r="X7632">
        <v>0.9217824</v>
      </c>
      <c r="Y7632">
        <v>-5.4423150000000003E-2</v>
      </c>
      <c r="Z7632">
        <v>-5.8211060000000002E-2</v>
      </c>
      <c r="AA7632">
        <v>0.99681969999999998</v>
      </c>
      <c r="AB7632">
        <v>38</v>
      </c>
      <c r="AC7632">
        <v>-0.90090000000000703</v>
      </c>
      <c r="AD7632">
        <v>-1.1107325593939901</v>
      </c>
      <c r="AE7632">
        <v>14.75109</v>
      </c>
      <c r="AF7632">
        <v>-0.82194964334173104</v>
      </c>
      <c r="AG7632">
        <v>-1.1107325593939901</v>
      </c>
      <c r="AH7632">
        <v>14.672558498786101</v>
      </c>
      <c r="AI7632">
        <v>94.322360008071001</v>
      </c>
      <c r="AJ7632">
        <v>93.206330687695399</v>
      </c>
      <c r="AK7632">
        <v>14.737479463428899</v>
      </c>
      <c r="AL7632">
        <v>68.025839317329201</v>
      </c>
      <c r="AM7632">
        <v>96.283055173875098</v>
      </c>
      <c r="AN7632">
        <v>0.99999996557417903</v>
      </c>
    </row>
    <row r="7633" spans="1:40" x14ac:dyDescent="0.25">
      <c r="A7633" t="str">
        <f>"20190304164311590"</f>
        <v>20190304164311590</v>
      </c>
      <c r="B7633" t="str">
        <f>"1551688991579086"</f>
        <v>1551688991579086</v>
      </c>
      <c r="C7633" t="s">
        <v>40</v>
      </c>
      <c r="D7633">
        <v>4.1963619999999997</v>
      </c>
      <c r="E7633">
        <v>0.52896759999999998</v>
      </c>
      <c r="F7633" t="s">
        <v>42</v>
      </c>
      <c r="G7633">
        <v>-188.27940000000001</v>
      </c>
      <c r="H7633" s="1">
        <v>-2.6440559999999999E-6</v>
      </c>
      <c r="I7633">
        <v>105.0847</v>
      </c>
      <c r="J7633">
        <v>-187.25620000000001</v>
      </c>
      <c r="K7633">
        <v>1.1107309999999999</v>
      </c>
      <c r="L7633">
        <v>88.301479999999998</v>
      </c>
      <c r="M7633">
        <v>-5.1377619999999997E-3</v>
      </c>
      <c r="N7633">
        <v>-1.4942459999999999E-2</v>
      </c>
      <c r="O7633">
        <v>0.99987510000000002</v>
      </c>
      <c r="P7633">
        <v>-0.1063442</v>
      </c>
      <c r="Q7633">
        <v>0.36021340000000002</v>
      </c>
      <c r="R7633">
        <v>0.92678870000000002</v>
      </c>
      <c r="S7633">
        <v>-0.19519039999999999</v>
      </c>
      <c r="T7633">
        <v>-0.21129629999999999</v>
      </c>
      <c r="U7633">
        <v>3.2969360000000001</v>
      </c>
      <c r="V7633">
        <v>-0.1016355</v>
      </c>
      <c r="W7633">
        <v>0.37401499999999999</v>
      </c>
      <c r="X7633">
        <v>0.92183669999999995</v>
      </c>
      <c r="Y7633">
        <v>-5.3867409999999998E-2</v>
      </c>
      <c r="Z7633">
        <v>-4.8937349999999998E-2</v>
      </c>
      <c r="AA7633">
        <v>0.99734820000000002</v>
      </c>
      <c r="AB7633">
        <v>38</v>
      </c>
      <c r="AC7633">
        <v>-1.0232000000000001</v>
      </c>
      <c r="AD7633">
        <v>-1.1107336440559901</v>
      </c>
      <c r="AE7633">
        <v>16.78322</v>
      </c>
      <c r="AF7633">
        <v>-0.93287784068281099</v>
      </c>
      <c r="AG7633">
        <v>-1.1107336440559901</v>
      </c>
      <c r="AH7633">
        <v>16.715314828523098</v>
      </c>
      <c r="AI7633">
        <v>93.795829236448597</v>
      </c>
      <c r="AJ7633">
        <v>93.194350392330904</v>
      </c>
      <c r="AK7633">
        <v>16.778132795705201</v>
      </c>
      <c r="AL7633">
        <v>68.036551900721506</v>
      </c>
      <c r="AM7633">
        <v>96.291635259405894</v>
      </c>
      <c r="AN7633">
        <v>0.99999994827606797</v>
      </c>
    </row>
    <row r="7634" spans="1:40" x14ac:dyDescent="0.25">
      <c r="A7634" t="str">
        <f>"20190304164311613"</f>
        <v>20190304164311613</v>
      </c>
      <c r="B7634" t="str">
        <f>"1551688991608367"</f>
        <v>1551688991608367</v>
      </c>
      <c r="C7634" t="s">
        <v>40</v>
      </c>
      <c r="D7634">
        <v>4.2240289999999998</v>
      </c>
      <c r="E7634">
        <v>0.52813030000000005</v>
      </c>
      <c r="F7634" t="s">
        <v>42</v>
      </c>
      <c r="G7634">
        <v>-188.28880000000001</v>
      </c>
      <c r="H7634" s="1">
        <v>-2.8133420000000001E-6</v>
      </c>
      <c r="I7634">
        <v>105.4832</v>
      </c>
      <c r="J7634">
        <v>-187.25829999999999</v>
      </c>
      <c r="K7634">
        <v>1.1107309999999999</v>
      </c>
      <c r="L7634">
        <v>88.689449999999994</v>
      </c>
      <c r="M7634">
        <v>-5.2098279999999997E-3</v>
      </c>
      <c r="N7634">
        <v>-1.493822E-2</v>
      </c>
      <c r="O7634">
        <v>0.99987479999999995</v>
      </c>
      <c r="P7634">
        <v>-0.10670399999999999</v>
      </c>
      <c r="Q7634">
        <v>0.36047230000000002</v>
      </c>
      <c r="R7634">
        <v>0.92664659999999999</v>
      </c>
      <c r="S7634">
        <v>-0.19813539999999999</v>
      </c>
      <c r="T7634">
        <v>-0.2131449</v>
      </c>
      <c r="U7634">
        <v>3.2970890000000002</v>
      </c>
      <c r="V7634">
        <v>-0.1019293</v>
      </c>
      <c r="W7634">
        <v>0.37426799999999999</v>
      </c>
      <c r="X7634">
        <v>0.92170169999999996</v>
      </c>
      <c r="Y7634">
        <v>-5.4678030000000002E-2</v>
      </c>
      <c r="Z7634">
        <v>-4.9492319999999999E-2</v>
      </c>
      <c r="AA7634">
        <v>0.99727670000000002</v>
      </c>
      <c r="AB7634">
        <v>38</v>
      </c>
      <c r="AC7634">
        <v>-1.03050000000001</v>
      </c>
      <c r="AD7634">
        <v>-1.1107338133419999</v>
      </c>
      <c r="AE7634">
        <v>16.793749999999999</v>
      </c>
      <c r="AF7634">
        <v>-0.93889195486074395</v>
      </c>
      <c r="AG7634">
        <v>-1.1107338133419999</v>
      </c>
      <c r="AH7634">
        <v>16.7259985877274</v>
      </c>
      <c r="AI7634">
        <v>93.793343942146194</v>
      </c>
      <c r="AJ7634">
        <v>93.212851579188197</v>
      </c>
      <c r="AK7634">
        <v>16.789111842609799</v>
      </c>
      <c r="AL7634">
        <v>68.020923642364494</v>
      </c>
      <c r="AM7634">
        <v>96.310592861840504</v>
      </c>
      <c r="AN7634">
        <v>1.0000000709026799</v>
      </c>
    </row>
    <row r="7635" spans="1:40" x14ac:dyDescent="0.25">
      <c r="A7635" t="str">
        <f>"20190304164311635"</f>
        <v>20190304164311635</v>
      </c>
      <c r="B7635" t="str">
        <f>"1551688991628863"</f>
        <v>1551688991628863</v>
      </c>
      <c r="C7635" t="s">
        <v>40</v>
      </c>
      <c r="D7635">
        <v>4.2776560000000003</v>
      </c>
      <c r="E7635">
        <v>0.52800179999999997</v>
      </c>
      <c r="F7635" t="s">
        <v>42</v>
      </c>
      <c r="G7635">
        <v>-188.1763</v>
      </c>
      <c r="H7635" s="1">
        <v>-1.8561549999999999E-6</v>
      </c>
      <c r="I7635">
        <v>103.2054</v>
      </c>
      <c r="J7635">
        <v>-187.26050000000001</v>
      </c>
      <c r="K7635">
        <v>1.1107320000000001</v>
      </c>
      <c r="L7635">
        <v>89.090360000000004</v>
      </c>
      <c r="M7635">
        <v>-5.2843150000000004E-3</v>
      </c>
      <c r="N7635">
        <v>-1.493388E-2</v>
      </c>
      <c r="O7635">
        <v>0.9998745</v>
      </c>
      <c r="P7635">
        <v>-0.1072422</v>
      </c>
      <c r="Q7635">
        <v>0.36003770000000002</v>
      </c>
      <c r="R7635">
        <v>0.92675350000000001</v>
      </c>
      <c r="S7635">
        <v>-0.20944209999999999</v>
      </c>
      <c r="T7635">
        <v>-0.25342360000000003</v>
      </c>
      <c r="U7635">
        <v>3.3119510000000001</v>
      </c>
      <c r="V7635">
        <v>-0.1023979</v>
      </c>
      <c r="W7635">
        <v>0.37383100000000002</v>
      </c>
      <c r="X7635">
        <v>0.92182699999999995</v>
      </c>
      <c r="Y7635">
        <v>-5.7679139999999997E-2</v>
      </c>
      <c r="Z7635">
        <v>-6.1257760000000001E-2</v>
      </c>
      <c r="AA7635">
        <v>0.99645399999999995</v>
      </c>
      <c r="AB7635">
        <v>38</v>
      </c>
      <c r="AC7635">
        <v>-0.91579999999998996</v>
      </c>
      <c r="AD7635">
        <v>-1.110733856155</v>
      </c>
      <c r="AE7635">
        <v>14.115039999999899</v>
      </c>
      <c r="AF7635">
        <v>-0.83603524807859997</v>
      </c>
      <c r="AG7635">
        <v>-1.110733856155</v>
      </c>
      <c r="AH7635">
        <v>14.0331488374679</v>
      </c>
      <c r="AI7635">
        <v>94.517590653563104</v>
      </c>
      <c r="AJ7635">
        <v>93.409408725812199</v>
      </c>
      <c r="AK7635">
        <v>14.1018421112196</v>
      </c>
      <c r="AL7635">
        <v>68.047919672548204</v>
      </c>
      <c r="AM7635">
        <v>96.338514248699695</v>
      </c>
      <c r="AN7635">
        <v>0.99999998220720399</v>
      </c>
    </row>
    <row r="7636" spans="1:40" x14ac:dyDescent="0.25">
      <c r="A7636" t="str">
        <f>"20190304164311658"</f>
        <v>20190304164311658</v>
      </c>
      <c r="B7636" t="str">
        <f>"1551688991648382"</f>
        <v>1551688991648382</v>
      </c>
      <c r="C7636" t="s">
        <v>40</v>
      </c>
      <c r="D7636">
        <v>5.0017399999999999</v>
      </c>
      <c r="E7636">
        <v>0.53138109999999905</v>
      </c>
      <c r="F7636" t="s">
        <v>42</v>
      </c>
      <c r="G7636">
        <v>-188.18809999999999</v>
      </c>
      <c r="H7636" s="1">
        <v>-2.027811E-6</v>
      </c>
      <c r="I7636">
        <v>103.6105</v>
      </c>
      <c r="J7636">
        <v>-187.26259999999999</v>
      </c>
      <c r="K7636">
        <v>1.1107389999999999</v>
      </c>
      <c r="L7636">
        <v>89.474699999999999</v>
      </c>
      <c r="M7636">
        <v>-5.3559530000000001E-3</v>
      </c>
      <c r="N7636">
        <v>-1.492956E-2</v>
      </c>
      <c r="O7636">
        <v>0.99987420000000005</v>
      </c>
      <c r="P7636">
        <v>-0.1071428</v>
      </c>
      <c r="Q7636">
        <v>0.36052640000000002</v>
      </c>
      <c r="R7636">
        <v>0.92657489999999998</v>
      </c>
      <c r="S7636">
        <v>-0.21151729999999999</v>
      </c>
      <c r="T7636">
        <v>-0.2532799</v>
      </c>
      <c r="U7636">
        <v>3.3110050000000002</v>
      </c>
      <c r="V7636">
        <v>-0.1022323</v>
      </c>
      <c r="W7636">
        <v>0.3743126</v>
      </c>
      <c r="X7636">
        <v>0.92164990000000002</v>
      </c>
      <c r="Y7636">
        <v>-5.8247279999999999E-2</v>
      </c>
      <c r="Z7636">
        <v>-6.1237979999999997E-2</v>
      </c>
      <c r="AA7636">
        <v>0.99642220000000004</v>
      </c>
      <c r="AB7636">
        <v>38</v>
      </c>
      <c r="AC7636">
        <v>-0.92549999999999899</v>
      </c>
      <c r="AD7636">
        <v>-1.1107410278109999</v>
      </c>
      <c r="AE7636">
        <v>14.1358</v>
      </c>
      <c r="AF7636">
        <v>-0.84457523400319301</v>
      </c>
      <c r="AG7636">
        <v>-1.1107410278109999</v>
      </c>
      <c r="AH7636">
        <v>14.054151096865001</v>
      </c>
      <c r="AI7636">
        <v>94.510757635420205</v>
      </c>
      <c r="AJ7636">
        <v>93.439017443592604</v>
      </c>
      <c r="AK7636">
        <v>14.123250900917499</v>
      </c>
      <c r="AL7636">
        <v>68.0181651917366</v>
      </c>
      <c r="AM7636">
        <v>96.329552861500602</v>
      </c>
      <c r="AN7636">
        <v>0.99999995192602797</v>
      </c>
    </row>
    <row r="7637" spans="1:40" x14ac:dyDescent="0.25">
      <c r="A7637" t="str">
        <f>"20190304164311680"</f>
        <v>20190304164311680</v>
      </c>
      <c r="B7637" t="str">
        <f>"1551688991668700"</f>
        <v>1551688991668700</v>
      </c>
      <c r="C7637" t="s">
        <v>40</v>
      </c>
      <c r="D7637">
        <v>4.3069899999999999</v>
      </c>
      <c r="E7637">
        <v>0.57371289999999997</v>
      </c>
      <c r="F7637" t="s">
        <v>42</v>
      </c>
      <c r="G7637">
        <v>-188.07300000000001</v>
      </c>
      <c r="H7637" s="1">
        <v>-2.2426910000000001E-6</v>
      </c>
      <c r="I7637">
        <v>104.0638</v>
      </c>
      <c r="J7637">
        <v>-187.2646</v>
      </c>
      <c r="K7637">
        <v>1.1107340000000001</v>
      </c>
      <c r="L7637">
        <v>89.832980000000006</v>
      </c>
      <c r="M7637">
        <v>-5.4226450000000002E-3</v>
      </c>
      <c r="N7637">
        <v>-1.492541E-2</v>
      </c>
      <c r="O7637">
        <v>0.99987389999999998</v>
      </c>
      <c r="P7637">
        <v>-0.106101399999999</v>
      </c>
      <c r="Q7637">
        <v>0.36101060000000001</v>
      </c>
      <c r="R7637">
        <v>0.9265063</v>
      </c>
      <c r="S7637">
        <v>-0.18412780000000001</v>
      </c>
      <c r="T7637">
        <v>-0.25236059999999999</v>
      </c>
      <c r="U7637">
        <v>3.3146360000000001</v>
      </c>
      <c r="V7637">
        <v>-0.1011291</v>
      </c>
      <c r="W7637">
        <v>0.37479279999999998</v>
      </c>
      <c r="X7637">
        <v>0.92157659999999997</v>
      </c>
      <c r="Y7637">
        <v>-4.9911810000000001E-2</v>
      </c>
      <c r="Z7637">
        <v>-6.0919859999999999E-2</v>
      </c>
      <c r="AA7637">
        <v>0.9968939</v>
      </c>
      <c r="AB7637">
        <v>38</v>
      </c>
      <c r="AC7637">
        <v>-0.80839999999997703</v>
      </c>
      <c r="AD7637">
        <v>-1.1107362426909999</v>
      </c>
      <c r="AE7637">
        <v>14.2308199999999</v>
      </c>
      <c r="AF7637">
        <v>-0.72679739994826098</v>
      </c>
      <c r="AG7637">
        <v>-1.1107362426909999</v>
      </c>
      <c r="AH7637">
        <v>14.1490755420045</v>
      </c>
      <c r="AI7637">
        <v>94.482764057771703</v>
      </c>
      <c r="AJ7637">
        <v>92.940535279447303</v>
      </c>
      <c r="AK7637">
        <v>14.211203613865701</v>
      </c>
      <c r="AL7637">
        <v>67.988494745626895</v>
      </c>
      <c r="AM7637">
        <v>96.262289551800805</v>
      </c>
      <c r="AN7637">
        <v>1.0000000837331</v>
      </c>
    </row>
    <row r="7638" spans="1:40" x14ac:dyDescent="0.25">
      <c r="A7638" t="str">
        <f>"20190304164311701"</f>
        <v>20190304164311701</v>
      </c>
      <c r="B7638" t="str">
        <f>"1551688991689195"</f>
        <v>1551688991689195</v>
      </c>
      <c r="C7638" t="s">
        <v>40</v>
      </c>
      <c r="D7638">
        <v>4.2963290000000001</v>
      </c>
      <c r="E7638">
        <v>0.57672409999999996</v>
      </c>
      <c r="F7638" t="s">
        <v>41</v>
      </c>
      <c r="G7638">
        <v>-187.23050000000001</v>
      </c>
      <c r="H7638">
        <v>1.044036</v>
      </c>
      <c r="I7638">
        <v>90.599010000000007</v>
      </c>
      <c r="J7638">
        <v>-187.26660000000001</v>
      </c>
      <c r="K7638">
        <v>1.1107400000000001</v>
      </c>
      <c r="L7638">
        <v>90.200100000000006</v>
      </c>
      <c r="M7638">
        <v>-5.4909579999999998E-3</v>
      </c>
      <c r="N7638">
        <v>-1.492107E-2</v>
      </c>
      <c r="O7638">
        <v>0.99987360000000003</v>
      </c>
      <c r="P7638">
        <v>-0.105804</v>
      </c>
      <c r="Q7638">
        <v>0.36137829999999999</v>
      </c>
      <c r="R7638">
        <v>0.92639700000000003</v>
      </c>
      <c r="S7638">
        <v>0.1500244</v>
      </c>
      <c r="T7638">
        <v>-0.29334949999999999</v>
      </c>
      <c r="U7638">
        <v>3.3694760000000001</v>
      </c>
      <c r="V7638">
        <v>-0.1007691</v>
      </c>
      <c r="W7638">
        <v>0.37515480000000001</v>
      </c>
      <c r="X7638">
        <v>0.92146859999999997</v>
      </c>
      <c r="Y7638">
        <v>4.9813379999999997E-2</v>
      </c>
      <c r="Z7638">
        <v>-7.1758050000000004E-2</v>
      </c>
      <c r="AA7638">
        <v>0.99617739999999999</v>
      </c>
      <c r="AB7638">
        <v>38</v>
      </c>
      <c r="AC7638">
        <v>3.6100000000004601E-2</v>
      </c>
      <c r="AD7638">
        <v>-6.6704000000000097E-2</v>
      </c>
      <c r="AE7638">
        <v>0.398909999999986</v>
      </c>
      <c r="AF7638">
        <v>3.7256818940838897E-2</v>
      </c>
      <c r="AG7638">
        <v>-6.6704000000000097E-2</v>
      </c>
      <c r="AH7638">
        <v>0.38794645293029001</v>
      </c>
      <c r="AI7638">
        <v>99.712283974241203</v>
      </c>
      <c r="AJ7638">
        <v>84.514366717961806</v>
      </c>
      <c r="AK7638">
        <v>0.395398462964621</v>
      </c>
      <c r="AL7638">
        <v>67.966118286060393</v>
      </c>
      <c r="AM7638">
        <v>96.240898795953996</v>
      </c>
      <c r="AN7638">
        <v>0.99999995813190401</v>
      </c>
    </row>
    <row r="7639" spans="1:40" x14ac:dyDescent="0.25">
      <c r="A7639" t="str">
        <f>"20190304164311726"</f>
        <v>20190304164311726</v>
      </c>
      <c r="B7639" t="str">
        <f>"1551688991718476"</f>
        <v>1551688991718476</v>
      </c>
      <c r="C7639" t="s">
        <v>40</v>
      </c>
      <c r="D7639">
        <v>4.2910560000000002</v>
      </c>
      <c r="E7639">
        <v>0.57880109999999996</v>
      </c>
      <c r="F7639" t="s">
        <v>41</v>
      </c>
      <c r="G7639">
        <v>-187.22880000000001</v>
      </c>
      <c r="H7639">
        <v>1.0427249999999999</v>
      </c>
      <c r="I7639">
        <v>90.935500000000005</v>
      </c>
      <c r="J7639">
        <v>-187.2689</v>
      </c>
      <c r="K7639">
        <v>1.110749</v>
      </c>
      <c r="L7639">
        <v>90.604889999999997</v>
      </c>
      <c r="M7639">
        <v>-5.5662619999999998E-3</v>
      </c>
      <c r="N7639">
        <v>-1.491638E-2</v>
      </c>
      <c r="O7639">
        <v>0.99987329999999996</v>
      </c>
      <c r="P7639">
        <v>-0.1056658</v>
      </c>
      <c r="Q7639">
        <v>0.36187229999999998</v>
      </c>
      <c r="R7639">
        <v>0.92621980000000004</v>
      </c>
      <c r="S7639">
        <v>0.17320250000000001</v>
      </c>
      <c r="T7639">
        <v>-0.31269219999999998</v>
      </c>
      <c r="U7639">
        <v>3.380096</v>
      </c>
      <c r="V7639">
        <v>-0.10056229999999999</v>
      </c>
      <c r="W7639">
        <v>0.37564189999999997</v>
      </c>
      <c r="X7639">
        <v>0.92129280000000002</v>
      </c>
      <c r="Y7639">
        <v>5.6535870000000002E-2</v>
      </c>
      <c r="Z7639">
        <v>-7.7115509999999998E-2</v>
      </c>
      <c r="AA7639">
        <v>0.99541800000000003</v>
      </c>
      <c r="AB7639">
        <v>38</v>
      </c>
      <c r="AC7639">
        <v>4.0099999999995299E-2</v>
      </c>
      <c r="AD7639">
        <v>-6.8024000000000001E-2</v>
      </c>
      <c r="AE7639">
        <v>0.33061000000000701</v>
      </c>
      <c r="AF7639">
        <v>4.0260169713682299E-2</v>
      </c>
      <c r="AG7639">
        <v>-6.8024000000000001E-2</v>
      </c>
      <c r="AH7639">
        <v>0.31714998099036001</v>
      </c>
      <c r="AI7639">
        <v>102.01212210696499</v>
      </c>
      <c r="AJ7639">
        <v>82.765361493432593</v>
      </c>
      <c r="AK7639">
        <v>0.32685204035398002</v>
      </c>
      <c r="AL7639">
        <v>67.936008696737304</v>
      </c>
      <c r="AM7639">
        <v>96.229370990933504</v>
      </c>
      <c r="AN7639">
        <v>1.00000001827436</v>
      </c>
    </row>
    <row r="7640" spans="1:40" x14ac:dyDescent="0.25">
      <c r="A7640" t="str">
        <f>"20190304164311746"</f>
        <v>20190304164311746</v>
      </c>
      <c r="B7640" t="str">
        <f>"1551688991738971"</f>
        <v>1551688991738971</v>
      </c>
      <c r="C7640" t="s">
        <v>40</v>
      </c>
      <c r="D7640">
        <v>4.2954569999999999</v>
      </c>
      <c r="E7640">
        <v>0.57941009999999904</v>
      </c>
      <c r="F7640" t="s">
        <v>41</v>
      </c>
      <c r="G7640">
        <v>-187.2132</v>
      </c>
      <c r="H7640">
        <v>1.0164850000000001</v>
      </c>
      <c r="I7640">
        <v>91.596369999999993</v>
      </c>
      <c r="J7640">
        <v>-187.27099999999999</v>
      </c>
      <c r="K7640">
        <v>1.110749</v>
      </c>
      <c r="L7640">
        <v>90.967219999999998</v>
      </c>
      <c r="M7640">
        <v>-5.633664E-3</v>
      </c>
      <c r="N7640">
        <v>-1.4912190000000001E-2</v>
      </c>
      <c r="O7640">
        <v>0.99987289999999995</v>
      </c>
      <c r="P7640">
        <v>-0.105307399999999</v>
      </c>
      <c r="Q7640">
        <v>0.3617339</v>
      </c>
      <c r="R7640">
        <v>0.92631470000000005</v>
      </c>
      <c r="S7640">
        <v>0.18977359999999999</v>
      </c>
      <c r="T7640">
        <v>-0.32199949999999999</v>
      </c>
      <c r="U7640">
        <v>3.386444</v>
      </c>
      <c r="V7640">
        <v>-0.10014049999999999</v>
      </c>
      <c r="W7640">
        <v>0.37550119999999998</v>
      </c>
      <c r="X7640">
        <v>0.92139610000000005</v>
      </c>
      <c r="Y7640">
        <v>6.1347980000000003E-2</v>
      </c>
      <c r="Z7640">
        <v>-7.963489E-2</v>
      </c>
      <c r="AA7640">
        <v>0.99493450000000005</v>
      </c>
      <c r="AB7640">
        <v>38</v>
      </c>
      <c r="AC7640">
        <v>5.7799999999986001E-2</v>
      </c>
      <c r="AD7640">
        <v>-9.4263999999999903E-2</v>
      </c>
      <c r="AE7640">
        <v>0.62914999999999499</v>
      </c>
      <c r="AF7640">
        <v>6.0008091626721799E-2</v>
      </c>
      <c r="AG7640">
        <v>-9.4263999999999903E-2</v>
      </c>
      <c r="AH7640">
        <v>0.61512149300205199</v>
      </c>
      <c r="AI7640">
        <v>98.671948031185394</v>
      </c>
      <c r="AJ7640">
        <v>84.428149245597695</v>
      </c>
      <c r="AK7640">
        <v>0.62518887059012396</v>
      </c>
      <c r="AL7640">
        <v>67.944707071743196</v>
      </c>
      <c r="AM7640">
        <v>96.202756503322504</v>
      </c>
      <c r="AN7640">
        <v>1.00000002201844</v>
      </c>
    </row>
    <row r="7641" spans="1:40" x14ac:dyDescent="0.25">
      <c r="A7641" t="str">
        <f>"20190304164311768"</f>
        <v>20190304164311768</v>
      </c>
      <c r="B7641" t="str">
        <f>"1551688991758998"</f>
        <v>1551688991758998</v>
      </c>
      <c r="C7641" t="s">
        <v>40</v>
      </c>
      <c r="D7641">
        <v>4.29129</v>
      </c>
      <c r="E7641">
        <v>0.57983390000000001</v>
      </c>
      <c r="F7641" t="s">
        <v>41</v>
      </c>
      <c r="G7641">
        <v>-187.21520000000001</v>
      </c>
      <c r="H7641">
        <v>1.017636</v>
      </c>
      <c r="I7641">
        <v>91.933629999999994</v>
      </c>
      <c r="J7641">
        <v>-187.2731</v>
      </c>
      <c r="K7641">
        <v>1.110744</v>
      </c>
      <c r="L7641">
        <v>91.329930000000004</v>
      </c>
      <c r="M7641">
        <v>-5.7010659999999899E-3</v>
      </c>
      <c r="N7641">
        <v>-1.490812E-2</v>
      </c>
      <c r="O7641">
        <v>0.9998726</v>
      </c>
      <c r="P7641">
        <v>-0.1053878</v>
      </c>
      <c r="Q7641">
        <v>0.36128710000000003</v>
      </c>
      <c r="R7641">
        <v>0.92647990000000002</v>
      </c>
      <c r="S7641">
        <v>0.19549559999999999</v>
      </c>
      <c r="T7641">
        <v>-0.32646039999999998</v>
      </c>
      <c r="U7641">
        <v>3.3883359999999998</v>
      </c>
      <c r="V7641">
        <v>-0.10015789999999999</v>
      </c>
      <c r="W7641">
        <v>0.37505349999999998</v>
      </c>
      <c r="X7641">
        <v>0.92157650000000002</v>
      </c>
      <c r="Y7641">
        <v>6.3051189999999993E-2</v>
      </c>
      <c r="Z7641">
        <v>-8.0874979999999999E-2</v>
      </c>
      <c r="AA7641">
        <v>0.99472799999999995</v>
      </c>
      <c r="AB7641">
        <v>38</v>
      </c>
      <c r="AC7641">
        <v>5.7899999999989397E-2</v>
      </c>
      <c r="AD7641">
        <v>-9.3107999999999899E-2</v>
      </c>
      <c r="AE7641">
        <v>0.60370000000000301</v>
      </c>
      <c r="AF7641">
        <v>5.9928670880771001E-2</v>
      </c>
      <c r="AG7641">
        <v>-9.3107999999999899E-2</v>
      </c>
      <c r="AH7641">
        <v>0.58946647808150199</v>
      </c>
      <c r="AI7641">
        <v>98.930596849302205</v>
      </c>
      <c r="AJ7641">
        <v>84.194915564494295</v>
      </c>
      <c r="AK7641">
        <v>0.59977601989354801</v>
      </c>
      <c r="AL7641">
        <v>67.972380245217295</v>
      </c>
      <c r="AM7641">
        <v>96.202620923817307</v>
      </c>
      <c r="AN7641">
        <v>0.999999989073454</v>
      </c>
    </row>
    <row r="7642" spans="1:40" x14ac:dyDescent="0.25">
      <c r="A7642" t="str">
        <f>"20190304164311791"</f>
        <v>20190304164311791</v>
      </c>
      <c r="B7642" t="str">
        <f>"1551688991778518"</f>
        <v>1551688991778518</v>
      </c>
      <c r="C7642" t="s">
        <v>40</v>
      </c>
      <c r="D7642">
        <v>4.2831250000000001</v>
      </c>
      <c r="E7642">
        <v>0.58019569999999998</v>
      </c>
      <c r="F7642" t="s">
        <v>41</v>
      </c>
      <c r="G7642">
        <v>-187.21789999999999</v>
      </c>
      <c r="H7642">
        <v>1.0191250000000001</v>
      </c>
      <c r="I7642">
        <v>92.270679999999999</v>
      </c>
      <c r="J7642">
        <v>-187.27529999999999</v>
      </c>
      <c r="K7642">
        <v>1.110744</v>
      </c>
      <c r="L7642">
        <v>91.698359999999994</v>
      </c>
      <c r="M7642">
        <v>-5.7694579999999999E-3</v>
      </c>
      <c r="N7642">
        <v>-1.4903960000000001E-2</v>
      </c>
      <c r="O7642">
        <v>0.99987230000000005</v>
      </c>
      <c r="P7642">
        <v>-0.1056682</v>
      </c>
      <c r="Q7642">
        <v>0.36067189999999999</v>
      </c>
      <c r="R7642">
        <v>0.9266877</v>
      </c>
      <c r="S7642">
        <v>0.1985016</v>
      </c>
      <c r="T7642">
        <v>-0.3301268</v>
      </c>
      <c r="U7642">
        <v>3.3893740000000001</v>
      </c>
      <c r="V7642">
        <v>-0.1003729</v>
      </c>
      <c r="W7642">
        <v>0.37443769999999998</v>
      </c>
      <c r="X7642">
        <v>0.9218035</v>
      </c>
      <c r="Y7642">
        <v>6.3974939999999994E-2</v>
      </c>
      <c r="Z7642">
        <v>-8.1910830000000004E-2</v>
      </c>
      <c r="AA7642">
        <v>0.99458429999999998</v>
      </c>
      <c r="AB7642">
        <v>38</v>
      </c>
      <c r="AC7642">
        <v>5.74000000000012E-2</v>
      </c>
      <c r="AD7642">
        <v>-9.1618999999999895E-2</v>
      </c>
      <c r="AE7642">
        <v>0.57232000000000405</v>
      </c>
      <c r="AF7642">
        <v>5.91994080572028E-2</v>
      </c>
      <c r="AG7642">
        <v>-9.1618999999999895E-2</v>
      </c>
      <c r="AH7642">
        <v>0.55782636259173102</v>
      </c>
      <c r="AI7642">
        <v>99.275972685547103</v>
      </c>
      <c r="AJ7642">
        <v>83.942151003999697</v>
      </c>
      <c r="AK7642">
        <v>0.56839146886423697</v>
      </c>
      <c r="AL7642">
        <v>68.010436500168694</v>
      </c>
      <c r="AM7642">
        <v>96.214312710522094</v>
      </c>
      <c r="AN7642">
        <v>1.0000000014239701</v>
      </c>
    </row>
    <row r="7643" spans="1:40" x14ac:dyDescent="0.25">
      <c r="A7643" t="str">
        <f>"20190304164311814"</f>
        <v>20190304164311814</v>
      </c>
      <c r="B7643" t="str">
        <f>"1551688991808775"</f>
        <v>1551688991808775</v>
      </c>
      <c r="C7643" t="s">
        <v>40</v>
      </c>
      <c r="D7643">
        <v>4.3101919999999998</v>
      </c>
      <c r="E7643">
        <v>0.58052179999999998</v>
      </c>
      <c r="F7643" t="s">
        <v>41</v>
      </c>
      <c r="G7643">
        <v>-187.2216</v>
      </c>
      <c r="H7643">
        <v>1.0213920000000001</v>
      </c>
      <c r="I7643">
        <v>92.607709999999997</v>
      </c>
      <c r="J7643">
        <v>-187.27760000000001</v>
      </c>
      <c r="K7643">
        <v>1.110751</v>
      </c>
      <c r="L7643">
        <v>92.081729999999993</v>
      </c>
      <c r="M7643">
        <v>-5.8408230000000002E-3</v>
      </c>
      <c r="N7643">
        <v>-1.489964E-2</v>
      </c>
      <c r="O7643">
        <v>0.99987190000000004</v>
      </c>
      <c r="P7643">
        <v>-0.106076</v>
      </c>
      <c r="Q7643">
        <v>0.36114930000000001</v>
      </c>
      <c r="R7643">
        <v>0.92645509999999998</v>
      </c>
      <c r="S7643">
        <v>0.1999359</v>
      </c>
      <c r="T7643">
        <v>-0.33309610000000001</v>
      </c>
      <c r="U7643">
        <v>3.3897710000000001</v>
      </c>
      <c r="V7643">
        <v>-0.10071629999999999</v>
      </c>
      <c r="W7643">
        <v>0.3749073</v>
      </c>
      <c r="X7643">
        <v>0.92157520000000004</v>
      </c>
      <c r="Y7643">
        <v>6.445381E-2</v>
      </c>
      <c r="Z7643">
        <v>-8.2764199999999996E-2</v>
      </c>
      <c r="AA7643">
        <v>0.99448270000000005</v>
      </c>
      <c r="AB7643">
        <v>38</v>
      </c>
      <c r="AC7643">
        <v>5.6000000000011603E-2</v>
      </c>
      <c r="AD7643">
        <v>-8.9358999999999897E-2</v>
      </c>
      <c r="AE7643">
        <v>0.52597999999998901</v>
      </c>
      <c r="AF7643">
        <v>5.7432461063762097E-2</v>
      </c>
      <c r="AG7643">
        <v>-8.9358999999999897E-2</v>
      </c>
      <c r="AH7643">
        <v>0.51105866042011805</v>
      </c>
      <c r="AI7643">
        <v>99.857129235683203</v>
      </c>
      <c r="AJ7643">
        <v>83.588037376849798</v>
      </c>
      <c r="AK7643">
        <v>0.52198129550324501</v>
      </c>
      <c r="AL7643">
        <v>67.981417698974994</v>
      </c>
      <c r="AM7643">
        <v>96.236938702457905</v>
      </c>
      <c r="AN7643">
        <v>1.0000000529669999</v>
      </c>
    </row>
    <row r="7644" spans="1:40" x14ac:dyDescent="0.25">
      <c r="A7644" t="str">
        <f>"20190304164311837"</f>
        <v>20190304164311837</v>
      </c>
      <c r="B7644" t="str">
        <f>"1551688991829272"</f>
        <v>1551688991829272</v>
      </c>
      <c r="C7644" t="s">
        <v>40</v>
      </c>
      <c r="D7644">
        <v>4.298921</v>
      </c>
      <c r="E7644">
        <v>0.58060859999999903</v>
      </c>
      <c r="F7644" t="s">
        <v>41</v>
      </c>
      <c r="G7644">
        <v>-187.22620000000001</v>
      </c>
      <c r="H7644">
        <v>1.0258350000000001</v>
      </c>
      <c r="I7644">
        <v>92.945459999999997</v>
      </c>
      <c r="J7644">
        <v>-187.28</v>
      </c>
      <c r="K7644">
        <v>1.110757</v>
      </c>
      <c r="L7644">
        <v>92.482150000000004</v>
      </c>
      <c r="M7644">
        <v>-5.9154539999999997E-3</v>
      </c>
      <c r="N7644">
        <v>-1.4895139999999999E-2</v>
      </c>
      <c r="O7644">
        <v>0.99987159999999997</v>
      </c>
      <c r="P7644">
        <v>-0.1070786</v>
      </c>
      <c r="Q7644">
        <v>0.36169810000000002</v>
      </c>
      <c r="R7644">
        <v>0.92612559999999999</v>
      </c>
      <c r="S7644">
        <v>0.20088200000000001</v>
      </c>
      <c r="T7644">
        <v>-0.33345160000000001</v>
      </c>
      <c r="U7644">
        <v>3.3911129999999998</v>
      </c>
      <c r="V7644">
        <v>-0.10165150000000001</v>
      </c>
      <c r="W7644">
        <v>0.37544739999999999</v>
      </c>
      <c r="X7644">
        <v>0.92125250000000003</v>
      </c>
      <c r="Y7644">
        <v>6.478101E-2</v>
      </c>
      <c r="Z7644">
        <v>-8.2831760000000004E-2</v>
      </c>
      <c r="AA7644">
        <v>0.9944558</v>
      </c>
      <c r="AB7644">
        <v>38</v>
      </c>
      <c r="AC7644">
        <v>5.37999999999954E-2</v>
      </c>
      <c r="AD7644">
        <v>-8.49219999999999E-2</v>
      </c>
      <c r="AE7644">
        <v>0.46330999999999201</v>
      </c>
      <c r="AF7644">
        <v>5.4725901937664599E-2</v>
      </c>
      <c r="AG7644">
        <v>-8.49219999999999E-2</v>
      </c>
      <c r="AH7644">
        <v>0.44812826880370699</v>
      </c>
      <c r="AI7644">
        <v>100.65321035001099</v>
      </c>
      <c r="AJ7644">
        <v>83.037453841609505</v>
      </c>
      <c r="AK7644">
        <v>0.45937524500989202</v>
      </c>
      <c r="AL7644">
        <v>67.9480317948492</v>
      </c>
      <c r="AM7644">
        <v>96.296576116291405</v>
      </c>
      <c r="AN7644">
        <v>0.99999997318762901</v>
      </c>
    </row>
    <row r="7645" spans="1:40" x14ac:dyDescent="0.25">
      <c r="A7645" t="str">
        <f>"20190304164311859"</f>
        <v>20190304164311859</v>
      </c>
      <c r="B7645" t="str">
        <f>"1551688991848790"</f>
        <v>1551688991848790</v>
      </c>
      <c r="C7645" t="s">
        <v>40</v>
      </c>
      <c r="D7645">
        <v>4.2856550000000002</v>
      </c>
      <c r="E7645">
        <v>0.58067659999999999</v>
      </c>
      <c r="F7645" t="s">
        <v>41</v>
      </c>
      <c r="G7645">
        <v>-187.233</v>
      </c>
      <c r="H7645">
        <v>1.0317270000000001</v>
      </c>
      <c r="I7645">
        <v>93.283550000000005</v>
      </c>
      <c r="J7645">
        <v>-187.28219999999999</v>
      </c>
      <c r="K7645">
        <v>1.110752</v>
      </c>
      <c r="L7645">
        <v>92.844880000000003</v>
      </c>
      <c r="M7645">
        <v>-5.9831110000000002E-3</v>
      </c>
      <c r="N7645">
        <v>-1.4891069999999999E-2</v>
      </c>
      <c r="O7645">
        <v>0.99987119999999996</v>
      </c>
      <c r="P7645">
        <v>-0.1079744</v>
      </c>
      <c r="Q7645">
        <v>0.36179359999999999</v>
      </c>
      <c r="R7645">
        <v>0.92598429999999998</v>
      </c>
      <c r="S7645">
        <v>0.19859309999999999</v>
      </c>
      <c r="T7645">
        <v>-0.33465</v>
      </c>
      <c r="U7645">
        <v>3.3929749999999999</v>
      </c>
      <c r="V7645">
        <v>-0.102485199999999</v>
      </c>
      <c r="W7645">
        <v>0.37553750000000002</v>
      </c>
      <c r="X7645">
        <v>0.92112340000000004</v>
      </c>
      <c r="Y7645">
        <v>6.4146709999999996E-2</v>
      </c>
      <c r="Z7645">
        <v>-8.3134550000000002E-2</v>
      </c>
      <c r="AA7645">
        <v>0.99447169999999896</v>
      </c>
      <c r="AB7645">
        <v>38</v>
      </c>
      <c r="AC7645">
        <v>4.9199999999984798E-2</v>
      </c>
      <c r="AD7645">
        <v>-7.9024999999999901E-2</v>
      </c>
      <c r="AE7645">
        <v>0.438670000000001</v>
      </c>
      <c r="AF7645">
        <v>5.02146563398519E-2</v>
      </c>
      <c r="AG7645">
        <v>-7.9024999999999901E-2</v>
      </c>
      <c r="AH7645">
        <v>0.42475448616656603</v>
      </c>
      <c r="AI7645">
        <v>100.46803298213401</v>
      </c>
      <c r="AJ7645">
        <v>83.257762311743093</v>
      </c>
      <c r="AK7645">
        <v>0.43495153276537901</v>
      </c>
      <c r="AL7645">
        <v>67.942461888716096</v>
      </c>
      <c r="AM7645">
        <v>96.348680367716895</v>
      </c>
      <c r="AN7645">
        <v>0.99999997407642405</v>
      </c>
    </row>
    <row r="7646" spans="1:40" x14ac:dyDescent="0.25">
      <c r="A7646" t="str">
        <f>"20190304164311881"</f>
        <v>20190304164311881</v>
      </c>
      <c r="B7646" t="str">
        <f>"1551688991879046"</f>
        <v>1551688991879046</v>
      </c>
      <c r="C7646" t="s">
        <v>40</v>
      </c>
      <c r="D7646">
        <v>4.2998399999999997</v>
      </c>
      <c r="E7646">
        <v>0.58079369999999997</v>
      </c>
      <c r="F7646" t="s">
        <v>41</v>
      </c>
      <c r="G7646">
        <v>-187.2371</v>
      </c>
      <c r="H7646">
        <v>1.0338430000000001</v>
      </c>
      <c r="I7646">
        <v>93.619380000000007</v>
      </c>
      <c r="J7646">
        <v>-187.28450000000001</v>
      </c>
      <c r="K7646">
        <v>1.110749</v>
      </c>
      <c r="L7646">
        <v>93.219179999999994</v>
      </c>
      <c r="M7646">
        <v>-6.0529609999999999E-3</v>
      </c>
      <c r="N7646">
        <v>-1.488693E-2</v>
      </c>
      <c r="O7646">
        <v>0.99987079999999995</v>
      </c>
      <c r="P7646">
        <v>-0.1083643</v>
      </c>
      <c r="Q7646">
        <v>0.36116199999999998</v>
      </c>
      <c r="R7646">
        <v>0.92618529999999999</v>
      </c>
      <c r="S7646">
        <v>0.19662479999999999</v>
      </c>
      <c r="T7646">
        <v>-0.33714529999999998</v>
      </c>
      <c r="U7646">
        <v>3.3944399999999999</v>
      </c>
      <c r="V7646">
        <v>-0.1028087</v>
      </c>
      <c r="W7646">
        <v>0.37490499999999999</v>
      </c>
      <c r="X7646">
        <v>0.92134499999999997</v>
      </c>
      <c r="Y7646">
        <v>6.3613450000000002E-2</v>
      </c>
      <c r="Z7646">
        <v>-8.3824159999999995E-2</v>
      </c>
      <c r="AA7646">
        <v>0.994448</v>
      </c>
      <c r="AB7646">
        <v>37</v>
      </c>
      <c r="AC7646">
        <v>4.7400000000010302E-2</v>
      </c>
      <c r="AD7646">
        <v>-7.6905999999999905E-2</v>
      </c>
      <c r="AE7646">
        <v>0.400199999999998</v>
      </c>
      <c r="AF7646">
        <v>4.8071139728002699E-2</v>
      </c>
      <c r="AG7646">
        <v>-7.6905999999999905E-2</v>
      </c>
      <c r="AH7646">
        <v>0.38585370002442798</v>
      </c>
      <c r="AI7646">
        <v>101.18784462056399</v>
      </c>
      <c r="AJ7646">
        <v>82.898461630309498</v>
      </c>
      <c r="AK7646">
        <v>0.39636907691353801</v>
      </c>
      <c r="AL7646">
        <v>67.981558583341396</v>
      </c>
      <c r="AM7646">
        <v>96.367036747671804</v>
      </c>
      <c r="AN7646">
        <v>0.99999999842284404</v>
      </c>
    </row>
    <row r="7647" spans="1:40" x14ac:dyDescent="0.25">
      <c r="A7647" t="str">
        <f>"20190304164311903"</f>
        <v>20190304164311903</v>
      </c>
      <c r="B7647" t="str">
        <f>"1551688991898567"</f>
        <v>1551688991898567</v>
      </c>
      <c r="C7647" t="s">
        <v>40</v>
      </c>
      <c r="D7647">
        <v>4.2972479999999997</v>
      </c>
      <c r="E7647">
        <v>0.5809126</v>
      </c>
      <c r="F7647" t="s">
        <v>41</v>
      </c>
      <c r="G7647">
        <v>-187.24189999999999</v>
      </c>
      <c r="H7647">
        <v>1.0361340000000001</v>
      </c>
      <c r="I7647">
        <v>93.954909999999998</v>
      </c>
      <c r="J7647">
        <v>-187.2868</v>
      </c>
      <c r="K7647">
        <v>1.1107499999999999</v>
      </c>
      <c r="L7647">
        <v>93.578400000000002</v>
      </c>
      <c r="M7647">
        <v>-6.1200069999999898E-3</v>
      </c>
      <c r="N7647">
        <v>-1.4882970000000001E-2</v>
      </c>
      <c r="O7647">
        <v>0.9998705</v>
      </c>
      <c r="P7647">
        <v>-0.1087481</v>
      </c>
      <c r="Q7647">
        <v>0.36129080000000002</v>
      </c>
      <c r="R7647">
        <v>0.92609010000000003</v>
      </c>
      <c r="S7647">
        <v>0.19648740000000001</v>
      </c>
      <c r="T7647">
        <v>-0.34449099999999999</v>
      </c>
      <c r="U7647">
        <v>3.396423</v>
      </c>
      <c r="V7647">
        <v>-0.1031309</v>
      </c>
      <c r="W7647">
        <v>0.3750288</v>
      </c>
      <c r="X7647">
        <v>0.92125860000000004</v>
      </c>
      <c r="Y7647">
        <v>6.3595589999999994E-2</v>
      </c>
      <c r="Z7647">
        <v>-8.5900660000000004E-2</v>
      </c>
      <c r="AA7647">
        <v>0.99427189999999999</v>
      </c>
      <c r="AB7647">
        <v>37</v>
      </c>
      <c r="AC7647">
        <v>4.4900000000012603E-2</v>
      </c>
      <c r="AD7647">
        <v>-7.4615999999999794E-2</v>
      </c>
      <c r="AE7647">
        <v>0.37650999999999601</v>
      </c>
      <c r="AF7647">
        <v>4.5443896889328199E-2</v>
      </c>
      <c r="AG7647">
        <v>-7.4615999999999794E-2</v>
      </c>
      <c r="AH7647">
        <v>0.36220227387168302</v>
      </c>
      <c r="AI7647">
        <v>101.552345661101</v>
      </c>
      <c r="AJ7647">
        <v>82.848723130429093</v>
      </c>
      <c r="AK7647">
        <v>0.37258983134044998</v>
      </c>
      <c r="AL7647">
        <v>67.973907037132804</v>
      </c>
      <c r="AM7647">
        <v>96.387420291502593</v>
      </c>
      <c r="AN7647">
        <v>0.99999999571910503</v>
      </c>
    </row>
    <row r="7648" spans="1:40" x14ac:dyDescent="0.25">
      <c r="A7648" t="str">
        <f>"20190304164311925"</f>
        <v>20190304164311925</v>
      </c>
      <c r="B7648" t="str">
        <f>"1551688991919063"</f>
        <v>1551688991919063</v>
      </c>
      <c r="C7648" t="s">
        <v>40</v>
      </c>
      <c r="D7648">
        <v>4.3172139999999999</v>
      </c>
      <c r="E7648">
        <v>0.58099579999999995</v>
      </c>
      <c r="F7648" t="s">
        <v>41</v>
      </c>
      <c r="G7648">
        <v>-187.227</v>
      </c>
      <c r="H7648">
        <v>1.0062530000000001</v>
      </c>
      <c r="I7648">
        <v>94.607770000000002</v>
      </c>
      <c r="J7648">
        <v>-187.28919999999999</v>
      </c>
      <c r="K7648">
        <v>1.1107560000000001</v>
      </c>
      <c r="L7648">
        <v>93.960300000000004</v>
      </c>
      <c r="M7648">
        <v>-6.1912929999999996E-3</v>
      </c>
      <c r="N7648">
        <v>-1.487868E-2</v>
      </c>
      <c r="O7648">
        <v>0.99987009999999998</v>
      </c>
      <c r="P7648">
        <v>-0.1093013</v>
      </c>
      <c r="Q7648">
        <v>0.36155189999999998</v>
      </c>
      <c r="R7648">
        <v>0.92592300000000005</v>
      </c>
      <c r="S7648">
        <v>0.1968231</v>
      </c>
      <c r="T7648">
        <v>-0.34487810000000002</v>
      </c>
      <c r="U7648">
        <v>3.3970950000000002</v>
      </c>
      <c r="V7648">
        <v>-0.1036188</v>
      </c>
      <c r="W7648">
        <v>0.37528339999999999</v>
      </c>
      <c r="X7648">
        <v>0.92110009999999998</v>
      </c>
      <c r="Y7648">
        <v>6.3752680000000006E-2</v>
      </c>
      <c r="Z7648">
        <v>-8.5996489999999995E-2</v>
      </c>
      <c r="AA7648">
        <v>0.99425359999999996</v>
      </c>
      <c r="AB7648">
        <v>37</v>
      </c>
      <c r="AC7648">
        <v>6.2199999999989999E-2</v>
      </c>
      <c r="AD7648">
        <v>-0.104502999999999</v>
      </c>
      <c r="AE7648">
        <v>0.64746999999999799</v>
      </c>
      <c r="AF7648">
        <v>6.4541944645864199E-2</v>
      </c>
      <c r="AG7648">
        <v>-0.104502999999999</v>
      </c>
      <c r="AH7648">
        <v>0.63079022838919796</v>
      </c>
      <c r="AI7648">
        <v>99.358759534281404</v>
      </c>
      <c r="AJ7648">
        <v>84.157873191838206</v>
      </c>
      <c r="AK7648">
        <v>0.64263741865764901</v>
      </c>
      <c r="AL7648">
        <v>67.958168844431</v>
      </c>
      <c r="AM7648">
        <v>96.418481979247204</v>
      </c>
      <c r="AN7648">
        <v>0.999999940124503</v>
      </c>
    </row>
    <row r="7649" spans="1:40" x14ac:dyDescent="0.25">
      <c r="A7649" t="str">
        <f>"20190304164311948"</f>
        <v>20190304164311948</v>
      </c>
      <c r="B7649" t="str">
        <f>"1551688991938582"</f>
        <v>1551688991938582</v>
      </c>
      <c r="C7649" t="s">
        <v>40</v>
      </c>
      <c r="D7649">
        <v>4.3329319999999996</v>
      </c>
      <c r="E7649">
        <v>0.58105799999999996</v>
      </c>
      <c r="F7649" t="s">
        <v>41</v>
      </c>
      <c r="G7649">
        <v>-187.23259999999999</v>
      </c>
      <c r="H7649">
        <v>1.010607</v>
      </c>
      <c r="I7649">
        <v>94.943200000000004</v>
      </c>
      <c r="J7649">
        <v>-187.29150000000001</v>
      </c>
      <c r="K7649">
        <v>1.1107590000000001</v>
      </c>
      <c r="L7649">
        <v>94.333070000000006</v>
      </c>
      <c r="M7649">
        <v>-6.260888E-3</v>
      </c>
      <c r="N7649">
        <v>-1.487456E-2</v>
      </c>
      <c r="O7649">
        <v>0.99986980000000003</v>
      </c>
      <c r="P7649">
        <v>-0.1095377</v>
      </c>
      <c r="Q7649">
        <v>0.3616182</v>
      </c>
      <c r="R7649">
        <v>0.92586919999999995</v>
      </c>
      <c r="S7649">
        <v>0.1951447</v>
      </c>
      <c r="T7649">
        <v>-0.34628399999999998</v>
      </c>
      <c r="U7649">
        <v>3.398285</v>
      </c>
      <c r="V7649">
        <v>-0.1037913</v>
      </c>
      <c r="W7649">
        <v>0.37534529999999999</v>
      </c>
      <c r="X7649">
        <v>0.92105559999999997</v>
      </c>
      <c r="Y7649">
        <v>6.3310920000000007E-2</v>
      </c>
      <c r="Z7649">
        <v>-8.6375649999999998E-2</v>
      </c>
      <c r="AA7649">
        <v>0.99424889999999999</v>
      </c>
      <c r="AB7649">
        <v>37</v>
      </c>
      <c r="AC7649">
        <v>5.8900000000022601E-2</v>
      </c>
      <c r="AD7649">
        <v>-0.100152</v>
      </c>
      <c r="AE7649">
        <v>0.61013000000001205</v>
      </c>
      <c r="AF7649">
        <v>6.1088408434261901E-2</v>
      </c>
      <c r="AG7649">
        <v>-0.100152</v>
      </c>
      <c r="AH7649">
        <v>0.59389463190026803</v>
      </c>
      <c r="AI7649">
        <v>99.522753491933003</v>
      </c>
      <c r="AJ7649">
        <v>84.127170914898699</v>
      </c>
      <c r="AK7649">
        <v>0.60537017646146496</v>
      </c>
      <c r="AL7649">
        <v>67.954345610586998</v>
      </c>
      <c r="AM7649">
        <v>96.4293858078711</v>
      </c>
      <c r="AN7649">
        <v>1.00000007323956</v>
      </c>
    </row>
    <row r="7650" spans="1:40" x14ac:dyDescent="0.25">
      <c r="A7650" t="str">
        <f>"20190304164311969"</f>
        <v>20190304164311969</v>
      </c>
      <c r="B7650" t="str">
        <f>"1551688991959078"</f>
        <v>1551688991959078</v>
      </c>
      <c r="C7650" t="s">
        <v>40</v>
      </c>
      <c r="D7650">
        <v>4.3360779999999997</v>
      </c>
      <c r="E7650">
        <v>0.5811248</v>
      </c>
      <c r="F7650" t="s">
        <v>41</v>
      </c>
      <c r="G7650">
        <v>-187.23750000000001</v>
      </c>
      <c r="H7650">
        <v>1.0138119999999999</v>
      </c>
      <c r="I7650">
        <v>95.277670000000001</v>
      </c>
      <c r="J7650">
        <v>-187.29390000000001</v>
      </c>
      <c r="K7650">
        <v>1.1107549999999999</v>
      </c>
      <c r="L7650">
        <v>94.690979999999996</v>
      </c>
      <c r="M7650">
        <v>-6.3277239999999998E-3</v>
      </c>
      <c r="N7650">
        <v>-1.4870629999999999E-2</v>
      </c>
      <c r="O7650">
        <v>0.99986940000000002</v>
      </c>
      <c r="P7650">
        <v>-0.1096477</v>
      </c>
      <c r="Q7650">
        <v>0.36179319999999998</v>
      </c>
      <c r="R7650">
        <v>0.92578780000000005</v>
      </c>
      <c r="S7650">
        <v>0.19433590000000001</v>
      </c>
      <c r="T7650">
        <v>-0.34892129999999999</v>
      </c>
      <c r="U7650">
        <v>3.3994749999999998</v>
      </c>
      <c r="V7650">
        <v>-0.1038393</v>
      </c>
      <c r="W7650">
        <v>0.3755155</v>
      </c>
      <c r="X7650">
        <v>0.92098080000000004</v>
      </c>
      <c r="Y7650">
        <v>6.3118129999999995E-2</v>
      </c>
      <c r="Z7650">
        <v>-8.7109199999999998E-2</v>
      </c>
      <c r="AA7650">
        <v>0.9941972</v>
      </c>
      <c r="AB7650">
        <v>37</v>
      </c>
      <c r="AC7650">
        <v>5.6399999999996397E-2</v>
      </c>
      <c r="AD7650">
        <v>-9.6942999999999696E-2</v>
      </c>
      <c r="AE7650">
        <v>0.58668999999999005</v>
      </c>
      <c r="AF7650">
        <v>5.8528308910213003E-2</v>
      </c>
      <c r="AG7650">
        <v>-9.6942999999999696E-2</v>
      </c>
      <c r="AH7650">
        <v>0.57087720893884697</v>
      </c>
      <c r="AI7650">
        <v>99.588373006094898</v>
      </c>
      <c r="AJ7650">
        <v>84.146290610544497</v>
      </c>
      <c r="AK7650">
        <v>0.582000254191265</v>
      </c>
      <c r="AL7650">
        <v>67.943823987396001</v>
      </c>
      <c r="AM7650">
        <v>96.432852309482897</v>
      </c>
      <c r="AN7650">
        <v>1.0000000624666801</v>
      </c>
    </row>
    <row r="7651" spans="1:40" x14ac:dyDescent="0.25">
      <c r="A7651" t="str">
        <f>"20190304164311992"</f>
        <v>20190304164311992</v>
      </c>
      <c r="B7651" t="str">
        <f>"1551688991988359"</f>
        <v>1551688991988359</v>
      </c>
      <c r="C7651" t="s">
        <v>40</v>
      </c>
      <c r="D7651">
        <v>4.3411739999999996</v>
      </c>
      <c r="E7651">
        <v>0.58118950000000003</v>
      </c>
      <c r="F7651" t="s">
        <v>41</v>
      </c>
      <c r="G7651">
        <v>-187.24109999999999</v>
      </c>
      <c r="H7651">
        <v>1.01579</v>
      </c>
      <c r="I7651">
        <v>95.611159999999998</v>
      </c>
      <c r="J7651">
        <v>-187.2962</v>
      </c>
      <c r="K7651">
        <v>1.1107560000000001</v>
      </c>
      <c r="L7651">
        <v>95.05386</v>
      </c>
      <c r="M7651">
        <v>-6.3956339999999999E-3</v>
      </c>
      <c r="N7651">
        <v>-1.4866600000000001E-2</v>
      </c>
      <c r="O7651">
        <v>0.99986900000000001</v>
      </c>
      <c r="P7651">
        <v>-0.10964749999999999</v>
      </c>
      <c r="Q7651">
        <v>0.36184329999999998</v>
      </c>
      <c r="R7651">
        <v>0.92576829999999999</v>
      </c>
      <c r="S7651">
        <v>0.1945038</v>
      </c>
      <c r="T7651">
        <v>-0.35101339999999998</v>
      </c>
      <c r="U7651">
        <v>3.4006959999999999</v>
      </c>
      <c r="V7651">
        <v>-0.1037766</v>
      </c>
      <c r="W7651">
        <v>0.3755619</v>
      </c>
      <c r="X7651">
        <v>0.92096889999999998</v>
      </c>
      <c r="Y7651">
        <v>6.3211279999999995E-2</v>
      </c>
      <c r="Z7651">
        <v>-8.7681789999999996E-2</v>
      </c>
      <c r="AA7651">
        <v>0.99414100000000005</v>
      </c>
      <c r="AB7651">
        <v>37</v>
      </c>
      <c r="AC7651">
        <v>5.5100000000010099E-2</v>
      </c>
      <c r="AD7651">
        <v>-9.4965999999999801E-2</v>
      </c>
      <c r="AE7651">
        <v>0.55729999999999702</v>
      </c>
      <c r="AF7651">
        <v>5.7023759477800903E-2</v>
      </c>
      <c r="AG7651">
        <v>-9.4965999999999801E-2</v>
      </c>
      <c r="AH7651">
        <v>0.54136839107823298</v>
      </c>
      <c r="AI7651">
        <v>99.895851831447303</v>
      </c>
      <c r="AJ7651">
        <v>83.987056915116597</v>
      </c>
      <c r="AK7651">
        <v>0.55258482168769096</v>
      </c>
      <c r="AL7651">
        <v>67.940954503342098</v>
      </c>
      <c r="AM7651">
        <v>96.429082945426103</v>
      </c>
      <c r="AN7651">
        <v>1.0000000191031899</v>
      </c>
    </row>
    <row r="7652" spans="1:40" x14ac:dyDescent="0.25">
      <c r="A7652" t="str">
        <f>"20190304164312015"</f>
        <v>20190304164312015</v>
      </c>
      <c r="B7652" t="str">
        <f>"1551688992008856"</f>
        <v>1551688992008856</v>
      </c>
      <c r="C7652" t="s">
        <v>40</v>
      </c>
      <c r="D7652">
        <v>5.0929149999999996</v>
      </c>
      <c r="E7652">
        <v>0.58113539999999997</v>
      </c>
      <c r="F7652" t="s">
        <v>41</v>
      </c>
      <c r="G7652">
        <v>-187.24510000000001</v>
      </c>
      <c r="H7652">
        <v>1.0179769999999999</v>
      </c>
      <c r="I7652">
        <v>95.944379999999995</v>
      </c>
      <c r="J7652">
        <v>-187.2988</v>
      </c>
      <c r="K7652">
        <v>1.110757</v>
      </c>
      <c r="L7652">
        <v>95.446719999999999</v>
      </c>
      <c r="M7652">
        <v>-6.469224E-3</v>
      </c>
      <c r="N7652">
        <v>-1.486225E-2</v>
      </c>
      <c r="O7652">
        <v>0.9998686</v>
      </c>
      <c r="P7652">
        <v>-0.1103687</v>
      </c>
      <c r="Q7652">
        <v>0.36165900000000001</v>
      </c>
      <c r="R7652">
        <v>0.92575459999999998</v>
      </c>
      <c r="S7652">
        <v>0.1949005</v>
      </c>
      <c r="T7652">
        <v>-0.35446169999999999</v>
      </c>
      <c r="U7652">
        <v>3.4021910000000002</v>
      </c>
      <c r="V7652">
        <v>-0.10442940000000001</v>
      </c>
      <c r="W7652">
        <v>0.37537359999999997</v>
      </c>
      <c r="X7652">
        <v>0.92097189999999995</v>
      </c>
      <c r="Y7652">
        <v>6.3369969999999998E-2</v>
      </c>
      <c r="Z7652">
        <v>-8.8637610000000006E-2</v>
      </c>
      <c r="AA7652">
        <v>0.99404610000000004</v>
      </c>
      <c r="AB7652">
        <v>37</v>
      </c>
      <c r="AC7652">
        <v>5.3699999999991997E-2</v>
      </c>
      <c r="AD7652">
        <v>-9.2779999999999793E-2</v>
      </c>
      <c r="AE7652">
        <v>0.49766000000000998</v>
      </c>
      <c r="AF7652">
        <v>5.5028102876919699E-2</v>
      </c>
      <c r="AG7652">
        <v>-9.2779999999999793E-2</v>
      </c>
      <c r="AH7652">
        <v>0.48078383726678497</v>
      </c>
      <c r="AI7652">
        <v>100.85331907891999</v>
      </c>
      <c r="AJ7652">
        <v>83.470625445973894</v>
      </c>
      <c r="AK7652">
        <v>0.49273656113912201</v>
      </c>
      <c r="AL7652">
        <v>67.952595449638196</v>
      </c>
      <c r="AM7652">
        <v>96.4691620047127</v>
      </c>
      <c r="AN7652">
        <v>1.00000003987546</v>
      </c>
    </row>
    <row r="7653" spans="1:40" x14ac:dyDescent="0.25">
      <c r="A7653" t="str">
        <f>"20190304164312037"</f>
        <v>20190304164312037</v>
      </c>
      <c r="B7653" t="str">
        <f>"1551688992028378"</f>
        <v>1551688992028378</v>
      </c>
      <c r="C7653" t="s">
        <v>40</v>
      </c>
      <c r="D7653">
        <v>4.3921950000000001</v>
      </c>
      <c r="E7653">
        <v>0.53912349999999998</v>
      </c>
      <c r="F7653" t="s">
        <v>41</v>
      </c>
      <c r="G7653">
        <v>-187.2517</v>
      </c>
      <c r="H7653">
        <v>1.023692</v>
      </c>
      <c r="I7653">
        <v>96.278980000000004</v>
      </c>
      <c r="J7653">
        <v>-187.3013</v>
      </c>
      <c r="K7653">
        <v>1.1107579999999999</v>
      </c>
      <c r="L7653">
        <v>95.813140000000004</v>
      </c>
      <c r="M7653">
        <v>-6.5378099999999998E-3</v>
      </c>
      <c r="N7653">
        <v>-1.485821E-2</v>
      </c>
      <c r="O7653">
        <v>0.99986819999999998</v>
      </c>
      <c r="P7653">
        <v>-0.11107350000000001</v>
      </c>
      <c r="Q7653">
        <v>0.36210680000000001</v>
      </c>
      <c r="R7653">
        <v>0.92549519999999996</v>
      </c>
      <c r="S7653">
        <v>0.1921234</v>
      </c>
      <c r="T7653">
        <v>-0.35601680000000002</v>
      </c>
      <c r="U7653">
        <v>3.4025880000000002</v>
      </c>
      <c r="V7653">
        <v>-0.10507229999999999</v>
      </c>
      <c r="W7653">
        <v>0.37581379999999998</v>
      </c>
      <c r="X7653">
        <v>0.92071919999999996</v>
      </c>
      <c r="Y7653">
        <v>6.2621330000000003E-2</v>
      </c>
      <c r="Z7653">
        <v>-8.9083979999999993E-2</v>
      </c>
      <c r="AA7653">
        <v>0.99405359999999998</v>
      </c>
      <c r="AB7653">
        <v>37</v>
      </c>
      <c r="AC7653">
        <v>4.9599999999998E-2</v>
      </c>
      <c r="AD7653">
        <v>-8.7065999999999796E-2</v>
      </c>
      <c r="AE7653">
        <v>0.46583999999999998</v>
      </c>
      <c r="AF7653">
        <v>5.0887183916070701E-2</v>
      </c>
      <c r="AG7653">
        <v>-8.7065999999999796E-2</v>
      </c>
      <c r="AH7653">
        <v>0.44996378504020201</v>
      </c>
      <c r="AI7653">
        <v>100.883440982707</v>
      </c>
      <c r="AJ7653">
        <v>83.547735443396505</v>
      </c>
      <c r="AK7653">
        <v>0.46112623183962598</v>
      </c>
      <c r="AL7653">
        <v>67.925380957517902</v>
      </c>
      <c r="AM7653">
        <v>96.510418504736506</v>
      </c>
      <c r="AN7653">
        <v>1.00000002287318</v>
      </c>
    </row>
    <row r="7654" spans="1:40" x14ac:dyDescent="0.25">
      <c r="A7654" t="str">
        <f>"20190304164312060"</f>
        <v>20190304164312060</v>
      </c>
      <c r="B7654" t="str">
        <f>"1551688992048870"</f>
        <v>1551688992048870</v>
      </c>
      <c r="C7654" t="s">
        <v>40</v>
      </c>
      <c r="D7654">
        <v>4.4541190000000004</v>
      </c>
      <c r="E7654">
        <v>0.52698630000000002</v>
      </c>
      <c r="F7654" t="s">
        <v>42</v>
      </c>
      <c r="G7654">
        <v>-187.86250000000001</v>
      </c>
      <c r="H7654" s="1">
        <v>-5.6778530000000003E-7</v>
      </c>
      <c r="I7654">
        <v>109.64530000000001</v>
      </c>
      <c r="J7654">
        <v>-187.3038</v>
      </c>
      <c r="K7654">
        <v>1.110752</v>
      </c>
      <c r="L7654">
        <v>96.185519999999997</v>
      </c>
      <c r="M7654">
        <v>-6.6074860000000001E-3</v>
      </c>
      <c r="N7654">
        <v>-1.485408E-2</v>
      </c>
      <c r="O7654">
        <v>0.99986790000000003</v>
      </c>
      <c r="P7654">
        <v>-0.1116567</v>
      </c>
      <c r="Q7654">
        <v>0.36169390000000001</v>
      </c>
      <c r="R7654">
        <v>0.92558649999999998</v>
      </c>
      <c r="S7654">
        <v>-0.1351166</v>
      </c>
      <c r="T7654">
        <v>-0.26740190000000003</v>
      </c>
      <c r="U7654">
        <v>3.3299259999999999</v>
      </c>
      <c r="V7654">
        <v>-0.10559010000000001</v>
      </c>
      <c r="W7654">
        <v>0.37539919999999999</v>
      </c>
      <c r="X7654">
        <v>0.92082909999999996</v>
      </c>
      <c r="Y7654">
        <v>-3.3829310000000001E-2</v>
      </c>
      <c r="Z7654">
        <v>-6.5173510000000004E-2</v>
      </c>
      <c r="AA7654">
        <v>0.99730030000000003</v>
      </c>
      <c r="AB7654">
        <v>37</v>
      </c>
      <c r="AC7654">
        <v>-0.55870000000001596</v>
      </c>
      <c r="AD7654">
        <v>-1.1107525677853001</v>
      </c>
      <c r="AE7654">
        <v>13.45978</v>
      </c>
      <c r="AF7654">
        <v>-0.46657071902518299</v>
      </c>
      <c r="AG7654">
        <v>-1.1107525677853001</v>
      </c>
      <c r="AH7654">
        <v>13.372267184786001</v>
      </c>
      <c r="AI7654">
        <v>94.745435598162601</v>
      </c>
      <c r="AJ7654">
        <v>91.998291893256095</v>
      </c>
      <c r="AK7654">
        <v>13.426428756895801</v>
      </c>
      <c r="AL7654">
        <v>67.951012717464494</v>
      </c>
      <c r="AM7654">
        <v>96.541450568693307</v>
      </c>
      <c r="AN7654">
        <v>1.0000000299927201</v>
      </c>
    </row>
    <row r="7655" spans="1:40" x14ac:dyDescent="0.25">
      <c r="A7655" t="str">
        <f>"20190304164312084"</f>
        <v>20190304164312084</v>
      </c>
      <c r="B7655" t="str">
        <f>"1551688992079127"</f>
        <v>1551688992079127</v>
      </c>
      <c r="C7655" t="s">
        <v>40</v>
      </c>
      <c r="D7655">
        <v>4.8875140000000004</v>
      </c>
      <c r="E7655">
        <v>0.52090899999999996</v>
      </c>
      <c r="F7655" t="s">
        <v>42</v>
      </c>
      <c r="G7655">
        <v>-188.2927</v>
      </c>
      <c r="H7655" s="1">
        <v>-6.8509049999999996E-7</v>
      </c>
      <c r="I7655">
        <v>110.3263</v>
      </c>
      <c r="J7655">
        <v>-187.30619999999999</v>
      </c>
      <c r="K7655">
        <v>1.11076</v>
      </c>
      <c r="L7655">
        <v>96.553709999999995</v>
      </c>
      <c r="M7655">
        <v>-6.6763609999999996E-3</v>
      </c>
      <c r="N7655">
        <v>-1.485002E-2</v>
      </c>
      <c r="O7655">
        <v>0.99986739999999996</v>
      </c>
      <c r="P7655">
        <v>-0.1118807</v>
      </c>
      <c r="Q7655">
        <v>0.36191950000000001</v>
      </c>
      <c r="R7655">
        <v>0.92547120000000005</v>
      </c>
      <c r="S7655">
        <v>-0.2318268</v>
      </c>
      <c r="T7655">
        <v>-0.2603915</v>
      </c>
      <c r="U7655">
        <v>3.3150019999999998</v>
      </c>
      <c r="V7655">
        <v>-0.10575039999999999</v>
      </c>
      <c r="W7655">
        <v>0.37561889999999998</v>
      </c>
      <c r="X7655">
        <v>0.92072109999999996</v>
      </c>
      <c r="Y7655">
        <v>-6.2916310000000003E-2</v>
      </c>
      <c r="Z7655">
        <v>-6.3323539999999998E-2</v>
      </c>
      <c r="AA7655">
        <v>0.99600789999999995</v>
      </c>
      <c r="AB7655">
        <v>37</v>
      </c>
      <c r="AC7655">
        <v>-0.98650000000000604</v>
      </c>
      <c r="AD7655">
        <v>-1.1107606850905001</v>
      </c>
      <c r="AE7655">
        <v>13.772589999999999</v>
      </c>
      <c r="AF7655">
        <v>-0.88876566877178698</v>
      </c>
      <c r="AG7655">
        <v>-1.1107606850905001</v>
      </c>
      <c r="AH7655">
        <v>13.6902769133058</v>
      </c>
      <c r="AI7655">
        <v>94.628831380583307</v>
      </c>
      <c r="AJ7655">
        <v>93.714399946680004</v>
      </c>
      <c r="AK7655">
        <v>13.763988363716599</v>
      </c>
      <c r="AL7655">
        <v>67.937430774318898</v>
      </c>
      <c r="AM7655">
        <v>96.552056886839296</v>
      </c>
      <c r="AN7655">
        <v>1.0000000245612799</v>
      </c>
    </row>
    <row r="7656" spans="1:40" x14ac:dyDescent="0.25">
      <c r="A7656" t="str">
        <f>"20190304164312104"</f>
        <v>20190304164312104</v>
      </c>
      <c r="B7656" t="str">
        <f>"1551688992098647"</f>
        <v>1551688992098647</v>
      </c>
      <c r="C7656" t="s">
        <v>40</v>
      </c>
      <c r="D7656">
        <v>4.6389800000000001</v>
      </c>
      <c r="E7656">
        <v>0.51939929999999901</v>
      </c>
      <c r="F7656" t="s">
        <v>42</v>
      </c>
      <c r="G7656">
        <v>-188.48830000000001</v>
      </c>
      <c r="H7656" s="1">
        <v>-6.6535009999999995E-7</v>
      </c>
      <c r="I7656">
        <v>110.4213</v>
      </c>
      <c r="J7656">
        <v>-187.30879999999999</v>
      </c>
      <c r="K7656">
        <v>1.1107610000000001</v>
      </c>
      <c r="L7656">
        <v>96.922759999999997</v>
      </c>
      <c r="M7656">
        <v>-6.7454069999999897E-3</v>
      </c>
      <c r="N7656">
        <v>-1.484591E-2</v>
      </c>
      <c r="O7656">
        <v>0.99986699999999995</v>
      </c>
      <c r="P7656">
        <v>-0.11217480000000001</v>
      </c>
      <c r="Q7656">
        <v>0.36251329999999998</v>
      </c>
      <c r="R7656">
        <v>0.92520309999999994</v>
      </c>
      <c r="S7656">
        <v>-0.28224179999999999</v>
      </c>
      <c r="T7656">
        <v>-0.26521889999999998</v>
      </c>
      <c r="U7656">
        <v>3.311188</v>
      </c>
      <c r="V7656">
        <v>-0.1059826</v>
      </c>
      <c r="W7656">
        <v>0.37620520000000002</v>
      </c>
      <c r="X7656">
        <v>0.92045500000000002</v>
      </c>
      <c r="Y7656">
        <v>-7.7974100000000005E-2</v>
      </c>
      <c r="Z7656">
        <v>-6.4771350000000005E-2</v>
      </c>
      <c r="AA7656">
        <v>0.99484910000000004</v>
      </c>
      <c r="AB7656">
        <v>37</v>
      </c>
      <c r="AC7656">
        <v>-1.17950000000001</v>
      </c>
      <c r="AD7656">
        <v>-1.1107616653501</v>
      </c>
      <c r="AE7656">
        <v>13.49854</v>
      </c>
      <c r="AF7656">
        <v>-1.0811447558424401</v>
      </c>
      <c r="AG7656">
        <v>-1.1107616653501</v>
      </c>
      <c r="AH7656">
        <v>13.4160350857825</v>
      </c>
      <c r="AI7656">
        <v>94.717703923925399</v>
      </c>
      <c r="AJ7656">
        <v>94.607282160087905</v>
      </c>
      <c r="AK7656">
        <v>13.505282776870899</v>
      </c>
      <c r="AL7656">
        <v>67.901179670439802</v>
      </c>
      <c r="AM7656">
        <v>96.568199685467604</v>
      </c>
      <c r="AN7656">
        <v>1.0000000355173899</v>
      </c>
    </row>
    <row r="7657" spans="1:40" x14ac:dyDescent="0.25">
      <c r="A7657" t="str">
        <f>"20190304164312127"</f>
        <v>20190304164312127</v>
      </c>
      <c r="B7657" t="str">
        <f>"1551688992119143"</f>
        <v>1551688992119143</v>
      </c>
      <c r="C7657" t="s">
        <v>40</v>
      </c>
      <c r="D7657">
        <v>4.376042</v>
      </c>
      <c r="E7657">
        <v>0.51831530000000003</v>
      </c>
      <c r="F7657" t="s">
        <v>42</v>
      </c>
      <c r="G7657">
        <v>-188.56659999999999</v>
      </c>
      <c r="H7657" s="1">
        <v>-8.2676090000000001E-7</v>
      </c>
      <c r="I7657">
        <v>110.9568</v>
      </c>
      <c r="J7657">
        <v>-187.31139999999999</v>
      </c>
      <c r="K7657">
        <v>1.1107689999999999</v>
      </c>
      <c r="L7657">
        <v>97.302430000000001</v>
      </c>
      <c r="M7657">
        <v>-6.8164549999999999E-3</v>
      </c>
      <c r="N7657">
        <v>-1.4841729999999999E-2</v>
      </c>
      <c r="O7657">
        <v>0.99986660000000005</v>
      </c>
      <c r="P7657">
        <v>-0.1124178</v>
      </c>
      <c r="Q7657">
        <v>0.36258210000000002</v>
      </c>
      <c r="R7657">
        <v>0.92514680000000005</v>
      </c>
      <c r="S7657">
        <v>-0.29658509999999999</v>
      </c>
      <c r="T7657">
        <v>-0.26191599999999998</v>
      </c>
      <c r="U7657">
        <v>3.3092039999999998</v>
      </c>
      <c r="V7657">
        <v>-0.10616</v>
      </c>
      <c r="W7657">
        <v>0.37626929999999997</v>
      </c>
      <c r="X7657">
        <v>0.92040829999999996</v>
      </c>
      <c r="Y7657">
        <v>-8.2235429999999998E-2</v>
      </c>
      <c r="Z7657">
        <v>-6.3808370000000003E-2</v>
      </c>
      <c r="AA7657">
        <v>0.99456820000000001</v>
      </c>
      <c r="AB7657">
        <v>37</v>
      </c>
      <c r="AC7657">
        <v>-1.2552000000000001</v>
      </c>
      <c r="AD7657">
        <v>-1.1107698267608901</v>
      </c>
      <c r="AE7657">
        <v>13.65437</v>
      </c>
      <c r="AF7657">
        <v>-1.15451003992434</v>
      </c>
      <c r="AG7657">
        <v>-1.1107698267608901</v>
      </c>
      <c r="AH7657">
        <v>13.5735372417397</v>
      </c>
      <c r="AI7657">
        <v>94.661531717980296</v>
      </c>
      <c r="AJ7657">
        <v>94.861645335293801</v>
      </c>
      <c r="AK7657">
        <v>13.667758276075199</v>
      </c>
      <c r="AL7657">
        <v>67.897214585546294</v>
      </c>
      <c r="AM7657">
        <v>96.579428508758795</v>
      </c>
      <c r="AN7657">
        <v>0.999999985215689</v>
      </c>
    </row>
    <row r="7658" spans="1:40" x14ac:dyDescent="0.25">
      <c r="A7658" t="str">
        <f>"20190304164312141"</f>
        <v>20190304164312141</v>
      </c>
      <c r="B7658" t="str">
        <f>"1551688992128903"</f>
        <v>1551688992128903</v>
      </c>
      <c r="C7658" t="s">
        <v>40</v>
      </c>
      <c r="D7658">
        <v>4.7318610000000003</v>
      </c>
      <c r="E7658">
        <v>0.51791730000000002</v>
      </c>
      <c r="F7658" t="s">
        <v>42</v>
      </c>
      <c r="G7658">
        <v>-188.59960000000001</v>
      </c>
      <c r="H7658" s="1">
        <v>-9.2355160000000002E-7</v>
      </c>
      <c r="I7658">
        <v>111.20659999999999</v>
      </c>
      <c r="J7658">
        <v>-187.31299999999999</v>
      </c>
      <c r="K7658">
        <v>1.1107640000000001</v>
      </c>
      <c r="L7658">
        <v>97.53049</v>
      </c>
      <c r="M7658">
        <v>-6.8591490000000001E-3</v>
      </c>
      <c r="N7658">
        <v>-1.483921E-2</v>
      </c>
      <c r="O7658">
        <v>0.99986640000000004</v>
      </c>
      <c r="P7658">
        <v>-0.1125911</v>
      </c>
      <c r="Q7658">
        <v>0.36254819999999999</v>
      </c>
      <c r="R7658">
        <v>0.92513900000000004</v>
      </c>
      <c r="S7658">
        <v>-0.30657960000000001</v>
      </c>
      <c r="T7658">
        <v>-0.26435540000000002</v>
      </c>
      <c r="U7658">
        <v>3.3090820000000001</v>
      </c>
      <c r="V7658">
        <v>-0.10629379999999999</v>
      </c>
      <c r="W7658">
        <v>0.3762335</v>
      </c>
      <c r="X7658">
        <v>0.92040750000000005</v>
      </c>
      <c r="Y7658">
        <v>-8.5168250000000001E-2</v>
      </c>
      <c r="Z7658">
        <v>-6.4521659999999995E-2</v>
      </c>
      <c r="AA7658">
        <v>0.99427529999999997</v>
      </c>
      <c r="AB7658">
        <v>37</v>
      </c>
      <c r="AC7658">
        <v>-1.2866000000000199</v>
      </c>
      <c r="AD7658">
        <v>-1.1107649235515999</v>
      </c>
      <c r="AE7658">
        <v>13.6761099999999</v>
      </c>
      <c r="AF7658">
        <v>-1.1850045177752</v>
      </c>
      <c r="AG7658">
        <v>-1.1107649235515999</v>
      </c>
      <c r="AH7658">
        <v>13.5957156573358</v>
      </c>
      <c r="AI7658">
        <v>94.653107151131195</v>
      </c>
      <c r="AJ7658">
        <v>94.9813195958384</v>
      </c>
      <c r="AK7658">
        <v>13.692389077793001</v>
      </c>
      <c r="AL7658">
        <v>67.899428618521696</v>
      </c>
      <c r="AM7658">
        <v>96.587653800781595</v>
      </c>
      <c r="AN7658">
        <v>0.99999999224847003</v>
      </c>
    </row>
    <row r="7659" spans="1:40" x14ac:dyDescent="0.25">
      <c r="A7659" t="str">
        <f>"20190304164312160"</f>
        <v>20190304164312160</v>
      </c>
      <c r="B7659" t="str">
        <f>"1551688992148423"</f>
        <v>1551688992148423</v>
      </c>
      <c r="C7659" t="s">
        <v>40</v>
      </c>
      <c r="D7659">
        <v>4.383483</v>
      </c>
      <c r="E7659">
        <v>0.51739040000000003</v>
      </c>
      <c r="F7659" t="s">
        <v>42</v>
      </c>
      <c r="G7659">
        <v>-188.61539999999999</v>
      </c>
      <c r="H7659" s="1">
        <v>-1.0239390000000001E-6</v>
      </c>
      <c r="I7659">
        <v>111.44710000000001</v>
      </c>
      <c r="J7659">
        <v>-187.3151</v>
      </c>
      <c r="K7659">
        <v>1.1107610000000001</v>
      </c>
      <c r="L7659">
        <v>97.829899999999995</v>
      </c>
      <c r="M7659">
        <v>-6.9152379999999998E-3</v>
      </c>
      <c r="N7659">
        <v>-1.4835879999999999E-2</v>
      </c>
      <c r="O7659">
        <v>0.99986600000000003</v>
      </c>
      <c r="P7659">
        <v>-0.1130886</v>
      </c>
      <c r="Q7659">
        <v>0.36250349999999998</v>
      </c>
      <c r="R7659">
        <v>0.92509580000000002</v>
      </c>
      <c r="S7659">
        <v>-0.3096313</v>
      </c>
      <c r="T7659">
        <v>-0.26407560000000002</v>
      </c>
      <c r="U7659">
        <v>3.3085629999999999</v>
      </c>
      <c r="V7659">
        <v>-0.1067398</v>
      </c>
      <c r="W7659">
        <v>0.37618489999999999</v>
      </c>
      <c r="X7659">
        <v>0.92037579999999997</v>
      </c>
      <c r="Y7659">
        <v>-8.6035749999999994E-2</v>
      </c>
      <c r="Z7659">
        <v>-6.4447480000000001E-2</v>
      </c>
      <c r="AA7659">
        <v>0.99420540000000002</v>
      </c>
      <c r="AB7659">
        <v>37</v>
      </c>
      <c r="AC7659">
        <v>-1.30029999999999</v>
      </c>
      <c r="AD7659">
        <v>-1.1107620239389999</v>
      </c>
      <c r="AE7659">
        <v>13.6172</v>
      </c>
      <c r="AF7659">
        <v>-1.19819192555086</v>
      </c>
      <c r="AG7659">
        <v>-1.1107620239389999</v>
      </c>
      <c r="AH7659">
        <v>13.536611842789799</v>
      </c>
      <c r="AI7659">
        <v>94.672772310579404</v>
      </c>
      <c r="AJ7659">
        <v>95.058347499275996</v>
      </c>
      <c r="AK7659">
        <v>13.6348566676236</v>
      </c>
      <c r="AL7659">
        <v>67.902435060614096</v>
      </c>
      <c r="AM7659">
        <v>96.615276396018004</v>
      </c>
      <c r="AN7659">
        <v>1.0000000385588399</v>
      </c>
    </row>
    <row r="7660" spans="1:40" x14ac:dyDescent="0.25">
      <c r="A7660" t="str">
        <f>"20190304164312172"</f>
        <v>20190304164312172</v>
      </c>
      <c r="B7660" t="str">
        <f>"1551688992168919"</f>
        <v>1551688992168919</v>
      </c>
      <c r="C7660" t="s">
        <v>40</v>
      </c>
      <c r="D7660">
        <v>4.4100129999999904</v>
      </c>
      <c r="E7660">
        <v>0.51694790000000002</v>
      </c>
      <c r="F7660" t="s">
        <v>42</v>
      </c>
      <c r="G7660">
        <v>-188.6361</v>
      </c>
      <c r="H7660" s="1">
        <v>-1.132678E-6</v>
      </c>
      <c r="I7660">
        <v>111.70910000000001</v>
      </c>
      <c r="J7660">
        <v>-187.3167</v>
      </c>
      <c r="K7660">
        <v>1.1107629999999999</v>
      </c>
      <c r="L7660">
        <v>98.044799999999995</v>
      </c>
      <c r="M7660">
        <v>-6.9553719999999996E-3</v>
      </c>
      <c r="N7660">
        <v>-1.4833499999999999E-2</v>
      </c>
      <c r="O7660">
        <v>0.99986580000000003</v>
      </c>
      <c r="P7660">
        <v>-0.1133166</v>
      </c>
      <c r="Q7660">
        <v>0.36240810000000001</v>
      </c>
      <c r="R7660">
        <v>0.92510530000000002</v>
      </c>
      <c r="S7660">
        <v>-0.31486510000000001</v>
      </c>
      <c r="T7660">
        <v>-0.264754299999999</v>
      </c>
      <c r="U7660">
        <v>3.3081670000000001</v>
      </c>
      <c r="V7660">
        <v>-0.10693</v>
      </c>
      <c r="W7660">
        <v>0.37608770000000002</v>
      </c>
      <c r="X7660">
        <v>0.92039340000000003</v>
      </c>
      <c r="Y7660">
        <v>-8.7563299999999997E-2</v>
      </c>
      <c r="Z7660">
        <v>-6.465079E-2</v>
      </c>
      <c r="AA7660">
        <v>0.99405880000000002</v>
      </c>
      <c r="AB7660">
        <v>37</v>
      </c>
      <c r="AC7660">
        <v>-1.3193999999999999</v>
      </c>
      <c r="AD7660">
        <v>-1.110764132678</v>
      </c>
      <c r="AE7660">
        <v>13.664300000000001</v>
      </c>
      <c r="AF7660">
        <v>-1.2163539326317501</v>
      </c>
      <c r="AG7660">
        <v>-1.110764132678</v>
      </c>
      <c r="AH7660">
        <v>13.584212270906599</v>
      </c>
      <c r="AI7660">
        <v>94.656058926149001</v>
      </c>
      <c r="AJ7660">
        <v>95.116717802300499</v>
      </c>
      <c r="AK7660">
        <v>13.6837179475799</v>
      </c>
      <c r="AL7660">
        <v>67.908444628557902</v>
      </c>
      <c r="AM7660">
        <v>96.626833826877998</v>
      </c>
      <c r="AN7660">
        <v>0.99999999687742502</v>
      </c>
    </row>
    <row r="7661" spans="1:40" x14ac:dyDescent="0.25">
      <c r="A7661" t="str">
        <f>"20190304164312188"</f>
        <v>20190304164312188</v>
      </c>
      <c r="B7661" t="str">
        <f>"1551688992178679"</f>
        <v>1551688992178679</v>
      </c>
      <c r="C7661" t="s">
        <v>40</v>
      </c>
      <c r="D7661">
        <v>4.3924130000000003</v>
      </c>
      <c r="E7661">
        <v>0.51670289999999996</v>
      </c>
      <c r="F7661" t="s">
        <v>42</v>
      </c>
      <c r="G7661">
        <v>-188.6354</v>
      </c>
      <c r="H7661" s="1">
        <v>-1.131919E-6</v>
      </c>
      <c r="I7661">
        <v>111.7071</v>
      </c>
      <c r="J7661">
        <v>-187.3185</v>
      </c>
      <c r="K7661">
        <v>1.110768</v>
      </c>
      <c r="L7661">
        <v>98.301640000000006</v>
      </c>
      <c r="M7661">
        <v>-7.0033780000000002E-3</v>
      </c>
      <c r="N7661">
        <v>-1.4830660000000001E-2</v>
      </c>
      <c r="O7661">
        <v>0.99986549999999996</v>
      </c>
      <c r="P7661">
        <v>-0.1134681</v>
      </c>
      <c r="Q7661">
        <v>0.36267899999999997</v>
      </c>
      <c r="R7661">
        <v>0.92498049999999998</v>
      </c>
      <c r="S7661">
        <v>-0.31941219999999998</v>
      </c>
      <c r="T7661">
        <v>-0.26903880000000002</v>
      </c>
      <c r="U7661">
        <v>3.3091430000000002</v>
      </c>
      <c r="V7661">
        <v>-0.1070382</v>
      </c>
      <c r="W7661">
        <v>0.37635360000000001</v>
      </c>
      <c r="X7661">
        <v>0.92027210000000004</v>
      </c>
      <c r="Y7661">
        <v>-8.8831709999999994E-2</v>
      </c>
      <c r="Z7661">
        <v>-6.5898949999999998E-2</v>
      </c>
      <c r="AA7661">
        <v>0.99386430000000003</v>
      </c>
      <c r="AB7661">
        <v>37</v>
      </c>
      <c r="AC7661">
        <v>-1.3169</v>
      </c>
      <c r="AD7661">
        <v>-1.1107691319190001</v>
      </c>
      <c r="AE7661">
        <v>13.4054599999999</v>
      </c>
      <c r="AF7661">
        <v>-1.21471373346366</v>
      </c>
      <c r="AG7661">
        <v>-1.1107691319190001</v>
      </c>
      <c r="AH7661">
        <v>13.323752530134501</v>
      </c>
      <c r="AI7661">
        <v>94.745998288922493</v>
      </c>
      <c r="AJ7661">
        <v>95.209200491126495</v>
      </c>
      <c r="AK7661">
        <v>13.4250407449272</v>
      </c>
      <c r="AL7661">
        <v>67.892001064417002</v>
      </c>
      <c r="AM7661">
        <v>96.634346193615499</v>
      </c>
      <c r="AN7661">
        <v>0.99999997326530399</v>
      </c>
    </row>
    <row r="7662" spans="1:40" x14ac:dyDescent="0.25">
      <c r="A7662" t="str">
        <f>"20190304164312206"</f>
        <v>20190304164312206</v>
      </c>
      <c r="B7662" t="str">
        <f>"1551688992199175"</f>
        <v>1551688992199175</v>
      </c>
      <c r="C7662" t="s">
        <v>40</v>
      </c>
      <c r="D7662">
        <v>4.3880119999999998</v>
      </c>
      <c r="E7662">
        <v>0.51631539999999998</v>
      </c>
      <c r="F7662" t="s">
        <v>42</v>
      </c>
      <c r="G7662">
        <v>-188.64660000000001</v>
      </c>
      <c r="H7662" s="1">
        <v>-1.2380860000000001E-6</v>
      </c>
      <c r="I7662">
        <v>111.9592</v>
      </c>
      <c r="J7662">
        <v>-187.32050000000001</v>
      </c>
      <c r="K7662">
        <v>1.1107689999999999</v>
      </c>
      <c r="L7662">
        <v>98.584199999999996</v>
      </c>
      <c r="M7662">
        <v>-7.0562890000000003E-3</v>
      </c>
      <c r="N7662">
        <v>-1.482756E-2</v>
      </c>
      <c r="O7662">
        <v>0.99986520000000001</v>
      </c>
      <c r="P7662">
        <v>-0.1135617</v>
      </c>
      <c r="Q7662">
        <v>0.3635446</v>
      </c>
      <c r="R7662">
        <v>0.92462920000000004</v>
      </c>
      <c r="S7662">
        <v>-0.32182309999999997</v>
      </c>
      <c r="T7662">
        <v>-0.269150099999999</v>
      </c>
      <c r="U7662">
        <v>3.3093569999999999</v>
      </c>
      <c r="V7662">
        <v>-0.1070851</v>
      </c>
      <c r="W7662">
        <v>0.37721189999999999</v>
      </c>
      <c r="X7662">
        <v>0.91991520000000004</v>
      </c>
      <c r="Y7662">
        <v>-8.94895E-2</v>
      </c>
      <c r="Z7662">
        <v>-6.5924940000000001E-2</v>
      </c>
      <c r="AA7662">
        <v>0.99380360000000001</v>
      </c>
      <c r="AB7662">
        <v>37</v>
      </c>
      <c r="AC7662">
        <v>-1.3260999999999901</v>
      </c>
      <c r="AD7662">
        <v>-1.1107702380859901</v>
      </c>
      <c r="AE7662">
        <v>13.375</v>
      </c>
      <c r="AF7662">
        <v>-1.2233235970002601</v>
      </c>
      <c r="AG7662">
        <v>-1.1107702380859901</v>
      </c>
      <c r="AH7662">
        <v>13.2932342407116</v>
      </c>
      <c r="AI7662">
        <v>94.756480227544699</v>
      </c>
      <c r="AJ7662">
        <v>95.257893932169495</v>
      </c>
      <c r="AK7662">
        <v>13.395536858342799</v>
      </c>
      <c r="AL7662">
        <v>67.838912234297098</v>
      </c>
      <c r="AM7662">
        <v>96.639779237486906</v>
      </c>
      <c r="AN7662">
        <v>1.0000000056673299</v>
      </c>
    </row>
    <row r="7663" spans="1:40" x14ac:dyDescent="0.25">
      <c r="A7663" t="str">
        <f>"20190304164312229"</f>
        <v>20190304164312229</v>
      </c>
      <c r="B7663" t="str">
        <f>"1551688992218695"</f>
        <v>1551688992218695</v>
      </c>
      <c r="C7663" t="s">
        <v>40</v>
      </c>
      <c r="D7663">
        <v>4.4240620000000002</v>
      </c>
      <c r="E7663">
        <v>0.51614249999999995</v>
      </c>
      <c r="F7663" t="s">
        <v>42</v>
      </c>
      <c r="G7663">
        <v>-188.66300000000001</v>
      </c>
      <c r="H7663" s="1">
        <v>-1.3591170000000001E-6</v>
      </c>
      <c r="I7663">
        <v>112.24809999999999</v>
      </c>
      <c r="J7663">
        <v>-187.32329999999999</v>
      </c>
      <c r="K7663">
        <v>1.1107750000000001</v>
      </c>
      <c r="L7663">
        <v>98.967380000000006</v>
      </c>
      <c r="M7663">
        <v>-7.1281139999999996E-3</v>
      </c>
      <c r="N7663">
        <v>-1.482355E-2</v>
      </c>
      <c r="O7663">
        <v>0.99986470000000005</v>
      </c>
      <c r="P7663">
        <v>-0.1137232</v>
      </c>
      <c r="Q7663">
        <v>0.36450060000000001</v>
      </c>
      <c r="R7663">
        <v>0.92423279999999997</v>
      </c>
      <c r="S7663">
        <v>-0.32524109999999901</v>
      </c>
      <c r="T7663">
        <v>-0.26911030000000002</v>
      </c>
      <c r="U7663">
        <v>3.3103940000000001</v>
      </c>
      <c r="V7663">
        <v>-0.107183</v>
      </c>
      <c r="W7663">
        <v>0.37815799999999999</v>
      </c>
      <c r="X7663">
        <v>0.91951530000000004</v>
      </c>
      <c r="Y7663">
        <v>-9.040397E-2</v>
      </c>
      <c r="Z7663">
        <v>-6.5884709999999999E-2</v>
      </c>
      <c r="AA7663">
        <v>0.99372349999999998</v>
      </c>
      <c r="AB7663">
        <v>37</v>
      </c>
      <c r="AC7663">
        <v>-1.3396999999999899</v>
      </c>
      <c r="AD7663">
        <v>-1.1107763591169999</v>
      </c>
      <c r="AE7663">
        <v>13.280719999999899</v>
      </c>
      <c r="AF7663">
        <v>-1.2364269432373201</v>
      </c>
      <c r="AG7663">
        <v>-1.1107763591169999</v>
      </c>
      <c r="AH7663">
        <v>13.1985346778986</v>
      </c>
      <c r="AI7663">
        <v>94.789750445368796</v>
      </c>
      <c r="AJ7663">
        <v>95.351798539514405</v>
      </c>
      <c r="AK7663">
        <v>13.302777655423199</v>
      </c>
      <c r="AL7663">
        <v>67.780369127384304</v>
      </c>
      <c r="AM7663">
        <v>96.648659628140393</v>
      </c>
      <c r="AN7663">
        <v>1.0000000276935399</v>
      </c>
    </row>
    <row r="7664" spans="1:40" x14ac:dyDescent="0.25">
      <c r="A7664" t="str">
        <f>"20190304164312248"</f>
        <v>20190304164312248</v>
      </c>
      <c r="B7664" t="str">
        <f>"1551688992239190"</f>
        <v>1551688992239190</v>
      </c>
      <c r="C7664" t="s">
        <v>40</v>
      </c>
      <c r="D7664">
        <v>4.4316139999999997</v>
      </c>
      <c r="E7664">
        <v>0.51661250000000003</v>
      </c>
      <c r="F7664" t="s">
        <v>42</v>
      </c>
      <c r="G7664">
        <v>-188.6773</v>
      </c>
      <c r="H7664" s="1">
        <v>-1.544944E-6</v>
      </c>
      <c r="I7664">
        <v>112.6872</v>
      </c>
      <c r="J7664">
        <v>-187.32570000000001</v>
      </c>
      <c r="K7664">
        <v>1.1107800000000001</v>
      </c>
      <c r="L7664">
        <v>99.298370000000006</v>
      </c>
      <c r="M7664">
        <v>-7.1902340000000002E-3</v>
      </c>
      <c r="N7664">
        <v>-1.481989E-2</v>
      </c>
      <c r="O7664">
        <v>0.99986430000000004</v>
      </c>
      <c r="P7664">
        <v>-0.1138168</v>
      </c>
      <c r="Q7664">
        <v>0.3648267</v>
      </c>
      <c r="R7664">
        <v>0.92409269999999999</v>
      </c>
      <c r="S7664">
        <v>-0.32681270000000001</v>
      </c>
      <c r="T7664">
        <v>-0.26810129999999999</v>
      </c>
      <c r="U7664">
        <v>3.3114620000000001</v>
      </c>
      <c r="V7664">
        <v>-0.10722</v>
      </c>
      <c r="W7664">
        <v>0.37847890000000001</v>
      </c>
      <c r="X7664">
        <v>0.9193789</v>
      </c>
      <c r="Y7664">
        <v>-9.0780070000000004E-2</v>
      </c>
      <c r="Z7664">
        <v>-6.5558679999999994E-2</v>
      </c>
      <c r="AA7664">
        <v>0.99371080000000001</v>
      </c>
      <c r="AB7664">
        <v>37</v>
      </c>
      <c r="AC7664">
        <v>-1.3515999999999899</v>
      </c>
      <c r="AD7664">
        <v>-1.1107815449439999</v>
      </c>
      <c r="AE7664">
        <v>13.38883</v>
      </c>
      <c r="AF7664">
        <v>-1.2467906804775299</v>
      </c>
      <c r="AG7664">
        <v>-1.1107815449439999</v>
      </c>
      <c r="AH7664">
        <v>13.3075326784822</v>
      </c>
      <c r="AI7664">
        <v>94.750716369088593</v>
      </c>
      <c r="AJ7664">
        <v>95.352451133082994</v>
      </c>
      <c r="AK7664">
        <v>13.411888332013</v>
      </c>
      <c r="AL7664">
        <v>67.760505618488807</v>
      </c>
      <c r="AM7664">
        <v>96.651912110705894</v>
      </c>
      <c r="AN7664">
        <v>0.99999998395520995</v>
      </c>
    </row>
    <row r="7665" spans="1:40" x14ac:dyDescent="0.25">
      <c r="A7665" t="str">
        <f>"20190304164312272"</f>
        <v>20190304164312272</v>
      </c>
      <c r="B7665" t="str">
        <f>"1551688992268471"</f>
        <v>1551688992268471</v>
      </c>
      <c r="C7665" t="s">
        <v>40</v>
      </c>
      <c r="D7665">
        <v>4.4375010000000001</v>
      </c>
      <c r="E7665">
        <v>0.5174531</v>
      </c>
      <c r="F7665" t="s">
        <v>42</v>
      </c>
      <c r="G7665">
        <v>-188.678</v>
      </c>
      <c r="H7665" s="1">
        <v>-1.7328E-6</v>
      </c>
      <c r="I7665">
        <v>113.1253</v>
      </c>
      <c r="J7665">
        <v>-187.32849999999999</v>
      </c>
      <c r="K7665">
        <v>1.110778</v>
      </c>
      <c r="L7665">
        <v>99.678529999999995</v>
      </c>
      <c r="M7665">
        <v>-7.2591569999999996E-3</v>
      </c>
      <c r="N7665">
        <v>-1.481553E-2</v>
      </c>
      <c r="O7665">
        <v>0.99986390000000003</v>
      </c>
      <c r="P7665">
        <v>-0.1143651</v>
      </c>
      <c r="Q7665">
        <v>0.36435600000000001</v>
      </c>
      <c r="R7665">
        <v>0.92421059999999999</v>
      </c>
      <c r="S7665">
        <v>-0.32386779999999998</v>
      </c>
      <c r="T7665">
        <v>-0.2660344</v>
      </c>
      <c r="U7665">
        <v>3.3115839999999999</v>
      </c>
      <c r="V7665">
        <v>-0.1077023</v>
      </c>
      <c r="W7665">
        <v>0.37800660000000003</v>
      </c>
      <c r="X7665">
        <v>0.91951689999999997</v>
      </c>
      <c r="Y7665">
        <v>-8.9837539999999994E-2</v>
      </c>
      <c r="Z7665">
        <v>-6.4950869999999994E-2</v>
      </c>
      <c r="AA7665">
        <v>0.99383630000000001</v>
      </c>
      <c r="AB7665">
        <v>37</v>
      </c>
      <c r="AC7665">
        <v>-1.3494999999999999</v>
      </c>
      <c r="AD7665">
        <v>-1.1107797328</v>
      </c>
      <c r="AE7665">
        <v>13.4467699999999</v>
      </c>
      <c r="AF7665">
        <v>-1.2434412429227499</v>
      </c>
      <c r="AG7665">
        <v>-1.1107797328</v>
      </c>
      <c r="AH7665">
        <v>13.365917364942099</v>
      </c>
      <c r="AI7665">
        <v>94.730338655556096</v>
      </c>
      <c r="AJ7665">
        <v>95.314971056756093</v>
      </c>
      <c r="AK7665">
        <v>13.4695109319478</v>
      </c>
      <c r="AL7665">
        <v>67.789739806340705</v>
      </c>
      <c r="AM7665">
        <v>96.680570291075895</v>
      </c>
      <c r="AN7665">
        <v>1.0000000522272201</v>
      </c>
    </row>
    <row r="7666" spans="1:40" x14ac:dyDescent="0.25">
      <c r="A7666" t="str">
        <f>"20190304164312295"</f>
        <v>20190304164312295</v>
      </c>
      <c r="B7666" t="str">
        <f>"1551688992288967"</f>
        <v>1551688992288967</v>
      </c>
      <c r="C7666" t="s">
        <v>40</v>
      </c>
      <c r="D7666">
        <v>4.4105089999999896</v>
      </c>
      <c r="E7666">
        <v>0.5179861</v>
      </c>
      <c r="F7666" t="s">
        <v>42</v>
      </c>
      <c r="G7666">
        <v>-188.65289999999999</v>
      </c>
      <c r="H7666" s="1">
        <v>-1.8606499999999999E-6</v>
      </c>
      <c r="I7666">
        <v>113.413</v>
      </c>
      <c r="J7666">
        <v>-187.3313</v>
      </c>
      <c r="K7666">
        <v>1.110776</v>
      </c>
      <c r="L7666">
        <v>100.05419999999999</v>
      </c>
      <c r="M7666">
        <v>-7.3179019999999899E-3</v>
      </c>
      <c r="N7666">
        <v>-1.481118E-2</v>
      </c>
      <c r="O7666">
        <v>0.99986350000000002</v>
      </c>
      <c r="P7666">
        <v>-0.1153434</v>
      </c>
      <c r="Q7666">
        <v>0.3638303</v>
      </c>
      <c r="R7666">
        <v>0.92429620000000001</v>
      </c>
      <c r="S7666">
        <v>-0.31938169999999999</v>
      </c>
      <c r="T7666">
        <v>-0.26786490000000002</v>
      </c>
      <c r="U7666">
        <v>3.3120729999999998</v>
      </c>
      <c r="V7666">
        <v>-0.1086211</v>
      </c>
      <c r="W7666">
        <v>0.37747940000000002</v>
      </c>
      <c r="X7666">
        <v>0.91962529999999998</v>
      </c>
      <c r="Y7666">
        <v>-8.8428400000000004E-2</v>
      </c>
      <c r="Z7666">
        <v>-6.549932E-2</v>
      </c>
      <c r="AA7666">
        <v>0.99392670000000005</v>
      </c>
      <c r="AB7666">
        <v>37</v>
      </c>
      <c r="AC7666">
        <v>-1.3215999999999799</v>
      </c>
      <c r="AD7666">
        <v>-1.1107778606500001</v>
      </c>
      <c r="AE7666">
        <v>13.3588</v>
      </c>
      <c r="AF7666">
        <v>-1.2154733476620601</v>
      </c>
      <c r="AG7666">
        <v>-1.1107778606500001</v>
      </c>
      <c r="AH7666">
        <v>13.277207826009001</v>
      </c>
      <c r="AI7666">
        <v>94.762434916424198</v>
      </c>
      <c r="AJ7666">
        <v>95.230611694520803</v>
      </c>
      <c r="AK7666">
        <v>13.378918138983501</v>
      </c>
      <c r="AL7666">
        <v>67.822361190788399</v>
      </c>
      <c r="AM7666">
        <v>96.736253225015503</v>
      </c>
      <c r="AN7666">
        <v>0.99999996659482904</v>
      </c>
    </row>
    <row r="7667" spans="1:40" x14ac:dyDescent="0.25">
      <c r="A7667" t="str">
        <f>"20190304164312317"</f>
        <v>20190304164312317</v>
      </c>
      <c r="B7667" t="str">
        <f>"1551688992308487"</f>
        <v>1551688992308487</v>
      </c>
      <c r="C7667" t="s">
        <v>40</v>
      </c>
      <c r="D7667">
        <v>4.4056040000000003</v>
      </c>
      <c r="E7667">
        <v>0.51840509999999995</v>
      </c>
      <c r="F7667" t="s">
        <v>42</v>
      </c>
      <c r="G7667">
        <v>-188.62960000000001</v>
      </c>
      <c r="H7667" s="1">
        <v>-1.9339089999999999E-6</v>
      </c>
      <c r="I7667">
        <v>113.5741</v>
      </c>
      <c r="J7667">
        <v>-187.334</v>
      </c>
      <c r="K7667">
        <v>1.110771</v>
      </c>
      <c r="L7667">
        <v>100.4164</v>
      </c>
      <c r="M7667">
        <v>-7.3616849999999998E-3</v>
      </c>
      <c r="N7667">
        <v>-1.4806980000000001E-2</v>
      </c>
      <c r="O7667">
        <v>0.99986330000000001</v>
      </c>
      <c r="P7667">
        <v>-0.1150349</v>
      </c>
      <c r="Q7667">
        <v>0.36411369999999998</v>
      </c>
      <c r="R7667">
        <v>0.92422309999999996</v>
      </c>
      <c r="S7667">
        <v>-0.31816100000000003</v>
      </c>
      <c r="T7667">
        <v>-0.27220450000000002</v>
      </c>
      <c r="U7667">
        <v>3.3131710000000001</v>
      </c>
      <c r="V7667">
        <v>-0.108263</v>
      </c>
      <c r="W7667">
        <v>0.3777607</v>
      </c>
      <c r="X7667">
        <v>0.91955200000000004</v>
      </c>
      <c r="Y7667">
        <v>-8.7981889999999993E-2</v>
      </c>
      <c r="Z7667">
        <v>-6.6772919999999999E-2</v>
      </c>
      <c r="AA7667">
        <v>0.99388160000000003</v>
      </c>
      <c r="AB7667">
        <v>37</v>
      </c>
      <c r="AC7667">
        <v>-1.2956000000000001</v>
      </c>
      <c r="AD7667">
        <v>-1.110772933909</v>
      </c>
      <c r="AE7667">
        <v>13.1577</v>
      </c>
      <c r="AF7667">
        <v>-1.1902900013336</v>
      </c>
      <c r="AG7667">
        <v>-1.110772933909</v>
      </c>
      <c r="AH7667">
        <v>13.074597797215</v>
      </c>
      <c r="AI7667">
        <v>94.8360882709664</v>
      </c>
      <c r="AJ7667">
        <v>95.201774947498293</v>
      </c>
      <c r="AK7667">
        <v>13.1755726386719</v>
      </c>
      <c r="AL7667">
        <v>67.8049548182656</v>
      </c>
      <c r="AM7667">
        <v>96.714778682649296</v>
      </c>
      <c r="AN7667">
        <v>0.99999995216874304</v>
      </c>
    </row>
    <row r="7668" spans="1:40" x14ac:dyDescent="0.25">
      <c r="A7668" t="str">
        <f>"20190304164312331"</f>
        <v>20190304164312331</v>
      </c>
      <c r="B7668" t="str">
        <f>"1551688992319223"</f>
        <v>1551688992319223</v>
      </c>
      <c r="C7668" t="s">
        <v>40</v>
      </c>
      <c r="D7668">
        <v>4.4009010000000002</v>
      </c>
      <c r="E7668">
        <v>0.51859149999999998</v>
      </c>
      <c r="F7668" t="s">
        <v>42</v>
      </c>
      <c r="G7668">
        <v>-188.61410000000001</v>
      </c>
      <c r="H7668" s="1">
        <v>-2.067917E-6</v>
      </c>
      <c r="I7668">
        <v>113.8801</v>
      </c>
      <c r="J7668">
        <v>-187.3357</v>
      </c>
      <c r="K7668">
        <v>1.1107659999999999</v>
      </c>
      <c r="L7668">
        <v>100.6391</v>
      </c>
      <c r="M7668">
        <v>-7.3817839999999997E-3</v>
      </c>
      <c r="N7668">
        <v>-1.480441E-2</v>
      </c>
      <c r="O7668">
        <v>0.9998631</v>
      </c>
      <c r="P7668">
        <v>-0.1147633</v>
      </c>
      <c r="Q7668">
        <v>0.36451149999999999</v>
      </c>
      <c r="R7668">
        <v>0.92410000000000003</v>
      </c>
      <c r="S7668">
        <v>-0.31512449999999997</v>
      </c>
      <c r="T7668">
        <v>-0.27344859999999999</v>
      </c>
      <c r="U7668">
        <v>3.3144840000000002</v>
      </c>
      <c r="V7668">
        <v>-0.10796749999999999</v>
      </c>
      <c r="W7668">
        <v>0.3781562</v>
      </c>
      <c r="X7668">
        <v>0.91942420000000002</v>
      </c>
      <c r="Y7668">
        <v>-8.7020349999999996E-2</v>
      </c>
      <c r="Z7668">
        <v>-6.7120860000000004E-2</v>
      </c>
      <c r="AA7668">
        <v>0.99394280000000002</v>
      </c>
      <c r="AB7668">
        <v>37</v>
      </c>
      <c r="AC7668">
        <v>-1.2784</v>
      </c>
      <c r="AD7668">
        <v>-1.110768067917</v>
      </c>
      <c r="AE7668">
        <v>13.241</v>
      </c>
      <c r="AF7668">
        <v>-1.17243766200126</v>
      </c>
      <c r="AG7668">
        <v>-1.110768067917</v>
      </c>
      <c r="AH7668">
        <v>13.158333314275801</v>
      </c>
      <c r="AI7668">
        <v>94.806263961867103</v>
      </c>
      <c r="AJ7668">
        <v>95.091738898038301</v>
      </c>
      <c r="AK7668">
        <v>13.2570792930254</v>
      </c>
      <c r="AL7668">
        <v>67.780479325043302</v>
      </c>
      <c r="AM7668">
        <v>96.697539987531002</v>
      </c>
      <c r="AN7668">
        <v>0.999999976100164</v>
      </c>
    </row>
    <row r="7669" spans="1:40" x14ac:dyDescent="0.25">
      <c r="A7669" t="str">
        <f>"20190304164312350"</f>
        <v>20190304164312350</v>
      </c>
      <c r="B7669" t="str">
        <f>"1551688992338743"</f>
        <v>1551688992338743</v>
      </c>
      <c r="C7669" t="s">
        <v>40</v>
      </c>
      <c r="D7669">
        <v>4.4041139999999999</v>
      </c>
      <c r="E7669">
        <v>0.5189492</v>
      </c>
      <c r="F7669" t="s">
        <v>42</v>
      </c>
      <c r="G7669">
        <v>-188.6114</v>
      </c>
      <c r="H7669" s="1">
        <v>-2.1795800000000001E-6</v>
      </c>
      <c r="I7669">
        <v>114.13930000000001</v>
      </c>
      <c r="J7669">
        <v>-187.33799999999999</v>
      </c>
      <c r="K7669">
        <v>1.1107610000000001</v>
      </c>
      <c r="L7669">
        <v>100.9462</v>
      </c>
      <c r="M7669">
        <v>-7.4032309999999997E-3</v>
      </c>
      <c r="N7669">
        <v>-1.480091E-2</v>
      </c>
      <c r="O7669">
        <v>0.99986299999999995</v>
      </c>
      <c r="P7669">
        <v>-0.1139288</v>
      </c>
      <c r="Q7669">
        <v>0.3656992</v>
      </c>
      <c r="R7669">
        <v>0.9237339</v>
      </c>
      <c r="S7669">
        <v>-0.31326290000000001</v>
      </c>
      <c r="T7669">
        <v>-0.27275729999999998</v>
      </c>
      <c r="U7669">
        <v>3.3150629999999999</v>
      </c>
      <c r="V7669">
        <v>-0.10710649999999999</v>
      </c>
      <c r="W7669">
        <v>0.3793377</v>
      </c>
      <c r="X7669">
        <v>0.91903809999999997</v>
      </c>
      <c r="Y7669">
        <v>-8.6431330000000001E-2</v>
      </c>
      <c r="Z7669">
        <v>-6.6908599999999999E-2</v>
      </c>
      <c r="AA7669">
        <v>0.99400849999999996</v>
      </c>
      <c r="AB7669">
        <v>36</v>
      </c>
      <c r="AC7669">
        <v>-1.2734000000000001</v>
      </c>
      <c r="AD7669">
        <v>-1.1107631795799999</v>
      </c>
      <c r="AE7669">
        <v>13.193099999999999</v>
      </c>
      <c r="AF7669">
        <v>-1.1674835984196299</v>
      </c>
      <c r="AG7669">
        <v>-1.1107631795799999</v>
      </c>
      <c r="AH7669">
        <v>13.110094623011401</v>
      </c>
      <c r="AI7669">
        <v>94.823865444561406</v>
      </c>
      <c r="AJ7669">
        <v>95.0888950100627</v>
      </c>
      <c r="AK7669">
        <v>13.2087620092877</v>
      </c>
      <c r="AL7669">
        <v>67.707334777944695</v>
      </c>
      <c r="AM7669">
        <v>96.647375635304996</v>
      </c>
      <c r="AN7669">
        <v>0.99999996111757405</v>
      </c>
    </row>
    <row r="7670" spans="1:40" x14ac:dyDescent="0.25">
      <c r="A7670" t="str">
        <f>"20190304164312364"</f>
        <v>20190304164312364</v>
      </c>
      <c r="B7670" t="str">
        <f>"1551688992359239"</f>
        <v>1551688992359239</v>
      </c>
      <c r="C7670" t="s">
        <v>40</v>
      </c>
      <c r="D7670">
        <v>4.396814</v>
      </c>
      <c r="E7670">
        <v>0.51921919999999999</v>
      </c>
      <c r="F7670" t="s">
        <v>42</v>
      </c>
      <c r="G7670">
        <v>-188.60149999999999</v>
      </c>
      <c r="H7670" s="1">
        <v>-2.3501210000000001E-6</v>
      </c>
      <c r="I7670">
        <v>114.53270000000001</v>
      </c>
      <c r="J7670">
        <v>-187.33959999999999</v>
      </c>
      <c r="K7670">
        <v>1.1107579999999999</v>
      </c>
      <c r="L7670">
        <v>101.16889999999999</v>
      </c>
      <c r="M7670">
        <v>-7.4149630000000001E-3</v>
      </c>
      <c r="N7670">
        <v>-1.479839E-2</v>
      </c>
      <c r="O7670">
        <v>0.99986299999999995</v>
      </c>
      <c r="P7670">
        <v>-0.11334139999999999</v>
      </c>
      <c r="Q7670">
        <v>0.36637639999999999</v>
      </c>
      <c r="R7670">
        <v>0.92353779999999996</v>
      </c>
      <c r="S7670">
        <v>-0.30847170000000002</v>
      </c>
      <c r="T7670">
        <v>-0.27118019999999998</v>
      </c>
      <c r="U7670">
        <v>3.316986</v>
      </c>
      <c r="V7670">
        <v>-0.10650320000000001</v>
      </c>
      <c r="W7670">
        <v>0.3800113</v>
      </c>
      <c r="X7670">
        <v>0.91883000000000004</v>
      </c>
      <c r="Y7670">
        <v>-8.4946789999999994E-2</v>
      </c>
      <c r="Z7670">
        <v>-6.6405459999999999E-2</v>
      </c>
      <c r="AA7670">
        <v>0.9941702</v>
      </c>
      <c r="AB7670">
        <v>36</v>
      </c>
      <c r="AC7670">
        <v>-1.26189999999999</v>
      </c>
      <c r="AD7670">
        <v>-1.1107603501209999</v>
      </c>
      <c r="AE7670">
        <v>13.363799999999999</v>
      </c>
      <c r="AF7670">
        <v>-1.1548546163295199</v>
      </c>
      <c r="AG7670">
        <v>-1.1107603501209999</v>
      </c>
      <c r="AH7670">
        <v>13.281844414513801</v>
      </c>
      <c r="AI7670">
        <v>94.762634122840893</v>
      </c>
      <c r="AJ7670">
        <v>94.969362347858905</v>
      </c>
      <c r="AK7670">
        <v>13.3781489299383</v>
      </c>
      <c r="AL7670">
        <v>67.665618435800695</v>
      </c>
      <c r="AM7670">
        <v>96.611749045074703</v>
      </c>
      <c r="AN7670">
        <v>1.0000000443189601</v>
      </c>
    </row>
    <row r="7671" spans="1:40" x14ac:dyDescent="0.25">
      <c r="A7671" t="str">
        <f>"20190304164312384"</f>
        <v>20190304164312384</v>
      </c>
      <c r="B7671" t="str">
        <f>"1551688992378760"</f>
        <v>1551688992378760</v>
      </c>
      <c r="C7671" t="s">
        <v>40</v>
      </c>
      <c r="D7671">
        <v>4.3796549999999996</v>
      </c>
      <c r="E7671">
        <v>0.5194434</v>
      </c>
      <c r="F7671" t="s">
        <v>42</v>
      </c>
      <c r="G7671">
        <v>-188.59739999999999</v>
      </c>
      <c r="H7671" s="1">
        <v>-2.5114919999999998E-6</v>
      </c>
      <c r="I7671">
        <v>114.9072</v>
      </c>
      <c r="J7671">
        <v>-187.34209999999999</v>
      </c>
      <c r="K7671">
        <v>1.11076</v>
      </c>
      <c r="L7671">
        <v>101.4956</v>
      </c>
      <c r="M7671">
        <v>-7.4235969999999997E-3</v>
      </c>
      <c r="N7671">
        <v>-1.4794720000000001E-2</v>
      </c>
      <c r="O7671">
        <v>0.99986299999999995</v>
      </c>
      <c r="P7671">
        <v>-0.1121069</v>
      </c>
      <c r="Q7671">
        <v>0.3673999</v>
      </c>
      <c r="R7671">
        <v>0.92328180000000004</v>
      </c>
      <c r="S7671">
        <v>-0.3037262</v>
      </c>
      <c r="T7671">
        <v>-0.26822590000000002</v>
      </c>
      <c r="U7671">
        <v>3.3175050000000001</v>
      </c>
      <c r="V7671">
        <v>-0.1052549</v>
      </c>
      <c r="W7671">
        <v>0.38102989999999998</v>
      </c>
      <c r="X7671">
        <v>0.91855189999999998</v>
      </c>
      <c r="Y7671">
        <v>-8.3520549999999999E-2</v>
      </c>
      <c r="Z7671">
        <v>-6.5527329999999995E-2</v>
      </c>
      <c r="AA7671">
        <v>0.99434929999999999</v>
      </c>
      <c r="AB7671">
        <v>36</v>
      </c>
      <c r="AC7671">
        <v>-1.2553000000000001</v>
      </c>
      <c r="AD7671">
        <v>-1.1107625114919999</v>
      </c>
      <c r="AE7671">
        <v>13.4116</v>
      </c>
      <c r="AF7671">
        <v>-1.14788684438788</v>
      </c>
      <c r="AG7671">
        <v>-1.1107625114919999</v>
      </c>
      <c r="AH7671">
        <v>13.3299101248471</v>
      </c>
      <c r="AI7671">
        <v>94.745887823822699</v>
      </c>
      <c r="AJ7671">
        <v>94.921805101693593</v>
      </c>
      <c r="AK7671">
        <v>13.425272492614599</v>
      </c>
      <c r="AL7671">
        <v>67.602508034977205</v>
      </c>
      <c r="AM7671">
        <v>96.536889860738796</v>
      </c>
      <c r="AN7671">
        <v>0.99999998583081395</v>
      </c>
    </row>
    <row r="7672" spans="1:40" x14ac:dyDescent="0.25">
      <c r="A7672" t="str">
        <f>"20190304164312407"</f>
        <v>20190304164312407</v>
      </c>
      <c r="B7672" t="str">
        <f>"1551688992399257"</f>
        <v>1551688992399257</v>
      </c>
      <c r="C7672" t="s">
        <v>40</v>
      </c>
      <c r="D7672">
        <v>4.3669609999999999</v>
      </c>
      <c r="E7672">
        <v>0.51970550000000004</v>
      </c>
      <c r="F7672" t="s">
        <v>42</v>
      </c>
      <c r="G7672">
        <v>-188.5941</v>
      </c>
      <c r="H7672" s="1">
        <v>-2.7500619999999999E-6</v>
      </c>
      <c r="I7672">
        <v>115.4619</v>
      </c>
      <c r="J7672">
        <v>-187.34479999999999</v>
      </c>
      <c r="K7672">
        <v>1.1107450000000001</v>
      </c>
      <c r="L7672">
        <v>101.872</v>
      </c>
      <c r="M7672">
        <v>-7.4127409999999996E-3</v>
      </c>
      <c r="N7672">
        <v>-1.479048E-2</v>
      </c>
      <c r="O7672">
        <v>0.9998631</v>
      </c>
      <c r="P7672">
        <v>-0.11096350000000001</v>
      </c>
      <c r="Q7672">
        <v>0.36815150000000002</v>
      </c>
      <c r="R7672">
        <v>0.92312059999999996</v>
      </c>
      <c r="S7672">
        <v>-0.29747010000000002</v>
      </c>
      <c r="T7672">
        <v>-0.26389970000000001</v>
      </c>
      <c r="U7672">
        <v>3.3181759999999998</v>
      </c>
      <c r="V7672">
        <v>-0.1041115</v>
      </c>
      <c r="W7672">
        <v>0.3817779</v>
      </c>
      <c r="X7672">
        <v>0.91837159999999995</v>
      </c>
      <c r="Y7672">
        <v>-8.1663040000000006E-2</v>
      </c>
      <c r="Z7672">
        <v>-6.4240370000000005E-2</v>
      </c>
      <c r="AA7672">
        <v>0.99458749999999996</v>
      </c>
      <c r="AB7672">
        <v>36</v>
      </c>
      <c r="AC7672">
        <v>-1.2493000000000001</v>
      </c>
      <c r="AD7672">
        <v>-1.110747750062</v>
      </c>
      <c r="AE7672">
        <v>13.589899999999901</v>
      </c>
      <c r="AF7672">
        <v>-1.1409581230991099</v>
      </c>
      <c r="AG7672">
        <v>-1.110747750062</v>
      </c>
      <c r="AH7672">
        <v>13.5092979002282</v>
      </c>
      <c r="AI7672">
        <v>94.683742071978998</v>
      </c>
      <c r="AJ7672">
        <v>94.827587176088699</v>
      </c>
      <c r="AK7672">
        <v>13.6028186696744</v>
      </c>
      <c r="AL7672">
        <v>67.556146152591396</v>
      </c>
      <c r="AM7672">
        <v>96.467742148655105</v>
      </c>
      <c r="AN7672">
        <v>0.999999982523609</v>
      </c>
    </row>
    <row r="7673" spans="1:40" x14ac:dyDescent="0.25">
      <c r="A7673" t="str">
        <f>"20190304164312431"</f>
        <v>20190304164312431</v>
      </c>
      <c r="B7673" t="str">
        <f>"1551688992418775"</f>
        <v>1551688992418775</v>
      </c>
      <c r="C7673" t="s">
        <v>40</v>
      </c>
      <c r="D7673">
        <v>4.3449730000000004</v>
      </c>
      <c r="E7673">
        <v>0.51993040000000001</v>
      </c>
      <c r="F7673" t="s">
        <v>42</v>
      </c>
      <c r="G7673">
        <v>-188.5752</v>
      </c>
      <c r="H7673" s="1">
        <v>-2.9258999999999998E-6</v>
      </c>
      <c r="I7673">
        <v>115.864</v>
      </c>
      <c r="J7673">
        <v>-187.3475</v>
      </c>
      <c r="K7673">
        <v>1.1107309999999999</v>
      </c>
      <c r="L7673">
        <v>102.2394</v>
      </c>
      <c r="M7673">
        <v>-7.3725600000000002E-3</v>
      </c>
      <c r="N7673">
        <v>-1.478637E-2</v>
      </c>
      <c r="O7673">
        <v>0.99986350000000002</v>
      </c>
      <c r="P7673">
        <v>-0.1103524</v>
      </c>
      <c r="Q7673">
        <v>0.3688844</v>
      </c>
      <c r="R7673">
        <v>0.92290119999999998</v>
      </c>
      <c r="S7673">
        <v>-0.2919312</v>
      </c>
      <c r="T7673">
        <v>-0.26354539999999999</v>
      </c>
      <c r="U7673">
        <v>3.319855</v>
      </c>
      <c r="V7673">
        <v>-0.103522</v>
      </c>
      <c r="W7673">
        <v>0.38250820000000002</v>
      </c>
      <c r="X7673">
        <v>0.91813440000000002</v>
      </c>
      <c r="Y7673">
        <v>-8.0013819999999999E-2</v>
      </c>
      <c r="Z7673">
        <v>-6.4110429999999996E-2</v>
      </c>
      <c r="AA7673">
        <v>0.99472989999999994</v>
      </c>
      <c r="AB7673">
        <v>36</v>
      </c>
      <c r="AC7673">
        <v>-1.22769999999999</v>
      </c>
      <c r="AD7673">
        <v>-1.1107339259</v>
      </c>
      <c r="AE7673">
        <v>13.6245999999999</v>
      </c>
      <c r="AF7673">
        <v>-1.11982484256458</v>
      </c>
      <c r="AG7673">
        <v>-1.1107339259</v>
      </c>
      <c r="AH7673">
        <v>13.543991029355899</v>
      </c>
      <c r="AI7673">
        <v>94.672425713754706</v>
      </c>
      <c r="AJ7673">
        <v>94.7264968058264</v>
      </c>
      <c r="AK7673">
        <v>13.6355209117746</v>
      </c>
      <c r="AL7673">
        <v>67.510868105640895</v>
      </c>
      <c r="AM7673">
        <v>96.433075848253097</v>
      </c>
      <c r="AN7673">
        <v>1.00000005200729</v>
      </c>
    </row>
    <row r="7674" spans="1:40" x14ac:dyDescent="0.25">
      <c r="A7674" t="str">
        <f>"20190304164312450"</f>
        <v>20190304164312450</v>
      </c>
      <c r="B7674" t="str">
        <f>"1551688992438296"</f>
        <v>1551688992438296</v>
      </c>
      <c r="C7674" t="s">
        <v>40</v>
      </c>
      <c r="D7674">
        <v>4.3453200000000001</v>
      </c>
      <c r="E7674">
        <v>0.52007979999999998</v>
      </c>
      <c r="F7674" t="s">
        <v>42</v>
      </c>
      <c r="G7674">
        <v>-188.56649999999999</v>
      </c>
      <c r="H7674" s="1">
        <v>-3.1012270000000002E-6</v>
      </c>
      <c r="I7674">
        <v>116.26909999999999</v>
      </c>
      <c r="J7674">
        <v>-187.34989999999999</v>
      </c>
      <c r="K7674">
        <v>1.110716</v>
      </c>
      <c r="L7674">
        <v>102.57389999999999</v>
      </c>
      <c r="M7674">
        <v>-7.2999129999999999E-3</v>
      </c>
      <c r="N7674">
        <v>-1.478265E-2</v>
      </c>
      <c r="O7674">
        <v>0.99986410000000003</v>
      </c>
      <c r="P7674">
        <v>-0.1092098</v>
      </c>
      <c r="Q7674">
        <v>0.37001899999999999</v>
      </c>
      <c r="R7674">
        <v>0.92258289999999998</v>
      </c>
      <c r="S7674">
        <v>-0.28855900000000001</v>
      </c>
      <c r="T7674">
        <v>-0.26294260000000003</v>
      </c>
      <c r="U7674">
        <v>3.3212280000000001</v>
      </c>
      <c r="V7674">
        <v>-0.1024239</v>
      </c>
      <c r="W7674">
        <v>0.38364090000000001</v>
      </c>
      <c r="X7674">
        <v>0.91778479999999996</v>
      </c>
      <c r="Y7674">
        <v>-7.9049919999999996E-2</v>
      </c>
      <c r="Z7674">
        <v>-6.3908900000000005E-2</v>
      </c>
      <c r="AA7674">
        <v>0.99481989999999998</v>
      </c>
      <c r="AB7674">
        <v>36</v>
      </c>
      <c r="AC7674">
        <v>-1.2165999999999899</v>
      </c>
      <c r="AD7674">
        <v>-1.1107191012269999</v>
      </c>
      <c r="AE7674">
        <v>13.6952</v>
      </c>
      <c r="AF7674">
        <v>-1.10934313028596</v>
      </c>
      <c r="AG7674">
        <v>-1.1107191012269999</v>
      </c>
      <c r="AH7674">
        <v>13.6148642308143</v>
      </c>
      <c r="AI7674">
        <v>94.648601034135993</v>
      </c>
      <c r="AJ7674">
        <v>94.658186478879401</v>
      </c>
      <c r="AK7674">
        <v>13.705067206184999</v>
      </c>
      <c r="AL7674">
        <v>67.440607663945698</v>
      </c>
      <c r="AM7674">
        <v>96.367805440200996</v>
      </c>
      <c r="AN7674">
        <v>0.99999996727752904</v>
      </c>
    </row>
    <row r="7675" spans="1:40" x14ac:dyDescent="0.25">
      <c r="A7675" t="str">
        <f>"20190304164312475"</f>
        <v>20190304164312475</v>
      </c>
      <c r="B7675" t="str">
        <f>"1551688992468551"</f>
        <v>1551688992468551</v>
      </c>
      <c r="C7675" t="s">
        <v>40</v>
      </c>
      <c r="D7675">
        <v>4.4153419999999999</v>
      </c>
      <c r="E7675">
        <v>0.5202272</v>
      </c>
      <c r="F7675" t="s">
        <v>42</v>
      </c>
      <c r="G7675">
        <v>-188.56569999999999</v>
      </c>
      <c r="H7675" s="1">
        <v>-3.2975569999999999E-6</v>
      </c>
      <c r="I7675">
        <v>116.7264</v>
      </c>
      <c r="J7675">
        <v>-187.35249999999999</v>
      </c>
      <c r="K7675">
        <v>1.1106739999999999</v>
      </c>
      <c r="L7675">
        <v>102.9478</v>
      </c>
      <c r="M7675">
        <v>-7.1629739999999999E-3</v>
      </c>
      <c r="N7675">
        <v>-1.4778579999999999E-2</v>
      </c>
      <c r="O7675">
        <v>0.99986509999999995</v>
      </c>
      <c r="P7675">
        <v>-0.108102</v>
      </c>
      <c r="Q7675">
        <v>0.37010500000000002</v>
      </c>
      <c r="R7675">
        <v>0.92267880000000002</v>
      </c>
      <c r="S7675">
        <v>-0.28543089999999999</v>
      </c>
      <c r="T7675">
        <v>-0.2607604</v>
      </c>
      <c r="U7675">
        <v>3.32254</v>
      </c>
      <c r="V7675">
        <v>-0.1014007</v>
      </c>
      <c r="W7675">
        <v>0.3837352</v>
      </c>
      <c r="X7675">
        <v>0.91785899999999998</v>
      </c>
      <c r="Y7675">
        <v>-7.822751E-2</v>
      </c>
      <c r="Z7675">
        <v>-6.3238669999999997E-2</v>
      </c>
      <c r="AA7675">
        <v>0.99492780000000003</v>
      </c>
      <c r="AB7675">
        <v>36</v>
      </c>
      <c r="AC7675">
        <v>-1.2132000000000001</v>
      </c>
      <c r="AD7675">
        <v>-1.1106772975569901</v>
      </c>
      <c r="AE7675">
        <v>13.7785999999999</v>
      </c>
      <c r="AF7675">
        <v>-1.1073225374095601</v>
      </c>
      <c r="AG7675">
        <v>-1.1106772975569901</v>
      </c>
      <c r="AH7675">
        <v>13.6986115893696</v>
      </c>
      <c r="AI7675">
        <v>94.620371254903901</v>
      </c>
      <c r="AJ7675">
        <v>94.621436171284003</v>
      </c>
      <c r="AK7675">
        <v>13.788100911205101</v>
      </c>
      <c r="AL7675">
        <v>67.434757046621499</v>
      </c>
      <c r="AM7675">
        <v>96.304201221930796</v>
      </c>
      <c r="AN7675">
        <v>0.99999997478026403</v>
      </c>
    </row>
    <row r="7676" spans="1:40" x14ac:dyDescent="0.25">
      <c r="A7676" t="str">
        <f>"20190304164312496"</f>
        <v>20190304164312496</v>
      </c>
      <c r="B7676" t="str">
        <f>"1551688992489048"</f>
        <v>1551688992489048</v>
      </c>
      <c r="C7676" t="s">
        <v>40</v>
      </c>
      <c r="D7676">
        <v>4.7063129999999997</v>
      </c>
      <c r="E7676">
        <v>0.54653859999999999</v>
      </c>
      <c r="F7676" t="s">
        <v>42</v>
      </c>
      <c r="G7676">
        <v>-188.53919999999999</v>
      </c>
      <c r="H7676" s="1">
        <v>-3.4218890000000001E-6</v>
      </c>
      <c r="I7676">
        <v>117.00530000000001</v>
      </c>
      <c r="J7676">
        <v>-187.35509999999999</v>
      </c>
      <c r="K7676">
        <v>1.1106130000000001</v>
      </c>
      <c r="L7676">
        <v>103.3275</v>
      </c>
      <c r="M7676">
        <v>-6.9484589999999997E-3</v>
      </c>
      <c r="N7676">
        <v>-1.4774610000000001E-2</v>
      </c>
      <c r="O7676">
        <v>0.9998667</v>
      </c>
      <c r="P7676">
        <v>-0.1063103</v>
      </c>
      <c r="Q7676">
        <v>0.36873060000000002</v>
      </c>
      <c r="R7676">
        <v>0.92343699999999995</v>
      </c>
      <c r="S7676">
        <v>-0.28059390000000001</v>
      </c>
      <c r="T7676">
        <v>-0.2626175</v>
      </c>
      <c r="U7676">
        <v>3.323868</v>
      </c>
      <c r="V7676">
        <v>-9.9746760000000004E-2</v>
      </c>
      <c r="W7676">
        <v>0.38238169999999999</v>
      </c>
      <c r="X7676">
        <v>0.91860489999999995</v>
      </c>
      <c r="Y7676">
        <v>-7.6967720000000003E-2</v>
      </c>
      <c r="Z7676">
        <v>-6.3772679999999998E-2</v>
      </c>
      <c r="AA7676">
        <v>0.99499199999999999</v>
      </c>
      <c r="AB7676">
        <v>36</v>
      </c>
      <c r="AC7676">
        <v>-1.1840999999999999</v>
      </c>
      <c r="AD7676">
        <v>-1.11061642188899</v>
      </c>
      <c r="AE7676">
        <v>13.6778</v>
      </c>
      <c r="AF7676">
        <v>-1.08194102063216</v>
      </c>
      <c r="AG7676">
        <v>-1.11061642188899</v>
      </c>
      <c r="AH7676">
        <v>13.596719384586899</v>
      </c>
      <c r="AI7676">
        <v>94.655055871143105</v>
      </c>
      <c r="AJ7676">
        <v>94.549649533959695</v>
      </c>
      <c r="AK7676">
        <v>13.6848399052344</v>
      </c>
      <c r="AL7676">
        <v>67.518712815973103</v>
      </c>
      <c r="AM7676">
        <v>96.197184847614494</v>
      </c>
      <c r="AN7676">
        <v>1.0000000714646899</v>
      </c>
    </row>
    <row r="7677" spans="1:40" x14ac:dyDescent="0.25">
      <c r="A7677" t="str">
        <f>"20190304164312518"</f>
        <v>20190304164312518</v>
      </c>
      <c r="B7677" t="str">
        <f>"1551688992508567"</f>
        <v>1551688992508567</v>
      </c>
      <c r="C7677" t="s">
        <v>40</v>
      </c>
      <c r="D7677">
        <v>4.3260740000000002</v>
      </c>
      <c r="E7677">
        <v>0.55876809999999999</v>
      </c>
      <c r="F7677" t="s">
        <v>41</v>
      </c>
      <c r="G7677">
        <v>-187.37309999999999</v>
      </c>
      <c r="H7677">
        <v>1.020014</v>
      </c>
      <c r="I7677">
        <v>104.12820000000001</v>
      </c>
      <c r="J7677">
        <v>-187.3571</v>
      </c>
      <c r="K7677">
        <v>1.1105400000000001</v>
      </c>
      <c r="L7677">
        <v>103.66379999999999</v>
      </c>
      <c r="M7677">
        <v>-6.6732859999999996E-3</v>
      </c>
      <c r="N7677">
        <v>-1.477121E-2</v>
      </c>
      <c r="O7677">
        <v>0.9998686</v>
      </c>
      <c r="P7677">
        <v>-0.1042638</v>
      </c>
      <c r="Q7677">
        <v>0.36754910000000002</v>
      </c>
      <c r="R7677">
        <v>0.92414110000000005</v>
      </c>
      <c r="S7677">
        <v>-7.6812740000000004E-2</v>
      </c>
      <c r="T7677">
        <v>-0.38397300000000001</v>
      </c>
      <c r="U7677">
        <v>3.3931879999999999</v>
      </c>
      <c r="V7677">
        <v>-9.788877E-2</v>
      </c>
      <c r="W7677">
        <v>0.38122260000000002</v>
      </c>
      <c r="X7677">
        <v>0.91928620000000005</v>
      </c>
      <c r="Y7677">
        <v>-1.5835370000000001E-2</v>
      </c>
      <c r="Z7677">
        <v>-9.7728609999999994E-2</v>
      </c>
      <c r="AA7677">
        <v>0.9950871</v>
      </c>
      <c r="AB7677">
        <v>36</v>
      </c>
      <c r="AC7677">
        <v>-1.5999999999991101E-2</v>
      </c>
      <c r="AD7677">
        <v>-9.0525999999999801E-2</v>
      </c>
      <c r="AE7677">
        <v>0.46440000000001103</v>
      </c>
      <c r="AF7677">
        <v>-1.24285303813277E-2</v>
      </c>
      <c r="AG7677">
        <v>-9.0525999999999801E-2</v>
      </c>
      <c r="AH7677">
        <v>0.44751198301232598</v>
      </c>
      <c r="AI7677">
        <v>101.43159845216699</v>
      </c>
      <c r="AJ7677">
        <v>91.590838600290397</v>
      </c>
      <c r="AK7677">
        <v>0.45674544330848399</v>
      </c>
      <c r="AL7677">
        <v>67.590566101380105</v>
      </c>
      <c r="AM7677">
        <v>96.078148746564096</v>
      </c>
      <c r="AN7677">
        <v>0.99999999977665599</v>
      </c>
    </row>
    <row r="7678" spans="1:40" x14ac:dyDescent="0.25">
      <c r="A7678" t="str">
        <f>"20190304164312532"</f>
        <v>20190304164312532</v>
      </c>
      <c r="B7678" t="str">
        <f>"1551688992529063"</f>
        <v>1551688992529063</v>
      </c>
      <c r="C7678" t="s">
        <v>40</v>
      </c>
      <c r="D7678">
        <v>4.3515230000000003</v>
      </c>
      <c r="E7678">
        <v>0.5644382</v>
      </c>
      <c r="F7678" t="s">
        <v>41</v>
      </c>
      <c r="G7678">
        <v>-187.35210000000001</v>
      </c>
      <c r="H7678">
        <v>1.012297</v>
      </c>
      <c r="I7678">
        <v>104.44670000000001</v>
      </c>
      <c r="J7678">
        <v>-187.35849999999999</v>
      </c>
      <c r="K7678">
        <v>1.110484</v>
      </c>
      <c r="L7678">
        <v>103.9024</v>
      </c>
      <c r="M7678">
        <v>-6.4090780000000003E-3</v>
      </c>
      <c r="N7678">
        <v>-1.476892E-2</v>
      </c>
      <c r="O7678">
        <v>0.99987040000000005</v>
      </c>
      <c r="P7678">
        <v>-0.1025927</v>
      </c>
      <c r="Q7678">
        <v>0.3669596</v>
      </c>
      <c r="R7678">
        <v>0.92456229999999995</v>
      </c>
      <c r="S7678">
        <v>2.1713260000000002E-2</v>
      </c>
      <c r="T7678">
        <v>-0.42905710000000002</v>
      </c>
      <c r="U7678">
        <v>3.4193570000000002</v>
      </c>
      <c r="V7678">
        <v>-9.6405759999999993E-2</v>
      </c>
      <c r="W7678">
        <v>0.38064940000000003</v>
      </c>
      <c r="X7678">
        <v>0.91968039999999995</v>
      </c>
      <c r="Y7678">
        <v>1.2707909999999999E-2</v>
      </c>
      <c r="Z7678">
        <v>-0.10982459999999999</v>
      </c>
      <c r="AA7678">
        <v>0.99386969999999997</v>
      </c>
      <c r="AB7678">
        <v>36</v>
      </c>
      <c r="AC7678">
        <v>6.39999999998508E-3</v>
      </c>
      <c r="AD7678">
        <v>-9.8186999999999997E-2</v>
      </c>
      <c r="AE7678">
        <v>0.544300000000006</v>
      </c>
      <c r="AF7678">
        <v>9.5771043992576299E-3</v>
      </c>
      <c r="AG7678">
        <v>-9.8186999999999997E-2</v>
      </c>
      <c r="AH7678">
        <v>0.52709785909453</v>
      </c>
      <c r="AI7678">
        <v>100.55032836922101</v>
      </c>
      <c r="AJ7678">
        <v>88.959078887208094</v>
      </c>
      <c r="AK7678">
        <v>0.53625046476409799</v>
      </c>
      <c r="AL7678">
        <v>67.626087092041502</v>
      </c>
      <c r="AM7678">
        <v>95.984191496537804</v>
      </c>
      <c r="AN7678">
        <v>1.0000000372128399</v>
      </c>
    </row>
    <row r="7679" spans="1:40" x14ac:dyDescent="0.25">
      <c r="A7679" t="str">
        <f>"20190304164312550"</f>
        <v>20190304164312550</v>
      </c>
      <c r="B7679" t="str">
        <f>"1551688992538823"</f>
        <v>1551688992538823</v>
      </c>
      <c r="C7679" t="s">
        <v>40</v>
      </c>
      <c r="D7679">
        <v>4.3251330000000001</v>
      </c>
      <c r="E7679">
        <v>0.56694599999999995</v>
      </c>
      <c r="F7679" t="s">
        <v>41</v>
      </c>
      <c r="G7679">
        <v>-187.3408</v>
      </c>
      <c r="H7679">
        <v>0.99789170000000005</v>
      </c>
      <c r="I7679">
        <v>104.76179999999999</v>
      </c>
      <c r="J7679">
        <v>-187.35990000000001</v>
      </c>
      <c r="K7679">
        <v>1.110409</v>
      </c>
      <c r="L7679">
        <v>104.1831</v>
      </c>
      <c r="M7679">
        <v>-6.0229510000000003E-3</v>
      </c>
      <c r="N7679">
        <v>-1.4766369999999999E-2</v>
      </c>
      <c r="O7679">
        <v>0.99987280000000001</v>
      </c>
      <c r="P7679">
        <v>-9.9341990000000005E-2</v>
      </c>
      <c r="Q7679">
        <v>0.36670269999999999</v>
      </c>
      <c r="R7679">
        <v>0.92501909999999998</v>
      </c>
      <c r="S7679">
        <v>6.9686890000000001E-2</v>
      </c>
      <c r="T7679">
        <v>-0.44950040000000002</v>
      </c>
      <c r="U7679">
        <v>3.4309080000000001</v>
      </c>
      <c r="V7679">
        <v>-9.3435240000000003E-2</v>
      </c>
      <c r="W7679">
        <v>0.38041259999999999</v>
      </c>
      <c r="X7679">
        <v>0.92008480000000004</v>
      </c>
      <c r="Y7679">
        <v>2.6165870000000001E-2</v>
      </c>
      <c r="Z7679">
        <v>-0.1152096</v>
      </c>
      <c r="AA7679">
        <v>0.99299649999999995</v>
      </c>
      <c r="AB7679">
        <v>36</v>
      </c>
      <c r="AC7679">
        <v>1.91000000000087E-2</v>
      </c>
      <c r="AD7679">
        <v>-0.1125173</v>
      </c>
      <c r="AE7679">
        <v>0.57869999999999699</v>
      </c>
      <c r="AF7679">
        <v>2.17636685202151E-2</v>
      </c>
      <c r="AG7679">
        <v>-0.1125173</v>
      </c>
      <c r="AH7679">
        <v>0.55752115141629899</v>
      </c>
      <c r="AI7679">
        <v>101.40154894004201</v>
      </c>
      <c r="AJ7679">
        <v>87.764508964850293</v>
      </c>
      <c r="AK7679">
        <v>0.56917803396064304</v>
      </c>
      <c r="AL7679">
        <v>67.640756780397396</v>
      </c>
      <c r="AM7679">
        <v>95.798547485408307</v>
      </c>
      <c r="AN7679">
        <v>0.99999996475182795</v>
      </c>
    </row>
    <row r="7680" spans="1:40" x14ac:dyDescent="0.25">
      <c r="A7680" t="str">
        <f>"20190304164312573"</f>
        <v>20190304164312573</v>
      </c>
      <c r="B7680" t="str">
        <f>"1551688992569079"</f>
        <v>1551688992569079</v>
      </c>
      <c r="C7680" t="s">
        <v>40</v>
      </c>
      <c r="D7680">
        <v>4.2615600000000002</v>
      </c>
      <c r="E7680">
        <v>0.57055089999999997</v>
      </c>
      <c r="F7680" t="s">
        <v>41</v>
      </c>
      <c r="G7680">
        <v>-187.3339</v>
      </c>
      <c r="H7680">
        <v>0.99308859999999999</v>
      </c>
      <c r="I7680">
        <v>105.0813</v>
      </c>
      <c r="J7680">
        <v>-187.36150000000001</v>
      </c>
      <c r="K7680">
        <v>1.1102879999999999</v>
      </c>
      <c r="L7680">
        <v>104.5544</v>
      </c>
      <c r="M7680">
        <v>-5.3645719999999997E-3</v>
      </c>
      <c r="N7680">
        <v>-1.476338E-2</v>
      </c>
      <c r="O7680">
        <v>0.9998766</v>
      </c>
      <c r="P7680">
        <v>-9.6775410000000006E-2</v>
      </c>
      <c r="Q7680">
        <v>0.36686570000000002</v>
      </c>
      <c r="R7680">
        <v>0.92522649999999995</v>
      </c>
      <c r="S7680">
        <v>9.9655149999999998E-2</v>
      </c>
      <c r="T7680">
        <v>-0.44824700000000001</v>
      </c>
      <c r="U7680">
        <v>3.4315799999999999</v>
      </c>
      <c r="V7680">
        <v>-9.1359609999999994E-2</v>
      </c>
      <c r="W7680">
        <v>0.38060090000000002</v>
      </c>
      <c r="X7680">
        <v>0.92021540000000002</v>
      </c>
      <c r="Y7680">
        <v>3.416218E-2</v>
      </c>
      <c r="Z7680">
        <v>-0.114802</v>
      </c>
      <c r="AA7680">
        <v>0.99280080000000004</v>
      </c>
      <c r="AB7680">
        <v>36</v>
      </c>
      <c r="AC7680">
        <v>2.7600000000006699E-2</v>
      </c>
      <c r="AD7680">
        <v>-0.117199399999999</v>
      </c>
      <c r="AE7680">
        <v>0.52689999999999704</v>
      </c>
      <c r="AF7680">
        <v>2.8995832335255201E-2</v>
      </c>
      <c r="AG7680">
        <v>-0.117199399999999</v>
      </c>
      <c r="AH7680">
        <v>0.50197651889778805</v>
      </c>
      <c r="AI7680">
        <v>103.12065413164601</v>
      </c>
      <c r="AJ7680">
        <v>86.694078901707698</v>
      </c>
      <c r="AK7680">
        <v>0.51629147114581997</v>
      </c>
      <c r="AL7680">
        <v>67.629091319090804</v>
      </c>
      <c r="AM7680">
        <v>95.6697842566915</v>
      </c>
      <c r="AN7680">
        <v>1.00000000290866</v>
      </c>
    </row>
    <row r="7681" spans="1:40" x14ac:dyDescent="0.25">
      <c r="A7681" t="str">
        <f>"20190304164312597"</f>
        <v>20190304164312597</v>
      </c>
      <c r="B7681" t="str">
        <f>"1551688992588599"</f>
        <v>1551688992588599</v>
      </c>
      <c r="C7681" t="s">
        <v>40</v>
      </c>
      <c r="D7681">
        <v>4.2451040000000004</v>
      </c>
      <c r="E7681">
        <v>0.57197489999999995</v>
      </c>
      <c r="F7681" t="s">
        <v>41</v>
      </c>
      <c r="G7681">
        <v>-187.3272</v>
      </c>
      <c r="H7681">
        <v>0.99874940000000001</v>
      </c>
      <c r="I7681">
        <v>105.4057</v>
      </c>
      <c r="J7681">
        <v>-187.36279999999999</v>
      </c>
      <c r="K7681">
        <v>1.1101379999999901</v>
      </c>
      <c r="L7681">
        <v>104.9395</v>
      </c>
      <c r="M7681">
        <v>-4.4990450000000001E-3</v>
      </c>
      <c r="N7681">
        <v>-1.476076E-2</v>
      </c>
      <c r="O7681">
        <v>0.99988089999999996</v>
      </c>
      <c r="P7681">
        <v>-9.4004149999999995E-2</v>
      </c>
      <c r="Q7681">
        <v>0.36627530000000003</v>
      </c>
      <c r="R7681">
        <v>0.92574599999999996</v>
      </c>
      <c r="S7681">
        <v>0.13842769999999999</v>
      </c>
      <c r="T7681">
        <v>-0.45009919999999998</v>
      </c>
      <c r="U7681">
        <v>3.4353940000000001</v>
      </c>
      <c r="V7681">
        <v>-8.9250220000000005E-2</v>
      </c>
      <c r="W7681">
        <v>0.38004480000000002</v>
      </c>
      <c r="X7681">
        <v>0.92065220000000003</v>
      </c>
      <c r="Y7681">
        <v>4.4441700000000001E-2</v>
      </c>
      <c r="Z7681">
        <v>-0.1151388</v>
      </c>
      <c r="AA7681">
        <v>0.99235479999999998</v>
      </c>
      <c r="AB7681">
        <v>36</v>
      </c>
      <c r="AC7681">
        <v>3.5599999999988002E-2</v>
      </c>
      <c r="AD7681">
        <v>-0.11138859999999901</v>
      </c>
      <c r="AE7681">
        <v>0.4662</v>
      </c>
      <c r="AF7681">
        <v>3.5672683771291798E-2</v>
      </c>
      <c r="AG7681">
        <v>-0.11138859999999901</v>
      </c>
      <c r="AH7681">
        <v>0.44100539043398101</v>
      </c>
      <c r="AI7681">
        <v>104.130923243111</v>
      </c>
      <c r="AJ7681">
        <v>85.375444645462295</v>
      </c>
      <c r="AK7681">
        <v>0.456251810921595</v>
      </c>
      <c r="AL7681">
        <v>67.663543773077095</v>
      </c>
      <c r="AM7681">
        <v>95.537087244182004</v>
      </c>
      <c r="AN7681">
        <v>1.00000006257096</v>
      </c>
    </row>
    <row r="7682" spans="1:40" x14ac:dyDescent="0.25">
      <c r="A7682" t="str">
        <f>"20190304164312617"</f>
        <v>20190304164312617</v>
      </c>
      <c r="B7682" t="str">
        <f>"1551688992609095"</f>
        <v>1551688992609095</v>
      </c>
      <c r="C7682" t="s">
        <v>40</v>
      </c>
      <c r="D7682">
        <v>4.231662</v>
      </c>
      <c r="E7682">
        <v>0.57309919999999903</v>
      </c>
      <c r="F7682" t="s">
        <v>41</v>
      </c>
      <c r="G7682">
        <v>-187.3262</v>
      </c>
      <c r="H7682">
        <v>1.0057020000000001</v>
      </c>
      <c r="I7682">
        <v>105.73050000000001</v>
      </c>
      <c r="J7682">
        <v>-187.36340000000001</v>
      </c>
      <c r="K7682">
        <v>1.1099859999999999</v>
      </c>
      <c r="L7682">
        <v>105.2714</v>
      </c>
      <c r="M7682">
        <v>-3.5772310000000002E-3</v>
      </c>
      <c r="N7682">
        <v>-1.475889E-2</v>
      </c>
      <c r="O7682">
        <v>0.99988469999999996</v>
      </c>
      <c r="P7682">
        <v>-9.0614479999999997E-2</v>
      </c>
      <c r="Q7682">
        <v>0.36441129999999999</v>
      </c>
      <c r="R7682">
        <v>0.92681899999999995</v>
      </c>
      <c r="S7682">
        <v>0.15930179999999999</v>
      </c>
      <c r="T7682">
        <v>-0.45372709999999999</v>
      </c>
      <c r="U7682">
        <v>3.4363250000000001</v>
      </c>
      <c r="V7682">
        <v>-8.6582590000000001E-2</v>
      </c>
      <c r="W7682">
        <v>0.37821979999999999</v>
      </c>
      <c r="X7682">
        <v>0.92165790000000003</v>
      </c>
      <c r="Y7682">
        <v>4.9515009999999998E-2</v>
      </c>
      <c r="Z7682">
        <v>-0.11610429999999999</v>
      </c>
      <c r="AA7682">
        <v>0.9920021</v>
      </c>
      <c r="AB7682">
        <v>36</v>
      </c>
      <c r="AC7682">
        <v>3.7200000000012702E-2</v>
      </c>
      <c r="AD7682">
        <v>-0.104284</v>
      </c>
      <c r="AE7682">
        <v>0.459100000000006</v>
      </c>
      <c r="AF7682">
        <v>3.6948278321030703E-2</v>
      </c>
      <c r="AG7682">
        <v>-0.104284</v>
      </c>
      <c r="AH7682">
        <v>0.43658464004548903</v>
      </c>
      <c r="AI7682">
        <v>103.388003594578</v>
      </c>
      <c r="AJ7682">
        <v>85.162569441534103</v>
      </c>
      <c r="AK7682">
        <v>0.45038480863650099</v>
      </c>
      <c r="AL7682">
        <v>67.776544059783404</v>
      </c>
      <c r="AM7682">
        <v>95.366742337266004</v>
      </c>
      <c r="AN7682">
        <v>1.0000000233177699</v>
      </c>
    </row>
    <row r="7683" spans="1:40" x14ac:dyDescent="0.25">
      <c r="A7683" t="str">
        <f>"20190304164312639"</f>
        <v>20190304164312639</v>
      </c>
      <c r="B7683" t="str">
        <f>"1551688992628615"</f>
        <v>1551688992628615</v>
      </c>
      <c r="C7683" t="s">
        <v>40</v>
      </c>
      <c r="D7683">
        <v>4.2357809999999896</v>
      </c>
      <c r="E7683">
        <v>0.5739244</v>
      </c>
      <c r="F7683" t="s">
        <v>41</v>
      </c>
      <c r="G7683">
        <v>-187.32239999999999</v>
      </c>
      <c r="H7683">
        <v>1.0053319999999999</v>
      </c>
      <c r="I7683">
        <v>106.0513</v>
      </c>
      <c r="J7683">
        <v>-187.36359999999999</v>
      </c>
      <c r="K7683">
        <v>1.1098129999999999</v>
      </c>
      <c r="L7683">
        <v>105.6144</v>
      </c>
      <c r="M7683">
        <v>-2.4361729999999998E-3</v>
      </c>
      <c r="N7683">
        <v>-1.475738E-2</v>
      </c>
      <c r="O7683">
        <v>0.99988809999999995</v>
      </c>
      <c r="P7683">
        <v>-8.6742089999999994E-2</v>
      </c>
      <c r="Q7683">
        <v>0.36253980000000002</v>
      </c>
      <c r="R7683">
        <v>0.92792280000000005</v>
      </c>
      <c r="S7683">
        <v>0.17994689999999999</v>
      </c>
      <c r="T7683">
        <v>-0.46101399999999998</v>
      </c>
      <c r="U7683">
        <v>3.43573</v>
      </c>
      <c r="V7683">
        <v>-8.3620529999999998E-2</v>
      </c>
      <c r="W7683">
        <v>0.37638939999999999</v>
      </c>
      <c r="X7683">
        <v>0.9226801</v>
      </c>
      <c r="Y7683">
        <v>5.4310219999999999E-2</v>
      </c>
      <c r="Z7683">
        <v>-0.1181604</v>
      </c>
      <c r="AA7683">
        <v>0.99150819999999995</v>
      </c>
      <c r="AB7683">
        <v>36</v>
      </c>
      <c r="AC7683">
        <v>4.1200000000003401E-2</v>
      </c>
      <c r="AD7683">
        <v>-0.104481</v>
      </c>
      <c r="AE7683">
        <v>0.43689999999999402</v>
      </c>
      <c r="AF7683">
        <v>3.9997133454060398E-2</v>
      </c>
      <c r="AG7683">
        <v>-0.104481</v>
      </c>
      <c r="AH7683">
        <v>0.41336676448502102</v>
      </c>
      <c r="AI7683">
        <v>104.121479287599</v>
      </c>
      <c r="AJ7683">
        <v>84.4732977607935</v>
      </c>
      <c r="AK7683">
        <v>0.42823840559477699</v>
      </c>
      <c r="AL7683">
        <v>67.889787007186598</v>
      </c>
      <c r="AM7683">
        <v>95.178447670934602</v>
      </c>
      <c r="AN7683">
        <v>0.99999997020292497</v>
      </c>
    </row>
    <row r="7684" spans="1:40" x14ac:dyDescent="0.25">
      <c r="A7684" t="str">
        <f>"20190304164312662"</f>
        <v>20190304164312662</v>
      </c>
      <c r="B7684" t="str">
        <f>"1551688992658871"</f>
        <v>1551688992658871</v>
      </c>
      <c r="C7684" t="s">
        <v>40</v>
      </c>
      <c r="D7684">
        <v>4.242642</v>
      </c>
      <c r="E7684">
        <v>0.58604619999999996</v>
      </c>
      <c r="F7684" t="s">
        <v>41</v>
      </c>
      <c r="G7684">
        <v>-187.31950000000001</v>
      </c>
      <c r="H7684">
        <v>1.0063660000000001</v>
      </c>
      <c r="I7684">
        <v>106.3725</v>
      </c>
      <c r="J7684">
        <v>-187.3631</v>
      </c>
      <c r="K7684">
        <v>1.1096159999999999</v>
      </c>
      <c r="L7684">
        <v>105.9858</v>
      </c>
      <c r="M7684">
        <v>-9.8363190000000009E-4</v>
      </c>
      <c r="N7684">
        <v>-1.4756500000000001E-2</v>
      </c>
      <c r="O7684">
        <v>0.99989059999999996</v>
      </c>
      <c r="P7684">
        <v>-8.205643E-2</v>
      </c>
      <c r="Q7684">
        <v>0.36062300000000003</v>
      </c>
      <c r="R7684">
        <v>0.92909509999999995</v>
      </c>
      <c r="S7684">
        <v>0.19888310000000001</v>
      </c>
      <c r="T7684">
        <v>-0.46867189999999997</v>
      </c>
      <c r="U7684">
        <v>3.434723</v>
      </c>
      <c r="V7684">
        <v>-8.0115599999999995E-2</v>
      </c>
      <c r="W7684">
        <v>0.37451649999999997</v>
      </c>
      <c r="X7684">
        <v>0.92375260000000003</v>
      </c>
      <c r="Y7684">
        <v>5.8303699999999903E-2</v>
      </c>
      <c r="Z7684">
        <v>-0.120335999999999</v>
      </c>
      <c r="AA7684">
        <v>0.99101969999999995</v>
      </c>
      <c r="AB7684">
        <v>36</v>
      </c>
      <c r="AC7684">
        <v>4.35999999999978E-2</v>
      </c>
      <c r="AD7684">
        <v>-0.103249999999999</v>
      </c>
      <c r="AE7684">
        <v>0.38670000000000398</v>
      </c>
      <c r="AF7684">
        <v>4.10879768714092E-2</v>
      </c>
      <c r="AG7684">
        <v>-0.103249999999999</v>
      </c>
      <c r="AH7684">
        <v>0.36122804678787201</v>
      </c>
      <c r="AI7684">
        <v>105.85450583568</v>
      </c>
      <c r="AJ7684">
        <v>83.510766815256005</v>
      </c>
      <c r="AK7684">
        <v>0.377934499787419</v>
      </c>
      <c r="AL7684">
        <v>68.005567073911394</v>
      </c>
      <c r="AM7684">
        <v>94.956769073274103</v>
      </c>
      <c r="AN7684">
        <v>0.99999999207118495</v>
      </c>
    </row>
    <row r="7685" spans="1:40" x14ac:dyDescent="0.25">
      <c r="A7685" t="str">
        <f>"20190304164312688"</f>
        <v>20190304164312688</v>
      </c>
      <c r="B7685" t="str">
        <f>"1551688992678391"</f>
        <v>1551688992678391</v>
      </c>
      <c r="C7685" t="s">
        <v>40</v>
      </c>
      <c r="D7685">
        <v>4.590605</v>
      </c>
      <c r="E7685">
        <v>0.58620099999999997</v>
      </c>
      <c r="F7685" t="s">
        <v>41</v>
      </c>
      <c r="G7685">
        <v>-187.26689999999999</v>
      </c>
      <c r="H7685">
        <v>0.99779249999999997</v>
      </c>
      <c r="I7685">
        <v>107.00879999999999</v>
      </c>
      <c r="J7685">
        <v>-187.36160000000001</v>
      </c>
      <c r="K7685">
        <v>1.109402</v>
      </c>
      <c r="L7685">
        <v>106.39190000000001</v>
      </c>
      <c r="M7685">
        <v>8.7697320000000004E-4</v>
      </c>
      <c r="N7685">
        <v>-1.475651E-2</v>
      </c>
      <c r="O7685">
        <v>0.99989070000000002</v>
      </c>
      <c r="P7685">
        <v>-7.641974E-2</v>
      </c>
      <c r="Q7685">
        <v>0.35999009999999998</v>
      </c>
      <c r="R7685">
        <v>0.92982109999999996</v>
      </c>
      <c r="S7685">
        <v>0.31959530000000003</v>
      </c>
      <c r="T7685">
        <v>-0.3718091</v>
      </c>
      <c r="U7685">
        <v>3.4015049999999998</v>
      </c>
      <c r="V7685">
        <v>-7.6024880000000003E-2</v>
      </c>
      <c r="W7685">
        <v>0.373919</v>
      </c>
      <c r="X7685">
        <v>0.92434019999999995</v>
      </c>
      <c r="Y7685">
        <v>9.2177830000000002E-2</v>
      </c>
      <c r="Z7685">
        <v>-9.3512680000000001E-2</v>
      </c>
      <c r="AA7685">
        <v>0.99134180000000005</v>
      </c>
      <c r="AB7685">
        <v>36</v>
      </c>
      <c r="AC7685">
        <v>9.4700000000017298E-2</v>
      </c>
      <c r="AD7685">
        <v>-0.1116095</v>
      </c>
      <c r="AE7685">
        <v>0.61689999999998602</v>
      </c>
      <c r="AF7685">
        <v>9.1241150131458296E-2</v>
      </c>
      <c r="AG7685">
        <v>-0.1116095</v>
      </c>
      <c r="AH7685">
        <v>0.59786406047674201</v>
      </c>
      <c r="AI7685">
        <v>100.455938257209</v>
      </c>
      <c r="AJ7685">
        <v>81.322934849965804</v>
      </c>
      <c r="AK7685">
        <v>0.61499842502017799</v>
      </c>
      <c r="AL7685">
        <v>68.042483884006998</v>
      </c>
      <c r="AM7685">
        <v>94.701864447209701</v>
      </c>
      <c r="AN7685">
        <v>1.0000000031380201</v>
      </c>
    </row>
    <row r="7686" spans="1:40" x14ac:dyDescent="0.25">
      <c r="A7686" t="str">
        <f>"20190304164312707"</f>
        <v>20190304164312707</v>
      </c>
      <c r="B7686" t="str">
        <f>"1551688992698887"</f>
        <v>1551688992698887</v>
      </c>
      <c r="C7686" t="s">
        <v>40</v>
      </c>
      <c r="D7686">
        <v>4.3436750000000002</v>
      </c>
      <c r="E7686">
        <v>0.58600229999999998</v>
      </c>
      <c r="F7686" t="s">
        <v>41</v>
      </c>
      <c r="G7686">
        <v>-187.2679</v>
      </c>
      <c r="H7686">
        <v>1.0052479999999999</v>
      </c>
      <c r="I7686">
        <v>107.3322</v>
      </c>
      <c r="J7686">
        <v>-187.35980000000001</v>
      </c>
      <c r="K7686">
        <v>1.1092519999999999</v>
      </c>
      <c r="L7686">
        <v>106.71080000000001</v>
      </c>
      <c r="M7686">
        <v>2.4779229999999999E-3</v>
      </c>
      <c r="N7686">
        <v>-1.4756409999999999E-2</v>
      </c>
      <c r="O7686">
        <v>0.99988809999999995</v>
      </c>
      <c r="P7686">
        <v>-7.0091329999999993E-2</v>
      </c>
      <c r="Q7686">
        <v>0.36039260000000001</v>
      </c>
      <c r="R7686">
        <v>0.93016359999999998</v>
      </c>
      <c r="S7686">
        <v>0.33862300000000001</v>
      </c>
      <c r="T7686">
        <v>-0.3766042</v>
      </c>
      <c r="U7686">
        <v>3.4000699999999999</v>
      </c>
      <c r="V7686">
        <v>-7.1053329999999998E-2</v>
      </c>
      <c r="W7686">
        <v>0.3743339</v>
      </c>
      <c r="X7686">
        <v>0.92456780000000005</v>
      </c>
      <c r="Y7686">
        <v>9.6100619999999998E-2</v>
      </c>
      <c r="Z7686">
        <v>-9.4890279999999994E-2</v>
      </c>
      <c r="AA7686">
        <v>0.99083829999999995</v>
      </c>
      <c r="AB7686">
        <v>36</v>
      </c>
      <c r="AC7686">
        <v>9.1900000000009599E-2</v>
      </c>
      <c r="AD7686">
        <v>-0.104004</v>
      </c>
      <c r="AE7686">
        <v>0.62139999999999396</v>
      </c>
      <c r="AF7686">
        <v>8.7948803213693805E-2</v>
      </c>
      <c r="AG7686">
        <v>-0.104004</v>
      </c>
      <c r="AH7686">
        <v>0.60503971147604596</v>
      </c>
      <c r="AI7686">
        <v>99.654080773000004</v>
      </c>
      <c r="AJ7686">
        <v>81.729390666003894</v>
      </c>
      <c r="AK7686">
        <v>0.62018132547323401</v>
      </c>
      <c r="AL7686">
        <v>68.016850929742304</v>
      </c>
      <c r="AM7686">
        <v>94.3945611093026</v>
      </c>
      <c r="AN7686">
        <v>1.00000003059506</v>
      </c>
    </row>
    <row r="7687" spans="1:40" x14ac:dyDescent="0.25">
      <c r="A7687" t="str">
        <f>"20190304164312729"</f>
        <v>20190304164312729</v>
      </c>
      <c r="B7687" t="str">
        <f>"1551688992718411"</f>
        <v>1551688992718411</v>
      </c>
      <c r="C7687" t="s">
        <v>40</v>
      </c>
      <c r="D7687">
        <v>4.3338229999999998</v>
      </c>
      <c r="E7687">
        <v>0.58490069999999905</v>
      </c>
      <c r="F7687" t="s">
        <v>41</v>
      </c>
      <c r="G7687">
        <v>-187.26050000000001</v>
      </c>
      <c r="H7687">
        <v>1.0052650000000001</v>
      </c>
      <c r="I7687">
        <v>107.6516</v>
      </c>
      <c r="J7687">
        <v>-187.3571</v>
      </c>
      <c r="K7687">
        <v>1.1091120000000001</v>
      </c>
      <c r="L7687">
        <v>107.0551</v>
      </c>
      <c r="M7687">
        <v>4.3400940000000001E-3</v>
      </c>
      <c r="N7687">
        <v>-1.475575E-2</v>
      </c>
      <c r="O7687">
        <v>0.99988169999999998</v>
      </c>
      <c r="P7687">
        <v>-6.2312390000000002E-2</v>
      </c>
      <c r="Q7687">
        <v>0.36006169999999998</v>
      </c>
      <c r="R7687">
        <v>0.93084509999999998</v>
      </c>
      <c r="S7687">
        <v>0.35813899999999999</v>
      </c>
      <c r="T7687">
        <v>-0.37554739999999998</v>
      </c>
      <c r="U7687">
        <v>3.3977360000000001</v>
      </c>
      <c r="V7687">
        <v>-6.4886990000000005E-2</v>
      </c>
      <c r="W7687">
        <v>0.37401099999999998</v>
      </c>
      <c r="X7687">
        <v>0.92515159999999996</v>
      </c>
      <c r="Y7687">
        <v>9.9944820000000004E-2</v>
      </c>
      <c r="Z7687">
        <v>-9.460884E-2</v>
      </c>
      <c r="AA7687">
        <v>0.99048480000000005</v>
      </c>
      <c r="AB7687">
        <v>36</v>
      </c>
      <c r="AC7687">
        <v>9.6599999999995106E-2</v>
      </c>
      <c r="AD7687">
        <v>-0.10384699999999999</v>
      </c>
      <c r="AE7687">
        <v>0.59650000000000503</v>
      </c>
      <c r="AF7687">
        <v>9.1313090665408506E-2</v>
      </c>
      <c r="AG7687">
        <v>-0.10384699999999999</v>
      </c>
      <c r="AH7687">
        <v>0.57979009205712695</v>
      </c>
      <c r="AI7687">
        <v>100.033533429882</v>
      </c>
      <c r="AJ7687">
        <v>81.049812485384507</v>
      </c>
      <c r="AK7687">
        <v>0.59605270805817201</v>
      </c>
      <c r="AL7687">
        <v>68.036800590314201</v>
      </c>
      <c r="AM7687">
        <v>94.011961447894095</v>
      </c>
      <c r="AN7687">
        <v>1.0000000162874001</v>
      </c>
    </row>
    <row r="7688" spans="1:40" x14ac:dyDescent="0.25">
      <c r="A7688" t="str">
        <f>"20190304164312751"</f>
        <v>20190304164312751</v>
      </c>
      <c r="B7688" t="str">
        <f>"1551688992748664"</f>
        <v>1551688992748664</v>
      </c>
      <c r="C7688" t="s">
        <v>40</v>
      </c>
      <c r="D7688">
        <v>4.28911</v>
      </c>
      <c r="E7688">
        <v>0.58339010000000002</v>
      </c>
      <c r="F7688" t="s">
        <v>41</v>
      </c>
      <c r="G7688">
        <v>-187.25640000000001</v>
      </c>
      <c r="H7688">
        <v>1.002645</v>
      </c>
      <c r="I7688">
        <v>107.9693</v>
      </c>
      <c r="J7688">
        <v>-187.3536</v>
      </c>
      <c r="K7688">
        <v>1.108994</v>
      </c>
      <c r="L7688">
        <v>107.40689999999999</v>
      </c>
      <c r="M7688">
        <v>6.3658079999999997E-3</v>
      </c>
      <c r="N7688">
        <v>-1.475453E-2</v>
      </c>
      <c r="O7688">
        <v>0.99987090000000001</v>
      </c>
      <c r="P7688">
        <v>-5.2920250000000002E-2</v>
      </c>
      <c r="Q7688">
        <v>0.36053039999999997</v>
      </c>
      <c r="R7688">
        <v>0.93124499999999999</v>
      </c>
      <c r="S7688">
        <v>0.37466430000000001</v>
      </c>
      <c r="T7688">
        <v>-0.39605689999999999</v>
      </c>
      <c r="U7688">
        <v>3.401154</v>
      </c>
      <c r="V7688">
        <v>-5.7271139999999998E-2</v>
      </c>
      <c r="W7688">
        <v>0.3744709</v>
      </c>
      <c r="X7688">
        <v>0.92546830000000002</v>
      </c>
      <c r="Y7688">
        <v>0.10251390000000001</v>
      </c>
      <c r="Z7688">
        <v>-0.1003517</v>
      </c>
      <c r="AA7688">
        <v>0.98965669999999994</v>
      </c>
      <c r="AB7688">
        <v>36</v>
      </c>
      <c r="AC7688">
        <v>9.7199999999986603E-2</v>
      </c>
      <c r="AD7688">
        <v>-0.106349</v>
      </c>
      <c r="AE7688">
        <v>0.56240000000001</v>
      </c>
      <c r="AF7688">
        <v>9.04760801053002E-2</v>
      </c>
      <c r="AG7688">
        <v>-0.106349</v>
      </c>
      <c r="AH7688">
        <v>0.54411514450256004</v>
      </c>
      <c r="AI7688">
        <v>100.913046486409</v>
      </c>
      <c r="AJ7688">
        <v>80.559171841413203</v>
      </c>
      <c r="AK7688">
        <v>0.561744889918246</v>
      </c>
      <c r="AL7688">
        <v>68.008385140368105</v>
      </c>
      <c r="AM7688">
        <v>93.541142841446501</v>
      </c>
      <c r="AN7688">
        <v>1.00000000636429</v>
      </c>
    </row>
    <row r="7689" spans="1:40" x14ac:dyDescent="0.25">
      <c r="A7689" t="str">
        <f>"20190304164312774"</f>
        <v>20190304164312774</v>
      </c>
      <c r="B7689" t="str">
        <f>"1551688992769160"</f>
        <v>1551688992769160</v>
      </c>
      <c r="C7689" t="s">
        <v>40</v>
      </c>
      <c r="D7689">
        <v>4.2600989999999896</v>
      </c>
      <c r="E7689">
        <v>0.58295069999999904</v>
      </c>
      <c r="F7689" t="s">
        <v>41</v>
      </c>
      <c r="G7689">
        <v>-187.2525</v>
      </c>
      <c r="H7689">
        <v>1.0020020000000001</v>
      </c>
      <c r="I7689">
        <v>108.2876</v>
      </c>
      <c r="J7689">
        <v>-187.3492</v>
      </c>
      <c r="K7689">
        <v>1.108894</v>
      </c>
      <c r="L7689">
        <v>107.7667</v>
      </c>
      <c r="M7689">
        <v>8.5395839999999994E-3</v>
      </c>
      <c r="N7689">
        <v>-1.475301E-2</v>
      </c>
      <c r="O7689">
        <v>0.99985469999999999</v>
      </c>
      <c r="P7689">
        <v>-4.262958E-2</v>
      </c>
      <c r="Q7689">
        <v>0.3616781</v>
      </c>
      <c r="R7689">
        <v>0.93132789999999999</v>
      </c>
      <c r="S7689">
        <v>0.3906097</v>
      </c>
      <c r="T7689">
        <v>-0.41347909999999999</v>
      </c>
      <c r="U7689">
        <v>3.403778</v>
      </c>
      <c r="V7689">
        <v>-4.890307E-2</v>
      </c>
      <c r="W7689">
        <v>0.37559500000000001</v>
      </c>
      <c r="X7689">
        <v>0.9254928</v>
      </c>
      <c r="Y7689">
        <v>0.1047831</v>
      </c>
      <c r="Z7689">
        <v>-0.1052124</v>
      </c>
      <c r="AA7689">
        <v>0.98891399999999996</v>
      </c>
      <c r="AB7689">
        <v>36</v>
      </c>
      <c r="AC7689">
        <v>9.6699999999998398E-2</v>
      </c>
      <c r="AD7689">
        <v>-0.106892</v>
      </c>
      <c r="AE7689">
        <v>0.52089999999999703</v>
      </c>
      <c r="AF7689">
        <v>8.8639489322951806E-2</v>
      </c>
      <c r="AG7689">
        <v>-0.106892</v>
      </c>
      <c r="AH7689">
        <v>0.50130052684890003</v>
      </c>
      <c r="AI7689">
        <v>101.858256434346</v>
      </c>
      <c r="AJ7689">
        <v>79.972658237594302</v>
      </c>
      <c r="AK7689">
        <v>0.52017792816537101</v>
      </c>
      <c r="AL7689">
        <v>67.938908192336598</v>
      </c>
      <c r="AM7689">
        <v>93.024697912183598</v>
      </c>
      <c r="AN7689">
        <v>1.00000001856613</v>
      </c>
    </row>
    <row r="7690" spans="1:40" x14ac:dyDescent="0.25">
      <c r="A7690" t="str">
        <f>"20190304164312796"</f>
        <v>20190304164312796</v>
      </c>
      <c r="B7690" t="str">
        <f>"1551688992788679"</f>
        <v>1551688992788679</v>
      </c>
      <c r="C7690" t="s">
        <v>40</v>
      </c>
      <c r="D7690">
        <v>4.248424</v>
      </c>
      <c r="E7690">
        <v>0.58253599999999905</v>
      </c>
      <c r="F7690" t="s">
        <v>41</v>
      </c>
      <c r="G7690">
        <v>-187.24549999999999</v>
      </c>
      <c r="H7690">
        <v>1.005835</v>
      </c>
      <c r="I7690">
        <v>108.6078</v>
      </c>
      <c r="J7690">
        <v>-187.34399999999999</v>
      </c>
      <c r="K7690">
        <v>1.1088129999999901</v>
      </c>
      <c r="L7690">
        <v>108.12309999999999</v>
      </c>
      <c r="M7690">
        <v>1.0770119999999999E-2</v>
      </c>
      <c r="N7690">
        <v>-1.475128E-2</v>
      </c>
      <c r="O7690">
        <v>0.99983319999999998</v>
      </c>
      <c r="P7690">
        <v>-3.2952189999999999E-2</v>
      </c>
      <c r="Q7690">
        <v>0.36223499999999997</v>
      </c>
      <c r="R7690">
        <v>0.93150409999999995</v>
      </c>
      <c r="S7690">
        <v>0.41842649999999998</v>
      </c>
      <c r="T7690">
        <v>-0.41682170000000002</v>
      </c>
      <c r="U7690">
        <v>3.4022220000000001</v>
      </c>
      <c r="V7690">
        <v>-4.1218379999999999E-2</v>
      </c>
      <c r="W7690">
        <v>0.37612839999999997</v>
      </c>
      <c r="X7690">
        <v>0.92565030000000004</v>
      </c>
      <c r="Y7690">
        <v>0.1105684</v>
      </c>
      <c r="Z7690">
        <v>-0.1061281</v>
      </c>
      <c r="AA7690">
        <v>0.98818589999999995</v>
      </c>
      <c r="AB7690">
        <v>36</v>
      </c>
      <c r="AC7690">
        <v>9.85000000000298E-2</v>
      </c>
      <c r="AD7690">
        <v>-0.102977999999999</v>
      </c>
      <c r="AE7690">
        <v>0.48470000000000302</v>
      </c>
      <c r="AF7690">
        <v>8.9398216827848598E-2</v>
      </c>
      <c r="AG7690">
        <v>-0.102977999999999</v>
      </c>
      <c r="AH7690">
        <v>0.46555215162994801</v>
      </c>
      <c r="AI7690">
        <v>102.255765246721</v>
      </c>
      <c r="AJ7690">
        <v>79.130026146677807</v>
      </c>
      <c r="AK7690">
        <v>0.48511371403339398</v>
      </c>
      <c r="AL7690">
        <v>67.905928044405599</v>
      </c>
      <c r="AM7690">
        <v>92.549645528363698</v>
      </c>
      <c r="AN7690">
        <v>1.0000000030132301</v>
      </c>
    </row>
    <row r="7691" spans="1:40" x14ac:dyDescent="0.25">
      <c r="A7691" t="str">
        <f>"20190304164312817"</f>
        <v>20190304164312817</v>
      </c>
      <c r="B7691" t="str">
        <f>"1551688992809175"</f>
        <v>1551688992809175</v>
      </c>
      <c r="C7691" t="s">
        <v>40</v>
      </c>
      <c r="D7691">
        <v>4.3136130000000001</v>
      </c>
      <c r="E7691">
        <v>0.58196780000000004</v>
      </c>
      <c r="F7691" t="s">
        <v>41</v>
      </c>
      <c r="G7691">
        <v>-187.23750000000001</v>
      </c>
      <c r="H7691">
        <v>1.009881</v>
      </c>
      <c r="I7691">
        <v>108.9278</v>
      </c>
      <c r="J7691">
        <v>-187.33799999999999</v>
      </c>
      <c r="K7691">
        <v>1.1087450000000001</v>
      </c>
      <c r="L7691">
        <v>108.47490000000001</v>
      </c>
      <c r="M7691">
        <v>1.3042440000000001E-2</v>
      </c>
      <c r="N7691">
        <v>-1.474955E-2</v>
      </c>
      <c r="O7691">
        <v>0.99980619999999998</v>
      </c>
      <c r="P7691">
        <v>-2.423119E-2</v>
      </c>
      <c r="Q7691">
        <v>0.36375560000000001</v>
      </c>
      <c r="R7691">
        <v>0.93117919999999998</v>
      </c>
      <c r="S7691">
        <v>0.4494476</v>
      </c>
      <c r="T7691">
        <v>-0.41790500000000003</v>
      </c>
      <c r="U7691">
        <v>3.3990019999999999</v>
      </c>
      <c r="V7691">
        <v>-3.4524989999999998E-2</v>
      </c>
      <c r="W7691">
        <v>0.37761850000000002</v>
      </c>
      <c r="X7691">
        <v>0.92531739999999996</v>
      </c>
      <c r="Y7691">
        <v>0.11728329999999999</v>
      </c>
      <c r="Z7691">
        <v>-0.1064344</v>
      </c>
      <c r="AA7691">
        <v>0.98737850000000005</v>
      </c>
      <c r="AB7691">
        <v>36</v>
      </c>
      <c r="AC7691">
        <v>0.10049999999998201</v>
      </c>
      <c r="AD7691">
        <v>-9.8863999999999994E-2</v>
      </c>
      <c r="AE7691">
        <v>0.45289999999999903</v>
      </c>
      <c r="AF7691">
        <v>9.0474992093975498E-2</v>
      </c>
      <c r="AG7691">
        <v>-9.8863999999999994E-2</v>
      </c>
      <c r="AH7691">
        <v>0.43444231096372399</v>
      </c>
      <c r="AI7691">
        <v>102.55955583895999</v>
      </c>
      <c r="AJ7691">
        <v>78.235986238341397</v>
      </c>
      <c r="AK7691">
        <v>0.45464264675226601</v>
      </c>
      <c r="AL7691">
        <v>67.813755100266107</v>
      </c>
      <c r="AM7691">
        <v>92.136800872209506</v>
      </c>
      <c r="AN7691">
        <v>0.99999999860975497</v>
      </c>
    </row>
    <row r="7692" spans="1:40" x14ac:dyDescent="0.25">
      <c r="A7692" t="str">
        <f>"20190304164312840"</f>
        <v>20190304164312840</v>
      </c>
      <c r="B7692" t="str">
        <f>"1551688992828696"</f>
        <v>1551688992828696</v>
      </c>
      <c r="C7692" t="s">
        <v>40</v>
      </c>
      <c r="D7692">
        <v>4.2895050000000001</v>
      </c>
      <c r="E7692">
        <v>0.58157309999999995</v>
      </c>
      <c r="F7692" t="s">
        <v>41</v>
      </c>
      <c r="G7692">
        <v>-187.22880000000001</v>
      </c>
      <c r="H7692">
        <v>1.014335</v>
      </c>
      <c r="I7692">
        <v>109.2475</v>
      </c>
      <c r="J7692">
        <v>-187.33150000000001</v>
      </c>
      <c r="K7692">
        <v>1.1086640000000001</v>
      </c>
      <c r="L7692">
        <v>108.81480000000001</v>
      </c>
      <c r="M7692">
        <v>1.5322290000000001E-2</v>
      </c>
      <c r="N7692">
        <v>-1.474814E-2</v>
      </c>
      <c r="O7692">
        <v>0.99977389999999999</v>
      </c>
      <c r="P7692">
        <v>-1.6026809999999999E-2</v>
      </c>
      <c r="Q7692">
        <v>0.36535679999999998</v>
      </c>
      <c r="R7692">
        <v>0.93072960000000005</v>
      </c>
      <c r="S7692">
        <v>0.47950739999999997</v>
      </c>
      <c r="T7692">
        <v>-0.4149756</v>
      </c>
      <c r="U7692">
        <v>3.3963009999999998</v>
      </c>
      <c r="V7692">
        <v>-2.8349070000000001E-2</v>
      </c>
      <c r="W7692">
        <v>0.37918849999999998</v>
      </c>
      <c r="X7692">
        <v>0.92488510000000002</v>
      </c>
      <c r="Y7692">
        <v>0.1237043</v>
      </c>
      <c r="Z7692">
        <v>-0.10557130000000001</v>
      </c>
      <c r="AA7692">
        <v>0.98668739999999999</v>
      </c>
      <c r="AB7692">
        <v>35</v>
      </c>
      <c r="AC7692">
        <v>0.102699999999998</v>
      </c>
      <c r="AD7692">
        <v>-9.4328999999999802E-2</v>
      </c>
      <c r="AE7692">
        <v>0.43269999999999698</v>
      </c>
      <c r="AF7692">
        <v>9.1921711464044903E-2</v>
      </c>
      <c r="AG7692">
        <v>-9.4328999999999802E-2</v>
      </c>
      <c r="AH7692">
        <v>0.41552835928967802</v>
      </c>
      <c r="AI7692">
        <v>102.497621662697</v>
      </c>
      <c r="AJ7692">
        <v>77.526118253174204</v>
      </c>
      <c r="AK7692">
        <v>0.43590294636931598</v>
      </c>
      <c r="AL7692">
        <v>67.716574889006097</v>
      </c>
      <c r="AM7692">
        <v>91.755649078449594</v>
      </c>
      <c r="AN7692">
        <v>1.0000000182520601</v>
      </c>
    </row>
    <row r="7693" spans="1:40" x14ac:dyDescent="0.25">
      <c r="A7693" t="str">
        <f>"20190304164312863"</f>
        <v>20190304164312863</v>
      </c>
      <c r="B7693" t="str">
        <f>"1551688992858952"</f>
        <v>1551688992858952</v>
      </c>
      <c r="C7693" t="s">
        <v>40</v>
      </c>
      <c r="D7693">
        <v>4.402094</v>
      </c>
      <c r="E7693">
        <v>0.58121969999999901</v>
      </c>
      <c r="F7693" t="s">
        <v>41</v>
      </c>
      <c r="G7693">
        <v>-187.21860000000001</v>
      </c>
      <c r="H7693">
        <v>1.017776</v>
      </c>
      <c r="I7693">
        <v>109.5664</v>
      </c>
      <c r="J7693">
        <v>-187.32329999999999</v>
      </c>
      <c r="K7693">
        <v>1.1085400000000001</v>
      </c>
      <c r="L7693">
        <v>109.1824</v>
      </c>
      <c r="M7693">
        <v>1.7918509999999999E-2</v>
      </c>
      <c r="N7693">
        <v>-1.474722E-2</v>
      </c>
      <c r="O7693">
        <v>0.99973069999999997</v>
      </c>
      <c r="P7693">
        <v>-8.3127359999999994E-3</v>
      </c>
      <c r="Q7693">
        <v>0.36552420000000002</v>
      </c>
      <c r="R7693">
        <v>0.9307647</v>
      </c>
      <c r="S7693">
        <v>0.50913999999999904</v>
      </c>
      <c r="T7693">
        <v>-0.41027520000000001</v>
      </c>
      <c r="U7693">
        <v>3.3931119999999999</v>
      </c>
      <c r="V7693">
        <v>-2.2945070000000001E-2</v>
      </c>
      <c r="W7693">
        <v>0.3793359</v>
      </c>
      <c r="X7693">
        <v>0.92497450000000003</v>
      </c>
      <c r="Y7693">
        <v>0.12970809999999999</v>
      </c>
      <c r="Z7693">
        <v>-0.104214</v>
      </c>
      <c r="AA7693">
        <v>0.98606050000000001</v>
      </c>
      <c r="AB7693">
        <v>35</v>
      </c>
      <c r="AC7693">
        <v>0.104699999999979</v>
      </c>
      <c r="AD7693">
        <v>-9.0763999999999803E-2</v>
      </c>
      <c r="AE7693">
        <v>0.38400000000000001</v>
      </c>
      <c r="AF7693">
        <v>9.2967222153310797E-2</v>
      </c>
      <c r="AG7693">
        <v>-9.0763999999999803E-2</v>
      </c>
      <c r="AH7693">
        <v>0.36674312475332699</v>
      </c>
      <c r="AI7693">
        <v>103.490246155732</v>
      </c>
      <c r="AJ7693">
        <v>75.775490552940695</v>
      </c>
      <c r="AK7693">
        <v>0.38907779125097502</v>
      </c>
      <c r="AL7693">
        <v>67.7074474707522</v>
      </c>
      <c r="AM7693">
        <v>91.420997135802907</v>
      </c>
      <c r="AN7693">
        <v>1.0000000134581799</v>
      </c>
    </row>
    <row r="7694" spans="1:40" x14ac:dyDescent="0.25">
      <c r="A7694" t="str">
        <f>"20190304164312887"</f>
        <v>20190304164312887</v>
      </c>
      <c r="B7694" t="str">
        <f>"1551688992878472"</f>
        <v>1551688992878472</v>
      </c>
      <c r="C7694" t="s">
        <v>40</v>
      </c>
      <c r="D7694">
        <v>3.9163350000000001</v>
      </c>
      <c r="E7694">
        <v>0.58121969999999901</v>
      </c>
      <c r="F7694" t="s">
        <v>41</v>
      </c>
      <c r="G7694">
        <v>-187.1645</v>
      </c>
      <c r="H7694">
        <v>0.98580610000000002</v>
      </c>
      <c r="I7694">
        <v>110.184</v>
      </c>
      <c r="J7694">
        <v>-187.31370000000001</v>
      </c>
      <c r="K7694">
        <v>1.1083829999999999</v>
      </c>
      <c r="L7694">
        <v>109.55880000000001</v>
      </c>
      <c r="M7694">
        <v>2.076834E-2</v>
      </c>
      <c r="N7694">
        <v>-1.4748000000000001E-2</v>
      </c>
      <c r="O7694">
        <v>0.99967550000000005</v>
      </c>
      <c r="P7694">
        <v>-2.6644210000000002E-4</v>
      </c>
      <c r="Q7694">
        <v>0.3648959</v>
      </c>
      <c r="R7694">
        <v>0.93104830000000005</v>
      </c>
      <c r="S7694">
        <v>0.537323</v>
      </c>
      <c r="T7694">
        <v>-0.41552309999999998</v>
      </c>
      <c r="U7694">
        <v>3.3911289999999998</v>
      </c>
      <c r="V7694">
        <v>-1.742316E-2</v>
      </c>
      <c r="W7694">
        <v>0.37869120000000001</v>
      </c>
      <c r="X7694">
        <v>0.92535909999999999</v>
      </c>
      <c r="Y7694">
        <v>0.13493859999999999</v>
      </c>
      <c r="Z7694">
        <v>-0.10566010000000001</v>
      </c>
      <c r="AA7694">
        <v>0.98520430000000003</v>
      </c>
      <c r="AB7694">
        <v>35</v>
      </c>
      <c r="AC7694">
        <v>0.14920000000000699</v>
      </c>
      <c r="AD7694">
        <v>-0.122576899999999</v>
      </c>
      <c r="AE7694">
        <v>0.62519999999999198</v>
      </c>
      <c r="AF7694">
        <v>0.131403108968528</v>
      </c>
      <c r="AG7694">
        <v>-0.122576899999999</v>
      </c>
      <c r="AH7694">
        <v>0.606120448104013</v>
      </c>
      <c r="AI7694">
        <v>101.179896765859</v>
      </c>
      <c r="AJ7694">
        <v>77.767924098029098</v>
      </c>
      <c r="AK7694">
        <v>0.63219765190169397</v>
      </c>
      <c r="AL7694">
        <v>67.747364536991896</v>
      </c>
      <c r="AM7694">
        <v>91.078668369491595</v>
      </c>
      <c r="AN7694">
        <v>1.00000002770731</v>
      </c>
    </row>
    <row r="7695" spans="1:40" x14ac:dyDescent="0.25">
      <c r="A7695" t="str">
        <f>"20190304164312908"</f>
        <v>20190304164312908</v>
      </c>
      <c r="B7695" t="str">
        <f>"1551688992898967"</f>
        <v>1551688992898967</v>
      </c>
      <c r="C7695" t="s">
        <v>40</v>
      </c>
      <c r="D7695">
        <v>4.5484439999999999</v>
      </c>
      <c r="E7695">
        <v>0.58124730000000002</v>
      </c>
      <c r="F7695" t="s">
        <v>41</v>
      </c>
      <c r="G7695">
        <v>-187.15549999999999</v>
      </c>
      <c r="H7695">
        <v>0.99191280000000004</v>
      </c>
      <c r="I7695">
        <v>110.503</v>
      </c>
      <c r="J7695">
        <v>-187.3038</v>
      </c>
      <c r="K7695">
        <v>1.108228</v>
      </c>
      <c r="L7695">
        <v>109.9037</v>
      </c>
      <c r="M7695">
        <v>2.3529620000000001E-2</v>
      </c>
      <c r="N7695">
        <v>-1.474994E-2</v>
      </c>
      <c r="O7695">
        <v>0.99961429999999996</v>
      </c>
      <c r="P7695">
        <v>7.8410679999999996E-3</v>
      </c>
      <c r="Q7695">
        <v>0.36440879999999998</v>
      </c>
      <c r="R7695">
        <v>0.93120610000000004</v>
      </c>
      <c r="S7695">
        <v>0.56703190000000003</v>
      </c>
      <c r="T7695">
        <v>-0.41765859999999999</v>
      </c>
      <c r="U7695">
        <v>3.3860320000000002</v>
      </c>
      <c r="V7695">
        <v>-1.1760359999999999E-2</v>
      </c>
      <c r="W7695">
        <v>0.37818230000000003</v>
      </c>
      <c r="X7695">
        <v>0.92565640000000005</v>
      </c>
      <c r="Y7695">
        <v>0.14083090000000001</v>
      </c>
      <c r="Z7695">
        <v>-0.1063057</v>
      </c>
      <c r="AA7695">
        <v>0.98430980000000001</v>
      </c>
      <c r="AB7695">
        <v>35</v>
      </c>
      <c r="AC7695">
        <v>0.14830000000000601</v>
      </c>
      <c r="AD7695">
        <v>-0.11631519999999899</v>
      </c>
      <c r="AE7695">
        <v>0.59929999999998496</v>
      </c>
      <c r="AF7695">
        <v>0.12955739385540299</v>
      </c>
      <c r="AG7695">
        <v>-0.11631519999999899</v>
      </c>
      <c r="AH7695">
        <v>0.58196667232056198</v>
      </c>
      <c r="AI7695">
        <v>101.03917135588399</v>
      </c>
      <c r="AJ7695">
        <v>77.449478158397795</v>
      </c>
      <c r="AK7695">
        <v>0.60745333297753201</v>
      </c>
      <c r="AL7695">
        <v>67.778863669073203</v>
      </c>
      <c r="AM7695">
        <v>90.727897243971</v>
      </c>
      <c r="AN7695">
        <v>0.99999996448078898</v>
      </c>
    </row>
    <row r="7696" spans="1:40" x14ac:dyDescent="0.25">
      <c r="A7696" t="str">
        <f>"20190304164312929"</f>
        <v>20190304164312929</v>
      </c>
      <c r="B7696" t="str">
        <f>"1551688992918488"</f>
        <v>1551688992918488</v>
      </c>
      <c r="C7696" t="s">
        <v>40</v>
      </c>
      <c r="D7696">
        <v>4.6162939999999999</v>
      </c>
      <c r="E7696">
        <v>0.58118130000000001</v>
      </c>
      <c r="F7696" t="s">
        <v>41</v>
      </c>
      <c r="G7696">
        <v>-187.1431</v>
      </c>
      <c r="H7696">
        <v>0.99140729999999999</v>
      </c>
      <c r="I7696">
        <v>110.8185</v>
      </c>
      <c r="J7696">
        <v>-187.29339999999999</v>
      </c>
      <c r="K7696">
        <v>1.1080779999999999</v>
      </c>
      <c r="L7696">
        <v>110.23180000000001</v>
      </c>
      <c r="M7696">
        <v>2.6326740000000001E-2</v>
      </c>
      <c r="N7696">
        <v>-1.475227E-2</v>
      </c>
      <c r="O7696">
        <v>0.99954460000000001</v>
      </c>
      <c r="P7696">
        <v>1.6136060000000001E-2</v>
      </c>
      <c r="Q7696">
        <v>0.36389169999999998</v>
      </c>
      <c r="R7696">
        <v>0.9313015</v>
      </c>
      <c r="S7696">
        <v>0.59451290000000001</v>
      </c>
      <c r="T7696">
        <v>-0.4323437</v>
      </c>
      <c r="U7696">
        <v>3.385818</v>
      </c>
      <c r="V7696">
        <v>-5.9405660000000004E-3</v>
      </c>
      <c r="W7696">
        <v>0.3776389</v>
      </c>
      <c r="X7696">
        <v>0.92593389999999998</v>
      </c>
      <c r="Y7696">
        <v>0.14574409999999999</v>
      </c>
      <c r="Z7696">
        <v>-0.1103676</v>
      </c>
      <c r="AA7696">
        <v>0.98314679999999999</v>
      </c>
      <c r="AB7696">
        <v>35</v>
      </c>
      <c r="AC7696">
        <v>0.150299999999987</v>
      </c>
      <c r="AD7696">
        <v>-0.1166707</v>
      </c>
      <c r="AE7696">
        <v>0.586699999999993</v>
      </c>
      <c r="AF7696">
        <v>0.12997692616076201</v>
      </c>
      <c r="AG7696">
        <v>-0.1166707</v>
      </c>
      <c r="AH7696">
        <v>0.56932647461126096</v>
      </c>
      <c r="AI7696">
        <v>101.298208211112</v>
      </c>
      <c r="AJ7696">
        <v>77.139808327001504</v>
      </c>
      <c r="AK7696">
        <v>0.59551548113040398</v>
      </c>
      <c r="AL7696">
        <v>67.812493024935804</v>
      </c>
      <c r="AM7696">
        <v>90.367590699236899</v>
      </c>
      <c r="AN7696">
        <v>1.0000000081434099</v>
      </c>
    </row>
    <row r="7697" spans="1:40" x14ac:dyDescent="0.25">
      <c r="A7697" t="str">
        <f>"20190304164312951"</f>
        <v>20190304164312951</v>
      </c>
      <c r="B7697" t="str">
        <f>"1551688992938983"</f>
        <v>1551688992938983</v>
      </c>
      <c r="C7697" t="s">
        <v>40</v>
      </c>
      <c r="D7697">
        <v>4.5518850000000004</v>
      </c>
      <c r="E7697">
        <v>0.58122499999999999</v>
      </c>
      <c r="F7697" t="s">
        <v>41</v>
      </c>
      <c r="G7697">
        <v>-187.12880000000001</v>
      </c>
      <c r="H7697">
        <v>0.98914000000000002</v>
      </c>
      <c r="I7697">
        <v>111.1327</v>
      </c>
      <c r="J7697">
        <v>-187.28100000000001</v>
      </c>
      <c r="K7697">
        <v>1.1078920000000001</v>
      </c>
      <c r="L7697">
        <v>110.5802</v>
      </c>
      <c r="M7697">
        <v>2.9515449999999999E-2</v>
      </c>
      <c r="N7697">
        <v>-1.47557E-2</v>
      </c>
      <c r="O7697">
        <v>0.99945539999999999</v>
      </c>
      <c r="P7697">
        <v>2.5346560000000001E-2</v>
      </c>
      <c r="Q7697">
        <v>0.36310700000000001</v>
      </c>
      <c r="R7697">
        <v>0.93140259999999997</v>
      </c>
      <c r="S7697">
        <v>0.6176758</v>
      </c>
      <c r="T7697">
        <v>-0.44679560000000001</v>
      </c>
      <c r="U7697">
        <v>3.3851779999999998</v>
      </c>
      <c r="V7697">
        <v>4.4838529999999998E-4</v>
      </c>
      <c r="W7697">
        <v>0.37682189999999999</v>
      </c>
      <c r="X7697">
        <v>0.92628560000000004</v>
      </c>
      <c r="Y7697">
        <v>0.14904800000000001</v>
      </c>
      <c r="Z7697">
        <v>-0.11438420000000001</v>
      </c>
      <c r="AA7697">
        <v>0.98219190000000001</v>
      </c>
      <c r="AB7697">
        <v>35</v>
      </c>
      <c r="AC7697">
        <v>0.152199999999965</v>
      </c>
      <c r="AD7697">
        <v>-0.118752</v>
      </c>
      <c r="AE7697">
        <v>0.552499999999994</v>
      </c>
      <c r="AF7697">
        <v>0.130232571650201</v>
      </c>
      <c r="AG7697">
        <v>-0.118752</v>
      </c>
      <c r="AH7697">
        <v>0.53382991270272095</v>
      </c>
      <c r="AI7697">
        <v>102.194911057841</v>
      </c>
      <c r="AJ7697">
        <v>76.289984344766495</v>
      </c>
      <c r="AK7697">
        <v>0.56217162496769602</v>
      </c>
      <c r="AL7697">
        <v>67.863037289331899</v>
      </c>
      <c r="AM7697">
        <v>89.972264943685701</v>
      </c>
      <c r="AN7697">
        <v>0.99999997906817295</v>
      </c>
    </row>
    <row r="7698" spans="1:40" x14ac:dyDescent="0.25">
      <c r="A7698" t="str">
        <f>"20190304164312975"</f>
        <v>20190304164312975</v>
      </c>
      <c r="B7698" t="str">
        <f>"1551688992969239"</f>
        <v>1551688992969239</v>
      </c>
      <c r="C7698" t="s">
        <v>40</v>
      </c>
      <c r="D7698">
        <v>4.6372669999999996</v>
      </c>
      <c r="E7698">
        <v>0.58111099999999904</v>
      </c>
      <c r="F7698" t="s">
        <v>41</v>
      </c>
      <c r="G7698">
        <v>-187.11580000000001</v>
      </c>
      <c r="H7698">
        <v>0.98989879999999997</v>
      </c>
      <c r="I7698">
        <v>111.4481</v>
      </c>
      <c r="J7698">
        <v>-187.2663</v>
      </c>
      <c r="K7698">
        <v>1.1076809999999999</v>
      </c>
      <c r="L7698">
        <v>110.95569999999999</v>
      </c>
      <c r="M7698">
        <v>3.3210389999999999E-2</v>
      </c>
      <c r="N7698">
        <v>-1.47612E-2</v>
      </c>
      <c r="O7698">
        <v>0.99933930000000004</v>
      </c>
      <c r="P7698">
        <v>3.57325E-2</v>
      </c>
      <c r="Q7698">
        <v>0.36345919999999998</v>
      </c>
      <c r="R7698">
        <v>0.93092459999999999</v>
      </c>
      <c r="S7698">
        <v>0.64349369999999995</v>
      </c>
      <c r="T7698">
        <v>-0.45983859999999899</v>
      </c>
      <c r="U7698">
        <v>3.3827060000000002</v>
      </c>
      <c r="V7698">
        <v>7.5899599999999998E-3</v>
      </c>
      <c r="W7698">
        <v>0.3771253</v>
      </c>
      <c r="X7698">
        <v>0.92613109999999998</v>
      </c>
      <c r="Y7698">
        <v>0.15267520000000001</v>
      </c>
      <c r="Z7698">
        <v>-0.1180353</v>
      </c>
      <c r="AA7698">
        <v>0.98120229999999997</v>
      </c>
      <c r="AB7698">
        <v>35</v>
      </c>
      <c r="AC7698">
        <v>0.150499999999993</v>
      </c>
      <c r="AD7698">
        <v>-0.117782199999999</v>
      </c>
      <c r="AE7698">
        <v>0.492400000000003</v>
      </c>
      <c r="AF7698">
        <v>0.12739597213290199</v>
      </c>
      <c r="AG7698">
        <v>-0.117782199999999</v>
      </c>
      <c r="AH7698">
        <v>0.47240679716158501</v>
      </c>
      <c r="AI7698">
        <v>103.534952387204</v>
      </c>
      <c r="AJ7698">
        <v>74.907819592528199</v>
      </c>
      <c r="AK7698">
        <v>0.50325993517961798</v>
      </c>
      <c r="AL7698">
        <v>67.844268590586694</v>
      </c>
      <c r="AM7698">
        <v>89.530452071858505</v>
      </c>
      <c r="AN7698">
        <v>0.99999995689004895</v>
      </c>
    </row>
    <row r="7699" spans="1:40" x14ac:dyDescent="0.25">
      <c r="A7699" t="str">
        <f>"20190304164312997"</f>
        <v>20190304164312997</v>
      </c>
      <c r="B7699" t="str">
        <f>"1551688992988759"</f>
        <v>1551688992988759</v>
      </c>
      <c r="C7699" t="s">
        <v>40</v>
      </c>
      <c r="D7699">
        <v>4.6130339999999999</v>
      </c>
      <c r="E7699">
        <v>0.58106639999999998</v>
      </c>
      <c r="F7699" t="s">
        <v>41</v>
      </c>
      <c r="G7699">
        <v>-187.10489999999999</v>
      </c>
      <c r="H7699">
        <v>0.99486039999999998</v>
      </c>
      <c r="I7699">
        <v>111.7651</v>
      </c>
      <c r="J7699">
        <v>-187.25139999999999</v>
      </c>
      <c r="K7699">
        <v>1.107494</v>
      </c>
      <c r="L7699">
        <v>111.29940000000001</v>
      </c>
      <c r="M7699">
        <v>3.6825150000000001E-2</v>
      </c>
      <c r="N7699">
        <v>-1.476772E-2</v>
      </c>
      <c r="O7699">
        <v>0.99921260000000001</v>
      </c>
      <c r="P7699">
        <v>4.6574740000000003E-2</v>
      </c>
      <c r="Q7699">
        <v>0.36345189999999999</v>
      </c>
      <c r="R7699">
        <v>0.93044800000000005</v>
      </c>
      <c r="S7699">
        <v>0.67346189999999995</v>
      </c>
      <c r="T7699">
        <v>-0.47110269999999999</v>
      </c>
      <c r="U7699">
        <v>3.3806759999999998</v>
      </c>
      <c r="V7699">
        <v>1.524902E-2</v>
      </c>
      <c r="W7699">
        <v>0.37706040000000002</v>
      </c>
      <c r="X7699">
        <v>0.92606310000000003</v>
      </c>
      <c r="Y7699">
        <v>0.1575058</v>
      </c>
      <c r="Z7699">
        <v>-0.12112059999999999</v>
      </c>
      <c r="AA7699">
        <v>0.98006210000000005</v>
      </c>
      <c r="AB7699">
        <v>35</v>
      </c>
      <c r="AC7699">
        <v>0.14650000000000299</v>
      </c>
      <c r="AD7699">
        <v>-0.1126336</v>
      </c>
      <c r="AE7699">
        <v>0.465699999999998</v>
      </c>
      <c r="AF7699">
        <v>0.12271725684913901</v>
      </c>
      <c r="AG7699">
        <v>-0.1126336</v>
      </c>
      <c r="AH7699">
        <v>0.44698723184583</v>
      </c>
      <c r="AI7699">
        <v>103.65774934470301</v>
      </c>
      <c r="AJ7699">
        <v>74.648089892159206</v>
      </c>
      <c r="AK7699">
        <v>0.47701513436235399</v>
      </c>
      <c r="AL7699">
        <v>67.848283825828702</v>
      </c>
      <c r="AM7699">
        <v>89.056624183075897</v>
      </c>
      <c r="AN7699">
        <v>0.99999997152036402</v>
      </c>
    </row>
    <row r="7700" spans="1:40" x14ac:dyDescent="0.25">
      <c r="A7700" t="str">
        <f>"20190304164313019"</f>
        <v>20190304164313019</v>
      </c>
      <c r="B7700" t="str">
        <f>"1551688993009255"</f>
        <v>1551688993009255</v>
      </c>
      <c r="C7700" t="s">
        <v>40</v>
      </c>
      <c r="D7700">
        <v>4.4725720000000004</v>
      </c>
      <c r="E7700">
        <v>0.58115850000000002</v>
      </c>
      <c r="F7700" t="s">
        <v>41</v>
      </c>
      <c r="G7700">
        <v>-187.0881</v>
      </c>
      <c r="H7700">
        <v>0.99678480000000003</v>
      </c>
      <c r="I7700">
        <v>112.0802</v>
      </c>
      <c r="J7700">
        <v>-187.2355</v>
      </c>
      <c r="K7700">
        <v>1.10731</v>
      </c>
      <c r="L7700">
        <v>111.63420000000001</v>
      </c>
      <c r="M7700">
        <v>4.0546539999999999E-2</v>
      </c>
      <c r="N7700">
        <v>-1.4774549999999999E-2</v>
      </c>
      <c r="O7700">
        <v>0.99906839999999997</v>
      </c>
      <c r="P7700">
        <v>5.7224320000000002E-2</v>
      </c>
      <c r="Q7700">
        <v>0.36427779999999998</v>
      </c>
      <c r="R7700">
        <v>0.92953059999999998</v>
      </c>
      <c r="S7700">
        <v>0.70606990000000003</v>
      </c>
      <c r="T7700">
        <v>-0.47864950000000001</v>
      </c>
      <c r="U7700">
        <v>3.3758849999999998</v>
      </c>
      <c r="V7700">
        <v>2.2631249999999999E-2</v>
      </c>
      <c r="W7700">
        <v>0.37781900000000002</v>
      </c>
      <c r="X7700">
        <v>0.92560290000000001</v>
      </c>
      <c r="Y7700">
        <v>0.1631177</v>
      </c>
      <c r="Z7700">
        <v>-0.12322470000000001</v>
      </c>
      <c r="AA7700">
        <v>0.97888109999999995</v>
      </c>
      <c r="AB7700">
        <v>35</v>
      </c>
      <c r="AC7700">
        <v>0.147400000000004</v>
      </c>
      <c r="AD7700">
        <v>-0.1105252</v>
      </c>
      <c r="AE7700">
        <v>0.44599999999999801</v>
      </c>
      <c r="AF7700">
        <v>0.12241552932291801</v>
      </c>
      <c r="AG7700">
        <v>-0.1105252</v>
      </c>
      <c r="AH7700">
        <v>0.42791877101897002</v>
      </c>
      <c r="AI7700">
        <v>103.945839235638</v>
      </c>
      <c r="AJ7700">
        <v>74.035663309428003</v>
      </c>
      <c r="AK7700">
        <v>0.45860206742320297</v>
      </c>
      <c r="AL7700">
        <v>67.801349384401902</v>
      </c>
      <c r="AM7700">
        <v>88.599381212370602</v>
      </c>
      <c r="AN7700">
        <v>1.0000000493629799</v>
      </c>
    </row>
    <row r="7701" spans="1:40" x14ac:dyDescent="0.25">
      <c r="A7701" t="str">
        <f>"20190304164313040"</f>
        <v>20190304164313040</v>
      </c>
      <c r="B7701" t="str">
        <f>"1551688993028775"</f>
        <v>1551688993028775</v>
      </c>
      <c r="C7701" t="s">
        <v>40</v>
      </c>
      <c r="D7701">
        <v>4.4782390000000003</v>
      </c>
      <c r="E7701">
        <v>0.5812351</v>
      </c>
      <c r="F7701" t="s">
        <v>41</v>
      </c>
      <c r="G7701">
        <v>-187.06809999999999</v>
      </c>
      <c r="H7701">
        <v>0.99884030000000001</v>
      </c>
      <c r="I7701">
        <v>112.395</v>
      </c>
      <c r="J7701">
        <v>-187.2174</v>
      </c>
      <c r="K7701">
        <v>1.107145</v>
      </c>
      <c r="L7701">
        <v>111.98220000000001</v>
      </c>
      <c r="M7701">
        <v>4.4595419999999997E-2</v>
      </c>
      <c r="N7701">
        <v>-1.478119E-2</v>
      </c>
      <c r="O7701">
        <v>0.9988958</v>
      </c>
      <c r="P7701">
        <v>6.7215330000000004E-2</v>
      </c>
      <c r="Q7701">
        <v>0.36487619999999998</v>
      </c>
      <c r="R7701">
        <v>0.92862670000000003</v>
      </c>
      <c r="S7701">
        <v>0.74070740000000002</v>
      </c>
      <c r="T7701">
        <v>-0.48043059999999999</v>
      </c>
      <c r="U7701">
        <v>3.370117</v>
      </c>
      <c r="V7701">
        <v>2.904311E-2</v>
      </c>
      <c r="W7701">
        <v>0.37835410000000003</v>
      </c>
      <c r="X7701">
        <v>0.92520519999999995</v>
      </c>
      <c r="Y7701">
        <v>0.16905010000000001</v>
      </c>
      <c r="Z7701">
        <v>-0.1237089</v>
      </c>
      <c r="AA7701">
        <v>0.97781289999999998</v>
      </c>
      <c r="AB7701">
        <v>35</v>
      </c>
      <c r="AC7701">
        <v>0.14930000000001001</v>
      </c>
      <c r="AD7701">
        <v>-0.1083047</v>
      </c>
      <c r="AE7701">
        <v>0.41279999999999001</v>
      </c>
      <c r="AF7701">
        <v>0.123238518111426</v>
      </c>
      <c r="AG7701">
        <v>-0.1083047</v>
      </c>
      <c r="AH7701">
        <v>0.39500298116447402</v>
      </c>
      <c r="AI7701">
        <v>104.667758622878</v>
      </c>
      <c r="AJ7701">
        <v>72.672397053114594</v>
      </c>
      <c r="AK7701">
        <v>0.42772069802291901</v>
      </c>
      <c r="AL7701">
        <v>67.768230847414301</v>
      </c>
      <c r="AM7701">
        <v>88.202019002087198</v>
      </c>
      <c r="AN7701">
        <v>0.99999999466616096</v>
      </c>
    </row>
    <row r="7702" spans="1:40" x14ac:dyDescent="0.25">
      <c r="A7702" t="str">
        <f>"20190304164313064"</f>
        <v>20190304164313064</v>
      </c>
      <c r="B7702" t="str">
        <f>"1551688993059032"</f>
        <v>1551688993059032</v>
      </c>
      <c r="C7702" t="s">
        <v>40</v>
      </c>
      <c r="D7702">
        <v>4.4597160000000002</v>
      </c>
      <c r="E7702">
        <v>0.58125499999999997</v>
      </c>
      <c r="F7702" t="s">
        <v>41</v>
      </c>
      <c r="G7702">
        <v>-187.0497</v>
      </c>
      <c r="H7702">
        <v>1.002804</v>
      </c>
      <c r="I7702">
        <v>112.71040000000001</v>
      </c>
      <c r="J7702">
        <v>-187.19649999999999</v>
      </c>
      <c r="K7702">
        <v>1.1069880000000001</v>
      </c>
      <c r="L7702">
        <v>112.35250000000001</v>
      </c>
      <c r="M7702">
        <v>4.9080869999999999E-2</v>
      </c>
      <c r="N7702">
        <v>-1.478699E-2</v>
      </c>
      <c r="O7702">
        <v>0.99868539999999995</v>
      </c>
      <c r="P7702">
        <v>7.3599100000000001E-2</v>
      </c>
      <c r="Q7702">
        <v>0.36488019999999999</v>
      </c>
      <c r="R7702">
        <v>0.92814090000000005</v>
      </c>
      <c r="S7702">
        <v>0.77496339999999997</v>
      </c>
      <c r="T7702">
        <v>-0.4819987</v>
      </c>
      <c r="U7702">
        <v>3.3638759999999999</v>
      </c>
      <c r="V7702">
        <v>3.1406410000000003E-2</v>
      </c>
      <c r="W7702">
        <v>0.37833070000000002</v>
      </c>
      <c r="X7702">
        <v>0.9251376</v>
      </c>
      <c r="Y7702">
        <v>0.17446059999999999</v>
      </c>
      <c r="Z7702">
        <v>-0.124144</v>
      </c>
      <c r="AA7702">
        <v>0.97680690000000003</v>
      </c>
      <c r="AB7702">
        <v>35</v>
      </c>
      <c r="AC7702">
        <v>0.146799999999984</v>
      </c>
      <c r="AD7702">
        <v>-0.104183999999999</v>
      </c>
      <c r="AE7702">
        <v>0.3579</v>
      </c>
      <c r="AF7702">
        <v>0.120327164217628</v>
      </c>
      <c r="AG7702">
        <v>-0.104183999999999</v>
      </c>
      <c r="AH7702">
        <v>0.34001172970883797</v>
      </c>
      <c r="AI7702">
        <v>106.111796752836</v>
      </c>
      <c r="AJ7702">
        <v>70.511575925237906</v>
      </c>
      <c r="AK7702">
        <v>0.37542097523214102</v>
      </c>
      <c r="AL7702">
        <v>67.769680061813602</v>
      </c>
      <c r="AM7702">
        <v>88.055679547784393</v>
      </c>
      <c r="AN7702">
        <v>1.0000000300426599</v>
      </c>
    </row>
    <row r="7703" spans="1:40" x14ac:dyDescent="0.25">
      <c r="A7703" t="str">
        <f>"20190304164313087"</f>
        <v>20190304164313087</v>
      </c>
      <c r="B7703" t="str">
        <f>"1551688993078642"</f>
        <v>1551688993078642</v>
      </c>
      <c r="C7703" t="s">
        <v>40</v>
      </c>
      <c r="D7703">
        <v>4.4025699999999999</v>
      </c>
      <c r="E7703">
        <v>0.58140630000000004</v>
      </c>
      <c r="F7703" t="s">
        <v>41</v>
      </c>
      <c r="G7703">
        <v>-186.96639999999999</v>
      </c>
      <c r="H7703">
        <v>0.96734609999999999</v>
      </c>
      <c r="I7703">
        <v>113.31780000000001</v>
      </c>
      <c r="J7703">
        <v>-187.17449999999999</v>
      </c>
      <c r="K7703">
        <v>1.1068629999999999</v>
      </c>
      <c r="L7703">
        <v>112.7098</v>
      </c>
      <c r="M7703">
        <v>5.3537580000000001E-2</v>
      </c>
      <c r="N7703">
        <v>-1.4791199999999999E-2</v>
      </c>
      <c r="O7703">
        <v>0.99845629999999996</v>
      </c>
      <c r="P7703">
        <v>8.3042999999999895E-2</v>
      </c>
      <c r="Q7703">
        <v>0.36447810000000003</v>
      </c>
      <c r="R7703">
        <v>0.92750180000000004</v>
      </c>
      <c r="S7703">
        <v>0.79997249999999998</v>
      </c>
      <c r="T7703">
        <v>-0.48587720000000001</v>
      </c>
      <c r="U7703">
        <v>3.3598479999999999</v>
      </c>
      <c r="V7703">
        <v>3.6823540000000002E-2</v>
      </c>
      <c r="W7703">
        <v>0.37787330000000002</v>
      </c>
      <c r="X7703">
        <v>0.92512479999999997</v>
      </c>
      <c r="Y7703">
        <v>0.17717959999999999</v>
      </c>
      <c r="Z7703">
        <v>-0.12520970000000001</v>
      </c>
      <c r="AA7703">
        <v>0.97618130000000003</v>
      </c>
      <c r="AB7703">
        <v>35</v>
      </c>
      <c r="AC7703">
        <v>0.20810000000000101</v>
      </c>
      <c r="AD7703">
        <v>-0.139516899999999</v>
      </c>
      <c r="AE7703">
        <v>0.60800000000000398</v>
      </c>
      <c r="AF7703">
        <v>0.16735876497031399</v>
      </c>
      <c r="AG7703">
        <v>-0.139516899999999</v>
      </c>
      <c r="AH7703">
        <v>0.59044033174874</v>
      </c>
      <c r="AI7703">
        <v>102.80776666461099</v>
      </c>
      <c r="AJ7703">
        <v>74.174757435529003</v>
      </c>
      <c r="AK7703">
        <v>0.62935975956011103</v>
      </c>
      <c r="AL7703">
        <v>67.797989131475205</v>
      </c>
      <c r="AM7703">
        <v>87.720609964905805</v>
      </c>
      <c r="AN7703">
        <v>1.0000000497630199</v>
      </c>
    </row>
    <row r="7704" spans="1:40" x14ac:dyDescent="0.25">
      <c r="A7704" t="str">
        <f>"20190304164313102"</f>
        <v>20190304164313102</v>
      </c>
      <c r="B7704" t="str">
        <f>"1551688993099138"</f>
        <v>1551688993099138</v>
      </c>
      <c r="C7704" t="s">
        <v>40</v>
      </c>
      <c r="D7704">
        <v>4.4973710000000002</v>
      </c>
      <c r="E7704">
        <v>0.58137700000000003</v>
      </c>
      <c r="F7704" t="s">
        <v>41</v>
      </c>
      <c r="G7704">
        <v>-186.94479999999999</v>
      </c>
      <c r="H7704">
        <v>0.97323199999999999</v>
      </c>
      <c r="I7704">
        <v>113.6326</v>
      </c>
      <c r="J7704">
        <v>-187.15960000000001</v>
      </c>
      <c r="K7704">
        <v>1.1067979999999999</v>
      </c>
      <c r="L7704">
        <v>112.9397</v>
      </c>
      <c r="M7704">
        <v>5.6444599999999998E-2</v>
      </c>
      <c r="N7704">
        <v>-1.479316E-2</v>
      </c>
      <c r="O7704">
        <v>0.99829610000000002</v>
      </c>
      <c r="P7704">
        <v>8.8700290000000001E-2</v>
      </c>
      <c r="Q7704">
        <v>0.36403410000000003</v>
      </c>
      <c r="R7704">
        <v>0.92715230000000004</v>
      </c>
      <c r="S7704">
        <v>0.83311460000000004</v>
      </c>
      <c r="T7704">
        <v>-0.4850469</v>
      </c>
      <c r="U7704">
        <v>3.3505099999999999</v>
      </c>
      <c r="V7704">
        <v>3.9836110000000001E-2</v>
      </c>
      <c r="W7704">
        <v>0.37739780000000001</v>
      </c>
      <c r="X7704">
        <v>0.92519399999999996</v>
      </c>
      <c r="Y7704">
        <v>0.1840349</v>
      </c>
      <c r="Z7704">
        <v>-0.1250733</v>
      </c>
      <c r="AA7704">
        <v>0.97492959999999995</v>
      </c>
      <c r="AB7704">
        <v>35</v>
      </c>
      <c r="AC7704">
        <v>0.214800000000025</v>
      </c>
      <c r="AD7704">
        <v>-0.13356599999999899</v>
      </c>
      <c r="AE7704">
        <v>0.69289999999999397</v>
      </c>
      <c r="AF7704">
        <v>0.16959350531456799</v>
      </c>
      <c r="AG7704">
        <v>-0.13356599999999899</v>
      </c>
      <c r="AH7704">
        <v>0.68084020852105398</v>
      </c>
      <c r="AI7704">
        <v>100.777945022301</v>
      </c>
      <c r="AJ7704">
        <v>76.012600057010204</v>
      </c>
      <c r="AK7704">
        <v>0.714244512012431</v>
      </c>
      <c r="AL7704">
        <v>67.827410189072495</v>
      </c>
      <c r="AM7704">
        <v>87.534536471933095</v>
      </c>
      <c r="AN7704">
        <v>0.99999997637038496</v>
      </c>
    </row>
    <row r="7705" spans="1:40" x14ac:dyDescent="0.25">
      <c r="A7705" t="str">
        <f>"20190304164313119"</f>
        <v>20190304164313119</v>
      </c>
      <c r="B7705" t="str">
        <f>"1551688993108897"</f>
        <v>1551688993108897</v>
      </c>
      <c r="C7705" t="s">
        <v>40</v>
      </c>
      <c r="D7705">
        <v>4.4999089999999997</v>
      </c>
      <c r="E7705">
        <v>0.58135419999999904</v>
      </c>
      <c r="F7705" t="s">
        <v>41</v>
      </c>
      <c r="G7705">
        <v>-186.97919999999999</v>
      </c>
      <c r="H7705">
        <v>1.0030939999999999</v>
      </c>
      <c r="I7705">
        <v>113.64790000000001</v>
      </c>
      <c r="J7705">
        <v>-187.1405</v>
      </c>
      <c r="K7705">
        <v>1.1067389999999999</v>
      </c>
      <c r="L7705">
        <v>113.2175</v>
      </c>
      <c r="M7705">
        <v>6.0001810000000003E-2</v>
      </c>
      <c r="N7705">
        <v>-1.4794679999999999E-2</v>
      </c>
      <c r="O7705">
        <v>0.99808859999999999</v>
      </c>
      <c r="P7705">
        <v>9.7459840000000006E-2</v>
      </c>
      <c r="Q7705">
        <v>0.36310629999999999</v>
      </c>
      <c r="R7705">
        <v>0.92663660000000003</v>
      </c>
      <c r="S7705">
        <v>0.85133359999999902</v>
      </c>
      <c r="T7705">
        <v>-0.48980570000000001</v>
      </c>
      <c r="U7705">
        <v>3.3465729999999998</v>
      </c>
      <c r="V7705">
        <v>4.5340819999999997E-2</v>
      </c>
      <c r="W7705">
        <v>0.37641459999999999</v>
      </c>
      <c r="X7705">
        <v>0.92534110000000003</v>
      </c>
      <c r="Y7705">
        <v>0.185747</v>
      </c>
      <c r="Z7705">
        <v>-0.12642639999999999</v>
      </c>
      <c r="AA7705">
        <v>0.97443029999999997</v>
      </c>
      <c r="AB7705">
        <v>35</v>
      </c>
      <c r="AC7705">
        <v>0.16130000000001099</v>
      </c>
      <c r="AD7705">
        <v>-0.103644999999999</v>
      </c>
      <c r="AE7705">
        <v>0.430400000000005</v>
      </c>
      <c r="AF7705">
        <v>0.12864056848800401</v>
      </c>
      <c r="AG7705">
        <v>-0.103644999999999</v>
      </c>
      <c r="AH7705">
        <v>0.41804678719663602</v>
      </c>
      <c r="AI7705">
        <v>103.331008949349</v>
      </c>
      <c r="AJ7705">
        <v>72.895920380576101</v>
      </c>
      <c r="AK7705">
        <v>0.44950394678061101</v>
      </c>
      <c r="AL7705">
        <v>67.888227979369901</v>
      </c>
      <c r="AM7705">
        <v>87.194805719280097</v>
      </c>
      <c r="AN7705">
        <v>0.99999994620031896</v>
      </c>
    </row>
    <row r="7706" spans="1:40" x14ac:dyDescent="0.25">
      <c r="A7706" t="str">
        <f>"20190304164313132"</f>
        <v>20190304164313132</v>
      </c>
      <c r="B7706" t="str">
        <f>"1551688993128418"</f>
        <v>1551688993128418</v>
      </c>
      <c r="C7706" t="s">
        <v>40</v>
      </c>
      <c r="D7706">
        <v>4.4121790000000001</v>
      </c>
      <c r="E7706">
        <v>0.58134449999999904</v>
      </c>
      <c r="F7706" t="s">
        <v>41</v>
      </c>
      <c r="G7706">
        <v>-186.94589999999999</v>
      </c>
      <c r="H7706">
        <v>0.99716229999999995</v>
      </c>
      <c r="I7706">
        <v>113.9564</v>
      </c>
      <c r="J7706">
        <v>-187.126</v>
      </c>
      <c r="K7706">
        <v>1.1067009999999999</v>
      </c>
      <c r="L7706">
        <v>113.41849999999999</v>
      </c>
      <c r="M7706">
        <v>6.2595730000000002E-2</v>
      </c>
      <c r="N7706">
        <v>-1.479542E-2</v>
      </c>
      <c r="O7706">
        <v>0.99792930000000002</v>
      </c>
      <c r="P7706">
        <v>0.1023076</v>
      </c>
      <c r="Q7706">
        <v>0.36238769999999998</v>
      </c>
      <c r="R7706">
        <v>0.92639539999999998</v>
      </c>
      <c r="S7706">
        <v>0.87957759999999996</v>
      </c>
      <c r="T7706">
        <v>-0.49517040000000001</v>
      </c>
      <c r="U7706">
        <v>3.339035</v>
      </c>
      <c r="V7706">
        <v>4.780181E-2</v>
      </c>
      <c r="W7706">
        <v>0.37567109999999998</v>
      </c>
      <c r="X7706">
        <v>0.92551950000000005</v>
      </c>
      <c r="Y7706">
        <v>0.1913801</v>
      </c>
      <c r="Z7706">
        <v>-0.12799759999999999</v>
      </c>
      <c r="AA7706">
        <v>0.97313419999999895</v>
      </c>
      <c r="AB7706">
        <v>35</v>
      </c>
      <c r="AC7706">
        <v>0.180099999999981</v>
      </c>
      <c r="AD7706">
        <v>-0.1095387</v>
      </c>
      <c r="AE7706">
        <v>0.53790000000000704</v>
      </c>
      <c r="AF7706">
        <v>0.14082164516825901</v>
      </c>
      <c r="AG7706">
        <v>-0.1095387</v>
      </c>
      <c r="AH7706">
        <v>0.52841531936917596</v>
      </c>
      <c r="AI7706">
        <v>101.326769077378</v>
      </c>
      <c r="AJ7706">
        <v>75.077603540147507</v>
      </c>
      <c r="AK7706">
        <v>0.55772055035619095</v>
      </c>
      <c r="AL7706">
        <v>67.934204564734998</v>
      </c>
      <c r="AM7706">
        <v>87.043378884936303</v>
      </c>
      <c r="AN7706">
        <v>1.0000000666473601</v>
      </c>
    </row>
    <row r="7707" spans="1:40" x14ac:dyDescent="0.25">
      <c r="A7707" t="str">
        <f>"20190304164313145"</f>
        <v>20190304164313145</v>
      </c>
      <c r="B7707" t="str">
        <f>"1551688993139154"</f>
        <v>1551688993139154</v>
      </c>
      <c r="C7707" t="s">
        <v>40</v>
      </c>
      <c r="D7707">
        <v>4.0161800000000003</v>
      </c>
      <c r="E7707">
        <v>0.5820417</v>
      </c>
      <c r="F7707" t="s">
        <v>41</v>
      </c>
      <c r="G7707">
        <v>-186.9</v>
      </c>
      <c r="H7707">
        <v>0.98119190000000001</v>
      </c>
      <c r="I7707">
        <v>114.2591</v>
      </c>
      <c r="J7707">
        <v>-187.1114</v>
      </c>
      <c r="K7707">
        <v>1.1066659999999999</v>
      </c>
      <c r="L7707">
        <v>113.61669999999999</v>
      </c>
      <c r="M7707">
        <v>6.5161819999999995E-2</v>
      </c>
      <c r="N7707">
        <v>-1.479594E-2</v>
      </c>
      <c r="O7707">
        <v>0.99776500000000001</v>
      </c>
      <c r="P7707">
        <v>0.1071037</v>
      </c>
      <c r="Q7707">
        <v>0.36142479999999999</v>
      </c>
      <c r="R7707">
        <v>0.92622939999999998</v>
      </c>
      <c r="S7707">
        <v>0.89610290000000004</v>
      </c>
      <c r="T7707">
        <v>-0.49771900000000002</v>
      </c>
      <c r="U7707">
        <v>3.3340909999999999</v>
      </c>
      <c r="V7707">
        <v>5.0225760000000001E-2</v>
      </c>
      <c r="W7707">
        <v>0.3746853</v>
      </c>
      <c r="X7707">
        <v>0.92579060000000002</v>
      </c>
      <c r="Y7707">
        <v>0.1936862</v>
      </c>
      <c r="Z7707">
        <v>-0.12876949999999901</v>
      </c>
      <c r="AA7707">
        <v>0.972576</v>
      </c>
      <c r="AB7707">
        <v>35</v>
      </c>
      <c r="AC7707">
        <v>0.21139999999999701</v>
      </c>
      <c r="AD7707">
        <v>-0.12547409999999901</v>
      </c>
      <c r="AE7707">
        <v>0.64240000000000896</v>
      </c>
      <c r="AF7707">
        <v>0.163459394489787</v>
      </c>
      <c r="AG7707">
        <v>-0.12547409999999901</v>
      </c>
      <c r="AH7707">
        <v>0.63302095463654295</v>
      </c>
      <c r="AI7707">
        <v>100.86408178020601</v>
      </c>
      <c r="AJ7707">
        <v>75.521292488188607</v>
      </c>
      <c r="AK7707">
        <v>0.66571634532039103</v>
      </c>
      <c r="AL7707">
        <v>67.995135464402907</v>
      </c>
      <c r="AM7707">
        <v>86.894647929254404</v>
      </c>
      <c r="AN7707">
        <v>0.99999996802601299</v>
      </c>
    </row>
    <row r="7708" spans="1:40" x14ac:dyDescent="0.25">
      <c r="A7708" t="str">
        <f>"20190304164313157"</f>
        <v>20190304164313157</v>
      </c>
      <c r="B7708" t="str">
        <f>"1551688993148914"</f>
        <v>1551688993148914</v>
      </c>
      <c r="C7708" t="s">
        <v>40</v>
      </c>
      <c r="D7708">
        <v>4.5197409999999998</v>
      </c>
      <c r="E7708">
        <v>0.58206069999999999</v>
      </c>
      <c r="F7708" t="s">
        <v>41</v>
      </c>
      <c r="G7708">
        <v>-186.8503</v>
      </c>
      <c r="H7708">
        <v>0.96621290000000004</v>
      </c>
      <c r="I7708">
        <v>114.5617</v>
      </c>
      <c r="J7708">
        <v>-187.09620000000001</v>
      </c>
      <c r="K7708">
        <v>1.106633</v>
      </c>
      <c r="L7708">
        <v>113.813</v>
      </c>
      <c r="M7708">
        <v>6.7718500000000001E-2</v>
      </c>
      <c r="N7708">
        <v>-1.479635E-2</v>
      </c>
      <c r="O7708">
        <v>0.9975948</v>
      </c>
      <c r="P7708">
        <v>0.111816</v>
      </c>
      <c r="Q7708">
        <v>0.36066389999999998</v>
      </c>
      <c r="R7708">
        <v>0.92596909999999999</v>
      </c>
      <c r="S7708">
        <v>0.91842650000000003</v>
      </c>
      <c r="T7708">
        <v>-0.49423089999999997</v>
      </c>
      <c r="U7708">
        <v>3.325577</v>
      </c>
      <c r="V7708">
        <v>5.257792E-2</v>
      </c>
      <c r="W7708">
        <v>0.37390050000000002</v>
      </c>
      <c r="X7708">
        <v>0.9259773</v>
      </c>
      <c r="Y7708">
        <v>0.19789780000000001</v>
      </c>
      <c r="Z7708">
        <v>-0.127919</v>
      </c>
      <c r="AA7708">
        <v>0.97184009999999998</v>
      </c>
      <c r="AB7708">
        <v>35</v>
      </c>
      <c r="AC7708">
        <v>0.245900000000006</v>
      </c>
      <c r="AD7708">
        <v>-0.14042009999999899</v>
      </c>
      <c r="AE7708">
        <v>0.74870000000001302</v>
      </c>
      <c r="AF7708">
        <v>0.18863956771027801</v>
      </c>
      <c r="AG7708">
        <v>-0.14042009999999899</v>
      </c>
      <c r="AH7708">
        <v>0.740134919281071</v>
      </c>
      <c r="AI7708">
        <v>100.417217803642</v>
      </c>
      <c r="AJ7708">
        <v>75.701341684178004</v>
      </c>
      <c r="AK7708">
        <v>0.77659667120657205</v>
      </c>
      <c r="AL7708">
        <v>68.043626469902804</v>
      </c>
      <c r="AM7708">
        <v>86.750177729402907</v>
      </c>
      <c r="AN7708">
        <v>0.99999999084353297</v>
      </c>
    </row>
    <row r="7709" spans="1:40" x14ac:dyDescent="0.25">
      <c r="A7709" t="str">
        <f>"20190304164313175"</f>
        <v>20190304164313175</v>
      </c>
      <c r="B7709" t="str">
        <f>"1551688993168965"</f>
        <v>1551688993168965</v>
      </c>
      <c r="C7709" t="s">
        <v>40</v>
      </c>
      <c r="D7709">
        <v>4.4679869999999999</v>
      </c>
      <c r="E7709">
        <v>0.5819569</v>
      </c>
      <c r="F7709" t="s">
        <v>41</v>
      </c>
      <c r="G7709">
        <v>-186.88149999999999</v>
      </c>
      <c r="H7709">
        <v>0.99247790000000002</v>
      </c>
      <c r="I7709">
        <v>114.5753</v>
      </c>
      <c r="J7709">
        <v>-187.07329999999999</v>
      </c>
      <c r="K7709">
        <v>1.106587</v>
      </c>
      <c r="L7709">
        <v>114.0989</v>
      </c>
      <c r="M7709">
        <v>7.1455959999999999E-2</v>
      </c>
      <c r="N7709">
        <v>-1.479685E-2</v>
      </c>
      <c r="O7709">
        <v>0.99733400000000005</v>
      </c>
      <c r="P7709">
        <v>0.12011189999999999</v>
      </c>
      <c r="Q7709">
        <v>0.35939080000000001</v>
      </c>
      <c r="R7709">
        <v>0.92542500000000005</v>
      </c>
      <c r="S7709">
        <v>0.93521120000000002</v>
      </c>
      <c r="T7709">
        <v>-0.49728169999999999</v>
      </c>
      <c r="U7709">
        <v>3.3206180000000001</v>
      </c>
      <c r="V7709">
        <v>5.7424749999999997E-2</v>
      </c>
      <c r="W7709">
        <v>0.3725773</v>
      </c>
      <c r="X7709">
        <v>0.92622269999999896</v>
      </c>
      <c r="Y7709">
        <v>0.1991214</v>
      </c>
      <c r="Z7709">
        <v>-0.12882589999999999</v>
      </c>
      <c r="AA7709">
        <v>0.97147030000000001</v>
      </c>
      <c r="AB7709">
        <v>35</v>
      </c>
      <c r="AC7709">
        <v>0.1918</v>
      </c>
      <c r="AD7709">
        <v>-0.11410909999999901</v>
      </c>
      <c r="AE7709">
        <v>0.47639999999999799</v>
      </c>
      <c r="AF7709">
        <v>0.14986549245935499</v>
      </c>
      <c r="AG7709">
        <v>-0.11410909999999901</v>
      </c>
      <c r="AH7709">
        <v>0.4658880874827</v>
      </c>
      <c r="AI7709">
        <v>103.124695669137</v>
      </c>
      <c r="AJ7709">
        <v>72.168209866582899</v>
      </c>
      <c r="AK7709">
        <v>0.50252588250873498</v>
      </c>
      <c r="AL7709">
        <v>68.125345151059705</v>
      </c>
      <c r="AM7709">
        <v>86.452268090218894</v>
      </c>
      <c r="AN7709">
        <v>0.99999996819157</v>
      </c>
    </row>
    <row r="7710" spans="1:40" x14ac:dyDescent="0.25">
      <c r="A7710" t="str">
        <f>"20190304164313188"</f>
        <v>20190304164313188</v>
      </c>
      <c r="B7710" t="str">
        <f>"1551688993178725"</f>
        <v>1551688993178725</v>
      </c>
      <c r="C7710" t="s">
        <v>40</v>
      </c>
      <c r="D7710">
        <v>4.4659000000000004</v>
      </c>
      <c r="E7710">
        <v>0.58192659999999996</v>
      </c>
      <c r="F7710" t="s">
        <v>41</v>
      </c>
      <c r="G7710">
        <v>-186.84520000000001</v>
      </c>
      <c r="H7710">
        <v>0.98726879999999995</v>
      </c>
      <c r="I7710">
        <v>114.8826</v>
      </c>
      <c r="J7710">
        <v>-187.0574</v>
      </c>
      <c r="K7710">
        <v>1.10656</v>
      </c>
      <c r="L7710">
        <v>114.2901</v>
      </c>
      <c r="M7710">
        <v>7.3966939999999995E-2</v>
      </c>
      <c r="N7710">
        <v>-1.479713E-2</v>
      </c>
      <c r="O7710">
        <v>0.99715089999999995</v>
      </c>
      <c r="P7710">
        <v>0.1246167</v>
      </c>
      <c r="Q7710">
        <v>0.35935810000000001</v>
      </c>
      <c r="R7710">
        <v>0.92484189999999999</v>
      </c>
      <c r="S7710">
        <v>0.96353149999999999</v>
      </c>
      <c r="T7710">
        <v>-0.50421990000000005</v>
      </c>
      <c r="U7710">
        <v>3.3125</v>
      </c>
      <c r="V7710">
        <v>5.963719E-2</v>
      </c>
      <c r="W7710">
        <v>0.3725176</v>
      </c>
      <c r="X7710">
        <v>0.92610689999999996</v>
      </c>
      <c r="Y7710">
        <v>0.20486460000000001</v>
      </c>
      <c r="Z7710">
        <v>-0.1308407</v>
      </c>
      <c r="AA7710">
        <v>0.97000580000000003</v>
      </c>
      <c r="AB7710">
        <v>35</v>
      </c>
      <c r="AC7710">
        <v>0.212199999999995</v>
      </c>
      <c r="AD7710">
        <v>-0.119291199999999</v>
      </c>
      <c r="AE7710">
        <v>0.59250000000000103</v>
      </c>
      <c r="AF7710">
        <v>0.16196921406165299</v>
      </c>
      <c r="AG7710">
        <v>-0.119291199999999</v>
      </c>
      <c r="AH7710">
        <v>0.58553715835296805</v>
      </c>
      <c r="AI7710">
        <v>101.10902174579699</v>
      </c>
      <c r="AJ7710">
        <v>74.537679886772693</v>
      </c>
      <c r="AK7710">
        <v>0.61912695023981901</v>
      </c>
      <c r="AL7710">
        <v>68.129031166872807</v>
      </c>
      <c r="AM7710">
        <v>86.315492447324104</v>
      </c>
      <c r="AN7710">
        <v>0.99999997348423197</v>
      </c>
    </row>
    <row r="7711" spans="1:40" x14ac:dyDescent="0.25">
      <c r="A7711" t="str">
        <f>"20190304164313200"</f>
        <v>20190304164313200</v>
      </c>
      <c r="B7711" t="str">
        <f>"1551688993188488"</f>
        <v>1551688993188488</v>
      </c>
      <c r="C7711" t="s">
        <v>40</v>
      </c>
      <c r="D7711">
        <v>4.466329</v>
      </c>
      <c r="E7711">
        <v>0.58189709999999994</v>
      </c>
      <c r="F7711" t="s">
        <v>41</v>
      </c>
      <c r="G7711">
        <v>-186.7927</v>
      </c>
      <c r="H7711">
        <v>0.97028650000000005</v>
      </c>
      <c r="I7711">
        <v>115.1831</v>
      </c>
      <c r="J7711">
        <v>-187.041</v>
      </c>
      <c r="K7711">
        <v>1.106535</v>
      </c>
      <c r="L7711">
        <v>114.48090000000001</v>
      </c>
      <c r="M7711">
        <v>7.6479519999999995E-2</v>
      </c>
      <c r="N7711">
        <v>-1.4797340000000001E-2</v>
      </c>
      <c r="O7711">
        <v>0.9969614</v>
      </c>
      <c r="P7711">
        <v>0.1290454</v>
      </c>
      <c r="Q7711">
        <v>0.35911120000000002</v>
      </c>
      <c r="R7711">
        <v>0.92433030000000005</v>
      </c>
      <c r="S7711">
        <v>0.98016360000000002</v>
      </c>
      <c r="T7711">
        <v>-0.50475130000000001</v>
      </c>
      <c r="U7711">
        <v>3.3078460000000001</v>
      </c>
      <c r="V7711">
        <v>6.1764720000000002E-2</v>
      </c>
      <c r="W7711">
        <v>0.3722454</v>
      </c>
      <c r="X7711">
        <v>0.92607689999999998</v>
      </c>
      <c r="Y7711">
        <v>0.20724490000000001</v>
      </c>
      <c r="Z7711">
        <v>-0.13101409999999999</v>
      </c>
      <c r="AA7711">
        <v>0.96947660000000002</v>
      </c>
      <c r="AB7711">
        <v>35</v>
      </c>
      <c r="AC7711">
        <v>0.24829999999999999</v>
      </c>
      <c r="AD7711">
        <v>-0.13624849999999999</v>
      </c>
      <c r="AE7711">
        <v>0.70219999999999005</v>
      </c>
      <c r="AF7711">
        <v>0.18758548104393599</v>
      </c>
      <c r="AG7711">
        <v>-0.13624849999999999</v>
      </c>
      <c r="AH7711">
        <v>0.69584907452629496</v>
      </c>
      <c r="AI7711">
        <v>100.705579507336</v>
      </c>
      <c r="AJ7711">
        <v>74.912972488674399</v>
      </c>
      <c r="AK7711">
        <v>0.73345613431877099</v>
      </c>
      <c r="AL7711">
        <v>68.145835618529702</v>
      </c>
      <c r="AM7711">
        <v>86.1843076684099</v>
      </c>
      <c r="AN7711">
        <v>0.99999997158572296</v>
      </c>
    </row>
    <row r="7712" spans="1:40" x14ac:dyDescent="0.25">
      <c r="A7712" t="str">
        <f>"20190304164313220"</f>
        <v>20190304164313220</v>
      </c>
      <c r="B7712" t="str">
        <f>"1551688993208982"</f>
        <v>1551688993208982</v>
      </c>
      <c r="C7712" t="s">
        <v>40</v>
      </c>
      <c r="D7712">
        <v>4.4592080000000003</v>
      </c>
      <c r="E7712">
        <v>0.58182519999999904</v>
      </c>
      <c r="F7712" t="s">
        <v>41</v>
      </c>
      <c r="G7712">
        <v>-186.82490000000001</v>
      </c>
      <c r="H7712">
        <v>0.99679819999999997</v>
      </c>
      <c r="I7712">
        <v>115.1972</v>
      </c>
      <c r="J7712">
        <v>-187.01390000000001</v>
      </c>
      <c r="K7712">
        <v>1.106487</v>
      </c>
      <c r="L7712">
        <v>114.7851</v>
      </c>
      <c r="M7712">
        <v>8.0519030000000005E-2</v>
      </c>
      <c r="N7712">
        <v>-1.479785E-2</v>
      </c>
      <c r="O7712">
        <v>0.99664319999999895</v>
      </c>
      <c r="P7712">
        <v>0.1366454</v>
      </c>
      <c r="Q7712">
        <v>0.3585585</v>
      </c>
      <c r="R7712">
        <v>0.9234521</v>
      </c>
      <c r="S7712">
        <v>0.99674989999999997</v>
      </c>
      <c r="T7712">
        <v>-0.50598259999999995</v>
      </c>
      <c r="U7712">
        <v>3.3030089999999999</v>
      </c>
      <c r="V7712">
        <v>6.5668309999999994E-2</v>
      </c>
      <c r="W7712">
        <v>0.37164649999999999</v>
      </c>
      <c r="X7712">
        <v>0.92604889999999995</v>
      </c>
      <c r="Y7712">
        <v>0.2081211</v>
      </c>
      <c r="Z7712">
        <v>-0.1313897</v>
      </c>
      <c r="AA7712">
        <v>0.96923800000000004</v>
      </c>
      <c r="AB7712">
        <v>35</v>
      </c>
      <c r="AC7712">
        <v>0.18899999999999201</v>
      </c>
      <c r="AD7712">
        <v>-0.1096888</v>
      </c>
      <c r="AE7712">
        <v>0.41209999999999503</v>
      </c>
      <c r="AF7712">
        <v>0.14661842055510299</v>
      </c>
      <c r="AG7712">
        <v>-0.1096888</v>
      </c>
      <c r="AH7712">
        <v>0.40242559452504201</v>
      </c>
      <c r="AI7712">
        <v>104.364769257006</v>
      </c>
      <c r="AJ7712">
        <v>69.981460483174601</v>
      </c>
      <c r="AK7712">
        <v>0.44212549487712899</v>
      </c>
      <c r="AL7712">
        <v>68.182803058830402</v>
      </c>
      <c r="AM7712">
        <v>85.943811080580204</v>
      </c>
      <c r="AN7712">
        <v>1.0000000065458501</v>
      </c>
    </row>
    <row r="7713" spans="1:40" x14ac:dyDescent="0.25">
      <c r="A7713" t="str">
        <f>"20190304164313235"</f>
        <v>20190304164313235</v>
      </c>
      <c r="B7713" t="str">
        <f>"1551688993229478"</f>
        <v>1551688993229478</v>
      </c>
      <c r="C7713" t="s">
        <v>40</v>
      </c>
      <c r="D7713">
        <v>4.4612489999999996</v>
      </c>
      <c r="E7713">
        <v>0.5817599</v>
      </c>
      <c r="F7713" t="s">
        <v>41</v>
      </c>
      <c r="G7713">
        <v>-186.7895</v>
      </c>
      <c r="H7713">
        <v>0.99526320000000001</v>
      </c>
      <c r="I7713">
        <v>115.50539999999999</v>
      </c>
      <c r="J7713">
        <v>-186.9932</v>
      </c>
      <c r="K7713">
        <v>1.106449</v>
      </c>
      <c r="L7713">
        <v>115.0061</v>
      </c>
      <c r="M7713">
        <v>8.3490599999999998E-2</v>
      </c>
      <c r="N7713">
        <v>-1.4798530000000001E-2</v>
      </c>
      <c r="O7713">
        <v>0.99639869999999997</v>
      </c>
      <c r="P7713">
        <v>0.1413296</v>
      </c>
      <c r="Q7713">
        <v>0.35828189999999999</v>
      </c>
      <c r="R7713">
        <v>0.92285419999999996</v>
      </c>
      <c r="S7713">
        <v>1.0260469999999999</v>
      </c>
      <c r="T7713">
        <v>-0.50866789999999995</v>
      </c>
      <c r="U7713">
        <v>3.2943570000000002</v>
      </c>
      <c r="V7713">
        <v>6.7639199999999997E-2</v>
      </c>
      <c r="W7713">
        <v>0.37134410000000001</v>
      </c>
      <c r="X7713">
        <v>0.92602830000000003</v>
      </c>
      <c r="Y7713">
        <v>0.21374399999999999</v>
      </c>
      <c r="Z7713">
        <v>-0.13219330000000001</v>
      </c>
      <c r="AA7713">
        <v>0.96790419999999999</v>
      </c>
      <c r="AB7713">
        <v>35</v>
      </c>
      <c r="AC7713">
        <v>0.20369999999999699</v>
      </c>
      <c r="AD7713">
        <v>-0.1111858</v>
      </c>
      <c r="AE7713">
        <v>0.49929999999999097</v>
      </c>
      <c r="AF7713">
        <v>0.15471975034009</v>
      </c>
      <c r="AG7713">
        <v>-0.1111858</v>
      </c>
      <c r="AH7713">
        <v>0.49358201492033299</v>
      </c>
      <c r="AI7713">
        <v>102.13114573788199</v>
      </c>
      <c r="AJ7713">
        <v>72.595716789397599</v>
      </c>
      <c r="AK7713">
        <v>0.52907814991715196</v>
      </c>
      <c r="AL7713">
        <v>68.201463704722798</v>
      </c>
      <c r="AM7713">
        <v>85.822405621065599</v>
      </c>
      <c r="AN7713">
        <v>0.99999995719116896</v>
      </c>
    </row>
    <row r="7714" spans="1:40" x14ac:dyDescent="0.25">
      <c r="A7714" t="str">
        <f>"20190304164313247"</f>
        <v>20190304164313247</v>
      </c>
      <c r="B7714" t="str">
        <f>"1551688993239237"</f>
        <v>1551688993239237</v>
      </c>
      <c r="C7714" t="s">
        <v>40</v>
      </c>
      <c r="D7714">
        <v>4.4211749999999999</v>
      </c>
      <c r="E7714">
        <v>0.58172509999999999</v>
      </c>
      <c r="F7714" t="s">
        <v>41</v>
      </c>
      <c r="G7714">
        <v>-186.739</v>
      </c>
      <c r="H7714">
        <v>0.98218369999999999</v>
      </c>
      <c r="I7714">
        <v>115.8068</v>
      </c>
      <c r="J7714">
        <v>-186.9743</v>
      </c>
      <c r="K7714">
        <v>1.1064160000000001</v>
      </c>
      <c r="L7714">
        <v>115.20350000000001</v>
      </c>
      <c r="M7714">
        <v>8.6171479999999995E-2</v>
      </c>
      <c r="N7714">
        <v>-1.4799430000000001E-2</v>
      </c>
      <c r="O7714">
        <v>0.99617040000000001</v>
      </c>
      <c r="P7714">
        <v>0.14605609999999999</v>
      </c>
      <c r="Q7714">
        <v>0.35831619999999997</v>
      </c>
      <c r="R7714">
        <v>0.9221047</v>
      </c>
      <c r="S7714">
        <v>1.0436399999999999</v>
      </c>
      <c r="T7714">
        <v>-0.51033879999999998</v>
      </c>
      <c r="U7714">
        <v>3.2890929999999998</v>
      </c>
      <c r="V7714">
        <v>6.9940950000000002E-2</v>
      </c>
      <c r="W7714">
        <v>0.37134640000000002</v>
      </c>
      <c r="X7714">
        <v>0.92585640000000002</v>
      </c>
      <c r="Y7714">
        <v>0.21624309999999999</v>
      </c>
      <c r="Z7714">
        <v>-0.13268949999999999</v>
      </c>
      <c r="AA7714">
        <v>0.9672809</v>
      </c>
      <c r="AB7714">
        <v>35</v>
      </c>
      <c r="AC7714">
        <v>0.23529999999999501</v>
      </c>
      <c r="AD7714">
        <v>-0.1242323</v>
      </c>
      <c r="AE7714">
        <v>0.60329999999998996</v>
      </c>
      <c r="AF7714">
        <v>0.175955588029898</v>
      </c>
      <c r="AG7714">
        <v>-0.1242323</v>
      </c>
      <c r="AH7714">
        <v>0.59927743590581195</v>
      </c>
      <c r="AI7714">
        <v>101.249702324952</v>
      </c>
      <c r="AJ7714">
        <v>73.6370804487768</v>
      </c>
      <c r="AK7714">
        <v>0.63681039447239096</v>
      </c>
      <c r="AL7714">
        <v>68.201322283556195</v>
      </c>
      <c r="AM7714">
        <v>85.679973107809005</v>
      </c>
      <c r="AN7714">
        <v>0.99999997935041096</v>
      </c>
    </row>
    <row r="7715" spans="1:40" x14ac:dyDescent="0.25">
      <c r="A7715" t="str">
        <f>"20190304164313264"</f>
        <v>20190304164313264</v>
      </c>
      <c r="B7715" t="str">
        <f>"1551688993258757"</f>
        <v>1551688993258757</v>
      </c>
      <c r="C7715" t="s">
        <v>40</v>
      </c>
      <c r="D7715">
        <v>4.447514</v>
      </c>
      <c r="E7715">
        <v>0.58166960000000001</v>
      </c>
      <c r="F7715" t="s">
        <v>41</v>
      </c>
      <c r="G7715">
        <v>-186.6825</v>
      </c>
      <c r="H7715">
        <v>0.96606590000000003</v>
      </c>
      <c r="I7715">
        <v>116.1061</v>
      </c>
      <c r="J7715">
        <v>-186.94749999999999</v>
      </c>
      <c r="K7715">
        <v>1.1063559999999999</v>
      </c>
      <c r="L7715">
        <v>115.47320000000001</v>
      </c>
      <c r="M7715">
        <v>8.9888819999999994E-2</v>
      </c>
      <c r="N7715">
        <v>-1.4801379999999999E-2</v>
      </c>
      <c r="O7715">
        <v>0.9958418</v>
      </c>
      <c r="P7715">
        <v>0.15403889999999901</v>
      </c>
      <c r="Q7715">
        <v>0.35829899999999998</v>
      </c>
      <c r="R7715">
        <v>0.9208115</v>
      </c>
      <c r="S7715">
        <v>1.0608979999999999</v>
      </c>
      <c r="T7715">
        <v>-0.51054579999999905</v>
      </c>
      <c r="U7715">
        <v>3.2837679999999998</v>
      </c>
      <c r="V7715">
        <v>7.4587539999999994E-2</v>
      </c>
      <c r="W7715">
        <v>0.37126670000000001</v>
      </c>
      <c r="X7715">
        <v>0.92552570000000001</v>
      </c>
      <c r="Y7715">
        <v>0.21765799999999999</v>
      </c>
      <c r="Z7715">
        <v>-0.1327719</v>
      </c>
      <c r="AA7715">
        <v>0.96695220000000004</v>
      </c>
      <c r="AB7715">
        <v>35</v>
      </c>
      <c r="AC7715">
        <v>0.26499999999998602</v>
      </c>
      <c r="AD7715">
        <v>-0.140290099999999</v>
      </c>
      <c r="AE7715">
        <v>0.63289999999999202</v>
      </c>
      <c r="AF7715">
        <v>0.198722511806388</v>
      </c>
      <c r="AG7715">
        <v>-0.140290099999999</v>
      </c>
      <c r="AH7715">
        <v>0.62791062000706199</v>
      </c>
      <c r="AI7715">
        <v>102.024884038411</v>
      </c>
      <c r="AJ7715">
        <v>72.438349510323704</v>
      </c>
      <c r="AK7715">
        <v>0.67338228041306702</v>
      </c>
      <c r="AL7715">
        <v>68.206241794935707</v>
      </c>
      <c r="AM7715">
        <v>85.392526220243695</v>
      </c>
      <c r="AN7715">
        <v>1.00000004250631</v>
      </c>
    </row>
    <row r="7716" spans="1:40" x14ac:dyDescent="0.25">
      <c r="A7716" t="str">
        <f>"20190304164313276"</f>
        <v>20190304164313276</v>
      </c>
      <c r="B7716" t="str">
        <f>"1551688993268840"</f>
        <v>1551688993268840</v>
      </c>
      <c r="C7716" t="s">
        <v>40</v>
      </c>
      <c r="D7716">
        <v>4.4275989999999998</v>
      </c>
      <c r="E7716">
        <v>0.58163480000000001</v>
      </c>
      <c r="F7716" t="s">
        <v>41</v>
      </c>
      <c r="G7716">
        <v>-186.63550000000001</v>
      </c>
      <c r="H7716">
        <v>0.95986369999999999</v>
      </c>
      <c r="I7716">
        <v>116.41160000000001</v>
      </c>
      <c r="J7716">
        <v>-186.92750000000001</v>
      </c>
      <c r="K7716">
        <v>1.106304</v>
      </c>
      <c r="L7716">
        <v>115.6673</v>
      </c>
      <c r="M7716">
        <v>9.2614470000000004E-2</v>
      </c>
      <c r="N7716">
        <v>-1.480357E-2</v>
      </c>
      <c r="O7716">
        <v>0.99559200000000003</v>
      </c>
      <c r="P7716">
        <v>0.1585588</v>
      </c>
      <c r="Q7716">
        <v>0.3589174</v>
      </c>
      <c r="R7716">
        <v>0.91980289999999998</v>
      </c>
      <c r="S7716">
        <v>1.0888519999999999</v>
      </c>
      <c r="T7716">
        <v>-0.5113105</v>
      </c>
      <c r="U7716">
        <v>3.2748110000000001</v>
      </c>
      <c r="V7716">
        <v>7.6687019999999995E-2</v>
      </c>
      <c r="W7716">
        <v>0.37184970000000001</v>
      </c>
      <c r="X7716">
        <v>0.9251199</v>
      </c>
      <c r="Y7716">
        <v>0.2231911</v>
      </c>
      <c r="Z7716">
        <v>-0.13303709999999999</v>
      </c>
      <c r="AA7716">
        <v>0.9656536</v>
      </c>
      <c r="AB7716">
        <v>35</v>
      </c>
      <c r="AC7716">
        <v>0.29200000000000098</v>
      </c>
      <c r="AD7716">
        <v>-0.1464403</v>
      </c>
      <c r="AE7716">
        <v>0.74430000000000895</v>
      </c>
      <c r="AF7716">
        <v>0.214604880901095</v>
      </c>
      <c r="AG7716">
        <v>-0.1464403</v>
      </c>
      <c r="AH7716">
        <v>0.74321415898474397</v>
      </c>
      <c r="AI7716">
        <v>100.719397736467</v>
      </c>
      <c r="AJ7716">
        <v>73.893799262789003</v>
      </c>
      <c r="AK7716">
        <v>0.78731651988642004</v>
      </c>
      <c r="AL7716">
        <v>68.1702607890888</v>
      </c>
      <c r="AM7716">
        <v>85.261349504320506</v>
      </c>
      <c r="AN7716">
        <v>0.99999996390128898</v>
      </c>
    </row>
    <row r="7717" spans="1:40" x14ac:dyDescent="0.25">
      <c r="A7717" t="str">
        <f>"20190304164313290"</f>
        <v>20190304164313290</v>
      </c>
      <c r="B7717" t="str">
        <f>"1551688993278599"</f>
        <v>1551688993278599</v>
      </c>
      <c r="C7717" t="s">
        <v>40</v>
      </c>
      <c r="D7717">
        <v>4.3922860000000004</v>
      </c>
      <c r="E7717">
        <v>0.58163629999999999</v>
      </c>
      <c r="F7717" t="s">
        <v>41</v>
      </c>
      <c r="G7717">
        <v>-186.6713</v>
      </c>
      <c r="H7717">
        <v>0.98819420000000002</v>
      </c>
      <c r="I7717">
        <v>116.4254</v>
      </c>
      <c r="J7717">
        <v>-186.90719999999999</v>
      </c>
      <c r="K7717">
        <v>1.1062510000000001</v>
      </c>
      <c r="L7717">
        <v>115.8584</v>
      </c>
      <c r="M7717">
        <v>9.5340889999999998E-2</v>
      </c>
      <c r="N7717">
        <v>-1.480621E-2</v>
      </c>
      <c r="O7717">
        <v>0.99533459999999996</v>
      </c>
      <c r="P7717">
        <v>0.16291600000000001</v>
      </c>
      <c r="Q7717">
        <v>0.3593461</v>
      </c>
      <c r="R7717">
        <v>0.91887370000000002</v>
      </c>
      <c r="S7717">
        <v>1.1049040000000001</v>
      </c>
      <c r="T7717">
        <v>-0.50946970000000003</v>
      </c>
      <c r="U7717">
        <v>3.2699129999999998</v>
      </c>
      <c r="V7717">
        <v>7.8619789999999995E-2</v>
      </c>
      <c r="W7717">
        <v>0.37224499999999999</v>
      </c>
      <c r="X7717">
        <v>0.92479869999999997</v>
      </c>
      <c r="Y7717">
        <v>0.22523689999999999</v>
      </c>
      <c r="Z7717">
        <v>-0.13252739999999999</v>
      </c>
      <c r="AA7717">
        <v>0.96524860000000001</v>
      </c>
      <c r="AB7717">
        <v>35</v>
      </c>
      <c r="AC7717">
        <v>0.23589999999998601</v>
      </c>
      <c r="AD7717">
        <v>-0.1180568</v>
      </c>
      <c r="AE7717">
        <v>0.56699999999999295</v>
      </c>
      <c r="AF7717">
        <v>0.174318871911882</v>
      </c>
      <c r="AG7717">
        <v>-0.1180568</v>
      </c>
      <c r="AH7717">
        <v>0.56599324692215602</v>
      </c>
      <c r="AI7717">
        <v>101.27373748766099</v>
      </c>
      <c r="AJ7717">
        <v>72.881819333743906</v>
      </c>
      <c r="AK7717">
        <v>0.60388147238705303</v>
      </c>
      <c r="AL7717">
        <v>68.145861503528096</v>
      </c>
      <c r="AM7717">
        <v>85.140805076615294</v>
      </c>
      <c r="AN7717">
        <v>1.0000000234631601</v>
      </c>
    </row>
    <row r="7718" spans="1:40" x14ac:dyDescent="0.25">
      <c r="A7718" t="str">
        <f>"20190304164313304"</f>
        <v>20190304164313304</v>
      </c>
      <c r="B7718" t="str">
        <f>"1551688993299095"</f>
        <v>1551688993299095</v>
      </c>
      <c r="C7718" t="s">
        <v>40</v>
      </c>
      <c r="D7718">
        <v>4.4093629999999999</v>
      </c>
      <c r="E7718">
        <v>0.58162639999999999</v>
      </c>
      <c r="F7718" t="s">
        <v>41</v>
      </c>
      <c r="G7718">
        <v>-186.61009999999999</v>
      </c>
      <c r="H7718">
        <v>0.97161359999999997</v>
      </c>
      <c r="I7718">
        <v>116.72329999999999</v>
      </c>
      <c r="J7718">
        <v>-186.88290000000001</v>
      </c>
      <c r="K7718">
        <v>1.1061840000000001</v>
      </c>
      <c r="L7718">
        <v>116.08199999999999</v>
      </c>
      <c r="M7718">
        <v>9.8578209999999999E-2</v>
      </c>
      <c r="N7718">
        <v>-1.4809640000000001E-2</v>
      </c>
      <c r="O7718">
        <v>0.99501910000000005</v>
      </c>
      <c r="P7718">
        <v>0.16669210000000001</v>
      </c>
      <c r="Q7718">
        <v>0.36018020000000001</v>
      </c>
      <c r="R7718">
        <v>0.9178693</v>
      </c>
      <c r="S7718">
        <v>1.1208499999999999</v>
      </c>
      <c r="T7718">
        <v>-0.50815730000000003</v>
      </c>
      <c r="U7718">
        <v>3.2648769999999998</v>
      </c>
      <c r="V7718">
        <v>7.9524689999999995E-2</v>
      </c>
      <c r="W7718">
        <v>0.37305339999999998</v>
      </c>
      <c r="X7718">
        <v>0.92439539999999998</v>
      </c>
      <c r="Y7718">
        <v>0.2267584</v>
      </c>
      <c r="Z7718">
        <v>-0.13216829999999999</v>
      </c>
      <c r="AA7718">
        <v>0.96494159999999995</v>
      </c>
      <c r="AB7718">
        <v>34</v>
      </c>
      <c r="AC7718">
        <v>0.27280000000001697</v>
      </c>
      <c r="AD7718">
        <v>-0.13457039999999901</v>
      </c>
      <c r="AE7718">
        <v>0.64129999999998599</v>
      </c>
      <c r="AF7718">
        <v>0.20076032543785199</v>
      </c>
      <c r="AG7718">
        <v>-0.13457039999999901</v>
      </c>
      <c r="AH7718">
        <v>0.64116446735322596</v>
      </c>
      <c r="AI7718">
        <v>101.326191389992</v>
      </c>
      <c r="AJ7718">
        <v>72.613707056089893</v>
      </c>
      <c r="AK7718">
        <v>0.68520491462220201</v>
      </c>
      <c r="AL7718">
        <v>68.095946448108293</v>
      </c>
      <c r="AM7718">
        <v>85.083015236155703</v>
      </c>
      <c r="AN7718">
        <v>0.99999993555615596</v>
      </c>
    </row>
    <row r="7719" spans="1:40" x14ac:dyDescent="0.25">
      <c r="A7719" t="str">
        <f>"20190304164313320"</f>
        <v>20190304164313320</v>
      </c>
      <c r="B7719" t="str">
        <f>"1551688993308857"</f>
        <v>1551688993308857</v>
      </c>
      <c r="C7719" t="s">
        <v>40</v>
      </c>
      <c r="D7719">
        <v>4.4041610000000002</v>
      </c>
      <c r="E7719">
        <v>0.58157320000000001</v>
      </c>
      <c r="F7719" t="s">
        <v>41</v>
      </c>
      <c r="G7719">
        <v>-186.55179999999999</v>
      </c>
      <c r="H7719">
        <v>0.95905260000000003</v>
      </c>
      <c r="I7719">
        <v>117.0314</v>
      </c>
      <c r="J7719">
        <v>-186.85489999999999</v>
      </c>
      <c r="K7719">
        <v>1.10609</v>
      </c>
      <c r="L7719">
        <v>116.32940000000001</v>
      </c>
      <c r="M7719">
        <v>0.1022676</v>
      </c>
      <c r="N7719">
        <v>-1.481416E-2</v>
      </c>
      <c r="O7719">
        <v>0.99464660000000005</v>
      </c>
      <c r="P7719">
        <v>0.17136789999999999</v>
      </c>
      <c r="Q7719">
        <v>0.36249609999999999</v>
      </c>
      <c r="R7719">
        <v>0.91609479999999999</v>
      </c>
      <c r="S7719">
        <v>1.1364289999999999</v>
      </c>
      <c r="T7719">
        <v>-0.50509759999999904</v>
      </c>
      <c r="U7719">
        <v>3.2602540000000002</v>
      </c>
      <c r="V7719">
        <v>8.1022360000000002E-2</v>
      </c>
      <c r="W7719">
        <v>0.37532359999999998</v>
      </c>
      <c r="X7719">
        <v>0.92334590000000005</v>
      </c>
      <c r="Y7719">
        <v>0.2277247</v>
      </c>
      <c r="Z7719">
        <v>-0.131296</v>
      </c>
      <c r="AA7719">
        <v>0.9648331</v>
      </c>
      <c r="AB7719">
        <v>34</v>
      </c>
      <c r="AC7719">
        <v>0.30309999999999998</v>
      </c>
      <c r="AD7719">
        <v>-0.14703739999999901</v>
      </c>
      <c r="AE7719">
        <v>0.70199999999999796</v>
      </c>
      <c r="AF7719">
        <v>0.22151941810762299</v>
      </c>
      <c r="AG7719">
        <v>-0.14703739999999901</v>
      </c>
      <c r="AH7719">
        <v>0.70331225831902</v>
      </c>
      <c r="AI7719">
        <v>101.27726333990999</v>
      </c>
      <c r="AJ7719">
        <v>72.517347174388803</v>
      </c>
      <c r="AK7719">
        <v>0.75189027277874798</v>
      </c>
      <c r="AL7719">
        <v>67.955686210900794</v>
      </c>
      <c r="AM7719">
        <v>84.985217125646003</v>
      </c>
      <c r="AN7719">
        <v>1.00000003929186</v>
      </c>
    </row>
    <row r="7720" spans="1:40" x14ac:dyDescent="0.25">
      <c r="A7720" t="str">
        <f>"20190304164313336"</f>
        <v>20190304164313336</v>
      </c>
      <c r="B7720" t="str">
        <f>"1551688993329353"</f>
        <v>1551688993329353</v>
      </c>
      <c r="C7720" t="s">
        <v>40</v>
      </c>
      <c r="D7720">
        <v>4.4144350000000001</v>
      </c>
      <c r="E7720">
        <v>0.58146279999999995</v>
      </c>
      <c r="F7720" t="s">
        <v>41</v>
      </c>
      <c r="G7720">
        <v>-186.60079999999999</v>
      </c>
      <c r="H7720">
        <v>0.99718770000000001</v>
      </c>
      <c r="I7720">
        <v>117.0436</v>
      </c>
      <c r="J7720">
        <v>-186.82749999999999</v>
      </c>
      <c r="K7720">
        <v>1.1059870000000001</v>
      </c>
      <c r="L7720">
        <v>116.56229999999999</v>
      </c>
      <c r="M7720">
        <v>0.1058595</v>
      </c>
      <c r="N7720">
        <v>-1.4820170000000001E-2</v>
      </c>
      <c r="O7720">
        <v>0.99427069999999995</v>
      </c>
      <c r="P7720">
        <v>0.17523429999999901</v>
      </c>
      <c r="Q7720">
        <v>0.36374640000000003</v>
      </c>
      <c r="R7720">
        <v>0.91486690000000004</v>
      </c>
      <c r="S7720">
        <v>1.1573180000000001</v>
      </c>
      <c r="T7720">
        <v>-0.49608479999999999</v>
      </c>
      <c r="U7720">
        <v>3.254578</v>
      </c>
      <c r="V7720">
        <v>8.1751899999999905E-2</v>
      </c>
      <c r="W7720">
        <v>0.37654310000000002</v>
      </c>
      <c r="X7720">
        <v>0.92278490000000002</v>
      </c>
      <c r="Y7720">
        <v>0.2303557</v>
      </c>
      <c r="Z7720">
        <v>-0.12871369999999999</v>
      </c>
      <c r="AA7720">
        <v>0.96455639999999998</v>
      </c>
      <c r="AB7720">
        <v>34</v>
      </c>
      <c r="AC7720">
        <v>0.22669999999999299</v>
      </c>
      <c r="AD7720">
        <v>-0.1087993</v>
      </c>
      <c r="AE7720">
        <v>0.481300000000004</v>
      </c>
      <c r="AF7720">
        <v>0.167466432429761</v>
      </c>
      <c r="AG7720">
        <v>-0.1087993</v>
      </c>
      <c r="AH7720">
        <v>0.48242042584540201</v>
      </c>
      <c r="AI7720">
        <v>102.02737039757901</v>
      </c>
      <c r="AJ7720">
        <v>70.856172152060296</v>
      </c>
      <c r="AK7720">
        <v>0.52212236204179296</v>
      </c>
      <c r="AL7720">
        <v>67.880282602482694</v>
      </c>
      <c r="AM7720">
        <v>84.937236435450004</v>
      </c>
      <c r="AN7720">
        <v>1.00000002548961</v>
      </c>
    </row>
    <row r="7721" spans="1:40" x14ac:dyDescent="0.25">
      <c r="A7721" t="str">
        <f>"20190304164313347"</f>
        <v>20190304164313347</v>
      </c>
      <c r="B7721" t="str">
        <f>"1551688993339112"</f>
        <v>1551688993339112</v>
      </c>
      <c r="C7721" t="s">
        <v>40</v>
      </c>
      <c r="D7721">
        <v>4.4000879999999896</v>
      </c>
      <c r="E7721">
        <v>0.58147380000000004</v>
      </c>
      <c r="F7721" t="s">
        <v>41</v>
      </c>
      <c r="G7721">
        <v>-186.54560000000001</v>
      </c>
      <c r="H7721">
        <v>0.9875678</v>
      </c>
      <c r="I7721">
        <v>117.3439</v>
      </c>
      <c r="J7721">
        <v>-186.80529999999999</v>
      </c>
      <c r="K7721">
        <v>1.1059030000000001</v>
      </c>
      <c r="L7721">
        <v>116.7465</v>
      </c>
      <c r="M7721">
        <v>0.10877009999999999</v>
      </c>
      <c r="N7721">
        <v>-1.4825639999999999E-2</v>
      </c>
      <c r="O7721">
        <v>0.99395639999999996</v>
      </c>
      <c r="P7721">
        <v>0.17842949999999999</v>
      </c>
      <c r="Q7721">
        <v>0.3648903</v>
      </c>
      <c r="R7721">
        <v>0.91379319999999997</v>
      </c>
      <c r="S7721">
        <v>1.1723629999999901</v>
      </c>
      <c r="T7721">
        <v>-0.49246990000000002</v>
      </c>
      <c r="U7721">
        <v>3.2504119999999999</v>
      </c>
      <c r="V7721">
        <v>8.2424899999999995E-2</v>
      </c>
      <c r="W7721">
        <v>0.37765959999999898</v>
      </c>
      <c r="X7721">
        <v>0.92226859999999999</v>
      </c>
      <c r="Y7721">
        <v>0.23190069999999999</v>
      </c>
      <c r="Z7721">
        <v>-0.1276651</v>
      </c>
      <c r="AA7721">
        <v>0.96432549999999995</v>
      </c>
      <c r="AB7721">
        <v>34</v>
      </c>
      <c r="AC7721">
        <v>0.25969999999998</v>
      </c>
      <c r="AD7721">
        <v>-0.1183352</v>
      </c>
      <c r="AE7721">
        <v>0.59740000000000704</v>
      </c>
      <c r="AF7721">
        <v>0.18700126961480101</v>
      </c>
      <c r="AG7721">
        <v>-0.1183352</v>
      </c>
      <c r="AH7721">
        <v>0.60223143753773001</v>
      </c>
      <c r="AI7721">
        <v>100.62828509148</v>
      </c>
      <c r="AJ7721">
        <v>72.749701695696004</v>
      </c>
      <c r="AK7721">
        <v>0.64160377083940801</v>
      </c>
      <c r="AL7721">
        <v>67.811212057062804</v>
      </c>
      <c r="AM7721">
        <v>84.892935582875793</v>
      </c>
      <c r="AN7721">
        <v>1.00000000407906</v>
      </c>
    </row>
    <row r="7722" spans="1:40" x14ac:dyDescent="0.25">
      <c r="A7722" t="str">
        <f>"20190304164313358"</f>
        <v>20190304164313358</v>
      </c>
      <c r="B7722" t="str">
        <f>"1551688993348872"</f>
        <v>1551688993348872</v>
      </c>
      <c r="C7722" t="s">
        <v>40</v>
      </c>
      <c r="D7722">
        <v>4.4096909999999996</v>
      </c>
      <c r="E7722">
        <v>0.58142069999999901</v>
      </c>
      <c r="F7722" t="s">
        <v>41</v>
      </c>
      <c r="G7722">
        <v>-186.47479999999999</v>
      </c>
      <c r="H7722">
        <v>0.96961160000000002</v>
      </c>
      <c r="I7722">
        <v>117.6524</v>
      </c>
      <c r="J7722">
        <v>-186.78270000000001</v>
      </c>
      <c r="K7722">
        <v>1.1058059999999901</v>
      </c>
      <c r="L7722">
        <v>116.92910000000001</v>
      </c>
      <c r="M7722">
        <v>0.1117257</v>
      </c>
      <c r="N7722">
        <v>-1.48317E-2</v>
      </c>
      <c r="O7722">
        <v>0.99362839999999997</v>
      </c>
      <c r="P7722">
        <v>0.18194350000000001</v>
      </c>
      <c r="Q7722">
        <v>0.36573119999999998</v>
      </c>
      <c r="R7722">
        <v>0.91276349999999995</v>
      </c>
      <c r="S7722">
        <v>1.1843109999999999</v>
      </c>
      <c r="T7722">
        <v>-0.48841800000000002</v>
      </c>
      <c r="U7722">
        <v>3.2467800000000002</v>
      </c>
      <c r="V7722">
        <v>8.3375229999999995E-2</v>
      </c>
      <c r="W7722">
        <v>0.37846920000000001</v>
      </c>
      <c r="X7722">
        <v>0.92185119999999998</v>
      </c>
      <c r="Y7722">
        <v>0.23254130000000001</v>
      </c>
      <c r="Z7722">
        <v>-0.12650330000000001</v>
      </c>
      <c r="AA7722">
        <v>0.96432439999999997</v>
      </c>
      <c r="AB7722">
        <v>34</v>
      </c>
      <c r="AC7722">
        <v>0.30790000000001699</v>
      </c>
      <c r="AD7722">
        <v>-0.13619439999999899</v>
      </c>
      <c r="AE7722">
        <v>0.72329999999999395</v>
      </c>
      <c r="AF7722">
        <v>0.218590513349078</v>
      </c>
      <c r="AG7722">
        <v>-0.13619439999999899</v>
      </c>
      <c r="AH7722">
        <v>0.73122604584020701</v>
      </c>
      <c r="AI7722">
        <v>100.11803574868</v>
      </c>
      <c r="AJ7722">
        <v>73.356649138906903</v>
      </c>
      <c r="AK7722">
        <v>0.77525625262404596</v>
      </c>
      <c r="AL7722">
        <v>67.761106420029193</v>
      </c>
      <c r="AM7722">
        <v>84.832043437719506</v>
      </c>
      <c r="AN7722">
        <v>0.99999999963381603</v>
      </c>
    </row>
    <row r="7723" spans="1:40" x14ac:dyDescent="0.25">
      <c r="A7723" t="str">
        <f>"20190304164313377"</f>
        <v>20190304164313377</v>
      </c>
      <c r="B7723" t="str">
        <f>"1551688993368979"</f>
        <v>1551688993368979</v>
      </c>
      <c r="C7723" t="s">
        <v>40</v>
      </c>
      <c r="D7723">
        <v>4.3696650000000004</v>
      </c>
      <c r="E7723">
        <v>0.58127869999999904</v>
      </c>
      <c r="F7723" t="s">
        <v>41</v>
      </c>
      <c r="G7723">
        <v>-186.5153</v>
      </c>
      <c r="H7723">
        <v>0.99699400000000005</v>
      </c>
      <c r="I7723">
        <v>117.6546</v>
      </c>
      <c r="J7723">
        <v>-186.7466</v>
      </c>
      <c r="K7723">
        <v>1.105637</v>
      </c>
      <c r="L7723">
        <v>117.20959999999999</v>
      </c>
      <c r="M7723">
        <v>0.1164468</v>
      </c>
      <c r="N7723">
        <v>-1.484363E-2</v>
      </c>
      <c r="O7723">
        <v>0.99308600000000002</v>
      </c>
      <c r="P7723">
        <v>0.18767900000000001</v>
      </c>
      <c r="Q7723">
        <v>0.36719879999999999</v>
      </c>
      <c r="R7723">
        <v>0.91101129999999997</v>
      </c>
      <c r="S7723">
        <v>1.195465</v>
      </c>
      <c r="T7723">
        <v>-0.4863904</v>
      </c>
      <c r="U7723">
        <v>3.2433169999999998</v>
      </c>
      <c r="V7723">
        <v>8.5044999999999996E-2</v>
      </c>
      <c r="W7723">
        <v>0.37988379999999999</v>
      </c>
      <c r="X7723">
        <v>0.9211165</v>
      </c>
      <c r="Y7723">
        <v>0.2312044</v>
      </c>
      <c r="Z7723">
        <v>-0.12590000000000001</v>
      </c>
      <c r="AA7723">
        <v>0.96472469999999999</v>
      </c>
      <c r="AB7723">
        <v>34</v>
      </c>
      <c r="AC7723">
        <v>0.231300000000004</v>
      </c>
      <c r="AD7723">
        <v>-0.108642999999999</v>
      </c>
      <c r="AE7723">
        <v>0.445000000000007</v>
      </c>
      <c r="AF7723">
        <v>0.16992738239753599</v>
      </c>
      <c r="AG7723">
        <v>-0.108642999999999</v>
      </c>
      <c r="AH7723">
        <v>0.44789089699522999</v>
      </c>
      <c r="AI7723">
        <v>102.778075704516</v>
      </c>
      <c r="AJ7723">
        <v>69.223525760908799</v>
      </c>
      <c r="AK7723">
        <v>0.49120756544323502</v>
      </c>
      <c r="AL7723">
        <v>67.673514380960597</v>
      </c>
      <c r="AM7723">
        <v>84.724940721698701</v>
      </c>
      <c r="AN7723">
        <v>0.99999998004984403</v>
      </c>
    </row>
    <row r="7724" spans="1:40" x14ac:dyDescent="0.25">
      <c r="A7724" t="str">
        <f>"20190304164313392"</f>
        <v>20190304164313392</v>
      </c>
      <c r="B7724" t="str">
        <f>"1551688993388500"</f>
        <v>1551688993388500</v>
      </c>
      <c r="C7724" t="s">
        <v>40</v>
      </c>
      <c r="D7724">
        <v>4.3585599999999998</v>
      </c>
      <c r="E7724">
        <v>0.58118669999999995</v>
      </c>
      <c r="F7724" t="s">
        <v>41</v>
      </c>
      <c r="G7724">
        <v>-186.46610000000001</v>
      </c>
      <c r="H7724">
        <v>0.99379779999999995</v>
      </c>
      <c r="I7724">
        <v>117.958</v>
      </c>
      <c r="J7724">
        <v>-186.71960000000001</v>
      </c>
      <c r="K7724">
        <v>1.105504</v>
      </c>
      <c r="L7724">
        <v>117.4123</v>
      </c>
      <c r="M7724">
        <v>0.1199914</v>
      </c>
      <c r="N7724">
        <v>-1.485379E-2</v>
      </c>
      <c r="O7724">
        <v>0.99266379999999999</v>
      </c>
      <c r="P7724">
        <v>0.1914344</v>
      </c>
      <c r="Q7724">
        <v>0.36820900000000001</v>
      </c>
      <c r="R7724">
        <v>0.9098214</v>
      </c>
      <c r="S7724">
        <v>1.2136229999999999</v>
      </c>
      <c r="T7724">
        <v>-0.48385410000000001</v>
      </c>
      <c r="U7724">
        <v>3.2380520000000002</v>
      </c>
      <c r="V7724">
        <v>8.5745849999999998E-2</v>
      </c>
      <c r="W7724">
        <v>0.38086110000000001</v>
      </c>
      <c r="X7724">
        <v>0.92064789999999996</v>
      </c>
      <c r="Y7724">
        <v>0.23302639999999999</v>
      </c>
      <c r="Z7724">
        <v>-0.12514549999999999</v>
      </c>
      <c r="AA7724">
        <v>0.96438440000000003</v>
      </c>
      <c r="AB7724">
        <v>34</v>
      </c>
      <c r="AC7724">
        <v>0.253500000000002</v>
      </c>
      <c r="AD7724">
        <v>-0.11170619999999901</v>
      </c>
      <c r="AE7724">
        <v>0.54569999999999597</v>
      </c>
      <c r="AF7724">
        <v>0.179978452401899</v>
      </c>
      <c r="AG7724">
        <v>-0.11170619999999901</v>
      </c>
      <c r="AH7724">
        <v>0.55311420188615401</v>
      </c>
      <c r="AI7724">
        <v>100.87114838578</v>
      </c>
      <c r="AJ7724">
        <v>71.975571817005104</v>
      </c>
      <c r="AK7724">
        <v>0.59228864481397903</v>
      </c>
      <c r="AL7724">
        <v>67.612969618682797</v>
      </c>
      <c r="AM7724">
        <v>84.679026160589601</v>
      </c>
      <c r="AN7724">
        <v>1.00000004202992</v>
      </c>
    </row>
    <row r="7725" spans="1:40" x14ac:dyDescent="0.25">
      <c r="A7725" t="str">
        <f>"20190304164313405"</f>
        <v>20190304164313405</v>
      </c>
      <c r="B7725" t="str">
        <f>"1551688993399236"</f>
        <v>1551688993399236</v>
      </c>
      <c r="C7725" t="s">
        <v>40</v>
      </c>
      <c r="D7725">
        <v>4.3866560000000003</v>
      </c>
      <c r="E7725">
        <v>0.5811113</v>
      </c>
      <c r="F7725" t="s">
        <v>41</v>
      </c>
      <c r="G7725">
        <v>-186.3991</v>
      </c>
      <c r="H7725">
        <v>0.97988470000000005</v>
      </c>
      <c r="I7725">
        <v>118.2563</v>
      </c>
      <c r="J7725">
        <v>-186.68979999999999</v>
      </c>
      <c r="K7725">
        <v>1.1053550000000001</v>
      </c>
      <c r="L7725">
        <v>117.6294</v>
      </c>
      <c r="M7725">
        <v>0.12388689999999999</v>
      </c>
      <c r="N7725">
        <v>-1.486532E-2</v>
      </c>
      <c r="O7725">
        <v>0.99218499999999998</v>
      </c>
      <c r="P7725">
        <v>0.19513710000000001</v>
      </c>
      <c r="Q7725">
        <v>0.36923129999999998</v>
      </c>
      <c r="R7725">
        <v>0.90861970000000003</v>
      </c>
      <c r="S7725">
        <v>1.227905</v>
      </c>
      <c r="T7725">
        <v>-0.48128569999999998</v>
      </c>
      <c r="U7725">
        <v>3.233749</v>
      </c>
      <c r="V7725">
        <v>8.6086750000000004E-2</v>
      </c>
      <c r="W7725">
        <v>0.38185330000000001</v>
      </c>
      <c r="X7725">
        <v>0.92020489999999999</v>
      </c>
      <c r="Y7725">
        <v>0.23339570000000001</v>
      </c>
      <c r="Z7725">
        <v>-0.1243818</v>
      </c>
      <c r="AA7725">
        <v>0.96439390000000003</v>
      </c>
      <c r="AB7725">
        <v>34</v>
      </c>
      <c r="AC7725">
        <v>0.29069999999998603</v>
      </c>
      <c r="AD7725">
        <v>-0.12547029999999901</v>
      </c>
      <c r="AE7725">
        <v>0.62689999999999202</v>
      </c>
      <c r="AF7725">
        <v>0.20405924206326201</v>
      </c>
      <c r="AG7725">
        <v>-0.12547029999999901</v>
      </c>
      <c r="AH7725">
        <v>0.63708370825734895</v>
      </c>
      <c r="AI7725">
        <v>100.622892889795</v>
      </c>
      <c r="AJ7725">
        <v>72.2396291220644</v>
      </c>
      <c r="AK7725">
        <v>0.68063104673564401</v>
      </c>
      <c r="AL7725">
        <v>67.551471500351695</v>
      </c>
      <c r="AM7725">
        <v>84.655436863352506</v>
      </c>
      <c r="AN7725">
        <v>0.99999996461523</v>
      </c>
    </row>
    <row r="7726" spans="1:40" x14ac:dyDescent="0.25">
      <c r="A7726" t="str">
        <f>"20190304164313420"</f>
        <v>20190304164313420</v>
      </c>
      <c r="B7726" t="str">
        <f>"1551688993408996"</f>
        <v>1551688993408996</v>
      </c>
      <c r="C7726" t="s">
        <v>40</v>
      </c>
      <c r="D7726">
        <v>4.4169090000000004</v>
      </c>
      <c r="E7726">
        <v>0.58103739999999904</v>
      </c>
      <c r="F7726" t="s">
        <v>53</v>
      </c>
      <c r="G7726">
        <v>-183.81870000000001</v>
      </c>
      <c r="H7726" s="1">
        <v>-3.719786E-6</v>
      </c>
      <c r="I7726">
        <v>125.0937</v>
      </c>
      <c r="J7726">
        <v>-186.6559</v>
      </c>
      <c r="K7726">
        <v>1.105194</v>
      </c>
      <c r="L7726">
        <v>117.869</v>
      </c>
      <c r="M7726">
        <v>0.12834019999999999</v>
      </c>
      <c r="N7726">
        <v>-1.4879359999999999E-2</v>
      </c>
      <c r="O7726">
        <v>0.99161860000000002</v>
      </c>
      <c r="P7726">
        <v>0.20084009999999999</v>
      </c>
      <c r="Q7726">
        <v>0.37119560000000001</v>
      </c>
      <c r="R7726">
        <v>0.9065744</v>
      </c>
      <c r="S7726">
        <v>1.242157</v>
      </c>
      <c r="T7726">
        <v>-0.47821380000000002</v>
      </c>
      <c r="U7726">
        <v>3.229263</v>
      </c>
      <c r="V7726">
        <v>8.8036050000000005E-2</v>
      </c>
      <c r="W7726">
        <v>0.38375550000000003</v>
      </c>
      <c r="X7726">
        <v>0.91922870000000001</v>
      </c>
      <c r="Y7726">
        <v>0.2332321</v>
      </c>
      <c r="Z7726">
        <v>-0.123472</v>
      </c>
      <c r="AA7726">
        <v>0.96455040000000003</v>
      </c>
      <c r="AB7726">
        <v>34</v>
      </c>
      <c r="AC7726">
        <v>2.83719999999999</v>
      </c>
      <c r="AD7726">
        <v>-1.1051977197859999</v>
      </c>
      <c r="AE7726">
        <v>7.2246999999999897</v>
      </c>
      <c r="AF7726">
        <v>1.84892349396686</v>
      </c>
      <c r="AG7726">
        <v>-1.1051977197859999</v>
      </c>
      <c r="AH7726">
        <v>7.3794909741160302</v>
      </c>
      <c r="AI7726">
        <v>98.265857439913503</v>
      </c>
      <c r="AJ7726">
        <v>75.934159603259005</v>
      </c>
      <c r="AK7726">
        <v>7.6874486745228303</v>
      </c>
      <c r="AL7726">
        <v>67.433498501689797</v>
      </c>
      <c r="AM7726">
        <v>84.529373810200894</v>
      </c>
      <c r="AN7726">
        <v>1.0000000163917699</v>
      </c>
    </row>
    <row r="7727" spans="1:40" x14ac:dyDescent="0.25">
      <c r="A7727" t="str">
        <f>"20190304164313434"</f>
        <v>20190304164313434</v>
      </c>
      <c r="B7727" t="str">
        <f>"1551688993428516"</f>
        <v>1551688993428516</v>
      </c>
      <c r="C7727" t="s">
        <v>40</v>
      </c>
      <c r="D7727">
        <v>4.3913949999999904</v>
      </c>
      <c r="E7727">
        <v>0.58089239999999998</v>
      </c>
      <c r="F7727" t="s">
        <v>41</v>
      </c>
      <c r="G7727">
        <v>-186.3811</v>
      </c>
      <c r="H7727">
        <v>1.0023420000000001</v>
      </c>
      <c r="I7727">
        <v>118.57089999999999</v>
      </c>
      <c r="J7727">
        <v>-186.6275</v>
      </c>
      <c r="K7727">
        <v>1.1050599999999999</v>
      </c>
      <c r="L7727">
        <v>118.0604</v>
      </c>
      <c r="M7727">
        <v>0.13204060000000001</v>
      </c>
      <c r="N7727">
        <v>-1.489181E-2</v>
      </c>
      <c r="O7727">
        <v>0.99113240000000002</v>
      </c>
      <c r="P7727">
        <v>0.20529700000000001</v>
      </c>
      <c r="Q7727">
        <v>0.37243009999999999</v>
      </c>
      <c r="R7727">
        <v>0.90506850000000005</v>
      </c>
      <c r="S7727">
        <v>1.26152</v>
      </c>
      <c r="T7727">
        <v>-0.47221619999999997</v>
      </c>
      <c r="U7727">
        <v>3.2230219999999998</v>
      </c>
      <c r="V7727">
        <v>8.9347029999999994E-2</v>
      </c>
      <c r="W7727">
        <v>0.38494620000000002</v>
      </c>
      <c r="X7727">
        <v>0.91860410000000003</v>
      </c>
      <c r="Y7727">
        <v>0.23534359999999999</v>
      </c>
      <c r="Z7727">
        <v>-0.1217427</v>
      </c>
      <c r="AA7727">
        <v>0.96425729999999998</v>
      </c>
      <c r="AB7727">
        <v>34</v>
      </c>
      <c r="AC7727">
        <v>0.24639999999999401</v>
      </c>
      <c r="AD7727">
        <v>-0.102717999999999</v>
      </c>
      <c r="AE7727">
        <v>0.51049999999999296</v>
      </c>
      <c r="AF7727">
        <v>0.17120617647567599</v>
      </c>
      <c r="AG7727">
        <v>-0.102717999999999</v>
      </c>
      <c r="AH7727">
        <v>0.52144542464130705</v>
      </c>
      <c r="AI7727">
        <v>100.600688710087</v>
      </c>
      <c r="AJ7727">
        <v>71.823440144874198</v>
      </c>
      <c r="AK7727">
        <v>0.55836177633034101</v>
      </c>
      <c r="AL7727">
        <v>67.359599202124301</v>
      </c>
      <c r="AM7727">
        <v>84.444662592381206</v>
      </c>
      <c r="AN7727">
        <v>0.99999998060053497</v>
      </c>
    </row>
    <row r="7728" spans="1:40" x14ac:dyDescent="0.25">
      <c r="A7728" t="str">
        <f>"20190304164313448"</f>
        <v>20190304164313448</v>
      </c>
      <c r="B7728" t="str">
        <f>"1551688993439252"</f>
        <v>1551688993439252</v>
      </c>
      <c r="C7728" t="s">
        <v>40</v>
      </c>
      <c r="D7728">
        <v>4.7616370000000003</v>
      </c>
      <c r="E7728">
        <v>0.58088980000000001</v>
      </c>
      <c r="F7728" t="s">
        <v>41</v>
      </c>
      <c r="G7728">
        <v>-186.30760000000001</v>
      </c>
      <c r="H7728">
        <v>0.98732699999999995</v>
      </c>
      <c r="I7728">
        <v>118.8669</v>
      </c>
      <c r="J7728">
        <v>-186.59559999999999</v>
      </c>
      <c r="K7728">
        <v>1.1049009999999999</v>
      </c>
      <c r="L7728">
        <v>118.2717</v>
      </c>
      <c r="M7728">
        <v>0.13621040000000001</v>
      </c>
      <c r="N7728">
        <v>-1.4905420000000001E-2</v>
      </c>
      <c r="O7728">
        <v>0.9905678</v>
      </c>
      <c r="P7728">
        <v>0.2103767</v>
      </c>
      <c r="Q7728">
        <v>0.3733669</v>
      </c>
      <c r="R7728">
        <v>0.9035147</v>
      </c>
      <c r="S7728">
        <v>1.276443</v>
      </c>
      <c r="T7728">
        <v>-0.4697247</v>
      </c>
      <c r="U7728">
        <v>3.2184140000000001</v>
      </c>
      <c r="V7728">
        <v>9.0859400000000007E-2</v>
      </c>
      <c r="W7728">
        <v>0.38583499999999998</v>
      </c>
      <c r="X7728">
        <v>0.91808270000000003</v>
      </c>
      <c r="Y7728">
        <v>0.23562830000000001</v>
      </c>
      <c r="Z7728">
        <v>-0.12098780000000001</v>
      </c>
      <c r="AA7728">
        <v>0.9642828</v>
      </c>
      <c r="AB7728">
        <v>34</v>
      </c>
      <c r="AC7728">
        <v>0.28799999999998199</v>
      </c>
      <c r="AD7728">
        <v>-0.117573999999999</v>
      </c>
      <c r="AE7728">
        <v>0.59520000000000495</v>
      </c>
      <c r="AF7728">
        <v>0.19797421996453801</v>
      </c>
      <c r="AG7728">
        <v>-0.117573999999999</v>
      </c>
      <c r="AH7728">
        <v>0.60960972363629495</v>
      </c>
      <c r="AI7728">
        <v>100.394597776471</v>
      </c>
      <c r="AJ7728">
        <v>72.008500503557002</v>
      </c>
      <c r="AK7728">
        <v>0.65164518903962398</v>
      </c>
      <c r="AL7728">
        <v>67.304411195438703</v>
      </c>
      <c r="AM7728">
        <v>84.348043689697406</v>
      </c>
      <c r="AN7728">
        <v>0.99999996091632404</v>
      </c>
    </row>
    <row r="7729" spans="1:40" x14ac:dyDescent="0.25">
      <c r="A7729" t="str">
        <f>"20190304164313460"</f>
        <v>20190304164313460</v>
      </c>
      <c r="B7729" t="str">
        <f>"1551688993449012"</f>
        <v>1551688993449012</v>
      </c>
      <c r="C7729" t="s">
        <v>40</v>
      </c>
      <c r="D7729">
        <v>4.4211640000000001</v>
      </c>
      <c r="E7729">
        <v>0.58088459999999997</v>
      </c>
      <c r="F7729" t="s">
        <v>53</v>
      </c>
      <c r="G7729">
        <v>-183.53049999999999</v>
      </c>
      <c r="H7729" s="1">
        <v>-3.9641319999999999E-6</v>
      </c>
      <c r="I7729">
        <v>125.88</v>
      </c>
      <c r="J7729">
        <v>-186.5641</v>
      </c>
      <c r="K7729">
        <v>1.104754</v>
      </c>
      <c r="L7729">
        <v>118.4743</v>
      </c>
      <c r="M7729">
        <v>0.14031740000000001</v>
      </c>
      <c r="N7729">
        <v>-1.4918519999999999E-2</v>
      </c>
      <c r="O7729">
        <v>0.98999420000000005</v>
      </c>
      <c r="P7729">
        <v>0.2153352</v>
      </c>
      <c r="Q7729">
        <v>0.37352550000000001</v>
      </c>
      <c r="R7729">
        <v>0.90228019999999998</v>
      </c>
      <c r="S7729">
        <v>1.29393</v>
      </c>
      <c r="T7729">
        <v>-0.4664335</v>
      </c>
      <c r="U7729">
        <v>3.2118380000000002</v>
      </c>
      <c r="V7729">
        <v>9.2254439999999993E-2</v>
      </c>
      <c r="W7729">
        <v>0.38595119999999999</v>
      </c>
      <c r="X7729">
        <v>0.91789480000000001</v>
      </c>
      <c r="Y7729">
        <v>0.23684450000000001</v>
      </c>
      <c r="Z7729">
        <v>-0.12004570000000001</v>
      </c>
      <c r="AA7729">
        <v>0.96410260000000003</v>
      </c>
      <c r="AB7729">
        <v>34</v>
      </c>
      <c r="AC7729">
        <v>3.0335999999999999</v>
      </c>
      <c r="AD7729">
        <v>-1.104757964132</v>
      </c>
      <c r="AE7729">
        <v>7.4056999999999897</v>
      </c>
      <c r="AF7729">
        <v>1.9275840995390601</v>
      </c>
      <c r="AG7729">
        <v>-1.104757964132</v>
      </c>
      <c r="AH7729">
        <v>7.6130547475939503</v>
      </c>
      <c r="AI7729">
        <v>98.0075110387819</v>
      </c>
      <c r="AJ7729">
        <v>75.791618016733906</v>
      </c>
      <c r="AK7729">
        <v>7.9306161935862001</v>
      </c>
      <c r="AL7729">
        <v>67.297196268980102</v>
      </c>
      <c r="AM7729">
        <v>84.260672463072197</v>
      </c>
      <c r="AN7729">
        <v>1.00000003717409</v>
      </c>
    </row>
    <row r="7730" spans="1:40" x14ac:dyDescent="0.25">
      <c r="A7730" t="str">
        <f>"20190304164313477"</f>
        <v>20190304164313477</v>
      </c>
      <c r="B7730" t="str">
        <f>"1551688993468532"</f>
        <v>1551688993468532</v>
      </c>
      <c r="C7730" t="s">
        <v>40</v>
      </c>
      <c r="D7730">
        <v>4.421125</v>
      </c>
      <c r="E7730">
        <v>0.58082299999999998</v>
      </c>
      <c r="F7730" t="s">
        <v>41</v>
      </c>
      <c r="G7730">
        <v>-186.27670000000001</v>
      </c>
      <c r="H7730">
        <v>1.002559</v>
      </c>
      <c r="I7730">
        <v>119.1767</v>
      </c>
      <c r="J7730">
        <v>-186.52430000000001</v>
      </c>
      <c r="K7730">
        <v>1.1045780000000001</v>
      </c>
      <c r="L7730">
        <v>118.7205</v>
      </c>
      <c r="M7730">
        <v>0.1454976</v>
      </c>
      <c r="N7730">
        <v>-1.4936120000000001E-2</v>
      </c>
      <c r="O7730">
        <v>0.98924579999999995</v>
      </c>
      <c r="P7730">
        <v>0.2221564</v>
      </c>
      <c r="Q7730">
        <v>0.37325720000000001</v>
      </c>
      <c r="R7730">
        <v>0.90073619999999999</v>
      </c>
      <c r="S7730">
        <v>1.310913</v>
      </c>
      <c r="T7730">
        <v>-0.46603080000000002</v>
      </c>
      <c r="U7730">
        <v>3.204971</v>
      </c>
      <c r="V7730">
        <v>9.4558809999999993E-2</v>
      </c>
      <c r="W7730">
        <v>0.38562429999999998</v>
      </c>
      <c r="X7730">
        <v>0.91779770000000005</v>
      </c>
      <c r="Y7730">
        <v>0.2368671</v>
      </c>
      <c r="Z7730">
        <v>-0.11991839999999999</v>
      </c>
      <c r="AA7730">
        <v>0.96411279999999999</v>
      </c>
      <c r="AB7730">
        <v>34</v>
      </c>
      <c r="AC7730">
        <v>0.24760000000000501</v>
      </c>
      <c r="AD7730">
        <v>-0.102019</v>
      </c>
      <c r="AE7730">
        <v>0.456199999999995</v>
      </c>
      <c r="AF7730">
        <v>0.17193916301622</v>
      </c>
      <c r="AG7730">
        <v>-0.102019</v>
      </c>
      <c r="AH7730">
        <v>0.46924650604638501</v>
      </c>
      <c r="AI7730">
        <v>101.537715892233</v>
      </c>
      <c r="AJ7730">
        <v>69.876386163060999</v>
      </c>
      <c r="AK7730">
        <v>0.51006199189555201</v>
      </c>
      <c r="AL7730">
        <v>67.317498010349297</v>
      </c>
      <c r="AM7730">
        <v>84.117688155109605</v>
      </c>
      <c r="AN7730">
        <v>1.0000000437121901</v>
      </c>
    </row>
    <row r="7731" spans="1:40" x14ac:dyDescent="0.25">
      <c r="A7731" t="str">
        <f>"20190304164313489"</f>
        <v>20190304164313489</v>
      </c>
      <c r="B7731" t="str">
        <f>"1551688993479268"</f>
        <v>1551688993479268</v>
      </c>
      <c r="C7731" t="s">
        <v>40</v>
      </c>
      <c r="D7731">
        <v>4.3762930000000004</v>
      </c>
      <c r="E7731">
        <v>0.580800599999999</v>
      </c>
      <c r="F7731" t="s">
        <v>41</v>
      </c>
      <c r="G7731">
        <v>-186.2088</v>
      </c>
      <c r="H7731">
        <v>0.99431630000000004</v>
      </c>
      <c r="I7731">
        <v>119.4744</v>
      </c>
      <c r="J7731">
        <v>-186.49440000000001</v>
      </c>
      <c r="K7731">
        <v>1.104447</v>
      </c>
      <c r="L7731">
        <v>118.89960000000001</v>
      </c>
      <c r="M7731">
        <v>0.1493632</v>
      </c>
      <c r="N7731">
        <v>-1.4949219999999999E-2</v>
      </c>
      <c r="O7731">
        <v>0.98866940000000003</v>
      </c>
      <c r="P7731">
        <v>0.22636220000000001</v>
      </c>
      <c r="Q7731">
        <v>0.37301519999999999</v>
      </c>
      <c r="R7731">
        <v>0.89978880000000006</v>
      </c>
      <c r="S7731">
        <v>1.336487</v>
      </c>
      <c r="T7731">
        <v>-0.46706969999999998</v>
      </c>
      <c r="U7731">
        <v>3.194534</v>
      </c>
      <c r="V7731">
        <v>9.5369469999999998E-2</v>
      </c>
      <c r="W7731">
        <v>0.38535320000000001</v>
      </c>
      <c r="X7731">
        <v>0.91782759999999997</v>
      </c>
      <c r="Y7731">
        <v>0.24074010000000001</v>
      </c>
      <c r="Z7731">
        <v>-0.120242</v>
      </c>
      <c r="AA7731">
        <v>0.96311270000000004</v>
      </c>
      <c r="AB7731">
        <v>34</v>
      </c>
      <c r="AC7731">
        <v>0.28560000000001601</v>
      </c>
      <c r="AD7731">
        <v>-0.110130699999999</v>
      </c>
      <c r="AE7731">
        <v>0.57479999999999598</v>
      </c>
      <c r="AF7731">
        <v>0.19091126738803199</v>
      </c>
      <c r="AG7731">
        <v>-0.110130699999999</v>
      </c>
      <c r="AH7731">
        <v>0.59353892343444303</v>
      </c>
      <c r="AI7731">
        <v>100.01721681030401</v>
      </c>
      <c r="AJ7731">
        <v>72.169659060879596</v>
      </c>
      <c r="AK7731">
        <v>0.63313848147929896</v>
      </c>
      <c r="AL7731">
        <v>67.334330039092407</v>
      </c>
      <c r="AM7731">
        <v>84.0678086557011</v>
      </c>
      <c r="AN7731">
        <v>0.99999996394003898</v>
      </c>
    </row>
    <row r="7732" spans="1:40" x14ac:dyDescent="0.25">
      <c r="A7732" t="str">
        <f>"20190304164313502"</f>
        <v>20190304164313502</v>
      </c>
      <c r="B7732" t="str">
        <f>"1551688993498788"</f>
        <v>1551688993498788</v>
      </c>
      <c r="C7732" t="s">
        <v>40</v>
      </c>
      <c r="D7732">
        <v>4.6368549999999997</v>
      </c>
      <c r="E7732">
        <v>0.58066669999999998</v>
      </c>
      <c r="F7732" t="s">
        <v>53</v>
      </c>
      <c r="G7732">
        <v>-183.28729999999999</v>
      </c>
      <c r="H7732" s="1">
        <v>-4.1454820000000003E-6</v>
      </c>
      <c r="I7732">
        <v>126.4479</v>
      </c>
      <c r="J7732">
        <v>-186.45820000000001</v>
      </c>
      <c r="K7732">
        <v>1.10429</v>
      </c>
      <c r="L7732">
        <v>119.1118</v>
      </c>
      <c r="M7732">
        <v>0.15402689999999999</v>
      </c>
      <c r="N7732">
        <v>-1.496459E-2</v>
      </c>
      <c r="O7732">
        <v>0.98795330000000003</v>
      </c>
      <c r="P7732">
        <v>0.23123199999999999</v>
      </c>
      <c r="Q7732">
        <v>0.3728976</v>
      </c>
      <c r="R7732">
        <v>0.89859840000000002</v>
      </c>
      <c r="S7732">
        <v>1.3539730000000001</v>
      </c>
      <c r="T7732">
        <v>-0.4662849</v>
      </c>
      <c r="U7732">
        <v>3.1867679999999998</v>
      </c>
      <c r="V7732">
        <v>9.6151570000000006E-2</v>
      </c>
      <c r="W7732">
        <v>0.38520320000000002</v>
      </c>
      <c r="X7732">
        <v>0.91780899999999999</v>
      </c>
      <c r="Y7732">
        <v>0.2414924</v>
      </c>
      <c r="Z7732">
        <v>-0.1200281</v>
      </c>
      <c r="AA7732">
        <v>0.962951</v>
      </c>
      <c r="AB7732">
        <v>34</v>
      </c>
      <c r="AC7732">
        <v>3.1709000000000098</v>
      </c>
      <c r="AD7732">
        <v>-1.1042941454819999</v>
      </c>
      <c r="AE7732">
        <v>7.3361000000000001</v>
      </c>
      <c r="AF7732">
        <v>1.96544436357653</v>
      </c>
      <c r="AG7732">
        <v>-1.1042941454819999</v>
      </c>
      <c r="AH7732">
        <v>7.59204696346709</v>
      </c>
      <c r="AI7732">
        <v>98.015234369598303</v>
      </c>
      <c r="AJ7732">
        <v>75.485800323887801</v>
      </c>
      <c r="AK7732">
        <v>7.9196978604963499</v>
      </c>
      <c r="AL7732">
        <v>67.343644137972106</v>
      </c>
      <c r="AM7732">
        <v>84.019391154079202</v>
      </c>
      <c r="AN7732">
        <v>0.99999999509235205</v>
      </c>
    </row>
    <row r="7733" spans="1:40" x14ac:dyDescent="0.25">
      <c r="A7733" t="str">
        <f>"20190304164313516"</f>
        <v>20190304164313516</v>
      </c>
      <c r="B7733" t="str">
        <f>"1551688993508548"</f>
        <v>1551688993508548</v>
      </c>
      <c r="C7733" t="s">
        <v>40</v>
      </c>
      <c r="D7733">
        <v>4.4415740000000001</v>
      </c>
      <c r="E7733">
        <v>0.58059919999999998</v>
      </c>
      <c r="F7733" t="s">
        <v>53</v>
      </c>
      <c r="G7733">
        <v>-183.20410000000001</v>
      </c>
      <c r="H7733" s="1">
        <v>-4.2085630000000003E-6</v>
      </c>
      <c r="I7733">
        <v>126.6461</v>
      </c>
      <c r="J7733">
        <v>-186.422</v>
      </c>
      <c r="K7733">
        <v>1.1041399999999999</v>
      </c>
      <c r="L7733">
        <v>119.3158</v>
      </c>
      <c r="M7733">
        <v>0.1586641</v>
      </c>
      <c r="N7733">
        <v>-1.498059E-2</v>
      </c>
      <c r="O7733">
        <v>0.98721899999999996</v>
      </c>
      <c r="P7733">
        <v>0.23636480000000001</v>
      </c>
      <c r="Q7733">
        <v>0.37314229999999998</v>
      </c>
      <c r="R7733">
        <v>0.89716030000000002</v>
      </c>
      <c r="S7733">
        <v>1.372849</v>
      </c>
      <c r="T7733">
        <v>-0.46588230000000003</v>
      </c>
      <c r="U7733">
        <v>3.1785890000000001</v>
      </c>
      <c r="V7733">
        <v>9.7255839999999996E-2</v>
      </c>
      <c r="W7733">
        <v>0.3854091</v>
      </c>
      <c r="X7733">
        <v>0.91760620000000004</v>
      </c>
      <c r="Y7733">
        <v>0.24266309999999999</v>
      </c>
      <c r="Z7733">
        <v>-0.1199146</v>
      </c>
      <c r="AA7733">
        <v>0.96267080000000005</v>
      </c>
      <c r="AB7733">
        <v>34</v>
      </c>
      <c r="AC7733">
        <v>3.2178999999999802</v>
      </c>
      <c r="AD7733">
        <v>-1.104144208563</v>
      </c>
      <c r="AE7733">
        <v>7.3303000000000003</v>
      </c>
      <c r="AF7733">
        <v>1.9763469088472001</v>
      </c>
      <c r="AG7733">
        <v>-1.104144208563</v>
      </c>
      <c r="AH7733">
        <v>7.6034079746682304</v>
      </c>
      <c r="AI7733">
        <v>98.000330792765098</v>
      </c>
      <c r="AJ7733">
        <v>75.429589502535194</v>
      </c>
      <c r="AK7733">
        <v>7.9332776559667604</v>
      </c>
      <c r="AL7733">
        <v>67.330860096108296</v>
      </c>
      <c r="AM7733">
        <v>83.949885200899402</v>
      </c>
      <c r="AN7733">
        <v>1.0000000055276701</v>
      </c>
    </row>
    <row r="7734" spans="1:40" x14ac:dyDescent="0.25">
      <c r="A7734" t="str">
        <f>"20190304164313533"</f>
        <v>20190304164313533</v>
      </c>
      <c r="B7734" t="str">
        <f>"1551688993529044"</f>
        <v>1551688993529044</v>
      </c>
      <c r="C7734" t="s">
        <v>40</v>
      </c>
      <c r="D7734">
        <v>4.4783429999999997</v>
      </c>
      <c r="E7734">
        <v>0.58049229999999996</v>
      </c>
      <c r="F7734" t="s">
        <v>53</v>
      </c>
      <c r="G7734">
        <v>-183.11699999999999</v>
      </c>
      <c r="H7734" s="1">
        <v>-4.2712160000000003E-6</v>
      </c>
      <c r="I7734">
        <v>126.8407</v>
      </c>
      <c r="J7734">
        <v>-186.3758</v>
      </c>
      <c r="K7734">
        <v>1.1039559999999999</v>
      </c>
      <c r="L7734">
        <v>119.569</v>
      </c>
      <c r="M7734">
        <v>0.16454389999999999</v>
      </c>
      <c r="N7734">
        <v>-1.5000579999999999E-2</v>
      </c>
      <c r="O7734">
        <v>0.98625569999999896</v>
      </c>
      <c r="P7734">
        <v>0.24409330000000001</v>
      </c>
      <c r="Q7734">
        <v>0.3728631</v>
      </c>
      <c r="R7734">
        <v>0.89520469999999897</v>
      </c>
      <c r="S7734">
        <v>1.392517</v>
      </c>
      <c r="T7734">
        <v>-0.4652135</v>
      </c>
      <c r="U7734">
        <v>3.1705019999999999</v>
      </c>
      <c r="V7734">
        <v>9.9864590000000003E-2</v>
      </c>
      <c r="W7734">
        <v>0.38506190000000001</v>
      </c>
      <c r="X7734">
        <v>0.9174717</v>
      </c>
      <c r="Y7734">
        <v>0.242807</v>
      </c>
      <c r="Z7734">
        <v>-0.1196854</v>
      </c>
      <c r="AA7734">
        <v>0.96266309999999999</v>
      </c>
      <c r="AB7734">
        <v>34</v>
      </c>
      <c r="AC7734">
        <v>3.2587999999999702</v>
      </c>
      <c r="AD7734">
        <v>-1.1039602712159999</v>
      </c>
      <c r="AE7734">
        <v>7.2716999999999903</v>
      </c>
      <c r="AF7734">
        <v>1.97972562130647</v>
      </c>
      <c r="AG7734">
        <v>-1.1039602712159999</v>
      </c>
      <c r="AH7734">
        <v>7.5636663706850999</v>
      </c>
      <c r="AI7734">
        <v>98.036984403287093</v>
      </c>
      <c r="AJ7734">
        <v>75.332359273361206</v>
      </c>
      <c r="AK7734">
        <v>7.8960174001273202</v>
      </c>
      <c r="AL7734">
        <v>67.352415941547605</v>
      </c>
      <c r="AM7734">
        <v>83.787948088688196</v>
      </c>
      <c r="AN7734">
        <v>0.99999996173418304</v>
      </c>
    </row>
    <row r="7735" spans="1:40" x14ac:dyDescent="0.25">
      <c r="A7735" t="str">
        <f>"20190304164313547"</f>
        <v>20190304164313547</v>
      </c>
      <c r="B7735" t="str">
        <f>"1551688993538804"</f>
        <v>1551688993538804</v>
      </c>
      <c r="C7735" t="s">
        <v>40</v>
      </c>
      <c r="D7735">
        <v>4.4448670000000003</v>
      </c>
      <c r="E7735">
        <v>0.58039869999999905</v>
      </c>
      <c r="F7735" t="s">
        <v>53</v>
      </c>
      <c r="G7735">
        <v>-183.0204</v>
      </c>
      <c r="H7735" s="1">
        <v>-4.333903E-6</v>
      </c>
      <c r="I7735">
        <v>127.0303</v>
      </c>
      <c r="J7735">
        <v>-186.3348</v>
      </c>
      <c r="K7735">
        <v>1.1037969999999999</v>
      </c>
      <c r="L7735">
        <v>119.78619999999999</v>
      </c>
      <c r="M7735">
        <v>0.169706</v>
      </c>
      <c r="N7735">
        <v>-1.501769E-2</v>
      </c>
      <c r="O7735">
        <v>0.98538029999999999</v>
      </c>
      <c r="P7735">
        <v>0.24991920000000001</v>
      </c>
      <c r="Q7735">
        <v>0.37241859999999999</v>
      </c>
      <c r="R7735">
        <v>0.89378119999999905</v>
      </c>
      <c r="S7735">
        <v>1.42038</v>
      </c>
      <c r="T7735">
        <v>-0.4673312</v>
      </c>
      <c r="U7735">
        <v>3.1585390000000002</v>
      </c>
      <c r="V7735">
        <v>0.1011498</v>
      </c>
      <c r="W7735">
        <v>0.38457730000000001</v>
      </c>
      <c r="X7735">
        <v>0.91753419999999997</v>
      </c>
      <c r="Y7735">
        <v>0.2461218</v>
      </c>
      <c r="Z7735">
        <v>-0.12029090000000001</v>
      </c>
      <c r="AA7735">
        <v>0.96174539999999997</v>
      </c>
      <c r="AB7735">
        <v>34</v>
      </c>
      <c r="AC7735">
        <v>3.3144</v>
      </c>
      <c r="AD7735">
        <v>-1.1038013339029999</v>
      </c>
      <c r="AE7735">
        <v>7.2441000000000004</v>
      </c>
      <c r="AF7735">
        <v>1.9984399555856101</v>
      </c>
      <c r="AG7735">
        <v>-1.1038013339029999</v>
      </c>
      <c r="AH7735">
        <v>7.5564630562653097</v>
      </c>
      <c r="AI7735">
        <v>98.038079220177806</v>
      </c>
      <c r="AJ7735">
        <v>75.186277197682301</v>
      </c>
      <c r="AK7735">
        <v>7.8938123591525402</v>
      </c>
      <c r="AL7735">
        <v>67.382498839285901</v>
      </c>
      <c r="AM7735">
        <v>83.709064081174603</v>
      </c>
      <c r="AN7735">
        <v>0.99999999494248404</v>
      </c>
    </row>
    <row r="7736" spans="1:40" x14ac:dyDescent="0.25">
      <c r="A7736" t="str">
        <f>"20190304164313559"</f>
        <v>20190304164313559</v>
      </c>
      <c r="B7736" t="str">
        <f>"1551688993548564"</f>
        <v>1551688993548564</v>
      </c>
      <c r="C7736" t="s">
        <v>40</v>
      </c>
      <c r="D7736">
        <v>4.4978949999999998</v>
      </c>
      <c r="E7736">
        <v>0.58034319999999995</v>
      </c>
      <c r="F7736" t="s">
        <v>53</v>
      </c>
      <c r="G7736">
        <v>-182.95740000000001</v>
      </c>
      <c r="H7736" s="1">
        <v>-4.3810689999999996E-6</v>
      </c>
      <c r="I7736">
        <v>127.1781</v>
      </c>
      <c r="J7736">
        <v>-186.29910000000001</v>
      </c>
      <c r="K7736">
        <v>1.103661</v>
      </c>
      <c r="L7736">
        <v>119.97069999999999</v>
      </c>
      <c r="M7736">
        <v>0.1741741</v>
      </c>
      <c r="N7736">
        <v>-1.503199E-2</v>
      </c>
      <c r="O7736">
        <v>0.98460009999999998</v>
      </c>
      <c r="P7736">
        <v>0.25536449999999999</v>
      </c>
      <c r="Q7736">
        <v>0.37152629999999998</v>
      </c>
      <c r="R7736">
        <v>0.89261250000000003</v>
      </c>
      <c r="S7736">
        <v>1.43927</v>
      </c>
      <c r="T7736">
        <v>-0.470387</v>
      </c>
      <c r="U7736">
        <v>3.150055</v>
      </c>
      <c r="V7736">
        <v>0.10263319999999999</v>
      </c>
      <c r="W7736">
        <v>0.38364579999999998</v>
      </c>
      <c r="X7736">
        <v>0.9177594</v>
      </c>
      <c r="Y7736">
        <v>0.2474305</v>
      </c>
      <c r="Z7736">
        <v>-0.12115040000000001</v>
      </c>
      <c r="AA7736">
        <v>0.96130159999999998</v>
      </c>
      <c r="AB7736">
        <v>34</v>
      </c>
      <c r="AC7736">
        <v>3.3416999999999999</v>
      </c>
      <c r="AD7736">
        <v>-1.103665381069</v>
      </c>
      <c r="AE7736">
        <v>7.2073999999999998</v>
      </c>
      <c r="AF7736">
        <v>1.9965919939521799</v>
      </c>
      <c r="AG7736">
        <v>-1.103665381069</v>
      </c>
      <c r="AH7736">
        <v>7.5339095617313099</v>
      </c>
      <c r="AI7736">
        <v>98.0597708903165</v>
      </c>
      <c r="AJ7736">
        <v>75.157019988932603</v>
      </c>
      <c r="AK7736">
        <v>7.8717374288038</v>
      </c>
      <c r="AL7736">
        <v>67.440304310568393</v>
      </c>
      <c r="AM7736">
        <v>83.619114226470799</v>
      </c>
      <c r="AN7736">
        <v>0.99999999494411995</v>
      </c>
    </row>
    <row r="7737" spans="1:40" x14ac:dyDescent="0.25">
      <c r="A7737" t="str">
        <f>"20190304164313571"</f>
        <v>20190304164313571</v>
      </c>
      <c r="B7737" t="str">
        <f>"1551688993568591"</f>
        <v>1551688993568591</v>
      </c>
      <c r="C7737" t="s">
        <v>40</v>
      </c>
      <c r="D7737">
        <v>4.5121229999999999</v>
      </c>
      <c r="E7737">
        <v>0.58018169999999902</v>
      </c>
      <c r="F7737" t="s">
        <v>41</v>
      </c>
      <c r="G7737">
        <v>-185.97309999999999</v>
      </c>
      <c r="H7737">
        <v>0.99743029999999999</v>
      </c>
      <c r="I7737">
        <v>120.6743</v>
      </c>
      <c r="J7737">
        <v>-186.26490000000001</v>
      </c>
      <c r="K7737">
        <v>1.103534</v>
      </c>
      <c r="L7737">
        <v>120.1416</v>
      </c>
      <c r="M7737">
        <v>0.178417299999999</v>
      </c>
      <c r="N7737">
        <v>-1.504598E-2</v>
      </c>
      <c r="O7737">
        <v>0.98383989999999999</v>
      </c>
      <c r="P7737">
        <v>0.2603202</v>
      </c>
      <c r="Q7737">
        <v>0.37005199999999999</v>
      </c>
      <c r="R7737">
        <v>0.89179310000000001</v>
      </c>
      <c r="S7737">
        <v>1.4562839999999999</v>
      </c>
      <c r="T7737">
        <v>-0.47463759999999999</v>
      </c>
      <c r="U7737">
        <v>3.1418759999999999</v>
      </c>
      <c r="V7737">
        <v>0.103760199999999</v>
      </c>
      <c r="W7737">
        <v>0.38214330000000002</v>
      </c>
      <c r="X7737">
        <v>0.91825939999999995</v>
      </c>
      <c r="Y7737">
        <v>0.2484278</v>
      </c>
      <c r="Z7737">
        <v>-0.12235799999999999</v>
      </c>
      <c r="AA7737">
        <v>0.9608913</v>
      </c>
      <c r="AB7737">
        <v>34</v>
      </c>
      <c r="AC7737">
        <v>0.29180000000002299</v>
      </c>
      <c r="AD7737">
        <v>-0.1061037</v>
      </c>
      <c r="AE7737">
        <v>0.53270000000000495</v>
      </c>
      <c r="AF7737">
        <v>0.186375808016747</v>
      </c>
      <c r="AG7737">
        <v>-0.1061037</v>
      </c>
      <c r="AH7737">
        <v>0.55915549232158301</v>
      </c>
      <c r="AI7737">
        <v>100.205097724841</v>
      </c>
      <c r="AJ7737">
        <v>71.565914014829303</v>
      </c>
      <c r="AK7737">
        <v>0.59887294275244896</v>
      </c>
      <c r="AL7737">
        <v>67.533493145763202</v>
      </c>
      <c r="AM7737">
        <v>83.553116737790006</v>
      </c>
      <c r="AN7737">
        <v>1.00000000326364</v>
      </c>
    </row>
    <row r="7738" spans="1:40" x14ac:dyDescent="0.25">
      <c r="A7738" t="str">
        <f>"20190304164313587"</f>
        <v>20190304164313587</v>
      </c>
      <c r="B7738" t="str">
        <f>"1551688993579328"</f>
        <v>1551688993579328</v>
      </c>
      <c r="C7738" t="s">
        <v>40</v>
      </c>
      <c r="D7738">
        <v>4.5284199999999997</v>
      </c>
      <c r="E7738">
        <v>0.58009449999999996</v>
      </c>
      <c r="F7738" t="s">
        <v>53</v>
      </c>
      <c r="G7738">
        <v>-182.89689999999999</v>
      </c>
      <c r="H7738" s="1">
        <v>-4.4247750000000003E-6</v>
      </c>
      <c r="I7738">
        <v>127.3139</v>
      </c>
      <c r="J7738">
        <v>-186.21610000000001</v>
      </c>
      <c r="K7738">
        <v>1.103356</v>
      </c>
      <c r="L7738">
        <v>120.3798</v>
      </c>
      <c r="M7738">
        <v>0.1844258</v>
      </c>
      <c r="N7738">
        <v>-1.50654E-2</v>
      </c>
      <c r="O7738">
        <v>0.98273100000000002</v>
      </c>
      <c r="P7738">
        <v>0.2673297</v>
      </c>
      <c r="Q7738">
        <v>0.36722510000000003</v>
      </c>
      <c r="R7738">
        <v>0.8908876</v>
      </c>
      <c r="S7738">
        <v>1.471878</v>
      </c>
      <c r="T7738">
        <v>-0.48227310000000001</v>
      </c>
      <c r="U7738">
        <v>3.1344759999999998</v>
      </c>
      <c r="V7738">
        <v>0.1052762</v>
      </c>
      <c r="W7738">
        <v>0.3792817</v>
      </c>
      <c r="X7738">
        <v>0.91927270000000005</v>
      </c>
      <c r="Y7738">
        <v>0.2471846</v>
      </c>
      <c r="Z7738">
        <v>-0.1244697</v>
      </c>
      <c r="AA7738">
        <v>0.96094069999999998</v>
      </c>
      <c r="AB7738">
        <v>34</v>
      </c>
      <c r="AC7738">
        <v>3.3192000000000199</v>
      </c>
      <c r="AD7738">
        <v>-1.103360424775</v>
      </c>
      <c r="AE7738">
        <v>6.9340999999999999</v>
      </c>
      <c r="AF7738">
        <v>1.9432489314319801</v>
      </c>
      <c r="AG7738">
        <v>-1.103360424775</v>
      </c>
      <c r="AH7738">
        <v>7.2774326358136303</v>
      </c>
      <c r="AI7738">
        <v>98.333515155567795</v>
      </c>
      <c r="AJ7738">
        <v>75.049471849287102</v>
      </c>
      <c r="AK7738">
        <v>7.6127949141742004</v>
      </c>
      <c r="AL7738">
        <v>67.710803200214698</v>
      </c>
      <c r="AM7738">
        <v>83.466881002445106</v>
      </c>
      <c r="AN7738">
        <v>0.99999999160330999</v>
      </c>
    </row>
    <row r="7739" spans="1:40" x14ac:dyDescent="0.25">
      <c r="A7739" t="str">
        <f>"20190304164313598"</f>
        <v>20190304164313598</v>
      </c>
      <c r="B7739" t="str">
        <f>"1551688993589088"</f>
        <v>1551688993589088</v>
      </c>
      <c r="C7739" t="s">
        <v>40</v>
      </c>
      <c r="D7739">
        <v>4.4727119999999996</v>
      </c>
      <c r="E7739">
        <v>0.58002169999999997</v>
      </c>
      <c r="F7739" t="s">
        <v>53</v>
      </c>
      <c r="G7739">
        <v>-182.86369999999999</v>
      </c>
      <c r="H7739" s="1">
        <v>-4.4434249999999997E-6</v>
      </c>
      <c r="I7739">
        <v>127.36790000000001</v>
      </c>
      <c r="J7739">
        <v>-186.1773</v>
      </c>
      <c r="K7739">
        <v>1.103218</v>
      </c>
      <c r="L7739">
        <v>120.5643</v>
      </c>
      <c r="M7739">
        <v>0.1891806</v>
      </c>
      <c r="N7739">
        <v>-1.5080929999999999E-2</v>
      </c>
      <c r="O7739">
        <v>0.98182650000000005</v>
      </c>
      <c r="P7739">
        <v>0.27217520000000001</v>
      </c>
      <c r="Q7739">
        <v>0.36592069999999999</v>
      </c>
      <c r="R7739">
        <v>0.88995659999999899</v>
      </c>
      <c r="S7739">
        <v>1.4973749999999999</v>
      </c>
      <c r="T7739">
        <v>-0.49282120000000001</v>
      </c>
      <c r="U7739">
        <v>3.1212770000000001</v>
      </c>
      <c r="V7739">
        <v>0.10583289999999999</v>
      </c>
      <c r="W7739">
        <v>0.37795590000000001</v>
      </c>
      <c r="X7739">
        <v>0.91975469999999904</v>
      </c>
      <c r="Y7739">
        <v>0.25028099999999998</v>
      </c>
      <c r="Z7739">
        <v>-0.12750729999999999</v>
      </c>
      <c r="AA7739">
        <v>0.95974020000000004</v>
      </c>
      <c r="AB7739">
        <v>34</v>
      </c>
      <c r="AC7739">
        <v>3.3136000000000001</v>
      </c>
      <c r="AD7739">
        <v>-1.103222443425</v>
      </c>
      <c r="AE7739">
        <v>6.8036000000000003</v>
      </c>
      <c r="AF7739">
        <v>1.9255718382354099</v>
      </c>
      <c r="AG7739">
        <v>-1.103222443425</v>
      </c>
      <c r="AH7739">
        <v>7.1555816196053597</v>
      </c>
      <c r="AI7739">
        <v>98.468002153456595</v>
      </c>
      <c r="AJ7739">
        <v>74.938462182293307</v>
      </c>
      <c r="AK7739">
        <v>7.4918138643933201</v>
      </c>
      <c r="AL7739">
        <v>67.792875941094906</v>
      </c>
      <c r="AM7739">
        <v>83.436046521749006</v>
      </c>
      <c r="AN7739">
        <v>0.99999998661965395</v>
      </c>
    </row>
    <row r="7740" spans="1:40" x14ac:dyDescent="0.25">
      <c r="A7740" t="str">
        <f>"20190304164313610"</f>
        <v>20190304164313610</v>
      </c>
      <c r="B7740" t="str">
        <f>"1551688993598848"</f>
        <v>1551688993598848</v>
      </c>
      <c r="C7740" t="s">
        <v>40</v>
      </c>
      <c r="D7740">
        <v>4.5343929999999997</v>
      </c>
      <c r="E7740">
        <v>0.57993719999999904</v>
      </c>
      <c r="F7740" t="s">
        <v>41</v>
      </c>
      <c r="G7740">
        <v>-185.83670000000001</v>
      </c>
      <c r="H7740">
        <v>0.99129889999999998</v>
      </c>
      <c r="I7740">
        <v>121.264</v>
      </c>
      <c r="J7740">
        <v>-186.14189999999999</v>
      </c>
      <c r="K7740">
        <v>1.103092</v>
      </c>
      <c r="L7740">
        <v>120.72709999999999</v>
      </c>
      <c r="M7740">
        <v>0.19347349999999999</v>
      </c>
      <c r="N7740">
        <v>-1.5096190000000001E-2</v>
      </c>
      <c r="O7740">
        <v>0.98098929999999995</v>
      </c>
      <c r="P7740">
        <v>0.27728160000000002</v>
      </c>
      <c r="Q7740">
        <v>0.36547030000000003</v>
      </c>
      <c r="R7740">
        <v>0.88856420000000003</v>
      </c>
      <c r="S7740">
        <v>1.514999</v>
      </c>
      <c r="T7740">
        <v>-0.4979092</v>
      </c>
      <c r="U7740">
        <v>3.1123500000000002</v>
      </c>
      <c r="V7740">
        <v>0.1071657</v>
      </c>
      <c r="W7740">
        <v>0.37746619999999997</v>
      </c>
      <c r="X7740">
        <v>0.91980150000000005</v>
      </c>
      <c r="Y7740">
        <v>0.25143749999999998</v>
      </c>
      <c r="Z7740">
        <v>-0.12894559999999999</v>
      </c>
      <c r="AA7740">
        <v>0.95924569999999998</v>
      </c>
      <c r="AB7740">
        <v>34</v>
      </c>
      <c r="AC7740">
        <v>0.30519999999998498</v>
      </c>
      <c r="AD7740">
        <v>-0.11179309999999899</v>
      </c>
      <c r="AE7740">
        <v>0.53690000000000204</v>
      </c>
      <c r="AF7740">
        <v>0.18934015672815499</v>
      </c>
      <c r="AG7740">
        <v>-0.11179309999999899</v>
      </c>
      <c r="AH7740">
        <v>0.56722177780615302</v>
      </c>
      <c r="AI7740">
        <v>100.58913119675</v>
      </c>
      <c r="AJ7740">
        <v>71.540851511913701</v>
      </c>
      <c r="AK7740">
        <v>0.60834853281242096</v>
      </c>
      <c r="AL7740">
        <v>67.823178915606803</v>
      </c>
      <c r="AM7740">
        <v>83.354453824205095</v>
      </c>
      <c r="AN7740">
        <v>1.0000000094005901</v>
      </c>
    </row>
    <row r="7741" spans="1:40" x14ac:dyDescent="0.25">
      <c r="A7741" t="str">
        <f>"20190304164313621"</f>
        <v>20190304164313621</v>
      </c>
      <c r="B7741" t="str">
        <f>"1551688993619345"</f>
        <v>1551688993619345</v>
      </c>
      <c r="C7741" t="s">
        <v>40</v>
      </c>
      <c r="D7741">
        <v>4.693149</v>
      </c>
      <c r="E7741">
        <v>0.57981660000000002</v>
      </c>
      <c r="F7741" t="s">
        <v>53</v>
      </c>
      <c r="G7741">
        <v>-182.76490000000001</v>
      </c>
      <c r="H7741" s="1">
        <v>-4.5084979999999996E-6</v>
      </c>
      <c r="I7741">
        <v>127.5655</v>
      </c>
      <c r="J7741">
        <v>-186.1044</v>
      </c>
      <c r="K7741">
        <v>1.1029629999999999</v>
      </c>
      <c r="L7741">
        <v>120.8981</v>
      </c>
      <c r="M7741">
        <v>0.19801070000000001</v>
      </c>
      <c r="N7741">
        <v>-1.511174E-2</v>
      </c>
      <c r="O7741">
        <v>0.98008329999999999</v>
      </c>
      <c r="P7741">
        <v>0.28298210000000001</v>
      </c>
      <c r="Q7741">
        <v>0.36493490000000001</v>
      </c>
      <c r="R7741">
        <v>0.88698569999999999</v>
      </c>
      <c r="S7741">
        <v>1.532791</v>
      </c>
      <c r="T7741">
        <v>-0.50068069999999998</v>
      </c>
      <c r="U7741">
        <v>3.1038510000000001</v>
      </c>
      <c r="V7741">
        <v>0.10888879999999999</v>
      </c>
      <c r="W7741">
        <v>0.37688199999999999</v>
      </c>
      <c r="X7741">
        <v>0.91983870000000001</v>
      </c>
      <c r="Y7741">
        <v>0.25237769999999998</v>
      </c>
      <c r="Z7741">
        <v>-0.12969849999999999</v>
      </c>
      <c r="AA7741">
        <v>0.95889720000000001</v>
      </c>
      <c r="AB7741">
        <v>34</v>
      </c>
      <c r="AC7741">
        <v>3.3394999999999802</v>
      </c>
      <c r="AD7741">
        <v>-1.102967508498</v>
      </c>
      <c r="AE7741">
        <v>6.6673999999999998</v>
      </c>
      <c r="AF7741">
        <v>1.91118264806589</v>
      </c>
      <c r="AG7741">
        <v>-1.102967508498</v>
      </c>
      <c r="AH7741">
        <v>7.0426108110324099</v>
      </c>
      <c r="AI7741">
        <v>98.5950144297165</v>
      </c>
      <c r="AJ7741">
        <v>74.817065985938896</v>
      </c>
      <c r="AK7741">
        <v>7.38021161449596</v>
      </c>
      <c r="AL7741">
        <v>67.859320762721296</v>
      </c>
      <c r="AM7741">
        <v>83.248850342641802</v>
      </c>
      <c r="AN7741">
        <v>1.00000002335356</v>
      </c>
    </row>
    <row r="7742" spans="1:40" x14ac:dyDescent="0.25">
      <c r="A7742" t="str">
        <f>"20190304164313635"</f>
        <v>20190304164313635</v>
      </c>
      <c r="B7742" t="str">
        <f>"1551688993629104"</f>
        <v>1551688993629104</v>
      </c>
      <c r="C7742" t="s">
        <v>40</v>
      </c>
      <c r="D7742">
        <v>4.6772669999999996</v>
      </c>
      <c r="E7742">
        <v>0.57976139999999998</v>
      </c>
      <c r="F7742" t="s">
        <v>41</v>
      </c>
      <c r="G7742">
        <v>-185.77160000000001</v>
      </c>
      <c r="H7742">
        <v>0.99452399999999996</v>
      </c>
      <c r="I7742">
        <v>121.56140000000001</v>
      </c>
      <c r="J7742">
        <v>-186.0575</v>
      </c>
      <c r="K7742">
        <v>1.1027990000000001</v>
      </c>
      <c r="L7742">
        <v>121.1033</v>
      </c>
      <c r="M7742">
        <v>0.20363110000000001</v>
      </c>
      <c r="N7742">
        <v>-1.513287E-2</v>
      </c>
      <c r="O7742">
        <v>0.97893070000000004</v>
      </c>
      <c r="P7742">
        <v>0.2898772</v>
      </c>
      <c r="Q7742">
        <v>0.36485069999999997</v>
      </c>
      <c r="R7742">
        <v>0.88479110000000005</v>
      </c>
      <c r="S7742">
        <v>1.551971</v>
      </c>
      <c r="T7742">
        <v>-0.50561129999999999</v>
      </c>
      <c r="U7742">
        <v>3.0951390000000001</v>
      </c>
      <c r="V7742">
        <v>0.110919</v>
      </c>
      <c r="W7742">
        <v>0.37673620000000002</v>
      </c>
      <c r="X7742">
        <v>0.91965580000000002</v>
      </c>
      <c r="Y7742">
        <v>0.25257729999999901</v>
      </c>
      <c r="Z7742">
        <v>-0.1310114</v>
      </c>
      <c r="AA7742">
        <v>0.95866609999999997</v>
      </c>
      <c r="AB7742">
        <v>34</v>
      </c>
      <c r="AC7742">
        <v>0.28589999999999799</v>
      </c>
      <c r="AD7742">
        <v>-0.108275</v>
      </c>
      <c r="AE7742">
        <v>0.45810000000000101</v>
      </c>
      <c r="AF7742">
        <v>0.17940146639909799</v>
      </c>
      <c r="AG7742">
        <v>-0.108275</v>
      </c>
      <c r="AH7742">
        <v>0.48713902923583302</v>
      </c>
      <c r="AI7742">
        <v>101.78143118969</v>
      </c>
      <c r="AJ7742">
        <v>69.782473759402393</v>
      </c>
      <c r="AK7742">
        <v>0.53029500806247198</v>
      </c>
      <c r="AL7742">
        <v>67.868338446002795</v>
      </c>
      <c r="AM7742">
        <v>83.122816922030793</v>
      </c>
      <c r="AN7742">
        <v>0.99999998971254001</v>
      </c>
    </row>
    <row r="7743" spans="1:40" x14ac:dyDescent="0.25">
      <c r="A7743" t="str">
        <f>"20190304164313648"</f>
        <v>20190304164313648</v>
      </c>
      <c r="B7743" t="str">
        <f>"1551688993638865"</f>
        <v>1551688993638865</v>
      </c>
      <c r="C7743" t="s">
        <v>40</v>
      </c>
      <c r="D7743">
        <v>4.7289469999999998</v>
      </c>
      <c r="E7743">
        <v>0.57971839999999997</v>
      </c>
      <c r="F7743" t="s">
        <v>53</v>
      </c>
      <c r="G7743">
        <v>-182.636</v>
      </c>
      <c r="H7743" s="1">
        <v>-4.5877409999999998E-6</v>
      </c>
      <c r="I7743">
        <v>127.8015</v>
      </c>
      <c r="J7743">
        <v>-186.012</v>
      </c>
      <c r="K7743">
        <v>1.1026309999999999</v>
      </c>
      <c r="L7743">
        <v>121.29819999999999</v>
      </c>
      <c r="M7743">
        <v>0.20906359999999999</v>
      </c>
      <c r="N7743">
        <v>-1.515352E-2</v>
      </c>
      <c r="O7743">
        <v>0.9777846</v>
      </c>
      <c r="P7743">
        <v>0.2965545</v>
      </c>
      <c r="Q7743">
        <v>0.36492829999999998</v>
      </c>
      <c r="R7743">
        <v>0.88254330000000003</v>
      </c>
      <c r="S7743">
        <v>1.575302</v>
      </c>
      <c r="T7743">
        <v>-0.50773579999999996</v>
      </c>
      <c r="U7743">
        <v>3.0838930000000002</v>
      </c>
      <c r="V7743">
        <v>0.1129241</v>
      </c>
      <c r="W7743">
        <v>0.37674990000000003</v>
      </c>
      <c r="X7743">
        <v>0.91940619999999995</v>
      </c>
      <c r="Y7743">
        <v>0.25433860000000003</v>
      </c>
      <c r="Z7743">
        <v>-0.131566299999999</v>
      </c>
      <c r="AA7743">
        <v>0.95812430000000004</v>
      </c>
      <c r="AB7743">
        <v>34</v>
      </c>
      <c r="AC7743">
        <v>3.3759999999999999</v>
      </c>
      <c r="AD7743">
        <v>-1.1026355877409999</v>
      </c>
      <c r="AE7743">
        <v>6.5033000000000003</v>
      </c>
      <c r="AF7743">
        <v>1.89862649797955</v>
      </c>
      <c r="AG7743">
        <v>-1.1026355877409999</v>
      </c>
      <c r="AH7743">
        <v>6.9089842755486597</v>
      </c>
      <c r="AI7743">
        <v>98.748587666716702</v>
      </c>
      <c r="AJ7743">
        <v>74.634112714219796</v>
      </c>
      <c r="AK7743">
        <v>7.24945870654917</v>
      </c>
      <c r="AL7743">
        <v>67.867492462447004</v>
      </c>
      <c r="AM7743">
        <v>82.997838162307005</v>
      </c>
      <c r="AN7743">
        <v>1.00000005005462</v>
      </c>
    </row>
    <row r="7744" spans="1:40" x14ac:dyDescent="0.25">
      <c r="A7744" t="str">
        <f>"20190304164313660"</f>
        <v>20190304164313660</v>
      </c>
      <c r="B7744" t="str">
        <f>"1551688993648625"</f>
        <v>1551688993648625</v>
      </c>
      <c r="C7744" t="s">
        <v>40</v>
      </c>
      <c r="D7744">
        <v>4.7800770000000004</v>
      </c>
      <c r="E7744">
        <v>0.57966640000000003</v>
      </c>
      <c r="F7744" t="s">
        <v>53</v>
      </c>
      <c r="G7744">
        <v>-182.55240000000001</v>
      </c>
      <c r="H7744" s="1">
        <v>-4.6385590000000003E-6</v>
      </c>
      <c r="I7744">
        <v>127.9524</v>
      </c>
      <c r="J7744">
        <v>-185.9691</v>
      </c>
      <c r="K7744">
        <v>1.102476</v>
      </c>
      <c r="L7744">
        <v>121.4782</v>
      </c>
      <c r="M7744">
        <v>0.2141557</v>
      </c>
      <c r="N7744">
        <v>-1.5172899999999901E-2</v>
      </c>
      <c r="O7744">
        <v>0.97668169999999999</v>
      </c>
      <c r="P7744">
        <v>0.30290080000000003</v>
      </c>
      <c r="Q7744">
        <v>0.3646237</v>
      </c>
      <c r="R7744">
        <v>0.88051159999999995</v>
      </c>
      <c r="S7744">
        <v>1.597672</v>
      </c>
      <c r="T7744">
        <v>-0.50921320000000003</v>
      </c>
      <c r="U7744">
        <v>3.0729679999999999</v>
      </c>
      <c r="V7744">
        <v>0.114866</v>
      </c>
      <c r="W7744">
        <v>0.37638460000000001</v>
      </c>
      <c r="X7744">
        <v>0.9193152</v>
      </c>
      <c r="Y7744">
        <v>0.25616060000000002</v>
      </c>
      <c r="Z7744">
        <v>-0.13193940000000001</v>
      </c>
      <c r="AA7744">
        <v>0.95758739999999998</v>
      </c>
      <c r="AB7744">
        <v>34</v>
      </c>
      <c r="AC7744">
        <v>3.4166999999999899</v>
      </c>
      <c r="AD7744">
        <v>-1.102480638559</v>
      </c>
      <c r="AE7744">
        <v>6.47419999999999</v>
      </c>
      <c r="AF7744">
        <v>1.9075017015184199</v>
      </c>
      <c r="AG7744">
        <v>-1.102480638559</v>
      </c>
      <c r="AH7744">
        <v>6.8992671347265704</v>
      </c>
      <c r="AI7744">
        <v>98.755810212084995</v>
      </c>
      <c r="AJ7744">
        <v>74.545002041896296</v>
      </c>
      <c r="AK7744">
        <v>7.2425073901247297</v>
      </c>
      <c r="AL7744">
        <v>67.890084573626794</v>
      </c>
      <c r="AM7744">
        <v>82.877953764177803</v>
      </c>
      <c r="AN7744">
        <v>1.0000000010121</v>
      </c>
    </row>
    <row r="7745" spans="1:40" x14ac:dyDescent="0.25">
      <c r="A7745" t="str">
        <f>"20190304164313676"</f>
        <v>20190304164313676</v>
      </c>
      <c r="B7745" t="str">
        <f>"1551688993669120"</f>
        <v>1551688993669120</v>
      </c>
      <c r="C7745" t="s">
        <v>40</v>
      </c>
      <c r="D7745">
        <v>4.3489120000000003</v>
      </c>
      <c r="E7745">
        <v>0.58001819999999904</v>
      </c>
      <c r="F7745" t="s">
        <v>41</v>
      </c>
      <c r="G7745">
        <v>-185.6155</v>
      </c>
      <c r="H7745">
        <v>0.99055839999999995</v>
      </c>
      <c r="I7745">
        <v>122.14709999999999</v>
      </c>
      <c r="J7745">
        <v>-185.90979999999999</v>
      </c>
      <c r="K7745">
        <v>1.1022609999999999</v>
      </c>
      <c r="L7745">
        <v>121.71769999999999</v>
      </c>
      <c r="M7745">
        <v>0.2211322</v>
      </c>
      <c r="N7745">
        <v>-1.5202240000000001E-2</v>
      </c>
      <c r="O7745">
        <v>0.97512540000000003</v>
      </c>
      <c r="P7745">
        <v>0.31249320000000003</v>
      </c>
      <c r="Q7745">
        <v>0.36376320000000001</v>
      </c>
      <c r="R7745">
        <v>0.87751029999999997</v>
      </c>
      <c r="S7745">
        <v>1.618393</v>
      </c>
      <c r="T7745">
        <v>-0.51219609999999904</v>
      </c>
      <c r="U7745">
        <v>3.0624690000000001</v>
      </c>
      <c r="V7745">
        <v>0.1184356</v>
      </c>
      <c r="W7745">
        <v>0.37542439999999999</v>
      </c>
      <c r="X7745">
        <v>0.91925480000000004</v>
      </c>
      <c r="Y7745">
        <v>0.25562629999999997</v>
      </c>
      <c r="Z7745">
        <v>-0.13267419999999999</v>
      </c>
      <c r="AA7745">
        <v>0.9576287</v>
      </c>
      <c r="AB7745">
        <v>34</v>
      </c>
      <c r="AC7745">
        <v>0.29429999999999201</v>
      </c>
      <c r="AD7745">
        <v>-0.1117026</v>
      </c>
      <c r="AE7745">
        <v>0.429400000000001</v>
      </c>
      <c r="AF7745">
        <v>0.18359421827510999</v>
      </c>
      <c r="AG7745">
        <v>-0.1117026</v>
      </c>
      <c r="AH7745">
        <v>0.46255651631671901</v>
      </c>
      <c r="AI7745">
        <v>102.65069673366401</v>
      </c>
      <c r="AJ7745">
        <v>68.351279524141603</v>
      </c>
      <c r="AK7745">
        <v>0.51004199691581098</v>
      </c>
      <c r="AL7745">
        <v>67.949452589225203</v>
      </c>
      <c r="AM7745">
        <v>82.658528945363301</v>
      </c>
      <c r="AN7745">
        <v>0.99999992939287696</v>
      </c>
    </row>
    <row r="7746" spans="1:40" x14ac:dyDescent="0.25">
      <c r="A7746" t="str">
        <f>"20190304164313688"</f>
        <v>20190304164313688</v>
      </c>
      <c r="B7746" t="str">
        <f>"1551688993678880"</f>
        <v>1551688993678880</v>
      </c>
      <c r="C7746" t="s">
        <v>40</v>
      </c>
      <c r="D7746">
        <v>4.3110670000000004</v>
      </c>
      <c r="E7746">
        <v>0.58042709999999997</v>
      </c>
      <c r="F7746" t="s">
        <v>53</v>
      </c>
      <c r="G7746">
        <v>-182.35900000000001</v>
      </c>
      <c r="H7746" s="1">
        <v>-4.7427590000000001E-6</v>
      </c>
      <c r="I7746">
        <v>128.2499</v>
      </c>
      <c r="J7746">
        <v>-185.8682</v>
      </c>
      <c r="K7746">
        <v>1.1021179999999999</v>
      </c>
      <c r="L7746">
        <v>121.8814</v>
      </c>
      <c r="M7746">
        <v>0.2259969</v>
      </c>
      <c r="N7746">
        <v>-1.522299E-2</v>
      </c>
      <c r="O7746">
        <v>0.97400909999999996</v>
      </c>
      <c r="P7746">
        <v>0.31847199999999998</v>
      </c>
      <c r="Q7746">
        <v>0.36327100000000001</v>
      </c>
      <c r="R7746">
        <v>0.87556250000000002</v>
      </c>
      <c r="S7746">
        <v>1.653915</v>
      </c>
      <c r="T7746">
        <v>-0.51342330000000003</v>
      </c>
      <c r="U7746">
        <v>3.042618</v>
      </c>
      <c r="V7746">
        <v>0.120199</v>
      </c>
      <c r="W7746">
        <v>0.37487680000000001</v>
      </c>
      <c r="X7746">
        <v>0.91924950000000005</v>
      </c>
      <c r="Y7746">
        <v>0.2620112</v>
      </c>
      <c r="Z7746">
        <v>-0.13311129999999999</v>
      </c>
      <c r="AA7746">
        <v>0.95584080000000005</v>
      </c>
      <c r="AB7746">
        <v>34</v>
      </c>
      <c r="AC7746">
        <v>3.5091999999999901</v>
      </c>
      <c r="AD7746">
        <v>-1.1021227427589999</v>
      </c>
      <c r="AE7746">
        <v>6.3684999999999903</v>
      </c>
      <c r="AF7746">
        <v>1.9345176002859401</v>
      </c>
      <c r="AG7746">
        <v>-1.1021227427589999</v>
      </c>
      <c r="AH7746">
        <v>6.83972175114741</v>
      </c>
      <c r="AI7746">
        <v>98.813703875829304</v>
      </c>
      <c r="AJ7746">
        <v>74.207202114827396</v>
      </c>
      <c r="AK7746">
        <v>7.1929706324328597</v>
      </c>
      <c r="AL7746">
        <v>67.983302140909402</v>
      </c>
      <c r="AM7746">
        <v>82.550397446072907</v>
      </c>
      <c r="AN7746">
        <v>1.0000000290147399</v>
      </c>
    </row>
    <row r="7747" spans="1:40" x14ac:dyDescent="0.25">
      <c r="A7747" t="str">
        <f>"20190304164313703"</f>
        <v>20190304164313703</v>
      </c>
      <c r="B7747" t="str">
        <f>"1551688993698400"</f>
        <v>1551688993698400</v>
      </c>
      <c r="C7747" t="s">
        <v>40</v>
      </c>
      <c r="D7747">
        <v>4.5890370000000003</v>
      </c>
      <c r="E7747">
        <v>0.58081640000000001</v>
      </c>
      <c r="F7747" t="s">
        <v>53</v>
      </c>
      <c r="G7747">
        <v>-182.25040000000001</v>
      </c>
      <c r="H7747" s="1">
        <v>-4.7989139999999999E-6</v>
      </c>
      <c r="I7747">
        <v>128.40790000000001</v>
      </c>
      <c r="J7747">
        <v>-185.8151</v>
      </c>
      <c r="K7747">
        <v>1.101939</v>
      </c>
      <c r="L7747">
        <v>122.0869</v>
      </c>
      <c r="M7747">
        <v>0.2321906</v>
      </c>
      <c r="N7747">
        <v>-1.524905E-2</v>
      </c>
      <c r="O7747">
        <v>0.97255069999999999</v>
      </c>
      <c r="P7747">
        <v>0.32535239999999999</v>
      </c>
      <c r="Q7747">
        <v>0.36242590000000002</v>
      </c>
      <c r="R7747">
        <v>0.87338039999999995</v>
      </c>
      <c r="S7747">
        <v>1.678482</v>
      </c>
      <c r="T7747">
        <v>-0.51133300000000004</v>
      </c>
      <c r="U7747">
        <v>3.028</v>
      </c>
      <c r="V7747">
        <v>0.121654</v>
      </c>
      <c r="W7747">
        <v>0.3739788</v>
      </c>
      <c r="X7747">
        <v>0.91942380000000001</v>
      </c>
      <c r="Y7747">
        <v>0.26379649999999999</v>
      </c>
      <c r="Z7747">
        <v>-0.13251979999999999</v>
      </c>
      <c r="AA7747">
        <v>0.95543180000000005</v>
      </c>
      <c r="AB7747">
        <v>34</v>
      </c>
      <c r="AC7747">
        <v>3.5646999999999802</v>
      </c>
      <c r="AD7747">
        <v>-1.101943798914</v>
      </c>
      <c r="AE7747">
        <v>6.3210000000000104</v>
      </c>
      <c r="AF7747">
        <v>1.9543441543632101</v>
      </c>
      <c r="AG7747">
        <v>-1.101943798914</v>
      </c>
      <c r="AH7747">
        <v>6.8187676441126701</v>
      </c>
      <c r="AI7747">
        <v>98.830299365463802</v>
      </c>
      <c r="AJ7747">
        <v>74.007034698487402</v>
      </c>
      <c r="AK7747">
        <v>7.1783935106719001</v>
      </c>
      <c r="AL7747">
        <v>68.038789066607393</v>
      </c>
      <c r="AM7747">
        <v>82.4626643737937</v>
      </c>
      <c r="AN7747">
        <v>0.99999998128593903</v>
      </c>
    </row>
    <row r="7748" spans="1:40" x14ac:dyDescent="0.25">
      <c r="A7748" t="str">
        <f>"20190304164313722"</f>
        <v>20190304164313722</v>
      </c>
      <c r="B7748" t="str">
        <f>"1551688993718896"</f>
        <v>1551688993718896</v>
      </c>
      <c r="C7748" t="s">
        <v>40</v>
      </c>
      <c r="D7748">
        <v>4.7688600000000001</v>
      </c>
      <c r="E7748">
        <v>0.58070200000000005</v>
      </c>
      <c r="F7748" t="s">
        <v>53</v>
      </c>
      <c r="G7748">
        <v>-182.14099999999999</v>
      </c>
      <c r="H7748" s="1">
        <v>-4.8651070000000002E-6</v>
      </c>
      <c r="I7748">
        <v>128.5735</v>
      </c>
      <c r="J7748">
        <v>-185.73670000000001</v>
      </c>
      <c r="K7748">
        <v>1.101685</v>
      </c>
      <c r="L7748">
        <v>122.37820000000001</v>
      </c>
      <c r="M7748">
        <v>0.2412463</v>
      </c>
      <c r="N7748">
        <v>-1.528915E-2</v>
      </c>
      <c r="O7748">
        <v>0.97034350000000003</v>
      </c>
      <c r="P7748">
        <v>0.33645950000000002</v>
      </c>
      <c r="Q7748">
        <v>0.36144219999999999</v>
      </c>
      <c r="R7748">
        <v>0.86957150000000005</v>
      </c>
      <c r="S7748">
        <v>1.7058869999999999</v>
      </c>
      <c r="T7748">
        <v>-0.51163049999999999</v>
      </c>
      <c r="U7748">
        <v>3.011749</v>
      </c>
      <c r="V7748">
        <v>0.1249328</v>
      </c>
      <c r="W7748">
        <v>0.37288969999999999</v>
      </c>
      <c r="X7748">
        <v>0.91942650000000004</v>
      </c>
      <c r="Y7748">
        <v>0.26359929999999998</v>
      </c>
      <c r="Z7748">
        <v>-0.1325056</v>
      </c>
      <c r="AA7748">
        <v>0.95548820000000001</v>
      </c>
      <c r="AB7748">
        <v>34</v>
      </c>
      <c r="AC7748">
        <v>3.5957000000000199</v>
      </c>
      <c r="AD7748">
        <v>-1.101689865107</v>
      </c>
      <c r="AE7748">
        <v>6.19529999999998</v>
      </c>
      <c r="AF7748">
        <v>1.9486110198225299</v>
      </c>
      <c r="AG7748">
        <v>-1.101689865107</v>
      </c>
      <c r="AH7748">
        <v>6.7208455807548901</v>
      </c>
      <c r="AI7748">
        <v>98.947066035967296</v>
      </c>
      <c r="AJ7748">
        <v>73.831255469861503</v>
      </c>
      <c r="AK7748">
        <v>7.08382458745315</v>
      </c>
      <c r="AL7748">
        <v>68.106056921059704</v>
      </c>
      <c r="AM7748">
        <v>82.261971226619195</v>
      </c>
      <c r="AN7748">
        <v>1.0000000108920899</v>
      </c>
    </row>
    <row r="7749" spans="1:40" x14ac:dyDescent="0.25">
      <c r="A7749" t="str">
        <f>"20190304164313757"</f>
        <v>20190304164313757</v>
      </c>
      <c r="B7749" t="str">
        <f>"1551688993749152"</f>
        <v>1551688993749152</v>
      </c>
      <c r="C7749" t="s">
        <v>40</v>
      </c>
      <c r="D7749">
        <v>4.8332800000000002</v>
      </c>
      <c r="E7749">
        <v>0.58074199999999998</v>
      </c>
      <c r="F7749" t="s">
        <v>53</v>
      </c>
      <c r="G7749">
        <v>-182.02500000000001</v>
      </c>
      <c r="H7749" s="1">
        <v>-4.9428879999999901E-6</v>
      </c>
      <c r="I7749">
        <v>128.74189999999999</v>
      </c>
      <c r="J7749">
        <v>-185.5891</v>
      </c>
      <c r="K7749">
        <v>1.101248</v>
      </c>
      <c r="L7749">
        <v>122.89619999999999</v>
      </c>
      <c r="M7749">
        <v>0.25799939999999999</v>
      </c>
      <c r="N7749">
        <v>-1.5364559999999999E-2</v>
      </c>
      <c r="O7749">
        <v>0.96602290000000002</v>
      </c>
      <c r="P7749">
        <v>0.35255500000000001</v>
      </c>
      <c r="Q7749">
        <v>0.36083019999999999</v>
      </c>
      <c r="R7749">
        <v>0.86342719999999995</v>
      </c>
      <c r="S7749">
        <v>1.7441409999999999</v>
      </c>
      <c r="T7749">
        <v>-0.51768899999999995</v>
      </c>
      <c r="U7749">
        <v>2.9902950000000001</v>
      </c>
      <c r="V7749">
        <v>0.12642049999999999</v>
      </c>
      <c r="W7749">
        <v>0.37219269999999999</v>
      </c>
      <c r="X7749">
        <v>0.91950549999999998</v>
      </c>
      <c r="Y7749">
        <v>0.25892389999999998</v>
      </c>
      <c r="Z7749">
        <v>-0.13381750000000001</v>
      </c>
      <c r="AA7749">
        <v>0.95658310000000002</v>
      </c>
      <c r="AB7749">
        <v>34</v>
      </c>
      <c r="AC7749">
        <v>3.5640999999999901</v>
      </c>
      <c r="AD7749">
        <v>-1.101252942888</v>
      </c>
      <c r="AE7749">
        <v>5.8456999999999901</v>
      </c>
      <c r="AF7749">
        <v>1.8862423697731701</v>
      </c>
      <c r="AG7749">
        <v>-1.101252942888</v>
      </c>
      <c r="AH7749">
        <v>6.4017634813145401</v>
      </c>
      <c r="AI7749">
        <v>99.369928927679297</v>
      </c>
      <c r="AJ7749">
        <v>73.582697279439202</v>
      </c>
      <c r="AK7749">
        <v>6.7641144278049801</v>
      </c>
      <c r="AL7749">
        <v>68.149088525446402</v>
      </c>
      <c r="AM7749">
        <v>82.171627159257</v>
      </c>
      <c r="AN7749">
        <v>0.99999995664189401</v>
      </c>
    </row>
    <row r="7750" spans="1:40" x14ac:dyDescent="0.25">
      <c r="A7750" t="str">
        <f>"20190304164313768"</f>
        <v>20190304164313768</v>
      </c>
      <c r="B7750" t="str">
        <f>"1551688993758912"</f>
        <v>1551688993758912</v>
      </c>
      <c r="C7750" t="s">
        <v>40</v>
      </c>
      <c r="D7750">
        <v>4.6512769999999897</v>
      </c>
      <c r="E7750">
        <v>0.58070369999999905</v>
      </c>
      <c r="F7750" t="s">
        <v>53</v>
      </c>
      <c r="G7750">
        <v>-181.77940000000001</v>
      </c>
      <c r="H7750" s="1">
        <v>-5.1291480000000002E-6</v>
      </c>
      <c r="I7750">
        <v>129.14940000000001</v>
      </c>
      <c r="J7750">
        <v>-185.54179999999999</v>
      </c>
      <c r="K7750">
        <v>1.1011120000000001</v>
      </c>
      <c r="L7750">
        <v>123.0547</v>
      </c>
      <c r="M7750">
        <v>0.26328410000000002</v>
      </c>
      <c r="N7750">
        <v>-1.538744E-2</v>
      </c>
      <c r="O7750">
        <v>0.9645956</v>
      </c>
      <c r="P7750">
        <v>0.36106959999999999</v>
      </c>
      <c r="Q7750">
        <v>0.35968860000000002</v>
      </c>
      <c r="R7750">
        <v>0.86037960000000002</v>
      </c>
      <c r="S7750">
        <v>1.8012999999999999</v>
      </c>
      <c r="T7750">
        <v>-0.52070070000000002</v>
      </c>
      <c r="U7750">
        <v>2.9566349999999999</v>
      </c>
      <c r="V7750">
        <v>0.130456399999999</v>
      </c>
      <c r="W7750">
        <v>0.37094110000000002</v>
      </c>
      <c r="X7750">
        <v>0.91944749999999997</v>
      </c>
      <c r="Y7750">
        <v>0.2718546</v>
      </c>
      <c r="Z7750">
        <v>-0.13484949999999901</v>
      </c>
      <c r="AA7750">
        <v>0.95284349999999995</v>
      </c>
      <c r="AB7750">
        <v>33</v>
      </c>
      <c r="AC7750">
        <v>3.76239999999998</v>
      </c>
      <c r="AD7750">
        <v>-1.101117129148</v>
      </c>
      <c r="AE7750">
        <v>6.0947000000000102</v>
      </c>
      <c r="AF7750">
        <v>1.97804707011329</v>
      </c>
      <c r="AG7750">
        <v>-1.101117129148</v>
      </c>
      <c r="AH7750">
        <v>6.7116889908411101</v>
      </c>
      <c r="AI7750">
        <v>98.943155749819894</v>
      </c>
      <c r="AJ7750">
        <v>73.578872445578</v>
      </c>
      <c r="AK7750">
        <v>7.0832124247028396</v>
      </c>
      <c r="AL7750">
        <v>68.226329530091903</v>
      </c>
      <c r="AM7750">
        <v>81.924454618686795</v>
      </c>
      <c r="AN7750">
        <v>0.99999993861320802</v>
      </c>
    </row>
    <row r="7751" spans="1:40" x14ac:dyDescent="0.25">
      <c r="A7751" t="str">
        <f>"20190304164313780"</f>
        <v>20190304164313780</v>
      </c>
      <c r="B7751" t="str">
        <f>"1551688993768672"</f>
        <v>1551688993768672</v>
      </c>
      <c r="C7751" t="s">
        <v>40</v>
      </c>
      <c r="D7751">
        <v>4.599907</v>
      </c>
      <c r="E7751">
        <v>0.58065489999999997</v>
      </c>
      <c r="F7751" t="s">
        <v>53</v>
      </c>
      <c r="G7751">
        <v>-181.71039999999999</v>
      </c>
      <c r="H7751" s="1">
        <v>-5.1580409999999899E-6</v>
      </c>
      <c r="I7751">
        <v>129.20830000000001</v>
      </c>
      <c r="J7751">
        <v>-185.4897</v>
      </c>
      <c r="K7751">
        <v>1.100978</v>
      </c>
      <c r="L7751">
        <v>123.22669999999999</v>
      </c>
      <c r="M7751">
        <v>0.26907379999999997</v>
      </c>
      <c r="N7751">
        <v>-1.541155E-2</v>
      </c>
      <c r="O7751">
        <v>0.96299619999999997</v>
      </c>
      <c r="P7751">
        <v>0.36688219999999999</v>
      </c>
      <c r="Q7751">
        <v>0.35954330000000001</v>
      </c>
      <c r="R7751">
        <v>0.85797789999999996</v>
      </c>
      <c r="S7751">
        <v>1.829788</v>
      </c>
      <c r="T7751">
        <v>-0.5258678</v>
      </c>
      <c r="U7751">
        <v>2.9387970000000001</v>
      </c>
      <c r="V7751">
        <v>0.1312596</v>
      </c>
      <c r="W7751">
        <v>0.3707588</v>
      </c>
      <c r="X7751">
        <v>0.91940679999999997</v>
      </c>
      <c r="Y7751">
        <v>0.27521129999999999</v>
      </c>
      <c r="Z7751">
        <v>-0.13628779999999999</v>
      </c>
      <c r="AA7751">
        <v>0.95167449999999998</v>
      </c>
      <c r="AB7751">
        <v>33</v>
      </c>
      <c r="AC7751">
        <v>3.7793000000000001</v>
      </c>
      <c r="AD7751">
        <v>-1.1009831580410001</v>
      </c>
      <c r="AE7751">
        <v>5.98160000000001</v>
      </c>
      <c r="AF7751">
        <v>1.9822058741695501</v>
      </c>
      <c r="AG7751">
        <v>-1.1009831580410001</v>
      </c>
      <c r="AH7751">
        <v>6.6177390589805398</v>
      </c>
      <c r="AI7751">
        <v>99.055231033382796</v>
      </c>
      <c r="AJ7751">
        <v>73.325508227343605</v>
      </c>
      <c r="AK7751">
        <v>6.9954109453726101</v>
      </c>
      <c r="AL7751">
        <v>68.237578340465703</v>
      </c>
      <c r="AM7751">
        <v>81.875041705546593</v>
      </c>
      <c r="AN7751">
        <v>1.00000001712792</v>
      </c>
    </row>
    <row r="7752" spans="1:40" x14ac:dyDescent="0.25">
      <c r="A7752" t="str">
        <f>"20190304164313793"</f>
        <v>20190304164313793</v>
      </c>
      <c r="B7752" t="str">
        <f>"1551688993789168"</f>
        <v>1551688993789168</v>
      </c>
      <c r="C7752" t="s">
        <v>40</v>
      </c>
      <c r="D7752">
        <v>4.8080220000000002</v>
      </c>
      <c r="E7752">
        <v>0.55816180000000004</v>
      </c>
      <c r="F7752" t="s">
        <v>53</v>
      </c>
      <c r="G7752">
        <v>-181.6277</v>
      </c>
      <c r="H7752" s="1">
        <v>-5.2168380000000004E-6</v>
      </c>
      <c r="I7752">
        <v>129.33619999999999</v>
      </c>
      <c r="J7752">
        <v>-185.43279999999999</v>
      </c>
      <c r="K7752">
        <v>1.1008249999999999</v>
      </c>
      <c r="L7752">
        <v>123.4087</v>
      </c>
      <c r="M7752">
        <v>0.27535949999999998</v>
      </c>
      <c r="N7752">
        <v>-1.5438500000000001E-2</v>
      </c>
      <c r="O7752">
        <v>0.96121730000000005</v>
      </c>
      <c r="P7752">
        <v>0.37312450000000003</v>
      </c>
      <c r="Q7752">
        <v>0.35967320000000003</v>
      </c>
      <c r="R7752">
        <v>0.85522710000000002</v>
      </c>
      <c r="S7752">
        <v>1.8499909999999999</v>
      </c>
      <c r="T7752">
        <v>-0.52738569999999996</v>
      </c>
      <c r="U7752">
        <v>2.9265289999999999</v>
      </c>
      <c r="V7752">
        <v>0.13210829999999901</v>
      </c>
      <c r="W7752">
        <v>0.37084699999999998</v>
      </c>
      <c r="X7752">
        <v>0.91924969999999995</v>
      </c>
      <c r="Y7752">
        <v>0.27540439999999999</v>
      </c>
      <c r="Z7752">
        <v>-0.13658779999999901</v>
      </c>
      <c r="AA7752">
        <v>0.95157559999999997</v>
      </c>
      <c r="AB7752">
        <v>33</v>
      </c>
      <c r="AC7752">
        <v>3.8050999999999799</v>
      </c>
      <c r="AD7752">
        <v>-1.100830216838</v>
      </c>
      <c r="AE7752">
        <v>5.9274999999999904</v>
      </c>
      <c r="AF7752">
        <v>1.97728077393978</v>
      </c>
      <c r="AG7752">
        <v>-1.100830216838</v>
      </c>
      <c r="AH7752">
        <v>6.5853427819369097</v>
      </c>
      <c r="AI7752">
        <v>99.0960056632684</v>
      </c>
      <c r="AJ7752">
        <v>73.287363207673295</v>
      </c>
      <c r="AK7752">
        <v>6.9633473258845902</v>
      </c>
      <c r="AL7752">
        <v>68.232137825530998</v>
      </c>
      <c r="AM7752">
        <v>81.821836901366694</v>
      </c>
      <c r="AN7752">
        <v>1.0000000556439801</v>
      </c>
    </row>
    <row r="7753" spans="1:40" x14ac:dyDescent="0.25">
      <c r="A7753" t="str">
        <f>"20190304164313805"</f>
        <v>20190304164313805</v>
      </c>
      <c r="B7753" t="str">
        <f>"1551688993798928"</f>
        <v>1551688993798928</v>
      </c>
      <c r="C7753" t="s">
        <v>40</v>
      </c>
      <c r="D7753">
        <v>4.5731299999999999</v>
      </c>
      <c r="E7753">
        <v>0.55113290000000004</v>
      </c>
      <c r="F7753" t="s">
        <v>41</v>
      </c>
      <c r="G7753">
        <v>-185.0249</v>
      </c>
      <c r="H7753">
        <v>0.91494679999999995</v>
      </c>
      <c r="I7753">
        <v>124.1336</v>
      </c>
      <c r="J7753">
        <v>-185.3732</v>
      </c>
      <c r="K7753">
        <v>1.1006659999999999</v>
      </c>
      <c r="L7753">
        <v>123.59569999999999</v>
      </c>
      <c r="M7753">
        <v>0.28189399999999998</v>
      </c>
      <c r="N7753">
        <v>-1.546637E-2</v>
      </c>
      <c r="O7753">
        <v>0.95932090000000003</v>
      </c>
      <c r="P7753">
        <v>0.37915379999999999</v>
      </c>
      <c r="Q7753">
        <v>0.35939539999999998</v>
      </c>
      <c r="R7753">
        <v>0.85268840000000001</v>
      </c>
      <c r="S7753">
        <v>1.7346950000000001</v>
      </c>
      <c r="T7753">
        <v>-0.79035529999999998</v>
      </c>
      <c r="U7753">
        <v>3.083405</v>
      </c>
      <c r="V7753">
        <v>0.13244520000000001</v>
      </c>
      <c r="W7753">
        <v>0.37054179999999998</v>
      </c>
      <c r="X7753">
        <v>0.91932420000000004</v>
      </c>
      <c r="Y7753">
        <v>0.2138661</v>
      </c>
      <c r="Z7753">
        <v>-0.20206589999999999</v>
      </c>
      <c r="AA7753">
        <v>0.95573569999999997</v>
      </c>
      <c r="AB7753">
        <v>33</v>
      </c>
      <c r="AC7753">
        <v>0.348299999999994</v>
      </c>
      <c r="AD7753">
        <v>-0.185719199999999</v>
      </c>
      <c r="AE7753">
        <v>0.53790000000000704</v>
      </c>
      <c r="AF7753">
        <v>0.168379809637663</v>
      </c>
      <c r="AG7753">
        <v>-0.185719199999999</v>
      </c>
      <c r="AH7753">
        <v>0.56667886389835098</v>
      </c>
      <c r="AI7753">
        <v>107.440512311284</v>
      </c>
      <c r="AJ7753">
        <v>73.451502030436998</v>
      </c>
      <c r="AK7753">
        <v>0.61965177021564399</v>
      </c>
      <c r="AL7753">
        <v>68.250963961584503</v>
      </c>
      <c r="AM7753">
        <v>81.801919667075396</v>
      </c>
      <c r="AN7753">
        <v>0.99999997062795898</v>
      </c>
    </row>
    <row r="7754" spans="1:40" x14ac:dyDescent="0.25">
      <c r="A7754" t="str">
        <f>"20190304164313822"</f>
        <v>20190304164313822</v>
      </c>
      <c r="B7754" t="str">
        <f>"1551688993818448"</f>
        <v>1551688993818448</v>
      </c>
      <c r="C7754" t="s">
        <v>40</v>
      </c>
      <c r="D7754">
        <v>4.6316030000000001</v>
      </c>
      <c r="E7754">
        <v>0.54185989999999995</v>
      </c>
      <c r="F7754" t="s">
        <v>41</v>
      </c>
      <c r="G7754">
        <v>-184.9272</v>
      </c>
      <c r="H7754">
        <v>0.88812429999999998</v>
      </c>
      <c r="I7754">
        <v>124.40519999999999</v>
      </c>
      <c r="J7754">
        <v>-185.29810000000001</v>
      </c>
      <c r="K7754">
        <v>1.1004670000000001</v>
      </c>
      <c r="L7754">
        <v>123.82550000000001</v>
      </c>
      <c r="M7754">
        <v>0.29007490000000002</v>
      </c>
      <c r="N7754">
        <v>-1.550288E-2</v>
      </c>
      <c r="O7754">
        <v>0.95687840000000002</v>
      </c>
      <c r="P7754">
        <v>0.38669360000000003</v>
      </c>
      <c r="Q7754">
        <v>0.35870400000000002</v>
      </c>
      <c r="R7754">
        <v>0.84958789999999995</v>
      </c>
      <c r="S7754">
        <v>1.708572</v>
      </c>
      <c r="T7754">
        <v>-0.81409319999999996</v>
      </c>
      <c r="U7754">
        <v>3.1016849999999998</v>
      </c>
      <c r="V7754">
        <v>0.13281750000000001</v>
      </c>
      <c r="W7754">
        <v>0.36981930000000002</v>
      </c>
      <c r="X7754">
        <v>0.91956139999999997</v>
      </c>
      <c r="Y7754">
        <v>0.19639970000000001</v>
      </c>
      <c r="Z7754">
        <v>-0.20712269999999999</v>
      </c>
      <c r="AA7754">
        <v>0.95839830000000004</v>
      </c>
      <c r="AB7754">
        <v>33</v>
      </c>
      <c r="AC7754">
        <v>0.370900000000006</v>
      </c>
      <c r="AD7754">
        <v>-0.2123427</v>
      </c>
      <c r="AE7754">
        <v>0.579699999999988</v>
      </c>
      <c r="AF7754">
        <v>0.17053679150951601</v>
      </c>
      <c r="AG7754">
        <v>-0.2123427</v>
      </c>
      <c r="AH7754">
        <v>0.60479329606153198</v>
      </c>
      <c r="AI7754">
        <v>108.67126419979</v>
      </c>
      <c r="AJ7754">
        <v>74.252857267403698</v>
      </c>
      <c r="AK7754">
        <v>0.66328512003709394</v>
      </c>
      <c r="AL7754">
        <v>68.295526192368996</v>
      </c>
      <c r="AM7754">
        <v>81.781281196168905</v>
      </c>
      <c r="AN7754">
        <v>0.999999985664349</v>
      </c>
    </row>
    <row r="7755" spans="1:40" x14ac:dyDescent="0.25">
      <c r="A7755" t="str">
        <f>"20190304164313835"</f>
        <v>20190304164313835</v>
      </c>
      <c r="B7755" t="str">
        <f>"1551688993829184"</f>
        <v>1551688993829184</v>
      </c>
      <c r="C7755" t="s">
        <v>40</v>
      </c>
      <c r="D7755">
        <v>4.5712169999999999</v>
      </c>
      <c r="E7755">
        <v>0.53944179999999997</v>
      </c>
      <c r="F7755" t="s">
        <v>41</v>
      </c>
      <c r="G7755">
        <v>-184.84059999999999</v>
      </c>
      <c r="H7755">
        <v>0.86524080000000003</v>
      </c>
      <c r="I7755">
        <v>124.6811</v>
      </c>
      <c r="J7755">
        <v>-185.23689999999999</v>
      </c>
      <c r="K7755">
        <v>1.100309</v>
      </c>
      <c r="L7755">
        <v>124.00579999999999</v>
      </c>
      <c r="M7755">
        <v>0.2966664</v>
      </c>
      <c r="N7755">
        <v>-1.553559E-2</v>
      </c>
      <c r="O7755">
        <v>0.9548548</v>
      </c>
      <c r="P7755">
        <v>0.392544</v>
      </c>
      <c r="Q7755">
        <v>0.3583694</v>
      </c>
      <c r="R7755">
        <v>0.84704230000000003</v>
      </c>
      <c r="S7755">
        <v>1.6749270000000001</v>
      </c>
      <c r="T7755">
        <v>-0.86102869999999998</v>
      </c>
      <c r="U7755">
        <v>3.1323089999999998</v>
      </c>
      <c r="V7755">
        <v>0.13290779999999999</v>
      </c>
      <c r="W7755">
        <v>0.36946839999999997</v>
      </c>
      <c r="X7755">
        <v>0.91968939999999999</v>
      </c>
      <c r="Y7755">
        <v>0.1765487</v>
      </c>
      <c r="Z7755">
        <v>-0.21751139999999999</v>
      </c>
      <c r="AA7755">
        <v>0.95995799999999998</v>
      </c>
      <c r="AB7755">
        <v>33</v>
      </c>
      <c r="AC7755">
        <v>0.39629999999999599</v>
      </c>
      <c r="AD7755">
        <v>-0.23506819999999901</v>
      </c>
      <c r="AE7755">
        <v>0.67530000000000701</v>
      </c>
      <c r="AF7755">
        <v>0.16336737742641</v>
      </c>
      <c r="AG7755">
        <v>-0.23506819999999901</v>
      </c>
      <c r="AH7755">
        <v>0.69943453450791104</v>
      </c>
      <c r="AI7755">
        <v>108.121950955673</v>
      </c>
      <c r="AJ7755">
        <v>76.853083309251303</v>
      </c>
      <c r="AK7755">
        <v>0.75574772690410497</v>
      </c>
      <c r="AL7755">
        <v>68.3171638320417</v>
      </c>
      <c r="AM7755">
        <v>81.776898835022195</v>
      </c>
      <c r="AN7755">
        <v>0.99999998718587901</v>
      </c>
    </row>
    <row r="7756" spans="1:40" x14ac:dyDescent="0.25">
      <c r="A7756" t="str">
        <f>"20190304164313846"</f>
        <v>20190304164313846</v>
      </c>
      <c r="B7756" t="str">
        <f>"1551688993838944"</f>
        <v>1551688993838944</v>
      </c>
      <c r="C7756" t="s">
        <v>40</v>
      </c>
      <c r="D7756">
        <v>4.5253800000000002</v>
      </c>
      <c r="E7756">
        <v>0.53749159999999996</v>
      </c>
      <c r="F7756" t="s">
        <v>41</v>
      </c>
      <c r="G7756">
        <v>-184.86170000000001</v>
      </c>
      <c r="H7756">
        <v>0.90471389999999996</v>
      </c>
      <c r="I7756">
        <v>124.7046</v>
      </c>
      <c r="J7756">
        <v>-185.18020000000001</v>
      </c>
      <c r="K7756">
        <v>1.100169</v>
      </c>
      <c r="L7756">
        <v>124.1704</v>
      </c>
      <c r="M7756">
        <v>0.30273169999999999</v>
      </c>
      <c r="N7756">
        <v>-1.556488E-2</v>
      </c>
      <c r="O7756">
        <v>0.95294869999999998</v>
      </c>
      <c r="P7756">
        <v>0.39763039999999999</v>
      </c>
      <c r="Q7756">
        <v>0.35767110000000002</v>
      </c>
      <c r="R7756">
        <v>0.84496249999999995</v>
      </c>
      <c r="S7756">
        <v>1.6823429999999999</v>
      </c>
      <c r="T7756">
        <v>-0.87686900000000001</v>
      </c>
      <c r="U7756">
        <v>3.133057</v>
      </c>
      <c r="V7756">
        <v>0.132607</v>
      </c>
      <c r="W7756">
        <v>0.36876730000000002</v>
      </c>
      <c r="X7756">
        <v>0.92001409999999995</v>
      </c>
      <c r="Y7756">
        <v>0.17158409999999999</v>
      </c>
      <c r="Z7756">
        <v>-0.22079199999999999</v>
      </c>
      <c r="AA7756">
        <v>0.96010930000000005</v>
      </c>
      <c r="AB7756">
        <v>33</v>
      </c>
      <c r="AC7756">
        <v>0.31850000000000001</v>
      </c>
      <c r="AD7756">
        <v>-0.19545509999999899</v>
      </c>
      <c r="AE7756">
        <v>0.53419999999999801</v>
      </c>
      <c r="AF7756">
        <v>0.12906520339643501</v>
      </c>
      <c r="AG7756">
        <v>-0.19545509999999899</v>
      </c>
      <c r="AH7756">
        <v>0.55112760177095199</v>
      </c>
      <c r="AI7756">
        <v>109.04997820760499</v>
      </c>
      <c r="AJ7756">
        <v>76.819769578900903</v>
      </c>
      <c r="AK7756">
        <v>0.59883399726265896</v>
      </c>
      <c r="AL7756">
        <v>68.360385105489897</v>
      </c>
      <c r="AM7756">
        <v>81.7981121758462</v>
      </c>
      <c r="AN7756">
        <v>0.99999994109854795</v>
      </c>
    </row>
    <row r="7757" spans="1:40" x14ac:dyDescent="0.25">
      <c r="A7757" t="str">
        <f>"20190304164313857"</f>
        <v>20190304164313857</v>
      </c>
      <c r="B7757" t="str">
        <f>"1551688993848704"</f>
        <v>1551688993848704</v>
      </c>
      <c r="C7757" t="s">
        <v>40</v>
      </c>
      <c r="D7757">
        <v>4.5619050000000003</v>
      </c>
      <c r="E7757">
        <v>0.53623999999999905</v>
      </c>
      <c r="F7757" t="s">
        <v>41</v>
      </c>
      <c r="G7757">
        <v>-184.74950000000001</v>
      </c>
      <c r="H7757">
        <v>0.87307869999999999</v>
      </c>
      <c r="I7757">
        <v>124.9691</v>
      </c>
      <c r="J7757">
        <v>-185.12190000000001</v>
      </c>
      <c r="K7757">
        <v>1.1000289999999999</v>
      </c>
      <c r="L7757">
        <v>124.3357</v>
      </c>
      <c r="M7757">
        <v>0.30891360000000001</v>
      </c>
      <c r="N7757">
        <v>-1.5595090000000001E-2</v>
      </c>
      <c r="O7757">
        <v>0.95096219999999998</v>
      </c>
      <c r="P7757">
        <v>0.40321279999999998</v>
      </c>
      <c r="Q7757">
        <v>0.35667959999999999</v>
      </c>
      <c r="R7757">
        <v>0.84273310000000001</v>
      </c>
      <c r="S7757">
        <v>1.689163</v>
      </c>
      <c r="T7757">
        <v>-0.89037749999999904</v>
      </c>
      <c r="U7757">
        <v>3.1324619999999999</v>
      </c>
      <c r="V7757">
        <v>0.13268869999999999</v>
      </c>
      <c r="W7757">
        <v>0.3677667</v>
      </c>
      <c r="X7757">
        <v>0.92040279999999997</v>
      </c>
      <c r="Y7757">
        <v>0.16656260000000001</v>
      </c>
      <c r="Z7757">
        <v>-0.22351460000000001</v>
      </c>
      <c r="AA7757">
        <v>0.96036359999999998</v>
      </c>
      <c r="AB7757">
        <v>33</v>
      </c>
      <c r="AC7757">
        <v>0.37239999999999801</v>
      </c>
      <c r="AD7757">
        <v>-0.22695029999999999</v>
      </c>
      <c r="AE7757">
        <v>0.63339999999999397</v>
      </c>
      <c r="AF7757">
        <v>0.14468792691878801</v>
      </c>
      <c r="AG7757">
        <v>-0.22695029999999999</v>
      </c>
      <c r="AH7757">
        <v>0.65497860289305299</v>
      </c>
      <c r="AI7757">
        <v>108.692902261757</v>
      </c>
      <c r="AJ7757">
        <v>77.543142126384595</v>
      </c>
      <c r="AK7757">
        <v>0.70812287430493503</v>
      </c>
      <c r="AL7757">
        <v>68.422049784039302</v>
      </c>
      <c r="AM7757">
        <v>81.7965464589834</v>
      </c>
      <c r="AN7757">
        <v>0.99999997549220898</v>
      </c>
    </row>
    <row r="7758" spans="1:40" x14ac:dyDescent="0.25">
      <c r="A7758" t="str">
        <f>"20190304164313868"</f>
        <v>20190304164313868</v>
      </c>
      <c r="B7758" t="str">
        <f>"1551688993858464"</f>
        <v>1551688993858464</v>
      </c>
      <c r="C7758" t="s">
        <v>40</v>
      </c>
      <c r="D7758">
        <v>4.5473619999999997</v>
      </c>
      <c r="E7758">
        <v>0.5352536</v>
      </c>
      <c r="F7758" t="s">
        <v>41</v>
      </c>
      <c r="G7758">
        <v>-184.7653</v>
      </c>
      <c r="H7758">
        <v>0.91107669999999996</v>
      </c>
      <c r="I7758">
        <v>124.9909</v>
      </c>
      <c r="J7758">
        <v>-185.07130000000001</v>
      </c>
      <c r="K7758">
        <v>1.0999099999999999</v>
      </c>
      <c r="L7758">
        <v>124.47620000000001</v>
      </c>
      <c r="M7758">
        <v>0.31423679999999998</v>
      </c>
      <c r="N7758">
        <v>-1.5620469999999999E-2</v>
      </c>
      <c r="O7758">
        <v>0.94921610000000001</v>
      </c>
      <c r="P7758">
        <v>0.40761530000000001</v>
      </c>
      <c r="Q7758">
        <v>0.35629240000000001</v>
      </c>
      <c r="R7758">
        <v>0.84077669999999904</v>
      </c>
      <c r="S7758">
        <v>1.701889</v>
      </c>
      <c r="T7758">
        <v>-0.90158609999999995</v>
      </c>
      <c r="U7758">
        <v>3.127167</v>
      </c>
      <c r="V7758">
        <v>0.13238510000000001</v>
      </c>
      <c r="W7758">
        <v>0.36737969999999998</v>
      </c>
      <c r="X7758">
        <v>0.92060109999999995</v>
      </c>
      <c r="Y7758">
        <v>0.16445190000000001</v>
      </c>
      <c r="Z7758">
        <v>-0.22587070000000001</v>
      </c>
      <c r="AA7758">
        <v>0.96017609999999998</v>
      </c>
      <c r="AB7758">
        <v>33</v>
      </c>
      <c r="AC7758">
        <v>0.30600000000001099</v>
      </c>
      <c r="AD7758">
        <v>-0.18883330000000001</v>
      </c>
      <c r="AE7758">
        <v>0.51469999999999005</v>
      </c>
      <c r="AF7758">
        <v>0.117093229622761</v>
      </c>
      <c r="AG7758">
        <v>-0.18883330000000001</v>
      </c>
      <c r="AH7758">
        <v>0.53189260995597398</v>
      </c>
      <c r="AI7758">
        <v>109.12241559879899</v>
      </c>
      <c r="AJ7758">
        <v>77.584685001258293</v>
      </c>
      <c r="AK7758">
        <v>0.57643610932882805</v>
      </c>
      <c r="AL7758">
        <v>68.445893413382294</v>
      </c>
      <c r="AM7758">
        <v>81.816801039671503</v>
      </c>
      <c r="AN7758">
        <v>1.0000000219976499</v>
      </c>
    </row>
    <row r="7759" spans="1:40" x14ac:dyDescent="0.25">
      <c r="A7759" t="str">
        <f>"20190304164313888"</f>
        <v>20190304164313888</v>
      </c>
      <c r="B7759" t="str">
        <f>"1551688993878960"</f>
        <v>1551688993878960</v>
      </c>
      <c r="C7759" t="s">
        <v>40</v>
      </c>
      <c r="D7759">
        <v>4.5267019999999896</v>
      </c>
      <c r="E7759">
        <v>0.53408350000000004</v>
      </c>
      <c r="F7759" t="s">
        <v>41</v>
      </c>
      <c r="G7759">
        <v>-184.6465</v>
      </c>
      <c r="H7759">
        <v>0.87497340000000001</v>
      </c>
      <c r="I7759">
        <v>125.2508</v>
      </c>
      <c r="J7759">
        <v>-184.96299999999999</v>
      </c>
      <c r="K7759">
        <v>1.099667</v>
      </c>
      <c r="L7759">
        <v>124.76860000000001</v>
      </c>
      <c r="M7759">
        <v>0.3254959</v>
      </c>
      <c r="N7759">
        <v>-1.5672169999999999E-2</v>
      </c>
      <c r="O7759">
        <v>0.94541350000000002</v>
      </c>
      <c r="P7759">
        <v>0.4178328</v>
      </c>
      <c r="Q7759">
        <v>0.35522490000000001</v>
      </c>
      <c r="R7759">
        <v>0.83620030000000001</v>
      </c>
      <c r="S7759">
        <v>1.712097</v>
      </c>
      <c r="T7759">
        <v>-0.90653819999999996</v>
      </c>
      <c r="U7759">
        <v>3.1222690000000002</v>
      </c>
      <c r="V7759">
        <v>0.13269739999999999</v>
      </c>
      <c r="W7759">
        <v>0.36628880000000003</v>
      </c>
      <c r="X7759">
        <v>0.92099070000000005</v>
      </c>
      <c r="Y7759">
        <v>0.15573380000000001</v>
      </c>
      <c r="Z7759">
        <v>-0.2260384</v>
      </c>
      <c r="AA7759">
        <v>0.96158909999999997</v>
      </c>
      <c r="AB7759">
        <v>33</v>
      </c>
      <c r="AC7759">
        <v>0.31649999999999001</v>
      </c>
      <c r="AD7759">
        <v>-0.22469359999999899</v>
      </c>
      <c r="AE7759">
        <v>0.48219999999999102</v>
      </c>
      <c r="AF7759">
        <v>0.12353906878559801</v>
      </c>
      <c r="AG7759">
        <v>-0.22469359999999899</v>
      </c>
      <c r="AH7759">
        <v>0.48531723520551501</v>
      </c>
      <c r="AI7759">
        <v>114.164563536085</v>
      </c>
      <c r="AJ7759">
        <v>75.718485985147495</v>
      </c>
      <c r="AK7759">
        <v>0.548891550476866</v>
      </c>
      <c r="AL7759">
        <v>68.513080288018003</v>
      </c>
      <c r="AM7759">
        <v>81.801181570488197</v>
      </c>
      <c r="AN7759">
        <v>0.99999997722934397</v>
      </c>
    </row>
    <row r="7760" spans="1:40" x14ac:dyDescent="0.25">
      <c r="A7760" t="str">
        <f>"20190304164313901"</f>
        <v>20190304164313901</v>
      </c>
      <c r="B7760" t="str">
        <f>"1551688993888721"</f>
        <v>1551688993888721</v>
      </c>
      <c r="C7760" t="s">
        <v>40</v>
      </c>
      <c r="D7760">
        <v>4.5398740000000002</v>
      </c>
      <c r="E7760">
        <v>0.53365359999999995</v>
      </c>
      <c r="F7760" t="s">
        <v>41</v>
      </c>
      <c r="G7760">
        <v>-184.53659999999999</v>
      </c>
      <c r="H7760">
        <v>0.87509950000000003</v>
      </c>
      <c r="I7760">
        <v>125.52889999999999</v>
      </c>
      <c r="J7760">
        <v>-184.8922</v>
      </c>
      <c r="K7760">
        <v>1.099518</v>
      </c>
      <c r="L7760">
        <v>124.955</v>
      </c>
      <c r="M7760">
        <v>0.3327775</v>
      </c>
      <c r="N7760">
        <v>-1.570411E-2</v>
      </c>
      <c r="O7760">
        <v>0.94287460000000001</v>
      </c>
      <c r="P7760">
        <v>0.42434450000000001</v>
      </c>
      <c r="Q7760">
        <v>0.35509590000000002</v>
      </c>
      <c r="R7760">
        <v>0.83296979999999998</v>
      </c>
      <c r="S7760">
        <v>1.7421880000000001</v>
      </c>
      <c r="T7760">
        <v>-0.9173367</v>
      </c>
      <c r="U7760">
        <v>3.1068120000000001</v>
      </c>
      <c r="V7760">
        <v>0.13288759999999999</v>
      </c>
      <c r="W7760">
        <v>0.36614150000000001</v>
      </c>
      <c r="X7760">
        <v>0.92102189999999995</v>
      </c>
      <c r="Y7760">
        <v>0.156950799999999</v>
      </c>
      <c r="Z7760">
        <v>-0.22827510000000001</v>
      </c>
      <c r="AA7760">
        <v>0.96086260000000001</v>
      </c>
      <c r="AB7760">
        <v>33</v>
      </c>
      <c r="AC7760">
        <v>0.35560000000000902</v>
      </c>
      <c r="AD7760">
        <v>-0.22441849999999999</v>
      </c>
      <c r="AE7760">
        <v>0.57389999999999397</v>
      </c>
      <c r="AF7760">
        <v>0.12996310868257299</v>
      </c>
      <c r="AG7760">
        <v>-0.22441849999999999</v>
      </c>
      <c r="AH7760">
        <v>0.59391037341643804</v>
      </c>
      <c r="AI7760">
        <v>110.26068559446701</v>
      </c>
      <c r="AJ7760">
        <v>77.656750044188399</v>
      </c>
      <c r="AK7760">
        <v>0.648061420246833</v>
      </c>
      <c r="AL7760">
        <v>68.522151135174894</v>
      </c>
      <c r="AM7760">
        <v>81.789864350651598</v>
      </c>
      <c r="AN7760">
        <v>1.0000000262677999</v>
      </c>
    </row>
    <row r="7761" spans="1:40" x14ac:dyDescent="0.25">
      <c r="A7761" t="str">
        <f>"20190304164313916"</f>
        <v>20190304164313916</v>
      </c>
      <c r="B7761" t="str">
        <f>"1551688993909216"</f>
        <v>1551688993909216</v>
      </c>
      <c r="C7761" t="s">
        <v>40</v>
      </c>
      <c r="D7761">
        <v>4.5875339999999998</v>
      </c>
      <c r="E7761">
        <v>0.53299249999999998</v>
      </c>
      <c r="F7761" t="s">
        <v>41</v>
      </c>
      <c r="G7761">
        <v>-184.5505</v>
      </c>
      <c r="H7761">
        <v>0.92116500000000001</v>
      </c>
      <c r="I7761">
        <v>125.55459999999999</v>
      </c>
      <c r="J7761">
        <v>-184.81479999999999</v>
      </c>
      <c r="K7761">
        <v>1.0993740000000001</v>
      </c>
      <c r="L7761">
        <v>125.15179999999999</v>
      </c>
      <c r="M7761">
        <v>0.34061780000000003</v>
      </c>
      <c r="N7761">
        <v>-1.5739030000000001E-2</v>
      </c>
      <c r="O7761">
        <v>0.94007010000000002</v>
      </c>
      <c r="P7761">
        <v>0.43149019999999999</v>
      </c>
      <c r="Q7761">
        <v>0.35471350000000001</v>
      </c>
      <c r="R7761">
        <v>0.82945440000000004</v>
      </c>
      <c r="S7761">
        <v>1.7638849999999999</v>
      </c>
      <c r="T7761">
        <v>-0.92043350000000002</v>
      </c>
      <c r="U7761">
        <v>3.095367</v>
      </c>
      <c r="V7761">
        <v>0.1331985</v>
      </c>
      <c r="W7761">
        <v>0.36574210000000001</v>
      </c>
      <c r="X7761">
        <v>0.9211357</v>
      </c>
      <c r="Y7761">
        <v>0.15530099999999999</v>
      </c>
      <c r="Z7761">
        <v>-0.2284196</v>
      </c>
      <c r="AA7761">
        <v>0.96109630000000001</v>
      </c>
      <c r="AB7761">
        <v>33</v>
      </c>
      <c r="AC7761">
        <v>0.26429999999999099</v>
      </c>
      <c r="AD7761">
        <v>-0.17820900000000001</v>
      </c>
      <c r="AE7761">
        <v>0.40279999999999899</v>
      </c>
      <c r="AF7761">
        <v>9.7880517741624401E-2</v>
      </c>
      <c r="AG7761">
        <v>-0.17820900000000001</v>
      </c>
      <c r="AH7761">
        <v>0.41232531344303103</v>
      </c>
      <c r="AI7761">
        <v>112.80765964487701</v>
      </c>
      <c r="AJ7761">
        <v>76.645930356857704</v>
      </c>
      <c r="AK7761">
        <v>0.45972949387684697</v>
      </c>
      <c r="AL7761">
        <v>68.546741209765699</v>
      </c>
      <c r="AM7761">
        <v>81.7719216429021</v>
      </c>
      <c r="AN7761">
        <v>1.0000000509645699</v>
      </c>
    </row>
    <row r="7762" spans="1:40" x14ac:dyDescent="0.25">
      <c r="A7762" t="str">
        <f>"20190304164313929"</f>
        <v>20190304164313929</v>
      </c>
      <c r="B7762" t="str">
        <f>"1551688993918976"</f>
        <v>1551688993918976</v>
      </c>
      <c r="C7762" t="s">
        <v>40</v>
      </c>
      <c r="D7762">
        <v>4.538583</v>
      </c>
      <c r="E7762">
        <v>0.53271380000000002</v>
      </c>
      <c r="F7762" t="s">
        <v>41</v>
      </c>
      <c r="G7762">
        <v>-184.42869999999999</v>
      </c>
      <c r="H7762">
        <v>0.8992462</v>
      </c>
      <c r="I7762">
        <v>125.818</v>
      </c>
      <c r="J7762">
        <v>-184.73830000000001</v>
      </c>
      <c r="K7762">
        <v>1.099235</v>
      </c>
      <c r="L7762">
        <v>125.3424</v>
      </c>
      <c r="M7762">
        <v>0.34828930000000002</v>
      </c>
      <c r="N7762">
        <v>-1.5771919999999998E-2</v>
      </c>
      <c r="O7762">
        <v>0.93725440000000004</v>
      </c>
      <c r="P7762">
        <v>0.43879380000000001</v>
      </c>
      <c r="Q7762">
        <v>0.35440660000000002</v>
      </c>
      <c r="R7762">
        <v>0.82574570000000003</v>
      </c>
      <c r="S7762">
        <v>1.7867740000000001</v>
      </c>
      <c r="T7762">
        <v>-0.92593119999999995</v>
      </c>
      <c r="U7762">
        <v>3.0832980000000001</v>
      </c>
      <c r="V7762">
        <v>0.13386870000000001</v>
      </c>
      <c r="W7762">
        <v>0.3654075</v>
      </c>
      <c r="X7762">
        <v>0.92117130000000003</v>
      </c>
      <c r="Y7762">
        <v>0.15408649999999999</v>
      </c>
      <c r="Z7762">
        <v>-0.22915460000000001</v>
      </c>
      <c r="AA7762">
        <v>0.96111679999999999</v>
      </c>
      <c r="AB7762">
        <v>33</v>
      </c>
      <c r="AC7762">
        <v>0.30960000000001697</v>
      </c>
      <c r="AD7762">
        <v>-0.19998879999999999</v>
      </c>
      <c r="AE7762">
        <v>0.47560000000000002</v>
      </c>
      <c r="AF7762">
        <v>0.110784575099228</v>
      </c>
      <c r="AG7762">
        <v>-0.19998879999999999</v>
      </c>
      <c r="AH7762">
        <v>0.49249393382710799</v>
      </c>
      <c r="AI7762">
        <v>111.612181815726</v>
      </c>
      <c r="AJ7762">
        <v>77.322557591285403</v>
      </c>
      <c r="AK7762">
        <v>0.54297239069943104</v>
      </c>
      <c r="AL7762">
        <v>68.567337283665296</v>
      </c>
      <c r="AM7762">
        <v>81.731407556374194</v>
      </c>
      <c r="AN7762">
        <v>1.00000001691981</v>
      </c>
    </row>
    <row r="7763" spans="1:40" x14ac:dyDescent="0.25">
      <c r="A7763" t="str">
        <f>"20190304164313946"</f>
        <v>20190304164313946</v>
      </c>
      <c r="B7763" t="str">
        <f>"1551688993938496"</f>
        <v>1551688993938496</v>
      </c>
      <c r="C7763" t="s">
        <v>40</v>
      </c>
      <c r="D7763">
        <v>4.5708989999999998</v>
      </c>
      <c r="E7763">
        <v>0.53207530000000003</v>
      </c>
      <c r="F7763" t="s">
        <v>41</v>
      </c>
      <c r="G7763">
        <v>-184.3031</v>
      </c>
      <c r="H7763">
        <v>0.87610239999999995</v>
      </c>
      <c r="I7763">
        <v>126.0791</v>
      </c>
      <c r="J7763">
        <v>-184.64510000000001</v>
      </c>
      <c r="K7763">
        <v>1.0990740000000001</v>
      </c>
      <c r="L7763">
        <v>125.5688</v>
      </c>
      <c r="M7763">
        <v>0.35751500000000003</v>
      </c>
      <c r="N7763">
        <v>-1.581016E-2</v>
      </c>
      <c r="O7763">
        <v>0.93377359999999998</v>
      </c>
      <c r="P7763">
        <v>0.44759369999999998</v>
      </c>
      <c r="Q7763">
        <v>0.35363709999999998</v>
      </c>
      <c r="R7763">
        <v>0.82134079999999998</v>
      </c>
      <c r="S7763">
        <v>1.812225</v>
      </c>
      <c r="T7763">
        <v>-0.92895499999999998</v>
      </c>
      <c r="U7763">
        <v>3.0687709999999999</v>
      </c>
      <c r="V7763">
        <v>0.13463049999999999</v>
      </c>
      <c r="W7763">
        <v>0.36460880000000001</v>
      </c>
      <c r="X7763">
        <v>0.92137670000000005</v>
      </c>
      <c r="Y7763">
        <v>0.15221680000000001</v>
      </c>
      <c r="Z7763">
        <v>-0.22914979999999999</v>
      </c>
      <c r="AA7763">
        <v>0.96141580000000004</v>
      </c>
      <c r="AB7763">
        <v>33</v>
      </c>
      <c r="AC7763">
        <v>0.34200000000001202</v>
      </c>
      <c r="AD7763">
        <v>-0.22297159999999899</v>
      </c>
      <c r="AE7763">
        <v>0.51029999999999998</v>
      </c>
      <c r="AF7763">
        <v>0.120988268991502</v>
      </c>
      <c r="AG7763">
        <v>-0.22297159999999899</v>
      </c>
      <c r="AH7763">
        <v>0.52913865721048403</v>
      </c>
      <c r="AI7763">
        <v>112.33210119861501</v>
      </c>
      <c r="AJ7763">
        <v>77.120646644505996</v>
      </c>
      <c r="AK7763">
        <v>0.58680679460503304</v>
      </c>
      <c r="AL7763">
        <v>68.616490109192199</v>
      </c>
      <c r="AM7763">
        <v>81.686837681853405</v>
      </c>
      <c r="AN7763">
        <v>0.99999998593528905</v>
      </c>
    </row>
    <row r="7764" spans="1:40" x14ac:dyDescent="0.25">
      <c r="A7764" t="str">
        <f>"20190304164313958"</f>
        <v>20190304164313958</v>
      </c>
      <c r="B7764" t="str">
        <f>"1551688993949232"</f>
        <v>1551688993949232</v>
      </c>
      <c r="C7764" t="s">
        <v>40</v>
      </c>
      <c r="D7764">
        <v>4.5468080000000004</v>
      </c>
      <c r="E7764">
        <v>0.53207530000000003</v>
      </c>
      <c r="F7764" t="s">
        <v>41</v>
      </c>
      <c r="G7764">
        <v>-184.17760000000001</v>
      </c>
      <c r="H7764">
        <v>0.86143890000000001</v>
      </c>
      <c r="I7764">
        <v>126.3433</v>
      </c>
      <c r="J7764">
        <v>-184.5728</v>
      </c>
      <c r="K7764">
        <v>1.0989549999999999</v>
      </c>
      <c r="L7764">
        <v>125.7398</v>
      </c>
      <c r="M7764">
        <v>0.36457319999999999</v>
      </c>
      <c r="N7764">
        <v>-1.583884E-2</v>
      </c>
      <c r="O7764">
        <v>0.93103999999999998</v>
      </c>
      <c r="P7764">
        <v>0.4545092</v>
      </c>
      <c r="Q7764">
        <v>0.352991</v>
      </c>
      <c r="R7764">
        <v>0.81781349999999997</v>
      </c>
      <c r="S7764">
        <v>1.842117</v>
      </c>
      <c r="T7764">
        <v>-0.93632269999999895</v>
      </c>
      <c r="U7764">
        <v>3.0518489999999998</v>
      </c>
      <c r="V7764">
        <v>0.1354146</v>
      </c>
      <c r="W7764">
        <v>0.36393599999999998</v>
      </c>
      <c r="X7764">
        <v>0.92152780000000001</v>
      </c>
      <c r="Y7764">
        <v>0.15379370000000001</v>
      </c>
      <c r="Z7764">
        <v>-0.23048679999999999</v>
      </c>
      <c r="AA7764">
        <v>0.96084510000000001</v>
      </c>
      <c r="AB7764">
        <v>33</v>
      </c>
      <c r="AC7764">
        <v>0.39519999999998801</v>
      </c>
      <c r="AD7764">
        <v>-0.23751609999999901</v>
      </c>
      <c r="AE7764">
        <v>0.60349999999999604</v>
      </c>
      <c r="AF7764">
        <v>0.133476056387061</v>
      </c>
      <c r="AG7764">
        <v>-0.23751609999999901</v>
      </c>
      <c r="AH7764">
        <v>0.63699640651816702</v>
      </c>
      <c r="AI7764">
        <v>110.049206525109</v>
      </c>
      <c r="AJ7764">
        <v>78.165480764543005</v>
      </c>
      <c r="AK7764">
        <v>0.69281612084658495</v>
      </c>
      <c r="AL7764">
        <v>68.657883145847705</v>
      </c>
      <c r="AM7764">
        <v>81.6404550897593</v>
      </c>
      <c r="AN7764">
        <v>1.0000000060809999</v>
      </c>
    </row>
    <row r="7765" spans="1:40" x14ac:dyDescent="0.25">
      <c r="A7765" t="str">
        <f>"20190304164313968"</f>
        <v>20190304164313968</v>
      </c>
      <c r="B7765" t="str">
        <f>"1551688993958992"</f>
        <v>1551688993958992</v>
      </c>
      <c r="C7765" t="s">
        <v>40</v>
      </c>
      <c r="D7765">
        <v>4.5443800000000003</v>
      </c>
      <c r="E7765">
        <v>0.51734519999999995</v>
      </c>
      <c r="F7765" t="s">
        <v>41</v>
      </c>
      <c r="G7765">
        <v>-184.18719999999999</v>
      </c>
      <c r="H7765">
        <v>0.90510279999999999</v>
      </c>
      <c r="I7765">
        <v>126.36660000000001</v>
      </c>
      <c r="J7765">
        <v>-184.50970000000001</v>
      </c>
      <c r="K7765">
        <v>1.0988579999999999</v>
      </c>
      <c r="L7765">
        <v>125.8857</v>
      </c>
      <c r="M7765">
        <v>0.37065730000000002</v>
      </c>
      <c r="N7765">
        <v>-1.586307E-2</v>
      </c>
      <c r="O7765">
        <v>0.92863419999999997</v>
      </c>
      <c r="P7765">
        <v>0.46052779999999999</v>
      </c>
      <c r="Q7765">
        <v>0.35268670000000002</v>
      </c>
      <c r="R7765">
        <v>0.8145713</v>
      </c>
      <c r="S7765">
        <v>1.867416</v>
      </c>
      <c r="T7765">
        <v>-0.93876230000000005</v>
      </c>
      <c r="U7765">
        <v>3.0356749999999999</v>
      </c>
      <c r="V7765">
        <v>0.13620750000000001</v>
      </c>
      <c r="W7765">
        <v>0.36360379999999998</v>
      </c>
      <c r="X7765">
        <v>0.92154199999999997</v>
      </c>
      <c r="Y7765">
        <v>0.15535929999999901</v>
      </c>
      <c r="Z7765">
        <v>-0.23075909999999999</v>
      </c>
      <c r="AA7765">
        <v>0.96052780000000004</v>
      </c>
      <c r="AB7765">
        <v>33</v>
      </c>
      <c r="AC7765">
        <v>0.32250000000001899</v>
      </c>
      <c r="AD7765">
        <v>-0.19375519999999899</v>
      </c>
      <c r="AE7765">
        <v>0.48090000000000499</v>
      </c>
      <c r="AF7765">
        <v>0.109041108042295</v>
      </c>
      <c r="AG7765">
        <v>-0.19375519999999899</v>
      </c>
      <c r="AH7765">
        <v>0.50917492571776402</v>
      </c>
      <c r="AI7765">
        <v>110.409787180385</v>
      </c>
      <c r="AJ7765">
        <v>77.912537983732804</v>
      </c>
      <c r="AK7765">
        <v>0.55559890726118499</v>
      </c>
      <c r="AL7765">
        <v>68.678315077986994</v>
      </c>
      <c r="AM7765">
        <v>81.592332403241798</v>
      </c>
      <c r="AN7765">
        <v>0.99999993209734195</v>
      </c>
    </row>
    <row r="7766" spans="1:40" x14ac:dyDescent="0.25">
      <c r="A7766" t="str">
        <f>"20190304164313981"</f>
        <v>20190304164313981</v>
      </c>
      <c r="B7766" t="str">
        <f>"1551688993968753"</f>
        <v>1551688993968753</v>
      </c>
      <c r="C7766" t="s">
        <v>40</v>
      </c>
      <c r="D7766">
        <v>4.5465010000000001</v>
      </c>
      <c r="E7766">
        <v>0.5169224</v>
      </c>
      <c r="F7766" t="s">
        <v>41</v>
      </c>
      <c r="G7766">
        <v>-184.0873</v>
      </c>
      <c r="H7766">
        <v>0.84007419999999999</v>
      </c>
      <c r="I7766">
        <v>126.61750000000001</v>
      </c>
      <c r="J7766">
        <v>-184.43279999999999</v>
      </c>
      <c r="K7766">
        <v>1.0987450000000001</v>
      </c>
      <c r="L7766">
        <v>126.0613</v>
      </c>
      <c r="M7766">
        <v>0.3780096</v>
      </c>
      <c r="N7766">
        <v>-1.5891280000000001E-2</v>
      </c>
      <c r="O7766">
        <v>0.92566530000000002</v>
      </c>
      <c r="P7766">
        <v>0.46813919999999998</v>
      </c>
      <c r="Q7766">
        <v>0.35184959999999998</v>
      </c>
      <c r="R7766">
        <v>0.81058469999999905</v>
      </c>
      <c r="S7766">
        <v>1.811218</v>
      </c>
      <c r="T7766">
        <v>-1.109335</v>
      </c>
      <c r="U7766">
        <v>3.139221</v>
      </c>
      <c r="V7766">
        <v>0.13747329999999999</v>
      </c>
      <c r="W7766">
        <v>0.3627263</v>
      </c>
      <c r="X7766">
        <v>0.92169990000000002</v>
      </c>
      <c r="Y7766">
        <v>0.11565300000000001</v>
      </c>
      <c r="Z7766">
        <v>-0.26458799999999999</v>
      </c>
      <c r="AA7766">
        <v>0.95740150000000002</v>
      </c>
      <c r="AB7766">
        <v>33</v>
      </c>
      <c r="AC7766">
        <v>0.34549999999998698</v>
      </c>
      <c r="AD7766">
        <v>-0.25867079999999998</v>
      </c>
      <c r="AE7766">
        <v>0.55620000000000402</v>
      </c>
      <c r="AF7766">
        <v>9.4788811257933897E-2</v>
      </c>
      <c r="AG7766">
        <v>-0.25867079999999998</v>
      </c>
      <c r="AH7766">
        <v>0.55839204987457203</v>
      </c>
      <c r="AI7766">
        <v>114.54659304162701</v>
      </c>
      <c r="AJ7766">
        <v>80.365701257175701</v>
      </c>
      <c r="AK7766">
        <v>0.62265334085304502</v>
      </c>
      <c r="AL7766">
        <v>68.732277666408606</v>
      </c>
      <c r="AM7766">
        <v>81.516763041250499</v>
      </c>
      <c r="AN7766">
        <v>0.999999991292295</v>
      </c>
    </row>
    <row r="7767" spans="1:40" x14ac:dyDescent="0.25">
      <c r="A7767" t="str">
        <f>"20190304164313994"</f>
        <v>20190304164313994</v>
      </c>
      <c r="B7767" t="str">
        <f>"1551688993989250"</f>
        <v>1551688993989250</v>
      </c>
      <c r="C7767" t="s">
        <v>40</v>
      </c>
      <c r="D7767">
        <v>4.544162</v>
      </c>
      <c r="E7767">
        <v>0.51639579999999996</v>
      </c>
      <c r="F7767" t="s">
        <v>41</v>
      </c>
      <c r="G7767">
        <v>-184.09190000000001</v>
      </c>
      <c r="H7767">
        <v>0.89035520000000001</v>
      </c>
      <c r="I7767">
        <v>126.6408</v>
      </c>
      <c r="J7767">
        <v>-184.3578</v>
      </c>
      <c r="K7767">
        <v>1.098644</v>
      </c>
      <c r="L7767">
        <v>126.2269</v>
      </c>
      <c r="M7767">
        <v>0.38505470000000003</v>
      </c>
      <c r="N7767">
        <v>-1.5917810000000001E-2</v>
      </c>
      <c r="O7767">
        <v>0.92275640000000003</v>
      </c>
      <c r="P7767">
        <v>0.47547489999999998</v>
      </c>
      <c r="Q7767">
        <v>0.35116619999999998</v>
      </c>
      <c r="R7767">
        <v>0.80660149999999997</v>
      </c>
      <c r="S7767">
        <v>1.8386229999999999</v>
      </c>
      <c r="T7767">
        <v>-1.1235459999999999</v>
      </c>
      <c r="U7767">
        <v>3.1268919999999998</v>
      </c>
      <c r="V7767">
        <v>0.13876659999999999</v>
      </c>
      <c r="W7767">
        <v>0.3620023</v>
      </c>
      <c r="X7767">
        <v>0.92179069999999996</v>
      </c>
      <c r="Y7767">
        <v>0.115563</v>
      </c>
      <c r="Z7767">
        <v>-0.2669724</v>
      </c>
      <c r="AA7767">
        <v>0.9567502</v>
      </c>
      <c r="AB7767">
        <v>33</v>
      </c>
      <c r="AC7767">
        <v>0.26589999999998698</v>
      </c>
      <c r="AD7767">
        <v>-0.208288799999999</v>
      </c>
      <c r="AE7767">
        <v>0.41389999999999799</v>
      </c>
      <c r="AF7767">
        <v>7.2925018402222097E-2</v>
      </c>
      <c r="AG7767">
        <v>-0.208288799999999</v>
      </c>
      <c r="AH7767">
        <v>0.410745369425975</v>
      </c>
      <c r="AI7767">
        <v>116.532562179268</v>
      </c>
      <c r="AJ7767">
        <v>79.9324349932388</v>
      </c>
      <c r="AK7767">
        <v>0.466276785846438</v>
      </c>
      <c r="AL7767">
        <v>68.776784066910693</v>
      </c>
      <c r="AM7767">
        <v>81.4389640348369</v>
      </c>
      <c r="AN7767">
        <v>0.99999996454366902</v>
      </c>
    </row>
    <row r="7768" spans="1:40" x14ac:dyDescent="0.25">
      <c r="A7768" t="str">
        <f>"20190304164314005"</f>
        <v>20190304164314005</v>
      </c>
      <c r="B7768" t="str">
        <f>"1551688993999009"</f>
        <v>1551688993999009</v>
      </c>
      <c r="C7768" t="s">
        <v>40</v>
      </c>
      <c r="D7768">
        <v>4.5389200000000001</v>
      </c>
      <c r="E7768">
        <v>0.51617380000000002</v>
      </c>
      <c r="F7768" t="s">
        <v>41</v>
      </c>
      <c r="G7768">
        <v>-183.95939999999999</v>
      </c>
      <c r="H7768">
        <v>0.85614729999999895</v>
      </c>
      <c r="I7768">
        <v>126.893</v>
      </c>
      <c r="J7768">
        <v>-184.28540000000001</v>
      </c>
      <c r="K7768">
        <v>1.0985469999999999</v>
      </c>
      <c r="L7768">
        <v>126.38509999999999</v>
      </c>
      <c r="M7768">
        <v>0.39180759999999998</v>
      </c>
      <c r="N7768">
        <v>-1.5942149999999999E-2</v>
      </c>
      <c r="O7768">
        <v>0.91990910000000004</v>
      </c>
      <c r="P7768">
        <v>0.4826259</v>
      </c>
      <c r="Q7768">
        <v>0.35072589999999998</v>
      </c>
      <c r="R7768">
        <v>0.80253580000000002</v>
      </c>
      <c r="S7768">
        <v>1.862946</v>
      </c>
      <c r="T7768">
        <v>-1.1334409999999999</v>
      </c>
      <c r="U7768">
        <v>3.1146240000000001</v>
      </c>
      <c r="V7768">
        <v>0.14020250000000001</v>
      </c>
      <c r="W7768">
        <v>0.36151430000000001</v>
      </c>
      <c r="X7768">
        <v>0.92176499999999995</v>
      </c>
      <c r="Y7768">
        <v>0.1151763</v>
      </c>
      <c r="Z7768">
        <v>-0.26842440000000001</v>
      </c>
      <c r="AA7768">
        <v>0.95639050000000003</v>
      </c>
      <c r="AB7768">
        <v>33</v>
      </c>
      <c r="AC7768">
        <v>0.326000000000021</v>
      </c>
      <c r="AD7768">
        <v>-0.2423997</v>
      </c>
      <c r="AE7768">
        <v>0.50789999999999202</v>
      </c>
      <c r="AF7768">
        <v>8.6887697693725202E-2</v>
      </c>
      <c r="AG7768">
        <v>-0.2423997</v>
      </c>
      <c r="AH7768">
        <v>0.51237261320044103</v>
      </c>
      <c r="AI7768">
        <v>115.005922989608</v>
      </c>
      <c r="AJ7768">
        <v>80.375393531200899</v>
      </c>
      <c r="AK7768">
        <v>0.57343943126406605</v>
      </c>
      <c r="AL7768">
        <v>68.806776974808301</v>
      </c>
      <c r="AM7768">
        <v>81.351473162791194</v>
      </c>
      <c r="AN7768">
        <v>1.00000002266786</v>
      </c>
    </row>
    <row r="7769" spans="1:40" x14ac:dyDescent="0.25">
      <c r="A7769" t="str">
        <f>"20190304164314016"</f>
        <v>20190304164314016</v>
      </c>
      <c r="B7769" t="str">
        <f>"1551688994008769"</f>
        <v>1551688994008769</v>
      </c>
      <c r="C7769" t="s">
        <v>40</v>
      </c>
      <c r="D7769">
        <v>4.5605549999999999</v>
      </c>
      <c r="E7769">
        <v>0.51604899999999998</v>
      </c>
      <c r="F7769" t="s">
        <v>41</v>
      </c>
      <c r="G7769">
        <v>-183.82380000000001</v>
      </c>
      <c r="H7769">
        <v>0.82059319999999902</v>
      </c>
      <c r="I7769">
        <v>127.14319999999999</v>
      </c>
      <c r="J7769">
        <v>-184.21170000000001</v>
      </c>
      <c r="K7769">
        <v>1.0984529999999999</v>
      </c>
      <c r="L7769">
        <v>126.54219999999999</v>
      </c>
      <c r="M7769">
        <v>0.39858559999999998</v>
      </c>
      <c r="N7769">
        <v>-1.5966089999999999E-2</v>
      </c>
      <c r="O7769">
        <v>0.91699209999999998</v>
      </c>
      <c r="P7769">
        <v>0.4893074</v>
      </c>
      <c r="Q7769">
        <v>0.3504989</v>
      </c>
      <c r="R7769">
        <v>0.79857919999999905</v>
      </c>
      <c r="S7769">
        <v>1.8872070000000001</v>
      </c>
      <c r="T7769">
        <v>-1.135982</v>
      </c>
      <c r="U7769">
        <v>3.0996860000000002</v>
      </c>
      <c r="V7769">
        <v>0.141128</v>
      </c>
      <c r="W7769">
        <v>0.36125420000000003</v>
      </c>
      <c r="X7769">
        <v>0.92172569999999998</v>
      </c>
      <c r="Y7769">
        <v>0.1153178</v>
      </c>
      <c r="Z7769">
        <v>-0.26834370000000002</v>
      </c>
      <c r="AA7769">
        <v>0.95639609999999997</v>
      </c>
      <c r="AB7769">
        <v>33</v>
      </c>
      <c r="AC7769">
        <v>0.38790000000000102</v>
      </c>
      <c r="AD7769">
        <v>-0.27785979999999999</v>
      </c>
      <c r="AE7769">
        <v>0.60099999999999898</v>
      </c>
      <c r="AF7769">
        <v>0.100935788433846</v>
      </c>
      <c r="AG7769">
        <v>-0.27785979999999999</v>
      </c>
      <c r="AH7769">
        <v>0.61327574259775397</v>
      </c>
      <c r="AI7769">
        <v>114.08752156630101</v>
      </c>
      <c r="AJ7769">
        <v>80.653782163236201</v>
      </c>
      <c r="AK7769">
        <v>0.68080925250882796</v>
      </c>
      <c r="AL7769">
        <v>68.822758996754601</v>
      </c>
      <c r="AM7769">
        <v>81.294888986407003</v>
      </c>
      <c r="AN7769">
        <v>0.99999998772106402</v>
      </c>
    </row>
    <row r="7770" spans="1:40" x14ac:dyDescent="0.25">
      <c r="A7770" t="str">
        <f>"20190304164314028"</f>
        <v>20190304164314028</v>
      </c>
      <c r="B7770" t="str">
        <f>"1551688994018528"</f>
        <v>1551688994018528</v>
      </c>
      <c r="C7770" t="s">
        <v>40</v>
      </c>
      <c r="D7770">
        <v>4.5501079999999998</v>
      </c>
      <c r="E7770">
        <v>0.51596009999999903</v>
      </c>
      <c r="F7770" t="s">
        <v>41</v>
      </c>
      <c r="G7770">
        <v>-183.82579999999999</v>
      </c>
      <c r="H7770">
        <v>0.8692472</v>
      </c>
      <c r="I7770">
        <v>127.1643</v>
      </c>
      <c r="J7770">
        <v>-184.13720000000001</v>
      </c>
      <c r="K7770">
        <v>1.098365</v>
      </c>
      <c r="L7770">
        <v>126.69799999999999</v>
      </c>
      <c r="M7770">
        <v>0.40535680000000002</v>
      </c>
      <c r="N7770">
        <v>-1.5989679999999999E-2</v>
      </c>
      <c r="O7770">
        <v>0.91401869999999996</v>
      </c>
      <c r="P7770">
        <v>0.49590129999999999</v>
      </c>
      <c r="Q7770">
        <v>0.350726599999999</v>
      </c>
      <c r="R7770">
        <v>0.79440080000000002</v>
      </c>
      <c r="S7770">
        <v>1.912277</v>
      </c>
      <c r="T7770">
        <v>-1.135478</v>
      </c>
      <c r="U7770">
        <v>3.0833590000000002</v>
      </c>
      <c r="V7770">
        <v>0.14206629999999901</v>
      </c>
      <c r="W7770">
        <v>0.36144660000000001</v>
      </c>
      <c r="X7770">
        <v>0.92150609999999999</v>
      </c>
      <c r="Y7770">
        <v>0.11592</v>
      </c>
      <c r="Z7770">
        <v>-0.26761760000000001</v>
      </c>
      <c r="AA7770">
        <v>0.95652680000000001</v>
      </c>
      <c r="AB7770">
        <v>33</v>
      </c>
      <c r="AC7770">
        <v>0.31140000000001999</v>
      </c>
      <c r="AD7770">
        <v>-0.22911780000000001</v>
      </c>
      <c r="AE7770">
        <v>0.46630000000000299</v>
      </c>
      <c r="AF7770">
        <v>8.1938801119828195E-2</v>
      </c>
      <c r="AG7770">
        <v>-0.22911780000000001</v>
      </c>
      <c r="AH7770">
        <v>0.47345492166050501</v>
      </c>
      <c r="AI7770">
        <v>115.493626289125</v>
      </c>
      <c r="AJ7770">
        <v>80.181324437174595</v>
      </c>
      <c r="AK7770">
        <v>0.53232367620682597</v>
      </c>
      <c r="AL7770">
        <v>68.810936385619598</v>
      </c>
      <c r="AM7770">
        <v>81.235852028309907</v>
      </c>
      <c r="AN7770">
        <v>0.999999985292229</v>
      </c>
    </row>
    <row r="7771" spans="1:40" x14ac:dyDescent="0.25">
      <c r="A7771" t="str">
        <f>"20190304164314040"</f>
        <v>20190304164314040</v>
      </c>
      <c r="B7771" t="str">
        <f>"1551688994029265"</f>
        <v>1551688994029265</v>
      </c>
      <c r="C7771" t="s">
        <v>40</v>
      </c>
      <c r="D7771">
        <v>4.5631870000000001</v>
      </c>
      <c r="E7771">
        <v>0.51599849999999903</v>
      </c>
      <c r="F7771" t="s">
        <v>41</v>
      </c>
      <c r="G7771">
        <v>-183.6857</v>
      </c>
      <c r="H7771">
        <v>0.83414349999999904</v>
      </c>
      <c r="I7771">
        <v>127.4119</v>
      </c>
      <c r="J7771">
        <v>-184.06370000000001</v>
      </c>
      <c r="K7771">
        <v>1.098282</v>
      </c>
      <c r="L7771">
        <v>126.8496</v>
      </c>
      <c r="M7771">
        <v>0.41197250000000002</v>
      </c>
      <c r="N7771">
        <v>-1.6012160000000001E-2</v>
      </c>
      <c r="O7771">
        <v>0.91105559999999997</v>
      </c>
      <c r="P7771">
        <v>0.50165720000000003</v>
      </c>
      <c r="Q7771">
        <v>0.35082020000000003</v>
      </c>
      <c r="R7771">
        <v>0.79073709999999997</v>
      </c>
      <c r="S7771">
        <v>1.939621</v>
      </c>
      <c r="T7771">
        <v>-1.1347149999999999</v>
      </c>
      <c r="U7771">
        <v>3.066605</v>
      </c>
      <c r="V7771">
        <v>0.14216760000000001</v>
      </c>
      <c r="W7771">
        <v>0.36153200000000002</v>
      </c>
      <c r="X7771">
        <v>0.92145699999999997</v>
      </c>
      <c r="Y7771">
        <v>0.1172533</v>
      </c>
      <c r="Z7771">
        <v>-0.26680490000000001</v>
      </c>
      <c r="AA7771">
        <v>0.95659119999999997</v>
      </c>
      <c r="AB7771">
        <v>33</v>
      </c>
      <c r="AC7771">
        <v>0.37800000000001399</v>
      </c>
      <c r="AD7771">
        <v>-0.2641385</v>
      </c>
      <c r="AE7771">
        <v>0.56230000000000702</v>
      </c>
      <c r="AF7771">
        <v>9.7867363624198095E-2</v>
      </c>
      <c r="AG7771">
        <v>-0.2641385</v>
      </c>
      <c r="AH7771">
        <v>0.57995563975660402</v>
      </c>
      <c r="AI7771">
        <v>114.18468543019</v>
      </c>
      <c r="AJ7771">
        <v>80.421591545404993</v>
      </c>
      <c r="AK7771">
        <v>0.64474468755507597</v>
      </c>
      <c r="AL7771">
        <v>68.805688948788301</v>
      </c>
      <c r="AM7771">
        <v>81.229239840722201</v>
      </c>
      <c r="AN7771">
        <v>1.00000000818138</v>
      </c>
    </row>
    <row r="7772" spans="1:40" x14ac:dyDescent="0.25">
      <c r="A7772" t="str">
        <f>"20190304164314050"</f>
        <v>20190304164314050</v>
      </c>
      <c r="B7772" t="str">
        <f>"1551688994039025"</f>
        <v>1551688994039025</v>
      </c>
      <c r="C7772" t="s">
        <v>40</v>
      </c>
      <c r="D7772">
        <v>4.5509110000000002</v>
      </c>
      <c r="E7772">
        <v>0.51594859999999998</v>
      </c>
      <c r="F7772" t="s">
        <v>41</v>
      </c>
      <c r="G7772">
        <v>-183.68780000000001</v>
      </c>
      <c r="H7772">
        <v>0.88129809999999997</v>
      </c>
      <c r="I7772">
        <v>127.43300000000001</v>
      </c>
      <c r="J7772">
        <v>-183.99199999999999</v>
      </c>
      <c r="K7772">
        <v>1.0982099999999999</v>
      </c>
      <c r="L7772">
        <v>126.99339999999999</v>
      </c>
      <c r="M7772">
        <v>0.41832999999999998</v>
      </c>
      <c r="N7772">
        <v>-1.6033889999999999E-2</v>
      </c>
      <c r="O7772">
        <v>0.90815360000000001</v>
      </c>
      <c r="P7772">
        <v>0.506965</v>
      </c>
      <c r="Q7772">
        <v>0.3513288</v>
      </c>
      <c r="R7772">
        <v>0.78711779999999998</v>
      </c>
      <c r="S7772">
        <v>1.965179</v>
      </c>
      <c r="T7772">
        <v>-1.133934</v>
      </c>
      <c r="U7772">
        <v>3.050278</v>
      </c>
      <c r="V7772">
        <v>0.142099799999999</v>
      </c>
      <c r="W7772">
        <v>0.36203659999999999</v>
      </c>
      <c r="X7772">
        <v>0.92126929999999996</v>
      </c>
      <c r="Y7772">
        <v>0.11838700000000001</v>
      </c>
      <c r="Z7772">
        <v>-0.26601390000000003</v>
      </c>
      <c r="AA7772">
        <v>0.95667190000000002</v>
      </c>
      <c r="AB7772">
        <v>33</v>
      </c>
      <c r="AC7772">
        <v>0.30420000000000802</v>
      </c>
      <c r="AD7772">
        <v>-0.21691189999999999</v>
      </c>
      <c r="AE7772">
        <v>0.43959999999999799</v>
      </c>
      <c r="AF7772">
        <v>7.9316018951744699E-2</v>
      </c>
      <c r="AG7772">
        <v>-0.21691189999999999</v>
      </c>
      <c r="AH7772">
        <v>0.45211359066821</v>
      </c>
      <c r="AI7772">
        <v>115.29336590241</v>
      </c>
      <c r="AJ7772">
        <v>80.049638239504304</v>
      </c>
      <c r="AK7772">
        <v>0.50768937559384197</v>
      </c>
      <c r="AL7772">
        <v>68.774676342583803</v>
      </c>
      <c r="AM7772">
        <v>81.231599273838597</v>
      </c>
      <c r="AN7772">
        <v>0.99999998801104395</v>
      </c>
    </row>
    <row r="7773" spans="1:40" x14ac:dyDescent="0.25">
      <c r="A7773" t="str">
        <f>"20190304164314063"</f>
        <v>20190304164314063</v>
      </c>
      <c r="B7773" t="str">
        <f>"1551688994058544"</f>
        <v>1551688994058544</v>
      </c>
      <c r="C7773" t="s">
        <v>40</v>
      </c>
      <c r="D7773">
        <v>4.5610290000000004</v>
      </c>
      <c r="E7773">
        <v>0.51579819999999998</v>
      </c>
      <c r="F7773" t="s">
        <v>41</v>
      </c>
      <c r="G7773">
        <v>-183.54390000000001</v>
      </c>
      <c r="H7773">
        <v>0.84344300000000005</v>
      </c>
      <c r="I7773">
        <v>127.6765</v>
      </c>
      <c r="J7773">
        <v>-183.91390000000001</v>
      </c>
      <c r="K7773">
        <v>1.0981299999999901</v>
      </c>
      <c r="L7773">
        <v>127.149</v>
      </c>
      <c r="M7773">
        <v>0.42520799999999997</v>
      </c>
      <c r="N7773">
        <v>-1.6056480000000001E-2</v>
      </c>
      <c r="O7773">
        <v>0.90495320000000001</v>
      </c>
      <c r="P7773">
        <v>0.51273290000000005</v>
      </c>
      <c r="Q7773">
        <v>0.351248</v>
      </c>
      <c r="R7773">
        <v>0.78340909999999997</v>
      </c>
      <c r="S7773">
        <v>1.9903869999999999</v>
      </c>
      <c r="T7773">
        <v>-1.1313299999999999</v>
      </c>
      <c r="U7773">
        <v>3.0343779999999998</v>
      </c>
      <c r="V7773">
        <v>0.14192869999999999</v>
      </c>
      <c r="W7773">
        <v>0.36195699999999997</v>
      </c>
      <c r="X7773">
        <v>0.92132689999999995</v>
      </c>
      <c r="Y7773">
        <v>0.118879399999999</v>
      </c>
      <c r="Z7773">
        <v>-0.26466489999999998</v>
      </c>
      <c r="AA7773">
        <v>0.95698490000000003</v>
      </c>
      <c r="AB7773">
        <v>33</v>
      </c>
      <c r="AC7773">
        <v>0.37000000000000399</v>
      </c>
      <c r="AD7773">
        <v>-0.254686999999999</v>
      </c>
      <c r="AE7773">
        <v>0.52750000000000297</v>
      </c>
      <c r="AF7773">
        <v>9.5611104129052493E-2</v>
      </c>
      <c r="AG7773">
        <v>-0.254686999999999</v>
      </c>
      <c r="AH7773">
        <v>0.54899475498602601</v>
      </c>
      <c r="AI7773">
        <v>114.562101172098</v>
      </c>
      <c r="AJ7773">
        <v>80.120644058923105</v>
      </c>
      <c r="AK7773">
        <v>0.61270073625216304</v>
      </c>
      <c r="AL7773">
        <v>68.7795678619661</v>
      </c>
      <c r="AM7773">
        <v>81.242532422480394</v>
      </c>
      <c r="AN7773">
        <v>0.99999994119814795</v>
      </c>
    </row>
    <row r="7774" spans="1:40" x14ac:dyDescent="0.25">
      <c r="A7774" t="str">
        <f>"20190304164314074"</f>
        <v>20190304164314074</v>
      </c>
      <c r="B7774" t="str">
        <f>"1551688994069281"</f>
        <v>1551688994069281</v>
      </c>
      <c r="C7774" t="s">
        <v>40</v>
      </c>
      <c r="D7774">
        <v>4.5186919999999997</v>
      </c>
      <c r="E7774">
        <v>0.51567029999999903</v>
      </c>
      <c r="F7774" t="s">
        <v>41</v>
      </c>
      <c r="G7774">
        <v>-183.39859999999999</v>
      </c>
      <c r="H7774">
        <v>0.80921460000000001</v>
      </c>
      <c r="I7774">
        <v>127.9203</v>
      </c>
      <c r="J7774">
        <v>-183.8304</v>
      </c>
      <c r="K7774">
        <v>1.0980460000000001</v>
      </c>
      <c r="L7774">
        <v>127.31010000000001</v>
      </c>
      <c r="M7774">
        <v>0.4324422</v>
      </c>
      <c r="N7774">
        <v>-1.6080850000000001E-2</v>
      </c>
      <c r="O7774">
        <v>0.90151829999999999</v>
      </c>
      <c r="P7774">
        <v>0.51868099999999995</v>
      </c>
      <c r="Q7774">
        <v>0.35193609999999997</v>
      </c>
      <c r="R7774">
        <v>0.77917329999999996</v>
      </c>
      <c r="S7774">
        <v>2.0154719999999999</v>
      </c>
      <c r="T7774">
        <v>-1.1297779999999999</v>
      </c>
      <c r="U7774">
        <v>3.0168300000000001</v>
      </c>
      <c r="V7774">
        <v>0.14178940000000001</v>
      </c>
      <c r="W7774">
        <v>0.36264190000000002</v>
      </c>
      <c r="X7774">
        <v>0.92107899999999998</v>
      </c>
      <c r="Y7774">
        <v>0.1191228</v>
      </c>
      <c r="Z7774">
        <v>-0.26356679999999999</v>
      </c>
      <c r="AA7774">
        <v>0.95725769999999999</v>
      </c>
      <c r="AB7774">
        <v>33</v>
      </c>
      <c r="AC7774">
        <v>0.43180000000000901</v>
      </c>
      <c r="AD7774">
        <v>-0.28883139999999902</v>
      </c>
      <c r="AE7774">
        <v>0.61019999999999097</v>
      </c>
      <c r="AF7774">
        <v>0.109124225579198</v>
      </c>
      <c r="AG7774">
        <v>-0.28883139999999902</v>
      </c>
      <c r="AH7774">
        <v>0.64120376947257396</v>
      </c>
      <c r="AI7774">
        <v>113.944421027031</v>
      </c>
      <c r="AJ7774">
        <v>80.341569459629497</v>
      </c>
      <c r="AK7774">
        <v>0.71166983090479397</v>
      </c>
      <c r="AL7774">
        <v>68.737465887723204</v>
      </c>
      <c r="AM7774">
        <v>81.248676370649306</v>
      </c>
      <c r="AN7774">
        <v>0.99999995291448296</v>
      </c>
    </row>
    <row r="7775" spans="1:40" x14ac:dyDescent="0.25">
      <c r="A7775" t="str">
        <f>"20190304164314085"</f>
        <v>20190304164314085</v>
      </c>
      <c r="B7775" t="str">
        <f>"1551688994079041"</f>
        <v>1551688994079041</v>
      </c>
      <c r="C7775" t="s">
        <v>40</v>
      </c>
      <c r="D7775">
        <v>4.5389699999999999</v>
      </c>
      <c r="E7775">
        <v>0.51560799999999996</v>
      </c>
      <c r="F7775" t="s">
        <v>41</v>
      </c>
      <c r="G7775">
        <v>-183.39959999999999</v>
      </c>
      <c r="H7775">
        <v>0.8606722</v>
      </c>
      <c r="I7775">
        <v>127.9425</v>
      </c>
      <c r="J7775">
        <v>-183.75450000000001</v>
      </c>
      <c r="K7775">
        <v>1.09798</v>
      </c>
      <c r="L7775">
        <v>127.45480000000001</v>
      </c>
      <c r="M7775">
        <v>0.43896160000000001</v>
      </c>
      <c r="N7775">
        <v>-1.6102350000000001E-2</v>
      </c>
      <c r="O7775">
        <v>0.89836149999999904</v>
      </c>
      <c r="P7775">
        <v>0.52399739999999995</v>
      </c>
      <c r="Q7775">
        <v>0.35300700000000002</v>
      </c>
      <c r="R7775">
        <v>0.77512119999999995</v>
      </c>
      <c r="S7775">
        <v>2.0427249999999999</v>
      </c>
      <c r="T7775">
        <v>-1.1253200000000001</v>
      </c>
      <c r="U7775">
        <v>2.9987029999999999</v>
      </c>
      <c r="V7775">
        <v>0.1417263</v>
      </c>
      <c r="W7775">
        <v>0.3637051</v>
      </c>
      <c r="X7775">
        <v>0.92066950000000003</v>
      </c>
      <c r="Y7775">
        <v>0.1207916</v>
      </c>
      <c r="Z7775">
        <v>-0.26190790000000003</v>
      </c>
      <c r="AA7775">
        <v>0.95750389999999996</v>
      </c>
      <c r="AB7775">
        <v>33</v>
      </c>
      <c r="AC7775">
        <v>0.35490000000001398</v>
      </c>
      <c r="AD7775">
        <v>-0.23730780000000001</v>
      </c>
      <c r="AE7775">
        <v>0.48769999999998898</v>
      </c>
      <c r="AF7775">
        <v>9.0717894379628905E-2</v>
      </c>
      <c r="AG7775">
        <v>-0.23730780000000001</v>
      </c>
      <c r="AH7775">
        <v>0.51437333313301103</v>
      </c>
      <c r="AI7775">
        <v>114.43425595460501</v>
      </c>
      <c r="AJ7775">
        <v>79.997839660996505</v>
      </c>
      <c r="AK7775">
        <v>0.57369386796433197</v>
      </c>
      <c r="AL7775">
        <v>68.672086752389006</v>
      </c>
      <c r="AM7775">
        <v>81.248680154196705</v>
      </c>
      <c r="AN7775">
        <v>1.00000003605397</v>
      </c>
    </row>
    <row r="7776" spans="1:40" x14ac:dyDescent="0.25">
      <c r="A7776" t="str">
        <f>"20190304164314096"</f>
        <v>20190304164314096</v>
      </c>
      <c r="B7776" t="str">
        <f>"1551688994088801"</f>
        <v>1551688994088801</v>
      </c>
      <c r="C7776" t="s">
        <v>40</v>
      </c>
      <c r="D7776">
        <v>4.5450799999999996</v>
      </c>
      <c r="E7776">
        <v>0.51551040000000004</v>
      </c>
      <c r="F7776" t="s">
        <v>41</v>
      </c>
      <c r="G7776">
        <v>-183.25</v>
      </c>
      <c r="H7776">
        <v>0.82454419999999995</v>
      </c>
      <c r="I7776">
        <v>128.18260000000001</v>
      </c>
      <c r="J7776">
        <v>-183.6729</v>
      </c>
      <c r="K7776">
        <v>1.0979049999999999</v>
      </c>
      <c r="L7776">
        <v>127.6075</v>
      </c>
      <c r="M7776">
        <v>0.44589400000000001</v>
      </c>
      <c r="N7776">
        <v>-1.612564E-2</v>
      </c>
      <c r="O7776">
        <v>0.89494050000000003</v>
      </c>
      <c r="P7776">
        <v>0.53041329999999998</v>
      </c>
      <c r="Q7776">
        <v>0.35417530000000003</v>
      </c>
      <c r="R7776">
        <v>0.77020880000000003</v>
      </c>
      <c r="S7776">
        <v>2.0677490000000001</v>
      </c>
      <c r="T7776">
        <v>-1.12009</v>
      </c>
      <c r="U7776">
        <v>2.9826199999999998</v>
      </c>
      <c r="V7776">
        <v>0.1425979</v>
      </c>
      <c r="W7776">
        <v>0.36483480000000001</v>
      </c>
      <c r="X7776">
        <v>0.92008769999999995</v>
      </c>
      <c r="Y7776">
        <v>0.1212506</v>
      </c>
      <c r="Z7776">
        <v>-0.25988020000000001</v>
      </c>
      <c r="AA7776">
        <v>0.95799820000000002</v>
      </c>
      <c r="AB7776">
        <v>33</v>
      </c>
      <c r="AC7776">
        <v>0.422899999999998</v>
      </c>
      <c r="AD7776">
        <v>-0.27336080000000001</v>
      </c>
      <c r="AE7776">
        <v>0.57510000000000605</v>
      </c>
      <c r="AF7776">
        <v>0.106443547265343</v>
      </c>
      <c r="AG7776">
        <v>-0.27336080000000001</v>
      </c>
      <c r="AH7776">
        <v>0.61339174069874902</v>
      </c>
      <c r="AI7776">
        <v>113.705904594583</v>
      </c>
      <c r="AJ7776">
        <v>80.155344696704105</v>
      </c>
      <c r="AK7776">
        <v>0.67993071947699901</v>
      </c>
      <c r="AL7776">
        <v>68.602583271919798</v>
      </c>
      <c r="AM7776">
        <v>81.190221355451797</v>
      </c>
      <c r="AN7776">
        <v>0.99999998403336898</v>
      </c>
    </row>
    <row r="7777" spans="1:40" x14ac:dyDescent="0.25">
      <c r="A7777" t="str">
        <f>"20190304164314113"</f>
        <v>20190304164314113</v>
      </c>
      <c r="B7777" t="str">
        <f>"1551688994109296"</f>
        <v>1551688994109296</v>
      </c>
      <c r="C7777" t="s">
        <v>40</v>
      </c>
      <c r="D7777">
        <v>4.7959129999999996</v>
      </c>
      <c r="E7777">
        <v>0.51548919999999998</v>
      </c>
      <c r="F7777" t="s">
        <v>41</v>
      </c>
      <c r="G7777">
        <v>-183.25120000000001</v>
      </c>
      <c r="H7777">
        <v>0.8732704</v>
      </c>
      <c r="I7777">
        <v>128.20429999999999</v>
      </c>
      <c r="J7777">
        <v>-183.56809999999999</v>
      </c>
      <c r="K7777">
        <v>1.0978129999999999</v>
      </c>
      <c r="L7777">
        <v>127.7988</v>
      </c>
      <c r="M7777">
        <v>0.45466479999999998</v>
      </c>
      <c r="N7777">
        <v>-1.6155249999999999E-2</v>
      </c>
      <c r="O7777">
        <v>0.89051610000000003</v>
      </c>
      <c r="P7777">
        <v>0.53974</v>
      </c>
      <c r="Q7777">
        <v>0.35707670000000002</v>
      </c>
      <c r="R7777">
        <v>0.76234979999999997</v>
      </c>
      <c r="S7777">
        <v>2.0946039999999999</v>
      </c>
      <c r="T7777">
        <v>-1.115367</v>
      </c>
      <c r="U7777">
        <v>2.9654690000000001</v>
      </c>
      <c r="V7777">
        <v>0.14555100000000001</v>
      </c>
      <c r="W7777">
        <v>0.36761640000000001</v>
      </c>
      <c r="X7777">
        <v>0.91851680000000002</v>
      </c>
      <c r="Y7777">
        <v>0.1202183</v>
      </c>
      <c r="Z7777">
        <v>-0.25759539999999997</v>
      </c>
      <c r="AA7777">
        <v>0.95874510000000002</v>
      </c>
      <c r="AB7777">
        <v>33</v>
      </c>
      <c r="AC7777">
        <v>0.31689999999997498</v>
      </c>
      <c r="AD7777">
        <v>-0.22454259999999901</v>
      </c>
      <c r="AE7777">
        <v>0.40549999999998898</v>
      </c>
      <c r="AF7777">
        <v>8.2202279820507707E-2</v>
      </c>
      <c r="AG7777">
        <v>-0.22454259999999901</v>
      </c>
      <c r="AH7777">
        <v>0.42445245167586898</v>
      </c>
      <c r="AI7777">
        <v>117.445869085879</v>
      </c>
      <c r="AJ7777">
        <v>79.039406800126599</v>
      </c>
      <c r="AK7777">
        <v>0.48717191807010501</v>
      </c>
      <c r="AL7777">
        <v>68.431310857181799</v>
      </c>
      <c r="AM7777">
        <v>80.995604665333303</v>
      </c>
      <c r="AN7777">
        <v>1.0000000115161001</v>
      </c>
    </row>
    <row r="7778" spans="1:40" x14ac:dyDescent="0.25">
      <c r="A7778" t="str">
        <f>"20190304164314127"</f>
        <v>20190304164314127</v>
      </c>
      <c r="B7778" t="str">
        <f>"1551688994119057"</f>
        <v>1551688994119057</v>
      </c>
      <c r="C7778" t="s">
        <v>40</v>
      </c>
      <c r="D7778">
        <v>5.0628690000000001</v>
      </c>
      <c r="E7778">
        <v>0.51765969999999994</v>
      </c>
      <c r="F7778" t="s">
        <v>41</v>
      </c>
      <c r="G7778">
        <v>-183.09819999999999</v>
      </c>
      <c r="H7778">
        <v>0.85416270000000005</v>
      </c>
      <c r="I7778">
        <v>128.4486</v>
      </c>
      <c r="J7778">
        <v>-183.45740000000001</v>
      </c>
      <c r="K7778">
        <v>1.097712</v>
      </c>
      <c r="L7778">
        <v>127.99630000000001</v>
      </c>
      <c r="M7778">
        <v>0.46379520000000002</v>
      </c>
      <c r="N7778">
        <v>-1.618584E-2</v>
      </c>
      <c r="O7778">
        <v>0.88579459999999999</v>
      </c>
      <c r="P7778">
        <v>0.54925990000000002</v>
      </c>
      <c r="Q7778">
        <v>0.35848439999999998</v>
      </c>
      <c r="R7778">
        <v>0.75485259999999998</v>
      </c>
      <c r="S7778">
        <v>2.1290279999999999</v>
      </c>
      <c r="T7778">
        <v>-1.1036090000000001</v>
      </c>
      <c r="U7778">
        <v>2.9448089999999998</v>
      </c>
      <c r="V7778">
        <v>0.14808650000000001</v>
      </c>
      <c r="W7778">
        <v>0.36892599999999998</v>
      </c>
      <c r="X7778">
        <v>0.91758600000000001</v>
      </c>
      <c r="Y7778">
        <v>0.1211774</v>
      </c>
      <c r="Z7778">
        <v>-0.25368099999999999</v>
      </c>
      <c r="AA7778">
        <v>0.95966770000000001</v>
      </c>
      <c r="AB7778">
        <v>33</v>
      </c>
      <c r="AC7778">
        <v>0.35920000000001501</v>
      </c>
      <c r="AD7778">
        <v>-0.2435493</v>
      </c>
      <c r="AE7778">
        <v>0.45229999999999299</v>
      </c>
      <c r="AF7778">
        <v>9.2049962844720196E-2</v>
      </c>
      <c r="AG7778">
        <v>-0.2435493</v>
      </c>
      <c r="AH7778">
        <v>0.48167029326503602</v>
      </c>
      <c r="AI7778">
        <v>116.411158559041</v>
      </c>
      <c r="AJ7778">
        <v>79.180897921117904</v>
      </c>
      <c r="AK7778">
        <v>0.54753605233283997</v>
      </c>
      <c r="AL7778">
        <v>68.350604657670203</v>
      </c>
      <c r="AM7778">
        <v>80.832251340298598</v>
      </c>
      <c r="AN7778">
        <v>1.00000003617712</v>
      </c>
    </row>
    <row r="7779" spans="1:40" x14ac:dyDescent="0.25">
      <c r="A7779" t="str">
        <f>"20190304164314140"</f>
        <v>20190304164314140</v>
      </c>
      <c r="B7779" t="str">
        <f>"1551688994128817"</f>
        <v>1551688994128817</v>
      </c>
      <c r="C7779" t="s">
        <v>40</v>
      </c>
      <c r="D7779">
        <v>4.9045940000000003</v>
      </c>
      <c r="E7779">
        <v>0.51765969999999994</v>
      </c>
      <c r="F7779" t="s">
        <v>41</v>
      </c>
      <c r="G7779">
        <v>-182.93790000000001</v>
      </c>
      <c r="H7779">
        <v>0.83957039999999905</v>
      </c>
      <c r="I7779">
        <v>128.69059999999999</v>
      </c>
      <c r="J7779">
        <v>-183.36359999999999</v>
      </c>
      <c r="K7779">
        <v>1.097629</v>
      </c>
      <c r="L7779">
        <v>128.16040000000001</v>
      </c>
      <c r="M7779">
        <v>0.47143889999999999</v>
      </c>
      <c r="N7779">
        <v>-1.6211300000000001E-2</v>
      </c>
      <c r="O7779">
        <v>0.88174969999999997</v>
      </c>
      <c r="P7779">
        <v>0.55747089999999999</v>
      </c>
      <c r="Q7779">
        <v>0.3599948</v>
      </c>
      <c r="R7779">
        <v>0.74808419999999998</v>
      </c>
      <c r="S7779">
        <v>2.1736759999999999</v>
      </c>
      <c r="T7779">
        <v>-1.079396</v>
      </c>
      <c r="U7779">
        <v>2.905243</v>
      </c>
      <c r="V7779">
        <v>0.15064849999999999</v>
      </c>
      <c r="W7779">
        <v>0.37033579999999999</v>
      </c>
      <c r="X7779">
        <v>0.91660050000000004</v>
      </c>
      <c r="Y7779">
        <v>0.12917780000000001</v>
      </c>
      <c r="Z7779">
        <v>-0.2482384</v>
      </c>
      <c r="AA7779">
        <v>0.96004730000000005</v>
      </c>
      <c r="AB7779">
        <v>33</v>
      </c>
      <c r="AC7779">
        <v>0.42569999999997699</v>
      </c>
      <c r="AD7779">
        <v>-0.25805860000000003</v>
      </c>
      <c r="AE7779">
        <v>0.53019999999997902</v>
      </c>
      <c r="AF7779">
        <v>0.109629434384812</v>
      </c>
      <c r="AG7779">
        <v>-0.25805860000000003</v>
      </c>
      <c r="AH7779">
        <v>0.58414323928565903</v>
      </c>
      <c r="AI7779">
        <v>113.470118852365</v>
      </c>
      <c r="AJ7779">
        <v>79.370625454352194</v>
      </c>
      <c r="AK7779">
        <v>0.64794766603533405</v>
      </c>
      <c r="AL7779">
        <v>68.263672168075004</v>
      </c>
      <c r="AM7779">
        <v>80.666556919138102</v>
      </c>
      <c r="AN7779">
        <v>1.0000000259570601</v>
      </c>
    </row>
    <row r="7780" spans="1:40" x14ac:dyDescent="0.25">
      <c r="A7780" t="str">
        <f>"20190304164314153"</f>
        <v>20190304164314153</v>
      </c>
      <c r="B7780" t="str">
        <f>"1551688994149312"</f>
        <v>1551688994149312</v>
      </c>
      <c r="C7780" t="s">
        <v>40</v>
      </c>
      <c r="D7780">
        <v>5.0174890000000003</v>
      </c>
      <c r="E7780">
        <v>0.57840499999999995</v>
      </c>
      <c r="F7780" t="s">
        <v>41</v>
      </c>
      <c r="G7780">
        <v>-182.94</v>
      </c>
      <c r="H7780">
        <v>0.89098269999999902</v>
      </c>
      <c r="I7780">
        <v>128.71520000000001</v>
      </c>
      <c r="J7780">
        <v>-183.267</v>
      </c>
      <c r="K7780">
        <v>1.097545</v>
      </c>
      <c r="L7780">
        <v>128.32490000000001</v>
      </c>
      <c r="M7780">
        <v>0.47919270000000003</v>
      </c>
      <c r="N7780">
        <v>-1.623782E-2</v>
      </c>
      <c r="O7780">
        <v>0.87755949999999905</v>
      </c>
      <c r="P7780">
        <v>0.56523190000000001</v>
      </c>
      <c r="Q7780">
        <v>0.36123509999999998</v>
      </c>
      <c r="R7780">
        <v>0.74163480000000004</v>
      </c>
      <c r="S7780">
        <v>2.2028349999999999</v>
      </c>
      <c r="T7780">
        <v>-1.073753</v>
      </c>
      <c r="U7780">
        <v>2.8854220000000002</v>
      </c>
      <c r="V7780">
        <v>0.15252650000000001</v>
      </c>
      <c r="W7780">
        <v>0.37150129999999998</v>
      </c>
      <c r="X7780">
        <v>0.91581789999999996</v>
      </c>
      <c r="Y7780">
        <v>0.13008130000000001</v>
      </c>
      <c r="Z7780">
        <v>-0.2459519</v>
      </c>
      <c r="AA7780">
        <v>0.96051370000000003</v>
      </c>
      <c r="AB7780">
        <v>33</v>
      </c>
      <c r="AC7780">
        <v>0.32699999999999801</v>
      </c>
      <c r="AD7780">
        <v>-0.2065623</v>
      </c>
      <c r="AE7780">
        <v>0.39029999999999598</v>
      </c>
      <c r="AF7780">
        <v>8.5822126251458894E-2</v>
      </c>
      <c r="AG7780">
        <v>-0.2065623</v>
      </c>
      <c r="AH7780">
        <v>0.42871752353682702</v>
      </c>
      <c r="AI7780">
        <v>115.287983728548</v>
      </c>
      <c r="AJ7780">
        <v>78.679964666644594</v>
      </c>
      <c r="AK7780">
        <v>0.48356192584110802</v>
      </c>
      <c r="AL7780">
        <v>68.191763541533902</v>
      </c>
      <c r="AM7780">
        <v>80.544362631428598</v>
      </c>
      <c r="AN7780">
        <v>0.99999998753217401</v>
      </c>
    </row>
    <row r="7781" spans="1:40" x14ac:dyDescent="0.25">
      <c r="A7781" t="str">
        <f>"20190304164314167"</f>
        <v>20190304164314167</v>
      </c>
      <c r="B7781" t="str">
        <f>"1551688994159073"</f>
        <v>1551688994159073</v>
      </c>
      <c r="C7781" t="s">
        <v>40</v>
      </c>
      <c r="D7781">
        <v>4.953443</v>
      </c>
      <c r="E7781">
        <v>0.5825226</v>
      </c>
      <c r="F7781" t="s">
        <v>53</v>
      </c>
      <c r="G7781">
        <v>-177.44640000000001</v>
      </c>
      <c r="H7781" s="1">
        <v>-5.3225490000000002E-6</v>
      </c>
      <c r="I7781">
        <v>133.84229999999999</v>
      </c>
      <c r="J7781">
        <v>-183.1551</v>
      </c>
      <c r="K7781">
        <v>1.0974600000000001</v>
      </c>
      <c r="L7781">
        <v>128.5121</v>
      </c>
      <c r="M7781">
        <v>0.4880641</v>
      </c>
      <c r="N7781">
        <v>-1.6267529999999999E-2</v>
      </c>
      <c r="O7781">
        <v>0.87265619999999999</v>
      </c>
      <c r="P7781">
        <v>0.57437280000000002</v>
      </c>
      <c r="Q7781">
        <v>0.36216130000000002</v>
      </c>
      <c r="R7781">
        <v>0.7341221</v>
      </c>
      <c r="S7781">
        <v>2.499771</v>
      </c>
      <c r="T7781">
        <v>-0.47136040000000001</v>
      </c>
      <c r="U7781">
        <v>2.3695219999999999</v>
      </c>
      <c r="V7781">
        <v>0.15493100000000001</v>
      </c>
      <c r="W7781">
        <v>0.37233529999999998</v>
      </c>
      <c r="X7781">
        <v>0.91507530000000004</v>
      </c>
      <c r="Y7781">
        <v>0.29183150000000002</v>
      </c>
      <c r="Z7781">
        <v>-0.115478399999999</v>
      </c>
      <c r="AA7781">
        <v>0.94947309999999996</v>
      </c>
      <c r="AB7781">
        <v>32</v>
      </c>
      <c r="AC7781">
        <v>5.7086999999999897</v>
      </c>
      <c r="AD7781">
        <v>-1.0974653225489901</v>
      </c>
      <c r="AE7781">
        <v>5.3301999999999898</v>
      </c>
      <c r="AF7781">
        <v>2.3344747251646099</v>
      </c>
      <c r="AG7781">
        <v>-1.0974653225489901</v>
      </c>
      <c r="AH7781">
        <v>7.2945983786839896</v>
      </c>
      <c r="AI7781">
        <v>98.154413586443695</v>
      </c>
      <c r="AJ7781">
        <v>72.253880282681806</v>
      </c>
      <c r="AK7781">
        <v>7.7372713460837801</v>
      </c>
      <c r="AL7781">
        <v>68.140286381641701</v>
      </c>
      <c r="AM7781">
        <v>80.390406992760504</v>
      </c>
      <c r="AN7781">
        <v>0.99999999752858904</v>
      </c>
    </row>
    <row r="7782" spans="1:40" x14ac:dyDescent="0.25">
      <c r="A7782" t="str">
        <f>"20190304164314179"</f>
        <v>20190304164314179</v>
      </c>
      <c r="B7782" t="str">
        <f>"1551688994168832"</f>
        <v>1551688994168832</v>
      </c>
      <c r="C7782" t="s">
        <v>40</v>
      </c>
      <c r="D7782">
        <v>4.9479850000000001</v>
      </c>
      <c r="E7782">
        <v>0.58469599999999999</v>
      </c>
      <c r="F7782" t="s">
        <v>53</v>
      </c>
      <c r="G7782">
        <v>-176.9332</v>
      </c>
      <c r="H7782" s="1">
        <v>-5.0883939999999997E-6</v>
      </c>
      <c r="I7782">
        <v>134.14760000000001</v>
      </c>
      <c r="J7782">
        <v>-183.0634</v>
      </c>
      <c r="K7782">
        <v>1.097386</v>
      </c>
      <c r="L7782">
        <v>128.6626</v>
      </c>
      <c r="M7782">
        <v>0.49524020000000002</v>
      </c>
      <c r="N7782">
        <v>-1.6291199999999999E-2</v>
      </c>
      <c r="O7782">
        <v>0.86860329999999997</v>
      </c>
      <c r="P7782">
        <v>0.581013</v>
      </c>
      <c r="Q7782">
        <v>0.362066</v>
      </c>
      <c r="R7782">
        <v>0.7289253</v>
      </c>
      <c r="S7782">
        <v>2.5522770000000001</v>
      </c>
      <c r="T7782">
        <v>-0.45019229999999999</v>
      </c>
      <c r="U7782">
        <v>2.3117369999999999</v>
      </c>
      <c r="V7782">
        <v>0.15573819999999999</v>
      </c>
      <c r="W7782">
        <v>0.37220920000000002</v>
      </c>
      <c r="X7782">
        <v>0.91498959999999996</v>
      </c>
      <c r="Y7782">
        <v>0.30595860000000002</v>
      </c>
      <c r="Z7782">
        <v>-0.1100453</v>
      </c>
      <c r="AA7782">
        <v>0.94566349999999999</v>
      </c>
      <c r="AB7782">
        <v>32</v>
      </c>
      <c r="AC7782">
        <v>6.1302000000000003</v>
      </c>
      <c r="AD7782">
        <v>-1.0973910883939999</v>
      </c>
      <c r="AE7782">
        <v>5.4850000000000101</v>
      </c>
      <c r="AF7782">
        <v>2.56304957692821</v>
      </c>
      <c r="AG7782">
        <v>-1.0973910883939999</v>
      </c>
      <c r="AH7782">
        <v>7.6648304687669002</v>
      </c>
      <c r="AI7782">
        <v>97.732445927495306</v>
      </c>
      <c r="AJ7782">
        <v>71.510533672474196</v>
      </c>
      <c r="AK7782">
        <v>8.1561704524620993</v>
      </c>
      <c r="AL7782">
        <v>68.148071460849906</v>
      </c>
      <c r="AM7782">
        <v>80.340393591978</v>
      </c>
      <c r="AN7782">
        <v>1.0000000218060101</v>
      </c>
    </row>
    <row r="7783" spans="1:40" x14ac:dyDescent="0.25">
      <c r="A7783" t="str">
        <f>"20190304164314191"</f>
        <v>20190304164314191</v>
      </c>
      <c r="B7783" t="str">
        <f>"1551688994178592"</f>
        <v>1551688994178592</v>
      </c>
      <c r="C7783" t="s">
        <v>40</v>
      </c>
      <c r="D7783">
        <v>4.9243870000000003</v>
      </c>
      <c r="E7783">
        <v>0.5861672</v>
      </c>
      <c r="F7783" t="s">
        <v>53</v>
      </c>
      <c r="G7783">
        <v>-176.68469999999999</v>
      </c>
      <c r="H7783" s="1">
        <v>-4.9681300000000003E-6</v>
      </c>
      <c r="I7783">
        <v>134.2775</v>
      </c>
      <c r="J7783">
        <v>-182.97710000000001</v>
      </c>
      <c r="K7783">
        <v>1.0973189999999999</v>
      </c>
      <c r="L7783">
        <v>128.80070000000001</v>
      </c>
      <c r="M7783">
        <v>0.50189019999999995</v>
      </c>
      <c r="N7783">
        <v>-1.6312899999999901E-2</v>
      </c>
      <c r="O7783">
        <v>0.86477749999999998</v>
      </c>
      <c r="P7783">
        <v>0.58724639999999995</v>
      </c>
      <c r="Q7783">
        <v>0.3615584</v>
      </c>
      <c r="R7783">
        <v>0.72416659999999999</v>
      </c>
      <c r="S7783">
        <v>2.585388</v>
      </c>
      <c r="T7783">
        <v>-0.4447892</v>
      </c>
      <c r="U7783">
        <v>2.2757869999999998</v>
      </c>
      <c r="V7783">
        <v>0.15648580000000001</v>
      </c>
      <c r="W7783">
        <v>0.37167800000000001</v>
      </c>
      <c r="X7783">
        <v>0.91507799999999995</v>
      </c>
      <c r="Y7783">
        <v>0.31220350000000002</v>
      </c>
      <c r="Z7783">
        <v>-0.10851669999999999</v>
      </c>
      <c r="AA7783">
        <v>0.9437972</v>
      </c>
      <c r="AB7783">
        <v>32</v>
      </c>
      <c r="AC7783">
        <v>6.2924000000000104</v>
      </c>
      <c r="AD7783">
        <v>-1.09732396813</v>
      </c>
      <c r="AE7783">
        <v>5.4767999999999901</v>
      </c>
      <c r="AF7783">
        <v>2.6473249817209701</v>
      </c>
      <c r="AG7783">
        <v>-1.09732396813</v>
      </c>
      <c r="AH7783">
        <v>7.7610669605051603</v>
      </c>
      <c r="AI7783">
        <v>97.621898830686504</v>
      </c>
      <c r="AJ7783">
        <v>71.165325545235206</v>
      </c>
      <c r="AK7783">
        <v>8.2732466308772192</v>
      </c>
      <c r="AL7783">
        <v>68.180859835765702</v>
      </c>
      <c r="AM7783">
        <v>80.295823515533698</v>
      </c>
      <c r="AN7783">
        <v>1.00000004368481</v>
      </c>
    </row>
    <row r="7784" spans="1:40" x14ac:dyDescent="0.25">
      <c r="A7784" t="str">
        <f>"20190304164314202"</f>
        <v>20190304164314202</v>
      </c>
      <c r="B7784" t="str">
        <f>"1551688994199091"</f>
        <v>1551688994199091</v>
      </c>
      <c r="C7784" t="s">
        <v>40</v>
      </c>
      <c r="D7784">
        <v>5.0578289999999999</v>
      </c>
      <c r="E7784">
        <v>0.58741699999999997</v>
      </c>
      <c r="F7784" t="s">
        <v>53</v>
      </c>
      <c r="G7784">
        <v>-176.51759999999999</v>
      </c>
      <c r="H7784" s="1">
        <v>-4.8836430000000003E-6</v>
      </c>
      <c r="I7784">
        <v>134.3552</v>
      </c>
      <c r="J7784">
        <v>-182.88390000000001</v>
      </c>
      <c r="K7784">
        <v>1.0972470000000001</v>
      </c>
      <c r="L7784">
        <v>128.9486</v>
      </c>
      <c r="M7784">
        <v>0.50901620000000003</v>
      </c>
      <c r="N7784">
        <v>-1.6335289999999999E-2</v>
      </c>
      <c r="O7784">
        <v>0.86060190000000003</v>
      </c>
      <c r="P7784">
        <v>0.59388359999999996</v>
      </c>
      <c r="Q7784">
        <v>0.36034119999999997</v>
      </c>
      <c r="R7784">
        <v>0.7193446</v>
      </c>
      <c r="S7784">
        <v>2.6120299999999999</v>
      </c>
      <c r="T7784">
        <v>-0.44372329999999999</v>
      </c>
      <c r="U7784">
        <v>2.2460779999999998</v>
      </c>
      <c r="V7784">
        <v>0.15705859999999999</v>
      </c>
      <c r="W7784">
        <v>0.37044569999999999</v>
      </c>
      <c r="X7784">
        <v>0.91547940000000005</v>
      </c>
      <c r="Y7784">
        <v>0.31532569999999999</v>
      </c>
      <c r="Z7784">
        <v>-0.1080179</v>
      </c>
      <c r="AA7784">
        <v>0.94281590000000004</v>
      </c>
      <c r="AB7784">
        <v>32</v>
      </c>
      <c r="AC7784">
        <v>6.3663000000000203</v>
      </c>
      <c r="AD7784">
        <v>-1.0972518836430001</v>
      </c>
      <c r="AE7784">
        <v>5.4065999999999903</v>
      </c>
      <c r="AF7784">
        <v>2.68089892282581</v>
      </c>
      <c r="AG7784">
        <v>-1.0972518836430001</v>
      </c>
      <c r="AH7784">
        <v>7.7605984256776903</v>
      </c>
      <c r="AI7784">
        <v>97.611810771225095</v>
      </c>
      <c r="AJ7784">
        <v>70.942526861888894</v>
      </c>
      <c r="AK7784">
        <v>8.2836023960109202</v>
      </c>
      <c r="AL7784">
        <v>68.256892078117502</v>
      </c>
      <c r="AM7784">
        <v>80.265169871687704</v>
      </c>
      <c r="AN7784">
        <v>0.99999997615340397</v>
      </c>
    </row>
    <row r="7785" spans="1:40" x14ac:dyDescent="0.25">
      <c r="A7785" t="str">
        <f>"20190304164314224"</f>
        <v>20190304164314224</v>
      </c>
      <c r="B7785" t="str">
        <f>"1551688994218625"</f>
        <v>1551688994218625</v>
      </c>
      <c r="C7785" t="s">
        <v>40</v>
      </c>
      <c r="D7785">
        <v>5.0185449999999996</v>
      </c>
      <c r="E7785">
        <v>0.58691389999999999</v>
      </c>
      <c r="F7785" t="s">
        <v>53</v>
      </c>
      <c r="G7785">
        <v>-176.44489999999999</v>
      </c>
      <c r="H7785" s="1">
        <v>-4.8366170000000002E-6</v>
      </c>
      <c r="I7785">
        <v>134.36199999999999</v>
      </c>
      <c r="J7785">
        <v>-182.7159</v>
      </c>
      <c r="K7785">
        <v>1.097137</v>
      </c>
      <c r="L7785">
        <v>129.20689999999999</v>
      </c>
      <c r="M7785">
        <v>0.52159719999999998</v>
      </c>
      <c r="N7785">
        <v>-1.6372799999999899E-2</v>
      </c>
      <c r="O7785">
        <v>0.85303469999999904</v>
      </c>
      <c r="P7785">
        <v>0.60487170000000001</v>
      </c>
      <c r="Q7785">
        <v>0.35712529999999998</v>
      </c>
      <c r="R7785">
        <v>0.71175269999999902</v>
      </c>
      <c r="S7785">
        <v>2.6379549999999998</v>
      </c>
      <c r="T7785">
        <v>-0.44952120000000001</v>
      </c>
      <c r="U7785">
        <v>2.2177579999999999</v>
      </c>
      <c r="V7785">
        <v>0.15683369999999999</v>
      </c>
      <c r="W7785">
        <v>0.36725629999999998</v>
      </c>
      <c r="X7785">
        <v>0.91680200000000001</v>
      </c>
      <c r="Y7785">
        <v>0.31179519999999999</v>
      </c>
      <c r="Z7785">
        <v>-0.108797699999999</v>
      </c>
      <c r="AA7785">
        <v>0.94389979999999996</v>
      </c>
      <c r="AB7785">
        <v>32</v>
      </c>
      <c r="AC7785">
        <v>6.2710000000000097</v>
      </c>
      <c r="AD7785">
        <v>-1.097141836617</v>
      </c>
      <c r="AE7785">
        <v>5.1551</v>
      </c>
      <c r="AF7785">
        <v>2.6131211248868502</v>
      </c>
      <c r="AG7785">
        <v>-1.097141836617</v>
      </c>
      <c r="AH7785">
        <v>7.5318685932911098</v>
      </c>
      <c r="AI7785">
        <v>97.835788718610303</v>
      </c>
      <c r="AJ7785">
        <v>70.8661948033389</v>
      </c>
      <c r="AK7785">
        <v>8.0474323066174502</v>
      </c>
      <c r="AL7785">
        <v>68.4534935507819</v>
      </c>
      <c r="AM7785">
        <v>80.292600432845703</v>
      </c>
      <c r="AN7785">
        <v>0.99999995327468805</v>
      </c>
    </row>
    <row r="7786" spans="1:40" x14ac:dyDescent="0.25">
      <c r="A7786" t="str">
        <f>"20190304164314234"</f>
        <v>20190304164314234</v>
      </c>
      <c r="B7786" t="str">
        <f>"1551688994229345"</f>
        <v>1551688994229345</v>
      </c>
      <c r="C7786" t="s">
        <v>40</v>
      </c>
      <c r="D7786">
        <v>5.0097189999999996</v>
      </c>
      <c r="E7786">
        <v>0.58668140000000002</v>
      </c>
      <c r="F7786" t="s">
        <v>53</v>
      </c>
      <c r="G7786">
        <v>-176.50210000000001</v>
      </c>
      <c r="H7786" s="1">
        <v>-4.8487120000000002E-6</v>
      </c>
      <c r="I7786">
        <v>134.291</v>
      </c>
      <c r="J7786">
        <v>-182.62450000000001</v>
      </c>
      <c r="K7786">
        <v>1.0970819999999999</v>
      </c>
      <c r="L7786">
        <v>129.3434</v>
      </c>
      <c r="M7786">
        <v>0.528308</v>
      </c>
      <c r="N7786">
        <v>-1.6391559999999999E-2</v>
      </c>
      <c r="O7786">
        <v>0.8488945</v>
      </c>
      <c r="P7786">
        <v>0.61007080000000002</v>
      </c>
      <c r="Q7786">
        <v>0.35623709999999997</v>
      </c>
      <c r="R7786">
        <v>0.70774899999999996</v>
      </c>
      <c r="S7786">
        <v>2.6686399999999999</v>
      </c>
      <c r="T7786">
        <v>-0.47118749999999998</v>
      </c>
      <c r="U7786">
        <v>2.1834560000000001</v>
      </c>
      <c r="V7786">
        <v>0.15609519999999999</v>
      </c>
      <c r="W7786">
        <v>0.36640060000000002</v>
      </c>
      <c r="X7786">
        <v>0.91727040000000004</v>
      </c>
      <c r="Y7786">
        <v>0.3163086</v>
      </c>
      <c r="Z7786">
        <v>-0.1143617</v>
      </c>
      <c r="AA7786">
        <v>0.94173790000000002</v>
      </c>
      <c r="AB7786">
        <v>32</v>
      </c>
      <c r="AC7786">
        <v>6.1223999999999901</v>
      </c>
      <c r="AD7786">
        <v>-1.09708684871199</v>
      </c>
      <c r="AE7786">
        <v>4.9475999999999898</v>
      </c>
      <c r="AF7786">
        <v>2.5345299651665698</v>
      </c>
      <c r="AG7786">
        <v>-1.09708684871199</v>
      </c>
      <c r="AH7786">
        <v>7.2938228158412199</v>
      </c>
      <c r="AI7786">
        <v>98.086435849031304</v>
      </c>
      <c r="AJ7786">
        <v>70.838175551403793</v>
      </c>
      <c r="AK7786">
        <v>7.7991854040553497</v>
      </c>
      <c r="AL7786">
        <v>68.506197637664101</v>
      </c>
      <c r="AM7786">
        <v>80.342288167868205</v>
      </c>
      <c r="AN7786">
        <v>1.00000004892977</v>
      </c>
    </row>
    <row r="7787" spans="1:40" x14ac:dyDescent="0.25">
      <c r="A7787" t="str">
        <f>"20190304164314247"</f>
        <v>20190304164314247</v>
      </c>
      <c r="B7787" t="str">
        <f>"1551688994239105"</f>
        <v>1551688994239105</v>
      </c>
      <c r="C7787" t="s">
        <v>40</v>
      </c>
      <c r="D7787">
        <v>5.0075629999999904</v>
      </c>
      <c r="E7787">
        <v>0.58643889999999999</v>
      </c>
      <c r="F7787" t="s">
        <v>53</v>
      </c>
      <c r="G7787">
        <v>-176.4546</v>
      </c>
      <c r="H7787" s="1">
        <v>-4.8265439999999998E-6</v>
      </c>
      <c r="I7787">
        <v>134.31809999999999</v>
      </c>
      <c r="J7787">
        <v>-182.51820000000001</v>
      </c>
      <c r="K7787">
        <v>1.097032</v>
      </c>
      <c r="L7787">
        <v>129.5001</v>
      </c>
      <c r="M7787">
        <v>0.53602269999999996</v>
      </c>
      <c r="N7787">
        <v>-1.6411970000000001E-2</v>
      </c>
      <c r="O7787">
        <v>0.84404400000000002</v>
      </c>
      <c r="P7787">
        <v>0.61541599999999996</v>
      </c>
      <c r="Q7787">
        <v>0.3556203</v>
      </c>
      <c r="R7787">
        <v>0.7034184</v>
      </c>
      <c r="S7787">
        <v>2.6849059999999998</v>
      </c>
      <c r="T7787">
        <v>-0.47740529999999998</v>
      </c>
      <c r="U7787">
        <v>2.1647340000000002</v>
      </c>
      <c r="V7787">
        <v>0.1545347</v>
      </c>
      <c r="W7787">
        <v>0.36584420000000001</v>
      </c>
      <c r="X7787">
        <v>0.91775660000000003</v>
      </c>
      <c r="Y7787">
        <v>0.31429770000000001</v>
      </c>
      <c r="Z7787">
        <v>-0.11548659999999999</v>
      </c>
      <c r="AA7787">
        <v>0.94227369999999999</v>
      </c>
      <c r="AB7787">
        <v>32</v>
      </c>
      <c r="AC7787">
        <v>6.0636000000000001</v>
      </c>
      <c r="AD7787">
        <v>-1.097036826544</v>
      </c>
      <c r="AE7787">
        <v>4.8179999999999801</v>
      </c>
      <c r="AF7787">
        <v>2.4858514703085302</v>
      </c>
      <c r="AG7787">
        <v>-1.097036826544</v>
      </c>
      <c r="AH7787">
        <v>7.1738751253486104</v>
      </c>
      <c r="AI7787">
        <v>98.221888892816494</v>
      </c>
      <c r="AJ7787">
        <v>70.888059192576804</v>
      </c>
      <c r="AK7787">
        <v>7.6712079651984704</v>
      </c>
      <c r="AL7787">
        <v>68.540456006332406</v>
      </c>
      <c r="AM7787">
        <v>80.442018159584293</v>
      </c>
      <c r="AN7787">
        <v>1.0000000645106399</v>
      </c>
    </row>
    <row r="7788" spans="1:40" x14ac:dyDescent="0.25">
      <c r="A7788" t="str">
        <f>"20190304164314257"</f>
        <v>20190304164314257</v>
      </c>
      <c r="B7788" t="str">
        <f>"1551688994248865"</f>
        <v>1551688994248865</v>
      </c>
      <c r="C7788" t="s">
        <v>40</v>
      </c>
      <c r="D7788">
        <v>5.0181769999999997</v>
      </c>
      <c r="E7788">
        <v>0.58613230000000005</v>
      </c>
      <c r="F7788" t="s">
        <v>53</v>
      </c>
      <c r="G7788">
        <v>-176.36109999999999</v>
      </c>
      <c r="H7788" s="1">
        <v>-4.7871140000000003E-6</v>
      </c>
      <c r="I7788">
        <v>134.38220000000001</v>
      </c>
      <c r="J7788">
        <v>-182.429</v>
      </c>
      <c r="K7788">
        <v>1.0969949999999999</v>
      </c>
      <c r="L7788">
        <v>129.6293</v>
      </c>
      <c r="M7788">
        <v>0.54241229999999996</v>
      </c>
      <c r="N7788">
        <v>-1.6427979999999998E-2</v>
      </c>
      <c r="O7788">
        <v>0.83995180000000003</v>
      </c>
      <c r="P7788">
        <v>0.61948749999999997</v>
      </c>
      <c r="Q7788">
        <v>0.35563529999999999</v>
      </c>
      <c r="R7788">
        <v>0.69982769999999905</v>
      </c>
      <c r="S7788">
        <v>2.7031559999999999</v>
      </c>
      <c r="T7788">
        <v>-0.48162909999999998</v>
      </c>
      <c r="U7788">
        <v>2.1433719999999998</v>
      </c>
      <c r="V7788">
        <v>0.15292500000000001</v>
      </c>
      <c r="W7788">
        <v>0.36591790000000002</v>
      </c>
      <c r="X7788">
        <v>0.91799679999999995</v>
      </c>
      <c r="Y7788">
        <v>0.31467079999999997</v>
      </c>
      <c r="Z7788">
        <v>-0.1162373</v>
      </c>
      <c r="AA7788">
        <v>0.94205689999999997</v>
      </c>
      <c r="AB7788">
        <v>32</v>
      </c>
      <c r="AC7788">
        <v>6.0678999999999998</v>
      </c>
      <c r="AD7788">
        <v>-1.096999787114</v>
      </c>
      <c r="AE7788">
        <v>4.7529000000000101</v>
      </c>
      <c r="AF7788">
        <v>2.4690387598488401</v>
      </c>
      <c r="AG7788">
        <v>-1.096999787114</v>
      </c>
      <c r="AH7788">
        <v>7.1398671165346901</v>
      </c>
      <c r="AI7788">
        <v>98.262010151785404</v>
      </c>
      <c r="AJ7788">
        <v>70.924093370653793</v>
      </c>
      <c r="AK7788">
        <v>7.6339546352029997</v>
      </c>
      <c r="AL7788">
        <v>68.5359182583001</v>
      </c>
      <c r="AM7788">
        <v>80.542199993038594</v>
      </c>
      <c r="AN7788">
        <v>1.0000000449878199</v>
      </c>
    </row>
    <row r="7789" spans="1:40" x14ac:dyDescent="0.25">
      <c r="A7789" t="str">
        <f>"20190304164314269"</f>
        <v>20190304164314269</v>
      </c>
      <c r="B7789" t="str">
        <f>"1551688994258626"</f>
        <v>1551688994258626</v>
      </c>
      <c r="C7789" t="s">
        <v>40</v>
      </c>
      <c r="D7789">
        <v>5.0176059999999998</v>
      </c>
      <c r="E7789">
        <v>0.58586289999999996</v>
      </c>
      <c r="F7789" t="s">
        <v>53</v>
      </c>
      <c r="G7789">
        <v>-176.26900000000001</v>
      </c>
      <c r="H7789" s="1">
        <v>-4.7502690000000003E-6</v>
      </c>
      <c r="I7789">
        <v>134.45070000000001</v>
      </c>
      <c r="J7789">
        <v>-182.33439999999999</v>
      </c>
      <c r="K7789">
        <v>1.096956</v>
      </c>
      <c r="L7789">
        <v>129.76339999999999</v>
      </c>
      <c r="M7789">
        <v>0.54908780000000001</v>
      </c>
      <c r="N7789">
        <v>-1.6443900000000001E-2</v>
      </c>
      <c r="O7789">
        <v>0.83560290000000004</v>
      </c>
      <c r="P7789">
        <v>0.62418189999999996</v>
      </c>
      <c r="Q7789">
        <v>0.35564600000000002</v>
      </c>
      <c r="R7789">
        <v>0.69563850000000005</v>
      </c>
      <c r="S7789">
        <v>2.7176360000000002</v>
      </c>
      <c r="T7789">
        <v>-0.48396869999999997</v>
      </c>
      <c r="U7789">
        <v>2.1270449999999999</v>
      </c>
      <c r="V7789">
        <v>0.15181800000000001</v>
      </c>
      <c r="W7789">
        <v>0.3659693</v>
      </c>
      <c r="X7789">
        <v>0.91815999999999998</v>
      </c>
      <c r="Y7789">
        <v>0.31302869999999999</v>
      </c>
      <c r="Z7789">
        <v>-0.1163561</v>
      </c>
      <c r="AA7789">
        <v>0.94258920000000002</v>
      </c>
      <c r="AB7789">
        <v>32</v>
      </c>
      <c r="AC7789">
        <v>6.0653999999999799</v>
      </c>
      <c r="AD7789">
        <v>-1.096960750269</v>
      </c>
      <c r="AE7789">
        <v>4.68730000000002</v>
      </c>
      <c r="AF7789">
        <v>2.4447977200930802</v>
      </c>
      <c r="AG7789">
        <v>-1.096960750269</v>
      </c>
      <c r="AH7789">
        <v>7.1026851220360596</v>
      </c>
      <c r="AI7789">
        <v>98.308415068395405</v>
      </c>
      <c r="AJ7789">
        <v>71.006151092998707</v>
      </c>
      <c r="AK7789">
        <v>7.5913434069732002</v>
      </c>
      <c r="AL7789">
        <v>68.532752959521005</v>
      </c>
      <c r="AM7789">
        <v>80.611079145236602</v>
      </c>
      <c r="AN7789">
        <v>1.00000000963324</v>
      </c>
    </row>
    <row r="7790" spans="1:40" x14ac:dyDescent="0.25">
      <c r="A7790" t="str">
        <f>"20190304164314280"</f>
        <v>20190304164314280</v>
      </c>
      <c r="B7790" t="str">
        <f>"1551688994269361"</f>
        <v>1551688994269361</v>
      </c>
      <c r="C7790" t="s">
        <v>40</v>
      </c>
      <c r="D7790">
        <v>5.0413449999999997</v>
      </c>
      <c r="E7790">
        <v>0.585507</v>
      </c>
      <c r="F7790" t="s">
        <v>53</v>
      </c>
      <c r="G7790">
        <v>-176.15700000000001</v>
      </c>
      <c r="H7790" s="1">
        <v>-4.7029429999999996E-6</v>
      </c>
      <c r="I7790">
        <v>134.52719999999999</v>
      </c>
      <c r="J7790">
        <v>-182.2397</v>
      </c>
      <c r="K7790">
        <v>1.0969230000000001</v>
      </c>
      <c r="L7790">
        <v>129.8965</v>
      </c>
      <c r="M7790">
        <v>0.55571400000000004</v>
      </c>
      <c r="N7790">
        <v>-1.6458980000000002E-2</v>
      </c>
      <c r="O7790">
        <v>0.83121069999999997</v>
      </c>
      <c r="P7790">
        <v>0.62844109999999997</v>
      </c>
      <c r="Q7790">
        <v>0.35627130000000001</v>
      </c>
      <c r="R7790">
        <v>0.69147130000000001</v>
      </c>
      <c r="S7790">
        <v>2.7335660000000002</v>
      </c>
      <c r="T7790">
        <v>-0.48541669999999998</v>
      </c>
      <c r="U7790">
        <v>2.1080019999999999</v>
      </c>
      <c r="V7790">
        <v>0.1503785</v>
      </c>
      <c r="W7790">
        <v>0.36664380000000002</v>
      </c>
      <c r="X7790">
        <v>0.91812780000000005</v>
      </c>
      <c r="Y7790">
        <v>0.31224730000000001</v>
      </c>
      <c r="Z7790">
        <v>-0.116284</v>
      </c>
      <c r="AA7790">
        <v>0.9428571</v>
      </c>
      <c r="AB7790">
        <v>32</v>
      </c>
      <c r="AC7790">
        <v>6.0826999999999796</v>
      </c>
      <c r="AD7790">
        <v>-1.09692770294299</v>
      </c>
      <c r="AE7790">
        <v>4.6306999999999903</v>
      </c>
      <c r="AF7790">
        <v>2.43290654686048</v>
      </c>
      <c r="AG7790">
        <v>-1.09692770294299</v>
      </c>
      <c r="AH7790">
        <v>7.0844489862581099</v>
      </c>
      <c r="AI7790">
        <v>98.331255955992503</v>
      </c>
      <c r="AJ7790">
        <v>71.046756070003894</v>
      </c>
      <c r="AK7790">
        <v>7.5704492660696197</v>
      </c>
      <c r="AL7790">
        <v>68.491220269528</v>
      </c>
      <c r="AM7790">
        <v>80.698218879151099</v>
      </c>
      <c r="AN7790">
        <v>1.0000000132367599</v>
      </c>
    </row>
    <row r="7791" spans="1:40" x14ac:dyDescent="0.25">
      <c r="A7791" t="str">
        <f>"20190304164314291"</f>
        <v>20190304164314291</v>
      </c>
      <c r="B7791" t="str">
        <f>"1551688994288881"</f>
        <v>1551688994288881</v>
      </c>
      <c r="C7791" t="s">
        <v>40</v>
      </c>
      <c r="D7791">
        <v>5.0085129999999998</v>
      </c>
      <c r="E7791">
        <v>0.58494809999999997</v>
      </c>
      <c r="F7791" t="s">
        <v>53</v>
      </c>
      <c r="G7791">
        <v>-176.04079999999999</v>
      </c>
      <c r="H7791" s="1">
        <v>-4.6574329999999999E-6</v>
      </c>
      <c r="I7791">
        <v>134.61619999999999</v>
      </c>
      <c r="J7791">
        <v>-182.1474</v>
      </c>
      <c r="K7791">
        <v>1.0968910000000001</v>
      </c>
      <c r="L7791">
        <v>130.02260000000001</v>
      </c>
      <c r="M7791">
        <v>0.56206339999999999</v>
      </c>
      <c r="N7791">
        <v>-1.647351E-2</v>
      </c>
      <c r="O7791">
        <v>0.8269301</v>
      </c>
      <c r="P7791">
        <v>0.63275029999999999</v>
      </c>
      <c r="Q7791">
        <v>0.35740830000000001</v>
      </c>
      <c r="R7791">
        <v>0.68693990000000005</v>
      </c>
      <c r="S7791">
        <v>2.7475890000000001</v>
      </c>
      <c r="T7791">
        <v>-0.48619820000000002</v>
      </c>
      <c r="U7791">
        <v>2.0919490000000001</v>
      </c>
      <c r="V7791">
        <v>0.14948029999999901</v>
      </c>
      <c r="W7791">
        <v>0.36780659999999998</v>
      </c>
      <c r="X7791">
        <v>0.91780930000000005</v>
      </c>
      <c r="Y7791">
        <v>0.31079830000000003</v>
      </c>
      <c r="Z7791">
        <v>-0.11599329999999999</v>
      </c>
      <c r="AA7791">
        <v>0.94337159999999998</v>
      </c>
      <c r="AB7791">
        <v>32</v>
      </c>
      <c r="AC7791">
        <v>6.10660000000001</v>
      </c>
      <c r="AD7791">
        <v>-1.096895657433</v>
      </c>
      <c r="AE7791">
        <v>4.5935999999999799</v>
      </c>
      <c r="AF7791">
        <v>2.4183411101685901</v>
      </c>
      <c r="AG7791">
        <v>-1.096895657433</v>
      </c>
      <c r="AH7791">
        <v>7.0858573464328698</v>
      </c>
      <c r="AI7791">
        <v>98.334729886888297</v>
      </c>
      <c r="AJ7791">
        <v>71.155675964049095</v>
      </c>
      <c r="AK7791">
        <v>7.56709509273034</v>
      </c>
      <c r="AL7791">
        <v>68.419591545890299</v>
      </c>
      <c r="AM7791">
        <v>80.749661651031005</v>
      </c>
      <c r="AN7791">
        <v>0.99999998312907001</v>
      </c>
    </row>
    <row r="7792" spans="1:40" x14ac:dyDescent="0.25">
      <c r="A7792" t="str">
        <f>"20190304164314302"</f>
        <v>20190304164314302</v>
      </c>
      <c r="B7792" t="str">
        <f>"1551688994298642"</f>
        <v>1551688994298642</v>
      </c>
      <c r="C7792" t="s">
        <v>40</v>
      </c>
      <c r="D7792">
        <v>5.0061629999999999</v>
      </c>
      <c r="E7792">
        <v>0.58460809999999996</v>
      </c>
      <c r="F7792" t="s">
        <v>53</v>
      </c>
      <c r="G7792">
        <v>-175.94489999999999</v>
      </c>
      <c r="H7792" s="1">
        <v>-4.6211009999999999E-6</v>
      </c>
      <c r="I7792">
        <v>134.69290000000001</v>
      </c>
      <c r="J7792">
        <v>-182.05359999999999</v>
      </c>
      <c r="K7792">
        <v>1.0968580000000001</v>
      </c>
      <c r="L7792">
        <v>130.15029999999999</v>
      </c>
      <c r="M7792">
        <v>0.56847559999999997</v>
      </c>
      <c r="N7792">
        <v>-1.6487680000000001E-2</v>
      </c>
      <c r="O7792">
        <v>0.82253489999999996</v>
      </c>
      <c r="P7792">
        <v>0.63726669999999996</v>
      </c>
      <c r="Q7792">
        <v>0.35838520000000001</v>
      </c>
      <c r="R7792">
        <v>0.68223979999999995</v>
      </c>
      <c r="S7792">
        <v>2.760437</v>
      </c>
      <c r="T7792">
        <v>-0.48816809999999999</v>
      </c>
      <c r="U7792">
        <v>2.0784910000000001</v>
      </c>
      <c r="V7792">
        <v>0.14874870000000001</v>
      </c>
      <c r="W7792">
        <v>0.36880459999999998</v>
      </c>
      <c r="X7792">
        <v>0.91752769999999995</v>
      </c>
      <c r="Y7792">
        <v>0.30844820000000001</v>
      </c>
      <c r="Z7792">
        <v>-0.1159239</v>
      </c>
      <c r="AA7792">
        <v>0.94415119999999997</v>
      </c>
      <c r="AB7792">
        <v>32</v>
      </c>
      <c r="AC7792">
        <v>6.10869999999999</v>
      </c>
      <c r="AD7792">
        <v>-1.096862621101</v>
      </c>
      <c r="AE7792">
        <v>4.5426000000000197</v>
      </c>
      <c r="AF7792">
        <v>2.39291528706267</v>
      </c>
      <c r="AG7792">
        <v>-1.096862621101</v>
      </c>
      <c r="AH7792">
        <v>7.0634327194436803</v>
      </c>
      <c r="AI7792">
        <v>98.366892230586203</v>
      </c>
      <c r="AJ7792">
        <v>71.284898359636799</v>
      </c>
      <c r="AK7792">
        <v>7.5379860017603004</v>
      </c>
      <c r="AL7792">
        <v>68.358088263341202</v>
      </c>
      <c r="AM7792">
        <v>80.791381489053705</v>
      </c>
      <c r="AN7792">
        <v>1.0000000445000601</v>
      </c>
    </row>
    <row r="7793" spans="1:40" x14ac:dyDescent="0.25">
      <c r="A7793" t="str">
        <f>"20190304164314315"</f>
        <v>20190304164314315</v>
      </c>
      <c r="B7793" t="str">
        <f>"1551688994309376"</f>
        <v>1551688994309376</v>
      </c>
      <c r="C7793" t="s">
        <v>40</v>
      </c>
      <c r="D7793">
        <v>5.0269209999999998</v>
      </c>
      <c r="E7793">
        <v>0.5843119</v>
      </c>
      <c r="F7793" t="s">
        <v>53</v>
      </c>
      <c r="G7793">
        <v>-175.82079999999999</v>
      </c>
      <c r="H7793" s="1">
        <v>-4.5711579999999996E-6</v>
      </c>
      <c r="I7793">
        <v>134.78440000000001</v>
      </c>
      <c r="J7793">
        <v>-181.93899999999999</v>
      </c>
      <c r="K7793">
        <v>1.096805</v>
      </c>
      <c r="L7793">
        <v>130.30179999999999</v>
      </c>
      <c r="M7793">
        <v>0.57617739999999995</v>
      </c>
      <c r="N7793">
        <v>-1.6506119999999999E-2</v>
      </c>
      <c r="O7793">
        <v>0.81715799999999905</v>
      </c>
      <c r="P7793">
        <v>0.64286489999999996</v>
      </c>
      <c r="Q7793">
        <v>0.359570099999999</v>
      </c>
      <c r="R7793">
        <v>0.67633869999999996</v>
      </c>
      <c r="S7793">
        <v>2.7740939999999998</v>
      </c>
      <c r="T7793">
        <v>-0.48818590000000001</v>
      </c>
      <c r="U7793">
        <v>2.0625</v>
      </c>
      <c r="V7793">
        <v>0.1481275</v>
      </c>
      <c r="W7793">
        <v>0.37000539999999998</v>
      </c>
      <c r="X7793">
        <v>0.91714459999999998</v>
      </c>
      <c r="Y7793">
        <v>0.30530109999999999</v>
      </c>
      <c r="Z7793">
        <v>-0.115242899999999</v>
      </c>
      <c r="AA7793">
        <v>0.94525669999999995</v>
      </c>
      <c r="AB7793">
        <v>32</v>
      </c>
      <c r="AC7793">
        <v>6.1182000000000301</v>
      </c>
      <c r="AD7793">
        <v>-1.0968095711579999</v>
      </c>
      <c r="AE7793">
        <v>4.4826000000000104</v>
      </c>
      <c r="AF7793">
        <v>2.3675813929212599</v>
      </c>
      <c r="AG7793">
        <v>-1.0968095711579999</v>
      </c>
      <c r="AH7793">
        <v>7.0418797505321002</v>
      </c>
      <c r="AI7793">
        <v>98.398156842239203</v>
      </c>
      <c r="AJ7793">
        <v>71.4166140125472</v>
      </c>
      <c r="AK7793">
        <v>7.5097605360254196</v>
      </c>
      <c r="AL7793">
        <v>68.284049337536501</v>
      </c>
      <c r="AM7793">
        <v>80.825417845831296</v>
      </c>
      <c r="AN7793">
        <v>0.99999998479728403</v>
      </c>
    </row>
    <row r="7794" spans="1:40" x14ac:dyDescent="0.25">
      <c r="A7794" t="str">
        <f>"20190304164314328"</f>
        <v>20190304164314328</v>
      </c>
      <c r="B7794" t="str">
        <f>"1551688994319136"</f>
        <v>1551688994319136</v>
      </c>
      <c r="C7794" t="s">
        <v>40</v>
      </c>
      <c r="D7794">
        <v>5.0451689999999996</v>
      </c>
      <c r="E7794">
        <v>0.58396519999999996</v>
      </c>
      <c r="F7794" t="s">
        <v>53</v>
      </c>
      <c r="G7794">
        <v>-175.65020000000001</v>
      </c>
      <c r="H7794" s="1">
        <v>-4.49818499999999E-6</v>
      </c>
      <c r="I7794">
        <v>134.89869999999999</v>
      </c>
      <c r="J7794">
        <v>-181.8235</v>
      </c>
      <c r="K7794">
        <v>1.096757</v>
      </c>
      <c r="L7794">
        <v>130.452</v>
      </c>
      <c r="M7794">
        <v>0.583843</v>
      </c>
      <c r="N7794">
        <v>-1.6524899999999999E-2</v>
      </c>
      <c r="O7794">
        <v>0.81169840000000004</v>
      </c>
      <c r="P7794">
        <v>0.64849060000000003</v>
      </c>
      <c r="Q7794">
        <v>0.36081780000000002</v>
      </c>
      <c r="R7794">
        <v>0.67027650000000005</v>
      </c>
      <c r="S7794">
        <v>2.7919010000000002</v>
      </c>
      <c r="T7794">
        <v>-0.48692370000000001</v>
      </c>
      <c r="U7794">
        <v>2.0408019999999998</v>
      </c>
      <c r="V7794">
        <v>0.14762800000000001</v>
      </c>
      <c r="W7794">
        <v>0.37126399999999998</v>
      </c>
      <c r="X7794">
        <v>0.91671650000000005</v>
      </c>
      <c r="Y7794">
        <v>0.30408780000000002</v>
      </c>
      <c r="Z7794">
        <v>-0.1143122</v>
      </c>
      <c r="AA7794">
        <v>0.94576070000000001</v>
      </c>
      <c r="AB7794">
        <v>32</v>
      </c>
      <c r="AC7794">
        <v>6.1732999999999798</v>
      </c>
      <c r="AD7794">
        <v>-1.096761498185</v>
      </c>
      <c r="AE7794">
        <v>4.4466999999999901</v>
      </c>
      <c r="AF7794">
        <v>2.3658471621771899</v>
      </c>
      <c r="AG7794">
        <v>-1.096761498185</v>
      </c>
      <c r="AH7794">
        <v>7.0677250321776697</v>
      </c>
      <c r="AI7794">
        <v>98.371189816301197</v>
      </c>
      <c r="AJ7794">
        <v>71.492568064947903</v>
      </c>
      <c r="AK7794">
        <v>7.5334491243489303</v>
      </c>
      <c r="AL7794">
        <v>68.206408864650598</v>
      </c>
      <c r="AM7794">
        <v>80.851633812454395</v>
      </c>
      <c r="AN7794">
        <v>1.0000000627261201</v>
      </c>
    </row>
    <row r="7795" spans="1:40" x14ac:dyDescent="0.25">
      <c r="A7795" t="str">
        <f>"20190304164314343"</f>
        <v>20190304164314343</v>
      </c>
      <c r="B7795" t="str">
        <f>"1551688994338656"</f>
        <v>1551688994338656</v>
      </c>
      <c r="C7795" t="s">
        <v>40</v>
      </c>
      <c r="D7795">
        <v>5.0656800000000004</v>
      </c>
      <c r="E7795">
        <v>0.58332709999999999</v>
      </c>
      <c r="F7795" t="s">
        <v>53</v>
      </c>
      <c r="G7795">
        <v>-175.48670000000001</v>
      </c>
      <c r="H7795" s="1">
        <v>-4.4274369999999997E-6</v>
      </c>
      <c r="I7795">
        <v>135.0061</v>
      </c>
      <c r="J7795">
        <v>-181.6951</v>
      </c>
      <c r="K7795">
        <v>1.0967070000000001</v>
      </c>
      <c r="L7795">
        <v>130.6165</v>
      </c>
      <c r="M7795">
        <v>0.59226440000000002</v>
      </c>
      <c r="N7795">
        <v>-1.6546129999999999E-2</v>
      </c>
      <c r="O7795">
        <v>0.80557380000000001</v>
      </c>
      <c r="P7795">
        <v>0.65446249999999995</v>
      </c>
      <c r="Q7795">
        <v>0.36284240000000001</v>
      </c>
      <c r="R7795">
        <v>0.66334320000000002</v>
      </c>
      <c r="S7795">
        <v>2.809647</v>
      </c>
      <c r="T7795">
        <v>-0.48628690000000002</v>
      </c>
      <c r="U7795">
        <v>2.0192109999999999</v>
      </c>
      <c r="V7795">
        <v>0.14705119999999999</v>
      </c>
      <c r="W7795">
        <v>0.37329760000000001</v>
      </c>
      <c r="X7795">
        <v>0.91598299999999999</v>
      </c>
      <c r="Y7795">
        <v>0.30187190000000003</v>
      </c>
      <c r="Z7795">
        <v>-0.1134198</v>
      </c>
      <c r="AA7795">
        <v>0.94657769999999997</v>
      </c>
      <c r="AB7795">
        <v>32</v>
      </c>
      <c r="AC7795">
        <v>6.2083999999999797</v>
      </c>
      <c r="AD7795">
        <v>-1.09671142743699</v>
      </c>
      <c r="AE7795">
        <v>4.3895999999999997</v>
      </c>
      <c r="AF7795">
        <v>2.3528980838749298</v>
      </c>
      <c r="AG7795">
        <v>-1.09671142743699</v>
      </c>
      <c r="AH7795">
        <v>7.0671194890418398</v>
      </c>
      <c r="AI7795">
        <v>98.375992217697402</v>
      </c>
      <c r="AJ7795">
        <v>71.585545584267507</v>
      </c>
      <c r="AK7795">
        <v>7.5288168539663802</v>
      </c>
      <c r="AL7795">
        <v>68.080866971941106</v>
      </c>
      <c r="AM7795">
        <v>80.879601534005104</v>
      </c>
      <c r="AN7795">
        <v>1.0000000049380999</v>
      </c>
    </row>
    <row r="7796" spans="1:40" x14ac:dyDescent="0.25">
      <c r="A7796" t="str">
        <f>"20190304164314356"</f>
        <v>20190304164314356</v>
      </c>
      <c r="B7796" t="str">
        <f>"1551688994348417"</f>
        <v>1551688994348417</v>
      </c>
      <c r="C7796" t="s">
        <v>40</v>
      </c>
      <c r="D7796">
        <v>5.0470420000000003</v>
      </c>
      <c r="E7796">
        <v>0.58332709999999999</v>
      </c>
      <c r="F7796" t="s">
        <v>53</v>
      </c>
      <c r="G7796">
        <v>-175.29820000000001</v>
      </c>
      <c r="H7796" s="1">
        <v>-4.3461130000000003E-6</v>
      </c>
      <c r="I7796">
        <v>135.13069999999999</v>
      </c>
      <c r="J7796">
        <v>-181.5684</v>
      </c>
      <c r="K7796">
        <v>1.0966530000000001</v>
      </c>
      <c r="L7796">
        <v>130.77379999999999</v>
      </c>
      <c r="M7796">
        <v>0.60043080000000004</v>
      </c>
      <c r="N7796">
        <v>-1.6568340000000001E-2</v>
      </c>
      <c r="O7796">
        <v>0.79950500000000002</v>
      </c>
      <c r="P7796">
        <v>0.66037319999999999</v>
      </c>
      <c r="Q7796">
        <v>0.36449749999999997</v>
      </c>
      <c r="R7796">
        <v>0.65654309999999905</v>
      </c>
      <c r="S7796">
        <v>2.8291930000000001</v>
      </c>
      <c r="T7796">
        <v>-0.48504969999999997</v>
      </c>
      <c r="U7796">
        <v>1.9965520000000001</v>
      </c>
      <c r="V7796">
        <v>0.14658389999999999</v>
      </c>
      <c r="W7796">
        <v>0.37495990000000001</v>
      </c>
      <c r="X7796">
        <v>0.91537869999999999</v>
      </c>
      <c r="Y7796">
        <v>0.30041509999999999</v>
      </c>
      <c r="Z7796">
        <v>-0.11237610000000001</v>
      </c>
      <c r="AA7796">
        <v>0.94716540000000005</v>
      </c>
      <c r="AB7796">
        <v>32</v>
      </c>
      <c r="AC7796">
        <v>6.2701999999999796</v>
      </c>
      <c r="AD7796">
        <v>-1.096657346113</v>
      </c>
      <c r="AE7796">
        <v>4.3568999999999898</v>
      </c>
      <c r="AF7796">
        <v>2.3489116566919401</v>
      </c>
      <c r="AG7796">
        <v>-1.096657346113</v>
      </c>
      <c r="AH7796">
        <v>7.1026558299695202</v>
      </c>
      <c r="AI7796">
        <v>98.339741738978603</v>
      </c>
      <c r="AJ7796">
        <v>71.700488453952104</v>
      </c>
      <c r="AK7796">
        <v>7.5609366578967503</v>
      </c>
      <c r="AL7796">
        <v>67.978164763223504</v>
      </c>
      <c r="AM7796">
        <v>80.902197742369296</v>
      </c>
      <c r="AN7796">
        <v>0.99999996538045399</v>
      </c>
    </row>
    <row r="7797" spans="1:40" x14ac:dyDescent="0.25">
      <c r="A7797" t="str">
        <f>"20190304164314367"</f>
        <v>20190304164314367</v>
      </c>
      <c r="B7797" t="str">
        <f>"1551688994359153"</f>
        <v>1551688994359153</v>
      </c>
      <c r="C7797" t="s">
        <v>40</v>
      </c>
      <c r="D7797">
        <v>4.8374459999999999</v>
      </c>
      <c r="E7797">
        <v>0.58329449999999905</v>
      </c>
      <c r="F7797" t="s">
        <v>53</v>
      </c>
      <c r="G7797">
        <v>-175.0326</v>
      </c>
      <c r="H7797" s="1">
        <v>-4.2241260000000002E-6</v>
      </c>
      <c r="I7797">
        <v>135.2867</v>
      </c>
      <c r="J7797">
        <v>-181.46080000000001</v>
      </c>
      <c r="K7797">
        <v>1.096619</v>
      </c>
      <c r="L7797">
        <v>130.90530000000001</v>
      </c>
      <c r="M7797">
        <v>0.60728319999999902</v>
      </c>
      <c r="N7797">
        <v>-1.658739E-2</v>
      </c>
      <c r="O7797">
        <v>0.79431219999999902</v>
      </c>
      <c r="P7797">
        <v>0.66539700000000002</v>
      </c>
      <c r="Q7797">
        <v>0.36900529999999998</v>
      </c>
      <c r="R7797">
        <v>0.64890819999999905</v>
      </c>
      <c r="S7797">
        <v>2.85025</v>
      </c>
      <c r="T7797">
        <v>-0.47825309999999999</v>
      </c>
      <c r="U7797">
        <v>1.968048</v>
      </c>
      <c r="V7797">
        <v>0.1474848</v>
      </c>
      <c r="W7797">
        <v>0.3794073</v>
      </c>
      <c r="X7797">
        <v>0.91339930000000003</v>
      </c>
      <c r="Y7797">
        <v>0.30212830000000002</v>
      </c>
      <c r="Z7797">
        <v>-0.1102414</v>
      </c>
      <c r="AA7797">
        <v>0.94687129999999997</v>
      </c>
      <c r="AB7797">
        <v>32</v>
      </c>
      <c r="AC7797">
        <v>6.4282000000000004</v>
      </c>
      <c r="AD7797">
        <v>-1.0966232241259899</v>
      </c>
      <c r="AE7797">
        <v>4.3813999999999798</v>
      </c>
      <c r="AF7797">
        <v>2.3979334942580102</v>
      </c>
      <c r="AG7797">
        <v>-1.0966232241259899</v>
      </c>
      <c r="AH7797">
        <v>7.2410640509065702</v>
      </c>
      <c r="AI7797">
        <v>98.181180919514901</v>
      </c>
      <c r="AJ7797">
        <v>71.677317891024302</v>
      </c>
      <c r="AK7797">
        <v>7.7062102312296403</v>
      </c>
      <c r="AL7797">
        <v>67.703025082658499</v>
      </c>
      <c r="AM7797">
        <v>80.827728625967893</v>
      </c>
      <c r="AN7797">
        <v>0.99999997338240898</v>
      </c>
    </row>
    <row r="7798" spans="1:40" x14ac:dyDescent="0.25">
      <c r="A7798" t="str">
        <f>"20190304164314381"</f>
        <v>20190304164314381</v>
      </c>
      <c r="B7798" t="str">
        <f>"1551688994368913"</f>
        <v>1551688994368913</v>
      </c>
      <c r="C7798" t="s">
        <v>40</v>
      </c>
      <c r="D7798">
        <v>5.0576919999999896</v>
      </c>
      <c r="E7798">
        <v>0.58294709999999905</v>
      </c>
      <c r="F7798" t="s">
        <v>53</v>
      </c>
      <c r="G7798">
        <v>-174.6635</v>
      </c>
      <c r="H7798" s="1">
        <v>-4.1269609999999996E-6</v>
      </c>
      <c r="I7798">
        <v>135.50899999999999</v>
      </c>
      <c r="J7798">
        <v>-181.3364</v>
      </c>
      <c r="K7798">
        <v>1.0965640000000001</v>
      </c>
      <c r="L7798">
        <v>131.05510000000001</v>
      </c>
      <c r="M7798">
        <v>0.61511530000000003</v>
      </c>
      <c r="N7798">
        <v>-1.6609510000000001E-2</v>
      </c>
      <c r="O7798">
        <v>0.78826219999999902</v>
      </c>
      <c r="P7798">
        <v>0.67231969999999996</v>
      </c>
      <c r="Q7798">
        <v>0.37090519999999999</v>
      </c>
      <c r="R7798">
        <v>0.64063689999999995</v>
      </c>
      <c r="S7798">
        <v>2.8698269999999999</v>
      </c>
      <c r="T7798">
        <v>-0.46299430000000003</v>
      </c>
      <c r="U7798">
        <v>1.9436800000000001</v>
      </c>
      <c r="V7798">
        <v>0.14904419999999999</v>
      </c>
      <c r="W7798">
        <v>0.38123839999999998</v>
      </c>
      <c r="X7798">
        <v>0.91238319999999995</v>
      </c>
      <c r="Y7798">
        <v>0.30169509999999899</v>
      </c>
      <c r="Z7798">
        <v>-0.10576869999999999</v>
      </c>
      <c r="AA7798">
        <v>0.94751940000000001</v>
      </c>
      <c r="AB7798">
        <v>32</v>
      </c>
      <c r="AC7798">
        <v>6.6728999999999896</v>
      </c>
      <c r="AD7798">
        <v>-1.0965681269609999</v>
      </c>
      <c r="AE7798">
        <v>4.4538999999999698</v>
      </c>
      <c r="AF7798">
        <v>2.4744528607912399</v>
      </c>
      <c r="AG7798">
        <v>-1.0965681269609999</v>
      </c>
      <c r="AH7798">
        <v>7.4768129596399797</v>
      </c>
      <c r="AI7798">
        <v>97.926644957012002</v>
      </c>
      <c r="AJ7798">
        <v>71.688027239082302</v>
      </c>
      <c r="AK7798">
        <v>7.9516105696132398</v>
      </c>
      <c r="AL7798">
        <v>67.589586821266295</v>
      </c>
      <c r="AM7798">
        <v>80.722279952529902</v>
      </c>
      <c r="AN7798">
        <v>0.99999999741521906</v>
      </c>
    </row>
    <row r="7799" spans="1:40" x14ac:dyDescent="0.25">
      <c r="A7799" t="str">
        <f>"20190304164314393"</f>
        <v>20190304164314393</v>
      </c>
      <c r="B7799" t="str">
        <f>"1551688994388939"</f>
        <v>1551688994388939</v>
      </c>
      <c r="C7799" t="s">
        <v>40</v>
      </c>
      <c r="D7799">
        <v>5.1569260000000003</v>
      </c>
      <c r="E7799">
        <v>0.58279040000000004</v>
      </c>
      <c r="F7799" t="s">
        <v>53</v>
      </c>
      <c r="G7799">
        <v>-174.4616</v>
      </c>
      <c r="H7799" s="1">
        <v>-4.0788660000000004E-6</v>
      </c>
      <c r="I7799">
        <v>135.6182</v>
      </c>
      <c r="J7799">
        <v>-181.22190000000001</v>
      </c>
      <c r="K7799">
        <v>1.096506</v>
      </c>
      <c r="L7799">
        <v>131.18899999999999</v>
      </c>
      <c r="M7799">
        <v>0.62222259999999996</v>
      </c>
      <c r="N7799">
        <v>-1.663125E-2</v>
      </c>
      <c r="O7799">
        <v>0.78266369999999996</v>
      </c>
      <c r="P7799">
        <v>0.67897299999999905</v>
      </c>
      <c r="Q7799">
        <v>0.3723957</v>
      </c>
      <c r="R7799">
        <v>0.6327062</v>
      </c>
      <c r="S7799">
        <v>2.8891140000000002</v>
      </c>
      <c r="T7799">
        <v>-0.46082849999999997</v>
      </c>
      <c r="U7799">
        <v>1.917618</v>
      </c>
      <c r="V7799">
        <v>0.1509762</v>
      </c>
      <c r="W7799">
        <v>0.38264819999999999</v>
      </c>
      <c r="X7799">
        <v>0.91147489999999998</v>
      </c>
      <c r="Y7799">
        <v>0.30201850000000002</v>
      </c>
      <c r="Z7799">
        <v>-0.10469920000000001</v>
      </c>
      <c r="AA7799">
        <v>0.94753520000000002</v>
      </c>
      <c r="AB7799">
        <v>32</v>
      </c>
      <c r="AC7799">
        <v>6.7603</v>
      </c>
      <c r="AD7799">
        <v>-1.096510078866</v>
      </c>
      <c r="AE7799">
        <v>4.4291999999999998</v>
      </c>
      <c r="AF7799">
        <v>2.4896173631085801</v>
      </c>
      <c r="AG7799">
        <v>-1.096510078866</v>
      </c>
      <c r="AH7799">
        <v>7.5353438308811498</v>
      </c>
      <c r="AI7799">
        <v>97.866729590135193</v>
      </c>
      <c r="AJ7799">
        <v>71.716857861607906</v>
      </c>
      <c r="AK7799">
        <v>8.0113629063565099</v>
      </c>
      <c r="AL7799">
        <v>67.502184392577306</v>
      </c>
      <c r="AM7799">
        <v>80.594951881291607</v>
      </c>
      <c r="AN7799">
        <v>0.999999975629844</v>
      </c>
    </row>
    <row r="7800" spans="1:40" x14ac:dyDescent="0.25">
      <c r="A7800" t="str">
        <f>"20190304164314405"</f>
        <v>20190304164314405</v>
      </c>
      <c r="B7800" t="str">
        <f>"1551688994398699"</f>
        <v>1551688994398699</v>
      </c>
      <c r="C7800" t="s">
        <v>40</v>
      </c>
      <c r="D7800">
        <v>5.0952909999999996</v>
      </c>
      <c r="E7800">
        <v>0.58279040000000004</v>
      </c>
      <c r="F7800" t="s">
        <v>53</v>
      </c>
      <c r="G7800">
        <v>-174.33789999999999</v>
      </c>
      <c r="H7800" s="1">
        <v>-4.0421809999999997E-6</v>
      </c>
      <c r="I7800">
        <v>135.666</v>
      </c>
      <c r="J7800">
        <v>-181.10740000000001</v>
      </c>
      <c r="K7800">
        <v>1.0964430000000001</v>
      </c>
      <c r="L7800">
        <v>131.32159999999999</v>
      </c>
      <c r="M7800">
        <v>0.62926569999999904</v>
      </c>
      <c r="N7800">
        <v>-1.6652799999999999E-2</v>
      </c>
      <c r="O7800">
        <v>0.77701189999999998</v>
      </c>
      <c r="P7800">
        <v>0.68546750000000001</v>
      </c>
      <c r="Q7800">
        <v>0.37362069999999997</v>
      </c>
      <c r="R7800">
        <v>0.62493350000000003</v>
      </c>
      <c r="S7800">
        <v>2.9094090000000001</v>
      </c>
      <c r="T7800">
        <v>-0.46342270000000002</v>
      </c>
      <c r="U7800">
        <v>1.892136</v>
      </c>
      <c r="V7800">
        <v>0.15271949999999901</v>
      </c>
      <c r="W7800">
        <v>0.38379990000000003</v>
      </c>
      <c r="X7800">
        <v>0.91069999999999995</v>
      </c>
      <c r="Y7800">
        <v>0.30224069999999997</v>
      </c>
      <c r="Z7800">
        <v>-0.10475370000000001</v>
      </c>
      <c r="AA7800">
        <v>0.94745829999999998</v>
      </c>
      <c r="AB7800">
        <v>32</v>
      </c>
      <c r="AC7800">
        <v>6.7695000000000203</v>
      </c>
      <c r="AD7800">
        <v>-1.096447042181</v>
      </c>
      <c r="AE7800">
        <v>4.3444000000000003</v>
      </c>
      <c r="AF7800">
        <v>2.4804606479631501</v>
      </c>
      <c r="AG7800">
        <v>-1.096447042181</v>
      </c>
      <c r="AH7800">
        <v>7.4972165624527101</v>
      </c>
      <c r="AI7800">
        <v>97.904715125528</v>
      </c>
      <c r="AJ7800">
        <v>71.693157397198803</v>
      </c>
      <c r="AK7800">
        <v>7.9726493292202703</v>
      </c>
      <c r="AL7800">
        <v>67.430744402584395</v>
      </c>
      <c r="AM7800">
        <v>80.480381210414805</v>
      </c>
      <c r="AN7800">
        <v>1.00000004946012</v>
      </c>
    </row>
    <row r="7801" spans="1:40" x14ac:dyDescent="0.25">
      <c r="A7801" t="str">
        <f>"20190304164314418"</f>
        <v>20190304164314418</v>
      </c>
      <c r="B7801" t="str">
        <f>"1551688994408461"</f>
        <v>1551688994408461</v>
      </c>
      <c r="C7801" t="s">
        <v>40</v>
      </c>
      <c r="D7801">
        <v>5.0831019999999896</v>
      </c>
      <c r="E7801">
        <v>0.56703800000000004</v>
      </c>
      <c r="F7801" t="s">
        <v>53</v>
      </c>
      <c r="G7801">
        <v>-174.12569999999999</v>
      </c>
      <c r="H7801" s="1">
        <v>-3.9851019999999998E-6</v>
      </c>
      <c r="I7801">
        <v>135.7636</v>
      </c>
      <c r="J7801">
        <v>-180.97919999999999</v>
      </c>
      <c r="K7801">
        <v>1.0963689999999999</v>
      </c>
      <c r="L7801">
        <v>131.4667</v>
      </c>
      <c r="M7801">
        <v>0.63705000000000001</v>
      </c>
      <c r="N7801">
        <v>-1.6677899999999999E-2</v>
      </c>
      <c r="O7801">
        <v>0.770642099999999</v>
      </c>
      <c r="P7801">
        <v>0.69292140000000002</v>
      </c>
      <c r="Q7801">
        <v>0.3738745</v>
      </c>
      <c r="R7801">
        <v>0.61650439999999995</v>
      </c>
      <c r="S7801">
        <v>2.9285429999999999</v>
      </c>
      <c r="T7801">
        <v>-0.45992050000000001</v>
      </c>
      <c r="U7801">
        <v>1.8632660000000001</v>
      </c>
      <c r="V7801">
        <v>0.15467819999999999</v>
      </c>
      <c r="W7801">
        <v>0.38397779999999998</v>
      </c>
      <c r="X7801">
        <v>0.9102943</v>
      </c>
      <c r="Y7801">
        <v>0.30224469999999998</v>
      </c>
      <c r="Z7801">
        <v>-0.1033056</v>
      </c>
      <c r="AA7801">
        <v>0.94761600000000001</v>
      </c>
      <c r="AB7801">
        <v>32</v>
      </c>
      <c r="AC7801">
        <v>6.8534999999999897</v>
      </c>
      <c r="AD7801">
        <v>-1.0963729851019901</v>
      </c>
      <c r="AE7801">
        <v>4.2968999999999902</v>
      </c>
      <c r="AF7801">
        <v>2.4987074641952098</v>
      </c>
      <c r="AG7801">
        <v>-1.0963729851019901</v>
      </c>
      <c r="AH7801">
        <v>7.5399512056456697</v>
      </c>
      <c r="AI7801">
        <v>97.858688604736798</v>
      </c>
      <c r="AJ7801">
        <v>71.665025194409793</v>
      </c>
      <c r="AK7801">
        <v>8.0185059018250993</v>
      </c>
      <c r="AL7801">
        <v>67.419704619687707</v>
      </c>
      <c r="AM7801">
        <v>80.356348938500105</v>
      </c>
      <c r="AN7801">
        <v>1.0000000045302799</v>
      </c>
    </row>
    <row r="7802" spans="1:40" x14ac:dyDescent="0.25">
      <c r="A7802" t="str">
        <f>"20190304164314431"</f>
        <v>20190304164314431</v>
      </c>
      <c r="B7802" t="str">
        <f>"1551688994428955"</f>
        <v>1551688994428955</v>
      </c>
      <c r="C7802" t="s">
        <v>40</v>
      </c>
      <c r="D7802">
        <v>5.0789099999999996</v>
      </c>
      <c r="E7802">
        <v>0.56368680000000004</v>
      </c>
      <c r="F7802" t="s">
        <v>41</v>
      </c>
      <c r="G7802">
        <v>-180.34530000000001</v>
      </c>
      <c r="H7802">
        <v>0.94737490000000002</v>
      </c>
      <c r="I7802">
        <v>131.89760000000001</v>
      </c>
      <c r="J7802">
        <v>-180.85730000000001</v>
      </c>
      <c r="K7802">
        <v>1.096293</v>
      </c>
      <c r="L7802">
        <v>131.60140000000001</v>
      </c>
      <c r="M7802">
        <v>0.64435390000000003</v>
      </c>
      <c r="N7802">
        <v>-1.67032999999999E-2</v>
      </c>
      <c r="O7802">
        <v>0.76454500000000003</v>
      </c>
      <c r="P7802">
        <v>0.69962170000000001</v>
      </c>
      <c r="Q7802">
        <v>0.37333699999999997</v>
      </c>
      <c r="R7802">
        <v>0.60921990000000004</v>
      </c>
      <c r="S7802">
        <v>2.9289399999999999</v>
      </c>
      <c r="T7802">
        <v>-0.68809319999999996</v>
      </c>
      <c r="U7802">
        <v>1.9914400000000001</v>
      </c>
      <c r="V7802">
        <v>0.15581239999999999</v>
      </c>
      <c r="W7802">
        <v>0.38340099999999999</v>
      </c>
      <c r="X7802">
        <v>0.91034400000000004</v>
      </c>
      <c r="Y7802">
        <v>0.25733050000000002</v>
      </c>
      <c r="Z7802">
        <v>-0.15145790000000001</v>
      </c>
      <c r="AA7802">
        <v>0.95438020000000001</v>
      </c>
      <c r="AB7802">
        <v>32</v>
      </c>
      <c r="AC7802">
        <v>0.51200000000000001</v>
      </c>
      <c r="AD7802">
        <v>-0.148918099999999</v>
      </c>
      <c r="AE7802">
        <v>0.29619999999999802</v>
      </c>
      <c r="AF7802">
        <v>0.18865946198634001</v>
      </c>
      <c r="AG7802">
        <v>-0.148918099999999</v>
      </c>
      <c r="AH7802">
        <v>0.52327775776375096</v>
      </c>
      <c r="AI7802">
        <v>104.98768427217099</v>
      </c>
      <c r="AJ7802">
        <v>70.174038843448997</v>
      </c>
      <c r="AK7802">
        <v>0.57583730764413299</v>
      </c>
      <c r="AL7802">
        <v>67.455492144606296</v>
      </c>
      <c r="AM7802">
        <v>80.287497945117394</v>
      </c>
      <c r="AN7802">
        <v>1.00000001456538</v>
      </c>
    </row>
    <row r="7803" spans="1:40" x14ac:dyDescent="0.25">
      <c r="A7803" t="str">
        <f>"20190304164314445"</f>
        <v>20190304164314445</v>
      </c>
      <c r="B7803" t="str">
        <f>"1551688994438715"</f>
        <v>1551688994438715</v>
      </c>
      <c r="C7803" t="s">
        <v>40</v>
      </c>
      <c r="D7803">
        <v>5.0360659999999999</v>
      </c>
      <c r="E7803">
        <v>0.56480620000000004</v>
      </c>
      <c r="F7803" t="s">
        <v>41</v>
      </c>
      <c r="G7803">
        <v>-180.14189999999999</v>
      </c>
      <c r="H7803">
        <v>0.92079420000000001</v>
      </c>
      <c r="I7803">
        <v>132.08529999999999</v>
      </c>
      <c r="J7803">
        <v>-180.72399999999999</v>
      </c>
      <c r="K7803">
        <v>1.096212</v>
      </c>
      <c r="L7803">
        <v>131.7466</v>
      </c>
      <c r="M7803">
        <v>0.65225659999999996</v>
      </c>
      <c r="N7803">
        <v>-1.6731240000000001E-2</v>
      </c>
      <c r="O7803">
        <v>0.75781359999999998</v>
      </c>
      <c r="P7803">
        <v>0.70660179999999995</v>
      </c>
      <c r="Q7803">
        <v>0.37243749999999998</v>
      </c>
      <c r="R7803">
        <v>0.60166790000000003</v>
      </c>
      <c r="S7803">
        <v>2.9407040000000002</v>
      </c>
      <c r="T7803">
        <v>-0.72121109999999999</v>
      </c>
      <c r="U7803">
        <v>1.989212</v>
      </c>
      <c r="V7803">
        <v>0.1565425</v>
      </c>
      <c r="W7803">
        <v>0.38247949999999997</v>
      </c>
      <c r="X7803">
        <v>0.91060629999999998</v>
      </c>
      <c r="Y7803">
        <v>0.2485378</v>
      </c>
      <c r="Z7803">
        <v>-0.15700600000000001</v>
      </c>
      <c r="AA7803">
        <v>0.95581280000000002</v>
      </c>
      <c r="AB7803">
        <v>32</v>
      </c>
      <c r="AC7803">
        <v>0.58210000000002504</v>
      </c>
      <c r="AD7803">
        <v>-0.17541780000000001</v>
      </c>
      <c r="AE7803">
        <v>0.33869999999998801</v>
      </c>
      <c r="AF7803">
        <v>0.206242402912171</v>
      </c>
      <c r="AG7803">
        <v>-0.17541780000000001</v>
      </c>
      <c r="AH7803">
        <v>0.59600356122903397</v>
      </c>
      <c r="AI7803">
        <v>105.54343577516001</v>
      </c>
      <c r="AJ7803">
        <v>70.912218914754405</v>
      </c>
      <c r="AK7803">
        <v>0.65462017866356403</v>
      </c>
      <c r="AL7803">
        <v>67.512646070636606</v>
      </c>
      <c r="AM7803">
        <v>80.245616809249896</v>
      </c>
      <c r="AN7803">
        <v>0.99999997791309403</v>
      </c>
    </row>
    <row r="7804" spans="1:40" x14ac:dyDescent="0.25">
      <c r="A7804" t="str">
        <f>"20190304164314458"</f>
        <v>20190304164314458</v>
      </c>
      <c r="B7804" t="str">
        <f>"1551688994448476"</f>
        <v>1551688994448476</v>
      </c>
      <c r="C7804" t="s">
        <v>40</v>
      </c>
      <c r="D7804">
        <v>5.0258799999999999</v>
      </c>
      <c r="E7804">
        <v>0.56561680000000003</v>
      </c>
      <c r="F7804" t="s">
        <v>41</v>
      </c>
      <c r="G7804">
        <v>-179.92529999999999</v>
      </c>
      <c r="H7804">
        <v>0.90361769999999997</v>
      </c>
      <c r="I7804">
        <v>132.27000000000001</v>
      </c>
      <c r="J7804">
        <v>-180.5942</v>
      </c>
      <c r="K7804">
        <v>1.096131</v>
      </c>
      <c r="L7804">
        <v>131.88460000000001</v>
      </c>
      <c r="M7804">
        <v>0.65984639999999894</v>
      </c>
      <c r="N7804">
        <v>-1.6759380000000001E-2</v>
      </c>
      <c r="O7804">
        <v>0.75121359999999904</v>
      </c>
      <c r="P7804">
        <v>0.71412759999999997</v>
      </c>
      <c r="Q7804">
        <v>0.37020730000000002</v>
      </c>
      <c r="R7804">
        <v>0.59411159999999996</v>
      </c>
      <c r="S7804">
        <v>2.9667970000000001</v>
      </c>
      <c r="T7804">
        <v>-0.71491850000000001</v>
      </c>
      <c r="U7804">
        <v>1.9444729999999999</v>
      </c>
      <c r="V7804">
        <v>0.15794029999999901</v>
      </c>
      <c r="W7804">
        <v>0.38021060000000001</v>
      </c>
      <c r="X7804">
        <v>0.91131479999999998</v>
      </c>
      <c r="Y7804">
        <v>0.25298520000000002</v>
      </c>
      <c r="Z7804">
        <v>-0.15505720000000001</v>
      </c>
      <c r="AA7804">
        <v>0.95496369999999997</v>
      </c>
      <c r="AB7804">
        <v>32</v>
      </c>
      <c r="AC7804">
        <v>0.66890000000000704</v>
      </c>
      <c r="AD7804">
        <v>-0.192513299999999</v>
      </c>
      <c r="AE7804">
        <v>0.38540000000000402</v>
      </c>
      <c r="AF7804">
        <v>0.23368454258216001</v>
      </c>
      <c r="AG7804">
        <v>-0.192513299999999</v>
      </c>
      <c r="AH7804">
        <v>0.68819444664991403</v>
      </c>
      <c r="AI7804">
        <v>104.835937222002</v>
      </c>
      <c r="AJ7804">
        <v>71.244475354694302</v>
      </c>
      <c r="AK7804">
        <v>0.75185200173870903</v>
      </c>
      <c r="AL7804">
        <v>67.653270548608802</v>
      </c>
      <c r="AM7804">
        <v>80.167713682116201</v>
      </c>
      <c r="AN7804">
        <v>0.99999995170774303</v>
      </c>
    </row>
    <row r="7805" spans="1:40" x14ac:dyDescent="0.25">
      <c r="A7805" t="str">
        <f>"20190304164314471"</f>
        <v>20190304164314471</v>
      </c>
      <c r="B7805" t="str">
        <f>"1551688994468971"</f>
        <v>1551688994468971</v>
      </c>
      <c r="C7805" t="s">
        <v>40</v>
      </c>
      <c r="D7805">
        <v>5.0519489999999996</v>
      </c>
      <c r="E7805">
        <v>0.56711519999999904</v>
      </c>
      <c r="F7805" t="s">
        <v>41</v>
      </c>
      <c r="G7805">
        <v>-179.9401</v>
      </c>
      <c r="H7805">
        <v>0.93961070000000002</v>
      </c>
      <c r="I7805">
        <v>132.29920000000001</v>
      </c>
      <c r="J7805">
        <v>-180.4555</v>
      </c>
      <c r="K7805">
        <v>1.0960510000000001</v>
      </c>
      <c r="L7805">
        <v>132.02879999999999</v>
      </c>
      <c r="M7805">
        <v>0.66785309999999998</v>
      </c>
      <c r="N7805">
        <v>-1.6789749999999999E-2</v>
      </c>
      <c r="O7805">
        <v>0.74410369999999904</v>
      </c>
      <c r="P7805">
        <v>0.72096269999999996</v>
      </c>
      <c r="Q7805">
        <v>0.36913639999999998</v>
      </c>
      <c r="R7805">
        <v>0.58647360000000004</v>
      </c>
      <c r="S7805">
        <v>2.9931030000000001</v>
      </c>
      <c r="T7805">
        <v>-0.71566560000000001</v>
      </c>
      <c r="U7805">
        <v>1.8977660000000001</v>
      </c>
      <c r="V7805">
        <v>0.15832449999999901</v>
      </c>
      <c r="W7805">
        <v>0.37913419999999998</v>
      </c>
      <c r="X7805">
        <v>0.91169659999999997</v>
      </c>
      <c r="Y7805">
        <v>0.2570347</v>
      </c>
      <c r="Z7805">
        <v>-0.1546051</v>
      </c>
      <c r="AA7805">
        <v>0.9539552</v>
      </c>
      <c r="AB7805">
        <v>32</v>
      </c>
      <c r="AC7805">
        <v>0.51539999999999897</v>
      </c>
      <c r="AD7805">
        <v>-0.1564403</v>
      </c>
      <c r="AE7805">
        <v>0.27040000000002301</v>
      </c>
      <c r="AF7805">
        <v>0.189277630018508</v>
      </c>
      <c r="AG7805">
        <v>-0.1564403</v>
      </c>
      <c r="AH7805">
        <v>0.50873963060085003</v>
      </c>
      <c r="AI7805">
        <v>106.07723816888701</v>
      </c>
      <c r="AJ7805">
        <v>69.5921785395971</v>
      </c>
      <c r="AK7805">
        <v>0.56490317792821998</v>
      </c>
      <c r="AL7805">
        <v>67.719937607514396</v>
      </c>
      <c r="AM7805">
        <v>80.148310971168399</v>
      </c>
      <c r="AN7805">
        <v>1.00000003968072</v>
      </c>
    </row>
    <row r="7806" spans="1:40" x14ac:dyDescent="0.25">
      <c r="A7806" t="str">
        <f>"20190304164314483"</f>
        <v>20190304164314483</v>
      </c>
      <c r="B7806" t="str">
        <f>"1551688994478731"</f>
        <v>1551688994478731</v>
      </c>
      <c r="C7806" t="s">
        <v>40</v>
      </c>
      <c r="D7806">
        <v>5.0359369999999997</v>
      </c>
      <c r="E7806">
        <v>0.56755069999999996</v>
      </c>
      <c r="F7806" t="s">
        <v>41</v>
      </c>
      <c r="G7806">
        <v>-179.72069999999999</v>
      </c>
      <c r="H7806">
        <v>0.92380649999999997</v>
      </c>
      <c r="I7806">
        <v>132.47890000000001</v>
      </c>
      <c r="J7806">
        <v>-180.33920000000001</v>
      </c>
      <c r="K7806">
        <v>1.0959890000000001</v>
      </c>
      <c r="L7806">
        <v>132.148</v>
      </c>
      <c r="M7806">
        <v>0.67448649999999999</v>
      </c>
      <c r="N7806">
        <v>-1.6814679999999999E-2</v>
      </c>
      <c r="O7806">
        <v>0.73809569999999902</v>
      </c>
      <c r="P7806">
        <v>0.72661009999999904</v>
      </c>
      <c r="Q7806">
        <v>0.36821799999999999</v>
      </c>
      <c r="R7806">
        <v>0.5800459</v>
      </c>
      <c r="S7806">
        <v>3.0188139999999999</v>
      </c>
      <c r="T7806">
        <v>-0.70740389999999997</v>
      </c>
      <c r="U7806">
        <v>1.8495029999999999</v>
      </c>
      <c r="V7806">
        <v>0.15863070000000001</v>
      </c>
      <c r="W7806">
        <v>0.37821149999999998</v>
      </c>
      <c r="X7806">
        <v>0.91202649999999996</v>
      </c>
      <c r="Y7806">
        <v>0.26338479999999997</v>
      </c>
      <c r="Z7806">
        <v>-0.1524992</v>
      </c>
      <c r="AA7806">
        <v>0.95256099999999999</v>
      </c>
      <c r="AB7806">
        <v>32</v>
      </c>
      <c r="AC7806">
        <v>0.61850000000001104</v>
      </c>
      <c r="AD7806">
        <v>-0.17218249999999899</v>
      </c>
      <c r="AE7806">
        <v>0.33090000000001402</v>
      </c>
      <c r="AF7806">
        <v>0.22009609804228</v>
      </c>
      <c r="AG7806">
        <v>-0.17218249999999899</v>
      </c>
      <c r="AH7806">
        <v>0.62390688286323104</v>
      </c>
      <c r="AI7806">
        <v>104.587920478779</v>
      </c>
      <c r="AJ7806">
        <v>70.568648801497801</v>
      </c>
      <c r="AK7806">
        <v>0.68362921541124899</v>
      </c>
      <c r="AL7806">
        <v>67.777056929491707</v>
      </c>
      <c r="AM7806">
        <v>80.133132305398206</v>
      </c>
      <c r="AN7806">
        <v>0.99999998720849403</v>
      </c>
    </row>
    <row r="7807" spans="1:40" x14ac:dyDescent="0.25">
      <c r="A7807" t="str">
        <f>"20190304164314494"</f>
        <v>20190304164314494</v>
      </c>
      <c r="B7807" t="str">
        <f>"1551688994488491"</f>
        <v>1551688994488491</v>
      </c>
      <c r="C7807" t="s">
        <v>40</v>
      </c>
      <c r="D7807">
        <v>5.0229359999999996</v>
      </c>
      <c r="E7807">
        <v>0.567886</v>
      </c>
      <c r="F7807" t="s">
        <v>53</v>
      </c>
      <c r="G7807">
        <v>-175.6318</v>
      </c>
      <c r="H7807" s="1">
        <v>-4.5094280000000003E-6</v>
      </c>
      <c r="I7807">
        <v>134.96129999999999</v>
      </c>
      <c r="J7807">
        <v>-180.23179999999999</v>
      </c>
      <c r="K7807">
        <v>1.0959350000000001</v>
      </c>
      <c r="L7807">
        <v>132.2552</v>
      </c>
      <c r="M7807">
        <v>0.68053830000000004</v>
      </c>
      <c r="N7807">
        <v>-1.683809E-2</v>
      </c>
      <c r="O7807">
        <v>0.73251899999999903</v>
      </c>
      <c r="P7807">
        <v>0.73169549999999905</v>
      </c>
      <c r="Q7807">
        <v>0.36760989999999999</v>
      </c>
      <c r="R7807">
        <v>0.57400769999999901</v>
      </c>
      <c r="S7807">
        <v>3.0378419999999999</v>
      </c>
      <c r="T7807">
        <v>-0.70728279999999999</v>
      </c>
      <c r="U7807">
        <v>1.8155669999999999</v>
      </c>
      <c r="V7807">
        <v>0.15893090000000001</v>
      </c>
      <c r="W7807">
        <v>0.37759779999999998</v>
      </c>
      <c r="X7807">
        <v>0.9122285</v>
      </c>
      <c r="Y7807">
        <v>0.26595350000000001</v>
      </c>
      <c r="Z7807">
        <v>-0.151895</v>
      </c>
      <c r="AA7807">
        <v>0.9519436</v>
      </c>
      <c r="AB7807">
        <v>32</v>
      </c>
      <c r="AC7807">
        <v>4.5999999999999899</v>
      </c>
      <c r="AD7807">
        <v>-1.095939509428</v>
      </c>
      <c r="AE7807">
        <v>2.70609999999999</v>
      </c>
      <c r="AF7807">
        <v>1.4663650114910101</v>
      </c>
      <c r="AG7807">
        <v>-1.095939509428</v>
      </c>
      <c r="AH7807">
        <v>4.9065683726778602</v>
      </c>
      <c r="AI7807">
        <v>102.079591836399</v>
      </c>
      <c r="AJ7807">
        <v>73.360827349526602</v>
      </c>
      <c r="AK7807">
        <v>5.2369574135191401</v>
      </c>
      <c r="AL7807">
        <v>67.815035582376495</v>
      </c>
      <c r="AM7807">
        <v>80.116973561174106</v>
      </c>
      <c r="AN7807">
        <v>0.99999998287594905</v>
      </c>
    </row>
    <row r="7808" spans="1:40" x14ac:dyDescent="0.25">
      <c r="A7808" t="str">
        <f>"20190304164314505"</f>
        <v>20190304164314505</v>
      </c>
      <c r="B7808" t="str">
        <f>"1551688994499227"</f>
        <v>1551688994499227</v>
      </c>
      <c r="C7808" t="s">
        <v>40</v>
      </c>
      <c r="D7808">
        <v>5.0361099999999999</v>
      </c>
      <c r="E7808">
        <v>0.5680634</v>
      </c>
      <c r="F7808" t="s">
        <v>41</v>
      </c>
      <c r="G7808">
        <v>-179.5119</v>
      </c>
      <c r="H7808">
        <v>0.92920449999999999</v>
      </c>
      <c r="I7808">
        <v>132.67590000000001</v>
      </c>
      <c r="J7808">
        <v>-180.1165</v>
      </c>
      <c r="K7808">
        <v>1.0958760000000001</v>
      </c>
      <c r="L7808">
        <v>132.3691</v>
      </c>
      <c r="M7808">
        <v>0.68696780000000002</v>
      </c>
      <c r="N7808">
        <v>-1.6862519999999999E-2</v>
      </c>
      <c r="O7808">
        <v>0.72649229999999998</v>
      </c>
      <c r="P7808">
        <v>0.73660559999999997</v>
      </c>
      <c r="Q7808">
        <v>0.36754409999999998</v>
      </c>
      <c r="R7808">
        <v>0.56773549999999995</v>
      </c>
      <c r="S7808">
        <v>3.054535</v>
      </c>
      <c r="T7808">
        <v>-0.70712269999999999</v>
      </c>
      <c r="U7808">
        <v>1.7856289999999999</v>
      </c>
      <c r="V7808">
        <v>0.15875690000000001</v>
      </c>
      <c r="W7808">
        <v>0.37754219999999999</v>
      </c>
      <c r="X7808">
        <v>0.91228189999999998</v>
      </c>
      <c r="Y7808">
        <v>0.26675549999999998</v>
      </c>
      <c r="Z7808">
        <v>-0.1510582</v>
      </c>
      <c r="AA7808">
        <v>0.95185240000000004</v>
      </c>
      <c r="AB7808">
        <v>32</v>
      </c>
      <c r="AC7808">
        <v>0.60460000000000402</v>
      </c>
      <c r="AD7808">
        <v>-0.1666715</v>
      </c>
      <c r="AE7808">
        <v>0.30680000000000901</v>
      </c>
      <c r="AF7808">
        <v>0.21548541935661999</v>
      </c>
      <c r="AG7808">
        <v>-0.1666715</v>
      </c>
      <c r="AH7808">
        <v>0.60194172582482097</v>
      </c>
      <c r="AI7808">
        <v>104.611196632763</v>
      </c>
      <c r="AJ7808">
        <v>70.303452577343805</v>
      </c>
      <c r="AK7808">
        <v>0.66071718318544703</v>
      </c>
      <c r="AL7808">
        <v>67.818477806458304</v>
      </c>
      <c r="AM7808">
        <v>80.128147152724793</v>
      </c>
      <c r="AN7808">
        <v>1.0000000655730199</v>
      </c>
    </row>
    <row r="7809" spans="1:40" x14ac:dyDescent="0.25">
      <c r="A7809" t="str">
        <f>"20190304164314516"</f>
        <v>20190304164314516</v>
      </c>
      <c r="B7809" t="str">
        <f>"1551688994508987"</f>
        <v>1551688994508987</v>
      </c>
      <c r="C7809" t="s">
        <v>40</v>
      </c>
      <c r="D7809">
        <v>5.0317049999999997</v>
      </c>
      <c r="E7809">
        <v>0.56837309999999996</v>
      </c>
      <c r="F7809" t="s">
        <v>53</v>
      </c>
      <c r="G7809">
        <v>-175.3518</v>
      </c>
      <c r="H7809" s="1">
        <v>-4.3689400000000001E-6</v>
      </c>
      <c r="I7809">
        <v>135.09440000000001</v>
      </c>
      <c r="J7809">
        <v>-179.99850000000001</v>
      </c>
      <c r="K7809">
        <v>1.0958220000000001</v>
      </c>
      <c r="L7809">
        <v>132.483</v>
      </c>
      <c r="M7809">
        <v>0.69346399999999997</v>
      </c>
      <c r="N7809">
        <v>-1.68875E-2</v>
      </c>
      <c r="O7809">
        <v>0.72029339999999997</v>
      </c>
      <c r="P7809">
        <v>0.74145539999999999</v>
      </c>
      <c r="Q7809">
        <v>0.36802430000000003</v>
      </c>
      <c r="R7809">
        <v>0.56107220000000002</v>
      </c>
      <c r="S7809">
        <v>3.0712280000000001</v>
      </c>
      <c r="T7809">
        <v>-0.70639010000000002</v>
      </c>
      <c r="U7809">
        <v>1.7567140000000001</v>
      </c>
      <c r="V7809">
        <v>0.158685299999999</v>
      </c>
      <c r="W7809">
        <v>0.37802560000000002</v>
      </c>
      <c r="X7809">
        <v>0.91209410000000002</v>
      </c>
      <c r="Y7809">
        <v>0.2672004</v>
      </c>
      <c r="Z7809">
        <v>-0.15000139999999901</v>
      </c>
      <c r="AA7809">
        <v>0.95189469999999998</v>
      </c>
      <c r="AB7809">
        <v>31</v>
      </c>
      <c r="AC7809">
        <v>4.6467000000000098</v>
      </c>
      <c r="AD7809">
        <v>-1.0958263689400001</v>
      </c>
      <c r="AE7809">
        <v>2.6114000000000002</v>
      </c>
      <c r="AF7809">
        <v>1.47399429337759</v>
      </c>
      <c r="AG7809">
        <v>-1.0958263689400001</v>
      </c>
      <c r="AH7809">
        <v>4.8970415287241797</v>
      </c>
      <c r="AI7809">
        <v>102.094275075106</v>
      </c>
      <c r="AJ7809">
        <v>73.248368448765902</v>
      </c>
      <c r="AK7809">
        <v>5.2301539501073204</v>
      </c>
      <c r="AL7809">
        <v>67.788563017493601</v>
      </c>
      <c r="AM7809">
        <v>80.130520098534006</v>
      </c>
      <c r="AN7809">
        <v>1.0000000129731299</v>
      </c>
    </row>
    <row r="7810" spans="1:40" x14ac:dyDescent="0.25">
      <c r="A7810" t="str">
        <f>"20190304164314530"</f>
        <v>20190304164314530</v>
      </c>
      <c r="B7810" t="str">
        <f>"1551688994518747"</f>
        <v>1551688994518747</v>
      </c>
      <c r="C7810" t="s">
        <v>40</v>
      </c>
      <c r="D7810">
        <v>5.0398290000000001</v>
      </c>
      <c r="E7810">
        <v>0.56859209999999905</v>
      </c>
      <c r="F7810" t="s">
        <v>41</v>
      </c>
      <c r="G7810">
        <v>-179.30260000000001</v>
      </c>
      <c r="H7810">
        <v>0.93747930000000002</v>
      </c>
      <c r="I7810">
        <v>132.8724</v>
      </c>
      <c r="J7810">
        <v>-179.8663</v>
      </c>
      <c r="K7810">
        <v>1.0957629999999901</v>
      </c>
      <c r="L7810">
        <v>132.60839999999999</v>
      </c>
      <c r="M7810">
        <v>0.70065699999999997</v>
      </c>
      <c r="N7810">
        <v>-1.6914970000000001E-2</v>
      </c>
      <c r="O7810">
        <v>0.71329779999999998</v>
      </c>
      <c r="P7810">
        <v>0.74701399999999996</v>
      </c>
      <c r="Q7810">
        <v>0.36863309999999999</v>
      </c>
      <c r="R7810">
        <v>0.55324479999999998</v>
      </c>
      <c r="S7810">
        <v>3.0876009999999998</v>
      </c>
      <c r="T7810">
        <v>-0.702569</v>
      </c>
      <c r="U7810">
        <v>1.7274779999999901</v>
      </c>
      <c r="V7810">
        <v>0.15898860000000001</v>
      </c>
      <c r="W7810">
        <v>0.37862279999999998</v>
      </c>
      <c r="X7810">
        <v>0.91179350000000003</v>
      </c>
      <c r="Y7810">
        <v>0.26680959999999998</v>
      </c>
      <c r="Z7810">
        <v>-0.14808389999999999</v>
      </c>
      <c r="AA7810">
        <v>0.9523045</v>
      </c>
      <c r="AB7810">
        <v>31</v>
      </c>
      <c r="AC7810">
        <v>0.56369999999998299</v>
      </c>
      <c r="AD7810">
        <v>-0.158283699999999</v>
      </c>
      <c r="AE7810">
        <v>0.26400000000001</v>
      </c>
      <c r="AF7810">
        <v>0.20395531407506101</v>
      </c>
      <c r="AG7810">
        <v>-0.158283699999999</v>
      </c>
      <c r="AH7810">
        <v>0.54792424167192799</v>
      </c>
      <c r="AI7810">
        <v>105.148614268933</v>
      </c>
      <c r="AJ7810">
        <v>69.583088404528496</v>
      </c>
      <c r="AK7810">
        <v>0.60569998715280204</v>
      </c>
      <c r="AL7810">
        <v>67.751598058396397</v>
      </c>
      <c r="AM7810">
        <v>80.108832750348498</v>
      </c>
      <c r="AN7810">
        <v>0.99999999312602506</v>
      </c>
    </row>
    <row r="7811" spans="1:40" x14ac:dyDescent="0.25">
      <c r="A7811" t="str">
        <f>"20190304164314544"</f>
        <v>20190304164314544</v>
      </c>
      <c r="B7811" t="str">
        <f>"1551688994539243"</f>
        <v>1551688994539243</v>
      </c>
      <c r="C7811" t="s">
        <v>40</v>
      </c>
      <c r="D7811">
        <v>5.0377890000000001</v>
      </c>
      <c r="E7811">
        <v>0.56912769999999901</v>
      </c>
      <c r="F7811" t="s">
        <v>53</v>
      </c>
      <c r="G7811">
        <v>-175.0016</v>
      </c>
      <c r="H7811" s="1">
        <v>-4.1947010000000001E-6</v>
      </c>
      <c r="I7811">
        <v>135.26490000000001</v>
      </c>
      <c r="J7811">
        <v>-179.72</v>
      </c>
      <c r="K7811">
        <v>1.095701</v>
      </c>
      <c r="L7811">
        <v>132.7448</v>
      </c>
      <c r="M7811">
        <v>0.70850869999999999</v>
      </c>
      <c r="N7811">
        <v>-1.6944549999999999E-2</v>
      </c>
      <c r="O7811">
        <v>0.70549859999999998</v>
      </c>
      <c r="P7811">
        <v>0.75321629999999995</v>
      </c>
      <c r="Q7811">
        <v>0.36890869999999998</v>
      </c>
      <c r="R7811">
        <v>0.54458390000000001</v>
      </c>
      <c r="S7811">
        <v>3.105286</v>
      </c>
      <c r="T7811">
        <v>-0.69945409999999997</v>
      </c>
      <c r="U7811">
        <v>1.6957549999999999</v>
      </c>
      <c r="V7811">
        <v>0.1593996</v>
      </c>
      <c r="W7811">
        <v>0.3788859</v>
      </c>
      <c r="X7811">
        <v>0.91161250000000005</v>
      </c>
      <c r="Y7811">
        <v>0.26617039999999997</v>
      </c>
      <c r="Z7811">
        <v>-0.146176</v>
      </c>
      <c r="AA7811">
        <v>0.95277800000000001</v>
      </c>
      <c r="AB7811">
        <v>31</v>
      </c>
      <c r="AC7811">
        <v>4.7183999999999999</v>
      </c>
      <c r="AD7811">
        <v>-1.0957051947009999</v>
      </c>
      <c r="AE7811">
        <v>2.52010000000001</v>
      </c>
      <c r="AF7811">
        <v>1.48137903060848</v>
      </c>
      <c r="AG7811">
        <v>-1.0957051947009999</v>
      </c>
      <c r="AH7811">
        <v>4.9154516127074297</v>
      </c>
      <c r="AI7811">
        <v>102.047799398143</v>
      </c>
      <c r="AJ7811">
        <v>73.228668774394094</v>
      </c>
      <c r="AK7811">
        <v>5.2494493294906004</v>
      </c>
      <c r="AL7811">
        <v>67.735311462246599</v>
      </c>
      <c r="AM7811">
        <v>80.081840330536096</v>
      </c>
      <c r="AN7811">
        <v>1.0000000539275999</v>
      </c>
    </row>
    <row r="7812" spans="1:40" x14ac:dyDescent="0.25">
      <c r="A7812" t="str">
        <f>"20190304164314556"</f>
        <v>20190304164314556</v>
      </c>
      <c r="B7812" t="str">
        <f>"1551688994549003"</f>
        <v>1551688994549003</v>
      </c>
      <c r="C7812" t="s">
        <v>40</v>
      </c>
      <c r="D7812">
        <v>5.0407029999999997</v>
      </c>
      <c r="E7812">
        <v>0.5693859</v>
      </c>
      <c r="F7812" t="s">
        <v>53</v>
      </c>
      <c r="G7812">
        <v>-174.7962</v>
      </c>
      <c r="H7812" s="1">
        <v>-4.1288199999999999E-6</v>
      </c>
      <c r="I7812">
        <v>135.35890000000001</v>
      </c>
      <c r="J7812">
        <v>-179.5752</v>
      </c>
      <c r="K7812">
        <v>1.095639</v>
      </c>
      <c r="L7812">
        <v>132.8758</v>
      </c>
      <c r="M7812">
        <v>0.71615200000000001</v>
      </c>
      <c r="N7812">
        <v>-1.6973459999999999E-2</v>
      </c>
      <c r="O7812">
        <v>0.69773790000000002</v>
      </c>
      <c r="P7812">
        <v>0.75946389999999997</v>
      </c>
      <c r="Q7812">
        <v>0.3688977</v>
      </c>
      <c r="R7812">
        <v>0.53584430000000005</v>
      </c>
      <c r="S7812">
        <v>3.1241910000000002</v>
      </c>
      <c r="T7812">
        <v>-0.69522919999999999</v>
      </c>
      <c r="U7812">
        <v>1.6586609999999999</v>
      </c>
      <c r="V7812">
        <v>0.1600645</v>
      </c>
      <c r="W7812">
        <v>0.37885449999999998</v>
      </c>
      <c r="X7812">
        <v>0.91150900000000001</v>
      </c>
      <c r="Y7812">
        <v>0.26714480000000002</v>
      </c>
      <c r="Z7812">
        <v>-0.14421510000000001</v>
      </c>
      <c r="AA7812">
        <v>0.95280410000000004</v>
      </c>
      <c r="AB7812">
        <v>31</v>
      </c>
      <c r="AC7812">
        <v>4.7789999999999901</v>
      </c>
      <c r="AD7812">
        <v>-1.0956431288199999</v>
      </c>
      <c r="AE7812">
        <v>2.4830999999999999</v>
      </c>
      <c r="AF7812">
        <v>1.49457948175188</v>
      </c>
      <c r="AG7812">
        <v>-1.0956431288199999</v>
      </c>
      <c r="AH7812">
        <v>4.9508808114076004</v>
      </c>
      <c r="AI7812">
        <v>101.961781470605</v>
      </c>
      <c r="AJ7812">
        <v>73.201904471541397</v>
      </c>
      <c r="AK7812">
        <v>5.28634301779294</v>
      </c>
      <c r="AL7812">
        <v>67.737254603151698</v>
      </c>
      <c r="AM7812">
        <v>80.040187335459393</v>
      </c>
      <c r="AN7812">
        <v>1.0000000167057399</v>
      </c>
    </row>
    <row r="7813" spans="1:40" x14ac:dyDescent="0.25">
      <c r="A7813" t="str">
        <f>"20190304164314569"</f>
        <v>20190304164314569</v>
      </c>
      <c r="B7813" t="str">
        <f>"1551688994558763"</f>
        <v>1551688994558763</v>
      </c>
      <c r="C7813" t="s">
        <v>40</v>
      </c>
      <c r="D7813">
        <v>5.0369039999999998</v>
      </c>
      <c r="E7813">
        <v>0.56961169999999905</v>
      </c>
      <c r="F7813" t="s">
        <v>41</v>
      </c>
      <c r="G7813">
        <v>-178.8682</v>
      </c>
      <c r="H7813">
        <v>0.93946580000000002</v>
      </c>
      <c r="I7813">
        <v>133.24109999999999</v>
      </c>
      <c r="J7813">
        <v>-179.44579999999999</v>
      </c>
      <c r="K7813">
        <v>1.0955790000000001</v>
      </c>
      <c r="L7813">
        <v>132.9907</v>
      </c>
      <c r="M7813">
        <v>0.72288909999999995</v>
      </c>
      <c r="N7813">
        <v>-1.6998579999999999E-2</v>
      </c>
      <c r="O7813">
        <v>0.69075500000000001</v>
      </c>
      <c r="P7813">
        <v>0.76532919999999904</v>
      </c>
      <c r="Q7813">
        <v>0.36782189999999998</v>
      </c>
      <c r="R7813">
        <v>0.52818390000000004</v>
      </c>
      <c r="S7813">
        <v>3.1418910000000002</v>
      </c>
      <c r="T7813">
        <v>-0.69400139999999999</v>
      </c>
      <c r="U7813">
        <v>1.6233519999999999</v>
      </c>
      <c r="V7813">
        <v>0.1607481</v>
      </c>
      <c r="W7813">
        <v>0.37776379999999998</v>
      </c>
      <c r="X7813">
        <v>0.91184129999999997</v>
      </c>
      <c r="Y7813">
        <v>0.26856029999999997</v>
      </c>
      <c r="Z7813">
        <v>-0.14305109999999999</v>
      </c>
      <c r="AA7813">
        <v>0.95258160000000003</v>
      </c>
      <c r="AB7813">
        <v>31</v>
      </c>
      <c r="AC7813">
        <v>0.57759999999998901</v>
      </c>
      <c r="AD7813">
        <v>-0.15611319999999901</v>
      </c>
      <c r="AE7813">
        <v>0.25039999999998402</v>
      </c>
      <c r="AF7813">
        <v>0.20537110295493999</v>
      </c>
      <c r="AG7813">
        <v>-0.15611319999999901</v>
      </c>
      <c r="AH7813">
        <v>0.556377362357939</v>
      </c>
      <c r="AI7813">
        <v>104.747350119031</v>
      </c>
      <c r="AJ7813">
        <v>69.739789029524104</v>
      </c>
      <c r="AK7813">
        <v>0.61327350381990797</v>
      </c>
      <c r="AL7813">
        <v>67.804764065890097</v>
      </c>
      <c r="AM7813">
        <v>80.002079506474004</v>
      </c>
      <c r="AN7813">
        <v>0.99999999831486996</v>
      </c>
    </row>
    <row r="7814" spans="1:40" x14ac:dyDescent="0.25">
      <c r="A7814" t="str">
        <f>"20190304164314583"</f>
        <v>20190304164314583</v>
      </c>
      <c r="B7814" t="str">
        <f>"1551688994579264"</f>
        <v>1551688994579264</v>
      </c>
      <c r="C7814" t="s">
        <v>40</v>
      </c>
      <c r="D7814">
        <v>4.980721</v>
      </c>
      <c r="E7814">
        <v>0.5699784</v>
      </c>
      <c r="F7814" t="s">
        <v>53</v>
      </c>
      <c r="G7814">
        <v>-174.48390000000001</v>
      </c>
      <c r="H7814" s="1">
        <v>-4.0409349999999996E-6</v>
      </c>
      <c r="I7814">
        <v>135.4922</v>
      </c>
      <c r="J7814">
        <v>-179.29759999999999</v>
      </c>
      <c r="K7814">
        <v>1.09552</v>
      </c>
      <c r="L7814">
        <v>133.12020000000001</v>
      </c>
      <c r="M7814">
        <v>0.73049580000000003</v>
      </c>
      <c r="N7814">
        <v>-1.7026449999999999E-2</v>
      </c>
      <c r="O7814">
        <v>0.68270489999999995</v>
      </c>
      <c r="P7814">
        <v>0.77104779999999995</v>
      </c>
      <c r="Q7814">
        <v>0.36716349999999998</v>
      </c>
      <c r="R7814">
        <v>0.520265799999999</v>
      </c>
      <c r="S7814">
        <v>3.1566010000000002</v>
      </c>
      <c r="T7814">
        <v>-0.69697339999999997</v>
      </c>
      <c r="U7814">
        <v>1.5913539999999999</v>
      </c>
      <c r="V7814">
        <v>0.16028539999999999</v>
      </c>
      <c r="W7814">
        <v>0.37713370000000002</v>
      </c>
      <c r="X7814">
        <v>0.91218350000000004</v>
      </c>
      <c r="Y7814">
        <v>0.26737739999999999</v>
      </c>
      <c r="Z7814">
        <v>-0.14244299999999999</v>
      </c>
      <c r="AA7814">
        <v>0.9530054</v>
      </c>
      <c r="AB7814">
        <v>31</v>
      </c>
      <c r="AC7814">
        <v>4.8136999999999803</v>
      </c>
      <c r="AD7814">
        <v>-1.095524040935</v>
      </c>
      <c r="AE7814">
        <v>2.3719999999999799</v>
      </c>
      <c r="AF7814">
        <v>1.491660203323</v>
      </c>
      <c r="AG7814">
        <v>-1.095524040935</v>
      </c>
      <c r="AH7814">
        <v>4.9310064352459397</v>
      </c>
      <c r="AI7814">
        <v>102.005312457073</v>
      </c>
      <c r="AJ7814">
        <v>73.169106601261007</v>
      </c>
      <c r="AK7814">
        <v>5.2668821470468696</v>
      </c>
      <c r="AL7814">
        <v>67.843749646758297</v>
      </c>
      <c r="AM7814">
        <v>80.033944581528701</v>
      </c>
      <c r="AN7814">
        <v>0.99999998740054896</v>
      </c>
    </row>
    <row r="7815" spans="1:40" x14ac:dyDescent="0.25">
      <c r="A7815" t="str">
        <f>"20190304164314594"</f>
        <v>20190304164314594</v>
      </c>
      <c r="B7815" t="str">
        <f>"1551688994589024"</f>
        <v>1551688994589024</v>
      </c>
      <c r="C7815" t="s">
        <v>40</v>
      </c>
      <c r="D7815">
        <v>5.0214840000000001</v>
      </c>
      <c r="E7815">
        <v>0.57012019999999997</v>
      </c>
      <c r="F7815" t="s">
        <v>53</v>
      </c>
      <c r="G7815">
        <v>-174.30090000000001</v>
      </c>
      <c r="H7815" s="1">
        <v>-3.987516E-6</v>
      </c>
      <c r="I7815">
        <v>135.56530000000001</v>
      </c>
      <c r="J7815">
        <v>-179.16030000000001</v>
      </c>
      <c r="K7815">
        <v>1.0954710000000001</v>
      </c>
      <c r="L7815">
        <v>133.23660000000001</v>
      </c>
      <c r="M7815">
        <v>0.73742569999999996</v>
      </c>
      <c r="N7815">
        <v>-1.705156E-2</v>
      </c>
      <c r="O7815">
        <v>0.67521299999999995</v>
      </c>
      <c r="P7815">
        <v>0.7765744</v>
      </c>
      <c r="Q7815">
        <v>0.36636999999999997</v>
      </c>
      <c r="R7815">
        <v>0.51254789999999995</v>
      </c>
      <c r="S7815">
        <v>3.1741640000000002</v>
      </c>
      <c r="T7815">
        <v>-0.69592270000000001</v>
      </c>
      <c r="U7815">
        <v>1.553223</v>
      </c>
      <c r="V7815">
        <v>0.1603406</v>
      </c>
      <c r="W7815">
        <v>0.37634919999999999</v>
      </c>
      <c r="X7815">
        <v>0.91249780000000003</v>
      </c>
      <c r="Y7815">
        <v>0.26898080000000002</v>
      </c>
      <c r="Z7815">
        <v>-0.1412737</v>
      </c>
      <c r="AA7815">
        <v>0.95272820000000003</v>
      </c>
      <c r="AB7815">
        <v>31</v>
      </c>
      <c r="AC7815">
        <v>4.8593999999999902</v>
      </c>
      <c r="AD7815">
        <v>-1.0954749875159999</v>
      </c>
      <c r="AE7815">
        <v>2.3286999999999898</v>
      </c>
      <c r="AF7815">
        <v>1.5020359873645199</v>
      </c>
      <c r="AG7815">
        <v>-1.0954749875159999</v>
      </c>
      <c r="AH7815">
        <v>4.9519054011871901</v>
      </c>
      <c r="AI7815">
        <v>101.952949400778</v>
      </c>
      <c r="AJ7815">
        <v>73.126145309124894</v>
      </c>
      <c r="AK7815">
        <v>5.2893803661599401</v>
      </c>
      <c r="AL7815">
        <v>67.892274531518893</v>
      </c>
      <c r="AM7815">
        <v>80.033946262344699</v>
      </c>
      <c r="AN7815">
        <v>1.00000003167691</v>
      </c>
    </row>
    <row r="7816" spans="1:40" x14ac:dyDescent="0.25">
      <c r="A7816" t="str">
        <f>"20190304164314605"</f>
        <v>20190304164314605</v>
      </c>
      <c r="B7816" t="str">
        <f>"1551688994598784"</f>
        <v>1551688994598784</v>
      </c>
      <c r="C7816" t="s">
        <v>40</v>
      </c>
      <c r="D7816">
        <v>5.00108</v>
      </c>
      <c r="E7816">
        <v>0.57034119999999899</v>
      </c>
      <c r="F7816" t="s">
        <v>41</v>
      </c>
      <c r="G7816">
        <v>-178.42099999999999</v>
      </c>
      <c r="H7816">
        <v>0.93391389999999996</v>
      </c>
      <c r="I7816">
        <v>133.5882</v>
      </c>
      <c r="J7816">
        <v>-179.04480000000001</v>
      </c>
      <c r="K7816">
        <v>1.0954280000000001</v>
      </c>
      <c r="L7816">
        <v>133.33330000000001</v>
      </c>
      <c r="M7816">
        <v>0.74317569999999999</v>
      </c>
      <c r="N7816">
        <v>-1.707173E-2</v>
      </c>
      <c r="O7816">
        <v>0.66887849999999904</v>
      </c>
      <c r="P7816">
        <v>0.78097340000000004</v>
      </c>
      <c r="Q7816">
        <v>0.36580279999999998</v>
      </c>
      <c r="R7816">
        <v>0.50622999999999996</v>
      </c>
      <c r="S7816">
        <v>3.1905519999999998</v>
      </c>
      <c r="T7816">
        <v>-0.69710699999999903</v>
      </c>
      <c r="U7816">
        <v>1.517334</v>
      </c>
      <c r="V7816">
        <v>0.16012589999999999</v>
      </c>
      <c r="W7816">
        <v>0.37579960000000001</v>
      </c>
      <c r="X7816">
        <v>0.91276190000000001</v>
      </c>
      <c r="Y7816">
        <v>0.27138299999999999</v>
      </c>
      <c r="Z7816">
        <v>-0.14080210000000001</v>
      </c>
      <c r="AA7816">
        <v>0.95211659999999998</v>
      </c>
      <c r="AB7816">
        <v>31</v>
      </c>
      <c r="AC7816">
        <v>0.62380000000001701</v>
      </c>
      <c r="AD7816">
        <v>-0.16151409999999999</v>
      </c>
      <c r="AE7816">
        <v>0.25489999999999202</v>
      </c>
      <c r="AF7816">
        <v>0.21546619329644401</v>
      </c>
      <c r="AG7816">
        <v>-0.16151409999999999</v>
      </c>
      <c r="AH7816">
        <v>0.59972974683935198</v>
      </c>
      <c r="AI7816">
        <v>104.222162213115</v>
      </c>
      <c r="AJ7816">
        <v>70.238050539967603</v>
      </c>
      <c r="AK7816">
        <v>0.65741026322720597</v>
      </c>
      <c r="AL7816">
        <v>67.926257560646803</v>
      </c>
      <c r="AM7816">
        <v>80.049846283565401</v>
      </c>
      <c r="AN7816">
        <v>0.99999996465128904</v>
      </c>
    </row>
    <row r="7817" spans="1:40" x14ac:dyDescent="0.25">
      <c r="A7817" t="str">
        <f>"20190304164314616"</f>
        <v>20190304164314616</v>
      </c>
      <c r="B7817" t="str">
        <f>"1551688994608544"</f>
        <v>1551688994608544</v>
      </c>
      <c r="C7817" t="s">
        <v>40</v>
      </c>
      <c r="D7817">
        <v>5.0062670000000002</v>
      </c>
      <c r="E7817">
        <v>0.57051609999999997</v>
      </c>
      <c r="F7817" t="s">
        <v>53</v>
      </c>
      <c r="G7817">
        <v>-174.0069</v>
      </c>
      <c r="H7817" s="1">
        <v>-3.8977629999999998E-6</v>
      </c>
      <c r="I7817">
        <v>135.67230000000001</v>
      </c>
      <c r="J7817">
        <v>-178.92529999999999</v>
      </c>
      <c r="K7817">
        <v>1.0953919999999999</v>
      </c>
      <c r="L7817">
        <v>133.43109999999999</v>
      </c>
      <c r="M7817">
        <v>0.74904269999999995</v>
      </c>
      <c r="N7817">
        <v>-1.7091729999999999E-2</v>
      </c>
      <c r="O7817">
        <v>0.66230119999999904</v>
      </c>
      <c r="P7817">
        <v>0.78585859999999996</v>
      </c>
      <c r="Q7817">
        <v>0.36474859999999998</v>
      </c>
      <c r="R7817">
        <v>0.49938450000000001</v>
      </c>
      <c r="S7817">
        <v>3.203522</v>
      </c>
      <c r="T7817">
        <v>-0.69656969999999996</v>
      </c>
      <c r="U7817">
        <v>1.487366</v>
      </c>
      <c r="V7817">
        <v>0.16037599999999999</v>
      </c>
      <c r="W7817">
        <v>0.37474770000000002</v>
      </c>
      <c r="X7817">
        <v>0.91315040000000003</v>
      </c>
      <c r="Y7817">
        <v>0.27180520000000002</v>
      </c>
      <c r="Z7817">
        <v>-0.13977000000000001</v>
      </c>
      <c r="AA7817">
        <v>0.95214829999999995</v>
      </c>
      <c r="AB7817">
        <v>31</v>
      </c>
      <c r="AC7817">
        <v>4.9183999999999903</v>
      </c>
      <c r="AD7817">
        <v>-1.0953958977629901</v>
      </c>
      <c r="AE7817">
        <v>2.2412000000000201</v>
      </c>
      <c r="AF7817">
        <v>1.51664519230053</v>
      </c>
      <c r="AG7817">
        <v>-1.0953958977629901</v>
      </c>
      <c r="AH7817">
        <v>4.9652580903333101</v>
      </c>
      <c r="AI7817">
        <v>101.914031909169</v>
      </c>
      <c r="AJ7817">
        <v>73.014633291301905</v>
      </c>
      <c r="AK7817">
        <v>5.30602419102898</v>
      </c>
      <c r="AL7817">
        <v>67.991279437886803</v>
      </c>
      <c r="AM7817">
        <v>80.0387713146918</v>
      </c>
      <c r="AN7817">
        <v>0.99999997652572403</v>
      </c>
    </row>
    <row r="7818" spans="1:40" x14ac:dyDescent="0.25">
      <c r="A7818" t="str">
        <f>"20190304164314629"</f>
        <v>20190304164314629</v>
      </c>
      <c r="B7818" t="str">
        <f>"1551688994619281"</f>
        <v>1551688994619281</v>
      </c>
      <c r="C7818" t="s">
        <v>40</v>
      </c>
      <c r="D7818">
        <v>5.0402139999999997</v>
      </c>
      <c r="E7818">
        <v>0.57065159999999904</v>
      </c>
      <c r="F7818" t="s">
        <v>41</v>
      </c>
      <c r="G7818">
        <v>-178.19649999999999</v>
      </c>
      <c r="H7818">
        <v>0.93707119999999999</v>
      </c>
      <c r="I7818">
        <v>133.7611</v>
      </c>
      <c r="J7818">
        <v>-178.79470000000001</v>
      </c>
      <c r="K7818">
        <v>1.0953550000000001</v>
      </c>
      <c r="L7818">
        <v>133.5361</v>
      </c>
      <c r="M7818">
        <v>0.75536300000000001</v>
      </c>
      <c r="N7818">
        <v>-1.711234E-2</v>
      </c>
      <c r="O7818">
        <v>0.65508310000000003</v>
      </c>
      <c r="P7818">
        <v>0.79128969999999998</v>
      </c>
      <c r="Q7818">
        <v>0.3635755</v>
      </c>
      <c r="R7818">
        <v>0.49160300000000001</v>
      </c>
      <c r="S7818">
        <v>3.21637</v>
      </c>
      <c r="T7818">
        <v>-0.69856770000000001</v>
      </c>
      <c r="U7818">
        <v>1.4561770000000001</v>
      </c>
      <c r="V7818">
        <v>0.160972</v>
      </c>
      <c r="W7818">
        <v>0.37356479999999997</v>
      </c>
      <c r="X7818">
        <v>0.91353019999999996</v>
      </c>
      <c r="Y7818">
        <v>0.27168189999999998</v>
      </c>
      <c r="Z7818">
        <v>-0.13913210000000001</v>
      </c>
      <c r="AA7818">
        <v>0.95227689999999998</v>
      </c>
      <c r="AB7818">
        <v>31</v>
      </c>
      <c r="AC7818">
        <v>0.59820000000001905</v>
      </c>
      <c r="AD7818">
        <v>-0.158283799999999</v>
      </c>
      <c r="AE7818">
        <v>0.22499999999999401</v>
      </c>
      <c r="AF7818">
        <v>0.20911997939228999</v>
      </c>
      <c r="AG7818">
        <v>-0.158283799999999</v>
      </c>
      <c r="AH7818">
        <v>0.56470305292678602</v>
      </c>
      <c r="AI7818">
        <v>104.727134060292</v>
      </c>
      <c r="AJ7818">
        <v>69.679477393088504</v>
      </c>
      <c r="AK7818">
        <v>0.622635097877002</v>
      </c>
      <c r="AL7818">
        <v>68.064364358655297</v>
      </c>
      <c r="AM7818">
        <v>80.006570878583403</v>
      </c>
      <c r="AN7818">
        <v>1.00000003544753</v>
      </c>
    </row>
    <row r="7819" spans="1:40" x14ac:dyDescent="0.25">
      <c r="A7819" t="str">
        <f>"20190304164314642"</f>
        <v>20190304164314642</v>
      </c>
      <c r="B7819" t="str">
        <f>"1551688994638801"</f>
        <v>1551688994638801</v>
      </c>
      <c r="C7819" t="s">
        <v>40</v>
      </c>
      <c r="D7819">
        <v>4.9827360000000001</v>
      </c>
      <c r="E7819">
        <v>0.5708744</v>
      </c>
      <c r="F7819" t="s">
        <v>53</v>
      </c>
      <c r="G7819">
        <v>-173.75210000000001</v>
      </c>
      <c r="H7819" s="1">
        <v>-3.8169660000000004E-6</v>
      </c>
      <c r="I7819">
        <v>135.75720000000001</v>
      </c>
      <c r="J7819">
        <v>-178.63720000000001</v>
      </c>
      <c r="K7819">
        <v>1.0953120000000001</v>
      </c>
      <c r="L7819">
        <v>133.66069999999999</v>
      </c>
      <c r="M7819">
        <v>0.76286860000000001</v>
      </c>
      <c r="N7819">
        <v>-1.713576E-2</v>
      </c>
      <c r="O7819">
        <v>0.64632639999999997</v>
      </c>
      <c r="P7819">
        <v>0.79771440000000005</v>
      </c>
      <c r="Q7819">
        <v>0.36240729999999999</v>
      </c>
      <c r="R7819">
        <v>0.48198829999999998</v>
      </c>
      <c r="S7819">
        <v>3.2298279999999999</v>
      </c>
      <c r="T7819">
        <v>-0.70158240000000005</v>
      </c>
      <c r="U7819">
        <v>1.422577</v>
      </c>
      <c r="V7819">
        <v>0.16183259999999999</v>
      </c>
      <c r="W7819">
        <v>0.37237730000000002</v>
      </c>
      <c r="X7819">
        <v>0.91386290000000003</v>
      </c>
      <c r="Y7819">
        <v>0.27036209999999899</v>
      </c>
      <c r="Z7819">
        <v>-0.13835600000000001</v>
      </c>
      <c r="AA7819">
        <v>0.95276539999999998</v>
      </c>
      <c r="AB7819">
        <v>31</v>
      </c>
      <c r="AC7819">
        <v>4.8850999999999898</v>
      </c>
      <c r="AD7819">
        <v>-1.095315816966</v>
      </c>
      <c r="AE7819">
        <v>2.0965000000000198</v>
      </c>
      <c r="AF7819">
        <v>1.4947849782507701</v>
      </c>
      <c r="AG7819">
        <v>-1.095315816966</v>
      </c>
      <c r="AH7819">
        <v>4.8754777244223</v>
      </c>
      <c r="AI7819">
        <v>102.122370178661</v>
      </c>
      <c r="AJ7819">
        <v>72.954852467329303</v>
      </c>
      <c r="AK7819">
        <v>5.2157820038262797</v>
      </c>
      <c r="AL7819">
        <v>68.137694067030694</v>
      </c>
      <c r="AM7819">
        <v>79.957811535083096</v>
      </c>
      <c r="AN7819">
        <v>1.00000002198722</v>
      </c>
    </row>
    <row r="7820" spans="1:40" x14ac:dyDescent="0.25">
      <c r="A7820" t="str">
        <f>"20190304164314654"</f>
        <v>20190304164314654</v>
      </c>
      <c r="B7820" t="str">
        <f>"1551688994648560"</f>
        <v>1551688994648560</v>
      </c>
      <c r="C7820" t="s">
        <v>40</v>
      </c>
      <c r="D7820">
        <v>4.6843009999999996</v>
      </c>
      <c r="E7820">
        <v>0.5708744</v>
      </c>
      <c r="F7820" t="s">
        <v>53</v>
      </c>
      <c r="G7820">
        <v>-173.58599999999899</v>
      </c>
      <c r="H7820" s="1">
        <v>-3.7643129999999998E-6</v>
      </c>
      <c r="I7820">
        <v>135.8125</v>
      </c>
      <c r="J7820">
        <v>-178.50099999999901</v>
      </c>
      <c r="K7820">
        <v>1.095283</v>
      </c>
      <c r="L7820">
        <v>133.76499999999999</v>
      </c>
      <c r="M7820">
        <v>0.76923090000000005</v>
      </c>
      <c r="N7820">
        <v>-1.7154059999999999E-2</v>
      </c>
      <c r="O7820">
        <v>0.63874069999999905</v>
      </c>
      <c r="P7820">
        <v>0.80294730000000003</v>
      </c>
      <c r="Q7820">
        <v>0.3615293</v>
      </c>
      <c r="R7820">
        <v>0.4738908</v>
      </c>
      <c r="S7820">
        <v>3.2451629999999998</v>
      </c>
      <c r="T7820">
        <v>-0.70368889999999995</v>
      </c>
      <c r="U7820">
        <v>1.382431</v>
      </c>
      <c r="V7820">
        <v>0.1622787</v>
      </c>
      <c r="W7820">
        <v>0.37149379999999999</v>
      </c>
      <c r="X7820">
        <v>0.91414329999999999</v>
      </c>
      <c r="Y7820">
        <v>0.2724106</v>
      </c>
      <c r="Z7820">
        <v>-0.13787240000000001</v>
      </c>
      <c r="AA7820">
        <v>0.95225190000000004</v>
      </c>
      <c r="AB7820">
        <v>31</v>
      </c>
      <c r="AC7820">
        <v>4.9149999999999903</v>
      </c>
      <c r="AD7820">
        <v>-1.095286764313</v>
      </c>
      <c r="AE7820">
        <v>2.0475000000000101</v>
      </c>
      <c r="AF7820">
        <v>1.5011182126554701</v>
      </c>
      <c r="AG7820">
        <v>-1.095286764313</v>
      </c>
      <c r="AH7820">
        <v>4.8827199907496599</v>
      </c>
      <c r="AI7820">
        <v>102.101832802118</v>
      </c>
      <c r="AJ7820">
        <v>72.910748269484799</v>
      </c>
      <c r="AK7820">
        <v>5.2243624962775597</v>
      </c>
      <c r="AL7820">
        <v>68.192226587517794</v>
      </c>
      <c r="AM7820">
        <v>79.933720867382803</v>
      </c>
      <c r="AN7820">
        <v>0.99999999642350901</v>
      </c>
    </row>
    <row r="7821" spans="1:40" x14ac:dyDescent="0.25">
      <c r="A7821" t="str">
        <f>"20190304164314666"</f>
        <v>20190304164314666</v>
      </c>
      <c r="B7821" t="str">
        <f>"1551688994659295"</f>
        <v>1551688994659295</v>
      </c>
      <c r="C7821" t="s">
        <v>40</v>
      </c>
      <c r="D7821">
        <v>5.0104749999999996</v>
      </c>
      <c r="E7821">
        <v>0.57094809999999996</v>
      </c>
      <c r="F7821" t="s">
        <v>41</v>
      </c>
      <c r="G7821">
        <v>-177.7355</v>
      </c>
      <c r="H7821">
        <v>0.92881009999999997</v>
      </c>
      <c r="I7821">
        <v>134.08250000000001</v>
      </c>
      <c r="J7821">
        <v>-178.3759</v>
      </c>
      <c r="K7821">
        <v>1.0952580000000001</v>
      </c>
      <c r="L7821">
        <v>133.8596</v>
      </c>
      <c r="M7821">
        <v>0.77498829999999996</v>
      </c>
      <c r="N7821">
        <v>-1.7169779999999999E-2</v>
      </c>
      <c r="O7821">
        <v>0.63174229999999998</v>
      </c>
      <c r="P7821">
        <v>0.80743209999999999</v>
      </c>
      <c r="Q7821">
        <v>0.36120669999999999</v>
      </c>
      <c r="R7821">
        <v>0.46645809999999999</v>
      </c>
      <c r="S7821">
        <v>3.2573089999999998</v>
      </c>
      <c r="T7821">
        <v>-0.70769930000000003</v>
      </c>
      <c r="U7821">
        <v>1.35141</v>
      </c>
      <c r="V7821">
        <v>0.16253419999999999</v>
      </c>
      <c r="W7821">
        <v>0.37116880000000002</v>
      </c>
      <c r="X7821">
        <v>0.91422990000000004</v>
      </c>
      <c r="Y7821">
        <v>0.27262120000000001</v>
      </c>
      <c r="Z7821">
        <v>-0.1376512</v>
      </c>
      <c r="AA7821">
        <v>0.95222359999999995</v>
      </c>
      <c r="AB7821">
        <v>31</v>
      </c>
      <c r="AC7821">
        <v>0.64039999999999897</v>
      </c>
      <c r="AD7821">
        <v>-0.16644789999999901</v>
      </c>
      <c r="AE7821">
        <v>0.22290000000000901</v>
      </c>
      <c r="AF7821">
        <v>0.218680526204414</v>
      </c>
      <c r="AG7821">
        <v>-0.16644789999999901</v>
      </c>
      <c r="AH7821">
        <v>0.60099879736667505</v>
      </c>
      <c r="AI7821">
        <v>104.588112245785</v>
      </c>
      <c r="AJ7821">
        <v>70.005484402562104</v>
      </c>
      <c r="AK7821">
        <v>0.66085220011106804</v>
      </c>
      <c r="AL7821">
        <v>68.212281202577898</v>
      </c>
      <c r="AM7821">
        <v>79.9191322780148</v>
      </c>
      <c r="AN7821">
        <v>0.99999997715854405</v>
      </c>
    </row>
    <row r="7822" spans="1:40" x14ac:dyDescent="0.25">
      <c r="A7822" t="str">
        <f>"20190304164314676"</f>
        <v>20190304164314676</v>
      </c>
      <c r="B7822" t="str">
        <f>"1551688994669056"</f>
        <v>1551688994669056</v>
      </c>
      <c r="C7822" t="s">
        <v>40</v>
      </c>
      <c r="D7822">
        <v>4.676825</v>
      </c>
      <c r="E7822">
        <v>0.57094809999999996</v>
      </c>
      <c r="F7822" t="s">
        <v>53</v>
      </c>
      <c r="G7822">
        <v>-173.3177</v>
      </c>
      <c r="H7822" s="1">
        <v>-3.6800229999999999E-6</v>
      </c>
      <c r="I7822">
        <v>135.90389999999999</v>
      </c>
      <c r="J7822">
        <v>-178.24180000000001</v>
      </c>
      <c r="K7822">
        <v>1.095227</v>
      </c>
      <c r="L7822">
        <v>133.95869999999999</v>
      </c>
      <c r="M7822">
        <v>0.78106109999999995</v>
      </c>
      <c r="N7822">
        <v>-1.7185059999999999E-2</v>
      </c>
      <c r="O7822">
        <v>0.62421819999999995</v>
      </c>
      <c r="P7822">
        <v>0.81205890000000003</v>
      </c>
      <c r="Q7822">
        <v>0.3606627</v>
      </c>
      <c r="R7822">
        <v>0.45878429999999998</v>
      </c>
      <c r="S7822">
        <v>3.2689210000000002</v>
      </c>
      <c r="T7822">
        <v>-0.70782829999999997</v>
      </c>
      <c r="U7822">
        <v>1.3211520000000001</v>
      </c>
      <c r="V7822">
        <v>0.1625076</v>
      </c>
      <c r="W7822">
        <v>0.37063570000000001</v>
      </c>
      <c r="X7822">
        <v>0.91445089999999996</v>
      </c>
      <c r="Y7822">
        <v>0.27218579999999998</v>
      </c>
      <c r="Z7822">
        <v>-0.136491</v>
      </c>
      <c r="AA7822">
        <v>0.95251509999999995</v>
      </c>
      <c r="AB7822">
        <v>31</v>
      </c>
      <c r="AC7822">
        <v>4.9241000000000099</v>
      </c>
      <c r="AD7822">
        <v>-1.0952306800229901</v>
      </c>
      <c r="AE7822">
        <v>1.9452</v>
      </c>
      <c r="AF7822">
        <v>1.4908244388710901</v>
      </c>
      <c r="AG7822">
        <v>-1.0952306800229901</v>
      </c>
      <c r="AH7822">
        <v>4.8533084545085998</v>
      </c>
      <c r="AI7822">
        <v>102.17324076973701</v>
      </c>
      <c r="AJ7822">
        <v>72.924249535153805</v>
      </c>
      <c r="AK7822">
        <v>5.1939090004161299</v>
      </c>
      <c r="AL7822">
        <v>68.245172008432604</v>
      </c>
      <c r="AM7822">
        <v>79.923134238091393</v>
      </c>
      <c r="AN7822">
        <v>0.99999999534152995</v>
      </c>
    </row>
    <row r="7823" spans="1:40" x14ac:dyDescent="0.25">
      <c r="A7823" t="str">
        <f>"20190304164314687"</f>
        <v>20190304164314687</v>
      </c>
      <c r="B7823" t="str">
        <f>"1551688994678815"</f>
        <v>1551688994678815</v>
      </c>
      <c r="C7823" t="s">
        <v>40</v>
      </c>
      <c r="D7823">
        <v>5.0021969999999998</v>
      </c>
      <c r="E7823">
        <v>0.57103789999999999</v>
      </c>
      <c r="F7823" t="s">
        <v>41</v>
      </c>
      <c r="G7823">
        <v>-177.50710000000001</v>
      </c>
      <c r="H7823">
        <v>0.93628840000000002</v>
      </c>
      <c r="I7823">
        <v>134.2475</v>
      </c>
      <c r="J7823">
        <v>-178.12049999999999</v>
      </c>
      <c r="K7823">
        <v>1.0952029999999999</v>
      </c>
      <c r="L7823">
        <v>134.04669999999999</v>
      </c>
      <c r="M7823">
        <v>0.78646119999999997</v>
      </c>
      <c r="N7823">
        <v>-1.7197609999999999E-2</v>
      </c>
      <c r="O7823">
        <v>0.61740019999999995</v>
      </c>
      <c r="P7823">
        <v>0.816276</v>
      </c>
      <c r="Q7823">
        <v>0.3601704</v>
      </c>
      <c r="R7823">
        <v>0.45163150000000002</v>
      </c>
      <c r="S7823">
        <v>3.2809599999999999</v>
      </c>
      <c r="T7823">
        <v>-0.70994109999999999</v>
      </c>
      <c r="U7823">
        <v>1.2897639999999999</v>
      </c>
      <c r="V7823">
        <v>0.16271910000000001</v>
      </c>
      <c r="W7823">
        <v>0.37014350000000001</v>
      </c>
      <c r="X7823">
        <v>0.91461269999999995</v>
      </c>
      <c r="Y7823">
        <v>0.27290759999999997</v>
      </c>
      <c r="Z7823">
        <v>-0.1359254</v>
      </c>
      <c r="AA7823">
        <v>0.9523895</v>
      </c>
      <c r="AB7823">
        <v>31</v>
      </c>
      <c r="AC7823">
        <v>0.61339999999998396</v>
      </c>
      <c r="AD7823">
        <v>-0.15891459999999999</v>
      </c>
      <c r="AE7823">
        <v>0.20080000000001499</v>
      </c>
      <c r="AF7823">
        <v>0.20820289470290801</v>
      </c>
      <c r="AG7823">
        <v>-0.15891459999999999</v>
      </c>
      <c r="AH7823">
        <v>0.57181452003457001</v>
      </c>
      <c r="AI7823">
        <v>104.63543357851999</v>
      </c>
      <c r="AJ7823">
        <v>69.992972454731202</v>
      </c>
      <c r="AK7823">
        <v>0.62894685051933896</v>
      </c>
      <c r="AL7823">
        <v>68.275533652596096</v>
      </c>
      <c r="AM7823">
        <v>79.912036972188204</v>
      </c>
      <c r="AN7823">
        <v>1.00000005354917</v>
      </c>
    </row>
    <row r="7824" spans="1:40" x14ac:dyDescent="0.25">
      <c r="A7824" t="str">
        <f>"20190304164314698"</f>
        <v>20190304164314698</v>
      </c>
      <c r="B7824" t="str">
        <f>"1551688994688576"</f>
        <v>1551688994688576</v>
      </c>
      <c r="C7824" t="s">
        <v>40</v>
      </c>
      <c r="D7824">
        <v>4.9874510000000001</v>
      </c>
      <c r="E7824">
        <v>0.57111909999999999</v>
      </c>
      <c r="F7824" t="s">
        <v>53</v>
      </c>
      <c r="G7824">
        <v>-173.0419</v>
      </c>
      <c r="H7824" s="1">
        <v>-3.5904010000000002E-6</v>
      </c>
      <c r="I7824">
        <v>135.99</v>
      </c>
      <c r="J7824">
        <v>-177.99160000000001</v>
      </c>
      <c r="K7824">
        <v>1.095181</v>
      </c>
      <c r="L7824">
        <v>134.1387</v>
      </c>
      <c r="M7824">
        <v>0.79211849999999995</v>
      </c>
      <c r="N7824">
        <v>-1.72099E-2</v>
      </c>
      <c r="O7824">
        <v>0.61012480000000002</v>
      </c>
      <c r="P7824">
        <v>0.82049550000000004</v>
      </c>
      <c r="Q7824">
        <v>0.35946400000000001</v>
      </c>
      <c r="R7824">
        <v>0.44449169999999999</v>
      </c>
      <c r="S7824">
        <v>3.2915339999999902</v>
      </c>
      <c r="T7824">
        <v>-0.70982599999999996</v>
      </c>
      <c r="U7824">
        <v>1.2595369999999999</v>
      </c>
      <c r="V7824">
        <v>0.16244310000000001</v>
      </c>
      <c r="W7824">
        <v>0.36945860000000003</v>
      </c>
      <c r="X7824">
        <v>0.91493860000000005</v>
      </c>
      <c r="Y7824">
        <v>0.2728063</v>
      </c>
      <c r="Z7824">
        <v>-0.134789299999999</v>
      </c>
      <c r="AA7824">
        <v>0.95257999999999998</v>
      </c>
      <c r="AB7824">
        <v>31</v>
      </c>
      <c r="AC7824">
        <v>4.9497</v>
      </c>
      <c r="AD7824">
        <v>-1.095184590401</v>
      </c>
      <c r="AE7824">
        <v>1.8512999999999999</v>
      </c>
      <c r="AF7824">
        <v>1.4897332014242399</v>
      </c>
      <c r="AG7824">
        <v>-1.095184590401</v>
      </c>
      <c r="AH7824">
        <v>4.8430179475483603</v>
      </c>
      <c r="AI7824">
        <v>102.19641471948501</v>
      </c>
      <c r="AJ7824">
        <v>72.901876905887605</v>
      </c>
      <c r="AK7824">
        <v>5.1839711745681099</v>
      </c>
      <c r="AL7824">
        <v>68.317769055421707</v>
      </c>
      <c r="AM7824">
        <v>79.932311301175503</v>
      </c>
      <c r="AN7824">
        <v>1.0000000298107601</v>
      </c>
    </row>
    <row r="7825" spans="1:40" x14ac:dyDescent="0.25">
      <c r="A7825" t="str">
        <f>"20190304164314711"</f>
        <v>20190304164314711</v>
      </c>
      <c r="B7825" t="str">
        <f>"1551688994699312"</f>
        <v>1551688994699312</v>
      </c>
      <c r="C7825" t="s">
        <v>40</v>
      </c>
      <c r="D7825">
        <v>5.0125960000000003</v>
      </c>
      <c r="E7825">
        <v>0.5711465</v>
      </c>
      <c r="F7825" t="s">
        <v>41</v>
      </c>
      <c r="G7825">
        <v>-177.27369999999999</v>
      </c>
      <c r="H7825">
        <v>0.94061490000000003</v>
      </c>
      <c r="I7825">
        <v>134.4058</v>
      </c>
      <c r="J7825">
        <v>-177.85149999999999</v>
      </c>
      <c r="K7825">
        <v>1.0951630000000001</v>
      </c>
      <c r="L7825">
        <v>134.23609999999999</v>
      </c>
      <c r="M7825">
        <v>0.79814879999999999</v>
      </c>
      <c r="N7825">
        <v>-1.7221400000000001E-2</v>
      </c>
      <c r="O7825">
        <v>0.60221420000000003</v>
      </c>
      <c r="P7825">
        <v>0.82494009999999995</v>
      </c>
      <c r="Q7825">
        <v>0.35888949999999997</v>
      </c>
      <c r="R7825">
        <v>0.4366604</v>
      </c>
      <c r="S7825">
        <v>3.3018489999999998</v>
      </c>
      <c r="T7825">
        <v>-0.71048549999999999</v>
      </c>
      <c r="U7825">
        <v>1.228912</v>
      </c>
      <c r="V7825">
        <v>0.16218850000000001</v>
      </c>
      <c r="W7825">
        <v>0.36890430000000002</v>
      </c>
      <c r="X7825">
        <v>0.9152074</v>
      </c>
      <c r="Y7825">
        <v>0.27207290000000001</v>
      </c>
      <c r="Z7825">
        <v>-0.13364619999999999</v>
      </c>
      <c r="AA7825">
        <v>0.95295070000000004</v>
      </c>
      <c r="AB7825">
        <v>31</v>
      </c>
      <c r="AC7825">
        <v>0.57779999999999598</v>
      </c>
      <c r="AD7825">
        <v>-0.15454809999999899</v>
      </c>
      <c r="AE7825">
        <v>0.16970000000000501</v>
      </c>
      <c r="AF7825">
        <v>0.19941129442925701</v>
      </c>
      <c r="AG7825">
        <v>-0.15454809999999899</v>
      </c>
      <c r="AH7825">
        <v>0.52863258764906396</v>
      </c>
      <c r="AI7825">
        <v>105.29843949634</v>
      </c>
      <c r="AJ7825">
        <v>69.332473034349107</v>
      </c>
      <c r="AK7825">
        <v>0.58574942789908602</v>
      </c>
      <c r="AL7825">
        <v>68.351942385446804</v>
      </c>
      <c r="AM7825">
        <v>79.950660708644804</v>
      </c>
      <c r="AN7825">
        <v>1.0000000385527399</v>
      </c>
    </row>
    <row r="7826" spans="1:40" x14ac:dyDescent="0.25">
      <c r="A7826" t="str">
        <f>"20190304164314723"</f>
        <v>20190304164314723</v>
      </c>
      <c r="B7826" t="str">
        <f>"1551688994718832"</f>
        <v>1551688994718832</v>
      </c>
      <c r="C7826" t="s">
        <v>40</v>
      </c>
      <c r="D7826">
        <v>4.9878999999999998</v>
      </c>
      <c r="E7826">
        <v>0.57117810000000002</v>
      </c>
      <c r="F7826" t="s">
        <v>53</v>
      </c>
      <c r="G7826">
        <v>-172.7499</v>
      </c>
      <c r="H7826" s="1">
        <v>-3.4940439999999999E-6</v>
      </c>
      <c r="I7826">
        <v>136.07740000000001</v>
      </c>
      <c r="J7826">
        <v>-177.71010000000001</v>
      </c>
      <c r="K7826">
        <v>1.095153</v>
      </c>
      <c r="L7826">
        <v>134.3331</v>
      </c>
      <c r="M7826">
        <v>0.80413250000000003</v>
      </c>
      <c r="N7826">
        <v>-1.7232029999999999E-2</v>
      </c>
      <c r="O7826">
        <v>0.59420030000000001</v>
      </c>
      <c r="P7826">
        <v>0.82936769999999904</v>
      </c>
      <c r="Q7826">
        <v>0.35832049999999999</v>
      </c>
      <c r="R7826">
        <v>0.42866739999999998</v>
      </c>
      <c r="S7826">
        <v>3.3130950000000001</v>
      </c>
      <c r="T7826">
        <v>-0.71123080000000005</v>
      </c>
      <c r="U7826">
        <v>1.1958009999999999</v>
      </c>
      <c r="V7826">
        <v>0.1620103</v>
      </c>
      <c r="W7826">
        <v>0.36835240000000002</v>
      </c>
      <c r="X7826">
        <v>0.91546119999999997</v>
      </c>
      <c r="Y7826">
        <v>0.27200279999999999</v>
      </c>
      <c r="Z7826">
        <v>-0.13254440000000001</v>
      </c>
      <c r="AA7826">
        <v>0.95312459999999999</v>
      </c>
      <c r="AB7826">
        <v>31</v>
      </c>
      <c r="AC7826">
        <v>4.9602000000000102</v>
      </c>
      <c r="AD7826">
        <v>-1.095156494044</v>
      </c>
      <c r="AE7826">
        <v>1.7443</v>
      </c>
      <c r="AF7826">
        <v>1.4806966440082501</v>
      </c>
      <c r="AG7826">
        <v>-1.095156494044</v>
      </c>
      <c r="AH7826">
        <v>4.8168973883158097</v>
      </c>
      <c r="AI7826">
        <v>102.260946354157</v>
      </c>
      <c r="AJ7826">
        <v>72.912763225852501</v>
      </c>
      <c r="AK7826">
        <v>5.1569691435559104</v>
      </c>
      <c r="AL7826">
        <v>68.385959058963905</v>
      </c>
      <c r="AM7826">
        <v>79.9642039102566</v>
      </c>
      <c r="AN7826">
        <v>1.0000000182986399</v>
      </c>
    </row>
    <row r="7827" spans="1:40" x14ac:dyDescent="0.25">
      <c r="A7827" t="str">
        <f>"20190304164314738"</f>
        <v>20190304164314738</v>
      </c>
      <c r="B7827" t="str">
        <f>"1551688994728591"</f>
        <v>1551688994728591</v>
      </c>
      <c r="C7827" t="s">
        <v>40</v>
      </c>
      <c r="D7827">
        <v>5.00807</v>
      </c>
      <c r="E7827">
        <v>0.57117810000000002</v>
      </c>
      <c r="F7827" t="s">
        <v>53</v>
      </c>
      <c r="G7827">
        <v>-172.59540000000001</v>
      </c>
      <c r="H7827" s="1">
        <v>-3.4424899999999998E-6</v>
      </c>
      <c r="I7827">
        <v>136.12200000000001</v>
      </c>
      <c r="J7827">
        <v>-177.52440000000001</v>
      </c>
      <c r="K7827">
        <v>1.0951500000000001</v>
      </c>
      <c r="L7827">
        <v>134.45660000000001</v>
      </c>
      <c r="M7827">
        <v>0.81180920000000001</v>
      </c>
      <c r="N7827">
        <v>-1.7242879999999999E-2</v>
      </c>
      <c r="O7827">
        <v>0.58366819999999997</v>
      </c>
      <c r="P7827">
        <v>0.83495909999999995</v>
      </c>
      <c r="Q7827">
        <v>0.35760399999999998</v>
      </c>
      <c r="R7827">
        <v>0.41828549999999998</v>
      </c>
      <c r="S7827">
        <v>3.3238370000000002</v>
      </c>
      <c r="T7827">
        <v>-0.71170100000000003</v>
      </c>
      <c r="U7827">
        <v>1.1625669999999999</v>
      </c>
      <c r="V7827">
        <v>0.16165360000000001</v>
      </c>
      <c r="W7827">
        <v>0.36766300000000002</v>
      </c>
      <c r="X7827">
        <v>0.91580130000000004</v>
      </c>
      <c r="Y7827">
        <v>0.26910699999999999</v>
      </c>
      <c r="Z7827">
        <v>-0.1307218</v>
      </c>
      <c r="AA7827">
        <v>0.95419770000000004</v>
      </c>
      <c r="AB7827">
        <v>31</v>
      </c>
      <c r="AC7827">
        <v>4.9290000000000003</v>
      </c>
      <c r="AD7827">
        <v>-1.09515344249</v>
      </c>
      <c r="AE7827">
        <v>1.6654</v>
      </c>
      <c r="AF7827">
        <v>1.4604311255496101</v>
      </c>
      <c r="AG7827">
        <v>-1.09515344249</v>
      </c>
      <c r="AH7827">
        <v>4.7631416548557999</v>
      </c>
      <c r="AI7827">
        <v>102.39768001074</v>
      </c>
      <c r="AJ7827">
        <v>72.953889872818806</v>
      </c>
      <c r="AK7827">
        <v>5.1009546713624401</v>
      </c>
      <c r="AL7827">
        <v>68.428439424608499</v>
      </c>
      <c r="AM7827">
        <v>79.989495820974199</v>
      </c>
      <c r="AN7827">
        <v>0.99999999452182498</v>
      </c>
    </row>
    <row r="7828" spans="1:40" x14ac:dyDescent="0.25">
      <c r="A7828" t="str">
        <f>"20190304164314752"</f>
        <v>20190304164314752</v>
      </c>
      <c r="B7828" t="str">
        <f>"1551688994749088"</f>
        <v>1551688994749088</v>
      </c>
      <c r="C7828" t="s">
        <v>40</v>
      </c>
      <c r="D7828">
        <v>5.0307339999999998</v>
      </c>
      <c r="E7828">
        <v>0.57550900000000005</v>
      </c>
      <c r="F7828" t="s">
        <v>41</v>
      </c>
      <c r="G7828">
        <v>-176.7978</v>
      </c>
      <c r="H7828">
        <v>0.93948529999999997</v>
      </c>
      <c r="I7828">
        <v>134.7004</v>
      </c>
      <c r="J7828">
        <v>-177.37129999999999</v>
      </c>
      <c r="K7828">
        <v>1.095151</v>
      </c>
      <c r="L7828">
        <v>134.55549999999999</v>
      </c>
      <c r="M7828">
        <v>0.81798669999999996</v>
      </c>
      <c r="N7828">
        <v>-1.7249380000000002E-2</v>
      </c>
      <c r="O7828">
        <v>0.5749784</v>
      </c>
      <c r="P7828">
        <v>0.83926970000000001</v>
      </c>
      <c r="Q7828">
        <v>0.35709800000000003</v>
      </c>
      <c r="R7828">
        <v>0.41000900000000001</v>
      </c>
      <c r="S7828">
        <v>3.3376920000000001</v>
      </c>
      <c r="T7828">
        <v>-0.71443489999999998</v>
      </c>
      <c r="U7828">
        <v>1.120377</v>
      </c>
      <c r="V7828">
        <v>0.16104250000000001</v>
      </c>
      <c r="W7828">
        <v>0.36719160000000001</v>
      </c>
      <c r="X7828">
        <v>0.91609810000000003</v>
      </c>
      <c r="Y7828">
        <v>0.27087149999999999</v>
      </c>
      <c r="Z7828">
        <v>-0.13003419999999999</v>
      </c>
      <c r="AA7828">
        <v>0.95379230000000004</v>
      </c>
      <c r="AB7828">
        <v>31</v>
      </c>
      <c r="AC7828">
        <v>0.57349999999999501</v>
      </c>
      <c r="AD7828">
        <v>-0.15566569999999899</v>
      </c>
      <c r="AE7828">
        <v>0.144900000000006</v>
      </c>
      <c r="AF7828">
        <v>0.19757260792234499</v>
      </c>
      <c r="AG7828">
        <v>-0.15566569999999899</v>
      </c>
      <c r="AH7828">
        <v>0.51672664015351899</v>
      </c>
      <c r="AI7828">
        <v>105.715871822179</v>
      </c>
      <c r="AJ7828">
        <v>69.075434670626095</v>
      </c>
      <c r="AK7828">
        <v>0.57469397613170703</v>
      </c>
      <c r="AL7828">
        <v>68.457481081984398</v>
      </c>
      <c r="AM7828">
        <v>80.029743755892895</v>
      </c>
      <c r="AN7828">
        <v>1.0000000433702001</v>
      </c>
    </row>
    <row r="7829" spans="1:40" x14ac:dyDescent="0.25">
      <c r="A7829" t="str">
        <f>"20190304164314766"</f>
        <v>20190304164314766</v>
      </c>
      <c r="B7829" t="str">
        <f>"1551688994758849"</f>
        <v>1551688994758849</v>
      </c>
      <c r="C7829" t="s">
        <v>40</v>
      </c>
      <c r="D7829">
        <v>5.0012210000000001</v>
      </c>
      <c r="E7829">
        <v>0.57601959999999996</v>
      </c>
      <c r="F7829" t="s">
        <v>53</v>
      </c>
      <c r="G7829">
        <v>-171.83279999999999</v>
      </c>
      <c r="H7829" s="1">
        <v>-3.1655480000000001E-6</v>
      </c>
      <c r="I7829">
        <v>136.2835</v>
      </c>
      <c r="J7829">
        <v>-177.19460000000001</v>
      </c>
      <c r="K7829">
        <v>1.095154</v>
      </c>
      <c r="L7829">
        <v>134.66749999999999</v>
      </c>
      <c r="M7829">
        <v>0.824964699999999</v>
      </c>
      <c r="N7829">
        <v>-1.725496E-2</v>
      </c>
      <c r="O7829">
        <v>0.56492069999999905</v>
      </c>
      <c r="P7829">
        <v>0.84402880000000002</v>
      </c>
      <c r="Q7829">
        <v>0.35664489999999999</v>
      </c>
      <c r="R7829">
        <v>0.40052470000000001</v>
      </c>
      <c r="S7829">
        <v>3.3460540000000001</v>
      </c>
      <c r="T7829">
        <v>-0.66162569999999998</v>
      </c>
      <c r="U7829">
        <v>1.04393</v>
      </c>
      <c r="V7829">
        <v>0.16023080000000001</v>
      </c>
      <c r="W7829">
        <v>0.36678129999999998</v>
      </c>
      <c r="X7829">
        <v>0.91640469999999896</v>
      </c>
      <c r="Y7829">
        <v>0.28146450000000001</v>
      </c>
      <c r="Z7829">
        <v>-0.12005680000000001</v>
      </c>
      <c r="AA7829">
        <v>0.95203159999999998</v>
      </c>
      <c r="AB7829">
        <v>31</v>
      </c>
      <c r="AC7829">
        <v>5.3618000000000103</v>
      </c>
      <c r="AD7829">
        <v>-1.0951571655479999</v>
      </c>
      <c r="AE7829">
        <v>1.6160000000000101</v>
      </c>
      <c r="AF7829">
        <v>1.6336239096388701</v>
      </c>
      <c r="AG7829">
        <v>-1.0951571655479999</v>
      </c>
      <c r="AH7829">
        <v>5.1404087504961096</v>
      </c>
      <c r="AI7829">
        <v>101.477419717652</v>
      </c>
      <c r="AJ7829">
        <v>72.369723038751303</v>
      </c>
      <c r="AK7829">
        <v>5.5038076290484499</v>
      </c>
      <c r="AL7829">
        <v>68.482751926284706</v>
      </c>
      <c r="AM7829">
        <v>80.082249109195203</v>
      </c>
      <c r="AN7829">
        <v>1.0000000027402001</v>
      </c>
    </row>
    <row r="7830" spans="1:40" x14ac:dyDescent="0.25">
      <c r="A7830" t="str">
        <f>"20190304164314780"</f>
        <v>20190304164314780</v>
      </c>
      <c r="B7830" t="str">
        <f>"1551688994768609"</f>
        <v>1551688994768609</v>
      </c>
      <c r="C7830" t="s">
        <v>40</v>
      </c>
      <c r="D7830">
        <v>5.0162930000000001</v>
      </c>
      <c r="E7830">
        <v>0.57609060000000001</v>
      </c>
      <c r="F7830" t="s">
        <v>53</v>
      </c>
      <c r="G7830">
        <v>-171.65119999999999</v>
      </c>
      <c r="H7830" s="1">
        <v>-3.0992089999999999E-6</v>
      </c>
      <c r="I7830">
        <v>136.32079999999999</v>
      </c>
      <c r="J7830">
        <v>-177.0247</v>
      </c>
      <c r="K7830">
        <v>1.0951599999999999</v>
      </c>
      <c r="L7830">
        <v>134.7724</v>
      </c>
      <c r="M7830">
        <v>0.83151039999999998</v>
      </c>
      <c r="N7830">
        <v>-1.725813E-2</v>
      </c>
      <c r="O7830">
        <v>0.55524119999999999</v>
      </c>
      <c r="P7830">
        <v>0.84802379999999999</v>
      </c>
      <c r="Q7830">
        <v>0.35635070000000002</v>
      </c>
      <c r="R7830">
        <v>0.39226290000000003</v>
      </c>
      <c r="S7830">
        <v>3.3593600000000001</v>
      </c>
      <c r="T7830">
        <v>-0.66368470000000002</v>
      </c>
      <c r="U7830">
        <v>1.001938</v>
      </c>
      <c r="V7830">
        <v>0.1585068</v>
      </c>
      <c r="W7830">
        <v>0.36656519999999998</v>
      </c>
      <c r="X7830">
        <v>0.91679089999999996</v>
      </c>
      <c r="Y7830">
        <v>0.28226950000000001</v>
      </c>
      <c r="Z7830">
        <v>-0.11905780000000001</v>
      </c>
      <c r="AA7830">
        <v>0.95191870000000001</v>
      </c>
      <c r="AB7830">
        <v>31</v>
      </c>
      <c r="AC7830">
        <v>5.3734999999999999</v>
      </c>
      <c r="AD7830">
        <v>-1.095163099209</v>
      </c>
      <c r="AE7830">
        <v>1.54839999999998</v>
      </c>
      <c r="AF7830">
        <v>1.6336737950078699</v>
      </c>
      <c r="AG7830">
        <v>-1.095163099209</v>
      </c>
      <c r="AH7830">
        <v>5.1318278497890502</v>
      </c>
      <c r="AI7830">
        <v>101.494412260606</v>
      </c>
      <c r="AJ7830">
        <v>72.341567969558298</v>
      </c>
      <c r="AK7830">
        <v>5.4958101643192698</v>
      </c>
      <c r="AL7830">
        <v>68.496060492248901</v>
      </c>
      <c r="AM7830">
        <v>80.190926897804204</v>
      </c>
      <c r="AN7830">
        <v>1.00000000291004</v>
      </c>
    </row>
    <row r="7831" spans="1:40" x14ac:dyDescent="0.25">
      <c r="A7831" t="str">
        <f>"20190304164314804"</f>
        <v>20190304164314804</v>
      </c>
      <c r="B7831" t="str">
        <f>"1551688994798864"</f>
        <v>1551688994798864</v>
      </c>
      <c r="C7831" t="s">
        <v>40</v>
      </c>
      <c r="D7831">
        <v>4.959873</v>
      </c>
      <c r="E7831">
        <v>0.57695419999999997</v>
      </c>
      <c r="F7831" t="s">
        <v>41</v>
      </c>
      <c r="G7831">
        <v>-176.30410000000001</v>
      </c>
      <c r="H7831">
        <v>0.95240239999999998</v>
      </c>
      <c r="I7831">
        <v>134.97929999999999</v>
      </c>
      <c r="J7831">
        <v>-176.74199999999999</v>
      </c>
      <c r="K7831">
        <v>1.0951850000000001</v>
      </c>
      <c r="L7831">
        <v>134.94040000000001</v>
      </c>
      <c r="M7831">
        <v>0.84203700000000004</v>
      </c>
      <c r="N7831">
        <v>-1.7257890000000001E-2</v>
      </c>
      <c r="O7831">
        <v>0.5391437</v>
      </c>
      <c r="P7831">
        <v>0.8543712</v>
      </c>
      <c r="Q7831">
        <v>0.35691679999999998</v>
      </c>
      <c r="R7831">
        <v>0.37770409999999999</v>
      </c>
      <c r="S7831">
        <v>3.3703609999999999</v>
      </c>
      <c r="T7831">
        <v>-0.66720699999999999</v>
      </c>
      <c r="U7831">
        <v>0.96777340000000001</v>
      </c>
      <c r="V7831">
        <v>0.1564026</v>
      </c>
      <c r="W7831">
        <v>0.36722250000000001</v>
      </c>
      <c r="X7831">
        <v>0.91688919999999996</v>
      </c>
      <c r="Y7831">
        <v>0.27379930000000002</v>
      </c>
      <c r="Z7831">
        <v>-0.1164721</v>
      </c>
      <c r="AA7831">
        <v>0.95470849999999996</v>
      </c>
      <c r="AB7831">
        <v>31</v>
      </c>
      <c r="AC7831">
        <v>0.437900000000013</v>
      </c>
      <c r="AD7831">
        <v>-0.14278260000000001</v>
      </c>
      <c r="AE7831">
        <v>3.8899999999983899E-2</v>
      </c>
      <c r="AF7831">
        <v>0.18396109674834199</v>
      </c>
      <c r="AG7831">
        <v>-0.14278260000000001</v>
      </c>
      <c r="AH7831">
        <v>0.35256836894575799</v>
      </c>
      <c r="AI7831">
        <v>109.75030045379</v>
      </c>
      <c r="AJ7831">
        <v>62.445606729059598</v>
      </c>
      <c r="AK7831">
        <v>0.422531668352427</v>
      </c>
      <c r="AL7831">
        <v>68.455576041321706</v>
      </c>
      <c r="AM7831">
        <v>80.319681490234501</v>
      </c>
      <c r="AN7831">
        <v>0.999999971434824</v>
      </c>
    </row>
    <row r="7832" spans="1:40" x14ac:dyDescent="0.25">
      <c r="A7832" t="str">
        <f>"20190304164314817"</f>
        <v>20190304164314817</v>
      </c>
      <c r="B7832" t="str">
        <f>"1551688994808624"</f>
        <v>1551688994808624</v>
      </c>
      <c r="C7832" t="s">
        <v>40</v>
      </c>
      <c r="D7832">
        <v>4.9577159999999996</v>
      </c>
      <c r="E7832">
        <v>0.57717369999999901</v>
      </c>
      <c r="F7832" t="s">
        <v>53</v>
      </c>
      <c r="G7832">
        <v>-171.12299999999999</v>
      </c>
      <c r="H7832" s="1">
        <v>-2.8547949999999998E-6</v>
      </c>
      <c r="I7832">
        <v>136.4359</v>
      </c>
      <c r="J7832">
        <v>-176.58150000000001</v>
      </c>
      <c r="K7832">
        <v>1.095207</v>
      </c>
      <c r="L7832">
        <v>135.0324</v>
      </c>
      <c r="M7832">
        <v>0.84781779999999995</v>
      </c>
      <c r="N7832">
        <v>-1.7255179999999998E-2</v>
      </c>
      <c r="O7832">
        <v>0.53000689999999995</v>
      </c>
      <c r="P7832">
        <v>0.85786770000000001</v>
      </c>
      <c r="Q7832">
        <v>0.35752009999999901</v>
      </c>
      <c r="R7832">
        <v>0.36911090000000002</v>
      </c>
      <c r="S7832">
        <v>3.3885649999999998</v>
      </c>
      <c r="T7832">
        <v>-0.66046050000000001</v>
      </c>
      <c r="U7832">
        <v>0.90184019999999998</v>
      </c>
      <c r="V7832">
        <v>0.15555379999999999</v>
      </c>
      <c r="W7832">
        <v>0.3678612</v>
      </c>
      <c r="X7832">
        <v>0.91677759999999997</v>
      </c>
      <c r="Y7832">
        <v>0.28226259999999997</v>
      </c>
      <c r="Z7832">
        <v>-0.1146568</v>
      </c>
      <c r="AA7832">
        <v>0.9524608</v>
      </c>
      <c r="AB7832">
        <v>31</v>
      </c>
      <c r="AC7832">
        <v>5.4585000000000097</v>
      </c>
      <c r="AD7832">
        <v>-1.095209854795</v>
      </c>
      <c r="AE7832">
        <v>1.4035</v>
      </c>
      <c r="AF7832">
        <v>1.6414026463421401</v>
      </c>
      <c r="AG7832">
        <v>-1.095209854795</v>
      </c>
      <c r="AH7832">
        <v>5.1769886908194103</v>
      </c>
      <c r="AI7832">
        <v>101.401364472135</v>
      </c>
      <c r="AJ7832">
        <v>72.408395767074197</v>
      </c>
      <c r="AK7832">
        <v>5.5402977517757197</v>
      </c>
      <c r="AL7832">
        <v>68.416227889281998</v>
      </c>
      <c r="AM7832">
        <v>80.370080434015804</v>
      </c>
      <c r="AN7832">
        <v>1.00000000751082</v>
      </c>
    </row>
    <row r="7833" spans="1:40" x14ac:dyDescent="0.25">
      <c r="A7833" t="str">
        <f>"20190304164314836"</f>
        <v>20190304164314836</v>
      </c>
      <c r="B7833" t="str">
        <f>"1551688994829120"</f>
        <v>1551688994829120</v>
      </c>
      <c r="C7833" t="s">
        <v>40</v>
      </c>
      <c r="D7833">
        <v>4.9766110000000001</v>
      </c>
      <c r="E7833">
        <v>0.57725150000000003</v>
      </c>
      <c r="F7833" t="s">
        <v>53</v>
      </c>
      <c r="G7833">
        <v>-170.91380000000001</v>
      </c>
      <c r="H7833" s="1">
        <v>-2.75384E-6</v>
      </c>
      <c r="I7833">
        <v>136.47720000000001</v>
      </c>
      <c r="J7833">
        <v>-176.34280000000001</v>
      </c>
      <c r="K7833">
        <v>1.0952500000000001</v>
      </c>
      <c r="L7833">
        <v>135.1651</v>
      </c>
      <c r="M7833">
        <v>0.85616299999999901</v>
      </c>
      <c r="N7833">
        <v>-1.7248719999999999E-2</v>
      </c>
      <c r="O7833">
        <v>0.51641800000000004</v>
      </c>
      <c r="P7833">
        <v>0.86258259999999898</v>
      </c>
      <c r="Q7833">
        <v>0.35878330000000003</v>
      </c>
      <c r="R7833">
        <v>0.35668759999999999</v>
      </c>
      <c r="S7833">
        <v>3.397964</v>
      </c>
      <c r="T7833">
        <v>-0.65661389999999997</v>
      </c>
      <c r="U7833">
        <v>0.8662415</v>
      </c>
      <c r="V7833">
        <v>0.1539015</v>
      </c>
      <c r="W7833">
        <v>0.36918970000000001</v>
      </c>
      <c r="X7833">
        <v>0.91652239999999996</v>
      </c>
      <c r="Y7833">
        <v>0.27738390000000002</v>
      </c>
      <c r="Z7833">
        <v>-0.1114773</v>
      </c>
      <c r="AA7833">
        <v>0.9542699</v>
      </c>
      <c r="AB7833">
        <v>31</v>
      </c>
      <c r="AC7833">
        <v>5.4290000000000003</v>
      </c>
      <c r="AD7833">
        <v>-1.0952527538400001</v>
      </c>
      <c r="AE7833">
        <v>1.31210000000001</v>
      </c>
      <c r="AF7833">
        <v>1.6182832453306299</v>
      </c>
      <c r="AG7833">
        <v>-1.0952527538400001</v>
      </c>
      <c r="AH7833">
        <v>5.1292557019499796</v>
      </c>
      <c r="AI7833">
        <v>101.510101539136</v>
      </c>
      <c r="AJ7833">
        <v>72.489483311887199</v>
      </c>
      <c r="AK7833">
        <v>5.4888690376887599</v>
      </c>
      <c r="AL7833">
        <v>68.334347515199696</v>
      </c>
      <c r="AM7833">
        <v>80.467879381529599</v>
      </c>
      <c r="AN7833">
        <v>1.00000000799505</v>
      </c>
    </row>
    <row r="7834" spans="1:40" x14ac:dyDescent="0.25">
      <c r="A7834" t="str">
        <f>"20190304164314850"</f>
        <v>20190304164314850</v>
      </c>
      <c r="B7834" t="str">
        <f>"1551688994838880"</f>
        <v>1551688994838880</v>
      </c>
      <c r="C7834" t="s">
        <v>40</v>
      </c>
      <c r="D7834">
        <v>4.9442449999999996</v>
      </c>
      <c r="E7834">
        <v>0.57724919999999902</v>
      </c>
      <c r="F7834" t="s">
        <v>53</v>
      </c>
      <c r="G7834">
        <v>-170.6122</v>
      </c>
      <c r="H7834" s="1">
        <v>-2.6091990000000001E-6</v>
      </c>
      <c r="I7834">
        <v>136.53880000000001</v>
      </c>
      <c r="J7834">
        <v>-176.17169999999999</v>
      </c>
      <c r="K7834">
        <v>1.0952809999999999</v>
      </c>
      <c r="L7834">
        <v>135.25720000000001</v>
      </c>
      <c r="M7834">
        <v>0.86196349999999999</v>
      </c>
      <c r="N7834">
        <v>-1.7242569999999999E-2</v>
      </c>
      <c r="O7834">
        <v>0.50667719999999905</v>
      </c>
      <c r="P7834">
        <v>0.86589119999999997</v>
      </c>
      <c r="Q7834">
        <v>0.35971619999999999</v>
      </c>
      <c r="R7834">
        <v>0.34761599999999998</v>
      </c>
      <c r="S7834">
        <v>3.4109799999999999</v>
      </c>
      <c r="T7834">
        <v>-0.65191719999999997</v>
      </c>
      <c r="U7834">
        <v>0.81762699999999999</v>
      </c>
      <c r="V7834">
        <v>0.15293509999999999</v>
      </c>
      <c r="W7834">
        <v>0.37015910000000002</v>
      </c>
      <c r="X7834">
        <v>0.91629309999999997</v>
      </c>
      <c r="Y7834">
        <v>0.28045039999999999</v>
      </c>
      <c r="Z7834">
        <v>-0.10945050000000001</v>
      </c>
      <c r="AA7834">
        <v>0.95360800000000001</v>
      </c>
      <c r="AB7834">
        <v>31</v>
      </c>
      <c r="AC7834">
        <v>5.5594999999999803</v>
      </c>
      <c r="AD7834">
        <v>-1.0952836091989999</v>
      </c>
      <c r="AE7834">
        <v>1.2815999999999901</v>
      </c>
      <c r="AF7834">
        <v>1.65156565361958</v>
      </c>
      <c r="AG7834">
        <v>-1.0952836091989999</v>
      </c>
      <c r="AH7834">
        <v>5.2488080059188702</v>
      </c>
      <c r="AI7834">
        <v>101.257668576781</v>
      </c>
      <c r="AJ7834">
        <v>72.533537591524095</v>
      </c>
      <c r="AK7834">
        <v>5.61046350810643</v>
      </c>
      <c r="AL7834">
        <v>68.274569696025395</v>
      </c>
      <c r="AM7834">
        <v>80.524318867893797</v>
      </c>
      <c r="AN7834">
        <v>0.99999997461621404</v>
      </c>
    </row>
    <row r="7835" spans="1:40" x14ac:dyDescent="0.25">
      <c r="A7835" t="str">
        <f>"20190304164314862"</f>
        <v>20190304164314862</v>
      </c>
      <c r="B7835" t="str">
        <f>"1551688994858400"</f>
        <v>1551688994858400</v>
      </c>
      <c r="C7835" t="s">
        <v>40</v>
      </c>
      <c r="D7835">
        <v>4.944401</v>
      </c>
      <c r="E7835">
        <v>0.57741609999999999</v>
      </c>
      <c r="F7835" t="s">
        <v>53</v>
      </c>
      <c r="G7835">
        <v>-170.3937</v>
      </c>
      <c r="H7835" s="1">
        <v>-2.5019929999999999E-6</v>
      </c>
      <c r="I7835">
        <v>136.57810000000001</v>
      </c>
      <c r="J7835">
        <v>-176.03039999999999</v>
      </c>
      <c r="K7835">
        <v>1.0953079999999999</v>
      </c>
      <c r="L7835">
        <v>135.33199999999999</v>
      </c>
      <c r="M7835">
        <v>0.86665270000000005</v>
      </c>
      <c r="N7835">
        <v>-1.7237289999999999E-2</v>
      </c>
      <c r="O7835">
        <v>0.498614</v>
      </c>
      <c r="P7835">
        <v>0.86835569999999895</v>
      </c>
      <c r="Q7835">
        <v>0.36075069999999998</v>
      </c>
      <c r="R7835">
        <v>0.34031939999999999</v>
      </c>
      <c r="S7835">
        <v>3.4200740000000001</v>
      </c>
      <c r="T7835">
        <v>-0.64830569999999998</v>
      </c>
      <c r="U7835">
        <v>0.78184509999999996</v>
      </c>
      <c r="V7835">
        <v>0.151892</v>
      </c>
      <c r="W7835">
        <v>0.37123220000000001</v>
      </c>
      <c r="X7835">
        <v>0.91603250000000003</v>
      </c>
      <c r="Y7835">
        <v>0.28176050000000002</v>
      </c>
      <c r="Z7835">
        <v>-0.10772420000000001</v>
      </c>
      <c r="AA7835">
        <v>0.95341830000000005</v>
      </c>
      <c r="AB7835">
        <v>31</v>
      </c>
      <c r="AC7835">
        <v>5.6366999999999896</v>
      </c>
      <c r="AD7835">
        <v>-1.0953105019929901</v>
      </c>
      <c r="AE7835">
        <v>1.24610000000001</v>
      </c>
      <c r="AF7835">
        <v>1.6707131542843601</v>
      </c>
      <c r="AG7835">
        <v>-1.0953105019929901</v>
      </c>
      <c r="AH7835">
        <v>5.3158326319586102</v>
      </c>
      <c r="AI7835">
        <v>101.12068511065399</v>
      </c>
      <c r="AJ7835">
        <v>72.552586956236397</v>
      </c>
      <c r="AK7835">
        <v>5.6788259447416598</v>
      </c>
      <c r="AL7835">
        <v>68.2083704352398</v>
      </c>
      <c r="AM7835">
        <v>80.585158086563297</v>
      </c>
      <c r="AN7835">
        <v>1.0000000335185399</v>
      </c>
    </row>
    <row r="7836" spans="1:40" x14ac:dyDescent="0.25">
      <c r="A7836" t="str">
        <f>"20190304164314873"</f>
        <v>20190304164314873</v>
      </c>
      <c r="B7836" t="str">
        <f>"1551688994869136"</f>
        <v>1551688994869136</v>
      </c>
      <c r="C7836" t="s">
        <v>40</v>
      </c>
      <c r="D7836">
        <v>4.9686979999999998</v>
      </c>
      <c r="E7836">
        <v>0.5774804</v>
      </c>
      <c r="F7836" t="s">
        <v>53</v>
      </c>
      <c r="G7836">
        <v>-170.1814</v>
      </c>
      <c r="H7836" s="1">
        <v>-2.396476E-6</v>
      </c>
      <c r="I7836">
        <v>136.6131</v>
      </c>
      <c r="J7836">
        <v>-175.89320000000001</v>
      </c>
      <c r="K7836">
        <v>1.095337</v>
      </c>
      <c r="L7836">
        <v>135.40190000000001</v>
      </c>
      <c r="M7836">
        <v>0.87108940000000001</v>
      </c>
      <c r="N7836">
        <v>-1.7231079999999999E-2</v>
      </c>
      <c r="O7836">
        <v>0.49082209999999898</v>
      </c>
      <c r="P7836">
        <v>0.87061129999999998</v>
      </c>
      <c r="Q7836">
        <v>0.36163040000000002</v>
      </c>
      <c r="R7836">
        <v>0.33355629999999997</v>
      </c>
      <c r="S7836">
        <v>3.4272610000000001</v>
      </c>
      <c r="T7836">
        <v>-0.64180519999999996</v>
      </c>
      <c r="U7836">
        <v>0.75064090000000006</v>
      </c>
      <c r="V7836">
        <v>0.15062539999999999</v>
      </c>
      <c r="W7836">
        <v>0.37215870000000001</v>
      </c>
      <c r="X7836">
        <v>0.9158657</v>
      </c>
      <c r="Y7836">
        <v>0.28219490000000003</v>
      </c>
      <c r="Z7836">
        <v>-0.10549020000000001</v>
      </c>
      <c r="AA7836">
        <v>0.95353969999999999</v>
      </c>
      <c r="AB7836">
        <v>31</v>
      </c>
      <c r="AC7836">
        <v>5.71180000000001</v>
      </c>
      <c r="AD7836">
        <v>-1.0953393964759901</v>
      </c>
      <c r="AE7836">
        <v>1.2111999999999901</v>
      </c>
      <c r="AF7836">
        <v>1.68922586328827</v>
      </c>
      <c r="AG7836">
        <v>-1.0953393964759901</v>
      </c>
      <c r="AH7836">
        <v>5.38141425017833</v>
      </c>
      <c r="AI7836">
        <v>100.989957555819</v>
      </c>
      <c r="AJ7836">
        <v>72.572927589319903</v>
      </c>
      <c r="AK7836">
        <v>5.7456828787096104</v>
      </c>
      <c r="AL7836">
        <v>68.151189381988601</v>
      </c>
      <c r="AM7836">
        <v>80.660607667561393</v>
      </c>
      <c r="AN7836">
        <v>1.0000000447736599</v>
      </c>
    </row>
    <row r="7837" spans="1:40" x14ac:dyDescent="0.25">
      <c r="A7837" t="str">
        <f>"20190304164314884"</f>
        <v>20190304164314884</v>
      </c>
      <c r="B7837" t="str">
        <f>"1551688994878897"</f>
        <v>1551688994878897</v>
      </c>
      <c r="C7837" t="s">
        <v>40</v>
      </c>
      <c r="D7837">
        <v>4.9593610000000004</v>
      </c>
      <c r="E7837">
        <v>0.57737269999999996</v>
      </c>
      <c r="F7837" t="s">
        <v>53</v>
      </c>
      <c r="G7837">
        <v>-169.9873</v>
      </c>
      <c r="H7837" s="1">
        <v>-2.2995690000000002E-6</v>
      </c>
      <c r="I7837">
        <v>136.64410000000001</v>
      </c>
      <c r="J7837">
        <v>-175.74889999999999</v>
      </c>
      <c r="K7837">
        <v>1.095367</v>
      </c>
      <c r="L7837">
        <v>135.47460000000001</v>
      </c>
      <c r="M7837">
        <v>0.8756718</v>
      </c>
      <c r="N7837">
        <v>-1.7224799999999998E-2</v>
      </c>
      <c r="O7837">
        <v>0.48259940000000001</v>
      </c>
      <c r="P7837">
        <v>0.87316309999999997</v>
      </c>
      <c r="Q7837">
        <v>0.36239860000000002</v>
      </c>
      <c r="R7837">
        <v>0.32596540000000002</v>
      </c>
      <c r="S7837">
        <v>3.4336700000000002</v>
      </c>
      <c r="T7837">
        <v>-0.6368241</v>
      </c>
      <c r="U7837">
        <v>0.72219849999999997</v>
      </c>
      <c r="V7837">
        <v>0.1498226</v>
      </c>
      <c r="W7837">
        <v>0.37295650000000002</v>
      </c>
      <c r="X7837">
        <v>0.91567279999999995</v>
      </c>
      <c r="Y7837">
        <v>0.28139069999999999</v>
      </c>
      <c r="Z7837">
        <v>-0.10335469999999999</v>
      </c>
      <c r="AA7837">
        <v>0.9540111</v>
      </c>
      <c r="AB7837">
        <v>31</v>
      </c>
      <c r="AC7837">
        <v>5.7615999999999801</v>
      </c>
      <c r="AD7837">
        <v>-1.0953692995690001</v>
      </c>
      <c r="AE7837">
        <v>1.16949999999999</v>
      </c>
      <c r="AF7837">
        <v>1.6977713607514899</v>
      </c>
      <c r="AG7837">
        <v>-1.0953692995690001</v>
      </c>
      <c r="AH7837">
        <v>5.4222761577048404</v>
      </c>
      <c r="AI7837">
        <v>100.911822969897</v>
      </c>
      <c r="AJ7837">
        <v>72.614116140168306</v>
      </c>
      <c r="AK7837">
        <v>5.7864790871686997</v>
      </c>
      <c r="AL7837">
        <v>68.101932199074298</v>
      </c>
      <c r="AM7837">
        <v>80.707591328382506</v>
      </c>
      <c r="AN7837">
        <v>1.00000001951142</v>
      </c>
    </row>
    <row r="7838" spans="1:40" x14ac:dyDescent="0.25">
      <c r="A7838" t="str">
        <f>"20190304164314895"</f>
        <v>20190304164314895</v>
      </c>
      <c r="B7838" t="str">
        <f>"1551688994888656"</f>
        <v>1551688994888656</v>
      </c>
      <c r="C7838" t="s">
        <v>40</v>
      </c>
      <c r="D7838">
        <v>4.9301870000000001</v>
      </c>
      <c r="E7838">
        <v>0.57727030000000001</v>
      </c>
      <c r="F7838" t="s">
        <v>42</v>
      </c>
      <c r="G7838">
        <v>-169.8098</v>
      </c>
      <c r="H7838" s="1">
        <v>-8.4105889999999997E-7</v>
      </c>
      <c r="I7838">
        <v>136.6704</v>
      </c>
      <c r="J7838">
        <v>-175.6069</v>
      </c>
      <c r="K7838">
        <v>1.09539599999999</v>
      </c>
      <c r="L7838">
        <v>135.54409999999999</v>
      </c>
      <c r="M7838">
        <v>0.88007559999999996</v>
      </c>
      <c r="N7838">
        <v>-1.721814E-2</v>
      </c>
      <c r="O7838">
        <v>0.47452119999999998</v>
      </c>
      <c r="P7838">
        <v>0.87559659999999995</v>
      </c>
      <c r="Q7838">
        <v>0.36294399999999999</v>
      </c>
      <c r="R7838">
        <v>0.31875100000000001</v>
      </c>
      <c r="S7838">
        <v>3.4405519999999998</v>
      </c>
      <c r="T7838">
        <v>-0.63455240000000002</v>
      </c>
      <c r="U7838">
        <v>0.69273379999999996</v>
      </c>
      <c r="V7838">
        <v>0.14883589999999999</v>
      </c>
      <c r="W7838">
        <v>0.37353910000000001</v>
      </c>
      <c r="X7838">
        <v>0.91559619999999997</v>
      </c>
      <c r="Y7838">
        <v>0.28098610000000002</v>
      </c>
      <c r="Z7838">
        <v>-0.10173219999999999</v>
      </c>
      <c r="AA7838">
        <v>0.95430459999999995</v>
      </c>
      <c r="AB7838">
        <v>30</v>
      </c>
      <c r="AC7838">
        <v>5.7971000000000004</v>
      </c>
      <c r="AD7838">
        <v>-1.0953968410588999</v>
      </c>
      <c r="AE7838">
        <v>1.1263000000000101</v>
      </c>
      <c r="AF7838">
        <v>1.7013428774796699</v>
      </c>
      <c r="AG7838">
        <v>-1.0953968410588999</v>
      </c>
      <c r="AH7838">
        <v>5.4496758257221396</v>
      </c>
      <c r="AI7838">
        <v>100.86130933884399</v>
      </c>
      <c r="AJ7838">
        <v>72.662076051911598</v>
      </c>
      <c r="AK7838">
        <v>5.8132115419630903</v>
      </c>
      <c r="AL7838">
        <v>68.065950792790701</v>
      </c>
      <c r="AM7838">
        <v>80.766972884014507</v>
      </c>
      <c r="AN7838">
        <v>0.99999999290602903</v>
      </c>
    </row>
    <row r="7839" spans="1:40" x14ac:dyDescent="0.25">
      <c r="A7839" t="str">
        <f>"20190304164314909"</f>
        <v>20190304164314909</v>
      </c>
      <c r="B7839" t="str">
        <f>"1551688994898417"</f>
        <v>1551688994898417</v>
      </c>
      <c r="C7839" t="s">
        <v>40</v>
      </c>
      <c r="D7839">
        <v>4.974227</v>
      </c>
      <c r="E7839">
        <v>0.57713959999999997</v>
      </c>
      <c r="F7839" t="s">
        <v>42</v>
      </c>
      <c r="G7839">
        <v>-169.64109999999999</v>
      </c>
      <c r="H7839" s="1">
        <v>-8.9960779999999995E-7</v>
      </c>
      <c r="I7839">
        <v>136.69390000000001</v>
      </c>
      <c r="J7839">
        <v>-175.44210000000001</v>
      </c>
      <c r="K7839">
        <v>1.0954189999999999</v>
      </c>
      <c r="L7839">
        <v>135.62280000000001</v>
      </c>
      <c r="M7839">
        <v>0.88507080000000005</v>
      </c>
      <c r="N7839">
        <v>-1.721054E-2</v>
      </c>
      <c r="O7839">
        <v>0.4651382</v>
      </c>
      <c r="P7839">
        <v>0.87854290000000002</v>
      </c>
      <c r="Q7839">
        <v>0.36342469999999999</v>
      </c>
      <c r="R7839">
        <v>0.30997570000000002</v>
      </c>
      <c r="S7839">
        <v>3.4467319999999999</v>
      </c>
      <c r="T7839">
        <v>-0.63286359999999997</v>
      </c>
      <c r="U7839">
        <v>0.66430659999999997</v>
      </c>
      <c r="V7839">
        <v>0.14815780000000001</v>
      </c>
      <c r="W7839">
        <v>0.37404559999999998</v>
      </c>
      <c r="X7839">
        <v>0.91549939999999996</v>
      </c>
      <c r="Y7839">
        <v>0.27891490000000002</v>
      </c>
      <c r="Z7839">
        <v>-9.9874409999999997E-2</v>
      </c>
      <c r="AA7839">
        <v>0.95510819999999996</v>
      </c>
      <c r="AB7839">
        <v>30</v>
      </c>
      <c r="AC7839">
        <v>5.8010000000000099</v>
      </c>
      <c r="AD7839">
        <v>-1.0954198996078</v>
      </c>
      <c r="AE7839">
        <v>1.0710999999999999</v>
      </c>
      <c r="AF7839">
        <v>1.6921764354983</v>
      </c>
      <c r="AG7839">
        <v>-1.0954198996078</v>
      </c>
      <c r="AH7839">
        <v>5.4455638200570204</v>
      </c>
      <c r="AI7839">
        <v>100.873900617237</v>
      </c>
      <c r="AJ7839">
        <v>72.737679873057999</v>
      </c>
      <c r="AK7839">
        <v>5.8066833186963596</v>
      </c>
      <c r="AL7839">
        <v>68.034662581796397</v>
      </c>
      <c r="AM7839">
        <v>80.8073638572655</v>
      </c>
      <c r="AN7839">
        <v>0.99999999799027905</v>
      </c>
    </row>
    <row r="7840" spans="1:40" x14ac:dyDescent="0.25">
      <c r="A7840" t="str">
        <f>"20190304164314922"</f>
        <v>20190304164314922</v>
      </c>
      <c r="B7840" t="str">
        <f>"1551688994918912"</f>
        <v>1551688994918912</v>
      </c>
      <c r="C7840" t="s">
        <v>40</v>
      </c>
      <c r="D7840">
        <v>4.9252750000000001</v>
      </c>
      <c r="E7840">
        <v>0.57692449999999995</v>
      </c>
      <c r="F7840" t="s">
        <v>42</v>
      </c>
      <c r="G7840">
        <v>-169.4539</v>
      </c>
      <c r="H7840" s="1">
        <v>-9.6566770000000006E-7</v>
      </c>
      <c r="I7840">
        <v>136.7159</v>
      </c>
      <c r="J7840">
        <v>-175.274</v>
      </c>
      <c r="K7840">
        <v>1.095448</v>
      </c>
      <c r="L7840">
        <v>135.70140000000001</v>
      </c>
      <c r="M7840">
        <v>0.89004329999999998</v>
      </c>
      <c r="N7840">
        <v>-1.7203019999999999E-2</v>
      </c>
      <c r="O7840">
        <v>0.4555514</v>
      </c>
      <c r="P7840">
        <v>0.8812643</v>
      </c>
      <c r="Q7840">
        <v>0.36418240000000002</v>
      </c>
      <c r="R7840">
        <v>0.30123820000000001</v>
      </c>
      <c r="S7840">
        <v>3.4536440000000002</v>
      </c>
      <c r="T7840">
        <v>-0.63176790000000005</v>
      </c>
      <c r="U7840">
        <v>0.63043209999999905</v>
      </c>
      <c r="V7840">
        <v>0.14721329999999999</v>
      </c>
      <c r="W7840">
        <v>0.3748379</v>
      </c>
      <c r="X7840">
        <v>0.91532769999999997</v>
      </c>
      <c r="Y7840">
        <v>0.27813280000000001</v>
      </c>
      <c r="Z7840">
        <v>-9.8206719999999997E-2</v>
      </c>
      <c r="AA7840">
        <v>0.9555091</v>
      </c>
      <c r="AB7840">
        <v>30</v>
      </c>
      <c r="AC7840">
        <v>5.8200999999999903</v>
      </c>
      <c r="AD7840">
        <v>-1.0954489656677</v>
      </c>
      <c r="AE7840">
        <v>1.01449999999999</v>
      </c>
      <c r="AF7840">
        <v>1.6905411833095501</v>
      </c>
      <c r="AG7840">
        <v>-1.0954489656677</v>
      </c>
      <c r="AH7840">
        <v>5.4555624974337702</v>
      </c>
      <c r="AI7840">
        <v>100.857334110895</v>
      </c>
      <c r="AJ7840">
        <v>72.783110025437097</v>
      </c>
      <c r="AK7840">
        <v>5.8155911214814502</v>
      </c>
      <c r="AL7840">
        <v>67.985705638085406</v>
      </c>
      <c r="AM7840">
        <v>80.863290701509897</v>
      </c>
      <c r="AN7840">
        <v>1.00000000268029</v>
      </c>
    </row>
    <row r="7841" spans="1:40" x14ac:dyDescent="0.25">
      <c r="A7841" t="str">
        <f>"20190304164314935"</f>
        <v>20190304164314935</v>
      </c>
      <c r="B7841" t="str">
        <f>"1551688994928672"</f>
        <v>1551688994928672</v>
      </c>
      <c r="C7841" t="s">
        <v>40</v>
      </c>
      <c r="D7841">
        <v>4.929856</v>
      </c>
      <c r="E7841">
        <v>0.57677100000000003</v>
      </c>
      <c r="F7841" t="s">
        <v>42</v>
      </c>
      <c r="G7841">
        <v>-169.25550000000001</v>
      </c>
      <c r="H7841" s="1">
        <v>-1.035298E-6</v>
      </c>
      <c r="I7841">
        <v>136.74039999999999</v>
      </c>
      <c r="J7841">
        <v>-175.11150000000001</v>
      </c>
      <c r="K7841">
        <v>1.095478</v>
      </c>
      <c r="L7841">
        <v>135.77430000000001</v>
      </c>
      <c r="M7841">
        <v>0.89471229999999902</v>
      </c>
      <c r="N7841">
        <v>-1.7195640000000002E-2</v>
      </c>
      <c r="O7841">
        <v>0.44631179999999898</v>
      </c>
      <c r="P7841">
        <v>0.88379560000000001</v>
      </c>
      <c r="Q7841">
        <v>0.36487649999999999</v>
      </c>
      <c r="R7841">
        <v>0.29286600000000002</v>
      </c>
      <c r="S7841">
        <v>3.460251</v>
      </c>
      <c r="T7841">
        <v>-0.62981929999999997</v>
      </c>
      <c r="U7841">
        <v>0.59738159999999996</v>
      </c>
      <c r="V7841">
        <v>0.1462871</v>
      </c>
      <c r="W7841">
        <v>0.37556539999999999</v>
      </c>
      <c r="X7841">
        <v>0.91517800000000005</v>
      </c>
      <c r="Y7841">
        <v>0.27756350000000002</v>
      </c>
      <c r="Z7841">
        <v>-9.647E-2</v>
      </c>
      <c r="AA7841">
        <v>0.95585149999999997</v>
      </c>
      <c r="AB7841">
        <v>30</v>
      </c>
      <c r="AC7841">
        <v>5.8559999999999901</v>
      </c>
      <c r="AD7841">
        <v>-1.0954790352979999</v>
      </c>
      <c r="AE7841">
        <v>0.96609999999998297</v>
      </c>
      <c r="AF7841">
        <v>1.6918417257132301</v>
      </c>
      <c r="AG7841">
        <v>-1.0954790352979999</v>
      </c>
      <c r="AH7841">
        <v>5.4846072210489796</v>
      </c>
      <c r="AI7841">
        <v>100.805662028535</v>
      </c>
      <c r="AJ7841">
        <v>72.856528067029103</v>
      </c>
      <c r="AK7841">
        <v>5.8432284835375299</v>
      </c>
      <c r="AL7841">
        <v>67.940738346794703</v>
      </c>
      <c r="AM7841">
        <v>80.918353609634806</v>
      </c>
      <c r="AN7841">
        <v>1.00000002849378</v>
      </c>
    </row>
    <row r="7842" spans="1:40" x14ac:dyDescent="0.25">
      <c r="A7842" t="str">
        <f>"20190304164314949"</f>
        <v>20190304164314949</v>
      </c>
      <c r="B7842" t="str">
        <f>"1551688994939408"</f>
        <v>1551688994939408</v>
      </c>
      <c r="C7842" t="s">
        <v>40</v>
      </c>
      <c r="D7842">
        <v>4.9184679999999998</v>
      </c>
      <c r="E7842">
        <v>0.57663999999999904</v>
      </c>
      <c r="F7842" t="s">
        <v>42</v>
      </c>
      <c r="G7842">
        <v>-169.0642</v>
      </c>
      <c r="H7842" s="1">
        <v>-1.1036399999999999E-6</v>
      </c>
      <c r="I7842">
        <v>136.75980000000001</v>
      </c>
      <c r="J7842">
        <v>-174.94149999999999</v>
      </c>
      <c r="K7842">
        <v>1.0955140000000001</v>
      </c>
      <c r="L7842">
        <v>135.84899999999999</v>
      </c>
      <c r="M7842">
        <v>0.89948050000000002</v>
      </c>
      <c r="N7842">
        <v>-1.7188220000000001E-2</v>
      </c>
      <c r="O7842">
        <v>0.43662279999999998</v>
      </c>
      <c r="P7842">
        <v>0.88626289999999996</v>
      </c>
      <c r="Q7842">
        <v>0.36575410000000003</v>
      </c>
      <c r="R7842">
        <v>0.28418710000000003</v>
      </c>
      <c r="S7842">
        <v>3.466507</v>
      </c>
      <c r="T7842">
        <v>-0.62795540000000005</v>
      </c>
      <c r="U7842">
        <v>0.56489560000000005</v>
      </c>
      <c r="V7842">
        <v>0.14521909999999999</v>
      </c>
      <c r="W7842">
        <v>0.37648090000000001</v>
      </c>
      <c r="X7842">
        <v>0.91497189999999995</v>
      </c>
      <c r="Y7842">
        <v>0.27640670000000001</v>
      </c>
      <c r="Z7842">
        <v>-9.4630019999999995E-2</v>
      </c>
      <c r="AA7842">
        <v>0.95637050000000001</v>
      </c>
      <c r="AB7842">
        <v>30</v>
      </c>
      <c r="AC7842">
        <v>5.8772999999999902</v>
      </c>
      <c r="AD7842">
        <v>-1.0955151036399999</v>
      </c>
      <c r="AE7842">
        <v>0.91080000000002304</v>
      </c>
      <c r="AF7842">
        <v>1.6898393685433799</v>
      </c>
      <c r="AG7842">
        <v>-1.0955151036399999</v>
      </c>
      <c r="AH7842">
        <v>5.4984732333212598</v>
      </c>
      <c r="AI7842">
        <v>100.782779809548</v>
      </c>
      <c r="AJ7842">
        <v>72.916297348352302</v>
      </c>
      <c r="AK7842">
        <v>5.8556740287803599</v>
      </c>
      <c r="AL7842">
        <v>67.884129274318397</v>
      </c>
      <c r="AM7842">
        <v>80.981565382676905</v>
      </c>
      <c r="AN7842">
        <v>1.0000000164296099</v>
      </c>
    </row>
    <row r="7843" spans="1:40" x14ac:dyDescent="0.25">
      <c r="A7843" t="str">
        <f>"20190304164314963"</f>
        <v>20190304164314963</v>
      </c>
      <c r="B7843" t="str">
        <f>"1551688994958928"</f>
        <v>1551688994958928</v>
      </c>
      <c r="C7843" t="s">
        <v>40</v>
      </c>
      <c r="D7843">
        <v>4.9042770000000004</v>
      </c>
      <c r="E7843">
        <v>0.57631669999999902</v>
      </c>
      <c r="F7843" t="s">
        <v>42</v>
      </c>
      <c r="G7843">
        <v>-168.8546</v>
      </c>
      <c r="H7843" s="1">
        <v>-1.1786560000000001E-6</v>
      </c>
      <c r="I7843">
        <v>136.78030000000001</v>
      </c>
      <c r="J7843">
        <v>-174.7595</v>
      </c>
      <c r="K7843">
        <v>1.095558</v>
      </c>
      <c r="L7843">
        <v>135.92689999999999</v>
      </c>
      <c r="M7843">
        <v>0.9044468</v>
      </c>
      <c r="N7843">
        <v>-1.7180580000000001E-2</v>
      </c>
      <c r="O7843">
        <v>0.42624030000000002</v>
      </c>
      <c r="P7843">
        <v>0.88784850000000004</v>
      </c>
      <c r="Q7843">
        <v>0.36787969999999998</v>
      </c>
      <c r="R7843">
        <v>0.27638679999999999</v>
      </c>
      <c r="S7843">
        <v>3.4725489999999999</v>
      </c>
      <c r="T7843">
        <v>-0.62499119999999997</v>
      </c>
      <c r="U7843">
        <v>0.53129579999999998</v>
      </c>
      <c r="V7843">
        <v>0.14238970000000001</v>
      </c>
      <c r="W7843">
        <v>0.37870530000000002</v>
      </c>
      <c r="X7843">
        <v>0.91449840000000004</v>
      </c>
      <c r="Y7843">
        <v>0.27490239999999999</v>
      </c>
      <c r="Z7843">
        <v>-9.2494419999999994E-2</v>
      </c>
      <c r="AA7843">
        <v>0.9570128</v>
      </c>
      <c r="AB7843">
        <v>30</v>
      </c>
      <c r="AC7843">
        <v>5.9048999999999898</v>
      </c>
      <c r="AD7843">
        <v>-1.0955591786559999</v>
      </c>
      <c r="AE7843">
        <v>0.85340000000002103</v>
      </c>
      <c r="AF7843">
        <v>1.6883793720079701</v>
      </c>
      <c r="AG7843">
        <v>-1.0955591786559999</v>
      </c>
      <c r="AH7843">
        <v>5.5191652937238196</v>
      </c>
      <c r="AI7843">
        <v>100.74788606165799</v>
      </c>
      <c r="AJ7843">
        <v>72.990495196686197</v>
      </c>
      <c r="AK7843">
        <v>5.8746966183118703</v>
      </c>
      <c r="AL7843">
        <v>67.746489299436504</v>
      </c>
      <c r="AM7843">
        <v>81.149964452317903</v>
      </c>
      <c r="AN7843">
        <v>0.99999992725836695</v>
      </c>
    </row>
    <row r="7844" spans="1:40" x14ac:dyDescent="0.25">
      <c r="A7844" t="str">
        <f>"20190304164314982"</f>
        <v>20190304164314982</v>
      </c>
      <c r="B7844" t="str">
        <f>"1551688994979016"</f>
        <v>1551688994979016</v>
      </c>
      <c r="C7844" t="s">
        <v>40</v>
      </c>
      <c r="D7844">
        <v>4.8884720000000002</v>
      </c>
      <c r="E7844">
        <v>0.57179469999999899</v>
      </c>
      <c r="F7844" t="s">
        <v>42</v>
      </c>
      <c r="G7844">
        <v>-168.59460000000001</v>
      </c>
      <c r="H7844" s="1">
        <v>-1.269313E-6</v>
      </c>
      <c r="I7844">
        <v>136.81489999999999</v>
      </c>
      <c r="J7844">
        <v>-174.50749999999999</v>
      </c>
      <c r="K7844">
        <v>1.09561</v>
      </c>
      <c r="L7844">
        <v>136.0301</v>
      </c>
      <c r="M7844">
        <v>0.91108109999999998</v>
      </c>
      <c r="N7844">
        <v>-1.7170250000000001E-2</v>
      </c>
      <c r="O7844">
        <v>0.4118696</v>
      </c>
      <c r="P7844">
        <v>0.89010259999999997</v>
      </c>
      <c r="Q7844">
        <v>0.3697512</v>
      </c>
      <c r="R7844">
        <v>0.26646160000000002</v>
      </c>
      <c r="S7844">
        <v>3.4791110000000001</v>
      </c>
      <c r="T7844">
        <v>-0.6182704</v>
      </c>
      <c r="U7844">
        <v>0.50112920000000005</v>
      </c>
      <c r="V7844">
        <v>0.1378027</v>
      </c>
      <c r="W7844">
        <v>0.3807451</v>
      </c>
      <c r="X7844">
        <v>0.91435420000000001</v>
      </c>
      <c r="Y7844">
        <v>0.26858070000000001</v>
      </c>
      <c r="Z7844">
        <v>-8.8744190000000001E-2</v>
      </c>
      <c r="AA7844">
        <v>0.95916049999999997</v>
      </c>
      <c r="AB7844">
        <v>30</v>
      </c>
      <c r="AC7844">
        <v>5.9128999999999703</v>
      </c>
      <c r="AD7844">
        <v>-1.095611269313</v>
      </c>
      <c r="AE7844">
        <v>0.78479999999998995</v>
      </c>
      <c r="AF7844">
        <v>1.6644253444724799</v>
      </c>
      <c r="AG7844">
        <v>-1.095611269313</v>
      </c>
      <c r="AH7844">
        <v>5.5248085643297298</v>
      </c>
      <c r="AI7844">
        <v>100.75122086999301</v>
      </c>
      <c r="AJ7844">
        <v>73.234342365575799</v>
      </c>
      <c r="AK7844">
        <v>5.8731750742898203</v>
      </c>
      <c r="AL7844">
        <v>67.6201567157173</v>
      </c>
      <c r="AM7844">
        <v>81.429430503275</v>
      </c>
      <c r="AN7844">
        <v>1.0000000091794701</v>
      </c>
    </row>
    <row r="7845" spans="1:40" x14ac:dyDescent="0.25">
      <c r="A7845" t="str">
        <f>"20190304164314995"</f>
        <v>20190304164314995</v>
      </c>
      <c r="B7845" t="str">
        <f>"1551688994988777"</f>
        <v>1551688994988777</v>
      </c>
      <c r="C7845" t="s">
        <v>40</v>
      </c>
      <c r="D7845">
        <v>4.9176960000000003</v>
      </c>
      <c r="E7845">
        <v>0.57110280000000002</v>
      </c>
      <c r="F7845" t="s">
        <v>42</v>
      </c>
      <c r="G7845">
        <v>-168.52160000000001</v>
      </c>
      <c r="H7845" s="1">
        <v>-1.2797420000000001E-6</v>
      </c>
      <c r="I7845">
        <v>136.881</v>
      </c>
      <c r="J7845">
        <v>-174.3426</v>
      </c>
      <c r="K7845">
        <v>1.0956429999999999</v>
      </c>
      <c r="L7845">
        <v>136.09460000000001</v>
      </c>
      <c r="M7845">
        <v>0.91527329999999996</v>
      </c>
      <c r="N7845">
        <v>-1.7163560000000001E-2</v>
      </c>
      <c r="O7845">
        <v>0.40246779999999999</v>
      </c>
      <c r="P7845">
        <v>0.89183069999999898</v>
      </c>
      <c r="Q7845">
        <v>0.37047750000000002</v>
      </c>
      <c r="R7845">
        <v>0.25958560000000003</v>
      </c>
      <c r="S7845">
        <v>3.4871370000000002</v>
      </c>
      <c r="T7845">
        <v>-0.63825669999999901</v>
      </c>
      <c r="U7845">
        <v>0.49572749999999999</v>
      </c>
      <c r="V7845">
        <v>0.13531019999999999</v>
      </c>
      <c r="W7845">
        <v>0.38156459999999998</v>
      </c>
      <c r="X7845">
        <v>0.9143848</v>
      </c>
      <c r="Y7845">
        <v>0.26011069999999997</v>
      </c>
      <c r="Z7845">
        <v>-8.9311139999999997E-2</v>
      </c>
      <c r="AA7845">
        <v>0.9614395</v>
      </c>
      <c r="AB7845">
        <v>30</v>
      </c>
      <c r="AC7845">
        <v>5.82099999999999</v>
      </c>
      <c r="AD7845">
        <v>-1.0956442797419901</v>
      </c>
      <c r="AE7845">
        <v>0.786399999999986</v>
      </c>
      <c r="AF7845">
        <v>1.56865528034218</v>
      </c>
      <c r="AG7845">
        <v>-1.0956442797419901</v>
      </c>
      <c r="AH7845">
        <v>5.45533163856246</v>
      </c>
      <c r="AI7845">
        <v>100.924770120457</v>
      </c>
      <c r="AJ7845">
        <v>73.957656394193194</v>
      </c>
      <c r="AK7845">
        <v>5.7811555127826599</v>
      </c>
      <c r="AL7845">
        <v>67.569368183349397</v>
      </c>
      <c r="AM7845">
        <v>81.582486850872101</v>
      </c>
      <c r="AN7845">
        <v>0.99999997833411902</v>
      </c>
    </row>
    <row r="7846" spans="1:40" x14ac:dyDescent="0.25">
      <c r="A7846" t="str">
        <f>"20190304164315006"</f>
        <v>20190304164315006</v>
      </c>
      <c r="B7846" t="str">
        <f>"1551688994998537"</f>
        <v>1551688994998537</v>
      </c>
      <c r="C7846" t="s">
        <v>40</v>
      </c>
      <c r="D7846">
        <v>4.6988919999999998</v>
      </c>
      <c r="E7846">
        <v>0.57191309999999995</v>
      </c>
      <c r="F7846" t="s">
        <v>41</v>
      </c>
      <c r="G7846">
        <v>-173.5351</v>
      </c>
      <c r="H7846">
        <v>0.94702640000000005</v>
      </c>
      <c r="I7846">
        <v>136.2039</v>
      </c>
      <c r="J7846">
        <v>-174.1994</v>
      </c>
      <c r="K7846">
        <v>1.095674</v>
      </c>
      <c r="L7846">
        <v>136.14949999999999</v>
      </c>
      <c r="M7846">
        <v>0.91882600000000003</v>
      </c>
      <c r="N7846">
        <v>-1.7158039999999999E-2</v>
      </c>
      <c r="O7846">
        <v>0.39428970000000002</v>
      </c>
      <c r="P7846">
        <v>0.89306589999999997</v>
      </c>
      <c r="Q7846">
        <v>0.3711103</v>
      </c>
      <c r="R7846">
        <v>0.25438260000000001</v>
      </c>
      <c r="S7846">
        <v>3.4932249999999998</v>
      </c>
      <c r="T7846">
        <v>-0.64274469999999995</v>
      </c>
      <c r="U7846">
        <v>0.47286990000000001</v>
      </c>
      <c r="V7846">
        <v>0.13236629999999899</v>
      </c>
      <c r="W7846">
        <v>0.3823085</v>
      </c>
      <c r="X7846">
        <v>0.91450500000000001</v>
      </c>
      <c r="Y7846">
        <v>0.25793569999999999</v>
      </c>
      <c r="Z7846">
        <v>-8.8436509999999996E-2</v>
      </c>
      <c r="AA7846">
        <v>0.96210609999999996</v>
      </c>
      <c r="AB7846">
        <v>30</v>
      </c>
      <c r="AC7846">
        <v>0.664299999999997</v>
      </c>
      <c r="AD7846">
        <v>-0.14864759999999899</v>
      </c>
      <c r="AE7846">
        <v>5.4400000000015297E-2</v>
      </c>
      <c r="AF7846">
        <v>0.201930201205968</v>
      </c>
      <c r="AG7846">
        <v>-0.14864759999999899</v>
      </c>
      <c r="AH7846">
        <v>0.60197759567193998</v>
      </c>
      <c r="AI7846">
        <v>103.176307267572</v>
      </c>
      <c r="AJ7846">
        <v>71.456244450119698</v>
      </c>
      <c r="AK7846">
        <v>0.65211114147498805</v>
      </c>
      <c r="AL7846">
        <v>67.523250297200306</v>
      </c>
      <c r="AM7846">
        <v>81.764151519832893</v>
      </c>
      <c r="AN7846">
        <v>1.0000000107864699</v>
      </c>
    </row>
    <row r="7847" spans="1:40" x14ac:dyDescent="0.25">
      <c r="A7847" t="str">
        <f>"20190304164315019"</f>
        <v>20190304164315019</v>
      </c>
      <c r="B7847" t="str">
        <f>"1551688995009273"</f>
        <v>1551688995009273</v>
      </c>
      <c r="C7847" t="s">
        <v>40</v>
      </c>
      <c r="D7847">
        <v>4.8882640000000004</v>
      </c>
      <c r="E7847">
        <v>0.57000200000000001</v>
      </c>
      <c r="F7847" t="s">
        <v>41</v>
      </c>
      <c r="G7847">
        <v>-173.27080000000001</v>
      </c>
      <c r="H7847">
        <v>0.9288092</v>
      </c>
      <c r="I7847">
        <v>136.267</v>
      </c>
      <c r="J7847">
        <v>-174.03190000000001</v>
      </c>
      <c r="K7847">
        <v>1.0957059999999901</v>
      </c>
      <c r="L7847">
        <v>136.21190000000001</v>
      </c>
      <c r="M7847">
        <v>0.92287540000000001</v>
      </c>
      <c r="N7847">
        <v>-1.715177E-2</v>
      </c>
      <c r="O7847">
        <v>0.38471650000000002</v>
      </c>
      <c r="P7847">
        <v>0.89455819999999997</v>
      </c>
      <c r="Q7847">
        <v>0.37183310000000003</v>
      </c>
      <c r="R7847">
        <v>0.248004</v>
      </c>
      <c r="S7847">
        <v>3.4940639999999998</v>
      </c>
      <c r="T7847">
        <v>-0.62763910000000001</v>
      </c>
      <c r="U7847">
        <v>0.4422913</v>
      </c>
      <c r="V7847">
        <v>0.1292508</v>
      </c>
      <c r="W7847">
        <v>0.38314819999999999</v>
      </c>
      <c r="X7847">
        <v>0.91459919999999995</v>
      </c>
      <c r="Y7847">
        <v>0.25679069999999998</v>
      </c>
      <c r="Z7847">
        <v>-8.4834049999999994E-2</v>
      </c>
      <c r="AA7847">
        <v>0.96273660000000005</v>
      </c>
      <c r="AB7847">
        <v>30</v>
      </c>
      <c r="AC7847">
        <v>0.761099999999999</v>
      </c>
      <c r="AD7847">
        <v>-0.16689679999999901</v>
      </c>
      <c r="AE7847">
        <v>5.5099999999981698E-2</v>
      </c>
      <c r="AF7847">
        <v>0.23094569451076699</v>
      </c>
      <c r="AG7847">
        <v>-0.16689679999999901</v>
      </c>
      <c r="AH7847">
        <v>0.69066701851089596</v>
      </c>
      <c r="AI7847">
        <v>102.90776696654601</v>
      </c>
      <c r="AJ7847">
        <v>71.511061422346202</v>
      </c>
      <c r="AK7847">
        <v>0.74713545366421397</v>
      </c>
      <c r="AL7847">
        <v>67.471173839043701</v>
      </c>
      <c r="AM7847">
        <v>81.956248566800795</v>
      </c>
      <c r="AN7847">
        <v>1.0000000045522599</v>
      </c>
    </row>
    <row r="7848" spans="1:40" x14ac:dyDescent="0.25">
      <c r="A7848" t="str">
        <f>"20190304164315032"</f>
        <v>20190304164315032</v>
      </c>
      <c r="B7848" t="str">
        <f>"1551688995028793"</f>
        <v>1551688995028793</v>
      </c>
      <c r="C7848" t="s">
        <v>40</v>
      </c>
      <c r="D7848">
        <v>4.6366719999999999</v>
      </c>
      <c r="E7848">
        <v>0.57186729999999997</v>
      </c>
      <c r="F7848" t="s">
        <v>41</v>
      </c>
      <c r="G7848">
        <v>-173.2782</v>
      </c>
      <c r="H7848">
        <v>0.95565840000000002</v>
      </c>
      <c r="I7848">
        <v>136.30500000000001</v>
      </c>
      <c r="J7848">
        <v>-173.8638</v>
      </c>
      <c r="K7848">
        <v>1.095737</v>
      </c>
      <c r="L7848">
        <v>136.27199999999999</v>
      </c>
      <c r="M7848">
        <v>0.92681959999999997</v>
      </c>
      <c r="N7848">
        <v>-1.714535E-2</v>
      </c>
      <c r="O7848">
        <v>0.37511509999999998</v>
      </c>
      <c r="P7848">
        <v>0.89611830000000003</v>
      </c>
      <c r="Q7848">
        <v>0.37228879999999998</v>
      </c>
      <c r="R7848">
        <v>0.2416053</v>
      </c>
      <c r="S7848">
        <v>3.5040439999999999</v>
      </c>
      <c r="T7848">
        <v>-0.65078000000000003</v>
      </c>
      <c r="U7848">
        <v>0.43312070000000003</v>
      </c>
      <c r="V7848">
        <v>0.1261912</v>
      </c>
      <c r="W7848">
        <v>0.3837198</v>
      </c>
      <c r="X7848">
        <v>0.91478680000000001</v>
      </c>
      <c r="Y7848">
        <v>0.24919659999999999</v>
      </c>
      <c r="Z7848">
        <v>-8.562467E-2</v>
      </c>
      <c r="AA7848">
        <v>0.96466030000000003</v>
      </c>
      <c r="AB7848">
        <v>30</v>
      </c>
      <c r="AC7848">
        <v>0.58559999999999901</v>
      </c>
      <c r="AD7848">
        <v>-0.1400786</v>
      </c>
      <c r="AE7848">
        <v>3.2999999999986998E-2</v>
      </c>
      <c r="AF7848">
        <v>0.17890573554231701</v>
      </c>
      <c r="AG7848">
        <v>-0.1400786</v>
      </c>
      <c r="AH7848">
        <v>0.52524695304950497</v>
      </c>
      <c r="AI7848">
        <v>104.168205556587</v>
      </c>
      <c r="AJ7848">
        <v>71.190509796064703</v>
      </c>
      <c r="AK7848">
        <v>0.57228807263098402</v>
      </c>
      <c r="AL7848">
        <v>67.435713069767203</v>
      </c>
      <c r="AM7848">
        <v>82.145844012730095</v>
      </c>
      <c r="AN7848">
        <v>0.99999999666186001</v>
      </c>
    </row>
    <row r="7849" spans="1:40" x14ac:dyDescent="0.25">
      <c r="A7849" t="str">
        <f>"20190304164315046"</f>
        <v>20190304164315046</v>
      </c>
      <c r="B7849" t="str">
        <f>"1551688995038553"</f>
        <v>1551688995038553</v>
      </c>
      <c r="C7849" t="s">
        <v>40</v>
      </c>
      <c r="D7849">
        <v>4.6317979999999999</v>
      </c>
      <c r="E7849">
        <v>0.57202900000000001</v>
      </c>
      <c r="F7849" t="s">
        <v>41</v>
      </c>
      <c r="G7849">
        <v>-173.01349999999999</v>
      </c>
      <c r="H7849">
        <v>0.94571780000000005</v>
      </c>
      <c r="I7849">
        <v>136.36609999999999</v>
      </c>
      <c r="J7849">
        <v>-173.68260000000001</v>
      </c>
      <c r="K7849">
        <v>1.0957699999999999</v>
      </c>
      <c r="L7849">
        <v>136.33510000000001</v>
      </c>
      <c r="M7849">
        <v>0.93094600000000005</v>
      </c>
      <c r="N7849">
        <v>-1.7138460000000001E-2</v>
      </c>
      <c r="O7849">
        <v>0.36475439999999998</v>
      </c>
      <c r="P7849">
        <v>0.89787950000000005</v>
      </c>
      <c r="Q7849">
        <v>0.37275550000000002</v>
      </c>
      <c r="R7849">
        <v>0.23423440000000001</v>
      </c>
      <c r="S7849">
        <v>3.499695</v>
      </c>
      <c r="T7849">
        <v>-0.61722969999999999</v>
      </c>
      <c r="U7849">
        <v>0.38761899999999999</v>
      </c>
      <c r="V7849">
        <v>0.12340230000000001</v>
      </c>
      <c r="W7849">
        <v>0.38429259999999998</v>
      </c>
      <c r="X7849">
        <v>0.91492680000000004</v>
      </c>
      <c r="Y7849">
        <v>0.25164550000000002</v>
      </c>
      <c r="Z7849">
        <v>-7.9993590000000003E-2</v>
      </c>
      <c r="AA7849">
        <v>0.96450789999999997</v>
      </c>
      <c r="AB7849">
        <v>30</v>
      </c>
      <c r="AC7849">
        <v>0.66910000000001402</v>
      </c>
      <c r="AD7849">
        <v>-0.1500522</v>
      </c>
      <c r="AE7849">
        <v>3.09999999999774E-2</v>
      </c>
      <c r="AF7849">
        <v>0.20494438466683801</v>
      </c>
      <c r="AG7849">
        <v>-0.1500522</v>
      </c>
      <c r="AH7849">
        <v>0.60398568362948202</v>
      </c>
      <c r="AI7849">
        <v>103.23876524341399</v>
      </c>
      <c r="AJ7849">
        <v>71.256901127119505</v>
      </c>
      <c r="AK7849">
        <v>0.65522253438101596</v>
      </c>
      <c r="AL7849">
        <v>67.400168726721006</v>
      </c>
      <c r="AM7849">
        <v>82.318490928676496</v>
      </c>
      <c r="AN7849">
        <v>0.99999998970914505</v>
      </c>
    </row>
    <row r="7850" spans="1:40" x14ac:dyDescent="0.25">
      <c r="A7850" t="str">
        <f>"20190304164315058"</f>
        <v>20190304164315058</v>
      </c>
      <c r="B7850" t="str">
        <f>"1551688995049289"</f>
        <v>1551688995049289</v>
      </c>
      <c r="C7850" t="s">
        <v>40</v>
      </c>
      <c r="D7850">
        <v>4.5517640000000004</v>
      </c>
      <c r="E7850">
        <v>0.57209750000000004</v>
      </c>
      <c r="F7850" t="s">
        <v>41</v>
      </c>
      <c r="G7850">
        <v>-172.7492</v>
      </c>
      <c r="H7850">
        <v>0.93601469999999998</v>
      </c>
      <c r="I7850">
        <v>136.42959999999999</v>
      </c>
      <c r="J7850">
        <v>-173.51499999999999</v>
      </c>
      <c r="K7850">
        <v>1.0958060000000001</v>
      </c>
      <c r="L7850">
        <v>136.3914</v>
      </c>
      <c r="M7850">
        <v>0.93464329999999995</v>
      </c>
      <c r="N7850">
        <v>-1.7131710000000001E-2</v>
      </c>
      <c r="O7850">
        <v>0.35517379999999998</v>
      </c>
      <c r="P7850">
        <v>0.8996904</v>
      </c>
      <c r="Q7850">
        <v>0.3723998</v>
      </c>
      <c r="R7850">
        <v>0.2277624</v>
      </c>
      <c r="S7850">
        <v>3.497147</v>
      </c>
      <c r="T7850">
        <v>-0.59825299999999904</v>
      </c>
      <c r="U7850">
        <v>0.35430909999999999</v>
      </c>
      <c r="V7850">
        <v>0.1205837</v>
      </c>
      <c r="W7850">
        <v>0.38404870000000002</v>
      </c>
      <c r="X7850">
        <v>0.91540489999999997</v>
      </c>
      <c r="Y7850">
        <v>0.25133470000000002</v>
      </c>
      <c r="Z7850">
        <v>-7.6189099999999996E-2</v>
      </c>
      <c r="AA7850">
        <v>0.96489689999999995</v>
      </c>
      <c r="AB7850">
        <v>30</v>
      </c>
      <c r="AC7850">
        <v>0.76579999999998405</v>
      </c>
      <c r="AD7850">
        <v>-0.1597913</v>
      </c>
      <c r="AE7850">
        <v>3.8199999999989097E-2</v>
      </c>
      <c r="AF7850">
        <v>0.22648692932249501</v>
      </c>
      <c r="AG7850">
        <v>-0.1597913</v>
      </c>
      <c r="AH7850">
        <v>0.69906373345811401</v>
      </c>
      <c r="AI7850">
        <v>102.26804777904501</v>
      </c>
      <c r="AJ7850">
        <v>72.048396690624998</v>
      </c>
      <c r="AK7850">
        <v>0.75201043353534602</v>
      </c>
      <c r="AL7850">
        <v>67.415304479624197</v>
      </c>
      <c r="AM7850">
        <v>82.495794326388193</v>
      </c>
      <c r="AN7850">
        <v>0.99999998181069405</v>
      </c>
    </row>
    <row r="7851" spans="1:40" x14ac:dyDescent="0.25">
      <c r="A7851" t="str">
        <f>"20190304164315071"</f>
        <v>20190304164315071</v>
      </c>
      <c r="B7851" t="str">
        <f>"1551688995068810"</f>
        <v>1551688995068810</v>
      </c>
      <c r="C7851" t="s">
        <v>40</v>
      </c>
      <c r="D7851">
        <v>4.7258129999999996</v>
      </c>
      <c r="E7851">
        <v>0.57232119999999997</v>
      </c>
      <c r="F7851" t="s">
        <v>41</v>
      </c>
      <c r="G7851">
        <v>-172.74979999999999</v>
      </c>
      <c r="H7851">
        <v>0.96695609999999999</v>
      </c>
      <c r="I7851">
        <v>136.46289999999999</v>
      </c>
      <c r="J7851">
        <v>-173.352</v>
      </c>
      <c r="K7851">
        <v>1.0958460000000001</v>
      </c>
      <c r="L7851">
        <v>136.44390000000001</v>
      </c>
      <c r="M7851">
        <v>0.93812569999999995</v>
      </c>
      <c r="N7851">
        <v>-1.712383E-2</v>
      </c>
      <c r="O7851">
        <v>0.3458714</v>
      </c>
      <c r="P7851">
        <v>0.90115029999999996</v>
      </c>
      <c r="Q7851">
        <v>0.37110989999999999</v>
      </c>
      <c r="R7851">
        <v>0.22406599999999999</v>
      </c>
      <c r="S7851">
        <v>3.4952549999999998</v>
      </c>
      <c r="T7851">
        <v>-0.58822739999999996</v>
      </c>
      <c r="U7851">
        <v>0.32672119999999999</v>
      </c>
      <c r="V7851">
        <v>0.11531619999999999</v>
      </c>
      <c r="W7851">
        <v>0.3829689</v>
      </c>
      <c r="X7851">
        <v>0.91653530000000005</v>
      </c>
      <c r="Y7851">
        <v>0.24959600000000001</v>
      </c>
      <c r="Z7851">
        <v>-7.3503399999999997E-2</v>
      </c>
      <c r="AA7851">
        <v>0.96555639999999998</v>
      </c>
      <c r="AB7851">
        <v>30</v>
      </c>
      <c r="AC7851">
        <v>0.60220000000000995</v>
      </c>
      <c r="AD7851">
        <v>-0.128889899999999</v>
      </c>
      <c r="AE7851">
        <v>1.8999999999977001E-2</v>
      </c>
      <c r="AF7851">
        <v>0.18215131477584501</v>
      </c>
      <c r="AG7851">
        <v>-0.128889899999999</v>
      </c>
      <c r="AH7851">
        <v>0.54658090056126496</v>
      </c>
      <c r="AI7851">
        <v>102.61030571221799</v>
      </c>
      <c r="AJ7851">
        <v>71.569043756392702</v>
      </c>
      <c r="AK7851">
        <v>0.59037478660164899</v>
      </c>
      <c r="AL7851">
        <v>67.482294692503899</v>
      </c>
      <c r="AM7851">
        <v>82.8288683815437</v>
      </c>
      <c r="AN7851">
        <v>0.99999998024786896</v>
      </c>
    </row>
    <row r="7852" spans="1:40" x14ac:dyDescent="0.25">
      <c r="A7852" t="str">
        <f>"20190304164315083"</f>
        <v>20190304164315083</v>
      </c>
      <c r="B7852" t="str">
        <f>"1551688995079076"</f>
        <v>1551688995079076</v>
      </c>
      <c r="C7852" t="s">
        <v>40</v>
      </c>
      <c r="D7852">
        <v>4.5486409999999999</v>
      </c>
      <c r="E7852">
        <v>0.57224949999999997</v>
      </c>
      <c r="F7852" t="s">
        <v>41</v>
      </c>
      <c r="G7852">
        <v>-172.48830000000001</v>
      </c>
      <c r="H7852">
        <v>0.95301919999999996</v>
      </c>
      <c r="I7852">
        <v>136.52029999999999</v>
      </c>
      <c r="J7852">
        <v>-173.18950000000001</v>
      </c>
      <c r="K7852">
        <v>1.0958859999999999</v>
      </c>
      <c r="L7852">
        <v>136.49510000000001</v>
      </c>
      <c r="M7852">
        <v>0.94149680000000002</v>
      </c>
      <c r="N7852">
        <v>-1.7115660000000001E-2</v>
      </c>
      <c r="O7852">
        <v>0.33658700000000003</v>
      </c>
      <c r="P7852">
        <v>0.90303809999999995</v>
      </c>
      <c r="Q7852">
        <v>0.3703729</v>
      </c>
      <c r="R7852">
        <v>0.21759149999999999</v>
      </c>
      <c r="S7852">
        <v>3.4899900000000001</v>
      </c>
      <c r="T7852">
        <v>-0.57709719999999998</v>
      </c>
      <c r="U7852">
        <v>0.30874629999999997</v>
      </c>
      <c r="V7852">
        <v>0.11286350000000001</v>
      </c>
      <c r="W7852">
        <v>0.38233089999999997</v>
      </c>
      <c r="X7852">
        <v>0.9171068</v>
      </c>
      <c r="Y7852">
        <v>0.24525359999999999</v>
      </c>
      <c r="Z7852">
        <v>-7.0537459999999996E-2</v>
      </c>
      <c r="AA7852">
        <v>0.96688940000000001</v>
      </c>
      <c r="AB7852">
        <v>30</v>
      </c>
      <c r="AC7852">
        <v>0.70120000000000005</v>
      </c>
      <c r="AD7852">
        <v>-0.14286679999999999</v>
      </c>
      <c r="AE7852">
        <v>2.5199999999983898E-2</v>
      </c>
      <c r="AF7852">
        <v>0.20386803480303001</v>
      </c>
      <c r="AG7852">
        <v>-0.14286679999999999</v>
      </c>
      <c r="AH7852">
        <v>0.64213526612313698</v>
      </c>
      <c r="AI7852">
        <v>101.972576184263</v>
      </c>
      <c r="AJ7852">
        <v>72.386160146231802</v>
      </c>
      <c r="AK7852">
        <v>0.68870225653450601</v>
      </c>
      <c r="AL7852">
        <v>67.521860734662098</v>
      </c>
      <c r="AM7852">
        <v>82.984186488035206</v>
      </c>
      <c r="AN7852">
        <v>0.99999998466664897</v>
      </c>
    </row>
    <row r="7853" spans="1:40" x14ac:dyDescent="0.25">
      <c r="A7853" t="str">
        <f>"20190304164315097"</f>
        <v>20190304164315097</v>
      </c>
      <c r="B7853" t="str">
        <f>"1551688995088837"</f>
        <v>1551688995088837</v>
      </c>
      <c r="C7853" t="s">
        <v>40</v>
      </c>
      <c r="D7853">
        <v>4.5514900000000003</v>
      </c>
      <c r="E7853">
        <v>0.57216540000000005</v>
      </c>
      <c r="F7853" t="s">
        <v>41</v>
      </c>
      <c r="G7853">
        <v>-172.22630000000001</v>
      </c>
      <c r="H7853">
        <v>0.93759689999999996</v>
      </c>
      <c r="I7853">
        <v>136.57329999999999</v>
      </c>
      <c r="J7853">
        <v>-173.00489999999999</v>
      </c>
      <c r="K7853">
        <v>1.0959410000000001</v>
      </c>
      <c r="L7853">
        <v>136.5506</v>
      </c>
      <c r="M7853">
        <v>0.94518979999999997</v>
      </c>
      <c r="N7853">
        <v>-1.710414E-2</v>
      </c>
      <c r="O7853">
        <v>0.32607309999999901</v>
      </c>
      <c r="P7853">
        <v>0.90505789999999997</v>
      </c>
      <c r="Q7853">
        <v>0.36966680000000002</v>
      </c>
      <c r="R7853">
        <v>0.21027789999999999</v>
      </c>
      <c r="S7853">
        <v>3.488998</v>
      </c>
      <c r="T7853">
        <v>-0.57326880000000002</v>
      </c>
      <c r="U7853">
        <v>0.28323359999999997</v>
      </c>
      <c r="V7853">
        <v>0.1100618</v>
      </c>
      <c r="W7853">
        <v>0.38173699999999999</v>
      </c>
      <c r="X7853">
        <v>0.91769460000000003</v>
      </c>
      <c r="Y7853">
        <v>0.24169599999999999</v>
      </c>
      <c r="Z7853">
        <v>-6.8355490000000005E-2</v>
      </c>
      <c r="AA7853">
        <v>0.96794139999999995</v>
      </c>
      <c r="AB7853">
        <v>30</v>
      </c>
      <c r="AC7853">
        <v>0.77859999999998297</v>
      </c>
      <c r="AD7853">
        <v>-0.15834409999999999</v>
      </c>
      <c r="AE7853">
        <v>2.2699999999986099E-2</v>
      </c>
      <c r="AF7853">
        <v>0.22323372800261199</v>
      </c>
      <c r="AG7853">
        <v>-0.15834409999999999</v>
      </c>
      <c r="AH7853">
        <v>0.71393260400435998</v>
      </c>
      <c r="AI7853">
        <v>101.95218462871701</v>
      </c>
      <c r="AJ7853">
        <v>72.636486476013005</v>
      </c>
      <c r="AK7853">
        <v>0.76459526181058801</v>
      </c>
      <c r="AL7853">
        <v>67.558683360969695</v>
      </c>
      <c r="AM7853">
        <v>83.161015031001995</v>
      </c>
      <c r="AN7853">
        <v>1.0000000579286901</v>
      </c>
    </row>
    <row r="7854" spans="1:40" x14ac:dyDescent="0.25">
      <c r="A7854" t="str">
        <f>"20190304164315117"</f>
        <v>20190304164315117</v>
      </c>
      <c r="B7854" t="str">
        <f>"1551688995109332"</f>
        <v>1551688995109332</v>
      </c>
      <c r="C7854" t="s">
        <v>40</v>
      </c>
      <c r="D7854">
        <v>4.5346469999999997</v>
      </c>
      <c r="E7854">
        <v>0.57183919999999999</v>
      </c>
      <c r="F7854" t="s">
        <v>41</v>
      </c>
      <c r="G7854">
        <v>-172.22489999999999</v>
      </c>
      <c r="H7854">
        <v>0.96820229999999996</v>
      </c>
      <c r="I7854">
        <v>136.60730000000001</v>
      </c>
      <c r="J7854">
        <v>-172.7602</v>
      </c>
      <c r="K7854">
        <v>1.0960259999999999</v>
      </c>
      <c r="L7854">
        <v>136.6208</v>
      </c>
      <c r="M7854">
        <v>0.94987060000000001</v>
      </c>
      <c r="N7854">
        <v>-1.708519E-2</v>
      </c>
      <c r="O7854">
        <v>0.31217610000000001</v>
      </c>
      <c r="P7854">
        <v>0.90715239999999997</v>
      </c>
      <c r="Q7854">
        <v>0.3688708</v>
      </c>
      <c r="R7854">
        <v>0.20250679999999999</v>
      </c>
      <c r="S7854">
        <v>3.4890750000000001</v>
      </c>
      <c r="T7854">
        <v>-0.57121180000000005</v>
      </c>
      <c r="U7854">
        <v>0.2536774</v>
      </c>
      <c r="V7854">
        <v>0.1044307</v>
      </c>
      <c r="W7854">
        <v>0.3811582</v>
      </c>
      <c r="X7854">
        <v>0.91859279999999999</v>
      </c>
      <c r="Y7854">
        <v>0.2358934</v>
      </c>
      <c r="Z7854">
        <v>-6.5719340000000001E-2</v>
      </c>
      <c r="AA7854">
        <v>0.96955420000000003</v>
      </c>
      <c r="AB7854">
        <v>30</v>
      </c>
      <c r="AC7854">
        <v>0.53530000000000599</v>
      </c>
      <c r="AD7854">
        <v>-0.12782369999999901</v>
      </c>
      <c r="AE7854">
        <v>-1.3499999999993399E-2</v>
      </c>
      <c r="AF7854">
        <v>0.17025556293904301</v>
      </c>
      <c r="AG7854">
        <v>-0.12782369999999901</v>
      </c>
      <c r="AH7854">
        <v>0.47713590929311001</v>
      </c>
      <c r="AI7854">
        <v>104.16105574829299</v>
      </c>
      <c r="AJ7854">
        <v>70.362165008850894</v>
      </c>
      <c r="AK7854">
        <v>0.52247921578790402</v>
      </c>
      <c r="AL7854">
        <v>67.594558210405395</v>
      </c>
      <c r="AM7854">
        <v>83.514145784472106</v>
      </c>
      <c r="AN7854">
        <v>1.0000000383707801</v>
      </c>
    </row>
    <row r="7855" spans="1:40" x14ac:dyDescent="0.25">
      <c r="A7855" t="str">
        <f>"20190304164315129"</f>
        <v>20190304164315129</v>
      </c>
      <c r="B7855" t="str">
        <f>"1551688995119093"</f>
        <v>1551688995119093</v>
      </c>
      <c r="C7855" t="s">
        <v>40</v>
      </c>
      <c r="D7855">
        <v>4.5612170000000001</v>
      </c>
      <c r="E7855">
        <v>0.57169019999999904</v>
      </c>
      <c r="F7855" t="s">
        <v>41</v>
      </c>
      <c r="G7855">
        <v>-171.96209999999999</v>
      </c>
      <c r="H7855">
        <v>0.96630850000000001</v>
      </c>
      <c r="I7855">
        <v>136.67160000000001</v>
      </c>
      <c r="J7855">
        <v>-172.58920000000001</v>
      </c>
      <c r="K7855">
        <v>1.0961000000000001</v>
      </c>
      <c r="L7855">
        <v>136.66759999999999</v>
      </c>
      <c r="M7855">
        <v>0.95299350000000005</v>
      </c>
      <c r="N7855">
        <v>-1.7068880000000002E-2</v>
      </c>
      <c r="O7855">
        <v>0.30250959999999899</v>
      </c>
      <c r="P7855">
        <v>0.90872620000000004</v>
      </c>
      <c r="Q7855">
        <v>0.368616</v>
      </c>
      <c r="R7855">
        <v>0.19580330000000001</v>
      </c>
      <c r="S7855">
        <v>3.4879609999999999</v>
      </c>
      <c r="T7855">
        <v>-0.56690859999999998</v>
      </c>
      <c r="U7855">
        <v>0.22212219999999999</v>
      </c>
      <c r="V7855">
        <v>0.1018197</v>
      </c>
      <c r="W7855">
        <v>0.3810017</v>
      </c>
      <c r="X7855">
        <v>0.91895070000000001</v>
      </c>
      <c r="Y7855">
        <v>0.23493810000000001</v>
      </c>
      <c r="Z7855">
        <v>-6.3861849999999998E-2</v>
      </c>
      <c r="AA7855">
        <v>0.96991019999999994</v>
      </c>
      <c r="AB7855">
        <v>30</v>
      </c>
      <c r="AC7855">
        <v>0.62710000000001198</v>
      </c>
      <c r="AD7855">
        <v>-0.1297915</v>
      </c>
      <c r="AE7855">
        <v>4.0000000000190898E-3</v>
      </c>
      <c r="AF7855">
        <v>0.17828212211118299</v>
      </c>
      <c r="AG7855">
        <v>-0.1297915</v>
      </c>
      <c r="AH7855">
        <v>0.57431844066260596</v>
      </c>
      <c r="AI7855">
        <v>102.179449349842</v>
      </c>
      <c r="AJ7855">
        <v>72.754412570206398</v>
      </c>
      <c r="AK7855">
        <v>0.615200796343636</v>
      </c>
      <c r="AL7855">
        <v>67.604255173129204</v>
      </c>
      <c r="AM7855">
        <v>83.677419139501296</v>
      </c>
      <c r="AN7855">
        <v>0.99999996787073397</v>
      </c>
    </row>
    <row r="7856" spans="1:40" x14ac:dyDescent="0.25">
      <c r="A7856" t="str">
        <f>"20190304164315141"</f>
        <v>20190304164315141</v>
      </c>
      <c r="B7856" t="str">
        <f>"1551688995128852"</f>
        <v>1551688995128852</v>
      </c>
      <c r="C7856" t="s">
        <v>40</v>
      </c>
      <c r="D7856">
        <v>4.5312349999999997</v>
      </c>
      <c r="E7856">
        <v>0.57154259999999901</v>
      </c>
      <c r="F7856" t="s">
        <v>41</v>
      </c>
      <c r="G7856">
        <v>-171.70009999999999</v>
      </c>
      <c r="H7856">
        <v>0.95194179999999995</v>
      </c>
      <c r="I7856">
        <v>136.71770000000001</v>
      </c>
      <c r="J7856">
        <v>-172.4289</v>
      </c>
      <c r="K7856">
        <v>1.0961799999999999</v>
      </c>
      <c r="L7856">
        <v>136.71029999999999</v>
      </c>
      <c r="M7856">
        <v>0.95581910000000003</v>
      </c>
      <c r="N7856">
        <v>-1.705272E-2</v>
      </c>
      <c r="O7856">
        <v>0.29346040000000001</v>
      </c>
      <c r="P7856">
        <v>0.91018589999999999</v>
      </c>
      <c r="Q7856">
        <v>0.36851919999999999</v>
      </c>
      <c r="R7856">
        <v>0.18909049999999999</v>
      </c>
      <c r="S7856">
        <v>3.4880520000000002</v>
      </c>
      <c r="T7856">
        <v>-0.56506420000000002</v>
      </c>
      <c r="U7856">
        <v>0.19718930000000001</v>
      </c>
      <c r="V7856">
        <v>9.9817130000000004E-2</v>
      </c>
      <c r="W7856">
        <v>0.38098009999999999</v>
      </c>
      <c r="X7856">
        <v>0.91917939999999998</v>
      </c>
      <c r="Y7856">
        <v>0.232798</v>
      </c>
      <c r="Z7856">
        <v>-6.2246780000000002E-2</v>
      </c>
      <c r="AA7856">
        <v>0.97053100000000003</v>
      </c>
      <c r="AB7856">
        <v>30</v>
      </c>
      <c r="AC7856">
        <v>0.728800000000006</v>
      </c>
      <c r="AD7856">
        <v>-0.14423819999999901</v>
      </c>
      <c r="AE7856">
        <v>7.40000000001828E-3</v>
      </c>
      <c r="AF7856">
        <v>0.19903570724924299</v>
      </c>
      <c r="AG7856">
        <v>-0.14423819999999901</v>
      </c>
      <c r="AH7856">
        <v>0.67253433985000899</v>
      </c>
      <c r="AI7856">
        <v>101.62100188927</v>
      </c>
      <c r="AJ7856">
        <v>73.513945403360694</v>
      </c>
      <c r="AK7856">
        <v>0.71604630393357505</v>
      </c>
      <c r="AL7856">
        <v>67.605595247399904</v>
      </c>
      <c r="AM7856">
        <v>83.802323041206506</v>
      </c>
      <c r="AN7856">
        <v>1.0000000327109</v>
      </c>
    </row>
    <row r="7857" spans="1:40" x14ac:dyDescent="0.25">
      <c r="A7857" t="str">
        <f>"20190304164315156"</f>
        <v>20190304164315156</v>
      </c>
      <c r="B7857" t="str">
        <f>"1551688995149348"</f>
        <v>1551688995149348</v>
      </c>
      <c r="C7857" t="s">
        <v>40</v>
      </c>
      <c r="D7857">
        <v>4.5838869999999998</v>
      </c>
      <c r="E7857">
        <v>0.57119980000000004</v>
      </c>
      <c r="F7857" t="s">
        <v>41</v>
      </c>
      <c r="G7857">
        <v>-171.69710000000001</v>
      </c>
      <c r="H7857">
        <v>0.97784009999999999</v>
      </c>
      <c r="I7857">
        <v>136.7467</v>
      </c>
      <c r="J7857">
        <v>-172.23910000000001</v>
      </c>
      <c r="K7857">
        <v>1.096287</v>
      </c>
      <c r="L7857">
        <v>136.7578</v>
      </c>
      <c r="M7857">
        <v>0.95901400000000003</v>
      </c>
      <c r="N7857">
        <v>-1.702706E-2</v>
      </c>
      <c r="O7857">
        <v>0.28284680000000001</v>
      </c>
      <c r="P7857">
        <v>0.9118657</v>
      </c>
      <c r="Q7857">
        <v>0.36854979999999998</v>
      </c>
      <c r="R7857">
        <v>0.1807541</v>
      </c>
      <c r="S7857">
        <v>3.4880520000000002</v>
      </c>
      <c r="T7857">
        <v>-0.56351219999999902</v>
      </c>
      <c r="U7857">
        <v>0.1739349</v>
      </c>
      <c r="V7857">
        <v>9.7925929999999994E-2</v>
      </c>
      <c r="W7857">
        <v>0.38107750000000001</v>
      </c>
      <c r="X7857">
        <v>0.9193424</v>
      </c>
      <c r="Y7857">
        <v>0.2286715</v>
      </c>
      <c r="Z7857">
        <v>-6.0277379999999998E-2</v>
      </c>
      <c r="AA7857">
        <v>0.97163569999999999</v>
      </c>
      <c r="AB7857">
        <v>30</v>
      </c>
      <c r="AC7857">
        <v>0.54200000000000104</v>
      </c>
      <c r="AD7857">
        <v>-0.11844689999999999</v>
      </c>
      <c r="AE7857">
        <v>-1.1099999999999E-2</v>
      </c>
      <c r="AF7857">
        <v>0.15650071132783799</v>
      </c>
      <c r="AG7857">
        <v>-0.11844689999999999</v>
      </c>
      <c r="AH7857">
        <v>0.49317743645136503</v>
      </c>
      <c r="AI7857">
        <v>102.89404984753401</v>
      </c>
      <c r="AJ7857">
        <v>72.394129939492402</v>
      </c>
      <c r="AK7857">
        <v>0.53079763054338303</v>
      </c>
      <c r="AL7857">
        <v>67.599558500981104</v>
      </c>
      <c r="AM7857">
        <v>83.919930098501197</v>
      </c>
      <c r="AN7857">
        <v>0.99999999860518696</v>
      </c>
    </row>
    <row r="7858" spans="1:40" x14ac:dyDescent="0.25">
      <c r="A7858" t="str">
        <f>"20190304164315170"</f>
        <v>20190304164315170</v>
      </c>
      <c r="B7858" t="str">
        <f>"1551688995159108"</f>
        <v>1551688995159108</v>
      </c>
      <c r="C7858" t="s">
        <v>40</v>
      </c>
      <c r="D7858">
        <v>4.5642440000000004</v>
      </c>
      <c r="E7858">
        <v>0.57103780000000004</v>
      </c>
      <c r="F7858" t="s">
        <v>41</v>
      </c>
      <c r="G7858">
        <v>-171.434</v>
      </c>
      <c r="H7858">
        <v>0.96708269999999996</v>
      </c>
      <c r="I7858">
        <v>136.7919</v>
      </c>
      <c r="J7858">
        <v>-172.0403</v>
      </c>
      <c r="K7858">
        <v>1.0964149999999999</v>
      </c>
      <c r="L7858">
        <v>136.8056</v>
      </c>
      <c r="M7858">
        <v>0.96220249999999996</v>
      </c>
      <c r="N7858">
        <v>-1.6996279999999999E-2</v>
      </c>
      <c r="O7858">
        <v>0.2718044</v>
      </c>
      <c r="P7858">
        <v>0.91353220000000002</v>
      </c>
      <c r="Q7858">
        <v>0.36854870000000001</v>
      </c>
      <c r="R7858">
        <v>0.17213609999999999</v>
      </c>
      <c r="S7858">
        <v>3.4868320000000002</v>
      </c>
      <c r="T7858">
        <v>-0.55946640000000003</v>
      </c>
      <c r="U7858">
        <v>0.1475525</v>
      </c>
      <c r="V7858">
        <v>9.5907969999999995E-2</v>
      </c>
      <c r="W7858">
        <v>0.38114720000000002</v>
      </c>
      <c r="X7858">
        <v>0.91952619999999896</v>
      </c>
      <c r="Y7858">
        <v>0.22504830000000001</v>
      </c>
      <c r="Z7858">
        <v>-5.8051760000000001E-2</v>
      </c>
      <c r="AA7858">
        <v>0.9726167</v>
      </c>
      <c r="AB7858">
        <v>30</v>
      </c>
      <c r="AC7858">
        <v>0.60629999999997597</v>
      </c>
      <c r="AD7858">
        <v>-0.12933229999999901</v>
      </c>
      <c r="AE7858">
        <v>-1.37E-2</v>
      </c>
      <c r="AF7858">
        <v>0.17025953485120399</v>
      </c>
      <c r="AG7858">
        <v>-0.12933229999999901</v>
      </c>
      <c r="AH7858">
        <v>0.55452380029798998</v>
      </c>
      <c r="AI7858">
        <v>102.56900582342899</v>
      </c>
      <c r="AJ7858">
        <v>72.9315565552115</v>
      </c>
      <c r="AK7858">
        <v>0.59431624420670504</v>
      </c>
      <c r="AL7858">
        <v>67.595238537686996</v>
      </c>
      <c r="AM7858">
        <v>84.0454941010222</v>
      </c>
      <c r="AN7858">
        <v>0.99999997963190002</v>
      </c>
    </row>
    <row r="7859" spans="1:40" x14ac:dyDescent="0.25">
      <c r="A7859" t="str">
        <f>"20190304164315185"</f>
        <v>20190304164315185</v>
      </c>
      <c r="B7859" t="str">
        <f>"1551688995179136"</f>
        <v>1551688995179136</v>
      </c>
      <c r="C7859" t="s">
        <v>40</v>
      </c>
      <c r="D7859">
        <v>4.6233250000000004</v>
      </c>
      <c r="E7859">
        <v>0.57059919999999997</v>
      </c>
      <c r="F7859" t="s">
        <v>41</v>
      </c>
      <c r="G7859">
        <v>-171.17080000000001</v>
      </c>
      <c r="H7859">
        <v>0.95727189999999995</v>
      </c>
      <c r="I7859">
        <v>136.8348</v>
      </c>
      <c r="J7859">
        <v>-171.8501</v>
      </c>
      <c r="K7859">
        <v>1.096562</v>
      </c>
      <c r="L7859">
        <v>136.84950000000001</v>
      </c>
      <c r="M7859">
        <v>0.96510300000000004</v>
      </c>
      <c r="N7859">
        <v>-1.696313E-2</v>
      </c>
      <c r="O7859">
        <v>0.26132060000000001</v>
      </c>
      <c r="P7859">
        <v>0.91453700000000004</v>
      </c>
      <c r="Q7859">
        <v>0.36814989999999997</v>
      </c>
      <c r="R7859">
        <v>0.16759350000000001</v>
      </c>
      <c r="S7859">
        <v>3.486755</v>
      </c>
      <c r="T7859">
        <v>-0.55757690000000004</v>
      </c>
      <c r="U7859">
        <v>0.11756900000000001</v>
      </c>
      <c r="V7859">
        <v>9.0339219999999998E-2</v>
      </c>
      <c r="W7859">
        <v>0.38094660000000002</v>
      </c>
      <c r="X7859">
        <v>0.92017309999999997</v>
      </c>
      <c r="Y7859">
        <v>0.22297510000000001</v>
      </c>
      <c r="Z7859">
        <v>-5.6263500000000001E-2</v>
      </c>
      <c r="AA7859">
        <v>0.97319909999999998</v>
      </c>
      <c r="AB7859">
        <v>30</v>
      </c>
      <c r="AC7859">
        <v>0.67929999999998303</v>
      </c>
      <c r="AD7859">
        <v>-0.139290099999999</v>
      </c>
      <c r="AE7859">
        <v>-1.47000000000048E-2</v>
      </c>
      <c r="AF7859">
        <v>0.18399709541527001</v>
      </c>
      <c r="AG7859">
        <v>-0.139290099999999</v>
      </c>
      <c r="AH7859">
        <v>0.62555741702380097</v>
      </c>
      <c r="AI7859">
        <v>102.058107534049</v>
      </c>
      <c r="AJ7859">
        <v>73.609648725841694</v>
      </c>
      <c r="AK7859">
        <v>0.66676738452983397</v>
      </c>
      <c r="AL7859">
        <v>67.607670675461904</v>
      </c>
      <c r="AM7859">
        <v>84.392879358770202</v>
      </c>
      <c r="AN7859">
        <v>1.00000001034268</v>
      </c>
    </row>
    <row r="7860" spans="1:40" x14ac:dyDescent="0.25">
      <c r="A7860" t="str">
        <f>"20190304164315206"</f>
        <v>20190304164315206</v>
      </c>
      <c r="B7860" t="str">
        <f>"1551688995198655"</f>
        <v>1551688995198655</v>
      </c>
      <c r="C7860" t="s">
        <v>40</v>
      </c>
      <c r="D7860">
        <v>4.6405640000000004</v>
      </c>
      <c r="E7860">
        <v>0.57015380000000004</v>
      </c>
      <c r="F7860" t="s">
        <v>41</v>
      </c>
      <c r="G7860">
        <v>-170.90870000000001</v>
      </c>
      <c r="H7860">
        <v>0.94702410000000004</v>
      </c>
      <c r="I7860">
        <v>136.87739999999999</v>
      </c>
      <c r="J7860">
        <v>-171.57409999999999</v>
      </c>
      <c r="K7860">
        <v>1.0967910000000001</v>
      </c>
      <c r="L7860">
        <v>136.90899999999999</v>
      </c>
      <c r="M7860">
        <v>0.96904069999999998</v>
      </c>
      <c r="N7860">
        <v>-1.6904619999999999E-2</v>
      </c>
      <c r="O7860">
        <v>0.24632190000000001</v>
      </c>
      <c r="P7860">
        <v>0.91589750000000003</v>
      </c>
      <c r="Q7860">
        <v>0.36844900000000003</v>
      </c>
      <c r="R7860">
        <v>0.15930139999999901</v>
      </c>
      <c r="S7860">
        <v>3.4842680000000001</v>
      </c>
      <c r="T7860">
        <v>-0.5535274</v>
      </c>
      <c r="U7860">
        <v>0.1031799</v>
      </c>
      <c r="V7860">
        <v>8.4131960000000006E-2</v>
      </c>
      <c r="W7860">
        <v>0.38145010000000001</v>
      </c>
      <c r="X7860">
        <v>0.92055290000000001</v>
      </c>
      <c r="Y7860">
        <v>0.21221480000000001</v>
      </c>
      <c r="Z7860">
        <v>-5.2916600000000001E-2</v>
      </c>
      <c r="AA7860">
        <v>0.97578920000000002</v>
      </c>
      <c r="AB7860">
        <v>30</v>
      </c>
      <c r="AC7860">
        <v>0.66539999999997601</v>
      </c>
      <c r="AD7860">
        <v>-0.14976690000000001</v>
      </c>
      <c r="AE7860">
        <v>-3.1599999999997401E-2</v>
      </c>
      <c r="AF7860">
        <v>0.18519136401669201</v>
      </c>
      <c r="AG7860">
        <v>-0.14976690000000001</v>
      </c>
      <c r="AH7860">
        <v>0.606453066977241</v>
      </c>
      <c r="AI7860">
        <v>103.28907306935299</v>
      </c>
      <c r="AJ7860">
        <v>73.019005400271098</v>
      </c>
      <c r="AK7860">
        <v>0.65154530777841901</v>
      </c>
      <c r="AL7860">
        <v>67.5764659349921</v>
      </c>
      <c r="AM7860">
        <v>84.778081705110097</v>
      </c>
      <c r="AN7860">
        <v>1.00000000359093</v>
      </c>
    </row>
    <row r="7861" spans="1:40" x14ac:dyDescent="0.25">
      <c r="A7861" t="str">
        <f>"20190304164315221"</f>
        <v>20190304164315221</v>
      </c>
      <c r="B7861" t="str">
        <f>"1551688995208415"</f>
        <v>1551688995208415</v>
      </c>
      <c r="C7861" t="s">
        <v>40</v>
      </c>
      <c r="D7861">
        <v>4.5955969999999997</v>
      </c>
      <c r="E7861">
        <v>0.56992659999999995</v>
      </c>
      <c r="F7861" t="s">
        <v>41</v>
      </c>
      <c r="G7861">
        <v>-170.64330000000001</v>
      </c>
      <c r="H7861">
        <v>0.95066399999999995</v>
      </c>
      <c r="I7861">
        <v>136.92840000000001</v>
      </c>
      <c r="J7861">
        <v>-171.37299999999999</v>
      </c>
      <c r="K7861">
        <v>1.096976</v>
      </c>
      <c r="L7861">
        <v>136.94999999999999</v>
      </c>
      <c r="M7861">
        <v>0.9717209</v>
      </c>
      <c r="N7861">
        <v>-1.6857509999999999E-2</v>
      </c>
      <c r="O7861">
        <v>0.2355305</v>
      </c>
      <c r="P7861">
        <v>0.91716620000000004</v>
      </c>
      <c r="Q7861">
        <v>0.3686432</v>
      </c>
      <c r="R7861">
        <v>0.151356399999999</v>
      </c>
      <c r="S7861">
        <v>3.4825590000000002</v>
      </c>
      <c r="T7861">
        <v>-0.54620469999999999</v>
      </c>
      <c r="U7861">
        <v>7.2814939999999995E-2</v>
      </c>
      <c r="V7861">
        <v>8.1676960000000007E-2</v>
      </c>
      <c r="W7861">
        <v>0.38171579999999999</v>
      </c>
      <c r="X7861">
        <v>0.92066380000000003</v>
      </c>
      <c r="Y7861">
        <v>0.2101094</v>
      </c>
      <c r="Z7861">
        <v>-5.0604940000000001E-2</v>
      </c>
      <c r="AA7861">
        <v>0.9763674</v>
      </c>
      <c r="AB7861">
        <v>30</v>
      </c>
      <c r="AC7861">
        <v>0.72969999999997903</v>
      </c>
      <c r="AD7861">
        <v>-0.146312</v>
      </c>
      <c r="AE7861">
        <v>-2.1599999999978001E-2</v>
      </c>
      <c r="AF7861">
        <v>0.185434443854158</v>
      </c>
      <c r="AG7861">
        <v>-0.146312</v>
      </c>
      <c r="AH7861">
        <v>0.67688734864483202</v>
      </c>
      <c r="AI7861">
        <v>101.775944857266</v>
      </c>
      <c r="AJ7861">
        <v>74.679603636722206</v>
      </c>
      <c r="AK7861">
        <v>0.71691674346951295</v>
      </c>
      <c r="AL7861">
        <v>67.5599951168508</v>
      </c>
      <c r="AM7861">
        <v>84.930260554822794</v>
      </c>
      <c r="AN7861">
        <v>0.99999995519745899</v>
      </c>
    </row>
    <row r="7862" spans="1:40" x14ac:dyDescent="0.25">
      <c r="A7862" t="str">
        <f>"20190304164315233"</f>
        <v>20190304164315233</v>
      </c>
      <c r="B7862" t="str">
        <f>"1551688995228911"</f>
        <v>1551688995228911</v>
      </c>
      <c r="C7862" t="s">
        <v>40</v>
      </c>
      <c r="D7862">
        <v>4.6404430000000003</v>
      </c>
      <c r="E7862">
        <v>0.569353199999999</v>
      </c>
      <c r="F7862" t="s">
        <v>41</v>
      </c>
      <c r="G7862">
        <v>-170.63659999999999</v>
      </c>
      <c r="H7862">
        <v>0.98182979999999997</v>
      </c>
      <c r="I7862">
        <v>136.95949999999999</v>
      </c>
      <c r="J7862">
        <v>-171.20920000000001</v>
      </c>
      <c r="K7862">
        <v>1.0971340000000001</v>
      </c>
      <c r="L7862">
        <v>136.9811</v>
      </c>
      <c r="M7862">
        <v>0.97377409999999998</v>
      </c>
      <c r="N7862">
        <v>-1.6814429999999998E-2</v>
      </c>
      <c r="O7862">
        <v>0.22689509999999999</v>
      </c>
      <c r="P7862">
        <v>0.91796639999999996</v>
      </c>
      <c r="Q7862">
        <v>0.36908180000000002</v>
      </c>
      <c r="R7862">
        <v>0.14531440000000001</v>
      </c>
      <c r="S7862">
        <v>3.4820250000000001</v>
      </c>
      <c r="T7862">
        <v>-0.54376709999999995</v>
      </c>
      <c r="U7862">
        <v>4.534912E-2</v>
      </c>
      <c r="V7862">
        <v>7.9377580000000003E-2</v>
      </c>
      <c r="W7862">
        <v>0.38221690000000003</v>
      </c>
      <c r="X7862">
        <v>0.92065710000000001</v>
      </c>
      <c r="Y7862">
        <v>0.2092675</v>
      </c>
      <c r="Z7862">
        <v>-4.916189E-2</v>
      </c>
      <c r="AA7862">
        <v>0.97662179999999998</v>
      </c>
      <c r="AB7862">
        <v>30</v>
      </c>
      <c r="AC7862">
        <v>0.57260000000002198</v>
      </c>
      <c r="AD7862">
        <v>-0.115304199999999</v>
      </c>
      <c r="AE7862">
        <v>-2.1600000000006499E-2</v>
      </c>
      <c r="AF7862">
        <v>0.145099606509727</v>
      </c>
      <c r="AG7862">
        <v>-0.115304199999999</v>
      </c>
      <c r="AH7862">
        <v>0.531248862968144</v>
      </c>
      <c r="AI7862">
        <v>101.825449775875</v>
      </c>
      <c r="AJ7862">
        <v>74.723446077966898</v>
      </c>
      <c r="AK7862">
        <v>0.562649365725994</v>
      </c>
      <c r="AL7862">
        <v>67.528930330043806</v>
      </c>
      <c r="AM7862">
        <v>85.072235946389</v>
      </c>
      <c r="AN7862">
        <v>1.0000000273163301</v>
      </c>
    </row>
    <row r="7863" spans="1:40" x14ac:dyDescent="0.25">
      <c r="A7863" t="str">
        <f>"20190304164315247"</f>
        <v>20190304164315247</v>
      </c>
      <c r="B7863" t="str">
        <f>"1551688995238671"</f>
        <v>1551688995238671</v>
      </c>
      <c r="C7863" t="s">
        <v>40</v>
      </c>
      <c r="D7863">
        <v>4.772494</v>
      </c>
      <c r="E7863">
        <v>0.56917039999999997</v>
      </c>
      <c r="F7863" t="s">
        <v>41</v>
      </c>
      <c r="G7863">
        <v>-170.37440000000001</v>
      </c>
      <c r="H7863">
        <v>0.96736109999999997</v>
      </c>
      <c r="I7863">
        <v>136.98830000000001</v>
      </c>
      <c r="J7863">
        <v>-171.02789999999999</v>
      </c>
      <c r="K7863">
        <v>1.097321</v>
      </c>
      <c r="L7863">
        <v>137.0145</v>
      </c>
      <c r="M7863">
        <v>0.97593280000000004</v>
      </c>
      <c r="N7863">
        <v>-1.6766E-2</v>
      </c>
      <c r="O7863">
        <v>0.2174256</v>
      </c>
      <c r="P7863">
        <v>0.91874880000000003</v>
      </c>
      <c r="Q7863">
        <v>0.36885410000000002</v>
      </c>
      <c r="R7863">
        <v>0.14087939999999999</v>
      </c>
      <c r="S7863">
        <v>3.4808650000000001</v>
      </c>
      <c r="T7863">
        <v>-0.5410488</v>
      </c>
      <c r="U7863">
        <v>3.015137E-2</v>
      </c>
      <c r="V7863">
        <v>7.4687820000000002E-2</v>
      </c>
      <c r="W7863">
        <v>0.38213350000000001</v>
      </c>
      <c r="X7863">
        <v>0.92108400000000001</v>
      </c>
      <c r="Y7863">
        <v>0.20423330000000001</v>
      </c>
      <c r="Z7863">
        <v>-4.7232860000000002E-2</v>
      </c>
      <c r="AA7863">
        <v>0.97778209999999999</v>
      </c>
      <c r="AB7863">
        <v>30</v>
      </c>
      <c r="AC7863">
        <v>0.65349999999997899</v>
      </c>
      <c r="AD7863">
        <v>-0.12995989999999999</v>
      </c>
      <c r="AE7863">
        <v>-2.61999999999886E-2</v>
      </c>
      <c r="AF7863">
        <v>0.16131130684015599</v>
      </c>
      <c r="AG7863">
        <v>-0.12995989999999999</v>
      </c>
      <c r="AH7863">
        <v>0.60815169355290999</v>
      </c>
      <c r="AI7863">
        <v>101.67053534029201</v>
      </c>
      <c r="AJ7863">
        <v>75.144471568517503</v>
      </c>
      <c r="AK7863">
        <v>0.64246353647017296</v>
      </c>
      <c r="AL7863">
        <v>67.534100887182902</v>
      </c>
      <c r="AM7863">
        <v>85.364206970350807</v>
      </c>
      <c r="AN7863">
        <v>1.0000000086673</v>
      </c>
    </row>
    <row r="7864" spans="1:40" x14ac:dyDescent="0.25">
      <c r="A7864" t="str">
        <f>"20190304164315261"</f>
        <v>20190304164315261</v>
      </c>
      <c r="B7864" t="str">
        <f>"1551688995248431"</f>
        <v>1551688995248431</v>
      </c>
      <c r="C7864" t="s">
        <v>40</v>
      </c>
      <c r="D7864">
        <v>4.6192960000000003</v>
      </c>
      <c r="E7864">
        <v>0.56917039999999997</v>
      </c>
      <c r="F7864" t="s">
        <v>41</v>
      </c>
      <c r="G7864">
        <v>-170.11250000000001</v>
      </c>
      <c r="H7864">
        <v>0.95539940000000001</v>
      </c>
      <c r="I7864">
        <v>137.01900000000001</v>
      </c>
      <c r="J7864">
        <v>-170.83869999999999</v>
      </c>
      <c r="K7864">
        <v>1.097532</v>
      </c>
      <c r="L7864">
        <v>137.04769999999999</v>
      </c>
      <c r="M7864">
        <v>0.97805019999999998</v>
      </c>
      <c r="N7864">
        <v>-1.6713249999999999E-2</v>
      </c>
      <c r="O7864">
        <v>0.2076983</v>
      </c>
      <c r="P7864">
        <v>0.91987160000000001</v>
      </c>
      <c r="Q7864">
        <v>0.36754589999999998</v>
      </c>
      <c r="R7864">
        <v>0.1369177</v>
      </c>
      <c r="S7864">
        <v>3.4789279999999998</v>
      </c>
      <c r="T7864">
        <v>-0.53886009999999995</v>
      </c>
      <c r="U7864">
        <v>1.7639160000000001E-2</v>
      </c>
      <c r="V7864">
        <v>6.9318099999999994E-2</v>
      </c>
      <c r="W7864">
        <v>0.38099460000000002</v>
      </c>
      <c r="X7864">
        <v>0.92197510000000005</v>
      </c>
      <c r="Y7864">
        <v>0.19820399999999999</v>
      </c>
      <c r="Z7864">
        <v>-4.5252180000000003E-2</v>
      </c>
      <c r="AA7864">
        <v>0.97911559999999997</v>
      </c>
      <c r="AB7864">
        <v>30</v>
      </c>
      <c r="AC7864">
        <v>0.72619999999997698</v>
      </c>
      <c r="AD7864">
        <v>-0.142132599999999</v>
      </c>
      <c r="AE7864">
        <v>-2.86999999999864E-2</v>
      </c>
      <c r="AF7864">
        <v>0.17233426327810999</v>
      </c>
      <c r="AG7864">
        <v>-0.142132599999999</v>
      </c>
      <c r="AH7864">
        <v>0.67844884502535296</v>
      </c>
      <c r="AI7864">
        <v>101.477767688556</v>
      </c>
      <c r="AJ7864">
        <v>75.747603591173402</v>
      </c>
      <c r="AK7864">
        <v>0.71427838382426601</v>
      </c>
      <c r="AL7864">
        <v>67.604695554156194</v>
      </c>
      <c r="AM7864">
        <v>85.700343334437605</v>
      </c>
      <c r="AN7864">
        <v>0.99999998461838902</v>
      </c>
    </row>
    <row r="7865" spans="1:40" x14ac:dyDescent="0.25">
      <c r="A7865" t="str">
        <f>"20190304164315278"</f>
        <v>20190304164315278</v>
      </c>
      <c r="B7865" t="str">
        <f>"1551688995268927"</f>
        <v>1551688995268927</v>
      </c>
      <c r="C7865" t="s">
        <v>40</v>
      </c>
      <c r="D7865">
        <v>4.5700430000000001</v>
      </c>
      <c r="E7865">
        <v>0.56419359999999996</v>
      </c>
      <c r="F7865" t="s">
        <v>41</v>
      </c>
      <c r="G7865">
        <v>-170.1061</v>
      </c>
      <c r="H7865">
        <v>0.98285979999999995</v>
      </c>
      <c r="I7865">
        <v>137.04810000000001</v>
      </c>
      <c r="J7865">
        <v>-170.61099999999999</v>
      </c>
      <c r="K7865">
        <v>1.09782</v>
      </c>
      <c r="L7865">
        <v>137.0847</v>
      </c>
      <c r="M7865">
        <v>0.98040289999999997</v>
      </c>
      <c r="N7865">
        <v>-1.6639379999999999E-2</v>
      </c>
      <c r="O7865">
        <v>0.1962988</v>
      </c>
      <c r="P7865">
        <v>0.9212785</v>
      </c>
      <c r="Q7865">
        <v>0.36666880000000002</v>
      </c>
      <c r="R7865">
        <v>0.1296156</v>
      </c>
      <c r="S7865">
        <v>3.4782259999999998</v>
      </c>
      <c r="T7865">
        <v>-0.54382529999999996</v>
      </c>
      <c r="U7865">
        <v>2.7160639999999998E-3</v>
      </c>
      <c r="V7865">
        <v>6.564876E-2</v>
      </c>
      <c r="W7865">
        <v>0.38021290000000002</v>
      </c>
      <c r="X7865">
        <v>0.9225662</v>
      </c>
      <c r="Y7865">
        <v>0.19111030000000001</v>
      </c>
      <c r="Z7865">
        <v>-4.3540629999999997E-2</v>
      </c>
      <c r="AA7865">
        <v>0.98060239999999999</v>
      </c>
      <c r="AB7865">
        <v>30</v>
      </c>
      <c r="AC7865">
        <v>0.50489999999999202</v>
      </c>
      <c r="AD7865">
        <v>-0.1149602</v>
      </c>
      <c r="AE7865">
        <v>-3.6599999999992798E-2</v>
      </c>
      <c r="AF7865">
        <v>0.128391394232449</v>
      </c>
      <c r="AG7865">
        <v>-0.1149602</v>
      </c>
      <c r="AH7865">
        <v>0.46396135533788302</v>
      </c>
      <c r="AI7865">
        <v>103.430958016879</v>
      </c>
      <c r="AJ7865">
        <v>74.531709370859701</v>
      </c>
      <c r="AK7865">
        <v>0.494934679471905</v>
      </c>
      <c r="AL7865">
        <v>67.653129233630096</v>
      </c>
      <c r="AM7865">
        <v>85.929758339937706</v>
      </c>
      <c r="AN7865">
        <v>1.0000000011991901</v>
      </c>
    </row>
    <row r="7866" spans="1:40" x14ac:dyDescent="0.25">
      <c r="A7866" t="str">
        <f>"20190304164315295"</f>
        <v>20190304164315295</v>
      </c>
      <c r="B7866" t="str">
        <f>"1551688995288955"</f>
        <v>1551688995288955</v>
      </c>
      <c r="C7866" t="s">
        <v>40</v>
      </c>
      <c r="D7866">
        <v>4.5874680000000003</v>
      </c>
      <c r="E7866">
        <v>0.56414600000000004</v>
      </c>
      <c r="F7866" t="s">
        <v>41</v>
      </c>
      <c r="G7866">
        <v>-169.83580000000001</v>
      </c>
      <c r="H7866">
        <v>0.99249719999999997</v>
      </c>
      <c r="I7866">
        <v>137.08590000000001</v>
      </c>
      <c r="J7866">
        <v>-170.38239999999999</v>
      </c>
      <c r="K7866">
        <v>1.098133</v>
      </c>
      <c r="L7866">
        <v>137.11940000000001</v>
      </c>
      <c r="M7866">
        <v>0.9825701</v>
      </c>
      <c r="N7866">
        <v>-1.655854E-2</v>
      </c>
      <c r="O7866">
        <v>0.18515409999999999</v>
      </c>
      <c r="P7866">
        <v>0.92225710000000005</v>
      </c>
      <c r="Q7866">
        <v>0.36554690000000001</v>
      </c>
      <c r="R7866">
        <v>0.12576769999999901</v>
      </c>
      <c r="S7866">
        <v>3.441589</v>
      </c>
      <c r="T7866">
        <v>-0.46741060000000001</v>
      </c>
      <c r="U7866">
        <v>5.5847170000000003E-3</v>
      </c>
      <c r="V7866">
        <v>5.8732310000000003E-2</v>
      </c>
      <c r="W7866">
        <v>0.37928119999999999</v>
      </c>
      <c r="X7866">
        <v>0.92341549999999994</v>
      </c>
      <c r="Y7866">
        <v>0.1804308</v>
      </c>
      <c r="Z7866">
        <v>-3.5551430000000002E-2</v>
      </c>
      <c r="AA7866">
        <v>0.98294499999999996</v>
      </c>
      <c r="AB7866">
        <v>30</v>
      </c>
      <c r="AC7866">
        <v>0.54659999999998299</v>
      </c>
      <c r="AD7866">
        <v>-0.1056358</v>
      </c>
      <c r="AE7866">
        <v>-3.3500000000003603E-2</v>
      </c>
      <c r="AF7866">
        <v>0.129327483828761</v>
      </c>
      <c r="AG7866">
        <v>-0.1056358</v>
      </c>
      <c r="AH7866">
        <v>0.51189547254500301</v>
      </c>
      <c r="AI7866">
        <v>101.314091426061</v>
      </c>
      <c r="AJ7866">
        <v>75.821249347785098</v>
      </c>
      <c r="AK7866">
        <v>0.53844358583531304</v>
      </c>
      <c r="AL7866">
        <v>67.7108331673832</v>
      </c>
      <c r="AM7866">
        <v>86.360699230130294</v>
      </c>
      <c r="AN7866">
        <v>0.99999994927581104</v>
      </c>
    </row>
    <row r="7867" spans="1:40" x14ac:dyDescent="0.25">
      <c r="A7867" t="str">
        <f>"20190304164315311"</f>
        <v>20190304164315311</v>
      </c>
      <c r="B7867" t="str">
        <f>"1551688995309452"</f>
        <v>1551688995309452</v>
      </c>
      <c r="C7867" t="s">
        <v>40</v>
      </c>
      <c r="D7867">
        <v>4.5910299999999999</v>
      </c>
      <c r="E7867">
        <v>0.5634477</v>
      </c>
      <c r="F7867" t="s">
        <v>41</v>
      </c>
      <c r="G7867">
        <v>-169.57089999999999</v>
      </c>
      <c r="H7867">
        <v>0.98905659999999895</v>
      </c>
      <c r="I7867">
        <v>137.11580000000001</v>
      </c>
      <c r="J7867">
        <v>-170.17169999999999</v>
      </c>
      <c r="K7867">
        <v>1.098449</v>
      </c>
      <c r="L7867">
        <v>137.14940000000001</v>
      </c>
      <c r="M7867">
        <v>0.98440159999999999</v>
      </c>
      <c r="N7867">
        <v>-1.647947E-2</v>
      </c>
      <c r="O7867">
        <v>0.17516289999999901</v>
      </c>
      <c r="P7867">
        <v>0.92327159999999997</v>
      </c>
      <c r="Q7867">
        <v>0.3654462</v>
      </c>
      <c r="R7867">
        <v>0.1184016</v>
      </c>
      <c r="S7867">
        <v>3.4380039999999998</v>
      </c>
      <c r="T7867">
        <v>-0.46184989999999998</v>
      </c>
      <c r="U7867">
        <v>-1.5075679999999999E-2</v>
      </c>
      <c r="V7867">
        <v>5.6420270000000002E-2</v>
      </c>
      <c r="W7867">
        <v>0.37921460000000001</v>
      </c>
      <c r="X7867">
        <v>0.92358709999999999</v>
      </c>
      <c r="Y7867">
        <v>0.1765225</v>
      </c>
      <c r="Z7867">
        <v>-3.3715200000000001E-2</v>
      </c>
      <c r="AA7867">
        <v>0.98371900000000001</v>
      </c>
      <c r="AB7867">
        <v>30</v>
      </c>
      <c r="AC7867">
        <v>0.60079999999999201</v>
      </c>
      <c r="AD7867">
        <v>-0.1093924</v>
      </c>
      <c r="AE7867">
        <v>-3.3600000000006902E-2</v>
      </c>
      <c r="AF7867">
        <v>0.13390704716879301</v>
      </c>
      <c r="AG7867">
        <v>-0.1093924</v>
      </c>
      <c r="AH7867">
        <v>0.56688743663163299</v>
      </c>
      <c r="AI7867">
        <v>100.63636599046001</v>
      </c>
      <c r="AJ7867">
        <v>76.709521285631297</v>
      </c>
      <c r="AK7867">
        <v>0.592671207559477</v>
      </c>
      <c r="AL7867">
        <v>67.714959407611502</v>
      </c>
      <c r="AM7867">
        <v>86.504248303552501</v>
      </c>
      <c r="AN7867">
        <v>1.0000000455032201</v>
      </c>
    </row>
    <row r="7868" spans="1:40" x14ac:dyDescent="0.25">
      <c r="A7868" t="str">
        <f>"20190304164315328"</f>
        <v>20190304164315328</v>
      </c>
      <c r="B7868" t="str">
        <f>"1551688995319212"</f>
        <v>1551688995319212</v>
      </c>
      <c r="C7868" t="s">
        <v>40</v>
      </c>
      <c r="D7868">
        <v>4.5795050000000002</v>
      </c>
      <c r="E7868">
        <v>0.56308979999999997</v>
      </c>
      <c r="F7868" t="s">
        <v>41</v>
      </c>
      <c r="G7868">
        <v>-169.30799999999999</v>
      </c>
      <c r="H7868">
        <v>0.98131159999999995</v>
      </c>
      <c r="I7868">
        <v>137.14089999999999</v>
      </c>
      <c r="J7868">
        <v>-169.94239999999999</v>
      </c>
      <c r="K7868">
        <v>1.0988039999999999</v>
      </c>
      <c r="L7868">
        <v>137.18</v>
      </c>
      <c r="M7868">
        <v>0.98622469999999995</v>
      </c>
      <c r="N7868">
        <v>-1.6390439999999999E-2</v>
      </c>
      <c r="O7868">
        <v>0.1645973</v>
      </c>
      <c r="P7868">
        <v>0.92383939999999998</v>
      </c>
      <c r="Q7868">
        <v>0.36608639999999998</v>
      </c>
      <c r="R7868">
        <v>0.1118098</v>
      </c>
      <c r="S7868">
        <v>3.4381560000000002</v>
      </c>
      <c r="T7868">
        <v>-0.46620349999999999</v>
      </c>
      <c r="U7868">
        <v>-3.3599850000000001E-2</v>
      </c>
      <c r="V7868">
        <v>5.2728650000000002E-2</v>
      </c>
      <c r="W7868">
        <v>0.37991740000000002</v>
      </c>
      <c r="X7868">
        <v>0.92351640000000002</v>
      </c>
      <c r="Y7868">
        <v>0.17133779999999901</v>
      </c>
      <c r="Z7868">
        <v>-3.2423380000000002E-2</v>
      </c>
      <c r="AA7868">
        <v>0.98467870000000002</v>
      </c>
      <c r="AB7868">
        <v>30</v>
      </c>
      <c r="AC7868">
        <v>0.63439999999999896</v>
      </c>
      <c r="AD7868">
        <v>-0.1174924</v>
      </c>
      <c r="AE7868">
        <v>-3.9100000000019002E-2</v>
      </c>
      <c r="AF7868">
        <v>0.13827620160711601</v>
      </c>
      <c r="AG7868">
        <v>-0.1174924</v>
      </c>
      <c r="AH7868">
        <v>0.59884572956061</v>
      </c>
      <c r="AI7868">
        <v>100.82254528524901</v>
      </c>
      <c r="AJ7868">
        <v>76.998022412772698</v>
      </c>
      <c r="AK7868">
        <v>0.62573235476650102</v>
      </c>
      <c r="AL7868">
        <v>67.671434651147706</v>
      </c>
      <c r="AM7868">
        <v>86.732215418715199</v>
      </c>
      <c r="AN7868">
        <v>1.00000004121127</v>
      </c>
    </row>
    <row r="7869" spans="1:40" x14ac:dyDescent="0.25">
      <c r="A7869" t="str">
        <f>"20190304164315351"</f>
        <v>20190304164315351</v>
      </c>
      <c r="B7869" t="str">
        <f>"1551688995338731"</f>
        <v>1551688995338731</v>
      </c>
      <c r="C7869" t="s">
        <v>40</v>
      </c>
      <c r="D7869">
        <v>4.5898050000000001</v>
      </c>
      <c r="E7869">
        <v>0.56188269999999996</v>
      </c>
      <c r="F7869" t="s">
        <v>41</v>
      </c>
      <c r="G7869">
        <v>-169.0445</v>
      </c>
      <c r="H7869">
        <v>0.97695390000000004</v>
      </c>
      <c r="I7869">
        <v>137.16759999999999</v>
      </c>
      <c r="J7869">
        <v>-169.63890000000001</v>
      </c>
      <c r="K7869">
        <v>1.0993010000000001</v>
      </c>
      <c r="L7869">
        <v>137.21690000000001</v>
      </c>
      <c r="M7869">
        <v>0.98837719999999996</v>
      </c>
      <c r="N7869">
        <v>-1.6269840000000001E-2</v>
      </c>
      <c r="O7869">
        <v>0.15114839999999999</v>
      </c>
      <c r="P7869">
        <v>0.92500899999999997</v>
      </c>
      <c r="Q7869">
        <v>0.3649831</v>
      </c>
      <c r="R7869">
        <v>0.1055731</v>
      </c>
      <c r="S7869">
        <v>3.4377749999999998</v>
      </c>
      <c r="T7869">
        <v>-0.4662269</v>
      </c>
      <c r="U7869">
        <v>-4.7012329999999998E-2</v>
      </c>
      <c r="V7869">
        <v>4.5919300000000003E-2</v>
      </c>
      <c r="W7869">
        <v>0.37895119999999999</v>
      </c>
      <c r="X7869">
        <v>0.92427669999999995</v>
      </c>
      <c r="Y7869">
        <v>0.1619456</v>
      </c>
      <c r="Z7869">
        <v>-3.0149619999999999E-2</v>
      </c>
      <c r="AA7869">
        <v>0.98633899999999997</v>
      </c>
      <c r="AB7869">
        <v>29</v>
      </c>
      <c r="AC7869">
        <v>0.59440000000000703</v>
      </c>
      <c r="AD7869">
        <v>-0.1223471</v>
      </c>
      <c r="AE7869">
        <v>-4.9300000000016497E-2</v>
      </c>
      <c r="AF7869">
        <v>0.13299194584021001</v>
      </c>
      <c r="AG7869">
        <v>-0.1223471</v>
      </c>
      <c r="AH7869">
        <v>0.55669221680209502</v>
      </c>
      <c r="AI7869">
        <v>102.065951872391</v>
      </c>
      <c r="AJ7869">
        <v>76.564052055699705</v>
      </c>
      <c r="AK7869">
        <v>0.58528787343050703</v>
      </c>
      <c r="AL7869">
        <v>67.731267448210403</v>
      </c>
      <c r="AM7869">
        <v>87.155807713345595</v>
      </c>
      <c r="AN7869">
        <v>1.0000000061284</v>
      </c>
    </row>
    <row r="7870" spans="1:40" x14ac:dyDescent="0.25">
      <c r="A7870" t="str">
        <f>"20190304164315374"</f>
        <v>20190304164315374</v>
      </c>
      <c r="B7870" t="str">
        <f>"1551688995368987"</f>
        <v>1551688995368987</v>
      </c>
      <c r="C7870" t="s">
        <v>40</v>
      </c>
      <c r="D7870">
        <v>4.5688620000000002</v>
      </c>
      <c r="E7870">
        <v>0.56070339999999996</v>
      </c>
      <c r="F7870" t="s">
        <v>41</v>
      </c>
      <c r="G7870">
        <v>-168.7784</v>
      </c>
      <c r="H7870">
        <v>0.98122299999999996</v>
      </c>
      <c r="I7870">
        <v>137.20070000000001</v>
      </c>
      <c r="J7870">
        <v>-169.34020000000001</v>
      </c>
      <c r="K7870">
        <v>1.0998000000000001</v>
      </c>
      <c r="L7870">
        <v>137.24969999999999</v>
      </c>
      <c r="M7870">
        <v>0.99023130000000004</v>
      </c>
      <c r="N7870">
        <v>-1.6151680000000002E-2</v>
      </c>
      <c r="O7870">
        <v>0.1384967</v>
      </c>
      <c r="P7870">
        <v>0.92559590000000003</v>
      </c>
      <c r="Q7870">
        <v>0.36452899999999999</v>
      </c>
      <c r="R7870">
        <v>0.10193720000000001</v>
      </c>
      <c r="S7870">
        <v>3.4365999999999999</v>
      </c>
      <c r="T7870">
        <v>-0.47142479999999998</v>
      </c>
      <c r="U7870">
        <v>-6.4559939999999996E-2</v>
      </c>
      <c r="V7870">
        <v>3.7245309999999997E-2</v>
      </c>
      <c r="W7870">
        <v>0.37866559999999999</v>
      </c>
      <c r="X7870">
        <v>0.92478380000000004</v>
      </c>
      <c r="Y7870">
        <v>0.1544701</v>
      </c>
      <c r="Z7870">
        <v>-2.8434999999999998E-2</v>
      </c>
      <c r="AA7870">
        <v>0.98758820000000003</v>
      </c>
      <c r="AB7870">
        <v>29</v>
      </c>
      <c r="AC7870">
        <v>0.56180000000000496</v>
      </c>
      <c r="AD7870">
        <v>-0.118577</v>
      </c>
      <c r="AE7870">
        <v>-4.8999999999978103E-2</v>
      </c>
      <c r="AF7870">
        <v>0.12099570976961301</v>
      </c>
      <c r="AG7870">
        <v>-0.118577</v>
      </c>
      <c r="AH7870">
        <v>0.526326945180009</v>
      </c>
      <c r="AI7870">
        <v>102.383612897647</v>
      </c>
      <c r="AJ7870">
        <v>77.053386083034795</v>
      </c>
      <c r="AK7870">
        <v>0.55291999415301796</v>
      </c>
      <c r="AL7870">
        <v>67.748947820006705</v>
      </c>
      <c r="AM7870">
        <v>87.693681077162097</v>
      </c>
      <c r="AN7870">
        <v>0.99999996324139695</v>
      </c>
    </row>
    <row r="7871" spans="1:40" x14ac:dyDescent="0.25">
      <c r="A7871" t="str">
        <f>"20190304164315396"</f>
        <v>20190304164315396</v>
      </c>
      <c r="B7871" t="str">
        <f>"1551688995389014"</f>
        <v>1551688995389014</v>
      </c>
      <c r="C7871" t="s">
        <v>40</v>
      </c>
      <c r="D7871">
        <v>4.5533710000000003</v>
      </c>
      <c r="E7871">
        <v>0.55998769999999998</v>
      </c>
      <c r="F7871" t="s">
        <v>41</v>
      </c>
      <c r="G7871">
        <v>-168.51220000000001</v>
      </c>
      <c r="H7871">
        <v>0.98565530000000001</v>
      </c>
      <c r="I7871">
        <v>137.23099999999999</v>
      </c>
      <c r="J7871">
        <v>-169.04349999999999</v>
      </c>
      <c r="K7871">
        <v>1.100295</v>
      </c>
      <c r="L7871">
        <v>137.279</v>
      </c>
      <c r="M7871">
        <v>0.99183449999999995</v>
      </c>
      <c r="N7871">
        <v>-1.6034960000000001E-2</v>
      </c>
      <c r="O7871">
        <v>0.12652040000000001</v>
      </c>
      <c r="P7871">
        <v>0.92604310000000001</v>
      </c>
      <c r="Q7871">
        <v>0.3646701</v>
      </c>
      <c r="R7871">
        <v>9.7264589999999998E-2</v>
      </c>
      <c r="S7871">
        <v>3.436096</v>
      </c>
      <c r="T7871">
        <v>-0.4734061</v>
      </c>
      <c r="U7871">
        <v>-7.7117920000000006E-2</v>
      </c>
      <c r="V7871">
        <v>3.0247090000000001E-2</v>
      </c>
      <c r="W7871">
        <v>0.37890879999999999</v>
      </c>
      <c r="X7871">
        <v>0.92493959999999997</v>
      </c>
      <c r="Y7871">
        <v>0.1462898</v>
      </c>
      <c r="Z7871">
        <v>-2.6502700000000001E-2</v>
      </c>
      <c r="AA7871">
        <v>0.98888670000000001</v>
      </c>
      <c r="AB7871">
        <v>29</v>
      </c>
      <c r="AC7871">
        <v>0.531299999999987</v>
      </c>
      <c r="AD7871">
        <v>-0.1146397</v>
      </c>
      <c r="AE7871">
        <v>-4.8000000000001798E-2</v>
      </c>
      <c r="AF7871">
        <v>0.10977367762574899</v>
      </c>
      <c r="AG7871">
        <v>-0.1146397</v>
      </c>
      <c r="AH7871">
        <v>0.497959519013628</v>
      </c>
      <c r="AI7871">
        <v>102.67061704697799</v>
      </c>
      <c r="AJ7871">
        <v>77.568155398154701</v>
      </c>
      <c r="AK7871">
        <v>0.52264347665675104</v>
      </c>
      <c r="AL7871">
        <v>67.733892750021994</v>
      </c>
      <c r="AM7871">
        <v>88.126998533083295</v>
      </c>
      <c r="AN7871">
        <v>1.00000001440953</v>
      </c>
    </row>
    <row r="7872" spans="1:40" x14ac:dyDescent="0.25">
      <c r="A7872" t="str">
        <f>"20190304164315418"</f>
        <v>20190304164315418</v>
      </c>
      <c r="B7872" t="str">
        <f>"1551688995408535"</f>
        <v>1551688995408535</v>
      </c>
      <c r="C7872" t="s">
        <v>40</v>
      </c>
      <c r="D7872">
        <v>4.5605180000000001</v>
      </c>
      <c r="E7872">
        <v>0.55943900000000002</v>
      </c>
      <c r="F7872" t="s">
        <v>41</v>
      </c>
      <c r="G7872">
        <v>-168.2457</v>
      </c>
      <c r="H7872">
        <v>0.99035479999999998</v>
      </c>
      <c r="I7872">
        <v>137.2577</v>
      </c>
      <c r="J7872">
        <v>-168.7542</v>
      </c>
      <c r="K7872">
        <v>1.100795</v>
      </c>
      <c r="L7872">
        <v>137.30459999999999</v>
      </c>
      <c r="M7872">
        <v>0.99318490000000004</v>
      </c>
      <c r="N7872">
        <v>-1.592E-2</v>
      </c>
      <c r="O7872">
        <v>0.1154567</v>
      </c>
      <c r="P7872">
        <v>0.92649590000000004</v>
      </c>
      <c r="Q7872">
        <v>0.36433090000000001</v>
      </c>
      <c r="R7872">
        <v>9.4171379999999999E-2</v>
      </c>
      <c r="S7872">
        <v>3.4355319999999998</v>
      </c>
      <c r="T7872">
        <v>-0.47319129999999998</v>
      </c>
      <c r="U7872">
        <v>-9.1247560000000005E-2</v>
      </c>
      <c r="V7872">
        <v>2.2539429999999999E-2</v>
      </c>
      <c r="W7872">
        <v>0.37867719999999999</v>
      </c>
      <c r="X7872">
        <v>0.92525429999999997</v>
      </c>
      <c r="Y7872">
        <v>0.13948450000000001</v>
      </c>
      <c r="Z7872">
        <v>-2.4647169999999999E-2</v>
      </c>
      <c r="AA7872">
        <v>0.98991750000000001</v>
      </c>
      <c r="AB7872">
        <v>29</v>
      </c>
      <c r="AC7872">
        <v>0.50849999999999795</v>
      </c>
      <c r="AD7872">
        <v>-0.110440199999999</v>
      </c>
      <c r="AE7872">
        <v>-4.6899999999993697E-2</v>
      </c>
      <c r="AF7872">
        <v>0.100598190069591</v>
      </c>
      <c r="AG7872">
        <v>-0.110440199999999</v>
      </c>
      <c r="AH7872">
        <v>0.47735566716990702</v>
      </c>
      <c r="AI7872">
        <v>102.75593786264</v>
      </c>
      <c r="AJ7872">
        <v>78.099589358632599</v>
      </c>
      <c r="AK7872">
        <v>0.50018543221543899</v>
      </c>
      <c r="AL7872">
        <v>67.748230191587496</v>
      </c>
      <c r="AM7872">
        <v>88.604536232525206</v>
      </c>
      <c r="AN7872">
        <v>0.99999998368652698</v>
      </c>
    </row>
    <row r="7873" spans="1:40" x14ac:dyDescent="0.25">
      <c r="A7873" t="str">
        <f>"20190304164315441"</f>
        <v>20190304164315441</v>
      </c>
      <c r="B7873" t="str">
        <f>"1551688995429030"</f>
        <v>1551688995429030</v>
      </c>
      <c r="C7873" t="s">
        <v>40</v>
      </c>
      <c r="D7873">
        <v>4.7535910000000001</v>
      </c>
      <c r="E7873">
        <v>0.55926699999999996</v>
      </c>
      <c r="F7873" t="s">
        <v>41</v>
      </c>
      <c r="G7873">
        <v>-167.98</v>
      </c>
      <c r="H7873">
        <v>0.99367519999999998</v>
      </c>
      <c r="I7873">
        <v>137.28210000000001</v>
      </c>
      <c r="J7873">
        <v>-168.44880000000001</v>
      </c>
      <c r="K7873">
        <v>1.1013500000000001</v>
      </c>
      <c r="L7873">
        <v>137.32859999999999</v>
      </c>
      <c r="M7873">
        <v>0.99440649999999997</v>
      </c>
      <c r="N7873">
        <v>-1.5796620000000001E-2</v>
      </c>
      <c r="O7873">
        <v>0.1044325</v>
      </c>
      <c r="P7873">
        <v>0.92659170000000002</v>
      </c>
      <c r="Q7873">
        <v>0.36448439999999999</v>
      </c>
      <c r="R7873">
        <v>9.2624449999999997E-2</v>
      </c>
      <c r="S7873">
        <v>3.4348909999999999</v>
      </c>
      <c r="T7873">
        <v>-0.4750626</v>
      </c>
      <c r="U7873">
        <v>-9.9090579999999998E-2</v>
      </c>
      <c r="V7873">
        <v>1.326337E-2</v>
      </c>
      <c r="W7873">
        <v>0.37894539999999999</v>
      </c>
      <c r="X7873">
        <v>0.92532400000000004</v>
      </c>
      <c r="Y7873">
        <v>0.130914</v>
      </c>
      <c r="Z7873">
        <v>-2.276164E-2</v>
      </c>
      <c r="AA7873">
        <v>0.99113240000000002</v>
      </c>
      <c r="AB7873">
        <v>29</v>
      </c>
      <c r="AC7873">
        <v>0.46880000000001498</v>
      </c>
      <c r="AD7873">
        <v>-0.107674799999999</v>
      </c>
      <c r="AE7873">
        <v>-4.6499999999980397E-2</v>
      </c>
      <c r="AF7873">
        <v>9.0482934630839298E-2</v>
      </c>
      <c r="AG7873">
        <v>-0.107674799999999</v>
      </c>
      <c r="AH7873">
        <v>0.43847349096347699</v>
      </c>
      <c r="AI7873">
        <v>103.52282140491</v>
      </c>
      <c r="AJ7873">
        <v>78.340171196830894</v>
      </c>
      <c r="AK7873">
        <v>0.46047804105315099</v>
      </c>
      <c r="AL7873">
        <v>67.731626849661296</v>
      </c>
      <c r="AM7873">
        <v>89.178792417606502</v>
      </c>
      <c r="AN7873">
        <v>1.0000000190704501</v>
      </c>
    </row>
    <row r="7874" spans="1:40" x14ac:dyDescent="0.25">
      <c r="A7874" t="str">
        <f>"20190304164315463"</f>
        <v>20190304164315463</v>
      </c>
      <c r="B7874" t="str">
        <f>"1551688995459286"</f>
        <v>1551688995459286</v>
      </c>
      <c r="C7874" t="s">
        <v>40</v>
      </c>
      <c r="D7874">
        <v>4.3689070000000001</v>
      </c>
      <c r="E7874">
        <v>0.55863079999999998</v>
      </c>
      <c r="F7874" t="s">
        <v>41</v>
      </c>
      <c r="G7874">
        <v>-167.71299999999999</v>
      </c>
      <c r="H7874">
        <v>1.00012099999999</v>
      </c>
      <c r="I7874">
        <v>137.30459999999999</v>
      </c>
      <c r="J7874">
        <v>-168.15639999999999</v>
      </c>
      <c r="K7874">
        <v>1.101909</v>
      </c>
      <c r="L7874">
        <v>137.34889999999999</v>
      </c>
      <c r="M7874">
        <v>0.99539390000000005</v>
      </c>
      <c r="N7874">
        <v>-1.5677130000000001E-2</v>
      </c>
      <c r="O7874">
        <v>9.4579579999999996E-2</v>
      </c>
      <c r="P7874">
        <v>0.92637420000000004</v>
      </c>
      <c r="Q7874">
        <v>0.36478939999999999</v>
      </c>
      <c r="R7874">
        <v>9.3593109999999993E-2</v>
      </c>
      <c r="S7874">
        <v>3.4347080000000001</v>
      </c>
      <c r="T7874">
        <v>-0.47238429999999998</v>
      </c>
      <c r="U7874">
        <v>-0.11218259999999999</v>
      </c>
      <c r="V7874">
        <v>2.5526669999999998E-3</v>
      </c>
      <c r="W7874">
        <v>0.37937340000000003</v>
      </c>
      <c r="X7874">
        <v>0.92524010000000001</v>
      </c>
      <c r="Y7874">
        <v>0.12503</v>
      </c>
      <c r="Z7874">
        <v>-2.099724E-2</v>
      </c>
      <c r="AA7874">
        <v>0.9919308</v>
      </c>
      <c r="AB7874">
        <v>29</v>
      </c>
      <c r="AC7874">
        <v>0.44339999999999602</v>
      </c>
      <c r="AD7874">
        <v>-0.101788</v>
      </c>
      <c r="AE7874">
        <v>-4.4299999999992602E-2</v>
      </c>
      <c r="AF7874">
        <v>8.1776181197367806E-2</v>
      </c>
      <c r="AG7874">
        <v>-0.101788</v>
      </c>
      <c r="AH7874">
        <v>0.41553943929181603</v>
      </c>
      <c r="AI7874">
        <v>103.51436966620901</v>
      </c>
      <c r="AJ7874">
        <v>78.866733120024406</v>
      </c>
      <c r="AK7874">
        <v>0.435569932803198</v>
      </c>
      <c r="AL7874">
        <v>67.705124224736196</v>
      </c>
      <c r="AM7874">
        <v>89.841925707156804</v>
      </c>
      <c r="AN7874">
        <v>0.99999996769219002</v>
      </c>
    </row>
    <row r="7875" spans="1:40" x14ac:dyDescent="0.25">
      <c r="A7875" t="str">
        <f>"20190304164315486"</f>
        <v>20190304164315486</v>
      </c>
      <c r="B7875" t="str">
        <f>"1551688995478806"</f>
        <v>1551688995478806</v>
      </c>
      <c r="C7875" t="s">
        <v>40</v>
      </c>
      <c r="D7875">
        <v>4.4020060000000001</v>
      </c>
      <c r="E7875">
        <v>0.55091389999999996</v>
      </c>
      <c r="F7875" t="s">
        <v>41</v>
      </c>
      <c r="G7875">
        <v>-167.19799999999901</v>
      </c>
      <c r="H7875">
        <v>0.97130870000000002</v>
      </c>
      <c r="I7875">
        <v>137.31899999999999</v>
      </c>
      <c r="J7875">
        <v>-167.8511</v>
      </c>
      <c r="K7875">
        <v>1.102533</v>
      </c>
      <c r="L7875">
        <v>137.36760000000001</v>
      </c>
      <c r="M7875">
        <v>0.99625649999999999</v>
      </c>
      <c r="N7875">
        <v>-1.5553579999999999E-2</v>
      </c>
      <c r="O7875">
        <v>8.5037399999999902E-2</v>
      </c>
      <c r="P7875">
        <v>0.92629810000000001</v>
      </c>
      <c r="Q7875">
        <v>0.36552580000000001</v>
      </c>
      <c r="R7875">
        <v>9.1450100000000006E-2</v>
      </c>
      <c r="S7875">
        <v>3.4334259999999999</v>
      </c>
      <c r="T7875">
        <v>-0.46776469999999998</v>
      </c>
      <c r="U7875">
        <v>-0.10704039999999999</v>
      </c>
      <c r="V7875">
        <v>-4.784689E-3</v>
      </c>
      <c r="W7875">
        <v>0.38012820000000003</v>
      </c>
      <c r="X7875">
        <v>0.92492149999999995</v>
      </c>
      <c r="Y7875">
        <v>0.1142628</v>
      </c>
      <c r="Z7875">
        <v>-1.8844130000000001E-2</v>
      </c>
      <c r="AA7875">
        <v>0.99327180000000004</v>
      </c>
      <c r="AB7875">
        <v>29</v>
      </c>
      <c r="AC7875">
        <v>0.653100000000023</v>
      </c>
      <c r="AD7875">
        <v>-0.13122429999999999</v>
      </c>
      <c r="AE7875">
        <v>-4.8600000000021702E-2</v>
      </c>
      <c r="AF7875">
        <v>9.9955476445613201E-2</v>
      </c>
      <c r="AG7875">
        <v>-0.13122429999999999</v>
      </c>
      <c r="AH7875">
        <v>0.62164232803003905</v>
      </c>
      <c r="AI7875">
        <v>101.772822960422</v>
      </c>
      <c r="AJ7875">
        <v>80.865450348160707</v>
      </c>
      <c r="AK7875">
        <v>0.64315635593576004</v>
      </c>
      <c r="AL7875">
        <v>67.6583775610911</v>
      </c>
      <c r="AM7875">
        <v>90.296392764797602</v>
      </c>
      <c r="AN7875">
        <v>1.0000000614231499</v>
      </c>
    </row>
    <row r="7876" spans="1:40" x14ac:dyDescent="0.25">
      <c r="A7876" t="str">
        <f>"20190304164315507"</f>
        <v>20190304164315507</v>
      </c>
      <c r="B7876" t="str">
        <f>"1551688995499302"</f>
        <v>1551688995499302</v>
      </c>
      <c r="C7876" t="s">
        <v>40</v>
      </c>
      <c r="D7876">
        <v>4.4063230000000004</v>
      </c>
      <c r="E7876">
        <v>0.55054499999999995</v>
      </c>
      <c r="F7876" t="s">
        <v>41</v>
      </c>
      <c r="G7876">
        <v>-166.93020000000001</v>
      </c>
      <c r="H7876">
        <v>0.98440329999999998</v>
      </c>
      <c r="I7876">
        <v>137.35470000000001</v>
      </c>
      <c r="J7876">
        <v>-167.57169999999999</v>
      </c>
      <c r="K7876">
        <v>1.103065</v>
      </c>
      <c r="L7876">
        <v>137.3827</v>
      </c>
      <c r="M7876">
        <v>0.99692510000000001</v>
      </c>
      <c r="N7876">
        <v>-1.544689E-2</v>
      </c>
      <c r="O7876">
        <v>7.6821979999999998E-2</v>
      </c>
      <c r="P7876">
        <v>0.92622579999999999</v>
      </c>
      <c r="Q7876">
        <v>0.36559019999999998</v>
      </c>
      <c r="R7876">
        <v>9.1921119999999995E-2</v>
      </c>
      <c r="S7876">
        <v>3.4162140000000001</v>
      </c>
      <c r="T7876">
        <v>-0.43798480000000001</v>
      </c>
      <c r="U7876">
        <v>-4.7332760000000001E-2</v>
      </c>
      <c r="V7876">
        <v>-1.3412159999999999E-2</v>
      </c>
      <c r="W7876">
        <v>0.38023669999999998</v>
      </c>
      <c r="X7876">
        <v>0.92479199999999995</v>
      </c>
      <c r="Y7876">
        <v>8.9331369999999993E-2</v>
      </c>
      <c r="Z7876">
        <v>-1.5015479999999999E-2</v>
      </c>
      <c r="AA7876">
        <v>0.99588880000000002</v>
      </c>
      <c r="AB7876">
        <v>29</v>
      </c>
      <c r="AC7876">
        <v>0.64149999999997898</v>
      </c>
      <c r="AD7876">
        <v>-0.118661699999999</v>
      </c>
      <c r="AE7876">
        <v>-2.79999999999915E-2</v>
      </c>
      <c r="AF7876">
        <v>7.4654892704111603E-2</v>
      </c>
      <c r="AG7876">
        <v>-0.118661699999999</v>
      </c>
      <c r="AH7876">
        <v>0.61640189580022597</v>
      </c>
      <c r="AI7876">
        <v>100.819363194825</v>
      </c>
      <c r="AJ7876">
        <v>83.094314069510304</v>
      </c>
      <c r="AK7876">
        <v>0.63214337708914203</v>
      </c>
      <c r="AL7876">
        <v>67.651655742395803</v>
      </c>
      <c r="AM7876">
        <v>90.830896343399999</v>
      </c>
      <c r="AN7876">
        <v>1.0000000386633701</v>
      </c>
    </row>
    <row r="7877" spans="1:40" x14ac:dyDescent="0.25">
      <c r="A7877" t="str">
        <f>"20190304164315529"</f>
        <v>20190304164315529</v>
      </c>
      <c r="B7877" t="str">
        <f>"1551688995518822"</f>
        <v>1551688995518822</v>
      </c>
      <c r="C7877" t="s">
        <v>40</v>
      </c>
      <c r="D7877">
        <v>4.383921</v>
      </c>
      <c r="E7877">
        <v>0.55045250000000001</v>
      </c>
      <c r="F7877" t="s">
        <v>41</v>
      </c>
      <c r="G7877">
        <v>-166.66640000000001</v>
      </c>
      <c r="H7877">
        <v>0.98638890000000001</v>
      </c>
      <c r="I7877">
        <v>137.3708</v>
      </c>
      <c r="J7877">
        <v>-167.2792</v>
      </c>
      <c r="K7877">
        <v>1.103594</v>
      </c>
      <c r="L7877">
        <v>137.39660000000001</v>
      </c>
      <c r="M7877">
        <v>0.99751199999999995</v>
      </c>
      <c r="N7877">
        <v>-1.534259E-2</v>
      </c>
      <c r="O7877">
        <v>6.8808110000000006E-2</v>
      </c>
      <c r="P7877">
        <v>0.92636499999999999</v>
      </c>
      <c r="Q7877">
        <v>0.36515560000000002</v>
      </c>
      <c r="R7877">
        <v>9.2246410000000001E-2</v>
      </c>
      <c r="S7877">
        <v>3.4170989999999999</v>
      </c>
      <c r="T7877">
        <v>-0.44024380000000002</v>
      </c>
      <c r="U7877">
        <v>-4.4296259999999997E-2</v>
      </c>
      <c r="V7877">
        <v>-2.1695249999999999E-2</v>
      </c>
      <c r="W7877">
        <v>0.37982250000000001</v>
      </c>
      <c r="X7877">
        <v>0.92480490000000004</v>
      </c>
      <c r="Y7877">
        <v>8.0555360000000006E-2</v>
      </c>
      <c r="Z7877">
        <v>-1.355991E-2</v>
      </c>
      <c r="AA7877">
        <v>0.99665789999999999</v>
      </c>
      <c r="AB7877">
        <v>29</v>
      </c>
      <c r="AC7877">
        <v>0.61279999999999202</v>
      </c>
      <c r="AD7877">
        <v>-0.11720509999999899</v>
      </c>
      <c r="AE7877">
        <v>-2.5800000000003799E-2</v>
      </c>
      <c r="AF7877">
        <v>6.5516972593493095E-2</v>
      </c>
      <c r="AG7877">
        <v>-0.11720509999999899</v>
      </c>
      <c r="AH7877">
        <v>0.58809671405056296</v>
      </c>
      <c r="AI7877">
        <v>101.203580639592</v>
      </c>
      <c r="AJ7877">
        <v>83.643169949507296</v>
      </c>
      <c r="AK7877">
        <v>0.60323068078546505</v>
      </c>
      <c r="AL7877">
        <v>67.677310705747004</v>
      </c>
      <c r="AM7877">
        <v>91.343870803569899</v>
      </c>
      <c r="AN7877">
        <v>0.99999995922141005</v>
      </c>
    </row>
    <row r="7878" spans="1:40" x14ac:dyDescent="0.25">
      <c r="A7878" t="str">
        <f>"20190304164315552"</f>
        <v>20190304164315552</v>
      </c>
      <c r="B7878" t="str">
        <f>"1551688995539319"</f>
        <v>1551688995539319</v>
      </c>
      <c r="C7878" t="s">
        <v>40</v>
      </c>
      <c r="D7878">
        <v>4.5399659999999997</v>
      </c>
      <c r="E7878">
        <v>0.5499849</v>
      </c>
      <c r="F7878" t="s">
        <v>41</v>
      </c>
      <c r="G7878">
        <v>-166.40180000000001</v>
      </c>
      <c r="H7878">
        <v>0.99071200000000004</v>
      </c>
      <c r="I7878">
        <v>137.38509999999999</v>
      </c>
      <c r="J7878">
        <v>-166.98310000000001</v>
      </c>
      <c r="K7878">
        <v>1.1041379999999901</v>
      </c>
      <c r="L7878">
        <v>137.40880000000001</v>
      </c>
      <c r="M7878">
        <v>0.99799979999999999</v>
      </c>
      <c r="N7878">
        <v>-1.523997E-2</v>
      </c>
      <c r="O7878">
        <v>6.1351349999999999E-2</v>
      </c>
      <c r="P7878">
        <v>0.92634459999999996</v>
      </c>
      <c r="Q7878">
        <v>0.3657881</v>
      </c>
      <c r="R7878">
        <v>8.9916510000000005E-2</v>
      </c>
      <c r="S7878">
        <v>3.416061</v>
      </c>
      <c r="T7878">
        <v>-0.4393281</v>
      </c>
      <c r="U7878">
        <v>-4.4448849999999998E-2</v>
      </c>
      <c r="V7878">
        <v>-2.6809139999999999E-2</v>
      </c>
      <c r="W7878">
        <v>0.3803994</v>
      </c>
      <c r="X7878">
        <v>0.92443359999999997</v>
      </c>
      <c r="Y7878">
        <v>7.3271710000000004E-2</v>
      </c>
      <c r="Z7878">
        <v>-1.217563E-2</v>
      </c>
      <c r="AA7878">
        <v>0.9972377</v>
      </c>
      <c r="AB7878">
        <v>29</v>
      </c>
      <c r="AC7878">
        <v>0.58129999999999804</v>
      </c>
      <c r="AD7878">
        <v>-0.113425999999999</v>
      </c>
      <c r="AE7878">
        <v>-2.3700000000019299E-2</v>
      </c>
      <c r="AF7878">
        <v>5.71507037592359E-2</v>
      </c>
      <c r="AG7878">
        <v>-0.113425999999999</v>
      </c>
      <c r="AH7878">
        <v>0.55755749035720403</v>
      </c>
      <c r="AI7878">
        <v>101.440626847182</v>
      </c>
      <c r="AJ7878">
        <v>84.147513114349906</v>
      </c>
      <c r="AK7878">
        <v>0.571840900486839</v>
      </c>
      <c r="AL7878">
        <v>67.641574387235096</v>
      </c>
      <c r="AM7878">
        <v>91.661147071244002</v>
      </c>
      <c r="AN7878">
        <v>0.99999995715842804</v>
      </c>
    </row>
    <row r="7879" spans="1:40" x14ac:dyDescent="0.25">
      <c r="A7879" t="str">
        <f>"20190304164315575"</f>
        <v>20190304164315575</v>
      </c>
      <c r="B7879" t="str">
        <f>"1551688995568598"</f>
        <v>1551688995568598</v>
      </c>
      <c r="C7879" t="s">
        <v>40</v>
      </c>
      <c r="D7879">
        <v>4.3150190000000004</v>
      </c>
      <c r="E7879">
        <v>0.55006709999999903</v>
      </c>
      <c r="F7879" t="s">
        <v>41</v>
      </c>
      <c r="G7879">
        <v>-166.13730000000001</v>
      </c>
      <c r="H7879">
        <v>0.99533150000000004</v>
      </c>
      <c r="I7879">
        <v>137.39750000000001</v>
      </c>
      <c r="J7879">
        <v>-166.6781</v>
      </c>
      <c r="K7879">
        <v>1.10473</v>
      </c>
      <c r="L7879">
        <v>137.41980000000001</v>
      </c>
      <c r="M7879">
        <v>0.99840519999999999</v>
      </c>
      <c r="N7879">
        <v>-1.513463E-2</v>
      </c>
      <c r="O7879">
        <v>5.4390050000000002E-2</v>
      </c>
      <c r="P7879">
        <v>0.92642100000000005</v>
      </c>
      <c r="Q7879">
        <v>0.36619410000000002</v>
      </c>
      <c r="R7879">
        <v>8.7442560000000003E-2</v>
      </c>
      <c r="S7879">
        <v>3.4164729999999999</v>
      </c>
      <c r="T7879">
        <v>-0.43947789999999998</v>
      </c>
      <c r="U7879">
        <v>-4.5501710000000001E-2</v>
      </c>
      <c r="V7879">
        <v>-3.1356009999999997E-2</v>
      </c>
      <c r="W7879">
        <v>0.38072349999999999</v>
      </c>
      <c r="X7879">
        <v>0.92415709999999995</v>
      </c>
      <c r="Y7879">
        <v>6.6725339999999994E-2</v>
      </c>
      <c r="Z7879">
        <v>-1.0926160000000001E-2</v>
      </c>
      <c r="AA7879">
        <v>0.99771149999999997</v>
      </c>
      <c r="AB7879">
        <v>29</v>
      </c>
      <c r="AC7879">
        <v>0.54079999999998996</v>
      </c>
      <c r="AD7879">
        <v>-0.109398499999999</v>
      </c>
      <c r="AE7879">
        <v>-2.2300000000001301E-2</v>
      </c>
      <c r="AF7879">
        <v>4.9655950895682699E-2</v>
      </c>
      <c r="AG7879">
        <v>-0.109398499999999</v>
      </c>
      <c r="AH7879">
        <v>0.51763973705606703</v>
      </c>
      <c r="AI7879">
        <v>101.880370743866</v>
      </c>
      <c r="AJ7879">
        <v>84.520518463636606</v>
      </c>
      <c r="AK7879">
        <v>0.53139876048131596</v>
      </c>
      <c r="AL7879">
        <v>67.621494043789497</v>
      </c>
      <c r="AM7879">
        <v>91.943260631526798</v>
      </c>
      <c r="AN7879">
        <v>0.99999996414788905</v>
      </c>
    </row>
    <row r="7880" spans="1:40" x14ac:dyDescent="0.25">
      <c r="A7880" t="str">
        <f>"20190304164315597"</f>
        <v>20190304164315597</v>
      </c>
      <c r="B7880" t="str">
        <f>"1551688995588606"</f>
        <v>1551688995588606</v>
      </c>
      <c r="C7880" t="s">
        <v>40</v>
      </c>
      <c r="D7880">
        <v>4.2932430000000004</v>
      </c>
      <c r="E7880">
        <v>0.55016449999999995</v>
      </c>
      <c r="F7880" t="s">
        <v>41</v>
      </c>
      <c r="G7880">
        <v>-165.87260000000001</v>
      </c>
      <c r="H7880">
        <v>1.001182</v>
      </c>
      <c r="I7880">
        <v>137.40780000000001</v>
      </c>
      <c r="J7880">
        <v>-166.38759999999999</v>
      </c>
      <c r="K7880">
        <v>1.1053409999999999</v>
      </c>
      <c r="L7880">
        <v>137.429</v>
      </c>
      <c r="M7880">
        <v>0.99871239999999994</v>
      </c>
      <c r="N7880">
        <v>-1.5036849999999999E-2</v>
      </c>
      <c r="O7880">
        <v>4.8451069999999999E-2</v>
      </c>
      <c r="P7880">
        <v>0.92696840000000003</v>
      </c>
      <c r="Q7880">
        <v>0.3648651</v>
      </c>
      <c r="R7880">
        <v>8.7196010000000004E-2</v>
      </c>
      <c r="S7880">
        <v>3.4166110000000001</v>
      </c>
      <c r="T7880">
        <v>-0.43912220000000002</v>
      </c>
      <c r="U7880">
        <v>-5.0506589999999997E-2</v>
      </c>
      <c r="V7880">
        <v>-3.718287E-2</v>
      </c>
      <c r="W7880">
        <v>0.37933240000000001</v>
      </c>
      <c r="X7880">
        <v>0.92451300000000003</v>
      </c>
      <c r="Y7880">
        <v>6.2331289999999998E-2</v>
      </c>
      <c r="Z7880">
        <v>-9.9338150000000004E-3</v>
      </c>
      <c r="AA7880">
        <v>0.99800610000000001</v>
      </c>
      <c r="AB7880">
        <v>29</v>
      </c>
      <c r="AC7880">
        <v>0.51499999999998602</v>
      </c>
      <c r="AD7880">
        <v>-0.104158999999999</v>
      </c>
      <c r="AE7880">
        <v>-2.11999999999932E-2</v>
      </c>
      <c r="AF7880">
        <v>4.4320349337784302E-2</v>
      </c>
      <c r="AG7880">
        <v>-0.104158999999999</v>
      </c>
      <c r="AH7880">
        <v>0.49322632666602001</v>
      </c>
      <c r="AI7880">
        <v>101.877967245525</v>
      </c>
      <c r="AJ7880">
        <v>84.865304089965505</v>
      </c>
      <c r="AK7880">
        <v>0.50604900944758102</v>
      </c>
      <c r="AL7880">
        <v>67.707662980487896</v>
      </c>
      <c r="AM7880">
        <v>92.303130341621795</v>
      </c>
      <c r="AN7880">
        <v>0.99999996134009705</v>
      </c>
    </row>
    <row r="7881" spans="1:40" x14ac:dyDescent="0.25">
      <c r="A7881" t="str">
        <f>"20190304164315618"</f>
        <v>20190304164315618</v>
      </c>
      <c r="B7881" t="str">
        <f>"1551688995609102"</f>
        <v>1551688995609102</v>
      </c>
      <c r="C7881" t="s">
        <v>40</v>
      </c>
      <c r="D7881">
        <v>4.2827460000000004</v>
      </c>
      <c r="E7881">
        <v>0.55010999999999999</v>
      </c>
      <c r="F7881" t="s">
        <v>41</v>
      </c>
      <c r="G7881">
        <v>-165.6095</v>
      </c>
      <c r="H7881">
        <v>1.004613</v>
      </c>
      <c r="I7881">
        <v>137.416</v>
      </c>
      <c r="J7881">
        <v>-166.1061</v>
      </c>
      <c r="K7881">
        <v>1.105961</v>
      </c>
      <c r="L7881">
        <v>137.43690000000001</v>
      </c>
      <c r="M7881">
        <v>0.99894740000000004</v>
      </c>
      <c r="N7881">
        <v>-1.4947520000000001E-2</v>
      </c>
      <c r="O7881">
        <v>4.33686E-2</v>
      </c>
      <c r="P7881">
        <v>0.9274985</v>
      </c>
      <c r="Q7881">
        <v>0.36293239999999999</v>
      </c>
      <c r="R7881">
        <v>8.9592050000000006E-2</v>
      </c>
      <c r="S7881">
        <v>3.4156949999999999</v>
      </c>
      <c r="T7881">
        <v>-0.44217869999999998</v>
      </c>
      <c r="U7881">
        <v>-5.6365970000000001E-2</v>
      </c>
      <c r="V7881">
        <v>-4.486714E-2</v>
      </c>
      <c r="W7881">
        <v>0.3773514</v>
      </c>
      <c r="X7881">
        <v>0.92498259999999999</v>
      </c>
      <c r="Y7881">
        <v>5.901911E-2</v>
      </c>
      <c r="Z7881">
        <v>-9.1910210000000006E-3</v>
      </c>
      <c r="AA7881">
        <v>0.9982145</v>
      </c>
      <c r="AB7881">
        <v>29</v>
      </c>
      <c r="AC7881">
        <v>0.49659999999999999</v>
      </c>
      <c r="AD7881">
        <v>-0.10134799999999999</v>
      </c>
      <c r="AE7881">
        <v>-2.09000000000116E-2</v>
      </c>
      <c r="AF7881">
        <v>4.0726323194309001E-2</v>
      </c>
      <c r="AG7881">
        <v>-0.10134799999999999</v>
      </c>
      <c r="AH7881">
        <v>0.47545824923129898</v>
      </c>
      <c r="AI7881">
        <v>101.990367909752</v>
      </c>
      <c r="AJ7881">
        <v>85.104166338984101</v>
      </c>
      <c r="AK7881">
        <v>0.48784279974907802</v>
      </c>
      <c r="AL7881">
        <v>67.830280941172106</v>
      </c>
      <c r="AM7881">
        <v>92.777008419542398</v>
      </c>
      <c r="AN7881">
        <v>0.99999997481824898</v>
      </c>
    </row>
    <row r="7882" spans="1:40" x14ac:dyDescent="0.25">
      <c r="A7882" t="str">
        <f>"20190304164315641"</f>
        <v>20190304164315641</v>
      </c>
      <c r="B7882" t="str">
        <f>"1551688995628622"</f>
        <v>1551688995628622</v>
      </c>
      <c r="C7882" t="s">
        <v>40</v>
      </c>
      <c r="D7882">
        <v>4.269069</v>
      </c>
      <c r="E7882">
        <v>0.5500427</v>
      </c>
      <c r="F7882" t="s">
        <v>41</v>
      </c>
      <c r="G7882">
        <v>-165.3475</v>
      </c>
      <c r="H7882">
        <v>1.006975</v>
      </c>
      <c r="I7882">
        <v>137.4239</v>
      </c>
      <c r="J7882">
        <v>-165.8151</v>
      </c>
      <c r="K7882">
        <v>1.1065990000000001</v>
      </c>
      <c r="L7882">
        <v>137.4444</v>
      </c>
      <c r="M7882">
        <v>0.99913700000000005</v>
      </c>
      <c r="N7882">
        <v>-1.4855510000000001E-2</v>
      </c>
      <c r="O7882">
        <v>3.87903E-2</v>
      </c>
      <c r="P7882">
        <v>0.92749420000000005</v>
      </c>
      <c r="Q7882">
        <v>0.36246650000000002</v>
      </c>
      <c r="R7882">
        <v>9.1502200000000006E-2</v>
      </c>
      <c r="S7882">
        <v>3.4144130000000001</v>
      </c>
      <c r="T7882">
        <v>-0.4454341</v>
      </c>
      <c r="U7882">
        <v>-5.7983399999999997E-2</v>
      </c>
      <c r="V7882">
        <v>-5.1618949999999997E-2</v>
      </c>
      <c r="W7882">
        <v>0.37679230000000002</v>
      </c>
      <c r="X7882">
        <v>0.92485839999999997</v>
      </c>
      <c r="Y7882">
        <v>5.497846E-2</v>
      </c>
      <c r="Z7882">
        <v>-8.4451869999999998E-3</v>
      </c>
      <c r="AA7882">
        <v>0.9984518</v>
      </c>
      <c r="AB7882">
        <v>29</v>
      </c>
      <c r="AC7882">
        <v>0.46760000000000401</v>
      </c>
      <c r="AD7882">
        <v>-9.9623999999999893E-2</v>
      </c>
      <c r="AE7882">
        <v>-2.0499999999998401E-2</v>
      </c>
      <c r="AF7882">
        <v>3.6950858372285601E-2</v>
      </c>
      <c r="AG7882">
        <v>-9.9623999999999893E-2</v>
      </c>
      <c r="AH7882">
        <v>0.44623603342325202</v>
      </c>
      <c r="AI7882">
        <v>102.54356710466899</v>
      </c>
      <c r="AJ7882">
        <v>85.266385955005504</v>
      </c>
      <c r="AK7882">
        <v>0.45871222442373</v>
      </c>
      <c r="AL7882">
        <v>67.864868841347104</v>
      </c>
      <c r="AM7882">
        <v>93.194524388906501</v>
      </c>
      <c r="AN7882">
        <v>1.0000000066944701</v>
      </c>
    </row>
    <row r="7883" spans="1:40" x14ac:dyDescent="0.25">
      <c r="A7883" t="str">
        <f>"20190304164315664"</f>
        <v>20190304164315664</v>
      </c>
      <c r="B7883" t="str">
        <f>"1551688995658878"</f>
        <v>1551688995658878</v>
      </c>
      <c r="C7883" t="s">
        <v>40</v>
      </c>
      <c r="D7883">
        <v>4.2872209999999997</v>
      </c>
      <c r="E7883">
        <v>0.5498885</v>
      </c>
      <c r="F7883" t="s">
        <v>41</v>
      </c>
      <c r="G7883">
        <v>-165.0849</v>
      </c>
      <c r="H7883">
        <v>1.0113270000000001</v>
      </c>
      <c r="I7883">
        <v>137.43219999999999</v>
      </c>
      <c r="J7883">
        <v>-165.5215</v>
      </c>
      <c r="K7883">
        <v>1.1072029999999999</v>
      </c>
      <c r="L7883">
        <v>137.4512</v>
      </c>
      <c r="M7883">
        <v>0.99928300000000003</v>
      </c>
      <c r="N7883">
        <v>-1.476278E-2</v>
      </c>
      <c r="O7883">
        <v>3.486769E-2</v>
      </c>
      <c r="P7883">
        <v>0.92658770000000001</v>
      </c>
      <c r="Q7883">
        <v>0.36431839999999999</v>
      </c>
      <c r="R7883">
        <v>9.3314220000000003E-2</v>
      </c>
      <c r="S7883">
        <v>3.4141849999999998</v>
      </c>
      <c r="T7883">
        <v>-0.44543349999999998</v>
      </c>
      <c r="U7883">
        <v>-5.6640629999999997E-2</v>
      </c>
      <c r="V7883">
        <v>-5.7631670000000003E-2</v>
      </c>
      <c r="W7883">
        <v>0.37851689999999999</v>
      </c>
      <c r="X7883">
        <v>0.92379840000000002</v>
      </c>
      <c r="Y7883">
        <v>5.0732890000000003E-2</v>
      </c>
      <c r="Z7883">
        <v>-7.6878579999999997E-3</v>
      </c>
      <c r="AA7883">
        <v>0.99868270000000003</v>
      </c>
      <c r="AB7883">
        <v>29</v>
      </c>
      <c r="AC7883">
        <v>0.43659999999999799</v>
      </c>
      <c r="AD7883">
        <v>-9.5876000000000003E-2</v>
      </c>
      <c r="AE7883">
        <v>-1.9000000000005401E-2</v>
      </c>
      <c r="AF7883">
        <v>3.2642212122247202E-2</v>
      </c>
      <c r="AG7883">
        <v>-9.5876000000000003E-2</v>
      </c>
      <c r="AH7883">
        <v>0.41566525376444102</v>
      </c>
      <c r="AI7883">
        <v>102.949978580218</v>
      </c>
      <c r="AJ7883">
        <v>85.509774941192305</v>
      </c>
      <c r="AK7883">
        <v>0.42782627850015298</v>
      </c>
      <c r="AL7883">
        <v>67.758153012832196</v>
      </c>
      <c r="AM7883">
        <v>93.569802263434298</v>
      </c>
      <c r="AN7883">
        <v>0.99999996840757899</v>
      </c>
    </row>
    <row r="7884" spans="1:40" x14ac:dyDescent="0.25">
      <c r="A7884" t="str">
        <f>"20190304164315686"</f>
        <v>20190304164315686</v>
      </c>
      <c r="B7884" t="str">
        <f>"1551688995679375"</f>
        <v>1551688995679375</v>
      </c>
      <c r="C7884" t="s">
        <v>40</v>
      </c>
      <c r="D7884">
        <v>4.2960440000000002</v>
      </c>
      <c r="E7884">
        <v>0.54990890000000003</v>
      </c>
      <c r="F7884" t="s">
        <v>41</v>
      </c>
      <c r="G7884">
        <v>-164.57749999999999</v>
      </c>
      <c r="H7884">
        <v>0.98625030000000002</v>
      </c>
      <c r="I7884">
        <v>137.4374</v>
      </c>
      <c r="J7884">
        <v>-165.23259999999999</v>
      </c>
      <c r="K7884">
        <v>1.1077220000000001</v>
      </c>
      <c r="L7884">
        <v>137.45750000000001</v>
      </c>
      <c r="M7884">
        <v>0.99939299999999998</v>
      </c>
      <c r="N7884">
        <v>-1.467167E-2</v>
      </c>
      <c r="O7884">
        <v>3.1596299999999897E-2</v>
      </c>
      <c r="P7884">
        <v>0.92544999999999999</v>
      </c>
      <c r="Q7884">
        <v>0.36625550000000001</v>
      </c>
      <c r="R7884">
        <v>9.6951200000000001E-2</v>
      </c>
      <c r="S7884">
        <v>3.4147029999999998</v>
      </c>
      <c r="T7884">
        <v>-0.43751859999999998</v>
      </c>
      <c r="U7884">
        <v>-4.9652099999999998E-2</v>
      </c>
      <c r="V7884">
        <v>-6.4786499999999997E-2</v>
      </c>
      <c r="W7884">
        <v>0.38033240000000001</v>
      </c>
      <c r="X7884">
        <v>0.92257789999999995</v>
      </c>
      <c r="Y7884">
        <v>4.5510839999999997E-2</v>
      </c>
      <c r="Z7884">
        <v>-6.8084640000000002E-3</v>
      </c>
      <c r="AA7884">
        <v>0.99894059999999996</v>
      </c>
      <c r="AB7884">
        <v>29</v>
      </c>
      <c r="AC7884">
        <v>0.65510000000000401</v>
      </c>
      <c r="AD7884">
        <v>-0.121471699999999</v>
      </c>
      <c r="AE7884">
        <v>-2.0100000000013499E-2</v>
      </c>
      <c r="AF7884">
        <v>3.9436291480837701E-2</v>
      </c>
      <c r="AG7884">
        <v>-0.121471699999999</v>
      </c>
      <c r="AH7884">
        <v>0.63241428043345405</v>
      </c>
      <c r="AI7884">
        <v>100.852156008335</v>
      </c>
      <c r="AJ7884">
        <v>86.431751829401804</v>
      </c>
      <c r="AK7884">
        <v>0.64518091810190403</v>
      </c>
      <c r="AL7884">
        <v>67.645726283343507</v>
      </c>
      <c r="AM7884">
        <v>94.016906689303099</v>
      </c>
      <c r="AN7884">
        <v>1.0000000033201999</v>
      </c>
    </row>
    <row r="7885" spans="1:40" x14ac:dyDescent="0.25">
      <c r="A7885" t="str">
        <f>"20190304164315708"</f>
        <v>20190304164315708</v>
      </c>
      <c r="B7885" t="str">
        <f>"1551688995698895"</f>
        <v>1551688995698895</v>
      </c>
      <c r="C7885" t="s">
        <v>40</v>
      </c>
      <c r="D7885">
        <v>4.2581980000000001</v>
      </c>
      <c r="E7885">
        <v>0.54988719999999902</v>
      </c>
      <c r="F7885" t="s">
        <v>41</v>
      </c>
      <c r="G7885">
        <v>-164.3151</v>
      </c>
      <c r="H7885">
        <v>0.99275950000000002</v>
      </c>
      <c r="I7885">
        <v>137.4469</v>
      </c>
      <c r="J7885">
        <v>-164.9435</v>
      </c>
      <c r="K7885">
        <v>1.1081289999999999</v>
      </c>
      <c r="L7885">
        <v>137.4632</v>
      </c>
      <c r="M7885">
        <v>0.99948029999999999</v>
      </c>
      <c r="N7885">
        <v>-1.458388E-2</v>
      </c>
      <c r="O7885">
        <v>2.8746810000000001E-2</v>
      </c>
      <c r="P7885">
        <v>0.92442789999999997</v>
      </c>
      <c r="Q7885">
        <v>0.36741590000000002</v>
      </c>
      <c r="R7885">
        <v>0.1021696</v>
      </c>
      <c r="S7885">
        <v>3.4150849999999999</v>
      </c>
      <c r="T7885">
        <v>-0.42784359999999999</v>
      </c>
      <c r="U7885">
        <v>-3.9077760000000003E-2</v>
      </c>
      <c r="V7885">
        <v>-7.3031819999999997E-2</v>
      </c>
      <c r="W7885">
        <v>0.38138709999999998</v>
      </c>
      <c r="X7885">
        <v>0.92152610000000001</v>
      </c>
      <c r="Y7885">
        <v>3.9663410000000003E-2</v>
      </c>
      <c r="Z7885">
        <v>-5.9344999999999997E-3</v>
      </c>
      <c r="AA7885">
        <v>0.99919550000000001</v>
      </c>
      <c r="AB7885">
        <v>29</v>
      </c>
      <c r="AC7885">
        <v>0.62839999999999896</v>
      </c>
      <c r="AD7885">
        <v>-0.1153695</v>
      </c>
      <c r="AE7885">
        <v>-1.6300000000001001E-2</v>
      </c>
      <c r="AF7885">
        <v>3.3240037798798701E-2</v>
      </c>
      <c r="AG7885">
        <v>-0.1153695</v>
      </c>
      <c r="AH7885">
        <v>0.60721836367478099</v>
      </c>
      <c r="AI7885">
        <v>100.742078019929</v>
      </c>
      <c r="AJ7885">
        <v>86.866670988961005</v>
      </c>
      <c r="AK7885">
        <v>0.61897428284783695</v>
      </c>
      <c r="AL7885">
        <v>67.580372095324094</v>
      </c>
      <c r="AM7885">
        <v>94.531274318992502</v>
      </c>
      <c r="AN7885">
        <v>1.00000005988006</v>
      </c>
    </row>
    <row r="7886" spans="1:40" x14ac:dyDescent="0.25">
      <c r="A7886" t="str">
        <f>"20190304164315730"</f>
        <v>20190304164315730</v>
      </c>
      <c r="B7886" t="str">
        <f>"1551688995719391"</f>
        <v>1551688995719391</v>
      </c>
      <c r="C7886" t="s">
        <v>40</v>
      </c>
      <c r="D7886">
        <v>4.3412169999999897</v>
      </c>
      <c r="E7886">
        <v>0.54970659999999905</v>
      </c>
      <c r="F7886" t="s">
        <v>41</v>
      </c>
      <c r="G7886">
        <v>-164.05340000000001</v>
      </c>
      <c r="H7886">
        <v>0.99830030000000003</v>
      </c>
      <c r="I7886">
        <v>137.4572</v>
      </c>
      <c r="J7886">
        <v>-164.65549999999999</v>
      </c>
      <c r="K7886">
        <v>1.1084419999999999</v>
      </c>
      <c r="L7886">
        <v>137.46850000000001</v>
      </c>
      <c r="M7886">
        <v>0.99955079999999996</v>
      </c>
      <c r="N7886">
        <v>-1.450079E-2</v>
      </c>
      <c r="O7886">
        <v>2.6235640000000001E-2</v>
      </c>
      <c r="P7886">
        <v>0.92308970000000001</v>
      </c>
      <c r="Q7886">
        <v>0.36905349999999998</v>
      </c>
      <c r="R7886">
        <v>0.1081915</v>
      </c>
      <c r="S7886">
        <v>3.4152680000000002</v>
      </c>
      <c r="T7886">
        <v>-0.4213711</v>
      </c>
      <c r="U7886">
        <v>-2.2964479999999999E-2</v>
      </c>
      <c r="V7886">
        <v>-8.1682370000000004E-2</v>
      </c>
      <c r="W7886">
        <v>0.38292399999999999</v>
      </c>
      <c r="X7886">
        <v>0.92016149999999997</v>
      </c>
      <c r="Y7886">
        <v>3.2528670000000003E-2</v>
      </c>
      <c r="Z7886">
        <v>-5.0811659999999998E-3</v>
      </c>
      <c r="AA7886">
        <v>0.99945790000000001</v>
      </c>
      <c r="AB7886">
        <v>29</v>
      </c>
      <c r="AC7886">
        <v>0.60209999999997799</v>
      </c>
      <c r="AD7886">
        <v>-0.110141699999999</v>
      </c>
      <c r="AE7886">
        <v>-1.1300000000005601E-2</v>
      </c>
      <c r="AF7886">
        <v>2.6217244795435302E-2</v>
      </c>
      <c r="AG7886">
        <v>-0.110141699999999</v>
      </c>
      <c r="AH7886">
        <v>0.58212341087570096</v>
      </c>
      <c r="AI7886">
        <v>100.70349773160299</v>
      </c>
      <c r="AJ7886">
        <v>87.421297510556002</v>
      </c>
      <c r="AK7886">
        <v>0.59303136805156798</v>
      </c>
      <c r="AL7886">
        <v>67.485079858227294</v>
      </c>
      <c r="AM7886">
        <v>95.072826724065493</v>
      </c>
      <c r="AN7886">
        <v>0.99999999271353301</v>
      </c>
    </row>
    <row r="7887" spans="1:40" x14ac:dyDescent="0.25">
      <c r="A7887" t="str">
        <f>"20190304164315753"</f>
        <v>20190304164315753</v>
      </c>
      <c r="B7887" t="str">
        <f>"1551688995748674"</f>
        <v>1551688995748674</v>
      </c>
      <c r="C7887" t="s">
        <v>40</v>
      </c>
      <c r="D7887">
        <v>4.299811</v>
      </c>
      <c r="E7887">
        <v>0.53333719999999996</v>
      </c>
      <c r="F7887" t="s">
        <v>41</v>
      </c>
      <c r="G7887">
        <v>-163.792</v>
      </c>
      <c r="H7887">
        <v>1.0040070000000001</v>
      </c>
      <c r="I7887">
        <v>137.4674</v>
      </c>
      <c r="J7887">
        <v>-164.3552</v>
      </c>
      <c r="K7887">
        <v>1.108684</v>
      </c>
      <c r="L7887">
        <v>137.4734</v>
      </c>
      <c r="M7887">
        <v>0.99961109999999997</v>
      </c>
      <c r="N7887">
        <v>-1.4413399999999899E-2</v>
      </c>
      <c r="O7887">
        <v>2.3873140000000001E-2</v>
      </c>
      <c r="P7887">
        <v>0.9220296</v>
      </c>
      <c r="Q7887">
        <v>0.37011270000000002</v>
      </c>
      <c r="R7887">
        <v>0.113481399999999</v>
      </c>
      <c r="S7887">
        <v>3.415543</v>
      </c>
      <c r="T7887">
        <v>-0.41312130000000002</v>
      </c>
      <c r="U7887">
        <v>-3.3874510000000001E-3</v>
      </c>
      <c r="V7887">
        <v>-8.9401049999999996E-2</v>
      </c>
      <c r="W7887">
        <v>0.38387830000000001</v>
      </c>
      <c r="X7887">
        <v>0.91904569999999997</v>
      </c>
      <c r="Y7887">
        <v>2.4531879999999999E-2</v>
      </c>
      <c r="Z7887">
        <v>-4.189562E-3</v>
      </c>
      <c r="AA7887">
        <v>0.99969030000000003</v>
      </c>
      <c r="AB7887">
        <v>29</v>
      </c>
      <c r="AC7887">
        <v>0.56319999999999404</v>
      </c>
      <c r="AD7887">
        <v>-0.10467700000000001</v>
      </c>
      <c r="AE7887">
        <v>-6.0000000000002196E-3</v>
      </c>
      <c r="AF7887">
        <v>1.87958226163823E-2</v>
      </c>
      <c r="AG7887">
        <v>-0.10467700000000001</v>
      </c>
      <c r="AH7887">
        <v>0.54410264985818302</v>
      </c>
      <c r="AI7887">
        <v>100.883442640325</v>
      </c>
      <c r="AJ7887">
        <v>88.021525459335294</v>
      </c>
      <c r="AK7887">
        <v>0.55439899969202999</v>
      </c>
      <c r="AL7887">
        <v>67.425879744837701</v>
      </c>
      <c r="AM7887">
        <v>95.556020964993195</v>
      </c>
      <c r="AN7887">
        <v>1.00000004782024</v>
      </c>
    </row>
    <row r="7888" spans="1:40" x14ac:dyDescent="0.25">
      <c r="A7888" t="str">
        <f>"20190304164315775"</f>
        <v>20190304164315775</v>
      </c>
      <c r="B7888" t="str">
        <f>"1551688995769166"</f>
        <v>1551688995769166</v>
      </c>
      <c r="C7888" t="s">
        <v>40</v>
      </c>
      <c r="D7888">
        <v>4.3208219999999997</v>
      </c>
      <c r="E7888">
        <v>0.53313290000000002</v>
      </c>
      <c r="F7888" t="s">
        <v>41</v>
      </c>
      <c r="G7888">
        <v>-163.52780000000001</v>
      </c>
      <c r="H7888">
        <v>1.0159940000000001</v>
      </c>
      <c r="I7888">
        <v>137.5086</v>
      </c>
      <c r="J7888">
        <v>-164.06819999999999</v>
      </c>
      <c r="K7888">
        <v>1.1088709999999999</v>
      </c>
      <c r="L7888">
        <v>137.4778</v>
      </c>
      <c r="M7888">
        <v>0.99966029999999995</v>
      </c>
      <c r="N7888">
        <v>-1.432285E-2</v>
      </c>
      <c r="O7888">
        <v>2.1774100000000001E-2</v>
      </c>
      <c r="P7888">
        <v>0.92043010000000003</v>
      </c>
      <c r="Q7888">
        <v>0.37194640000000001</v>
      </c>
      <c r="R7888">
        <v>0.120267</v>
      </c>
      <c r="S7888">
        <v>3.3883359999999998</v>
      </c>
      <c r="T7888">
        <v>-0.37955509999999998</v>
      </c>
      <c r="U7888">
        <v>0.1439667</v>
      </c>
      <c r="V7888">
        <v>-9.8323750000000001E-2</v>
      </c>
      <c r="W7888">
        <v>0.38560800000000001</v>
      </c>
      <c r="X7888">
        <v>0.91740880000000002</v>
      </c>
      <c r="Y7888">
        <v>-2.064173E-2</v>
      </c>
      <c r="Z7888">
        <v>-8.1860649999999902E-4</v>
      </c>
      <c r="AA7888">
        <v>0.99978659999999997</v>
      </c>
      <c r="AB7888">
        <v>29</v>
      </c>
      <c r="AC7888">
        <v>0.54039999999997601</v>
      </c>
      <c r="AD7888">
        <v>-9.2876999999999793E-2</v>
      </c>
      <c r="AE7888">
        <v>3.07999999999992E-2</v>
      </c>
      <c r="AF7888">
        <v>-1.8480645822073202E-2</v>
      </c>
      <c r="AG7888">
        <v>-9.2876999999999793E-2</v>
      </c>
      <c r="AH7888">
        <v>0.52547128679427102</v>
      </c>
      <c r="AI7888">
        <v>100.017431563191</v>
      </c>
      <c r="AJ7888">
        <v>92.014242809543902</v>
      </c>
      <c r="AK7888">
        <v>0.53393608666602399</v>
      </c>
      <c r="AL7888">
        <v>67.318509119162997</v>
      </c>
      <c r="AM7888">
        <v>96.117352826093693</v>
      </c>
      <c r="AN7888">
        <v>0.99999999789775096</v>
      </c>
    </row>
    <row r="7889" spans="1:40" x14ac:dyDescent="0.25">
      <c r="A7889" t="str">
        <f>"20190304164315809"</f>
        <v>20190304164315809</v>
      </c>
      <c r="B7889" t="str">
        <f>"1551688995799423"</f>
        <v>1551688995799423</v>
      </c>
      <c r="C7889" t="s">
        <v>40</v>
      </c>
      <c r="D7889">
        <v>4.3209239999999998</v>
      </c>
      <c r="E7889">
        <v>0.53319059999999996</v>
      </c>
      <c r="F7889" t="s">
        <v>41</v>
      </c>
      <c r="G7889">
        <v>-163.26580000000001</v>
      </c>
      <c r="H7889">
        <v>1.0201880000000001</v>
      </c>
      <c r="I7889">
        <v>137.51910000000001</v>
      </c>
      <c r="J7889">
        <v>-163.64080000000001</v>
      </c>
      <c r="K7889">
        <v>1.1090819999999999</v>
      </c>
      <c r="L7889">
        <v>137.48330000000001</v>
      </c>
      <c r="M7889">
        <v>0.99972190000000005</v>
      </c>
      <c r="N7889">
        <v>-1.417126E-2</v>
      </c>
      <c r="O7889">
        <v>1.8847780000000001E-2</v>
      </c>
      <c r="P7889">
        <v>0.91967889999999997</v>
      </c>
      <c r="Q7889">
        <v>0.37160530000000003</v>
      </c>
      <c r="R7889">
        <v>0.12688650000000001</v>
      </c>
      <c r="S7889">
        <v>3.3877410000000001</v>
      </c>
      <c r="T7889">
        <v>-0.37445499999999998</v>
      </c>
      <c r="U7889">
        <v>0.17541499999999999</v>
      </c>
      <c r="V7889">
        <v>-0.107873</v>
      </c>
      <c r="W7889">
        <v>0.38510030000000001</v>
      </c>
      <c r="X7889">
        <v>0.91654860000000005</v>
      </c>
      <c r="Y7889">
        <v>-3.2738879999999998E-2</v>
      </c>
      <c r="Z7889">
        <v>2.2662689999999999E-4</v>
      </c>
      <c r="AA7889">
        <v>0.99946389999999996</v>
      </c>
      <c r="AB7889">
        <v>29</v>
      </c>
      <c r="AC7889">
        <v>0.375</v>
      </c>
      <c r="AD7889">
        <v>-8.8894000000000001E-2</v>
      </c>
      <c r="AE7889">
        <v>3.5799999999994697E-2</v>
      </c>
      <c r="AF7889">
        <v>-2.7209819271050099E-2</v>
      </c>
      <c r="AG7889">
        <v>-8.8894000000000001E-2</v>
      </c>
      <c r="AH7889">
        <v>0.35579553677244702</v>
      </c>
      <c r="AI7889">
        <v>103.988688113256</v>
      </c>
      <c r="AJ7889">
        <v>94.373239513468306</v>
      </c>
      <c r="AK7889">
        <v>0.36774037239329199</v>
      </c>
      <c r="AL7889">
        <v>67.350034779211597</v>
      </c>
      <c r="AM7889">
        <v>96.712534560874104</v>
      </c>
      <c r="AN7889">
        <v>1.00000008067552</v>
      </c>
    </row>
    <row r="7890" spans="1:40" x14ac:dyDescent="0.25">
      <c r="A7890" t="str">
        <f>"20190304164315831"</f>
        <v>20190304164315831</v>
      </c>
      <c r="B7890" t="str">
        <f>"1551688995818942"</f>
        <v>1551688995818942</v>
      </c>
      <c r="C7890" t="s">
        <v>40</v>
      </c>
      <c r="D7890">
        <v>4.2920129999999999</v>
      </c>
      <c r="E7890">
        <v>0.53334579999999998</v>
      </c>
      <c r="F7890" t="s">
        <v>41</v>
      </c>
      <c r="G7890">
        <v>-162.7561</v>
      </c>
      <c r="H7890">
        <v>1.0094700000000001</v>
      </c>
      <c r="I7890">
        <v>137.53450000000001</v>
      </c>
      <c r="J7890">
        <v>-163.35720000000001</v>
      </c>
      <c r="K7890">
        <v>1.1092029999999999</v>
      </c>
      <c r="L7890">
        <v>137.48650000000001</v>
      </c>
      <c r="M7890">
        <v>0.99975630000000004</v>
      </c>
      <c r="N7890">
        <v>-1.406167E-2</v>
      </c>
      <c r="O7890">
        <v>1.7022079999999998E-2</v>
      </c>
      <c r="P7890">
        <v>0.91956280000000001</v>
      </c>
      <c r="Q7890">
        <v>0.36982110000000001</v>
      </c>
      <c r="R7890">
        <v>0.13280330000000001</v>
      </c>
      <c r="S7890">
        <v>3.3890839999999902</v>
      </c>
      <c r="T7890">
        <v>-0.38159920000000003</v>
      </c>
      <c r="U7890">
        <v>0.19654849999999999</v>
      </c>
      <c r="V7890">
        <v>-0.11560860000000001</v>
      </c>
      <c r="W7890">
        <v>0.38320759999999998</v>
      </c>
      <c r="X7890">
        <v>0.91639870000000001</v>
      </c>
      <c r="Y7890">
        <v>-4.0687279999999999E-2</v>
      </c>
      <c r="Z7890">
        <v>8.9869449999999997E-4</v>
      </c>
      <c r="AA7890">
        <v>0.99917160000000005</v>
      </c>
      <c r="AB7890">
        <v>29</v>
      </c>
      <c r="AC7890">
        <v>0.60110000000000197</v>
      </c>
      <c r="AD7890">
        <v>-9.9733000000000002E-2</v>
      </c>
      <c r="AE7890">
        <v>4.8000000000001798E-2</v>
      </c>
      <c r="AF7890">
        <v>-3.6754666831674297E-2</v>
      </c>
      <c r="AG7890">
        <v>-9.9733000000000002E-2</v>
      </c>
      <c r="AH7890">
        <v>0.58580579227115803</v>
      </c>
      <c r="AI7890">
        <v>99.643319854835497</v>
      </c>
      <c r="AJ7890">
        <v>93.590149672331606</v>
      </c>
      <c r="AK7890">
        <v>0.59537047548677402</v>
      </c>
      <c r="AL7890">
        <v>67.467489019539897</v>
      </c>
      <c r="AM7890">
        <v>97.190185400048307</v>
      </c>
      <c r="AN7890">
        <v>0.99999999522670402</v>
      </c>
    </row>
    <row r="7891" spans="1:40" x14ac:dyDescent="0.25">
      <c r="A7891" t="str">
        <f>"20190304164315854"</f>
        <v>20190304164315854</v>
      </c>
      <c r="B7891" t="str">
        <f>"1551688995849199"</f>
        <v>1551688995849199</v>
      </c>
      <c r="C7891" t="s">
        <v>40</v>
      </c>
      <c r="D7891">
        <v>4.3067769999999896</v>
      </c>
      <c r="E7891">
        <v>0.53597469999999903</v>
      </c>
      <c r="F7891" t="s">
        <v>41</v>
      </c>
      <c r="G7891">
        <v>-162.49719999999999</v>
      </c>
      <c r="H7891">
        <v>1.009895</v>
      </c>
      <c r="I7891">
        <v>137.53880000000001</v>
      </c>
      <c r="J7891">
        <v>-163.0617</v>
      </c>
      <c r="K7891">
        <v>1.109318</v>
      </c>
      <c r="L7891">
        <v>137.48939999999999</v>
      </c>
      <c r="M7891">
        <v>0.99978699999999998</v>
      </c>
      <c r="N7891">
        <v>-1.394419E-2</v>
      </c>
      <c r="O7891">
        <v>1.5229400000000001E-2</v>
      </c>
      <c r="P7891">
        <v>0.91958709999999999</v>
      </c>
      <c r="Q7891">
        <v>0.368701</v>
      </c>
      <c r="R7891">
        <v>0.13571820000000001</v>
      </c>
      <c r="S7891">
        <v>3.389999</v>
      </c>
      <c r="T7891">
        <v>-0.39148139999999998</v>
      </c>
      <c r="U7891">
        <v>0.2067871</v>
      </c>
      <c r="V7891">
        <v>-0.1203056</v>
      </c>
      <c r="W7891">
        <v>0.38195600000000002</v>
      </c>
      <c r="X7891">
        <v>0.91631660000000004</v>
      </c>
      <c r="Y7891">
        <v>-4.5416900000000003E-2</v>
      </c>
      <c r="Z7891">
        <v>1.390014E-3</v>
      </c>
      <c r="AA7891">
        <v>0.99896719999999894</v>
      </c>
      <c r="AB7891">
        <v>29</v>
      </c>
      <c r="AC7891">
        <v>0.56450000000000899</v>
      </c>
      <c r="AD7891">
        <v>-9.9422999999999997E-2</v>
      </c>
      <c r="AE7891">
        <v>4.9400000000019803E-2</v>
      </c>
      <c r="AF7891">
        <v>-3.9578047568800602E-2</v>
      </c>
      <c r="AG7891">
        <v>-9.9422999999999997E-2</v>
      </c>
      <c r="AH7891">
        <v>0.54830753293193302</v>
      </c>
      <c r="AI7891">
        <v>100.25150197932</v>
      </c>
      <c r="AJ7891">
        <v>94.128575391795806</v>
      </c>
      <c r="AK7891">
        <v>0.55865240127315396</v>
      </c>
      <c r="AL7891">
        <v>67.545104690950097</v>
      </c>
      <c r="AM7891">
        <v>97.479730445298898</v>
      </c>
      <c r="AN7891">
        <v>0.99999996738145902</v>
      </c>
    </row>
    <row r="7892" spans="1:40" x14ac:dyDescent="0.25">
      <c r="A7892" t="str">
        <f>"20190304164315875"</f>
        <v>20190304164315875</v>
      </c>
      <c r="B7892" t="str">
        <f>"1551688995868731"</f>
        <v>1551688995868731</v>
      </c>
      <c r="C7892" t="s">
        <v>40</v>
      </c>
      <c r="D7892">
        <v>4.3150940000000002</v>
      </c>
      <c r="E7892">
        <v>0.53618259999999995</v>
      </c>
      <c r="F7892" t="s">
        <v>41</v>
      </c>
      <c r="G7892">
        <v>-162.24039999999999</v>
      </c>
      <c r="H7892">
        <v>1.0099359999999999</v>
      </c>
      <c r="I7892">
        <v>137.53620000000001</v>
      </c>
      <c r="J7892">
        <v>-162.78049999999999</v>
      </c>
      <c r="K7892">
        <v>1.1094469999999901</v>
      </c>
      <c r="L7892">
        <v>137.49189999999999</v>
      </c>
      <c r="M7892">
        <v>0.9998108</v>
      </c>
      <c r="N7892">
        <v>-1.382331E-2</v>
      </c>
      <c r="O7892">
        <v>1.3692879999999999E-2</v>
      </c>
      <c r="P7892">
        <v>0.91956439999999995</v>
      </c>
      <c r="Q7892">
        <v>0.36882949999999998</v>
      </c>
      <c r="R7892">
        <v>0.13552159999999999</v>
      </c>
      <c r="S7892">
        <v>3.3985289999999999</v>
      </c>
      <c r="T7892">
        <v>-0.4112693</v>
      </c>
      <c r="U7892">
        <v>0.19447329999999999</v>
      </c>
      <c r="V7892">
        <v>-0.1216608</v>
      </c>
      <c r="W7892">
        <v>0.38193260000000001</v>
      </c>
      <c r="X7892">
        <v>0.9161475</v>
      </c>
      <c r="Y7892">
        <v>-4.3180070000000001E-2</v>
      </c>
      <c r="Z7892">
        <v>1.440083E-3</v>
      </c>
      <c r="AA7892">
        <v>0.99906629999999996</v>
      </c>
      <c r="AB7892">
        <v>29</v>
      </c>
      <c r="AC7892">
        <v>0.54009999999999503</v>
      </c>
      <c r="AD7892">
        <v>-9.95109999999996E-2</v>
      </c>
      <c r="AE7892">
        <v>4.43000000000211E-2</v>
      </c>
      <c r="AF7892">
        <v>-3.5695963548558203E-2</v>
      </c>
      <c r="AG7892">
        <v>-9.95109999999996E-2</v>
      </c>
      <c r="AH7892">
        <v>0.52302000464487697</v>
      </c>
      <c r="AI7892">
        <v>100.748053775716</v>
      </c>
      <c r="AJ7892">
        <v>93.904365629473304</v>
      </c>
      <c r="AK7892">
        <v>0.53359775692312195</v>
      </c>
      <c r="AL7892">
        <v>67.546557388269903</v>
      </c>
      <c r="AM7892">
        <v>97.564396779664193</v>
      </c>
      <c r="AN7892">
        <v>1.00000005147782</v>
      </c>
    </row>
    <row r="7893" spans="1:40" x14ac:dyDescent="0.25">
      <c r="A7893" t="str">
        <f>"20190304164315897"</f>
        <v>20190304164315897</v>
      </c>
      <c r="B7893" t="str">
        <f>"1551688995889214"</f>
        <v>1551688995889214</v>
      </c>
      <c r="C7893" t="s">
        <v>40</v>
      </c>
      <c r="D7893">
        <v>4.3103669999999896</v>
      </c>
      <c r="E7893">
        <v>0.53678459999999995</v>
      </c>
      <c r="F7893" t="s">
        <v>41</v>
      </c>
      <c r="G7893">
        <v>-161.98089999999999</v>
      </c>
      <c r="H7893">
        <v>1.01232099999999</v>
      </c>
      <c r="I7893">
        <v>137.53809999999999</v>
      </c>
      <c r="J7893">
        <v>-162.49510000000001</v>
      </c>
      <c r="K7893">
        <v>1.1096079999999999</v>
      </c>
      <c r="L7893">
        <v>137.4941</v>
      </c>
      <c r="M7893">
        <v>0.99983</v>
      </c>
      <c r="N7893">
        <v>-1.368729E-2</v>
      </c>
      <c r="O7893">
        <v>1.2356249999999999E-2</v>
      </c>
      <c r="P7893">
        <v>0.91956950000000004</v>
      </c>
      <c r="Q7893">
        <v>0.36884889999999998</v>
      </c>
      <c r="R7893">
        <v>0.13543520000000001</v>
      </c>
      <c r="S7893">
        <v>3.3990629999999999</v>
      </c>
      <c r="T7893">
        <v>-0.41284890000000002</v>
      </c>
      <c r="U7893">
        <v>0.19645689999999999</v>
      </c>
      <c r="V7893">
        <v>-0.1229734</v>
      </c>
      <c r="W7893">
        <v>0.38177489999999997</v>
      </c>
      <c r="X7893">
        <v>0.91603789999999996</v>
      </c>
      <c r="Y7893">
        <v>-4.5063480000000003E-2</v>
      </c>
      <c r="Z7893">
        <v>1.7089179999999901E-3</v>
      </c>
      <c r="AA7893">
        <v>0.9989827</v>
      </c>
      <c r="AB7893">
        <v>29</v>
      </c>
      <c r="AC7893">
        <v>0.51420000000001598</v>
      </c>
      <c r="AD7893">
        <v>-9.7287000000000096E-2</v>
      </c>
      <c r="AE7893">
        <v>4.3999999999982699E-2</v>
      </c>
      <c r="AF7893">
        <v>-3.6350678428421102E-2</v>
      </c>
      <c r="AG7893">
        <v>-9.7287000000000096E-2</v>
      </c>
      <c r="AH7893">
        <v>0.497041258566224</v>
      </c>
      <c r="AI7893">
        <v>101.04584879180899</v>
      </c>
      <c r="AJ7893">
        <v>94.182829981906707</v>
      </c>
      <c r="AK7893">
        <v>0.50777568365204595</v>
      </c>
      <c r="AL7893">
        <v>67.556332133293196</v>
      </c>
      <c r="AM7893">
        <v>97.645952854215594</v>
      </c>
      <c r="AN7893">
        <v>0.99999998280698899</v>
      </c>
    </row>
    <row r="7894" spans="1:40" x14ac:dyDescent="0.25">
      <c r="A7894" t="str">
        <f>"20190304164315920"</f>
        <v>20190304164315920</v>
      </c>
      <c r="B7894" t="str">
        <f>"1551688995908735"</f>
        <v>1551688995908735</v>
      </c>
      <c r="C7894" t="s">
        <v>40</v>
      </c>
      <c r="D7894">
        <v>4.3559999999999999</v>
      </c>
      <c r="E7894">
        <v>0.53699479999999999</v>
      </c>
      <c r="F7894" t="s">
        <v>41</v>
      </c>
      <c r="G7894">
        <v>-161.72130000000001</v>
      </c>
      <c r="H7894">
        <v>1.0158940000000001</v>
      </c>
      <c r="I7894">
        <v>137.53749999999999</v>
      </c>
      <c r="J7894">
        <v>-162.20330000000001</v>
      </c>
      <c r="K7894">
        <v>1.1098059999999901</v>
      </c>
      <c r="L7894">
        <v>137.49639999999999</v>
      </c>
      <c r="M7894">
        <v>0.99984510000000004</v>
      </c>
      <c r="N7894">
        <v>-1.3535180000000001E-2</v>
      </c>
      <c r="O7894">
        <v>1.1256449999999999E-2</v>
      </c>
      <c r="P7894">
        <v>0.91970629999999998</v>
      </c>
      <c r="Q7894">
        <v>0.36836649999999999</v>
      </c>
      <c r="R7894">
        <v>0.13581940000000001</v>
      </c>
      <c r="S7894">
        <v>3.3994450000000001</v>
      </c>
      <c r="T7894">
        <v>-0.4117266</v>
      </c>
      <c r="U7894">
        <v>0.19088749999999999</v>
      </c>
      <c r="V7894">
        <v>-0.124572699999999</v>
      </c>
      <c r="W7894">
        <v>0.38109159999999997</v>
      </c>
      <c r="X7894">
        <v>0.91610630000000004</v>
      </c>
      <c r="Y7894">
        <v>-4.4524649999999999E-2</v>
      </c>
      <c r="Z7894">
        <v>1.781789E-3</v>
      </c>
      <c r="AA7894">
        <v>0.99900670000000003</v>
      </c>
      <c r="AB7894">
        <v>29</v>
      </c>
      <c r="AC7894">
        <v>0.48199999999999898</v>
      </c>
      <c r="AD7894">
        <v>-9.3911999999999704E-2</v>
      </c>
      <c r="AE7894">
        <v>4.1100000000000102E-2</v>
      </c>
      <c r="AF7894">
        <v>-3.4375740913925798E-2</v>
      </c>
      <c r="AG7894">
        <v>-9.3911999999999704E-2</v>
      </c>
      <c r="AH7894">
        <v>0.46491063905796298</v>
      </c>
      <c r="AI7894">
        <v>101.389803364763</v>
      </c>
      <c r="AJ7894">
        <v>94.228785194811607</v>
      </c>
      <c r="AK7894">
        <v>0.47554501113634301</v>
      </c>
      <c r="AL7894">
        <v>67.598683758644498</v>
      </c>
      <c r="AM7894">
        <v>97.743620152902494</v>
      </c>
      <c r="AN7894">
        <v>0.99999995903776895</v>
      </c>
    </row>
    <row r="7895" spans="1:40" x14ac:dyDescent="0.25">
      <c r="A7895" t="str">
        <f>"20190304164315944"</f>
        <v>20190304164315944</v>
      </c>
      <c r="B7895" t="str">
        <f>"1551688995938990"</f>
        <v>1551688995938990</v>
      </c>
      <c r="C7895" t="s">
        <v>40</v>
      </c>
      <c r="D7895">
        <v>4.358975</v>
      </c>
      <c r="E7895">
        <v>0.54517459999999995</v>
      </c>
      <c r="F7895" t="s">
        <v>41</v>
      </c>
      <c r="G7895">
        <v>-161.46170000000001</v>
      </c>
      <c r="H7895">
        <v>1.019652</v>
      </c>
      <c r="I7895">
        <v>137.53720000000001</v>
      </c>
      <c r="J7895">
        <v>-161.9076</v>
      </c>
      <c r="K7895">
        <v>1.110026</v>
      </c>
      <c r="L7895">
        <v>137.49870000000001</v>
      </c>
      <c r="M7895">
        <v>0.99985570000000001</v>
      </c>
      <c r="N7895">
        <v>-1.337502E-2</v>
      </c>
      <c r="O7895">
        <v>1.047473E-2</v>
      </c>
      <c r="P7895">
        <v>0.91972319999999996</v>
      </c>
      <c r="Q7895">
        <v>0.3688381</v>
      </c>
      <c r="R7895">
        <v>0.13441649999999999</v>
      </c>
      <c r="S7895">
        <v>3.39975</v>
      </c>
      <c r="T7895">
        <v>-0.41334559999999998</v>
      </c>
      <c r="U7895">
        <v>0.1876526</v>
      </c>
      <c r="V7895">
        <v>-0.1241196</v>
      </c>
      <c r="W7895">
        <v>0.38133810000000001</v>
      </c>
      <c r="X7895">
        <v>0.91606529999999997</v>
      </c>
      <c r="Y7895">
        <v>-4.4348520000000002E-2</v>
      </c>
      <c r="Z7895">
        <v>1.853848E-3</v>
      </c>
      <c r="AA7895">
        <v>0.99901439999999997</v>
      </c>
      <c r="AB7895">
        <v>29</v>
      </c>
      <c r="AC7895">
        <v>0.44589999999999402</v>
      </c>
      <c r="AD7895">
        <v>-9.0373999999999899E-2</v>
      </c>
      <c r="AE7895">
        <v>3.8499999999999E-2</v>
      </c>
      <c r="AF7895">
        <v>-3.2501559551679403E-2</v>
      </c>
      <c r="AG7895">
        <v>-9.0373999999999899E-2</v>
      </c>
      <c r="AH7895">
        <v>0.42879503267524</v>
      </c>
      <c r="AI7895">
        <v>101.86855110896001</v>
      </c>
      <c r="AJ7895">
        <v>94.334584170337806</v>
      </c>
      <c r="AK7895">
        <v>0.43941892459957999</v>
      </c>
      <c r="AL7895">
        <v>67.583408349379795</v>
      </c>
      <c r="AM7895">
        <v>97.716135863288898</v>
      </c>
      <c r="AN7895">
        <v>1.0000000277399199</v>
      </c>
    </row>
    <row r="7896" spans="1:40" x14ac:dyDescent="0.25">
      <c r="A7896" t="str">
        <f>"20190304164315966"</f>
        <v>20190304164315966</v>
      </c>
      <c r="B7896" t="str">
        <f>"1551688995958514"</f>
        <v>1551688995958514</v>
      </c>
      <c r="C7896" t="s">
        <v>40</v>
      </c>
      <c r="D7896">
        <v>4.3295399999999997</v>
      </c>
      <c r="E7896">
        <v>0.54589239999999895</v>
      </c>
      <c r="F7896" t="s">
        <v>41</v>
      </c>
      <c r="G7896">
        <v>-160.96</v>
      </c>
      <c r="H7896">
        <v>0.9997878</v>
      </c>
      <c r="I7896">
        <v>137.53149999999999</v>
      </c>
      <c r="J7896">
        <v>-161.62280000000001</v>
      </c>
      <c r="K7896">
        <v>1.11025</v>
      </c>
      <c r="L7896">
        <v>137.50110000000001</v>
      </c>
      <c r="M7896">
        <v>0.99986220000000003</v>
      </c>
      <c r="N7896">
        <v>-1.32222E-2</v>
      </c>
      <c r="O7896">
        <v>1.003485E-2</v>
      </c>
      <c r="P7896">
        <v>0.91999549999999997</v>
      </c>
      <c r="Q7896">
        <v>0.36905070000000001</v>
      </c>
      <c r="R7896">
        <v>0.13194639999999999</v>
      </c>
      <c r="S7896">
        <v>3.403397</v>
      </c>
      <c r="T7896">
        <v>-0.39597310000000002</v>
      </c>
      <c r="U7896">
        <v>0.11801150000000001</v>
      </c>
      <c r="V7896">
        <v>-0.1222733</v>
      </c>
      <c r="W7896">
        <v>0.3813394</v>
      </c>
      <c r="X7896">
        <v>0.91631300000000004</v>
      </c>
      <c r="Y7896">
        <v>-2.4491559999999999E-2</v>
      </c>
      <c r="Z7896">
        <v>5.5119700000000002E-4</v>
      </c>
      <c r="AA7896">
        <v>0.99969989999999997</v>
      </c>
      <c r="AB7896">
        <v>29</v>
      </c>
      <c r="AC7896">
        <v>0.66280000000000405</v>
      </c>
      <c r="AD7896">
        <v>-0.110462199999999</v>
      </c>
      <c r="AE7896">
        <v>3.03999999999859E-2</v>
      </c>
      <c r="AF7896">
        <v>-2.3106345123638E-2</v>
      </c>
      <c r="AG7896">
        <v>-0.110462199999999</v>
      </c>
      <c r="AH7896">
        <v>0.64518886444590795</v>
      </c>
      <c r="AI7896">
        <v>99.709255974289505</v>
      </c>
      <c r="AJ7896">
        <v>92.051074587854501</v>
      </c>
      <c r="AK7896">
        <v>0.65498432929255102</v>
      </c>
      <c r="AL7896">
        <v>67.583327260853395</v>
      </c>
      <c r="AM7896">
        <v>97.600678387015904</v>
      </c>
      <c r="AN7896">
        <v>1.0000000059271199</v>
      </c>
    </row>
    <row r="7897" spans="1:40" x14ac:dyDescent="0.25">
      <c r="A7897" t="str">
        <f>"20190304164315987"</f>
        <v>20190304164315987</v>
      </c>
      <c r="B7897" t="str">
        <f>"1551688995979007"</f>
        <v>1551688995979007</v>
      </c>
      <c r="C7897" t="s">
        <v>40</v>
      </c>
      <c r="D7897">
        <v>4.3211830000000004</v>
      </c>
      <c r="E7897">
        <v>0.54632789999999998</v>
      </c>
      <c r="F7897" t="s">
        <v>41</v>
      </c>
      <c r="G7897">
        <v>-160.70099999999999</v>
      </c>
      <c r="H7897">
        <v>1.0043629999999999</v>
      </c>
      <c r="I7897">
        <v>137.52930000000001</v>
      </c>
      <c r="J7897">
        <v>-161.3381</v>
      </c>
      <c r="K7897">
        <v>1.1104499999999999</v>
      </c>
      <c r="L7897">
        <v>137.50360000000001</v>
      </c>
      <c r="M7897">
        <v>0.99986600000000003</v>
      </c>
      <c r="N7897">
        <v>-1.307759E-2</v>
      </c>
      <c r="O7897">
        <v>9.847349E-3</v>
      </c>
      <c r="P7897">
        <v>0.92052679999999998</v>
      </c>
      <c r="Q7897">
        <v>0.3687221</v>
      </c>
      <c r="R7897">
        <v>0.1291291</v>
      </c>
      <c r="S7897">
        <v>3.402679</v>
      </c>
      <c r="T7897">
        <v>-0.39095560000000001</v>
      </c>
      <c r="U7897">
        <v>0.1048279</v>
      </c>
      <c r="V7897">
        <v>-0.1198149</v>
      </c>
      <c r="W7897">
        <v>0.38082100000000002</v>
      </c>
      <c r="X7897">
        <v>0.91685320000000003</v>
      </c>
      <c r="Y7897">
        <v>-2.084592E-2</v>
      </c>
      <c r="Z7897">
        <v>3.3119010000000001E-4</v>
      </c>
      <c r="AA7897">
        <v>0.99978259999999997</v>
      </c>
      <c r="AB7897">
        <v>29</v>
      </c>
      <c r="AC7897">
        <v>0.637100000000003</v>
      </c>
      <c r="AD7897">
        <v>-0.106087</v>
      </c>
      <c r="AE7897">
        <v>2.57000000000005E-2</v>
      </c>
      <c r="AF7897">
        <v>-1.89012403251979E-2</v>
      </c>
      <c r="AG7897">
        <v>-0.106087</v>
      </c>
      <c r="AH7897">
        <v>0.62015485700765705</v>
      </c>
      <c r="AI7897">
        <v>99.702939823204005</v>
      </c>
      <c r="AJ7897">
        <v>91.745735187040694</v>
      </c>
      <c r="AK7897">
        <v>0.62944718215670703</v>
      </c>
      <c r="AL7897">
        <v>67.615453850753894</v>
      </c>
      <c r="AM7897">
        <v>97.445254607218899</v>
      </c>
      <c r="AN7897">
        <v>1.0000000173266199</v>
      </c>
    </row>
    <row r="7898" spans="1:40" x14ac:dyDescent="0.25">
      <c r="A7898" t="str">
        <f>"20190304164316010"</f>
        <v>20190304164316010</v>
      </c>
      <c r="B7898" t="str">
        <f>"1551688995998527"</f>
        <v>1551688995998527</v>
      </c>
      <c r="C7898" t="s">
        <v>40</v>
      </c>
      <c r="D7898">
        <v>4.3639320000000001</v>
      </c>
      <c r="E7898">
        <v>0.54646589999999995</v>
      </c>
      <c r="F7898" t="s">
        <v>41</v>
      </c>
      <c r="G7898">
        <v>-160.4427</v>
      </c>
      <c r="H7898">
        <v>1.0074959999999999</v>
      </c>
      <c r="I7898">
        <v>137.52809999999999</v>
      </c>
      <c r="J7898">
        <v>-161.05369999999999</v>
      </c>
      <c r="K7898">
        <v>1.110608</v>
      </c>
      <c r="L7898">
        <v>137.50630000000001</v>
      </c>
      <c r="M7898">
        <v>0.99986719999999896</v>
      </c>
      <c r="N7898">
        <v>-1.294461E-2</v>
      </c>
      <c r="O7898">
        <v>9.9169359999999995E-3</v>
      </c>
      <c r="P7898">
        <v>0.92116399999999998</v>
      </c>
      <c r="Q7898">
        <v>0.36816860000000001</v>
      </c>
      <c r="R7898">
        <v>0.12613179999999999</v>
      </c>
      <c r="S7898">
        <v>3.4026640000000001</v>
      </c>
      <c r="T7898">
        <v>-0.39119730000000003</v>
      </c>
      <c r="U7898">
        <v>9.2956540000000004E-2</v>
      </c>
      <c r="V7898">
        <v>-0.1169147</v>
      </c>
      <c r="W7898">
        <v>0.3801004</v>
      </c>
      <c r="X7898">
        <v>0.91752639999999996</v>
      </c>
      <c r="Y7898">
        <v>-1.7317639999999999E-2</v>
      </c>
      <c r="Z7898" s="1">
        <v>9.6415340000000001E-5</v>
      </c>
      <c r="AA7898">
        <v>0.99985000000000002</v>
      </c>
      <c r="AB7898">
        <v>29</v>
      </c>
      <c r="AC7898">
        <v>0.61099999999999</v>
      </c>
      <c r="AD7898">
        <v>-0.103112</v>
      </c>
      <c r="AE7898">
        <v>2.17999999999847E-2</v>
      </c>
      <c r="AF7898">
        <v>-1.5303876921635101E-2</v>
      </c>
      <c r="AG7898">
        <v>-0.103112</v>
      </c>
      <c r="AH7898">
        <v>0.59428266029227195</v>
      </c>
      <c r="AI7898">
        <v>99.840006554245207</v>
      </c>
      <c r="AJ7898">
        <v>91.475146195671698</v>
      </c>
      <c r="AK7898">
        <v>0.60335576032461402</v>
      </c>
      <c r="AL7898">
        <v>67.660098855327504</v>
      </c>
      <c r="AM7898">
        <v>97.261712276001603</v>
      </c>
      <c r="AN7898">
        <v>1.0000000279265999</v>
      </c>
    </row>
    <row r="7899" spans="1:40" x14ac:dyDescent="0.25">
      <c r="A7899" t="str">
        <f>"20190304164316033"</f>
        <v>20190304164316033</v>
      </c>
      <c r="B7899" t="str">
        <f>"1551688996029760"</f>
        <v>1551688996029760</v>
      </c>
      <c r="C7899" t="s">
        <v>40</v>
      </c>
      <c r="D7899">
        <v>4.3583939999999997</v>
      </c>
      <c r="E7899">
        <v>0.5463654</v>
      </c>
      <c r="F7899" t="s">
        <v>41</v>
      </c>
      <c r="G7899">
        <v>-160.18459999999999</v>
      </c>
      <c r="H7899">
        <v>1.0102869999999999</v>
      </c>
      <c r="I7899">
        <v>137.52690000000001</v>
      </c>
      <c r="J7899">
        <v>-160.76140000000001</v>
      </c>
      <c r="K7899">
        <v>1.11076</v>
      </c>
      <c r="L7899">
        <v>137.5094</v>
      </c>
      <c r="M7899">
        <v>0.99986549999999996</v>
      </c>
      <c r="N7899">
        <v>-1.28208E-2</v>
      </c>
      <c r="O7899">
        <v>1.023689E-2</v>
      </c>
      <c r="P7899">
        <v>0.92223569999999999</v>
      </c>
      <c r="Q7899">
        <v>0.36649939999999998</v>
      </c>
      <c r="R7899">
        <v>0.1231256</v>
      </c>
      <c r="S7899">
        <v>3.402695</v>
      </c>
      <c r="T7899">
        <v>-0.3928567</v>
      </c>
      <c r="U7899">
        <v>8.0825809999999998E-2</v>
      </c>
      <c r="V7899">
        <v>-0.1137591</v>
      </c>
      <c r="W7899">
        <v>0.3782838</v>
      </c>
      <c r="X7899">
        <v>0.91867310000000002</v>
      </c>
      <c r="Y7899">
        <v>-1.346499E-2</v>
      </c>
      <c r="Z7899">
        <v>-1.856502E-4</v>
      </c>
      <c r="AA7899">
        <v>0.9999093</v>
      </c>
      <c r="AB7899">
        <v>29</v>
      </c>
      <c r="AC7899">
        <v>0.57680000000001996</v>
      </c>
      <c r="AD7899">
        <v>-0.10047299999999899</v>
      </c>
      <c r="AE7899">
        <v>1.7500000000012499E-2</v>
      </c>
      <c r="AF7899">
        <v>-1.12528371803996E-2</v>
      </c>
      <c r="AG7899">
        <v>-0.10047299999999899</v>
      </c>
      <c r="AH7899">
        <v>0.55997367863027103</v>
      </c>
      <c r="AI7899">
        <v>100.170021528387</v>
      </c>
      <c r="AJ7899">
        <v>91.151220739637296</v>
      </c>
      <c r="AK7899">
        <v>0.56902721449182603</v>
      </c>
      <c r="AL7899">
        <v>67.772582635888099</v>
      </c>
      <c r="AM7899">
        <v>97.058990464766694</v>
      </c>
      <c r="AN7899">
        <v>1.00000001541943</v>
      </c>
    </row>
    <row r="7900" spans="1:40" x14ac:dyDescent="0.25">
      <c r="A7900" t="str">
        <f>"20190304164316055"</f>
        <v>20190304164316055</v>
      </c>
      <c r="B7900" t="str">
        <f>"1551688996049278"</f>
        <v>1551688996049278</v>
      </c>
      <c r="C7900" t="s">
        <v>40</v>
      </c>
      <c r="D7900">
        <v>4.2961809999999998</v>
      </c>
      <c r="E7900">
        <v>0.54613809999999996</v>
      </c>
      <c r="F7900" t="s">
        <v>41</v>
      </c>
      <c r="G7900">
        <v>-159.92670000000001</v>
      </c>
      <c r="H7900">
        <v>1.0128539999999999</v>
      </c>
      <c r="I7900">
        <v>137.52709999999999</v>
      </c>
      <c r="J7900">
        <v>-160.47880000000001</v>
      </c>
      <c r="K7900">
        <v>1.1109020000000001</v>
      </c>
      <c r="L7900">
        <v>137.51259999999999</v>
      </c>
      <c r="M7900">
        <v>0.99986160000000002</v>
      </c>
      <c r="N7900">
        <v>-1.2713169999999999E-2</v>
      </c>
      <c r="O7900">
        <v>1.073591E-2</v>
      </c>
      <c r="P7900">
        <v>0.92316480000000001</v>
      </c>
      <c r="Q7900">
        <v>0.36528100000000002</v>
      </c>
      <c r="R7900">
        <v>0.1197365</v>
      </c>
      <c r="S7900">
        <v>3.4019469999999998</v>
      </c>
      <c r="T7900">
        <v>-0.39894879999999999</v>
      </c>
      <c r="U7900">
        <v>7.1746829999999998E-2</v>
      </c>
      <c r="V7900">
        <v>-0.1100385</v>
      </c>
      <c r="W7900">
        <v>0.37693939999999998</v>
      </c>
      <c r="X7900">
        <v>0.91967829999999995</v>
      </c>
      <c r="Y7900">
        <v>-1.03296E-2</v>
      </c>
      <c r="Z7900">
        <v>-4.489842E-4</v>
      </c>
      <c r="AA7900">
        <v>0.99994649999999996</v>
      </c>
      <c r="AB7900">
        <v>29</v>
      </c>
      <c r="AC7900">
        <v>0.55209999999999504</v>
      </c>
      <c r="AD7900">
        <v>-9.8047999999999899E-2</v>
      </c>
      <c r="AE7900">
        <v>1.4499999999998099E-2</v>
      </c>
      <c r="AF7900">
        <v>-8.3095004357801698E-3</v>
      </c>
      <c r="AG7900">
        <v>-9.8047999999999899E-2</v>
      </c>
      <c r="AH7900">
        <v>0.53535128442181401</v>
      </c>
      <c r="AI7900">
        <v>100.377307612992</v>
      </c>
      <c r="AJ7900">
        <v>90.889249900628698</v>
      </c>
      <c r="AK7900">
        <v>0.54431925910588297</v>
      </c>
      <c r="AL7900">
        <v>67.855769092721502</v>
      </c>
      <c r="AM7900">
        <v>96.822941795086805</v>
      </c>
      <c r="AN7900">
        <v>0.99999997912274996</v>
      </c>
    </row>
    <row r="7901" spans="1:40" x14ac:dyDescent="0.25">
      <c r="A7901" t="str">
        <f>"20190304164316077"</f>
        <v>20190304164316077</v>
      </c>
      <c r="B7901" t="str">
        <f>"1551688996068798"</f>
        <v>1551688996068798</v>
      </c>
      <c r="C7901" t="s">
        <v>40</v>
      </c>
      <c r="D7901">
        <v>4.276484</v>
      </c>
      <c r="E7901">
        <v>0.54607799999999995</v>
      </c>
      <c r="F7901" t="s">
        <v>41</v>
      </c>
      <c r="G7901">
        <v>-159.66909999999999</v>
      </c>
      <c r="H7901">
        <v>1.0148629999999901</v>
      </c>
      <c r="I7901">
        <v>137.52789999999999</v>
      </c>
      <c r="J7901">
        <v>-160.19220000000001</v>
      </c>
      <c r="K7901">
        <v>1.1110249999999999</v>
      </c>
      <c r="L7901">
        <v>137.5162</v>
      </c>
      <c r="M7901">
        <v>0.99985579999999996</v>
      </c>
      <c r="N7901">
        <v>-1.261926E-2</v>
      </c>
      <c r="O7901">
        <v>1.1370369999999999E-2</v>
      </c>
      <c r="P7901">
        <v>0.92393360000000002</v>
      </c>
      <c r="Q7901">
        <v>0.3639887</v>
      </c>
      <c r="R7901">
        <v>0.117724</v>
      </c>
      <c r="S7901">
        <v>3.400925</v>
      </c>
      <c r="T7901">
        <v>-0.40351340000000002</v>
      </c>
      <c r="U7901">
        <v>6.4895629999999996E-2</v>
      </c>
      <c r="V7901">
        <v>-0.1075509</v>
      </c>
      <c r="W7901">
        <v>0.37553799999999998</v>
      </c>
      <c r="X7901">
        <v>0.92054550000000002</v>
      </c>
      <c r="Y7901">
        <v>-7.7116449999999996E-3</v>
      </c>
      <c r="Z7901">
        <v>-6.9644409999999998E-4</v>
      </c>
      <c r="AA7901">
        <v>0.99997000000000003</v>
      </c>
      <c r="AB7901">
        <v>29</v>
      </c>
      <c r="AC7901">
        <v>0.52310000000002699</v>
      </c>
      <c r="AD7901">
        <v>-9.6161999999999997E-2</v>
      </c>
      <c r="AE7901">
        <v>1.16999999999904E-2</v>
      </c>
      <c r="AF7901">
        <v>-5.5630277360397204E-3</v>
      </c>
      <c r="AG7901">
        <v>-9.6161999999999997E-2</v>
      </c>
      <c r="AH7901">
        <v>0.50610455864482096</v>
      </c>
      <c r="AI7901">
        <v>100.757565560693</v>
      </c>
      <c r="AJ7901">
        <v>90.629761517340995</v>
      </c>
      <c r="AK7901">
        <v>0.51518919030067101</v>
      </c>
      <c r="AL7901">
        <v>67.942431616295593</v>
      </c>
      <c r="AM7901">
        <v>96.663876678147304</v>
      </c>
      <c r="AN7901">
        <v>1.0000000015525301</v>
      </c>
    </row>
    <row r="7902" spans="1:40" x14ac:dyDescent="0.25">
      <c r="A7902" t="str">
        <f>"20190304164316099"</f>
        <v>20190304164316099</v>
      </c>
      <c r="B7902" t="str">
        <f>"1551688996089295"</f>
        <v>1551688996089295</v>
      </c>
      <c r="C7902" t="s">
        <v>40</v>
      </c>
      <c r="D7902">
        <v>4.3709319999999998</v>
      </c>
      <c r="E7902">
        <v>0.54432959999999997</v>
      </c>
      <c r="F7902" t="s">
        <v>41</v>
      </c>
      <c r="G7902">
        <v>-159.41139999999999</v>
      </c>
      <c r="H7902">
        <v>1.01722</v>
      </c>
      <c r="I7902">
        <v>137.53020000000001</v>
      </c>
      <c r="J7902">
        <v>-159.91290000000001</v>
      </c>
      <c r="K7902">
        <v>1.111116</v>
      </c>
      <c r="L7902">
        <v>137.52000000000001</v>
      </c>
      <c r="M7902">
        <v>0.99984850000000003</v>
      </c>
      <c r="N7902">
        <v>-1.2547010000000001E-2</v>
      </c>
      <c r="O7902">
        <v>1.206481E-2</v>
      </c>
      <c r="P7902">
        <v>0.92471000000000003</v>
      </c>
      <c r="Q7902">
        <v>0.3621395</v>
      </c>
      <c r="R7902">
        <v>0.117331</v>
      </c>
      <c r="S7902">
        <v>3.4001619999999999</v>
      </c>
      <c r="T7902">
        <v>-0.40849590000000002</v>
      </c>
      <c r="U7902">
        <v>6.0943600000000001E-2</v>
      </c>
      <c r="V7902">
        <v>-0.10659349999999999</v>
      </c>
      <c r="W7902">
        <v>0.37360860000000001</v>
      </c>
      <c r="X7902">
        <v>0.92144150000000002</v>
      </c>
      <c r="Y7902">
        <v>-5.8785729999999998E-3</v>
      </c>
      <c r="Z7902">
        <v>-9.0434E-4</v>
      </c>
      <c r="AA7902">
        <v>0.99998229999999999</v>
      </c>
      <c r="AB7902">
        <v>29</v>
      </c>
      <c r="AC7902">
        <v>0.50150000000002104</v>
      </c>
      <c r="AD7902">
        <v>-9.3895999999999896E-2</v>
      </c>
      <c r="AE7902">
        <v>1.0199999999997499E-2</v>
      </c>
      <c r="AF7902">
        <v>-4.0078414604849599E-3</v>
      </c>
      <c r="AG7902">
        <v>-9.3895999999999896E-2</v>
      </c>
      <c r="AH7902">
        <v>0.48460564679984802</v>
      </c>
      <c r="AI7902">
        <v>100.965247388132</v>
      </c>
      <c r="AJ7902">
        <v>90.473843354695006</v>
      </c>
      <c r="AK7902">
        <v>0.49363463666913698</v>
      </c>
      <c r="AL7902">
        <v>68.061658077536805</v>
      </c>
      <c r="AM7902">
        <v>96.598716418295595</v>
      </c>
      <c r="AN7902">
        <v>0.99999999907922998</v>
      </c>
    </row>
    <row r="7903" spans="1:40" x14ac:dyDescent="0.25">
      <c r="A7903" t="str">
        <f>"20190304164316121"</f>
        <v>20190304164316121</v>
      </c>
      <c r="B7903" t="str">
        <f>"1551688996108815"</f>
        <v>1551688996108815</v>
      </c>
      <c r="C7903" t="s">
        <v>40</v>
      </c>
      <c r="D7903">
        <v>4.3033830000000002</v>
      </c>
      <c r="E7903">
        <v>0.54352400000000001</v>
      </c>
      <c r="F7903" t="s">
        <v>41</v>
      </c>
      <c r="G7903">
        <v>-159.15100000000001</v>
      </c>
      <c r="H7903">
        <v>1.024823</v>
      </c>
      <c r="I7903">
        <v>137.5361</v>
      </c>
      <c r="J7903">
        <v>-159.62569999999999</v>
      </c>
      <c r="K7903">
        <v>1.1111789999999999</v>
      </c>
      <c r="L7903">
        <v>137.52420000000001</v>
      </c>
      <c r="M7903">
        <v>0.99983979999999995</v>
      </c>
      <c r="N7903">
        <v>-1.2488819999999999E-2</v>
      </c>
      <c r="O7903">
        <v>1.281909E-2</v>
      </c>
      <c r="P7903">
        <v>0.92556609999999995</v>
      </c>
      <c r="Q7903">
        <v>0.35979169999999999</v>
      </c>
      <c r="R7903">
        <v>0.1178027</v>
      </c>
      <c r="S7903">
        <v>3.3853300000000002</v>
      </c>
      <c r="T7903">
        <v>-0.38345299999999999</v>
      </c>
      <c r="U7903">
        <v>7.1685789999999999E-2</v>
      </c>
      <c r="V7903">
        <v>-0.106410199999999</v>
      </c>
      <c r="W7903">
        <v>0.37120249999999999</v>
      </c>
      <c r="X7903">
        <v>0.92243459999999999</v>
      </c>
      <c r="Y7903">
        <v>-8.3572209999999997E-3</v>
      </c>
      <c r="Z7903">
        <v>-7.6337569999999997E-4</v>
      </c>
      <c r="AA7903">
        <v>0.99996479999999999</v>
      </c>
      <c r="AB7903">
        <v>29</v>
      </c>
      <c r="AC7903">
        <v>0.47469999999998402</v>
      </c>
      <c r="AD7903">
        <v>-8.6356000000000099E-2</v>
      </c>
      <c r="AE7903">
        <v>1.18999999999971E-2</v>
      </c>
      <c r="AF7903">
        <v>-5.6272162024806E-3</v>
      </c>
      <c r="AG7903">
        <v>-8.6356000000000099E-2</v>
      </c>
      <c r="AH7903">
        <v>0.45961276970867398</v>
      </c>
      <c r="AI7903">
        <v>100.64038348756</v>
      </c>
      <c r="AJ7903">
        <v>90.701459253125904</v>
      </c>
      <c r="AK7903">
        <v>0.46768891624398001</v>
      </c>
      <c r="AL7903">
        <v>68.210202506625095</v>
      </c>
      <c r="AM7903">
        <v>96.580439088288898</v>
      </c>
      <c r="AN7903">
        <v>1.00000000897372</v>
      </c>
    </row>
    <row r="7904" spans="1:40" x14ac:dyDescent="0.25">
      <c r="A7904" t="str">
        <f>"20190304164316144"</f>
        <v>20190304164316144</v>
      </c>
      <c r="B7904" t="str">
        <f>"1551688996139070"</f>
        <v>1551688996139070</v>
      </c>
      <c r="C7904" t="s">
        <v>40</v>
      </c>
      <c r="D7904">
        <v>4.2963809999999896</v>
      </c>
      <c r="E7904">
        <v>0.54323049999999995</v>
      </c>
      <c r="F7904" t="s">
        <v>41</v>
      </c>
      <c r="G7904">
        <v>-158.8937</v>
      </c>
      <c r="H7904">
        <v>1.0261940000000001</v>
      </c>
      <c r="I7904">
        <v>137.54159999999999</v>
      </c>
      <c r="J7904">
        <v>-159.32560000000001</v>
      </c>
      <c r="K7904">
        <v>1.111194</v>
      </c>
      <c r="L7904">
        <v>137.52889999999999</v>
      </c>
      <c r="M7904">
        <v>0.99983010000000005</v>
      </c>
      <c r="N7904">
        <v>-1.2438950000000001E-2</v>
      </c>
      <c r="O7904">
        <v>1.3614100000000001E-2</v>
      </c>
      <c r="P7904">
        <v>0.9262108</v>
      </c>
      <c r="Q7904">
        <v>0.3579792</v>
      </c>
      <c r="R7904">
        <v>0.1182566</v>
      </c>
      <c r="S7904">
        <v>3.3837280000000001</v>
      </c>
      <c r="T7904">
        <v>-0.39293790000000001</v>
      </c>
      <c r="U7904">
        <v>8.0581669999999994E-2</v>
      </c>
      <c r="V7904">
        <v>-0.1061352</v>
      </c>
      <c r="W7904">
        <v>0.36934869999999997</v>
      </c>
      <c r="X7904">
        <v>0.92321010000000003</v>
      </c>
      <c r="Y7904">
        <v>-1.0191260000000001E-2</v>
      </c>
      <c r="Z7904">
        <v>-7.5319929999999996E-4</v>
      </c>
      <c r="AA7904">
        <v>0.99994780000000005</v>
      </c>
      <c r="AB7904">
        <v>29</v>
      </c>
      <c r="AC7904">
        <v>0.431900000000013</v>
      </c>
      <c r="AD7904">
        <v>-8.4999999999999895E-2</v>
      </c>
      <c r="AE7904">
        <v>1.26999999999952E-2</v>
      </c>
      <c r="AF7904">
        <v>-6.5644051959273704E-3</v>
      </c>
      <c r="AG7904">
        <v>-8.4999999999999895E-2</v>
      </c>
      <c r="AH7904">
        <v>0.41593668108667098</v>
      </c>
      <c r="AI7904">
        <v>101.548423428672</v>
      </c>
      <c r="AJ7904">
        <v>90.904179667976393</v>
      </c>
      <c r="AK7904">
        <v>0.424583812796686</v>
      </c>
      <c r="AL7904">
        <v>68.324544821480004</v>
      </c>
      <c r="AM7904">
        <v>96.558116201657299</v>
      </c>
      <c r="AN7904">
        <v>1.00000001580636</v>
      </c>
    </row>
    <row r="7905" spans="1:40" x14ac:dyDescent="0.25">
      <c r="A7905" t="str">
        <f>"20190304164316166"</f>
        <v>20190304164316166</v>
      </c>
      <c r="B7905" t="str">
        <f>"1551688996158594"</f>
        <v>1551688996158594</v>
      </c>
      <c r="C7905" t="s">
        <v>40</v>
      </c>
      <c r="D7905">
        <v>4.300643</v>
      </c>
      <c r="E7905">
        <v>0.54310340000000001</v>
      </c>
      <c r="F7905" t="s">
        <v>41</v>
      </c>
      <c r="G7905">
        <v>-158.3922</v>
      </c>
      <c r="H7905">
        <v>1.001943</v>
      </c>
      <c r="I7905">
        <v>137.5532</v>
      </c>
      <c r="J7905">
        <v>-159.053</v>
      </c>
      <c r="K7905">
        <v>1.111173</v>
      </c>
      <c r="L7905">
        <v>137.5334</v>
      </c>
      <c r="M7905">
        <v>0.99982059999999995</v>
      </c>
      <c r="N7905">
        <v>-1.240053E-2</v>
      </c>
      <c r="O7905">
        <v>1.431554E-2</v>
      </c>
      <c r="P7905">
        <v>0.92653700000000005</v>
      </c>
      <c r="Q7905">
        <v>0.35689460000000001</v>
      </c>
      <c r="R7905">
        <v>0.1189776</v>
      </c>
      <c r="S7905">
        <v>3.3807529999999999</v>
      </c>
      <c r="T7905">
        <v>-0.39565909999999999</v>
      </c>
      <c r="U7905">
        <v>8.7570190000000006E-2</v>
      </c>
      <c r="V7905">
        <v>-0.10619099999999999</v>
      </c>
      <c r="W7905">
        <v>0.3682358</v>
      </c>
      <c r="X7905">
        <v>0.92364809999999997</v>
      </c>
      <c r="Y7905">
        <v>-1.157009E-2</v>
      </c>
      <c r="Z7905">
        <v>-7.4567489999999997E-4</v>
      </c>
      <c r="AA7905">
        <v>0.99993279999999995</v>
      </c>
      <c r="AB7905">
        <v>29</v>
      </c>
      <c r="AC7905">
        <v>0.66079999999999395</v>
      </c>
      <c r="AD7905">
        <v>-0.10922999999999899</v>
      </c>
      <c r="AE7905">
        <v>1.9800000000003599E-2</v>
      </c>
      <c r="AF7905">
        <v>-1.0062824531745101E-2</v>
      </c>
      <c r="AG7905">
        <v>-0.10922999999999899</v>
      </c>
      <c r="AH7905">
        <v>0.64344991018785203</v>
      </c>
      <c r="AI7905">
        <v>99.633346144992998</v>
      </c>
      <c r="AJ7905">
        <v>90.895967766515398</v>
      </c>
      <c r="AK7905">
        <v>0.65273290116119598</v>
      </c>
      <c r="AL7905">
        <v>68.393143806568702</v>
      </c>
      <c r="AM7905">
        <v>96.558449628170294</v>
      </c>
      <c r="AN7905">
        <v>0.99999997275812402</v>
      </c>
    </row>
    <row r="7906" spans="1:40" x14ac:dyDescent="0.25">
      <c r="A7906" t="str">
        <f>"20190304164316188"</f>
        <v>20190304164316188</v>
      </c>
      <c r="B7906" t="str">
        <f>"1551688996179087"</f>
        <v>1551688996179087</v>
      </c>
      <c r="C7906" t="s">
        <v>40</v>
      </c>
      <c r="D7906">
        <v>4.2647469999999998</v>
      </c>
      <c r="E7906">
        <v>0.54305789999999998</v>
      </c>
      <c r="F7906" t="s">
        <v>41</v>
      </c>
      <c r="G7906">
        <v>-158.13480000000001</v>
      </c>
      <c r="H7906">
        <v>1.003566</v>
      </c>
      <c r="I7906">
        <v>137.55889999999999</v>
      </c>
      <c r="J7906">
        <v>-158.7628</v>
      </c>
      <c r="K7906">
        <v>1.1111359999999999</v>
      </c>
      <c r="L7906">
        <v>137.53829999999999</v>
      </c>
      <c r="M7906">
        <v>0.99981059999999999</v>
      </c>
      <c r="N7906">
        <v>-1.236628E-2</v>
      </c>
      <c r="O7906">
        <v>1.502832E-2</v>
      </c>
      <c r="P7906">
        <v>0.92701040000000001</v>
      </c>
      <c r="Q7906">
        <v>0.3551705</v>
      </c>
      <c r="R7906">
        <v>0.1204404</v>
      </c>
      <c r="S7906">
        <v>3.3783110000000001</v>
      </c>
      <c r="T7906">
        <v>-0.39595039999999998</v>
      </c>
      <c r="U7906">
        <v>9.4039919999999999E-2</v>
      </c>
      <c r="V7906">
        <v>-0.1069611</v>
      </c>
      <c r="W7906">
        <v>0.3664925</v>
      </c>
      <c r="X7906">
        <v>0.92425250000000003</v>
      </c>
      <c r="Y7906">
        <v>-1.278429E-2</v>
      </c>
      <c r="Z7906">
        <v>-7.4377709999999997E-4</v>
      </c>
      <c r="AA7906">
        <v>0.99991799999999997</v>
      </c>
      <c r="AB7906">
        <v>29</v>
      </c>
      <c r="AC7906">
        <v>0.62799999999998501</v>
      </c>
      <c r="AD7906">
        <v>-0.10757</v>
      </c>
      <c r="AE7906">
        <v>2.06000000000017E-2</v>
      </c>
      <c r="AF7906">
        <v>-1.08414191351115E-2</v>
      </c>
      <c r="AG7906">
        <v>-0.10757</v>
      </c>
      <c r="AH7906">
        <v>0.61035012935505095</v>
      </c>
      <c r="AI7906">
        <v>99.993794280608498</v>
      </c>
      <c r="AJ7906">
        <v>91.017616306632405</v>
      </c>
      <c r="AK7906">
        <v>0.619851693288476</v>
      </c>
      <c r="AL7906">
        <v>68.500538674616394</v>
      </c>
      <c r="AM7906">
        <v>96.601311358421995</v>
      </c>
      <c r="AN7906">
        <v>1.00000005661285</v>
      </c>
    </row>
    <row r="7907" spans="1:40" x14ac:dyDescent="0.25">
      <c r="A7907" t="str">
        <f>"20190304164316211"</f>
        <v>20190304164316211</v>
      </c>
      <c r="B7907" t="str">
        <f>"1551688996198607"</f>
        <v>1551688996198607</v>
      </c>
      <c r="C7907" t="s">
        <v>40</v>
      </c>
      <c r="D7907">
        <v>4.2317169999999997</v>
      </c>
      <c r="E7907">
        <v>0.54276230000000003</v>
      </c>
      <c r="F7907" t="s">
        <v>41</v>
      </c>
      <c r="G7907">
        <v>-157.8768</v>
      </c>
      <c r="H7907">
        <v>1.0063820000000001</v>
      </c>
      <c r="I7907">
        <v>137.56469999999999</v>
      </c>
      <c r="J7907">
        <v>-158.4759</v>
      </c>
      <c r="K7907">
        <v>1.111102</v>
      </c>
      <c r="L7907">
        <v>137.54339999999999</v>
      </c>
      <c r="M7907">
        <v>0.99980080000000005</v>
      </c>
      <c r="N7907">
        <v>-1.233807E-2</v>
      </c>
      <c r="O7907">
        <v>1.5692520000000001E-2</v>
      </c>
      <c r="P7907">
        <v>0.92763260000000003</v>
      </c>
      <c r="Q7907">
        <v>0.35319230000000001</v>
      </c>
      <c r="R7907">
        <v>0.1214628</v>
      </c>
      <c r="S7907">
        <v>3.3760829999999999</v>
      </c>
      <c r="T7907">
        <v>-0.39919460000000001</v>
      </c>
      <c r="U7907">
        <v>0.1005707</v>
      </c>
      <c r="V7907">
        <v>-0.10733189999999999</v>
      </c>
      <c r="W7907">
        <v>0.36450270000000001</v>
      </c>
      <c r="X7907">
        <v>0.92499600000000004</v>
      </c>
      <c r="Y7907">
        <v>-1.406494E-2</v>
      </c>
      <c r="Z7907">
        <v>-7.3992060000000002E-4</v>
      </c>
      <c r="AA7907">
        <v>0.99990080000000003</v>
      </c>
      <c r="AB7907">
        <v>29</v>
      </c>
      <c r="AC7907">
        <v>0.59909999999999197</v>
      </c>
      <c r="AD7907">
        <v>-0.10471999999999999</v>
      </c>
      <c r="AE7907">
        <v>2.1299999999996499E-2</v>
      </c>
      <c r="AF7907">
        <v>-1.1543038301767001E-2</v>
      </c>
      <c r="AG7907">
        <v>-0.10471999999999999</v>
      </c>
      <c r="AH7907">
        <v>0.58161264064701601</v>
      </c>
      <c r="AI7907">
        <v>100.204842693529</v>
      </c>
      <c r="AJ7907">
        <v>91.1369776323438</v>
      </c>
      <c r="AK7907">
        <v>0.59107764624762404</v>
      </c>
      <c r="AL7907">
        <v>68.623018274296498</v>
      </c>
      <c r="AM7907">
        <v>96.618715952772206</v>
      </c>
      <c r="AN7907">
        <v>0.999999977540449</v>
      </c>
    </row>
    <row r="7908" spans="1:40" x14ac:dyDescent="0.25">
      <c r="A7908" t="str">
        <f>"20190304164316233"</f>
        <v>20190304164316233</v>
      </c>
      <c r="B7908" t="str">
        <f>"1551688996228863"</f>
        <v>1551688996228863</v>
      </c>
      <c r="C7908" t="s">
        <v>40</v>
      </c>
      <c r="D7908">
        <v>4.214963</v>
      </c>
      <c r="E7908">
        <v>0.54289540000000003</v>
      </c>
      <c r="F7908" t="s">
        <v>41</v>
      </c>
      <c r="G7908">
        <v>-157.61600000000001</v>
      </c>
      <c r="H7908">
        <v>1.0149889999999999</v>
      </c>
      <c r="I7908">
        <v>137.5703</v>
      </c>
      <c r="J7908">
        <v>-158.18270000000001</v>
      </c>
      <c r="K7908">
        <v>1.1110770000000001</v>
      </c>
      <c r="L7908">
        <v>137.5487</v>
      </c>
      <c r="M7908">
        <v>0.99979079999999998</v>
      </c>
      <c r="N7908">
        <v>-1.231401E-2</v>
      </c>
      <c r="O7908">
        <v>1.6332880000000001E-2</v>
      </c>
      <c r="P7908">
        <v>0.92790470000000003</v>
      </c>
      <c r="Q7908">
        <v>0.3522209</v>
      </c>
      <c r="R7908">
        <v>0.1222027</v>
      </c>
      <c r="S7908">
        <v>3.363388</v>
      </c>
      <c r="T7908">
        <v>-0.37604490000000002</v>
      </c>
      <c r="U7908">
        <v>0.105545</v>
      </c>
      <c r="V7908">
        <v>-0.10745300000000001</v>
      </c>
      <c r="W7908">
        <v>0.36351850000000002</v>
      </c>
      <c r="X7908">
        <v>0.9253692</v>
      </c>
      <c r="Y7908">
        <v>-1.501156E-2</v>
      </c>
      <c r="Z7908">
        <v>-6.9011840000000001E-4</v>
      </c>
      <c r="AA7908">
        <v>0.99988710000000003</v>
      </c>
      <c r="AB7908">
        <v>29</v>
      </c>
      <c r="AC7908">
        <v>0.56669999999999698</v>
      </c>
      <c r="AD7908">
        <v>-9.6088000000000104E-2</v>
      </c>
      <c r="AE7908">
        <v>2.1600000000006499E-2</v>
      </c>
      <c r="AF7908">
        <v>-1.19961882372445E-2</v>
      </c>
      <c r="AG7908">
        <v>-9.6088000000000104E-2</v>
      </c>
      <c r="AH7908">
        <v>0.55115471933553595</v>
      </c>
      <c r="AI7908">
        <v>99.887222729392207</v>
      </c>
      <c r="AJ7908">
        <v>91.246877554326005</v>
      </c>
      <c r="AK7908">
        <v>0.55959658408719504</v>
      </c>
      <c r="AL7908">
        <v>68.683562969033204</v>
      </c>
      <c r="AM7908">
        <v>96.623468767258998</v>
      </c>
      <c r="AN7908">
        <v>1.00000000167994</v>
      </c>
    </row>
    <row r="7909" spans="1:40" x14ac:dyDescent="0.25">
      <c r="A7909" t="str">
        <f>"20190304164316255"</f>
        <v>20190304164316255</v>
      </c>
      <c r="B7909" t="str">
        <f>"1551688996249358"</f>
        <v>1551688996249358</v>
      </c>
      <c r="C7909" t="s">
        <v>40</v>
      </c>
      <c r="D7909">
        <v>4.1609080000000001</v>
      </c>
      <c r="E7909">
        <v>0.54300499999999996</v>
      </c>
      <c r="F7909" t="s">
        <v>41</v>
      </c>
      <c r="G7909">
        <v>-157.3578</v>
      </c>
      <c r="H7909">
        <v>1.0183450000000001</v>
      </c>
      <c r="I7909">
        <v>137.5752</v>
      </c>
      <c r="J7909">
        <v>-157.90110000000001</v>
      </c>
      <c r="K7909">
        <v>1.111059</v>
      </c>
      <c r="L7909">
        <v>137.554</v>
      </c>
      <c r="M7909">
        <v>0.99978140000000004</v>
      </c>
      <c r="N7909">
        <v>-1.2291130000000001E-2</v>
      </c>
      <c r="O7909">
        <v>1.6919440000000001E-2</v>
      </c>
      <c r="P7909">
        <v>0.92827499999999996</v>
      </c>
      <c r="Q7909">
        <v>0.3512169</v>
      </c>
      <c r="R7909">
        <v>0.12228070000000001</v>
      </c>
      <c r="S7909">
        <v>3.3623500000000002</v>
      </c>
      <c r="T7909">
        <v>-0.37799569999999999</v>
      </c>
      <c r="U7909">
        <v>0.10795589999999999</v>
      </c>
      <c r="V7909">
        <v>-0.1069672</v>
      </c>
      <c r="W7909">
        <v>0.36250280000000001</v>
      </c>
      <c r="X7909">
        <v>0.92582379999999997</v>
      </c>
      <c r="Y7909">
        <v>-1.515274E-2</v>
      </c>
      <c r="Z7909">
        <v>-7.4575990000000001E-4</v>
      </c>
      <c r="AA7909">
        <v>0.99988489999999997</v>
      </c>
      <c r="AB7909">
        <v>29</v>
      </c>
      <c r="AC7909">
        <v>0.54330000000001599</v>
      </c>
      <c r="AD7909">
        <v>-9.2713999999999894E-2</v>
      </c>
      <c r="AE7909">
        <v>2.11999999999932E-2</v>
      </c>
      <c r="AF7909">
        <v>-1.1664762589333201E-2</v>
      </c>
      <c r="AG7909">
        <v>-9.2713999999999894E-2</v>
      </c>
      <c r="AH7909">
        <v>0.528221801369128</v>
      </c>
      <c r="AI7909">
        <v>99.952827063903598</v>
      </c>
      <c r="AJ7909">
        <v>91.265061483192696</v>
      </c>
      <c r="AK7909">
        <v>0.53642354900200995</v>
      </c>
      <c r="AL7909">
        <v>68.746018349920803</v>
      </c>
      <c r="AM7909">
        <v>96.590578840908805</v>
      </c>
      <c r="AN7909">
        <v>0.99999998526505895</v>
      </c>
    </row>
    <row r="7910" spans="1:40" x14ac:dyDescent="0.25">
      <c r="A7910" t="str">
        <f>"20190304164316277"</f>
        <v>20190304164316277</v>
      </c>
      <c r="B7910" t="str">
        <f>"1551688996268879"</f>
        <v>1551688996268879</v>
      </c>
      <c r="C7910" t="s">
        <v>40</v>
      </c>
      <c r="D7910">
        <v>4.1685239999999997</v>
      </c>
      <c r="E7910">
        <v>0.5440313</v>
      </c>
      <c r="F7910" t="s">
        <v>41</v>
      </c>
      <c r="G7910">
        <v>-157.1001</v>
      </c>
      <c r="H7910">
        <v>1.020705</v>
      </c>
      <c r="I7910">
        <v>137.57939999999999</v>
      </c>
      <c r="J7910">
        <v>-157.61859999999999</v>
      </c>
      <c r="K7910">
        <v>1.1110450000000001</v>
      </c>
      <c r="L7910">
        <v>137.55940000000001</v>
      </c>
      <c r="M7910">
        <v>0.99977179999999999</v>
      </c>
      <c r="N7910">
        <v>-1.226615E-2</v>
      </c>
      <c r="O7910">
        <v>1.7493399999999999E-2</v>
      </c>
      <c r="P7910">
        <v>0.92835829999999997</v>
      </c>
      <c r="Q7910">
        <v>0.35098049999999997</v>
      </c>
      <c r="R7910">
        <v>0.1223265</v>
      </c>
      <c r="S7910">
        <v>3.3611599999999999</v>
      </c>
      <c r="T7910">
        <v>-0.37919809999999998</v>
      </c>
      <c r="U7910">
        <v>0.1069794</v>
      </c>
      <c r="V7910">
        <v>-0.1064708</v>
      </c>
      <c r="W7910">
        <v>0.36224729999999999</v>
      </c>
      <c r="X7910">
        <v>0.92598100000000005</v>
      </c>
      <c r="Y7910">
        <v>-1.4308710000000001E-2</v>
      </c>
      <c r="Z7910">
        <v>-8.6019530000000001E-4</v>
      </c>
      <c r="AA7910">
        <v>0.99989720000000004</v>
      </c>
      <c r="AB7910">
        <v>29</v>
      </c>
      <c r="AC7910">
        <v>0.51849999999998797</v>
      </c>
      <c r="AD7910">
        <v>-9.0340000000000004E-2</v>
      </c>
      <c r="AE7910">
        <v>1.99999999999818E-2</v>
      </c>
      <c r="AF7910">
        <v>-1.06044844851012E-2</v>
      </c>
      <c r="AG7910">
        <v>-9.0340000000000004E-2</v>
      </c>
      <c r="AH7910">
        <v>0.50350811949218899</v>
      </c>
      <c r="AI7910">
        <v>100.169636861859</v>
      </c>
      <c r="AJ7910">
        <v>91.206539413977296</v>
      </c>
      <c r="AK7910">
        <v>0.51165828155689497</v>
      </c>
      <c r="AL7910">
        <v>68.761724734418806</v>
      </c>
      <c r="AM7910">
        <v>96.559157324080303</v>
      </c>
      <c r="AN7910">
        <v>0.999999974985464</v>
      </c>
    </row>
    <row r="7911" spans="1:40" x14ac:dyDescent="0.25">
      <c r="A7911" t="str">
        <f>"20190304164316300"</f>
        <v>20190304164316300</v>
      </c>
      <c r="B7911" t="str">
        <f>"1551688996289375"</f>
        <v>1551688996289375</v>
      </c>
      <c r="C7911" t="s">
        <v>40</v>
      </c>
      <c r="D7911">
        <v>4.1637440000000003</v>
      </c>
      <c r="E7911">
        <v>0.54391999999999996</v>
      </c>
      <c r="F7911" t="s">
        <v>41</v>
      </c>
      <c r="G7911">
        <v>-156.84030000000001</v>
      </c>
      <c r="H7911">
        <v>1.027355</v>
      </c>
      <c r="I7911">
        <v>137.58179999999999</v>
      </c>
      <c r="J7911">
        <v>-157.33269999999999</v>
      </c>
      <c r="K7911">
        <v>1.1110390000000001</v>
      </c>
      <c r="L7911">
        <v>137.5651</v>
      </c>
      <c r="M7911">
        <v>0.99976169999999998</v>
      </c>
      <c r="N7911">
        <v>-1.223755E-2</v>
      </c>
      <c r="O7911">
        <v>1.8075049999999999E-2</v>
      </c>
      <c r="P7911">
        <v>0.92818440000000002</v>
      </c>
      <c r="Q7911">
        <v>0.35177350000000002</v>
      </c>
      <c r="R7911">
        <v>0.121364</v>
      </c>
      <c r="S7911">
        <v>3.3552399999999998</v>
      </c>
      <c r="T7911">
        <v>-0.36077429999999999</v>
      </c>
      <c r="U7911">
        <v>9.6298220000000004E-2</v>
      </c>
      <c r="V7911">
        <v>-0.10496759999999999</v>
      </c>
      <c r="W7911">
        <v>0.36301470000000002</v>
      </c>
      <c r="X7911">
        <v>0.92585209999999996</v>
      </c>
      <c r="Y7911">
        <v>-1.062889E-2</v>
      </c>
      <c r="Z7911">
        <v>-1.081788E-3</v>
      </c>
      <c r="AA7911">
        <v>0.99994289999999997</v>
      </c>
      <c r="AB7911">
        <v>29</v>
      </c>
      <c r="AC7911">
        <v>0.49239999999997502</v>
      </c>
      <c r="AD7911">
        <v>-8.36839999999998E-2</v>
      </c>
      <c r="AE7911">
        <v>1.66999999999859E-2</v>
      </c>
      <c r="AF7911">
        <v>-7.5778276987376004E-3</v>
      </c>
      <c r="AG7911">
        <v>-8.36839999999998E-2</v>
      </c>
      <c r="AH7911">
        <v>0.47880770236883102</v>
      </c>
      <c r="AI7911">
        <v>99.912564390242494</v>
      </c>
      <c r="AJ7911">
        <v>90.906713275230501</v>
      </c>
      <c r="AK7911">
        <v>0.48612472800336998</v>
      </c>
      <c r="AL7911">
        <v>68.714544866992895</v>
      </c>
      <c r="AM7911">
        <v>96.468235257699007</v>
      </c>
      <c r="AN7911">
        <v>0.99999999027012898</v>
      </c>
    </row>
    <row r="7912" spans="1:40" x14ac:dyDescent="0.25">
      <c r="A7912" t="str">
        <f>"20190304164316324"</f>
        <v>20190304164316324</v>
      </c>
      <c r="B7912" t="str">
        <f>"1551688996318659"</f>
        <v>1551688996318659</v>
      </c>
      <c r="C7912" t="s">
        <v>40</v>
      </c>
      <c r="D7912">
        <v>4.1433269999999904</v>
      </c>
      <c r="E7912">
        <v>0.54381619999999997</v>
      </c>
      <c r="F7912" t="s">
        <v>41</v>
      </c>
      <c r="G7912">
        <v>-156.58080000000001</v>
      </c>
      <c r="H7912">
        <v>1.0314700000000001</v>
      </c>
      <c r="I7912">
        <v>137.5857</v>
      </c>
      <c r="J7912">
        <v>-157.02930000000001</v>
      </c>
      <c r="K7912">
        <v>1.1110310000000001</v>
      </c>
      <c r="L7912">
        <v>137.57130000000001</v>
      </c>
      <c r="M7912">
        <v>0.99975080000000005</v>
      </c>
      <c r="N7912">
        <v>-1.2199359999999999E-2</v>
      </c>
      <c r="O7912">
        <v>1.8701249999999999E-2</v>
      </c>
      <c r="P7912">
        <v>0.92834209999999995</v>
      </c>
      <c r="Q7912">
        <v>0.35191060000000002</v>
      </c>
      <c r="R7912">
        <v>0.1197505</v>
      </c>
      <c r="S7912">
        <v>3.3545989999999999</v>
      </c>
      <c r="T7912">
        <v>-0.35510829999999999</v>
      </c>
      <c r="U7912">
        <v>9.2620850000000005E-2</v>
      </c>
      <c r="V7912">
        <v>-0.1027676</v>
      </c>
      <c r="W7912">
        <v>0.36312220000000001</v>
      </c>
      <c r="X7912">
        <v>0.92605669999999995</v>
      </c>
      <c r="Y7912">
        <v>-8.9253539999999999E-3</v>
      </c>
      <c r="Z7912">
        <v>-1.2203629999999999E-3</v>
      </c>
      <c r="AA7912">
        <v>0.99995940000000005</v>
      </c>
      <c r="AB7912">
        <v>29</v>
      </c>
      <c r="AC7912">
        <v>0.44849999999999501</v>
      </c>
      <c r="AD7912">
        <v>-7.9560999999999701E-2</v>
      </c>
      <c r="AE7912">
        <v>1.4399999999994801E-2</v>
      </c>
      <c r="AF7912">
        <v>-5.8261948019313597E-3</v>
      </c>
      <c r="AG7912">
        <v>-7.9560999999999701E-2</v>
      </c>
      <c r="AH7912">
        <v>0.43501569177114702</v>
      </c>
      <c r="AI7912">
        <v>100.36349637910401</v>
      </c>
      <c r="AJ7912">
        <v>90.767320402176694</v>
      </c>
      <c r="AK7912">
        <v>0.442269769884852</v>
      </c>
      <c r="AL7912">
        <v>68.707933856743693</v>
      </c>
      <c r="AM7912">
        <v>96.332393882192605</v>
      </c>
      <c r="AN7912">
        <v>0.99999996167874405</v>
      </c>
    </row>
    <row r="7913" spans="1:40" x14ac:dyDescent="0.25">
      <c r="A7913" t="str">
        <f>"20190304164316345"</f>
        <v>20190304164316345</v>
      </c>
      <c r="B7913" t="str">
        <f>"1551688996339151"</f>
        <v>1551688996339151</v>
      </c>
      <c r="C7913" t="s">
        <v>40</v>
      </c>
      <c r="D7913">
        <v>4.1345010000000002</v>
      </c>
      <c r="E7913">
        <v>0.54392980000000002</v>
      </c>
      <c r="F7913" t="s">
        <v>41</v>
      </c>
      <c r="G7913">
        <v>-156.0752</v>
      </c>
      <c r="H7913">
        <v>1.0173219999999901</v>
      </c>
      <c r="I7913">
        <v>137.596</v>
      </c>
      <c r="J7913">
        <v>-156.75210000000001</v>
      </c>
      <c r="K7913">
        <v>1.1110150000000001</v>
      </c>
      <c r="L7913">
        <v>137.5771</v>
      </c>
      <c r="M7913">
        <v>0.99974019999999997</v>
      </c>
      <c r="N7913">
        <v>-1.21566E-2</v>
      </c>
      <c r="O7913">
        <v>1.928237E-2</v>
      </c>
      <c r="P7913">
        <v>0.92848120000000001</v>
      </c>
      <c r="Q7913">
        <v>0.35191860000000003</v>
      </c>
      <c r="R7913">
        <v>0.11864420000000001</v>
      </c>
      <c r="S7913">
        <v>3.34491</v>
      </c>
      <c r="T7913">
        <v>-0.32862269999999999</v>
      </c>
      <c r="U7913">
        <v>8.7081909999999998E-2</v>
      </c>
      <c r="V7913">
        <v>-0.1011171</v>
      </c>
      <c r="W7913">
        <v>0.36309429999999998</v>
      </c>
      <c r="X7913">
        <v>0.9262494</v>
      </c>
      <c r="Y7913">
        <v>-6.7777899999999997E-3</v>
      </c>
      <c r="Z7913">
        <v>-1.2820189999999999E-3</v>
      </c>
      <c r="AA7913">
        <v>0.99997619999999998</v>
      </c>
      <c r="AB7913">
        <v>29</v>
      </c>
      <c r="AC7913">
        <v>0.67690000000001704</v>
      </c>
      <c r="AD7913">
        <v>-9.3692999999999999E-2</v>
      </c>
      <c r="AE7913">
        <v>1.8900000000002099E-2</v>
      </c>
      <c r="AF7913">
        <v>-5.7335240353087102E-3</v>
      </c>
      <c r="AG7913">
        <v>-9.3692999999999999E-2</v>
      </c>
      <c r="AH7913">
        <v>0.66441912655305901</v>
      </c>
      <c r="AI7913">
        <v>98.026339429627001</v>
      </c>
      <c r="AJ7913">
        <v>90.494414687933201</v>
      </c>
      <c r="AK7913">
        <v>0.67101715870489698</v>
      </c>
      <c r="AL7913">
        <v>68.7096513633917</v>
      </c>
      <c r="AM7913">
        <v>96.230212739384896</v>
      </c>
      <c r="AN7913">
        <v>1.0000000448026201</v>
      </c>
    </row>
    <row r="7914" spans="1:40" x14ac:dyDescent="0.25">
      <c r="A7914" t="str">
        <f>"20190304164316367"</f>
        <v>20190304164316367</v>
      </c>
      <c r="B7914" t="str">
        <f>"1551688996358671"</f>
        <v>1551688996358671</v>
      </c>
      <c r="C7914" t="s">
        <v>40</v>
      </c>
      <c r="D7914">
        <v>4.1194610000000003</v>
      </c>
      <c r="E7914">
        <v>0.54399529999999996</v>
      </c>
      <c r="F7914" t="s">
        <v>41</v>
      </c>
      <c r="G7914">
        <v>-155.8176</v>
      </c>
      <c r="H7914">
        <v>1.019139</v>
      </c>
      <c r="I7914">
        <v>137.60079999999999</v>
      </c>
      <c r="J7914">
        <v>-156.4674</v>
      </c>
      <c r="K7914">
        <v>1.1110059999999999</v>
      </c>
      <c r="L7914">
        <v>137.58320000000001</v>
      </c>
      <c r="M7914">
        <v>0.99972899999999998</v>
      </c>
      <c r="N7914">
        <v>-1.2110060000000001E-2</v>
      </c>
      <c r="O7914">
        <v>1.9887229999999999E-2</v>
      </c>
      <c r="P7914">
        <v>0.92885709999999999</v>
      </c>
      <c r="Q7914">
        <v>0.35139809999999999</v>
      </c>
      <c r="R7914">
        <v>0.117234199999999</v>
      </c>
      <c r="S7914">
        <v>3.3448639999999998</v>
      </c>
      <c r="T7914">
        <v>-0.32884730000000001</v>
      </c>
      <c r="U7914">
        <v>8.4884639999999997E-2</v>
      </c>
      <c r="V7914">
        <v>-9.9136100000000005E-2</v>
      </c>
      <c r="W7914">
        <v>0.36253800000000003</v>
      </c>
      <c r="X7914">
        <v>0.92668130000000004</v>
      </c>
      <c r="Y7914">
        <v>-5.5258579999999998E-3</v>
      </c>
      <c r="Z7914">
        <v>-1.405143E-3</v>
      </c>
      <c r="AA7914">
        <v>0.99998370000000003</v>
      </c>
      <c r="AB7914">
        <v>29</v>
      </c>
      <c r="AC7914">
        <v>0.64979999999999905</v>
      </c>
      <c r="AD7914">
        <v>-9.1866999999999893E-2</v>
      </c>
      <c r="AE7914">
        <v>1.75999999999874E-2</v>
      </c>
      <c r="AF7914">
        <v>-4.5813476614821004E-3</v>
      </c>
      <c r="AG7914">
        <v>-9.1866999999999893E-2</v>
      </c>
      <c r="AH7914">
        <v>0.63729292178677999</v>
      </c>
      <c r="AI7914">
        <v>98.202581790215504</v>
      </c>
      <c r="AJ7914">
        <v>90.411878674529902</v>
      </c>
      <c r="AK7914">
        <v>0.64389657756112195</v>
      </c>
      <c r="AL7914">
        <v>68.743854656261206</v>
      </c>
      <c r="AM7914">
        <v>96.106262052690198</v>
      </c>
      <c r="AN7914">
        <v>0.99999999976845</v>
      </c>
    </row>
    <row r="7915" spans="1:40" x14ac:dyDescent="0.25">
      <c r="A7915" t="str">
        <f>"20190304164316390"</f>
        <v>20190304164316390</v>
      </c>
      <c r="B7915" t="str">
        <f>"1551688996379167"</f>
        <v>1551688996379167</v>
      </c>
      <c r="C7915" t="s">
        <v>40</v>
      </c>
      <c r="D7915">
        <v>4.0967859999999998</v>
      </c>
      <c r="E7915">
        <v>0.54253019999999996</v>
      </c>
      <c r="F7915" t="s">
        <v>41</v>
      </c>
      <c r="G7915">
        <v>-155.56</v>
      </c>
      <c r="H7915">
        <v>1.0207949999999999</v>
      </c>
      <c r="I7915">
        <v>137.60570000000001</v>
      </c>
      <c r="J7915">
        <v>-156.17529999999999</v>
      </c>
      <c r="K7915">
        <v>1.1109869999999999</v>
      </c>
      <c r="L7915">
        <v>137.5898</v>
      </c>
      <c r="M7915">
        <v>0.99971690000000002</v>
      </c>
      <c r="N7915">
        <v>-1.2057770000000001E-2</v>
      </c>
      <c r="O7915">
        <v>2.0512280000000001E-2</v>
      </c>
      <c r="P7915">
        <v>0.9292089</v>
      </c>
      <c r="Q7915">
        <v>0.35108479999999997</v>
      </c>
      <c r="R7915">
        <v>0.1153705</v>
      </c>
      <c r="S7915">
        <v>3.3451230000000001</v>
      </c>
      <c r="T7915">
        <v>-0.33260729999999999</v>
      </c>
      <c r="U7915">
        <v>8.2885739999999999E-2</v>
      </c>
      <c r="V7915">
        <v>-9.6683489999999997E-2</v>
      </c>
      <c r="W7915">
        <v>0.36218329999999999</v>
      </c>
      <c r="X7915">
        <v>0.92707910000000004</v>
      </c>
      <c r="Y7915">
        <v>-4.3119769999999998E-3</v>
      </c>
      <c r="Z7915">
        <v>-1.5473030000000001E-3</v>
      </c>
      <c r="AA7915">
        <v>0.99998949999999998</v>
      </c>
      <c r="AB7915">
        <v>29</v>
      </c>
      <c r="AC7915">
        <v>0.61529999999998997</v>
      </c>
      <c r="AD7915">
        <v>-9.0191999999999994E-2</v>
      </c>
      <c r="AE7915">
        <v>1.59000000000162E-2</v>
      </c>
      <c r="AF7915">
        <v>-3.2056981196565298E-3</v>
      </c>
      <c r="AG7915">
        <v>-9.0191999999999994E-2</v>
      </c>
      <c r="AH7915">
        <v>0.60255856025755605</v>
      </c>
      <c r="AI7915">
        <v>98.512811095351694</v>
      </c>
      <c r="AJ7915">
        <v>90.3048189037615</v>
      </c>
      <c r="AK7915">
        <v>0.60927964999997597</v>
      </c>
      <c r="AL7915">
        <v>68.7656604543387</v>
      </c>
      <c r="AM7915">
        <v>95.953756423162702</v>
      </c>
      <c r="AN7915">
        <v>1.0000000488471299</v>
      </c>
    </row>
    <row r="7916" spans="1:40" x14ac:dyDescent="0.25">
      <c r="A7916" t="str">
        <f>"20190304164316413"</f>
        <v>20190304164316413</v>
      </c>
      <c r="B7916" t="str">
        <f>"1551688996398687"</f>
        <v>1551688996398687</v>
      </c>
      <c r="C7916" t="s">
        <v>40</v>
      </c>
      <c r="D7916">
        <v>4.0733930000000003</v>
      </c>
      <c r="E7916">
        <v>0.54257469999999997</v>
      </c>
      <c r="F7916" t="s">
        <v>41</v>
      </c>
      <c r="G7916">
        <v>-155.29570000000001</v>
      </c>
      <c r="H7916">
        <v>1.0333639999999999</v>
      </c>
      <c r="I7916">
        <v>137.6138</v>
      </c>
      <c r="J7916">
        <v>-155.88810000000001</v>
      </c>
      <c r="K7916">
        <v>1.110968</v>
      </c>
      <c r="L7916">
        <v>137.59630000000001</v>
      </c>
      <c r="M7916">
        <v>0.99970490000000001</v>
      </c>
      <c r="N7916">
        <v>-1.199915E-2</v>
      </c>
      <c r="O7916">
        <v>2.112868E-2</v>
      </c>
      <c r="P7916">
        <v>0.92974509999999999</v>
      </c>
      <c r="Q7916">
        <v>0.35053040000000002</v>
      </c>
      <c r="R7916">
        <v>0.1127063</v>
      </c>
      <c r="S7916">
        <v>3.3282470000000002</v>
      </c>
      <c r="T7916">
        <v>-0.29376170000000001</v>
      </c>
      <c r="U7916">
        <v>9.1033939999999994E-2</v>
      </c>
      <c r="V7916">
        <v>-9.3434459999999997E-2</v>
      </c>
      <c r="W7916">
        <v>0.36158449999999998</v>
      </c>
      <c r="X7916">
        <v>0.92764570000000002</v>
      </c>
      <c r="Y7916">
        <v>-6.2469659999999996E-3</v>
      </c>
      <c r="Z7916">
        <v>-1.2949140000000001E-3</v>
      </c>
      <c r="AA7916">
        <v>0.99997970000000003</v>
      </c>
      <c r="AB7916">
        <v>29</v>
      </c>
      <c r="AC7916">
        <v>0.59239999999999704</v>
      </c>
      <c r="AD7916">
        <v>-7.7603999999999895E-2</v>
      </c>
      <c r="AE7916">
        <v>1.7499999999984001E-2</v>
      </c>
      <c r="AF7916">
        <v>-4.8946405950906499E-3</v>
      </c>
      <c r="AG7916">
        <v>-7.7603999999999895E-2</v>
      </c>
      <c r="AH7916">
        <v>0.58264752160673206</v>
      </c>
      <c r="AI7916">
        <v>97.586423385948706</v>
      </c>
      <c r="AJ7916">
        <v>90.481312699579206</v>
      </c>
      <c r="AK7916">
        <v>0.58781329753334299</v>
      </c>
      <c r="AL7916">
        <v>68.802461297440402</v>
      </c>
      <c r="AM7916">
        <v>95.751556112751103</v>
      </c>
      <c r="AN7916">
        <v>0.99999994684211402</v>
      </c>
    </row>
    <row r="7917" spans="1:40" x14ac:dyDescent="0.25">
      <c r="A7917" t="str">
        <f>"20190304164316434"</f>
        <v>20190304164316434</v>
      </c>
      <c r="B7917" t="str">
        <f>"1551688996428944"</f>
        <v>1551688996428944</v>
      </c>
      <c r="C7917" t="s">
        <v>40</v>
      </c>
      <c r="D7917">
        <v>4.0532849999999998</v>
      </c>
      <c r="E7917">
        <v>0.54225840000000003</v>
      </c>
      <c r="F7917" t="s">
        <v>41</v>
      </c>
      <c r="G7917">
        <v>-155.0361</v>
      </c>
      <c r="H7917">
        <v>1.0366660000000001</v>
      </c>
      <c r="I7917">
        <v>137.61799999999999</v>
      </c>
      <c r="J7917">
        <v>-155.6011</v>
      </c>
      <c r="K7917">
        <v>1.110957</v>
      </c>
      <c r="L7917">
        <v>137.60299999999901</v>
      </c>
      <c r="M7917">
        <v>0.99969240000000004</v>
      </c>
      <c r="N7917">
        <v>-1.1933239999999999E-2</v>
      </c>
      <c r="O7917">
        <v>2.174541E-2</v>
      </c>
      <c r="P7917">
        <v>0.93043509999999996</v>
      </c>
      <c r="Q7917">
        <v>0.34979199999999999</v>
      </c>
      <c r="R7917">
        <v>0.10925260000000001</v>
      </c>
      <c r="S7917">
        <v>3.3257140000000001</v>
      </c>
      <c r="T7917">
        <v>-0.29010940000000002</v>
      </c>
      <c r="U7917">
        <v>8.5357669999999997E-2</v>
      </c>
      <c r="V7917">
        <v>-8.9391979999999996E-2</v>
      </c>
      <c r="W7917">
        <v>0.36079749999999999</v>
      </c>
      <c r="X7917">
        <v>0.92835029999999996</v>
      </c>
      <c r="Y7917">
        <v>-3.9560460000000004E-3</v>
      </c>
      <c r="Z7917">
        <v>-1.4378310000000001E-3</v>
      </c>
      <c r="AA7917">
        <v>0.99999110000000002</v>
      </c>
      <c r="AB7917">
        <v>29</v>
      </c>
      <c r="AC7917">
        <v>0.56499999999999695</v>
      </c>
      <c r="AD7917">
        <v>-7.4290999999999802E-2</v>
      </c>
      <c r="AE7917">
        <v>1.5000000000014699E-2</v>
      </c>
      <c r="AF7917">
        <v>-2.66340625912698E-3</v>
      </c>
      <c r="AG7917">
        <v>-7.4290999999999802E-2</v>
      </c>
      <c r="AH7917">
        <v>0.55559356954686101</v>
      </c>
      <c r="AI7917">
        <v>97.616022057870694</v>
      </c>
      <c r="AJ7917">
        <v>90.274662590062803</v>
      </c>
      <c r="AK7917">
        <v>0.56054478941091201</v>
      </c>
      <c r="AL7917">
        <v>68.850819158747598</v>
      </c>
      <c r="AM7917">
        <v>95.500123110092602</v>
      </c>
      <c r="AN7917">
        <v>1.0000000208023201</v>
      </c>
    </row>
    <row r="7918" spans="1:40" x14ac:dyDescent="0.25">
      <c r="A7918" t="str">
        <f>"20190304164316456"</f>
        <v>20190304164316456</v>
      </c>
      <c r="B7918" t="str">
        <f>"1551688996449440"</f>
        <v>1551688996449440</v>
      </c>
      <c r="C7918" t="s">
        <v>40</v>
      </c>
      <c r="D7918">
        <v>4.0525089999999997</v>
      </c>
      <c r="E7918">
        <v>0.5422903</v>
      </c>
      <c r="F7918" t="s">
        <v>41</v>
      </c>
      <c r="G7918">
        <v>-154.7852</v>
      </c>
      <c r="H7918">
        <v>1.0287740000000001</v>
      </c>
      <c r="I7918">
        <v>137.62299999999999</v>
      </c>
      <c r="J7918">
        <v>-155.3219</v>
      </c>
      <c r="K7918">
        <v>1.110941</v>
      </c>
      <c r="L7918">
        <v>137.6097</v>
      </c>
      <c r="M7918">
        <v>0.99968000000000001</v>
      </c>
      <c r="N7918">
        <v>-1.1862910000000001E-2</v>
      </c>
      <c r="O7918">
        <v>2.2345469999999999E-2</v>
      </c>
      <c r="P7918">
        <v>0.93120040000000004</v>
      </c>
      <c r="Q7918">
        <v>0.34901110000000002</v>
      </c>
      <c r="R7918">
        <v>0.1051531</v>
      </c>
      <c r="S7918">
        <v>3.3412320000000002</v>
      </c>
      <c r="T7918">
        <v>-0.33661790000000003</v>
      </c>
      <c r="U7918">
        <v>8.1817630000000002E-2</v>
      </c>
      <c r="V7918">
        <v>-8.4716219999999995E-2</v>
      </c>
      <c r="W7918">
        <v>0.35996479999999997</v>
      </c>
      <c r="X7918">
        <v>0.92911169999999998</v>
      </c>
      <c r="Y7918">
        <v>-2.20893E-3</v>
      </c>
      <c r="Z7918">
        <v>-1.8563080000000001E-3</v>
      </c>
      <c r="AA7918">
        <v>0.99999579999999999</v>
      </c>
      <c r="AB7918">
        <v>29</v>
      </c>
      <c r="AC7918">
        <v>0.53669999999999596</v>
      </c>
      <c r="AD7918">
        <v>-8.2166999999999796E-2</v>
      </c>
      <c r="AE7918">
        <v>1.3299999999986699E-2</v>
      </c>
      <c r="AF7918">
        <v>-1.27319817383318E-3</v>
      </c>
      <c r="AG7918">
        <v>-8.2166999999999796E-2</v>
      </c>
      <c r="AH7918">
        <v>0.52457541993952395</v>
      </c>
      <c r="AI7918">
        <v>98.902179010424007</v>
      </c>
      <c r="AJ7918">
        <v>90.139062441412605</v>
      </c>
      <c r="AK7918">
        <v>0.53097307665014204</v>
      </c>
      <c r="AL7918">
        <v>68.9019662232743</v>
      </c>
      <c r="AM7918">
        <v>95.209811947286795</v>
      </c>
      <c r="AN7918">
        <v>1.0000000231235</v>
      </c>
    </row>
    <row r="7919" spans="1:40" x14ac:dyDescent="0.25">
      <c r="A7919" t="str">
        <f>"20190304164316478"</f>
        <v>20190304164316478</v>
      </c>
      <c r="B7919" t="str">
        <f>"1551688996468959"</f>
        <v>1551688996468959</v>
      </c>
      <c r="C7919" t="s">
        <v>40</v>
      </c>
      <c r="D7919">
        <v>4.0293390000000002</v>
      </c>
      <c r="E7919">
        <v>0.54185340000000004</v>
      </c>
      <c r="F7919" t="s">
        <v>41</v>
      </c>
      <c r="G7919">
        <v>-154.5273</v>
      </c>
      <c r="H7919">
        <v>1.029963</v>
      </c>
      <c r="I7919">
        <v>137.62639999999999</v>
      </c>
      <c r="J7919">
        <v>-155.035</v>
      </c>
      <c r="K7919">
        <v>1.1109199999999999</v>
      </c>
      <c r="L7919">
        <v>137.61680000000001</v>
      </c>
      <c r="M7919">
        <v>0.99966699999999997</v>
      </c>
      <c r="N7919">
        <v>-1.1784930000000001E-2</v>
      </c>
      <c r="O7919">
        <v>2.295519E-2</v>
      </c>
      <c r="P7919">
        <v>0.93197790000000003</v>
      </c>
      <c r="Q7919">
        <v>0.34795019999999999</v>
      </c>
      <c r="R7919">
        <v>0.1017253</v>
      </c>
      <c r="S7919">
        <v>3.3413240000000002</v>
      </c>
      <c r="T7919">
        <v>-0.34063719999999997</v>
      </c>
      <c r="U7919">
        <v>7.0785520000000005E-2</v>
      </c>
      <c r="V7919">
        <v>-8.069983E-2</v>
      </c>
      <c r="W7919">
        <v>0.35884519999999998</v>
      </c>
      <c r="X7919">
        <v>0.92990200000000001</v>
      </c>
      <c r="Y7919">
        <v>1.6744259999999999E-3</v>
      </c>
      <c r="Z7919">
        <v>-2.1586999999999999E-3</v>
      </c>
      <c r="AA7919">
        <v>0.9999962</v>
      </c>
      <c r="AB7919">
        <v>29</v>
      </c>
      <c r="AC7919">
        <v>0.50769999999999904</v>
      </c>
      <c r="AD7919">
        <v>-8.0957000000000098E-2</v>
      </c>
      <c r="AE7919">
        <v>9.5999999999776195E-3</v>
      </c>
      <c r="AF7919">
        <v>2.0066840797825099E-3</v>
      </c>
      <c r="AG7919">
        <v>-8.0957000000000098E-2</v>
      </c>
      <c r="AH7919">
        <v>0.495199662042412</v>
      </c>
      <c r="AI7919">
        <v>99.284706389801002</v>
      </c>
      <c r="AJ7919">
        <v>89.767823146747105</v>
      </c>
      <c r="AK7919">
        <v>0.50177760802661797</v>
      </c>
      <c r="AL7919">
        <v>68.970708035707702</v>
      </c>
      <c r="AM7919">
        <v>94.959881980340398</v>
      </c>
      <c r="AN7919">
        <v>1.0000000348645299</v>
      </c>
    </row>
    <row r="7920" spans="1:40" x14ac:dyDescent="0.25">
      <c r="A7920" t="str">
        <f>"20190304164316501"</f>
        <v>20190304164316501</v>
      </c>
      <c r="B7920" t="str">
        <f>"1551688996489455"</f>
        <v>1551688996489455</v>
      </c>
      <c r="C7920" t="s">
        <v>40</v>
      </c>
      <c r="D7920">
        <v>4.0418450000000004</v>
      </c>
      <c r="E7920">
        <v>0.54164179999999995</v>
      </c>
      <c r="F7920" t="s">
        <v>41</v>
      </c>
      <c r="G7920">
        <v>-154.2689</v>
      </c>
      <c r="H7920">
        <v>1.032116</v>
      </c>
      <c r="I7920">
        <v>137.63140000000001</v>
      </c>
      <c r="J7920">
        <v>-154.74780000000001</v>
      </c>
      <c r="K7920">
        <v>1.1108990000000001</v>
      </c>
      <c r="L7920">
        <v>137.624</v>
      </c>
      <c r="M7920">
        <v>0.9996545</v>
      </c>
      <c r="N7920">
        <v>-1.1701420000000001E-2</v>
      </c>
      <c r="O7920">
        <v>2.354241E-2</v>
      </c>
      <c r="P7920">
        <v>0.93250440000000001</v>
      </c>
      <c r="Q7920">
        <v>0.34701149999999997</v>
      </c>
      <c r="R7920">
        <v>0.1000949</v>
      </c>
      <c r="S7920">
        <v>3.340271</v>
      </c>
      <c r="T7920">
        <v>-0.3436322</v>
      </c>
      <c r="U7920">
        <v>6.3995360000000001E-2</v>
      </c>
      <c r="V7920">
        <v>-7.8497689999999995E-2</v>
      </c>
      <c r="W7920">
        <v>0.35784009999999999</v>
      </c>
      <c r="X7920">
        <v>0.93047760000000002</v>
      </c>
      <c r="Y7920">
        <v>4.2671799999999998E-3</v>
      </c>
      <c r="Z7920">
        <v>-2.3841230000000001E-3</v>
      </c>
      <c r="AA7920">
        <v>0.99998810000000005</v>
      </c>
      <c r="AB7920">
        <v>29</v>
      </c>
      <c r="AC7920">
        <v>0.47890000000000998</v>
      </c>
      <c r="AD7920">
        <v>-7.8783000000000006E-2</v>
      </c>
      <c r="AE7920">
        <v>7.40000000001828E-3</v>
      </c>
      <c r="AF7920">
        <v>3.7751396657707001E-3</v>
      </c>
      <c r="AG7920">
        <v>-7.8783000000000006E-2</v>
      </c>
      <c r="AH7920">
        <v>0.46632436832124702</v>
      </c>
      <c r="AI7920">
        <v>99.588957164074401</v>
      </c>
      <c r="AJ7920">
        <v>89.536170829670098</v>
      </c>
      <c r="AK7920">
        <v>0.47294759673636799</v>
      </c>
      <c r="AL7920">
        <v>69.032391590311605</v>
      </c>
      <c r="AM7920">
        <v>94.822213641535399</v>
      </c>
      <c r="AN7920">
        <v>0.99999999430255304</v>
      </c>
    </row>
    <row r="7921" spans="1:40" x14ac:dyDescent="0.25">
      <c r="A7921" t="str">
        <f>"20190304164316524"</f>
        <v>20190304164316524</v>
      </c>
      <c r="B7921" t="str">
        <f>"1551688996518735"</f>
        <v>1551688996518735</v>
      </c>
      <c r="C7921" t="s">
        <v>40</v>
      </c>
      <c r="D7921">
        <v>4.0493189999999997</v>
      </c>
      <c r="E7921">
        <v>0.54137619999999997</v>
      </c>
      <c r="F7921" t="s">
        <v>41</v>
      </c>
      <c r="G7921">
        <v>-154.00960000000001</v>
      </c>
      <c r="H7921">
        <v>1.0348200000000001</v>
      </c>
      <c r="I7921">
        <v>137.6369</v>
      </c>
      <c r="J7921">
        <v>-154.4564</v>
      </c>
      <c r="K7921">
        <v>1.110851</v>
      </c>
      <c r="L7921">
        <v>137.63149999999999</v>
      </c>
      <c r="M7921">
        <v>0.9996427</v>
      </c>
      <c r="N7921">
        <v>-1.1611659999999999E-2</v>
      </c>
      <c r="O7921">
        <v>2.407782E-2</v>
      </c>
      <c r="P7921">
        <v>0.93298270000000005</v>
      </c>
      <c r="Q7921">
        <v>0.34588180000000002</v>
      </c>
      <c r="R7921">
        <v>9.9544629999999995E-2</v>
      </c>
      <c r="S7921">
        <v>3.338943</v>
      </c>
      <c r="T7921">
        <v>-0.34420729999999999</v>
      </c>
      <c r="U7921">
        <v>5.8715820000000002E-2</v>
      </c>
      <c r="V7921">
        <v>-7.7405600000000005E-2</v>
      </c>
      <c r="W7921">
        <v>0.35663979999999901</v>
      </c>
      <c r="X7921">
        <v>0.93102980000000002</v>
      </c>
      <c r="Y7921">
        <v>6.3604680000000002E-3</v>
      </c>
      <c r="Z7921">
        <v>-2.5601349999999998E-3</v>
      </c>
      <c r="AA7921">
        <v>0.99997650000000005</v>
      </c>
      <c r="AB7921">
        <v>29</v>
      </c>
      <c r="AC7921">
        <v>0.44679999999999598</v>
      </c>
      <c r="AD7921">
        <v>-7.6030999999999904E-2</v>
      </c>
      <c r="AE7921">
        <v>5.4000000000087303E-3</v>
      </c>
      <c r="AF7921">
        <v>5.2094324752906497E-3</v>
      </c>
      <c r="AG7921">
        <v>-7.6030999999999904E-2</v>
      </c>
      <c r="AH7921">
        <v>0.43422832170226</v>
      </c>
      <c r="AI7921">
        <v>99.930799746627898</v>
      </c>
      <c r="AJ7921">
        <v>89.312656128048701</v>
      </c>
      <c r="AK7921">
        <v>0.44086515684058702</v>
      </c>
      <c r="AL7921">
        <v>69.106023232332902</v>
      </c>
      <c r="AM7921">
        <v>94.752627427665999</v>
      </c>
      <c r="AN7921">
        <v>1.0000000311717101</v>
      </c>
    </row>
    <row r="7922" spans="1:40" x14ac:dyDescent="0.25">
      <c r="A7922" t="str">
        <f>"20190304164316547"</f>
        <v>20190304164316547</v>
      </c>
      <c r="B7922" t="str">
        <f>"1551688996539231"</f>
        <v>1551688996539231</v>
      </c>
      <c r="C7922" t="s">
        <v>40</v>
      </c>
      <c r="D7922">
        <v>4.0212570000000003</v>
      </c>
      <c r="E7922">
        <v>0.53970399999999996</v>
      </c>
      <c r="F7922" t="s">
        <v>41</v>
      </c>
      <c r="G7922">
        <v>-153.5051</v>
      </c>
      <c r="H7922">
        <v>1.01258</v>
      </c>
      <c r="I7922">
        <v>137.64769999999999</v>
      </c>
      <c r="J7922">
        <v>-154.16299999999899</v>
      </c>
      <c r="K7922">
        <v>1.110779</v>
      </c>
      <c r="L7922">
        <v>137.63910000000001</v>
      </c>
      <c r="M7922">
        <v>0.99963299999999999</v>
      </c>
      <c r="N7922">
        <v>-1.1523500000000001E-2</v>
      </c>
      <c r="O7922">
        <v>2.4519269999999999E-2</v>
      </c>
      <c r="P7922">
        <v>0.9334962</v>
      </c>
      <c r="Q7922">
        <v>0.34455010000000003</v>
      </c>
      <c r="R7922">
        <v>9.9349190000000004E-2</v>
      </c>
      <c r="S7922">
        <v>3.33725</v>
      </c>
      <c r="T7922">
        <v>-0.34480329999999998</v>
      </c>
      <c r="U7922">
        <v>5.7052609999999997E-2</v>
      </c>
      <c r="V7922">
        <v>-7.6729549999999994E-2</v>
      </c>
      <c r="W7922">
        <v>0.35524460000000002</v>
      </c>
      <c r="X7922">
        <v>0.93161890000000003</v>
      </c>
      <c r="Y7922">
        <v>7.2831889999999998E-3</v>
      </c>
      <c r="Z7922">
        <v>-2.6614989999999999E-3</v>
      </c>
      <c r="AA7922">
        <v>0.99997000000000003</v>
      </c>
      <c r="AB7922">
        <v>29</v>
      </c>
      <c r="AC7922">
        <v>0.65789999999998305</v>
      </c>
      <c r="AD7922">
        <v>-9.8199000000000106E-2</v>
      </c>
      <c r="AE7922">
        <v>8.5999999999728498E-3</v>
      </c>
      <c r="AF7922">
        <v>7.3707005021386796E-3</v>
      </c>
      <c r="AG7922">
        <v>-9.8199000000000106E-2</v>
      </c>
      <c r="AH7922">
        <v>0.64357729590974599</v>
      </c>
      <c r="AI7922">
        <v>98.674892573245799</v>
      </c>
      <c r="AJ7922">
        <v>89.343837063636002</v>
      </c>
      <c r="AK7922">
        <v>0.65106766671168204</v>
      </c>
      <c r="AL7922">
        <v>69.191563087969996</v>
      </c>
      <c r="AM7922">
        <v>94.7083405448722</v>
      </c>
      <c r="AN7922">
        <v>0.99999996225478505</v>
      </c>
    </row>
    <row r="7923" spans="1:40" x14ac:dyDescent="0.25">
      <c r="A7923" t="str">
        <f>"20190304164316568"</f>
        <v>20190304164316568</v>
      </c>
      <c r="B7923" t="str">
        <f>"1551688996558751"</f>
        <v>1551688996558751</v>
      </c>
      <c r="C7923" t="s">
        <v>40</v>
      </c>
      <c r="D7923">
        <v>4.0122869999999997</v>
      </c>
      <c r="E7923">
        <v>0.53953030000000002</v>
      </c>
      <c r="F7923" t="s">
        <v>41</v>
      </c>
      <c r="G7923">
        <v>-153.24250000000001</v>
      </c>
      <c r="H7923">
        <v>1.02162</v>
      </c>
      <c r="I7923">
        <v>137.6575</v>
      </c>
      <c r="J7923">
        <v>-153.88310000000001</v>
      </c>
      <c r="K7923">
        <v>1.1106910000000001</v>
      </c>
      <c r="L7923">
        <v>137.6463</v>
      </c>
      <c r="M7923">
        <v>0.99962569999999995</v>
      </c>
      <c r="N7923">
        <v>-1.1444360000000001E-2</v>
      </c>
      <c r="O7923">
        <v>2.485074E-2</v>
      </c>
      <c r="P7923">
        <v>0.93381259999999999</v>
      </c>
      <c r="Q7923">
        <v>0.34354639999999997</v>
      </c>
      <c r="R7923">
        <v>9.9851629999999997E-2</v>
      </c>
      <c r="S7923">
        <v>3.3255460000000001</v>
      </c>
      <c r="T7923">
        <v>-0.32222889999999998</v>
      </c>
      <c r="U7923">
        <v>6.6833500000000004E-2</v>
      </c>
      <c r="V7923">
        <v>-7.6850119999999994E-2</v>
      </c>
      <c r="W7923">
        <v>0.35418440000000001</v>
      </c>
      <c r="X7923">
        <v>0.93201259999999997</v>
      </c>
      <c r="Y7923">
        <v>4.6458380000000002E-3</v>
      </c>
      <c r="Z7923">
        <v>-2.3690640000000002E-3</v>
      </c>
      <c r="AA7923">
        <v>0.99998640000000005</v>
      </c>
      <c r="AB7923">
        <v>29</v>
      </c>
      <c r="AC7923">
        <v>0.64060000000000605</v>
      </c>
      <c r="AD7923">
        <v>-8.9071000000000095E-2</v>
      </c>
      <c r="AE7923">
        <v>1.12000000000023E-2</v>
      </c>
      <c r="AF7923">
        <v>4.6343176059539101E-3</v>
      </c>
      <c r="AG7923">
        <v>-8.9071000000000095E-2</v>
      </c>
      <c r="AH7923">
        <v>0.62853278766212295</v>
      </c>
      <c r="AI7923">
        <v>98.065608415189004</v>
      </c>
      <c r="AJ7923">
        <v>89.577552621970895</v>
      </c>
      <c r="AK7923">
        <v>0.63482957170172305</v>
      </c>
      <c r="AL7923">
        <v>69.256533755416498</v>
      </c>
      <c r="AM7923">
        <v>94.713722691347897</v>
      </c>
      <c r="AN7923">
        <v>1.00000000835306</v>
      </c>
    </row>
    <row r="7924" spans="1:40" x14ac:dyDescent="0.25">
      <c r="A7924" t="str">
        <f>"20190304164316590"</f>
        <v>20190304164316590</v>
      </c>
      <c r="B7924" t="str">
        <f>"1551688996579248"</f>
        <v>1551688996579248</v>
      </c>
      <c r="C7924" t="s">
        <v>40</v>
      </c>
      <c r="D7924">
        <v>4.0109130000000004</v>
      </c>
      <c r="E7924">
        <v>0.53948469999999904</v>
      </c>
      <c r="F7924" t="s">
        <v>41</v>
      </c>
      <c r="G7924">
        <v>-152.98349999999999</v>
      </c>
      <c r="H7924">
        <v>1.0228440000000001</v>
      </c>
      <c r="I7924">
        <v>137.6651</v>
      </c>
      <c r="J7924">
        <v>-153.58920000000001</v>
      </c>
      <c r="K7924">
        <v>1.11059</v>
      </c>
      <c r="L7924">
        <v>137.65389999999999</v>
      </c>
      <c r="M7924">
        <v>0.99962119999999999</v>
      </c>
      <c r="N7924">
        <v>-1.136351E-2</v>
      </c>
      <c r="O7924">
        <v>2.5070869999999999E-2</v>
      </c>
      <c r="P7924">
        <v>0.93399889999999997</v>
      </c>
      <c r="Q7924">
        <v>0.342667</v>
      </c>
      <c r="R7924">
        <v>0.10112160000000001</v>
      </c>
      <c r="S7924">
        <v>3.3246150000000001</v>
      </c>
      <c r="T7924">
        <v>-0.32469330000000002</v>
      </c>
      <c r="U7924">
        <v>6.9702150000000004E-2</v>
      </c>
      <c r="V7924">
        <v>-7.7829199999999904E-2</v>
      </c>
      <c r="W7924">
        <v>0.35324949999999999</v>
      </c>
      <c r="X7924">
        <v>0.93228610000000001</v>
      </c>
      <c r="Y7924">
        <v>3.9983969999999999E-3</v>
      </c>
      <c r="Z7924">
        <v>-2.3753070000000001E-3</v>
      </c>
      <c r="AA7924">
        <v>0.99998920000000002</v>
      </c>
      <c r="AB7924">
        <v>29</v>
      </c>
      <c r="AC7924">
        <v>0.60570000000001301</v>
      </c>
      <c r="AD7924">
        <v>-8.7745999999999796E-2</v>
      </c>
      <c r="AE7924">
        <v>1.12000000000023E-2</v>
      </c>
      <c r="AF7924">
        <v>3.9079398426146196E-3</v>
      </c>
      <c r="AG7924">
        <v>-8.7745999999999796E-2</v>
      </c>
      <c r="AH7924">
        <v>0.59334248998991201</v>
      </c>
      <c r="AI7924">
        <v>98.411992232051503</v>
      </c>
      <c r="AJ7924">
        <v>89.622637472027805</v>
      </c>
      <c r="AK7924">
        <v>0.59980825514262703</v>
      </c>
      <c r="AL7924">
        <v>69.313801269036603</v>
      </c>
      <c r="AM7924">
        <v>94.772106417224606</v>
      </c>
      <c r="AN7924">
        <v>0.99999998293804904</v>
      </c>
    </row>
    <row r="7925" spans="1:40" x14ac:dyDescent="0.25">
      <c r="A7925" t="str">
        <f>"20190304164316614"</f>
        <v>20190304164316614</v>
      </c>
      <c r="B7925" t="str">
        <f>"1551688996608527"</f>
        <v>1551688996608527</v>
      </c>
      <c r="C7925" t="s">
        <v>40</v>
      </c>
      <c r="D7925">
        <v>4.0224909999999996</v>
      </c>
      <c r="E7925">
        <v>0.53939910000000002</v>
      </c>
      <c r="F7925" t="s">
        <v>41</v>
      </c>
      <c r="G7925">
        <v>-152.72329999999999</v>
      </c>
      <c r="H7925">
        <v>1.025793</v>
      </c>
      <c r="I7925">
        <v>137.67320000000001</v>
      </c>
      <c r="J7925">
        <v>-153.29640000000001</v>
      </c>
      <c r="K7925">
        <v>1.1104799999999999</v>
      </c>
      <c r="L7925">
        <v>137.66139999999999</v>
      </c>
      <c r="M7925">
        <v>0.99962059999999997</v>
      </c>
      <c r="N7925">
        <v>-1.12849E-2</v>
      </c>
      <c r="O7925">
        <v>2.5132760000000001E-2</v>
      </c>
      <c r="P7925">
        <v>0.93355600000000005</v>
      </c>
      <c r="Q7925">
        <v>0.34336260000000002</v>
      </c>
      <c r="R7925">
        <v>0.1028372</v>
      </c>
      <c r="S7925">
        <v>3.3233489999999999</v>
      </c>
      <c r="T7925">
        <v>-0.32551049999999998</v>
      </c>
      <c r="U7925">
        <v>7.440186E-2</v>
      </c>
      <c r="V7925">
        <v>-7.9405900000000001E-2</v>
      </c>
      <c r="W7925">
        <v>0.3538869</v>
      </c>
      <c r="X7925">
        <v>0.9319113</v>
      </c>
      <c r="Y7925">
        <v>2.6449500000000001E-3</v>
      </c>
      <c r="Z7925">
        <v>-2.3162529999999999E-3</v>
      </c>
      <c r="AA7925">
        <v>0.99999380000000004</v>
      </c>
      <c r="AB7925">
        <v>29</v>
      </c>
      <c r="AC7925">
        <v>0.57310000000001005</v>
      </c>
      <c r="AD7925">
        <v>-8.4686999999999901E-2</v>
      </c>
      <c r="AE7925">
        <v>1.1800000000022201E-2</v>
      </c>
      <c r="AF7925">
        <v>2.5525142735335501E-3</v>
      </c>
      <c r="AG7925">
        <v>-8.4686999999999901E-2</v>
      </c>
      <c r="AH7925">
        <v>0.56097136440050599</v>
      </c>
      <c r="AI7925">
        <v>98.584739965875897</v>
      </c>
      <c r="AJ7925">
        <v>89.739296343799396</v>
      </c>
      <c r="AK7925">
        <v>0.56733347774962295</v>
      </c>
      <c r="AL7925">
        <v>69.274758509833205</v>
      </c>
      <c r="AM7925">
        <v>94.870270450324099</v>
      </c>
      <c r="AN7925">
        <v>0.99999995300705302</v>
      </c>
    </row>
    <row r="7926" spans="1:40" x14ac:dyDescent="0.25">
      <c r="A7926" t="str">
        <f>"20190304164316635"</f>
        <v>20190304164316635</v>
      </c>
      <c r="B7926" t="str">
        <f>"1551688996629023"</f>
        <v>1551688996629023</v>
      </c>
      <c r="C7926" t="s">
        <v>40</v>
      </c>
      <c r="D7926">
        <v>4.0362330000000002</v>
      </c>
      <c r="E7926">
        <v>0.53939780000000004</v>
      </c>
      <c r="F7926" t="s">
        <v>41</v>
      </c>
      <c r="G7926">
        <v>-152.4623</v>
      </c>
      <c r="H7926">
        <v>1.030073</v>
      </c>
      <c r="I7926">
        <v>137.68170000000001</v>
      </c>
      <c r="J7926">
        <v>-153.012</v>
      </c>
      <c r="K7926">
        <v>1.1103459999999901</v>
      </c>
      <c r="L7926">
        <v>137.66849999999999</v>
      </c>
      <c r="M7926">
        <v>0.99962459999999997</v>
      </c>
      <c r="N7926">
        <v>-1.1207780000000001E-2</v>
      </c>
      <c r="O7926">
        <v>2.5005489999999998E-2</v>
      </c>
      <c r="P7926">
        <v>0.93302989999999997</v>
      </c>
      <c r="Q7926">
        <v>0.3446012</v>
      </c>
      <c r="R7926">
        <v>0.1034653</v>
      </c>
      <c r="S7926">
        <v>3.3223880000000001</v>
      </c>
      <c r="T7926">
        <v>-0.32029030000000003</v>
      </c>
      <c r="U7926">
        <v>8.1115720000000002E-2</v>
      </c>
      <c r="V7926">
        <v>-8.0057950000000003E-2</v>
      </c>
      <c r="W7926">
        <v>0.355072099999999</v>
      </c>
      <c r="X7926">
        <v>0.93140460000000003</v>
      </c>
      <c r="Y7926">
        <v>5.0656309999999995E-4</v>
      </c>
      <c r="Z7926">
        <v>-2.1518280000000002E-3</v>
      </c>
      <c r="AA7926">
        <v>0.99999760000000004</v>
      </c>
      <c r="AB7926">
        <v>29</v>
      </c>
      <c r="AC7926">
        <v>0.54970000000000097</v>
      </c>
      <c r="AD7926">
        <v>-8.0272999999999803E-2</v>
      </c>
      <c r="AE7926">
        <v>1.32000000000118E-2</v>
      </c>
      <c r="AF7926">
        <v>5.3901971586356597E-4</v>
      </c>
      <c r="AG7926">
        <v>-8.0272999999999803E-2</v>
      </c>
      <c r="AH7926">
        <v>0.53838381007444003</v>
      </c>
      <c r="AI7926">
        <v>98.480320566970207</v>
      </c>
      <c r="AJ7926">
        <v>89.942636565408193</v>
      </c>
      <c r="AK7926">
        <v>0.54433553257299405</v>
      </c>
      <c r="AL7926">
        <v>69.202136718544494</v>
      </c>
      <c r="AM7926">
        <v>94.912726560501795</v>
      </c>
      <c r="AN7926">
        <v>1.00000000022888</v>
      </c>
    </row>
    <row r="7927" spans="1:40" x14ac:dyDescent="0.25">
      <c r="A7927" t="str">
        <f>"20190304164316657"</f>
        <v>20190304164316657</v>
      </c>
      <c r="B7927" t="str">
        <f>"1551688996648543"</f>
        <v>1551688996648543</v>
      </c>
      <c r="C7927" t="s">
        <v>40</v>
      </c>
      <c r="D7927">
        <v>4.0386870000000004</v>
      </c>
      <c r="E7927">
        <v>0.53955259999999905</v>
      </c>
      <c r="F7927" t="s">
        <v>41</v>
      </c>
      <c r="G7927">
        <v>-152.2003</v>
      </c>
      <c r="H7927">
        <v>1.033828</v>
      </c>
      <c r="I7927">
        <v>137.6893</v>
      </c>
      <c r="J7927">
        <v>-152.72399999999999</v>
      </c>
      <c r="K7927">
        <v>1.11019</v>
      </c>
      <c r="L7927">
        <v>137.6754</v>
      </c>
      <c r="M7927">
        <v>0.99963380000000002</v>
      </c>
      <c r="N7927">
        <v>-1.113071E-2</v>
      </c>
      <c r="O7927">
        <v>2.46684E-2</v>
      </c>
      <c r="P7927">
        <v>0.93273700000000004</v>
      </c>
      <c r="Q7927">
        <v>0.34535729999999998</v>
      </c>
      <c r="R7927">
        <v>0.1035865</v>
      </c>
      <c r="S7927">
        <v>3.3215330000000001</v>
      </c>
      <c r="T7927">
        <v>-0.31316830000000001</v>
      </c>
      <c r="U7927">
        <v>8.5342409999999994E-2</v>
      </c>
      <c r="V7927">
        <v>-8.0370919999999998E-2</v>
      </c>
      <c r="W7927">
        <v>0.35578259999999901</v>
      </c>
      <c r="X7927">
        <v>0.93110649999999995</v>
      </c>
      <c r="Y7927">
        <v>-1.095171E-3</v>
      </c>
      <c r="Z7927">
        <v>-1.9882910000000001E-3</v>
      </c>
      <c r="AA7927">
        <v>0.99999740000000004</v>
      </c>
      <c r="AB7927">
        <v>29</v>
      </c>
      <c r="AC7927">
        <v>0.52369999999999095</v>
      </c>
      <c r="AD7927">
        <v>-7.6361999999999999E-2</v>
      </c>
      <c r="AE7927">
        <v>1.39000000000066E-2</v>
      </c>
      <c r="AF7927">
        <v>-9.5582145013691205E-4</v>
      </c>
      <c r="AG7927">
        <v>-7.6361999999999999E-2</v>
      </c>
      <c r="AH7927">
        <v>0.51298449466999396</v>
      </c>
      <c r="AI7927">
        <v>98.466765306635196</v>
      </c>
      <c r="AJ7927">
        <v>90.106756582809595</v>
      </c>
      <c r="AK7927">
        <v>0.51863779307959501</v>
      </c>
      <c r="AL7927">
        <v>69.158584883627796</v>
      </c>
      <c r="AM7927">
        <v>94.933408477874394</v>
      </c>
      <c r="AN7927">
        <v>1.00000002879332</v>
      </c>
    </row>
    <row r="7928" spans="1:40" x14ac:dyDescent="0.25">
      <c r="A7928" t="str">
        <f>"20190304164316679"</f>
        <v>20190304164316679</v>
      </c>
      <c r="B7928" t="str">
        <f>"1551688996669039"</f>
        <v>1551688996669039</v>
      </c>
      <c r="C7928" t="s">
        <v>40</v>
      </c>
      <c r="D7928">
        <v>4.0437529999999997</v>
      </c>
      <c r="E7928">
        <v>0.54065189999999996</v>
      </c>
      <c r="F7928" t="s">
        <v>41</v>
      </c>
      <c r="G7928">
        <v>-151.93799999999999</v>
      </c>
      <c r="H7928">
        <v>1.036918</v>
      </c>
      <c r="I7928">
        <v>137.6961</v>
      </c>
      <c r="J7928">
        <v>-152.43510000000001</v>
      </c>
      <c r="K7928">
        <v>1.1100190000000001</v>
      </c>
      <c r="L7928">
        <v>137.68209999999999</v>
      </c>
      <c r="M7928">
        <v>0.99964810000000004</v>
      </c>
      <c r="N7928">
        <v>-1.1055280000000001E-2</v>
      </c>
      <c r="O7928">
        <v>2.412102E-2</v>
      </c>
      <c r="P7928">
        <v>0.93266300000000002</v>
      </c>
      <c r="Q7928">
        <v>0.34543699999999999</v>
      </c>
      <c r="R7928">
        <v>0.1039876</v>
      </c>
      <c r="S7928">
        <v>3.3212280000000001</v>
      </c>
      <c r="T7928">
        <v>-0.30964700000000001</v>
      </c>
      <c r="U7928">
        <v>8.7799070000000007E-2</v>
      </c>
      <c r="V7928">
        <v>-8.1143839999999995E-2</v>
      </c>
      <c r="W7928">
        <v>0.35582350000000001</v>
      </c>
      <c r="X7928">
        <v>0.93102379999999996</v>
      </c>
      <c r="Y7928">
        <v>-2.3744040000000001E-3</v>
      </c>
      <c r="Z7928">
        <v>-1.8535240000000001E-3</v>
      </c>
      <c r="AA7928">
        <v>0.99999550000000004</v>
      </c>
      <c r="AB7928">
        <v>29</v>
      </c>
      <c r="AC7928">
        <v>0.49710000000001697</v>
      </c>
      <c r="AD7928">
        <v>-7.3100999999999999E-2</v>
      </c>
      <c r="AE7928">
        <v>1.4000000000009999E-2</v>
      </c>
      <c r="AF7928">
        <v>-1.9622364711925802E-3</v>
      </c>
      <c r="AG7928">
        <v>-7.3100999999999999E-2</v>
      </c>
      <c r="AH7928">
        <v>0.48677482849557402</v>
      </c>
      <c r="AI7928">
        <v>98.540455935598999</v>
      </c>
      <c r="AJ7928">
        <v>90.230963584507407</v>
      </c>
      <c r="AK7928">
        <v>0.492237077260403</v>
      </c>
      <c r="AL7928">
        <v>69.156076793591794</v>
      </c>
      <c r="AM7928">
        <v>94.981055296914107</v>
      </c>
      <c r="AN7928">
        <v>1.00000000104431</v>
      </c>
    </row>
    <row r="7929" spans="1:40" x14ac:dyDescent="0.25">
      <c r="A7929" t="str">
        <f>"20190304164316704"</f>
        <v>20190304164316704</v>
      </c>
      <c r="B7929" t="str">
        <f>"1551688996699295"</f>
        <v>1551688996699295</v>
      </c>
      <c r="C7929" t="s">
        <v>40</v>
      </c>
      <c r="D7929">
        <v>4.0168670000000004</v>
      </c>
      <c r="E7929">
        <v>0.54146019999999995</v>
      </c>
      <c r="F7929" t="s">
        <v>41</v>
      </c>
      <c r="G7929">
        <v>-151.6756</v>
      </c>
      <c r="H7929">
        <v>1.0399339999999999</v>
      </c>
      <c r="I7929">
        <v>137.70060000000001</v>
      </c>
      <c r="J7929">
        <v>-152.1345</v>
      </c>
      <c r="K7929">
        <v>1.109836</v>
      </c>
      <c r="L7929">
        <v>137.68860000000001</v>
      </c>
      <c r="M7929">
        <v>0.99966730000000004</v>
      </c>
      <c r="N7929">
        <v>-1.0979890000000001E-2</v>
      </c>
      <c r="O7929">
        <v>2.334253E-2</v>
      </c>
      <c r="P7929">
        <v>0.93258830000000004</v>
      </c>
      <c r="Q7929">
        <v>0.34540650000000001</v>
      </c>
      <c r="R7929">
        <v>0.10475420000000001</v>
      </c>
      <c r="S7929">
        <v>3.3210600000000001</v>
      </c>
      <c r="T7929">
        <v>-0.30654140000000002</v>
      </c>
      <c r="U7929">
        <v>8.1420899999999893E-2</v>
      </c>
      <c r="V7929">
        <v>-8.2495609999999997E-2</v>
      </c>
      <c r="W7929">
        <v>0.35575669999999998</v>
      </c>
      <c r="X7929">
        <v>0.93093060000000005</v>
      </c>
      <c r="Y7929">
        <v>-1.236635E-3</v>
      </c>
      <c r="Z7929">
        <v>-1.8298050000000001E-3</v>
      </c>
      <c r="AA7929">
        <v>0.99999760000000004</v>
      </c>
      <c r="AB7929">
        <v>29</v>
      </c>
      <c r="AC7929">
        <v>0.45889999999999898</v>
      </c>
      <c r="AD7929">
        <v>-6.9902000000000103E-2</v>
      </c>
      <c r="AE7929">
        <v>1.2000000000000399E-2</v>
      </c>
      <c r="AF7929">
        <v>-1.2550958846260301E-3</v>
      </c>
      <c r="AG7929">
        <v>-6.9902000000000103E-2</v>
      </c>
      <c r="AH7929">
        <v>0.44865213702272799</v>
      </c>
      <c r="AI7929">
        <v>98.8557036820023</v>
      </c>
      <c r="AJ7929">
        <v>90.1602834435608</v>
      </c>
      <c r="AK7929">
        <v>0.454066740606202</v>
      </c>
      <c r="AL7929">
        <v>69.160173600374506</v>
      </c>
      <c r="AM7929">
        <v>95.064110794513994</v>
      </c>
      <c r="AN7929">
        <v>1.0000000686402499</v>
      </c>
    </row>
    <row r="7930" spans="1:40" x14ac:dyDescent="0.25">
      <c r="A7930" t="str">
        <f>"20190304164316724"</f>
        <v>20190304164316724</v>
      </c>
      <c r="B7930" t="str">
        <f>"1551688996718815"</f>
        <v>1551688996718815</v>
      </c>
      <c r="C7930" t="s">
        <v>40</v>
      </c>
      <c r="D7930">
        <v>4.0380699999999896</v>
      </c>
      <c r="E7930">
        <v>0.54182089999999905</v>
      </c>
      <c r="F7930" t="s">
        <v>41</v>
      </c>
      <c r="G7930">
        <v>-151.16730000000001</v>
      </c>
      <c r="H7930">
        <v>1.020154</v>
      </c>
      <c r="I7930">
        <v>137.71080000000001</v>
      </c>
      <c r="J7930">
        <v>-151.85059999999999</v>
      </c>
      <c r="K7930">
        <v>1.109699</v>
      </c>
      <c r="L7930">
        <v>137.6943</v>
      </c>
      <c r="M7930">
        <v>0.99968880000000004</v>
      </c>
      <c r="N7930">
        <v>-1.0909490000000001E-2</v>
      </c>
      <c r="O7930">
        <v>2.243475E-2</v>
      </c>
      <c r="P7930">
        <v>0.9326489</v>
      </c>
      <c r="Q7930">
        <v>0.345244</v>
      </c>
      <c r="R7930">
        <v>0.1047502</v>
      </c>
      <c r="S7930">
        <v>3.3223880000000001</v>
      </c>
      <c r="T7930">
        <v>-0.30809150000000002</v>
      </c>
      <c r="U7930">
        <v>7.652283E-2</v>
      </c>
      <c r="V7930">
        <v>-8.3223240000000004E-2</v>
      </c>
      <c r="W7930">
        <v>0.3555566</v>
      </c>
      <c r="X7930">
        <v>0.93094219999999905</v>
      </c>
      <c r="Y7930">
        <v>-6.621353E-4</v>
      </c>
      <c r="Z7930">
        <v>-1.79688E-3</v>
      </c>
      <c r="AA7930">
        <v>0.99999819999999995</v>
      </c>
      <c r="AB7930">
        <v>29</v>
      </c>
      <c r="AC7930">
        <v>0.68329999999997404</v>
      </c>
      <c r="AD7930">
        <v>-8.9544999999999902E-2</v>
      </c>
      <c r="AE7930">
        <v>1.6500000000007699E-2</v>
      </c>
      <c r="AF7930">
        <v>-1.1456071858539599E-3</v>
      </c>
      <c r="AG7930">
        <v>-8.9544999999999902E-2</v>
      </c>
      <c r="AH7930">
        <v>0.67196490326316705</v>
      </c>
      <c r="AI7930">
        <v>97.590416746558503</v>
      </c>
      <c r="AJ7930">
        <v>90.097681281889507</v>
      </c>
      <c r="AK7930">
        <v>0.67790593053778603</v>
      </c>
      <c r="AL7930">
        <v>69.172438859079804</v>
      </c>
      <c r="AM7930">
        <v>95.108478760390497</v>
      </c>
      <c r="AN7930">
        <v>0.999999991610248</v>
      </c>
    </row>
    <row r="7931" spans="1:40" x14ac:dyDescent="0.25">
      <c r="A7931" t="str">
        <f>"20190304164316747"</f>
        <v>20190304164316747</v>
      </c>
      <c r="B7931" t="str">
        <f>"1551688996739311"</f>
        <v>1551688996739311</v>
      </c>
      <c r="C7931" t="s">
        <v>40</v>
      </c>
      <c r="D7931">
        <v>4.0523790000000002</v>
      </c>
      <c r="E7931">
        <v>0.54216730000000002</v>
      </c>
      <c r="F7931" t="s">
        <v>41</v>
      </c>
      <c r="G7931">
        <v>-150.90559999999999</v>
      </c>
      <c r="H7931">
        <v>1.0217339999999999</v>
      </c>
      <c r="I7931">
        <v>137.71559999999999</v>
      </c>
      <c r="J7931">
        <v>-151.5624</v>
      </c>
      <c r="K7931">
        <v>1.109591</v>
      </c>
      <c r="L7931">
        <v>137.69970000000001</v>
      </c>
      <c r="M7931">
        <v>0.9997125</v>
      </c>
      <c r="N7931">
        <v>-1.0840839999999999E-2</v>
      </c>
      <c r="O7931">
        <v>2.1394460000000001E-2</v>
      </c>
      <c r="P7931">
        <v>0.93247800000000003</v>
      </c>
      <c r="Q7931">
        <v>0.34619</v>
      </c>
      <c r="R7931">
        <v>0.1031386</v>
      </c>
      <c r="S7931">
        <v>3.322708</v>
      </c>
      <c r="T7931">
        <v>-0.30938100000000002</v>
      </c>
      <c r="U7931">
        <v>7.5515750000000006E-2</v>
      </c>
      <c r="V7931">
        <v>-8.249919E-2</v>
      </c>
      <c r="W7931">
        <v>0.35645490000000002</v>
      </c>
      <c r="X7931">
        <v>0.93066309999999997</v>
      </c>
      <c r="Y7931">
        <v>-1.391371E-3</v>
      </c>
      <c r="Z7931">
        <v>-1.683588E-3</v>
      </c>
      <c r="AA7931">
        <v>0.99999760000000004</v>
      </c>
      <c r="AB7931">
        <v>29</v>
      </c>
      <c r="AC7931">
        <v>0.65680000000000405</v>
      </c>
      <c r="AD7931">
        <v>-8.7857000000000005E-2</v>
      </c>
      <c r="AE7931">
        <v>1.5899999999987799E-2</v>
      </c>
      <c r="AF7931">
        <v>-1.8112652260930499E-3</v>
      </c>
      <c r="AG7931">
        <v>-8.7857000000000005E-2</v>
      </c>
      <c r="AH7931">
        <v>0.64544752505526903</v>
      </c>
      <c r="AI7931">
        <v>97.751316131138495</v>
      </c>
      <c r="AJ7931">
        <v>90.160783915957694</v>
      </c>
      <c r="AK7931">
        <v>0.65140205766537995</v>
      </c>
      <c r="AL7931">
        <v>69.117361980276996</v>
      </c>
      <c r="AM7931">
        <v>95.065777479622696</v>
      </c>
      <c r="AN7931">
        <v>1.00000000889313</v>
      </c>
    </row>
    <row r="7932" spans="1:40" x14ac:dyDescent="0.25">
      <c r="A7932" t="str">
        <f>"20190304164316769"</f>
        <v>20190304164316769</v>
      </c>
      <c r="B7932" t="str">
        <f>"1551688996758831"</f>
        <v>1551688996758831</v>
      </c>
      <c r="C7932" t="s">
        <v>40</v>
      </c>
      <c r="D7932">
        <v>4.0515030000000003</v>
      </c>
      <c r="E7932">
        <v>0.54249080000000005</v>
      </c>
      <c r="F7932" t="s">
        <v>41</v>
      </c>
      <c r="G7932">
        <v>-150.6431</v>
      </c>
      <c r="H7932">
        <v>1.024551</v>
      </c>
      <c r="I7932">
        <v>137.71979999999999</v>
      </c>
      <c r="J7932">
        <v>-151.2698</v>
      </c>
      <c r="K7932">
        <v>1.109521</v>
      </c>
      <c r="L7932">
        <v>137.70480000000001</v>
      </c>
      <c r="M7932">
        <v>0.99973670000000003</v>
      </c>
      <c r="N7932">
        <v>-1.077699E-2</v>
      </c>
      <c r="O7932">
        <v>2.0257020000000001E-2</v>
      </c>
      <c r="P7932">
        <v>0.93238810000000005</v>
      </c>
      <c r="Q7932">
        <v>0.34686270000000002</v>
      </c>
      <c r="R7932">
        <v>0.1016787</v>
      </c>
      <c r="S7932">
        <v>3.3233489999999999</v>
      </c>
      <c r="T7932">
        <v>-0.30744909999999998</v>
      </c>
      <c r="U7932">
        <v>7.2799680000000005E-2</v>
      </c>
      <c r="V7932">
        <v>-8.2044270000000002E-2</v>
      </c>
      <c r="W7932">
        <v>0.35707810000000001</v>
      </c>
      <c r="X7932">
        <v>0.93046439999999997</v>
      </c>
      <c r="Y7932">
        <v>-1.7017829999999999E-3</v>
      </c>
      <c r="Z7932">
        <v>-1.5639629999999901E-3</v>
      </c>
      <c r="AA7932">
        <v>0.99999729999999998</v>
      </c>
      <c r="AB7932">
        <v>29</v>
      </c>
      <c r="AC7932">
        <v>0.62669999999999904</v>
      </c>
      <c r="AD7932">
        <v>-8.4969999999999907E-2</v>
      </c>
      <c r="AE7932">
        <v>1.49999999999863E-2</v>
      </c>
      <c r="AF7932">
        <v>-2.2595958126076202E-3</v>
      </c>
      <c r="AG7932">
        <v>-8.4969999999999907E-2</v>
      </c>
      <c r="AH7932">
        <v>0.615565911661902</v>
      </c>
      <c r="AI7932">
        <v>97.859139331433298</v>
      </c>
      <c r="AJ7932">
        <v>90.2103182121147</v>
      </c>
      <c r="AK7932">
        <v>0.62140678969044505</v>
      </c>
      <c r="AL7932">
        <v>69.079140147676895</v>
      </c>
      <c r="AM7932">
        <v>95.039058062434407</v>
      </c>
      <c r="AN7932">
        <v>1.0000000157033999</v>
      </c>
    </row>
    <row r="7933" spans="1:40" x14ac:dyDescent="0.25">
      <c r="A7933" t="str">
        <f>"20190304164316792"</f>
        <v>20190304164316792</v>
      </c>
      <c r="B7933" t="str">
        <f>"1551688996789088"</f>
        <v>1551688996789088</v>
      </c>
      <c r="C7933" t="s">
        <v>40</v>
      </c>
      <c r="D7933">
        <v>4.053115</v>
      </c>
      <c r="E7933">
        <v>0.54287079999999999</v>
      </c>
      <c r="F7933" t="s">
        <v>41</v>
      </c>
      <c r="G7933">
        <v>-150.3801</v>
      </c>
      <c r="H7933">
        <v>1.0275729999999901</v>
      </c>
      <c r="I7933">
        <v>137.72329999999999</v>
      </c>
      <c r="J7933">
        <v>-150.97290000000001</v>
      </c>
      <c r="K7933">
        <v>1.109472</v>
      </c>
      <c r="L7933">
        <v>137.70959999999999</v>
      </c>
      <c r="M7933">
        <v>0.99976100000000001</v>
      </c>
      <c r="N7933">
        <v>-1.0719050000000001E-2</v>
      </c>
      <c r="O7933">
        <v>1.9056670000000001E-2</v>
      </c>
      <c r="P7933">
        <v>0.93238500000000002</v>
      </c>
      <c r="Q7933">
        <v>0.347255599999999</v>
      </c>
      <c r="R7933">
        <v>0.1003597</v>
      </c>
      <c r="S7933">
        <v>3.3238219999999998</v>
      </c>
      <c r="T7933">
        <v>-0.30623479999999997</v>
      </c>
      <c r="U7933">
        <v>6.9915770000000002E-2</v>
      </c>
      <c r="V7933">
        <v>-8.1811739999999994E-2</v>
      </c>
      <c r="W7933">
        <v>0.35742380000000001</v>
      </c>
      <c r="X7933">
        <v>0.93035219999999996</v>
      </c>
      <c r="Y7933">
        <v>-2.0261319999999999E-3</v>
      </c>
      <c r="Z7933">
        <v>-1.4437779999999999E-3</v>
      </c>
      <c r="AA7933">
        <v>0.99999689999999997</v>
      </c>
      <c r="AB7933">
        <v>29</v>
      </c>
      <c r="AC7933">
        <v>0.59280000000001098</v>
      </c>
      <c r="AD7933">
        <v>-8.1899000000000097E-2</v>
      </c>
      <c r="AE7933">
        <v>1.37E-2</v>
      </c>
      <c r="AF7933">
        <v>-2.3551405793474098E-3</v>
      </c>
      <c r="AG7933">
        <v>-8.1899000000000097E-2</v>
      </c>
      <c r="AH7933">
        <v>0.581853441335065</v>
      </c>
      <c r="AI7933">
        <v>98.011989091497497</v>
      </c>
      <c r="AJ7933">
        <v>90.231912142904704</v>
      </c>
      <c r="AK7933">
        <v>0.58759375429084204</v>
      </c>
      <c r="AL7933">
        <v>69.057934836079198</v>
      </c>
      <c r="AM7933">
        <v>95.025452467943197</v>
      </c>
      <c r="AN7933">
        <v>1.0000000748265501</v>
      </c>
    </row>
    <row r="7934" spans="1:40" x14ac:dyDescent="0.25">
      <c r="A7934" t="str">
        <f>"20190304164316815"</f>
        <v>20190304164316815</v>
      </c>
      <c r="B7934" t="str">
        <f>"1551688996808607"</f>
        <v>1551688996808607</v>
      </c>
      <c r="C7934" t="s">
        <v>40</v>
      </c>
      <c r="D7934">
        <v>4.0453700000000001</v>
      </c>
      <c r="E7934">
        <v>0.54310099999999994</v>
      </c>
      <c r="F7934" t="s">
        <v>41</v>
      </c>
      <c r="G7934">
        <v>-150.11689999999999</v>
      </c>
      <c r="H7934">
        <v>1.030554</v>
      </c>
      <c r="I7934">
        <v>137.7261</v>
      </c>
      <c r="J7934">
        <v>-150.6746</v>
      </c>
      <c r="K7934">
        <v>1.1094469999999901</v>
      </c>
      <c r="L7934">
        <v>137.7141</v>
      </c>
      <c r="M7934">
        <v>0.99978409999999995</v>
      </c>
      <c r="N7934">
        <v>-1.066721E-2</v>
      </c>
      <c r="O7934">
        <v>1.7839109999999998E-2</v>
      </c>
      <c r="P7934">
        <v>0.93261919999999998</v>
      </c>
      <c r="Q7934">
        <v>0.34693770000000002</v>
      </c>
      <c r="R7934">
        <v>9.9276009999999998E-2</v>
      </c>
      <c r="S7934">
        <v>3.324783</v>
      </c>
      <c r="T7934">
        <v>-0.3065157</v>
      </c>
      <c r="U7934">
        <v>6.4193730000000004E-2</v>
      </c>
      <c r="V7934">
        <v>-8.184379E-2</v>
      </c>
      <c r="W7934">
        <v>0.35706300000000002</v>
      </c>
      <c r="X7934">
        <v>0.93048779999999998</v>
      </c>
      <c r="Y7934">
        <v>-1.516121E-3</v>
      </c>
      <c r="Z7934">
        <v>-1.3730610000000001E-3</v>
      </c>
      <c r="AA7934">
        <v>0.9999979</v>
      </c>
      <c r="AB7934">
        <v>29</v>
      </c>
      <c r="AC7934">
        <v>0.55770000000001096</v>
      </c>
      <c r="AD7934">
        <v>-7.8892999999999602E-2</v>
      </c>
      <c r="AE7934">
        <v>1.2000000000000399E-2</v>
      </c>
      <c r="AF7934">
        <v>-2.0084801066503799E-3</v>
      </c>
      <c r="AG7934">
        <v>-7.8892999999999602E-2</v>
      </c>
      <c r="AH7934">
        <v>0.54688647121989897</v>
      </c>
      <c r="AI7934">
        <v>98.208716020363795</v>
      </c>
      <c r="AJ7934">
        <v>90.210421946833904</v>
      </c>
      <c r="AK7934">
        <v>0.55255131150391101</v>
      </c>
      <c r="AL7934">
        <v>69.080065348886507</v>
      </c>
      <c r="AM7934">
        <v>95.026682225989703</v>
      </c>
      <c r="AN7934">
        <v>0.999999968939701</v>
      </c>
    </row>
    <row r="7935" spans="1:40" x14ac:dyDescent="0.25">
      <c r="A7935" t="str">
        <f>"20190304164316836"</f>
        <v>20190304164316836</v>
      </c>
      <c r="B7935" t="str">
        <f>"1551688996829103"</f>
        <v>1551688996829103</v>
      </c>
      <c r="C7935" t="s">
        <v>40</v>
      </c>
      <c r="D7935">
        <v>4.0560130000000001</v>
      </c>
      <c r="E7935">
        <v>0.54331379999999996</v>
      </c>
      <c r="F7935" t="s">
        <v>41</v>
      </c>
      <c r="G7935">
        <v>-149.85299999999901</v>
      </c>
      <c r="H7935">
        <v>1.033226</v>
      </c>
      <c r="I7935">
        <v>137.7285</v>
      </c>
      <c r="J7935">
        <v>-150.38939999999999</v>
      </c>
      <c r="K7935">
        <v>1.109429</v>
      </c>
      <c r="L7935">
        <v>137.71799999999999</v>
      </c>
      <c r="M7935">
        <v>0.99980440000000004</v>
      </c>
      <c r="N7935">
        <v>-1.0623280000000001E-2</v>
      </c>
      <c r="O7935">
        <v>1.669085E-2</v>
      </c>
      <c r="P7935">
        <v>0.93267120000000003</v>
      </c>
      <c r="Q7935">
        <v>0.34739049999999999</v>
      </c>
      <c r="R7935">
        <v>9.7183699999999998E-2</v>
      </c>
      <c r="S7935">
        <v>3.3252410000000001</v>
      </c>
      <c r="T7935">
        <v>-0.30856319999999998</v>
      </c>
      <c r="U7935">
        <v>5.918884E-2</v>
      </c>
      <c r="V7935">
        <v>-8.0817200000000006E-2</v>
      </c>
      <c r="W7935">
        <v>0.35747309999999999</v>
      </c>
      <c r="X7935">
        <v>0.93042009999999997</v>
      </c>
      <c r="Y7935">
        <v>-1.156081E-3</v>
      </c>
      <c r="Z7935">
        <v>-1.308608E-3</v>
      </c>
      <c r="AA7935">
        <v>0.99999850000000001</v>
      </c>
      <c r="AB7935">
        <v>29</v>
      </c>
      <c r="AC7935">
        <v>0.53640000000001398</v>
      </c>
      <c r="AD7935">
        <v>-7.6203000000000007E-2</v>
      </c>
      <c r="AE7935">
        <v>1.05000000000075E-2</v>
      </c>
      <c r="AF7935">
        <v>-1.51450699069231E-3</v>
      </c>
      <c r="AG7935">
        <v>-7.6203000000000007E-2</v>
      </c>
      <c r="AH7935">
        <v>0.52589100822105495</v>
      </c>
      <c r="AI7935">
        <v>98.244890471083593</v>
      </c>
      <c r="AJ7935">
        <v>90.165004948474106</v>
      </c>
      <c r="AK7935">
        <v>0.53138549422070502</v>
      </c>
      <c r="AL7935">
        <v>69.054908688001902</v>
      </c>
      <c r="AM7935">
        <v>94.964307522859599</v>
      </c>
      <c r="AN7935">
        <v>0.99999999976173004</v>
      </c>
    </row>
    <row r="7936" spans="1:40" x14ac:dyDescent="0.25">
      <c r="A7936" t="str">
        <f>"20190304164316871"</f>
        <v>20190304164316871</v>
      </c>
      <c r="B7936" t="str">
        <f>"1551688996859359"</f>
        <v>1551688996859359</v>
      </c>
      <c r="C7936" t="s">
        <v>40</v>
      </c>
      <c r="D7936">
        <v>4.0775309999999996</v>
      </c>
      <c r="E7936">
        <v>0.54358200000000001</v>
      </c>
      <c r="F7936" t="s">
        <v>41</v>
      </c>
      <c r="G7936">
        <v>-149.5891</v>
      </c>
      <c r="H7936">
        <v>1.0352030000000001</v>
      </c>
      <c r="I7936">
        <v>137.73060000000001</v>
      </c>
      <c r="J7936">
        <v>-149.94799999999901</v>
      </c>
      <c r="K7936">
        <v>1.1094389999999901</v>
      </c>
      <c r="L7936">
        <v>137.7234</v>
      </c>
      <c r="M7936">
        <v>0.9998321</v>
      </c>
      <c r="N7936">
        <v>-1.0567490000000001E-2</v>
      </c>
      <c r="O7936">
        <v>1.497476E-2</v>
      </c>
      <c r="P7936">
        <v>0.93290779999999995</v>
      </c>
      <c r="Q7936">
        <v>0.34771540000000001</v>
      </c>
      <c r="R7936">
        <v>9.3687190000000004E-2</v>
      </c>
      <c r="S7936">
        <v>3.325974</v>
      </c>
      <c r="T7936">
        <v>-0.30852030000000003</v>
      </c>
      <c r="U7936">
        <v>5.2886959999999997E-2</v>
      </c>
      <c r="V7936">
        <v>-7.8925930000000005E-2</v>
      </c>
      <c r="W7936">
        <v>0.35774119999999998</v>
      </c>
      <c r="X7936">
        <v>0.93047939999999996</v>
      </c>
      <c r="Y7936">
        <v>-9.6951939999999999E-4</v>
      </c>
      <c r="Z7936">
        <v>-1.1779780000000001E-3</v>
      </c>
      <c r="AA7936">
        <v>0.99999879999999997</v>
      </c>
      <c r="AB7936">
        <v>29</v>
      </c>
      <c r="AC7936">
        <v>0.35889999999997702</v>
      </c>
      <c r="AD7936">
        <v>-7.4235999999999705E-2</v>
      </c>
      <c r="AE7936">
        <v>7.2000000000116398E-3</v>
      </c>
      <c r="AF7936">
        <v>-1.7496254929475099E-3</v>
      </c>
      <c r="AG7936">
        <v>-7.4235999999999705E-2</v>
      </c>
      <c r="AH7936">
        <v>0.344245283954767</v>
      </c>
      <c r="AI7936">
        <v>102.16924091247</v>
      </c>
      <c r="AJ7936">
        <v>90.291203098434593</v>
      </c>
      <c r="AK7936">
        <v>0.35216311619825202</v>
      </c>
      <c r="AL7936">
        <v>69.038459782910806</v>
      </c>
      <c r="AM7936">
        <v>94.848386571558905</v>
      </c>
      <c r="AN7936">
        <v>0.99999999121408201</v>
      </c>
    </row>
    <row r="7937" spans="1:40" x14ac:dyDescent="0.25">
      <c r="A7937" t="str">
        <f>"20190304164316892"</f>
        <v>20190304164316892</v>
      </c>
      <c r="B7937" t="str">
        <f>"1551688996888639"</f>
        <v>1551688996888639</v>
      </c>
      <c r="C7937" t="s">
        <v>40</v>
      </c>
      <c r="D7937">
        <v>4.0894360000000001</v>
      </c>
      <c r="E7937">
        <v>0.54370249999999998</v>
      </c>
      <c r="F7937" t="s">
        <v>41</v>
      </c>
      <c r="G7937">
        <v>-149.06890000000001</v>
      </c>
      <c r="H7937">
        <v>1.027504</v>
      </c>
      <c r="I7937">
        <v>137.73439999999999</v>
      </c>
      <c r="J7937">
        <v>-149.6559</v>
      </c>
      <c r="K7937">
        <v>1.109442</v>
      </c>
      <c r="L7937">
        <v>137.72659999999999</v>
      </c>
      <c r="M7937">
        <v>0.99984819999999996</v>
      </c>
      <c r="N7937">
        <v>-1.0542579999999999E-2</v>
      </c>
      <c r="O7937">
        <v>1.38806E-2</v>
      </c>
      <c r="P7937">
        <v>0.93322989999999995</v>
      </c>
      <c r="Q7937">
        <v>0.34735769999999999</v>
      </c>
      <c r="R7937">
        <v>9.1787289999999994E-2</v>
      </c>
      <c r="S7937">
        <v>3.3271639999999998</v>
      </c>
      <c r="T7937">
        <v>-0.31016700000000003</v>
      </c>
      <c r="U7937">
        <v>4.1717530000000003E-2</v>
      </c>
      <c r="V7937">
        <v>-7.805521E-2</v>
      </c>
      <c r="W7937">
        <v>0.35735820000000001</v>
      </c>
      <c r="X7937">
        <v>0.93069999999999997</v>
      </c>
      <c r="Y7937">
        <v>1.2904520000000001E-3</v>
      </c>
      <c r="Z7937">
        <v>-1.211852E-3</v>
      </c>
      <c r="AA7937">
        <v>0.99999850000000001</v>
      </c>
      <c r="AB7937">
        <v>29</v>
      </c>
      <c r="AC7937">
        <v>0.58699999999998898</v>
      </c>
      <c r="AD7937">
        <v>-8.1937999999999803E-2</v>
      </c>
      <c r="AE7937">
        <v>7.80000000000313E-3</v>
      </c>
      <c r="AF7937">
        <v>3.4244434054086099E-4</v>
      </c>
      <c r="AG7937">
        <v>-8.1937999999999803E-2</v>
      </c>
      <c r="AH7937">
        <v>0.57583372953321998</v>
      </c>
      <c r="AI7937">
        <v>98.0985088052782</v>
      </c>
      <c r="AJ7937">
        <v>89.965926599794599</v>
      </c>
      <c r="AK7937">
        <v>0.58163428129733197</v>
      </c>
      <c r="AL7937">
        <v>69.061957468705302</v>
      </c>
      <c r="AM7937">
        <v>94.794018124266799</v>
      </c>
      <c r="AN7937">
        <v>0.99999999445769205</v>
      </c>
    </row>
    <row r="7938" spans="1:40" x14ac:dyDescent="0.25">
      <c r="A7938" t="str">
        <f>"20190304164316914"</f>
        <v>20190304164316914</v>
      </c>
      <c r="B7938" t="str">
        <f>"1551688996909135"</f>
        <v>1551688996909135</v>
      </c>
      <c r="C7938" t="s">
        <v>40</v>
      </c>
      <c r="D7938">
        <v>4.1333900000000003</v>
      </c>
      <c r="E7938">
        <v>0.54373590000000005</v>
      </c>
      <c r="F7938" t="s">
        <v>41</v>
      </c>
      <c r="G7938">
        <v>-148.80510000000001</v>
      </c>
      <c r="H7938">
        <v>1.0293540000000001</v>
      </c>
      <c r="I7938">
        <v>137.7353</v>
      </c>
      <c r="J7938">
        <v>-149.36199999999999</v>
      </c>
      <c r="K7938">
        <v>1.109456</v>
      </c>
      <c r="L7938">
        <v>137.7296</v>
      </c>
      <c r="M7938">
        <v>0.99986260000000005</v>
      </c>
      <c r="N7938">
        <v>-1.0527369999999999E-2</v>
      </c>
      <c r="O7938">
        <v>1.2809839999999999E-2</v>
      </c>
      <c r="P7938">
        <v>0.93343140000000002</v>
      </c>
      <c r="Q7938">
        <v>0.34710679999999999</v>
      </c>
      <c r="R7938">
        <v>9.0679109999999993E-2</v>
      </c>
      <c r="S7938">
        <v>3.3278500000000002</v>
      </c>
      <c r="T7938">
        <v>-0.31332019999999999</v>
      </c>
      <c r="U7938">
        <v>3.4713750000000002E-2</v>
      </c>
      <c r="V7938">
        <v>-7.7957650000000003E-2</v>
      </c>
      <c r="W7938">
        <v>0.35709200000000002</v>
      </c>
      <c r="X7938">
        <v>0.93081040000000004</v>
      </c>
      <c r="Y7938">
        <v>2.3238870000000002E-3</v>
      </c>
      <c r="Z7938">
        <v>-1.1901419999999999E-3</v>
      </c>
      <c r="AA7938">
        <v>0.99999660000000001</v>
      </c>
      <c r="AB7938">
        <v>29</v>
      </c>
      <c r="AC7938">
        <v>0.55689999999998396</v>
      </c>
      <c r="AD7938">
        <v>-8.0101999999999896E-2</v>
      </c>
      <c r="AE7938">
        <v>5.6999999999902597E-3</v>
      </c>
      <c r="AF7938">
        <v>1.40558584270577E-3</v>
      </c>
      <c r="AG7938">
        <v>-8.0101999999999896E-2</v>
      </c>
      <c r="AH7938">
        <v>0.545639946943971</v>
      </c>
      <c r="AI7938">
        <v>98.351554003785793</v>
      </c>
      <c r="AJ7938">
        <v>89.852404577703197</v>
      </c>
      <c r="AK7938">
        <v>0.55149003415889697</v>
      </c>
      <c r="AL7938">
        <v>69.078288192568905</v>
      </c>
      <c r="AM7938">
        <v>94.787488776373905</v>
      </c>
      <c r="AN7938">
        <v>1.00000004620284</v>
      </c>
    </row>
    <row r="7939" spans="1:40" x14ac:dyDescent="0.25">
      <c r="A7939" t="str">
        <f>"20190304164316936"</f>
        <v>20190304164316936</v>
      </c>
      <c r="B7939" t="str">
        <f>"1551688996928655"</f>
        <v>1551688996928655</v>
      </c>
      <c r="C7939" t="s">
        <v>40</v>
      </c>
      <c r="D7939">
        <v>4.1264849999999997</v>
      </c>
      <c r="E7939">
        <v>0.54381159999999995</v>
      </c>
      <c r="F7939" t="s">
        <v>41</v>
      </c>
      <c r="G7939">
        <v>-148.54079999999999</v>
      </c>
      <c r="H7939">
        <v>1.0316179999999999</v>
      </c>
      <c r="I7939">
        <v>137.73670000000001</v>
      </c>
      <c r="J7939">
        <v>-149.07220000000001</v>
      </c>
      <c r="K7939">
        <v>1.1094679999999999</v>
      </c>
      <c r="L7939">
        <v>137.73220000000001</v>
      </c>
      <c r="M7939">
        <v>0.99987510000000002</v>
      </c>
      <c r="N7939">
        <v>-1.0527659999999999E-2</v>
      </c>
      <c r="O7939">
        <v>1.1784609999999999E-2</v>
      </c>
      <c r="P7939">
        <v>0.93364009999999997</v>
      </c>
      <c r="Q7939">
        <v>0.3464216</v>
      </c>
      <c r="R7939">
        <v>9.1149610000000006E-2</v>
      </c>
      <c r="S7939">
        <v>3.3284150000000001</v>
      </c>
      <c r="T7939">
        <v>-0.31551279999999998</v>
      </c>
      <c r="U7939">
        <v>2.9357910000000001E-2</v>
      </c>
      <c r="V7939">
        <v>-7.9398709999999997E-2</v>
      </c>
      <c r="W7939">
        <v>0.35640809999999901</v>
      </c>
      <c r="X7939">
        <v>0.93095059999999996</v>
      </c>
      <c r="Y7939">
        <v>2.9091410000000001E-3</v>
      </c>
      <c r="Z7939">
        <v>-1.1436560000000001E-3</v>
      </c>
      <c r="AA7939">
        <v>0.99999510000000003</v>
      </c>
      <c r="AB7939">
        <v>29</v>
      </c>
      <c r="AC7939">
        <v>0.53140000000001897</v>
      </c>
      <c r="AD7939">
        <v>-7.7850000000000197E-2</v>
      </c>
      <c r="AE7939">
        <v>4.5000000000072699E-3</v>
      </c>
      <c r="AF7939">
        <v>1.7259613098483701E-3</v>
      </c>
      <c r="AG7939">
        <v>-7.7850000000000197E-2</v>
      </c>
      <c r="AH7939">
        <v>0.52025119676286502</v>
      </c>
      <c r="AI7939">
        <v>98.510503888482901</v>
      </c>
      <c r="AJ7939">
        <v>89.809918869050193</v>
      </c>
      <c r="AK7939">
        <v>0.52604648955737399</v>
      </c>
      <c r="AL7939">
        <v>69.120230722033199</v>
      </c>
      <c r="AM7939">
        <v>94.874832827233902</v>
      </c>
      <c r="AN7939">
        <v>0.99999995426781596</v>
      </c>
    </row>
    <row r="7940" spans="1:40" x14ac:dyDescent="0.25">
      <c r="A7940" t="str">
        <f>"20190304164316958"</f>
        <v>20190304164316958</v>
      </c>
      <c r="B7940" t="str">
        <f>"1551688996949151"</f>
        <v>1551688996949151</v>
      </c>
      <c r="C7940" t="s">
        <v>40</v>
      </c>
      <c r="D7940">
        <v>4.1212809999999998</v>
      </c>
      <c r="E7940">
        <v>0.54392079999999998</v>
      </c>
      <c r="F7940" t="s">
        <v>41</v>
      </c>
      <c r="G7940">
        <v>-148.2764</v>
      </c>
      <c r="H7940">
        <v>1.03336299999999</v>
      </c>
      <c r="I7940">
        <v>137.73840000000001</v>
      </c>
      <c r="J7940">
        <v>-148.77520000000001</v>
      </c>
      <c r="K7940">
        <v>1.1094889999999999</v>
      </c>
      <c r="L7940">
        <v>137.7346</v>
      </c>
      <c r="M7940">
        <v>0.99988650000000001</v>
      </c>
      <c r="N7940">
        <v>-1.054218E-2</v>
      </c>
      <c r="O7940">
        <v>1.0764269999999999E-2</v>
      </c>
      <c r="P7940">
        <v>0.93370249999999999</v>
      </c>
      <c r="Q7940">
        <v>0.346141799999999</v>
      </c>
      <c r="R7940">
        <v>9.1570940000000003E-2</v>
      </c>
      <c r="S7940">
        <v>3.3287810000000002</v>
      </c>
      <c r="T7940">
        <v>-0.31838929999999999</v>
      </c>
      <c r="U7940">
        <v>2.6718140000000001E-2</v>
      </c>
      <c r="V7940">
        <v>-8.0789330000000006E-2</v>
      </c>
      <c r="W7940">
        <v>0.35614119999999999</v>
      </c>
      <c r="X7940">
        <v>0.93093309999999996</v>
      </c>
      <c r="Y7940">
        <v>2.6863400000000002E-3</v>
      </c>
      <c r="Z7940">
        <v>-1.0563079999999999E-3</v>
      </c>
      <c r="AA7940">
        <v>0.99999579999999999</v>
      </c>
      <c r="AB7940">
        <v>29</v>
      </c>
      <c r="AC7940">
        <v>0.49880000000001701</v>
      </c>
      <c r="AD7940">
        <v>-7.6126000000000096E-2</v>
      </c>
      <c r="AE7940">
        <v>3.8000000000124601E-3</v>
      </c>
      <c r="AF7940">
        <v>1.53400783184705E-3</v>
      </c>
      <c r="AG7940">
        <v>-7.6126000000000096E-2</v>
      </c>
      <c r="AH7940">
        <v>0.48745861152974601</v>
      </c>
      <c r="AI7940">
        <v>98.876094220780402</v>
      </c>
      <c r="AJ7940">
        <v>89.819693647240896</v>
      </c>
      <c r="AK7940">
        <v>0.49336945488197398</v>
      </c>
      <c r="AL7940">
        <v>69.136596875370401</v>
      </c>
      <c r="AM7940">
        <v>94.959883073069804</v>
      </c>
      <c r="AN7940">
        <v>0.99999995342744796</v>
      </c>
    </row>
    <row r="7941" spans="1:40" x14ac:dyDescent="0.25">
      <c r="A7941" t="str">
        <f>"20190304164316982"</f>
        <v>20190304164316982</v>
      </c>
      <c r="B7941" t="str">
        <f>"1551688996968672"</f>
        <v>1551688996968672</v>
      </c>
      <c r="C7941" t="s">
        <v>40</v>
      </c>
      <c r="D7941">
        <v>4.1585890000000001</v>
      </c>
      <c r="E7941">
        <v>0.54394969999999998</v>
      </c>
      <c r="F7941" t="s">
        <v>41</v>
      </c>
      <c r="G7941">
        <v>-148.01050000000001</v>
      </c>
      <c r="H7941">
        <v>1.036087</v>
      </c>
      <c r="I7941">
        <v>137.74039999999999</v>
      </c>
      <c r="J7941">
        <v>-148.4828</v>
      </c>
      <c r="K7941">
        <v>1.1095109999999999</v>
      </c>
      <c r="L7941">
        <v>137.73670000000001</v>
      </c>
      <c r="M7941">
        <v>0.99989629999999996</v>
      </c>
      <c r="N7941">
        <v>-1.056634E-2</v>
      </c>
      <c r="O7941">
        <v>9.7883569999999993E-3</v>
      </c>
      <c r="P7941">
        <v>0.93387089999999995</v>
      </c>
      <c r="Q7941">
        <v>0.34542919999999999</v>
      </c>
      <c r="R7941">
        <v>9.2541280000000004E-2</v>
      </c>
      <c r="S7941">
        <v>3.328964</v>
      </c>
      <c r="T7941">
        <v>-0.31955660000000002</v>
      </c>
      <c r="U7941">
        <v>2.549744E-2</v>
      </c>
      <c r="V7941">
        <v>-8.2688319999999996E-2</v>
      </c>
      <c r="W7941">
        <v>0.35545189999999999</v>
      </c>
      <c r="X7941">
        <v>0.93102989999999997</v>
      </c>
      <c r="Y7941">
        <v>2.083672E-3</v>
      </c>
      <c r="Z7941">
        <v>-9.450188E-4</v>
      </c>
      <c r="AA7941">
        <v>0.99999740000000004</v>
      </c>
      <c r="AB7941">
        <v>29</v>
      </c>
      <c r="AC7941">
        <v>0.47229999999999001</v>
      </c>
      <c r="AD7941">
        <v>-7.34240000000001E-2</v>
      </c>
      <c r="AE7941">
        <v>3.69999999998071E-3</v>
      </c>
      <c r="AF7941">
        <v>9.0168564689186901E-4</v>
      </c>
      <c r="AG7941">
        <v>-7.34240000000001E-2</v>
      </c>
      <c r="AH7941">
        <v>0.46116876066976698</v>
      </c>
      <c r="AI7941">
        <v>99.046280783175106</v>
      </c>
      <c r="AJ7941">
        <v>89.887974380341703</v>
      </c>
      <c r="AK7941">
        <v>0.46697807510706002</v>
      </c>
      <c r="AL7941">
        <v>69.178858115676206</v>
      </c>
      <c r="AM7941">
        <v>95.075340299831694</v>
      </c>
      <c r="AN7941">
        <v>1.0000000430860201</v>
      </c>
    </row>
    <row r="7942" spans="1:40" x14ac:dyDescent="0.25">
      <c r="A7942" t="str">
        <f>"20190304164317004"</f>
        <v>20190304164317004</v>
      </c>
      <c r="B7942" t="str">
        <f>"1551688996998927"</f>
        <v>1551688996998927</v>
      </c>
      <c r="C7942" t="s">
        <v>40</v>
      </c>
      <c r="D7942">
        <v>4.1620350000000004</v>
      </c>
      <c r="E7942">
        <v>0.54396119999999903</v>
      </c>
      <c r="F7942" t="s">
        <v>41</v>
      </c>
      <c r="G7942">
        <v>-147.7449</v>
      </c>
      <c r="H7942">
        <v>1.0380130000000001</v>
      </c>
      <c r="I7942">
        <v>137.7431</v>
      </c>
      <c r="J7942">
        <v>-148.1798</v>
      </c>
      <c r="K7942">
        <v>1.109534</v>
      </c>
      <c r="L7942">
        <v>137.73859999999999</v>
      </c>
      <c r="M7942">
        <v>0.99990500000000004</v>
      </c>
      <c r="N7942">
        <v>-1.0596799999999899E-2</v>
      </c>
      <c r="O7942">
        <v>8.8107849999999998E-3</v>
      </c>
      <c r="P7942">
        <v>0.93368490000000004</v>
      </c>
      <c r="Q7942">
        <v>0.34548679999999998</v>
      </c>
      <c r="R7942">
        <v>9.4188389999999997E-2</v>
      </c>
      <c r="S7942">
        <v>3.3288269999999902</v>
      </c>
      <c r="T7942">
        <v>-0.32255099999999998</v>
      </c>
      <c r="U7942">
        <v>2.9327389999999998E-2</v>
      </c>
      <c r="V7942">
        <v>-8.5270200000000004E-2</v>
      </c>
      <c r="W7942">
        <v>0.35553570000000001</v>
      </c>
      <c r="X7942">
        <v>0.93076499999999995</v>
      </c>
      <c r="Y7942" s="1">
        <v>-3.1073469999999998E-5</v>
      </c>
      <c r="Z7942">
        <v>-7.5686359999999997E-4</v>
      </c>
      <c r="AA7942">
        <v>0.99999970000000005</v>
      </c>
      <c r="AB7942">
        <v>29</v>
      </c>
      <c r="AC7942">
        <v>0.43489999999999801</v>
      </c>
      <c r="AD7942">
        <v>-7.1521000000000098E-2</v>
      </c>
      <c r="AE7942">
        <v>4.5000000000072699E-3</v>
      </c>
      <c r="AF7942">
        <v>-6.5021634842741996E-4</v>
      </c>
      <c r="AG7942">
        <v>-7.1521000000000098E-2</v>
      </c>
      <c r="AH7942">
        <v>0.423471180164806</v>
      </c>
      <c r="AI7942">
        <v>99.586336245154499</v>
      </c>
      <c r="AJ7942">
        <v>90.087974400628099</v>
      </c>
      <c r="AK7942">
        <v>0.429468877396807</v>
      </c>
      <c r="AL7942">
        <v>69.173721614095598</v>
      </c>
      <c r="AM7942">
        <v>95.234428391157707</v>
      </c>
      <c r="AN7942">
        <v>1.00000006310376</v>
      </c>
    </row>
    <row r="7943" spans="1:40" x14ac:dyDescent="0.25">
      <c r="A7943" t="str">
        <f>"20190304164317027"</f>
        <v>20190304164317027</v>
      </c>
      <c r="B7943" t="str">
        <f>"1551688997019424"</f>
        <v>1551688997019424</v>
      </c>
      <c r="C7943" t="s">
        <v>40</v>
      </c>
      <c r="D7943">
        <v>4.1922769999999998</v>
      </c>
      <c r="E7943">
        <v>0.54397119999999999</v>
      </c>
      <c r="F7943" t="s">
        <v>41</v>
      </c>
      <c r="G7943">
        <v>-147.22909999999999</v>
      </c>
      <c r="H7943">
        <v>1.0173239999999999</v>
      </c>
      <c r="I7943">
        <v>137.74809999999999</v>
      </c>
      <c r="J7943">
        <v>-147.8802</v>
      </c>
      <c r="K7943">
        <v>1.109569</v>
      </c>
      <c r="L7943">
        <v>137.74029999999999</v>
      </c>
      <c r="M7943">
        <v>0.99991260000000004</v>
      </c>
      <c r="N7943">
        <v>-1.062749E-2</v>
      </c>
      <c r="O7943">
        <v>7.8790960000000004E-3</v>
      </c>
      <c r="P7943">
        <v>0.93339740000000004</v>
      </c>
      <c r="Q7943">
        <v>0.34558440000000001</v>
      </c>
      <c r="R7943">
        <v>9.6649689999999996E-2</v>
      </c>
      <c r="S7943">
        <v>3.3291930000000001</v>
      </c>
      <c r="T7943">
        <v>-0.32288860000000003</v>
      </c>
      <c r="U7943">
        <v>3.3248899999999998E-2</v>
      </c>
      <c r="V7943">
        <v>-8.8627170000000005E-2</v>
      </c>
      <c r="W7943">
        <v>0.35565859999999999</v>
      </c>
      <c r="X7943">
        <v>0.93040429999999996</v>
      </c>
      <c r="Y7943">
        <v>-2.125357E-3</v>
      </c>
      <c r="Z7943">
        <v>-5.6464129999999897E-4</v>
      </c>
      <c r="AA7943">
        <v>0.99999760000000004</v>
      </c>
      <c r="AB7943">
        <v>29</v>
      </c>
      <c r="AC7943">
        <v>0.651100000000013</v>
      </c>
      <c r="AD7943">
        <v>-9.2245000000000105E-2</v>
      </c>
      <c r="AE7943">
        <v>7.80000000000313E-3</v>
      </c>
      <c r="AF7943">
        <v>-2.6168710607696799E-3</v>
      </c>
      <c r="AG7943">
        <v>-9.2245000000000105E-2</v>
      </c>
      <c r="AH7943">
        <v>0.63833052668547396</v>
      </c>
      <c r="AI7943">
        <v>98.222807656419505</v>
      </c>
      <c r="AJ7943">
        <v>90.234885879799407</v>
      </c>
      <c r="AK7943">
        <v>0.64496654900677097</v>
      </c>
      <c r="AL7943">
        <v>69.166185898164699</v>
      </c>
      <c r="AM7943">
        <v>95.441383949342097</v>
      </c>
      <c r="AN7943">
        <v>0.99999998823732905</v>
      </c>
    </row>
    <row r="7944" spans="1:40" x14ac:dyDescent="0.25">
      <c r="A7944" t="str">
        <f>"20190304164317048"</f>
        <v>20190304164317048</v>
      </c>
      <c r="B7944" t="str">
        <f>"1551688997038944"</f>
        <v>1551688997038944</v>
      </c>
      <c r="C7944" t="s">
        <v>40</v>
      </c>
      <c r="D7944">
        <v>4.2085520000000001</v>
      </c>
      <c r="E7944">
        <v>0.54394469999999995</v>
      </c>
      <c r="F7944" t="s">
        <v>41</v>
      </c>
      <c r="G7944">
        <v>-146.9632</v>
      </c>
      <c r="H7944">
        <v>1.0207440000000001</v>
      </c>
      <c r="I7944">
        <v>137.75120000000001</v>
      </c>
      <c r="J7944">
        <v>-147.5977</v>
      </c>
      <c r="K7944">
        <v>1.109605</v>
      </c>
      <c r="L7944">
        <v>137.74160000000001</v>
      </c>
      <c r="M7944">
        <v>0.99991850000000004</v>
      </c>
      <c r="N7944">
        <v>-1.0657109999999999E-2</v>
      </c>
      <c r="O7944">
        <v>7.0288099999999999E-3</v>
      </c>
      <c r="P7944">
        <v>0.93316730000000003</v>
      </c>
      <c r="Q7944">
        <v>0.34551510000000002</v>
      </c>
      <c r="R7944">
        <v>9.9088099999999998E-2</v>
      </c>
      <c r="S7944">
        <v>3.3293460000000001</v>
      </c>
      <c r="T7944">
        <v>-0.32251679999999999</v>
      </c>
      <c r="U7944">
        <v>3.9825439999999997E-2</v>
      </c>
      <c r="V7944">
        <v>-9.188288E-2</v>
      </c>
      <c r="W7944">
        <v>0.3556145</v>
      </c>
      <c r="X7944">
        <v>0.93010530000000002</v>
      </c>
      <c r="Y7944">
        <v>-4.9325020000000001E-3</v>
      </c>
      <c r="Z7944">
        <v>-3.3981560000000003E-4</v>
      </c>
      <c r="AA7944">
        <v>0.99998779999999998</v>
      </c>
      <c r="AB7944">
        <v>29</v>
      </c>
      <c r="AC7944">
        <v>0.63450000000000195</v>
      </c>
      <c r="AD7944">
        <v>-8.8860999999999801E-2</v>
      </c>
      <c r="AE7944">
        <v>9.6000000000060395E-3</v>
      </c>
      <c r="AF7944">
        <v>-5.0408819424261299E-3</v>
      </c>
      <c r="AG7944">
        <v>-8.8860999999999801E-2</v>
      </c>
      <c r="AH7944">
        <v>0.62234806136438103</v>
      </c>
      <c r="AI7944">
        <v>98.125701184712497</v>
      </c>
      <c r="AJ7944">
        <v>90.464073020109396</v>
      </c>
      <c r="AK7944">
        <v>0.628680202722943</v>
      </c>
      <c r="AL7944">
        <v>69.168889698868995</v>
      </c>
      <c r="AM7944">
        <v>95.641807876369995</v>
      </c>
      <c r="AN7944">
        <v>1.0000000026677101</v>
      </c>
    </row>
    <row r="7945" spans="1:40" x14ac:dyDescent="0.25">
      <c r="A7945" t="str">
        <f>"20190304164317071"</f>
        <v>20190304164317071</v>
      </c>
      <c r="B7945" t="str">
        <f>"1551688997059441"</f>
        <v>1551688997059441</v>
      </c>
      <c r="C7945" t="s">
        <v>40</v>
      </c>
      <c r="D7945">
        <v>4.211919</v>
      </c>
      <c r="E7945">
        <v>0.54393139999999995</v>
      </c>
      <c r="F7945" t="s">
        <v>41</v>
      </c>
      <c r="G7945">
        <v>-146.69810000000001</v>
      </c>
      <c r="H7945">
        <v>1.022268</v>
      </c>
      <c r="I7945">
        <v>137.75409999999999</v>
      </c>
      <c r="J7945">
        <v>-147.30029999999999</v>
      </c>
      <c r="K7945">
        <v>1.109634</v>
      </c>
      <c r="L7945">
        <v>137.74270000000001</v>
      </c>
      <c r="M7945">
        <v>0.99992380000000003</v>
      </c>
      <c r="N7945">
        <v>-1.069205E-2</v>
      </c>
      <c r="O7945">
        <v>6.1705589999999999E-3</v>
      </c>
      <c r="P7945">
        <v>0.93306160000000005</v>
      </c>
      <c r="Q7945">
        <v>0.34521610000000003</v>
      </c>
      <c r="R7945">
        <v>0.1011035</v>
      </c>
      <c r="S7945">
        <v>3.3295750000000002</v>
      </c>
      <c r="T7945">
        <v>-0.32328319999999999</v>
      </c>
      <c r="U7945">
        <v>4.6829219999999998E-2</v>
      </c>
      <c r="V7945">
        <v>-9.4725100000000007E-2</v>
      </c>
      <c r="W7945">
        <v>0.35534490000000002</v>
      </c>
      <c r="X7945">
        <v>0.92992319999999995</v>
      </c>
      <c r="Y7945">
        <v>-7.8745180000000005E-3</v>
      </c>
      <c r="Z7945">
        <v>-1.082643E-4</v>
      </c>
      <c r="AA7945">
        <v>0.999969</v>
      </c>
      <c r="AB7945">
        <v>30</v>
      </c>
      <c r="AC7945">
        <v>0.60219999999998197</v>
      </c>
      <c r="AD7945">
        <v>-8.7365999999999999E-2</v>
      </c>
      <c r="AE7945">
        <v>1.13999999999805E-2</v>
      </c>
      <c r="AF7945">
        <v>-7.5253262794687898E-3</v>
      </c>
      <c r="AG7945">
        <v>-8.7365999999999999E-2</v>
      </c>
      <c r="AH7945">
        <v>0.58984841294230195</v>
      </c>
      <c r="AI7945">
        <v>98.424492051418198</v>
      </c>
      <c r="AJ7945">
        <v>90.730943806110403</v>
      </c>
      <c r="AK7945">
        <v>0.59633094732888403</v>
      </c>
      <c r="AL7945">
        <v>69.185416024522397</v>
      </c>
      <c r="AM7945">
        <v>95.816279023829594</v>
      </c>
      <c r="AN7945">
        <v>1.0000000002121201</v>
      </c>
    </row>
    <row r="7946" spans="1:40" x14ac:dyDescent="0.25">
      <c r="A7946" t="str">
        <f>"20190304164317094"</f>
        <v>20190304164317094</v>
      </c>
      <c r="B7946" t="str">
        <f>"1551688997089476"</f>
        <v>1551688997089476</v>
      </c>
      <c r="C7946" t="s">
        <v>40</v>
      </c>
      <c r="D7946">
        <v>4.2520179999999996</v>
      </c>
      <c r="E7946">
        <v>0.54394900000000002</v>
      </c>
      <c r="F7946" t="s">
        <v>41</v>
      </c>
      <c r="G7946">
        <v>-146.43209999999999</v>
      </c>
      <c r="H7946">
        <v>1.0250889999999999</v>
      </c>
      <c r="I7946">
        <v>137.7561</v>
      </c>
      <c r="J7946">
        <v>-147.00030000000001</v>
      </c>
      <c r="K7946">
        <v>1.1096680000000001</v>
      </c>
      <c r="L7946">
        <v>137.74369999999999</v>
      </c>
      <c r="M7946">
        <v>0.99992809999999999</v>
      </c>
      <c r="N7946">
        <v>-1.0728089999999999E-2</v>
      </c>
      <c r="O7946">
        <v>5.3564540000000001E-3</v>
      </c>
      <c r="P7946">
        <v>0.93275669999999999</v>
      </c>
      <c r="Q7946">
        <v>0.3453698</v>
      </c>
      <c r="R7946">
        <v>0.10336620000000001</v>
      </c>
      <c r="S7946">
        <v>3.3296359999999998</v>
      </c>
      <c r="T7946">
        <v>-0.3242929</v>
      </c>
      <c r="U7946">
        <v>5.155945E-2</v>
      </c>
      <c r="V7946">
        <v>-9.7780119999999998E-2</v>
      </c>
      <c r="W7946">
        <v>0.35552499999999998</v>
      </c>
      <c r="X7946">
        <v>0.92953810000000003</v>
      </c>
      <c r="Y7946">
        <v>-1.009384E-2</v>
      </c>
      <c r="Z7946" s="1">
        <v>8.1566339999999995E-5</v>
      </c>
      <c r="AA7946">
        <v>0.99994899999999998</v>
      </c>
      <c r="AB7946">
        <v>30</v>
      </c>
      <c r="AC7946">
        <v>0.56820000000001802</v>
      </c>
      <c r="AD7946">
        <v>-8.4579000000000099E-2</v>
      </c>
      <c r="AE7946">
        <v>1.24000000000137E-2</v>
      </c>
      <c r="AF7946">
        <v>-9.1533892018733996E-3</v>
      </c>
      <c r="AG7946">
        <v>-8.4579000000000099E-2</v>
      </c>
      <c r="AH7946">
        <v>0.55594571513086799</v>
      </c>
      <c r="AI7946">
        <v>98.649228184034996</v>
      </c>
      <c r="AJ7946">
        <v>90.943263296061403</v>
      </c>
      <c r="AK7946">
        <v>0.56241713162674301</v>
      </c>
      <c r="AL7946">
        <v>69.174376777708702</v>
      </c>
      <c r="AM7946">
        <v>96.004982594543705</v>
      </c>
      <c r="AN7946">
        <v>1.0000000284219099</v>
      </c>
    </row>
    <row r="7947" spans="1:40" x14ac:dyDescent="0.25">
      <c r="A7947" t="str">
        <f>"20190304164317115"</f>
        <v>20190304164317115</v>
      </c>
      <c r="B7947" t="str">
        <f>"1551688997108996"</f>
        <v>1551688997108996</v>
      </c>
      <c r="C7947" t="s">
        <v>40</v>
      </c>
      <c r="D7947">
        <v>4.2632120000000002</v>
      </c>
      <c r="E7947">
        <v>0.54397030000000002</v>
      </c>
      <c r="F7947" t="s">
        <v>41</v>
      </c>
      <c r="G7947">
        <v>-146.1653</v>
      </c>
      <c r="H7947">
        <v>1.0284120000000001</v>
      </c>
      <c r="I7947">
        <v>137.7577</v>
      </c>
      <c r="J7947">
        <v>-146.7072</v>
      </c>
      <c r="K7947">
        <v>1.1097220000000001</v>
      </c>
      <c r="L7947">
        <v>137.74449999999999</v>
      </c>
      <c r="M7947">
        <v>0.99993140000000003</v>
      </c>
      <c r="N7947">
        <v>-1.0761059999999999E-2</v>
      </c>
      <c r="O7947">
        <v>4.6296719999999996E-3</v>
      </c>
      <c r="P7947">
        <v>0.93256740000000005</v>
      </c>
      <c r="Q7947">
        <v>0.34549809999999997</v>
      </c>
      <c r="R7947">
        <v>0.1046383</v>
      </c>
      <c r="S7947">
        <v>3.3300779999999999</v>
      </c>
      <c r="T7947">
        <v>-0.3241907</v>
      </c>
      <c r="U7947">
        <v>5.6350709999999998E-2</v>
      </c>
      <c r="V7947">
        <v>-9.9771579999999999E-2</v>
      </c>
      <c r="W7947">
        <v>0.35567290000000001</v>
      </c>
      <c r="X7947">
        <v>0.92926989999999998</v>
      </c>
      <c r="Y7947">
        <v>-1.2242879999999999E-2</v>
      </c>
      <c r="Z7947">
        <v>2.6064630000000001E-4</v>
      </c>
      <c r="AA7947">
        <v>0.99992499999999995</v>
      </c>
      <c r="AB7947">
        <v>30</v>
      </c>
      <c r="AC7947">
        <v>0.54189999999999805</v>
      </c>
      <c r="AD7947">
        <v>-8.1309999999999702E-2</v>
      </c>
      <c r="AE7947">
        <v>1.32000000000118E-2</v>
      </c>
      <c r="AF7947">
        <v>-1.0455637062809E-2</v>
      </c>
      <c r="AG7947">
        <v>-8.1309999999999702E-2</v>
      </c>
      <c r="AH7947">
        <v>0.53002938521845699</v>
      </c>
      <c r="AI7947">
        <v>98.719887376178605</v>
      </c>
      <c r="AJ7947">
        <v>91.130099962272595</v>
      </c>
      <c r="AK7947">
        <v>0.53633178690195504</v>
      </c>
      <c r="AL7947">
        <v>69.165310888346795</v>
      </c>
      <c r="AM7947">
        <v>96.128118190560002</v>
      </c>
      <c r="AN7947">
        <v>1.0000000635080499</v>
      </c>
    </row>
    <row r="7948" spans="1:40" x14ac:dyDescent="0.25">
      <c r="A7948" t="str">
        <f>"20190304164317138"</f>
        <v>20190304164317138</v>
      </c>
      <c r="B7948" t="str">
        <f>"1551688997128516"</f>
        <v>1551688997128516</v>
      </c>
      <c r="C7948" t="s">
        <v>40</v>
      </c>
      <c r="D7948">
        <v>4.2749069999999998</v>
      </c>
      <c r="E7948">
        <v>0.54395199999999999</v>
      </c>
      <c r="F7948" t="s">
        <v>41</v>
      </c>
      <c r="G7948">
        <v>-145.8982</v>
      </c>
      <c r="H7948">
        <v>1.031026</v>
      </c>
      <c r="I7948">
        <v>137.7585</v>
      </c>
      <c r="J7948">
        <v>-146.41630000000001</v>
      </c>
      <c r="K7948">
        <v>1.109788</v>
      </c>
      <c r="L7948">
        <v>137.74510000000001</v>
      </c>
      <c r="M7948">
        <v>0.99993390000000004</v>
      </c>
      <c r="N7948">
        <v>-1.0794700000000001E-2</v>
      </c>
      <c r="O7948">
        <v>3.996594E-3</v>
      </c>
      <c r="P7948">
        <v>0.93237910000000002</v>
      </c>
      <c r="Q7948">
        <v>0.34571420000000003</v>
      </c>
      <c r="R7948">
        <v>0.1055997</v>
      </c>
      <c r="S7948">
        <v>3.330444</v>
      </c>
      <c r="T7948">
        <v>-0.32401489999999999</v>
      </c>
      <c r="U7948">
        <v>5.8090210000000003E-2</v>
      </c>
      <c r="V7948">
        <v>-0.10137880000000001</v>
      </c>
      <c r="W7948">
        <v>0.3559042</v>
      </c>
      <c r="X7948">
        <v>0.92900729999999998</v>
      </c>
      <c r="Y7948">
        <v>-1.338784E-2</v>
      </c>
      <c r="Z7948">
        <v>3.7729190000000001E-4</v>
      </c>
      <c r="AA7948">
        <v>0.99991030000000003</v>
      </c>
      <c r="AB7948">
        <v>30</v>
      </c>
      <c r="AC7948">
        <v>0.518100000000004</v>
      </c>
      <c r="AD7948">
        <v>-7.8761999999999999E-2</v>
      </c>
      <c r="AE7948">
        <v>1.339999999999E-2</v>
      </c>
      <c r="AF7948">
        <v>-1.10733983791413E-2</v>
      </c>
      <c r="AG7948">
        <v>-7.8761999999999999E-2</v>
      </c>
      <c r="AH7948">
        <v>0.50645294493160298</v>
      </c>
      <c r="AI7948">
        <v>98.837574113666406</v>
      </c>
      <c r="AJ7948">
        <v>91.252550555558201</v>
      </c>
      <c r="AK7948">
        <v>0.51266037317658597</v>
      </c>
      <c r="AL7948">
        <v>69.151129380323496</v>
      </c>
      <c r="AM7948">
        <v>96.227812886771702</v>
      </c>
      <c r="AN7948">
        <v>1.00000001206018</v>
      </c>
    </row>
    <row r="7949" spans="1:40" x14ac:dyDescent="0.25">
      <c r="A7949" t="str">
        <f>"20190304164317160"</f>
        <v>20190304164317160</v>
      </c>
      <c r="B7949" t="str">
        <f>"1551688997149012"</f>
        <v>1551688997149012</v>
      </c>
      <c r="C7949" t="s">
        <v>40</v>
      </c>
      <c r="D7949">
        <v>4.246143</v>
      </c>
      <c r="E7949">
        <v>0.54392050000000003</v>
      </c>
      <c r="F7949" t="s">
        <v>41</v>
      </c>
      <c r="G7949">
        <v>-145.63120000000001</v>
      </c>
      <c r="H7949">
        <v>1.033528</v>
      </c>
      <c r="I7949">
        <v>137.7587</v>
      </c>
      <c r="J7949">
        <v>-146.11539999999999</v>
      </c>
      <c r="K7949">
        <v>1.1098749999999999</v>
      </c>
      <c r="L7949">
        <v>137.7457</v>
      </c>
      <c r="M7949">
        <v>0.99993540000000003</v>
      </c>
      <c r="N7949">
        <v>-1.083163E-2</v>
      </c>
      <c r="O7949">
        <v>3.4551120000000002E-3</v>
      </c>
      <c r="P7949">
        <v>0.93252069999999998</v>
      </c>
      <c r="Q7949">
        <v>0.34497060000000002</v>
      </c>
      <c r="R7949">
        <v>0.1067741</v>
      </c>
      <c r="S7949">
        <v>3.330994</v>
      </c>
      <c r="T7949">
        <v>-0.32369959999999998</v>
      </c>
      <c r="U7949">
        <v>5.8425900000000003E-2</v>
      </c>
      <c r="V7949">
        <v>-0.1031323</v>
      </c>
      <c r="W7949">
        <v>0.35517680000000001</v>
      </c>
      <c r="X7949">
        <v>0.92909260000000005</v>
      </c>
      <c r="Y7949">
        <v>-1.402191E-2</v>
      </c>
      <c r="Z7949">
        <v>4.5820650000000002E-4</v>
      </c>
      <c r="AA7949">
        <v>0.99990159999999995</v>
      </c>
      <c r="AB7949">
        <v>30</v>
      </c>
      <c r="AC7949">
        <v>0.48419999999998697</v>
      </c>
      <c r="AD7949">
        <v>-7.6346999999999901E-2</v>
      </c>
      <c r="AE7949">
        <v>1.30000000000052E-2</v>
      </c>
      <c r="AF7949">
        <v>-1.10522763685761E-2</v>
      </c>
      <c r="AG7949">
        <v>-7.6346999999999901E-2</v>
      </c>
      <c r="AH7949">
        <v>0.47250316222014399</v>
      </c>
      <c r="AI7949">
        <v>99.176048367890999</v>
      </c>
      <c r="AJ7949">
        <v>91.339955766898299</v>
      </c>
      <c r="AK7949">
        <v>0.47875907879638502</v>
      </c>
      <c r="AL7949">
        <v>69.195718371793305</v>
      </c>
      <c r="AM7949">
        <v>96.334087165551395</v>
      </c>
      <c r="AN7949">
        <v>0.99999994496814304</v>
      </c>
    </row>
    <row r="7950" spans="1:40" x14ac:dyDescent="0.25">
      <c r="A7950" t="str">
        <f>"20190304164317184"</f>
        <v>20190304164317184</v>
      </c>
      <c r="B7950" t="str">
        <f>"1551688997179267"</f>
        <v>1551688997179267</v>
      </c>
      <c r="C7950" t="s">
        <v>40</v>
      </c>
      <c r="D7950">
        <v>4.255153</v>
      </c>
      <c r="E7950">
        <v>0.54390899999999998</v>
      </c>
      <c r="F7950" t="s">
        <v>41</v>
      </c>
      <c r="G7950">
        <v>-145.364</v>
      </c>
      <c r="H7950">
        <v>1.0361229999999999</v>
      </c>
      <c r="I7950">
        <v>137.75919999999999</v>
      </c>
      <c r="J7950">
        <v>-145.8169</v>
      </c>
      <c r="K7950">
        <v>1.10997099999999</v>
      </c>
      <c r="L7950">
        <v>137.74619999999999</v>
      </c>
      <c r="M7950">
        <v>0.99993639999999995</v>
      </c>
      <c r="N7950">
        <v>-1.086694E-2</v>
      </c>
      <c r="O7950">
        <v>3.052407E-3</v>
      </c>
      <c r="P7950">
        <v>0.93270059999999999</v>
      </c>
      <c r="Q7950">
        <v>0.34433269999999999</v>
      </c>
      <c r="R7950">
        <v>0.10725999999999999</v>
      </c>
      <c r="S7950">
        <v>3.3311769999999998</v>
      </c>
      <c r="T7950">
        <v>-0.32699539999999999</v>
      </c>
      <c r="U7950">
        <v>6.0104369999999997E-2</v>
      </c>
      <c r="V7950">
        <v>-0.1040794</v>
      </c>
      <c r="W7950">
        <v>0.35454960000000002</v>
      </c>
      <c r="X7950">
        <v>0.92922660000000001</v>
      </c>
      <c r="Y7950">
        <v>-1.491981E-2</v>
      </c>
      <c r="Z7950">
        <v>5.4596919999999995E-4</v>
      </c>
      <c r="AA7950">
        <v>0.99988849999999996</v>
      </c>
      <c r="AB7950">
        <v>30</v>
      </c>
      <c r="AC7950">
        <v>0.45289999999999903</v>
      </c>
      <c r="AD7950">
        <v>-7.38479999999999E-2</v>
      </c>
      <c r="AE7950">
        <v>1.30000000000052E-2</v>
      </c>
      <c r="AF7950">
        <v>-1.13167886271009E-2</v>
      </c>
      <c r="AG7950">
        <v>-7.38479999999999E-2</v>
      </c>
      <c r="AH7950">
        <v>0.44121651271489498</v>
      </c>
      <c r="AI7950">
        <v>99.498660765425797</v>
      </c>
      <c r="AJ7950">
        <v>91.469260723271603</v>
      </c>
      <c r="AK7950">
        <v>0.44749704792447897</v>
      </c>
      <c r="AL7950">
        <v>69.234157221198203</v>
      </c>
      <c r="AM7950">
        <v>96.390861955609296</v>
      </c>
      <c r="AN7950">
        <v>1.00000000725604</v>
      </c>
    </row>
    <row r="7951" spans="1:40" x14ac:dyDescent="0.25">
      <c r="A7951" t="str">
        <f>"20190304164317205"</f>
        <v>20190304164317205</v>
      </c>
      <c r="B7951" t="str">
        <f>"1551688997198779"</f>
        <v>1551688997198779</v>
      </c>
      <c r="C7951" t="s">
        <v>40</v>
      </c>
      <c r="D7951">
        <v>4.2891180000000002</v>
      </c>
      <c r="E7951">
        <v>0.54393019999999903</v>
      </c>
      <c r="F7951" t="s">
        <v>41</v>
      </c>
      <c r="G7951">
        <v>-144.84809999999999</v>
      </c>
      <c r="H7951">
        <v>1.013871</v>
      </c>
      <c r="I7951">
        <v>137.7638</v>
      </c>
      <c r="J7951">
        <v>-145.52019999999999</v>
      </c>
      <c r="K7951">
        <v>1.11007099999999</v>
      </c>
      <c r="L7951">
        <v>137.74680000000001</v>
      </c>
      <c r="M7951">
        <v>0.99993679999999996</v>
      </c>
      <c r="N7951">
        <v>-1.089876E-2</v>
      </c>
      <c r="O7951">
        <v>2.7924450000000002E-3</v>
      </c>
      <c r="P7951">
        <v>0.93280660000000004</v>
      </c>
      <c r="Q7951">
        <v>0.34396330000000003</v>
      </c>
      <c r="R7951">
        <v>0.10752390000000001</v>
      </c>
      <c r="S7951">
        <v>3.331528</v>
      </c>
      <c r="T7951">
        <v>-0.33047070000000001</v>
      </c>
      <c r="U7951">
        <v>6.0317990000000002E-2</v>
      </c>
      <c r="V7951">
        <v>-0.1046744</v>
      </c>
      <c r="W7951">
        <v>0.35418440000000001</v>
      </c>
      <c r="X7951">
        <v>0.92929899999999999</v>
      </c>
      <c r="Y7951">
        <v>-1.5237850000000001E-2</v>
      </c>
      <c r="Z7951">
        <v>5.9119190000000001E-4</v>
      </c>
      <c r="AA7951">
        <v>0.99988370000000004</v>
      </c>
      <c r="AB7951">
        <v>30</v>
      </c>
      <c r="AC7951">
        <v>0.67210000000000003</v>
      </c>
      <c r="AD7951">
        <v>-9.61999999999998E-2</v>
      </c>
      <c r="AE7951">
        <v>1.69999999999959E-2</v>
      </c>
      <c r="AF7951">
        <v>-1.48196022663183E-2</v>
      </c>
      <c r="AG7951">
        <v>-9.61999999999998E-2</v>
      </c>
      <c r="AH7951">
        <v>0.65865940232098796</v>
      </c>
      <c r="AI7951">
        <v>98.307465016417297</v>
      </c>
      <c r="AJ7951">
        <v>91.288917190324497</v>
      </c>
      <c r="AK7951">
        <v>0.66581248777502899</v>
      </c>
      <c r="AL7951">
        <v>69.256533038380297</v>
      </c>
      <c r="AM7951">
        <v>96.426595779346897</v>
      </c>
      <c r="AN7951">
        <v>0.99999997530985896</v>
      </c>
    </row>
    <row r="7952" spans="1:40" x14ac:dyDescent="0.25">
      <c r="A7952" t="str">
        <f>"20190304164317228"</f>
        <v>20190304164317228</v>
      </c>
      <c r="B7952" t="str">
        <f>"1551688997219275"</f>
        <v>1551688997219275</v>
      </c>
      <c r="C7952" t="s">
        <v>40</v>
      </c>
      <c r="D7952">
        <v>4.2756769999999999</v>
      </c>
      <c r="E7952">
        <v>0.54397479999999998</v>
      </c>
      <c r="F7952" t="s">
        <v>41</v>
      </c>
      <c r="G7952">
        <v>-144.58150000000001</v>
      </c>
      <c r="H7952">
        <v>1.016413</v>
      </c>
      <c r="I7952">
        <v>137.76339999999999</v>
      </c>
      <c r="J7952">
        <v>-145.22640000000001</v>
      </c>
      <c r="K7952">
        <v>1.110163</v>
      </c>
      <c r="L7952">
        <v>137.7475</v>
      </c>
      <c r="M7952">
        <v>0.99993679999999996</v>
      </c>
      <c r="N7952">
        <v>-1.092744E-2</v>
      </c>
      <c r="O7952">
        <v>2.6398179999999999E-3</v>
      </c>
      <c r="P7952">
        <v>0.93294999999999995</v>
      </c>
      <c r="Q7952">
        <v>0.34362789999999999</v>
      </c>
      <c r="R7952">
        <v>0.1073496</v>
      </c>
      <c r="S7952">
        <v>3.3318940000000001</v>
      </c>
      <c r="T7952">
        <v>-0.33245940000000002</v>
      </c>
      <c r="U7952">
        <v>5.8837889999999997E-2</v>
      </c>
      <c r="V7952">
        <v>-0.1047199</v>
      </c>
      <c r="W7952">
        <v>0.35385480000000002</v>
      </c>
      <c r="X7952">
        <v>0.92941949999999995</v>
      </c>
      <c r="Y7952">
        <v>-1.494465E-2</v>
      </c>
      <c r="Z7952">
        <v>5.9163049999999995E-4</v>
      </c>
      <c r="AA7952">
        <v>0.99988809999999995</v>
      </c>
      <c r="AB7952">
        <v>30</v>
      </c>
      <c r="AC7952">
        <v>0.64490000000000602</v>
      </c>
      <c r="AD7952">
        <v>-9.375E-2</v>
      </c>
      <c r="AE7952">
        <v>1.5899999999987799E-2</v>
      </c>
      <c r="AF7952">
        <v>-1.3903776556060799E-2</v>
      </c>
      <c r="AG7952">
        <v>-9.375E-2</v>
      </c>
      <c r="AH7952">
        <v>0.63160033020671302</v>
      </c>
      <c r="AI7952">
        <v>98.440893707131195</v>
      </c>
      <c r="AJ7952">
        <v>91.261080835599003</v>
      </c>
      <c r="AK7952">
        <v>0.63867155457226199</v>
      </c>
      <c r="AL7952">
        <v>69.276726872171395</v>
      </c>
      <c r="AM7952">
        <v>96.428539319615496</v>
      </c>
      <c r="AN7952">
        <v>1.00000004195964</v>
      </c>
    </row>
    <row r="7953" spans="1:40" x14ac:dyDescent="0.25">
      <c r="A7953" t="str">
        <f>"20190304164317249"</f>
        <v>20190304164317249</v>
      </c>
      <c r="B7953" t="str">
        <f>"1551688997238795"</f>
        <v>1551688997238795</v>
      </c>
      <c r="C7953" t="s">
        <v>40</v>
      </c>
      <c r="D7953">
        <v>4.2899250000000002</v>
      </c>
      <c r="E7953">
        <v>0.54402830000000002</v>
      </c>
      <c r="F7953" t="s">
        <v>41</v>
      </c>
      <c r="G7953">
        <v>-144.3151</v>
      </c>
      <c r="H7953">
        <v>1.018775</v>
      </c>
      <c r="I7953">
        <v>137.7627</v>
      </c>
      <c r="J7953">
        <v>-144.9357</v>
      </c>
      <c r="K7953">
        <v>1.1102289999999999</v>
      </c>
      <c r="L7953">
        <v>137.74809999999999</v>
      </c>
      <c r="M7953">
        <v>0.99993679999999996</v>
      </c>
      <c r="N7953">
        <v>-1.095309E-2</v>
      </c>
      <c r="O7953">
        <v>2.573826E-3</v>
      </c>
      <c r="P7953">
        <v>0.93306060000000002</v>
      </c>
      <c r="Q7953">
        <v>0.34350910000000001</v>
      </c>
      <c r="R7953">
        <v>0.1067689</v>
      </c>
      <c r="S7953">
        <v>3.3322910000000001</v>
      </c>
      <c r="T7953">
        <v>-0.33422849999999998</v>
      </c>
      <c r="U7953">
        <v>5.5862429999999998E-2</v>
      </c>
      <c r="V7953">
        <v>-0.10426100000000001</v>
      </c>
      <c r="W7953">
        <v>0.35374250000000002</v>
      </c>
      <c r="X7953">
        <v>0.92951379999999995</v>
      </c>
      <c r="Y7953">
        <v>-1.411959E-2</v>
      </c>
      <c r="Z7953">
        <v>5.5446309999999997E-4</v>
      </c>
      <c r="AA7953">
        <v>0.99990020000000002</v>
      </c>
      <c r="AB7953">
        <v>30</v>
      </c>
      <c r="AC7953">
        <v>0.62059999999999504</v>
      </c>
      <c r="AD7953">
        <v>-9.1454000000000105E-2</v>
      </c>
      <c r="AE7953">
        <v>1.4600000000001501E-2</v>
      </c>
      <c r="AF7953">
        <v>-1.27263262301513E-2</v>
      </c>
      <c r="AG7953">
        <v>-9.1454000000000105E-2</v>
      </c>
      <c r="AH7953">
        <v>0.60745134585633398</v>
      </c>
      <c r="AI7953">
        <v>98.5599347507099</v>
      </c>
      <c r="AJ7953">
        <v>91.200191807361506</v>
      </c>
      <c r="AK7953">
        <v>0.61442894713545804</v>
      </c>
      <c r="AL7953">
        <v>69.283605400019695</v>
      </c>
      <c r="AM7953">
        <v>96.399958729238605</v>
      </c>
      <c r="AN7953">
        <v>1.0000000084088401</v>
      </c>
    </row>
    <row r="7954" spans="1:40" x14ac:dyDescent="0.25">
      <c r="A7954" t="str">
        <f>"20190304164317271"</f>
        <v>20190304164317271</v>
      </c>
      <c r="B7954" t="str">
        <f>"1551688997259291"</f>
        <v>1551688997259291</v>
      </c>
      <c r="C7954" t="s">
        <v>40</v>
      </c>
      <c r="D7954">
        <v>4.2494509999999996</v>
      </c>
      <c r="E7954">
        <v>0.54408179999999995</v>
      </c>
      <c r="F7954" t="s">
        <v>41</v>
      </c>
      <c r="G7954">
        <v>-144.04859999999999</v>
      </c>
      <c r="H7954">
        <v>1.0209569999999999</v>
      </c>
      <c r="I7954">
        <v>137.76179999999999</v>
      </c>
      <c r="J7954">
        <v>-144.63720000000001</v>
      </c>
      <c r="K7954">
        <v>1.110284</v>
      </c>
      <c r="L7954">
        <v>137.74879999999999</v>
      </c>
      <c r="M7954">
        <v>0.99993639999999995</v>
      </c>
      <c r="N7954">
        <v>-1.0976680000000001E-2</v>
      </c>
      <c r="O7954">
        <v>2.5781419999999998E-3</v>
      </c>
      <c r="P7954">
        <v>0.93309520000000001</v>
      </c>
      <c r="Q7954">
        <v>0.34355920000000001</v>
      </c>
      <c r="R7954">
        <v>0.1063027</v>
      </c>
      <c r="S7954">
        <v>3.3328090000000001</v>
      </c>
      <c r="T7954">
        <v>-0.33549060000000003</v>
      </c>
      <c r="U7954">
        <v>5.1849369999999999E-2</v>
      </c>
      <c r="V7954">
        <v>-0.1038384</v>
      </c>
      <c r="W7954">
        <v>0.35380089999999997</v>
      </c>
      <c r="X7954">
        <v>0.92953889999999995</v>
      </c>
      <c r="Y7954">
        <v>-1.291527E-2</v>
      </c>
      <c r="Z7954">
        <v>4.8883830000000001E-4</v>
      </c>
      <c r="AA7954">
        <v>0.99991649999999999</v>
      </c>
      <c r="AB7954">
        <v>30</v>
      </c>
      <c r="AC7954">
        <v>0.588600000000013</v>
      </c>
      <c r="AD7954">
        <v>-8.9327000000000101E-2</v>
      </c>
      <c r="AE7954">
        <v>1.30000000000052E-2</v>
      </c>
      <c r="AF7954">
        <v>-1.1223990006550401E-2</v>
      </c>
      <c r="AG7954">
        <v>-8.9327000000000101E-2</v>
      </c>
      <c r="AH7954">
        <v>0.57538593737173205</v>
      </c>
      <c r="AI7954">
        <v>98.822906209132995</v>
      </c>
      <c r="AJ7954">
        <v>91.117520718891498</v>
      </c>
      <c r="AK7954">
        <v>0.58238669954405198</v>
      </c>
      <c r="AL7954">
        <v>69.280028414244597</v>
      </c>
      <c r="AM7954">
        <v>96.374061084301104</v>
      </c>
      <c r="AN7954">
        <v>1.00000002838428</v>
      </c>
    </row>
    <row r="7955" spans="1:40" x14ac:dyDescent="0.25">
      <c r="A7955" t="str">
        <f>"20190304164317294"</f>
        <v>20190304164317294</v>
      </c>
      <c r="B7955" t="str">
        <f>"1551688997288571"</f>
        <v>1551688997288571</v>
      </c>
      <c r="C7955" t="s">
        <v>40</v>
      </c>
      <c r="D7955">
        <v>4.2641980000000004</v>
      </c>
      <c r="E7955">
        <v>0.54415019999999903</v>
      </c>
      <c r="F7955" t="s">
        <v>41</v>
      </c>
      <c r="G7955">
        <v>-143.7816</v>
      </c>
      <c r="H7955">
        <v>1.0240549999999999</v>
      </c>
      <c r="I7955">
        <v>137.7612</v>
      </c>
      <c r="J7955">
        <v>-144.33279999999999</v>
      </c>
      <c r="K7955">
        <v>1.1103229999999999</v>
      </c>
      <c r="L7955">
        <v>137.74959999999999</v>
      </c>
      <c r="M7955">
        <v>0.99993620000000005</v>
      </c>
      <c r="N7955">
        <v>-1.0995100000000001E-2</v>
      </c>
      <c r="O7955">
        <v>2.6412969999999999E-3</v>
      </c>
      <c r="P7955">
        <v>0.9330254</v>
      </c>
      <c r="Q7955">
        <v>0.34392719999999999</v>
      </c>
      <c r="R7955">
        <v>0.1057263</v>
      </c>
      <c r="S7955">
        <v>3.3332670000000002</v>
      </c>
      <c r="T7955">
        <v>-0.33592810000000001</v>
      </c>
      <c r="U7955">
        <v>4.8339840000000002E-2</v>
      </c>
      <c r="V7955">
        <v>-0.1032426</v>
      </c>
      <c r="W7955">
        <v>0.35417369999999998</v>
      </c>
      <c r="X7955">
        <v>0.92946329999999999</v>
      </c>
      <c r="Y7955">
        <v>-1.180377E-2</v>
      </c>
      <c r="Z7955">
        <v>4.2181210000000001E-4</v>
      </c>
      <c r="AA7955">
        <v>0.99993030000000005</v>
      </c>
      <c r="AB7955">
        <v>30</v>
      </c>
      <c r="AC7955">
        <v>0.55119999999999403</v>
      </c>
      <c r="AD7955">
        <v>-8.6267999999999997E-2</v>
      </c>
      <c r="AE7955">
        <v>1.1600000000015501E-2</v>
      </c>
      <c r="AF7955">
        <v>-9.9015555721119804E-3</v>
      </c>
      <c r="AG7955">
        <v>-8.6267999999999997E-2</v>
      </c>
      <c r="AH7955">
        <v>0.53805479127737499</v>
      </c>
      <c r="AI7955">
        <v>99.107369417910704</v>
      </c>
      <c r="AJ7955">
        <v>91.054266825646494</v>
      </c>
      <c r="AK7955">
        <v>0.54501666675734495</v>
      </c>
      <c r="AL7955">
        <v>69.257189896372196</v>
      </c>
      <c r="AM7955">
        <v>96.338297992026398</v>
      </c>
      <c r="AN7955">
        <v>1.00000003513666</v>
      </c>
    </row>
    <row r="7956" spans="1:40" x14ac:dyDescent="0.25">
      <c r="A7956" t="str">
        <f>"20190304164317315"</f>
        <v>20190304164317315</v>
      </c>
      <c r="B7956" t="str">
        <f>"1551688997309067"</f>
        <v>1551688997309067</v>
      </c>
      <c r="C7956" t="s">
        <v>40</v>
      </c>
      <c r="D7956">
        <v>4.2152149999999997</v>
      </c>
      <c r="E7956">
        <v>0.54417090000000001</v>
      </c>
      <c r="F7956" t="s">
        <v>41</v>
      </c>
      <c r="G7956">
        <v>-143.51400000000001</v>
      </c>
      <c r="H7956">
        <v>1.0279529999999999</v>
      </c>
      <c r="I7956">
        <v>137.76050000000001</v>
      </c>
      <c r="J7956">
        <v>-144.04570000000001</v>
      </c>
      <c r="K7956">
        <v>1.1103590000000001</v>
      </c>
      <c r="L7956">
        <v>137.75040000000001</v>
      </c>
      <c r="M7956">
        <v>0.99993589999999999</v>
      </c>
      <c r="N7956">
        <v>-1.1005559999999999E-2</v>
      </c>
      <c r="O7956">
        <v>2.7361289999999999E-3</v>
      </c>
      <c r="P7956">
        <v>0.9331912</v>
      </c>
      <c r="Q7956">
        <v>0.34352660000000002</v>
      </c>
      <c r="R7956">
        <v>0.10556599999999999</v>
      </c>
      <c r="S7956">
        <v>3.333939</v>
      </c>
      <c r="T7956">
        <v>-0.3355262</v>
      </c>
      <c r="U7956">
        <v>4.483032E-2</v>
      </c>
      <c r="V7956">
        <v>-0.1030238</v>
      </c>
      <c r="W7956">
        <v>0.35377589999999998</v>
      </c>
      <c r="X7956">
        <v>0.92963899999999999</v>
      </c>
      <c r="Y7956">
        <v>-1.066054E-2</v>
      </c>
      <c r="Z7956">
        <v>3.4928159999999999E-4</v>
      </c>
      <c r="AA7956">
        <v>0.99994309999999997</v>
      </c>
      <c r="AB7956">
        <v>30</v>
      </c>
      <c r="AC7956">
        <v>0.53169999999999995</v>
      </c>
      <c r="AD7956">
        <v>-8.2405999999999896E-2</v>
      </c>
      <c r="AE7956">
        <v>1.00999999999942E-2</v>
      </c>
      <c r="AF7956">
        <v>-8.4423570227381006E-3</v>
      </c>
      <c r="AG7956">
        <v>-8.2405999999999896E-2</v>
      </c>
      <c r="AH7956">
        <v>0.51925725992293803</v>
      </c>
      <c r="AI7956">
        <v>99.016451192761195</v>
      </c>
      <c r="AJ7956">
        <v>90.931462782070298</v>
      </c>
      <c r="AK7956">
        <v>0.52582328230193198</v>
      </c>
      <c r="AL7956">
        <v>69.281558817247699</v>
      </c>
      <c r="AM7956">
        <v>96.323788617651104</v>
      </c>
      <c r="AN7956">
        <v>0.99999998055412398</v>
      </c>
    </row>
    <row r="7957" spans="1:40" x14ac:dyDescent="0.25">
      <c r="A7957" t="str">
        <f>"20190304164317339"</f>
        <v>20190304164317339</v>
      </c>
      <c r="B7957" t="str">
        <f>"1551688997328587"</f>
        <v>1551688997328587</v>
      </c>
      <c r="C7957" t="s">
        <v>40</v>
      </c>
      <c r="D7957">
        <v>4.1965250000000003</v>
      </c>
      <c r="E7957">
        <v>0.54417059999999995</v>
      </c>
      <c r="F7957" t="s">
        <v>41</v>
      </c>
      <c r="G7957">
        <v>-143.24700000000001</v>
      </c>
      <c r="H7957">
        <v>1.0293639999999999</v>
      </c>
      <c r="I7957">
        <v>137.7612</v>
      </c>
      <c r="J7957">
        <v>-143.7423</v>
      </c>
      <c r="K7957">
        <v>1.1103809999999901</v>
      </c>
      <c r="L7957">
        <v>137.75129999999999</v>
      </c>
      <c r="M7957">
        <v>0.99993540000000003</v>
      </c>
      <c r="N7957">
        <v>-1.100864E-2</v>
      </c>
      <c r="O7957">
        <v>2.854699E-3</v>
      </c>
      <c r="P7957">
        <v>0.93311270000000002</v>
      </c>
      <c r="Q7957">
        <v>0.3434622</v>
      </c>
      <c r="R7957">
        <v>0.1064639</v>
      </c>
      <c r="S7957">
        <v>3.334152</v>
      </c>
      <c r="T7957">
        <v>-0.33814369999999999</v>
      </c>
      <c r="U7957">
        <v>4.4906620000000001E-2</v>
      </c>
      <c r="V7957">
        <v>-0.103836999999999</v>
      </c>
      <c r="W7957">
        <v>0.35370629999999997</v>
      </c>
      <c r="X7957">
        <v>0.92957500000000004</v>
      </c>
      <c r="Y7957">
        <v>-1.056433E-2</v>
      </c>
      <c r="Z7957">
        <v>3.35223E-4</v>
      </c>
      <c r="AA7957">
        <v>0.99994419999999995</v>
      </c>
      <c r="AB7957">
        <v>30</v>
      </c>
      <c r="AC7957">
        <v>0.49529999999998597</v>
      </c>
      <c r="AD7957">
        <v>-8.1016999999999895E-2</v>
      </c>
      <c r="AE7957">
        <v>9.9000000000160002E-3</v>
      </c>
      <c r="AF7957">
        <v>-8.2648971939364903E-3</v>
      </c>
      <c r="AG7957">
        <v>-8.1016999999999895E-2</v>
      </c>
      <c r="AH7957">
        <v>0.48242383178102199</v>
      </c>
      <c r="AI7957">
        <v>99.531773951904398</v>
      </c>
      <c r="AJ7957">
        <v>90.981496714989902</v>
      </c>
      <c r="AK7957">
        <v>0.489249237388175</v>
      </c>
      <c r="AL7957">
        <v>69.285822141711293</v>
      </c>
      <c r="AM7957">
        <v>96.373730357470293</v>
      </c>
      <c r="AN7957">
        <v>0.999999974926844</v>
      </c>
    </row>
    <row r="7958" spans="1:40" x14ac:dyDescent="0.25">
      <c r="A7958" t="str">
        <f>"20190304164317361"</f>
        <v>20190304164317361</v>
      </c>
      <c r="B7958" t="str">
        <f>"1551688997349084"</f>
        <v>1551688997349084</v>
      </c>
      <c r="C7958" t="s">
        <v>40</v>
      </c>
      <c r="D7958">
        <v>4.1761309999999998</v>
      </c>
      <c r="E7958">
        <v>0.54418049999999996</v>
      </c>
      <c r="F7958" t="s">
        <v>41</v>
      </c>
      <c r="G7958">
        <v>-142.97819999999999</v>
      </c>
      <c r="H7958">
        <v>1.0326569999999999</v>
      </c>
      <c r="I7958">
        <v>137.76220000000001</v>
      </c>
      <c r="J7958">
        <v>-143.44999999999999</v>
      </c>
      <c r="K7958">
        <v>1.1103959999999999</v>
      </c>
      <c r="L7958">
        <v>137.75229999999999</v>
      </c>
      <c r="M7958">
        <v>0.99993500000000002</v>
      </c>
      <c r="N7958">
        <v>-1.100544E-2</v>
      </c>
      <c r="O7958">
        <v>2.9773400000000002E-3</v>
      </c>
      <c r="P7958">
        <v>0.93301730000000005</v>
      </c>
      <c r="Q7958">
        <v>0.34336430000000001</v>
      </c>
      <c r="R7958">
        <v>0.10761</v>
      </c>
      <c r="S7958">
        <v>3.334457</v>
      </c>
      <c r="T7958">
        <v>-0.3392231</v>
      </c>
      <c r="U7958">
        <v>4.7607419999999998E-2</v>
      </c>
      <c r="V7958">
        <v>-0.1048854</v>
      </c>
      <c r="W7958">
        <v>0.35359930000000001</v>
      </c>
      <c r="X7958">
        <v>0.92949800000000005</v>
      </c>
      <c r="Y7958">
        <v>-1.1246549999999999E-2</v>
      </c>
      <c r="Z7958">
        <v>3.6323280000000001E-4</v>
      </c>
      <c r="AA7958">
        <v>0.99993670000000001</v>
      </c>
      <c r="AB7958">
        <v>30</v>
      </c>
      <c r="AC7958">
        <v>0.471800000000001</v>
      </c>
      <c r="AD7958">
        <v>-7.7739000000000003E-2</v>
      </c>
      <c r="AE7958">
        <v>9.9000000000160002E-3</v>
      </c>
      <c r="AF7958">
        <v>-8.27071496902472E-3</v>
      </c>
      <c r="AG7958">
        <v>-7.7739000000000003E-2</v>
      </c>
      <c r="AH7958">
        <v>0.45936143609336599</v>
      </c>
      <c r="AI7958">
        <v>99.603787076229395</v>
      </c>
      <c r="AJ7958">
        <v>91.031488122282298</v>
      </c>
      <c r="AK7958">
        <v>0.46596639987971</v>
      </c>
      <c r="AL7958">
        <v>69.292376281706098</v>
      </c>
      <c r="AM7958">
        <v>96.438074572152601</v>
      </c>
      <c r="AN7958">
        <v>0.99999997204882396</v>
      </c>
    </row>
    <row r="7959" spans="1:40" x14ac:dyDescent="0.25">
      <c r="A7959" t="str">
        <f>"20190304164317385"</f>
        <v>20190304164317385</v>
      </c>
      <c r="B7959" t="str">
        <f>"1551688997379340"</f>
        <v>1551688997379340</v>
      </c>
      <c r="C7959" t="s">
        <v>40</v>
      </c>
      <c r="D7959">
        <v>4.1662129999999999</v>
      </c>
      <c r="E7959">
        <v>0.54418909999999998</v>
      </c>
      <c r="F7959" t="s">
        <v>41</v>
      </c>
      <c r="G7959">
        <v>-142.71</v>
      </c>
      <c r="H7959">
        <v>1.0349010000000001</v>
      </c>
      <c r="I7959">
        <v>137.7637</v>
      </c>
      <c r="J7959">
        <v>-143.142</v>
      </c>
      <c r="K7959">
        <v>1.110403</v>
      </c>
      <c r="L7959">
        <v>137.7533</v>
      </c>
      <c r="M7959">
        <v>0.99993480000000001</v>
      </c>
      <c r="N7959">
        <v>-1.099354E-2</v>
      </c>
      <c r="O7959">
        <v>3.110528E-3</v>
      </c>
      <c r="P7959">
        <v>0.93284529999999999</v>
      </c>
      <c r="Q7959">
        <v>0.3436034</v>
      </c>
      <c r="R7959">
        <v>0.1083354</v>
      </c>
      <c r="S7959">
        <v>3.3346710000000002</v>
      </c>
      <c r="T7959">
        <v>-0.34025480000000002</v>
      </c>
      <c r="U7959">
        <v>5.1406859999999999E-2</v>
      </c>
      <c r="V7959">
        <v>-0.1054968</v>
      </c>
      <c r="W7959">
        <v>0.35382279999999999</v>
      </c>
      <c r="X7959">
        <v>0.92934380000000005</v>
      </c>
      <c r="Y7959">
        <v>-1.224602E-2</v>
      </c>
      <c r="Z7959">
        <v>4.0819720000000002E-4</v>
      </c>
      <c r="AA7959">
        <v>0.99992499999999995</v>
      </c>
      <c r="AB7959">
        <v>30</v>
      </c>
      <c r="AC7959">
        <v>0.431999999999988</v>
      </c>
      <c r="AD7959">
        <v>-7.5501999999999903E-2</v>
      </c>
      <c r="AE7959">
        <v>1.04000000000041E-2</v>
      </c>
      <c r="AF7959">
        <v>-8.7878454702161098E-3</v>
      </c>
      <c r="AG7959">
        <v>-7.5501999999999903E-2</v>
      </c>
      <c r="AH7959">
        <v>0.41923196445364602</v>
      </c>
      <c r="AI7959">
        <v>100.20710634583099</v>
      </c>
      <c r="AJ7959">
        <v>91.200845289353595</v>
      </c>
      <c r="AK7959">
        <v>0.42606715227962799</v>
      </c>
      <c r="AL7959">
        <v>69.2786867568731</v>
      </c>
      <c r="AM7959">
        <v>96.476350965603004</v>
      </c>
      <c r="AN7959">
        <v>1.0000000236042501</v>
      </c>
    </row>
    <row r="7960" spans="1:40" x14ac:dyDescent="0.25">
      <c r="A7960" t="str">
        <f>"20190304164317408"</f>
        <v>20190304164317408</v>
      </c>
      <c r="B7960" t="str">
        <f>"1551688997399366"</f>
        <v>1551688997399366</v>
      </c>
      <c r="C7960" t="s">
        <v>40</v>
      </c>
      <c r="D7960">
        <v>4.1064129999999999</v>
      </c>
      <c r="E7960">
        <v>0.54422190000000004</v>
      </c>
      <c r="F7960" t="s">
        <v>41</v>
      </c>
      <c r="G7960">
        <v>-142.19</v>
      </c>
      <c r="H7960">
        <v>1.0130319999999999</v>
      </c>
      <c r="I7960">
        <v>137.7696</v>
      </c>
      <c r="J7960">
        <v>-142.84049999999999</v>
      </c>
      <c r="K7960">
        <v>1.1104019999999999</v>
      </c>
      <c r="L7960">
        <v>137.7544</v>
      </c>
      <c r="M7960">
        <v>0.99993460000000001</v>
      </c>
      <c r="N7960">
        <v>-1.097192E-2</v>
      </c>
      <c r="O7960">
        <v>3.242193E-3</v>
      </c>
      <c r="P7960">
        <v>0.93274000000000001</v>
      </c>
      <c r="Q7960">
        <v>0.34388400000000002</v>
      </c>
      <c r="R7960">
        <v>0.10835160000000001</v>
      </c>
      <c r="S7960">
        <v>3.334991</v>
      </c>
      <c r="T7960">
        <v>-0.34118029999999999</v>
      </c>
      <c r="U7960">
        <v>5.7205199999999998E-2</v>
      </c>
      <c r="V7960">
        <v>-0.1053949</v>
      </c>
      <c r="W7960">
        <v>0.35408089999999998</v>
      </c>
      <c r="X7960">
        <v>0.929257</v>
      </c>
      <c r="Y7960">
        <v>-1.384197E-2</v>
      </c>
      <c r="Z7960">
        <v>4.8700060000000001E-4</v>
      </c>
      <c r="AA7960">
        <v>0.99990409999999996</v>
      </c>
      <c r="AB7960">
        <v>30</v>
      </c>
      <c r="AC7960">
        <v>0.65049999999999297</v>
      </c>
      <c r="AD7960">
        <v>-9.7370000000000095E-2</v>
      </c>
      <c r="AE7960">
        <v>1.51999999999929E-2</v>
      </c>
      <c r="AF7960">
        <v>-1.28040220113188E-2</v>
      </c>
      <c r="AG7960">
        <v>-9.7370000000000095E-2</v>
      </c>
      <c r="AH7960">
        <v>0.63629705504220702</v>
      </c>
      <c r="AI7960">
        <v>98.698518370620206</v>
      </c>
      <c r="AJ7960">
        <v>91.152790855725996</v>
      </c>
      <c r="AK7960">
        <v>0.64383134603330106</v>
      </c>
      <c r="AL7960">
        <v>69.262873974605199</v>
      </c>
      <c r="AM7960">
        <v>96.470747727570696</v>
      </c>
      <c r="AN7960">
        <v>0.99999997036990895</v>
      </c>
    </row>
    <row r="7961" spans="1:40" x14ac:dyDescent="0.25">
      <c r="A7961" t="str">
        <f>"20190304164317430"</f>
        <v>20190304164317430</v>
      </c>
      <c r="B7961" t="str">
        <f>"1551688997418887"</f>
        <v>1551688997418887</v>
      </c>
      <c r="C7961" t="s">
        <v>40</v>
      </c>
      <c r="D7961">
        <v>4.0934569999999999</v>
      </c>
      <c r="E7961">
        <v>0.54424539999999999</v>
      </c>
      <c r="F7961" t="s">
        <v>41</v>
      </c>
      <c r="G7961">
        <v>-141.92160000000001</v>
      </c>
      <c r="H7961">
        <v>1.0163869999999999</v>
      </c>
      <c r="I7961">
        <v>137.77099999999999</v>
      </c>
      <c r="J7961">
        <v>-142.52459999999999</v>
      </c>
      <c r="K7961">
        <v>1.1103970000000001</v>
      </c>
      <c r="L7961">
        <v>137.75550000000001</v>
      </c>
      <c r="M7961">
        <v>0.99993449999999995</v>
      </c>
      <c r="N7961">
        <v>-1.094532E-2</v>
      </c>
      <c r="O7961">
        <v>3.3778419999999998E-3</v>
      </c>
      <c r="P7961">
        <v>0.93283110000000002</v>
      </c>
      <c r="Q7961">
        <v>0.34390140000000002</v>
      </c>
      <c r="R7961">
        <v>0.10750800000000001</v>
      </c>
      <c r="S7961">
        <v>3.3351139999999999</v>
      </c>
      <c r="T7961">
        <v>-0.34131289999999997</v>
      </c>
      <c r="U7961">
        <v>6.0684200000000001E-2</v>
      </c>
      <c r="V7961">
        <v>-0.10442650000000001</v>
      </c>
      <c r="W7961">
        <v>0.35407420000000001</v>
      </c>
      <c r="X7961">
        <v>0.92936890000000005</v>
      </c>
      <c r="Y7961">
        <v>-1.474375E-2</v>
      </c>
      <c r="Z7961">
        <v>5.254643E-4</v>
      </c>
      <c r="AA7961">
        <v>0.99989119999999998</v>
      </c>
      <c r="AB7961">
        <v>30</v>
      </c>
      <c r="AC7961">
        <v>0.60299999999998</v>
      </c>
      <c r="AD7961">
        <v>-9.4009999999999705E-2</v>
      </c>
      <c r="AE7961">
        <v>1.55000000000029E-2</v>
      </c>
      <c r="AF7961">
        <v>-1.3143691429583101E-2</v>
      </c>
      <c r="AG7961">
        <v>-9.4009999999999705E-2</v>
      </c>
      <c r="AH7961">
        <v>0.58874825354358595</v>
      </c>
      <c r="AI7961">
        <v>99.070051277071002</v>
      </c>
      <c r="AJ7961">
        <v>91.278904809287198</v>
      </c>
      <c r="AK7961">
        <v>0.59635152617815801</v>
      </c>
      <c r="AL7961">
        <v>69.263284931703794</v>
      </c>
      <c r="AM7961">
        <v>96.411024375096204</v>
      </c>
      <c r="AN7961">
        <v>0.99999999264755002</v>
      </c>
    </row>
    <row r="7962" spans="1:40" x14ac:dyDescent="0.25">
      <c r="A7962" t="str">
        <f>"20190304164317452"</f>
        <v>20190304164317452</v>
      </c>
      <c r="B7962" t="str">
        <f>"1551688997439383"</f>
        <v>1551688997439383</v>
      </c>
      <c r="C7962" t="s">
        <v>40</v>
      </c>
      <c r="D7962">
        <v>4.047078</v>
      </c>
      <c r="E7962">
        <v>0.54424530000000004</v>
      </c>
      <c r="F7962" t="s">
        <v>41</v>
      </c>
      <c r="G7962">
        <v>-141.6524</v>
      </c>
      <c r="H7962">
        <v>1.02089599999999</v>
      </c>
      <c r="I7962">
        <v>137.7714</v>
      </c>
      <c r="J7962">
        <v>-142.25120000000001</v>
      </c>
      <c r="K7962">
        <v>1.1104019999999999</v>
      </c>
      <c r="L7962">
        <v>137.75659999999999</v>
      </c>
      <c r="M7962">
        <v>0.9999344</v>
      </c>
      <c r="N7962">
        <v>-1.092065E-2</v>
      </c>
      <c r="O7962">
        <v>3.4922429999999999E-3</v>
      </c>
      <c r="P7962">
        <v>0.93293950000000003</v>
      </c>
      <c r="Q7962">
        <v>0.34387400000000001</v>
      </c>
      <c r="R7962">
        <v>0.106653</v>
      </c>
      <c r="S7962">
        <v>3.3352200000000001</v>
      </c>
      <c r="T7962">
        <v>-0.3422847</v>
      </c>
      <c r="U7962">
        <v>6.0745239999999999E-2</v>
      </c>
      <c r="V7962">
        <v>-0.1034646</v>
      </c>
      <c r="W7962">
        <v>0.35402519999999998</v>
      </c>
      <c r="X7962">
        <v>0.92949519999999997</v>
      </c>
      <c r="Y7962">
        <v>-1.4647759999999999E-2</v>
      </c>
      <c r="Z7962">
        <v>5.1044099999999896E-4</v>
      </c>
      <c r="AA7962">
        <v>0.99989260000000002</v>
      </c>
      <c r="AB7962">
        <v>30</v>
      </c>
      <c r="AC7962">
        <v>0.59880000000001099</v>
      </c>
      <c r="AD7962">
        <v>-8.9506000000000294E-2</v>
      </c>
      <c r="AE7962">
        <v>1.48000000000081E-2</v>
      </c>
      <c r="AF7962">
        <v>-1.2431053235430201E-2</v>
      </c>
      <c r="AG7962">
        <v>-8.9506000000000294E-2</v>
      </c>
      <c r="AH7962">
        <v>0.58576823033665804</v>
      </c>
      <c r="AI7962">
        <v>98.685731682922693</v>
      </c>
      <c r="AJ7962">
        <v>91.215736794358705</v>
      </c>
      <c r="AK7962">
        <v>0.59269745637406102</v>
      </c>
      <c r="AL7962">
        <v>69.266288033387198</v>
      </c>
      <c r="AM7962">
        <v>96.351599590849602</v>
      </c>
      <c r="AN7962">
        <v>1.00000004625561</v>
      </c>
    </row>
    <row r="7963" spans="1:40" x14ac:dyDescent="0.25">
      <c r="A7963" t="str">
        <f>"20190304164317473"</f>
        <v>20190304164317473</v>
      </c>
      <c r="B7963" t="str">
        <f>"1551688997468662"</f>
        <v>1551688997468662</v>
      </c>
      <c r="C7963" t="s">
        <v>40</v>
      </c>
      <c r="D7963">
        <v>4.0739799999999997</v>
      </c>
      <c r="E7963">
        <v>0.54425599999999996</v>
      </c>
      <c r="F7963" t="s">
        <v>41</v>
      </c>
      <c r="G7963">
        <v>-141.38499999999999</v>
      </c>
      <c r="H7963">
        <v>1.0213859999999999</v>
      </c>
      <c r="I7963">
        <v>137.7715</v>
      </c>
      <c r="J7963">
        <v>-141.95410000000001</v>
      </c>
      <c r="K7963">
        <v>1.1104000000000001</v>
      </c>
      <c r="L7963">
        <v>137.7577</v>
      </c>
      <c r="M7963">
        <v>0.9999342</v>
      </c>
      <c r="N7963">
        <v>-1.088772E-2</v>
      </c>
      <c r="O7963">
        <v>3.6132410000000001E-3</v>
      </c>
      <c r="P7963">
        <v>0.93267429999999996</v>
      </c>
      <c r="Q7963">
        <v>0.34496159999999998</v>
      </c>
      <c r="R7963">
        <v>0.1054525</v>
      </c>
      <c r="S7963">
        <v>3.3354029999999999</v>
      </c>
      <c r="T7963">
        <v>-0.34284959999999998</v>
      </c>
      <c r="U7963">
        <v>5.7830810000000003E-2</v>
      </c>
      <c r="V7963">
        <v>-0.1021528</v>
      </c>
      <c r="W7963">
        <v>0.35507919999999998</v>
      </c>
      <c r="X7963">
        <v>0.92923809999999996</v>
      </c>
      <c r="Y7963">
        <v>-1.3658450000000001E-2</v>
      </c>
      <c r="Z7963">
        <v>4.4350949999999998E-4</v>
      </c>
      <c r="AA7963">
        <v>0.99990659999999998</v>
      </c>
      <c r="AB7963">
        <v>30</v>
      </c>
      <c r="AC7963">
        <v>0.56910000000002003</v>
      </c>
      <c r="AD7963">
        <v>-8.9013999999999899E-2</v>
      </c>
      <c r="AE7963">
        <v>1.3800000000003299E-2</v>
      </c>
      <c r="AF7963">
        <v>-1.1463213568224001E-2</v>
      </c>
      <c r="AG7963">
        <v>-8.9013999999999899E-2</v>
      </c>
      <c r="AH7963">
        <v>0.55556248160135302</v>
      </c>
      <c r="AI7963">
        <v>99.100841160502995</v>
      </c>
      <c r="AJ7963">
        <v>91.1820462942338</v>
      </c>
      <c r="AK7963">
        <v>0.56276510945896796</v>
      </c>
      <c r="AL7963">
        <v>69.201700244470402</v>
      </c>
      <c r="AM7963">
        <v>96.273436571833699</v>
      </c>
      <c r="AN7963">
        <v>0.99999993965604295</v>
      </c>
    </row>
    <row r="7964" spans="1:40" x14ac:dyDescent="0.25">
      <c r="A7964" t="str">
        <f>"20190304164317495"</f>
        <v>20190304164317495</v>
      </c>
      <c r="B7964" t="str">
        <f>"1551688997489159"</f>
        <v>1551688997489159</v>
      </c>
      <c r="C7964" t="s">
        <v>40</v>
      </c>
      <c r="D7964">
        <v>4.0858889999999999</v>
      </c>
      <c r="E7964">
        <v>0.54425690000000004</v>
      </c>
      <c r="F7964" t="s">
        <v>41</v>
      </c>
      <c r="G7964">
        <v>-141.11580000000001</v>
      </c>
      <c r="H7964">
        <v>1.0251140000000001</v>
      </c>
      <c r="I7964">
        <v>137.77070000000001</v>
      </c>
      <c r="J7964">
        <v>-141.6515</v>
      </c>
      <c r="K7964">
        <v>1.11039</v>
      </c>
      <c r="L7964">
        <v>137.75890000000001</v>
      </c>
      <c r="M7964">
        <v>0.99993430000000005</v>
      </c>
      <c r="N7964">
        <v>-1.0845169999999999E-2</v>
      </c>
      <c r="O7964">
        <v>3.7336309999999998E-3</v>
      </c>
      <c r="P7964">
        <v>0.93256870000000003</v>
      </c>
      <c r="Q7964">
        <v>0.34564640000000002</v>
      </c>
      <c r="R7964">
        <v>0.10413650000000001</v>
      </c>
      <c r="S7964">
        <v>3.3361969999999999</v>
      </c>
      <c r="T7964">
        <v>-0.33937909999999999</v>
      </c>
      <c r="U7964">
        <v>5.207825E-2</v>
      </c>
      <c r="V7964">
        <v>-0.1007252</v>
      </c>
      <c r="W7964">
        <v>0.35572419999999999</v>
      </c>
      <c r="X7964">
        <v>0.92914730000000001</v>
      </c>
      <c r="Y7964">
        <v>-1.18225E-2</v>
      </c>
      <c r="Z7964">
        <v>3.2563569999999998E-4</v>
      </c>
      <c r="AA7964">
        <v>0.99993010000000004</v>
      </c>
      <c r="AB7964">
        <v>30</v>
      </c>
      <c r="AC7964">
        <v>0.53569999999999096</v>
      </c>
      <c r="AD7964">
        <v>-8.5276000000000102E-2</v>
      </c>
      <c r="AE7964">
        <v>1.17999999999938E-2</v>
      </c>
      <c r="AF7964">
        <v>-9.5576194382830208E-3</v>
      </c>
      <c r="AG7964">
        <v>-8.5276000000000102E-2</v>
      </c>
      <c r="AH7964">
        <v>0.52250632211028203</v>
      </c>
      <c r="AI7964">
        <v>99.267750738919204</v>
      </c>
      <c r="AJ7964">
        <v>91.047930272861606</v>
      </c>
      <c r="AK7964">
        <v>0.52950561933801998</v>
      </c>
      <c r="AL7964">
        <v>69.162164307059101</v>
      </c>
      <c r="AM7964">
        <v>96.187048853424599</v>
      </c>
      <c r="AN7964">
        <v>0.99999998873898499</v>
      </c>
    </row>
    <row r="7965" spans="1:40" x14ac:dyDescent="0.25">
      <c r="A7965" t="str">
        <f>"20190304164317517"</f>
        <v>20190304164317517</v>
      </c>
      <c r="B7965" t="str">
        <f>"1551688997508679"</f>
        <v>1551688997508679</v>
      </c>
      <c r="C7965" t="s">
        <v>40</v>
      </c>
      <c r="D7965">
        <v>4.0426830000000002</v>
      </c>
      <c r="E7965">
        <v>0.54425939999999995</v>
      </c>
      <c r="F7965" t="s">
        <v>41</v>
      </c>
      <c r="G7965">
        <v>-140.846</v>
      </c>
      <c r="H7965">
        <v>1.029007</v>
      </c>
      <c r="I7965">
        <v>137.77000000000001</v>
      </c>
      <c r="J7965">
        <v>-141.3586</v>
      </c>
      <c r="K7965">
        <v>1.1103799999999999</v>
      </c>
      <c r="L7965">
        <v>137.76009999999999</v>
      </c>
      <c r="M7965">
        <v>0.99993430000000005</v>
      </c>
      <c r="N7965">
        <v>-1.079947E-2</v>
      </c>
      <c r="O7965">
        <v>3.8486140000000002E-3</v>
      </c>
      <c r="P7965">
        <v>0.93241439999999998</v>
      </c>
      <c r="Q7965">
        <v>0.3462557</v>
      </c>
      <c r="R7965">
        <v>0.1034906</v>
      </c>
      <c r="S7965">
        <v>3.3367309999999999</v>
      </c>
      <c r="T7965">
        <v>-0.33720739999999999</v>
      </c>
      <c r="U7965">
        <v>4.6340939999999997E-2</v>
      </c>
      <c r="V7965">
        <v>-9.9973290000000006E-2</v>
      </c>
      <c r="W7965">
        <v>0.35628910000000003</v>
      </c>
      <c r="X7965">
        <v>0.92901210000000001</v>
      </c>
      <c r="Y7965">
        <v>-9.9974690000000001E-3</v>
      </c>
      <c r="Z7965">
        <v>2.115408E-4</v>
      </c>
      <c r="AA7965">
        <v>0.99995000000000001</v>
      </c>
      <c r="AB7965">
        <v>30</v>
      </c>
      <c r="AC7965">
        <v>0.51259999999999195</v>
      </c>
      <c r="AD7965">
        <v>-8.1372999999999904E-2</v>
      </c>
      <c r="AE7965">
        <v>9.9000000000160002E-3</v>
      </c>
      <c r="AF7965">
        <v>-7.7322312485422103E-3</v>
      </c>
      <c r="AG7965">
        <v>-8.1372999999999904E-2</v>
      </c>
      <c r="AH7965">
        <v>0.50003796410773804</v>
      </c>
      <c r="AI7965">
        <v>99.241842381036506</v>
      </c>
      <c r="AJ7965">
        <v>90.885910556059102</v>
      </c>
      <c r="AK7965">
        <v>0.50667476558251101</v>
      </c>
      <c r="AL7965">
        <v>69.127529653592205</v>
      </c>
      <c r="AM7965">
        <v>96.142103900668801</v>
      </c>
      <c r="AN7965">
        <v>1.0000000317193201</v>
      </c>
    </row>
    <row r="7966" spans="1:40" x14ac:dyDescent="0.25">
      <c r="A7966" t="str">
        <f>"20190304164317539"</f>
        <v>20190304164317539</v>
      </c>
      <c r="B7966" t="str">
        <f>"1551688997529175"</f>
        <v>1551688997529175</v>
      </c>
      <c r="C7966" t="s">
        <v>40</v>
      </c>
      <c r="D7966">
        <v>4.0699940000000003</v>
      </c>
      <c r="E7966">
        <v>0.54427680000000001</v>
      </c>
      <c r="F7966" t="s">
        <v>41</v>
      </c>
      <c r="G7966">
        <v>-140.57589999999999</v>
      </c>
      <c r="H7966">
        <v>1.031792</v>
      </c>
      <c r="I7966">
        <v>137.77019999999999</v>
      </c>
      <c r="J7966">
        <v>-141.06290000000001</v>
      </c>
      <c r="K7966">
        <v>1.1103769999999999</v>
      </c>
      <c r="L7966">
        <v>137.76140000000001</v>
      </c>
      <c r="M7966">
        <v>0.9999344</v>
      </c>
      <c r="N7966">
        <v>-1.0750539999999999E-2</v>
      </c>
      <c r="O7966">
        <v>3.9641470000000003E-3</v>
      </c>
      <c r="P7966">
        <v>0.93221319999999996</v>
      </c>
      <c r="Q7966">
        <v>0.34678589999999998</v>
      </c>
      <c r="R7966">
        <v>0.1035286</v>
      </c>
      <c r="S7966">
        <v>3.3371119999999999</v>
      </c>
      <c r="T7966">
        <v>-0.335157599999999</v>
      </c>
      <c r="U7966">
        <v>4.330444E-2</v>
      </c>
      <c r="V7966">
        <v>-9.990446E-2</v>
      </c>
      <c r="W7966">
        <v>0.35677170000000002</v>
      </c>
      <c r="X7966">
        <v>0.9288343</v>
      </c>
      <c r="Y7966">
        <v>-8.9772710000000002E-3</v>
      </c>
      <c r="Z7966">
        <v>1.4345889999999999E-4</v>
      </c>
      <c r="AA7966">
        <v>0.99995970000000001</v>
      </c>
      <c r="AB7966">
        <v>30</v>
      </c>
      <c r="AC7966">
        <v>0.48700000000002303</v>
      </c>
      <c r="AD7966">
        <v>-7.8584999999999905E-2</v>
      </c>
      <c r="AE7966">
        <v>8.7999999999794892E-3</v>
      </c>
      <c r="AF7966">
        <v>-6.6950065738039799E-3</v>
      </c>
      <c r="AG7966">
        <v>-7.8584999999999905E-2</v>
      </c>
      <c r="AH7966">
        <v>0.474675111582188</v>
      </c>
      <c r="AI7966">
        <v>99.399439523830793</v>
      </c>
      <c r="AJ7966">
        <v>90.808068882117794</v>
      </c>
      <c r="AK7966">
        <v>0.48118279987296497</v>
      </c>
      <c r="AL7966">
        <v>69.097934223073906</v>
      </c>
      <c r="AM7966">
        <v>96.139073414843395</v>
      </c>
      <c r="AN7966">
        <v>1.00000005195263</v>
      </c>
    </row>
    <row r="7967" spans="1:40" x14ac:dyDescent="0.25">
      <c r="A7967" t="str">
        <f>"20190304164317563"</f>
        <v>20190304164317563</v>
      </c>
      <c r="B7967" t="str">
        <f>"1551688997559432"</f>
        <v>1551688997559432</v>
      </c>
      <c r="C7967" t="s">
        <v>40</v>
      </c>
      <c r="D7967">
        <v>4.0427080000000002</v>
      </c>
      <c r="E7967">
        <v>0.54428840000000001</v>
      </c>
      <c r="F7967" t="s">
        <v>41</v>
      </c>
      <c r="G7967">
        <v>-140.30529999999999</v>
      </c>
      <c r="H7967">
        <v>1.0346979999999999</v>
      </c>
      <c r="I7967">
        <v>137.77109999999999</v>
      </c>
      <c r="J7967">
        <v>-140.75970000000001</v>
      </c>
      <c r="K7967">
        <v>1.1103730000000001</v>
      </c>
      <c r="L7967">
        <v>137.7627</v>
      </c>
      <c r="M7967">
        <v>0.99993449999999995</v>
      </c>
      <c r="N7967">
        <v>-1.0699190000000001E-2</v>
      </c>
      <c r="O7967">
        <v>4.0775759999999899E-3</v>
      </c>
      <c r="P7967">
        <v>0.93215610000000004</v>
      </c>
      <c r="Q7967">
        <v>0.34700900000000001</v>
      </c>
      <c r="R7967">
        <v>0.10329430000000001</v>
      </c>
      <c r="S7967">
        <v>3.3373569999999999</v>
      </c>
      <c r="T7967">
        <v>-0.33354089999999997</v>
      </c>
      <c r="U7967">
        <v>4.3716430000000001E-2</v>
      </c>
      <c r="V7967">
        <v>-9.9562449999999997E-2</v>
      </c>
      <c r="W7967">
        <v>0.35694759999999998</v>
      </c>
      <c r="X7967">
        <v>0.92880339999999995</v>
      </c>
      <c r="Y7967">
        <v>-8.98704E-3</v>
      </c>
      <c r="Z7967">
        <v>1.332111E-4</v>
      </c>
      <c r="AA7967">
        <v>0.99995959999999995</v>
      </c>
      <c r="AB7967">
        <v>30</v>
      </c>
      <c r="AC7967">
        <v>0.45440000000002101</v>
      </c>
      <c r="AD7967">
        <v>-7.5675000000000103E-2</v>
      </c>
      <c r="AE7967">
        <v>8.3999999999946305E-3</v>
      </c>
      <c r="AF7967">
        <v>-6.3703522804005796E-3</v>
      </c>
      <c r="AG7967">
        <v>-7.5675000000000103E-2</v>
      </c>
      <c r="AH7967">
        <v>0.44217104968698001</v>
      </c>
      <c r="AI7967">
        <v>99.710759797163306</v>
      </c>
      <c r="AJ7967">
        <v>90.825402409745195</v>
      </c>
      <c r="AK7967">
        <v>0.44864520970858701</v>
      </c>
      <c r="AL7967">
        <v>69.0871447003029</v>
      </c>
      <c r="AM7967">
        <v>96.118418758798796</v>
      </c>
      <c r="AN7967">
        <v>1.0000000132236599</v>
      </c>
    </row>
    <row r="7968" spans="1:40" x14ac:dyDescent="0.25">
      <c r="A7968" t="str">
        <f>"20190304164317584"</f>
        <v>20190304164317584</v>
      </c>
      <c r="B7968" t="str">
        <f>"1551688997578951"</f>
        <v>1551688997578951</v>
      </c>
      <c r="C7968" t="s">
        <v>40</v>
      </c>
      <c r="D7968">
        <v>4.0298319999999999</v>
      </c>
      <c r="E7968">
        <v>0.54429309999999997</v>
      </c>
      <c r="F7968" t="s">
        <v>41</v>
      </c>
      <c r="G7968">
        <v>-139.78049999999999</v>
      </c>
      <c r="H7968">
        <v>1.012659</v>
      </c>
      <c r="I7968">
        <v>137.77549999999999</v>
      </c>
      <c r="J7968">
        <v>-140.4564</v>
      </c>
      <c r="K7968">
        <v>1.1103590000000001</v>
      </c>
      <c r="L7968">
        <v>137.76410000000001</v>
      </c>
      <c r="M7968">
        <v>0.99993469999999995</v>
      </c>
      <c r="N7968">
        <v>-1.064495E-2</v>
      </c>
      <c r="O7968">
        <v>4.1768760000000004E-3</v>
      </c>
      <c r="P7968">
        <v>0.9321062</v>
      </c>
      <c r="Q7968">
        <v>0.347167</v>
      </c>
      <c r="R7968">
        <v>0.10321519999999999</v>
      </c>
      <c r="S7968">
        <v>3.3374790000000001</v>
      </c>
      <c r="T7968">
        <v>-0.33310600000000001</v>
      </c>
      <c r="U7968">
        <v>4.400635E-2</v>
      </c>
      <c r="V7968">
        <v>-9.9383970000000002E-2</v>
      </c>
      <c r="W7968">
        <v>0.35705629999999999</v>
      </c>
      <c r="X7968">
        <v>0.92878070000000001</v>
      </c>
      <c r="Y7968">
        <v>-8.9746919999999994E-3</v>
      </c>
      <c r="Z7968">
        <v>1.2317909999999999E-4</v>
      </c>
      <c r="AA7968">
        <v>0.99995970000000001</v>
      </c>
      <c r="AB7968">
        <v>30</v>
      </c>
      <c r="AC7968">
        <v>0.67590000000001205</v>
      </c>
      <c r="AD7968">
        <v>-9.7700000000000106E-2</v>
      </c>
      <c r="AE7968">
        <v>1.13999999999805E-2</v>
      </c>
      <c r="AF7968">
        <v>-8.4011064573235594E-3</v>
      </c>
      <c r="AG7968">
        <v>-9.7700000000000106E-2</v>
      </c>
      <c r="AH7968">
        <v>0.66211141662759199</v>
      </c>
      <c r="AI7968">
        <v>98.393227256319605</v>
      </c>
      <c r="AJ7968">
        <v>90.726950332237095</v>
      </c>
      <c r="AK7968">
        <v>0.66933354661058497</v>
      </c>
      <c r="AL7968">
        <v>69.080476602440001</v>
      </c>
      <c r="AM7968">
        <v>96.107681728725396</v>
      </c>
      <c r="AN7968">
        <v>0.99999998177756999</v>
      </c>
    </row>
    <row r="7969" spans="1:40" x14ac:dyDescent="0.25">
      <c r="A7969" t="str">
        <f>"20190304164317607"</f>
        <v>20190304164317607</v>
      </c>
      <c r="B7969" t="str">
        <f>"1551688997599447"</f>
        <v>1551688997599447</v>
      </c>
      <c r="C7969" t="s">
        <v>40</v>
      </c>
      <c r="D7969">
        <v>4.0228979999999996</v>
      </c>
      <c r="E7969">
        <v>0.54430909999999999</v>
      </c>
      <c r="F7969" t="s">
        <v>41</v>
      </c>
      <c r="G7969">
        <v>-139.50980000000001</v>
      </c>
      <c r="H7969">
        <v>1.0159849999999999</v>
      </c>
      <c r="I7969">
        <v>137.7766</v>
      </c>
      <c r="J7969">
        <v>-140.15809999999999</v>
      </c>
      <c r="K7969">
        <v>1.1103419999999999</v>
      </c>
      <c r="L7969">
        <v>137.7654</v>
      </c>
      <c r="M7969">
        <v>0.99993489999999996</v>
      </c>
      <c r="N7969">
        <v>-1.0592259999999999E-2</v>
      </c>
      <c r="O7969">
        <v>4.2602619999999999E-3</v>
      </c>
      <c r="P7969">
        <v>0.93186619999999998</v>
      </c>
      <c r="Q7969">
        <v>0.34768700000000002</v>
      </c>
      <c r="R7969">
        <v>0.10363120000000001</v>
      </c>
      <c r="S7969">
        <v>3.3375400000000002</v>
      </c>
      <c r="T7969">
        <v>-0.33275640000000001</v>
      </c>
      <c r="U7969">
        <v>4.4357300000000002E-2</v>
      </c>
      <c r="V7969">
        <v>-9.9712809999999999E-2</v>
      </c>
      <c r="W7969">
        <v>0.35752790000000001</v>
      </c>
      <c r="X7969">
        <v>0.92856399999999994</v>
      </c>
      <c r="Y7969">
        <v>-8.9965119999999999E-3</v>
      </c>
      <c r="Z7969">
        <v>1.164789E-4</v>
      </c>
      <c r="AA7969">
        <v>0.9999595</v>
      </c>
      <c r="AB7969">
        <v>30</v>
      </c>
      <c r="AC7969">
        <v>0.64829999999997701</v>
      </c>
      <c r="AD7969">
        <v>-9.4356999999999802E-2</v>
      </c>
      <c r="AE7969">
        <v>1.12000000000023E-2</v>
      </c>
      <c r="AF7969">
        <v>-8.2628328644331998E-3</v>
      </c>
      <c r="AG7969">
        <v>-9.4356999999999802E-2</v>
      </c>
      <c r="AH7969">
        <v>0.63489656199671995</v>
      </c>
      <c r="AI7969">
        <v>98.452599078039597</v>
      </c>
      <c r="AJ7969">
        <v>90.745631260318305</v>
      </c>
      <c r="AK7969">
        <v>0.64192301897595105</v>
      </c>
      <c r="AL7969">
        <v>69.051546106451198</v>
      </c>
      <c r="AM7969">
        <v>96.129156376604698</v>
      </c>
      <c r="AN7969">
        <v>0.99999997292625198</v>
      </c>
    </row>
    <row r="7970" spans="1:40" x14ac:dyDescent="0.25">
      <c r="A7970" t="str">
        <f>"20190304164317629"</f>
        <v>20190304164317629</v>
      </c>
      <c r="B7970" t="str">
        <f>"1551688997618968"</f>
        <v>1551688997618968</v>
      </c>
      <c r="C7970" t="s">
        <v>40</v>
      </c>
      <c r="D7970">
        <v>4.0152989999999997</v>
      </c>
      <c r="E7970">
        <v>0.54430619999999996</v>
      </c>
      <c r="F7970" t="s">
        <v>41</v>
      </c>
      <c r="G7970">
        <v>-139.2388</v>
      </c>
      <c r="H7970">
        <v>1.019258</v>
      </c>
      <c r="I7970">
        <v>137.77780000000001</v>
      </c>
      <c r="J7970">
        <v>-139.85380000000001</v>
      </c>
      <c r="K7970">
        <v>1.1103229999999999</v>
      </c>
      <c r="L7970">
        <v>137.76679999999999</v>
      </c>
      <c r="M7970">
        <v>0.99993520000000002</v>
      </c>
      <c r="N7970">
        <v>-1.0542630000000001E-2</v>
      </c>
      <c r="O7970">
        <v>4.3230669999999999E-3</v>
      </c>
      <c r="P7970">
        <v>0.93145750000000005</v>
      </c>
      <c r="Q7970">
        <v>0.34888259999999899</v>
      </c>
      <c r="R7970">
        <v>0.1032868</v>
      </c>
      <c r="S7970">
        <v>3.3377080000000001</v>
      </c>
      <c r="T7970">
        <v>-0.33078239999999998</v>
      </c>
      <c r="U7970">
        <v>4.5410159999999998E-2</v>
      </c>
      <c r="V7970">
        <v>-9.9296200000000001E-2</v>
      </c>
      <c r="W7970">
        <v>0.35867749999999998</v>
      </c>
      <c r="X7970">
        <v>0.92816529999999997</v>
      </c>
      <c r="Y7970">
        <v>-9.2476699999999995E-3</v>
      </c>
      <c r="Z7970">
        <v>1.2409690000000001E-4</v>
      </c>
      <c r="AA7970">
        <v>0.99995719999999999</v>
      </c>
      <c r="AB7970">
        <v>30</v>
      </c>
      <c r="AC7970">
        <v>0.61500000000000898</v>
      </c>
      <c r="AD7970">
        <v>-9.1064999999999896E-2</v>
      </c>
      <c r="AE7970">
        <v>1.10000000000241E-2</v>
      </c>
      <c r="AF7970">
        <v>-8.1621600056618997E-3</v>
      </c>
      <c r="AG7970">
        <v>-9.1064999999999896E-2</v>
      </c>
      <c r="AH7970">
        <v>0.60185006683410802</v>
      </c>
      <c r="AI7970">
        <v>98.603291124371097</v>
      </c>
      <c r="AJ7970">
        <v>90.776985296091297</v>
      </c>
      <c r="AK7970">
        <v>0.60875525297871402</v>
      </c>
      <c r="AL7970">
        <v>68.981002226892002</v>
      </c>
      <c r="AM7970">
        <v>96.106343963581196</v>
      </c>
      <c r="AN7970">
        <v>1.0000000542323799</v>
      </c>
    </row>
    <row r="7971" spans="1:40" x14ac:dyDescent="0.25">
      <c r="A7971" t="str">
        <f>"20190304164317652"</f>
        <v>20190304164317652</v>
      </c>
      <c r="B7971" t="str">
        <f>"1551688997639463"</f>
        <v>1551688997639463</v>
      </c>
      <c r="C7971" t="s">
        <v>40</v>
      </c>
      <c r="D7971">
        <v>4.0221650000000002</v>
      </c>
      <c r="E7971">
        <v>0.54433189999999998</v>
      </c>
      <c r="F7971" t="s">
        <v>41</v>
      </c>
      <c r="G7971">
        <v>-138.96709999999999</v>
      </c>
      <c r="H7971">
        <v>1.0235449999999999</v>
      </c>
      <c r="I7971">
        <v>137.77869999999999</v>
      </c>
      <c r="J7971">
        <v>-139.55179999999999</v>
      </c>
      <c r="K7971">
        <v>1.110303</v>
      </c>
      <c r="L7971">
        <v>137.7681</v>
      </c>
      <c r="M7971">
        <v>0.99993540000000003</v>
      </c>
      <c r="N7971">
        <v>-1.0498149999999999E-2</v>
      </c>
      <c r="O7971">
        <v>4.3634240000000003E-3</v>
      </c>
      <c r="P7971">
        <v>0.93118259999999997</v>
      </c>
      <c r="Q7971">
        <v>0.34980860000000003</v>
      </c>
      <c r="R7971">
        <v>0.10263079999999999</v>
      </c>
      <c r="S7971">
        <v>3.3381199999999902</v>
      </c>
      <c r="T7971">
        <v>-0.32673600000000003</v>
      </c>
      <c r="U7971">
        <v>4.5242310000000001E-2</v>
      </c>
      <c r="V7971">
        <v>-9.8588300000000004E-2</v>
      </c>
      <c r="W7971">
        <v>0.35956349999999998</v>
      </c>
      <c r="X7971">
        <v>0.92789790000000005</v>
      </c>
      <c r="Y7971">
        <v>-9.1567450000000009E-3</v>
      </c>
      <c r="Z7971">
        <v>1.1489719999999999E-4</v>
      </c>
      <c r="AA7971">
        <v>0.99995809999999996</v>
      </c>
      <c r="AB7971">
        <v>30</v>
      </c>
      <c r="AC7971">
        <v>0.584699999999997</v>
      </c>
      <c r="AD7971">
        <v>-8.6757999999999794E-2</v>
      </c>
      <c r="AE7971">
        <v>1.05999999999824E-2</v>
      </c>
      <c r="AF7971">
        <v>-7.8751367173531105E-3</v>
      </c>
      <c r="AG7971">
        <v>-8.6757999999999794E-2</v>
      </c>
      <c r="AH7971">
        <v>0.57214799701997998</v>
      </c>
      <c r="AI7971">
        <v>98.621589530992793</v>
      </c>
      <c r="AJ7971">
        <v>90.788578494061795</v>
      </c>
      <c r="AK7971">
        <v>0.57874199677947402</v>
      </c>
      <c r="AL7971">
        <v>68.926609351411699</v>
      </c>
      <c r="AM7971">
        <v>96.064870431113505</v>
      </c>
      <c r="AN7971">
        <v>1.00000003812677</v>
      </c>
    </row>
    <row r="7972" spans="1:40" x14ac:dyDescent="0.25">
      <c r="A7972" t="str">
        <f>"20190304164317674"</f>
        <v>20190304164317674</v>
      </c>
      <c r="B7972" t="str">
        <f>"1551688997668743"</f>
        <v>1551688997668743</v>
      </c>
      <c r="C7972" t="s">
        <v>40</v>
      </c>
      <c r="D7972">
        <v>4.0204950000000004</v>
      </c>
      <c r="E7972">
        <v>0.54436739999999995</v>
      </c>
      <c r="F7972" t="s">
        <v>41</v>
      </c>
      <c r="G7972">
        <v>-138.6953</v>
      </c>
      <c r="H7972">
        <v>1.0273939999999999</v>
      </c>
      <c r="I7972">
        <v>137.77959999999999</v>
      </c>
      <c r="J7972">
        <v>-139.24969999999999</v>
      </c>
      <c r="K7972">
        <v>1.1102829999999999</v>
      </c>
      <c r="L7972">
        <v>137.76949999999999</v>
      </c>
      <c r="M7972">
        <v>0.99993580000000004</v>
      </c>
      <c r="N7972">
        <v>-1.0461160000000001E-2</v>
      </c>
      <c r="O7972">
        <v>4.3773270000000003E-3</v>
      </c>
      <c r="P7972">
        <v>0.93094589999999999</v>
      </c>
      <c r="Q7972">
        <v>0.35053499999999999</v>
      </c>
      <c r="R7972">
        <v>0.1023</v>
      </c>
      <c r="S7972">
        <v>3.3381500000000002</v>
      </c>
      <c r="T7972">
        <v>-0.323185</v>
      </c>
      <c r="U7972">
        <v>4.4860839999999999E-2</v>
      </c>
      <c r="V7972">
        <v>-9.8229570000000002E-2</v>
      </c>
      <c r="W7972">
        <v>0.36025800000000002</v>
      </c>
      <c r="X7972">
        <v>0.92766649999999995</v>
      </c>
      <c r="Y7972">
        <v>-9.0298010000000005E-3</v>
      </c>
      <c r="Z7972">
        <v>1.06344599999999E-4</v>
      </c>
      <c r="AA7972">
        <v>0.99995919999999905</v>
      </c>
      <c r="AB7972">
        <v>30</v>
      </c>
      <c r="AC7972">
        <v>0.55439999999998602</v>
      </c>
      <c r="AD7972">
        <v>-8.2888999999999699E-2</v>
      </c>
      <c r="AE7972">
        <v>1.00999999999942E-2</v>
      </c>
      <c r="AF7972">
        <v>-7.5052665630872002E-3</v>
      </c>
      <c r="AG7972">
        <v>-8.2888999999999699E-2</v>
      </c>
      <c r="AH7972">
        <v>0.54232011977502004</v>
      </c>
      <c r="AI7972">
        <v>98.689100820854193</v>
      </c>
      <c r="AJ7972">
        <v>90.792876075874005</v>
      </c>
      <c r="AK7972">
        <v>0.54866932451156303</v>
      </c>
      <c r="AL7972">
        <v>68.883958584162002</v>
      </c>
      <c r="AM7972">
        <v>96.044462190406193</v>
      </c>
      <c r="AN7972">
        <v>1.0000000051043101</v>
      </c>
    </row>
    <row r="7973" spans="1:40" x14ac:dyDescent="0.25">
      <c r="A7973" t="str">
        <f>"20190304164317696"</f>
        <v>20190304164317696</v>
      </c>
      <c r="B7973" t="str">
        <f>"1551688997689239"</f>
        <v>1551688997689239</v>
      </c>
      <c r="C7973" t="s">
        <v>40</v>
      </c>
      <c r="D7973">
        <v>3.9825370000000002</v>
      </c>
      <c r="E7973">
        <v>0.54438330000000001</v>
      </c>
      <c r="F7973" t="s">
        <v>41</v>
      </c>
      <c r="G7973">
        <v>-138.42250000000001</v>
      </c>
      <c r="H7973">
        <v>1.031115</v>
      </c>
      <c r="I7973">
        <v>137.7801</v>
      </c>
      <c r="J7973">
        <v>-138.95500000000001</v>
      </c>
      <c r="K7973">
        <v>1.1102609999999999</v>
      </c>
      <c r="L7973">
        <v>137.77070000000001</v>
      </c>
      <c r="M7973">
        <v>0.99993609999999999</v>
      </c>
      <c r="N7973">
        <v>-1.043734E-2</v>
      </c>
      <c r="O7973">
        <v>4.3507340000000002E-3</v>
      </c>
      <c r="P7973">
        <v>0.9308575</v>
      </c>
      <c r="Q7973">
        <v>0.3508655</v>
      </c>
      <c r="R7973">
        <v>0.1019698</v>
      </c>
      <c r="S7973">
        <v>3.3380890000000001</v>
      </c>
      <c r="T7973">
        <v>-0.3195211</v>
      </c>
      <c r="U7973">
        <v>4.3258669999999999E-2</v>
      </c>
      <c r="V7973">
        <v>-9.7902799999999998E-2</v>
      </c>
      <c r="W7973">
        <v>0.36057070000000002</v>
      </c>
      <c r="X7973">
        <v>0.92757959999999995</v>
      </c>
      <c r="Y7973">
        <v>-8.5795730000000001E-3</v>
      </c>
      <c r="Z7973" s="1">
        <v>8.4391469999999896E-5</v>
      </c>
      <c r="AA7973">
        <v>0.99996320000000005</v>
      </c>
      <c r="AB7973">
        <v>30</v>
      </c>
      <c r="AC7973">
        <v>0.53249999999999797</v>
      </c>
      <c r="AD7973">
        <v>-7.9146000000000105E-2</v>
      </c>
      <c r="AE7973">
        <v>9.3999999999994002E-3</v>
      </c>
      <c r="AF7973">
        <v>-6.9299754734851397E-3</v>
      </c>
      <c r="AG7973">
        <v>-7.9146000000000105E-2</v>
      </c>
      <c r="AH7973">
        <v>0.521029297564924</v>
      </c>
      <c r="AI7973">
        <v>98.636627250642306</v>
      </c>
      <c r="AJ7973">
        <v>90.762020364853498</v>
      </c>
      <c r="AK7973">
        <v>0.52705184071119804</v>
      </c>
      <c r="AL7973">
        <v>68.864752337601701</v>
      </c>
      <c r="AM7973">
        <v>96.025063086439204</v>
      </c>
      <c r="AN7973">
        <v>1.0000000511412399</v>
      </c>
    </row>
    <row r="7974" spans="1:40" x14ac:dyDescent="0.25">
      <c r="A7974" t="str">
        <f>"20190304164317718"</f>
        <v>20190304164317718</v>
      </c>
      <c r="B7974" t="str">
        <f>"1551688997708760"</f>
        <v>1551688997708760</v>
      </c>
      <c r="C7974" t="s">
        <v>40</v>
      </c>
      <c r="D7974">
        <v>3.9855619999999998</v>
      </c>
      <c r="E7974">
        <v>0.54440100000000002</v>
      </c>
      <c r="F7974" t="s">
        <v>41</v>
      </c>
      <c r="G7974">
        <v>-138.1499</v>
      </c>
      <c r="H7974">
        <v>1.0336730000000001</v>
      </c>
      <c r="I7974">
        <v>137.7807</v>
      </c>
      <c r="J7974">
        <v>-138.65440000000001</v>
      </c>
      <c r="K7974">
        <v>1.110223</v>
      </c>
      <c r="L7974">
        <v>137.77199999999999</v>
      </c>
      <c r="M7974">
        <v>0.99993659999999995</v>
      </c>
      <c r="N7974">
        <v>-1.043139E-2</v>
      </c>
      <c r="O7974">
        <v>4.2690559999999898E-3</v>
      </c>
      <c r="P7974">
        <v>0.93093599999999999</v>
      </c>
      <c r="Q7974">
        <v>0.35071780000000002</v>
      </c>
      <c r="R7974">
        <v>0.1017615</v>
      </c>
      <c r="S7974">
        <v>3.3379970000000001</v>
      </c>
      <c r="T7974">
        <v>-0.31761070000000002</v>
      </c>
      <c r="U7974">
        <v>4.1580199999999998E-2</v>
      </c>
      <c r="V7974">
        <v>-9.7737879999999999E-2</v>
      </c>
      <c r="W7974">
        <v>0.36042740000000001</v>
      </c>
      <c r="X7974">
        <v>0.9276527</v>
      </c>
      <c r="Y7974">
        <v>-8.1609660000000004E-3</v>
      </c>
      <c r="Z7974" s="1">
        <v>6.9219069999999994E-5</v>
      </c>
      <c r="AA7974">
        <v>0.99996669999999999</v>
      </c>
      <c r="AB7974">
        <v>30</v>
      </c>
      <c r="AC7974">
        <v>0.50450000000000705</v>
      </c>
      <c r="AD7974">
        <v>-7.6549999999999896E-2</v>
      </c>
      <c r="AE7974">
        <v>8.6999999999761695E-3</v>
      </c>
      <c r="AF7974">
        <v>-6.3987874672427197E-3</v>
      </c>
      <c r="AG7974">
        <v>-7.6549999999999896E-2</v>
      </c>
      <c r="AH7974">
        <v>0.49318124845720701</v>
      </c>
      <c r="AI7974">
        <v>98.822130320523499</v>
      </c>
      <c r="AJ7974">
        <v>90.743343237138305</v>
      </c>
      <c r="AK7974">
        <v>0.49912783013057899</v>
      </c>
      <c r="AL7974">
        <v>68.873555066287906</v>
      </c>
      <c r="AM7974">
        <v>96.014517655942399</v>
      </c>
      <c r="AN7974">
        <v>1.0000000678374701</v>
      </c>
    </row>
    <row r="7975" spans="1:40" x14ac:dyDescent="0.25">
      <c r="A7975" t="str">
        <f>"20190304164317741"</f>
        <v>20190304164317741</v>
      </c>
      <c r="B7975" t="str">
        <f>"1551688997729254"</f>
        <v>1551688997729254</v>
      </c>
      <c r="C7975" t="s">
        <v>40</v>
      </c>
      <c r="D7975">
        <v>3.981779</v>
      </c>
      <c r="E7975">
        <v>0.5444116</v>
      </c>
      <c r="F7975" t="s">
        <v>41</v>
      </c>
      <c r="G7975">
        <v>-137.87700000000001</v>
      </c>
      <c r="H7975">
        <v>1.036246</v>
      </c>
      <c r="I7975">
        <v>137.78149999999999</v>
      </c>
      <c r="J7975">
        <v>-138.35040000000001</v>
      </c>
      <c r="K7975">
        <v>1.1101829999999999</v>
      </c>
      <c r="L7975">
        <v>137.7732</v>
      </c>
      <c r="M7975">
        <v>0.99993690000000002</v>
      </c>
      <c r="N7975">
        <v>-1.0448809999999999E-2</v>
      </c>
      <c r="O7975">
        <v>4.1197819999999998E-3</v>
      </c>
      <c r="P7975">
        <v>0.93101109999999998</v>
      </c>
      <c r="Q7975">
        <v>0.35032980000000002</v>
      </c>
      <c r="R7975">
        <v>0.1024075</v>
      </c>
      <c r="S7975">
        <v>3.3377690000000002</v>
      </c>
      <c r="T7975">
        <v>-0.31766899999999998</v>
      </c>
      <c r="U7975">
        <v>4.0939330000000003E-2</v>
      </c>
      <c r="V7975">
        <v>-9.8478380000000004E-2</v>
      </c>
      <c r="W7975">
        <v>0.360068</v>
      </c>
      <c r="X7975">
        <v>0.92771389999999998</v>
      </c>
      <c r="Y7975">
        <v>-8.1187780000000001E-3</v>
      </c>
      <c r="Z7975" s="1">
        <v>7.9753629999999997E-5</v>
      </c>
      <c r="AA7975">
        <v>0.99996700000000005</v>
      </c>
      <c r="AB7975">
        <v>30</v>
      </c>
      <c r="AC7975">
        <v>0.47339999999999799</v>
      </c>
      <c r="AD7975">
        <v>-7.3936999999999906E-2</v>
      </c>
      <c r="AE7975">
        <v>8.2999999999913109E-3</v>
      </c>
      <c r="AF7975">
        <v>-6.1983672585911804E-3</v>
      </c>
      <c r="AG7975">
        <v>-7.3936999999999906E-2</v>
      </c>
      <c r="AH7975">
        <v>0.46216012071925</v>
      </c>
      <c r="AI7975">
        <v>99.0884313119778</v>
      </c>
      <c r="AJ7975">
        <v>90.768389518270197</v>
      </c>
      <c r="AK7975">
        <v>0.468078067109435</v>
      </c>
      <c r="AL7975">
        <v>68.895628205806403</v>
      </c>
      <c r="AM7975">
        <v>96.059351399524999</v>
      </c>
      <c r="AN7975">
        <v>1.0000000181023101</v>
      </c>
    </row>
    <row r="7976" spans="1:40" x14ac:dyDescent="0.25">
      <c r="A7976" t="str">
        <f>"20190304164317764"</f>
        <v>20190304164317764</v>
      </c>
      <c r="B7976" t="str">
        <f>"1551688997759511"</f>
        <v>1551688997759511</v>
      </c>
      <c r="C7976" t="s">
        <v>40</v>
      </c>
      <c r="D7976">
        <v>3.9818030000000002</v>
      </c>
      <c r="E7976">
        <v>0.54442469999999998</v>
      </c>
      <c r="F7976" t="s">
        <v>41</v>
      </c>
      <c r="G7976">
        <v>-137.6037</v>
      </c>
      <c r="H7976">
        <v>1.038916</v>
      </c>
      <c r="I7976">
        <v>137.78280000000001</v>
      </c>
      <c r="J7976">
        <v>-138.04220000000001</v>
      </c>
      <c r="K7976">
        <v>1.110134</v>
      </c>
      <c r="L7976">
        <v>137.77420000000001</v>
      </c>
      <c r="M7976">
        <v>0.99993750000000003</v>
      </c>
      <c r="N7976">
        <v>-1.049333E-2</v>
      </c>
      <c r="O7976">
        <v>3.8850159999999998E-3</v>
      </c>
      <c r="P7976">
        <v>0.93098539999999996</v>
      </c>
      <c r="Q7976">
        <v>0.35004790000000002</v>
      </c>
      <c r="R7976">
        <v>0.103599499999999</v>
      </c>
      <c r="S7976">
        <v>3.3374480000000002</v>
      </c>
      <c r="T7976">
        <v>-0.3185675</v>
      </c>
      <c r="U7976">
        <v>4.3029789999999998E-2</v>
      </c>
      <c r="V7976">
        <v>-9.9834610000000004E-2</v>
      </c>
      <c r="W7976">
        <v>0.35984250000000001</v>
      </c>
      <c r="X7976">
        <v>0.92765640000000005</v>
      </c>
      <c r="Y7976">
        <v>-8.9756349999999992E-3</v>
      </c>
      <c r="Z7976">
        <v>1.453073E-4</v>
      </c>
      <c r="AA7976">
        <v>0.99995970000000001</v>
      </c>
      <c r="AB7976">
        <v>30</v>
      </c>
      <c r="AC7976">
        <v>0.438500000000004</v>
      </c>
      <c r="AD7976">
        <v>-7.1217999999999906E-2</v>
      </c>
      <c r="AE7976">
        <v>8.6000000000012698E-3</v>
      </c>
      <c r="AF7976">
        <v>-6.7190944437924196E-3</v>
      </c>
      <c r="AG7976">
        <v>-7.1217999999999906E-2</v>
      </c>
      <c r="AH7976">
        <v>0.42726410350140798</v>
      </c>
      <c r="AI7976">
        <v>99.462127998354504</v>
      </c>
      <c r="AJ7976">
        <v>90.900951004693994</v>
      </c>
      <c r="AK7976">
        <v>0.43321099235246402</v>
      </c>
      <c r="AL7976">
        <v>68.909475947924406</v>
      </c>
      <c r="AM7976">
        <v>96.142544134933303</v>
      </c>
      <c r="AN7976">
        <v>0.99999998531053103</v>
      </c>
    </row>
    <row r="7977" spans="1:40" x14ac:dyDescent="0.25">
      <c r="A7977" t="str">
        <f>"20190304164317785"</f>
        <v>20190304164317785</v>
      </c>
      <c r="B7977" t="str">
        <f>"1551688997779031"</f>
        <v>1551688997779031</v>
      </c>
      <c r="C7977" t="s">
        <v>40</v>
      </c>
      <c r="D7977">
        <v>4.0052539999999999</v>
      </c>
      <c r="E7977">
        <v>0.54443660000000005</v>
      </c>
      <c r="F7977" t="s">
        <v>41</v>
      </c>
      <c r="G7977">
        <v>-137.07490000000001</v>
      </c>
      <c r="H7977">
        <v>1.0177</v>
      </c>
      <c r="I7977">
        <v>137.7877</v>
      </c>
      <c r="J7977">
        <v>-137.73869999999999</v>
      </c>
      <c r="K7977">
        <v>1.11009</v>
      </c>
      <c r="L7977">
        <v>137.77510000000001</v>
      </c>
      <c r="M7977">
        <v>0.99993790000000005</v>
      </c>
      <c r="N7977">
        <v>-1.0570120000000001E-2</v>
      </c>
      <c r="O7977">
        <v>3.5698940000000001E-3</v>
      </c>
      <c r="P7977">
        <v>0.9309906</v>
      </c>
      <c r="Q7977">
        <v>0.34976279999999998</v>
      </c>
      <c r="R7977">
        <v>0.10451199999999999</v>
      </c>
      <c r="S7977">
        <v>3.3371279999999999</v>
      </c>
      <c r="T7977">
        <v>-0.31899379999999999</v>
      </c>
      <c r="U7977">
        <v>4.6905519999999999E-2</v>
      </c>
      <c r="V7977">
        <v>-0.10098260000000001</v>
      </c>
      <c r="W7977">
        <v>0.35964580000000002</v>
      </c>
      <c r="X7977">
        <v>0.9276084</v>
      </c>
      <c r="Y7977">
        <v>-1.0444419999999999E-2</v>
      </c>
      <c r="Z7977">
        <v>2.5057999999999998E-4</v>
      </c>
      <c r="AA7977">
        <v>0.99994539999999998</v>
      </c>
      <c r="AB7977">
        <v>30</v>
      </c>
      <c r="AC7977">
        <v>0.66379999999997996</v>
      </c>
      <c r="AD7977">
        <v>-9.2389999999999903E-2</v>
      </c>
      <c r="AE7977">
        <v>1.2599999999991901E-2</v>
      </c>
      <c r="AF7977">
        <v>-1.0035749054571601E-2</v>
      </c>
      <c r="AG7977">
        <v>-9.2389999999999903E-2</v>
      </c>
      <c r="AH7977">
        <v>0.65122964757714197</v>
      </c>
      <c r="AI7977">
        <v>98.073725092002306</v>
      </c>
      <c r="AJ7977">
        <v>90.882884487493698</v>
      </c>
      <c r="AK7977">
        <v>0.65782724346330801</v>
      </c>
      <c r="AL7977">
        <v>68.921554246980506</v>
      </c>
      <c r="AM7977">
        <v>96.212946482427</v>
      </c>
      <c r="AN7977">
        <v>0.99999996535547897</v>
      </c>
    </row>
    <row r="7978" spans="1:40" x14ac:dyDescent="0.25">
      <c r="A7978" t="str">
        <f>"20190304164317809"</f>
        <v>20190304164317809</v>
      </c>
      <c r="B7978" t="str">
        <f>"1551688997799527"</f>
        <v>1551688997799527</v>
      </c>
      <c r="C7978" t="s">
        <v>40</v>
      </c>
      <c r="D7978">
        <v>4.0017550000000002</v>
      </c>
      <c r="E7978">
        <v>0.54444009999999998</v>
      </c>
      <c r="F7978" t="s">
        <v>41</v>
      </c>
      <c r="G7978">
        <v>-136.8023</v>
      </c>
      <c r="H7978">
        <v>1.0202990000000001</v>
      </c>
      <c r="I7978">
        <v>137.7895</v>
      </c>
      <c r="J7978">
        <v>-137.4282</v>
      </c>
      <c r="K7978">
        <v>1.110053</v>
      </c>
      <c r="L7978">
        <v>137.7758</v>
      </c>
      <c r="M7978">
        <v>0.99993799999999999</v>
      </c>
      <c r="N7978">
        <v>-1.0667859999999999E-2</v>
      </c>
      <c r="O7978">
        <v>3.1780490000000001E-3</v>
      </c>
      <c r="P7978">
        <v>0.93097269999999999</v>
      </c>
      <c r="Q7978">
        <v>0.34966069999999999</v>
      </c>
      <c r="R7978">
        <v>0.1050103</v>
      </c>
      <c r="S7978">
        <v>3.3368229999999999</v>
      </c>
      <c r="T7978">
        <v>-0.31996210000000003</v>
      </c>
      <c r="U7978">
        <v>5.1330569999999999E-2</v>
      </c>
      <c r="V7978">
        <v>-0.1017928</v>
      </c>
      <c r="W7978">
        <v>0.359649</v>
      </c>
      <c r="X7978">
        <v>0.92751870000000003</v>
      </c>
      <c r="Y7978">
        <v>-1.215287E-2</v>
      </c>
      <c r="Z7978">
        <v>3.760975E-4</v>
      </c>
      <c r="AA7978">
        <v>0.99992610000000004</v>
      </c>
      <c r="AB7978">
        <v>30</v>
      </c>
      <c r="AC7978">
        <v>0.62590000000000101</v>
      </c>
      <c r="AD7978">
        <v>-8.9753999999999806E-2</v>
      </c>
      <c r="AE7978">
        <v>1.37E-2</v>
      </c>
      <c r="AF7978">
        <v>-1.1474826676119499E-2</v>
      </c>
      <c r="AG7978">
        <v>-8.9753999999999806E-2</v>
      </c>
      <c r="AH7978">
        <v>0.61333410453058002</v>
      </c>
      <c r="AI7978">
        <v>98.324011909972299</v>
      </c>
      <c r="AJ7978">
        <v>91.071817858442202</v>
      </c>
      <c r="AK7978">
        <v>0.61997272193506603</v>
      </c>
      <c r="AL7978">
        <v>68.921359800693196</v>
      </c>
      <c r="AM7978">
        <v>96.263000300946004</v>
      </c>
      <c r="AN7978">
        <v>1.00000005809126</v>
      </c>
    </row>
    <row r="7979" spans="1:40" x14ac:dyDescent="0.25">
      <c r="A7979" t="str">
        <f>"20190304164317830"</f>
        <v>20190304164317830</v>
      </c>
      <c r="B7979" t="str">
        <f>"1551688997819047"</f>
        <v>1551688997819047</v>
      </c>
      <c r="C7979" t="s">
        <v>40</v>
      </c>
      <c r="D7979">
        <v>4.005414</v>
      </c>
      <c r="E7979">
        <v>0.54445549999999998</v>
      </c>
      <c r="F7979" t="s">
        <v>41</v>
      </c>
      <c r="G7979">
        <v>-136.5291</v>
      </c>
      <c r="H7979">
        <v>1.023763</v>
      </c>
      <c r="I7979">
        <v>137.79050000000001</v>
      </c>
      <c r="J7979">
        <v>-137.1326</v>
      </c>
      <c r="K7979">
        <v>1.110042</v>
      </c>
      <c r="L7979">
        <v>137.77629999999999</v>
      </c>
      <c r="M7979">
        <v>0.99993810000000005</v>
      </c>
      <c r="N7979">
        <v>-1.0785879999999999E-2</v>
      </c>
      <c r="O7979">
        <v>2.7483210000000002E-3</v>
      </c>
      <c r="P7979">
        <v>0.93095689999999998</v>
      </c>
      <c r="Q7979">
        <v>0.34965560000000001</v>
      </c>
      <c r="R7979">
        <v>0.105169899999999</v>
      </c>
      <c r="S7979">
        <v>3.3365939999999998</v>
      </c>
      <c r="T7979">
        <v>-0.3202623</v>
      </c>
      <c r="U7979">
        <v>5.4489139999999998E-2</v>
      </c>
      <c r="V7979">
        <v>-0.1023107</v>
      </c>
      <c r="W7979">
        <v>0.3597651</v>
      </c>
      <c r="X7979">
        <v>0.92741660000000004</v>
      </c>
      <c r="Y7979">
        <v>-1.352122E-2</v>
      </c>
      <c r="Z7979">
        <v>4.8690639999999998E-4</v>
      </c>
      <c r="AA7979">
        <v>0.99990840000000003</v>
      </c>
      <c r="AB7979">
        <v>30</v>
      </c>
      <c r="AC7979">
        <v>0.60349999999999604</v>
      </c>
      <c r="AD7979">
        <v>-8.6278999999999995E-2</v>
      </c>
      <c r="AE7979">
        <v>1.42000000000166E-2</v>
      </c>
      <c r="AF7979">
        <v>-1.2290180532621301E-2</v>
      </c>
      <c r="AG7979">
        <v>-8.6278999999999995E-2</v>
      </c>
      <c r="AH7979">
        <v>0.59145480415650897</v>
      </c>
      <c r="AI7979">
        <v>98.297766573129394</v>
      </c>
      <c r="AJ7979">
        <v>91.190410734866106</v>
      </c>
      <c r="AK7979">
        <v>0.59784103216351703</v>
      </c>
      <c r="AL7979">
        <v>68.914228803792099</v>
      </c>
      <c r="AM7979">
        <v>96.295297382869094</v>
      </c>
      <c r="AN7979">
        <v>0.99999997823402897</v>
      </c>
    </row>
    <row r="7980" spans="1:40" x14ac:dyDescent="0.25">
      <c r="A7980" t="str">
        <f>"20190304164317854"</f>
        <v>20190304164317854</v>
      </c>
      <c r="B7980" t="str">
        <f>"1551688997849303"</f>
        <v>1551688997849303</v>
      </c>
      <c r="C7980" t="s">
        <v>40</v>
      </c>
      <c r="D7980">
        <v>4.0362030000000004</v>
      </c>
      <c r="E7980">
        <v>0.54448149999999995</v>
      </c>
      <c r="F7980" t="s">
        <v>41</v>
      </c>
      <c r="G7980">
        <v>-136.25659999999999</v>
      </c>
      <c r="H7980">
        <v>1.0259819999999999</v>
      </c>
      <c r="I7980">
        <v>137.791</v>
      </c>
      <c r="J7980">
        <v>-136.81960000000001</v>
      </c>
      <c r="K7980">
        <v>1.1100589999999999</v>
      </c>
      <c r="L7980">
        <v>137.77670000000001</v>
      </c>
      <c r="M7980">
        <v>0.99993719999999997</v>
      </c>
      <c r="N7980">
        <v>-1.0979910000000001E-2</v>
      </c>
      <c r="O7980">
        <v>2.2566349999999999E-3</v>
      </c>
      <c r="P7980">
        <v>0.93095150000000004</v>
      </c>
      <c r="Q7980">
        <v>0.34981970000000001</v>
      </c>
      <c r="R7980">
        <v>0.10466830000000001</v>
      </c>
      <c r="S7980">
        <v>3.336411</v>
      </c>
      <c r="T7980">
        <v>-0.3201388</v>
      </c>
      <c r="U7980">
        <v>5.5923460000000001E-2</v>
      </c>
      <c r="V7980">
        <v>-0.1022329</v>
      </c>
      <c r="W7980">
        <v>0.3601183</v>
      </c>
      <c r="X7980">
        <v>0.92728809999999995</v>
      </c>
      <c r="Y7980">
        <v>-1.4436930000000001E-2</v>
      </c>
      <c r="Z7980">
        <v>5.7917479999999996E-4</v>
      </c>
      <c r="AA7980">
        <v>0.9998956</v>
      </c>
      <c r="AB7980">
        <v>30</v>
      </c>
      <c r="AC7980">
        <v>0.56300000000001604</v>
      </c>
      <c r="AD7980">
        <v>-8.4076999999999902E-2</v>
      </c>
      <c r="AE7980">
        <v>1.42999999999915E-2</v>
      </c>
      <c r="AF7980">
        <v>-1.27453422100215E-2</v>
      </c>
      <c r="AG7980">
        <v>-8.4076999999999902E-2</v>
      </c>
      <c r="AH7980">
        <v>0.55075597246137198</v>
      </c>
      <c r="AI7980">
        <v>98.677329395775502</v>
      </c>
      <c r="AJ7980">
        <v>91.325676048075394</v>
      </c>
      <c r="AK7980">
        <v>0.55728226858471097</v>
      </c>
      <c r="AL7980">
        <v>68.892538329325305</v>
      </c>
      <c r="AM7980">
        <v>96.291413378971498</v>
      </c>
      <c r="AN7980">
        <v>0.99999998811945401</v>
      </c>
    </row>
    <row r="7981" spans="1:40" x14ac:dyDescent="0.25">
      <c r="A7981" t="str">
        <f>"20190304164317875"</f>
        <v>20190304164317875</v>
      </c>
      <c r="B7981" t="str">
        <f>"1551688997868823"</f>
        <v>1551688997868823</v>
      </c>
      <c r="C7981" t="s">
        <v>40</v>
      </c>
      <c r="D7981">
        <v>4.0373979999999996</v>
      </c>
      <c r="E7981">
        <v>0.54450619999999905</v>
      </c>
      <c r="F7981" t="s">
        <v>41</v>
      </c>
      <c r="G7981">
        <v>-135.98230000000001</v>
      </c>
      <c r="H7981">
        <v>1.029898</v>
      </c>
      <c r="I7981">
        <v>137.7903</v>
      </c>
      <c r="J7981">
        <v>-136.52549999999999</v>
      </c>
      <c r="K7981">
        <v>1.1101110000000001</v>
      </c>
      <c r="L7981">
        <v>137.77680000000001</v>
      </c>
      <c r="M7981">
        <v>0.99993520000000002</v>
      </c>
      <c r="N7981">
        <v>-1.124444E-2</v>
      </c>
      <c r="O7981">
        <v>1.7748309999999999E-3</v>
      </c>
      <c r="P7981">
        <v>0.93085119999999999</v>
      </c>
      <c r="Q7981">
        <v>0.35039690000000001</v>
      </c>
      <c r="R7981">
        <v>0.10362399999999999</v>
      </c>
      <c r="S7981">
        <v>3.3363800000000001</v>
      </c>
      <c r="T7981">
        <v>-0.31945790000000002</v>
      </c>
      <c r="U7981">
        <v>5.4901119999999998E-2</v>
      </c>
      <c r="V7981">
        <v>-0.1016198</v>
      </c>
      <c r="W7981">
        <v>0.36094290000000001</v>
      </c>
      <c r="X7981">
        <v>0.9270349</v>
      </c>
      <c r="Y7981">
        <v>-1.460997E-2</v>
      </c>
      <c r="Z7981">
        <v>6.3054289999999998E-4</v>
      </c>
      <c r="AA7981">
        <v>0.99989309999999998</v>
      </c>
      <c r="AB7981">
        <v>30</v>
      </c>
      <c r="AC7981">
        <v>0.54319999999998403</v>
      </c>
      <c r="AD7981">
        <v>-8.0213000000000007E-2</v>
      </c>
      <c r="AE7981">
        <v>1.3499999999993399E-2</v>
      </c>
      <c r="AF7981">
        <v>-1.2268472112779E-2</v>
      </c>
      <c r="AG7981">
        <v>-8.0213000000000007E-2</v>
      </c>
      <c r="AH7981">
        <v>0.53163753438825301</v>
      </c>
      <c r="AI7981">
        <v>98.577770673346294</v>
      </c>
      <c r="AJ7981">
        <v>91.321966355866806</v>
      </c>
      <c r="AK7981">
        <v>0.53779467154984295</v>
      </c>
      <c r="AL7981">
        <v>68.841886707538393</v>
      </c>
      <c r="AM7981">
        <v>96.255677665931898</v>
      </c>
      <c r="AN7981">
        <v>1.0000000333152199</v>
      </c>
    </row>
    <row r="7982" spans="1:40" x14ac:dyDescent="0.25">
      <c r="A7982" t="str">
        <f>"20190304164317897"</f>
        <v>20190304164317897</v>
      </c>
      <c r="B7982" t="str">
        <f>"1551688997889320"</f>
        <v>1551688997889320</v>
      </c>
      <c r="C7982" t="s">
        <v>40</v>
      </c>
      <c r="D7982">
        <v>4.0095429999999999</v>
      </c>
      <c r="E7982">
        <v>0.54453240000000003</v>
      </c>
      <c r="F7982" t="s">
        <v>41</v>
      </c>
      <c r="G7982">
        <v>-135.70939999999999</v>
      </c>
      <c r="H7982">
        <v>1.032543</v>
      </c>
      <c r="I7982">
        <v>137.78909999999999</v>
      </c>
      <c r="J7982">
        <v>-136.22819999999999</v>
      </c>
      <c r="K7982">
        <v>1.1101799999999999</v>
      </c>
      <c r="L7982">
        <v>137.77680000000001</v>
      </c>
      <c r="M7982">
        <v>0.99993259999999995</v>
      </c>
      <c r="N7982">
        <v>-1.1543039999999999E-2</v>
      </c>
      <c r="O7982">
        <v>1.2725950000000001E-3</v>
      </c>
      <c r="P7982">
        <v>0.93042619999999998</v>
      </c>
      <c r="Q7982">
        <v>0.35176790000000002</v>
      </c>
      <c r="R7982">
        <v>0.1027945</v>
      </c>
      <c r="S7982">
        <v>3.3366090000000002</v>
      </c>
      <c r="T7982">
        <v>-0.3171717</v>
      </c>
      <c r="U7982">
        <v>5.0735469999999998E-2</v>
      </c>
      <c r="V7982">
        <v>-0.1012517</v>
      </c>
      <c r="W7982">
        <v>0.36258600000000002</v>
      </c>
      <c r="X7982">
        <v>0.92643370000000003</v>
      </c>
      <c r="Y7982">
        <v>-1.386571E-2</v>
      </c>
      <c r="Z7982">
        <v>6.3170879999999998E-4</v>
      </c>
      <c r="AA7982">
        <v>0.99990369999999995</v>
      </c>
      <c r="AB7982">
        <v>30</v>
      </c>
      <c r="AC7982">
        <v>0.51879999999999804</v>
      </c>
      <c r="AD7982">
        <v>-7.7636999999999901E-2</v>
      </c>
      <c r="AE7982">
        <v>1.22999999999819E-2</v>
      </c>
      <c r="AF7982">
        <v>-1.13849098901832E-2</v>
      </c>
      <c r="AG7982">
        <v>-7.7636999999999901E-2</v>
      </c>
      <c r="AH7982">
        <v>0.50745746165521399</v>
      </c>
      <c r="AI7982">
        <v>98.696200952321604</v>
      </c>
      <c r="AJ7982">
        <v>91.285226694721601</v>
      </c>
      <c r="AK7982">
        <v>0.51348826211682896</v>
      </c>
      <c r="AL7982">
        <v>68.740902726722396</v>
      </c>
      <c r="AM7982">
        <v>96.237209354179598</v>
      </c>
      <c r="AN7982">
        <v>0.99999995732228897</v>
      </c>
    </row>
    <row r="7983" spans="1:40" x14ac:dyDescent="0.25">
      <c r="A7983" t="str">
        <f>"20190304164317919"</f>
        <v>20190304164317919</v>
      </c>
      <c r="B7983" t="str">
        <f>"1551688997908839"</f>
        <v>1551688997908839</v>
      </c>
      <c r="C7983" t="s">
        <v>40</v>
      </c>
      <c r="D7983">
        <v>4.0044729999999999</v>
      </c>
      <c r="E7983">
        <v>0.54455200000000004</v>
      </c>
      <c r="F7983" t="s">
        <v>41</v>
      </c>
      <c r="G7983">
        <v>-135.43610000000001</v>
      </c>
      <c r="H7983">
        <v>1.03617</v>
      </c>
      <c r="I7983">
        <v>137.7878</v>
      </c>
      <c r="J7983">
        <v>-135.9289</v>
      </c>
      <c r="K7983">
        <v>1.110257</v>
      </c>
      <c r="L7983">
        <v>137.77670000000001</v>
      </c>
      <c r="M7983">
        <v>0.99992970000000003</v>
      </c>
      <c r="N7983">
        <v>-1.183442E-2</v>
      </c>
      <c r="O7983">
        <v>7.7223340000000002E-4</v>
      </c>
      <c r="P7983">
        <v>0.92966729999999997</v>
      </c>
      <c r="Q7983">
        <v>0.35417480000000001</v>
      </c>
      <c r="R7983">
        <v>0.1013857</v>
      </c>
      <c r="S7983">
        <v>3.3370820000000001</v>
      </c>
      <c r="T7983">
        <v>-0.3118341</v>
      </c>
      <c r="U7983">
        <v>4.6524049999999997E-2</v>
      </c>
      <c r="V7983">
        <v>-0.10031030000000001</v>
      </c>
      <c r="W7983">
        <v>0.3652512</v>
      </c>
      <c r="X7983">
        <v>0.9254888</v>
      </c>
      <c r="Y7983">
        <v>-1.310618E-2</v>
      </c>
      <c r="Z7983">
        <v>6.2586309999999997E-4</v>
      </c>
      <c r="AA7983">
        <v>0.99991390000000002</v>
      </c>
      <c r="AB7983">
        <v>30</v>
      </c>
      <c r="AC7983">
        <v>0.49279999999998803</v>
      </c>
      <c r="AD7983">
        <v>-7.4087E-2</v>
      </c>
      <c r="AE7983">
        <v>1.1099999999999E-2</v>
      </c>
      <c r="AF7983">
        <v>-1.0482607984257101E-2</v>
      </c>
      <c r="AG7983">
        <v>-7.4087E-2</v>
      </c>
      <c r="AH7983">
        <v>0.48192166198742598</v>
      </c>
      <c r="AI7983">
        <v>98.737763366487698</v>
      </c>
      <c r="AJ7983">
        <v>91.246083226387398</v>
      </c>
      <c r="AK7983">
        <v>0.48769586519866498</v>
      </c>
      <c r="AL7983">
        <v>68.576958489686504</v>
      </c>
      <c r="AM7983">
        <v>96.185929300774703</v>
      </c>
      <c r="AN7983">
        <v>1.00000005715648</v>
      </c>
    </row>
    <row r="7984" spans="1:40" x14ac:dyDescent="0.25">
      <c r="A7984" t="str">
        <f>"20190304164317954"</f>
        <v>20190304164317954</v>
      </c>
      <c r="B7984" t="str">
        <f>"1551688997948860"</f>
        <v>1551688997948860</v>
      </c>
      <c r="C7984" t="s">
        <v>40</v>
      </c>
      <c r="D7984">
        <v>3.9794100000000001</v>
      </c>
      <c r="E7984">
        <v>0.54455690000000001</v>
      </c>
      <c r="F7984" t="s">
        <v>42</v>
      </c>
      <c r="G7984">
        <v>-123.6949</v>
      </c>
      <c r="H7984" s="1">
        <v>-2.9870299999999999E-6</v>
      </c>
      <c r="I7984">
        <v>137.92590000000001</v>
      </c>
      <c r="J7984">
        <v>-135.4691</v>
      </c>
      <c r="K7984">
        <v>1.1103350000000001</v>
      </c>
      <c r="L7984">
        <v>137.77619999999999</v>
      </c>
      <c r="M7984">
        <v>0.99992510000000001</v>
      </c>
      <c r="N7984">
        <v>-1.224339E-2</v>
      </c>
      <c r="O7984" s="1">
        <v>7.2825710000000004E-5</v>
      </c>
      <c r="P7984">
        <v>0.92933750000000004</v>
      </c>
      <c r="Q7984">
        <v>0.35534959999999999</v>
      </c>
      <c r="R7984">
        <v>0.1002921</v>
      </c>
      <c r="S7984">
        <v>3.3379210000000001</v>
      </c>
      <c r="T7984">
        <v>-0.30292190000000002</v>
      </c>
      <c r="U7984">
        <v>4.0740970000000001E-2</v>
      </c>
      <c r="V7984">
        <v>-9.9885470000000004E-2</v>
      </c>
      <c r="W7984">
        <v>0.3667937</v>
      </c>
      <c r="X7984">
        <v>0.92492450000000004</v>
      </c>
      <c r="Y7984">
        <v>-1.207564E-2</v>
      </c>
      <c r="Z7984">
        <v>6.151943E-4</v>
      </c>
      <c r="AA7984">
        <v>0.99992689999999995</v>
      </c>
      <c r="AB7984">
        <v>30</v>
      </c>
      <c r="AC7984">
        <v>11.774199999999899</v>
      </c>
      <c r="AD7984">
        <v>-1.1103379870299901</v>
      </c>
      <c r="AE7984">
        <v>0.14970000000002401</v>
      </c>
      <c r="AF7984">
        <v>-0.14753069463955801</v>
      </c>
      <c r="AG7984">
        <v>-1.1103379870299901</v>
      </c>
      <c r="AH7984">
        <v>11.6704425705676</v>
      </c>
      <c r="AI7984">
        <v>95.4343892318889</v>
      </c>
      <c r="AJ7984">
        <v>90.724260101759697</v>
      </c>
      <c r="AK7984">
        <v>11.724071201772</v>
      </c>
      <c r="AL7984">
        <v>68.481988805438505</v>
      </c>
      <c r="AM7984">
        <v>96.1636620258638</v>
      </c>
      <c r="AN7984">
        <v>1.0000000280885299</v>
      </c>
    </row>
    <row r="7985" spans="1:40" x14ac:dyDescent="0.25">
      <c r="A7985" t="str">
        <f>"20190304164317976"</f>
        <v>20190304164317976</v>
      </c>
      <c r="B7985" t="str">
        <f>"1551688997969351"</f>
        <v>1551688997969351</v>
      </c>
      <c r="C7985" t="s">
        <v>40</v>
      </c>
      <c r="D7985">
        <v>3.9812609999999999</v>
      </c>
      <c r="E7985">
        <v>0.54457290000000003</v>
      </c>
      <c r="F7985" t="s">
        <v>41</v>
      </c>
      <c r="G7985">
        <v>-134.6277</v>
      </c>
      <c r="H7985">
        <v>1.0351549999999901</v>
      </c>
      <c r="I7985">
        <v>137.78530000000001</v>
      </c>
      <c r="J7985">
        <v>-135.16470000000001</v>
      </c>
      <c r="K7985">
        <v>1.110379</v>
      </c>
      <c r="L7985">
        <v>137.7758</v>
      </c>
      <c r="M7985">
        <v>0.99992199999999998</v>
      </c>
      <c r="N7985">
        <v>-1.2489439999999999E-2</v>
      </c>
      <c r="O7985">
        <v>-3.3676579999999999E-4</v>
      </c>
      <c r="P7985">
        <v>0.92971409999999999</v>
      </c>
      <c r="Q7985">
        <v>0.35443340000000001</v>
      </c>
      <c r="R7985">
        <v>0.1000443</v>
      </c>
      <c r="S7985">
        <v>3.3382420000000002</v>
      </c>
      <c r="T7985">
        <v>-0.29831269999999999</v>
      </c>
      <c r="U7985">
        <v>3.6392210000000001E-2</v>
      </c>
      <c r="V7985">
        <v>-0.1000404</v>
      </c>
      <c r="W7985">
        <v>0.36610369999999998</v>
      </c>
      <c r="X7985">
        <v>0.92518100000000003</v>
      </c>
      <c r="Y7985">
        <v>-1.118592E-2</v>
      </c>
      <c r="Z7985">
        <v>5.9464139999999995E-4</v>
      </c>
      <c r="AA7985">
        <v>0.99993719999999997</v>
      </c>
      <c r="AB7985">
        <v>30</v>
      </c>
      <c r="AC7985">
        <v>0.53700000000000603</v>
      </c>
      <c r="AD7985">
        <v>-7.5224000000000096E-2</v>
      </c>
      <c r="AE7985">
        <v>9.5000000000027198E-3</v>
      </c>
      <c r="AF7985">
        <v>-9.49460297394677E-3</v>
      </c>
      <c r="AG7985">
        <v>-7.5224000000000096E-2</v>
      </c>
      <c r="AH7985">
        <v>0.52666527756270698</v>
      </c>
      <c r="AI7985">
        <v>98.127317819400105</v>
      </c>
      <c r="AJ7985">
        <v>91.0328035275828</v>
      </c>
      <c r="AK7985">
        <v>0.53209502182583501</v>
      </c>
      <c r="AL7985">
        <v>68.524476608695494</v>
      </c>
      <c r="AM7985">
        <v>96.171450325081494</v>
      </c>
      <c r="AN7985">
        <v>0.999999941773423</v>
      </c>
    </row>
    <row r="7986" spans="1:40" x14ac:dyDescent="0.25">
      <c r="A7986" t="str">
        <f>"20190304164317997"</f>
        <v>20190304164317997</v>
      </c>
      <c r="B7986" t="str">
        <f>"1551688997988871"</f>
        <v>1551688997988871</v>
      </c>
      <c r="C7986" t="s">
        <v>40</v>
      </c>
      <c r="D7986">
        <v>3.9845380000000001</v>
      </c>
      <c r="E7986">
        <v>0.54458390000000001</v>
      </c>
      <c r="F7986" t="s">
        <v>41</v>
      </c>
      <c r="G7986">
        <v>-134.35470000000001</v>
      </c>
      <c r="H7986">
        <v>1.037156</v>
      </c>
      <c r="I7986">
        <v>137.78460000000001</v>
      </c>
      <c r="J7986">
        <v>-134.8767</v>
      </c>
      <c r="K7986">
        <v>1.1104130000000001</v>
      </c>
      <c r="L7986">
        <v>137.77529999999999</v>
      </c>
      <c r="M7986">
        <v>0.99991920000000001</v>
      </c>
      <c r="N7986">
        <v>-1.2700879999999999E-2</v>
      </c>
      <c r="O7986">
        <v>-6.8247610000000004E-4</v>
      </c>
      <c r="P7986">
        <v>0.93029280000000003</v>
      </c>
      <c r="Q7986">
        <v>0.35283619999999999</v>
      </c>
      <c r="R7986">
        <v>0.10031030000000001</v>
      </c>
      <c r="S7986">
        <v>3.3379210000000001</v>
      </c>
      <c r="T7986">
        <v>-0.30177859999999901</v>
      </c>
      <c r="U7986">
        <v>3.649902E-2</v>
      </c>
      <c r="V7986">
        <v>-0.1006539</v>
      </c>
      <c r="W7986">
        <v>0.36470340000000001</v>
      </c>
      <c r="X7986">
        <v>0.92566749999999998</v>
      </c>
      <c r="Y7986">
        <v>-1.156064E-2</v>
      </c>
      <c r="Z7986">
        <v>6.4802709999999995E-4</v>
      </c>
      <c r="AA7986">
        <v>0.99993290000000001</v>
      </c>
      <c r="AB7986">
        <v>30</v>
      </c>
      <c r="AC7986">
        <v>0.52199999999999103</v>
      </c>
      <c r="AD7986">
        <v>-7.3256999999999906E-2</v>
      </c>
      <c r="AE7986">
        <v>9.3000000000245091E-3</v>
      </c>
      <c r="AF7986">
        <v>-9.4698294093663905E-3</v>
      </c>
      <c r="AG7986">
        <v>-7.3256999999999906E-2</v>
      </c>
      <c r="AH7986">
        <v>0.51191454370173695</v>
      </c>
      <c r="AI7986">
        <v>98.142586380192398</v>
      </c>
      <c r="AJ7986">
        <v>91.059785047083295</v>
      </c>
      <c r="AK7986">
        <v>0.517216362629219</v>
      </c>
      <c r="AL7986">
        <v>68.610670523939405</v>
      </c>
      <c r="AM7986">
        <v>96.2057643898858</v>
      </c>
      <c r="AN7986">
        <v>1.0000000490565</v>
      </c>
    </row>
    <row r="7987" spans="1:40" x14ac:dyDescent="0.25">
      <c r="A7987" t="str">
        <f>"20190304164318021"</f>
        <v>20190304164318021</v>
      </c>
      <c r="B7987" t="str">
        <f>"1551688998009368"</f>
        <v>1551688998009368</v>
      </c>
      <c r="C7987" t="s">
        <v>40</v>
      </c>
      <c r="D7987">
        <v>3.9456099999999998</v>
      </c>
      <c r="E7987">
        <v>0.54458960000000001</v>
      </c>
      <c r="F7987" t="s">
        <v>41</v>
      </c>
      <c r="G7987">
        <v>-134.08170000000001</v>
      </c>
      <c r="H7987">
        <v>1.037091</v>
      </c>
      <c r="I7987">
        <v>137.78460000000001</v>
      </c>
      <c r="J7987">
        <v>-134.57130000000001</v>
      </c>
      <c r="K7987">
        <v>1.110457</v>
      </c>
      <c r="L7987">
        <v>137.7747</v>
      </c>
      <c r="M7987">
        <v>0.99991640000000004</v>
      </c>
      <c r="N7987">
        <v>-1.290207E-2</v>
      </c>
      <c r="O7987">
        <v>-1.0023759999999999E-3</v>
      </c>
      <c r="P7987">
        <v>0.9304675</v>
      </c>
      <c r="Q7987">
        <v>0.35223529999999997</v>
      </c>
      <c r="R7987">
        <v>0.100800399999999</v>
      </c>
      <c r="S7987">
        <v>3.3373110000000001</v>
      </c>
      <c r="T7987">
        <v>-0.30788359999999998</v>
      </c>
      <c r="U7987">
        <v>3.939819E-2</v>
      </c>
      <c r="V7987">
        <v>-0.10147249999999999</v>
      </c>
      <c r="W7987">
        <v>0.36428250000000001</v>
      </c>
      <c r="X7987">
        <v>0.92574380000000001</v>
      </c>
      <c r="Y7987">
        <v>-1.2742079999999999E-2</v>
      </c>
      <c r="Z7987">
        <v>7.4826519999999998E-4</v>
      </c>
      <c r="AA7987">
        <v>0.99991850000000004</v>
      </c>
      <c r="AB7987">
        <v>30</v>
      </c>
      <c r="AC7987">
        <v>0.48959999999999498</v>
      </c>
      <c r="AD7987">
        <v>-7.3366000000000001E-2</v>
      </c>
      <c r="AE7987">
        <v>9.9000000000160002E-3</v>
      </c>
      <c r="AF7987">
        <v>-1.01626923643638E-2</v>
      </c>
      <c r="AG7987">
        <v>-7.3366000000000001E-2</v>
      </c>
      <c r="AH7987">
        <v>0.47884198083377699</v>
      </c>
      <c r="AI7987">
        <v>98.708927892451797</v>
      </c>
      <c r="AJ7987">
        <v>91.215833200416597</v>
      </c>
      <c r="AK7987">
        <v>0.484536368997115</v>
      </c>
      <c r="AL7987">
        <v>68.636566699570693</v>
      </c>
      <c r="AM7987">
        <v>96.255324664221405</v>
      </c>
      <c r="AN7987">
        <v>0.99999999565046904</v>
      </c>
    </row>
    <row r="7988" spans="1:40" x14ac:dyDescent="0.25">
      <c r="A7988" t="str">
        <f>"20190304164318044"</f>
        <v>20190304164318044</v>
      </c>
      <c r="B7988" t="str">
        <f>"1551688998038647"</f>
        <v>1551688998038647</v>
      </c>
      <c r="C7988" t="s">
        <v>40</v>
      </c>
      <c r="D7988">
        <v>3.9626169999999998</v>
      </c>
      <c r="E7988">
        <v>0.54459609999999903</v>
      </c>
      <c r="F7988" t="s">
        <v>42</v>
      </c>
      <c r="G7988">
        <v>-122.63590000000001</v>
      </c>
      <c r="H7988" s="1">
        <v>-3.4410120000000001E-6</v>
      </c>
      <c r="I7988">
        <v>137.92769999999999</v>
      </c>
      <c r="J7988">
        <v>-134.2619</v>
      </c>
      <c r="K7988">
        <v>1.1105050000000001</v>
      </c>
      <c r="L7988">
        <v>137.774</v>
      </c>
      <c r="M7988">
        <v>0.99991379999999996</v>
      </c>
      <c r="N7988">
        <v>-1.3081229999999999E-2</v>
      </c>
      <c r="O7988">
        <v>-1.27451E-3</v>
      </c>
      <c r="P7988">
        <v>0.93010519999999997</v>
      </c>
      <c r="Q7988">
        <v>0.35300930000000003</v>
      </c>
      <c r="R7988">
        <v>0.1014336</v>
      </c>
      <c r="S7988">
        <v>3.3370820000000001</v>
      </c>
      <c r="T7988">
        <v>-0.31047829999999998</v>
      </c>
      <c r="U7988">
        <v>4.2800900000000003E-2</v>
      </c>
      <c r="V7988">
        <v>-0.10239180000000001</v>
      </c>
      <c r="W7988">
        <v>0.36520809999999998</v>
      </c>
      <c r="X7988">
        <v>0.92527780000000004</v>
      </c>
      <c r="Y7988">
        <v>-1.402611E-2</v>
      </c>
      <c r="Z7988">
        <v>8.4470439999999997E-4</v>
      </c>
      <c r="AA7988">
        <v>0.99990129999999999</v>
      </c>
      <c r="AB7988">
        <v>30</v>
      </c>
      <c r="AC7988">
        <v>11.6259999999999</v>
      </c>
      <c r="AD7988">
        <v>-1.1105084410120001</v>
      </c>
      <c r="AE7988">
        <v>0.15369999999998599</v>
      </c>
      <c r="AF7988">
        <v>-0.16699520343032201</v>
      </c>
      <c r="AG7988">
        <v>-1.1105084410120001</v>
      </c>
      <c r="AH7988">
        <v>11.520698689662201</v>
      </c>
      <c r="AI7988">
        <v>95.5052955625507</v>
      </c>
      <c r="AJ7988">
        <v>90.830457472485904</v>
      </c>
      <c r="AK7988">
        <v>11.5753019266675</v>
      </c>
      <c r="AL7988">
        <v>68.579610404991001</v>
      </c>
      <c r="AM7988">
        <v>96.314693099873793</v>
      </c>
      <c r="AN7988">
        <v>1.00000002209284</v>
      </c>
    </row>
    <row r="7989" spans="1:40" x14ac:dyDescent="0.25">
      <c r="A7989" t="str">
        <f>"20190304164318065"</f>
        <v>20190304164318065</v>
      </c>
      <c r="B7989" t="str">
        <f>"1551688998059143"</f>
        <v>1551688998059143</v>
      </c>
      <c r="C7989" t="s">
        <v>40</v>
      </c>
      <c r="D7989">
        <v>3.9703710000000001</v>
      </c>
      <c r="E7989">
        <v>0.54459639999999998</v>
      </c>
      <c r="F7989" t="s">
        <v>41</v>
      </c>
      <c r="G7989">
        <v>-133.2955</v>
      </c>
      <c r="H7989">
        <v>1.021363</v>
      </c>
      <c r="I7989">
        <v>137.78710000000001</v>
      </c>
      <c r="J7989">
        <v>-133.96430000000001</v>
      </c>
      <c r="K7989">
        <v>1.1105579999999999</v>
      </c>
      <c r="L7989">
        <v>137.77330000000001</v>
      </c>
      <c r="M7989">
        <v>0.99991140000000001</v>
      </c>
      <c r="N7989">
        <v>-1.323214E-2</v>
      </c>
      <c r="O7989">
        <v>-1.49357299999999E-3</v>
      </c>
      <c r="P7989">
        <v>0.92959480000000005</v>
      </c>
      <c r="Q7989">
        <v>0.35446260000000002</v>
      </c>
      <c r="R7989">
        <v>0.1010442</v>
      </c>
      <c r="S7989">
        <v>3.3373409999999999</v>
      </c>
      <c r="T7989">
        <v>-0.30790030000000002</v>
      </c>
      <c r="U7989">
        <v>4.5440670000000002E-2</v>
      </c>
      <c r="V7989">
        <v>-0.1022367</v>
      </c>
      <c r="W7989">
        <v>0.36678480000000002</v>
      </c>
      <c r="X7989">
        <v>0.92467109999999997</v>
      </c>
      <c r="Y7989">
        <v>-1.5030450000000001E-2</v>
      </c>
      <c r="Z7989">
        <v>9.0931040000000001E-4</v>
      </c>
      <c r="AA7989">
        <v>0.99988659999999996</v>
      </c>
      <c r="AB7989">
        <v>30</v>
      </c>
      <c r="AC7989">
        <v>0.66880000000000395</v>
      </c>
      <c r="AD7989">
        <v>-8.9194999999999899E-2</v>
      </c>
      <c r="AE7989">
        <v>1.3800000000003299E-2</v>
      </c>
      <c r="AF7989">
        <v>-1.4540460973483899E-2</v>
      </c>
      <c r="AG7989">
        <v>-8.9194999999999899E-2</v>
      </c>
      <c r="AH7989">
        <v>0.65709622665144296</v>
      </c>
      <c r="AI7989">
        <v>97.728279553060901</v>
      </c>
      <c r="AJ7989">
        <v>91.2676546770372</v>
      </c>
      <c r="AK7989">
        <v>0.66328170795664598</v>
      </c>
      <c r="AL7989">
        <v>68.482537159055397</v>
      </c>
      <c r="AM7989">
        <v>96.309308542191602</v>
      </c>
      <c r="AN7989">
        <v>1.0000000377565601</v>
      </c>
    </row>
    <row r="7990" spans="1:40" x14ac:dyDescent="0.25">
      <c r="A7990" t="str">
        <f>"20190304164318087"</f>
        <v>20190304164318087</v>
      </c>
      <c r="B7990" t="str">
        <f>"1551688998078664"</f>
        <v>1551688998078664</v>
      </c>
      <c r="C7990" t="s">
        <v>40</v>
      </c>
      <c r="D7990">
        <v>3.9543849999999998</v>
      </c>
      <c r="E7990">
        <v>0.54460149999999996</v>
      </c>
      <c r="F7990" t="s">
        <v>41</v>
      </c>
      <c r="G7990">
        <v>-133.0256</v>
      </c>
      <c r="H7990">
        <v>1.0252289999999999</v>
      </c>
      <c r="I7990">
        <v>137.78659999999999</v>
      </c>
      <c r="J7990">
        <v>-133.68020000000001</v>
      </c>
      <c r="K7990">
        <v>1.11059</v>
      </c>
      <c r="L7990">
        <v>137.77269999999999</v>
      </c>
      <c r="M7990">
        <v>0.99990939999999995</v>
      </c>
      <c r="N7990">
        <v>-1.335913E-2</v>
      </c>
      <c r="O7990">
        <v>-1.6738499999999999E-3</v>
      </c>
      <c r="P7990">
        <v>0.92995000000000005</v>
      </c>
      <c r="Q7990">
        <v>0.3538985</v>
      </c>
      <c r="R7990">
        <v>9.9745449999999999E-2</v>
      </c>
      <c r="S7990">
        <v>3.3377840000000001</v>
      </c>
      <c r="T7990">
        <v>-0.3034461</v>
      </c>
      <c r="U7990">
        <v>4.7286990000000001E-2</v>
      </c>
      <c r="V7990">
        <v>-0.1011311</v>
      </c>
      <c r="W7990">
        <v>0.36633539999999998</v>
      </c>
      <c r="X7990">
        <v>0.92497070000000003</v>
      </c>
      <c r="Y7990">
        <v>-1.5759970000000002E-2</v>
      </c>
      <c r="Z7990">
        <v>9.4993900000000001E-4</v>
      </c>
      <c r="AA7990">
        <v>0.99987539999999997</v>
      </c>
      <c r="AB7990">
        <v>30</v>
      </c>
      <c r="AC7990">
        <v>0.65460000000001595</v>
      </c>
      <c r="AD7990">
        <v>-8.5360999999999798E-2</v>
      </c>
      <c r="AE7990">
        <v>1.39000000000066E-2</v>
      </c>
      <c r="AF7990">
        <v>-1.47451576490696E-2</v>
      </c>
      <c r="AG7990">
        <v>-8.5360999999999798E-2</v>
      </c>
      <c r="AH7990">
        <v>0.64363596065503204</v>
      </c>
      <c r="AI7990">
        <v>97.552698606603201</v>
      </c>
      <c r="AJ7990">
        <v>91.312368483960498</v>
      </c>
      <c r="AK7990">
        <v>0.64943911942800403</v>
      </c>
      <c r="AL7990">
        <v>68.510210473714693</v>
      </c>
      <c r="AM7990">
        <v>96.239614617771494</v>
      </c>
      <c r="AN7990">
        <v>0.99999996026942894</v>
      </c>
    </row>
    <row r="7991" spans="1:40" x14ac:dyDescent="0.25">
      <c r="A7991" t="str">
        <f>"20190304164318109"</f>
        <v>20190304164318109</v>
      </c>
      <c r="B7991" t="str">
        <f>"1551688998099160"</f>
        <v>1551688998099160</v>
      </c>
      <c r="C7991" t="s">
        <v>40</v>
      </c>
      <c r="D7991">
        <v>3.975752</v>
      </c>
      <c r="E7991">
        <v>0.54460469999999905</v>
      </c>
      <c r="F7991" t="s">
        <v>41</v>
      </c>
      <c r="G7991">
        <v>-132.75810000000001</v>
      </c>
      <c r="H7991">
        <v>1.0259069999999999</v>
      </c>
      <c r="I7991">
        <v>137.78569999999999</v>
      </c>
      <c r="J7991">
        <v>-133.38290000000001</v>
      </c>
      <c r="K7991">
        <v>1.1106069999999999</v>
      </c>
      <c r="L7991">
        <v>137.77199999999999</v>
      </c>
      <c r="M7991">
        <v>0.99990760000000001</v>
      </c>
      <c r="N7991">
        <v>-1.347545E-2</v>
      </c>
      <c r="O7991">
        <v>-1.837457E-3</v>
      </c>
      <c r="P7991">
        <v>0.93095830000000002</v>
      </c>
      <c r="Q7991">
        <v>0.35151860000000001</v>
      </c>
      <c r="R7991">
        <v>9.8748740000000002E-2</v>
      </c>
      <c r="S7991">
        <v>3.3375699999999999</v>
      </c>
      <c r="T7991">
        <v>-0.30656609999999901</v>
      </c>
      <c r="U7991">
        <v>4.7195429999999997E-2</v>
      </c>
      <c r="V7991">
        <v>-0.1003098</v>
      </c>
      <c r="W7991">
        <v>0.36407060000000002</v>
      </c>
      <c r="X7991">
        <v>0.9259539</v>
      </c>
      <c r="Y7991">
        <v>-1.5894269999999999E-2</v>
      </c>
      <c r="Z7991">
        <v>9.7945679999999992E-4</v>
      </c>
      <c r="AA7991">
        <v>0.99987320000000002</v>
      </c>
      <c r="AB7991">
        <v>30</v>
      </c>
      <c r="AC7991">
        <v>0.62479999999999303</v>
      </c>
      <c r="AD7991">
        <v>-8.4699999999999998E-2</v>
      </c>
      <c r="AE7991">
        <v>1.3699999999971599E-2</v>
      </c>
      <c r="AF7991">
        <v>-1.4580304394167701E-2</v>
      </c>
      <c r="AG7991">
        <v>-8.4699999999999998E-2</v>
      </c>
      <c r="AH7991">
        <v>0.61350455081431798</v>
      </c>
      <c r="AI7991">
        <v>97.8583330733709</v>
      </c>
      <c r="AJ7991">
        <v>91.361412365794195</v>
      </c>
      <c r="AK7991">
        <v>0.61949536652513004</v>
      </c>
      <c r="AL7991">
        <v>68.649603893437003</v>
      </c>
      <c r="AM7991">
        <v>96.182815644208603</v>
      </c>
      <c r="AN7991">
        <v>1.0000000413428001</v>
      </c>
    </row>
    <row r="7992" spans="1:40" x14ac:dyDescent="0.25">
      <c r="A7992" t="str">
        <f>"20190304164318132"</f>
        <v>20190304164318132</v>
      </c>
      <c r="B7992" t="str">
        <f>"1551688998118679"</f>
        <v>1551688998118679</v>
      </c>
      <c r="C7992" t="s">
        <v>40</v>
      </c>
      <c r="D7992">
        <v>4.0039400000000001</v>
      </c>
      <c r="E7992">
        <v>0.54460850000000005</v>
      </c>
      <c r="F7992" t="s">
        <v>41</v>
      </c>
      <c r="G7992">
        <v>-132.4913</v>
      </c>
      <c r="H7992">
        <v>1.0263139999999999</v>
      </c>
      <c r="I7992">
        <v>137.78380000000001</v>
      </c>
      <c r="J7992">
        <v>-133.0805</v>
      </c>
      <c r="K7992">
        <v>1.110616</v>
      </c>
      <c r="L7992">
        <v>137.7713</v>
      </c>
      <c r="M7992">
        <v>0.99990590000000001</v>
      </c>
      <c r="N7992">
        <v>-1.3578299999999901E-2</v>
      </c>
      <c r="O7992">
        <v>-1.9848610000000001E-3</v>
      </c>
      <c r="P7992">
        <v>0.93183990000000005</v>
      </c>
      <c r="Q7992">
        <v>0.34927229999999998</v>
      </c>
      <c r="R7992">
        <v>9.8405350000000003E-2</v>
      </c>
      <c r="S7992">
        <v>3.3369140000000002</v>
      </c>
      <c r="T7992">
        <v>-0.31548150000000003</v>
      </c>
      <c r="U7992">
        <v>4.4281010000000003E-2</v>
      </c>
      <c r="V7992">
        <v>-0.1001213</v>
      </c>
      <c r="W7992">
        <v>0.36192730000000001</v>
      </c>
      <c r="X7992">
        <v>0.92681409999999997</v>
      </c>
      <c r="Y7992">
        <v>-1.516983E-2</v>
      </c>
      <c r="Z7992">
        <v>9.790650000000001E-4</v>
      </c>
      <c r="AA7992">
        <v>0.99988440000000001</v>
      </c>
      <c r="AB7992">
        <v>30</v>
      </c>
      <c r="AC7992">
        <v>0.58920000000000505</v>
      </c>
      <c r="AD7992">
        <v>-8.4302000000000099E-2</v>
      </c>
      <c r="AE7992">
        <v>1.2500000000016999E-2</v>
      </c>
      <c r="AF7992">
        <v>-1.3395461028917401E-2</v>
      </c>
      <c r="AG7992">
        <v>-8.4302000000000099E-2</v>
      </c>
      <c r="AH7992">
        <v>0.57735990349254795</v>
      </c>
      <c r="AI7992">
        <v>98.305015674027402</v>
      </c>
      <c r="AJ7992">
        <v>91.329094220856902</v>
      </c>
      <c r="AK7992">
        <v>0.58363578003845995</v>
      </c>
      <c r="AL7992">
        <v>68.781394854543706</v>
      </c>
      <c r="AM7992">
        <v>96.165603172644296</v>
      </c>
      <c r="AN7992">
        <v>1.00000001057889</v>
      </c>
    </row>
    <row r="7993" spans="1:40" x14ac:dyDescent="0.25">
      <c r="A7993" t="str">
        <f>"20190304164318154"</f>
        <v>20190304164318154</v>
      </c>
      <c r="B7993" t="str">
        <f>"1551688998148935"</f>
        <v>1551688998148935</v>
      </c>
      <c r="C7993" t="s">
        <v>40</v>
      </c>
      <c r="D7993">
        <v>3.9859230000000001</v>
      </c>
      <c r="E7993">
        <v>0.54461969999999904</v>
      </c>
      <c r="F7993" t="s">
        <v>41</v>
      </c>
      <c r="G7993">
        <v>-132.22409999999999</v>
      </c>
      <c r="H7993">
        <v>1.027644</v>
      </c>
      <c r="I7993">
        <v>137.7818</v>
      </c>
      <c r="J7993">
        <v>-132.7826</v>
      </c>
      <c r="K7993">
        <v>1.110622</v>
      </c>
      <c r="L7993">
        <v>137.7705</v>
      </c>
      <c r="M7993">
        <v>0.99990460000000003</v>
      </c>
      <c r="N7993">
        <v>-1.366611E-2</v>
      </c>
      <c r="O7993">
        <v>-2.1190229999999998E-3</v>
      </c>
      <c r="P7993">
        <v>0.93239830000000001</v>
      </c>
      <c r="Q7993">
        <v>0.34792109999999998</v>
      </c>
      <c r="R7993">
        <v>9.7902059999999999E-2</v>
      </c>
      <c r="S7993">
        <v>3.3362430000000001</v>
      </c>
      <c r="T7993">
        <v>-0.32335259999999999</v>
      </c>
      <c r="U7993">
        <v>4.1641240000000003E-2</v>
      </c>
      <c r="V7993">
        <v>-9.9754739999999995E-2</v>
      </c>
      <c r="W7993">
        <v>0.36066229999999999</v>
      </c>
      <c r="X7993">
        <v>0.92734660000000002</v>
      </c>
      <c r="Y7993">
        <v>-1.4514569999999999E-2</v>
      </c>
      <c r="Z7993">
        <v>9.7715509999999998E-4</v>
      </c>
      <c r="AA7993">
        <v>0.99989419999999996</v>
      </c>
      <c r="AB7993">
        <v>30</v>
      </c>
      <c r="AC7993">
        <v>0.55850000000000899</v>
      </c>
      <c r="AD7993">
        <v>-8.2977999999999996E-2</v>
      </c>
      <c r="AE7993">
        <v>1.1300000000005601E-2</v>
      </c>
      <c r="AF7993">
        <v>-1.2214057360518799E-2</v>
      </c>
      <c r="AG7993">
        <v>-8.2977999999999996E-2</v>
      </c>
      <c r="AH7993">
        <v>0.54641814094867103</v>
      </c>
      <c r="AI7993">
        <v>98.632729699309294</v>
      </c>
      <c r="AJ7993">
        <v>91.280516448762796</v>
      </c>
      <c r="AK7993">
        <v>0.55281761589063705</v>
      </c>
      <c r="AL7993">
        <v>68.859124514670597</v>
      </c>
      <c r="AM7993">
        <v>96.139702241722702</v>
      </c>
      <c r="AN7993">
        <v>1.00000000966265</v>
      </c>
    </row>
    <row r="7994" spans="1:40" x14ac:dyDescent="0.25">
      <c r="A7994" t="str">
        <f>"20190304164318176"</f>
        <v>20190304164318176</v>
      </c>
      <c r="B7994" t="str">
        <f>"1551688998169431"</f>
        <v>1551688998169431</v>
      </c>
      <c r="C7994" t="s">
        <v>40</v>
      </c>
      <c r="D7994">
        <v>4.0088249999999999</v>
      </c>
      <c r="E7994">
        <v>0.54461510000000002</v>
      </c>
      <c r="F7994" t="s">
        <v>41</v>
      </c>
      <c r="G7994">
        <v>-131.95679999999999</v>
      </c>
      <c r="H7994">
        <v>1.029374</v>
      </c>
      <c r="I7994">
        <v>137.78020000000001</v>
      </c>
      <c r="J7994">
        <v>-132.49160000000001</v>
      </c>
      <c r="K7994">
        <v>1.1106339999999999</v>
      </c>
      <c r="L7994">
        <v>137.7697</v>
      </c>
      <c r="M7994">
        <v>0.99990299999999999</v>
      </c>
      <c r="N7994">
        <v>-1.374034E-2</v>
      </c>
      <c r="O7994">
        <v>-2.2458959999999998E-3</v>
      </c>
      <c r="P7994">
        <v>0.93203970000000003</v>
      </c>
      <c r="Q7994">
        <v>0.34874280000000002</v>
      </c>
      <c r="R7994">
        <v>9.8390699999999998E-2</v>
      </c>
      <c r="S7994">
        <v>3.3358310000000002</v>
      </c>
      <c r="T7994">
        <v>-0.32827399999999901</v>
      </c>
      <c r="U7994">
        <v>3.98407E-2</v>
      </c>
      <c r="V7994">
        <v>-0.100367</v>
      </c>
      <c r="W7994">
        <v>0.36154579999999997</v>
      </c>
      <c r="X7994">
        <v>0.92693639999999999</v>
      </c>
      <c r="Y7994">
        <v>-1.410263E-2</v>
      </c>
      <c r="Z7994">
        <v>9.7905400000000004E-4</v>
      </c>
      <c r="AA7994">
        <v>0.99990009999999996</v>
      </c>
      <c r="AB7994">
        <v>30</v>
      </c>
      <c r="AC7994">
        <v>0.53480000000001804</v>
      </c>
      <c r="AD7994">
        <v>-8.1260000000000096E-2</v>
      </c>
      <c r="AE7994">
        <v>1.05000000000075E-2</v>
      </c>
      <c r="AF7994">
        <v>-1.1437240333871499E-2</v>
      </c>
      <c r="AG7994">
        <v>-8.1260000000000096E-2</v>
      </c>
      <c r="AH7994">
        <v>0.52271177742066299</v>
      </c>
      <c r="AI7994">
        <v>98.834305042930893</v>
      </c>
      <c r="AJ7994">
        <v>91.253465256931904</v>
      </c>
      <c r="AK7994">
        <v>0.52911397668245697</v>
      </c>
      <c r="AL7994">
        <v>68.804840607942694</v>
      </c>
      <c r="AM7994">
        <v>96.179807583681693</v>
      </c>
      <c r="AN7994">
        <v>0.99999999491579905</v>
      </c>
    </row>
    <row r="7995" spans="1:40" x14ac:dyDescent="0.25">
      <c r="A7995" t="str">
        <f>"20190304164318198"</f>
        <v>20190304164318198</v>
      </c>
      <c r="B7995" t="str">
        <f>"1551688998188952"</f>
        <v>1551688998188952</v>
      </c>
      <c r="C7995" t="s">
        <v>40</v>
      </c>
      <c r="D7995">
        <v>4.0115509999999999</v>
      </c>
      <c r="E7995">
        <v>0.5446107</v>
      </c>
      <c r="F7995" t="s">
        <v>41</v>
      </c>
      <c r="G7995">
        <v>-131.6885</v>
      </c>
      <c r="H7995">
        <v>1.032362</v>
      </c>
      <c r="I7995">
        <v>137.77959999999999</v>
      </c>
      <c r="J7995">
        <v>-132.19630000000001</v>
      </c>
      <c r="K7995">
        <v>1.110641</v>
      </c>
      <c r="L7995">
        <v>137.7689</v>
      </c>
      <c r="M7995">
        <v>0.99990210000000002</v>
      </c>
      <c r="N7995">
        <v>-1.380555E-2</v>
      </c>
      <c r="O7995">
        <v>-2.3746599999999998E-3</v>
      </c>
      <c r="P7995">
        <v>0.93108519999999995</v>
      </c>
      <c r="Q7995">
        <v>0.35070780000000001</v>
      </c>
      <c r="R7995">
        <v>0.10042230000000001</v>
      </c>
      <c r="S7995">
        <v>3.3360439999999998</v>
      </c>
      <c r="T7995">
        <v>-0.3252099</v>
      </c>
      <c r="U7995">
        <v>4.1595460000000001E-2</v>
      </c>
      <c r="V7995">
        <v>-0.10251979999999999</v>
      </c>
      <c r="W7995">
        <v>0.36355720000000002</v>
      </c>
      <c r="X7995">
        <v>0.92591349999999994</v>
      </c>
      <c r="Y7995">
        <v>-1.475402E-2</v>
      </c>
      <c r="Z7995">
        <v>1.0177560000000001E-3</v>
      </c>
      <c r="AA7995">
        <v>0.99989059999999996</v>
      </c>
      <c r="AB7995">
        <v>30</v>
      </c>
      <c r="AC7995">
        <v>0.50780000000000303</v>
      </c>
      <c r="AD7995">
        <v>-7.8278999999999904E-2</v>
      </c>
      <c r="AE7995">
        <v>1.06999999999857E-2</v>
      </c>
      <c r="AF7995">
        <v>-1.16297004471069E-2</v>
      </c>
      <c r="AG7995">
        <v>-7.8278999999999904E-2</v>
      </c>
      <c r="AH7995">
        <v>0.49599202383878299</v>
      </c>
      <c r="AI7995">
        <v>98.966197739409793</v>
      </c>
      <c r="AJ7995">
        <v>91.343188295538894</v>
      </c>
      <c r="AK7995">
        <v>0.50226580561011802</v>
      </c>
      <c r="AL7995">
        <v>68.681182244243303</v>
      </c>
      <c r="AM7995">
        <v>96.3182175032467</v>
      </c>
      <c r="AN7995">
        <v>0.99999997827306397</v>
      </c>
    </row>
    <row r="7996" spans="1:40" x14ac:dyDescent="0.25">
      <c r="A7996" t="str">
        <f>"20190304164318222"</f>
        <v>20190304164318222</v>
      </c>
      <c r="B7996" t="str">
        <f>"1551688998209451"</f>
        <v>1551688998209451</v>
      </c>
      <c r="C7996" t="s">
        <v>40</v>
      </c>
      <c r="D7996">
        <v>4.0218809999999996</v>
      </c>
      <c r="E7996">
        <v>0.54460039999999998</v>
      </c>
      <c r="F7996" t="s">
        <v>42</v>
      </c>
      <c r="G7996">
        <v>-120.5368</v>
      </c>
      <c r="H7996" s="1">
        <v>-4.3404300000000004E-6</v>
      </c>
      <c r="I7996">
        <v>137.93379999999999</v>
      </c>
      <c r="J7996">
        <v>-131.8972</v>
      </c>
      <c r="K7996">
        <v>1.1106339999999999</v>
      </c>
      <c r="L7996">
        <v>137.7681</v>
      </c>
      <c r="M7996">
        <v>0.99990089999999998</v>
      </c>
      <c r="N7996">
        <v>-1.386239E-2</v>
      </c>
      <c r="O7996">
        <v>-2.506145E-3</v>
      </c>
      <c r="P7996">
        <v>0.93101049999999996</v>
      </c>
      <c r="Q7996">
        <v>0.3503947</v>
      </c>
      <c r="R7996">
        <v>0.1021927</v>
      </c>
      <c r="S7996">
        <v>3.3366699999999998</v>
      </c>
      <c r="T7996">
        <v>-0.31783929999999999</v>
      </c>
      <c r="U7996">
        <v>4.7195429999999997E-2</v>
      </c>
      <c r="V7996">
        <v>-0.10441449999999999</v>
      </c>
      <c r="W7996">
        <v>0.3632959</v>
      </c>
      <c r="X7996">
        <v>0.92580430000000002</v>
      </c>
      <c r="Y7996">
        <v>-1.6554989999999999E-2</v>
      </c>
      <c r="Z7996">
        <v>1.105221E-3</v>
      </c>
      <c r="AA7996">
        <v>0.99986240000000004</v>
      </c>
      <c r="AB7996">
        <v>30</v>
      </c>
      <c r="AC7996">
        <v>11.360399999999901</v>
      </c>
      <c r="AD7996">
        <v>-1.11063834043</v>
      </c>
      <c r="AE7996">
        <v>0.165699999999986</v>
      </c>
      <c r="AF7996">
        <v>-0.19233511138824</v>
      </c>
      <c r="AG7996">
        <v>-1.11063834043</v>
      </c>
      <c r="AH7996">
        <v>11.252423437429901</v>
      </c>
      <c r="AI7996">
        <v>95.636140436101499</v>
      </c>
      <c r="AJ7996">
        <v>90.979248352451407</v>
      </c>
      <c r="AK7996">
        <v>11.308737486277099</v>
      </c>
      <c r="AL7996">
        <v>68.697251843661903</v>
      </c>
      <c r="AM7996">
        <v>96.434768557477199</v>
      </c>
      <c r="AN7996">
        <v>0.999999950332773</v>
      </c>
    </row>
    <row r="7997" spans="1:40" x14ac:dyDescent="0.25">
      <c r="A7997" t="str">
        <f>"20190304164318244"</f>
        <v>20190304164318244</v>
      </c>
      <c r="B7997" t="str">
        <f>"1551688998238731"</f>
        <v>1551688998238731</v>
      </c>
      <c r="C7997" t="s">
        <v>40</v>
      </c>
      <c r="D7997">
        <v>4.8854100000000003</v>
      </c>
      <c r="E7997">
        <v>0.54458479999999998</v>
      </c>
      <c r="F7997" t="s">
        <v>42</v>
      </c>
      <c r="G7997">
        <v>-120.28230000000001</v>
      </c>
      <c r="H7997" s="1">
        <v>-4.4458970000000002E-6</v>
      </c>
      <c r="I7997">
        <v>137.9547</v>
      </c>
      <c r="J7997">
        <v>-131.60079999999999</v>
      </c>
      <c r="K7997">
        <v>1.1106210000000001</v>
      </c>
      <c r="L7997">
        <v>137.7672</v>
      </c>
      <c r="M7997">
        <v>0.99989989999999995</v>
      </c>
      <c r="N7997">
        <v>-1.3910219999999999E-2</v>
      </c>
      <c r="O7997">
        <v>-2.638544E-3</v>
      </c>
      <c r="P7997">
        <v>0.9320775</v>
      </c>
      <c r="Q7997">
        <v>0.34717189999999998</v>
      </c>
      <c r="R7997">
        <v>0.1034588</v>
      </c>
      <c r="S7997">
        <v>3.3365019999999999</v>
      </c>
      <c r="T7997">
        <v>-0.31904290000000002</v>
      </c>
      <c r="U7997">
        <v>5.3619380000000001E-2</v>
      </c>
      <c r="V7997">
        <v>-0.10580820000000001</v>
      </c>
      <c r="W7997">
        <v>0.36013210000000001</v>
      </c>
      <c r="X7997">
        <v>0.92688159999999997</v>
      </c>
      <c r="Y7997">
        <v>-1.8600849999999999E-2</v>
      </c>
      <c r="Z7997">
        <v>1.2320510000000001E-3</v>
      </c>
      <c r="AA7997">
        <v>0.99982629999999995</v>
      </c>
      <c r="AB7997">
        <v>30</v>
      </c>
      <c r="AC7997">
        <v>11.318499999999901</v>
      </c>
      <c r="AD7997">
        <v>-1.110625445897</v>
      </c>
      <c r="AE7997">
        <v>0.1875</v>
      </c>
      <c r="AF7997">
        <v>-0.21529420710509301</v>
      </c>
      <c r="AG7997">
        <v>-1.110625445897</v>
      </c>
      <c r="AH7997">
        <v>11.210059655964001</v>
      </c>
      <c r="AI7997">
        <v>95.6570212976617</v>
      </c>
      <c r="AJ7997">
        <v>91.100255796545397</v>
      </c>
      <c r="AK7997">
        <v>11.266999510382499</v>
      </c>
      <c r="AL7997">
        <v>68.891691099092199</v>
      </c>
      <c r="AM7997">
        <v>96.512410713743193</v>
      </c>
      <c r="AN7997">
        <v>1.0000000025281</v>
      </c>
    </row>
    <row r="7998" spans="1:40" x14ac:dyDescent="0.25">
      <c r="A7998" t="str">
        <f>"20190304164318266"</f>
        <v>20190304164318266</v>
      </c>
      <c r="B7998" t="str">
        <f>"1551688998259227"</f>
        <v>1551688998259227</v>
      </c>
      <c r="C7998" t="s">
        <v>40</v>
      </c>
      <c r="D7998">
        <v>4.0753459999999997</v>
      </c>
      <c r="E7998">
        <v>0.54457929999999999</v>
      </c>
      <c r="F7998" t="s">
        <v>41</v>
      </c>
      <c r="G7998">
        <v>-130.63980000000001</v>
      </c>
      <c r="H7998">
        <v>1.015479</v>
      </c>
      <c r="I7998">
        <v>137.7841</v>
      </c>
      <c r="J7998">
        <v>-131.2997</v>
      </c>
      <c r="K7998">
        <v>1.1106210000000001</v>
      </c>
      <c r="L7998">
        <v>137.7663</v>
      </c>
      <c r="M7998">
        <v>0.99989899999999998</v>
      </c>
      <c r="N7998">
        <v>-1.3951699999999999E-2</v>
      </c>
      <c r="O7998">
        <v>-2.7749620000000002E-3</v>
      </c>
      <c r="P7998">
        <v>0.93297200000000002</v>
      </c>
      <c r="Q7998">
        <v>0.34458250000000001</v>
      </c>
      <c r="R7998">
        <v>0.10405010000000001</v>
      </c>
      <c r="S7998">
        <v>3.3350680000000001</v>
      </c>
      <c r="T7998">
        <v>-0.3302813</v>
      </c>
      <c r="U7998">
        <v>5.9387210000000003E-2</v>
      </c>
      <c r="V7998">
        <v>-0.10653029999999999</v>
      </c>
      <c r="W7998">
        <v>0.35759380000000002</v>
      </c>
      <c r="X7998">
        <v>0.92778119999999997</v>
      </c>
      <c r="Y7998">
        <v>-2.045458E-2</v>
      </c>
      <c r="Z7998">
        <v>1.388879E-3</v>
      </c>
      <c r="AA7998">
        <v>0.99978979999999995</v>
      </c>
      <c r="AB7998">
        <v>30</v>
      </c>
      <c r="AC7998">
        <v>0.65989999999999305</v>
      </c>
      <c r="AD7998">
        <v>-9.5141999999999796E-2</v>
      </c>
      <c r="AE7998">
        <v>1.7799999999994001E-2</v>
      </c>
      <c r="AF7998">
        <v>-1.9231828665364301E-2</v>
      </c>
      <c r="AG7998">
        <v>-9.5141999999999796E-2</v>
      </c>
      <c r="AH7998">
        <v>0.64642078906310296</v>
      </c>
      <c r="AI7998">
        <v>98.369186442657096</v>
      </c>
      <c r="AJ7998">
        <v>91.704118577889702</v>
      </c>
      <c r="AK7998">
        <v>0.65366788197889802</v>
      </c>
      <c r="AL7998">
        <v>69.047503462766301</v>
      </c>
      <c r="AM7998">
        <v>96.550167666418702</v>
      </c>
      <c r="AN7998">
        <v>0.99999999284498498</v>
      </c>
    </row>
    <row r="7999" spans="1:40" x14ac:dyDescent="0.25">
      <c r="A7999" t="str">
        <f>"20190304164318288"</f>
        <v>20190304164318288</v>
      </c>
      <c r="B7999" t="str">
        <f>"1551688998278747"</f>
        <v>1551688998278747</v>
      </c>
      <c r="C7999" t="s">
        <v>40</v>
      </c>
      <c r="D7999">
        <v>4.0719479999999999</v>
      </c>
      <c r="E7999">
        <v>0.54457999999999995</v>
      </c>
      <c r="F7999" t="s">
        <v>41</v>
      </c>
      <c r="G7999">
        <v>-130.3751</v>
      </c>
      <c r="H7999">
        <v>1.0165459999999999</v>
      </c>
      <c r="I7999">
        <v>137.78319999999999</v>
      </c>
      <c r="J7999">
        <v>-131.00649999999999</v>
      </c>
      <c r="K7999">
        <v>1.1106480000000001</v>
      </c>
      <c r="L7999">
        <v>137.7653</v>
      </c>
      <c r="M7999">
        <v>0.99989799999999995</v>
      </c>
      <c r="N7999">
        <v>-1.398631E-2</v>
      </c>
      <c r="O7999">
        <v>-2.9089580000000001E-3</v>
      </c>
      <c r="P7999">
        <v>0.93241479999999999</v>
      </c>
      <c r="Q7999">
        <v>0.34647650000000002</v>
      </c>
      <c r="R7999">
        <v>0.1027449</v>
      </c>
      <c r="S7999">
        <v>3.334015</v>
      </c>
      <c r="T7999">
        <v>-0.3392597</v>
      </c>
      <c r="U7999">
        <v>6.1126710000000001E-2</v>
      </c>
      <c r="V7999">
        <v>-0.1053477</v>
      </c>
      <c r="W7999">
        <v>0.35951139999999998</v>
      </c>
      <c r="X7999">
        <v>0.92717490000000002</v>
      </c>
      <c r="Y7999">
        <v>-2.1104680000000001E-2</v>
      </c>
      <c r="Z7999">
        <v>1.4735900000000001E-3</v>
      </c>
      <c r="AA7999">
        <v>0.9997762</v>
      </c>
      <c r="AB7999">
        <v>30</v>
      </c>
      <c r="AC7999">
        <v>0.63139999999998497</v>
      </c>
      <c r="AD7999">
        <v>-9.4101999999999894E-2</v>
      </c>
      <c r="AE7999">
        <v>1.78999999999973E-2</v>
      </c>
      <c r="AF7999">
        <v>-1.9308287770652199E-2</v>
      </c>
      <c r="AG7999">
        <v>-9.4101999999999894E-2</v>
      </c>
      <c r="AH7999">
        <v>0.61763728237900295</v>
      </c>
      <c r="AI7999">
        <v>98.658686106942397</v>
      </c>
      <c r="AJ7999">
        <v>91.790570707879397</v>
      </c>
      <c r="AK7999">
        <v>0.62506304399248802</v>
      </c>
      <c r="AL7999">
        <v>68.9298062100914</v>
      </c>
      <c r="AM7999">
        <v>96.482275453853902</v>
      </c>
      <c r="AN7999">
        <v>0.99999993990762803</v>
      </c>
    </row>
    <row r="8000" spans="1:40" x14ac:dyDescent="0.25">
      <c r="A8000" t="str">
        <f>"20190304164318310"</f>
        <v>20190304164318310</v>
      </c>
      <c r="B8000" t="str">
        <f>"1551688998298774"</f>
        <v>1551688998298774</v>
      </c>
      <c r="C8000" t="s">
        <v>40</v>
      </c>
      <c r="D8000">
        <v>4.1062419999999999</v>
      </c>
      <c r="E8000">
        <v>0.54457519999999904</v>
      </c>
      <c r="F8000" t="s">
        <v>41</v>
      </c>
      <c r="G8000">
        <v>-130.10919999999999</v>
      </c>
      <c r="H8000">
        <v>1.0211479999999999</v>
      </c>
      <c r="I8000">
        <v>137.78039999999999</v>
      </c>
      <c r="J8000">
        <v>-130.71879999999999</v>
      </c>
      <c r="K8000">
        <v>1.1106780000000001</v>
      </c>
      <c r="L8000">
        <v>137.76429999999999</v>
      </c>
      <c r="M8000">
        <v>0.99989729999999999</v>
      </c>
      <c r="N8000">
        <v>-1.401524E-2</v>
      </c>
      <c r="O8000">
        <v>-3.0418400000000001E-3</v>
      </c>
      <c r="P8000">
        <v>0.93097980000000002</v>
      </c>
      <c r="Q8000">
        <v>0.35090149999999998</v>
      </c>
      <c r="R8000">
        <v>0.1007223</v>
      </c>
      <c r="S8000">
        <v>3.334854</v>
      </c>
      <c r="T8000">
        <v>-0.33275719999999998</v>
      </c>
      <c r="U8000">
        <v>5.6762699999999902E-2</v>
      </c>
      <c r="V8000">
        <v>-0.1034434</v>
      </c>
      <c r="W8000">
        <v>0.3639423</v>
      </c>
      <c r="X8000">
        <v>0.92565949999999997</v>
      </c>
      <c r="Y8000">
        <v>-1.993609E-2</v>
      </c>
      <c r="Z8000">
        <v>1.392417E-3</v>
      </c>
      <c r="AA8000">
        <v>0.99980029999999998</v>
      </c>
      <c r="AB8000">
        <v>30</v>
      </c>
      <c r="AC8000">
        <v>0.60960000000000003</v>
      </c>
      <c r="AD8000">
        <v>-8.9530000000000096E-2</v>
      </c>
      <c r="AE8000">
        <v>1.60999999999944E-2</v>
      </c>
      <c r="AF8000">
        <v>-1.7575574669685401E-2</v>
      </c>
      <c r="AG8000">
        <v>-8.9530000000000096E-2</v>
      </c>
      <c r="AH8000">
        <v>0.59668672507433296</v>
      </c>
      <c r="AI8000">
        <v>98.529655378633194</v>
      </c>
      <c r="AJ8000">
        <v>91.687175413071998</v>
      </c>
      <c r="AK8000">
        <v>0.60362204201379399</v>
      </c>
      <c r="AL8000">
        <v>68.657495969937898</v>
      </c>
      <c r="AM8000">
        <v>96.376406563041897</v>
      </c>
      <c r="AN8000">
        <v>1.00000002233654</v>
      </c>
    </row>
    <row r="8001" spans="1:40" x14ac:dyDescent="0.25">
      <c r="A8001" t="str">
        <f>"20190304164318333"</f>
        <v>20190304164318333</v>
      </c>
      <c r="B8001" t="str">
        <f>"1551688998329029"</f>
        <v>1551688998329029</v>
      </c>
      <c r="C8001" t="s">
        <v>40</v>
      </c>
      <c r="D8001">
        <v>4.120152</v>
      </c>
      <c r="E8001">
        <v>0.54456899999999997</v>
      </c>
      <c r="F8001" t="s">
        <v>41</v>
      </c>
      <c r="G8001">
        <v>-129.84100000000001</v>
      </c>
      <c r="H8001">
        <v>1.02722</v>
      </c>
      <c r="I8001">
        <v>137.77770000000001</v>
      </c>
      <c r="J8001">
        <v>-130.41480000000001</v>
      </c>
      <c r="K8001">
        <v>1.110681</v>
      </c>
      <c r="L8001">
        <v>137.76320000000001</v>
      </c>
      <c r="M8001">
        <v>0.99989640000000002</v>
      </c>
      <c r="N8001">
        <v>-1.4041E-2</v>
      </c>
      <c r="O8001">
        <v>-3.1823289999999998E-3</v>
      </c>
      <c r="P8001">
        <v>0.93033730000000003</v>
      </c>
      <c r="Q8001">
        <v>0.35312110000000002</v>
      </c>
      <c r="R8001">
        <v>9.8884659999999999E-2</v>
      </c>
      <c r="S8001">
        <v>3.336487</v>
      </c>
      <c r="T8001">
        <v>-0.31723750000000001</v>
      </c>
      <c r="U8001">
        <v>5.0918579999999998E-2</v>
      </c>
      <c r="V8001">
        <v>-0.1017338</v>
      </c>
      <c r="W8001">
        <v>0.36617569999999999</v>
      </c>
      <c r="X8001">
        <v>0.92496789999999995</v>
      </c>
      <c r="Y8001">
        <v>-1.8336180000000001E-2</v>
      </c>
      <c r="Z8001">
        <v>1.2560640000000001E-3</v>
      </c>
      <c r="AA8001">
        <v>0.99983109999999997</v>
      </c>
      <c r="AB8001">
        <v>29</v>
      </c>
      <c r="AC8001">
        <v>0.57380000000000497</v>
      </c>
      <c r="AD8001">
        <v>-8.3460999999999994E-2</v>
      </c>
      <c r="AE8001">
        <v>1.4499999999998099E-2</v>
      </c>
      <c r="AF8001">
        <v>-1.5988088990290601E-2</v>
      </c>
      <c r="AG8001">
        <v>-8.3460999999999994E-2</v>
      </c>
      <c r="AH8001">
        <v>0.56187124102835095</v>
      </c>
      <c r="AI8001">
        <v>98.4456323357836</v>
      </c>
      <c r="AJ8001">
        <v>91.629915958550697</v>
      </c>
      <c r="AK8001">
        <v>0.56826107468777198</v>
      </c>
      <c r="AL8001">
        <v>68.520045073744498</v>
      </c>
      <c r="AM8001">
        <v>96.276523107929705</v>
      </c>
      <c r="AN8001">
        <v>1.0000000126816699</v>
      </c>
    </row>
    <row r="8002" spans="1:40" x14ac:dyDescent="0.25">
      <c r="A8002" t="str">
        <f>"20190304164318355"</f>
        <v>20190304164318355</v>
      </c>
      <c r="B8002" t="str">
        <f>"1551688998349526"</f>
        <v>1551688998349526</v>
      </c>
      <c r="C8002" t="s">
        <v>40</v>
      </c>
      <c r="D8002">
        <v>4.1523529999999997</v>
      </c>
      <c r="E8002">
        <v>0.54456450000000001</v>
      </c>
      <c r="F8002" t="s">
        <v>41</v>
      </c>
      <c r="G8002">
        <v>-129.57380000000001</v>
      </c>
      <c r="H8002">
        <v>1.0327539999999999</v>
      </c>
      <c r="I8002">
        <v>137.774</v>
      </c>
      <c r="J8002">
        <v>-130.12200000000001</v>
      </c>
      <c r="K8002">
        <v>1.110668</v>
      </c>
      <c r="L8002">
        <v>137.7621</v>
      </c>
      <c r="M8002">
        <v>0.99989570000000005</v>
      </c>
      <c r="N8002">
        <v>-1.406197E-2</v>
      </c>
      <c r="O8002">
        <v>-3.3182530000000002E-3</v>
      </c>
      <c r="P8002">
        <v>0.93149289999999996</v>
      </c>
      <c r="Q8002">
        <v>0.350047099999999</v>
      </c>
      <c r="R8002">
        <v>9.8935170000000003E-2</v>
      </c>
      <c r="S8002">
        <v>3.3374480000000002</v>
      </c>
      <c r="T8002">
        <v>-0.30931530000000002</v>
      </c>
      <c r="U8002">
        <v>4.3258669999999999E-2</v>
      </c>
      <c r="V8002">
        <v>-0.10191509999999999</v>
      </c>
      <c r="W8002">
        <v>0.3631373</v>
      </c>
      <c r="X8002">
        <v>0.926145</v>
      </c>
      <c r="Y8002">
        <v>-1.6188569999999999E-2</v>
      </c>
      <c r="Z8002">
        <v>1.122947E-3</v>
      </c>
      <c r="AA8002">
        <v>0.99986830000000004</v>
      </c>
      <c r="AB8002">
        <v>29</v>
      </c>
      <c r="AC8002">
        <v>0.54820000000000801</v>
      </c>
      <c r="AD8002">
        <v>-7.7913999999999803E-2</v>
      </c>
      <c r="AE8002">
        <v>1.18999999999971E-2</v>
      </c>
      <c r="AF8002">
        <v>-1.34476646315724E-2</v>
      </c>
      <c r="AG8002">
        <v>-7.7913999999999803E-2</v>
      </c>
      <c r="AH8002">
        <v>0.53730892271166697</v>
      </c>
      <c r="AI8002">
        <v>98.248279154768397</v>
      </c>
      <c r="AJ8002">
        <v>91.433688477149204</v>
      </c>
      <c r="AK8002">
        <v>0.543095120126867</v>
      </c>
      <c r="AL8002">
        <v>68.707005573412303</v>
      </c>
      <c r="AM8002">
        <v>96.279691529784898</v>
      </c>
      <c r="AN8002">
        <v>0.99999997364214899</v>
      </c>
    </row>
    <row r="8003" spans="1:40" x14ac:dyDescent="0.25">
      <c r="A8003" t="str">
        <f>"20190304164318377"</f>
        <v>20190304164318377</v>
      </c>
      <c r="B8003" t="str">
        <f>"1551688998369046"</f>
        <v>1551688998369046</v>
      </c>
      <c r="C8003" t="s">
        <v>40</v>
      </c>
      <c r="D8003">
        <v>4.1638919999999997</v>
      </c>
      <c r="E8003">
        <v>0.54455959999999903</v>
      </c>
      <c r="F8003" t="s">
        <v>41</v>
      </c>
      <c r="G8003">
        <v>-129.31100000000001</v>
      </c>
      <c r="H8003">
        <v>1.0329710000000001</v>
      </c>
      <c r="I8003">
        <v>137.77160000000001</v>
      </c>
      <c r="J8003">
        <v>-129.8373</v>
      </c>
      <c r="K8003">
        <v>1.1106290000000001</v>
      </c>
      <c r="L8003">
        <v>137.761</v>
      </c>
      <c r="M8003">
        <v>0.99989499999999998</v>
      </c>
      <c r="N8003">
        <v>-1.407922E-2</v>
      </c>
      <c r="O8003">
        <v>-3.4504539999999999E-3</v>
      </c>
      <c r="P8003">
        <v>0.93342519999999995</v>
      </c>
      <c r="Q8003">
        <v>0.34449730000000001</v>
      </c>
      <c r="R8003">
        <v>0.1001943</v>
      </c>
      <c r="S8003">
        <v>3.3365939999999998</v>
      </c>
      <c r="T8003">
        <v>-0.319774</v>
      </c>
      <c r="U8003">
        <v>3.965759E-2</v>
      </c>
      <c r="V8003">
        <v>-0.1033056</v>
      </c>
      <c r="W8003">
        <v>0.35763210000000001</v>
      </c>
      <c r="X8003">
        <v>0.92813100000000004</v>
      </c>
      <c r="Y8003">
        <v>-1.5243639999999999E-2</v>
      </c>
      <c r="Z8003">
        <v>1.1178029999999999E-3</v>
      </c>
      <c r="AA8003">
        <v>0.99988319999999997</v>
      </c>
      <c r="AB8003">
        <v>29</v>
      </c>
      <c r="AC8003">
        <v>0.526299999999992</v>
      </c>
      <c r="AD8003">
        <v>-7.7658000000000199E-2</v>
      </c>
      <c r="AE8003">
        <v>1.06000000000108E-2</v>
      </c>
      <c r="AF8003">
        <v>-1.21516282685247E-2</v>
      </c>
      <c r="AG8003">
        <v>-7.7658000000000199E-2</v>
      </c>
      <c r="AH8003">
        <v>0.51505095609118001</v>
      </c>
      <c r="AI8003">
        <v>98.571967512411703</v>
      </c>
      <c r="AJ8003">
        <v>91.351532049747306</v>
      </c>
      <c r="AK8003">
        <v>0.52101431305100898</v>
      </c>
      <c r="AL8003">
        <v>69.045152909860505</v>
      </c>
      <c r="AM8003">
        <v>96.351163773720302</v>
      </c>
      <c r="AN8003">
        <v>0.99999995955138399</v>
      </c>
    </row>
    <row r="8004" spans="1:40" x14ac:dyDescent="0.25">
      <c r="A8004" t="str">
        <f>"20190304164318400"</f>
        <v>20190304164318400</v>
      </c>
      <c r="B8004" t="str">
        <f>"1551688998389542"</f>
        <v>1551688998389542</v>
      </c>
      <c r="C8004" t="s">
        <v>40</v>
      </c>
      <c r="D8004">
        <v>4.1497289999999998</v>
      </c>
      <c r="E8004">
        <v>0.54455069999999905</v>
      </c>
      <c r="F8004" t="s">
        <v>41</v>
      </c>
      <c r="G8004">
        <v>-129.0504</v>
      </c>
      <c r="H8004">
        <v>1.0307710000000001</v>
      </c>
      <c r="I8004">
        <v>137.77019999999999</v>
      </c>
      <c r="J8004">
        <v>-129.54300000000001</v>
      </c>
      <c r="K8004">
        <v>1.110614</v>
      </c>
      <c r="L8004">
        <v>137.75980000000001</v>
      </c>
      <c r="M8004">
        <v>0.99989430000000001</v>
      </c>
      <c r="N8004">
        <v>-1.4094270000000001E-2</v>
      </c>
      <c r="O8004">
        <v>-3.586929E-3</v>
      </c>
      <c r="P8004">
        <v>0.93404759999999998</v>
      </c>
      <c r="Q8004">
        <v>0.34214229999999901</v>
      </c>
      <c r="R8004">
        <v>0.1024399</v>
      </c>
      <c r="S8004">
        <v>3.334686</v>
      </c>
      <c r="T8004">
        <v>-0.33851019999999998</v>
      </c>
      <c r="U8004">
        <v>3.9199829999999998E-2</v>
      </c>
      <c r="V8004">
        <v>-0.105682</v>
      </c>
      <c r="W8004">
        <v>0.3552999</v>
      </c>
      <c r="X8004">
        <v>0.928759</v>
      </c>
      <c r="Y8004">
        <v>-1.5238430000000001E-2</v>
      </c>
      <c r="Z8004">
        <v>1.1918689999999999E-3</v>
      </c>
      <c r="AA8004">
        <v>0.99988319999999997</v>
      </c>
      <c r="AB8004">
        <v>29</v>
      </c>
      <c r="AC8004">
        <v>0.49260000000000997</v>
      </c>
      <c r="AD8004">
        <v>-7.9843000000000094E-2</v>
      </c>
      <c r="AE8004">
        <v>1.03999999999757E-2</v>
      </c>
      <c r="AF8004">
        <v>-1.18557014258544E-2</v>
      </c>
      <c r="AG8004">
        <v>-7.9843000000000094E-2</v>
      </c>
      <c r="AH8004">
        <v>0.47995597685459301</v>
      </c>
      <c r="AI8004">
        <v>99.442109557513703</v>
      </c>
      <c r="AJ8004">
        <v>91.415012165308596</v>
      </c>
      <c r="AK8004">
        <v>0.48669621122805701</v>
      </c>
      <c r="AL8004">
        <v>69.188174153915099</v>
      </c>
      <c r="AM8004">
        <v>96.491673498274906</v>
      </c>
      <c r="AN8004">
        <v>0.99999999207250501</v>
      </c>
    </row>
    <row r="8005" spans="1:40" x14ac:dyDescent="0.25">
      <c r="A8005" t="str">
        <f>"20190304164318423"</f>
        <v>20190304164318423</v>
      </c>
      <c r="B8005" t="str">
        <f>"1551688998418822"</f>
        <v>1551688998418822</v>
      </c>
      <c r="C8005" t="s">
        <v>40</v>
      </c>
      <c r="D8005">
        <v>4.1755459999999998</v>
      </c>
      <c r="E8005">
        <v>0.5445314</v>
      </c>
      <c r="F8005" t="s">
        <v>41</v>
      </c>
      <c r="G8005">
        <v>-128.78700000000001</v>
      </c>
      <c r="H8005">
        <v>1.032025</v>
      </c>
      <c r="I8005">
        <v>137.77000000000001</v>
      </c>
      <c r="J8005">
        <v>-129.24279999999999</v>
      </c>
      <c r="K8005">
        <v>1.110608</v>
      </c>
      <c r="L8005">
        <v>137.7586</v>
      </c>
      <c r="M8005">
        <v>0.99989360000000005</v>
      </c>
      <c r="N8005">
        <v>-1.410693E-2</v>
      </c>
      <c r="O8005">
        <v>-3.7262459999999999E-3</v>
      </c>
      <c r="P8005">
        <v>0.93319620000000003</v>
      </c>
      <c r="Q8005">
        <v>0.34412799999999999</v>
      </c>
      <c r="R8005">
        <v>0.1035416</v>
      </c>
      <c r="S8005">
        <v>3.3338619999999999</v>
      </c>
      <c r="T8005">
        <v>-0.34665800000000002</v>
      </c>
      <c r="U8005">
        <v>4.5104980000000003E-2</v>
      </c>
      <c r="V8005">
        <v>-0.1069097</v>
      </c>
      <c r="W8005">
        <v>0.35728520000000002</v>
      </c>
      <c r="X8005">
        <v>0.92785640000000003</v>
      </c>
      <c r="Y8005">
        <v>-1.7134320000000001E-2</v>
      </c>
      <c r="Z8005">
        <v>1.34358E-3</v>
      </c>
      <c r="AA8005">
        <v>0.99985230000000003</v>
      </c>
      <c r="AB8005">
        <v>29</v>
      </c>
      <c r="AC8005">
        <v>0.455799999999982</v>
      </c>
      <c r="AD8005">
        <v>-7.8583E-2</v>
      </c>
      <c r="AE8005">
        <v>1.14000000000089E-2</v>
      </c>
      <c r="AF8005">
        <v>-1.27206396439571E-2</v>
      </c>
      <c r="AG8005">
        <v>-7.8583E-2</v>
      </c>
      <c r="AH8005">
        <v>0.442606500725514</v>
      </c>
      <c r="AI8005">
        <v>100.063652246831</v>
      </c>
      <c r="AJ8005">
        <v>91.646244209685804</v>
      </c>
      <c r="AK8005">
        <v>0.44970836888636601</v>
      </c>
      <c r="AL8005">
        <v>69.066434701810806</v>
      </c>
      <c r="AM8005">
        <v>96.572763734427497</v>
      </c>
      <c r="AN8005">
        <v>0.99999994855704299</v>
      </c>
    </row>
    <row r="8006" spans="1:40" x14ac:dyDescent="0.25">
      <c r="A8006" t="str">
        <f>"20190304164318448"</f>
        <v>20190304164318448</v>
      </c>
      <c r="B8006" t="str">
        <f>"1551688998439318"</f>
        <v>1551688998439318</v>
      </c>
      <c r="C8006" t="s">
        <v>40</v>
      </c>
      <c r="D8006">
        <v>4.1906879999999997</v>
      </c>
      <c r="E8006">
        <v>0.54451930000000004</v>
      </c>
      <c r="F8006" t="s">
        <v>41</v>
      </c>
      <c r="G8006">
        <v>-128.27610000000001</v>
      </c>
      <c r="H8006">
        <v>1.011968</v>
      </c>
      <c r="I8006">
        <v>137.77340000000001</v>
      </c>
      <c r="J8006">
        <v>-128.92320000000001</v>
      </c>
      <c r="K8006">
        <v>1.1106100000000001</v>
      </c>
      <c r="L8006">
        <v>137.75720000000001</v>
      </c>
      <c r="M8006">
        <v>0.99989289999999997</v>
      </c>
      <c r="N8006">
        <v>-1.4117899999999999E-2</v>
      </c>
      <c r="O8006">
        <v>-3.8746090000000002E-3</v>
      </c>
      <c r="P8006">
        <v>0.93185019999999996</v>
      </c>
      <c r="Q8006">
        <v>0.34768660000000001</v>
      </c>
      <c r="R8006">
        <v>0.1037758</v>
      </c>
      <c r="S8006">
        <v>3.334549</v>
      </c>
      <c r="T8006">
        <v>-0.34021699999999999</v>
      </c>
      <c r="U8006">
        <v>5.1147459999999999E-2</v>
      </c>
      <c r="V8006">
        <v>-0.10727639999999999</v>
      </c>
      <c r="W8006">
        <v>0.36083480000000001</v>
      </c>
      <c r="X8006">
        <v>0.92643940000000002</v>
      </c>
      <c r="Y8006">
        <v>-1.90835E-2</v>
      </c>
      <c r="Z8006">
        <v>1.445764E-3</v>
      </c>
      <c r="AA8006">
        <v>0.99981679999999995</v>
      </c>
      <c r="AB8006">
        <v>29</v>
      </c>
      <c r="AC8006">
        <v>0.64709999999999401</v>
      </c>
      <c r="AD8006">
        <v>-9.8642000000000105E-2</v>
      </c>
      <c r="AE8006">
        <v>1.6199999999997699E-2</v>
      </c>
      <c r="AF8006">
        <v>-1.8282815049082399E-2</v>
      </c>
      <c r="AG8006">
        <v>-9.8642000000000105E-2</v>
      </c>
      <c r="AH8006">
        <v>0.63234767747210396</v>
      </c>
      <c r="AI8006">
        <v>98.862656483818895</v>
      </c>
      <c r="AJ8006">
        <v>91.656108552125403</v>
      </c>
      <c r="AK8006">
        <v>0.64025626954718895</v>
      </c>
      <c r="AL8006">
        <v>68.848526546445399</v>
      </c>
      <c r="AM8006">
        <v>96.605108254927998</v>
      </c>
      <c r="AN8006">
        <v>0.99999997038017896</v>
      </c>
    </row>
    <row r="8007" spans="1:40" x14ac:dyDescent="0.25">
      <c r="A8007" t="str">
        <f>"20190304164318470"</f>
        <v>20190304164318470</v>
      </c>
      <c r="B8007" t="str">
        <f>"1551688998458838"</f>
        <v>1551688998458838</v>
      </c>
      <c r="C8007" t="s">
        <v>40</v>
      </c>
      <c r="D8007">
        <v>4.2436889999999998</v>
      </c>
      <c r="E8007">
        <v>0.54450619999999905</v>
      </c>
      <c r="F8007" t="s">
        <v>41</v>
      </c>
      <c r="G8007">
        <v>-128.01050000000001</v>
      </c>
      <c r="H8007">
        <v>1.0207870000000001</v>
      </c>
      <c r="I8007">
        <v>137.77250000000001</v>
      </c>
      <c r="J8007">
        <v>-128.6249</v>
      </c>
      <c r="K8007">
        <v>1.1106020000000001</v>
      </c>
      <c r="L8007">
        <v>137.7559</v>
      </c>
      <c r="M8007">
        <v>0.99989220000000001</v>
      </c>
      <c r="N8007">
        <v>-1.412622E-2</v>
      </c>
      <c r="O8007">
        <v>-4.012463E-3</v>
      </c>
      <c r="P8007">
        <v>0.93151539999999999</v>
      </c>
      <c r="Q8007">
        <v>0.34882729999999901</v>
      </c>
      <c r="R8007">
        <v>0.1029506</v>
      </c>
      <c r="S8007">
        <v>3.3356479999999999</v>
      </c>
      <c r="T8007">
        <v>-0.32834459999999999</v>
      </c>
      <c r="U8007">
        <v>5.628967E-2</v>
      </c>
      <c r="V8007">
        <v>-0.1065781</v>
      </c>
      <c r="W8007">
        <v>0.36197790000000002</v>
      </c>
      <c r="X8007">
        <v>0.92607399999999995</v>
      </c>
      <c r="Y8007">
        <v>-2.075596E-2</v>
      </c>
      <c r="Z8007">
        <v>1.503473E-3</v>
      </c>
      <c r="AA8007">
        <v>0.99978350000000005</v>
      </c>
      <c r="AB8007">
        <v>29</v>
      </c>
      <c r="AC8007">
        <v>0.61439999999998895</v>
      </c>
      <c r="AD8007">
        <v>-8.9814999999999895E-2</v>
      </c>
      <c r="AE8007">
        <v>1.6600000000010998E-2</v>
      </c>
      <c r="AF8007">
        <v>-1.8666760293473101E-2</v>
      </c>
      <c r="AG8007">
        <v>-8.9814999999999895E-2</v>
      </c>
      <c r="AH8007">
        <v>0.60148436657415605</v>
      </c>
      <c r="AI8007">
        <v>98.488756862617095</v>
      </c>
      <c r="AJ8007">
        <v>91.777574733317607</v>
      </c>
      <c r="AK8007">
        <v>0.60843950019534998</v>
      </c>
      <c r="AL8007">
        <v>68.778283969083702</v>
      </c>
      <c r="AM8007">
        <v>96.565056277949694</v>
      </c>
      <c r="AN8007">
        <v>0.999999972482009</v>
      </c>
    </row>
    <row r="8008" spans="1:40" x14ac:dyDescent="0.25">
      <c r="A8008" t="str">
        <f>"20190304164318489"</f>
        <v>20190304164318489</v>
      </c>
      <c r="B8008" t="str">
        <f>"1551688998479336"</f>
        <v>1551688998479336</v>
      </c>
      <c r="C8008" t="s">
        <v>40</v>
      </c>
      <c r="D8008">
        <v>4.2104269999999904</v>
      </c>
      <c r="E8008">
        <v>0.54450050000000005</v>
      </c>
      <c r="F8008" t="s">
        <v>41</v>
      </c>
      <c r="G8008">
        <v>-127.746</v>
      </c>
      <c r="H8008">
        <v>1.0248980000000001</v>
      </c>
      <c r="I8008">
        <v>137.77109999999999</v>
      </c>
      <c r="J8008">
        <v>-128.3776</v>
      </c>
      <c r="K8008">
        <v>1.1105929999999999</v>
      </c>
      <c r="L8008">
        <v>137.75470000000001</v>
      </c>
      <c r="M8008">
        <v>0.99989170000000005</v>
      </c>
      <c r="N8008">
        <v>-1.4131970000000001E-2</v>
      </c>
      <c r="O8008">
        <v>-4.1266929999999999E-3</v>
      </c>
      <c r="P8008">
        <v>0.93258390000000002</v>
      </c>
      <c r="Q8008">
        <v>0.3463869</v>
      </c>
      <c r="R8008">
        <v>0.1015054</v>
      </c>
      <c r="S8008">
        <v>3.3359679999999998</v>
      </c>
      <c r="T8008">
        <v>-0.32536540000000003</v>
      </c>
      <c r="U8008">
        <v>5.8242799999999997E-2</v>
      </c>
      <c r="V8008">
        <v>-0.1052449</v>
      </c>
      <c r="W8008">
        <v>0.35955769999999998</v>
      </c>
      <c r="X8008">
        <v>0.92716869999999996</v>
      </c>
      <c r="Y8008">
        <v>-2.1451810000000002E-2</v>
      </c>
      <c r="Z8008">
        <v>1.5388859999999999E-3</v>
      </c>
      <c r="AA8008">
        <v>0.99976869999999995</v>
      </c>
      <c r="AB8008">
        <v>29</v>
      </c>
      <c r="AC8008">
        <v>0.63159999999999095</v>
      </c>
      <c r="AD8008">
        <v>-8.5694999999999993E-2</v>
      </c>
      <c r="AE8008">
        <v>1.6399999999975899E-2</v>
      </c>
      <c r="AF8008">
        <v>-1.8663203062008402E-2</v>
      </c>
      <c r="AG8008">
        <v>-8.5694999999999993E-2</v>
      </c>
      <c r="AH8008">
        <v>0.62011894954226399</v>
      </c>
      <c r="AI8008">
        <v>97.864426202285998</v>
      </c>
      <c r="AJ8008">
        <v>91.723862957264103</v>
      </c>
      <c r="AK8008">
        <v>0.62629023603672296</v>
      </c>
      <c r="AL8008">
        <v>68.926964939288396</v>
      </c>
      <c r="AM8008">
        <v>96.476046642948504</v>
      </c>
      <c r="AN8008">
        <v>1.00000001343249</v>
      </c>
    </row>
    <row r="8009" spans="1:40" x14ac:dyDescent="0.25">
      <c r="A8009" t="str">
        <f>"20190304164318511"</f>
        <v>20190304164318511</v>
      </c>
      <c r="B8009" t="str">
        <f>"1551688998498854"</f>
        <v>1551688998498854</v>
      </c>
      <c r="C8009" t="s">
        <v>40</v>
      </c>
      <c r="D8009">
        <v>4.3397860000000001</v>
      </c>
      <c r="E8009">
        <v>0.54447760000000001</v>
      </c>
      <c r="F8009" t="s">
        <v>41</v>
      </c>
      <c r="G8009">
        <v>-127.4885</v>
      </c>
      <c r="H8009">
        <v>1.021363</v>
      </c>
      <c r="I8009">
        <v>137.76949999999999</v>
      </c>
      <c r="J8009">
        <v>-128.08619999999999</v>
      </c>
      <c r="K8009">
        <v>1.1106039999999999</v>
      </c>
      <c r="L8009">
        <v>137.7533</v>
      </c>
      <c r="M8009">
        <v>0.99989110000000003</v>
      </c>
      <c r="N8009">
        <v>-1.4137429999999999E-2</v>
      </c>
      <c r="O8009">
        <v>-4.2591449999999998E-3</v>
      </c>
      <c r="P8009">
        <v>0.93302430000000003</v>
      </c>
      <c r="Q8009">
        <v>0.34566380000000002</v>
      </c>
      <c r="R8009">
        <v>9.9912539999999994E-2</v>
      </c>
      <c r="S8009">
        <v>3.335175</v>
      </c>
      <c r="T8009">
        <v>-0.33481569999999999</v>
      </c>
      <c r="U8009">
        <v>5.57251E-2</v>
      </c>
      <c r="V8009">
        <v>-0.1037787</v>
      </c>
      <c r="W8009">
        <v>0.35884480000000002</v>
      </c>
      <c r="X8009">
        <v>0.92761000000000005</v>
      </c>
      <c r="Y8009">
        <v>-2.0829500000000001E-2</v>
      </c>
      <c r="Z8009">
        <v>1.5569049999999999E-3</v>
      </c>
      <c r="AA8009">
        <v>0.99978180000000005</v>
      </c>
      <c r="AB8009">
        <v>29</v>
      </c>
      <c r="AC8009">
        <v>0.59769999999998902</v>
      </c>
      <c r="AD8009">
        <v>-8.9241000000000098E-2</v>
      </c>
      <c r="AE8009">
        <v>1.6199999999997699E-2</v>
      </c>
      <c r="AF8009">
        <v>-1.8337310391021398E-2</v>
      </c>
      <c r="AG8009">
        <v>-8.9241000000000098E-2</v>
      </c>
      <c r="AH8009">
        <v>0.58460277497548496</v>
      </c>
      <c r="AI8009">
        <v>98.6751313764332</v>
      </c>
      <c r="AJ8009">
        <v>91.796615007758305</v>
      </c>
      <c r="AK8009">
        <v>0.591659207265817</v>
      </c>
      <c r="AL8009">
        <v>68.970730953076099</v>
      </c>
      <c r="AM8009">
        <v>96.383564185789197</v>
      </c>
      <c r="AN8009">
        <v>0.999999960580364</v>
      </c>
    </row>
    <row r="8010" spans="1:40" x14ac:dyDescent="0.25">
      <c r="A8010" t="str">
        <f>"20190304164318534"</f>
        <v>20190304164318534</v>
      </c>
      <c r="B8010" t="str">
        <f>"1551688998529109"</f>
        <v>1551688998529109</v>
      </c>
      <c r="C8010" t="s">
        <v>40</v>
      </c>
      <c r="D8010">
        <v>4.2766929999999999</v>
      </c>
      <c r="E8010">
        <v>0.54446559999999999</v>
      </c>
      <c r="F8010" t="s">
        <v>41</v>
      </c>
      <c r="G8010">
        <v>-127.22669999999999</v>
      </c>
      <c r="H8010">
        <v>1.0235270000000001</v>
      </c>
      <c r="I8010">
        <v>137.76660000000001</v>
      </c>
      <c r="J8010">
        <v>-127.791</v>
      </c>
      <c r="K8010">
        <v>1.1106400000000001</v>
      </c>
      <c r="L8010">
        <v>137.75190000000001</v>
      </c>
      <c r="M8010">
        <v>0.99989050000000002</v>
      </c>
      <c r="N8010">
        <v>-1.414177E-2</v>
      </c>
      <c r="O8010">
        <v>-4.389184E-3</v>
      </c>
      <c r="P8010">
        <v>0.93208869999999999</v>
      </c>
      <c r="Q8010">
        <v>0.34836820000000002</v>
      </c>
      <c r="R8010">
        <v>9.9250060000000001E-2</v>
      </c>
      <c r="S8010">
        <v>3.3350219999999999</v>
      </c>
      <c r="T8010">
        <v>-0.33793519999999999</v>
      </c>
      <c r="U8010">
        <v>5.1589969999999999E-2</v>
      </c>
      <c r="V8010">
        <v>-0.10323499999999999</v>
      </c>
      <c r="W8010">
        <v>0.36153869999999999</v>
      </c>
      <c r="X8010">
        <v>0.92662420000000001</v>
      </c>
      <c r="Y8010">
        <v>-1.9724459999999999E-2</v>
      </c>
      <c r="Z8010">
        <v>1.5182710000000001E-3</v>
      </c>
      <c r="AA8010">
        <v>0.99980429999999998</v>
      </c>
      <c r="AB8010">
        <v>29</v>
      </c>
      <c r="AC8010">
        <v>0.56430000000000202</v>
      </c>
      <c r="AD8010">
        <v>-8.7112999999999996E-2</v>
      </c>
      <c r="AE8010">
        <v>1.47000000000048E-2</v>
      </c>
      <c r="AF8010">
        <v>-1.6777368656144001E-2</v>
      </c>
      <c r="AG8010">
        <v>-8.7112999999999996E-2</v>
      </c>
      <c r="AH8010">
        <v>0.55110544039307297</v>
      </c>
      <c r="AI8010">
        <v>98.978308187086299</v>
      </c>
      <c r="AJ8010">
        <v>91.743723698067697</v>
      </c>
      <c r="AK8010">
        <v>0.55820010865178704</v>
      </c>
      <c r="AL8010">
        <v>68.805278199827896</v>
      </c>
      <c r="AM8010">
        <v>96.357095075489497</v>
      </c>
      <c r="AN8010">
        <v>1.0000000524241599</v>
      </c>
    </row>
    <row r="8011" spans="1:40" x14ac:dyDescent="0.25">
      <c r="A8011" t="str">
        <f>"20190304164318556"</f>
        <v>20190304164318556</v>
      </c>
      <c r="B8011" t="str">
        <f>"1551688998548630"</f>
        <v>1551688998548630</v>
      </c>
      <c r="C8011" t="s">
        <v>40</v>
      </c>
      <c r="D8011">
        <v>4.2418319999999996</v>
      </c>
      <c r="E8011">
        <v>0.54445200000000005</v>
      </c>
      <c r="F8011" t="s">
        <v>41</v>
      </c>
      <c r="G8011">
        <v>-126.9623</v>
      </c>
      <c r="H8011">
        <v>1.028956</v>
      </c>
      <c r="I8011">
        <v>137.7645</v>
      </c>
      <c r="J8011">
        <v>-127.5029</v>
      </c>
      <c r="K8011">
        <v>1.110681</v>
      </c>
      <c r="L8011">
        <v>137.75049999999999</v>
      </c>
      <c r="M8011">
        <v>0.9998899</v>
      </c>
      <c r="N8011">
        <v>-1.4145039999999999E-2</v>
      </c>
      <c r="O8011">
        <v>-4.50652E-3</v>
      </c>
      <c r="P8011">
        <v>0.93045420000000001</v>
      </c>
      <c r="Q8011">
        <v>0.35289399999999999</v>
      </c>
      <c r="R8011">
        <v>9.8594349999999997E-2</v>
      </c>
      <c r="S8011">
        <v>3.3360439999999998</v>
      </c>
      <c r="T8011">
        <v>-0.32887450000000001</v>
      </c>
      <c r="U8011">
        <v>5.1025389999999997E-2</v>
      </c>
      <c r="V8011">
        <v>-0.1026847</v>
      </c>
      <c r="W8011">
        <v>0.36604249999999999</v>
      </c>
      <c r="X8011">
        <v>0.92491559999999995</v>
      </c>
      <c r="Y8011">
        <v>-1.9674549999999999E-2</v>
      </c>
      <c r="Z8011">
        <v>1.486481E-3</v>
      </c>
      <c r="AA8011">
        <v>0.99980530000000001</v>
      </c>
      <c r="AB8011">
        <v>29</v>
      </c>
      <c r="AC8011">
        <v>0.54059999999999697</v>
      </c>
      <c r="AD8011">
        <v>-8.1725000000000006E-2</v>
      </c>
      <c r="AE8011">
        <v>1.4000000000009999E-2</v>
      </c>
      <c r="AF8011">
        <v>-1.60693275153523E-2</v>
      </c>
      <c r="AG8011">
        <v>-8.1725000000000006E-2</v>
      </c>
      <c r="AH8011">
        <v>0.52846215580394296</v>
      </c>
      <c r="AI8011">
        <v>98.786973842056099</v>
      </c>
      <c r="AJ8011">
        <v>91.741697155256603</v>
      </c>
      <c r="AK8011">
        <v>0.53498546618459297</v>
      </c>
      <c r="AL8011">
        <v>68.5282474043983</v>
      </c>
      <c r="AM8011">
        <v>96.335069959483604</v>
      </c>
      <c r="AN8011">
        <v>1.00000006327184</v>
      </c>
    </row>
    <row r="8012" spans="1:40" x14ac:dyDescent="0.25">
      <c r="A8012" t="str">
        <f>"20190304164318578"</f>
        <v>20190304164318578</v>
      </c>
      <c r="B8012" t="str">
        <f>"1551688998569127"</f>
        <v>1551688998569127</v>
      </c>
      <c r="C8012" t="s">
        <v>40</v>
      </c>
      <c r="D8012">
        <v>4.2470569999999999</v>
      </c>
      <c r="E8012">
        <v>0.54443619999999904</v>
      </c>
      <c r="F8012" t="s">
        <v>42</v>
      </c>
      <c r="G8012">
        <v>-115.6713</v>
      </c>
      <c r="H8012" s="1">
        <v>-2.1379950000000002E-6</v>
      </c>
      <c r="I8012">
        <v>137.9325</v>
      </c>
      <c r="J8012">
        <v>-127.2163</v>
      </c>
      <c r="K8012">
        <v>1.110716</v>
      </c>
      <c r="L8012">
        <v>137.7491</v>
      </c>
      <c r="M8012">
        <v>0.99988940000000004</v>
      </c>
      <c r="N8012">
        <v>-1.414752E-2</v>
      </c>
      <c r="O8012">
        <v>-4.6055089999999998E-3</v>
      </c>
      <c r="P8012">
        <v>0.9284348</v>
      </c>
      <c r="Q8012">
        <v>0.35816500000000001</v>
      </c>
      <c r="R8012">
        <v>9.862245E-2</v>
      </c>
      <c r="S8012">
        <v>3.3376160000000001</v>
      </c>
      <c r="T8012">
        <v>-0.31331439999999999</v>
      </c>
      <c r="U8012">
        <v>5.1345830000000002E-2</v>
      </c>
      <c r="V8012">
        <v>-0.1028048</v>
      </c>
      <c r="W8012">
        <v>0.37128349999999999</v>
      </c>
      <c r="X8012">
        <v>0.92281080000000004</v>
      </c>
      <c r="Y8012">
        <v>-1.9872250000000001E-2</v>
      </c>
      <c r="Z8012">
        <v>1.4379130000000001E-3</v>
      </c>
      <c r="AA8012">
        <v>0.99980150000000001</v>
      </c>
      <c r="AB8012">
        <v>29</v>
      </c>
      <c r="AC8012">
        <v>11.545</v>
      </c>
      <c r="AD8012">
        <v>-1.110718137995</v>
      </c>
      <c r="AE8012">
        <v>0.183400000000006</v>
      </c>
      <c r="AF8012">
        <v>-0.23440488642870699</v>
      </c>
      <c r="AG8012">
        <v>-1.110718137995</v>
      </c>
      <c r="AH8012">
        <v>11.4381884902176</v>
      </c>
      <c r="AI8012">
        <v>95.545224214764801</v>
      </c>
      <c r="AJ8012">
        <v>91.174008545943494</v>
      </c>
      <c r="AK8012">
        <v>11.4943810781877</v>
      </c>
      <c r="AL8012">
        <v>68.205204576484107</v>
      </c>
      <c r="AM8012">
        <v>96.356766978964799</v>
      </c>
      <c r="AN8012">
        <v>1.0000000184359601</v>
      </c>
    </row>
    <row r="8013" spans="1:40" x14ac:dyDescent="0.25">
      <c r="A8013" t="str">
        <f>"20190304164318601"</f>
        <v>20190304164318601</v>
      </c>
      <c r="B8013" t="str">
        <f>"1551688998589622"</f>
        <v>1551688998589622</v>
      </c>
      <c r="C8013" t="s">
        <v>40</v>
      </c>
      <c r="D8013">
        <v>4.258553</v>
      </c>
      <c r="E8013">
        <v>0.54441629999999996</v>
      </c>
      <c r="F8013" t="s">
        <v>42</v>
      </c>
      <c r="G8013">
        <v>-114.65089999999999</v>
      </c>
      <c r="H8013" s="1">
        <v>-2.5717969999999998E-6</v>
      </c>
      <c r="I8013">
        <v>137.9547</v>
      </c>
      <c r="J8013">
        <v>-126.9217</v>
      </c>
      <c r="K8013">
        <v>1.1107419999999999</v>
      </c>
      <c r="L8013">
        <v>137.74760000000001</v>
      </c>
      <c r="M8013">
        <v>0.99988889999999997</v>
      </c>
      <c r="N8013">
        <v>-1.414934E-2</v>
      </c>
      <c r="O8013">
        <v>-4.6814810000000004E-3</v>
      </c>
      <c r="P8013">
        <v>0.92748980000000003</v>
      </c>
      <c r="Q8013">
        <v>0.36058689999999999</v>
      </c>
      <c r="R8013">
        <v>9.8690319999999998E-2</v>
      </c>
      <c r="S8013">
        <v>3.3393099999999998</v>
      </c>
      <c r="T8013">
        <v>-0.2951781</v>
      </c>
      <c r="U8013">
        <v>5.4641719999999998E-2</v>
      </c>
      <c r="V8013">
        <v>-0.10295550000000001</v>
      </c>
      <c r="W8013">
        <v>0.37368859999999998</v>
      </c>
      <c r="X8013">
        <v>0.92182269999999999</v>
      </c>
      <c r="Y8013">
        <v>-2.0934540000000001E-2</v>
      </c>
      <c r="Z8013">
        <v>1.4187080000000001E-3</v>
      </c>
      <c r="AA8013">
        <v>0.9997798</v>
      </c>
      <c r="AB8013">
        <v>29</v>
      </c>
      <c r="AC8013">
        <v>12.270799999999999</v>
      </c>
      <c r="AD8013">
        <v>-1.1107445717969999</v>
      </c>
      <c r="AE8013">
        <v>0.20709999999999601</v>
      </c>
      <c r="AF8013">
        <v>-0.262399576424515</v>
      </c>
      <c r="AG8013">
        <v>-1.1107445717969999</v>
      </c>
      <c r="AH8013">
        <v>12.1700062978184</v>
      </c>
      <c r="AI8013">
        <v>95.213676678391394</v>
      </c>
      <c r="AJ8013">
        <v>91.2351726702326</v>
      </c>
      <c r="AK8013">
        <v>12.223406249095399</v>
      </c>
      <c r="AL8013">
        <v>68.056717615759297</v>
      </c>
      <c r="AM8013">
        <v>96.372776425765096</v>
      </c>
      <c r="AN8013">
        <v>1.00000004749274</v>
      </c>
    </row>
    <row r="8014" spans="1:40" x14ac:dyDescent="0.25">
      <c r="A8014" t="str">
        <f>"20190304164318624"</f>
        <v>20190304164318624</v>
      </c>
      <c r="B8014" t="str">
        <f>"1551688998618902"</f>
        <v>1551688998618902</v>
      </c>
      <c r="C8014" t="s">
        <v>40</v>
      </c>
      <c r="D8014">
        <v>4.3105880000000001</v>
      </c>
      <c r="E8014">
        <v>0.54439399999999905</v>
      </c>
      <c r="F8014" t="s">
        <v>42</v>
      </c>
      <c r="G8014">
        <v>-114.0057</v>
      </c>
      <c r="H8014" s="1">
        <v>-2.8454849999999999E-6</v>
      </c>
      <c r="I8014">
        <v>137.97219999999999</v>
      </c>
      <c r="J8014">
        <v>-126.626</v>
      </c>
      <c r="K8014">
        <v>1.1107659999999999</v>
      </c>
      <c r="L8014">
        <v>137.74610000000001</v>
      </c>
      <c r="M8014">
        <v>0.99988849999999996</v>
      </c>
      <c r="N8014">
        <v>-1.41701E-2</v>
      </c>
      <c r="O8014">
        <v>-4.728688E-3</v>
      </c>
      <c r="P8014">
        <v>0.92684650000000002</v>
      </c>
      <c r="Q8014">
        <v>0.36213580000000001</v>
      </c>
      <c r="R8014">
        <v>9.9062040000000004E-2</v>
      </c>
      <c r="S8014">
        <v>3.3400120000000002</v>
      </c>
      <c r="T8014">
        <v>-0.28723219999999999</v>
      </c>
      <c r="U8014">
        <v>5.807495E-2</v>
      </c>
      <c r="V8014">
        <v>-0.1033879</v>
      </c>
      <c r="W8014">
        <v>0.3752414</v>
      </c>
      <c r="X8014">
        <v>0.92114320000000005</v>
      </c>
      <c r="Y8014">
        <v>-2.200647E-2</v>
      </c>
      <c r="Z8014">
        <v>1.4396840000000001E-3</v>
      </c>
      <c r="AA8014">
        <v>0.9997568</v>
      </c>
      <c r="AB8014">
        <v>29</v>
      </c>
      <c r="AC8014">
        <v>12.6203</v>
      </c>
      <c r="AD8014">
        <v>-1.110768845485</v>
      </c>
      <c r="AE8014">
        <v>0.22609999999997399</v>
      </c>
      <c r="AF8014">
        <v>-0.28358482256390199</v>
      </c>
      <c r="AG8014">
        <v>-1.110768845485</v>
      </c>
      <c r="AH8014">
        <v>12.522117592295499</v>
      </c>
      <c r="AI8014">
        <v>95.067836181712096</v>
      </c>
      <c r="AJ8014">
        <v>91.297339402961796</v>
      </c>
      <c r="AK8014">
        <v>12.574484354237599</v>
      </c>
      <c r="AL8014">
        <v>67.960765934841703</v>
      </c>
      <c r="AM8014">
        <v>96.404001088945293</v>
      </c>
      <c r="AN8014">
        <v>0.99999998052330397</v>
      </c>
    </row>
    <row r="8015" spans="1:40" x14ac:dyDescent="0.25">
      <c r="A8015" t="str">
        <f>"20190304164318646"</f>
        <v>20190304164318646</v>
      </c>
      <c r="B8015" t="str">
        <f>"1551688998639398"</f>
        <v>1551688998639398</v>
      </c>
      <c r="C8015" t="s">
        <v>40</v>
      </c>
      <c r="D8015">
        <v>4.2767080000000002</v>
      </c>
      <c r="E8015">
        <v>0.54210040000000004</v>
      </c>
      <c r="F8015" t="s">
        <v>41</v>
      </c>
      <c r="G8015">
        <v>-125.6647</v>
      </c>
      <c r="H8015">
        <v>1.0295319999999999</v>
      </c>
      <c r="I8015">
        <v>137.76390000000001</v>
      </c>
      <c r="J8015">
        <v>-126.3409</v>
      </c>
      <c r="K8015">
        <v>1.1108100000000001</v>
      </c>
      <c r="L8015">
        <v>137.74469999999999</v>
      </c>
      <c r="M8015">
        <v>0.99988670000000002</v>
      </c>
      <c r="N8015">
        <v>-1.4289349999999999E-2</v>
      </c>
      <c r="O8015">
        <v>-4.7486799999999999E-3</v>
      </c>
      <c r="P8015">
        <v>0.92610329999999996</v>
      </c>
      <c r="Q8015">
        <v>0.36388880000000001</v>
      </c>
      <c r="R8015">
        <v>9.9588750000000004E-2</v>
      </c>
      <c r="S8015">
        <v>3.3405</v>
      </c>
      <c r="T8015">
        <v>-0.28237139999999999</v>
      </c>
      <c r="U8015">
        <v>6.1843870000000002E-2</v>
      </c>
      <c r="V8015">
        <v>-0.1039445</v>
      </c>
      <c r="W8015">
        <v>0.37708989999999998</v>
      </c>
      <c r="X8015">
        <v>0.92032530000000001</v>
      </c>
      <c r="Y8015">
        <v>-2.31501E-2</v>
      </c>
      <c r="Z8015">
        <v>1.4752840000000001E-3</v>
      </c>
      <c r="AA8015">
        <v>0.99973089999999998</v>
      </c>
      <c r="AB8015">
        <v>29</v>
      </c>
      <c r="AC8015">
        <v>0.67620000000000802</v>
      </c>
      <c r="AD8015">
        <v>-8.12780000000001E-2</v>
      </c>
      <c r="AE8015">
        <v>1.9200000000011999E-2</v>
      </c>
      <c r="AF8015">
        <v>-2.2092245738727902E-2</v>
      </c>
      <c r="AG8015">
        <v>-8.12780000000001E-2</v>
      </c>
      <c r="AH8015">
        <v>0.66647991251443695</v>
      </c>
      <c r="AI8015">
        <v>96.949174876391496</v>
      </c>
      <c r="AJ8015">
        <v>91.898525550108204</v>
      </c>
      <c r="AK8015">
        <v>0.67178095715123698</v>
      </c>
      <c r="AL8015">
        <v>67.8464584979954</v>
      </c>
      <c r="AM8015">
        <v>96.443862571417796</v>
      </c>
      <c r="AN8015">
        <v>0.99999995479117398</v>
      </c>
    </row>
    <row r="8016" spans="1:40" x14ac:dyDescent="0.25">
      <c r="A8016" t="str">
        <f>"20190304164318669"</f>
        <v>20190304164318669</v>
      </c>
      <c r="B8016" t="str">
        <f>"1551688998658918"</f>
        <v>1551688998658918</v>
      </c>
      <c r="C8016" t="s">
        <v>40</v>
      </c>
      <c r="D8016">
        <v>4.3000660000000002</v>
      </c>
      <c r="E8016">
        <v>0.54191420000000001</v>
      </c>
      <c r="F8016" t="s">
        <v>41</v>
      </c>
      <c r="G8016">
        <v>-125.4152</v>
      </c>
      <c r="H8016">
        <v>1.0197579999999999</v>
      </c>
      <c r="I8016">
        <v>137.76910000000001</v>
      </c>
      <c r="J8016">
        <v>-126.0483</v>
      </c>
      <c r="K8016">
        <v>1.110892</v>
      </c>
      <c r="L8016">
        <v>137.7433</v>
      </c>
      <c r="M8016">
        <v>0.99988279999999996</v>
      </c>
      <c r="N8016">
        <v>-1.4554569999999999E-2</v>
      </c>
      <c r="O8016">
        <v>-4.7542569999999996E-3</v>
      </c>
      <c r="P8016">
        <v>0.92525769999999996</v>
      </c>
      <c r="Q8016">
        <v>0.36604049999999999</v>
      </c>
      <c r="R8016">
        <v>9.95611E-2</v>
      </c>
      <c r="S8016">
        <v>3.3596949999999999</v>
      </c>
      <c r="T8016">
        <v>-0.33050190000000002</v>
      </c>
      <c r="U8016">
        <v>8.8592530000000003E-2</v>
      </c>
      <c r="V8016">
        <v>-0.10393189999999999</v>
      </c>
      <c r="W8016">
        <v>0.37946869999999999</v>
      </c>
      <c r="X8016">
        <v>0.91934850000000001</v>
      </c>
      <c r="Y8016">
        <v>-3.092485E-2</v>
      </c>
      <c r="Z8016">
        <v>2.1403189999999999E-3</v>
      </c>
      <c r="AA8016">
        <v>0.99951939999999995</v>
      </c>
      <c r="AB8016">
        <v>29</v>
      </c>
      <c r="AC8016">
        <v>0.633099999999998</v>
      </c>
      <c r="AD8016">
        <v>-9.1134000000000007E-2</v>
      </c>
      <c r="AE8016">
        <v>2.5800000000003799E-2</v>
      </c>
      <c r="AF8016">
        <v>-2.8226037775268002E-2</v>
      </c>
      <c r="AG8016">
        <v>-9.1134000000000007E-2</v>
      </c>
      <c r="AH8016">
        <v>0.62014136291169797</v>
      </c>
      <c r="AI8016">
        <v>98.351640882746594</v>
      </c>
      <c r="AJ8016">
        <v>92.606046837456205</v>
      </c>
      <c r="AK8016">
        <v>0.62743718821764805</v>
      </c>
      <c r="AL8016">
        <v>67.699223382986006</v>
      </c>
      <c r="AM8016">
        <v>96.449876093525404</v>
      </c>
      <c r="AN8016">
        <v>0.99999999928477401</v>
      </c>
    </row>
    <row r="8017" spans="1:40" x14ac:dyDescent="0.25">
      <c r="A8017" t="str">
        <f>"20190304164318691"</f>
        <v>20190304164318691</v>
      </c>
      <c r="B8017" t="str">
        <f>"1551688998679414"</f>
        <v>1551688998679414</v>
      </c>
      <c r="C8017" t="s">
        <v>40</v>
      </c>
      <c r="D8017">
        <v>4.3262669999999996</v>
      </c>
      <c r="E8017">
        <v>0.54184779999999999</v>
      </c>
      <c r="F8017" t="s">
        <v>41</v>
      </c>
      <c r="G8017">
        <v>-125.1553</v>
      </c>
      <c r="H8017">
        <v>1.0240039999999999</v>
      </c>
      <c r="I8017">
        <v>137.76759999999999</v>
      </c>
      <c r="J8017">
        <v>-125.77549999999999</v>
      </c>
      <c r="K8017">
        <v>1.1109869999999999</v>
      </c>
      <c r="L8017">
        <v>137.74199999999999</v>
      </c>
      <c r="M8017">
        <v>0.99987800000000004</v>
      </c>
      <c r="N8017">
        <v>-1.4886720000000001E-2</v>
      </c>
      <c r="O8017">
        <v>-4.7396249999999999E-3</v>
      </c>
      <c r="P8017">
        <v>0.92485430000000002</v>
      </c>
      <c r="Q8017">
        <v>0.36697679999999999</v>
      </c>
      <c r="R8017">
        <v>9.9863530000000006E-2</v>
      </c>
      <c r="S8017">
        <v>3.3618929999999998</v>
      </c>
      <c r="T8017">
        <v>-0.32712190000000002</v>
      </c>
      <c r="U8017">
        <v>9.1705320000000007E-2</v>
      </c>
      <c r="V8017">
        <v>-0.10423250000000001</v>
      </c>
      <c r="W8017">
        <v>0.38070100000000001</v>
      </c>
      <c r="X8017">
        <v>0.91880479999999998</v>
      </c>
      <c r="Y8017">
        <v>-3.1816520000000001E-2</v>
      </c>
      <c r="Z8017">
        <v>2.1711170000000002E-3</v>
      </c>
      <c r="AA8017">
        <v>0.99949140000000003</v>
      </c>
      <c r="AB8017">
        <v>29</v>
      </c>
      <c r="AC8017">
        <v>0.62019999999999698</v>
      </c>
      <c r="AD8017">
        <v>-8.6983000000000005E-2</v>
      </c>
      <c r="AE8017">
        <v>2.55999999999687E-2</v>
      </c>
      <c r="AF8017">
        <v>-2.7989926926140201E-2</v>
      </c>
      <c r="AG8017">
        <v>-8.6983000000000005E-2</v>
      </c>
      <c r="AH8017">
        <v>0.60813008739035102</v>
      </c>
      <c r="AI8017">
        <v>98.131513774169704</v>
      </c>
      <c r="AJ8017">
        <v>92.635248142005494</v>
      </c>
      <c r="AK8017">
        <v>0.61495665008822098</v>
      </c>
      <c r="AL8017">
        <v>67.622888159284003</v>
      </c>
      <c r="AM8017">
        <v>96.472168226362399</v>
      </c>
      <c r="AN8017">
        <v>0.99999996298014404</v>
      </c>
    </row>
    <row r="8018" spans="1:40" x14ac:dyDescent="0.25">
      <c r="A8018" t="str">
        <f>"20190304164318713"</f>
        <v>20190304164318713</v>
      </c>
      <c r="B8018" t="str">
        <f>"1551688998708694"</f>
        <v>1551688998708694</v>
      </c>
      <c r="C8018" t="s">
        <v>40</v>
      </c>
      <c r="D8018">
        <v>4.3160949999999998</v>
      </c>
      <c r="E8018">
        <v>0.54198599999999997</v>
      </c>
      <c r="F8018" t="s">
        <v>41</v>
      </c>
      <c r="G8018">
        <v>-124.8995</v>
      </c>
      <c r="H8018">
        <v>1.024837</v>
      </c>
      <c r="I8018">
        <v>137.76580000000001</v>
      </c>
      <c r="J8018">
        <v>-125.4855</v>
      </c>
      <c r="K8018">
        <v>1.111102</v>
      </c>
      <c r="L8018">
        <v>137.7406</v>
      </c>
      <c r="M8018">
        <v>0.99987150000000002</v>
      </c>
      <c r="N8018">
        <v>-1.53305E-2</v>
      </c>
      <c r="O8018">
        <v>-4.690708E-3</v>
      </c>
      <c r="P8018">
        <v>0.92507620000000002</v>
      </c>
      <c r="Q8018">
        <v>0.36625829999999998</v>
      </c>
      <c r="R8018">
        <v>0.1004428</v>
      </c>
      <c r="S8018">
        <v>3.365189</v>
      </c>
      <c r="T8018">
        <v>-0.3310362</v>
      </c>
      <c r="U8018">
        <v>9.1857910000000001E-2</v>
      </c>
      <c r="V8018">
        <v>-0.1047877</v>
      </c>
      <c r="W8018">
        <v>0.38038830000000001</v>
      </c>
      <c r="X8018">
        <v>0.9188712</v>
      </c>
      <c r="Y8018">
        <v>-3.1782119999999997E-2</v>
      </c>
      <c r="Z8018">
        <v>2.192004E-3</v>
      </c>
      <c r="AA8018">
        <v>0.99949239999999995</v>
      </c>
      <c r="AB8018">
        <v>29</v>
      </c>
      <c r="AC8018">
        <v>0.58599999999999797</v>
      </c>
      <c r="AD8018">
        <v>-8.6264999999999994E-2</v>
      </c>
      <c r="AE8018">
        <v>2.5200000000012299E-2</v>
      </c>
      <c r="AF8018">
        <v>-2.7357047085567299E-2</v>
      </c>
      <c r="AG8018">
        <v>-8.6264999999999994E-2</v>
      </c>
      <c r="AH8018">
        <v>0.57347072860671</v>
      </c>
      <c r="AI8018">
        <v>98.545070222111406</v>
      </c>
      <c r="AJ8018">
        <v>92.731187256662395</v>
      </c>
      <c r="AK8018">
        <v>0.58056759711419703</v>
      </c>
      <c r="AL8018">
        <v>67.642263112436595</v>
      </c>
      <c r="AM8018">
        <v>96.505881609025494</v>
      </c>
      <c r="AN8018">
        <v>1.00000000151881</v>
      </c>
    </row>
    <row r="8019" spans="1:40" x14ac:dyDescent="0.25">
      <c r="A8019" t="str">
        <f>"20190304164318735"</f>
        <v>20190304164318735</v>
      </c>
      <c r="B8019" t="str">
        <f>"1551688998729190"</f>
        <v>1551688998729190</v>
      </c>
      <c r="C8019" t="s">
        <v>40</v>
      </c>
      <c r="D8019">
        <v>4.3238120000000002</v>
      </c>
      <c r="E8019">
        <v>0.54193369999999996</v>
      </c>
      <c r="F8019" t="s">
        <v>41</v>
      </c>
      <c r="G8019">
        <v>-124.645</v>
      </c>
      <c r="H8019">
        <v>1.0259199999999999</v>
      </c>
      <c r="I8019">
        <v>137.76329999999999</v>
      </c>
      <c r="J8019">
        <v>-125.20310000000001</v>
      </c>
      <c r="K8019">
        <v>1.1112249999999999</v>
      </c>
      <c r="L8019">
        <v>137.73939999999999</v>
      </c>
      <c r="M8019">
        <v>0.99986370000000002</v>
      </c>
      <c r="N8019">
        <v>-1.585841E-2</v>
      </c>
      <c r="O8019">
        <v>-4.6009950000000001E-3</v>
      </c>
      <c r="P8019">
        <v>0.92611030000000005</v>
      </c>
      <c r="Q8019">
        <v>0.36382690000000001</v>
      </c>
      <c r="R8019">
        <v>9.9749580000000004E-2</v>
      </c>
      <c r="S8019">
        <v>3.368271</v>
      </c>
      <c r="T8019">
        <v>-0.34136509999999998</v>
      </c>
      <c r="U8019">
        <v>9.0866089999999997E-2</v>
      </c>
      <c r="V8019">
        <v>-0.104044899999999</v>
      </c>
      <c r="W8019">
        <v>0.37845119999999999</v>
      </c>
      <c r="X8019">
        <v>0.91975499999999999</v>
      </c>
      <c r="Y8019">
        <v>-3.1364290000000003E-2</v>
      </c>
      <c r="Z8019">
        <v>2.226717E-3</v>
      </c>
      <c r="AA8019">
        <v>0.99950550000000005</v>
      </c>
      <c r="AB8019">
        <v>29</v>
      </c>
      <c r="AC8019">
        <v>0.55810000000001003</v>
      </c>
      <c r="AD8019">
        <v>-8.5304999999999701E-2</v>
      </c>
      <c r="AE8019">
        <v>2.38999999999975E-2</v>
      </c>
      <c r="AF8019">
        <v>-2.58647189513121E-2</v>
      </c>
      <c r="AG8019">
        <v>-8.5304999999999701E-2</v>
      </c>
      <c r="AH8019">
        <v>0.54526843419837001</v>
      </c>
      <c r="AI8019">
        <v>98.881787251073206</v>
      </c>
      <c r="AJ8019">
        <v>92.715780253495794</v>
      </c>
      <c r="AK8019">
        <v>0.55250664434427599</v>
      </c>
      <c r="AL8019">
        <v>67.762219599139996</v>
      </c>
      <c r="AM8019">
        <v>96.453999921621303</v>
      </c>
      <c r="AN8019">
        <v>0.99999995601122305</v>
      </c>
    </row>
    <row r="8020" spans="1:40" x14ac:dyDescent="0.25">
      <c r="A8020" t="str">
        <f>"20190304164318757"</f>
        <v>20190304164318757</v>
      </c>
      <c r="B8020" t="str">
        <f>"1551688998748710"</f>
        <v>1551688998748710</v>
      </c>
      <c r="C8020" t="s">
        <v>40</v>
      </c>
      <c r="D8020">
        <v>4.3335520000000001</v>
      </c>
      <c r="E8020">
        <v>0.54198489999999999</v>
      </c>
      <c r="F8020" t="s">
        <v>41</v>
      </c>
      <c r="G8020">
        <v>-124.3982</v>
      </c>
      <c r="H8020">
        <v>1.0193099999999999</v>
      </c>
      <c r="I8020">
        <v>137.76089999999999</v>
      </c>
      <c r="J8020">
        <v>-124.92310000000001</v>
      </c>
      <c r="K8020">
        <v>1.1113649999999999</v>
      </c>
      <c r="L8020">
        <v>137.73820000000001</v>
      </c>
      <c r="M8020">
        <v>0.99985460000000004</v>
      </c>
      <c r="N8020">
        <v>-1.6464179999999998E-2</v>
      </c>
      <c r="O8020">
        <v>-4.4653770000000004E-3</v>
      </c>
      <c r="P8020">
        <v>0.92697390000000002</v>
      </c>
      <c r="Q8020">
        <v>0.36171950000000003</v>
      </c>
      <c r="R8020">
        <v>9.9390179999999995E-2</v>
      </c>
      <c r="S8020">
        <v>3.3812869999999999</v>
      </c>
      <c r="T8020">
        <v>-0.38618760000000002</v>
      </c>
      <c r="U8020">
        <v>9.0866089999999997E-2</v>
      </c>
      <c r="V8020">
        <v>-0.1035988</v>
      </c>
      <c r="W8020">
        <v>0.37690580000000001</v>
      </c>
      <c r="X8020">
        <v>0.92043969999999997</v>
      </c>
      <c r="Y8020">
        <v>-3.1075180000000001E-2</v>
      </c>
      <c r="Z8020">
        <v>2.4603200000000002E-3</v>
      </c>
      <c r="AA8020">
        <v>0.99951400000000001</v>
      </c>
      <c r="AB8020">
        <v>28</v>
      </c>
      <c r="AC8020">
        <v>0.52490000000000203</v>
      </c>
      <c r="AD8020">
        <v>-9.2054999999999998E-2</v>
      </c>
      <c r="AE8020">
        <v>2.2699999999986099E-2</v>
      </c>
      <c r="AF8020">
        <v>-2.4298032042458301E-2</v>
      </c>
      <c r="AG8020">
        <v>-9.2054999999999998E-2</v>
      </c>
      <c r="AH8020">
        <v>0.50916239838491295</v>
      </c>
      <c r="AI8020">
        <v>100.236792483747</v>
      </c>
      <c r="AJ8020">
        <v>92.732172112812293</v>
      </c>
      <c r="AK8020">
        <v>0.51798732157767402</v>
      </c>
      <c r="AL8020">
        <v>67.857847252685502</v>
      </c>
      <c r="AM8020">
        <v>96.421819271963599</v>
      </c>
      <c r="AN8020">
        <v>0.99999996738558405</v>
      </c>
    </row>
    <row r="8021" spans="1:40" x14ac:dyDescent="0.25">
      <c r="A8021" t="str">
        <f>"20190304164318779"</f>
        <v>20190304164318779</v>
      </c>
      <c r="B8021" t="str">
        <f>"1551688998769206"</f>
        <v>1551688998769206</v>
      </c>
      <c r="C8021" t="s">
        <v>40</v>
      </c>
      <c r="D8021">
        <v>4.3222189999999996</v>
      </c>
      <c r="E8021">
        <v>0.54183049999999999</v>
      </c>
      <c r="F8021" t="s">
        <v>41</v>
      </c>
      <c r="G8021">
        <v>-124.14660000000001</v>
      </c>
      <c r="H8021">
        <v>1.020578</v>
      </c>
      <c r="I8021">
        <v>137.7586</v>
      </c>
      <c r="J8021">
        <v>-124.6507</v>
      </c>
      <c r="K8021">
        <v>1.1115120000000001</v>
      </c>
      <c r="L8021">
        <v>137.7372</v>
      </c>
      <c r="M8021">
        <v>0.99984439999999997</v>
      </c>
      <c r="N8021">
        <v>-1.7114890000000001E-2</v>
      </c>
      <c r="O8021">
        <v>-4.2850459999999998E-3</v>
      </c>
      <c r="P8021">
        <v>0.92752900000000005</v>
      </c>
      <c r="Q8021">
        <v>0.36033140000000002</v>
      </c>
      <c r="R8021">
        <v>9.9255170000000004E-2</v>
      </c>
      <c r="S8021">
        <v>3.3810579999999999</v>
      </c>
      <c r="T8021">
        <v>-0.39527770000000001</v>
      </c>
      <c r="U8021">
        <v>8.8821410000000003E-2</v>
      </c>
      <c r="V8021">
        <v>-0.1033361</v>
      </c>
      <c r="W8021">
        <v>0.37611640000000002</v>
      </c>
      <c r="X8021">
        <v>0.9207921</v>
      </c>
      <c r="Y8021">
        <v>-3.0287390000000001E-2</v>
      </c>
      <c r="Z8021">
        <v>2.450453E-3</v>
      </c>
      <c r="AA8021">
        <v>0.99953820000000004</v>
      </c>
      <c r="AB8021">
        <v>28</v>
      </c>
      <c r="AC8021">
        <v>0.504099999999994</v>
      </c>
      <c r="AD8021">
        <v>-9.0934000000000001E-2</v>
      </c>
      <c r="AE8021">
        <v>2.1399999999999801E-2</v>
      </c>
      <c r="AF8021">
        <v>-2.2819013720090198E-2</v>
      </c>
      <c r="AG8021">
        <v>-9.0934000000000001E-2</v>
      </c>
      <c r="AH8021">
        <v>0.48814784095180203</v>
      </c>
      <c r="AI8021">
        <v>100.541067519544</v>
      </c>
      <c r="AJ8021">
        <v>92.676406576029194</v>
      </c>
      <c r="AK8021">
        <v>0.49706942610571397</v>
      </c>
      <c r="AL8021">
        <v>67.906669864190505</v>
      </c>
      <c r="AM8021">
        <v>96.403239534032807</v>
      </c>
      <c r="AN8021">
        <v>0.99999999366728998</v>
      </c>
    </row>
    <row r="8022" spans="1:40" x14ac:dyDescent="0.25">
      <c r="A8022" t="str">
        <f>"20190304164318802"</f>
        <v>20190304164318802</v>
      </c>
      <c r="B8022" t="str">
        <f>"1551688998799018"</f>
        <v>1551688998799018</v>
      </c>
      <c r="C8022" t="s">
        <v>40</v>
      </c>
      <c r="D8022">
        <v>4.3387029999999998</v>
      </c>
      <c r="E8022">
        <v>0.54158709999999999</v>
      </c>
      <c r="F8022" t="s">
        <v>41</v>
      </c>
      <c r="G8022">
        <v>-123.8967</v>
      </c>
      <c r="H8022">
        <v>1.021577</v>
      </c>
      <c r="I8022">
        <v>137.7567</v>
      </c>
      <c r="J8022">
        <v>-124.3719</v>
      </c>
      <c r="K8022">
        <v>1.1116680000000001</v>
      </c>
      <c r="L8022">
        <v>137.7362</v>
      </c>
      <c r="M8022">
        <v>0.99983299999999997</v>
      </c>
      <c r="N8022">
        <v>-1.782313E-2</v>
      </c>
      <c r="O8022">
        <v>-4.051285E-3</v>
      </c>
      <c r="P8022">
        <v>0.92713710000000005</v>
      </c>
      <c r="Q8022">
        <v>0.36127809999999999</v>
      </c>
      <c r="R8022">
        <v>9.9474220000000002E-2</v>
      </c>
      <c r="S8022">
        <v>3.3817439999999999</v>
      </c>
      <c r="T8022">
        <v>-0.40347080000000002</v>
      </c>
      <c r="U8022">
        <v>8.7844850000000002E-2</v>
      </c>
      <c r="V8022">
        <v>-0.1033726</v>
      </c>
      <c r="W8022">
        <v>0.37769900000000001</v>
      </c>
      <c r="X8022">
        <v>0.92013999999999996</v>
      </c>
      <c r="Y8022">
        <v>-2.9754360000000001E-2</v>
      </c>
      <c r="Z8022">
        <v>2.444295E-3</v>
      </c>
      <c r="AA8022">
        <v>0.99955430000000001</v>
      </c>
      <c r="AB8022">
        <v>28</v>
      </c>
      <c r="AC8022">
        <v>0.47520000000000101</v>
      </c>
      <c r="AD8022">
        <v>-9.0091000000000102E-2</v>
      </c>
      <c r="AE8022">
        <v>2.0499999999998401E-2</v>
      </c>
      <c r="AF8022">
        <v>-2.1648644113383599E-2</v>
      </c>
      <c r="AG8022">
        <v>-9.0091000000000102E-2</v>
      </c>
      <c r="AH8022">
        <v>0.45865826919828301</v>
      </c>
      <c r="AI8022">
        <v>101.10067826634899</v>
      </c>
      <c r="AJ8022">
        <v>92.702351914126098</v>
      </c>
      <c r="AK8022">
        <v>0.46792356210914698</v>
      </c>
      <c r="AL8022">
        <v>67.808774507796898</v>
      </c>
      <c r="AM8022">
        <v>96.409984240461</v>
      </c>
      <c r="AN8022">
        <v>1.00000002431587</v>
      </c>
    </row>
    <row r="8023" spans="1:40" x14ac:dyDescent="0.25">
      <c r="A8023" t="str">
        <f>"20190304164318825"</f>
        <v>20190304164318825</v>
      </c>
      <c r="B8023" t="str">
        <f>"1551688998819514"</f>
        <v>1551688998819514</v>
      </c>
      <c r="C8023" t="s">
        <v>40</v>
      </c>
      <c r="D8023">
        <v>4.3320829999999999</v>
      </c>
      <c r="E8023">
        <v>0.54145650000000001</v>
      </c>
      <c r="F8023" t="s">
        <v>41</v>
      </c>
      <c r="G8023">
        <v>-123.417</v>
      </c>
      <c r="H8023">
        <v>0.99789150000000004</v>
      </c>
      <c r="I8023">
        <v>137.7612</v>
      </c>
      <c r="J8023">
        <v>-124.08799999999999</v>
      </c>
      <c r="K8023">
        <v>1.1118030000000001</v>
      </c>
      <c r="L8023">
        <v>137.7354</v>
      </c>
      <c r="M8023">
        <v>0.99982059999999995</v>
      </c>
      <c r="N8023">
        <v>-1.8569120000000001E-2</v>
      </c>
      <c r="O8023">
        <v>-3.7659049999999999E-3</v>
      </c>
      <c r="P8023">
        <v>0.92710210000000004</v>
      </c>
      <c r="Q8023">
        <v>0.36117949999999999</v>
      </c>
      <c r="R8023">
        <v>0.1001553</v>
      </c>
      <c r="S8023">
        <v>3.3833470000000001</v>
      </c>
      <c r="T8023">
        <v>-0.403146</v>
      </c>
      <c r="U8023">
        <v>8.8607790000000006E-2</v>
      </c>
      <c r="V8023">
        <v>-0.1038173</v>
      </c>
      <c r="W8023">
        <v>0.37827899999999998</v>
      </c>
      <c r="X8023">
        <v>0.91985159999999999</v>
      </c>
      <c r="Y8023">
        <v>-2.9683709999999999E-2</v>
      </c>
      <c r="Z8023">
        <v>2.4161209999999998E-3</v>
      </c>
      <c r="AA8023">
        <v>0.99955640000000001</v>
      </c>
      <c r="AB8023">
        <v>28</v>
      </c>
      <c r="AC8023">
        <v>0.67099999999999205</v>
      </c>
      <c r="AD8023">
        <v>-0.1139115</v>
      </c>
      <c r="AE8023">
        <v>2.5800000000003799E-2</v>
      </c>
      <c r="AF8023">
        <v>-2.7534800315100499E-2</v>
      </c>
      <c r="AG8023">
        <v>-0.1139115</v>
      </c>
      <c r="AH8023">
        <v>0.65213154435035903</v>
      </c>
      <c r="AI8023">
        <v>99.899567095731598</v>
      </c>
      <c r="AJ8023">
        <v>92.417750454128097</v>
      </c>
      <c r="AK8023">
        <v>0.66257795480790505</v>
      </c>
      <c r="AL8023">
        <v>67.772879367489296</v>
      </c>
      <c r="AM8023">
        <v>96.4393297954812</v>
      </c>
      <c r="AN8023">
        <v>0.99999999982142496</v>
      </c>
    </row>
    <row r="8024" spans="1:40" x14ac:dyDescent="0.25">
      <c r="A8024" t="str">
        <f>"20190304164318847"</f>
        <v>20190304164318847</v>
      </c>
      <c r="B8024" t="str">
        <f>"1551688998839034"</f>
        <v>1551688998839034</v>
      </c>
      <c r="C8024" t="s">
        <v>40</v>
      </c>
      <c r="D8024">
        <v>4.3239349999999996</v>
      </c>
      <c r="E8024">
        <v>0.5413443</v>
      </c>
      <c r="F8024" t="s">
        <v>41</v>
      </c>
      <c r="G8024">
        <v>-123.17149999999999</v>
      </c>
      <c r="H8024">
        <v>1.002462</v>
      </c>
      <c r="I8024">
        <v>137.76</v>
      </c>
      <c r="J8024">
        <v>-123.8203</v>
      </c>
      <c r="K8024">
        <v>1.111918</v>
      </c>
      <c r="L8024">
        <v>137.7347</v>
      </c>
      <c r="M8024">
        <v>0.99980769999999997</v>
      </c>
      <c r="N8024">
        <v>-1.9302179999999999E-2</v>
      </c>
      <c r="O8024">
        <v>-3.4708769999999998E-3</v>
      </c>
      <c r="P8024">
        <v>0.92699969999999998</v>
      </c>
      <c r="Q8024">
        <v>0.36115419999999998</v>
      </c>
      <c r="R8024">
        <v>0.1011886</v>
      </c>
      <c r="S8024">
        <v>3.3833310000000001</v>
      </c>
      <c r="T8024">
        <v>-0.4037018</v>
      </c>
      <c r="U8024">
        <v>9.0942380000000003E-2</v>
      </c>
      <c r="V8024">
        <v>-0.1045951</v>
      </c>
      <c r="W8024">
        <v>0.37892110000000001</v>
      </c>
      <c r="X8024">
        <v>0.91949919999999996</v>
      </c>
      <c r="Y8024">
        <v>-3.0074699999999999E-2</v>
      </c>
      <c r="Z8024">
        <v>2.4249570000000002E-3</v>
      </c>
      <c r="AA8024">
        <v>0.99954469999999995</v>
      </c>
      <c r="AB8024">
        <v>27</v>
      </c>
      <c r="AC8024">
        <v>0.64880000000000804</v>
      </c>
      <c r="AD8024">
        <v>-0.109455999999999</v>
      </c>
      <c r="AE8024">
        <v>2.5299999999987201E-2</v>
      </c>
      <c r="AF8024">
        <v>-2.6790823361770601E-2</v>
      </c>
      <c r="AG8024">
        <v>-0.109455999999999</v>
      </c>
      <c r="AH8024">
        <v>0.63078251580426303</v>
      </c>
      <c r="AI8024">
        <v>99.835484003633795</v>
      </c>
      <c r="AJ8024">
        <v>92.432025413884702</v>
      </c>
      <c r="AK8024">
        <v>0.64076902733883601</v>
      </c>
      <c r="AL8024">
        <v>67.733132222734497</v>
      </c>
      <c r="AM8024">
        <v>96.489628582305102</v>
      </c>
      <c r="AN8024">
        <v>1.0000000568849201</v>
      </c>
    </row>
    <row r="8025" spans="1:40" x14ac:dyDescent="0.25">
      <c r="A8025" t="str">
        <f>"20190304164318870"</f>
        <v>20190304164318870</v>
      </c>
      <c r="B8025" t="str">
        <f>"1551688998859530"</f>
        <v>1551688998859530</v>
      </c>
      <c r="C8025" t="s">
        <v>40</v>
      </c>
      <c r="D8025">
        <v>4.325196</v>
      </c>
      <c r="E8025">
        <v>0.54129450000000001</v>
      </c>
      <c r="F8025" t="s">
        <v>41</v>
      </c>
      <c r="G8025">
        <v>-122.9288</v>
      </c>
      <c r="H8025">
        <v>1.0053510000000001</v>
      </c>
      <c r="I8025">
        <v>137.76</v>
      </c>
      <c r="J8025">
        <v>-123.5544</v>
      </c>
      <c r="K8025">
        <v>1.1120289999999999</v>
      </c>
      <c r="L8025">
        <v>137.73419999999999</v>
      </c>
      <c r="M8025">
        <v>0.99979419999999997</v>
      </c>
      <c r="N8025">
        <v>-2.0043809999999999E-2</v>
      </c>
      <c r="O8025">
        <v>-3.1642089999999999E-3</v>
      </c>
      <c r="P8025">
        <v>0.92657959999999995</v>
      </c>
      <c r="Q8025">
        <v>0.36191770000000001</v>
      </c>
      <c r="R8025">
        <v>0.1023033</v>
      </c>
      <c r="S8025">
        <v>3.383362</v>
      </c>
      <c r="T8025">
        <v>-0.40453299999999998</v>
      </c>
      <c r="U8025">
        <v>9.6069340000000003E-2</v>
      </c>
      <c r="V8025">
        <v>-0.1054355</v>
      </c>
      <c r="W8025">
        <v>0.38035530000000001</v>
      </c>
      <c r="X8025">
        <v>0.91881080000000004</v>
      </c>
      <c r="Y8025">
        <v>-3.1270850000000003E-2</v>
      </c>
      <c r="Z8025">
        <v>2.4909250000000002E-3</v>
      </c>
      <c r="AA8025">
        <v>0.99950779999999995</v>
      </c>
      <c r="AB8025">
        <v>27</v>
      </c>
      <c r="AC8025">
        <v>0.62560000000000504</v>
      </c>
      <c r="AD8025">
        <v>-0.106678</v>
      </c>
      <c r="AE8025">
        <v>2.5800000000003799E-2</v>
      </c>
      <c r="AF8025">
        <v>-2.6996151185277099E-2</v>
      </c>
      <c r="AG8025">
        <v>-0.106678</v>
      </c>
      <c r="AH8025">
        <v>0.60786992008791196</v>
      </c>
      <c r="AI8025">
        <v>99.944143944234</v>
      </c>
      <c r="AJ8025">
        <v>92.542895707432294</v>
      </c>
      <c r="AK8025">
        <v>0.61774980988301598</v>
      </c>
      <c r="AL8025">
        <v>67.6443085125224</v>
      </c>
      <c r="AM8025">
        <v>96.546179693940005</v>
      </c>
      <c r="AN8025">
        <v>1.00000004254748</v>
      </c>
    </row>
    <row r="8026" spans="1:40" x14ac:dyDescent="0.25">
      <c r="A8026" t="str">
        <f>"20190304164318891"</f>
        <v>20190304164318891</v>
      </c>
      <c r="B8026" t="str">
        <f>"1551688998879050"</f>
        <v>1551688998879050</v>
      </c>
      <c r="C8026" t="s">
        <v>40</v>
      </c>
      <c r="D8026">
        <v>4.3365390000000001</v>
      </c>
      <c r="E8026">
        <v>0.54130339999999999</v>
      </c>
      <c r="F8026" t="s">
        <v>41</v>
      </c>
      <c r="G8026">
        <v>-122.688</v>
      </c>
      <c r="H8026">
        <v>1.0089250000000001</v>
      </c>
      <c r="I8026">
        <v>137.76009999999999</v>
      </c>
      <c r="J8026">
        <v>-123.29470000000001</v>
      </c>
      <c r="K8026">
        <v>1.1121319999999999</v>
      </c>
      <c r="L8026">
        <v>137.7337</v>
      </c>
      <c r="M8026">
        <v>0.99977969999999905</v>
      </c>
      <c r="N8026">
        <v>-2.0799729999999999E-2</v>
      </c>
      <c r="O8026">
        <v>-2.8613240000000002E-3</v>
      </c>
      <c r="P8026">
        <v>0.92616109999999896</v>
      </c>
      <c r="Q8026">
        <v>0.3628615</v>
      </c>
      <c r="R8026">
        <v>0.10274850000000001</v>
      </c>
      <c r="S8026">
        <v>3.3838650000000001</v>
      </c>
      <c r="T8026">
        <v>-0.40274870000000002</v>
      </c>
      <c r="U8026">
        <v>0.1011658</v>
      </c>
      <c r="V8026">
        <v>-0.10560369999999999</v>
      </c>
      <c r="W8026">
        <v>0.3819842</v>
      </c>
      <c r="X8026">
        <v>0.91811540000000003</v>
      </c>
      <c r="Y8026">
        <v>-3.2460709999999997E-2</v>
      </c>
      <c r="Z8026">
        <v>2.5435689999999999E-3</v>
      </c>
      <c r="AA8026">
        <v>0.99946979999999996</v>
      </c>
      <c r="AB8026">
        <v>27</v>
      </c>
      <c r="AC8026">
        <v>0.606700000000017</v>
      </c>
      <c r="AD8026">
        <v>-0.10320699999999899</v>
      </c>
      <c r="AE8026">
        <v>2.6399999999995299E-2</v>
      </c>
      <c r="AF8026">
        <v>-2.73463754316603E-2</v>
      </c>
      <c r="AG8026">
        <v>-0.10320699999999899</v>
      </c>
      <c r="AH8026">
        <v>0.58959250601727997</v>
      </c>
      <c r="AI8026">
        <v>99.918464149597</v>
      </c>
      <c r="AJ8026">
        <v>92.655579519639105</v>
      </c>
      <c r="AK8026">
        <v>0.59918180233547302</v>
      </c>
      <c r="AL8026">
        <v>67.543356661733498</v>
      </c>
      <c r="AM8026">
        <v>96.561454646329494</v>
      </c>
      <c r="AN8026">
        <v>0.99999997911024396</v>
      </c>
    </row>
    <row r="8027" spans="1:40" x14ac:dyDescent="0.25">
      <c r="A8027" t="str">
        <f>"20190304164318915"</f>
        <v>20190304164318915</v>
      </c>
      <c r="B8027" t="str">
        <f>"1551688998909306"</f>
        <v>1551688998909306</v>
      </c>
      <c r="C8027" t="s">
        <v>40</v>
      </c>
      <c r="D8027">
        <v>4.3253490000000001</v>
      </c>
      <c r="E8027">
        <v>0.54120109999999999</v>
      </c>
      <c r="F8027" t="s">
        <v>41</v>
      </c>
      <c r="G8027">
        <v>-122.4498</v>
      </c>
      <c r="H8027">
        <v>1.0120450000000001</v>
      </c>
      <c r="I8027">
        <v>137.75960000000001</v>
      </c>
      <c r="J8027">
        <v>-123.0231</v>
      </c>
      <c r="K8027">
        <v>1.1122479999999999</v>
      </c>
      <c r="L8027">
        <v>137.73339999999999</v>
      </c>
      <c r="M8027">
        <v>0.9997627</v>
      </c>
      <c r="N8027">
        <v>-2.1640079999999999E-2</v>
      </c>
      <c r="O8027">
        <v>-2.5467549999999999E-3</v>
      </c>
      <c r="P8027">
        <v>0.92593599999999998</v>
      </c>
      <c r="Q8027">
        <v>0.3632109</v>
      </c>
      <c r="R8027">
        <v>0.10353999999999999</v>
      </c>
      <c r="S8027">
        <v>3.384735</v>
      </c>
      <c r="T8027">
        <v>-0.4009916</v>
      </c>
      <c r="U8027">
        <v>0.1039429</v>
      </c>
      <c r="V8027">
        <v>-0.1061035</v>
      </c>
      <c r="W8027">
        <v>0.38310060000000001</v>
      </c>
      <c r="X8027">
        <v>0.91759250000000003</v>
      </c>
      <c r="Y8027">
        <v>-3.2956340000000001E-2</v>
      </c>
      <c r="Z8027">
        <v>2.5487560000000001E-3</v>
      </c>
      <c r="AA8027">
        <v>0.99945349999999999</v>
      </c>
      <c r="AB8027">
        <v>27</v>
      </c>
      <c r="AC8027">
        <v>0.57330000000000303</v>
      </c>
      <c r="AD8027">
        <v>-0.100202999999999</v>
      </c>
      <c r="AE8027">
        <v>2.6200000000017099E-2</v>
      </c>
      <c r="AF8027">
        <v>-2.6842022450538499E-2</v>
      </c>
      <c r="AG8027">
        <v>-0.100202999999999</v>
      </c>
      <c r="AH8027">
        <v>0.55627320457230001</v>
      </c>
      <c r="AI8027">
        <v>100.199720709274</v>
      </c>
      <c r="AJ8027">
        <v>92.762568139526905</v>
      </c>
      <c r="AK8027">
        <v>0.56586306957016697</v>
      </c>
      <c r="AL8027">
        <v>67.474126520288806</v>
      </c>
      <c r="AM8027">
        <v>96.595959486937303</v>
      </c>
      <c r="AN8027">
        <v>1.0000000092444301</v>
      </c>
    </row>
    <row r="8028" spans="1:40" x14ac:dyDescent="0.25">
      <c r="A8028" t="str">
        <f>"20190304164318936"</f>
        <v>20190304164318936</v>
      </c>
      <c r="B8028" t="str">
        <f>"1551688998928826"</f>
        <v>1551688998928826</v>
      </c>
      <c r="C8028" t="s">
        <v>40</v>
      </c>
      <c r="D8028">
        <v>4.306254</v>
      </c>
      <c r="E8028">
        <v>0.5412053</v>
      </c>
      <c r="F8028" t="s">
        <v>41</v>
      </c>
      <c r="G8028">
        <v>-122.21210000000001</v>
      </c>
      <c r="H8028">
        <v>1.016311</v>
      </c>
      <c r="I8028">
        <v>137.7593</v>
      </c>
      <c r="J8028">
        <v>-122.76990000000001</v>
      </c>
      <c r="K8028">
        <v>1.1123499999999999</v>
      </c>
      <c r="L8028">
        <v>137.73310000000001</v>
      </c>
      <c r="M8028">
        <v>0.99974540000000001</v>
      </c>
      <c r="N8028">
        <v>-2.2452280000000002E-2</v>
      </c>
      <c r="O8028">
        <v>-2.2582000000000001E-3</v>
      </c>
      <c r="P8028">
        <v>0.92589379999999999</v>
      </c>
      <c r="Q8028">
        <v>0.36328149999999998</v>
      </c>
      <c r="R8028">
        <v>0.1036683</v>
      </c>
      <c r="S8028">
        <v>3.3849330000000002</v>
      </c>
      <c r="T8028">
        <v>-0.40042749999999999</v>
      </c>
      <c r="U8028">
        <v>0.1081848</v>
      </c>
      <c r="V8028">
        <v>-0.10596079999999999</v>
      </c>
      <c r="W8028">
        <v>0.38391789999999998</v>
      </c>
      <c r="X8028">
        <v>0.91726730000000001</v>
      </c>
      <c r="Y8028">
        <v>-3.3910170000000003E-2</v>
      </c>
      <c r="Z8028">
        <v>2.596255E-3</v>
      </c>
      <c r="AA8028">
        <v>0.99942149999999996</v>
      </c>
      <c r="AB8028">
        <v>26</v>
      </c>
      <c r="AC8028">
        <v>0.55779999999999996</v>
      </c>
      <c r="AD8028">
        <v>-9.6038999999999999E-2</v>
      </c>
      <c r="AE8028">
        <v>2.61999999999886E-2</v>
      </c>
      <c r="AF8028">
        <v>-2.6670978072421199E-2</v>
      </c>
      <c r="AG8028">
        <v>-9.6038999999999999E-2</v>
      </c>
      <c r="AH8028">
        <v>0.54171606398320504</v>
      </c>
      <c r="AI8028">
        <v>100.04140064504</v>
      </c>
      <c r="AJ8028">
        <v>92.818638093586102</v>
      </c>
      <c r="AK8028">
        <v>0.55080951750110096</v>
      </c>
      <c r="AL8028">
        <v>67.423420753167406</v>
      </c>
      <c r="AM8028">
        <v>96.589481329862394</v>
      </c>
      <c r="AN8028">
        <v>0.99999997236316895</v>
      </c>
    </row>
    <row r="8029" spans="1:40" x14ac:dyDescent="0.25">
      <c r="A8029" t="str">
        <f>"20190304164318958"</f>
        <v>20190304164318958</v>
      </c>
      <c r="B8029" t="str">
        <f>"1551688998949323"</f>
        <v>1551688998949323</v>
      </c>
      <c r="C8029" t="s">
        <v>40</v>
      </c>
      <c r="D8029">
        <v>4.5614359999999996</v>
      </c>
      <c r="E8029">
        <v>0.54112689999999997</v>
      </c>
      <c r="F8029" t="s">
        <v>41</v>
      </c>
      <c r="G8029">
        <v>-121.97880000000001</v>
      </c>
      <c r="H8029">
        <v>1.018761</v>
      </c>
      <c r="I8029">
        <v>137.75799999999899</v>
      </c>
      <c r="J8029">
        <v>-122.51730000000001</v>
      </c>
      <c r="K8029">
        <v>1.112441</v>
      </c>
      <c r="L8029">
        <v>137.7329</v>
      </c>
      <c r="M8029">
        <v>0.99972760000000005</v>
      </c>
      <c r="N8029">
        <v>-2.3260079999999999E-2</v>
      </c>
      <c r="O8029">
        <v>-1.9750050000000002E-3</v>
      </c>
      <c r="P8029">
        <v>0.92605199999999999</v>
      </c>
      <c r="Q8029">
        <v>0.36248730000000001</v>
      </c>
      <c r="R8029">
        <v>0.105028</v>
      </c>
      <c r="S8029">
        <v>3.385345</v>
      </c>
      <c r="T8029">
        <v>-0.4005244</v>
      </c>
      <c r="U8029">
        <v>0.1064301</v>
      </c>
      <c r="V8029">
        <v>-0.1070526</v>
      </c>
      <c r="W8029">
        <v>0.38386989999999999</v>
      </c>
      <c r="X8029">
        <v>0.91716059999999999</v>
      </c>
      <c r="Y8029">
        <v>-3.3112099999999998E-2</v>
      </c>
      <c r="Z8029">
        <v>2.5253200000000002E-3</v>
      </c>
      <c r="AA8029">
        <v>0.99944849999999996</v>
      </c>
      <c r="AB8029">
        <v>26</v>
      </c>
      <c r="AC8029">
        <v>0.53849999999999898</v>
      </c>
      <c r="AD8029">
        <v>-9.3679999999999999E-2</v>
      </c>
      <c r="AE8029">
        <v>2.5099999999980499E-2</v>
      </c>
      <c r="AF8029">
        <v>-2.5396842167962199E-2</v>
      </c>
      <c r="AG8029">
        <v>-9.3679999999999999E-2</v>
      </c>
      <c r="AH8029">
        <v>0.52266584008668604</v>
      </c>
      <c r="AI8029">
        <v>100.149785315974</v>
      </c>
      <c r="AJ8029">
        <v>92.781869692663506</v>
      </c>
      <c r="AK8029">
        <v>0.53160184573195901</v>
      </c>
      <c r="AL8029">
        <v>67.4263989357339</v>
      </c>
      <c r="AM8029">
        <v>96.657539288482695</v>
      </c>
      <c r="AN8029">
        <v>0.99999996274256397</v>
      </c>
    </row>
    <row r="8030" spans="1:40" x14ac:dyDescent="0.25">
      <c r="A8030" t="str">
        <f>"20190304164318981"</f>
        <v>20190304164318981</v>
      </c>
      <c r="B8030" t="str">
        <f>"1551688998968842"</f>
        <v>1551688998968842</v>
      </c>
      <c r="C8030" t="s">
        <v>40</v>
      </c>
      <c r="D8030">
        <v>4.3271269999999999</v>
      </c>
      <c r="E8030">
        <v>0.5410604</v>
      </c>
      <c r="F8030" t="s">
        <v>41</v>
      </c>
      <c r="G8030">
        <v>-121.748</v>
      </c>
      <c r="H8030">
        <v>1.021147</v>
      </c>
      <c r="I8030">
        <v>137.7576</v>
      </c>
      <c r="J8030">
        <v>-122.2637</v>
      </c>
      <c r="K8030">
        <v>1.11252</v>
      </c>
      <c r="L8030">
        <v>137.7328</v>
      </c>
      <c r="M8030">
        <v>0.99970919999999996</v>
      </c>
      <c r="N8030">
        <v>-2.4055159999999999E-2</v>
      </c>
      <c r="O8030">
        <v>-1.6919719999999999E-3</v>
      </c>
      <c r="P8030">
        <v>0.92636549999999995</v>
      </c>
      <c r="Q8030">
        <v>0.36133599999999999</v>
      </c>
      <c r="R8030">
        <v>0.1062232</v>
      </c>
      <c r="S8030">
        <v>3.3844599999999998</v>
      </c>
      <c r="T8030">
        <v>-0.40165000000000001</v>
      </c>
      <c r="U8030">
        <v>0.10864260000000001</v>
      </c>
      <c r="V8030">
        <v>-0.10797610000000001</v>
      </c>
      <c r="W8030">
        <v>0.3834591</v>
      </c>
      <c r="X8030">
        <v>0.91722420000000005</v>
      </c>
      <c r="Y8030">
        <v>-3.3485170000000002E-2</v>
      </c>
      <c r="Z8030">
        <v>2.5435330000000002E-3</v>
      </c>
      <c r="AA8030">
        <v>0.99943599999999999</v>
      </c>
      <c r="AB8030">
        <v>26</v>
      </c>
      <c r="AC8030">
        <v>0.51570000000000904</v>
      </c>
      <c r="AD8030">
        <v>-9.1373000000000107E-2</v>
      </c>
      <c r="AE8030">
        <v>2.4799999999999E-2</v>
      </c>
      <c r="AF8030">
        <v>-2.48930858561702E-2</v>
      </c>
      <c r="AG8030">
        <v>-9.1373000000000107E-2</v>
      </c>
      <c r="AH8030">
        <v>0.49999679232129501</v>
      </c>
      <c r="AI8030">
        <v>100.343827405813</v>
      </c>
      <c r="AJ8030">
        <v>92.850202444721702</v>
      </c>
      <c r="AK8030">
        <v>0.50888651306949295</v>
      </c>
      <c r="AL8030">
        <v>67.451886867647801</v>
      </c>
      <c r="AM8030">
        <v>96.713987724161399</v>
      </c>
      <c r="AN8030">
        <v>0.99999997630482895</v>
      </c>
    </row>
    <row r="8031" spans="1:40" x14ac:dyDescent="0.25">
      <c r="A8031" t="str">
        <f>"20190304164319003"</f>
        <v>20190304164319003</v>
      </c>
      <c r="B8031" t="str">
        <f>"1551688998998977"</f>
        <v>1551688998998977</v>
      </c>
      <c r="C8031" t="s">
        <v>40</v>
      </c>
      <c r="D8031">
        <v>4.3309350000000002</v>
      </c>
      <c r="E8031">
        <v>0.54089309999999902</v>
      </c>
      <c r="F8031" t="s">
        <v>41</v>
      </c>
      <c r="G8031">
        <v>-121.51009999999999</v>
      </c>
      <c r="H8031">
        <v>1.022861</v>
      </c>
      <c r="I8031">
        <v>137.75739999999999</v>
      </c>
      <c r="J8031">
        <v>-122.0103</v>
      </c>
      <c r="K8031">
        <v>1.1125830000000001</v>
      </c>
      <c r="L8031">
        <v>137.7328</v>
      </c>
      <c r="M8031">
        <v>0.99969050000000004</v>
      </c>
      <c r="N8031">
        <v>-2.4841019999999998E-2</v>
      </c>
      <c r="O8031">
        <v>-1.4101739999999999E-3</v>
      </c>
      <c r="P8031">
        <v>0.92669210000000002</v>
      </c>
      <c r="Q8031">
        <v>0.36012670000000002</v>
      </c>
      <c r="R8031">
        <v>0.10747520000000001</v>
      </c>
      <c r="S8031">
        <v>3.3827669999999999</v>
      </c>
      <c r="T8031">
        <v>-0.4026248</v>
      </c>
      <c r="U8031">
        <v>0.1110535</v>
      </c>
      <c r="V8031">
        <v>-0.1089572</v>
      </c>
      <c r="W8031">
        <v>0.38298209999999999</v>
      </c>
      <c r="X8031">
        <v>0.91730750000000005</v>
      </c>
      <c r="Y8031">
        <v>-3.3925539999999997E-2</v>
      </c>
      <c r="Z8031">
        <v>2.5669349999999998E-3</v>
      </c>
      <c r="AA8031">
        <v>0.99942109999999995</v>
      </c>
      <c r="AB8031">
        <v>26</v>
      </c>
      <c r="AC8031">
        <v>0.50020000000000597</v>
      </c>
      <c r="AD8031">
        <v>-8.9721999999999996E-2</v>
      </c>
      <c r="AE8031">
        <v>2.4599999999992399E-2</v>
      </c>
      <c r="AF8031">
        <v>-2.4518594503387801E-2</v>
      </c>
      <c r="AG8031">
        <v>-8.9721999999999996E-2</v>
      </c>
      <c r="AH8031">
        <v>0.484610372787315</v>
      </c>
      <c r="AI8031">
        <v>100.476012688792</v>
      </c>
      <c r="AJ8031">
        <v>92.896378663601496</v>
      </c>
      <c r="AK8031">
        <v>0.49345558277668899</v>
      </c>
      <c r="AL8031">
        <v>67.481476554249198</v>
      </c>
      <c r="AM8031">
        <v>96.773818909804803</v>
      </c>
      <c r="AN8031">
        <v>1.0000000049542499</v>
      </c>
    </row>
    <row r="8032" spans="1:40" x14ac:dyDescent="0.25">
      <c r="A8032" t="str">
        <f>"20190304164319026"</f>
        <v>20190304164319026</v>
      </c>
      <c r="B8032" t="str">
        <f>"1551688999019474"</f>
        <v>1551688999019474</v>
      </c>
      <c r="C8032" t="s">
        <v>40</v>
      </c>
      <c r="D8032">
        <v>4.3324059999999998</v>
      </c>
      <c r="E8032">
        <v>0.54083950000000003</v>
      </c>
      <c r="F8032" t="s">
        <v>41</v>
      </c>
      <c r="G8032">
        <v>-121.0913</v>
      </c>
      <c r="H8032">
        <v>1.003074</v>
      </c>
      <c r="I8032">
        <v>137.7638</v>
      </c>
      <c r="J8032">
        <v>-121.7636</v>
      </c>
      <c r="K8032">
        <v>1.1126419999999999</v>
      </c>
      <c r="L8032">
        <v>137.7328</v>
      </c>
      <c r="M8032">
        <v>0.99967209999999995</v>
      </c>
      <c r="N8032">
        <v>-2.5581710000000001E-2</v>
      </c>
      <c r="O8032">
        <v>-1.1407819999999999E-3</v>
      </c>
      <c r="P8032">
        <v>0.92685720000000005</v>
      </c>
      <c r="Q8032">
        <v>0.35926089999999999</v>
      </c>
      <c r="R8032">
        <v>0.1089378</v>
      </c>
      <c r="S8032">
        <v>3.3806150000000001</v>
      </c>
      <c r="T8032">
        <v>-0.4029025</v>
      </c>
      <c r="U8032">
        <v>0.11442570000000001</v>
      </c>
      <c r="V8032">
        <v>-0.1101591</v>
      </c>
      <c r="W8032">
        <v>0.38280370000000002</v>
      </c>
      <c r="X8032">
        <v>0.91723840000000001</v>
      </c>
      <c r="Y8032">
        <v>-3.4665599999999998E-2</v>
      </c>
      <c r="Z8032">
        <v>2.6097059999999998E-3</v>
      </c>
      <c r="AA8032">
        <v>0.99939549999999999</v>
      </c>
      <c r="AB8032">
        <v>25</v>
      </c>
      <c r="AC8032">
        <v>0.67229999999999202</v>
      </c>
      <c r="AD8032">
        <v>-0.109567999999999</v>
      </c>
      <c r="AE8032">
        <v>3.1000000000005901E-2</v>
      </c>
      <c r="AF8032">
        <v>-3.09469467267613E-2</v>
      </c>
      <c r="AG8032">
        <v>-0.109567999999999</v>
      </c>
      <c r="AH8032">
        <v>0.65490625445153505</v>
      </c>
      <c r="AI8032">
        <v>99.487417257642903</v>
      </c>
      <c r="AJ8032">
        <v>92.705442839838796</v>
      </c>
      <c r="AK8032">
        <v>0.66472931502638599</v>
      </c>
      <c r="AL8032">
        <v>67.492541012554497</v>
      </c>
      <c r="AM8032">
        <v>96.848345735609598</v>
      </c>
      <c r="AN8032">
        <v>0.99999999124052996</v>
      </c>
    </row>
    <row r="8033" spans="1:40" x14ac:dyDescent="0.25">
      <c r="A8033" t="str">
        <f>"20190304164319048"</f>
        <v>20190304164319048</v>
      </c>
      <c r="B8033" t="str">
        <f>"1551688999038994"</f>
        <v>1551688999038994</v>
      </c>
      <c r="C8033" t="s">
        <v>40</v>
      </c>
      <c r="D8033">
        <v>4.3143750000000001</v>
      </c>
      <c r="E8033">
        <v>0.54081259999999998</v>
      </c>
      <c r="F8033" t="s">
        <v>41</v>
      </c>
      <c r="G8033">
        <v>-120.8725</v>
      </c>
      <c r="H8033">
        <v>1.006148</v>
      </c>
      <c r="I8033">
        <v>137.7637</v>
      </c>
      <c r="J8033">
        <v>-121.524</v>
      </c>
      <c r="K8033">
        <v>1.112695</v>
      </c>
      <c r="L8033">
        <v>137.7329</v>
      </c>
      <c r="M8033">
        <v>0.99965510000000002</v>
      </c>
      <c r="N8033">
        <v>-2.6250289999999999E-2</v>
      </c>
      <c r="O8033">
        <v>-8.8681879999999999E-4</v>
      </c>
      <c r="P8033">
        <v>0.92721390000000004</v>
      </c>
      <c r="Q8033">
        <v>0.3580334</v>
      </c>
      <c r="R8033">
        <v>0.10994039999999999</v>
      </c>
      <c r="S8033">
        <v>3.379562</v>
      </c>
      <c r="T8033">
        <v>-0.4040068</v>
      </c>
      <c r="U8033">
        <v>0.1173859</v>
      </c>
      <c r="V8033">
        <v>-0.11091669999999999</v>
      </c>
      <c r="W8033">
        <v>0.38220270000000001</v>
      </c>
      <c r="X8033">
        <v>0.91739769999999998</v>
      </c>
      <c r="Y8033">
        <v>-3.5289279999999999E-2</v>
      </c>
      <c r="Z8033">
        <v>2.6489999999999999E-3</v>
      </c>
      <c r="AA8033">
        <v>0.99937359999999997</v>
      </c>
      <c r="AB8033">
        <v>25</v>
      </c>
      <c r="AC8033">
        <v>0.65149999999999797</v>
      </c>
      <c r="AD8033">
        <v>-0.106546999999999</v>
      </c>
      <c r="AE8033">
        <v>3.07999999999992E-2</v>
      </c>
      <c r="AF8033">
        <v>-3.0562361187641801E-2</v>
      </c>
      <c r="AG8033">
        <v>-0.106546999999999</v>
      </c>
      <c r="AH8033">
        <v>0.634539087651244</v>
      </c>
      <c r="AI8033">
        <v>99.520921326453205</v>
      </c>
      <c r="AJ8033">
        <v>92.757500901918306</v>
      </c>
      <c r="AK8033">
        <v>0.64414763438798495</v>
      </c>
      <c r="AL8033">
        <v>67.529809634837093</v>
      </c>
      <c r="AM8033">
        <v>96.893806420473396</v>
      </c>
      <c r="AN8033">
        <v>0.99999997909573402</v>
      </c>
    </row>
    <row r="8034" spans="1:40" x14ac:dyDescent="0.25">
      <c r="A8034" t="str">
        <f>"20190304164319072"</f>
        <v>20190304164319072</v>
      </c>
      <c r="B8034" t="str">
        <f>"1551688999059490"</f>
        <v>1551688999059490</v>
      </c>
      <c r="C8034" t="s">
        <v>40</v>
      </c>
      <c r="D8034">
        <v>4.3350039999999996</v>
      </c>
      <c r="E8034">
        <v>0.54080919999999999</v>
      </c>
      <c r="F8034" t="s">
        <v>41</v>
      </c>
      <c r="G8034">
        <v>-120.6566</v>
      </c>
      <c r="H8034">
        <v>1.008319</v>
      </c>
      <c r="I8034">
        <v>137.76320000000001</v>
      </c>
      <c r="J8034">
        <v>-121.2723</v>
      </c>
      <c r="K8034">
        <v>1.112716</v>
      </c>
      <c r="L8034">
        <v>137.733</v>
      </c>
      <c r="M8034">
        <v>0.99963840000000004</v>
      </c>
      <c r="N8034">
        <v>-2.6885059999999999E-2</v>
      </c>
      <c r="O8034">
        <v>-6.3104079999999998E-4</v>
      </c>
      <c r="P8034">
        <v>0.92775260000000004</v>
      </c>
      <c r="Q8034">
        <v>0.35650399999999999</v>
      </c>
      <c r="R8034">
        <v>0.1103633</v>
      </c>
      <c r="S8034">
        <v>3.3784480000000001</v>
      </c>
      <c r="T8034">
        <v>-0.40663890000000003</v>
      </c>
      <c r="U8034">
        <v>0.1186218</v>
      </c>
      <c r="V8034">
        <v>-0.11109049999999999</v>
      </c>
      <c r="W8034">
        <v>0.38127460000000002</v>
      </c>
      <c r="X8034">
        <v>0.91776279999999999</v>
      </c>
      <c r="Y8034">
        <v>-3.5405079999999998E-2</v>
      </c>
      <c r="Z8034">
        <v>2.6594190000000001E-3</v>
      </c>
      <c r="AA8034">
        <v>0.99936950000000002</v>
      </c>
      <c r="AB8034">
        <v>24</v>
      </c>
      <c r="AC8034">
        <v>0.61570000000000302</v>
      </c>
      <c r="AD8034">
        <v>-0.104397</v>
      </c>
      <c r="AE8034">
        <v>3.02000000000077E-2</v>
      </c>
      <c r="AF8034">
        <v>-2.97358137271868E-2</v>
      </c>
      <c r="AG8034">
        <v>-0.104397</v>
      </c>
      <c r="AH8034">
        <v>0.59851481621798097</v>
      </c>
      <c r="AI8034">
        <v>99.882425658913306</v>
      </c>
      <c r="AJ8034">
        <v>92.844268574770695</v>
      </c>
      <c r="AK8034">
        <v>0.60827866760183302</v>
      </c>
      <c r="AL8034">
        <v>67.587343043644694</v>
      </c>
      <c r="AM8034">
        <v>96.9017842005223</v>
      </c>
      <c r="AN8034">
        <v>0.99999998842962401</v>
      </c>
    </row>
    <row r="8035" spans="1:40" x14ac:dyDescent="0.25">
      <c r="A8035" t="str">
        <f>"20190304164319093"</f>
        <v>20190304164319093</v>
      </c>
      <c r="B8035" t="str">
        <f>"1551688999088770"</f>
        <v>1551688999088770</v>
      </c>
      <c r="C8035" t="s">
        <v>40</v>
      </c>
      <c r="D8035">
        <v>4.406218</v>
      </c>
      <c r="E8035">
        <v>0.50654979999999905</v>
      </c>
      <c r="F8035" t="s">
        <v>41</v>
      </c>
      <c r="G8035">
        <v>-120.4423</v>
      </c>
      <c r="H8035">
        <v>1.0117879999999999</v>
      </c>
      <c r="I8035">
        <v>137.76230000000001</v>
      </c>
      <c r="J8035">
        <v>-121.0461</v>
      </c>
      <c r="K8035">
        <v>1.112725</v>
      </c>
      <c r="L8035">
        <v>137.73310000000001</v>
      </c>
      <c r="M8035">
        <v>0.99962459999999997</v>
      </c>
      <c r="N8035">
        <v>-2.7397629999999999E-2</v>
      </c>
      <c r="O8035">
        <v>-4.1307909999999999E-4</v>
      </c>
      <c r="P8035">
        <v>0.9284618</v>
      </c>
      <c r="Q8035">
        <v>0.35445159999999998</v>
      </c>
      <c r="R8035">
        <v>0.111009</v>
      </c>
      <c r="S8035">
        <v>3.3771969999999998</v>
      </c>
      <c r="T8035">
        <v>-0.41073290000000001</v>
      </c>
      <c r="U8035">
        <v>0.11967469999999999</v>
      </c>
      <c r="V8035">
        <v>-0.11152140000000001</v>
      </c>
      <c r="W8035">
        <v>0.37971709999999997</v>
      </c>
      <c r="X8035">
        <v>0.91835610000000001</v>
      </c>
      <c r="Y8035">
        <v>-3.5504319999999999E-2</v>
      </c>
      <c r="Z8035">
        <v>2.6779709999999999E-3</v>
      </c>
      <c r="AA8035">
        <v>0.99936590000000003</v>
      </c>
      <c r="AB8035">
        <v>24</v>
      </c>
      <c r="AC8035">
        <v>0.60379999999999201</v>
      </c>
      <c r="AD8035">
        <v>-0.100937</v>
      </c>
      <c r="AE8035">
        <v>2.9200000000002901E-2</v>
      </c>
      <c r="AF8035">
        <v>-2.8650713027993099E-2</v>
      </c>
      <c r="AG8035">
        <v>-0.100937</v>
      </c>
      <c r="AH8035">
        <v>0.58741059964834896</v>
      </c>
      <c r="AI8035">
        <v>99.738777382041306</v>
      </c>
      <c r="AJ8035">
        <v>92.792365430290204</v>
      </c>
      <c r="AK8035">
        <v>0.59670793015112999</v>
      </c>
      <c r="AL8035">
        <v>67.683840010182905</v>
      </c>
      <c r="AM8035">
        <v>96.923862738563898</v>
      </c>
      <c r="AN8035">
        <v>1.00000001254879</v>
      </c>
    </row>
    <row r="8036" spans="1:40" x14ac:dyDescent="0.25">
      <c r="A8036" t="str">
        <f>"20190304164319116"</f>
        <v>20190304164319116</v>
      </c>
      <c r="B8036" t="str">
        <f>"1551688999108798"</f>
        <v>1551688999108798</v>
      </c>
      <c r="C8036" t="s">
        <v>40</v>
      </c>
      <c r="D8036">
        <v>4.3512399999999998</v>
      </c>
      <c r="E8036">
        <v>0.4964035</v>
      </c>
      <c r="F8036" t="s">
        <v>42</v>
      </c>
      <c r="G8036">
        <v>-112.31100000000001</v>
      </c>
      <c r="H8036" s="1">
        <v>-3.4332480000000001E-6</v>
      </c>
      <c r="I8036">
        <v>138.75720000000001</v>
      </c>
      <c r="J8036">
        <v>-120.8121</v>
      </c>
      <c r="K8036">
        <v>1.112733</v>
      </c>
      <c r="L8036">
        <v>137.73330000000001</v>
      </c>
      <c r="M8036">
        <v>0.99961140000000004</v>
      </c>
      <c r="N8036">
        <v>-2.7878300000000002E-2</v>
      </c>
      <c r="O8036">
        <v>-2.0256549999999999E-4</v>
      </c>
      <c r="P8036">
        <v>0.92941390000000002</v>
      </c>
      <c r="Q8036">
        <v>0.35180620000000001</v>
      </c>
      <c r="R8036">
        <v>0.1114566</v>
      </c>
      <c r="S8036">
        <v>3.347</v>
      </c>
      <c r="T8036">
        <v>-0.42635849999999997</v>
      </c>
      <c r="U8036">
        <v>0.3923798</v>
      </c>
      <c r="V8036">
        <v>-0.1117578</v>
      </c>
      <c r="W8036">
        <v>0.3775462</v>
      </c>
      <c r="X8036">
        <v>0.91922199999999998</v>
      </c>
      <c r="Y8036">
        <v>-0.11550970000000001</v>
      </c>
      <c r="Z8036">
        <v>8.9465489999999998E-3</v>
      </c>
      <c r="AA8036">
        <v>0.99326599999999998</v>
      </c>
      <c r="AB8036">
        <v>24</v>
      </c>
      <c r="AC8036">
        <v>8.5010999999999903</v>
      </c>
      <c r="AD8036">
        <v>-1.1127364332480001</v>
      </c>
      <c r="AE8036">
        <v>1.02389999999999</v>
      </c>
      <c r="AF8036">
        <v>-1.0085895671218299</v>
      </c>
      <c r="AG8036">
        <v>-1.1127364332480001</v>
      </c>
      <c r="AH8036">
        <v>8.3597130871215999</v>
      </c>
      <c r="AI8036">
        <v>97.527944119195794</v>
      </c>
      <c r="AJ8036">
        <v>96.879417848637004</v>
      </c>
      <c r="AK8036">
        <v>8.4935409685111107</v>
      </c>
      <c r="AL8036">
        <v>67.818229058013003</v>
      </c>
      <c r="AM8036">
        <v>96.931924538532996</v>
      </c>
      <c r="AN8036">
        <v>1.00000001213964</v>
      </c>
    </row>
    <row r="8037" spans="1:40" x14ac:dyDescent="0.25">
      <c r="A8037" t="str">
        <f>"20190304164319137"</f>
        <v>20190304164319137</v>
      </c>
      <c r="B8037" t="str">
        <f>"1551688999129294"</f>
        <v>1551688999129294</v>
      </c>
      <c r="C8037" t="s">
        <v>40</v>
      </c>
      <c r="D8037">
        <v>4.3700669999999997</v>
      </c>
      <c r="E8037">
        <v>0.49336249999999998</v>
      </c>
      <c r="F8037" t="s">
        <v>42</v>
      </c>
      <c r="G8037">
        <v>-112.10250000000001</v>
      </c>
      <c r="H8037" s="1">
        <v>-3.4853089999999999E-6</v>
      </c>
      <c r="I8037">
        <v>138.96789999999999</v>
      </c>
      <c r="J8037">
        <v>-120.5954</v>
      </c>
      <c r="K8037">
        <v>1.1127359999999999</v>
      </c>
      <c r="L8037">
        <v>137.73349999999999</v>
      </c>
      <c r="M8037">
        <v>0.99959989999999999</v>
      </c>
      <c r="N8037">
        <v>-2.8284320000000002E-2</v>
      </c>
      <c r="O8037" s="1">
        <v>-2.44696E-5</v>
      </c>
      <c r="P8037">
        <v>0.93032090000000001</v>
      </c>
      <c r="Q8037">
        <v>0.34935100000000002</v>
      </c>
      <c r="R8037">
        <v>0.1116106</v>
      </c>
      <c r="S8037">
        <v>3.3323360000000002</v>
      </c>
      <c r="T8037">
        <v>-0.42573709999999998</v>
      </c>
      <c r="U8037">
        <v>0.47235110000000002</v>
      </c>
      <c r="V8037">
        <v>-0.1117293</v>
      </c>
      <c r="W8037">
        <v>0.37549640000000001</v>
      </c>
      <c r="X8037">
        <v>0.92006469999999996</v>
      </c>
      <c r="Y8037">
        <v>-0.13900970000000001</v>
      </c>
      <c r="Z8037">
        <v>1.0788560000000001E-2</v>
      </c>
      <c r="AA8037">
        <v>0.99023220000000001</v>
      </c>
      <c r="AB8037">
        <v>23</v>
      </c>
      <c r="AC8037">
        <v>8.4928999999999899</v>
      </c>
      <c r="AD8037">
        <v>-1.112739485309</v>
      </c>
      <c r="AE8037">
        <v>1.2343999999999899</v>
      </c>
      <c r="AF8037">
        <v>-1.2141959373311699</v>
      </c>
      <c r="AG8037">
        <v>-1.112739485309</v>
      </c>
      <c r="AH8037">
        <v>8.3524558506499993</v>
      </c>
      <c r="AI8037">
        <v>97.510407385355606</v>
      </c>
      <c r="AJ8037">
        <v>98.271145208566494</v>
      </c>
      <c r="AK8037">
        <v>8.5132825439694297</v>
      </c>
      <c r="AL8037">
        <v>67.945003701620493</v>
      </c>
      <c r="AM8037">
        <v>96.923888183258498</v>
      </c>
      <c r="AN8037">
        <v>1.00000001753876</v>
      </c>
    </row>
    <row r="8038" spans="1:40" x14ac:dyDescent="0.25">
      <c r="A8038" t="str">
        <f>"20190304164319160"</f>
        <v>20190304164319160</v>
      </c>
      <c r="B8038" t="str">
        <f>"1551688999148813"</f>
        <v>1551688999148813</v>
      </c>
      <c r="C8038" t="s">
        <v>40</v>
      </c>
      <c r="D8038">
        <v>4.3439459999999999</v>
      </c>
      <c r="E8038">
        <v>0.4920062</v>
      </c>
      <c r="F8038" t="s">
        <v>42</v>
      </c>
      <c r="G8038">
        <v>-111.89830000000001</v>
      </c>
      <c r="H8038" s="1">
        <v>-3.562179E-6</v>
      </c>
      <c r="I8038">
        <v>139.02850000000001</v>
      </c>
      <c r="J8038">
        <v>-120.36669999999999</v>
      </c>
      <c r="K8038">
        <v>1.1127419999999999</v>
      </c>
      <c r="L8038">
        <v>137.7338</v>
      </c>
      <c r="M8038">
        <v>0.9995887</v>
      </c>
      <c r="N8038">
        <v>-2.8683520000000001E-2</v>
      </c>
      <c r="O8038">
        <v>1.4368540000000001E-4</v>
      </c>
      <c r="P8038">
        <v>0.93087770000000003</v>
      </c>
      <c r="Q8038">
        <v>0.3480589</v>
      </c>
      <c r="R8038">
        <v>0.11100359999999999</v>
      </c>
      <c r="S8038">
        <v>3.3250579999999998</v>
      </c>
      <c r="T8038">
        <v>-0.42541689999999999</v>
      </c>
      <c r="U8038">
        <v>0.49510189999999998</v>
      </c>
      <c r="V8038">
        <v>-0.11094909999999999</v>
      </c>
      <c r="W8038">
        <v>0.37459379999999998</v>
      </c>
      <c r="X8038">
        <v>0.92052690000000004</v>
      </c>
      <c r="Y8038">
        <v>-0.14570549999999999</v>
      </c>
      <c r="Z8038">
        <v>1.133052E-2</v>
      </c>
      <c r="AA8038">
        <v>0.98926309999999995</v>
      </c>
      <c r="AB8038">
        <v>23</v>
      </c>
      <c r="AC8038">
        <v>8.4683999999999795</v>
      </c>
      <c r="AD8038">
        <v>-1.1127455621789999</v>
      </c>
      <c r="AE8038">
        <v>1.2947</v>
      </c>
      <c r="AF8038">
        <v>-1.2720217421281199</v>
      </c>
      <c r="AG8038">
        <v>-1.1127455621789999</v>
      </c>
      <c r="AH8038">
        <v>8.3280785558943098</v>
      </c>
      <c r="AI8038">
        <v>97.524183662918503</v>
      </c>
      <c r="AJ8038">
        <v>98.684179082711495</v>
      </c>
      <c r="AK8038">
        <v>8.4978311604633792</v>
      </c>
      <c r="AL8038">
        <v>68.000790473798304</v>
      </c>
      <c r="AM8038">
        <v>96.872584074908701</v>
      </c>
      <c r="AN8038">
        <v>0.99999999570642994</v>
      </c>
    </row>
    <row r="8039" spans="1:40" x14ac:dyDescent="0.25">
      <c r="A8039" t="str">
        <f>"20190304164319181"</f>
        <v>20190304164319181</v>
      </c>
      <c r="B8039" t="str">
        <f>"1551688999179069"</f>
        <v>1551688999179069</v>
      </c>
      <c r="C8039" t="s">
        <v>40</v>
      </c>
      <c r="D8039">
        <v>4.3420040000000002</v>
      </c>
      <c r="E8039">
        <v>0.49109649999999999</v>
      </c>
      <c r="F8039" t="s">
        <v>42</v>
      </c>
      <c r="G8039">
        <v>-111.67619999999999</v>
      </c>
      <c r="H8039" s="1">
        <v>-3.6536570000000001E-6</v>
      </c>
      <c r="I8039">
        <v>139.04990000000001</v>
      </c>
      <c r="J8039">
        <v>-120.1524</v>
      </c>
      <c r="K8039">
        <v>1.112746</v>
      </c>
      <c r="L8039">
        <v>137.73400000000001</v>
      </c>
      <c r="M8039">
        <v>0.99957850000000004</v>
      </c>
      <c r="N8039">
        <v>-2.9033509999999998E-2</v>
      </c>
      <c r="O8039">
        <v>2.818726E-4</v>
      </c>
      <c r="P8039">
        <v>0.93115959999999998</v>
      </c>
      <c r="Q8039">
        <v>0.347609</v>
      </c>
      <c r="R8039">
        <v>0.1100458</v>
      </c>
      <c r="S8039">
        <v>3.3218079999999999</v>
      </c>
      <c r="T8039">
        <v>-0.42532799999999998</v>
      </c>
      <c r="U8039">
        <v>0.50308229999999998</v>
      </c>
      <c r="V8039">
        <v>-0.109847</v>
      </c>
      <c r="W8039">
        <v>0.37447970000000003</v>
      </c>
      <c r="X8039">
        <v>0.92070540000000001</v>
      </c>
      <c r="Y8039">
        <v>-0.14800669999999999</v>
      </c>
      <c r="Z8039">
        <v>1.152822E-2</v>
      </c>
      <c r="AA8039">
        <v>0.98891910000000005</v>
      </c>
      <c r="AB8039">
        <v>23</v>
      </c>
      <c r="AC8039">
        <v>8.4762000000000004</v>
      </c>
      <c r="AD8039">
        <v>-1.1127496536570001</v>
      </c>
      <c r="AE8039">
        <v>1.3158999999999901</v>
      </c>
      <c r="AF8039">
        <v>-1.29177095642935</v>
      </c>
      <c r="AG8039">
        <v>-1.1127496536570001</v>
      </c>
      <c r="AH8039">
        <v>8.3362822683871194</v>
      </c>
      <c r="AI8039">
        <v>97.514413657892703</v>
      </c>
      <c r="AJ8039">
        <v>98.808365076621996</v>
      </c>
      <c r="AK8039">
        <v>8.5088475161924002</v>
      </c>
      <c r="AL8039">
        <v>68.0078394040723</v>
      </c>
      <c r="AM8039">
        <v>96.803652478328701</v>
      </c>
      <c r="AN8039">
        <v>0.99999992135512195</v>
      </c>
    </row>
    <row r="8040" spans="1:40" x14ac:dyDescent="0.25">
      <c r="A8040" t="str">
        <f>"20190304164319205"</f>
        <v>20190304164319205</v>
      </c>
      <c r="B8040" t="str">
        <f>"1551688999199565"</f>
        <v>1551688999199565</v>
      </c>
      <c r="C8040" t="s">
        <v>40</v>
      </c>
      <c r="D8040">
        <v>4.3311349999999997</v>
      </c>
      <c r="E8040">
        <v>0.49077189999999998</v>
      </c>
      <c r="F8040" t="s">
        <v>42</v>
      </c>
      <c r="G8040">
        <v>-111.3874</v>
      </c>
      <c r="H8040" s="1">
        <v>-3.7733010000000002E-6</v>
      </c>
      <c r="I8040">
        <v>139.07380000000001</v>
      </c>
      <c r="J8040">
        <v>-119.932</v>
      </c>
      <c r="K8040">
        <v>1.1127689999999999</v>
      </c>
      <c r="L8040">
        <v>137.73419999999999</v>
      </c>
      <c r="M8040">
        <v>0.99956800000000001</v>
      </c>
      <c r="N8040">
        <v>-2.938822E-2</v>
      </c>
      <c r="O8040">
        <v>4.0196120000000001E-4</v>
      </c>
      <c r="P8040">
        <v>0.93120349999999996</v>
      </c>
      <c r="Q8040">
        <v>0.34780539999999999</v>
      </c>
      <c r="R8040">
        <v>0.10904750000000001</v>
      </c>
      <c r="S8040">
        <v>3.3191220000000001</v>
      </c>
      <c r="T8040">
        <v>-0.42137520000000001</v>
      </c>
      <c r="U8040">
        <v>0.50735470000000005</v>
      </c>
      <c r="V8040">
        <v>-0.1087207</v>
      </c>
      <c r="W8040">
        <v>0.37500889999999998</v>
      </c>
      <c r="X8040">
        <v>0.92062379999999999</v>
      </c>
      <c r="Y8040">
        <v>-0.149258</v>
      </c>
      <c r="Z8040">
        <v>1.1560859999999999E-2</v>
      </c>
      <c r="AA8040">
        <v>0.98873069999999996</v>
      </c>
      <c r="AB8040">
        <v>22</v>
      </c>
      <c r="AC8040">
        <v>8.5446000000000009</v>
      </c>
      <c r="AD8040">
        <v>-1.112772773301</v>
      </c>
      <c r="AE8040">
        <v>1.3396000000000099</v>
      </c>
      <c r="AF8040">
        <v>-1.3144060812790701</v>
      </c>
      <c r="AG8040">
        <v>-1.112772773301</v>
      </c>
      <c r="AH8040">
        <v>8.4059913022254502</v>
      </c>
      <c r="AI8040">
        <v>97.451378385286802</v>
      </c>
      <c r="AJ8040">
        <v>98.887112653671196</v>
      </c>
      <c r="AK8040">
        <v>8.5805953385877203</v>
      </c>
      <c r="AL8040">
        <v>67.97513763021</v>
      </c>
      <c r="AM8040">
        <v>96.735127684931001</v>
      </c>
      <c r="AN8040">
        <v>1.0000000234070601</v>
      </c>
    </row>
    <row r="8041" spans="1:40" x14ac:dyDescent="0.25">
      <c r="A8041" t="str">
        <f>"20190304164319226"</f>
        <v>20190304164319226</v>
      </c>
      <c r="B8041" t="str">
        <f>"1551688999219085"</f>
        <v>1551688999219085</v>
      </c>
      <c r="C8041" t="s">
        <v>40</v>
      </c>
      <c r="D8041">
        <v>4.3397769999999998</v>
      </c>
      <c r="E8041">
        <v>0.49052580000000001</v>
      </c>
      <c r="F8041" t="s">
        <v>42</v>
      </c>
      <c r="G8041">
        <v>-111.0994</v>
      </c>
      <c r="H8041" s="1">
        <v>-3.8949419999999996E-6</v>
      </c>
      <c r="I8041">
        <v>139.0847</v>
      </c>
      <c r="J8041">
        <v>-119.7197</v>
      </c>
      <c r="K8041">
        <v>1.1128039999999999</v>
      </c>
      <c r="L8041">
        <v>137.73439999999999</v>
      </c>
      <c r="M8041">
        <v>0.99955709999999998</v>
      </c>
      <c r="N8041">
        <v>-2.9759219999999999E-2</v>
      </c>
      <c r="O8041">
        <v>4.9851120000000005E-4</v>
      </c>
      <c r="P8041">
        <v>0.93132360000000003</v>
      </c>
      <c r="Q8041">
        <v>0.34752240000000001</v>
      </c>
      <c r="R8041">
        <v>0.10892499999999999</v>
      </c>
      <c r="S8041">
        <v>3.3183750000000001</v>
      </c>
      <c r="T8041">
        <v>-0.41806090000000001</v>
      </c>
      <c r="U8041">
        <v>0.50738530000000004</v>
      </c>
      <c r="V8041">
        <v>-0.1084932</v>
      </c>
      <c r="W8041">
        <v>0.37507610000000002</v>
      </c>
      <c r="X8041">
        <v>0.92062319999999997</v>
      </c>
      <c r="Y8041">
        <v>-0.14922179999999999</v>
      </c>
      <c r="Z8041">
        <v>1.150611E-2</v>
      </c>
      <c r="AA8041">
        <v>0.98873679999999997</v>
      </c>
      <c r="AB8041">
        <v>22</v>
      </c>
      <c r="AC8041">
        <v>8.6203000000000003</v>
      </c>
      <c r="AD8041">
        <v>-1.1128078949419999</v>
      </c>
      <c r="AE8041">
        <v>1.3503000000000001</v>
      </c>
      <c r="AF8041">
        <v>-1.3244576120211</v>
      </c>
      <c r="AG8041">
        <v>-1.1128078949419999</v>
      </c>
      <c r="AH8041">
        <v>8.4829920342195297</v>
      </c>
      <c r="AI8041">
        <v>97.384983213890905</v>
      </c>
      <c r="AJ8041">
        <v>98.874000573498094</v>
      </c>
      <c r="AK8041">
        <v>8.6575795248855698</v>
      </c>
      <c r="AL8041">
        <v>67.970982848687399</v>
      </c>
      <c r="AM8041">
        <v>96.721167719257195</v>
      </c>
      <c r="AN8041">
        <v>0.999999965807844</v>
      </c>
    </row>
    <row r="8042" spans="1:40" x14ac:dyDescent="0.25">
      <c r="A8042" t="str">
        <f>"20190304164319249"</f>
        <v>20190304164319249</v>
      </c>
      <c r="B8042" t="str">
        <f>"1551688999239581"</f>
        <v>1551688999239581</v>
      </c>
      <c r="C8042" t="s">
        <v>40</v>
      </c>
      <c r="D8042">
        <v>4.5209960000000002</v>
      </c>
      <c r="E8042">
        <v>0.49050660000000001</v>
      </c>
      <c r="F8042" t="s">
        <v>42</v>
      </c>
      <c r="G8042">
        <v>-110.8655</v>
      </c>
      <c r="H8042" s="1">
        <v>-3.9934020000000002E-6</v>
      </c>
      <c r="I8042">
        <v>139.09530000000001</v>
      </c>
      <c r="J8042">
        <v>-119.5154</v>
      </c>
      <c r="K8042">
        <v>1.112851</v>
      </c>
      <c r="L8042">
        <v>137.7347</v>
      </c>
      <c r="M8042">
        <v>0.99954520000000002</v>
      </c>
      <c r="N8042">
        <v>-3.0150929999999999E-2</v>
      </c>
      <c r="O8042">
        <v>5.7602320000000001E-4</v>
      </c>
      <c r="P8042">
        <v>0.93142990000000003</v>
      </c>
      <c r="Q8042">
        <v>0.34742250000000002</v>
      </c>
      <c r="R8042">
        <v>0.1083341</v>
      </c>
      <c r="S8042">
        <v>3.3171539999999999</v>
      </c>
      <c r="T8042">
        <v>-0.41690270000000001</v>
      </c>
      <c r="U8042">
        <v>0.50984189999999996</v>
      </c>
      <c r="V8042">
        <v>-0.1078168</v>
      </c>
      <c r="W8042">
        <v>0.37534450000000003</v>
      </c>
      <c r="X8042">
        <v>0.92059329999999995</v>
      </c>
      <c r="Y8042">
        <v>-0.149911299999999</v>
      </c>
      <c r="Z8042">
        <v>1.1559450000000001E-2</v>
      </c>
      <c r="AA8042">
        <v>0.98863190000000001</v>
      </c>
      <c r="AB8042">
        <v>21</v>
      </c>
      <c r="AC8042">
        <v>8.6499000000000006</v>
      </c>
      <c r="AD8042">
        <v>-1.112854993402</v>
      </c>
      <c r="AE8042">
        <v>1.3606</v>
      </c>
      <c r="AF8042">
        <v>-1.33406642687389</v>
      </c>
      <c r="AG8042">
        <v>-1.112854993402</v>
      </c>
      <c r="AH8042">
        <v>8.5131734326719695</v>
      </c>
      <c r="AI8042">
        <v>97.358757904993197</v>
      </c>
      <c r="AJ8042">
        <v>98.906168623970899</v>
      </c>
      <c r="AK8042">
        <v>8.6886305803851407</v>
      </c>
      <c r="AL8042">
        <v>67.954393132121794</v>
      </c>
      <c r="AM8042">
        <v>96.679859458394006</v>
      </c>
      <c r="AN8042">
        <v>0.99999999002369</v>
      </c>
    </row>
    <row r="8043" spans="1:40" x14ac:dyDescent="0.25">
      <c r="A8043" t="str">
        <f>"20190304164319271"</f>
        <v>20190304164319271</v>
      </c>
      <c r="B8043" t="str">
        <f>"1551688999259101"</f>
        <v>1551688999259101</v>
      </c>
      <c r="C8043" t="s">
        <v>40</v>
      </c>
      <c r="D8043">
        <v>4.364045</v>
      </c>
      <c r="E8043">
        <v>0.52181849999999996</v>
      </c>
      <c r="F8043" t="s">
        <v>42</v>
      </c>
      <c r="G8043">
        <v>-110.6758</v>
      </c>
      <c r="H8043" s="1">
        <v>-4.0757380000000004E-6</v>
      </c>
      <c r="I8043">
        <v>139.0898</v>
      </c>
      <c r="J8043">
        <v>-119.30759999999999</v>
      </c>
      <c r="K8043">
        <v>1.112894</v>
      </c>
      <c r="L8043">
        <v>137.73490000000001</v>
      </c>
      <c r="M8043">
        <v>0.999533</v>
      </c>
      <c r="N8043">
        <v>-3.0555599999999999E-2</v>
      </c>
      <c r="O8043">
        <v>6.367759E-4</v>
      </c>
      <c r="P8043">
        <v>0.93148719999999996</v>
      </c>
      <c r="Q8043">
        <v>0.34732229999999997</v>
      </c>
      <c r="R8043">
        <v>0.1081637</v>
      </c>
      <c r="S8043">
        <v>3.3174739999999998</v>
      </c>
      <c r="T8043">
        <v>-0.41764869999999998</v>
      </c>
      <c r="U8043">
        <v>0.50859069999999995</v>
      </c>
      <c r="V8043">
        <v>-0.1075772</v>
      </c>
      <c r="W8043">
        <v>0.37562240000000002</v>
      </c>
      <c r="X8043">
        <v>0.92050799999999999</v>
      </c>
      <c r="Y8043">
        <v>-0.14946880000000001</v>
      </c>
      <c r="Z8043">
        <v>1.156602E-2</v>
      </c>
      <c r="AA8043">
        <v>0.98869879999999999</v>
      </c>
      <c r="AB8043">
        <v>21</v>
      </c>
      <c r="AC8043">
        <v>8.6317999999999895</v>
      </c>
      <c r="AD8043">
        <v>-1.112898075738</v>
      </c>
      <c r="AE8043">
        <v>1.35489999999998</v>
      </c>
      <c r="AF8043">
        <v>-1.3278584769492201</v>
      </c>
      <c r="AG8043">
        <v>-1.112898075738</v>
      </c>
      <c r="AH8043">
        <v>8.4948475189663792</v>
      </c>
      <c r="AI8043">
        <v>97.375178322931902</v>
      </c>
      <c r="AJ8043">
        <v>98.884204957130905</v>
      </c>
      <c r="AK8043">
        <v>8.6697280598803399</v>
      </c>
      <c r="AL8043">
        <v>67.937214049304501</v>
      </c>
      <c r="AM8043">
        <v>96.665760668366005</v>
      </c>
      <c r="AN8043">
        <v>1.0000000097027999</v>
      </c>
    </row>
    <row r="8044" spans="1:40" x14ac:dyDescent="0.25">
      <c r="A8044" t="str">
        <f>"20190304164319295"</f>
        <v>20190304164319295</v>
      </c>
      <c r="B8044" t="str">
        <f>"1551688999289358"</f>
        <v>1551688999289358</v>
      </c>
      <c r="C8044" t="s">
        <v>40</v>
      </c>
      <c r="D8044">
        <v>4.3333709999999996</v>
      </c>
      <c r="E8044">
        <v>0.53024859999999996</v>
      </c>
      <c r="F8044" t="s">
        <v>42</v>
      </c>
      <c r="G8044">
        <v>-111.3175</v>
      </c>
      <c r="H8044" s="1">
        <v>-3.9291079999999996E-6</v>
      </c>
      <c r="I8044">
        <v>138.3646</v>
      </c>
      <c r="J8044">
        <v>-119.10509999999999</v>
      </c>
      <c r="K8044">
        <v>1.1129309999999999</v>
      </c>
      <c r="L8044">
        <v>137.73509999999999</v>
      </c>
      <c r="M8044">
        <v>0.99952160000000001</v>
      </c>
      <c r="N8044">
        <v>-3.0923579999999999E-2</v>
      </c>
      <c r="O8044">
        <v>6.7471570000000002E-4</v>
      </c>
      <c r="P8044">
        <v>0.93154040000000005</v>
      </c>
      <c r="Q8044">
        <v>0.34714430000000002</v>
      </c>
      <c r="R8044">
        <v>0.10827580000000001</v>
      </c>
      <c r="S8044">
        <v>3.3646090000000002</v>
      </c>
      <c r="T8044">
        <v>-0.46863260000000001</v>
      </c>
      <c r="U8044">
        <v>0.26518249999999999</v>
      </c>
      <c r="V8044">
        <v>-0.1076418</v>
      </c>
      <c r="W8044">
        <v>0.37578850000000003</v>
      </c>
      <c r="X8044">
        <v>0.92043260000000005</v>
      </c>
      <c r="Y8044">
        <v>-7.699723E-2</v>
      </c>
      <c r="Z8044">
        <v>6.4552910000000002E-3</v>
      </c>
      <c r="AA8044">
        <v>0.99701039999999996</v>
      </c>
      <c r="AB8044">
        <v>21</v>
      </c>
      <c r="AC8044">
        <v>7.7875999999999896</v>
      </c>
      <c r="AD8044">
        <v>-1.112934929108</v>
      </c>
      <c r="AE8044">
        <v>0.62950000000000705</v>
      </c>
      <c r="AF8044">
        <v>-0.61182830895435303</v>
      </c>
      <c r="AG8044">
        <v>-1.112934929108</v>
      </c>
      <c r="AH8044">
        <v>7.6331390175762603</v>
      </c>
      <c r="AI8044">
        <v>98.269293006102401</v>
      </c>
      <c r="AJ8044">
        <v>94.582701151714502</v>
      </c>
      <c r="AK8044">
        <v>7.7380727120977397</v>
      </c>
      <c r="AL8044">
        <v>67.926943796179501</v>
      </c>
      <c r="AM8044">
        <v>96.670268845959598</v>
      </c>
      <c r="AN8044">
        <v>0.99999996249112399</v>
      </c>
    </row>
    <row r="8045" spans="1:40" x14ac:dyDescent="0.25">
      <c r="A8045" t="str">
        <f>"20190304164319316"</f>
        <v>20190304164319316</v>
      </c>
      <c r="B8045" t="str">
        <f>"1551688999309384"</f>
        <v>1551688999309384</v>
      </c>
      <c r="C8045" t="s">
        <v>40</v>
      </c>
      <c r="D8045">
        <v>4.3124859999999998</v>
      </c>
      <c r="E8045">
        <v>0.53245600000000004</v>
      </c>
      <c r="F8045" t="s">
        <v>41</v>
      </c>
      <c r="G8045">
        <v>-118.3156</v>
      </c>
      <c r="H8045">
        <v>1.0035050000000001</v>
      </c>
      <c r="I8045">
        <v>137.7817</v>
      </c>
      <c r="J8045">
        <v>-118.91</v>
      </c>
      <c r="K8045">
        <v>1.1129610000000001</v>
      </c>
      <c r="L8045">
        <v>137.73519999999999</v>
      </c>
      <c r="M8045">
        <v>0.99951120000000004</v>
      </c>
      <c r="N8045">
        <v>-3.1255810000000002E-2</v>
      </c>
      <c r="O8045">
        <v>6.9144639999999999E-4</v>
      </c>
      <c r="P8045">
        <v>0.93156470000000002</v>
      </c>
      <c r="Q8045">
        <v>0.3470683</v>
      </c>
      <c r="R8045">
        <v>0.1083104</v>
      </c>
      <c r="S8045">
        <v>3.3714750000000002</v>
      </c>
      <c r="T8045">
        <v>-0.46735870000000002</v>
      </c>
      <c r="U8045">
        <v>0.1993103</v>
      </c>
      <c r="V8045">
        <v>-0.1076488</v>
      </c>
      <c r="W8045">
        <v>0.3760232</v>
      </c>
      <c r="X8045">
        <v>0.92033589999999998</v>
      </c>
      <c r="Y8045">
        <v>-5.7652050000000003E-2</v>
      </c>
      <c r="Z8045">
        <v>4.806917E-3</v>
      </c>
      <c r="AA8045">
        <v>0.99832520000000002</v>
      </c>
      <c r="AB8045">
        <v>20</v>
      </c>
      <c r="AC8045">
        <v>0.59439999999999305</v>
      </c>
      <c r="AD8045">
        <v>-0.109456</v>
      </c>
      <c r="AE8045">
        <v>4.6500000000008798E-2</v>
      </c>
      <c r="AF8045">
        <v>-4.4586095903161101E-2</v>
      </c>
      <c r="AG8045">
        <v>-0.109456</v>
      </c>
      <c r="AH8045">
        <v>0.57505094016143998</v>
      </c>
      <c r="AI8045">
        <v>100.745349529834</v>
      </c>
      <c r="AJ8045">
        <v>94.433510675680694</v>
      </c>
      <c r="AK8045">
        <v>0.58707079612636304</v>
      </c>
      <c r="AL8045">
        <v>67.912431637780998</v>
      </c>
      <c r="AM8045">
        <v>96.671393282788301</v>
      </c>
      <c r="AN8045">
        <v>0.99999993995424297</v>
      </c>
    </row>
    <row r="8046" spans="1:40" x14ac:dyDescent="0.25">
      <c r="A8046" t="str">
        <f>"20190304164319338"</f>
        <v>20190304164319338</v>
      </c>
      <c r="B8046" t="str">
        <f>"1551688999328904"</f>
        <v>1551688999328904</v>
      </c>
      <c r="C8046" t="s">
        <v>40</v>
      </c>
      <c r="D8046">
        <v>4.5294339999999904</v>
      </c>
      <c r="E8046">
        <v>0.53359259999999997</v>
      </c>
      <c r="F8046" t="s">
        <v>41</v>
      </c>
      <c r="G8046">
        <v>-118.13979999999999</v>
      </c>
      <c r="H8046">
        <v>1.0069859999999999</v>
      </c>
      <c r="I8046">
        <v>137.77690000000001</v>
      </c>
      <c r="J8046">
        <v>-118.7238</v>
      </c>
      <c r="K8046">
        <v>1.1129990000000001</v>
      </c>
      <c r="L8046">
        <v>137.7354</v>
      </c>
      <c r="M8046">
        <v>0.99950090000000003</v>
      </c>
      <c r="N8046">
        <v>-3.1585630000000003E-2</v>
      </c>
      <c r="O8046">
        <v>6.9309030000000004E-4</v>
      </c>
      <c r="P8046">
        <v>0.93170739999999996</v>
      </c>
      <c r="Q8046">
        <v>0.34675089999999997</v>
      </c>
      <c r="R8046">
        <v>0.1080981</v>
      </c>
      <c r="S8046">
        <v>3.372055</v>
      </c>
      <c r="T8046">
        <v>-0.464034</v>
      </c>
      <c r="U8046">
        <v>0.1824646</v>
      </c>
      <c r="V8046">
        <v>-0.1074244</v>
      </c>
      <c r="W8046">
        <v>0.37601659999999998</v>
      </c>
      <c r="X8046">
        <v>0.92036490000000004</v>
      </c>
      <c r="Y8046">
        <v>-5.2732460000000002E-2</v>
      </c>
      <c r="Z8046">
        <v>4.3740350000000001E-3</v>
      </c>
      <c r="AA8046">
        <v>0.99859909999999996</v>
      </c>
      <c r="AB8046">
        <v>20</v>
      </c>
      <c r="AC8046">
        <v>0.58400000000000296</v>
      </c>
      <c r="AD8046">
        <v>-0.106012999999999</v>
      </c>
      <c r="AE8046">
        <v>4.1500000000013401E-2</v>
      </c>
      <c r="AF8046">
        <v>-3.97904053002869E-2</v>
      </c>
      <c r="AG8046">
        <v>-0.106012999999999</v>
      </c>
      <c r="AH8046">
        <v>0.56548784583448897</v>
      </c>
      <c r="AI8046">
        <v>100.59249646862899</v>
      </c>
      <c r="AJ8046">
        <v>94.024968578407297</v>
      </c>
      <c r="AK8046">
        <v>0.576713565220632</v>
      </c>
      <c r="AL8046">
        <v>67.912841535255197</v>
      </c>
      <c r="AM8046">
        <v>96.657403463346398</v>
      </c>
      <c r="AN8046">
        <v>1.00000001717146</v>
      </c>
    </row>
    <row r="8047" spans="1:40" x14ac:dyDescent="0.25">
      <c r="A8047" t="str">
        <f>"20190304164319361"</f>
        <v>20190304164319361</v>
      </c>
      <c r="B8047" t="str">
        <f>"1551688999349401"</f>
        <v>1551688999349401</v>
      </c>
      <c r="C8047" t="s">
        <v>40</v>
      </c>
      <c r="D8047">
        <v>4.2912600000000003</v>
      </c>
      <c r="E8047">
        <v>0.53435239999999995</v>
      </c>
      <c r="F8047" t="s">
        <v>41</v>
      </c>
      <c r="G8047">
        <v>-117.9652</v>
      </c>
      <c r="H8047">
        <v>1.00997</v>
      </c>
      <c r="I8047">
        <v>137.77449999999999</v>
      </c>
      <c r="J8047">
        <v>-118.536</v>
      </c>
      <c r="K8047">
        <v>1.1130469999999999</v>
      </c>
      <c r="L8047">
        <v>137.7355</v>
      </c>
      <c r="M8047">
        <v>0.99948930000000002</v>
      </c>
      <c r="N8047">
        <v>-3.1948200000000003E-2</v>
      </c>
      <c r="O8047">
        <v>6.8227740000000004E-4</v>
      </c>
      <c r="P8047">
        <v>0.93164599999999997</v>
      </c>
      <c r="Q8047">
        <v>0.346723</v>
      </c>
      <c r="R8047">
        <v>0.1087153</v>
      </c>
      <c r="S8047">
        <v>3.3700869999999998</v>
      </c>
      <c r="T8047">
        <v>-0.45776470000000002</v>
      </c>
      <c r="U8047">
        <v>0.17382810000000001</v>
      </c>
      <c r="V8047">
        <v>-0.108044</v>
      </c>
      <c r="W8047">
        <v>0.37632310000000002</v>
      </c>
      <c r="X8047">
        <v>0.92016699999999996</v>
      </c>
      <c r="Y8047">
        <v>-5.0263189999999999E-2</v>
      </c>
      <c r="Z8047">
        <v>4.1335429999999999E-3</v>
      </c>
      <c r="AA8047">
        <v>0.99872740000000004</v>
      </c>
      <c r="AB8047">
        <v>19</v>
      </c>
      <c r="AC8047">
        <v>0.57080000000000497</v>
      </c>
      <c r="AD8047">
        <v>-0.103076999999999</v>
      </c>
      <c r="AE8047">
        <v>3.8999999999987198E-2</v>
      </c>
      <c r="AF8047">
        <v>-3.7396501286672899E-2</v>
      </c>
      <c r="AG8047">
        <v>-0.103076999999999</v>
      </c>
      <c r="AH8047">
        <v>0.55288062944393501</v>
      </c>
      <c r="AI8047">
        <v>100.537230563264</v>
      </c>
      <c r="AJ8047">
        <v>93.869556824586596</v>
      </c>
      <c r="AK8047">
        <v>0.56364914321925996</v>
      </c>
      <c r="AL8047">
        <v>67.893886589508</v>
      </c>
      <c r="AM8047">
        <v>96.696881160641993</v>
      </c>
      <c r="AN8047">
        <v>0.99999994470930298</v>
      </c>
    </row>
    <row r="8048" spans="1:40" x14ac:dyDescent="0.25">
      <c r="A8048" t="str">
        <f>"20190304164319385"</f>
        <v>20190304164319385</v>
      </c>
      <c r="B8048" t="str">
        <f>"1551688999378680"</f>
        <v>1551688999378680</v>
      </c>
      <c r="C8048" t="s">
        <v>40</v>
      </c>
      <c r="D8048">
        <v>4.2606989999999998</v>
      </c>
      <c r="E8048">
        <v>0.53491429999999995</v>
      </c>
      <c r="F8048" t="s">
        <v>41</v>
      </c>
      <c r="G8048">
        <v>-117.79089999999999</v>
      </c>
      <c r="H8048">
        <v>1.011771</v>
      </c>
      <c r="I8048">
        <v>137.7732</v>
      </c>
      <c r="J8048">
        <v>-118.3396</v>
      </c>
      <c r="K8048">
        <v>1.1131040000000001</v>
      </c>
      <c r="L8048">
        <v>137.73560000000001</v>
      </c>
      <c r="M8048">
        <v>0.99947660000000005</v>
      </c>
      <c r="N8048">
        <v>-3.2343370000000003E-2</v>
      </c>
      <c r="O8048">
        <v>6.5305560000000003E-4</v>
      </c>
      <c r="P8048">
        <v>0.93176630000000005</v>
      </c>
      <c r="Q8048">
        <v>0.34620050000000002</v>
      </c>
      <c r="R8048">
        <v>0.1093484</v>
      </c>
      <c r="S8048">
        <v>3.3707120000000002</v>
      </c>
      <c r="T8048">
        <v>-0.45816950000000001</v>
      </c>
      <c r="U8048">
        <v>0.17057800000000001</v>
      </c>
      <c r="V8048">
        <v>-0.1086985</v>
      </c>
      <c r="W8048">
        <v>0.37617030000000001</v>
      </c>
      <c r="X8048">
        <v>0.92015250000000004</v>
      </c>
      <c r="Y8048">
        <v>-4.9330649999999997E-2</v>
      </c>
      <c r="Z8048">
        <v>4.0709589999999999E-3</v>
      </c>
      <c r="AA8048">
        <v>0.99877419999999995</v>
      </c>
      <c r="AB8048">
        <v>19</v>
      </c>
      <c r="AC8048">
        <v>0.54870000000000996</v>
      </c>
      <c r="AD8048">
        <v>-0.10133300000000001</v>
      </c>
      <c r="AE8048">
        <v>3.7599999999997601E-2</v>
      </c>
      <c r="AF8048">
        <v>-3.6018755609428001E-2</v>
      </c>
      <c r="AG8048">
        <v>-0.10133300000000001</v>
      </c>
      <c r="AH8048">
        <v>0.53070865358135999</v>
      </c>
      <c r="AI8048">
        <v>100.78565839629999</v>
      </c>
      <c r="AJ8048">
        <v>93.882662809447496</v>
      </c>
      <c r="AK8048">
        <v>0.54149552410965596</v>
      </c>
      <c r="AL8048">
        <v>67.903337948277596</v>
      </c>
      <c r="AM8048">
        <v>96.737182372524998</v>
      </c>
      <c r="AN8048">
        <v>1.00000004088029</v>
      </c>
    </row>
    <row r="8049" spans="1:40" x14ac:dyDescent="0.25">
      <c r="A8049" t="str">
        <f>"20190304164319406"</f>
        <v>20190304164319406</v>
      </c>
      <c r="B8049" t="str">
        <f>"1551688999398708"</f>
        <v>1551688999398708</v>
      </c>
      <c r="C8049" t="s">
        <v>40</v>
      </c>
      <c r="D8049">
        <v>4.159084</v>
      </c>
      <c r="E8049">
        <v>0.5048416</v>
      </c>
      <c r="F8049" t="s">
        <v>41</v>
      </c>
      <c r="G8049">
        <v>-117.4851</v>
      </c>
      <c r="H8049">
        <v>0.99674750000000001</v>
      </c>
      <c r="I8049">
        <v>137.7782</v>
      </c>
      <c r="J8049">
        <v>-118.1695</v>
      </c>
      <c r="K8049">
        <v>1.113148</v>
      </c>
      <c r="L8049">
        <v>137.73560000000001</v>
      </c>
      <c r="M8049">
        <v>0.99946590000000002</v>
      </c>
      <c r="N8049">
        <v>-3.2673630000000002E-2</v>
      </c>
      <c r="O8049">
        <v>6.1120079999999995E-4</v>
      </c>
      <c r="P8049">
        <v>0.93159959999999997</v>
      </c>
      <c r="Q8049">
        <v>0.34667900000000001</v>
      </c>
      <c r="R8049">
        <v>0.1092515</v>
      </c>
      <c r="S8049">
        <v>3.3704679999999998</v>
      </c>
      <c r="T8049">
        <v>-0.45902539999999997</v>
      </c>
      <c r="U8049">
        <v>0.16859440000000001</v>
      </c>
      <c r="V8049">
        <v>-0.108635</v>
      </c>
      <c r="W8049">
        <v>0.37694820000000001</v>
      </c>
      <c r="X8049">
        <v>0.91984149999999998</v>
      </c>
      <c r="Y8049">
        <v>-4.879261E-2</v>
      </c>
      <c r="Z8049">
        <v>4.0446960000000004E-3</v>
      </c>
      <c r="AA8049">
        <v>0.99880080000000004</v>
      </c>
      <c r="AB8049">
        <v>18</v>
      </c>
      <c r="AC8049">
        <v>0.68439999999999601</v>
      </c>
      <c r="AD8049">
        <v>-0.1164005</v>
      </c>
      <c r="AE8049">
        <v>4.2599999999992998E-2</v>
      </c>
      <c r="AF8049">
        <v>-4.1000068338959701E-2</v>
      </c>
      <c r="AG8049">
        <v>-0.1164005</v>
      </c>
      <c r="AH8049">
        <v>0.66525691123820596</v>
      </c>
      <c r="AI8049">
        <v>99.906197138444298</v>
      </c>
      <c r="AJ8049">
        <v>93.526702772522498</v>
      </c>
      <c r="AK8049">
        <v>0.67660685774994</v>
      </c>
      <c r="AL8049">
        <v>67.855223984990204</v>
      </c>
      <c r="AM8049">
        <v>96.735538382457904</v>
      </c>
      <c r="AN8049">
        <v>0.99999994691524297</v>
      </c>
    </row>
    <row r="8050" spans="1:40" x14ac:dyDescent="0.25">
      <c r="A8050" t="str">
        <f>"20190304164319428"</f>
        <v>20190304164319428</v>
      </c>
      <c r="B8050" t="str">
        <f>"1551688999419205"</f>
        <v>1551688999419205</v>
      </c>
      <c r="C8050" t="s">
        <v>40</v>
      </c>
      <c r="D8050">
        <v>4.1984760000000003</v>
      </c>
      <c r="E8050">
        <v>0.422458</v>
      </c>
      <c r="F8050" t="s">
        <v>42</v>
      </c>
      <c r="G8050">
        <v>-109.34650000000001</v>
      </c>
      <c r="H8050" s="1">
        <v>-4.4874960000000002E-7</v>
      </c>
      <c r="I8050">
        <v>138.81370000000001</v>
      </c>
      <c r="J8050">
        <v>-117.9949</v>
      </c>
      <c r="K8050">
        <v>1.113191</v>
      </c>
      <c r="L8050">
        <v>137.73570000000001</v>
      </c>
      <c r="M8050">
        <v>0.99945519999999999</v>
      </c>
      <c r="N8050">
        <v>-3.300285E-2</v>
      </c>
      <c r="O8050">
        <v>5.5580949999999897E-4</v>
      </c>
      <c r="P8050">
        <v>0.93170359999999997</v>
      </c>
      <c r="Q8050">
        <v>0.34666950000000002</v>
      </c>
      <c r="R8050">
        <v>0.1083924</v>
      </c>
      <c r="S8050">
        <v>3.3288419999999999</v>
      </c>
      <c r="T8050">
        <v>-0.41997770000000001</v>
      </c>
      <c r="U8050">
        <v>0.406723</v>
      </c>
      <c r="V8050">
        <v>-0.10782129999999999</v>
      </c>
      <c r="W8050">
        <v>0.37724679999999999</v>
      </c>
      <c r="X8050">
        <v>0.91981489999999999</v>
      </c>
      <c r="Y8050">
        <v>-0.11954670000000001</v>
      </c>
      <c r="Z8050">
        <v>9.4228420000000007E-3</v>
      </c>
      <c r="AA8050">
        <v>0.99278379999999999</v>
      </c>
      <c r="AB8050">
        <v>18</v>
      </c>
      <c r="AC8050">
        <v>8.6483999999999899</v>
      </c>
      <c r="AD8050">
        <v>-1.1131914487496</v>
      </c>
      <c r="AE8050">
        <v>1.0780000000000001</v>
      </c>
      <c r="AF8050">
        <v>-1.05596289643198</v>
      </c>
      <c r="AG8050">
        <v>-1.1131914487496</v>
      </c>
      <c r="AH8050">
        <v>8.5101595736826194</v>
      </c>
      <c r="AI8050">
        <v>97.396310634251094</v>
      </c>
      <c r="AJ8050">
        <v>97.073257162328304</v>
      </c>
      <c r="AK8050">
        <v>8.6473735208878395</v>
      </c>
      <c r="AL8050">
        <v>67.836753324769404</v>
      </c>
      <c r="AM8050">
        <v>96.685737697500699</v>
      </c>
      <c r="AN8050">
        <v>1.00000001555296</v>
      </c>
    </row>
    <row r="8051" spans="1:40" x14ac:dyDescent="0.25">
      <c r="A8051" t="str">
        <f>"20190304164319451"</f>
        <v>20190304164319451</v>
      </c>
      <c r="B8051" t="str">
        <f>"1551688999438725"</f>
        <v>1551688999438725</v>
      </c>
      <c r="C8051" t="s">
        <v>40</v>
      </c>
      <c r="D8051">
        <v>4.1740209999999998</v>
      </c>
      <c r="E8051">
        <v>0.33860610000000002</v>
      </c>
      <c r="F8051" t="s">
        <v>42</v>
      </c>
      <c r="G8051">
        <v>-107.6601</v>
      </c>
      <c r="H8051" s="1">
        <v>-1.4854710000000001E-6</v>
      </c>
      <c r="I8051">
        <v>141.1156</v>
      </c>
      <c r="J8051">
        <v>-117.8246</v>
      </c>
      <c r="K8051">
        <v>1.113232</v>
      </c>
      <c r="L8051">
        <v>137.73570000000001</v>
      </c>
      <c r="M8051">
        <v>0.99944480000000002</v>
      </c>
      <c r="N8051">
        <v>-3.331829E-2</v>
      </c>
      <c r="O8051">
        <v>4.9271199999999997E-4</v>
      </c>
      <c r="P8051">
        <v>0.93203380000000002</v>
      </c>
      <c r="Q8051">
        <v>0.34620600000000001</v>
      </c>
      <c r="R8051">
        <v>0.107025</v>
      </c>
      <c r="S8051">
        <v>3.2264560000000002</v>
      </c>
      <c r="T8051">
        <v>-0.34753040000000002</v>
      </c>
      <c r="U8051">
        <v>1.055191</v>
      </c>
      <c r="V8051">
        <v>-0.10650759999999999</v>
      </c>
      <c r="W8051">
        <v>0.37708599999999998</v>
      </c>
      <c r="X8051">
        <v>0.92003389999999996</v>
      </c>
      <c r="Y8051">
        <v>-0.30821850000000001</v>
      </c>
      <c r="Z8051">
        <v>2.1383630000000001E-2</v>
      </c>
      <c r="AA8051">
        <v>0.95107529999999996</v>
      </c>
      <c r="AB8051">
        <v>18</v>
      </c>
      <c r="AC8051">
        <v>10.1645</v>
      </c>
      <c r="AD8051">
        <v>-1.113233485471</v>
      </c>
      <c r="AE8051">
        <v>3.3798999999999899</v>
      </c>
      <c r="AF8051">
        <v>-3.33882673781453</v>
      </c>
      <c r="AG8051">
        <v>-1.113233485471</v>
      </c>
      <c r="AH8051">
        <v>10.0575358776267</v>
      </c>
      <c r="AI8051">
        <v>95.996883461012004</v>
      </c>
      <c r="AJ8051">
        <v>108.36475442062</v>
      </c>
      <c r="AK8051">
        <v>10.655565715064901</v>
      </c>
      <c r="AL8051">
        <v>67.846701952985796</v>
      </c>
      <c r="AM8051">
        <v>96.603444158738796</v>
      </c>
      <c r="AN8051">
        <v>1.00000004870148</v>
      </c>
    </row>
    <row r="8052" spans="1:40" x14ac:dyDescent="0.25">
      <c r="A8052" t="str">
        <f>"20190304164319473"</f>
        <v>20190304164319473</v>
      </c>
      <c r="B8052" t="str">
        <f>"1551688999468981"</f>
        <v>1551688999468981</v>
      </c>
      <c r="C8052" t="s">
        <v>40</v>
      </c>
      <c r="D8052">
        <v>4.1213959999999998</v>
      </c>
      <c r="E8052">
        <v>0.27711190000000002</v>
      </c>
      <c r="F8052" t="s">
        <v>41</v>
      </c>
      <c r="G8052">
        <v>-117.01390000000001</v>
      </c>
      <c r="H8052">
        <v>1.0126949999999999</v>
      </c>
      <c r="I8052">
        <v>138.17599999999999</v>
      </c>
      <c r="J8052">
        <v>-117.6615</v>
      </c>
      <c r="K8052">
        <v>1.1132679999999999</v>
      </c>
      <c r="L8052">
        <v>137.73570000000001</v>
      </c>
      <c r="M8052">
        <v>0.99943419999999905</v>
      </c>
      <c r="N8052">
        <v>-3.3633450000000002E-2</v>
      </c>
      <c r="O8052">
        <v>4.2516400000000001E-4</v>
      </c>
      <c r="P8052">
        <v>0.93255160000000004</v>
      </c>
      <c r="Q8052">
        <v>0.34529850000000001</v>
      </c>
      <c r="R8052">
        <v>0.1054369</v>
      </c>
      <c r="S8052">
        <v>3.1671140000000002</v>
      </c>
      <c r="T8052">
        <v>-0.3927348</v>
      </c>
      <c r="U8052">
        <v>1.720245</v>
      </c>
      <c r="V8052">
        <v>-0.1049803</v>
      </c>
      <c r="W8052">
        <v>0.3764866</v>
      </c>
      <c r="X8052">
        <v>0.92045480000000002</v>
      </c>
      <c r="Y8052">
        <v>-0.47317910000000002</v>
      </c>
      <c r="Z8052">
        <v>3.5827610000000003E-2</v>
      </c>
      <c r="AA8052">
        <v>0.88023750000000001</v>
      </c>
      <c r="AB8052">
        <v>17</v>
      </c>
      <c r="AC8052">
        <v>0.64759999999999696</v>
      </c>
      <c r="AD8052">
        <v>-0.100572999999999</v>
      </c>
      <c r="AE8052">
        <v>0.44030000000000702</v>
      </c>
      <c r="AF8052">
        <v>-0.4328844818357</v>
      </c>
      <c r="AG8052">
        <v>-0.100572999999999</v>
      </c>
      <c r="AH8052">
        <v>0.63727603148144896</v>
      </c>
      <c r="AI8052">
        <v>97.437739943143299</v>
      </c>
      <c r="AJ8052">
        <v>124.18721409406101</v>
      </c>
      <c r="AK8052">
        <v>0.77693284345811198</v>
      </c>
      <c r="AL8052">
        <v>67.8837770925538</v>
      </c>
      <c r="AM8052">
        <v>96.506619409097794</v>
      </c>
      <c r="AN8052">
        <v>1.0000000311053401</v>
      </c>
    </row>
    <row r="8053" spans="1:40" x14ac:dyDescent="0.25">
      <c r="A8053" t="str">
        <f>"20190304164319497"</f>
        <v>20190304164319497</v>
      </c>
      <c r="B8053" t="str">
        <f>"1551688999489477"</f>
        <v>1551688999489477</v>
      </c>
      <c r="C8053" t="s">
        <v>40</v>
      </c>
      <c r="D8053">
        <v>4.1020250000000003</v>
      </c>
      <c r="E8053">
        <v>0.2771382</v>
      </c>
      <c r="F8053" t="s">
        <v>41</v>
      </c>
      <c r="G8053">
        <v>-116.8904</v>
      </c>
      <c r="H8053">
        <v>1.0152030000000001</v>
      </c>
      <c r="I8053">
        <v>138.2807</v>
      </c>
      <c r="J8053">
        <v>-117.4885</v>
      </c>
      <c r="K8053">
        <v>1.1133230000000001</v>
      </c>
      <c r="L8053">
        <v>137.73560000000001</v>
      </c>
      <c r="M8053">
        <v>0.99942169999999997</v>
      </c>
      <c r="N8053">
        <v>-3.4005439999999998E-2</v>
      </c>
      <c r="O8053">
        <v>3.4726899999999998E-4</v>
      </c>
      <c r="P8053">
        <v>0.93291170000000001</v>
      </c>
      <c r="Q8053">
        <v>0.34484179999999998</v>
      </c>
      <c r="R8053">
        <v>0.1037314</v>
      </c>
      <c r="S8053">
        <v>3.1147309999999999</v>
      </c>
      <c r="T8053">
        <v>-0.39608789999999999</v>
      </c>
      <c r="U8053">
        <v>2.2015989999999999</v>
      </c>
      <c r="V8053">
        <v>-0.103349</v>
      </c>
      <c r="W8053">
        <v>0.37638369999999999</v>
      </c>
      <c r="X8053">
        <v>0.92068139999999998</v>
      </c>
      <c r="Y8053">
        <v>-0.57268909999999995</v>
      </c>
      <c r="Z8053">
        <v>4.3371519999999997E-2</v>
      </c>
      <c r="AA8053">
        <v>0.81862449999999998</v>
      </c>
      <c r="AB8053">
        <v>17</v>
      </c>
      <c r="AC8053">
        <v>0.59810000000000196</v>
      </c>
      <c r="AD8053">
        <v>-9.8119999999999999E-2</v>
      </c>
      <c r="AE8053">
        <v>0.54509999999999004</v>
      </c>
      <c r="AF8053">
        <v>-0.53699735966598205</v>
      </c>
      <c r="AG8053">
        <v>-9.8119999999999999E-2</v>
      </c>
      <c r="AH8053">
        <v>0.58962092704423197</v>
      </c>
      <c r="AI8053">
        <v>97.014036751320802</v>
      </c>
      <c r="AJ8053">
        <v>132.32569720586801</v>
      </c>
      <c r="AK8053">
        <v>0.80352133530898595</v>
      </c>
      <c r="AL8053">
        <v>67.890139577652107</v>
      </c>
      <c r="AM8053">
        <v>96.404795848049901</v>
      </c>
      <c r="AN8053">
        <v>0.99999997286632403</v>
      </c>
    </row>
    <row r="8054" spans="1:40" x14ac:dyDescent="0.25">
      <c r="A8054" t="str">
        <f>"20190304164319519"</f>
        <v>20190304164319519</v>
      </c>
      <c r="B8054" t="str">
        <f>"1551688999509504"</f>
        <v>1551688999509504</v>
      </c>
      <c r="C8054" t="s">
        <v>40</v>
      </c>
      <c r="D8054">
        <v>4.018205</v>
      </c>
      <c r="E8054">
        <v>0.27844079999999999</v>
      </c>
      <c r="F8054" t="s">
        <v>41</v>
      </c>
      <c r="G8054">
        <v>-116.7439</v>
      </c>
      <c r="H8054">
        <v>1.01827</v>
      </c>
      <c r="I8054">
        <v>138.2594</v>
      </c>
      <c r="J8054">
        <v>-117.3365</v>
      </c>
      <c r="K8054">
        <v>1.1133839999999999</v>
      </c>
      <c r="L8054">
        <v>137.73560000000001</v>
      </c>
      <c r="M8054">
        <v>0.99940929999999994</v>
      </c>
      <c r="N8054">
        <v>-3.4367559999999998E-2</v>
      </c>
      <c r="O8054">
        <v>2.7536500000000002E-4</v>
      </c>
      <c r="P8054">
        <v>0.93304770000000004</v>
      </c>
      <c r="Q8054">
        <v>0.34472390000000003</v>
      </c>
      <c r="R8054">
        <v>0.1028963</v>
      </c>
      <c r="S8054">
        <v>3.1189580000000001</v>
      </c>
      <c r="T8054">
        <v>-0.3981191</v>
      </c>
      <c r="U8054">
        <v>2.1939540000000002</v>
      </c>
      <c r="V8054">
        <v>-0.10258440000000001</v>
      </c>
      <c r="W8054">
        <v>0.37660280000000002</v>
      </c>
      <c r="X8054">
        <v>0.92067739999999998</v>
      </c>
      <c r="Y8054">
        <v>-0.57084939999999995</v>
      </c>
      <c r="Z8054">
        <v>4.3495409999999998E-2</v>
      </c>
      <c r="AA8054">
        <v>0.81990189999999996</v>
      </c>
      <c r="AB8054">
        <v>16</v>
      </c>
      <c r="AC8054">
        <v>0.59260000000000401</v>
      </c>
      <c r="AD8054">
        <v>-9.5113999999999893E-2</v>
      </c>
      <c r="AE8054">
        <v>0.52379999999999405</v>
      </c>
      <c r="AF8054">
        <v>-0.51617174721972303</v>
      </c>
      <c r="AG8054">
        <v>-9.5113999999999893E-2</v>
      </c>
      <c r="AH8054">
        <v>0.58429414716130001</v>
      </c>
      <c r="AI8054">
        <v>96.955592557637402</v>
      </c>
      <c r="AJ8054">
        <v>131.45772590342</v>
      </c>
      <c r="AK8054">
        <v>0.78541682948025204</v>
      </c>
      <c r="AL8054">
        <v>67.876590843839494</v>
      </c>
      <c r="AM8054">
        <v>96.357828506347602</v>
      </c>
      <c r="AN8054">
        <v>1.0000000514809699</v>
      </c>
    </row>
    <row r="8055" spans="1:40" x14ac:dyDescent="0.25">
      <c r="A8055" t="str">
        <f>"20190304164319539"</f>
        <v>20190304164319539</v>
      </c>
      <c r="B8055" t="str">
        <f>"1551688999529024"</f>
        <v>1551688999529024</v>
      </c>
      <c r="C8055" t="s">
        <v>40</v>
      </c>
      <c r="D8055">
        <v>4.0485860000000002</v>
      </c>
      <c r="E8055">
        <v>0.27951490000000001</v>
      </c>
      <c r="F8055" t="s">
        <v>41</v>
      </c>
      <c r="G8055">
        <v>-116.6032</v>
      </c>
      <c r="H8055">
        <v>1.0195069999999999</v>
      </c>
      <c r="I8055">
        <v>138.2474</v>
      </c>
      <c r="J8055">
        <v>-117.19670000000001</v>
      </c>
      <c r="K8055">
        <v>1.113445</v>
      </c>
      <c r="L8055">
        <v>137.7355</v>
      </c>
      <c r="M8055">
        <v>0.99939730000000004</v>
      </c>
      <c r="N8055">
        <v>-3.471842E-2</v>
      </c>
      <c r="O8055">
        <v>2.0946490000000001E-4</v>
      </c>
      <c r="P8055">
        <v>0.93316529999999998</v>
      </c>
      <c r="Q8055">
        <v>0.34438150000000001</v>
      </c>
      <c r="R8055">
        <v>0.1029756</v>
      </c>
      <c r="S8055">
        <v>3.1226039999999999</v>
      </c>
      <c r="T8055">
        <v>-0.3997386</v>
      </c>
      <c r="U8055">
        <v>2.1793979999999999</v>
      </c>
      <c r="V8055">
        <v>-0.10272920000000001</v>
      </c>
      <c r="W8055">
        <v>0.37658649999999999</v>
      </c>
      <c r="X8055">
        <v>0.92066789999999998</v>
      </c>
      <c r="Y8055">
        <v>-0.56786269999999905</v>
      </c>
      <c r="Z8055">
        <v>4.3510559999999997E-2</v>
      </c>
      <c r="AA8055">
        <v>0.82197249999999999</v>
      </c>
      <c r="AB8055">
        <v>16</v>
      </c>
      <c r="AC8055">
        <v>0.59350000000000502</v>
      </c>
      <c r="AD8055">
        <v>-9.3937999999999994E-2</v>
      </c>
      <c r="AE8055">
        <v>0.51189999999999702</v>
      </c>
      <c r="AF8055">
        <v>-0.50452792120906198</v>
      </c>
      <c r="AG8055">
        <v>-9.3937999999999994E-2</v>
      </c>
      <c r="AH8055">
        <v>0.58520071581434396</v>
      </c>
      <c r="AI8055">
        <v>96.931824812887797</v>
      </c>
      <c r="AJ8055">
        <v>130.76610708607799</v>
      </c>
      <c r="AK8055">
        <v>0.77835252226299001</v>
      </c>
      <c r="AL8055">
        <v>67.877598516323403</v>
      </c>
      <c r="AM8055">
        <v>96.366794228238405</v>
      </c>
      <c r="AN8055">
        <v>1.00000003130264</v>
      </c>
    </row>
    <row r="8056" spans="1:40" x14ac:dyDescent="0.25">
      <c r="A8056" t="str">
        <f>"20190304164319562"</f>
        <v>20190304164319562</v>
      </c>
      <c r="B8056" t="str">
        <f>"1551688999559280"</f>
        <v>1551688999559280</v>
      </c>
      <c r="C8056" t="s">
        <v>40</v>
      </c>
      <c r="D8056">
        <v>3.9980289999999998</v>
      </c>
      <c r="E8056">
        <v>0.2804159</v>
      </c>
      <c r="F8056" t="s">
        <v>41</v>
      </c>
      <c r="G8056">
        <v>-116.4679</v>
      </c>
      <c r="H8056">
        <v>1.01949</v>
      </c>
      <c r="I8056">
        <v>138.24189999999999</v>
      </c>
      <c r="J8056">
        <v>-117.0528</v>
      </c>
      <c r="K8056">
        <v>1.1134949999999999</v>
      </c>
      <c r="L8056">
        <v>137.7355</v>
      </c>
      <c r="M8056">
        <v>0.99938459999999996</v>
      </c>
      <c r="N8056">
        <v>-3.5077039999999997E-2</v>
      </c>
      <c r="O8056">
        <v>1.4476069999999901E-4</v>
      </c>
      <c r="P8056">
        <v>0.93344090000000002</v>
      </c>
      <c r="Q8056">
        <v>0.343437099999999</v>
      </c>
      <c r="R8056">
        <v>0.1036301</v>
      </c>
      <c r="S8056">
        <v>3.1239780000000001</v>
      </c>
      <c r="T8056">
        <v>-0.40276050000000002</v>
      </c>
      <c r="U8056">
        <v>2.1704859999999999</v>
      </c>
      <c r="V8056">
        <v>-0.1034484</v>
      </c>
      <c r="W8056">
        <v>0.37598169999999997</v>
      </c>
      <c r="X8056">
        <v>0.9208345</v>
      </c>
      <c r="Y8056">
        <v>-0.56610760000000004</v>
      </c>
      <c r="Z8056">
        <v>4.3743509999999999E-2</v>
      </c>
      <c r="AA8056">
        <v>0.82316990000000001</v>
      </c>
      <c r="AB8056">
        <v>15</v>
      </c>
      <c r="AC8056">
        <v>0.58490000000000397</v>
      </c>
      <c r="AD8056">
        <v>-9.4005000000000102E-2</v>
      </c>
      <c r="AE8056">
        <v>0.50639999999998497</v>
      </c>
      <c r="AF8056">
        <v>-0.49894882241890098</v>
      </c>
      <c r="AG8056">
        <v>-9.4005000000000102E-2</v>
      </c>
      <c r="AH8056">
        <v>0.57646248923536303</v>
      </c>
      <c r="AI8056">
        <v>97.029141055434195</v>
      </c>
      <c r="AJ8056">
        <v>130.87735527215</v>
      </c>
      <c r="AK8056">
        <v>0.76817697759932901</v>
      </c>
      <c r="AL8056">
        <v>67.914998954991802</v>
      </c>
      <c r="AM8056">
        <v>96.409847633324603</v>
      </c>
      <c r="AN8056">
        <v>0.99999999329384903</v>
      </c>
    </row>
    <row r="8057" spans="1:40" x14ac:dyDescent="0.25">
      <c r="A8057" t="str">
        <f>"20190304164319584"</f>
        <v>20190304164319584</v>
      </c>
      <c r="B8057" t="str">
        <f>"1551688999578800"</f>
        <v>1551688999578800</v>
      </c>
      <c r="C8057" t="s">
        <v>40</v>
      </c>
      <c r="D8057">
        <v>3.9775779999999998</v>
      </c>
      <c r="E8057">
        <v>0.28088099999999999</v>
      </c>
      <c r="F8057" t="s">
        <v>41</v>
      </c>
      <c r="G8057">
        <v>-116.3359</v>
      </c>
      <c r="H8057">
        <v>1.0210269999999999</v>
      </c>
      <c r="I8057">
        <v>138.233</v>
      </c>
      <c r="J8057">
        <v>-116.91200000000001</v>
      </c>
      <c r="K8057">
        <v>1.1136779999999999</v>
      </c>
      <c r="L8057">
        <v>137.7354</v>
      </c>
      <c r="M8057">
        <v>0.99935289999999999</v>
      </c>
      <c r="N8057">
        <v>-3.5971660000000003E-2</v>
      </c>
      <c r="O8057" s="1">
        <v>8.7935940000000002E-5</v>
      </c>
      <c r="P8057">
        <v>0.93404189999999998</v>
      </c>
      <c r="Q8057">
        <v>0.34146729999999997</v>
      </c>
      <c r="R8057">
        <v>0.1047182</v>
      </c>
      <c r="S8057">
        <v>3.1215359999999999</v>
      </c>
      <c r="T8057">
        <v>-0.40258650000000001</v>
      </c>
      <c r="U8057">
        <v>2.1661830000000002</v>
      </c>
      <c r="V8057">
        <v>-0.1045948</v>
      </c>
      <c r="W8057">
        <v>0.37485689999999999</v>
      </c>
      <c r="X8057">
        <v>0.92116350000000002</v>
      </c>
      <c r="Y8057">
        <v>-0.565658199999999</v>
      </c>
      <c r="Z8057">
        <v>4.4009510000000002E-2</v>
      </c>
      <c r="AA8057">
        <v>0.82346469999999905</v>
      </c>
      <c r="AB8057">
        <v>15</v>
      </c>
      <c r="AC8057">
        <v>0.57610000000001005</v>
      </c>
      <c r="AD8057">
        <v>-9.2650999999999997E-2</v>
      </c>
      <c r="AE8057">
        <v>0.49760000000000498</v>
      </c>
      <c r="AF8057">
        <v>-0.49028658929174201</v>
      </c>
      <c r="AG8057">
        <v>-9.2650999999999997E-2</v>
      </c>
      <c r="AH8057">
        <v>0.56773382511028903</v>
      </c>
      <c r="AI8057">
        <v>97.041080334015007</v>
      </c>
      <c r="AJ8057">
        <v>130.81340823822001</v>
      </c>
      <c r="AK8057">
        <v>0.755835196067694</v>
      </c>
      <c r="AL8057">
        <v>67.984530891285999</v>
      </c>
      <c r="AM8057">
        <v>96.477984864881293</v>
      </c>
      <c r="AN8057">
        <v>0.99999998069844898</v>
      </c>
    </row>
    <row r="8058" spans="1:40" x14ac:dyDescent="0.25">
      <c r="A8058" t="str">
        <f>"20190304164319606"</f>
        <v>20190304164319606</v>
      </c>
      <c r="B8058" t="str">
        <f>"1551688999599296"</f>
        <v>1551688999599296</v>
      </c>
      <c r="C8058" t="s">
        <v>40</v>
      </c>
      <c r="D8058">
        <v>4.0010209999999997</v>
      </c>
      <c r="E8058">
        <v>0.28127580000000002</v>
      </c>
      <c r="F8058" t="s">
        <v>41</v>
      </c>
      <c r="G8058">
        <v>-116.10639999999999</v>
      </c>
      <c r="H8058">
        <v>1.008651</v>
      </c>
      <c r="I8058">
        <v>138.2954</v>
      </c>
      <c r="J8058">
        <v>-116.7835</v>
      </c>
      <c r="K8058">
        <v>1.1139059999999901</v>
      </c>
      <c r="L8058">
        <v>137.7354</v>
      </c>
      <c r="M8058">
        <v>0.99931170000000002</v>
      </c>
      <c r="N8058">
        <v>-3.709813E-2</v>
      </c>
      <c r="O8058" s="1">
        <v>4.0263109999999998E-5</v>
      </c>
      <c r="P8058">
        <v>0.93475359999999996</v>
      </c>
      <c r="Q8058">
        <v>0.33924680000000002</v>
      </c>
      <c r="R8058">
        <v>0.1055816</v>
      </c>
      <c r="S8058">
        <v>3.1175079999999999</v>
      </c>
      <c r="T8058">
        <v>-0.40649859999999999</v>
      </c>
      <c r="U8058">
        <v>2.1669619999999998</v>
      </c>
      <c r="V8058">
        <v>-0.1055083</v>
      </c>
      <c r="W8058">
        <v>0.37370140000000002</v>
      </c>
      <c r="X8058">
        <v>0.92152880000000004</v>
      </c>
      <c r="Y8058">
        <v>-0.5662085</v>
      </c>
      <c r="Z8058">
        <v>4.4761960000000003E-2</v>
      </c>
      <c r="AA8058">
        <v>0.82304580000000005</v>
      </c>
      <c r="AB8058">
        <v>14</v>
      </c>
      <c r="AC8058">
        <v>0.67710000000001003</v>
      </c>
      <c r="AD8058">
        <v>-0.105254999999999</v>
      </c>
      <c r="AE8058">
        <v>0.56000000000000205</v>
      </c>
      <c r="AF8058">
        <v>-0.55205114876780403</v>
      </c>
      <c r="AG8058">
        <v>-0.105254999999999</v>
      </c>
      <c r="AH8058">
        <v>0.66754374982801901</v>
      </c>
      <c r="AI8058">
        <v>96.927912302546403</v>
      </c>
      <c r="AJ8058">
        <v>129.590364329143</v>
      </c>
      <c r="AK8058">
        <v>0.87261316963205704</v>
      </c>
      <c r="AL8058">
        <v>68.055926623714598</v>
      </c>
      <c r="AM8058">
        <v>96.531506730292904</v>
      </c>
      <c r="AN8058">
        <v>1.00000003348014</v>
      </c>
    </row>
    <row r="8059" spans="1:40" x14ac:dyDescent="0.25">
      <c r="A8059" t="str">
        <f>"20190304164319628"</f>
        <v>20190304164319628</v>
      </c>
      <c r="B8059" t="str">
        <f>"1551688999618816"</f>
        <v>1551688999618816</v>
      </c>
      <c r="C8059" t="s">
        <v>40</v>
      </c>
      <c r="D8059">
        <v>4.0023819999999999</v>
      </c>
      <c r="E8059">
        <v>0.28187509999999999</v>
      </c>
      <c r="F8059" t="s">
        <v>41</v>
      </c>
      <c r="G8059">
        <v>-115.9914</v>
      </c>
      <c r="H8059">
        <v>1.009104</v>
      </c>
      <c r="I8059">
        <v>138.28659999999999</v>
      </c>
      <c r="J8059">
        <v>-116.6575</v>
      </c>
      <c r="K8059">
        <v>1.114099</v>
      </c>
      <c r="L8059">
        <v>137.7353</v>
      </c>
      <c r="M8059">
        <v>0.99926959999999998</v>
      </c>
      <c r="N8059">
        <v>-3.8215939999999997E-2</v>
      </c>
      <c r="O8059" s="1">
        <v>-6.5372730000000004E-6</v>
      </c>
      <c r="P8059">
        <v>0.93531609999999998</v>
      </c>
      <c r="Q8059">
        <v>0.33759289999999997</v>
      </c>
      <c r="R8059">
        <v>0.1059025</v>
      </c>
      <c r="S8059">
        <v>3.1141049999999999</v>
      </c>
      <c r="T8059">
        <v>-0.41198269999999998</v>
      </c>
      <c r="U8059">
        <v>2.167389</v>
      </c>
      <c r="V8059">
        <v>-0.1058788</v>
      </c>
      <c r="W8059">
        <v>0.37309890000000001</v>
      </c>
      <c r="X8059">
        <v>0.92173039999999995</v>
      </c>
      <c r="Y8059">
        <v>-0.56658940000000002</v>
      </c>
      <c r="Z8059">
        <v>4.562314E-2</v>
      </c>
      <c r="AA8059">
        <v>0.82273629999999998</v>
      </c>
      <c r="AB8059">
        <v>13</v>
      </c>
      <c r="AC8059">
        <v>0.66610000000000003</v>
      </c>
      <c r="AD8059">
        <v>-0.10499499999999901</v>
      </c>
      <c r="AE8059">
        <v>0.55129999999999701</v>
      </c>
      <c r="AF8059">
        <v>-0.54329329464975795</v>
      </c>
      <c r="AG8059">
        <v>-0.10499499999999901</v>
      </c>
      <c r="AH8059">
        <v>0.65641727491962298</v>
      </c>
      <c r="AI8059">
        <v>97.024637462415399</v>
      </c>
      <c r="AJ8059">
        <v>129.613351516237</v>
      </c>
      <c r="AK8059">
        <v>0.85853083395373297</v>
      </c>
      <c r="AL8059">
        <v>68.093138565403294</v>
      </c>
      <c r="AM8059">
        <v>96.552822296464996</v>
      </c>
      <c r="AN8059">
        <v>1.0000000198773999</v>
      </c>
    </row>
    <row r="8060" spans="1:40" x14ac:dyDescent="0.25">
      <c r="A8060" t="str">
        <f>"20190304164319651"</f>
        <v>20190304164319651</v>
      </c>
      <c r="B8060" t="str">
        <f>"1551688999639312"</f>
        <v>1551688999639312</v>
      </c>
      <c r="C8060" t="s">
        <v>40</v>
      </c>
      <c r="D8060">
        <v>4.0056949999999896</v>
      </c>
      <c r="E8060">
        <v>0.2825107</v>
      </c>
      <c r="F8060" t="s">
        <v>41</v>
      </c>
      <c r="G8060">
        <v>-115.88039999999999</v>
      </c>
      <c r="H8060">
        <v>1.010103</v>
      </c>
      <c r="I8060">
        <v>138.27549999999999</v>
      </c>
      <c r="J8060">
        <v>-116.53919999999999</v>
      </c>
      <c r="K8060">
        <v>1.1141430000000001</v>
      </c>
      <c r="L8060">
        <v>137.73519999999999</v>
      </c>
      <c r="M8060">
        <v>0.99924500000000005</v>
      </c>
      <c r="N8060">
        <v>-3.8850959999999997E-2</v>
      </c>
      <c r="O8060" s="1">
        <v>-5.141943E-5</v>
      </c>
      <c r="P8060">
        <v>0.93569440000000004</v>
      </c>
      <c r="Q8060">
        <v>0.33665590000000001</v>
      </c>
      <c r="R8060">
        <v>0.1055402</v>
      </c>
      <c r="S8060">
        <v>3.1128079999999998</v>
      </c>
      <c r="T8060">
        <v>-0.41657329999999998</v>
      </c>
      <c r="U8060">
        <v>2.1640169999999999</v>
      </c>
      <c r="V8060">
        <v>-0.1055623</v>
      </c>
      <c r="W8060">
        <v>0.37276179999999998</v>
      </c>
      <c r="X8060">
        <v>0.92190309999999998</v>
      </c>
      <c r="Y8060">
        <v>-0.5660733</v>
      </c>
      <c r="Z8060">
        <v>4.6176450000000001E-2</v>
      </c>
      <c r="AA8060">
        <v>0.82306060000000003</v>
      </c>
      <c r="AB8060">
        <v>13</v>
      </c>
      <c r="AC8060">
        <v>0.65879999999999905</v>
      </c>
      <c r="AD8060">
        <v>-0.10403999999999999</v>
      </c>
      <c r="AE8060">
        <v>0.540300000000002</v>
      </c>
      <c r="AF8060">
        <v>-0.53239549203472603</v>
      </c>
      <c r="AG8060">
        <v>-0.10403999999999999</v>
      </c>
      <c r="AH8060">
        <v>0.64909373175456198</v>
      </c>
      <c r="AI8060">
        <v>97.064659906751999</v>
      </c>
      <c r="AJ8060">
        <v>129.35906895237699</v>
      </c>
      <c r="AK8060">
        <v>0.84592668366824897</v>
      </c>
      <c r="AL8060">
        <v>68.113955174194899</v>
      </c>
      <c r="AM8060">
        <v>96.532190446807505</v>
      </c>
      <c r="AN8060">
        <v>1.0000000422550599</v>
      </c>
    </row>
    <row r="8061" spans="1:40" x14ac:dyDescent="0.25">
      <c r="A8061" t="str">
        <f>"20190304164319674"</f>
        <v>20190304164319674</v>
      </c>
      <c r="B8061" t="str">
        <f>"1551688999669568"</f>
        <v>1551688999669568</v>
      </c>
      <c r="C8061" t="s">
        <v>40</v>
      </c>
      <c r="D8061">
        <v>3.996969</v>
      </c>
      <c r="E8061">
        <v>0.2833079</v>
      </c>
      <c r="F8061" t="s">
        <v>41</v>
      </c>
      <c r="G8061">
        <v>-115.77290000000001</v>
      </c>
      <c r="H8061">
        <v>1.01085</v>
      </c>
      <c r="I8061">
        <v>138.2662</v>
      </c>
      <c r="J8061">
        <v>-116.4195</v>
      </c>
      <c r="K8061">
        <v>1.1140049999999999</v>
      </c>
      <c r="L8061">
        <v>137.73519999999999</v>
      </c>
      <c r="M8061">
        <v>0.99924740000000001</v>
      </c>
      <c r="N8061">
        <v>-3.8788570000000001E-2</v>
      </c>
      <c r="O8061" s="1">
        <v>-9.5767900000000002E-5</v>
      </c>
      <c r="P8061">
        <v>0.93587359999999997</v>
      </c>
      <c r="Q8061">
        <v>0.33648280000000003</v>
      </c>
      <c r="R8061">
        <v>0.1044983</v>
      </c>
      <c r="S8061">
        <v>3.1137700000000001</v>
      </c>
      <c r="T8061">
        <v>-0.41969250000000002</v>
      </c>
      <c r="U8061">
        <v>2.1579440000000001</v>
      </c>
      <c r="V8061">
        <v>-0.1045635</v>
      </c>
      <c r="W8061">
        <v>0.37253750000000002</v>
      </c>
      <c r="X8061">
        <v>0.92210749999999997</v>
      </c>
      <c r="Y8061">
        <v>-0.56485609999999997</v>
      </c>
      <c r="Z8061">
        <v>4.6317749999999998E-2</v>
      </c>
      <c r="AA8061">
        <v>0.82388850000000002</v>
      </c>
      <c r="AB8061">
        <v>12</v>
      </c>
      <c r="AC8061">
        <v>0.64659999999999196</v>
      </c>
      <c r="AD8061">
        <v>-0.103154999999999</v>
      </c>
      <c r="AE8061">
        <v>0.53100000000000502</v>
      </c>
      <c r="AF8061">
        <v>-0.52311057113528003</v>
      </c>
      <c r="AG8061">
        <v>-0.103154999999999</v>
      </c>
      <c r="AH8061">
        <v>0.63686856270882297</v>
      </c>
      <c r="AI8061">
        <v>97.134223062568594</v>
      </c>
      <c r="AJ8061">
        <v>129.398970502141</v>
      </c>
      <c r="AK8061">
        <v>0.83059447977053202</v>
      </c>
      <c r="AL8061">
        <v>68.127802649898896</v>
      </c>
      <c r="AM8061">
        <v>96.469489218393605</v>
      </c>
      <c r="AN8061">
        <v>0.99999997799737395</v>
      </c>
    </row>
    <row r="8062" spans="1:40" x14ac:dyDescent="0.25">
      <c r="A8062" t="str">
        <f>"20190304164319696"</f>
        <v>20190304164319696</v>
      </c>
      <c r="B8062" t="str">
        <f>"1551688999689089"</f>
        <v>1551688999689089</v>
      </c>
      <c r="C8062" t="s">
        <v>40</v>
      </c>
      <c r="D8062">
        <v>3.979835</v>
      </c>
      <c r="E8062">
        <v>0.28374870000000002</v>
      </c>
      <c r="F8062" t="s">
        <v>41</v>
      </c>
      <c r="G8062">
        <v>-115.6673</v>
      </c>
      <c r="H8062">
        <v>1.012373</v>
      </c>
      <c r="I8062">
        <v>138.2533</v>
      </c>
      <c r="J8062">
        <v>-116.3051</v>
      </c>
      <c r="K8062">
        <v>1.1138440000000001</v>
      </c>
      <c r="L8062">
        <v>137.73509999999999</v>
      </c>
      <c r="M8062">
        <v>0.99925929999999996</v>
      </c>
      <c r="N8062">
        <v>-3.8482120000000002E-2</v>
      </c>
      <c r="O8062">
        <v>-1.3399169999999999E-4</v>
      </c>
      <c r="P8062">
        <v>0.93592719999999896</v>
      </c>
      <c r="Q8062">
        <v>0.33672760000000002</v>
      </c>
      <c r="R8062">
        <v>0.103223</v>
      </c>
      <c r="S8062">
        <v>3.1172789999999999</v>
      </c>
      <c r="T8062">
        <v>-0.42119240000000002</v>
      </c>
      <c r="U8062">
        <v>2.1469119999999999</v>
      </c>
      <c r="V8062">
        <v>-0.10332379999999999</v>
      </c>
      <c r="W8062">
        <v>0.37250070000000002</v>
      </c>
      <c r="X8062">
        <v>0.92226209999999997</v>
      </c>
      <c r="Y8062">
        <v>-0.56247840000000005</v>
      </c>
      <c r="Z8062">
        <v>4.6140769999999998E-2</v>
      </c>
      <c r="AA8062">
        <v>0.82552349999999997</v>
      </c>
      <c r="AB8062">
        <v>12</v>
      </c>
      <c r="AC8062">
        <v>0.63779999999999804</v>
      </c>
      <c r="AD8062">
        <v>-0.10147100000000001</v>
      </c>
      <c r="AE8062">
        <v>0.51820000000000699</v>
      </c>
      <c r="AF8062">
        <v>-0.51050207594030494</v>
      </c>
      <c r="AG8062">
        <v>-0.10147100000000001</v>
      </c>
      <c r="AH8062">
        <v>0.62815327979957203</v>
      </c>
      <c r="AI8062">
        <v>97.145319505544606</v>
      </c>
      <c r="AJ8062">
        <v>129.10086533618599</v>
      </c>
      <c r="AK8062">
        <v>0.81577280924490303</v>
      </c>
      <c r="AL8062">
        <v>68.130074712780697</v>
      </c>
      <c r="AM8062">
        <v>96.392363267478601</v>
      </c>
      <c r="AN8062">
        <v>0.99999998012166902</v>
      </c>
    </row>
    <row r="8063" spans="1:40" x14ac:dyDescent="0.25">
      <c r="A8063" t="str">
        <f>"20190304164319718"</f>
        <v>20190304164319718</v>
      </c>
      <c r="B8063" t="str">
        <f>"1551688999709584"</f>
        <v>1551688999709584</v>
      </c>
      <c r="C8063" t="s">
        <v>40</v>
      </c>
      <c r="D8063">
        <v>3.9786060000000001</v>
      </c>
      <c r="E8063">
        <v>0.28395799999999999</v>
      </c>
      <c r="F8063" t="s">
        <v>41</v>
      </c>
      <c r="G8063">
        <v>-115.56570000000001</v>
      </c>
      <c r="H8063">
        <v>1.0138199999999999</v>
      </c>
      <c r="I8063">
        <v>138.2413</v>
      </c>
      <c r="J8063">
        <v>-116.2024</v>
      </c>
      <c r="K8063">
        <v>1.1137900000000001</v>
      </c>
      <c r="L8063">
        <v>137.73509999999999</v>
      </c>
      <c r="M8063">
        <v>0.99926190000000004</v>
      </c>
      <c r="N8063">
        <v>-3.8412040000000001E-2</v>
      </c>
      <c r="O8063">
        <v>-1.663333E-4</v>
      </c>
      <c r="P8063">
        <v>0.93608150000000001</v>
      </c>
      <c r="Q8063">
        <v>0.33665270000000003</v>
      </c>
      <c r="R8063">
        <v>0.102062</v>
      </c>
      <c r="S8063">
        <v>3.1216279999999998</v>
      </c>
      <c r="T8063">
        <v>-0.42222759999999998</v>
      </c>
      <c r="U8063">
        <v>2.1367799999999999</v>
      </c>
      <c r="V8063">
        <v>-0.1021942</v>
      </c>
      <c r="W8063">
        <v>0.37236710000000001</v>
      </c>
      <c r="X8063">
        <v>0.92244190000000004</v>
      </c>
      <c r="Y8063">
        <v>-0.5601486</v>
      </c>
      <c r="Z8063">
        <v>4.5992900000000003E-2</v>
      </c>
      <c r="AA8063">
        <v>0.82711440000000003</v>
      </c>
      <c r="AB8063">
        <v>12</v>
      </c>
      <c r="AC8063">
        <v>0.63669999999999005</v>
      </c>
      <c r="AD8063">
        <v>-9.9969999999999795E-2</v>
      </c>
      <c r="AE8063">
        <v>0.50620000000000598</v>
      </c>
      <c r="AF8063">
        <v>-0.49877191258634401</v>
      </c>
      <c r="AG8063">
        <v>-9.9969999999999795E-2</v>
      </c>
      <c r="AH8063">
        <v>0.62714259964643504</v>
      </c>
      <c r="AI8063">
        <v>97.111465630119497</v>
      </c>
      <c r="AJ8063">
        <v>128.49553243357099</v>
      </c>
      <c r="AK8063">
        <v>0.80751177203575697</v>
      </c>
      <c r="AL8063">
        <v>68.138322926083504</v>
      </c>
      <c r="AM8063">
        <v>96.321824610259199</v>
      </c>
      <c r="AN8063">
        <v>0.99999998527582901</v>
      </c>
    </row>
    <row r="8064" spans="1:40" x14ac:dyDescent="0.25">
      <c r="A8064" t="str">
        <f>"20190304164319740"</f>
        <v>20190304164319740</v>
      </c>
      <c r="B8064" t="str">
        <f>"1551688999729104"</f>
        <v>1551688999729104</v>
      </c>
      <c r="C8064" t="s">
        <v>40</v>
      </c>
      <c r="D8064">
        <v>3.9381010000000001</v>
      </c>
      <c r="E8064">
        <v>0.284024</v>
      </c>
      <c r="F8064" t="s">
        <v>41</v>
      </c>
      <c r="G8064">
        <v>-115.46980000000001</v>
      </c>
      <c r="H8064">
        <v>1.014759</v>
      </c>
      <c r="I8064">
        <v>138.2346</v>
      </c>
      <c r="J8064">
        <v>-116.10129999999999</v>
      </c>
      <c r="K8064">
        <v>1.1138220000000001</v>
      </c>
      <c r="L8064">
        <v>137.73500000000001</v>
      </c>
      <c r="M8064">
        <v>0.99925560000000002</v>
      </c>
      <c r="N8064">
        <v>-3.8578210000000002E-2</v>
      </c>
      <c r="O8064">
        <v>-2.0060499999999999E-4</v>
      </c>
      <c r="P8064">
        <v>0.93626220000000004</v>
      </c>
      <c r="Q8064">
        <v>0.33627810000000002</v>
      </c>
      <c r="R8064">
        <v>0.1016369</v>
      </c>
      <c r="S8064">
        <v>3.1244809999999998</v>
      </c>
      <c r="T8064">
        <v>-0.42234959999999999</v>
      </c>
      <c r="U8064">
        <v>2.1302949999999998</v>
      </c>
      <c r="V8064">
        <v>-0.1018024</v>
      </c>
      <c r="W8064">
        <v>0.3721525</v>
      </c>
      <c r="X8064">
        <v>0.92257180000000005</v>
      </c>
      <c r="Y8064">
        <v>-0.55865909999999996</v>
      </c>
      <c r="Z8064">
        <v>4.5920210000000003E-2</v>
      </c>
      <c r="AA8064">
        <v>0.82812520000000001</v>
      </c>
      <c r="AB8064">
        <v>11</v>
      </c>
      <c r="AC8064">
        <v>0.63149999999998796</v>
      </c>
      <c r="AD8064">
        <v>-9.9062999999999901E-2</v>
      </c>
      <c r="AE8064">
        <v>0.499599999999986</v>
      </c>
      <c r="AF8064">
        <v>-0.49227612256909098</v>
      </c>
      <c r="AG8064">
        <v>-9.9062999999999901E-2</v>
      </c>
      <c r="AH8064">
        <v>0.62198587765207802</v>
      </c>
      <c r="AI8064">
        <v>97.118627200078905</v>
      </c>
      <c r="AJ8064">
        <v>128.360159129072</v>
      </c>
      <c r="AK8064">
        <v>0.79938457004078101</v>
      </c>
      <c r="AL8064">
        <v>68.151570366708199</v>
      </c>
      <c r="AM8064">
        <v>96.296903011243003</v>
      </c>
      <c r="AN8064">
        <v>0.99999996902862398</v>
      </c>
    </row>
    <row r="8065" spans="1:40" x14ac:dyDescent="0.25">
      <c r="A8065" t="str">
        <f>"20190304164319763"</f>
        <v>20190304164319763</v>
      </c>
      <c r="B8065" t="str">
        <f>"1551688999759360"</f>
        <v>1551688999759360</v>
      </c>
      <c r="C8065" t="s">
        <v>40</v>
      </c>
      <c r="D8065">
        <v>3.8049249999999999</v>
      </c>
      <c r="E8065">
        <v>0.28539239999999999</v>
      </c>
      <c r="F8065" t="s">
        <v>41</v>
      </c>
      <c r="G8065">
        <v>-115.3784</v>
      </c>
      <c r="H8065">
        <v>1.016302</v>
      </c>
      <c r="I8065">
        <v>138.22739999999999</v>
      </c>
      <c r="J8065">
        <v>-116.0056</v>
      </c>
      <c r="K8065">
        <v>1.1138680000000001</v>
      </c>
      <c r="L8065">
        <v>137.73500000000001</v>
      </c>
      <c r="M8065">
        <v>0.999247</v>
      </c>
      <c r="N8065">
        <v>-3.8802509999999998E-2</v>
      </c>
      <c r="O8065">
        <v>-2.3702200000000001E-4</v>
      </c>
      <c r="P8065">
        <v>0.93640909999999999</v>
      </c>
      <c r="Q8065">
        <v>0.33581519999999998</v>
      </c>
      <c r="R8065">
        <v>0.1018155</v>
      </c>
      <c r="S8065">
        <v>3.1245419999999999</v>
      </c>
      <c r="T8065">
        <v>-0.42150460000000001</v>
      </c>
      <c r="U8065">
        <v>2.1286770000000002</v>
      </c>
      <c r="V8065">
        <v>-0.1020176</v>
      </c>
      <c r="W8065">
        <v>0.37190240000000002</v>
      </c>
      <c r="X8065">
        <v>0.92264889999999999</v>
      </c>
      <c r="Y8065">
        <v>-0.55839839999999996</v>
      </c>
      <c r="Z8065">
        <v>4.5905660000000001E-2</v>
      </c>
      <c r="AA8065">
        <v>0.82830179999999998</v>
      </c>
      <c r="AB8065">
        <v>11</v>
      </c>
      <c r="AC8065">
        <v>0.62720000000000198</v>
      </c>
      <c r="AD8065">
        <v>-9.7566E-2</v>
      </c>
      <c r="AE8065">
        <v>0.49239999999997502</v>
      </c>
      <c r="AF8065">
        <v>-0.48528357818826301</v>
      </c>
      <c r="AG8065">
        <v>-9.7566E-2</v>
      </c>
      <c r="AH8065">
        <v>0.61783359832060702</v>
      </c>
      <c r="AI8065">
        <v>97.079193643010001</v>
      </c>
      <c r="AJ8065">
        <v>128.14821720723899</v>
      </c>
      <c r="AK8065">
        <v>0.79166762648790601</v>
      </c>
      <c r="AL8065">
        <v>68.167008602570107</v>
      </c>
      <c r="AM8065">
        <v>96.3095837243836</v>
      </c>
      <c r="AN8065">
        <v>0.99999998925336397</v>
      </c>
    </row>
    <row r="8066" spans="1:40" x14ac:dyDescent="0.25">
      <c r="A8066" t="str">
        <f>"20190304164319785"</f>
        <v>20190304164319785</v>
      </c>
      <c r="B8066" t="str">
        <f>"1551688999778894"</f>
        <v>1551688999778894</v>
      </c>
      <c r="C8066" t="s">
        <v>40</v>
      </c>
      <c r="D8066">
        <v>4.0609149999999996</v>
      </c>
      <c r="E8066">
        <v>0.44268869999999999</v>
      </c>
      <c r="F8066" t="s">
        <v>41</v>
      </c>
      <c r="G8066">
        <v>-115.22069999999999</v>
      </c>
      <c r="H8066">
        <v>1.0072299999999901</v>
      </c>
      <c r="I8066">
        <v>138.267</v>
      </c>
      <c r="J8066">
        <v>-115.91379999999999</v>
      </c>
      <c r="K8066">
        <v>1.1138840000000001</v>
      </c>
      <c r="L8066">
        <v>137.73490000000001</v>
      </c>
      <c r="M8066">
        <v>0.99924270000000004</v>
      </c>
      <c r="N8066">
        <v>-3.8909800000000001E-2</v>
      </c>
      <c r="O8066">
        <v>-2.7434010000000001E-4</v>
      </c>
      <c r="P8066">
        <v>0.93634050000000002</v>
      </c>
      <c r="Q8066">
        <v>0.33580919999999997</v>
      </c>
      <c r="R8066">
        <v>0.1024626</v>
      </c>
      <c r="S8066">
        <v>3.1256560000000002</v>
      </c>
      <c r="T8066">
        <v>-0.42461589999999999</v>
      </c>
      <c r="U8066">
        <v>2.118652</v>
      </c>
      <c r="V8066">
        <v>-0.10270029999999999</v>
      </c>
      <c r="W8066">
        <v>0.3719923</v>
      </c>
      <c r="X8066">
        <v>0.92253700000000005</v>
      </c>
      <c r="Y8066">
        <v>-0.55642069999999999</v>
      </c>
      <c r="Z8066">
        <v>4.603732E-2</v>
      </c>
      <c r="AA8066">
        <v>0.82962429999999998</v>
      </c>
      <c r="AB8066">
        <v>10</v>
      </c>
      <c r="AC8066">
        <v>0.69310000000000105</v>
      </c>
      <c r="AD8066">
        <v>-0.106654</v>
      </c>
      <c r="AE8066">
        <v>0.53209999999998503</v>
      </c>
      <c r="AF8066">
        <v>-0.52447649182504796</v>
      </c>
      <c r="AG8066">
        <v>-0.106654</v>
      </c>
      <c r="AH8066">
        <v>0.68278164122336304</v>
      </c>
      <c r="AI8066">
        <v>97.061643455252394</v>
      </c>
      <c r="AJ8066">
        <v>127.529550612162</v>
      </c>
      <c r="AK8066">
        <v>0.86754909704568295</v>
      </c>
      <c r="AL8066">
        <v>68.161461437056204</v>
      </c>
      <c r="AM8066">
        <v>96.352227526720796</v>
      </c>
      <c r="AN8066">
        <v>1.00000006962418</v>
      </c>
    </row>
    <row r="8067" spans="1:40" x14ac:dyDescent="0.25">
      <c r="A8067" t="str">
        <f>"20190304164319807"</f>
        <v>20190304164319807</v>
      </c>
      <c r="B8067" t="str">
        <f>"1551688999799376"</f>
        <v>1551688999799376</v>
      </c>
      <c r="C8067" t="s">
        <v>40</v>
      </c>
      <c r="D8067">
        <v>4.0131139999999998</v>
      </c>
      <c r="E8067">
        <v>0.53085789999999999</v>
      </c>
      <c r="F8067" t="s">
        <v>42</v>
      </c>
      <c r="G8067">
        <v>-105.8203</v>
      </c>
      <c r="H8067" s="1">
        <v>-2.1756419999999999E-6</v>
      </c>
      <c r="I8067">
        <v>140.441</v>
      </c>
      <c r="J8067">
        <v>-115.8308</v>
      </c>
      <c r="K8067">
        <v>1.1138709999999901</v>
      </c>
      <c r="L8067">
        <v>137.73480000000001</v>
      </c>
      <c r="M8067">
        <v>0.99924279999999999</v>
      </c>
      <c r="N8067">
        <v>-3.8909430000000002E-2</v>
      </c>
      <c r="O8067">
        <v>-3.0771839999999998E-4</v>
      </c>
      <c r="P8067">
        <v>0.93629399999999996</v>
      </c>
      <c r="Q8067">
        <v>0.3357369</v>
      </c>
      <c r="R8067">
        <v>0.10312250000000001</v>
      </c>
      <c r="S8067">
        <v>3.2371059999999998</v>
      </c>
      <c r="T8067">
        <v>-0.35723840000000001</v>
      </c>
      <c r="U8067">
        <v>0.86787409999999998</v>
      </c>
      <c r="V8067">
        <v>-0.1033912</v>
      </c>
      <c r="W8067">
        <v>0.37191740000000001</v>
      </c>
      <c r="X8067">
        <v>0.92248989999999997</v>
      </c>
      <c r="Y8067">
        <v>-0.25724760000000002</v>
      </c>
      <c r="Z8067">
        <v>1.9042719999999999E-2</v>
      </c>
      <c r="AA8067">
        <v>0.96615790000000001</v>
      </c>
      <c r="AB8067">
        <v>9</v>
      </c>
      <c r="AC8067">
        <v>10.010499999999899</v>
      </c>
      <c r="AD8067">
        <v>-1.11387317564199</v>
      </c>
      <c r="AE8067">
        <v>2.7061999999999902</v>
      </c>
      <c r="AF8067">
        <v>-2.6783797137227698</v>
      </c>
      <c r="AG8067">
        <v>-1.11387317564199</v>
      </c>
      <c r="AH8067">
        <v>9.8954928299336302</v>
      </c>
      <c r="AI8067">
        <v>96.201089828730005</v>
      </c>
      <c r="AJ8067">
        <v>105.145169095604</v>
      </c>
      <c r="AK8067">
        <v>10.311896512744999</v>
      </c>
      <c r="AL8067">
        <v>68.166081947374906</v>
      </c>
      <c r="AM8067">
        <v>96.394932106050106</v>
      </c>
      <c r="AN8067">
        <v>0.99999995413110399</v>
      </c>
    </row>
    <row r="8068" spans="1:40" x14ac:dyDescent="0.25">
      <c r="A8068" t="str">
        <f>"20190304164319829"</f>
        <v>20190304164319829</v>
      </c>
      <c r="B8068" t="str">
        <f>"1551688999818897"</f>
        <v>1551688999818897</v>
      </c>
      <c r="C8068" t="s">
        <v>40</v>
      </c>
      <c r="D8068">
        <v>4.0182659999999997</v>
      </c>
      <c r="E8068">
        <v>0.54117539999999997</v>
      </c>
      <c r="F8068" t="s">
        <v>41</v>
      </c>
      <c r="G8068">
        <v>-115.0437</v>
      </c>
      <c r="H8068">
        <v>1.0036889999999901</v>
      </c>
      <c r="I8068">
        <v>137.77690000000001</v>
      </c>
      <c r="J8068">
        <v>-115.75</v>
      </c>
      <c r="K8068">
        <v>1.1138629999999901</v>
      </c>
      <c r="L8068">
        <v>137.73480000000001</v>
      </c>
      <c r="M8068">
        <v>0.99924360000000001</v>
      </c>
      <c r="N8068">
        <v>-3.8886810000000001E-2</v>
      </c>
      <c r="O8068">
        <v>-3.3846640000000002E-4</v>
      </c>
      <c r="P8068">
        <v>0.93629099999999998</v>
      </c>
      <c r="Q8068">
        <v>0.33548090000000003</v>
      </c>
      <c r="R8068">
        <v>0.10398019999999999</v>
      </c>
      <c r="S8068">
        <v>3.3527070000000001</v>
      </c>
      <c r="T8068">
        <v>-0.46944819999999998</v>
      </c>
      <c r="U8068">
        <v>0.1792755</v>
      </c>
      <c r="V8068">
        <v>-0.1042772</v>
      </c>
      <c r="W8068">
        <v>0.37164079999999999</v>
      </c>
      <c r="X8068">
        <v>0.92250169999999998</v>
      </c>
      <c r="Y8068">
        <v>-5.3070510000000001E-2</v>
      </c>
      <c r="Z8068">
        <v>4.768268E-3</v>
      </c>
      <c r="AA8068">
        <v>0.99857940000000001</v>
      </c>
      <c r="AB8068">
        <v>9</v>
      </c>
      <c r="AC8068">
        <v>0.70629999999999804</v>
      </c>
      <c r="AD8068">
        <v>-0.11017399999999999</v>
      </c>
      <c r="AE8068">
        <v>4.2100000000004897E-2</v>
      </c>
      <c r="AF8068">
        <v>-4.1336982170519898E-2</v>
      </c>
      <c r="AG8068">
        <v>-0.11017399999999999</v>
      </c>
      <c r="AH8068">
        <v>0.68956649162083195</v>
      </c>
      <c r="AI8068">
        <v>99.061589823598794</v>
      </c>
      <c r="AJ8068">
        <v>93.430566459973505</v>
      </c>
      <c r="AK8068">
        <v>0.69953484740735306</v>
      </c>
      <c r="AL8068">
        <v>68.183154750130001</v>
      </c>
      <c r="AM8068">
        <v>96.449191227684196</v>
      </c>
      <c r="AN8068">
        <v>1.0000000025836799</v>
      </c>
    </row>
    <row r="8069" spans="1:40" x14ac:dyDescent="0.25">
      <c r="A8069" t="str">
        <f>"20190304164319852"</f>
        <v>20190304164319852</v>
      </c>
      <c r="B8069" t="str">
        <f>"1551688999839392"</f>
        <v>1551688999839392</v>
      </c>
      <c r="C8069" t="s">
        <v>40</v>
      </c>
      <c r="D8069">
        <v>3.9925160000000002</v>
      </c>
      <c r="E8069">
        <v>0.54500190000000004</v>
      </c>
      <c r="F8069" t="s">
        <v>41</v>
      </c>
      <c r="G8069">
        <v>-114.9898</v>
      </c>
      <c r="H8069">
        <v>1.0027619999999999</v>
      </c>
      <c r="I8069">
        <v>137.75739999999999</v>
      </c>
      <c r="J8069">
        <v>-115.6741</v>
      </c>
      <c r="K8069">
        <v>1.113866</v>
      </c>
      <c r="L8069">
        <v>137.7347</v>
      </c>
      <c r="M8069">
        <v>0.99924329999999995</v>
      </c>
      <c r="N8069">
        <v>-3.889517E-2</v>
      </c>
      <c r="O8069">
        <v>-3.6738910000000001E-4</v>
      </c>
      <c r="P8069">
        <v>0.93614770000000003</v>
      </c>
      <c r="Q8069">
        <v>0.33565869999999998</v>
      </c>
      <c r="R8069">
        <v>0.1046941</v>
      </c>
      <c r="S8069">
        <v>3.3694459999999999</v>
      </c>
      <c r="T8069">
        <v>-0.49251640000000002</v>
      </c>
      <c r="U8069">
        <v>0.1006012</v>
      </c>
      <c r="V8069">
        <v>-0.10501820000000001</v>
      </c>
      <c r="W8069">
        <v>0.3718205</v>
      </c>
      <c r="X8069">
        <v>0.92234519999999998</v>
      </c>
      <c r="Y8069">
        <v>-2.9807210000000001E-2</v>
      </c>
      <c r="Z8069">
        <v>2.7895760000000002E-3</v>
      </c>
      <c r="AA8069">
        <v>0.99955179999999999</v>
      </c>
      <c r="AB8069">
        <v>8</v>
      </c>
      <c r="AC8069">
        <v>0.68429999999999302</v>
      </c>
      <c r="AD8069">
        <v>-0.111103999999999</v>
      </c>
      <c r="AE8069">
        <v>2.2699999999986099E-2</v>
      </c>
      <c r="AF8069">
        <v>-2.2362731218401401E-2</v>
      </c>
      <c r="AG8069">
        <v>-0.111103999999999</v>
      </c>
      <c r="AH8069">
        <v>0.66673494821465396</v>
      </c>
      <c r="AI8069">
        <v>99.455555050588501</v>
      </c>
      <c r="AJ8069">
        <v>91.921018196434602</v>
      </c>
      <c r="AK8069">
        <v>0.676298515253688</v>
      </c>
      <c r="AL8069">
        <v>68.172063586207798</v>
      </c>
      <c r="AM8069">
        <v>96.495721941230897</v>
      </c>
      <c r="AN8069">
        <v>0.99999998725726402</v>
      </c>
    </row>
    <row r="8070" spans="1:40" x14ac:dyDescent="0.25">
      <c r="A8070" t="str">
        <f>"20190304164319875"</f>
        <v>20190304164319875</v>
      </c>
      <c r="B8070" t="str">
        <f>"1551688999868672"</f>
        <v>1551688999868672</v>
      </c>
      <c r="C8070" t="s">
        <v>40</v>
      </c>
      <c r="D8070">
        <v>3.9564789999999999</v>
      </c>
      <c r="E8070">
        <v>0.54753300000000005</v>
      </c>
      <c r="F8070" t="s">
        <v>41</v>
      </c>
      <c r="G8070">
        <v>-114.9246</v>
      </c>
      <c r="H8070">
        <v>1.0036529999999999</v>
      </c>
      <c r="I8070">
        <v>137.75059999999999</v>
      </c>
      <c r="J8070">
        <v>-115.6002</v>
      </c>
      <c r="K8070">
        <v>1.113691</v>
      </c>
      <c r="L8070">
        <v>137.7347</v>
      </c>
      <c r="M8070">
        <v>0.99927149999999998</v>
      </c>
      <c r="N8070">
        <v>-3.8163710000000003E-2</v>
      </c>
      <c r="O8070">
        <v>-3.9824400000000002E-4</v>
      </c>
      <c r="P8070">
        <v>0.93561229999999995</v>
      </c>
      <c r="Q8070">
        <v>0.33707120000000002</v>
      </c>
      <c r="R8070">
        <v>0.10494149999999999</v>
      </c>
      <c r="S8070">
        <v>3.3745270000000001</v>
      </c>
      <c r="T8070">
        <v>-0.49632199999999999</v>
      </c>
      <c r="U8070">
        <v>7.1945190000000006E-2</v>
      </c>
      <c r="V8070">
        <v>-0.10529479999999999</v>
      </c>
      <c r="W8070">
        <v>0.37253619999999998</v>
      </c>
      <c r="X8070">
        <v>0.92202479999999998</v>
      </c>
      <c r="Y8070">
        <v>-2.1420450000000001E-2</v>
      </c>
      <c r="Z8070">
        <v>2.0214569999999999E-3</v>
      </c>
      <c r="AA8070">
        <v>0.99976849999999995</v>
      </c>
      <c r="AB8070">
        <v>8</v>
      </c>
      <c r="AC8070">
        <v>0.67560000000000198</v>
      </c>
      <c r="AD8070">
        <v>-0.110037999999999</v>
      </c>
      <c r="AE8070">
        <v>1.5899999999987799E-2</v>
      </c>
      <c r="AF8070">
        <v>-1.5751619343088101E-2</v>
      </c>
      <c r="AG8070">
        <v>-0.110037999999999</v>
      </c>
      <c r="AH8070">
        <v>0.65814396771516104</v>
      </c>
      <c r="AI8070">
        <v>99.489072690805102</v>
      </c>
      <c r="AJ8070">
        <v>91.371020768273098</v>
      </c>
      <c r="AK8070">
        <v>0.66746532284140803</v>
      </c>
      <c r="AL8070">
        <v>68.127882808812998</v>
      </c>
      <c r="AM8070">
        <v>96.514927446275493</v>
      </c>
      <c r="AN8070">
        <v>0.99999997351625902</v>
      </c>
    </row>
    <row r="8071" spans="1:40" x14ac:dyDescent="0.25">
      <c r="A8071" t="str">
        <f>"20190304164319898"</f>
        <v>20190304164319898</v>
      </c>
      <c r="B8071" t="str">
        <f>"1551688999889169"</f>
        <v>1551688999889169</v>
      </c>
      <c r="C8071" t="s">
        <v>40</v>
      </c>
      <c r="D8071">
        <v>3.9638710000000001</v>
      </c>
      <c r="E8071">
        <v>0.54821869999999995</v>
      </c>
      <c r="F8071" t="s">
        <v>41</v>
      </c>
      <c r="G8071">
        <v>-114.85850000000001</v>
      </c>
      <c r="H8071">
        <v>1.005954</v>
      </c>
      <c r="I8071">
        <v>137.74610000000001</v>
      </c>
      <c r="J8071">
        <v>-115.52379999999999</v>
      </c>
      <c r="K8071">
        <v>1.1132789999999999</v>
      </c>
      <c r="L8071">
        <v>137.7346</v>
      </c>
      <c r="M8071">
        <v>0.99933810000000001</v>
      </c>
      <c r="N8071">
        <v>-3.6378210000000001E-2</v>
      </c>
      <c r="O8071">
        <v>-4.3310799999999997E-4</v>
      </c>
      <c r="P8071">
        <v>0.93478130000000004</v>
      </c>
      <c r="Q8071">
        <v>0.33929379999999998</v>
      </c>
      <c r="R8071">
        <v>0.1051854</v>
      </c>
      <c r="S8071">
        <v>3.3773650000000002</v>
      </c>
      <c r="T8071">
        <v>-0.49066199999999999</v>
      </c>
      <c r="U8071">
        <v>5.2215579999999998E-2</v>
      </c>
      <c r="V8071">
        <v>-0.1055707</v>
      </c>
      <c r="W8071">
        <v>0.3730791</v>
      </c>
      <c r="X8071">
        <v>0.92177370000000003</v>
      </c>
      <c r="Y8071">
        <v>-1.5683059999999999E-2</v>
      </c>
      <c r="Z8071">
        <v>1.46733E-3</v>
      </c>
      <c r="AA8071">
        <v>0.99987599999999999</v>
      </c>
      <c r="AB8071">
        <v>7</v>
      </c>
      <c r="AC8071">
        <v>0.66529999999998701</v>
      </c>
      <c r="AD8071">
        <v>-0.107325</v>
      </c>
      <c r="AE8071">
        <v>1.15000000000122E-2</v>
      </c>
      <c r="AF8071">
        <v>-1.1489429908992399E-2</v>
      </c>
      <c r="AG8071">
        <v>-0.107325</v>
      </c>
      <c r="AH8071">
        <v>0.64842564847071504</v>
      </c>
      <c r="AI8071">
        <v>99.396730601531402</v>
      </c>
      <c r="AJ8071">
        <v>91.015115555823101</v>
      </c>
      <c r="AK8071">
        <v>0.65734806930522105</v>
      </c>
      <c r="AL8071">
        <v>68.094360178266299</v>
      </c>
      <c r="AM8071">
        <v>96.533614887765907</v>
      </c>
      <c r="AN8071">
        <v>0.99999997078349401</v>
      </c>
    </row>
    <row r="8072" spans="1:40" x14ac:dyDescent="0.25">
      <c r="A8072" t="str">
        <f>"20190304164319918"</f>
        <v>20190304164319918</v>
      </c>
      <c r="B8072" t="str">
        <f>"1551688999909664"</f>
        <v>1551688999909664</v>
      </c>
      <c r="C8072" t="s">
        <v>40</v>
      </c>
      <c r="D8072">
        <v>3.974488</v>
      </c>
      <c r="E8072">
        <v>0.5487185</v>
      </c>
      <c r="F8072" t="s">
        <v>41</v>
      </c>
      <c r="G8072">
        <v>-114.79259999999999</v>
      </c>
      <c r="H8072">
        <v>1.008791</v>
      </c>
      <c r="I8072">
        <v>137.7449</v>
      </c>
      <c r="J8072">
        <v>-115.4601</v>
      </c>
      <c r="K8072">
        <v>1.113038</v>
      </c>
      <c r="L8072">
        <v>137.7345</v>
      </c>
      <c r="M8072">
        <v>0.99938669999999996</v>
      </c>
      <c r="N8072">
        <v>-3.5017859999999998E-2</v>
      </c>
      <c r="O8072">
        <v>-4.60987E-4</v>
      </c>
      <c r="P8072">
        <v>0.93420049999999999</v>
      </c>
      <c r="Q8072">
        <v>0.3409913</v>
      </c>
      <c r="R8072">
        <v>0.1048554</v>
      </c>
      <c r="S8072">
        <v>3.3792110000000002</v>
      </c>
      <c r="T8072">
        <v>-0.4829253</v>
      </c>
      <c r="U8072">
        <v>4.7775270000000002E-2</v>
      </c>
      <c r="V8072">
        <v>-0.1052666</v>
      </c>
      <c r="W8072">
        <v>0.37349979999999999</v>
      </c>
      <c r="X8072">
        <v>0.92163810000000002</v>
      </c>
      <c r="Y8072">
        <v>-1.441243E-2</v>
      </c>
      <c r="Z8072">
        <v>1.3280760000000001E-3</v>
      </c>
      <c r="AA8072">
        <v>0.99989530000000004</v>
      </c>
      <c r="AB8072">
        <v>7</v>
      </c>
      <c r="AC8072">
        <v>0.66750000000000398</v>
      </c>
      <c r="AD8072">
        <v>-0.10424699999999899</v>
      </c>
      <c r="AE8072">
        <v>1.04000000000041E-2</v>
      </c>
      <c r="AF8072">
        <v>-1.0453002161502601E-2</v>
      </c>
      <c r="AG8072">
        <v>-0.10424699999999899</v>
      </c>
      <c r="AH8072">
        <v>0.651605854076313</v>
      </c>
      <c r="AI8072">
        <v>99.088275189891505</v>
      </c>
      <c r="AJ8072">
        <v>90.919054879509801</v>
      </c>
      <c r="AK8072">
        <v>0.65997491719739598</v>
      </c>
      <c r="AL8072">
        <v>68.068377737310897</v>
      </c>
      <c r="AM8072">
        <v>96.5159069206737</v>
      </c>
      <c r="AN8072">
        <v>0.99999997252360395</v>
      </c>
    </row>
    <row r="8073" spans="1:40" x14ac:dyDescent="0.25">
      <c r="A8073" t="str">
        <f>"20190304164319941"</f>
        <v>20190304164319941</v>
      </c>
      <c r="B8073" t="str">
        <f>"1551688999929184"</f>
        <v>1551688999929184</v>
      </c>
      <c r="C8073" t="s">
        <v>40</v>
      </c>
      <c r="D8073">
        <v>3.971346</v>
      </c>
      <c r="E8073">
        <v>0.54909830000000004</v>
      </c>
      <c r="F8073" t="s">
        <v>41</v>
      </c>
      <c r="G8073">
        <v>-114.73</v>
      </c>
      <c r="H8073">
        <v>1.009895</v>
      </c>
      <c r="I8073">
        <v>137.74369999999999</v>
      </c>
      <c r="J8073">
        <v>-115.39579999999999</v>
      </c>
      <c r="K8073">
        <v>1.1131489999999999</v>
      </c>
      <c r="L8073">
        <v>137.7345</v>
      </c>
      <c r="M8073">
        <v>0.99939540000000004</v>
      </c>
      <c r="N8073">
        <v>-3.4767619999999999E-2</v>
      </c>
      <c r="O8073">
        <v>-4.8776130000000002E-4</v>
      </c>
      <c r="P8073">
        <v>0.93430550000000001</v>
      </c>
      <c r="Q8073">
        <v>0.34075699999999998</v>
      </c>
      <c r="R8073">
        <v>0.10468139999999899</v>
      </c>
      <c r="S8073">
        <v>3.3808440000000002</v>
      </c>
      <c r="T8073">
        <v>-0.4776958</v>
      </c>
      <c r="U8073">
        <v>4.2831420000000002E-2</v>
      </c>
      <c r="V8073">
        <v>-0.1051194</v>
      </c>
      <c r="W8073">
        <v>0.37303740000000002</v>
      </c>
      <c r="X8073">
        <v>0.92184219999999895</v>
      </c>
      <c r="Y8073">
        <v>-1.299196E-2</v>
      </c>
      <c r="Z8073">
        <v>1.192273E-3</v>
      </c>
      <c r="AA8073">
        <v>0.99991490000000005</v>
      </c>
      <c r="AB8073">
        <v>7</v>
      </c>
      <c r="AC8073">
        <v>0.66579999999998996</v>
      </c>
      <c r="AD8073">
        <v>-0.103253999999999</v>
      </c>
      <c r="AE8073">
        <v>9.1999999999927695E-3</v>
      </c>
      <c r="AF8073">
        <v>-9.3012878139320902E-3</v>
      </c>
      <c r="AG8073">
        <v>-0.103253999999999</v>
      </c>
      <c r="AH8073">
        <v>0.65016162855206905</v>
      </c>
      <c r="AI8073">
        <v>99.023033863580594</v>
      </c>
      <c r="AJ8073">
        <v>90.819624167043401</v>
      </c>
      <c r="AK8073">
        <v>0.65837530764183105</v>
      </c>
      <c r="AL8073">
        <v>68.0969363557751</v>
      </c>
      <c r="AM8073">
        <v>96.505445269569705</v>
      </c>
      <c r="AN8073">
        <v>1.00000001587797</v>
      </c>
    </row>
    <row r="8074" spans="1:40" x14ac:dyDescent="0.25">
      <c r="A8074" t="str">
        <f>"20190304164319964"</f>
        <v>20190304164319964</v>
      </c>
      <c r="B8074" t="str">
        <f>"1551688999959440"</f>
        <v>1551688999959440</v>
      </c>
      <c r="C8074" t="s">
        <v>40</v>
      </c>
      <c r="D8074">
        <v>3.977411</v>
      </c>
      <c r="E8074">
        <v>0.54953399999999997</v>
      </c>
      <c r="F8074" t="s">
        <v>41</v>
      </c>
      <c r="G8074">
        <v>-114.6733</v>
      </c>
      <c r="H8074">
        <v>1.010888</v>
      </c>
      <c r="I8074">
        <v>137.74250000000001</v>
      </c>
      <c r="J8074">
        <v>-115.3383</v>
      </c>
      <c r="K8074">
        <v>1.113483</v>
      </c>
      <c r="L8074">
        <v>137.73439999999999</v>
      </c>
      <c r="M8074">
        <v>0.99936939999999996</v>
      </c>
      <c r="N8074">
        <v>-3.5504130000000002E-2</v>
      </c>
      <c r="O8074">
        <v>-5.1155269999999999E-4</v>
      </c>
      <c r="P8074">
        <v>0.93445400000000001</v>
      </c>
      <c r="Q8074">
        <v>0.3404973</v>
      </c>
      <c r="R8074">
        <v>0.1041991</v>
      </c>
      <c r="S8074">
        <v>3.3812709999999999</v>
      </c>
      <c r="T8074">
        <v>-0.47869050000000002</v>
      </c>
      <c r="U8074">
        <v>3.7841800000000002E-2</v>
      </c>
      <c r="V8074">
        <v>-0.1046619</v>
      </c>
      <c r="W8074">
        <v>0.37346220000000002</v>
      </c>
      <c r="X8074">
        <v>0.92172220000000005</v>
      </c>
      <c r="Y8074">
        <v>-1.155543E-2</v>
      </c>
      <c r="Z8074">
        <v>1.074314E-3</v>
      </c>
      <c r="AA8074">
        <v>0.99993259999999995</v>
      </c>
      <c r="AB8074">
        <v>7</v>
      </c>
      <c r="AC8074">
        <v>0.66500000000000603</v>
      </c>
      <c r="AD8074">
        <v>-0.10259500000000001</v>
      </c>
      <c r="AE8074">
        <v>8.1000000000130898E-3</v>
      </c>
      <c r="AF8074">
        <v>-8.2441987494839206E-3</v>
      </c>
      <c r="AG8074">
        <v>-0.10259500000000001</v>
      </c>
      <c r="AH8074">
        <v>0.64953791349873902</v>
      </c>
      <c r="AI8074">
        <v>98.975046660791804</v>
      </c>
      <c r="AJ8074">
        <v>90.7271822341405</v>
      </c>
      <c r="AK8074">
        <v>0.65764215338610799</v>
      </c>
      <c r="AL8074">
        <v>68.070700076828302</v>
      </c>
      <c r="AM8074">
        <v>96.478209580303897</v>
      </c>
      <c r="AN8074">
        <v>0.99999997105664395</v>
      </c>
    </row>
    <row r="8075" spans="1:40" x14ac:dyDescent="0.25">
      <c r="A8075" t="str">
        <f>"20190304164319985"</f>
        <v>20190304164319985</v>
      </c>
      <c r="B8075" t="str">
        <f>"1551688999978962"</f>
        <v>1551688999978962</v>
      </c>
      <c r="C8075" t="s">
        <v>40</v>
      </c>
      <c r="D8075">
        <v>3.9830649999999999</v>
      </c>
      <c r="E8075">
        <v>0.54973380000000005</v>
      </c>
      <c r="F8075" t="s">
        <v>41</v>
      </c>
      <c r="G8075">
        <v>-114.5806</v>
      </c>
      <c r="H8075">
        <v>1.00586</v>
      </c>
      <c r="I8075">
        <v>137.74160000000001</v>
      </c>
      <c r="J8075">
        <v>-115.2903</v>
      </c>
      <c r="K8075">
        <v>1.1138269999999999</v>
      </c>
      <c r="L8075">
        <v>137.73439999999999</v>
      </c>
      <c r="M8075">
        <v>0.99933139999999998</v>
      </c>
      <c r="N8075">
        <v>-3.6561110000000001E-2</v>
      </c>
      <c r="O8075">
        <v>-5.3110449999999997E-4</v>
      </c>
      <c r="P8075">
        <v>0.93481550000000002</v>
      </c>
      <c r="Q8075">
        <v>0.33965600000000001</v>
      </c>
      <c r="R8075">
        <v>0.1037037</v>
      </c>
      <c r="S8075">
        <v>3.3818969999999999</v>
      </c>
      <c r="T8075">
        <v>-0.48042980000000002</v>
      </c>
      <c r="U8075">
        <v>3.2196040000000002E-2</v>
      </c>
      <c r="V8075">
        <v>-0.10418760000000001</v>
      </c>
      <c r="W8075">
        <v>0.37360860000000001</v>
      </c>
      <c r="X8075">
        <v>0.9217166</v>
      </c>
      <c r="Y8075">
        <v>-9.9226249999999992E-3</v>
      </c>
      <c r="Z8075">
        <v>9.395804E-4</v>
      </c>
      <c r="AA8075">
        <v>0.99995029999999996</v>
      </c>
      <c r="AB8075">
        <v>6</v>
      </c>
      <c r="AC8075">
        <v>0.709699999999997</v>
      </c>
      <c r="AD8075">
        <v>-0.10796699999999999</v>
      </c>
      <c r="AE8075">
        <v>7.2000000000116398E-3</v>
      </c>
      <c r="AF8075">
        <v>-7.4057962188010503E-3</v>
      </c>
      <c r="AG8075">
        <v>-0.10796699999999999</v>
      </c>
      <c r="AH8075">
        <v>0.69364424342226505</v>
      </c>
      <c r="AI8075">
        <v>98.846704380903503</v>
      </c>
      <c r="AJ8075">
        <v>90.611703693212405</v>
      </c>
      <c r="AK8075">
        <v>0.70203565104592902</v>
      </c>
      <c r="AL8075">
        <v>68.061657322272097</v>
      </c>
      <c r="AM8075">
        <v>96.449138790682696</v>
      </c>
      <c r="AN8075">
        <v>0.99999996635163901</v>
      </c>
    </row>
    <row r="8076" spans="1:40" x14ac:dyDescent="0.25">
      <c r="A8076" t="str">
        <f>"20190304164320009"</f>
        <v>20190304164320009</v>
      </c>
      <c r="B8076" t="str">
        <f>"1551688999999457"</f>
        <v>1551688999999457</v>
      </c>
      <c r="C8076" t="s">
        <v>40</v>
      </c>
      <c r="D8076">
        <v>3.9687779999999999</v>
      </c>
      <c r="E8076">
        <v>0.54991049999999997</v>
      </c>
      <c r="F8076" t="s">
        <v>41</v>
      </c>
      <c r="G8076">
        <v>-114.54089999999999</v>
      </c>
      <c r="H8076">
        <v>1.0063799999999901</v>
      </c>
      <c r="I8076">
        <v>137.7413</v>
      </c>
      <c r="J8076">
        <v>-115.2479</v>
      </c>
      <c r="K8076">
        <v>1.1141289999999999</v>
      </c>
      <c r="L8076">
        <v>137.73439999999999</v>
      </c>
      <c r="M8076">
        <v>0.99928799999999995</v>
      </c>
      <c r="N8076">
        <v>-3.7728600000000001E-2</v>
      </c>
      <c r="O8076">
        <v>-5.4759999999999997E-4</v>
      </c>
      <c r="P8076">
        <v>0.9350773</v>
      </c>
      <c r="Q8076">
        <v>0.33903719999999998</v>
      </c>
      <c r="R8076">
        <v>0.1033654</v>
      </c>
      <c r="S8076">
        <v>3.381866</v>
      </c>
      <c r="T8076">
        <v>-0.48490620000000001</v>
      </c>
      <c r="U8076">
        <v>3.1570429999999997E-2</v>
      </c>
      <c r="V8076">
        <v>-0.10386579999999999</v>
      </c>
      <c r="W8076">
        <v>0.37407600000000002</v>
      </c>
      <c r="X8076">
        <v>0.92156329999999997</v>
      </c>
      <c r="Y8076">
        <v>-9.7534300000000004E-3</v>
      </c>
      <c r="Z8076">
        <v>9.3844489999999996E-4</v>
      </c>
      <c r="AA8076">
        <v>0.99995199999999995</v>
      </c>
      <c r="AB8076">
        <v>5</v>
      </c>
      <c r="AC8076">
        <v>0.70700000000000696</v>
      </c>
      <c r="AD8076">
        <v>-0.107749</v>
      </c>
      <c r="AE8076">
        <v>6.90000000000168E-3</v>
      </c>
      <c r="AF8076">
        <v>-7.1220225680704704E-3</v>
      </c>
      <c r="AG8076">
        <v>-0.107749</v>
      </c>
      <c r="AH8076">
        <v>0.69094916631444303</v>
      </c>
      <c r="AI8076">
        <v>98.863049833421698</v>
      </c>
      <c r="AJ8076">
        <v>90.590560643029207</v>
      </c>
      <c r="AK8076">
        <v>0.69933634299747605</v>
      </c>
      <c r="AL8076">
        <v>68.032783036766801</v>
      </c>
      <c r="AM8076">
        <v>96.430447203415994</v>
      </c>
      <c r="AN8076">
        <v>0.999999937046263</v>
      </c>
    </row>
    <row r="8077" spans="1:40" x14ac:dyDescent="0.25">
      <c r="A8077" t="str">
        <f>"20190304164320030"</f>
        <v>20190304164320030</v>
      </c>
      <c r="B8077" t="str">
        <f>"1551689000018977"</f>
        <v>1551689000018977</v>
      </c>
      <c r="C8077" t="s">
        <v>40</v>
      </c>
      <c r="D8077">
        <v>3.9859200000000001</v>
      </c>
      <c r="E8077">
        <v>0.55003389999999996</v>
      </c>
      <c r="F8077" t="s">
        <v>41</v>
      </c>
      <c r="G8077">
        <v>-114.5065</v>
      </c>
      <c r="H8077">
        <v>1.007107</v>
      </c>
      <c r="I8077">
        <v>137.7407</v>
      </c>
      <c r="J8077">
        <v>-115.2131</v>
      </c>
      <c r="K8077">
        <v>1.114357</v>
      </c>
      <c r="L8077">
        <v>137.73429999999999</v>
      </c>
      <c r="M8077">
        <v>0.99924570000000001</v>
      </c>
      <c r="N8077">
        <v>-3.8832310000000002E-2</v>
      </c>
      <c r="O8077">
        <v>-5.5998309999999896E-4</v>
      </c>
      <c r="P8077">
        <v>0.93544830000000001</v>
      </c>
      <c r="Q8077">
        <v>0.33803040000000001</v>
      </c>
      <c r="R8077">
        <v>0.1033046</v>
      </c>
      <c r="S8077">
        <v>3.3820800000000002</v>
      </c>
      <c r="T8077">
        <v>-0.48831419999999998</v>
      </c>
      <c r="U8077">
        <v>2.946472E-2</v>
      </c>
      <c r="V8077">
        <v>-0.1038181</v>
      </c>
      <c r="W8077">
        <v>0.37410169999999998</v>
      </c>
      <c r="X8077">
        <v>0.92155830000000005</v>
      </c>
      <c r="Y8077">
        <v>-9.1482860000000003E-3</v>
      </c>
      <c r="Z8077">
        <v>8.9463170000000003E-4</v>
      </c>
      <c r="AA8077">
        <v>0.99995769999999995</v>
      </c>
      <c r="AB8077">
        <v>4</v>
      </c>
      <c r="AC8077">
        <v>0.70659999999999401</v>
      </c>
      <c r="AD8077">
        <v>-0.10725</v>
      </c>
      <c r="AE8077">
        <v>6.4000000000134999E-3</v>
      </c>
      <c r="AF8077">
        <v>-6.64295298173992E-3</v>
      </c>
      <c r="AG8077">
        <v>-0.10725</v>
      </c>
      <c r="AH8077">
        <v>0.69068550129886697</v>
      </c>
      <c r="AI8077">
        <v>98.826025753158504</v>
      </c>
      <c r="AJ8077">
        <v>90.5510488249448</v>
      </c>
      <c r="AK8077">
        <v>0.69899438697945604</v>
      </c>
      <c r="AL8077">
        <v>68.031196475920595</v>
      </c>
      <c r="AM8077">
        <v>96.427553344272994</v>
      </c>
      <c r="AN8077">
        <v>0.99999999006469498</v>
      </c>
    </row>
    <row r="8078" spans="1:40" x14ac:dyDescent="0.25">
      <c r="A8078" t="str">
        <f>"20190304164320054"</f>
        <v>20190304164320054</v>
      </c>
      <c r="B8078" t="str">
        <f>"1551689000049232"</f>
        <v>1551689000049232</v>
      </c>
      <c r="C8078" t="s">
        <v>40</v>
      </c>
      <c r="D8078">
        <v>3.969897</v>
      </c>
      <c r="E8078">
        <v>0.55029629999999996</v>
      </c>
      <c r="F8078" t="s">
        <v>41</v>
      </c>
      <c r="G8078">
        <v>-114.4778</v>
      </c>
      <c r="H8078">
        <v>1.007252</v>
      </c>
      <c r="I8078">
        <v>137.74019999999999</v>
      </c>
      <c r="J8078">
        <v>-115.18380000000001</v>
      </c>
      <c r="K8078">
        <v>1.11453</v>
      </c>
      <c r="L8078">
        <v>137.73429999999999</v>
      </c>
      <c r="M8078">
        <v>0.99920390000000003</v>
      </c>
      <c r="N8078">
        <v>-3.9893159999999997E-2</v>
      </c>
      <c r="O8078">
        <v>-5.6938050000000004E-4</v>
      </c>
      <c r="P8078">
        <v>0.93583459999999996</v>
      </c>
      <c r="Q8078">
        <v>0.33703300000000003</v>
      </c>
      <c r="R8078">
        <v>0.10306650000000001</v>
      </c>
      <c r="S8078">
        <v>3.3820339999999902</v>
      </c>
      <c r="T8078">
        <v>-0.4926566</v>
      </c>
      <c r="U8078">
        <v>2.7297970000000001E-2</v>
      </c>
      <c r="V8078">
        <v>-0.10359019999999999</v>
      </c>
      <c r="W8078">
        <v>0.3740986</v>
      </c>
      <c r="X8078">
        <v>0.92158519999999999</v>
      </c>
      <c r="Y8078">
        <v>-8.5229669999999993E-3</v>
      </c>
      <c r="Z8078">
        <v>8.4857889999999999E-4</v>
      </c>
      <c r="AA8078">
        <v>0.9999633</v>
      </c>
      <c r="AB8078">
        <v>4</v>
      </c>
      <c r="AC8078">
        <v>0.70600000000000296</v>
      </c>
      <c r="AD8078">
        <v>-0.107277999999999</v>
      </c>
      <c r="AE8078">
        <v>5.8999999999968999E-3</v>
      </c>
      <c r="AF8078">
        <v>-6.16007950940626E-3</v>
      </c>
      <c r="AG8078">
        <v>-0.107277999999999</v>
      </c>
      <c r="AH8078">
        <v>0.69006448721242897</v>
      </c>
      <c r="AI8078">
        <v>98.836168997592495</v>
      </c>
      <c r="AJ8078">
        <v>90.511455362698896</v>
      </c>
      <c r="AK8078">
        <v>0.69838063573907505</v>
      </c>
      <c r="AL8078">
        <v>68.031387916357005</v>
      </c>
      <c r="AM8078">
        <v>96.413375722999703</v>
      </c>
      <c r="AN8078">
        <v>0.99999998645851995</v>
      </c>
    </row>
    <row r="8079" spans="1:40" x14ac:dyDescent="0.25">
      <c r="A8079" t="str">
        <f>"20190304164320076"</f>
        <v>20190304164320076</v>
      </c>
      <c r="B8079" t="str">
        <f>"1551689000069728"</f>
        <v>1551689000069728</v>
      </c>
      <c r="C8079" t="s">
        <v>40</v>
      </c>
      <c r="D8079">
        <v>3.9722149999999998</v>
      </c>
      <c r="E8079">
        <v>0.55039079999999996</v>
      </c>
      <c r="F8079" t="s">
        <v>41</v>
      </c>
      <c r="G8079">
        <v>-114.4545</v>
      </c>
      <c r="H8079">
        <v>1.007263</v>
      </c>
      <c r="I8079">
        <v>137.7396</v>
      </c>
      <c r="J8079">
        <v>-115.1613</v>
      </c>
      <c r="K8079">
        <v>1.1146499999999999</v>
      </c>
      <c r="L8079">
        <v>137.73429999999999</v>
      </c>
      <c r="M8079">
        <v>0.99916530000000003</v>
      </c>
      <c r="N8079">
        <v>-4.0847260000000003E-2</v>
      </c>
      <c r="O8079">
        <v>-5.7560209999999996E-4</v>
      </c>
      <c r="P8079">
        <v>0.93611469999999997</v>
      </c>
      <c r="Q8079">
        <v>0.33637399999999901</v>
      </c>
      <c r="R8079">
        <v>0.1026734</v>
      </c>
      <c r="S8079">
        <v>3.3821110000000001</v>
      </c>
      <c r="T8079">
        <v>-0.4974635</v>
      </c>
      <c r="U8079">
        <v>2.502441E-2</v>
      </c>
      <c r="V8079">
        <v>-0.103204</v>
      </c>
      <c r="W8079">
        <v>0.37433119999999998</v>
      </c>
      <c r="X8079">
        <v>0.92153410000000002</v>
      </c>
      <c r="Y8079">
        <v>-7.863297E-3</v>
      </c>
      <c r="Z8079">
        <v>7.9773769999999999E-4</v>
      </c>
      <c r="AA8079">
        <v>0.99996879999999999</v>
      </c>
      <c r="AB8079">
        <v>3</v>
      </c>
      <c r="AC8079">
        <v>0.70680000000000098</v>
      </c>
      <c r="AD8079">
        <v>-0.107386999999999</v>
      </c>
      <c r="AE8079">
        <v>5.3000000000054098E-3</v>
      </c>
      <c r="AF8079">
        <v>-5.5784099277794404E-3</v>
      </c>
      <c r="AG8079">
        <v>-0.107386999999999</v>
      </c>
      <c r="AH8079">
        <v>0.69085016758128004</v>
      </c>
      <c r="AI8079">
        <v>98.835167762457701</v>
      </c>
      <c r="AJ8079">
        <v>90.462636348724203</v>
      </c>
      <c r="AK8079">
        <v>0.69916882115366397</v>
      </c>
      <c r="AL8079">
        <v>68.017017169954102</v>
      </c>
      <c r="AM8079">
        <v>96.390015183315896</v>
      </c>
      <c r="AN8079">
        <v>1.00000000518612</v>
      </c>
    </row>
    <row r="8080" spans="1:40" x14ac:dyDescent="0.25">
      <c r="A8080" t="str">
        <f>"20190304164320099"</f>
        <v>20190304164320099</v>
      </c>
      <c r="B8080" t="str">
        <f>"1551689000089249"</f>
        <v>1551689000089249</v>
      </c>
      <c r="C8080" t="s">
        <v>40</v>
      </c>
      <c r="D8080">
        <v>3.9559679999999999</v>
      </c>
      <c r="E8080">
        <v>0.55043980000000003</v>
      </c>
      <c r="F8080" t="s">
        <v>41</v>
      </c>
      <c r="G8080">
        <v>-114.4365</v>
      </c>
      <c r="H8080">
        <v>1.007277</v>
      </c>
      <c r="I8080">
        <v>137.7396</v>
      </c>
      <c r="J8080">
        <v>-115.14579999999999</v>
      </c>
      <c r="K8080">
        <v>1.114711</v>
      </c>
      <c r="L8080">
        <v>137.73419999999999</v>
      </c>
      <c r="M8080">
        <v>0.99913320000000005</v>
      </c>
      <c r="N8080">
        <v>-4.1622939999999997E-2</v>
      </c>
      <c r="O8080">
        <v>-5.7891509999999998E-4</v>
      </c>
      <c r="P8080">
        <v>0.93666269999999996</v>
      </c>
      <c r="Q8080">
        <v>0.33503129999999998</v>
      </c>
      <c r="R8080">
        <v>0.10206270000000001</v>
      </c>
      <c r="S8080">
        <v>3.38205</v>
      </c>
      <c r="T8080">
        <v>-0.50106799999999996</v>
      </c>
      <c r="U8080">
        <v>2.496338E-2</v>
      </c>
      <c r="V8080">
        <v>-0.1025977</v>
      </c>
      <c r="W8080">
        <v>0.37372749999999999</v>
      </c>
      <c r="X8080">
        <v>0.92184670000000002</v>
      </c>
      <c r="Y8080">
        <v>-7.8470520000000002E-3</v>
      </c>
      <c r="Z8080">
        <v>8.0393860000000001E-4</v>
      </c>
      <c r="AA8080">
        <v>0.99996890000000005</v>
      </c>
      <c r="AB8080">
        <v>3</v>
      </c>
      <c r="AC8080">
        <v>0.70929999999999804</v>
      </c>
      <c r="AD8080">
        <v>-0.107434</v>
      </c>
      <c r="AE8080">
        <v>5.4000000000087303E-3</v>
      </c>
      <c r="AF8080">
        <v>-5.6806638185812096E-3</v>
      </c>
      <c r="AG8080">
        <v>-0.107434</v>
      </c>
      <c r="AH8080">
        <v>0.69339019826870296</v>
      </c>
      <c r="AI8080">
        <v>98.807094841343002</v>
      </c>
      <c r="AJ8080">
        <v>90.469390511818304</v>
      </c>
      <c r="AK8080">
        <v>0.70168675443714301</v>
      </c>
      <c r="AL8080">
        <v>68.054312120876403</v>
      </c>
      <c r="AM8080">
        <v>96.350646470469599</v>
      </c>
      <c r="AN8080">
        <v>0.99999993530121301</v>
      </c>
    </row>
    <row r="8081" spans="1:40" x14ac:dyDescent="0.25">
      <c r="A8081" t="str">
        <f>"20190304164320123"</f>
        <v>20190304164320123</v>
      </c>
      <c r="B8081" t="str">
        <f>"1551689000119504"</f>
        <v>1551689000119504</v>
      </c>
      <c r="C8081" t="s">
        <v>40</v>
      </c>
      <c r="D8081">
        <v>3.9087070000000002</v>
      </c>
      <c r="E8081">
        <v>0.550620199999999</v>
      </c>
      <c r="F8081" t="s">
        <v>41</v>
      </c>
      <c r="G8081">
        <v>-114.42400000000001</v>
      </c>
      <c r="H8081">
        <v>1.0065710000000001</v>
      </c>
      <c r="I8081">
        <v>137.73929999999999</v>
      </c>
      <c r="J8081">
        <v>-115.1352</v>
      </c>
      <c r="K8081">
        <v>1.1147119999999999</v>
      </c>
      <c r="L8081">
        <v>137.73419999999999</v>
      </c>
      <c r="M8081">
        <v>0.99910790000000005</v>
      </c>
      <c r="N8081">
        <v>-4.2228830000000002E-2</v>
      </c>
      <c r="O8081">
        <v>-5.8001509999999995E-4</v>
      </c>
      <c r="P8081">
        <v>0.93687810000000005</v>
      </c>
      <c r="Q8081">
        <v>0.33452809999999999</v>
      </c>
      <c r="R8081">
        <v>0.1017378</v>
      </c>
      <c r="S8081">
        <v>3.3814700000000002</v>
      </c>
      <c r="T8081">
        <v>-0.50674240000000004</v>
      </c>
      <c r="U8081">
        <v>2.4368290000000001E-2</v>
      </c>
      <c r="V8081">
        <v>-0.1022748</v>
      </c>
      <c r="W8081">
        <v>0.37379210000000002</v>
      </c>
      <c r="X8081">
        <v>0.92185649999999997</v>
      </c>
      <c r="Y8081">
        <v>-7.6732700000000003E-3</v>
      </c>
      <c r="Z8081">
        <v>7.9703140000000005E-4</v>
      </c>
      <c r="AA8081">
        <v>0.99997029999999998</v>
      </c>
      <c r="AB8081">
        <v>2</v>
      </c>
      <c r="AC8081">
        <v>0.71120000000000505</v>
      </c>
      <c r="AD8081">
        <v>-0.108141</v>
      </c>
      <c r="AE8081">
        <v>5.0999999999987696E-3</v>
      </c>
      <c r="AF8081">
        <v>-5.3883003312929301E-3</v>
      </c>
      <c r="AG8081">
        <v>-0.108141</v>
      </c>
      <c r="AH8081">
        <v>0.69512608162129796</v>
      </c>
      <c r="AI8081">
        <v>98.842380110842001</v>
      </c>
      <c r="AJ8081">
        <v>90.444121854560294</v>
      </c>
      <c r="AK8081">
        <v>0.70350819399040299</v>
      </c>
      <c r="AL8081">
        <v>68.050323966171703</v>
      </c>
      <c r="AM8081">
        <v>96.330755216718998</v>
      </c>
      <c r="AN8081">
        <v>1.0000000376648399</v>
      </c>
    </row>
    <row r="8082" spans="1:40" x14ac:dyDescent="0.25">
      <c r="A8082" t="str">
        <f>"20190304164320142"</f>
        <v>20190304164320142</v>
      </c>
      <c r="B8082" t="str">
        <f>"1551689000139024"</f>
        <v>1551689000139024</v>
      </c>
      <c r="C8082" t="s">
        <v>40</v>
      </c>
      <c r="D8082">
        <v>3.9261520000000001</v>
      </c>
      <c r="E8082">
        <v>0.55074160000000005</v>
      </c>
      <c r="F8082" t="s">
        <v>41</v>
      </c>
      <c r="G8082">
        <v>-114.4126</v>
      </c>
      <c r="H8082">
        <v>1.005355</v>
      </c>
      <c r="I8082">
        <v>137.73869999999999</v>
      </c>
      <c r="J8082">
        <v>-115.1314</v>
      </c>
      <c r="K8082">
        <v>1.114625</v>
      </c>
      <c r="L8082">
        <v>137.73419999999999</v>
      </c>
      <c r="M8082">
        <v>0.99910299999999996</v>
      </c>
      <c r="N8082">
        <v>-4.2344229999999997E-2</v>
      </c>
      <c r="O8082">
        <v>-5.7922870000000001E-4</v>
      </c>
      <c r="P8082">
        <v>0.93688210000000005</v>
      </c>
      <c r="Q8082">
        <v>0.33448630000000001</v>
      </c>
      <c r="R8082">
        <v>0.1018387</v>
      </c>
      <c r="S8082">
        <v>3.3826290000000001</v>
      </c>
      <c r="T8082">
        <v>-0.51200970000000001</v>
      </c>
      <c r="U8082">
        <v>2.1286010000000001E-2</v>
      </c>
      <c r="V8082">
        <v>-0.1023756</v>
      </c>
      <c r="W8082">
        <v>0.37385760000000001</v>
      </c>
      <c r="X8082">
        <v>0.92181869999999999</v>
      </c>
      <c r="Y8082">
        <v>-6.7699589999999999E-3</v>
      </c>
      <c r="Z8082">
        <v>7.166408E-4</v>
      </c>
      <c r="AA8082">
        <v>0.9999768</v>
      </c>
      <c r="AB8082">
        <v>1</v>
      </c>
      <c r="AC8082">
        <v>0.71880000000000099</v>
      </c>
      <c r="AD8082">
        <v>-0.10926999999999901</v>
      </c>
      <c r="AE8082">
        <v>4.5000000000072699E-3</v>
      </c>
      <c r="AF8082">
        <v>-4.8056714789573097E-3</v>
      </c>
      <c r="AG8082">
        <v>-0.10926999999999901</v>
      </c>
      <c r="AH8082">
        <v>0.70256222434970195</v>
      </c>
      <c r="AI8082">
        <v>98.840220975739996</v>
      </c>
      <c r="AJ8082">
        <v>90.391908915298998</v>
      </c>
      <c r="AK8082">
        <v>0.71102510958584597</v>
      </c>
      <c r="AL8082">
        <v>68.046276686438802</v>
      </c>
      <c r="AM8082">
        <v>96.337201686868099</v>
      </c>
      <c r="AN8082">
        <v>0.999999992111404</v>
      </c>
    </row>
    <row r="8083" spans="1:40" x14ac:dyDescent="0.25">
      <c r="A8083" t="str">
        <f>"20190304164320255"</f>
        <v>20190304164320255</v>
      </c>
      <c r="B8083" t="str">
        <f>"1551689000249312"</f>
        <v>1551689000249312</v>
      </c>
      <c r="C8083" t="s">
        <v>40</v>
      </c>
      <c r="D8083">
        <v>3.9733480000000001</v>
      </c>
      <c r="E8083">
        <v>0.55140719999999899</v>
      </c>
      <c r="F8083" t="s">
        <v>41</v>
      </c>
      <c r="G8083">
        <v>-114.40130000000001</v>
      </c>
      <c r="H8083">
        <v>1.0063359999999999</v>
      </c>
      <c r="I8083">
        <v>137.73830000000001</v>
      </c>
      <c r="J8083">
        <v>-115.11709999999999</v>
      </c>
      <c r="K8083">
        <v>1.1121490000000001</v>
      </c>
      <c r="L8083">
        <v>137.73419999999999</v>
      </c>
      <c r="M8083">
        <v>0.99950640000000002</v>
      </c>
      <c r="N8083">
        <v>-3.1415319999999997E-2</v>
      </c>
      <c r="O8083">
        <v>-5.9848029999999997E-4</v>
      </c>
      <c r="P8083">
        <v>0.93412079999999997</v>
      </c>
      <c r="Q8083">
        <v>0.34178809999999998</v>
      </c>
      <c r="R8083">
        <v>0.1029538</v>
      </c>
      <c r="S8083">
        <v>3.3888240000000001</v>
      </c>
      <c r="T8083">
        <v>-0.50014720000000001</v>
      </c>
      <c r="U8083">
        <v>1.9241330000000001E-2</v>
      </c>
      <c r="V8083">
        <v>-0.1034978</v>
      </c>
      <c r="W8083">
        <v>0.3709673</v>
      </c>
      <c r="X8083">
        <v>0.92286040000000003</v>
      </c>
      <c r="Y8083">
        <v>-6.1910259999999996E-3</v>
      </c>
      <c r="Z8083">
        <v>6.2142709999999995E-4</v>
      </c>
      <c r="AA8083">
        <v>0.9999806</v>
      </c>
      <c r="AB8083">
        <v>1</v>
      </c>
      <c r="AC8083">
        <v>0.715799999999987</v>
      </c>
      <c r="AD8083">
        <v>-0.10581299999999901</v>
      </c>
      <c r="AE8083">
        <v>4.1000000000224104E-3</v>
      </c>
      <c r="AF8083">
        <v>-4.4317624743751404E-3</v>
      </c>
      <c r="AG8083">
        <v>-0.10581299999999901</v>
      </c>
      <c r="AH8083">
        <v>0.70049067418566902</v>
      </c>
      <c r="AI8083">
        <v>98.589734500162294</v>
      </c>
      <c r="AJ8083">
        <v>90.362485764850106</v>
      </c>
      <c r="AK8083">
        <v>0.70845127998241497</v>
      </c>
      <c r="AL8083">
        <v>68.224712736601802</v>
      </c>
      <c r="AM8083">
        <v>96.398922131182601</v>
      </c>
      <c r="AN8083">
        <v>0.99999992508114199</v>
      </c>
    </row>
    <row r="8084" spans="1:40" x14ac:dyDescent="0.25">
      <c r="A8084" t="str">
        <f>"20190304164320276"</f>
        <v>20190304164320276</v>
      </c>
      <c r="B8084" t="str">
        <f>"1551689000268833"</f>
        <v>1551689000268833</v>
      </c>
      <c r="C8084" t="s">
        <v>40</v>
      </c>
      <c r="D8084">
        <v>3.985303</v>
      </c>
      <c r="E8084">
        <v>0.55149799999999904</v>
      </c>
      <c r="F8084" t="s">
        <v>41</v>
      </c>
      <c r="G8084">
        <v>-114.3977</v>
      </c>
      <c r="H8084">
        <v>1.007404</v>
      </c>
      <c r="I8084">
        <v>137.73769999999999</v>
      </c>
      <c r="J8084">
        <v>-115.1139</v>
      </c>
      <c r="K8084">
        <v>1.1119380000000001</v>
      </c>
      <c r="L8084">
        <v>137.73419999999999</v>
      </c>
      <c r="M8084">
        <v>0.99957180000000001</v>
      </c>
      <c r="N8084">
        <v>-2.9256009999999999E-2</v>
      </c>
      <c r="O8084">
        <v>-6.0036279999999996E-4</v>
      </c>
      <c r="P8084">
        <v>0.93319759999999996</v>
      </c>
      <c r="Q8084">
        <v>0.34449269999999999</v>
      </c>
      <c r="R8084">
        <v>0.10231030000000001</v>
      </c>
      <c r="S8084">
        <v>3.3903500000000002</v>
      </c>
      <c r="T8084">
        <v>-0.49371019999999999</v>
      </c>
      <c r="U8084">
        <v>1.690674E-2</v>
      </c>
      <c r="V8084">
        <v>-0.1028563</v>
      </c>
      <c r="W8084">
        <v>0.37164920000000001</v>
      </c>
      <c r="X8084">
        <v>0.92265779999999997</v>
      </c>
      <c r="Y8084">
        <v>-5.5132619999999997E-3</v>
      </c>
      <c r="Z8084">
        <v>5.4996590000000001E-4</v>
      </c>
      <c r="AA8084">
        <v>0.9999846</v>
      </c>
      <c r="AB8084">
        <v>1</v>
      </c>
      <c r="AC8084">
        <v>0.71619999999999995</v>
      </c>
      <c r="AD8084">
        <v>-0.104533999999999</v>
      </c>
      <c r="AE8084">
        <v>3.5000000000024998E-3</v>
      </c>
      <c r="AF8084">
        <v>-3.8481862870087401E-3</v>
      </c>
      <c r="AG8084">
        <v>-0.104533999999999</v>
      </c>
      <c r="AH8084">
        <v>0.70125900742325398</v>
      </c>
      <c r="AI8084">
        <v>98.478305947092593</v>
      </c>
      <c r="AJ8084">
        <v>90.314409679693398</v>
      </c>
      <c r="AK8084">
        <v>0.70901788495491902</v>
      </c>
      <c r="AL8084">
        <v>68.182635841346993</v>
      </c>
      <c r="AM8084">
        <v>96.360971303270304</v>
      </c>
      <c r="AN8084">
        <v>0.99999998110558397</v>
      </c>
    </row>
    <row r="8085" spans="1:40" x14ac:dyDescent="0.25">
      <c r="A8085" t="str">
        <f>"20190304164320299"</f>
        <v>20190304164320299</v>
      </c>
      <c r="B8085" t="str">
        <f>"1551689000289328"</f>
        <v>1551689000289328</v>
      </c>
      <c r="C8085" t="s">
        <v>40</v>
      </c>
      <c r="D8085">
        <v>3.9970150000000002</v>
      </c>
      <c r="E8085">
        <v>0.55150129999999997</v>
      </c>
      <c r="F8085" t="s">
        <v>41</v>
      </c>
      <c r="G8085">
        <v>-114.3946</v>
      </c>
      <c r="H8085">
        <v>1.0092319999999999</v>
      </c>
      <c r="I8085">
        <v>137.7373</v>
      </c>
      <c r="J8085">
        <v>-115.1118</v>
      </c>
      <c r="K8085">
        <v>1.111858</v>
      </c>
      <c r="L8085">
        <v>137.73429999999999</v>
      </c>
      <c r="M8085">
        <v>0.99962119999999999</v>
      </c>
      <c r="N8085">
        <v>-2.7516059999999998E-2</v>
      </c>
      <c r="O8085">
        <v>-6.0087680000000003E-4</v>
      </c>
      <c r="P8085">
        <v>0.93255949999999999</v>
      </c>
      <c r="Q8085">
        <v>0.3463813</v>
      </c>
      <c r="R8085">
        <v>0.1017492</v>
      </c>
      <c r="S8085">
        <v>3.3919679999999999</v>
      </c>
      <c r="T8085">
        <v>-0.48436639999999997</v>
      </c>
      <c r="U8085">
        <v>1.45874E-2</v>
      </c>
      <c r="V8085">
        <v>-0.1022961</v>
      </c>
      <c r="W8085">
        <v>0.37191259999999998</v>
      </c>
      <c r="X8085">
        <v>0.92261400000000005</v>
      </c>
      <c r="Y8085">
        <v>-4.8390070000000002E-3</v>
      </c>
      <c r="Z8085">
        <v>4.796461E-4</v>
      </c>
      <c r="AA8085">
        <v>0.99998819999999999</v>
      </c>
      <c r="AB8085">
        <v>1</v>
      </c>
      <c r="AC8085">
        <v>0.71720000000000494</v>
      </c>
      <c r="AD8085">
        <v>-0.102626</v>
      </c>
      <c r="AE8085">
        <v>3.0000000000143202E-3</v>
      </c>
      <c r="AF8085">
        <v>-3.3622686427014999E-3</v>
      </c>
      <c r="AG8085">
        <v>-0.102626</v>
      </c>
      <c r="AH8085">
        <v>0.70280798310626702</v>
      </c>
      <c r="AI8085">
        <v>98.307681351078898</v>
      </c>
      <c r="AJ8085">
        <v>90.274103791901197</v>
      </c>
      <c r="AK8085">
        <v>0.71026928825926605</v>
      </c>
      <c r="AL8085">
        <v>68.166380042925496</v>
      </c>
      <c r="AM8085">
        <v>96.326906287269594</v>
      </c>
      <c r="AN8085">
        <v>1.0000000335549799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2020-05-20T14:50:14Z</dcterms:created>
  <dcterms:modified xsi:type="dcterms:W3CDTF">2020-05-20T14:50:15Z</dcterms:modified>
</cp:coreProperties>
</file>